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codeName="ThisWorkbook" defaultThemeVersion="166925"/>
  <mc:AlternateContent xmlns:mc="http://schemas.openxmlformats.org/markup-compatibility/2006">
    <mc:Choice Requires="x15">
      <x15ac:absPath xmlns:x15ac="http://schemas.microsoft.com/office/spreadsheetml/2010/11/ac" url="/Users/stevequarrie/Steve's documents/S2F project activities/WP9/WP9.1 School meals scheme/S2F meal planner spreadsheets/"/>
    </mc:Choice>
  </mc:AlternateContent>
  <xr:revisionPtr revIDLastSave="0" documentId="13_ncr:1_{ABA92DBD-62F7-D94D-966F-D38846511B78}" xr6:coauthVersionLast="45" xr6:coauthVersionMax="45" xr10:uidLastSave="{00000000-0000-0000-0000-000000000000}"/>
  <workbookProtection workbookAlgorithmName="SHA-512" workbookHashValue="rLCHPnpY22yezDJC3kEHszVg1DlXkGTurq+Lm/n1CYysRdCcy57k4LvPl3QYM4PMaZBfjfqi+QP+Ov9Ax8w4OA==" workbookSaltValue="9oc2CA07N+cldcjgh+p5rg==" workbookSpinCount="100000" lockStructure="1"/>
  <bookViews>
    <workbookView xWindow="0" yWindow="460" windowWidth="30220" windowHeight="20540" xr2:uid="{93D5C510-DA79-4E45-8E1C-32CE4BAE7904}"/>
  </bookViews>
  <sheets>
    <sheet name="Instructions" sheetId="37" r:id="rId1"/>
    <sheet name="Ingredient_prices" sheetId="10" r:id="rId2"/>
    <sheet name="Meal_entry_week_1" sheetId="2" r:id="rId3"/>
    <sheet name="Meal_entry_week_2" sheetId="5" r:id="rId4"/>
    <sheet name="Charts and graphs" sheetId="32" r:id="rId5"/>
    <sheet name="Sheet1" sheetId="35" state="hidden" r:id="rId6"/>
    <sheet name="Sheet2" sheetId="36" state="hidden" r:id="rId7"/>
    <sheet name="Recommendations" sheetId="17" r:id="rId8"/>
    <sheet name="Quantities of food items" sheetId="25" r:id="rId9"/>
    <sheet name="Sedmica_2_količina_namirnica" sheetId="27" state="hidden" r:id="rId10"/>
    <sheet name="Sedmica_1_količina_sva_sastojak" sheetId="15" state="hidden" r:id="rId11"/>
    <sheet name="Sedmica_2_količina_sva_sastojak" sheetId="26" state="hidden" r:id="rId12"/>
    <sheet name="Ingredient lists" sheetId="1" state="hidden" r:id="rId13"/>
    <sheet name="Nutrition_tables" sheetId="3" state="hidden" r:id="rId14"/>
    <sheet name="CO2_emission+%_food_waste" sheetId="4" state="hidden" r:id="rId15"/>
    <sheet name="Recommendation texts" sheetId="12" state="hidden" r:id="rId16"/>
    <sheet name="Sheet3" sheetId="21" state="hidden" r:id="rId17"/>
  </sheets>
  <definedNames>
    <definedName name="_xlnm._FilterDatabase" localSheetId="2" hidden="1">Meal_entry_week_1!$B$9:$H$514</definedName>
    <definedName name="_xlnm._FilterDatabase" localSheetId="3" hidden="1">Meal_entry_week_2!$B$9:$H$514</definedName>
    <definedName name="_xlnm._FilterDatabase" localSheetId="10" hidden="1">Sedmica_1_količina_sva_sastojak!#REF!</definedName>
    <definedName name="Bread_and_pastries">'Ingredient lists'!$Q$3:$Q$23</definedName>
    <definedName name="Dairy_products">'Ingredient lists'!$J$3:$J$48</definedName>
    <definedName name="Eggs">'Ingredient lists'!$I$3:$I$6</definedName>
    <definedName name="Fish_fresh_frozen">'Ingredient lists'!$G$3:$G$6</definedName>
    <definedName name="Fish_processed_canned">'Ingredient lists'!$H$3:$H$16</definedName>
    <definedName name="Flour_pasta_seeds_cereals">'Ingredient lists'!$L$3:$L$44</definedName>
    <definedName name="Food_category">'Ingredient lists'!$B$3:$B$24</definedName>
    <definedName name="Fruit_juices_water">'Ingredient lists'!$V$3:$V$10</definedName>
    <definedName name="Fruits_nuts_dried_fruit">'Ingredient lists'!$O$3:$O$41</definedName>
    <definedName name="Meat_fresh_frozen">'Ingredient lists'!$E$3:$E$26</definedName>
    <definedName name="Meat_processed">'Ingredient lists'!$F$3:$F$48</definedName>
    <definedName name="Oil_butter_margarine">'Ingredient lists'!$K$3:$K$13</definedName>
    <definedName name="Ostala_gotova_hrana">'Ingredient lists'!$T$3:$T$18</definedName>
    <definedName name="Other_processed_foods">'Ingredient lists'!$T$3:$T$18</definedName>
    <definedName name="Povrće_prerađeno">'Ingredient lists'!$D$3:$D$19</definedName>
    <definedName name="Riba_prerađena_konzervirana">'Ingredient lists'!$H$3:$H$16</definedName>
    <definedName name="Riba_sveže_smrznuta">'Ingredient lists'!$G$3:$G$6</definedName>
    <definedName name="Sauces_purees__dressings">'Ingredient lists'!$M$3:$M$30</definedName>
    <definedName name="Sauces_purees_dressings">'Ingredient lists'!$M$3:$M$30</definedName>
    <definedName name="Savoury_pastries">'Ingredient lists'!$R$3:$R$24</definedName>
    <definedName name="Šećerna_piča_čajevi_kafa">'Ingredient lists'!$U$3:$U$31</definedName>
    <definedName name="Select_food_category">Meal_entry_week_1!$G$12</definedName>
    <definedName name="Select_ingredient">Meal_entry_week_1!$H$11</definedName>
    <definedName name="Slana_peciva">'Ingredient lists'!$R$3:$R$24</definedName>
    <definedName name="Slatka_hrana_keks">'Ingredient lists'!$P$62:$P$62</definedName>
    <definedName name="Slatka_peciva">'Ingredient lists'!#REF!</definedName>
    <definedName name="Spices_seasonings">'Ingredient lists'!$N$3:$N$23</definedName>
    <definedName name="Sweet_foods_cakes">'Ingredient lists'!$P$3:$P$62</definedName>
    <definedName name="Sweet_pastries">'Ingredient lists'!#REF!</definedName>
    <definedName name="Sweetened_drinks_teas_coffee">'Ingredient lists'!$U$3:$U$31</definedName>
    <definedName name="Vegetables_mushrooms_fresh_frozen">'Ingredient lists'!$C$3:$C$57</definedName>
    <definedName name="Vegetables_processed">'Ingredient lists'!$D$3:$D$18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69" i="2" l="1"/>
  <c r="I569" i="5"/>
  <c r="I565" i="2"/>
  <c r="I565" i="5"/>
  <c r="I573" i="5"/>
  <c r="I572" i="5"/>
  <c r="I571" i="5"/>
  <c r="I570" i="5"/>
  <c r="I568" i="5"/>
  <c r="I567" i="5"/>
  <c r="I566" i="5"/>
  <c r="J563" i="5"/>
  <c r="J564" i="5" s="1"/>
  <c r="I563" i="5"/>
  <c r="I564" i="5" s="1"/>
  <c r="J561" i="5"/>
  <c r="I561" i="5"/>
  <c r="J560" i="5"/>
  <c r="J562" i="5" s="1"/>
  <c r="I560" i="5"/>
  <c r="I562" i="5" s="1"/>
  <c r="I573" i="2"/>
  <c r="I572" i="2"/>
  <c r="I570" i="2"/>
  <c r="I568" i="2"/>
  <c r="I567" i="2"/>
  <c r="I566" i="2"/>
  <c r="F4" i="10" l="1"/>
  <c r="F5" i="10" s="1"/>
  <c r="F6" i="10" s="1"/>
  <c r="F7" i="10" s="1"/>
  <c r="F8" i="10" s="1"/>
  <c r="F9" i="10" s="1"/>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K496" i="5" l="1"/>
  <c r="K495" i="5"/>
  <c r="K494" i="5"/>
  <c r="K493" i="5"/>
  <c r="K492" i="5"/>
  <c r="K491" i="5"/>
  <c r="K490" i="5"/>
  <c r="K489" i="5"/>
  <c r="K488" i="5"/>
  <c r="K487" i="5"/>
  <c r="K486" i="5"/>
  <c r="K485" i="5"/>
  <c r="K477" i="5"/>
  <c r="K476" i="5"/>
  <c r="K475" i="5"/>
  <c r="K474" i="5"/>
  <c r="K471" i="5"/>
  <c r="K470" i="5"/>
  <c r="K461" i="5"/>
  <c r="K445" i="5"/>
  <c r="K444" i="5"/>
  <c r="K443" i="5"/>
  <c r="K442" i="5"/>
  <c r="K426" i="5"/>
  <c r="K425" i="5"/>
  <c r="K424" i="5"/>
  <c r="K423" i="5"/>
  <c r="K422" i="5"/>
  <c r="K421" i="5"/>
  <c r="K420" i="5"/>
  <c r="K419" i="5"/>
  <c r="K418" i="5"/>
  <c r="K417" i="5"/>
  <c r="K416" i="5"/>
  <c r="K415" i="5"/>
  <c r="K414" i="5"/>
  <c r="K413" i="5"/>
  <c r="K412" i="5"/>
  <c r="K411" i="5"/>
  <c r="K410" i="5"/>
  <c r="K409" i="5"/>
  <c r="K408" i="5"/>
  <c r="K407" i="5"/>
  <c r="K397" i="5"/>
  <c r="K396" i="5"/>
  <c r="K395" i="5"/>
  <c r="K394" i="5"/>
  <c r="K393" i="5"/>
  <c r="K392" i="5"/>
  <c r="K391" i="5"/>
  <c r="K390" i="5"/>
  <c r="K389" i="5"/>
  <c r="K388" i="5"/>
  <c r="K387" i="5"/>
  <c r="K386" i="5"/>
  <c r="K378" i="5"/>
  <c r="K377" i="5"/>
  <c r="K376" i="5"/>
  <c r="K375" i="5"/>
  <c r="K372" i="5"/>
  <c r="K368" i="5"/>
  <c r="K346" i="5"/>
  <c r="K345" i="5"/>
  <c r="K344" i="5"/>
  <c r="K343" i="5"/>
  <c r="K342" i="5"/>
  <c r="K341" i="5"/>
  <c r="K340" i="5"/>
  <c r="K339" i="5"/>
  <c r="K338" i="5"/>
  <c r="K337" i="5"/>
  <c r="K327" i="5"/>
  <c r="K326" i="5"/>
  <c r="K325" i="5"/>
  <c r="K324" i="5"/>
  <c r="K323" i="5"/>
  <c r="K322" i="5"/>
  <c r="K321" i="5"/>
  <c r="K320" i="5"/>
  <c r="K319" i="5"/>
  <c r="K318" i="5"/>
  <c r="K317" i="5"/>
  <c r="K316" i="5"/>
  <c r="K315" i="5"/>
  <c r="K314" i="5"/>
  <c r="K313" i="5"/>
  <c r="K312" i="5"/>
  <c r="K311" i="5"/>
  <c r="K310" i="5"/>
  <c r="K309" i="5"/>
  <c r="K308" i="5"/>
  <c r="K298" i="5"/>
  <c r="K297" i="5"/>
  <c r="K296" i="5"/>
  <c r="K295" i="5"/>
  <c r="K294" i="5"/>
  <c r="K293" i="5"/>
  <c r="K292" i="5"/>
  <c r="K291" i="5"/>
  <c r="K290" i="5"/>
  <c r="K289" i="5"/>
  <c r="K288" i="5"/>
  <c r="K287" i="5"/>
  <c r="K279" i="5"/>
  <c r="K278" i="5"/>
  <c r="K277" i="5"/>
  <c r="K276" i="5"/>
  <c r="K247" i="5"/>
  <c r="K246" i="5"/>
  <c r="K245" i="5"/>
  <c r="K244" i="5"/>
  <c r="K243" i="5"/>
  <c r="K242" i="5"/>
  <c r="K241" i="5"/>
  <c r="K228" i="5"/>
  <c r="K227" i="5"/>
  <c r="K226" i="5"/>
  <c r="K225" i="5"/>
  <c r="K224" i="5"/>
  <c r="K223" i="5"/>
  <c r="K222" i="5"/>
  <c r="K221" i="5"/>
  <c r="K220" i="5"/>
  <c r="K219" i="5"/>
  <c r="K218" i="5"/>
  <c r="K217" i="5"/>
  <c r="K216" i="5"/>
  <c r="K215" i="5"/>
  <c r="K214" i="5"/>
  <c r="K213" i="5"/>
  <c r="K212" i="5"/>
  <c r="K211" i="5"/>
  <c r="K210" i="5"/>
  <c r="K209" i="5"/>
  <c r="K199" i="5"/>
  <c r="K198" i="5"/>
  <c r="K197" i="5"/>
  <c r="K196" i="5"/>
  <c r="K195" i="5"/>
  <c r="K194" i="5"/>
  <c r="K193" i="5"/>
  <c r="K192" i="5"/>
  <c r="K191" i="5"/>
  <c r="K190" i="5"/>
  <c r="K189" i="5"/>
  <c r="K188" i="5"/>
  <c r="K180" i="5"/>
  <c r="K179" i="5"/>
  <c r="K178" i="5"/>
  <c r="K177" i="5"/>
  <c r="K176" i="5"/>
  <c r="K175" i="5"/>
  <c r="K174" i="5"/>
  <c r="K173" i="5"/>
  <c r="K172" i="5"/>
  <c r="K171" i="5"/>
  <c r="K168" i="5"/>
  <c r="K166" i="5"/>
  <c r="K165" i="5"/>
  <c r="K156" i="5"/>
  <c r="K148" i="5"/>
  <c r="K147" i="5"/>
  <c r="K146" i="5"/>
  <c r="K145" i="5"/>
  <c r="K144" i="5"/>
  <c r="K143" i="5"/>
  <c r="K142" i="5"/>
  <c r="K141" i="5"/>
  <c r="K140" i="5"/>
  <c r="K138" i="5"/>
  <c r="K137" i="5"/>
  <c r="K129" i="5"/>
  <c r="K128" i="5"/>
  <c r="K127" i="5"/>
  <c r="K126" i="5"/>
  <c r="K125" i="5"/>
  <c r="K124" i="5"/>
  <c r="K123" i="5"/>
  <c r="K122" i="5"/>
  <c r="K121" i="5"/>
  <c r="K120" i="5"/>
  <c r="K119" i="5"/>
  <c r="K118" i="5"/>
  <c r="K117" i="5"/>
  <c r="K116" i="5"/>
  <c r="K115" i="5"/>
  <c r="K114" i="5"/>
  <c r="K113" i="5"/>
  <c r="K112" i="5"/>
  <c r="K111" i="5"/>
  <c r="K110" i="5"/>
  <c r="K100" i="5"/>
  <c r="K99" i="5"/>
  <c r="K98" i="5"/>
  <c r="K97" i="5"/>
  <c r="K96" i="5"/>
  <c r="K95" i="5"/>
  <c r="K94" i="5"/>
  <c r="K93" i="5"/>
  <c r="K92" i="5"/>
  <c r="K91" i="5"/>
  <c r="K90" i="5"/>
  <c r="K89" i="5"/>
  <c r="K81" i="5"/>
  <c r="K80" i="5"/>
  <c r="K79" i="5"/>
  <c r="K78" i="5"/>
  <c r="K77" i="5"/>
  <c r="K76" i="5"/>
  <c r="K75" i="5"/>
  <c r="K72" i="5"/>
  <c r="K49" i="5"/>
  <c r="K48" i="5"/>
  <c r="K47" i="5"/>
  <c r="K46" i="5"/>
  <c r="K45" i="5"/>
  <c r="K44" i="5"/>
  <c r="K43" i="5"/>
  <c r="K39" i="5"/>
  <c r="K38" i="5"/>
  <c r="K30" i="5"/>
  <c r="K29" i="5"/>
  <c r="K28" i="5"/>
  <c r="K27" i="5"/>
  <c r="K26" i="5"/>
  <c r="K25" i="5"/>
  <c r="K24" i="5"/>
  <c r="K23" i="5"/>
  <c r="K22" i="5"/>
  <c r="K21" i="5"/>
  <c r="K20" i="5"/>
  <c r="K19" i="5"/>
  <c r="K18" i="5"/>
  <c r="K17" i="5"/>
  <c r="K16" i="5"/>
  <c r="K15" i="5"/>
  <c r="K14" i="5"/>
  <c r="K13" i="5"/>
  <c r="K12" i="5"/>
  <c r="K496" i="2"/>
  <c r="K495" i="2"/>
  <c r="K494" i="2"/>
  <c r="K493" i="2"/>
  <c r="K492" i="2"/>
  <c r="K491" i="2"/>
  <c r="K490" i="2"/>
  <c r="K489" i="2"/>
  <c r="K488" i="2"/>
  <c r="K487" i="2"/>
  <c r="K486" i="2"/>
  <c r="K485" i="2"/>
  <c r="K477" i="2"/>
  <c r="K476" i="2"/>
  <c r="K475" i="2"/>
  <c r="K472" i="2"/>
  <c r="K467" i="2"/>
  <c r="K445" i="2"/>
  <c r="K444" i="2"/>
  <c r="K443" i="2"/>
  <c r="K442" i="2"/>
  <c r="K441" i="2"/>
  <c r="K440" i="2"/>
  <c r="K439" i="2"/>
  <c r="K438" i="2"/>
  <c r="K437" i="2"/>
  <c r="K436" i="2"/>
  <c r="K426" i="2"/>
  <c r="K425" i="2"/>
  <c r="K424" i="2"/>
  <c r="K423" i="2"/>
  <c r="K422" i="2"/>
  <c r="K421" i="2"/>
  <c r="K420" i="2"/>
  <c r="K419" i="2"/>
  <c r="K418" i="2"/>
  <c r="K417" i="2"/>
  <c r="K416" i="2"/>
  <c r="K415" i="2"/>
  <c r="K414" i="2"/>
  <c r="K413" i="2"/>
  <c r="K412" i="2"/>
  <c r="K411" i="2"/>
  <c r="K410" i="2"/>
  <c r="K409" i="2"/>
  <c r="K408" i="2"/>
  <c r="K407" i="2"/>
  <c r="K397" i="2"/>
  <c r="K396" i="2"/>
  <c r="K395" i="2"/>
  <c r="K394" i="2"/>
  <c r="K393" i="2"/>
  <c r="K392" i="2"/>
  <c r="K391" i="2"/>
  <c r="K390" i="2"/>
  <c r="K389" i="2"/>
  <c r="K388" i="2"/>
  <c r="K387" i="2"/>
  <c r="K386" i="2"/>
  <c r="K378" i="2"/>
  <c r="K377" i="2"/>
  <c r="K376" i="2"/>
  <c r="K375" i="2"/>
  <c r="K374" i="2"/>
  <c r="K373" i="2"/>
  <c r="K372" i="2"/>
  <c r="K369" i="2"/>
  <c r="K367" i="2"/>
  <c r="K346" i="2"/>
  <c r="K345" i="2"/>
  <c r="K344" i="2"/>
  <c r="K343" i="2"/>
  <c r="K342" i="2"/>
  <c r="K327" i="2"/>
  <c r="K326" i="2"/>
  <c r="K325" i="2"/>
  <c r="K324" i="2"/>
  <c r="K323" i="2"/>
  <c r="K322" i="2"/>
  <c r="K321" i="2"/>
  <c r="K320" i="2"/>
  <c r="K319" i="2"/>
  <c r="K318" i="2"/>
  <c r="K317" i="2"/>
  <c r="K316" i="2"/>
  <c r="K315" i="2"/>
  <c r="K314" i="2"/>
  <c r="K313" i="2"/>
  <c r="K312" i="2"/>
  <c r="K311" i="2"/>
  <c r="K310" i="2"/>
  <c r="K309" i="2"/>
  <c r="K308" i="2"/>
  <c r="K298" i="2"/>
  <c r="K297" i="2"/>
  <c r="K296" i="2"/>
  <c r="K295" i="2"/>
  <c r="K294" i="2"/>
  <c r="K293" i="2"/>
  <c r="K292" i="2"/>
  <c r="K291" i="2"/>
  <c r="K290" i="2"/>
  <c r="K289" i="2"/>
  <c r="K288" i="2"/>
  <c r="K287" i="2"/>
  <c r="K279" i="2"/>
  <c r="K278" i="2"/>
  <c r="K277" i="2"/>
  <c r="K276" i="2"/>
  <c r="K275" i="2"/>
  <c r="K274" i="2"/>
  <c r="K273" i="2"/>
  <c r="K272" i="2"/>
  <c r="K271" i="2"/>
  <c r="K270" i="2"/>
  <c r="K269" i="2"/>
  <c r="K268" i="2"/>
  <c r="K263" i="2"/>
  <c r="K247" i="2"/>
  <c r="K246" i="2"/>
  <c r="K245" i="2"/>
  <c r="K244" i="2"/>
  <c r="K243" i="2"/>
  <c r="K242" i="2"/>
  <c r="K241" i="2"/>
  <c r="K240" i="2"/>
  <c r="K239" i="2"/>
  <c r="K238" i="2"/>
  <c r="K228" i="2"/>
  <c r="K227" i="2"/>
  <c r="K226" i="2"/>
  <c r="K225" i="2"/>
  <c r="K224" i="2"/>
  <c r="K222" i="2"/>
  <c r="K221" i="2"/>
  <c r="K220" i="2"/>
  <c r="K219" i="2"/>
  <c r="K218" i="2"/>
  <c r="K217" i="2"/>
  <c r="K216" i="2"/>
  <c r="K215" i="2"/>
  <c r="K214" i="2"/>
  <c r="K213" i="2"/>
  <c r="K212" i="2"/>
  <c r="K211" i="2"/>
  <c r="K210" i="2"/>
  <c r="K209" i="2"/>
  <c r="K199" i="2"/>
  <c r="K198" i="2"/>
  <c r="K197" i="2"/>
  <c r="K196" i="2"/>
  <c r="K195" i="2"/>
  <c r="K194" i="2"/>
  <c r="K193" i="2"/>
  <c r="K192" i="2"/>
  <c r="K191" i="2"/>
  <c r="K190" i="2"/>
  <c r="K189" i="2"/>
  <c r="K188" i="2"/>
  <c r="K180" i="2"/>
  <c r="K179" i="2"/>
  <c r="K178" i="2"/>
  <c r="K177" i="2"/>
  <c r="K176" i="2"/>
  <c r="K173" i="2"/>
  <c r="K163" i="2"/>
  <c r="K162" i="2"/>
  <c r="K148" i="2"/>
  <c r="K147" i="2"/>
  <c r="K146" i="2"/>
  <c r="K145" i="2"/>
  <c r="K144" i="2"/>
  <c r="K143" i="2"/>
  <c r="K142" i="2"/>
  <c r="K141" i="2"/>
  <c r="K129" i="2"/>
  <c r="K128" i="2"/>
  <c r="K127" i="2"/>
  <c r="K126" i="2"/>
  <c r="K125" i="2"/>
  <c r="K124" i="2"/>
  <c r="K123" i="2"/>
  <c r="K122" i="2"/>
  <c r="K121" i="2"/>
  <c r="K120" i="2"/>
  <c r="K119" i="2"/>
  <c r="K118" i="2"/>
  <c r="K117" i="2"/>
  <c r="K116" i="2"/>
  <c r="K115" i="2"/>
  <c r="K114" i="2"/>
  <c r="K113" i="2"/>
  <c r="K112" i="2"/>
  <c r="K111" i="2"/>
  <c r="K110" i="2"/>
  <c r="K100" i="2"/>
  <c r="K99" i="2"/>
  <c r="K98" i="2"/>
  <c r="K97" i="2"/>
  <c r="K96" i="2"/>
  <c r="K95" i="2"/>
  <c r="K94" i="2"/>
  <c r="K93" i="2"/>
  <c r="K92" i="2"/>
  <c r="K91" i="2"/>
  <c r="K90" i="2"/>
  <c r="K89" i="2"/>
  <c r="K81" i="2"/>
  <c r="K80" i="2"/>
  <c r="K79" i="2"/>
  <c r="K78" i="2"/>
  <c r="K75" i="2"/>
  <c r="K70" i="2"/>
  <c r="K49" i="2"/>
  <c r="K48" i="2"/>
  <c r="K47" i="2"/>
  <c r="K46" i="2"/>
  <c r="K45" i="2"/>
  <c r="K44" i="2"/>
  <c r="K43" i="2"/>
  <c r="K42" i="2"/>
  <c r="K41" i="2"/>
  <c r="K30" i="2"/>
  <c r="K29" i="2"/>
  <c r="K28" i="2"/>
  <c r="K27" i="2"/>
  <c r="K26" i="2"/>
  <c r="K25" i="2"/>
  <c r="K24" i="2"/>
  <c r="K23" i="2"/>
  <c r="K22" i="2"/>
  <c r="K21" i="2"/>
  <c r="K20" i="2"/>
  <c r="K19" i="2"/>
  <c r="K18" i="2"/>
  <c r="K17" i="2"/>
  <c r="K16" i="2"/>
  <c r="K15" i="2"/>
  <c r="AX91" i="12" l="1"/>
  <c r="AT109" i="12"/>
  <c r="AR78" i="12"/>
  <c r="AP142" i="12"/>
  <c r="AN88" i="12"/>
  <c r="AL130" i="12"/>
  <c r="AJ83" i="12"/>
  <c r="AH215" i="12"/>
  <c r="AF49" i="12"/>
  <c r="AD62" i="12"/>
  <c r="AB83" i="12"/>
  <c r="Z140" i="12"/>
  <c r="X177" i="12"/>
  <c r="V77" i="12"/>
  <c r="T160" i="12"/>
  <c r="BA29" i="12"/>
  <c r="AN363" i="35" l="1"/>
  <c r="AN362" i="35"/>
  <c r="AN361" i="35"/>
  <c r="AN360" i="35"/>
  <c r="AN359" i="35"/>
  <c r="AN351" i="35"/>
  <c r="AN350" i="35"/>
  <c r="AN349" i="35"/>
  <c r="AN348" i="35"/>
  <c r="AN347" i="35"/>
  <c r="AN345" i="35"/>
  <c r="AN344" i="35"/>
  <c r="AN343" i="35"/>
  <c r="AN342" i="35"/>
  <c r="U362" i="35"/>
  <c r="U361" i="35"/>
  <c r="U360" i="35"/>
  <c r="U359" i="35"/>
  <c r="U351" i="35"/>
  <c r="U350" i="35"/>
  <c r="U349" i="35"/>
  <c r="U348" i="35"/>
  <c r="U345" i="35"/>
  <c r="U344" i="35"/>
  <c r="U342" i="35"/>
  <c r="V317" i="10"/>
  <c r="V316" i="10"/>
  <c r="V315" i="10"/>
  <c r="V314" i="10"/>
  <c r="V313" i="10"/>
  <c r="V312" i="10"/>
  <c r="V311" i="10"/>
  <c r="V310" i="10"/>
  <c r="V309" i="10"/>
  <c r="V308" i="10"/>
  <c r="V307" i="10"/>
  <c r="V306" i="10"/>
  <c r="V305" i="10"/>
  <c r="V304" i="10"/>
  <c r="V303" i="10"/>
  <c r="V302" i="10"/>
  <c r="V301" i="10"/>
  <c r="V300" i="10"/>
  <c r="V299" i="10"/>
  <c r="V298" i="10"/>
  <c r="V297" i="10"/>
  <c r="V296" i="10"/>
  <c r="V295" i="10"/>
  <c r="V294" i="10"/>
  <c r="V293" i="10"/>
  <c r="V292" i="10"/>
  <c r="V291" i="10"/>
  <c r="V290" i="10"/>
  <c r="V289" i="10"/>
  <c r="V288" i="10"/>
  <c r="V287" i="10"/>
  <c r="V286" i="10"/>
  <c r="V285" i="10"/>
  <c r="V284" i="10"/>
  <c r="V283" i="10"/>
  <c r="V282" i="10"/>
  <c r="V281" i="10"/>
  <c r="V280" i="10"/>
  <c r="V279" i="10"/>
  <c r="V278" i="10"/>
  <c r="V277" i="10"/>
  <c r="V276" i="10"/>
  <c r="V275" i="10"/>
  <c r="V274" i="10"/>
  <c r="V273" i="10"/>
  <c r="V272" i="10"/>
  <c r="V271" i="10"/>
  <c r="V270" i="10"/>
  <c r="V269" i="10"/>
  <c r="V268" i="10"/>
  <c r="V267" i="10"/>
  <c r="V266" i="10"/>
  <c r="V265" i="10"/>
  <c r="V264" i="10"/>
  <c r="V263" i="10"/>
  <c r="V262" i="10"/>
  <c r="V26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V36" i="10"/>
  <c r="V35" i="10"/>
  <c r="V34" i="10"/>
  <c r="V33" i="10"/>
  <c r="V32" i="10"/>
  <c r="V31" i="10"/>
  <c r="V29" i="10"/>
  <c r="V28" i="10"/>
  <c r="V27" i="10"/>
  <c r="V26" i="10"/>
  <c r="V25" i="10"/>
  <c r="V24" i="10"/>
  <c r="V23" i="10"/>
  <c r="V22" i="10"/>
  <c r="V21" i="10"/>
  <c r="V20" i="10"/>
  <c r="V19" i="10"/>
  <c r="V18" i="10"/>
  <c r="V17" i="10"/>
  <c r="V16" i="10"/>
  <c r="V15" i="10"/>
  <c r="V14" i="10"/>
  <c r="V13" i="10"/>
  <c r="V12" i="10"/>
  <c r="V11" i="10"/>
  <c r="V10" i="10"/>
  <c r="V9" i="10"/>
  <c r="V8" i="10"/>
  <c r="V7" i="10"/>
  <c r="V6" i="10"/>
  <c r="V5" i="10"/>
  <c r="AU496" i="5"/>
  <c r="AT496" i="5"/>
  <c r="AU495" i="5"/>
  <c r="AT495" i="5"/>
  <c r="AU494" i="5"/>
  <c r="AT494" i="5"/>
  <c r="AU493" i="5"/>
  <c r="AT493" i="5"/>
  <c r="AU492" i="5"/>
  <c r="AT492" i="5"/>
  <c r="AU491" i="5"/>
  <c r="AT491" i="5"/>
  <c r="AU490" i="5"/>
  <c r="AT490" i="5"/>
  <c r="AU489" i="5"/>
  <c r="AT489" i="5"/>
  <c r="AU488" i="5"/>
  <c r="AT488" i="5"/>
  <c r="AU487" i="5"/>
  <c r="AT487" i="5"/>
  <c r="AU486" i="5"/>
  <c r="AT486" i="5"/>
  <c r="AU485" i="5"/>
  <c r="AT485" i="5"/>
  <c r="AU477" i="5"/>
  <c r="AT477" i="5"/>
  <c r="AU476" i="5"/>
  <c r="AT476" i="5"/>
  <c r="AU475" i="5"/>
  <c r="AT475" i="5"/>
  <c r="AU474" i="5"/>
  <c r="AT474" i="5"/>
  <c r="AU471" i="5"/>
  <c r="AT471" i="5"/>
  <c r="AU470" i="5"/>
  <c r="AT470" i="5"/>
  <c r="AU461" i="5"/>
  <c r="AT461" i="5"/>
  <c r="AU445" i="5"/>
  <c r="AT445" i="5"/>
  <c r="AU444" i="5"/>
  <c r="AT444" i="5"/>
  <c r="AU443" i="5"/>
  <c r="AT443" i="5"/>
  <c r="AU442" i="5"/>
  <c r="AT442" i="5"/>
  <c r="AU426" i="5"/>
  <c r="AT426" i="5"/>
  <c r="AU425" i="5"/>
  <c r="AT425" i="5"/>
  <c r="AU424" i="5"/>
  <c r="AT424" i="5"/>
  <c r="AU423" i="5"/>
  <c r="AT423" i="5"/>
  <c r="AU422" i="5"/>
  <c r="AT422" i="5"/>
  <c r="AU421" i="5"/>
  <c r="AT421" i="5"/>
  <c r="AU420" i="5"/>
  <c r="AT420" i="5"/>
  <c r="AU419" i="5"/>
  <c r="AT419" i="5"/>
  <c r="AU418" i="5"/>
  <c r="AT418" i="5"/>
  <c r="AU417" i="5"/>
  <c r="AT417" i="5"/>
  <c r="AU416" i="5"/>
  <c r="AT416" i="5"/>
  <c r="AU415" i="5"/>
  <c r="AT415" i="5"/>
  <c r="AU414" i="5"/>
  <c r="AT414" i="5"/>
  <c r="AU413" i="5"/>
  <c r="AT413" i="5"/>
  <c r="AU412" i="5"/>
  <c r="AT412" i="5"/>
  <c r="AU411" i="5"/>
  <c r="AT411" i="5"/>
  <c r="AU410" i="5"/>
  <c r="AT410" i="5"/>
  <c r="AU409" i="5"/>
  <c r="AT409" i="5"/>
  <c r="AU408" i="5"/>
  <c r="AT408" i="5"/>
  <c r="AU407" i="5"/>
  <c r="AT407" i="5"/>
  <c r="AU397" i="5"/>
  <c r="AT397" i="5"/>
  <c r="AU396" i="5"/>
  <c r="AT396" i="5"/>
  <c r="AU395" i="5"/>
  <c r="AT395" i="5"/>
  <c r="AU394" i="5"/>
  <c r="AT394" i="5"/>
  <c r="AU393" i="5"/>
  <c r="AT393" i="5"/>
  <c r="AU392" i="5"/>
  <c r="AT392" i="5"/>
  <c r="AU391" i="5"/>
  <c r="AT391" i="5"/>
  <c r="AU390" i="5"/>
  <c r="AT390" i="5"/>
  <c r="AU389" i="5"/>
  <c r="AT389" i="5"/>
  <c r="AU388" i="5"/>
  <c r="AT388" i="5"/>
  <c r="AU387" i="5"/>
  <c r="AT387" i="5"/>
  <c r="AU386" i="5"/>
  <c r="AT386" i="5"/>
  <c r="AU378" i="5"/>
  <c r="AT378" i="5"/>
  <c r="AU377" i="5"/>
  <c r="AT377" i="5"/>
  <c r="AU376" i="5"/>
  <c r="AT376" i="5"/>
  <c r="AU375" i="5"/>
  <c r="AT375" i="5"/>
  <c r="AU372" i="5"/>
  <c r="AT372" i="5"/>
  <c r="AU368" i="5"/>
  <c r="AT368" i="5"/>
  <c r="AU346" i="5"/>
  <c r="AT346" i="5"/>
  <c r="AU345" i="5"/>
  <c r="AT345" i="5"/>
  <c r="AU344" i="5"/>
  <c r="AT344" i="5"/>
  <c r="AU343" i="5"/>
  <c r="AT343" i="5"/>
  <c r="AU342" i="5"/>
  <c r="AT342" i="5"/>
  <c r="AU341" i="5"/>
  <c r="AT341" i="5"/>
  <c r="AU340" i="5"/>
  <c r="AT340" i="5"/>
  <c r="AU339" i="5"/>
  <c r="AT339" i="5"/>
  <c r="AU338" i="5"/>
  <c r="AT338" i="5"/>
  <c r="AU337" i="5"/>
  <c r="AT337" i="5"/>
  <c r="AU327" i="5"/>
  <c r="AT327" i="5"/>
  <c r="AU326" i="5"/>
  <c r="AT326" i="5"/>
  <c r="AU325" i="5"/>
  <c r="AT325" i="5"/>
  <c r="AU324" i="5"/>
  <c r="AT324" i="5"/>
  <c r="AU323" i="5"/>
  <c r="AT323" i="5"/>
  <c r="AU322" i="5"/>
  <c r="AT322" i="5"/>
  <c r="AU321" i="5"/>
  <c r="AT321" i="5"/>
  <c r="AU320" i="5"/>
  <c r="AT320" i="5"/>
  <c r="AU319" i="5"/>
  <c r="AT319" i="5"/>
  <c r="AU318" i="5"/>
  <c r="AT318" i="5"/>
  <c r="AU317" i="5"/>
  <c r="AT317" i="5"/>
  <c r="AU316" i="5"/>
  <c r="AT316" i="5"/>
  <c r="AU315" i="5"/>
  <c r="AT315" i="5"/>
  <c r="AU314" i="5"/>
  <c r="AT314" i="5"/>
  <c r="AU313" i="5"/>
  <c r="AT313" i="5"/>
  <c r="AU312" i="5"/>
  <c r="AT312" i="5"/>
  <c r="AU311" i="5"/>
  <c r="AT311" i="5"/>
  <c r="AU310" i="5"/>
  <c r="AT310" i="5"/>
  <c r="AU309" i="5"/>
  <c r="AT309" i="5"/>
  <c r="AU308" i="5"/>
  <c r="AT308" i="5"/>
  <c r="AU298" i="5"/>
  <c r="AT298" i="5"/>
  <c r="AU297" i="5"/>
  <c r="AT297" i="5"/>
  <c r="AU296" i="5"/>
  <c r="AT296" i="5"/>
  <c r="AU295" i="5"/>
  <c r="AT295" i="5"/>
  <c r="AU294" i="5"/>
  <c r="AT294" i="5"/>
  <c r="AU293" i="5"/>
  <c r="AT293" i="5"/>
  <c r="AU292" i="5"/>
  <c r="AT292" i="5"/>
  <c r="AU291" i="5"/>
  <c r="AT291" i="5"/>
  <c r="AU290" i="5"/>
  <c r="AT290" i="5"/>
  <c r="AU289" i="5"/>
  <c r="AT289" i="5"/>
  <c r="AU288" i="5"/>
  <c r="AT288" i="5"/>
  <c r="AU287" i="5"/>
  <c r="AT287" i="5"/>
  <c r="AU279" i="5"/>
  <c r="AT279" i="5"/>
  <c r="AU278" i="5"/>
  <c r="AT278" i="5"/>
  <c r="AU277" i="5"/>
  <c r="AT277" i="5"/>
  <c r="AU276" i="5"/>
  <c r="AT276" i="5"/>
  <c r="AU247" i="5"/>
  <c r="AT247" i="5"/>
  <c r="AU246" i="5"/>
  <c r="AT246" i="5"/>
  <c r="AU245" i="5"/>
  <c r="AT245" i="5"/>
  <c r="AU244" i="5"/>
  <c r="AT244" i="5"/>
  <c r="AU243" i="5"/>
  <c r="AT243" i="5"/>
  <c r="AU242" i="5"/>
  <c r="AT242" i="5"/>
  <c r="AU241" i="5"/>
  <c r="AT241" i="5"/>
  <c r="AU228" i="5"/>
  <c r="AT228" i="5"/>
  <c r="AU227" i="5"/>
  <c r="AT227" i="5"/>
  <c r="AU226" i="5"/>
  <c r="AT226" i="5"/>
  <c r="AU225" i="5"/>
  <c r="AT225" i="5"/>
  <c r="AU224" i="5"/>
  <c r="AT224" i="5"/>
  <c r="AU223" i="5"/>
  <c r="AT223" i="5"/>
  <c r="AU222" i="5"/>
  <c r="AT222" i="5"/>
  <c r="AU221" i="5"/>
  <c r="AT221" i="5"/>
  <c r="AU220" i="5"/>
  <c r="AT220" i="5"/>
  <c r="AU219" i="5"/>
  <c r="AT219" i="5"/>
  <c r="AU218" i="5"/>
  <c r="AT218" i="5"/>
  <c r="AU217" i="5"/>
  <c r="AT217" i="5"/>
  <c r="AU216" i="5"/>
  <c r="AT216" i="5"/>
  <c r="AU215" i="5"/>
  <c r="AT215" i="5"/>
  <c r="AU214" i="5"/>
  <c r="AT214" i="5"/>
  <c r="AU213" i="5"/>
  <c r="AT213" i="5"/>
  <c r="AU212" i="5"/>
  <c r="AT212" i="5"/>
  <c r="AU211" i="5"/>
  <c r="AT211" i="5"/>
  <c r="AU210" i="5"/>
  <c r="AT210" i="5"/>
  <c r="AU209" i="5"/>
  <c r="AT209" i="5"/>
  <c r="AU199" i="5"/>
  <c r="AT199" i="5"/>
  <c r="AU198" i="5"/>
  <c r="AT198" i="5"/>
  <c r="AU197" i="5"/>
  <c r="AT197" i="5"/>
  <c r="AU196" i="5"/>
  <c r="AT196" i="5"/>
  <c r="AU195" i="5"/>
  <c r="AT195" i="5"/>
  <c r="AU194" i="5"/>
  <c r="AT194" i="5"/>
  <c r="AU193" i="5"/>
  <c r="AT193" i="5"/>
  <c r="AU192" i="5"/>
  <c r="AT192" i="5"/>
  <c r="AU191" i="5"/>
  <c r="AT191" i="5"/>
  <c r="AU190" i="5"/>
  <c r="AT190" i="5"/>
  <c r="AU189" i="5"/>
  <c r="AT189" i="5"/>
  <c r="AU188" i="5"/>
  <c r="AT188" i="5"/>
  <c r="AU180" i="5"/>
  <c r="AT180" i="5"/>
  <c r="AU179" i="5"/>
  <c r="AT179" i="5"/>
  <c r="AU178" i="5"/>
  <c r="AT178" i="5"/>
  <c r="AU177" i="5"/>
  <c r="AT177" i="5"/>
  <c r="AU176" i="5"/>
  <c r="AT176" i="5"/>
  <c r="AU175" i="5"/>
  <c r="AT175" i="5"/>
  <c r="AU174" i="5"/>
  <c r="AT174" i="5"/>
  <c r="AU173" i="5"/>
  <c r="AT173" i="5"/>
  <c r="AU172" i="5"/>
  <c r="AT172" i="5"/>
  <c r="AU171" i="5"/>
  <c r="AT171" i="5"/>
  <c r="AU168" i="5"/>
  <c r="AT168" i="5"/>
  <c r="AU166" i="5"/>
  <c r="AT166" i="5"/>
  <c r="AU165" i="5"/>
  <c r="AT165" i="5"/>
  <c r="AU148" i="5"/>
  <c r="AT148" i="5"/>
  <c r="AU147" i="5"/>
  <c r="AT147" i="5"/>
  <c r="AU146" i="5"/>
  <c r="AT146" i="5"/>
  <c r="AU145" i="5"/>
  <c r="AT145" i="5"/>
  <c r="AU144" i="5"/>
  <c r="AT144" i="5"/>
  <c r="AU143" i="5"/>
  <c r="AT143" i="5"/>
  <c r="AU142" i="5"/>
  <c r="AT142" i="5"/>
  <c r="AU141" i="5"/>
  <c r="AT141" i="5"/>
  <c r="AU140" i="5"/>
  <c r="AT140" i="5"/>
  <c r="AU129" i="5"/>
  <c r="AT129" i="5"/>
  <c r="AU128" i="5"/>
  <c r="AT128" i="5"/>
  <c r="AU127" i="5"/>
  <c r="AT127" i="5"/>
  <c r="AU126" i="5"/>
  <c r="AT126" i="5"/>
  <c r="AU125" i="5"/>
  <c r="AT125" i="5"/>
  <c r="AU124" i="5"/>
  <c r="AT124" i="5"/>
  <c r="AU123" i="5"/>
  <c r="AT123" i="5"/>
  <c r="AU122" i="5"/>
  <c r="AT122" i="5"/>
  <c r="AU121" i="5"/>
  <c r="AT121" i="5"/>
  <c r="AU120" i="5"/>
  <c r="AT120" i="5"/>
  <c r="AU119" i="5"/>
  <c r="AT119" i="5"/>
  <c r="AU118" i="5"/>
  <c r="AT118" i="5"/>
  <c r="AU117" i="5"/>
  <c r="AT117" i="5"/>
  <c r="AU116" i="5"/>
  <c r="AT116" i="5"/>
  <c r="AU115" i="5"/>
  <c r="AT115" i="5"/>
  <c r="AU114" i="5"/>
  <c r="AT114" i="5"/>
  <c r="AU113" i="5"/>
  <c r="AT113" i="5"/>
  <c r="AU112" i="5"/>
  <c r="AT112" i="5"/>
  <c r="AU111" i="5"/>
  <c r="AT111" i="5"/>
  <c r="AU110" i="5"/>
  <c r="AT110" i="5"/>
  <c r="AU100" i="5"/>
  <c r="AT100" i="5"/>
  <c r="AU99" i="5"/>
  <c r="AT99" i="5"/>
  <c r="AU98" i="5"/>
  <c r="AT98" i="5"/>
  <c r="AU97" i="5"/>
  <c r="AT97" i="5"/>
  <c r="AU96" i="5"/>
  <c r="AT96" i="5"/>
  <c r="AU95" i="5"/>
  <c r="AT95" i="5"/>
  <c r="AU94" i="5"/>
  <c r="AT94" i="5"/>
  <c r="AU93" i="5"/>
  <c r="AT93" i="5"/>
  <c r="AU92" i="5"/>
  <c r="AT92" i="5"/>
  <c r="AU91" i="5"/>
  <c r="AT91" i="5"/>
  <c r="AU90" i="5"/>
  <c r="AT90" i="5"/>
  <c r="AU89" i="5"/>
  <c r="AT89" i="5"/>
  <c r="AU81" i="5"/>
  <c r="AT81" i="5"/>
  <c r="AU80" i="5"/>
  <c r="AT80" i="5"/>
  <c r="AU79" i="5"/>
  <c r="AT79" i="5"/>
  <c r="AU78" i="5"/>
  <c r="AT78" i="5"/>
  <c r="AU77" i="5"/>
  <c r="AT77" i="5"/>
  <c r="AU76" i="5"/>
  <c r="AT76" i="5"/>
  <c r="AU75" i="5"/>
  <c r="AT75" i="5"/>
  <c r="AU72" i="5"/>
  <c r="AT72" i="5"/>
  <c r="AU49" i="5"/>
  <c r="AT49" i="5"/>
  <c r="AU48" i="5"/>
  <c r="AT48" i="5"/>
  <c r="AU47" i="5"/>
  <c r="AT47" i="5"/>
  <c r="AU46" i="5"/>
  <c r="AT46" i="5"/>
  <c r="AU45" i="5"/>
  <c r="AT45" i="5"/>
  <c r="AU44" i="5"/>
  <c r="AT44" i="5"/>
  <c r="AU43" i="5"/>
  <c r="AT43" i="5"/>
  <c r="AU30" i="5"/>
  <c r="AT30" i="5"/>
  <c r="AU29" i="5"/>
  <c r="AT29" i="5"/>
  <c r="AU28" i="5"/>
  <c r="AT28" i="5"/>
  <c r="AU27" i="5"/>
  <c r="AT27" i="5"/>
  <c r="AU26" i="5"/>
  <c r="AT26" i="5"/>
  <c r="AU25" i="5"/>
  <c r="AT25" i="5"/>
  <c r="AU24" i="5"/>
  <c r="AT24" i="5"/>
  <c r="AU23" i="5"/>
  <c r="AT23" i="5"/>
  <c r="AU22" i="5"/>
  <c r="AT22" i="5"/>
  <c r="AU21" i="5"/>
  <c r="AT21" i="5"/>
  <c r="AU20" i="5"/>
  <c r="AT20" i="5"/>
  <c r="AU19" i="5"/>
  <c r="AT19" i="5"/>
  <c r="AU18" i="5"/>
  <c r="AT18" i="5"/>
  <c r="AU17" i="5"/>
  <c r="AT17" i="5"/>
  <c r="AU16" i="5"/>
  <c r="AT16" i="5"/>
  <c r="AU15" i="5"/>
  <c r="AT15" i="5"/>
  <c r="AU14" i="5"/>
  <c r="AT14" i="5"/>
  <c r="AU13" i="5"/>
  <c r="AT13" i="5"/>
  <c r="AU12" i="5"/>
  <c r="AT12" i="5"/>
  <c r="AU496" i="2"/>
  <c r="AT496" i="2"/>
  <c r="AU495" i="2"/>
  <c r="AT495" i="2"/>
  <c r="AU494" i="2"/>
  <c r="AT494" i="2"/>
  <c r="AU493" i="2"/>
  <c r="AT493" i="2"/>
  <c r="AU492" i="2"/>
  <c r="AT492" i="2"/>
  <c r="AU491" i="2"/>
  <c r="AT491" i="2"/>
  <c r="AU490" i="2"/>
  <c r="AT490" i="2"/>
  <c r="AU489" i="2"/>
  <c r="AT489" i="2"/>
  <c r="AU488" i="2"/>
  <c r="AT488" i="2"/>
  <c r="AU487" i="2"/>
  <c r="AT487" i="2"/>
  <c r="AU486" i="2"/>
  <c r="AT486" i="2"/>
  <c r="AU477" i="2"/>
  <c r="AT477" i="2"/>
  <c r="AU476" i="2"/>
  <c r="AT476" i="2"/>
  <c r="AU475" i="2"/>
  <c r="AT475" i="2"/>
  <c r="AU472" i="2"/>
  <c r="AT472" i="2"/>
  <c r="AU467" i="2"/>
  <c r="AT467" i="2"/>
  <c r="AU445" i="2"/>
  <c r="AT445" i="2"/>
  <c r="AU444" i="2"/>
  <c r="AT444" i="2"/>
  <c r="AU443" i="2"/>
  <c r="AT443" i="2"/>
  <c r="AU442" i="2"/>
  <c r="AT442" i="2"/>
  <c r="AU441" i="2"/>
  <c r="AT441" i="2"/>
  <c r="AU440" i="2"/>
  <c r="AT440" i="2"/>
  <c r="AU439" i="2"/>
  <c r="AT439" i="2"/>
  <c r="AU438" i="2"/>
  <c r="AT438" i="2"/>
  <c r="AU437" i="2"/>
  <c r="AT437" i="2"/>
  <c r="AU436" i="2"/>
  <c r="AT436" i="2"/>
  <c r="AU426" i="2"/>
  <c r="AT426" i="2"/>
  <c r="AU425" i="2"/>
  <c r="AT425" i="2"/>
  <c r="AU424" i="2"/>
  <c r="AT424" i="2"/>
  <c r="AU423" i="2"/>
  <c r="AT423" i="2"/>
  <c r="AU422" i="2"/>
  <c r="AT422" i="2"/>
  <c r="AU421" i="2"/>
  <c r="AT421" i="2"/>
  <c r="AU420" i="2"/>
  <c r="AT420" i="2"/>
  <c r="AU419" i="2"/>
  <c r="AT419" i="2"/>
  <c r="AU418" i="2"/>
  <c r="AT418" i="2"/>
  <c r="AU417" i="2"/>
  <c r="AT417" i="2"/>
  <c r="AU416" i="2"/>
  <c r="AT416" i="2"/>
  <c r="AU415" i="2"/>
  <c r="AT415" i="2"/>
  <c r="AU414" i="2"/>
  <c r="AT414" i="2"/>
  <c r="AU413" i="2"/>
  <c r="AT413" i="2"/>
  <c r="AU412" i="2"/>
  <c r="AT412" i="2"/>
  <c r="AU411" i="2"/>
  <c r="AT411" i="2"/>
  <c r="AU410" i="2"/>
  <c r="AT410" i="2"/>
  <c r="AU409" i="2"/>
  <c r="AT409" i="2"/>
  <c r="AU408" i="2"/>
  <c r="AT408" i="2"/>
  <c r="AU407" i="2"/>
  <c r="AT407" i="2"/>
  <c r="AU397" i="2"/>
  <c r="AT397" i="2"/>
  <c r="AU396" i="2"/>
  <c r="AT396" i="2"/>
  <c r="AU395" i="2"/>
  <c r="AT395" i="2"/>
  <c r="AU394" i="2"/>
  <c r="AT394" i="2"/>
  <c r="AU393" i="2"/>
  <c r="AT393" i="2"/>
  <c r="AU392" i="2"/>
  <c r="AT392" i="2"/>
  <c r="AU391" i="2"/>
  <c r="AT391" i="2"/>
  <c r="AU390" i="2"/>
  <c r="AT390" i="2"/>
  <c r="AU389" i="2"/>
  <c r="AT389" i="2"/>
  <c r="AU388" i="2"/>
  <c r="AT388" i="2"/>
  <c r="AU387" i="2"/>
  <c r="AT387" i="2"/>
  <c r="AU386" i="2"/>
  <c r="AT386" i="2"/>
  <c r="AU378" i="2"/>
  <c r="AT378" i="2"/>
  <c r="AU377" i="2"/>
  <c r="AT377" i="2"/>
  <c r="AU376" i="2"/>
  <c r="AT376" i="2"/>
  <c r="AU375" i="2"/>
  <c r="AT375" i="2"/>
  <c r="AU374" i="2"/>
  <c r="AT374" i="2"/>
  <c r="AU373" i="2"/>
  <c r="AT373" i="2"/>
  <c r="AU372" i="2"/>
  <c r="AT372" i="2"/>
  <c r="AU369" i="2"/>
  <c r="AT369" i="2"/>
  <c r="AU367" i="2"/>
  <c r="AT367" i="2"/>
  <c r="AU346" i="2"/>
  <c r="AT346" i="2"/>
  <c r="AU345" i="2"/>
  <c r="AT345" i="2"/>
  <c r="AU344" i="2"/>
  <c r="AT344" i="2"/>
  <c r="AU343" i="2"/>
  <c r="AT343" i="2"/>
  <c r="AU342" i="2"/>
  <c r="AT342" i="2"/>
  <c r="AU327" i="2"/>
  <c r="AT327" i="2"/>
  <c r="AU326" i="2"/>
  <c r="AT326" i="2"/>
  <c r="AU325" i="2"/>
  <c r="AT325" i="2"/>
  <c r="AU324" i="2"/>
  <c r="AT324" i="2"/>
  <c r="AU323" i="2"/>
  <c r="AT323" i="2"/>
  <c r="AU322" i="2"/>
  <c r="AT322" i="2"/>
  <c r="AU321" i="2"/>
  <c r="AT321" i="2"/>
  <c r="AU320" i="2"/>
  <c r="AT320" i="2"/>
  <c r="AU319" i="2"/>
  <c r="AT319" i="2"/>
  <c r="AU318" i="2"/>
  <c r="AT318" i="2"/>
  <c r="AU317" i="2"/>
  <c r="AT317" i="2"/>
  <c r="AU316" i="2"/>
  <c r="AT316" i="2"/>
  <c r="AU315" i="2"/>
  <c r="AT315" i="2"/>
  <c r="AU314" i="2"/>
  <c r="AT314" i="2"/>
  <c r="AU313" i="2"/>
  <c r="AT313" i="2"/>
  <c r="AU312" i="2"/>
  <c r="AT312" i="2"/>
  <c r="AU311" i="2"/>
  <c r="AT311" i="2"/>
  <c r="AU310" i="2"/>
  <c r="AT310" i="2"/>
  <c r="AU309" i="2"/>
  <c r="AT309" i="2"/>
  <c r="AU308" i="2"/>
  <c r="AT308" i="2"/>
  <c r="AU298" i="2"/>
  <c r="AT298" i="2"/>
  <c r="AU297" i="2"/>
  <c r="AT297" i="2"/>
  <c r="AU296" i="2"/>
  <c r="AT296" i="2"/>
  <c r="AU295" i="2"/>
  <c r="AT295" i="2"/>
  <c r="AU294" i="2"/>
  <c r="AT294" i="2"/>
  <c r="AU293" i="2"/>
  <c r="AT293" i="2"/>
  <c r="AU292" i="2"/>
  <c r="AT292" i="2"/>
  <c r="AU291" i="2"/>
  <c r="AT291" i="2"/>
  <c r="AU290" i="2"/>
  <c r="AT290" i="2"/>
  <c r="AU289" i="2"/>
  <c r="AT289" i="2"/>
  <c r="AU288" i="2"/>
  <c r="AT288" i="2"/>
  <c r="AU287" i="2"/>
  <c r="AT287" i="2"/>
  <c r="AU279" i="2"/>
  <c r="AT279" i="2"/>
  <c r="AU278" i="2"/>
  <c r="AT278" i="2"/>
  <c r="AU277" i="2"/>
  <c r="AT277" i="2"/>
  <c r="AU276" i="2"/>
  <c r="AT276" i="2"/>
  <c r="AU275" i="2"/>
  <c r="AT275" i="2"/>
  <c r="AU274" i="2"/>
  <c r="AT274" i="2"/>
  <c r="AU273" i="2"/>
  <c r="AT273" i="2"/>
  <c r="AU272" i="2"/>
  <c r="AT272" i="2"/>
  <c r="AU271" i="2"/>
  <c r="AT271" i="2"/>
  <c r="AU270" i="2"/>
  <c r="AT270" i="2"/>
  <c r="AU269" i="2"/>
  <c r="AT269" i="2"/>
  <c r="AU268" i="2"/>
  <c r="AT268" i="2"/>
  <c r="AU247" i="2"/>
  <c r="AT247" i="2"/>
  <c r="AU246" i="2"/>
  <c r="AT246" i="2"/>
  <c r="AU245" i="2"/>
  <c r="AT245" i="2"/>
  <c r="AU244" i="2"/>
  <c r="AT244" i="2"/>
  <c r="AU243" i="2"/>
  <c r="AT243" i="2"/>
  <c r="AU242" i="2"/>
  <c r="AT242" i="2"/>
  <c r="AU241" i="2"/>
  <c r="AT241" i="2"/>
  <c r="AU240" i="2"/>
  <c r="AT240" i="2"/>
  <c r="AU239" i="2"/>
  <c r="AT239" i="2"/>
  <c r="AU238" i="2"/>
  <c r="AT238" i="2"/>
  <c r="AU228" i="2"/>
  <c r="AT228" i="2"/>
  <c r="AU227" i="2"/>
  <c r="AT227" i="2"/>
  <c r="AU226" i="2"/>
  <c r="AT226" i="2"/>
  <c r="AU225" i="2"/>
  <c r="AT225" i="2"/>
  <c r="AU224" i="2"/>
  <c r="AT224" i="2"/>
  <c r="AU222" i="2"/>
  <c r="AT222" i="2"/>
  <c r="AU221" i="2"/>
  <c r="AT221" i="2"/>
  <c r="AU220" i="2"/>
  <c r="AT220" i="2"/>
  <c r="AU219" i="2"/>
  <c r="AT219" i="2"/>
  <c r="AU218" i="2"/>
  <c r="AT218" i="2"/>
  <c r="AU217" i="2"/>
  <c r="AT217" i="2"/>
  <c r="AU216" i="2"/>
  <c r="AT216" i="2"/>
  <c r="AU215" i="2"/>
  <c r="AT215" i="2"/>
  <c r="AU214" i="2"/>
  <c r="AT214" i="2"/>
  <c r="AU213" i="2"/>
  <c r="AT213" i="2"/>
  <c r="AU212" i="2"/>
  <c r="AT212" i="2"/>
  <c r="AU211" i="2"/>
  <c r="AT211" i="2"/>
  <c r="AU210" i="2"/>
  <c r="AT210" i="2"/>
  <c r="AU209" i="2"/>
  <c r="AT209" i="2"/>
  <c r="AU199" i="2"/>
  <c r="AT199" i="2"/>
  <c r="AU198" i="2"/>
  <c r="AT198" i="2"/>
  <c r="AU197" i="2"/>
  <c r="AT197" i="2"/>
  <c r="AU196" i="2"/>
  <c r="AT196" i="2"/>
  <c r="AU195" i="2"/>
  <c r="AT195" i="2"/>
  <c r="AU194" i="2"/>
  <c r="AT194" i="2"/>
  <c r="AU193" i="2"/>
  <c r="AT193" i="2"/>
  <c r="AU192" i="2"/>
  <c r="AT192" i="2"/>
  <c r="AU191" i="2"/>
  <c r="AT191" i="2"/>
  <c r="AU190" i="2"/>
  <c r="AT190" i="2"/>
  <c r="AU189" i="2"/>
  <c r="AT189" i="2"/>
  <c r="AU188" i="2"/>
  <c r="AT188" i="2"/>
  <c r="AU180" i="2"/>
  <c r="AT180" i="2"/>
  <c r="AU179" i="2"/>
  <c r="AT179" i="2"/>
  <c r="AU178" i="2"/>
  <c r="AT178" i="2"/>
  <c r="AU177" i="2"/>
  <c r="AT177" i="2"/>
  <c r="AU176" i="2"/>
  <c r="AT176" i="2"/>
  <c r="AU173" i="2"/>
  <c r="AT173" i="2"/>
  <c r="AU163" i="2"/>
  <c r="AT163" i="2"/>
  <c r="AU162" i="2"/>
  <c r="AT162" i="2"/>
  <c r="AU148" i="2"/>
  <c r="AT148" i="2"/>
  <c r="AU147" i="2"/>
  <c r="AT147" i="2"/>
  <c r="AU146" i="2"/>
  <c r="AT146" i="2"/>
  <c r="AU145" i="2"/>
  <c r="AT145" i="2"/>
  <c r="AU144" i="2"/>
  <c r="AT144" i="2"/>
  <c r="AU143" i="2"/>
  <c r="AT143" i="2"/>
  <c r="AU142" i="2"/>
  <c r="AT142" i="2"/>
  <c r="AU141" i="2"/>
  <c r="AT141" i="2"/>
  <c r="AU129" i="2"/>
  <c r="AT129" i="2"/>
  <c r="AU128" i="2"/>
  <c r="AT128" i="2"/>
  <c r="AU127" i="2"/>
  <c r="AT127" i="2"/>
  <c r="AU126" i="2"/>
  <c r="AT126" i="2"/>
  <c r="AU125" i="2"/>
  <c r="AT125" i="2"/>
  <c r="AU124" i="2"/>
  <c r="AT124" i="2"/>
  <c r="AU123" i="2"/>
  <c r="AT123" i="2"/>
  <c r="AU122" i="2"/>
  <c r="AT122" i="2"/>
  <c r="AU121" i="2"/>
  <c r="AT121" i="2"/>
  <c r="AU120" i="2"/>
  <c r="AT120" i="2"/>
  <c r="AU119" i="2"/>
  <c r="AT119" i="2"/>
  <c r="AU118" i="2"/>
  <c r="AT118" i="2"/>
  <c r="AU117" i="2"/>
  <c r="AT117" i="2"/>
  <c r="AU116" i="2"/>
  <c r="AT116" i="2"/>
  <c r="AU115" i="2"/>
  <c r="AT115" i="2"/>
  <c r="AU114" i="2"/>
  <c r="AT114" i="2"/>
  <c r="AU113" i="2"/>
  <c r="AT113" i="2"/>
  <c r="AU112" i="2"/>
  <c r="AT112" i="2"/>
  <c r="AU111" i="2"/>
  <c r="AT111" i="2"/>
  <c r="AU110" i="2"/>
  <c r="AT110" i="2"/>
  <c r="AU100" i="2"/>
  <c r="AT100" i="2"/>
  <c r="AU99" i="2"/>
  <c r="AT99" i="2"/>
  <c r="AU98" i="2"/>
  <c r="AT98" i="2"/>
  <c r="AU97" i="2"/>
  <c r="AT97" i="2"/>
  <c r="AU96" i="2"/>
  <c r="AT96" i="2"/>
  <c r="AU95" i="2"/>
  <c r="AT95" i="2"/>
  <c r="AU94" i="2"/>
  <c r="AT94" i="2"/>
  <c r="AU93" i="2"/>
  <c r="AT93" i="2"/>
  <c r="AU92" i="2"/>
  <c r="AT92" i="2"/>
  <c r="AU91" i="2"/>
  <c r="AT91" i="2"/>
  <c r="AU90" i="2"/>
  <c r="AT90" i="2"/>
  <c r="AU89" i="2"/>
  <c r="AT89" i="2"/>
  <c r="AU81" i="2"/>
  <c r="AT81" i="2"/>
  <c r="AU80" i="2"/>
  <c r="AT80" i="2"/>
  <c r="AU79" i="2"/>
  <c r="AT79" i="2"/>
  <c r="AU78" i="2"/>
  <c r="AT78" i="2"/>
  <c r="AU75" i="2"/>
  <c r="AT75" i="2"/>
  <c r="AU70" i="2"/>
  <c r="AT70" i="2"/>
  <c r="AU49" i="2"/>
  <c r="AT49" i="2"/>
  <c r="AU48" i="2"/>
  <c r="AT48" i="2"/>
  <c r="AU47" i="2"/>
  <c r="AT47" i="2"/>
  <c r="AU46" i="2"/>
  <c r="AT46" i="2"/>
  <c r="AU45" i="2"/>
  <c r="AT45" i="2"/>
  <c r="AU44" i="2"/>
  <c r="AT44" i="2"/>
  <c r="AU42" i="2"/>
  <c r="AT42" i="2"/>
  <c r="AU30" i="2"/>
  <c r="AT30" i="2"/>
  <c r="AU29" i="2"/>
  <c r="AT29" i="2"/>
  <c r="AU28" i="2"/>
  <c r="AT28" i="2"/>
  <c r="AU27" i="2"/>
  <c r="AT27" i="2"/>
  <c r="AU26" i="2"/>
  <c r="AT26" i="2"/>
  <c r="AU25" i="2"/>
  <c r="AT25" i="2"/>
  <c r="AU24" i="2"/>
  <c r="AT24" i="2"/>
  <c r="AU23" i="2"/>
  <c r="AT23" i="2"/>
  <c r="AU22" i="2"/>
  <c r="AT22" i="2"/>
  <c r="AU21" i="2"/>
  <c r="AT21" i="2"/>
  <c r="AU20" i="2"/>
  <c r="AT20" i="2"/>
  <c r="AU19" i="2"/>
  <c r="AT19" i="2"/>
  <c r="AU18" i="2"/>
  <c r="AT18" i="2"/>
  <c r="AU102" i="5" l="1"/>
  <c r="AU537" i="5" s="1"/>
  <c r="AU131" i="5"/>
  <c r="AU508" i="5" s="1"/>
  <c r="AU498" i="5"/>
  <c r="AU541" i="5" s="1"/>
  <c r="AT102" i="5"/>
  <c r="AT537" i="5" s="1"/>
  <c r="AT131" i="5"/>
  <c r="AT508" i="5" s="1"/>
  <c r="AU102" i="2"/>
  <c r="AU537" i="2" s="1"/>
  <c r="AT498" i="5"/>
  <c r="AT541" i="5" s="1"/>
  <c r="AU329" i="2"/>
  <c r="AU510" i="2" s="1"/>
  <c r="AU201" i="2"/>
  <c r="AU538" i="2" s="1"/>
  <c r="AT201" i="5"/>
  <c r="AT538" i="5" s="1"/>
  <c r="AT230" i="5"/>
  <c r="AT509" i="5" s="1"/>
  <c r="AU300" i="2"/>
  <c r="AU539" i="2" s="1"/>
  <c r="AU201" i="5"/>
  <c r="AU538" i="5" s="1"/>
  <c r="AU230" i="5"/>
  <c r="AT300" i="5"/>
  <c r="AT539" i="5" s="1"/>
  <c r="AT329" i="5"/>
  <c r="AT510" i="5" s="1"/>
  <c r="AU300" i="5"/>
  <c r="AU539" i="5" s="1"/>
  <c r="AU329" i="5"/>
  <c r="AU510" i="5" s="1"/>
  <c r="AT102" i="2"/>
  <c r="AT537" i="2" s="1"/>
  <c r="AT131" i="2"/>
  <c r="AT508" i="2" s="1"/>
  <c r="AT201" i="2"/>
  <c r="AT538" i="2" s="1"/>
  <c r="AT300" i="2"/>
  <c r="AT539" i="2" s="1"/>
  <c r="AT329" i="2"/>
  <c r="AT510" i="2" s="1"/>
  <c r="AT399" i="2"/>
  <c r="AT540" i="2" s="1"/>
  <c r="AT428" i="2"/>
  <c r="AT511" i="2" s="1"/>
  <c r="AT399" i="5"/>
  <c r="AT540" i="5" s="1"/>
  <c r="AT428" i="5"/>
  <c r="AT511" i="5" s="1"/>
  <c r="AU131" i="2"/>
  <c r="AU508" i="2" s="1"/>
  <c r="AU399" i="2"/>
  <c r="AU540" i="2" s="1"/>
  <c r="AU428" i="2"/>
  <c r="AU511" i="2" s="1"/>
  <c r="AU399" i="5"/>
  <c r="AU540" i="5" s="1"/>
  <c r="AU428" i="5"/>
  <c r="AU511" i="5" s="1"/>
  <c r="AU542" i="5" l="1"/>
  <c r="AT542" i="5"/>
  <c r="AU509" i="5"/>
  <c r="F451" i="36" l="1"/>
  <c r="F450" i="36"/>
  <c r="F449" i="36"/>
  <c r="F448" i="36"/>
  <c r="F439" i="36"/>
  <c r="F438" i="36"/>
  <c r="F437" i="36"/>
  <c r="F436" i="36"/>
  <c r="F435" i="36"/>
  <c r="F433" i="36"/>
  <c r="F432" i="36"/>
  <c r="F431" i="36"/>
  <c r="F430" i="36"/>
  <c r="F429" i="36"/>
  <c r="F407" i="36"/>
  <c r="F406" i="36"/>
  <c r="F405" i="36"/>
  <c r="F404" i="36"/>
  <c r="F395" i="36"/>
  <c r="F394" i="36"/>
  <c r="F393" i="36"/>
  <c r="F392" i="36"/>
  <c r="F391" i="36"/>
  <c r="F389" i="36"/>
  <c r="F388" i="36"/>
  <c r="F387" i="36"/>
  <c r="F386" i="36"/>
  <c r="F385" i="36"/>
  <c r="F363" i="36"/>
  <c r="F362" i="36"/>
  <c r="F361" i="36"/>
  <c r="F360" i="36"/>
  <c r="F359" i="36"/>
  <c r="F351" i="36"/>
  <c r="F350" i="36"/>
  <c r="F349" i="36"/>
  <c r="F348" i="36"/>
  <c r="F347" i="36"/>
  <c r="F345" i="36"/>
  <c r="F344" i="36"/>
  <c r="F343" i="36"/>
  <c r="F342" i="36"/>
  <c r="F341" i="36"/>
  <c r="T215"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S451" i="35"/>
  <c r="R451" i="35"/>
  <c r="Q451" i="35"/>
  <c r="P451" i="35"/>
  <c r="O451" i="35"/>
  <c r="N451" i="35"/>
  <c r="M451" i="35"/>
  <c r="L451" i="35"/>
  <c r="K451" i="35"/>
  <c r="J451" i="35"/>
  <c r="I451" i="35"/>
  <c r="H451" i="35"/>
  <c r="G451" i="35"/>
  <c r="F451" i="35"/>
  <c r="E451" i="35"/>
  <c r="D451" i="35"/>
  <c r="S450" i="35"/>
  <c r="R450" i="35"/>
  <c r="Q450" i="35"/>
  <c r="P450" i="35"/>
  <c r="O450" i="35"/>
  <c r="N450" i="35"/>
  <c r="M450" i="35"/>
  <c r="L450" i="35"/>
  <c r="K450" i="35"/>
  <c r="J450" i="35"/>
  <c r="I450" i="35"/>
  <c r="H450" i="35"/>
  <c r="G450" i="35"/>
  <c r="F450" i="35"/>
  <c r="E450" i="35"/>
  <c r="D450" i="35"/>
  <c r="S449" i="35"/>
  <c r="R449" i="35"/>
  <c r="Q449" i="35"/>
  <c r="P449" i="35"/>
  <c r="O449" i="35"/>
  <c r="N449" i="35"/>
  <c r="M449" i="35"/>
  <c r="L449" i="35"/>
  <c r="K449" i="35"/>
  <c r="J449" i="35"/>
  <c r="I449" i="35"/>
  <c r="H449" i="35"/>
  <c r="G449" i="35"/>
  <c r="F449" i="35"/>
  <c r="E449" i="35"/>
  <c r="D449" i="35"/>
  <c r="S448" i="35"/>
  <c r="R448" i="35"/>
  <c r="Q448" i="35"/>
  <c r="P448" i="35"/>
  <c r="O448" i="35"/>
  <c r="N448" i="35"/>
  <c r="M448" i="35"/>
  <c r="L448" i="35"/>
  <c r="K448" i="35"/>
  <c r="J448" i="35"/>
  <c r="I448" i="35"/>
  <c r="H448" i="35"/>
  <c r="G448" i="35"/>
  <c r="F448" i="35"/>
  <c r="E448" i="35"/>
  <c r="D448" i="35"/>
  <c r="S447" i="35"/>
  <c r="R447" i="35"/>
  <c r="Q447" i="35"/>
  <c r="P447" i="35"/>
  <c r="O447" i="35"/>
  <c r="N447" i="35"/>
  <c r="M447" i="35"/>
  <c r="L447" i="35"/>
  <c r="J447" i="35"/>
  <c r="I447" i="35"/>
  <c r="H447" i="35"/>
  <c r="G447" i="35"/>
  <c r="F447" i="35"/>
  <c r="E447" i="35"/>
  <c r="S445" i="35"/>
  <c r="R445" i="35"/>
  <c r="Q445" i="35"/>
  <c r="O445" i="35"/>
  <c r="K445" i="35"/>
  <c r="I445" i="35"/>
  <c r="H445" i="35"/>
  <c r="E445" i="35"/>
  <c r="S444" i="35"/>
  <c r="R444" i="35"/>
  <c r="Q444" i="35"/>
  <c r="O444" i="35"/>
  <c r="K444" i="35"/>
  <c r="I444" i="35"/>
  <c r="H444" i="35"/>
  <c r="E444" i="35"/>
  <c r="S443" i="35"/>
  <c r="R443" i="35"/>
  <c r="Q443" i="35"/>
  <c r="O443" i="35"/>
  <c r="I443" i="35"/>
  <c r="G443" i="35"/>
  <c r="E443" i="35"/>
  <c r="S442" i="35"/>
  <c r="R442" i="35"/>
  <c r="Q442" i="35"/>
  <c r="O442" i="35"/>
  <c r="I442" i="35"/>
  <c r="H442" i="35"/>
  <c r="S441" i="35"/>
  <c r="R441" i="35"/>
  <c r="Q441" i="35"/>
  <c r="O441" i="35"/>
  <c r="I441" i="35"/>
  <c r="H441" i="35"/>
  <c r="E441" i="35"/>
  <c r="S439" i="35"/>
  <c r="R439" i="35"/>
  <c r="Q439" i="35"/>
  <c r="O439" i="35"/>
  <c r="N439" i="35"/>
  <c r="M439" i="35"/>
  <c r="L439" i="35"/>
  <c r="J439" i="35"/>
  <c r="I439" i="35"/>
  <c r="G439" i="35"/>
  <c r="F439" i="35"/>
  <c r="E439" i="35"/>
  <c r="S438" i="35"/>
  <c r="R438" i="35"/>
  <c r="Q438" i="35"/>
  <c r="O438" i="35"/>
  <c r="N438" i="35"/>
  <c r="M438" i="35"/>
  <c r="L438" i="35"/>
  <c r="J438" i="35"/>
  <c r="H438" i="35"/>
  <c r="G438" i="35"/>
  <c r="F438" i="35"/>
  <c r="D438" i="35"/>
  <c r="S437" i="35"/>
  <c r="R437" i="35"/>
  <c r="Q437" i="35"/>
  <c r="O437" i="35"/>
  <c r="N437" i="35"/>
  <c r="M437" i="35"/>
  <c r="L437" i="35"/>
  <c r="J437" i="35"/>
  <c r="I437" i="35"/>
  <c r="H437" i="35"/>
  <c r="G437" i="35"/>
  <c r="F437" i="35"/>
  <c r="E437" i="35"/>
  <c r="D437" i="35"/>
  <c r="S436" i="35"/>
  <c r="Q436" i="35"/>
  <c r="P436" i="35"/>
  <c r="N436" i="35"/>
  <c r="I436" i="35"/>
  <c r="H436" i="35"/>
  <c r="G436" i="35"/>
  <c r="E436" i="35"/>
  <c r="D436" i="35"/>
  <c r="S435" i="35"/>
  <c r="R435" i="35"/>
  <c r="Q435" i="35"/>
  <c r="O435" i="35"/>
  <c r="N435" i="35"/>
  <c r="M435" i="35"/>
  <c r="L435" i="35"/>
  <c r="J435" i="35"/>
  <c r="I435" i="35"/>
  <c r="H435" i="35"/>
  <c r="G435" i="35"/>
  <c r="F435" i="35"/>
  <c r="E435" i="35"/>
  <c r="D435" i="35"/>
  <c r="S433" i="35"/>
  <c r="R433" i="35"/>
  <c r="Q433" i="35"/>
  <c r="O433" i="35"/>
  <c r="N433" i="35"/>
  <c r="M433" i="35"/>
  <c r="J433" i="35"/>
  <c r="I433" i="35"/>
  <c r="F433" i="35"/>
  <c r="E433" i="35"/>
  <c r="S432" i="35"/>
  <c r="R432" i="35"/>
  <c r="Q432" i="35"/>
  <c r="P432" i="35"/>
  <c r="O432" i="35"/>
  <c r="N432" i="35"/>
  <c r="M432" i="35"/>
  <c r="L432" i="35"/>
  <c r="K432" i="35"/>
  <c r="J432" i="35"/>
  <c r="I432" i="35"/>
  <c r="H432" i="35"/>
  <c r="G432" i="35"/>
  <c r="F432" i="35"/>
  <c r="E432" i="35"/>
  <c r="D432" i="35"/>
  <c r="S431" i="35"/>
  <c r="R431" i="35"/>
  <c r="Q431" i="35"/>
  <c r="P431" i="35"/>
  <c r="O431" i="35"/>
  <c r="N431" i="35"/>
  <c r="M431" i="35"/>
  <c r="L431" i="35"/>
  <c r="K431" i="35"/>
  <c r="J431" i="35"/>
  <c r="I431" i="35"/>
  <c r="H431" i="35"/>
  <c r="G431" i="35"/>
  <c r="F431" i="35"/>
  <c r="E431" i="35"/>
  <c r="S430" i="35"/>
  <c r="R430" i="35"/>
  <c r="Q430" i="35"/>
  <c r="P430" i="35"/>
  <c r="O430" i="35"/>
  <c r="N430" i="35"/>
  <c r="M430" i="35"/>
  <c r="L430" i="35"/>
  <c r="K430" i="35"/>
  <c r="J430" i="35"/>
  <c r="I430" i="35"/>
  <c r="H430" i="35"/>
  <c r="G430" i="35"/>
  <c r="F430" i="35"/>
  <c r="E430" i="35"/>
  <c r="D430" i="35"/>
  <c r="S429" i="35"/>
  <c r="R429" i="35"/>
  <c r="Q429" i="35"/>
  <c r="P429" i="35"/>
  <c r="O429" i="35"/>
  <c r="N429" i="35"/>
  <c r="M429" i="35"/>
  <c r="L429" i="35"/>
  <c r="K429" i="35"/>
  <c r="J429" i="35"/>
  <c r="I429" i="35"/>
  <c r="H429" i="35"/>
  <c r="G429" i="35"/>
  <c r="F429" i="35"/>
  <c r="E429" i="35"/>
  <c r="D429" i="35"/>
  <c r="S363" i="35"/>
  <c r="R363" i="35"/>
  <c r="Q363" i="35"/>
  <c r="P363" i="35"/>
  <c r="O363" i="35"/>
  <c r="N363" i="35"/>
  <c r="M363" i="35"/>
  <c r="L363" i="35"/>
  <c r="J363" i="35"/>
  <c r="H363" i="35"/>
  <c r="G363" i="35"/>
  <c r="F363" i="35"/>
  <c r="E363" i="35"/>
  <c r="S362" i="35"/>
  <c r="R362" i="35"/>
  <c r="Q362" i="35"/>
  <c r="P362" i="35"/>
  <c r="O362" i="35"/>
  <c r="N362" i="35"/>
  <c r="M362" i="35"/>
  <c r="L362" i="35"/>
  <c r="K362" i="35"/>
  <c r="J362" i="35"/>
  <c r="I362" i="35"/>
  <c r="H362" i="35"/>
  <c r="G362" i="35"/>
  <c r="F362" i="35"/>
  <c r="E362" i="35"/>
  <c r="D362" i="35"/>
  <c r="S361" i="35"/>
  <c r="R361" i="35"/>
  <c r="Q361" i="35"/>
  <c r="P361" i="35"/>
  <c r="O361" i="35"/>
  <c r="N361" i="35"/>
  <c r="M361" i="35"/>
  <c r="L361" i="35"/>
  <c r="K361" i="35"/>
  <c r="J361" i="35"/>
  <c r="I361" i="35"/>
  <c r="H361" i="35"/>
  <c r="G361" i="35"/>
  <c r="F361" i="35"/>
  <c r="E361" i="35"/>
  <c r="D361" i="35"/>
  <c r="S360" i="35"/>
  <c r="R360" i="35"/>
  <c r="Q360" i="35"/>
  <c r="P360" i="35"/>
  <c r="O360" i="35"/>
  <c r="N360" i="35"/>
  <c r="M360" i="35"/>
  <c r="L360" i="35"/>
  <c r="K360" i="35"/>
  <c r="J360" i="35"/>
  <c r="I360" i="35"/>
  <c r="H360" i="35"/>
  <c r="G360" i="35"/>
  <c r="F360" i="35"/>
  <c r="E360" i="35"/>
  <c r="D360" i="35"/>
  <c r="S359" i="35"/>
  <c r="R359" i="35"/>
  <c r="Q359" i="35"/>
  <c r="P359" i="35"/>
  <c r="O359" i="35"/>
  <c r="N359" i="35"/>
  <c r="M359" i="35"/>
  <c r="L359" i="35"/>
  <c r="K359" i="35"/>
  <c r="J359" i="35"/>
  <c r="I359" i="35"/>
  <c r="H359" i="35"/>
  <c r="G359" i="35"/>
  <c r="F359" i="35"/>
  <c r="E359" i="35"/>
  <c r="D359" i="35"/>
  <c r="S357" i="35"/>
  <c r="R357" i="35"/>
  <c r="Q357" i="35"/>
  <c r="O357" i="35"/>
  <c r="I357" i="35"/>
  <c r="H357" i="35"/>
  <c r="E357" i="35"/>
  <c r="S356" i="35"/>
  <c r="R356" i="35"/>
  <c r="Q356" i="35"/>
  <c r="O356" i="35"/>
  <c r="I356" i="35"/>
  <c r="H356" i="35"/>
  <c r="S355" i="35"/>
  <c r="R355" i="35"/>
  <c r="Q355" i="35"/>
  <c r="O355" i="35"/>
  <c r="I355" i="35"/>
  <c r="G355" i="35"/>
  <c r="E355" i="35"/>
  <c r="S354" i="35"/>
  <c r="R354" i="35"/>
  <c r="Q354" i="35"/>
  <c r="O354" i="35"/>
  <c r="K354" i="35"/>
  <c r="I354" i="35"/>
  <c r="H354" i="35"/>
  <c r="E354" i="35"/>
  <c r="S353" i="35"/>
  <c r="R353" i="35"/>
  <c r="Q353" i="35"/>
  <c r="O353" i="35"/>
  <c r="K353" i="35"/>
  <c r="I353" i="35"/>
  <c r="H353" i="35"/>
  <c r="E353" i="35"/>
  <c r="S351" i="35"/>
  <c r="R351" i="35"/>
  <c r="Q351" i="35"/>
  <c r="O351" i="35"/>
  <c r="N351" i="35"/>
  <c r="M351" i="35"/>
  <c r="L351" i="35"/>
  <c r="J351" i="35"/>
  <c r="I351" i="35"/>
  <c r="H351" i="35"/>
  <c r="G351" i="35"/>
  <c r="F351" i="35"/>
  <c r="E351" i="35"/>
  <c r="D351" i="35"/>
  <c r="S350" i="35"/>
  <c r="Q350" i="35"/>
  <c r="P350" i="35"/>
  <c r="N350" i="35"/>
  <c r="I350" i="35"/>
  <c r="H350" i="35"/>
  <c r="G350" i="35"/>
  <c r="E350" i="35"/>
  <c r="D350" i="35"/>
  <c r="S349" i="35"/>
  <c r="R349" i="35"/>
  <c r="Q349" i="35"/>
  <c r="O349" i="35"/>
  <c r="N349" i="35"/>
  <c r="M349" i="35"/>
  <c r="L349" i="35"/>
  <c r="J349" i="35"/>
  <c r="I349" i="35"/>
  <c r="H349" i="35"/>
  <c r="G349" i="35"/>
  <c r="F349" i="35"/>
  <c r="E349" i="35"/>
  <c r="D349" i="35"/>
  <c r="S348" i="35"/>
  <c r="R348" i="35"/>
  <c r="Q348" i="35"/>
  <c r="O348" i="35"/>
  <c r="N348" i="35"/>
  <c r="M348" i="35"/>
  <c r="L348" i="35"/>
  <c r="J348" i="35"/>
  <c r="H348" i="35"/>
  <c r="G348" i="35"/>
  <c r="F348" i="35"/>
  <c r="D348" i="35"/>
  <c r="S347" i="35"/>
  <c r="R347" i="35"/>
  <c r="Q347" i="35"/>
  <c r="O347" i="35"/>
  <c r="N347" i="35"/>
  <c r="M347" i="35"/>
  <c r="L347" i="35"/>
  <c r="J347" i="35"/>
  <c r="I347" i="35"/>
  <c r="G347" i="35"/>
  <c r="F347" i="35"/>
  <c r="E347" i="35"/>
  <c r="S345" i="35"/>
  <c r="R345" i="35"/>
  <c r="Q345" i="35"/>
  <c r="P345" i="35"/>
  <c r="O345" i="35"/>
  <c r="N345" i="35"/>
  <c r="M345" i="35"/>
  <c r="L345" i="35"/>
  <c r="K345" i="35"/>
  <c r="J345" i="35"/>
  <c r="I345" i="35"/>
  <c r="H345" i="35"/>
  <c r="G345" i="35"/>
  <c r="F345" i="35"/>
  <c r="E345" i="35"/>
  <c r="D345" i="35"/>
  <c r="S344" i="35"/>
  <c r="R344" i="35"/>
  <c r="Q344" i="35"/>
  <c r="P344" i="35"/>
  <c r="O344" i="35"/>
  <c r="N344" i="35"/>
  <c r="M344" i="35"/>
  <c r="L344" i="35"/>
  <c r="K344" i="35"/>
  <c r="J344" i="35"/>
  <c r="I344" i="35"/>
  <c r="H344" i="35"/>
  <c r="G344" i="35"/>
  <c r="F344" i="35"/>
  <c r="E344" i="35"/>
  <c r="D344" i="35"/>
  <c r="S343" i="35"/>
  <c r="R343" i="35"/>
  <c r="Q343" i="35"/>
  <c r="P343" i="35"/>
  <c r="O343" i="35"/>
  <c r="N343" i="35"/>
  <c r="M343" i="35"/>
  <c r="L343" i="35"/>
  <c r="K343" i="35"/>
  <c r="J343" i="35"/>
  <c r="I343" i="35"/>
  <c r="H343" i="35"/>
  <c r="G343" i="35"/>
  <c r="F343" i="35"/>
  <c r="E343" i="35"/>
  <c r="S342" i="35"/>
  <c r="R342" i="35"/>
  <c r="Q342" i="35"/>
  <c r="P342" i="35"/>
  <c r="O342" i="35"/>
  <c r="N342" i="35"/>
  <c r="M342" i="35"/>
  <c r="L342" i="35"/>
  <c r="K342" i="35"/>
  <c r="J342" i="35"/>
  <c r="I342" i="35"/>
  <c r="H342" i="35"/>
  <c r="G342" i="35"/>
  <c r="F342" i="35"/>
  <c r="E342" i="35"/>
  <c r="D342" i="35"/>
  <c r="S341" i="35"/>
  <c r="R341" i="35"/>
  <c r="Q341" i="35"/>
  <c r="O341" i="35"/>
  <c r="N341" i="35"/>
  <c r="M341" i="35"/>
  <c r="J341" i="35"/>
  <c r="I341" i="35"/>
  <c r="F341" i="35"/>
  <c r="E341" i="35"/>
  <c r="AL363" i="35"/>
  <c r="AK363" i="35"/>
  <c r="AJ363" i="35"/>
  <c r="AI363" i="35"/>
  <c r="AH363" i="35"/>
  <c r="AG363" i="35"/>
  <c r="AF363" i="35"/>
  <c r="AE363" i="35"/>
  <c r="AD363" i="35"/>
  <c r="AC363" i="35"/>
  <c r="AB363" i="35"/>
  <c r="AA363" i="35"/>
  <c r="Z363" i="35"/>
  <c r="Y363" i="35"/>
  <c r="X363" i="35"/>
  <c r="W363" i="35"/>
  <c r="AL362" i="35"/>
  <c r="AK362" i="35"/>
  <c r="AJ362" i="35"/>
  <c r="AI362" i="35"/>
  <c r="AH362" i="35"/>
  <c r="AG362" i="35"/>
  <c r="AF362" i="35"/>
  <c r="AE362" i="35"/>
  <c r="AD362" i="35"/>
  <c r="AC362" i="35"/>
  <c r="AB362" i="35"/>
  <c r="AA362" i="35"/>
  <c r="Z362" i="35"/>
  <c r="Y362" i="35"/>
  <c r="X362" i="35"/>
  <c r="W362" i="35"/>
  <c r="AL361" i="35"/>
  <c r="AK361" i="35"/>
  <c r="AJ361" i="35"/>
  <c r="AI361" i="35"/>
  <c r="AH361" i="35"/>
  <c r="AG361" i="35"/>
  <c r="AF361" i="35"/>
  <c r="AE361" i="35"/>
  <c r="AD361" i="35"/>
  <c r="AC361" i="35"/>
  <c r="AB361" i="35"/>
  <c r="AA361" i="35"/>
  <c r="Z361" i="35"/>
  <c r="Y361" i="35"/>
  <c r="X361" i="35"/>
  <c r="W361" i="35"/>
  <c r="AL360" i="35"/>
  <c r="AK360" i="35"/>
  <c r="AJ360" i="35"/>
  <c r="AI360" i="35"/>
  <c r="AH360" i="35"/>
  <c r="AG360" i="35"/>
  <c r="AF360" i="35"/>
  <c r="AE360" i="35"/>
  <c r="AD360" i="35"/>
  <c r="AC360" i="35"/>
  <c r="AB360" i="35"/>
  <c r="AA360" i="35"/>
  <c r="Z360" i="35"/>
  <c r="Y360" i="35"/>
  <c r="X360" i="35"/>
  <c r="W360" i="35"/>
  <c r="AL359" i="35"/>
  <c r="AK359" i="35"/>
  <c r="AJ359" i="35"/>
  <c r="AI359" i="35"/>
  <c r="AH359" i="35"/>
  <c r="AG359" i="35"/>
  <c r="AF359" i="35"/>
  <c r="AE359" i="35"/>
  <c r="AD359" i="35"/>
  <c r="AC359" i="35"/>
  <c r="AB359" i="35"/>
  <c r="AA359" i="35"/>
  <c r="Z359" i="35"/>
  <c r="Y359" i="35"/>
  <c r="X359" i="35"/>
  <c r="W359" i="35"/>
  <c r="AL357" i="35"/>
  <c r="AK357" i="35"/>
  <c r="AJ357" i="35"/>
  <c r="AH357" i="35"/>
  <c r="AB357" i="35"/>
  <c r="AA357" i="35"/>
  <c r="X357" i="35"/>
  <c r="AL356" i="35"/>
  <c r="AK356" i="35"/>
  <c r="AJ356" i="35"/>
  <c r="AB356" i="35"/>
  <c r="AA356" i="35"/>
  <c r="X356" i="35"/>
  <c r="AL355" i="35"/>
  <c r="AK355" i="35"/>
  <c r="AJ355" i="35"/>
  <c r="AB355" i="35"/>
  <c r="Z355" i="35"/>
  <c r="X355" i="35"/>
  <c r="AL354" i="35"/>
  <c r="AK354" i="35"/>
  <c r="AJ354" i="35"/>
  <c r="AH354" i="35"/>
  <c r="AC354" i="35"/>
  <c r="AB354" i="35"/>
  <c r="AA354" i="35"/>
  <c r="Z354" i="35"/>
  <c r="AL353" i="35"/>
  <c r="AK353" i="35"/>
  <c r="AJ353" i="35"/>
  <c r="AH353" i="35"/>
  <c r="AB353" i="35"/>
  <c r="AA353" i="35"/>
  <c r="X353" i="35"/>
  <c r="AL351" i="35"/>
  <c r="AJ351" i="35"/>
  <c r="AI351" i="35"/>
  <c r="AB351" i="35"/>
  <c r="AA351" i="35"/>
  <c r="Z351" i="35"/>
  <c r="Y351" i="35"/>
  <c r="X351" i="35"/>
  <c r="W351" i="35"/>
  <c r="AL350" i="35"/>
  <c r="AK350" i="35"/>
  <c r="AJ350" i="35"/>
  <c r="AH350" i="35"/>
  <c r="AG350" i="35"/>
  <c r="AF350" i="35"/>
  <c r="AE350" i="35"/>
  <c r="AC350" i="35"/>
  <c r="AB350" i="35"/>
  <c r="AA350" i="35"/>
  <c r="Z350" i="35"/>
  <c r="Y350" i="35"/>
  <c r="X350" i="35"/>
  <c r="W350" i="35"/>
  <c r="AL349" i="35"/>
  <c r="AJ349" i="35"/>
  <c r="AH349" i="35"/>
  <c r="AF349" i="35"/>
  <c r="AE349" i="35"/>
  <c r="AC349" i="35"/>
  <c r="AB349" i="35"/>
  <c r="Z349" i="35"/>
  <c r="Y349" i="35"/>
  <c r="X349" i="35"/>
  <c r="W349" i="35"/>
  <c r="AL348" i="35"/>
  <c r="AK348" i="35"/>
  <c r="AJ348" i="35"/>
  <c r="AG348" i="35"/>
  <c r="AF348" i="35"/>
  <c r="AE348" i="35"/>
  <c r="AC348" i="35"/>
  <c r="AB348" i="35"/>
  <c r="AA348" i="35"/>
  <c r="Z348" i="35"/>
  <c r="Y348" i="35"/>
  <c r="X348" i="35"/>
  <c r="W348" i="35"/>
  <c r="AL347" i="35"/>
  <c r="AK347" i="35"/>
  <c r="AJ347" i="35"/>
  <c r="AI347" i="35"/>
  <c r="AH347" i="35"/>
  <c r="AG347" i="35"/>
  <c r="AB347" i="35"/>
  <c r="AA347" i="35"/>
  <c r="Z347" i="35"/>
  <c r="Y347" i="35"/>
  <c r="X347" i="35"/>
  <c r="W347" i="35"/>
  <c r="AL345" i="35"/>
  <c r="AK345" i="35"/>
  <c r="AJ345" i="35"/>
  <c r="AI345" i="35"/>
  <c r="AH345" i="35"/>
  <c r="AG345" i="35"/>
  <c r="AF345" i="35"/>
  <c r="AE345" i="35"/>
  <c r="AD345" i="35"/>
  <c r="AC345" i="35"/>
  <c r="AB345" i="35"/>
  <c r="AA345" i="35"/>
  <c r="Z345" i="35"/>
  <c r="Y345" i="35"/>
  <c r="X345" i="35"/>
  <c r="W345" i="35"/>
  <c r="AL344" i="35"/>
  <c r="AK344" i="35"/>
  <c r="AJ344" i="35"/>
  <c r="AI344" i="35"/>
  <c r="AH344" i="35"/>
  <c r="AG344" i="35"/>
  <c r="AF344" i="35"/>
  <c r="AE344" i="35"/>
  <c r="AD344" i="35"/>
  <c r="AC344" i="35"/>
  <c r="AB344" i="35"/>
  <c r="AA344" i="35"/>
  <c r="Z344" i="35"/>
  <c r="Y344" i="35"/>
  <c r="X344" i="35"/>
  <c r="W344" i="35"/>
  <c r="AL343" i="35"/>
  <c r="AK343" i="35"/>
  <c r="AJ343" i="35"/>
  <c r="AI343" i="35"/>
  <c r="AH343" i="35"/>
  <c r="AG343" i="35"/>
  <c r="AF343" i="35"/>
  <c r="AE343" i="35"/>
  <c r="AD343" i="35"/>
  <c r="AC343" i="35"/>
  <c r="AB343" i="35"/>
  <c r="AA343" i="35"/>
  <c r="Z343" i="35"/>
  <c r="Y343" i="35"/>
  <c r="X343" i="35"/>
  <c r="W343" i="35"/>
  <c r="AL342" i="35"/>
  <c r="AK342" i="35"/>
  <c r="AJ342" i="35"/>
  <c r="AI342" i="35"/>
  <c r="AH342" i="35"/>
  <c r="AG342" i="35"/>
  <c r="AF342" i="35"/>
  <c r="AE342" i="35"/>
  <c r="AD342" i="35"/>
  <c r="AC342" i="35"/>
  <c r="AB342" i="35"/>
  <c r="AA342" i="35"/>
  <c r="Z342" i="35"/>
  <c r="Y342" i="35"/>
  <c r="X342" i="35"/>
  <c r="W342" i="35"/>
  <c r="AL341" i="35"/>
  <c r="AK341" i="35"/>
  <c r="AJ341" i="35"/>
  <c r="AI341" i="35"/>
  <c r="AH341" i="35"/>
  <c r="AG341" i="35"/>
  <c r="AF341" i="35"/>
  <c r="AE341" i="35"/>
  <c r="AD341" i="35"/>
  <c r="AC341" i="35"/>
  <c r="AB341" i="35"/>
  <c r="Z341" i="35"/>
  <c r="Y341" i="35"/>
  <c r="X341" i="35"/>
  <c r="AK451" i="35"/>
  <c r="AJ451" i="35"/>
  <c r="AI451" i="35"/>
  <c r="AH451" i="35"/>
  <c r="AG451" i="35"/>
  <c r="AF451" i="35"/>
  <c r="AE451" i="35"/>
  <c r="AD451" i="35"/>
  <c r="AC451" i="35"/>
  <c r="AB451" i="35"/>
  <c r="AA451" i="35"/>
  <c r="Z451" i="35"/>
  <c r="Y451" i="35"/>
  <c r="X451" i="35"/>
  <c r="W451" i="35"/>
  <c r="V451" i="35"/>
  <c r="AK450" i="35"/>
  <c r="AJ450" i="35"/>
  <c r="AI450" i="35"/>
  <c r="AH450" i="35"/>
  <c r="AG450" i="35"/>
  <c r="AF450" i="35"/>
  <c r="AE450" i="35"/>
  <c r="AD450" i="35"/>
  <c r="AC450" i="35"/>
  <c r="AB450" i="35"/>
  <c r="AA450" i="35"/>
  <c r="Z450" i="35"/>
  <c r="Y450" i="35"/>
  <c r="X450" i="35"/>
  <c r="W450" i="35"/>
  <c r="V450" i="35"/>
  <c r="AK449" i="35"/>
  <c r="AJ449" i="35"/>
  <c r="AI449" i="35"/>
  <c r="AH449" i="35"/>
  <c r="AG449" i="35"/>
  <c r="AF449" i="35"/>
  <c r="AE449" i="35"/>
  <c r="AD449" i="35"/>
  <c r="AC449" i="35"/>
  <c r="AB449" i="35"/>
  <c r="AA449" i="35"/>
  <c r="Z449" i="35"/>
  <c r="Y449" i="35"/>
  <c r="X449" i="35"/>
  <c r="W449" i="35"/>
  <c r="V449" i="35"/>
  <c r="AK448" i="35"/>
  <c r="AJ448" i="35"/>
  <c r="AI448" i="35"/>
  <c r="AH448" i="35"/>
  <c r="AG448" i="35"/>
  <c r="AF448" i="35"/>
  <c r="AE448" i="35"/>
  <c r="AD448" i="35"/>
  <c r="AC448" i="35"/>
  <c r="AB448" i="35"/>
  <c r="AA448" i="35"/>
  <c r="Z448" i="35"/>
  <c r="Y448" i="35"/>
  <c r="X448" i="35"/>
  <c r="W448" i="35"/>
  <c r="V448" i="35"/>
  <c r="AK447" i="35"/>
  <c r="AJ447" i="35"/>
  <c r="AI447" i="35"/>
  <c r="AH447" i="35"/>
  <c r="AG447" i="35"/>
  <c r="AF447" i="35"/>
  <c r="AE447" i="35"/>
  <c r="AD447" i="35"/>
  <c r="AC447" i="35"/>
  <c r="AB447" i="35"/>
  <c r="AA447" i="35"/>
  <c r="Z447" i="35"/>
  <c r="Y447" i="35"/>
  <c r="X447" i="35"/>
  <c r="W447" i="35"/>
  <c r="V447" i="35"/>
  <c r="AK445" i="35"/>
  <c r="AJ445" i="35"/>
  <c r="AI445" i="35"/>
  <c r="AG445" i="35"/>
  <c r="AA445" i="35"/>
  <c r="Z445" i="35"/>
  <c r="W445" i="35"/>
  <c r="AK444" i="35"/>
  <c r="AJ444" i="35"/>
  <c r="AI444" i="35"/>
  <c r="AG444" i="35"/>
  <c r="AB444" i="35"/>
  <c r="AA444" i="35"/>
  <c r="Z444" i="35"/>
  <c r="Y444" i="35"/>
  <c r="AK443" i="35"/>
  <c r="AJ443" i="35"/>
  <c r="AI443" i="35"/>
  <c r="AA443" i="35"/>
  <c r="Y443" i="35"/>
  <c r="W443" i="35"/>
  <c r="AK442" i="35"/>
  <c r="AJ442" i="35"/>
  <c r="AI442" i="35"/>
  <c r="AA442" i="35"/>
  <c r="Z442" i="35"/>
  <c r="W442" i="35"/>
  <c r="AK441" i="35"/>
  <c r="AJ441" i="35"/>
  <c r="AI441" i="35"/>
  <c r="AG441" i="35"/>
  <c r="AA441" i="35"/>
  <c r="Z441" i="35"/>
  <c r="W441" i="35"/>
  <c r="AK439" i="35"/>
  <c r="AJ439" i="35"/>
  <c r="AI439" i="35"/>
  <c r="AH439" i="35"/>
  <c r="AG439" i="35"/>
  <c r="AF439" i="35"/>
  <c r="AA439" i="35"/>
  <c r="Z439" i="35"/>
  <c r="Y439" i="35"/>
  <c r="X439" i="35"/>
  <c r="W439" i="35"/>
  <c r="V439" i="35"/>
  <c r="AK438" i="35"/>
  <c r="AJ438" i="35"/>
  <c r="AI438" i="35"/>
  <c r="AF438" i="35"/>
  <c r="AE438" i="35"/>
  <c r="AD438" i="35"/>
  <c r="AB438" i="35"/>
  <c r="AA438" i="35"/>
  <c r="Z438" i="35"/>
  <c r="Y438" i="35"/>
  <c r="X438" i="35"/>
  <c r="W438" i="35"/>
  <c r="V438" i="35"/>
  <c r="AK437" i="35"/>
  <c r="AI437" i="35"/>
  <c r="AG437" i="35"/>
  <c r="AE437" i="35"/>
  <c r="AD437" i="35"/>
  <c r="AB437" i="35"/>
  <c r="AA437" i="35"/>
  <c r="Y437" i="35"/>
  <c r="X437" i="35"/>
  <c r="W437" i="35"/>
  <c r="V437" i="35"/>
  <c r="AK436" i="35"/>
  <c r="AJ436" i="35"/>
  <c r="AI436" i="35"/>
  <c r="AG436" i="35"/>
  <c r="AF436" i="35"/>
  <c r="AE436" i="35"/>
  <c r="AD436" i="35"/>
  <c r="AB436" i="35"/>
  <c r="AA436" i="35"/>
  <c r="Z436" i="35"/>
  <c r="Y436" i="35"/>
  <c r="X436" i="35"/>
  <c r="W436" i="35"/>
  <c r="V436" i="35"/>
  <c r="AK435" i="35"/>
  <c r="AI435" i="35"/>
  <c r="AH435" i="35"/>
  <c r="AA435" i="35"/>
  <c r="Z435" i="35"/>
  <c r="Y435" i="35"/>
  <c r="X435" i="35"/>
  <c r="W435" i="35"/>
  <c r="V435" i="35"/>
  <c r="AK433" i="35"/>
  <c r="AJ433" i="35"/>
  <c r="AI433" i="35"/>
  <c r="AH433" i="35"/>
  <c r="AG433" i="35"/>
  <c r="AF433" i="35"/>
  <c r="AE433" i="35"/>
  <c r="AD433" i="35"/>
  <c r="AC433" i="35"/>
  <c r="AB433" i="35"/>
  <c r="AA433" i="35"/>
  <c r="Y433" i="35"/>
  <c r="X433" i="35"/>
  <c r="W433" i="35"/>
  <c r="AK432" i="35"/>
  <c r="AJ432" i="35"/>
  <c r="AI432" i="35"/>
  <c r="AH432" i="35"/>
  <c r="AG432" i="35"/>
  <c r="AF432" i="35"/>
  <c r="AE432" i="35"/>
  <c r="AD432" i="35"/>
  <c r="AC432" i="35"/>
  <c r="AB432" i="35"/>
  <c r="AA432" i="35"/>
  <c r="Z432" i="35"/>
  <c r="Y432" i="35"/>
  <c r="X432" i="35"/>
  <c r="W432" i="35"/>
  <c r="V432" i="35"/>
  <c r="AK431" i="35"/>
  <c r="AJ431" i="35"/>
  <c r="AI431" i="35"/>
  <c r="AH431" i="35"/>
  <c r="AG431" i="35"/>
  <c r="AF431" i="35"/>
  <c r="AE431" i="35"/>
  <c r="AD431" i="35"/>
  <c r="AC431" i="35"/>
  <c r="AB431" i="35"/>
  <c r="AA431" i="35"/>
  <c r="Z431" i="35"/>
  <c r="Y431" i="35"/>
  <c r="X431" i="35"/>
  <c r="W431" i="35"/>
  <c r="V431" i="35"/>
  <c r="AK430" i="35"/>
  <c r="AJ430" i="35"/>
  <c r="AI430" i="35"/>
  <c r="AH430" i="35"/>
  <c r="AG430" i="35"/>
  <c r="AF430" i="35"/>
  <c r="AE430" i="35"/>
  <c r="AD430" i="35"/>
  <c r="AC430" i="35"/>
  <c r="AB430" i="35"/>
  <c r="AA430" i="35"/>
  <c r="Z430" i="35"/>
  <c r="Y430" i="35"/>
  <c r="X430" i="35"/>
  <c r="W430" i="35"/>
  <c r="V430" i="35"/>
  <c r="AK429" i="35"/>
  <c r="AJ429" i="35"/>
  <c r="AI429" i="35"/>
  <c r="AH429" i="35"/>
  <c r="AG429" i="35"/>
  <c r="AF429" i="35"/>
  <c r="AE429" i="35"/>
  <c r="AD429" i="35"/>
  <c r="AC429" i="35"/>
  <c r="AB429" i="35"/>
  <c r="AA429" i="35"/>
  <c r="Z429" i="35"/>
  <c r="Y429" i="35"/>
  <c r="X429" i="35"/>
  <c r="W429" i="35"/>
  <c r="V429" i="35"/>
  <c r="S407" i="35"/>
  <c r="R407" i="35"/>
  <c r="Q407" i="35"/>
  <c r="P407" i="35"/>
  <c r="O407" i="35"/>
  <c r="N407" i="35"/>
  <c r="M407" i="35"/>
  <c r="L407" i="35"/>
  <c r="K407" i="35"/>
  <c r="J407" i="35"/>
  <c r="I407" i="35"/>
  <c r="H407" i="35"/>
  <c r="G407" i="35"/>
  <c r="F407" i="35"/>
  <c r="E407" i="35"/>
  <c r="D407" i="35"/>
  <c r="S406" i="35"/>
  <c r="R406" i="35"/>
  <c r="Q406" i="35"/>
  <c r="P406" i="35"/>
  <c r="O406" i="35"/>
  <c r="N406" i="35"/>
  <c r="M406" i="35"/>
  <c r="L406" i="35"/>
  <c r="K406" i="35"/>
  <c r="J406" i="35"/>
  <c r="I406" i="35"/>
  <c r="H406" i="35"/>
  <c r="G406" i="35"/>
  <c r="F406" i="35"/>
  <c r="E406" i="35"/>
  <c r="D406" i="35"/>
  <c r="S405" i="35"/>
  <c r="R405" i="35"/>
  <c r="Q405" i="35"/>
  <c r="P405" i="35"/>
  <c r="O405" i="35"/>
  <c r="N405" i="35"/>
  <c r="M405" i="35"/>
  <c r="L405" i="35"/>
  <c r="K405" i="35"/>
  <c r="J405" i="35"/>
  <c r="I405" i="35"/>
  <c r="H405" i="35"/>
  <c r="G405" i="35"/>
  <c r="F405" i="35"/>
  <c r="E405" i="35"/>
  <c r="D405" i="35"/>
  <c r="S404" i="35"/>
  <c r="R404" i="35"/>
  <c r="Q404" i="35"/>
  <c r="P404" i="35"/>
  <c r="O404" i="35"/>
  <c r="N404" i="35"/>
  <c r="M404" i="35"/>
  <c r="L404" i="35"/>
  <c r="K404" i="35"/>
  <c r="J404" i="35"/>
  <c r="I404" i="35"/>
  <c r="H404" i="35"/>
  <c r="G404" i="35"/>
  <c r="F404" i="35"/>
  <c r="E404" i="35"/>
  <c r="D404" i="35"/>
  <c r="S403" i="35"/>
  <c r="R403" i="35"/>
  <c r="Q403" i="35"/>
  <c r="P403" i="35"/>
  <c r="O403" i="35"/>
  <c r="N403" i="35"/>
  <c r="M403" i="35"/>
  <c r="L403" i="35"/>
  <c r="J403" i="35"/>
  <c r="I403" i="35"/>
  <c r="H403" i="35"/>
  <c r="G403" i="35"/>
  <c r="F403" i="35"/>
  <c r="E403" i="35"/>
  <c r="D403" i="35"/>
  <c r="S401" i="35"/>
  <c r="R401" i="35"/>
  <c r="Q401" i="35"/>
  <c r="O401" i="35"/>
  <c r="K401" i="35"/>
  <c r="I401" i="35"/>
  <c r="H401" i="35"/>
  <c r="E401" i="35"/>
  <c r="S400" i="35"/>
  <c r="R400" i="35"/>
  <c r="Q400" i="35"/>
  <c r="O400" i="35"/>
  <c r="K400" i="35"/>
  <c r="I400" i="35"/>
  <c r="H400" i="35"/>
  <c r="E400" i="35"/>
  <c r="S399" i="35"/>
  <c r="R399" i="35"/>
  <c r="Q399" i="35"/>
  <c r="O399" i="35"/>
  <c r="I399" i="35"/>
  <c r="G399" i="35"/>
  <c r="E399" i="35"/>
  <c r="S398" i="35"/>
  <c r="R398" i="35"/>
  <c r="Q398" i="35"/>
  <c r="O398" i="35"/>
  <c r="I398" i="35"/>
  <c r="H398" i="35"/>
  <c r="S397" i="35"/>
  <c r="R397" i="35"/>
  <c r="Q397" i="35"/>
  <c r="O397" i="35"/>
  <c r="I397" i="35"/>
  <c r="H397" i="35"/>
  <c r="E397" i="35"/>
  <c r="S395" i="35"/>
  <c r="R395" i="35"/>
  <c r="Q395" i="35"/>
  <c r="O395" i="35"/>
  <c r="N395" i="35"/>
  <c r="M395" i="35"/>
  <c r="L395" i="35"/>
  <c r="J395" i="35"/>
  <c r="I395" i="35"/>
  <c r="G395" i="35"/>
  <c r="F395" i="35"/>
  <c r="E395" i="35"/>
  <c r="S394" i="35"/>
  <c r="R394" i="35"/>
  <c r="Q394" i="35"/>
  <c r="O394" i="35"/>
  <c r="N394" i="35"/>
  <c r="M394" i="35"/>
  <c r="L394" i="35"/>
  <c r="J394" i="35"/>
  <c r="H394" i="35"/>
  <c r="G394" i="35"/>
  <c r="F394" i="35"/>
  <c r="D394" i="35"/>
  <c r="S393" i="35"/>
  <c r="R393" i="35"/>
  <c r="Q393" i="35"/>
  <c r="O393" i="35"/>
  <c r="N393" i="35"/>
  <c r="M393" i="35"/>
  <c r="L393" i="35"/>
  <c r="J393" i="35"/>
  <c r="I393" i="35"/>
  <c r="H393" i="35"/>
  <c r="G393" i="35"/>
  <c r="F393" i="35"/>
  <c r="E393" i="35"/>
  <c r="D393" i="35"/>
  <c r="S392" i="35"/>
  <c r="Q392" i="35"/>
  <c r="P392" i="35"/>
  <c r="N392" i="35"/>
  <c r="I392" i="35"/>
  <c r="H392" i="35"/>
  <c r="G392" i="35"/>
  <c r="E392" i="35"/>
  <c r="D392" i="35"/>
  <c r="S391" i="35"/>
  <c r="R391" i="35"/>
  <c r="Q391" i="35"/>
  <c r="O391" i="35"/>
  <c r="N391" i="35"/>
  <c r="M391" i="35"/>
  <c r="L391" i="35"/>
  <c r="J391" i="35"/>
  <c r="I391" i="35"/>
  <c r="H391" i="35"/>
  <c r="G391" i="35"/>
  <c r="F391" i="35"/>
  <c r="E391" i="35"/>
  <c r="D391" i="35"/>
  <c r="AK407" i="35"/>
  <c r="AJ407" i="35"/>
  <c r="AI407" i="35"/>
  <c r="AH407" i="35"/>
  <c r="AG407" i="35"/>
  <c r="AF407" i="35"/>
  <c r="AE407" i="35"/>
  <c r="AD407" i="35"/>
  <c r="AC407" i="35"/>
  <c r="AB407" i="35"/>
  <c r="AA407" i="35"/>
  <c r="Z407" i="35"/>
  <c r="Y407" i="35"/>
  <c r="X407" i="35"/>
  <c r="W407" i="35"/>
  <c r="V407" i="35"/>
  <c r="AK406" i="35"/>
  <c r="AJ406" i="35"/>
  <c r="AI406" i="35"/>
  <c r="AH406" i="35"/>
  <c r="AG406" i="35"/>
  <c r="AF406" i="35"/>
  <c r="AE406" i="35"/>
  <c r="AD406" i="35"/>
  <c r="AC406" i="35"/>
  <c r="AB406" i="35"/>
  <c r="AA406" i="35"/>
  <c r="Z406" i="35"/>
  <c r="Y406" i="35"/>
  <c r="X406" i="35"/>
  <c r="W406" i="35"/>
  <c r="V406" i="35"/>
  <c r="AK405" i="35"/>
  <c r="AJ405" i="35"/>
  <c r="AI405" i="35"/>
  <c r="AH405" i="35"/>
  <c r="AG405" i="35"/>
  <c r="AF405" i="35"/>
  <c r="AE405" i="35"/>
  <c r="AD405" i="35"/>
  <c r="AC405" i="35"/>
  <c r="AB405" i="35"/>
  <c r="AA405" i="35"/>
  <c r="Z405" i="35"/>
  <c r="Y405" i="35"/>
  <c r="X405" i="35"/>
  <c r="W405" i="35"/>
  <c r="V405" i="35"/>
  <c r="AK404" i="35"/>
  <c r="AJ404" i="35"/>
  <c r="AI404" i="35"/>
  <c r="AH404" i="35"/>
  <c r="AG404" i="35"/>
  <c r="AF404" i="35"/>
  <c r="AE404" i="35"/>
  <c r="AD404" i="35"/>
  <c r="AC404" i="35"/>
  <c r="AB404" i="35"/>
  <c r="AA404" i="35"/>
  <c r="Z404" i="35"/>
  <c r="Y404" i="35"/>
  <c r="X404" i="35"/>
  <c r="W404" i="35"/>
  <c r="V404" i="35"/>
  <c r="AK403" i="35"/>
  <c r="AJ403" i="35"/>
  <c r="AI403" i="35"/>
  <c r="AH403" i="35"/>
  <c r="AG403" i="35"/>
  <c r="AF403" i="35"/>
  <c r="AE403" i="35"/>
  <c r="AD403" i="35"/>
  <c r="AC403" i="35"/>
  <c r="AB403" i="35"/>
  <c r="AA403" i="35"/>
  <c r="Z403" i="35"/>
  <c r="Y403" i="35"/>
  <c r="X403" i="35"/>
  <c r="W403" i="35"/>
  <c r="V403" i="35"/>
  <c r="AK401" i="35"/>
  <c r="AJ401" i="35"/>
  <c r="AI401" i="35"/>
  <c r="AG401" i="35"/>
  <c r="AA401" i="35"/>
  <c r="Z401" i="35"/>
  <c r="W401" i="35"/>
  <c r="AK400" i="35"/>
  <c r="AJ400" i="35"/>
  <c r="AI400" i="35"/>
  <c r="AG400" i="35"/>
  <c r="AE400" i="35"/>
  <c r="AB400" i="35"/>
  <c r="AA400" i="35"/>
  <c r="Z400" i="35"/>
  <c r="Y400" i="35"/>
  <c r="AK399" i="35"/>
  <c r="AJ399" i="35"/>
  <c r="AI399" i="35"/>
  <c r="AA399" i="35"/>
  <c r="Y399" i="35"/>
  <c r="W399" i="35"/>
  <c r="AK398" i="35"/>
  <c r="AJ398" i="35"/>
  <c r="AI398" i="35"/>
  <c r="AA398" i="35"/>
  <c r="Z398" i="35"/>
  <c r="W398" i="35"/>
  <c r="AK397" i="35"/>
  <c r="AJ397" i="35"/>
  <c r="AI397" i="35"/>
  <c r="AG397" i="35"/>
  <c r="AA397" i="35"/>
  <c r="Z397" i="35"/>
  <c r="W397" i="35"/>
  <c r="AK395" i="35"/>
  <c r="AJ395" i="35"/>
  <c r="AI395" i="35"/>
  <c r="AH395" i="35"/>
  <c r="AG395" i="35"/>
  <c r="AF395" i="35"/>
  <c r="AE395" i="35"/>
  <c r="AC395" i="35"/>
  <c r="AB395" i="35"/>
  <c r="AA395" i="35"/>
  <c r="Z395" i="35"/>
  <c r="Y395" i="35"/>
  <c r="X395" i="35"/>
  <c r="W395" i="35"/>
  <c r="V395" i="35"/>
  <c r="AK394" i="35"/>
  <c r="AJ394" i="35"/>
  <c r="AI394" i="35"/>
  <c r="AH394" i="35"/>
  <c r="AG394" i="35"/>
  <c r="AF394" i="35"/>
  <c r="AE394" i="35"/>
  <c r="AD394" i="35"/>
  <c r="AC394" i="35"/>
  <c r="AB394" i="35"/>
  <c r="AA394" i="35"/>
  <c r="Z394" i="35"/>
  <c r="Y394" i="35"/>
  <c r="X394" i="35"/>
  <c r="W394" i="35"/>
  <c r="V394" i="35"/>
  <c r="AK393" i="35"/>
  <c r="AI393" i="35"/>
  <c r="AG393" i="35"/>
  <c r="AE393" i="35"/>
  <c r="AD393" i="35"/>
  <c r="AB393" i="35"/>
  <c r="AA393" i="35"/>
  <c r="Y393" i="35"/>
  <c r="X393" i="35"/>
  <c r="W393" i="35"/>
  <c r="V393" i="35"/>
  <c r="AK392" i="35"/>
  <c r="AJ392" i="35"/>
  <c r="AI392" i="35"/>
  <c r="AG392" i="35"/>
  <c r="AF392" i="35"/>
  <c r="AE392" i="35"/>
  <c r="AD392" i="35"/>
  <c r="AB392" i="35"/>
  <c r="AA392" i="35"/>
  <c r="Z392" i="35"/>
  <c r="Y392" i="35"/>
  <c r="X392" i="35"/>
  <c r="W392" i="35"/>
  <c r="V392" i="35"/>
  <c r="AK391" i="35"/>
  <c r="AI391" i="35"/>
  <c r="AH391" i="35"/>
  <c r="AA391" i="35"/>
  <c r="Z391" i="35"/>
  <c r="Y391" i="35"/>
  <c r="X391" i="35"/>
  <c r="W391" i="35"/>
  <c r="V391" i="35"/>
  <c r="AH389" i="35"/>
  <c r="AH388" i="35"/>
  <c r="AH387" i="35"/>
  <c r="AH386" i="35"/>
  <c r="AH385" i="35"/>
  <c r="AF389" i="35"/>
  <c r="AF388" i="35"/>
  <c r="AF387" i="35"/>
  <c r="AF386" i="35"/>
  <c r="AF385" i="35"/>
  <c r="AK389" i="35"/>
  <c r="AJ389" i="35"/>
  <c r="AI389" i="35"/>
  <c r="AK388" i="35"/>
  <c r="AJ388" i="35"/>
  <c r="AI388" i="35"/>
  <c r="AK387" i="35"/>
  <c r="AJ387" i="35"/>
  <c r="AI387" i="35"/>
  <c r="AK386" i="35"/>
  <c r="AJ386" i="35"/>
  <c r="AI386" i="35"/>
  <c r="AK385" i="35"/>
  <c r="AJ385" i="35"/>
  <c r="AI385" i="35"/>
  <c r="AG389" i="35"/>
  <c r="AG388" i="35"/>
  <c r="AG387" i="35"/>
  <c r="AG386" i="35"/>
  <c r="AG385" i="35"/>
  <c r="AE389" i="35"/>
  <c r="AD389" i="35"/>
  <c r="AC389" i="35"/>
  <c r="AB389" i="35"/>
  <c r="AE388" i="35"/>
  <c r="AD388" i="35"/>
  <c r="AC388" i="35"/>
  <c r="AB388" i="35"/>
  <c r="AE387" i="35"/>
  <c r="AD387" i="35"/>
  <c r="AC387" i="35"/>
  <c r="AB387" i="35"/>
  <c r="AE386" i="35"/>
  <c r="AD386" i="35"/>
  <c r="AC386" i="35"/>
  <c r="AB386" i="35"/>
  <c r="AE385" i="35"/>
  <c r="AD385" i="35"/>
  <c r="AC385" i="35"/>
  <c r="AB385" i="35"/>
  <c r="AA389" i="35"/>
  <c r="AA388" i="35"/>
  <c r="AA387" i="35"/>
  <c r="AA386" i="35"/>
  <c r="AA385" i="35"/>
  <c r="Z389" i="35"/>
  <c r="Z388" i="35"/>
  <c r="Z387" i="35"/>
  <c r="Z386" i="35"/>
  <c r="Z385" i="35"/>
  <c r="Y389" i="35"/>
  <c r="Y388" i="35"/>
  <c r="Y387" i="35"/>
  <c r="Y386" i="35"/>
  <c r="Y385" i="35"/>
  <c r="X389" i="35"/>
  <c r="X388" i="35"/>
  <c r="X387" i="35"/>
  <c r="X386" i="35"/>
  <c r="X385" i="35"/>
  <c r="W389" i="35"/>
  <c r="W388" i="35"/>
  <c r="W387" i="35"/>
  <c r="W386" i="35"/>
  <c r="W385" i="35"/>
  <c r="V388" i="35"/>
  <c r="V387" i="35"/>
  <c r="V386" i="35"/>
  <c r="V385" i="35"/>
  <c r="I389" i="35"/>
  <c r="I388" i="35"/>
  <c r="I387" i="35"/>
  <c r="I386" i="35"/>
  <c r="I385" i="35"/>
  <c r="N385" i="35"/>
  <c r="N386" i="35"/>
  <c r="N387" i="35"/>
  <c r="N388" i="35"/>
  <c r="N389" i="35"/>
  <c r="P389" i="35"/>
  <c r="P388" i="35"/>
  <c r="P387" i="35"/>
  <c r="P386" i="35"/>
  <c r="P385" i="35"/>
  <c r="S389" i="35"/>
  <c r="R389" i="35"/>
  <c r="Q389" i="35"/>
  <c r="S388" i="35"/>
  <c r="R388" i="35"/>
  <c r="Q388" i="35"/>
  <c r="S387" i="35"/>
  <c r="R387" i="35"/>
  <c r="Q387" i="35"/>
  <c r="S386" i="35"/>
  <c r="R386" i="35"/>
  <c r="Q386" i="35"/>
  <c r="S385" i="35"/>
  <c r="R385" i="35"/>
  <c r="Q385" i="35"/>
  <c r="O389" i="35"/>
  <c r="O388" i="35"/>
  <c r="O387" i="35"/>
  <c r="O386" i="35"/>
  <c r="O385" i="35"/>
  <c r="M389" i="35"/>
  <c r="J389" i="35"/>
  <c r="M388" i="35"/>
  <c r="L388" i="35"/>
  <c r="K388" i="35"/>
  <c r="J388" i="35"/>
  <c r="M387" i="35"/>
  <c r="L387" i="35"/>
  <c r="K387" i="35"/>
  <c r="J387" i="35"/>
  <c r="M386" i="35"/>
  <c r="L386" i="35"/>
  <c r="K386" i="35"/>
  <c r="J386" i="35"/>
  <c r="M385" i="35"/>
  <c r="L385" i="35"/>
  <c r="K385" i="35"/>
  <c r="J385" i="35"/>
  <c r="F389" i="35"/>
  <c r="E389" i="35"/>
  <c r="H388" i="35"/>
  <c r="G388" i="35"/>
  <c r="F388" i="35"/>
  <c r="E388" i="35"/>
  <c r="D388" i="35"/>
  <c r="H387" i="35"/>
  <c r="G387" i="35"/>
  <c r="F387" i="35"/>
  <c r="E387" i="35"/>
  <c r="H386" i="35"/>
  <c r="G386" i="35"/>
  <c r="F386" i="35"/>
  <c r="E386" i="35"/>
  <c r="D386" i="35"/>
  <c r="H385" i="35"/>
  <c r="G385" i="35"/>
  <c r="F385" i="35"/>
  <c r="E385" i="35"/>
  <c r="D385" i="35"/>
  <c r="P451" i="36"/>
  <c r="P450" i="36"/>
  <c r="P449" i="36"/>
  <c r="P448" i="36"/>
  <c r="P439" i="36"/>
  <c r="P435" i="36"/>
  <c r="P433" i="36"/>
  <c r="P432" i="36"/>
  <c r="P431" i="36"/>
  <c r="P430" i="36"/>
  <c r="P429" i="36"/>
  <c r="P407" i="36"/>
  <c r="P406" i="36"/>
  <c r="P405" i="36"/>
  <c r="P404" i="36"/>
  <c r="P395" i="36"/>
  <c r="P392" i="36"/>
  <c r="P391" i="36"/>
  <c r="P389" i="36"/>
  <c r="P388" i="36"/>
  <c r="P387" i="36"/>
  <c r="P386" i="36"/>
  <c r="P385" i="36"/>
  <c r="P363" i="36"/>
  <c r="P362" i="36"/>
  <c r="P361" i="36"/>
  <c r="P360" i="36"/>
  <c r="P359" i="36"/>
  <c r="P351" i="36"/>
  <c r="P347" i="36"/>
  <c r="P345" i="36"/>
  <c r="P344" i="36"/>
  <c r="P343" i="36"/>
  <c r="P342" i="36"/>
  <c r="P341" i="36"/>
  <c r="N451" i="36"/>
  <c r="N450" i="36"/>
  <c r="N449" i="36"/>
  <c r="N448" i="36"/>
  <c r="N438" i="36"/>
  <c r="N436" i="36"/>
  <c r="N435" i="36"/>
  <c r="N433" i="36"/>
  <c r="N432" i="36"/>
  <c r="N431" i="36"/>
  <c r="N430" i="36"/>
  <c r="N429" i="36"/>
  <c r="N407" i="36"/>
  <c r="N406" i="36"/>
  <c r="N405" i="36"/>
  <c r="N404" i="36"/>
  <c r="N394" i="36"/>
  <c r="N392" i="36"/>
  <c r="N391" i="36"/>
  <c r="N389" i="36"/>
  <c r="N388" i="36"/>
  <c r="N387" i="36"/>
  <c r="N386" i="36"/>
  <c r="N385" i="36"/>
  <c r="N363" i="36"/>
  <c r="N362" i="36"/>
  <c r="N361" i="36"/>
  <c r="N360" i="36"/>
  <c r="N359" i="36"/>
  <c r="N350" i="36"/>
  <c r="N348" i="36"/>
  <c r="N347" i="36"/>
  <c r="N345" i="36"/>
  <c r="N344" i="36"/>
  <c r="N343" i="36"/>
  <c r="N342" i="36"/>
  <c r="N341" i="36"/>
  <c r="I451" i="36"/>
  <c r="I450" i="36"/>
  <c r="I449" i="36"/>
  <c r="I448" i="36"/>
  <c r="I445" i="36"/>
  <c r="I444" i="36"/>
  <c r="I443" i="36"/>
  <c r="I442" i="36"/>
  <c r="I441" i="36"/>
  <c r="I439" i="36"/>
  <c r="I438" i="36"/>
  <c r="I437" i="36"/>
  <c r="I436" i="36"/>
  <c r="I435" i="36"/>
  <c r="I433" i="36"/>
  <c r="I432" i="36"/>
  <c r="I431" i="36"/>
  <c r="I430" i="36"/>
  <c r="I429" i="36"/>
  <c r="I407" i="36"/>
  <c r="I406" i="36"/>
  <c r="I405" i="36"/>
  <c r="I404" i="36"/>
  <c r="I401" i="36"/>
  <c r="I400" i="36"/>
  <c r="I399" i="36"/>
  <c r="I398" i="36"/>
  <c r="I397" i="36"/>
  <c r="I395" i="36"/>
  <c r="I394" i="36"/>
  <c r="I393" i="36"/>
  <c r="I392" i="36"/>
  <c r="I391" i="36"/>
  <c r="I389" i="36"/>
  <c r="I388" i="36"/>
  <c r="I387" i="36"/>
  <c r="I386" i="36"/>
  <c r="I385" i="36"/>
  <c r="I363" i="36"/>
  <c r="I362" i="36"/>
  <c r="I361" i="36"/>
  <c r="I360" i="36"/>
  <c r="I359" i="36"/>
  <c r="I357" i="36"/>
  <c r="I356" i="36"/>
  <c r="I355" i="36"/>
  <c r="I354" i="36"/>
  <c r="I353" i="36"/>
  <c r="I351" i="36"/>
  <c r="I350" i="36"/>
  <c r="I349" i="36"/>
  <c r="I348" i="36"/>
  <c r="I347" i="36"/>
  <c r="I345" i="36"/>
  <c r="I344" i="36"/>
  <c r="I343" i="36"/>
  <c r="I342" i="36"/>
  <c r="I341" i="36"/>
  <c r="S451" i="36"/>
  <c r="S450" i="36"/>
  <c r="S449" i="36"/>
  <c r="S448" i="36"/>
  <c r="S445" i="36"/>
  <c r="S444" i="36"/>
  <c r="S443" i="36"/>
  <c r="S442" i="36"/>
  <c r="S441" i="36"/>
  <c r="S439" i="36"/>
  <c r="S438" i="36"/>
  <c r="S437" i="36"/>
  <c r="S436" i="36"/>
  <c r="S435" i="36"/>
  <c r="S433" i="36"/>
  <c r="S432" i="36"/>
  <c r="S431" i="36"/>
  <c r="S430" i="36"/>
  <c r="S429" i="36"/>
  <c r="S407" i="36"/>
  <c r="S406" i="36"/>
  <c r="S405" i="36"/>
  <c r="S404" i="36"/>
  <c r="S401" i="36"/>
  <c r="S400" i="36"/>
  <c r="S399" i="36"/>
  <c r="S398" i="36"/>
  <c r="S397" i="36"/>
  <c r="S395" i="36"/>
  <c r="S394" i="36"/>
  <c r="S393" i="36"/>
  <c r="S392" i="36"/>
  <c r="S391" i="36"/>
  <c r="S389" i="36"/>
  <c r="S388" i="36"/>
  <c r="S387" i="36"/>
  <c r="S386" i="36"/>
  <c r="S385" i="36"/>
  <c r="S363" i="36"/>
  <c r="S362" i="36"/>
  <c r="S361" i="36"/>
  <c r="S360" i="36"/>
  <c r="S359" i="36"/>
  <c r="S357" i="36"/>
  <c r="S356" i="36"/>
  <c r="S355" i="36"/>
  <c r="S354" i="36"/>
  <c r="S353" i="36"/>
  <c r="S351" i="36"/>
  <c r="S350" i="36"/>
  <c r="S349" i="36"/>
  <c r="S348" i="36"/>
  <c r="S347" i="36"/>
  <c r="S345" i="36"/>
  <c r="S344" i="36"/>
  <c r="S343" i="36"/>
  <c r="S342" i="36"/>
  <c r="S341" i="36"/>
  <c r="AG319" i="36"/>
  <c r="AF319" i="36"/>
  <c r="AE319" i="36"/>
  <c r="AD319" i="36"/>
  <c r="AB319" i="36"/>
  <c r="AA319" i="36"/>
  <c r="Z319" i="36"/>
  <c r="Y319" i="36"/>
  <c r="X319" i="36"/>
  <c r="W319" i="36"/>
  <c r="V319" i="36"/>
  <c r="U319" i="36"/>
  <c r="T319" i="36"/>
  <c r="S319" i="36"/>
  <c r="R319" i="36"/>
  <c r="Q319" i="36"/>
  <c r="P319" i="36"/>
  <c r="O319" i="36"/>
  <c r="N319" i="36"/>
  <c r="Q451" i="36"/>
  <c r="Q450" i="36"/>
  <c r="Q449" i="36"/>
  <c r="Q448" i="36"/>
  <c r="Q445" i="36"/>
  <c r="Q444" i="36"/>
  <c r="Q443" i="36"/>
  <c r="Q442" i="36"/>
  <c r="Q441" i="36"/>
  <c r="Q439" i="36"/>
  <c r="Q438" i="36"/>
  <c r="Q437" i="36"/>
  <c r="Q436" i="36"/>
  <c r="Q435" i="36"/>
  <c r="Q433" i="36"/>
  <c r="Q432" i="36"/>
  <c r="Q431" i="36"/>
  <c r="Q430" i="36"/>
  <c r="Q429" i="36"/>
  <c r="Q407" i="36"/>
  <c r="Q406" i="36"/>
  <c r="Q405" i="36"/>
  <c r="Q404" i="36"/>
  <c r="Q401" i="36"/>
  <c r="Q400" i="36"/>
  <c r="Q399" i="36"/>
  <c r="Q398" i="36"/>
  <c r="Q397" i="36"/>
  <c r="Q395" i="36"/>
  <c r="Q394" i="36"/>
  <c r="Q393" i="36"/>
  <c r="Q392" i="36"/>
  <c r="Q391" i="36"/>
  <c r="Q389" i="36"/>
  <c r="Q388" i="36"/>
  <c r="Q387" i="36"/>
  <c r="Q386" i="36"/>
  <c r="Q385" i="36"/>
  <c r="Q363" i="36"/>
  <c r="Q362" i="36"/>
  <c r="Q361" i="36"/>
  <c r="Q360" i="36"/>
  <c r="Q359" i="36"/>
  <c r="Q357" i="36"/>
  <c r="Q356" i="36"/>
  <c r="Q355" i="36"/>
  <c r="Q354" i="36"/>
  <c r="Q353" i="36"/>
  <c r="Q351" i="36"/>
  <c r="Q350" i="36"/>
  <c r="Q349" i="36"/>
  <c r="Q348" i="36"/>
  <c r="Q347" i="36"/>
  <c r="Q345" i="36"/>
  <c r="Q344" i="36"/>
  <c r="Q343" i="36"/>
  <c r="Q342" i="36"/>
  <c r="Q341" i="36"/>
  <c r="AG317" i="36"/>
  <c r="AF317" i="36"/>
  <c r="AE317" i="36"/>
  <c r="AD317" i="36"/>
  <c r="AB317" i="36"/>
  <c r="AA317" i="36"/>
  <c r="Z317" i="36"/>
  <c r="Y317" i="36"/>
  <c r="X317" i="36"/>
  <c r="W317" i="36"/>
  <c r="V317" i="36"/>
  <c r="U317" i="36"/>
  <c r="T317" i="36"/>
  <c r="S317" i="36"/>
  <c r="R317" i="36"/>
  <c r="Q317" i="36"/>
  <c r="P317" i="36"/>
  <c r="O317" i="36"/>
  <c r="N317" i="36"/>
  <c r="O451" i="36"/>
  <c r="O450" i="36"/>
  <c r="O449" i="36"/>
  <c r="O448" i="36"/>
  <c r="O445" i="36"/>
  <c r="O442" i="36"/>
  <c r="O441" i="36"/>
  <c r="O438" i="36"/>
  <c r="O437" i="36"/>
  <c r="O435" i="36"/>
  <c r="O433" i="36"/>
  <c r="O432" i="36"/>
  <c r="O431" i="36"/>
  <c r="O430" i="36"/>
  <c r="O429" i="36"/>
  <c r="O407" i="36"/>
  <c r="O406" i="36"/>
  <c r="O405" i="36"/>
  <c r="O404" i="36"/>
  <c r="O401" i="36"/>
  <c r="O398" i="36"/>
  <c r="O397" i="36"/>
  <c r="O394" i="36"/>
  <c r="O393" i="36"/>
  <c r="O392" i="36"/>
  <c r="O391" i="36"/>
  <c r="O389" i="36"/>
  <c r="O388" i="36"/>
  <c r="O387" i="36"/>
  <c r="O386" i="36"/>
  <c r="O385" i="36"/>
  <c r="O363" i="36"/>
  <c r="O362" i="36"/>
  <c r="O361" i="36"/>
  <c r="O360" i="36"/>
  <c r="O359" i="36"/>
  <c r="O357" i="36"/>
  <c r="O354" i="36"/>
  <c r="O353" i="36"/>
  <c r="O350" i="36"/>
  <c r="O349" i="36"/>
  <c r="O347" i="36"/>
  <c r="O345" i="36"/>
  <c r="O344" i="36"/>
  <c r="O343" i="36"/>
  <c r="O342" i="36"/>
  <c r="O341" i="36"/>
  <c r="AG315" i="36"/>
  <c r="AF315" i="36"/>
  <c r="AE315" i="36"/>
  <c r="AD315" i="36"/>
  <c r="AB315" i="36"/>
  <c r="Y315" i="36"/>
  <c r="X315" i="36"/>
  <c r="V315" i="36"/>
  <c r="U315" i="36"/>
  <c r="S315" i="36"/>
  <c r="R315" i="36"/>
  <c r="Q315" i="36"/>
  <c r="P315" i="36"/>
  <c r="O315" i="36"/>
  <c r="N315" i="36"/>
  <c r="M451" i="36"/>
  <c r="M450" i="36"/>
  <c r="M449" i="36"/>
  <c r="M448" i="36"/>
  <c r="M438" i="36"/>
  <c r="M437" i="36"/>
  <c r="M436" i="36"/>
  <c r="M433" i="36"/>
  <c r="M432" i="36"/>
  <c r="M431" i="36"/>
  <c r="M430" i="36"/>
  <c r="M429" i="36"/>
  <c r="M407" i="36"/>
  <c r="M406" i="36"/>
  <c r="M405" i="36"/>
  <c r="M404" i="36"/>
  <c r="M398" i="36"/>
  <c r="M394" i="36"/>
  <c r="M393" i="36"/>
  <c r="M392" i="36"/>
  <c r="M391" i="36"/>
  <c r="M389" i="36"/>
  <c r="M388" i="36"/>
  <c r="M387" i="36"/>
  <c r="M386" i="36"/>
  <c r="M385" i="36"/>
  <c r="M363" i="36"/>
  <c r="M362" i="36"/>
  <c r="M361" i="36"/>
  <c r="M360" i="36"/>
  <c r="M359" i="36"/>
  <c r="M350" i="36"/>
  <c r="M349" i="36"/>
  <c r="M348" i="36"/>
  <c r="M345" i="36"/>
  <c r="M344" i="36"/>
  <c r="M343" i="36"/>
  <c r="M342" i="36"/>
  <c r="M341" i="36"/>
  <c r="AG313" i="36"/>
  <c r="AF313" i="36"/>
  <c r="AE313" i="36"/>
  <c r="AD313" i="36"/>
  <c r="V313" i="36"/>
  <c r="U313" i="36"/>
  <c r="T313" i="36"/>
  <c r="R313" i="36"/>
  <c r="Q313" i="36"/>
  <c r="P313" i="36"/>
  <c r="O313" i="36"/>
  <c r="N313" i="36"/>
  <c r="L451" i="36"/>
  <c r="L450" i="36"/>
  <c r="L449" i="36"/>
  <c r="L448" i="36"/>
  <c r="L438" i="36"/>
  <c r="L437" i="36"/>
  <c r="L436" i="36"/>
  <c r="L433" i="36"/>
  <c r="L432" i="36"/>
  <c r="L431" i="36"/>
  <c r="L430" i="36"/>
  <c r="L429" i="36"/>
  <c r="L407" i="36"/>
  <c r="L406" i="36"/>
  <c r="L405" i="36"/>
  <c r="L404" i="36"/>
  <c r="L394" i="36"/>
  <c r="L393" i="36"/>
  <c r="L392" i="36"/>
  <c r="L389" i="36"/>
  <c r="L388" i="36"/>
  <c r="L387" i="36"/>
  <c r="L386" i="36"/>
  <c r="L385" i="36"/>
  <c r="L363" i="36"/>
  <c r="L362" i="36"/>
  <c r="L361" i="36"/>
  <c r="L360" i="36"/>
  <c r="L359" i="36"/>
  <c r="L350" i="36"/>
  <c r="L349" i="36"/>
  <c r="L348" i="36"/>
  <c r="L345" i="36"/>
  <c r="L344" i="36"/>
  <c r="L343" i="36"/>
  <c r="L342" i="36"/>
  <c r="L341" i="36"/>
  <c r="AG312" i="36"/>
  <c r="AF312" i="36"/>
  <c r="AE312" i="36"/>
  <c r="AD312" i="36"/>
  <c r="V312" i="36"/>
  <c r="U312" i="36"/>
  <c r="T312" i="36"/>
  <c r="R312" i="36"/>
  <c r="Q312" i="36"/>
  <c r="P312" i="36"/>
  <c r="O312" i="36"/>
  <c r="N312" i="36"/>
  <c r="K451" i="36"/>
  <c r="K450" i="36"/>
  <c r="K449" i="36"/>
  <c r="K448" i="36"/>
  <c r="K433" i="36"/>
  <c r="K432" i="36"/>
  <c r="K431" i="36"/>
  <c r="K430" i="36"/>
  <c r="K429" i="36"/>
  <c r="K407" i="36"/>
  <c r="K406" i="36"/>
  <c r="K405" i="36"/>
  <c r="K404" i="36"/>
  <c r="K392" i="36"/>
  <c r="K391" i="36"/>
  <c r="K389" i="36"/>
  <c r="K388" i="36"/>
  <c r="K387" i="36"/>
  <c r="K386" i="36"/>
  <c r="K385" i="36"/>
  <c r="K363" i="36"/>
  <c r="K362" i="36"/>
  <c r="K361" i="36"/>
  <c r="K360" i="36"/>
  <c r="K359" i="36"/>
  <c r="K345" i="36"/>
  <c r="K344" i="36"/>
  <c r="K343" i="36"/>
  <c r="K342" i="36"/>
  <c r="K341" i="36"/>
  <c r="AG311" i="36"/>
  <c r="AF311" i="36"/>
  <c r="AE311" i="36"/>
  <c r="AD311" i="36"/>
  <c r="R311" i="36"/>
  <c r="Q311" i="36"/>
  <c r="P311" i="36"/>
  <c r="O311" i="36"/>
  <c r="N311" i="36"/>
  <c r="J451" i="36"/>
  <c r="J450" i="36"/>
  <c r="J449" i="36"/>
  <c r="J448" i="36"/>
  <c r="J442" i="36"/>
  <c r="J438" i="36"/>
  <c r="J437" i="36"/>
  <c r="J436" i="36"/>
  <c r="J433" i="36"/>
  <c r="J432" i="36"/>
  <c r="J431" i="36"/>
  <c r="J430" i="36"/>
  <c r="J429" i="36"/>
  <c r="J407" i="36"/>
  <c r="J406" i="36"/>
  <c r="J405" i="36"/>
  <c r="J404" i="36"/>
  <c r="J398" i="36"/>
  <c r="J394" i="36"/>
  <c r="J393" i="36"/>
  <c r="J392" i="36"/>
  <c r="J391" i="36"/>
  <c r="J389" i="36"/>
  <c r="J388" i="36"/>
  <c r="J387" i="36"/>
  <c r="J386" i="36"/>
  <c r="J385" i="36"/>
  <c r="J363" i="36"/>
  <c r="J362" i="36"/>
  <c r="J361" i="36"/>
  <c r="J360" i="36"/>
  <c r="J359" i="36"/>
  <c r="J354" i="36"/>
  <c r="J350" i="36"/>
  <c r="J349" i="36"/>
  <c r="J348" i="36"/>
  <c r="J345" i="36"/>
  <c r="J344" i="36"/>
  <c r="J343" i="36"/>
  <c r="J342" i="36"/>
  <c r="J341" i="36"/>
  <c r="AG310" i="36"/>
  <c r="AF310" i="36"/>
  <c r="AE310" i="36"/>
  <c r="AD310" i="36"/>
  <c r="Y310" i="36"/>
  <c r="V310" i="36"/>
  <c r="U310" i="36"/>
  <c r="T310" i="36"/>
  <c r="R310" i="36"/>
  <c r="Q310" i="36"/>
  <c r="P310" i="36"/>
  <c r="O310" i="36"/>
  <c r="N310" i="36"/>
  <c r="H451" i="36"/>
  <c r="H450" i="36"/>
  <c r="H449" i="36"/>
  <c r="H448" i="36"/>
  <c r="H445" i="36"/>
  <c r="H444" i="36"/>
  <c r="H442" i="36"/>
  <c r="H441" i="36"/>
  <c r="H439" i="36"/>
  <c r="H438" i="36"/>
  <c r="H436" i="36"/>
  <c r="H435" i="36"/>
  <c r="H433" i="36"/>
  <c r="H432" i="36"/>
  <c r="H431" i="36"/>
  <c r="H430" i="36"/>
  <c r="H407" i="36"/>
  <c r="H406" i="36"/>
  <c r="H405" i="36"/>
  <c r="H404" i="36"/>
  <c r="H401" i="36"/>
  <c r="H400" i="36"/>
  <c r="H398" i="36"/>
  <c r="H397" i="36"/>
  <c r="H395" i="36"/>
  <c r="H394" i="36"/>
  <c r="H392" i="36"/>
  <c r="H391" i="36"/>
  <c r="H389" i="36"/>
  <c r="H388" i="36"/>
  <c r="H387" i="36"/>
  <c r="H386" i="36"/>
  <c r="H385" i="36"/>
  <c r="H363" i="36"/>
  <c r="H362" i="36"/>
  <c r="H361" i="36"/>
  <c r="H360" i="36"/>
  <c r="H359" i="36"/>
  <c r="H357" i="36"/>
  <c r="H356" i="36"/>
  <c r="H354" i="36"/>
  <c r="H353" i="36"/>
  <c r="H351" i="36"/>
  <c r="H350" i="36"/>
  <c r="H348" i="36"/>
  <c r="H347" i="36"/>
  <c r="H345" i="36"/>
  <c r="H344" i="36"/>
  <c r="H343" i="36"/>
  <c r="H342" i="36"/>
  <c r="AG308" i="36"/>
  <c r="AF308" i="36"/>
  <c r="AE308" i="36"/>
  <c r="AD308" i="36"/>
  <c r="AB308" i="36"/>
  <c r="AA308" i="36"/>
  <c r="Y308" i="36"/>
  <c r="X308" i="36"/>
  <c r="W308" i="36"/>
  <c r="V308" i="36"/>
  <c r="T308" i="36"/>
  <c r="S308" i="36"/>
  <c r="R308" i="36"/>
  <c r="Q308" i="36"/>
  <c r="P308" i="36"/>
  <c r="O308" i="36"/>
  <c r="G451" i="36"/>
  <c r="G450" i="36"/>
  <c r="G449" i="36"/>
  <c r="G448" i="36"/>
  <c r="G443" i="36"/>
  <c r="G442" i="36"/>
  <c r="G439" i="36"/>
  <c r="G438" i="36"/>
  <c r="G437" i="36"/>
  <c r="G436" i="36"/>
  <c r="G435" i="36"/>
  <c r="G433" i="36"/>
  <c r="G432" i="36"/>
  <c r="G431" i="36"/>
  <c r="G430" i="36"/>
  <c r="G429" i="36"/>
  <c r="G407" i="36"/>
  <c r="G406" i="36"/>
  <c r="G405" i="36"/>
  <c r="G404" i="36"/>
  <c r="G399" i="36"/>
  <c r="G398" i="36"/>
  <c r="G395" i="36"/>
  <c r="G394" i="36"/>
  <c r="G393" i="36"/>
  <c r="G392" i="36"/>
  <c r="G391" i="36"/>
  <c r="G389" i="36"/>
  <c r="G388" i="36"/>
  <c r="G387" i="36"/>
  <c r="G386" i="36"/>
  <c r="G385" i="36"/>
  <c r="G363" i="36"/>
  <c r="G362" i="36"/>
  <c r="G361" i="36"/>
  <c r="G360" i="36"/>
  <c r="G359" i="36"/>
  <c r="G355" i="36"/>
  <c r="G354" i="36"/>
  <c r="G351" i="36"/>
  <c r="G350" i="36"/>
  <c r="G349" i="36"/>
  <c r="G348" i="36"/>
  <c r="G347" i="36"/>
  <c r="G345" i="36"/>
  <c r="G344" i="36"/>
  <c r="G343" i="36"/>
  <c r="G342" i="36"/>
  <c r="G341" i="36"/>
  <c r="AG307" i="36"/>
  <c r="AF307" i="36"/>
  <c r="AE307" i="36"/>
  <c r="AD307" i="36"/>
  <c r="Z307" i="36"/>
  <c r="Y307" i="36"/>
  <c r="W307" i="36"/>
  <c r="V307" i="36"/>
  <c r="U307" i="36"/>
  <c r="T307" i="36"/>
  <c r="S307" i="36"/>
  <c r="R307" i="36"/>
  <c r="Q307" i="36"/>
  <c r="P307" i="36"/>
  <c r="O307" i="36"/>
  <c r="N307" i="36"/>
  <c r="E451" i="36"/>
  <c r="E450" i="36"/>
  <c r="E449" i="36"/>
  <c r="E448" i="36"/>
  <c r="E445" i="36"/>
  <c r="E444" i="36"/>
  <c r="E443" i="36"/>
  <c r="E441" i="36"/>
  <c r="E439" i="36"/>
  <c r="E438" i="36"/>
  <c r="E437" i="36"/>
  <c r="E436" i="36"/>
  <c r="E435" i="36"/>
  <c r="E433" i="36"/>
  <c r="E432" i="36"/>
  <c r="E431" i="36"/>
  <c r="E430" i="36"/>
  <c r="E429" i="36"/>
  <c r="E407" i="36"/>
  <c r="E406" i="36"/>
  <c r="E405" i="36"/>
  <c r="E404" i="36"/>
  <c r="E401" i="36"/>
  <c r="E400" i="36"/>
  <c r="E399" i="36"/>
  <c r="E397" i="36"/>
  <c r="E395" i="36"/>
  <c r="E394" i="36"/>
  <c r="E393" i="36"/>
  <c r="E392" i="36"/>
  <c r="E391" i="36"/>
  <c r="E389" i="36"/>
  <c r="E388" i="36"/>
  <c r="E387" i="36"/>
  <c r="E386" i="36"/>
  <c r="E385" i="36"/>
  <c r="E363" i="36"/>
  <c r="E362" i="36"/>
  <c r="E361" i="36"/>
  <c r="E360" i="36"/>
  <c r="E359" i="36"/>
  <c r="E357" i="36"/>
  <c r="E356" i="36"/>
  <c r="E355" i="36"/>
  <c r="E353" i="36"/>
  <c r="E351" i="36"/>
  <c r="E350" i="36"/>
  <c r="E349" i="36"/>
  <c r="E348" i="36"/>
  <c r="E347" i="36"/>
  <c r="E345" i="36"/>
  <c r="E344" i="36"/>
  <c r="E343" i="36"/>
  <c r="E342" i="36"/>
  <c r="E341" i="36"/>
  <c r="AG305" i="36"/>
  <c r="AF305" i="36"/>
  <c r="AE305" i="36"/>
  <c r="AD305" i="36"/>
  <c r="AB305" i="36"/>
  <c r="AA305" i="36"/>
  <c r="Z305" i="36"/>
  <c r="X305" i="36"/>
  <c r="W305" i="36"/>
  <c r="V305" i="36"/>
  <c r="U305" i="36"/>
  <c r="T305" i="36"/>
  <c r="S305" i="36"/>
  <c r="R305" i="36"/>
  <c r="Q305" i="36"/>
  <c r="P305" i="36"/>
  <c r="O305" i="36"/>
  <c r="N305" i="36"/>
  <c r="D451" i="36"/>
  <c r="D450" i="36"/>
  <c r="D449" i="36"/>
  <c r="D448" i="36"/>
  <c r="D447" i="36"/>
  <c r="D439" i="36"/>
  <c r="D438" i="36"/>
  <c r="D437" i="36"/>
  <c r="D436" i="36"/>
  <c r="D435" i="36"/>
  <c r="D433" i="36"/>
  <c r="D432" i="36"/>
  <c r="D431" i="36"/>
  <c r="D430" i="36"/>
  <c r="D407" i="36"/>
  <c r="D406" i="36"/>
  <c r="D405" i="36"/>
  <c r="D404" i="36"/>
  <c r="D403" i="36"/>
  <c r="D395" i="36"/>
  <c r="D394" i="36"/>
  <c r="D393" i="36"/>
  <c r="D392" i="36"/>
  <c r="D391" i="36"/>
  <c r="D389" i="36"/>
  <c r="D388" i="36"/>
  <c r="D387" i="36"/>
  <c r="D386" i="36"/>
  <c r="D363" i="36"/>
  <c r="D362" i="36"/>
  <c r="D361" i="36"/>
  <c r="D360" i="36"/>
  <c r="D359" i="36"/>
  <c r="D351" i="36"/>
  <c r="D350" i="36"/>
  <c r="D349" i="36"/>
  <c r="D348" i="36"/>
  <c r="D347" i="36"/>
  <c r="D345" i="36"/>
  <c r="D344" i="36"/>
  <c r="D343" i="36"/>
  <c r="D342" i="36"/>
  <c r="AG304" i="36"/>
  <c r="AF304" i="36"/>
  <c r="AE304" i="36"/>
  <c r="AD304" i="36"/>
  <c r="AC304" i="36"/>
  <c r="W304" i="36"/>
  <c r="V304" i="36"/>
  <c r="U304" i="36"/>
  <c r="T304" i="36"/>
  <c r="S304" i="36"/>
  <c r="R304" i="36"/>
  <c r="Q304" i="36"/>
  <c r="P304" i="36"/>
  <c r="O304" i="36"/>
  <c r="F304" i="36" l="1"/>
  <c r="H304" i="36"/>
  <c r="E305" i="36"/>
  <c r="K305" i="36"/>
  <c r="L305" i="36"/>
  <c r="F305" i="36"/>
  <c r="M305" i="36"/>
  <c r="N306" i="36"/>
  <c r="O306" i="36"/>
  <c r="P306" i="36"/>
  <c r="Q306" i="36"/>
  <c r="R306" i="36"/>
  <c r="S306" i="36"/>
  <c r="T306" i="36"/>
  <c r="U306" i="36"/>
  <c r="V306" i="36"/>
  <c r="W306" i="36"/>
  <c r="X306" i="36"/>
  <c r="Y306" i="36"/>
  <c r="Z306" i="36"/>
  <c r="AA306" i="36"/>
  <c r="AB306" i="36"/>
  <c r="AD306" i="36"/>
  <c r="AE306" i="36"/>
  <c r="AF306" i="36"/>
  <c r="AG306" i="36"/>
  <c r="E307" i="36"/>
  <c r="F307" i="36"/>
  <c r="J307" i="36"/>
  <c r="K307" i="36"/>
  <c r="J308" i="36"/>
  <c r="L308" i="36"/>
  <c r="M308" i="36"/>
  <c r="N309" i="36"/>
  <c r="O309" i="36"/>
  <c r="P309" i="36"/>
  <c r="Q309" i="36"/>
  <c r="R309" i="36"/>
  <c r="S309" i="36"/>
  <c r="T309" i="36"/>
  <c r="U309" i="36"/>
  <c r="V309" i="36"/>
  <c r="W309" i="36"/>
  <c r="X309" i="36"/>
  <c r="Y309" i="36"/>
  <c r="Z309" i="36"/>
  <c r="AA309" i="36"/>
  <c r="AB309" i="36"/>
  <c r="AD309" i="36"/>
  <c r="AE309" i="36"/>
  <c r="AF309" i="36"/>
  <c r="AG309" i="36"/>
  <c r="E310" i="36"/>
  <c r="J310" i="36"/>
  <c r="E311" i="36"/>
  <c r="E312" i="36"/>
  <c r="E313" i="36"/>
  <c r="N314" i="36"/>
  <c r="O314" i="36"/>
  <c r="P314" i="36"/>
  <c r="Q314" i="36"/>
  <c r="R314" i="36"/>
  <c r="S314" i="36"/>
  <c r="T314" i="36"/>
  <c r="U314" i="36"/>
  <c r="V314" i="36"/>
  <c r="W314" i="36"/>
  <c r="X314" i="36"/>
  <c r="Y314" i="36"/>
  <c r="Z314" i="36"/>
  <c r="AA314" i="36"/>
  <c r="AB314" i="36"/>
  <c r="AD314" i="36"/>
  <c r="AE314" i="36"/>
  <c r="AF314" i="36"/>
  <c r="AG314" i="36"/>
  <c r="E315" i="36"/>
  <c r="N316" i="36"/>
  <c r="O316" i="36"/>
  <c r="P316" i="36"/>
  <c r="Q316" i="36"/>
  <c r="R316" i="36"/>
  <c r="S316" i="36"/>
  <c r="T316" i="36"/>
  <c r="U316" i="36"/>
  <c r="V316" i="36"/>
  <c r="W316" i="36"/>
  <c r="X316" i="36"/>
  <c r="Y316" i="36"/>
  <c r="Z316" i="36"/>
  <c r="AA316" i="36"/>
  <c r="AB316" i="36"/>
  <c r="AD316" i="36"/>
  <c r="AE316" i="36"/>
  <c r="AF316" i="36"/>
  <c r="AG316" i="36"/>
  <c r="K317" i="36"/>
  <c r="L317" i="36"/>
  <c r="F317" i="36"/>
  <c r="J317" i="36"/>
  <c r="N318" i="36"/>
  <c r="O318" i="36"/>
  <c r="P318" i="36"/>
  <c r="Q318" i="36"/>
  <c r="R318" i="36"/>
  <c r="S318" i="36"/>
  <c r="T318" i="36"/>
  <c r="U318" i="36"/>
  <c r="V318" i="36"/>
  <c r="W318" i="36"/>
  <c r="X318" i="36"/>
  <c r="Y318" i="36"/>
  <c r="Z318" i="36"/>
  <c r="AA318" i="36"/>
  <c r="AB318" i="36"/>
  <c r="AD318" i="36"/>
  <c r="AE318" i="36"/>
  <c r="AF318" i="36"/>
  <c r="AG318" i="36"/>
  <c r="E319" i="36"/>
  <c r="L319" i="36"/>
  <c r="M319" i="36"/>
  <c r="K319" i="36"/>
  <c r="J319" i="36"/>
  <c r="G319" i="36"/>
  <c r="G322" i="36"/>
  <c r="O322" i="36"/>
  <c r="E324" i="36"/>
  <c r="M324" i="36"/>
  <c r="D325" i="36"/>
  <c r="L325" i="36"/>
  <c r="K326" i="36"/>
  <c r="S326" i="36"/>
  <c r="E335" i="36"/>
  <c r="S337" i="36"/>
  <c r="I339" i="36"/>
  <c r="Q339" i="36"/>
  <c r="R341" i="36"/>
  <c r="I336" i="36"/>
  <c r="Q336" i="36"/>
  <c r="R342" i="36"/>
  <c r="S336" i="36"/>
  <c r="R343" i="36"/>
  <c r="I338" i="36"/>
  <c r="Q338" i="36"/>
  <c r="R344" i="36"/>
  <c r="E339" i="36"/>
  <c r="H339" i="36"/>
  <c r="R345" i="36"/>
  <c r="S339" i="36"/>
  <c r="R347" i="36"/>
  <c r="R348" i="36"/>
  <c r="R349" i="36"/>
  <c r="R350" i="36"/>
  <c r="R351" i="36"/>
  <c r="R353" i="36"/>
  <c r="R354" i="36"/>
  <c r="R355" i="36"/>
  <c r="R356" i="36"/>
  <c r="R357" i="36"/>
  <c r="F326" i="36"/>
  <c r="H326" i="36"/>
  <c r="J326" i="36"/>
  <c r="N326" i="36"/>
  <c r="P326" i="36"/>
  <c r="R359" i="36"/>
  <c r="R326" i="36" s="1"/>
  <c r="E325" i="36"/>
  <c r="F325" i="36"/>
  <c r="G325" i="36"/>
  <c r="I325" i="36"/>
  <c r="J325" i="36"/>
  <c r="K325" i="36"/>
  <c r="M325" i="36"/>
  <c r="N325" i="36"/>
  <c r="O325" i="36"/>
  <c r="P325" i="36"/>
  <c r="Q325" i="36"/>
  <c r="R360" i="36"/>
  <c r="R325" i="36" s="1"/>
  <c r="S325" i="36"/>
  <c r="D324" i="36"/>
  <c r="F324" i="36"/>
  <c r="H324" i="36"/>
  <c r="I324" i="36"/>
  <c r="J324" i="36"/>
  <c r="K324" i="36"/>
  <c r="L324" i="36"/>
  <c r="N324" i="36"/>
  <c r="O324" i="36"/>
  <c r="P324" i="36"/>
  <c r="Q324" i="36"/>
  <c r="R361" i="36"/>
  <c r="R324" i="36" s="1"/>
  <c r="S324" i="36"/>
  <c r="D323" i="36"/>
  <c r="G323" i="36"/>
  <c r="H323" i="36"/>
  <c r="I323" i="36"/>
  <c r="J323" i="36"/>
  <c r="K323" i="36"/>
  <c r="L323" i="36"/>
  <c r="M323" i="36"/>
  <c r="N323" i="36"/>
  <c r="O323" i="36"/>
  <c r="P323" i="36"/>
  <c r="Q323" i="36"/>
  <c r="R362" i="36"/>
  <c r="R323" i="36" s="1"/>
  <c r="S323" i="36"/>
  <c r="D322" i="36"/>
  <c r="F322" i="36"/>
  <c r="H322" i="36"/>
  <c r="I322" i="36"/>
  <c r="J322" i="36"/>
  <c r="K322" i="36"/>
  <c r="L322" i="36"/>
  <c r="M322" i="36"/>
  <c r="N322" i="36"/>
  <c r="P322" i="36"/>
  <c r="Q322" i="36"/>
  <c r="R363" i="36"/>
  <c r="R322" i="36" s="1"/>
  <c r="S322" i="36"/>
  <c r="R385" i="36"/>
  <c r="H380" i="36"/>
  <c r="J380" i="36"/>
  <c r="M380" i="36"/>
  <c r="Q380" i="36"/>
  <c r="R386" i="36"/>
  <c r="T386" i="36" s="1"/>
  <c r="S380" i="36"/>
  <c r="E381" i="36"/>
  <c r="G381" i="36"/>
  <c r="I381" i="36"/>
  <c r="Q381" i="36"/>
  <c r="R387" i="36"/>
  <c r="S381" i="36"/>
  <c r="H382" i="36"/>
  <c r="I382" i="36"/>
  <c r="Q382" i="36"/>
  <c r="R388" i="36"/>
  <c r="S382" i="36"/>
  <c r="E383" i="36"/>
  <c r="H383" i="36"/>
  <c r="I383" i="36"/>
  <c r="Q383" i="36"/>
  <c r="R389" i="36"/>
  <c r="T389" i="36" s="1"/>
  <c r="S383" i="36"/>
  <c r="R391" i="36"/>
  <c r="I380" i="36"/>
  <c r="R392" i="36"/>
  <c r="T392" i="36" s="1"/>
  <c r="R393" i="36"/>
  <c r="R394" i="36"/>
  <c r="R395" i="36"/>
  <c r="R397" i="36"/>
  <c r="R398" i="36"/>
  <c r="R399" i="36"/>
  <c r="R400" i="36"/>
  <c r="R401" i="36"/>
  <c r="D366" i="36"/>
  <c r="D367" i="36"/>
  <c r="E367" i="36"/>
  <c r="F367" i="36"/>
  <c r="G367" i="36"/>
  <c r="H367" i="36"/>
  <c r="I367" i="36"/>
  <c r="J367" i="36"/>
  <c r="K367" i="36"/>
  <c r="L367" i="36"/>
  <c r="M367" i="36"/>
  <c r="N367" i="36"/>
  <c r="O367" i="36"/>
  <c r="P367" i="36"/>
  <c r="Q367" i="36"/>
  <c r="R404" i="36"/>
  <c r="R367" i="36" s="1"/>
  <c r="S367" i="36"/>
  <c r="D368" i="36"/>
  <c r="E368" i="36"/>
  <c r="F368" i="36"/>
  <c r="G368" i="36"/>
  <c r="H368" i="36"/>
  <c r="I368" i="36"/>
  <c r="J368" i="36"/>
  <c r="K368" i="36"/>
  <c r="L368" i="36"/>
  <c r="M368" i="36"/>
  <c r="N368" i="36"/>
  <c r="O368" i="36"/>
  <c r="P368" i="36"/>
  <c r="Q368" i="36"/>
  <c r="R405" i="36"/>
  <c r="R368" i="36" s="1"/>
  <c r="S368" i="36"/>
  <c r="D369" i="36"/>
  <c r="E369" i="36"/>
  <c r="F369" i="36"/>
  <c r="G369" i="36"/>
  <c r="H369" i="36"/>
  <c r="I369" i="36"/>
  <c r="J369" i="36"/>
  <c r="K369" i="36"/>
  <c r="L369" i="36"/>
  <c r="M369" i="36"/>
  <c r="N369" i="36"/>
  <c r="O369" i="36"/>
  <c r="P369" i="36"/>
  <c r="Q369" i="36"/>
  <c r="R406" i="36"/>
  <c r="R369" i="36" s="1"/>
  <c r="S369" i="36"/>
  <c r="D370" i="36"/>
  <c r="E370" i="36"/>
  <c r="F370" i="36"/>
  <c r="G370" i="36"/>
  <c r="H370" i="36"/>
  <c r="I370" i="36"/>
  <c r="J370" i="36"/>
  <c r="K370" i="36"/>
  <c r="L370" i="36"/>
  <c r="M370" i="36"/>
  <c r="N370" i="36"/>
  <c r="O370" i="36"/>
  <c r="P370" i="36"/>
  <c r="Q370" i="36"/>
  <c r="R407" i="36"/>
  <c r="R370" i="36" s="1"/>
  <c r="S370" i="36"/>
  <c r="R429" i="36"/>
  <c r="G424" i="36"/>
  <c r="H424" i="36"/>
  <c r="I424" i="36"/>
  <c r="Q424" i="36"/>
  <c r="R430" i="36"/>
  <c r="T430" i="36" s="1"/>
  <c r="G425" i="36"/>
  <c r="Q425" i="36"/>
  <c r="R431" i="36"/>
  <c r="T431" i="36" s="1"/>
  <c r="S425" i="36"/>
  <c r="E426" i="36"/>
  <c r="R432" i="36"/>
  <c r="S426" i="36"/>
  <c r="H427" i="36"/>
  <c r="I427" i="36"/>
  <c r="Q427" i="36"/>
  <c r="R433" i="36"/>
  <c r="S427" i="36"/>
  <c r="R435" i="36"/>
  <c r="J424" i="36"/>
  <c r="R436" i="36"/>
  <c r="S424" i="36"/>
  <c r="I425" i="36"/>
  <c r="R437" i="36"/>
  <c r="I426" i="36"/>
  <c r="Q426" i="36"/>
  <c r="R438" i="36"/>
  <c r="R439" i="36"/>
  <c r="R441" i="36"/>
  <c r="R442" i="36"/>
  <c r="E425" i="36"/>
  <c r="R443" i="36"/>
  <c r="R444" i="36"/>
  <c r="R445" i="36"/>
  <c r="D410" i="36"/>
  <c r="D411" i="36"/>
  <c r="F411" i="36"/>
  <c r="G411" i="36"/>
  <c r="H411" i="36"/>
  <c r="I411" i="36"/>
  <c r="J411" i="36"/>
  <c r="K411" i="36"/>
  <c r="L411" i="36"/>
  <c r="M411" i="36"/>
  <c r="N411" i="36"/>
  <c r="O411" i="36"/>
  <c r="P411" i="36"/>
  <c r="Q411" i="36"/>
  <c r="R448" i="36"/>
  <c r="R411" i="36" s="1"/>
  <c r="S411" i="36"/>
  <c r="D412" i="36"/>
  <c r="E412" i="36"/>
  <c r="G412" i="36"/>
  <c r="H412" i="36"/>
  <c r="I412" i="36"/>
  <c r="J412" i="36"/>
  <c r="K412" i="36"/>
  <c r="L412" i="36"/>
  <c r="M412" i="36"/>
  <c r="N412" i="36"/>
  <c r="O412" i="36"/>
  <c r="P412" i="36"/>
  <c r="Q412" i="36"/>
  <c r="R449" i="36"/>
  <c r="R412" i="36" s="1"/>
  <c r="S412" i="36"/>
  <c r="D413" i="36"/>
  <c r="F413" i="36"/>
  <c r="G413" i="36"/>
  <c r="H413" i="36"/>
  <c r="I413" i="36"/>
  <c r="J413" i="36"/>
  <c r="K413" i="36"/>
  <c r="L413" i="36"/>
  <c r="M413" i="36"/>
  <c r="N413" i="36"/>
  <c r="O413" i="36"/>
  <c r="P413" i="36"/>
  <c r="Q413" i="36"/>
  <c r="R450" i="36"/>
  <c r="R413" i="36" s="1"/>
  <c r="S413" i="36"/>
  <c r="D414" i="36"/>
  <c r="F414" i="36"/>
  <c r="G414" i="36"/>
  <c r="H414" i="36"/>
  <c r="I414" i="36"/>
  <c r="J414" i="36"/>
  <c r="K414" i="36"/>
  <c r="L414" i="36"/>
  <c r="M414" i="36"/>
  <c r="N414" i="36"/>
  <c r="O414" i="36"/>
  <c r="P414" i="36"/>
  <c r="Q414" i="36"/>
  <c r="R451" i="36"/>
  <c r="R414" i="36" s="1"/>
  <c r="S414"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T448" i="36" l="1"/>
  <c r="T411" i="36" s="1"/>
  <c r="R425" i="36"/>
  <c r="R424" i="36"/>
  <c r="T449" i="36"/>
  <c r="T412" i="36" s="1"/>
  <c r="R427" i="36"/>
  <c r="T405" i="36"/>
  <c r="T368" i="36" s="1"/>
  <c r="R382" i="36"/>
  <c r="R383" i="36"/>
  <c r="R380" i="36"/>
  <c r="R426" i="36"/>
  <c r="R381" i="36"/>
  <c r="T362" i="36"/>
  <c r="T325" i="36" s="1"/>
  <c r="K318" i="36"/>
  <c r="G316" i="36"/>
  <c r="M306" i="36"/>
  <c r="J316" i="36"/>
  <c r="L306" i="36"/>
  <c r="T345" i="36"/>
  <c r="K306" i="36"/>
  <c r="J318" i="36"/>
  <c r="R338" i="36"/>
  <c r="G314" i="36"/>
  <c r="K314" i="36"/>
  <c r="M316" i="36"/>
  <c r="F309" i="36"/>
  <c r="G306" i="36"/>
  <c r="M309" i="36"/>
  <c r="J306" i="36"/>
  <c r="R337" i="36"/>
  <c r="F323" i="36"/>
  <c r="F318" i="36"/>
  <c r="L316" i="36"/>
  <c r="E316" i="36"/>
  <c r="F314" i="36"/>
  <c r="L309" i="36"/>
  <c r="E306" i="36"/>
  <c r="R335" i="36"/>
  <c r="M318" i="36"/>
  <c r="M314" i="36"/>
  <c r="G309" i="36"/>
  <c r="K309" i="36"/>
  <c r="J314" i="36"/>
  <c r="L314" i="36"/>
  <c r="J309" i="36"/>
  <c r="F316" i="36"/>
  <c r="E309" i="36"/>
  <c r="H426" i="36"/>
  <c r="E427" i="36"/>
  <c r="T450" i="36"/>
  <c r="T413" i="36" s="1"/>
  <c r="T451" i="36"/>
  <c r="T414" i="36" s="1"/>
  <c r="E414" i="36"/>
  <c r="E413" i="36"/>
  <c r="F412" i="36"/>
  <c r="T404" i="36"/>
  <c r="T367" i="36" s="1"/>
  <c r="T344" i="36"/>
  <c r="E338" i="36"/>
  <c r="T343" i="36"/>
  <c r="G317" i="36"/>
  <c r="T433" i="36"/>
  <c r="T432" i="36"/>
  <c r="E411" i="36"/>
  <c r="Q326" i="36"/>
  <c r="I326" i="36"/>
  <c r="S338" i="36"/>
  <c r="S335" i="36"/>
  <c r="G318" i="36"/>
  <c r="E317" i="36"/>
  <c r="H325" i="36"/>
  <c r="T360" i="36"/>
  <c r="T323" i="36" s="1"/>
  <c r="R339" i="36"/>
  <c r="R336" i="36"/>
  <c r="J336" i="36"/>
  <c r="E382" i="36"/>
  <c r="O380" i="36"/>
  <c r="G380" i="36"/>
  <c r="T361" i="36"/>
  <c r="T324" i="36" s="1"/>
  <c r="G324" i="36"/>
  <c r="Q337" i="36"/>
  <c r="I337" i="36"/>
  <c r="Q335" i="36"/>
  <c r="I335" i="36"/>
  <c r="L318" i="36"/>
  <c r="T407" i="36"/>
  <c r="T370" i="36" s="1"/>
  <c r="T388" i="36"/>
  <c r="H338" i="36"/>
  <c r="H336" i="36"/>
  <c r="K316" i="36"/>
  <c r="T406" i="36"/>
  <c r="T369" i="36" s="1"/>
  <c r="T387" i="36"/>
  <c r="E322" i="36"/>
  <c r="T363" i="36"/>
  <c r="T326" i="36" s="1"/>
  <c r="G337" i="36"/>
  <c r="T342" i="36"/>
  <c r="G336" i="36"/>
  <c r="M317" i="36"/>
  <c r="O326" i="36"/>
  <c r="G326" i="36"/>
  <c r="T359" i="36"/>
  <c r="T322" i="36" s="1"/>
  <c r="F306" i="36"/>
  <c r="E337" i="36"/>
  <c r="O335" i="36"/>
  <c r="M326" i="36"/>
  <c r="E326" i="36"/>
  <c r="E318" i="36"/>
  <c r="E314" i="36"/>
  <c r="L326" i="36"/>
  <c r="D326" i="36"/>
  <c r="F319" i="36"/>
  <c r="E323" i="36"/>
  <c r="U496" i="5"/>
  <c r="T496" i="5"/>
  <c r="U495" i="5"/>
  <c r="T495" i="5"/>
  <c r="U494" i="5"/>
  <c r="T494" i="5"/>
  <c r="U493" i="5"/>
  <c r="T493" i="5"/>
  <c r="U492" i="5"/>
  <c r="T492" i="5"/>
  <c r="U491" i="5"/>
  <c r="T491" i="5"/>
  <c r="U490" i="5"/>
  <c r="T490" i="5"/>
  <c r="U489" i="5"/>
  <c r="T489" i="5"/>
  <c r="U488" i="5"/>
  <c r="T488" i="5"/>
  <c r="U487" i="5"/>
  <c r="T487" i="5"/>
  <c r="U486" i="5"/>
  <c r="T486" i="5"/>
  <c r="U485" i="5"/>
  <c r="T485" i="5"/>
  <c r="U477" i="5"/>
  <c r="T477" i="5"/>
  <c r="U476" i="5"/>
  <c r="T476" i="5"/>
  <c r="U475" i="5"/>
  <c r="T475" i="5"/>
  <c r="U474" i="5"/>
  <c r="T474" i="5"/>
  <c r="U471" i="5"/>
  <c r="T471" i="5"/>
  <c r="U470" i="5"/>
  <c r="T470" i="5"/>
  <c r="U461" i="5"/>
  <c r="T461" i="5"/>
  <c r="U445" i="5"/>
  <c r="T445" i="5"/>
  <c r="U444" i="5"/>
  <c r="T444" i="5"/>
  <c r="U443" i="5"/>
  <c r="T443" i="5"/>
  <c r="U442" i="5"/>
  <c r="T442" i="5"/>
  <c r="U426" i="5"/>
  <c r="T426" i="5"/>
  <c r="U425" i="5"/>
  <c r="T425" i="5"/>
  <c r="U424" i="5"/>
  <c r="T424" i="5"/>
  <c r="U423" i="5"/>
  <c r="T423" i="5"/>
  <c r="U422" i="5"/>
  <c r="T422" i="5"/>
  <c r="U421" i="5"/>
  <c r="T421" i="5"/>
  <c r="U420" i="5"/>
  <c r="T420" i="5"/>
  <c r="U419" i="5"/>
  <c r="T419" i="5"/>
  <c r="U418" i="5"/>
  <c r="T418" i="5"/>
  <c r="U417" i="5"/>
  <c r="T417" i="5"/>
  <c r="U416" i="5"/>
  <c r="T416" i="5"/>
  <c r="U415" i="5"/>
  <c r="T415" i="5"/>
  <c r="U414" i="5"/>
  <c r="T414" i="5"/>
  <c r="U413" i="5"/>
  <c r="T413" i="5"/>
  <c r="U412" i="5"/>
  <c r="T412" i="5"/>
  <c r="U411" i="5"/>
  <c r="T411" i="5"/>
  <c r="U410" i="5"/>
  <c r="T410" i="5"/>
  <c r="U409" i="5"/>
  <c r="T409" i="5"/>
  <c r="U408" i="5"/>
  <c r="T408" i="5"/>
  <c r="U407" i="5"/>
  <c r="T407" i="5"/>
  <c r="U397" i="5"/>
  <c r="T397" i="5"/>
  <c r="U396" i="5"/>
  <c r="T396" i="5"/>
  <c r="U395" i="5"/>
  <c r="T395" i="5"/>
  <c r="U394" i="5"/>
  <c r="T394" i="5"/>
  <c r="U393" i="5"/>
  <c r="T393" i="5"/>
  <c r="U392" i="5"/>
  <c r="T392" i="5"/>
  <c r="U391" i="5"/>
  <c r="T391" i="5"/>
  <c r="U390" i="5"/>
  <c r="T390" i="5"/>
  <c r="U389" i="5"/>
  <c r="T389" i="5"/>
  <c r="U388" i="5"/>
  <c r="T388" i="5"/>
  <c r="U387" i="5"/>
  <c r="T387" i="5"/>
  <c r="U386" i="5"/>
  <c r="T386" i="5"/>
  <c r="U378" i="5"/>
  <c r="T378" i="5"/>
  <c r="U377" i="5"/>
  <c r="T377" i="5"/>
  <c r="U376" i="5"/>
  <c r="T376" i="5"/>
  <c r="U375" i="5"/>
  <c r="T375" i="5"/>
  <c r="U372" i="5"/>
  <c r="T372" i="5"/>
  <c r="U368" i="5"/>
  <c r="T368" i="5"/>
  <c r="U346" i="5"/>
  <c r="T346" i="5"/>
  <c r="U345" i="5"/>
  <c r="T345" i="5"/>
  <c r="U344" i="5"/>
  <c r="T344" i="5"/>
  <c r="U343" i="5"/>
  <c r="T343" i="5"/>
  <c r="U342" i="5"/>
  <c r="T342" i="5"/>
  <c r="U341" i="5"/>
  <c r="T341" i="5"/>
  <c r="U340" i="5"/>
  <c r="T340" i="5"/>
  <c r="U339" i="5"/>
  <c r="T339" i="5"/>
  <c r="U338" i="5"/>
  <c r="T338" i="5"/>
  <c r="U337" i="5"/>
  <c r="T337" i="5"/>
  <c r="U327" i="5"/>
  <c r="T327" i="5"/>
  <c r="U326" i="5"/>
  <c r="T326" i="5"/>
  <c r="U325" i="5"/>
  <c r="T325" i="5"/>
  <c r="U324" i="5"/>
  <c r="T324" i="5"/>
  <c r="U323" i="5"/>
  <c r="T323" i="5"/>
  <c r="U322" i="5"/>
  <c r="T322" i="5"/>
  <c r="U321" i="5"/>
  <c r="T321" i="5"/>
  <c r="U320" i="5"/>
  <c r="T320" i="5"/>
  <c r="U319" i="5"/>
  <c r="T319" i="5"/>
  <c r="U318" i="5"/>
  <c r="T318" i="5"/>
  <c r="U317" i="5"/>
  <c r="T317" i="5"/>
  <c r="U316" i="5"/>
  <c r="T316" i="5"/>
  <c r="U315" i="5"/>
  <c r="T315" i="5"/>
  <c r="U314" i="5"/>
  <c r="T314" i="5"/>
  <c r="U313" i="5"/>
  <c r="T313" i="5"/>
  <c r="U312" i="5"/>
  <c r="T312" i="5"/>
  <c r="U311" i="5"/>
  <c r="T311" i="5"/>
  <c r="U310" i="5"/>
  <c r="T310" i="5"/>
  <c r="U309" i="5"/>
  <c r="T309" i="5"/>
  <c r="U308" i="5"/>
  <c r="T308" i="5"/>
  <c r="U298" i="5"/>
  <c r="T298" i="5"/>
  <c r="U297" i="5"/>
  <c r="T297" i="5"/>
  <c r="U296" i="5"/>
  <c r="T296" i="5"/>
  <c r="U295" i="5"/>
  <c r="T295" i="5"/>
  <c r="U294" i="5"/>
  <c r="T294" i="5"/>
  <c r="U293" i="5"/>
  <c r="T293" i="5"/>
  <c r="U292" i="5"/>
  <c r="T292" i="5"/>
  <c r="U291" i="5"/>
  <c r="T291" i="5"/>
  <c r="U290" i="5"/>
  <c r="T290" i="5"/>
  <c r="U289" i="5"/>
  <c r="T289" i="5"/>
  <c r="U288" i="5"/>
  <c r="T288" i="5"/>
  <c r="U287" i="5"/>
  <c r="T287" i="5"/>
  <c r="U279" i="5"/>
  <c r="T279" i="5"/>
  <c r="U278" i="5"/>
  <c r="T278" i="5"/>
  <c r="U277" i="5"/>
  <c r="T277" i="5"/>
  <c r="U276" i="5"/>
  <c r="T276" i="5"/>
  <c r="U247" i="5"/>
  <c r="T247" i="5"/>
  <c r="U246" i="5"/>
  <c r="T246" i="5"/>
  <c r="U245" i="5"/>
  <c r="T245" i="5"/>
  <c r="U244" i="5"/>
  <c r="T244" i="5"/>
  <c r="U243" i="5"/>
  <c r="T243" i="5"/>
  <c r="U242" i="5"/>
  <c r="T242" i="5"/>
  <c r="U241" i="5"/>
  <c r="T241" i="5"/>
  <c r="U228" i="5"/>
  <c r="T228" i="5"/>
  <c r="U227" i="5"/>
  <c r="T227" i="5"/>
  <c r="U226" i="5"/>
  <c r="T226" i="5"/>
  <c r="U225" i="5"/>
  <c r="T225" i="5"/>
  <c r="U224" i="5"/>
  <c r="T224" i="5"/>
  <c r="U223" i="5"/>
  <c r="T223" i="5"/>
  <c r="U222" i="5"/>
  <c r="T222" i="5"/>
  <c r="U221" i="5"/>
  <c r="T221" i="5"/>
  <c r="U220" i="5"/>
  <c r="T220" i="5"/>
  <c r="U219" i="5"/>
  <c r="T219" i="5"/>
  <c r="U218" i="5"/>
  <c r="T218" i="5"/>
  <c r="U217" i="5"/>
  <c r="T217" i="5"/>
  <c r="U216" i="5"/>
  <c r="T216" i="5"/>
  <c r="U215" i="5"/>
  <c r="T215" i="5"/>
  <c r="U214" i="5"/>
  <c r="T214" i="5"/>
  <c r="U213" i="5"/>
  <c r="T213" i="5"/>
  <c r="U212" i="5"/>
  <c r="T212" i="5"/>
  <c r="U211" i="5"/>
  <c r="T211" i="5"/>
  <c r="U210" i="5"/>
  <c r="T210" i="5"/>
  <c r="U209" i="5"/>
  <c r="T209" i="5"/>
  <c r="U199" i="5"/>
  <c r="T199" i="5"/>
  <c r="U198" i="5"/>
  <c r="T198" i="5"/>
  <c r="U197" i="5"/>
  <c r="T197" i="5"/>
  <c r="U196" i="5"/>
  <c r="T196" i="5"/>
  <c r="U195" i="5"/>
  <c r="T195" i="5"/>
  <c r="U194" i="5"/>
  <c r="T194" i="5"/>
  <c r="U193" i="5"/>
  <c r="T193" i="5"/>
  <c r="U192" i="5"/>
  <c r="T192" i="5"/>
  <c r="U191" i="5"/>
  <c r="T191" i="5"/>
  <c r="U190" i="5"/>
  <c r="T190" i="5"/>
  <c r="U189" i="5"/>
  <c r="T189" i="5"/>
  <c r="U188" i="5"/>
  <c r="T188" i="5"/>
  <c r="U180" i="5"/>
  <c r="T180" i="5"/>
  <c r="U179" i="5"/>
  <c r="T179" i="5"/>
  <c r="U178" i="5"/>
  <c r="T178" i="5"/>
  <c r="U177" i="5"/>
  <c r="T177" i="5"/>
  <c r="U176" i="5"/>
  <c r="T176" i="5"/>
  <c r="U175" i="5"/>
  <c r="T175" i="5"/>
  <c r="U174" i="5"/>
  <c r="T174" i="5"/>
  <c r="U173" i="5"/>
  <c r="T173" i="5"/>
  <c r="U172" i="5"/>
  <c r="T172" i="5"/>
  <c r="U171" i="5"/>
  <c r="T171" i="5"/>
  <c r="U168" i="5"/>
  <c r="T168" i="5"/>
  <c r="U166" i="5"/>
  <c r="T166" i="5"/>
  <c r="U165" i="5"/>
  <c r="T165" i="5"/>
  <c r="U148" i="5"/>
  <c r="T148" i="5"/>
  <c r="U147" i="5"/>
  <c r="T147" i="5"/>
  <c r="U146" i="5"/>
  <c r="T146" i="5"/>
  <c r="U145" i="5"/>
  <c r="T145" i="5"/>
  <c r="U144" i="5"/>
  <c r="T144" i="5"/>
  <c r="U143" i="5"/>
  <c r="T143" i="5"/>
  <c r="U142" i="5"/>
  <c r="T142" i="5"/>
  <c r="U141" i="5"/>
  <c r="T141" i="5"/>
  <c r="U140" i="5"/>
  <c r="T140" i="5"/>
  <c r="U129" i="5"/>
  <c r="T129" i="5"/>
  <c r="U128" i="5"/>
  <c r="T128" i="5"/>
  <c r="U127" i="5"/>
  <c r="T127" i="5"/>
  <c r="U126" i="5"/>
  <c r="T126" i="5"/>
  <c r="U125" i="5"/>
  <c r="T125" i="5"/>
  <c r="U124" i="5"/>
  <c r="T124" i="5"/>
  <c r="U123" i="5"/>
  <c r="T123" i="5"/>
  <c r="U122" i="5"/>
  <c r="T122" i="5"/>
  <c r="U121" i="5"/>
  <c r="T121" i="5"/>
  <c r="U120" i="5"/>
  <c r="T120" i="5"/>
  <c r="U119" i="5"/>
  <c r="T119" i="5"/>
  <c r="U118" i="5"/>
  <c r="T118" i="5"/>
  <c r="U117" i="5"/>
  <c r="T117" i="5"/>
  <c r="U116" i="5"/>
  <c r="T116" i="5"/>
  <c r="U115" i="5"/>
  <c r="T115" i="5"/>
  <c r="U114" i="5"/>
  <c r="T114" i="5"/>
  <c r="U113" i="5"/>
  <c r="T113" i="5"/>
  <c r="U112" i="5"/>
  <c r="T112" i="5"/>
  <c r="U111" i="5"/>
  <c r="T111" i="5"/>
  <c r="U110" i="5"/>
  <c r="T110" i="5"/>
  <c r="U100" i="5"/>
  <c r="T100" i="5"/>
  <c r="U99" i="5"/>
  <c r="T99" i="5"/>
  <c r="U98" i="5"/>
  <c r="T98" i="5"/>
  <c r="U97" i="5"/>
  <c r="T97" i="5"/>
  <c r="U96" i="5"/>
  <c r="T96" i="5"/>
  <c r="U95" i="5"/>
  <c r="T95" i="5"/>
  <c r="U94" i="5"/>
  <c r="T94" i="5"/>
  <c r="U93" i="5"/>
  <c r="T93" i="5"/>
  <c r="U92" i="5"/>
  <c r="T92" i="5"/>
  <c r="U91" i="5"/>
  <c r="T91" i="5"/>
  <c r="U90" i="5"/>
  <c r="T90" i="5"/>
  <c r="U89" i="5"/>
  <c r="T89" i="5"/>
  <c r="U81" i="5"/>
  <c r="T81" i="5"/>
  <c r="U80" i="5"/>
  <c r="T80" i="5"/>
  <c r="U79" i="5"/>
  <c r="T79" i="5"/>
  <c r="U78" i="5"/>
  <c r="T78" i="5"/>
  <c r="U77" i="5"/>
  <c r="T77" i="5"/>
  <c r="U76" i="5"/>
  <c r="T76" i="5"/>
  <c r="U75" i="5"/>
  <c r="T75" i="5"/>
  <c r="U72" i="5"/>
  <c r="T72" i="5"/>
  <c r="U49" i="5"/>
  <c r="T49" i="5"/>
  <c r="U48" i="5"/>
  <c r="T48" i="5"/>
  <c r="U47" i="5"/>
  <c r="T47" i="5"/>
  <c r="U46" i="5"/>
  <c r="T46" i="5"/>
  <c r="U45" i="5"/>
  <c r="T45" i="5"/>
  <c r="U44" i="5"/>
  <c r="T44" i="5"/>
  <c r="U43" i="5"/>
  <c r="T43" i="5"/>
  <c r="T12" i="5"/>
  <c r="T13" i="5"/>
  <c r="U13" i="5"/>
  <c r="T14" i="5"/>
  <c r="U14" i="5"/>
  <c r="T15" i="5"/>
  <c r="U15" i="5"/>
  <c r="T16" i="5"/>
  <c r="U16" i="5"/>
  <c r="T17" i="5"/>
  <c r="U17" i="5"/>
  <c r="T18" i="5"/>
  <c r="U18" i="5"/>
  <c r="T19" i="5"/>
  <c r="U19" i="5"/>
  <c r="T20" i="5"/>
  <c r="U20" i="5"/>
  <c r="T21" i="5"/>
  <c r="U21" i="5"/>
  <c r="T22" i="5"/>
  <c r="U22" i="5"/>
  <c r="T23" i="5"/>
  <c r="U23" i="5"/>
  <c r="T24" i="5"/>
  <c r="U24" i="5"/>
  <c r="T25" i="5"/>
  <c r="U25" i="5"/>
  <c r="T26" i="5"/>
  <c r="U26" i="5"/>
  <c r="T27" i="5"/>
  <c r="U27" i="5"/>
  <c r="T28" i="5"/>
  <c r="U28" i="5"/>
  <c r="T29" i="5"/>
  <c r="U29" i="5"/>
  <c r="T30" i="5"/>
  <c r="U30" i="5"/>
  <c r="L496" i="5"/>
  <c r="L495" i="5"/>
  <c r="L494" i="5"/>
  <c r="L493" i="5"/>
  <c r="L492" i="5"/>
  <c r="L491" i="5"/>
  <c r="L490" i="5"/>
  <c r="L489" i="5"/>
  <c r="L488" i="5"/>
  <c r="L487" i="5"/>
  <c r="L486" i="5"/>
  <c r="L485" i="5"/>
  <c r="L477" i="5"/>
  <c r="L476" i="5"/>
  <c r="L475" i="5"/>
  <c r="L474" i="5"/>
  <c r="L471" i="5"/>
  <c r="L470" i="5"/>
  <c r="L461" i="5"/>
  <c r="L445" i="5"/>
  <c r="L444" i="5"/>
  <c r="L443" i="5"/>
  <c r="L442" i="5"/>
  <c r="L426" i="5"/>
  <c r="L425" i="5"/>
  <c r="L424" i="5"/>
  <c r="L423" i="5"/>
  <c r="L422" i="5"/>
  <c r="L421" i="5"/>
  <c r="L420" i="5"/>
  <c r="L419" i="5"/>
  <c r="L418" i="5"/>
  <c r="L417" i="5"/>
  <c r="L416" i="5"/>
  <c r="L415" i="5"/>
  <c r="L414" i="5"/>
  <c r="L413" i="5"/>
  <c r="L412" i="5"/>
  <c r="L411" i="5"/>
  <c r="L410" i="5"/>
  <c r="L409" i="5"/>
  <c r="L408" i="5"/>
  <c r="L407" i="5"/>
  <c r="L397" i="5"/>
  <c r="L396" i="5"/>
  <c r="L395" i="5"/>
  <c r="L394" i="5"/>
  <c r="L393" i="5"/>
  <c r="L392" i="5"/>
  <c r="L391" i="5"/>
  <c r="L390" i="5"/>
  <c r="L389" i="5"/>
  <c r="L388" i="5"/>
  <c r="L387" i="5"/>
  <c r="L386" i="5"/>
  <c r="L378" i="5"/>
  <c r="L377" i="5"/>
  <c r="L376" i="5"/>
  <c r="L375" i="5"/>
  <c r="L372" i="5"/>
  <c r="L368" i="5"/>
  <c r="L346" i="5"/>
  <c r="L345" i="5"/>
  <c r="L344" i="5"/>
  <c r="L343" i="5"/>
  <c r="L342" i="5"/>
  <c r="L341" i="5"/>
  <c r="L340" i="5"/>
  <c r="L339" i="5"/>
  <c r="L338" i="5"/>
  <c r="L337" i="5"/>
  <c r="L327" i="5"/>
  <c r="L326" i="5"/>
  <c r="L325" i="5"/>
  <c r="L324" i="5"/>
  <c r="L323" i="5"/>
  <c r="L322" i="5"/>
  <c r="L321" i="5"/>
  <c r="L320" i="5"/>
  <c r="L319" i="5"/>
  <c r="L318" i="5"/>
  <c r="L317" i="5"/>
  <c r="L316" i="5"/>
  <c r="L315" i="5"/>
  <c r="L314" i="5"/>
  <c r="L313" i="5"/>
  <c r="L312" i="5"/>
  <c r="L311" i="5"/>
  <c r="L310" i="5"/>
  <c r="L309" i="5"/>
  <c r="L308" i="5"/>
  <c r="L298" i="5"/>
  <c r="L297" i="5"/>
  <c r="L296" i="5"/>
  <c r="L295" i="5"/>
  <c r="L294" i="5"/>
  <c r="L293" i="5"/>
  <c r="L292" i="5"/>
  <c r="L291" i="5"/>
  <c r="L290" i="5"/>
  <c r="L289" i="5"/>
  <c r="L288" i="5"/>
  <c r="L287" i="5"/>
  <c r="L279" i="5"/>
  <c r="L278" i="5"/>
  <c r="L277" i="5"/>
  <c r="L276" i="5"/>
  <c r="L247" i="5"/>
  <c r="L246" i="5"/>
  <c r="L245" i="5"/>
  <c r="L244" i="5"/>
  <c r="L243" i="5"/>
  <c r="L242" i="5"/>
  <c r="L241" i="5"/>
  <c r="L228" i="5"/>
  <c r="L227" i="5"/>
  <c r="L226" i="5"/>
  <c r="L225" i="5"/>
  <c r="L224" i="5"/>
  <c r="L223" i="5"/>
  <c r="L222" i="5"/>
  <c r="L221" i="5"/>
  <c r="L220" i="5"/>
  <c r="L219" i="5"/>
  <c r="L218" i="5"/>
  <c r="L217" i="5"/>
  <c r="L216" i="5"/>
  <c r="L215" i="5"/>
  <c r="L214" i="5"/>
  <c r="L213" i="5"/>
  <c r="L212" i="5"/>
  <c r="L211" i="5"/>
  <c r="L210" i="5"/>
  <c r="L209" i="5"/>
  <c r="L199" i="5"/>
  <c r="L198" i="5"/>
  <c r="L197" i="5"/>
  <c r="L196" i="5"/>
  <c r="L195" i="5"/>
  <c r="L194" i="5"/>
  <c r="L193" i="5"/>
  <c r="L192" i="5"/>
  <c r="L191" i="5"/>
  <c r="L190" i="5"/>
  <c r="L189" i="5"/>
  <c r="L188" i="5"/>
  <c r="L180" i="5"/>
  <c r="L179" i="5"/>
  <c r="L178" i="5"/>
  <c r="L177" i="5"/>
  <c r="L176" i="5"/>
  <c r="L175" i="5"/>
  <c r="L174" i="5"/>
  <c r="L173" i="5"/>
  <c r="L172" i="5"/>
  <c r="L171" i="5"/>
  <c r="L168" i="5"/>
  <c r="L166" i="5"/>
  <c r="L165" i="5"/>
  <c r="L148" i="5"/>
  <c r="L147" i="5"/>
  <c r="L146" i="5"/>
  <c r="L145" i="5"/>
  <c r="L144" i="5"/>
  <c r="L143" i="5"/>
  <c r="L142" i="5"/>
  <c r="L141" i="5"/>
  <c r="L140" i="5"/>
  <c r="L129" i="5"/>
  <c r="L128" i="5"/>
  <c r="L127" i="5"/>
  <c r="L126" i="5"/>
  <c r="L125" i="5"/>
  <c r="L124" i="5"/>
  <c r="L123" i="5"/>
  <c r="L122" i="5"/>
  <c r="L121" i="5"/>
  <c r="L120" i="5"/>
  <c r="L119" i="5"/>
  <c r="L118" i="5"/>
  <c r="L117" i="5"/>
  <c r="L116" i="5"/>
  <c r="L115" i="5"/>
  <c r="L114" i="5"/>
  <c r="L113" i="5"/>
  <c r="L112" i="5"/>
  <c r="L111" i="5"/>
  <c r="L110" i="5"/>
  <c r="L100" i="5"/>
  <c r="L99" i="5"/>
  <c r="L98" i="5"/>
  <c r="L97" i="5"/>
  <c r="L96" i="5"/>
  <c r="L95" i="5"/>
  <c r="L94" i="5"/>
  <c r="L93" i="5"/>
  <c r="L92" i="5"/>
  <c r="L91" i="5"/>
  <c r="L90" i="5"/>
  <c r="L89" i="5"/>
  <c r="L81" i="5"/>
  <c r="L80" i="5"/>
  <c r="L79" i="5"/>
  <c r="L78" i="5"/>
  <c r="L77" i="5"/>
  <c r="L76" i="5"/>
  <c r="L75" i="5"/>
  <c r="L72" i="5"/>
  <c r="L49" i="5"/>
  <c r="L48" i="5"/>
  <c r="L47" i="5"/>
  <c r="L46" i="5"/>
  <c r="L45" i="5"/>
  <c r="L44" i="5"/>
  <c r="L43" i="5"/>
  <c r="L12" i="5"/>
  <c r="L13" i="5"/>
  <c r="L14" i="5"/>
  <c r="L15" i="5"/>
  <c r="L16" i="5"/>
  <c r="L17" i="5"/>
  <c r="L18" i="5"/>
  <c r="L19" i="5"/>
  <c r="L20" i="5"/>
  <c r="L21" i="5"/>
  <c r="L22" i="5"/>
  <c r="L23" i="5"/>
  <c r="L24" i="5"/>
  <c r="L25" i="5"/>
  <c r="L26" i="5"/>
  <c r="L27" i="5"/>
  <c r="L28" i="5"/>
  <c r="L29" i="5"/>
  <c r="L30" i="5"/>
  <c r="E4" i="26"/>
  <c r="F4" i="26" s="1"/>
  <c r="E484" i="26"/>
  <c r="E483" i="26"/>
  <c r="E482" i="26"/>
  <c r="F482" i="26" s="1"/>
  <c r="E481" i="26"/>
  <c r="E480" i="26"/>
  <c r="E479" i="26"/>
  <c r="E478" i="26"/>
  <c r="E477" i="26"/>
  <c r="E476" i="26"/>
  <c r="E475" i="26"/>
  <c r="E474" i="26"/>
  <c r="F474" i="26" s="1"/>
  <c r="E473" i="26"/>
  <c r="E472" i="26"/>
  <c r="E471" i="26"/>
  <c r="E470" i="26"/>
  <c r="E469" i="26"/>
  <c r="E468" i="26"/>
  <c r="E467" i="26"/>
  <c r="E466" i="26"/>
  <c r="F466" i="26" s="1"/>
  <c r="E465" i="26"/>
  <c r="E464" i="26"/>
  <c r="E463" i="26"/>
  <c r="E462" i="26"/>
  <c r="E461" i="26"/>
  <c r="E459" i="26"/>
  <c r="E457" i="26"/>
  <c r="E456" i="26"/>
  <c r="F456" i="26" s="1"/>
  <c r="E455" i="26"/>
  <c r="E454" i="26"/>
  <c r="E453" i="26"/>
  <c r="E452" i="26"/>
  <c r="E451" i="26"/>
  <c r="E450" i="26"/>
  <c r="E449" i="26"/>
  <c r="E448" i="26"/>
  <c r="F448" i="26" s="1"/>
  <c r="E447" i="26"/>
  <c r="E446" i="26"/>
  <c r="E445" i="26"/>
  <c r="E444" i="26"/>
  <c r="E443" i="26"/>
  <c r="E442" i="26"/>
  <c r="E441" i="26"/>
  <c r="E440" i="26"/>
  <c r="F440" i="26" s="1"/>
  <c r="E439" i="26"/>
  <c r="E438" i="26"/>
  <c r="E437" i="26"/>
  <c r="E436" i="26"/>
  <c r="E435" i="26"/>
  <c r="E434" i="26"/>
  <c r="E433" i="26"/>
  <c r="E432" i="26"/>
  <c r="F432" i="26" s="1"/>
  <c r="E431" i="26"/>
  <c r="E430" i="26"/>
  <c r="E429" i="26"/>
  <c r="E428" i="26"/>
  <c r="E427" i="26"/>
  <c r="E426" i="26"/>
  <c r="E425" i="26"/>
  <c r="E424" i="26"/>
  <c r="F424" i="26" s="1"/>
  <c r="E423" i="26"/>
  <c r="E422" i="26"/>
  <c r="E421" i="26"/>
  <c r="E419" i="26"/>
  <c r="E418" i="26"/>
  <c r="E417" i="26"/>
  <c r="E416" i="26"/>
  <c r="E415" i="26"/>
  <c r="F415" i="26" s="1"/>
  <c r="E414" i="26"/>
  <c r="E413" i="26"/>
  <c r="E412" i="26"/>
  <c r="E411" i="26"/>
  <c r="E410" i="26"/>
  <c r="E409" i="26"/>
  <c r="E408" i="26"/>
  <c r="E407" i="26"/>
  <c r="F407" i="26" s="1"/>
  <c r="E406" i="26"/>
  <c r="E405" i="26"/>
  <c r="E404" i="26"/>
  <c r="E403" i="26"/>
  <c r="E402" i="26"/>
  <c r="E401" i="26"/>
  <c r="E400" i="26"/>
  <c r="E399" i="26"/>
  <c r="F399" i="26" s="1"/>
  <c r="E398" i="26"/>
  <c r="E397" i="26"/>
  <c r="E396" i="26"/>
  <c r="E395" i="26"/>
  <c r="E393" i="26"/>
  <c r="E392" i="26"/>
  <c r="E391" i="26"/>
  <c r="E388" i="26"/>
  <c r="F388" i="26" s="1"/>
  <c r="E387" i="26"/>
  <c r="E386" i="26"/>
  <c r="E385" i="26"/>
  <c r="E384" i="26"/>
  <c r="E383" i="26"/>
  <c r="E382" i="26"/>
  <c r="E381" i="26"/>
  <c r="E380" i="26"/>
  <c r="F380" i="26" s="1"/>
  <c r="E378" i="26"/>
  <c r="E377" i="26"/>
  <c r="E375" i="26"/>
  <c r="E374" i="26"/>
  <c r="E373" i="26"/>
  <c r="E372" i="26"/>
  <c r="E371" i="26"/>
  <c r="E370" i="26"/>
  <c r="F370" i="26" s="1"/>
  <c r="E369" i="26"/>
  <c r="E368" i="26"/>
  <c r="E367" i="26"/>
  <c r="E366" i="26"/>
  <c r="E365" i="26"/>
  <c r="E364" i="26"/>
  <c r="E363" i="26"/>
  <c r="E362" i="26"/>
  <c r="F362" i="26" s="1"/>
  <c r="E361" i="26"/>
  <c r="E359" i="26"/>
  <c r="E358" i="26"/>
  <c r="E357" i="26"/>
  <c r="E356" i="26"/>
  <c r="E355" i="26"/>
  <c r="E354" i="26"/>
  <c r="E353" i="26"/>
  <c r="F353" i="26" s="1"/>
  <c r="E352" i="26"/>
  <c r="E351" i="26"/>
  <c r="E350" i="26"/>
  <c r="E349" i="26"/>
  <c r="E348" i="26"/>
  <c r="E347" i="26"/>
  <c r="E346" i="26"/>
  <c r="E345" i="26"/>
  <c r="F345" i="26" s="1"/>
  <c r="E344" i="26"/>
  <c r="E343" i="26"/>
  <c r="E342" i="26"/>
  <c r="E341" i="26"/>
  <c r="E340" i="26"/>
  <c r="E339" i="26"/>
  <c r="E338" i="26"/>
  <c r="E337" i="26"/>
  <c r="F337" i="26" s="1"/>
  <c r="E336" i="26"/>
  <c r="E335" i="26"/>
  <c r="E334" i="26"/>
  <c r="E333" i="26"/>
  <c r="E332" i="26"/>
  <c r="E331" i="26"/>
  <c r="E330" i="26"/>
  <c r="E329" i="26"/>
  <c r="F329" i="26" s="1"/>
  <c r="E328" i="26"/>
  <c r="E327" i="26"/>
  <c r="E326" i="26"/>
  <c r="E325" i="26"/>
  <c r="E324" i="26"/>
  <c r="E323" i="26"/>
  <c r="E322" i="26"/>
  <c r="E321" i="26"/>
  <c r="E320" i="26"/>
  <c r="E319" i="26"/>
  <c r="E318" i="26"/>
  <c r="E317" i="26"/>
  <c r="E316" i="26"/>
  <c r="E315" i="26"/>
  <c r="E314" i="26"/>
  <c r="E313" i="26"/>
  <c r="E312" i="26"/>
  <c r="E311" i="26"/>
  <c r="E310" i="26"/>
  <c r="E309" i="26"/>
  <c r="E308" i="26"/>
  <c r="E307" i="26"/>
  <c r="E306" i="26"/>
  <c r="E305" i="26"/>
  <c r="E304" i="26"/>
  <c r="E303" i="26"/>
  <c r="E302" i="26"/>
  <c r="E301" i="26"/>
  <c r="E300" i="26"/>
  <c r="E299" i="26"/>
  <c r="E298" i="26"/>
  <c r="E297" i="26"/>
  <c r="E296" i="26"/>
  <c r="E295" i="26"/>
  <c r="E294" i="26"/>
  <c r="E292" i="26"/>
  <c r="E291" i="26"/>
  <c r="E288" i="26"/>
  <c r="E287" i="26"/>
  <c r="E286" i="26"/>
  <c r="E285" i="26"/>
  <c r="E284" i="26"/>
  <c r="E283" i="26"/>
  <c r="E282" i="26"/>
  <c r="E281" i="26"/>
  <c r="E280" i="26"/>
  <c r="E279" i="26"/>
  <c r="E278" i="26"/>
  <c r="E277" i="26"/>
  <c r="E276" i="26"/>
  <c r="E275" i="26"/>
  <c r="E274" i="26"/>
  <c r="E273" i="26"/>
  <c r="E270" i="26"/>
  <c r="E268" i="26"/>
  <c r="E267" i="26"/>
  <c r="E266" i="26"/>
  <c r="E265" i="26"/>
  <c r="E264" i="26"/>
  <c r="E263" i="26"/>
  <c r="E261" i="26"/>
  <c r="E260" i="26"/>
  <c r="E259" i="26"/>
  <c r="E258" i="26"/>
  <c r="E257" i="26"/>
  <c r="E255" i="26"/>
  <c r="E254" i="26"/>
  <c r="E253" i="26"/>
  <c r="E252" i="26"/>
  <c r="E251" i="26"/>
  <c r="E249" i="26"/>
  <c r="E248" i="26"/>
  <c r="E247" i="26"/>
  <c r="E246" i="26"/>
  <c r="E245" i="26"/>
  <c r="E244" i="26"/>
  <c r="E242" i="26"/>
  <c r="E241" i="26"/>
  <c r="E240" i="26"/>
  <c r="E239" i="26"/>
  <c r="E237" i="26"/>
  <c r="E236" i="26"/>
  <c r="E235" i="26"/>
  <c r="E234" i="26"/>
  <c r="E233" i="26"/>
  <c r="E232" i="26"/>
  <c r="E231" i="26"/>
  <c r="E230" i="26"/>
  <c r="E229" i="26"/>
  <c r="E228" i="26"/>
  <c r="E227" i="26"/>
  <c r="E226" i="26"/>
  <c r="E225" i="26"/>
  <c r="E224" i="26"/>
  <c r="E223" i="26"/>
  <c r="E222" i="26"/>
  <c r="E221" i="26"/>
  <c r="E220" i="26"/>
  <c r="E219" i="26"/>
  <c r="E218" i="26"/>
  <c r="E217" i="26"/>
  <c r="E216" i="26"/>
  <c r="E215" i="26"/>
  <c r="E214" i="26"/>
  <c r="E213" i="26"/>
  <c r="E212" i="26"/>
  <c r="E211" i="26"/>
  <c r="E210" i="26"/>
  <c r="F210" i="26" s="1"/>
  <c r="E209" i="26"/>
  <c r="E208" i="26"/>
  <c r="F208" i="26" s="1"/>
  <c r="E207" i="26"/>
  <c r="E205" i="26"/>
  <c r="F205" i="26" s="1"/>
  <c r="E204" i="26"/>
  <c r="E203" i="26"/>
  <c r="F203" i="26" s="1"/>
  <c r="E202" i="26"/>
  <c r="F202" i="26" s="1"/>
  <c r="E201" i="26"/>
  <c r="F201" i="26" s="1"/>
  <c r="E200" i="26"/>
  <c r="F200" i="26" s="1"/>
  <c r="E198" i="26"/>
  <c r="F198" i="26" s="1"/>
  <c r="E197" i="26"/>
  <c r="E196" i="26"/>
  <c r="F196" i="26" s="1"/>
  <c r="E195" i="26"/>
  <c r="F195" i="26" s="1"/>
  <c r="E194" i="26"/>
  <c r="F194" i="26" s="1"/>
  <c r="E193" i="26"/>
  <c r="F193" i="26" s="1"/>
  <c r="E192" i="26"/>
  <c r="F192" i="26" s="1"/>
  <c r="E191" i="26"/>
  <c r="F191" i="26" s="1"/>
  <c r="E190" i="26"/>
  <c r="F190" i="26" s="1"/>
  <c r="E189" i="26"/>
  <c r="F189" i="26" s="1"/>
  <c r="E188" i="26"/>
  <c r="F188" i="26" s="1"/>
  <c r="E187" i="26"/>
  <c r="F187" i="26" s="1"/>
  <c r="E186" i="26"/>
  <c r="F186" i="26" s="1"/>
  <c r="E185" i="26"/>
  <c r="F185" i="26" s="1"/>
  <c r="E184" i="26"/>
  <c r="F184" i="26" s="1"/>
  <c r="E183" i="26"/>
  <c r="F183" i="26" s="1"/>
  <c r="E182" i="26"/>
  <c r="F182" i="26" s="1"/>
  <c r="E181" i="26"/>
  <c r="F181" i="26" s="1"/>
  <c r="E180" i="26"/>
  <c r="F180" i="26" s="1"/>
  <c r="E179" i="26"/>
  <c r="F179" i="26" s="1"/>
  <c r="E178" i="26"/>
  <c r="F178" i="26" s="1"/>
  <c r="E177" i="26"/>
  <c r="F177" i="26" s="1"/>
  <c r="E176" i="26"/>
  <c r="F176" i="26" s="1"/>
  <c r="E174" i="26"/>
  <c r="F174" i="26" s="1"/>
  <c r="E171" i="26"/>
  <c r="F171" i="26" s="1"/>
  <c r="E170" i="26"/>
  <c r="F170" i="26" s="1"/>
  <c r="E169" i="26"/>
  <c r="F169" i="26" s="1"/>
  <c r="E167" i="26"/>
  <c r="F167" i="26" s="1"/>
  <c r="E166" i="26"/>
  <c r="F166" i="26" s="1"/>
  <c r="E165" i="26"/>
  <c r="F165" i="26" s="1"/>
  <c r="E164" i="26"/>
  <c r="F164" i="26" s="1"/>
  <c r="E162" i="26"/>
  <c r="F162" i="26" s="1"/>
  <c r="E161" i="26"/>
  <c r="F161" i="26" s="1"/>
  <c r="E159" i="26"/>
  <c r="F159" i="26" s="1"/>
  <c r="E158" i="26"/>
  <c r="F158" i="26" s="1"/>
  <c r="E157" i="26"/>
  <c r="F157" i="26" s="1"/>
  <c r="E156" i="26"/>
  <c r="F156" i="26" s="1"/>
  <c r="E155" i="26"/>
  <c r="F155" i="26" s="1"/>
  <c r="E154" i="26"/>
  <c r="F154" i="26" s="1"/>
  <c r="E153" i="26"/>
  <c r="F153" i="26" s="1"/>
  <c r="E151" i="26"/>
  <c r="F151" i="26" s="1"/>
  <c r="E150" i="26"/>
  <c r="F150" i="26" s="1"/>
  <c r="E149" i="26"/>
  <c r="F149" i="26" s="1"/>
  <c r="E148" i="26"/>
  <c r="F148" i="26" s="1"/>
  <c r="E147" i="26"/>
  <c r="F147" i="26" s="1"/>
  <c r="E146" i="26"/>
  <c r="F146" i="26" s="1"/>
  <c r="E145" i="26"/>
  <c r="F145" i="26" s="1"/>
  <c r="E144" i="26"/>
  <c r="F144" i="26" s="1"/>
  <c r="E143" i="26"/>
  <c r="F143" i="26" s="1"/>
  <c r="E142" i="26"/>
  <c r="F142" i="26" s="1"/>
  <c r="E141" i="26"/>
  <c r="F141" i="26" s="1"/>
  <c r="E140" i="26"/>
  <c r="F140" i="26" s="1"/>
  <c r="E139" i="26"/>
  <c r="F139" i="26" s="1"/>
  <c r="E138" i="26"/>
  <c r="F138" i="26" s="1"/>
  <c r="E137" i="26"/>
  <c r="F137" i="26" s="1"/>
  <c r="E136" i="26"/>
  <c r="F136" i="26" s="1"/>
  <c r="E135" i="26"/>
  <c r="F135" i="26" s="1"/>
  <c r="E134" i="26"/>
  <c r="F134" i="26" s="1"/>
  <c r="E133" i="26"/>
  <c r="F133" i="26" s="1"/>
  <c r="E132" i="26"/>
  <c r="F132" i="26" s="1"/>
  <c r="E131" i="26"/>
  <c r="F131" i="26" s="1"/>
  <c r="E130" i="26"/>
  <c r="F130" i="26" s="1"/>
  <c r="E129" i="26"/>
  <c r="F129" i="26" s="1"/>
  <c r="E128" i="26"/>
  <c r="F128" i="26" s="1"/>
  <c r="E127" i="26"/>
  <c r="F127" i="26" s="1"/>
  <c r="E126" i="26"/>
  <c r="F126" i="26" s="1"/>
  <c r="E125" i="26"/>
  <c r="F125" i="26" s="1"/>
  <c r="E124" i="26"/>
  <c r="F124" i="26" s="1"/>
  <c r="E123" i="26"/>
  <c r="F123" i="26" s="1"/>
  <c r="E122" i="26"/>
  <c r="F122" i="26" s="1"/>
  <c r="E120" i="26"/>
  <c r="F120" i="26" s="1"/>
  <c r="E119" i="26"/>
  <c r="F119" i="26" s="1"/>
  <c r="E118" i="26"/>
  <c r="F118" i="26" s="1"/>
  <c r="E117" i="26"/>
  <c r="F117" i="26" s="1"/>
  <c r="E116" i="26"/>
  <c r="F116" i="26" s="1"/>
  <c r="E115" i="26"/>
  <c r="F115" i="26" s="1"/>
  <c r="E114" i="26"/>
  <c r="F114" i="26" s="1"/>
  <c r="E113" i="26"/>
  <c r="F113" i="26" s="1"/>
  <c r="E112" i="26"/>
  <c r="F112" i="26" s="1"/>
  <c r="E111" i="26"/>
  <c r="F111" i="26" s="1"/>
  <c r="E110" i="26"/>
  <c r="F110" i="26" s="1"/>
  <c r="E109" i="26"/>
  <c r="F109" i="26" s="1"/>
  <c r="E108" i="26"/>
  <c r="F108" i="26" s="1"/>
  <c r="E107" i="26"/>
  <c r="F107" i="26" s="1"/>
  <c r="E106" i="26"/>
  <c r="F106" i="26" s="1"/>
  <c r="E105" i="26"/>
  <c r="F105" i="26" s="1"/>
  <c r="E103" i="26"/>
  <c r="F103" i="26" s="1"/>
  <c r="E102" i="26"/>
  <c r="F102" i="26" s="1"/>
  <c r="E101" i="26"/>
  <c r="F101" i="26" s="1"/>
  <c r="E100" i="26"/>
  <c r="F100" i="26" s="1"/>
  <c r="E99" i="26"/>
  <c r="F99" i="26" s="1"/>
  <c r="E98" i="26"/>
  <c r="F98" i="26" s="1"/>
  <c r="E97" i="26"/>
  <c r="F97" i="26" s="1"/>
  <c r="E96" i="26"/>
  <c r="F96" i="26" s="1"/>
  <c r="E95" i="26"/>
  <c r="F95" i="26" s="1"/>
  <c r="E94" i="26"/>
  <c r="F94" i="26" s="1"/>
  <c r="E93" i="26"/>
  <c r="F93" i="26" s="1"/>
  <c r="E92" i="26"/>
  <c r="F92" i="26" s="1"/>
  <c r="E91" i="26"/>
  <c r="F91" i="26" s="1"/>
  <c r="E90" i="26"/>
  <c r="F90" i="26" s="1"/>
  <c r="E88" i="26"/>
  <c r="F88" i="26" s="1"/>
  <c r="E87" i="26"/>
  <c r="F87" i="26" s="1"/>
  <c r="E86" i="26"/>
  <c r="F86" i="26" s="1"/>
  <c r="E85" i="26"/>
  <c r="F85" i="26" s="1"/>
  <c r="E84" i="26"/>
  <c r="F84" i="26" s="1"/>
  <c r="E83" i="26"/>
  <c r="F83" i="26" s="1"/>
  <c r="E82" i="26"/>
  <c r="F82" i="26" s="1"/>
  <c r="E81" i="26"/>
  <c r="F81" i="26" s="1"/>
  <c r="E80" i="26"/>
  <c r="F80" i="26" s="1"/>
  <c r="E79" i="26"/>
  <c r="F79" i="26" s="1"/>
  <c r="E77" i="26"/>
  <c r="F77" i="26" s="1"/>
  <c r="E76" i="26"/>
  <c r="F76" i="26" s="1"/>
  <c r="E75" i="26"/>
  <c r="F75" i="26" s="1"/>
  <c r="E74" i="26"/>
  <c r="F74" i="26" s="1"/>
  <c r="E73" i="26"/>
  <c r="F73" i="26" s="1"/>
  <c r="E72" i="26"/>
  <c r="F72" i="26" s="1"/>
  <c r="E71" i="26"/>
  <c r="F71" i="26" s="1"/>
  <c r="E70" i="26"/>
  <c r="F70" i="26" s="1"/>
  <c r="E69" i="26"/>
  <c r="F69" i="26" s="1"/>
  <c r="E68" i="26"/>
  <c r="F68" i="26" s="1"/>
  <c r="E67" i="26"/>
  <c r="F67" i="26" s="1"/>
  <c r="E66" i="26"/>
  <c r="F66" i="26" s="1"/>
  <c r="E65" i="26"/>
  <c r="F65" i="26" s="1"/>
  <c r="E64" i="26"/>
  <c r="F64" i="26" s="1"/>
  <c r="E63" i="26"/>
  <c r="F63" i="26" s="1"/>
  <c r="E62" i="26"/>
  <c r="F62" i="26" s="1"/>
  <c r="E61" i="26"/>
  <c r="F61" i="26" s="1"/>
  <c r="E60" i="26"/>
  <c r="F60" i="26" s="1"/>
  <c r="E59" i="26"/>
  <c r="F59" i="26" s="1"/>
  <c r="E58" i="26"/>
  <c r="F58" i="26" s="1"/>
  <c r="E56" i="26"/>
  <c r="F56" i="26" s="1"/>
  <c r="E55" i="26"/>
  <c r="F55" i="26" s="1"/>
  <c r="E54" i="26"/>
  <c r="F54" i="26" s="1"/>
  <c r="E51" i="26"/>
  <c r="F51" i="26" s="1"/>
  <c r="E50" i="26"/>
  <c r="F50" i="26" s="1"/>
  <c r="E49" i="26"/>
  <c r="F49" i="26" s="1"/>
  <c r="E48" i="26"/>
  <c r="F48" i="26" s="1"/>
  <c r="E46" i="26"/>
  <c r="F46" i="26" s="1"/>
  <c r="E45" i="26"/>
  <c r="F45" i="26" s="1"/>
  <c r="E44" i="26"/>
  <c r="F44" i="26" s="1"/>
  <c r="E43" i="26"/>
  <c r="F43" i="26" s="1"/>
  <c r="E42" i="26"/>
  <c r="F42" i="26" s="1"/>
  <c r="E41" i="26"/>
  <c r="F41" i="26" s="1"/>
  <c r="E38" i="26"/>
  <c r="F38" i="26" s="1"/>
  <c r="E37" i="26"/>
  <c r="F37" i="26" s="1"/>
  <c r="E36" i="26"/>
  <c r="F36" i="26" s="1"/>
  <c r="E35" i="26"/>
  <c r="F35" i="26" s="1"/>
  <c r="E34" i="26"/>
  <c r="F34" i="26" s="1"/>
  <c r="E32" i="26"/>
  <c r="F32" i="26" s="1"/>
  <c r="E31" i="26"/>
  <c r="F31" i="26" s="1"/>
  <c r="E30" i="26"/>
  <c r="F30" i="26" s="1"/>
  <c r="E29" i="26"/>
  <c r="F29" i="26" s="1"/>
  <c r="E27" i="26"/>
  <c r="F27" i="26" s="1"/>
  <c r="E26" i="26"/>
  <c r="F26" i="26" s="1"/>
  <c r="E24" i="26"/>
  <c r="F24" i="26" s="1"/>
  <c r="E23" i="26"/>
  <c r="F23" i="26" s="1"/>
  <c r="E22" i="26"/>
  <c r="F22" i="26" s="1"/>
  <c r="E21" i="26"/>
  <c r="F21" i="26" s="1"/>
  <c r="E19" i="26"/>
  <c r="F19" i="26" s="1"/>
  <c r="E18" i="26"/>
  <c r="F18" i="26" s="1"/>
  <c r="E17" i="26"/>
  <c r="F17" i="26" s="1"/>
  <c r="E16" i="26"/>
  <c r="F16" i="26" s="1"/>
  <c r="E15" i="26"/>
  <c r="F15" i="26" s="1"/>
  <c r="E13" i="26"/>
  <c r="F13" i="26" s="1"/>
  <c r="E10" i="26"/>
  <c r="F10" i="26" s="1"/>
  <c r="E9" i="26"/>
  <c r="F9" i="26" s="1"/>
  <c r="E6" i="26"/>
  <c r="F6" i="26" s="1"/>
  <c r="E5" i="26"/>
  <c r="F5" i="26" s="1"/>
  <c r="F484" i="26"/>
  <c r="F483" i="26"/>
  <c r="F481" i="26"/>
  <c r="F480" i="26"/>
  <c r="F479" i="26"/>
  <c r="F478" i="26"/>
  <c r="F477" i="26"/>
  <c r="F476" i="26"/>
  <c r="F475" i="26"/>
  <c r="F473" i="26"/>
  <c r="F472" i="26"/>
  <c r="F471" i="26"/>
  <c r="F470" i="26"/>
  <c r="F469" i="26"/>
  <c r="F468" i="26"/>
  <c r="F467" i="26"/>
  <c r="F465" i="26"/>
  <c r="F464" i="26"/>
  <c r="F463" i="26"/>
  <c r="F462" i="26"/>
  <c r="F461" i="26"/>
  <c r="F459" i="26"/>
  <c r="F457" i="26"/>
  <c r="F455" i="26"/>
  <c r="F454" i="26"/>
  <c r="F453" i="26"/>
  <c r="F452" i="26"/>
  <c r="F451" i="26"/>
  <c r="F450" i="26"/>
  <c r="F449" i="26"/>
  <c r="F447" i="26"/>
  <c r="F446" i="26"/>
  <c r="F445" i="26"/>
  <c r="F444" i="26"/>
  <c r="F443" i="26"/>
  <c r="F442" i="26"/>
  <c r="F441" i="26"/>
  <c r="F439" i="26"/>
  <c r="F438" i="26"/>
  <c r="F437" i="26"/>
  <c r="F436" i="26"/>
  <c r="F435" i="26"/>
  <c r="F434" i="26"/>
  <c r="F433" i="26"/>
  <c r="F431" i="26"/>
  <c r="F430" i="26"/>
  <c r="F429" i="26"/>
  <c r="F428" i="26"/>
  <c r="F427" i="26"/>
  <c r="F426" i="26"/>
  <c r="F425" i="26"/>
  <c r="F423" i="26"/>
  <c r="F422" i="26"/>
  <c r="F421" i="26"/>
  <c r="F419" i="26"/>
  <c r="F418" i="26"/>
  <c r="F417" i="26"/>
  <c r="F416" i="26"/>
  <c r="F414" i="26"/>
  <c r="F413" i="26"/>
  <c r="F412" i="26"/>
  <c r="F411" i="26"/>
  <c r="F410" i="26"/>
  <c r="F409" i="26"/>
  <c r="F408" i="26"/>
  <c r="F406" i="26"/>
  <c r="F405" i="26"/>
  <c r="F404" i="26"/>
  <c r="F403" i="26"/>
  <c r="F402" i="26"/>
  <c r="F401" i="26"/>
  <c r="F400" i="26"/>
  <c r="F398" i="26"/>
  <c r="F397" i="26"/>
  <c r="F396" i="26"/>
  <c r="F395" i="26"/>
  <c r="F393" i="26"/>
  <c r="F392" i="26"/>
  <c r="F391" i="26"/>
  <c r="F387" i="26"/>
  <c r="F386" i="26"/>
  <c r="F385" i="26"/>
  <c r="F384" i="26"/>
  <c r="F383" i="26"/>
  <c r="F382" i="26"/>
  <c r="F381" i="26"/>
  <c r="F378" i="26"/>
  <c r="F377" i="26"/>
  <c r="F375" i="26"/>
  <c r="F374" i="26"/>
  <c r="F373" i="26"/>
  <c r="F372" i="26"/>
  <c r="F371" i="26"/>
  <c r="F369" i="26"/>
  <c r="F368" i="26"/>
  <c r="F367" i="26"/>
  <c r="F366" i="26"/>
  <c r="F365" i="26"/>
  <c r="F364" i="26"/>
  <c r="F363" i="26"/>
  <c r="F361" i="26"/>
  <c r="F359" i="26"/>
  <c r="F358" i="26"/>
  <c r="F357" i="26"/>
  <c r="F356" i="26"/>
  <c r="F355" i="26"/>
  <c r="F354" i="26"/>
  <c r="F352" i="26"/>
  <c r="F351" i="26"/>
  <c r="F350" i="26"/>
  <c r="F349" i="26"/>
  <c r="F348" i="26"/>
  <c r="F347" i="26"/>
  <c r="F346" i="26"/>
  <c r="F344" i="26"/>
  <c r="F343" i="26"/>
  <c r="F342" i="26"/>
  <c r="F341" i="26"/>
  <c r="F340" i="26"/>
  <c r="F339" i="26"/>
  <c r="F338" i="26"/>
  <c r="F336" i="26"/>
  <c r="F335" i="26"/>
  <c r="F334" i="26"/>
  <c r="F333" i="26"/>
  <c r="F332" i="26"/>
  <c r="F331" i="26"/>
  <c r="F330" i="26"/>
  <c r="F328" i="26"/>
  <c r="F327" i="26"/>
  <c r="F326" i="26"/>
  <c r="F325" i="26"/>
  <c r="F324" i="26"/>
  <c r="F323" i="26"/>
  <c r="F322" i="26"/>
  <c r="F321" i="26"/>
  <c r="F320" i="26"/>
  <c r="F319" i="26"/>
  <c r="F318" i="26"/>
  <c r="F317" i="26"/>
  <c r="F316" i="26"/>
  <c r="F315" i="26"/>
  <c r="F314" i="26"/>
  <c r="F313" i="26"/>
  <c r="F312" i="26"/>
  <c r="F311" i="26"/>
  <c r="F310" i="26"/>
  <c r="F309" i="26"/>
  <c r="F308" i="26"/>
  <c r="F307" i="26"/>
  <c r="F306" i="26"/>
  <c r="F305" i="26"/>
  <c r="F304" i="26"/>
  <c r="F303" i="26"/>
  <c r="F302" i="26"/>
  <c r="F301" i="26"/>
  <c r="F300" i="26"/>
  <c r="F299" i="26"/>
  <c r="F298" i="26"/>
  <c r="F297" i="26"/>
  <c r="F296" i="26"/>
  <c r="F295" i="26"/>
  <c r="F294" i="26"/>
  <c r="F292" i="26"/>
  <c r="F291" i="26"/>
  <c r="F288" i="26"/>
  <c r="F287" i="26"/>
  <c r="F286" i="26"/>
  <c r="F285" i="26"/>
  <c r="F284" i="26"/>
  <c r="F283" i="26"/>
  <c r="F282" i="26"/>
  <c r="F281" i="26"/>
  <c r="F280" i="26"/>
  <c r="F279" i="26"/>
  <c r="F278" i="26"/>
  <c r="F277" i="26"/>
  <c r="F276" i="26"/>
  <c r="F275" i="26"/>
  <c r="F274" i="26"/>
  <c r="F273" i="26"/>
  <c r="F270" i="26"/>
  <c r="F268" i="26"/>
  <c r="F267" i="26"/>
  <c r="F266" i="26"/>
  <c r="F265" i="26"/>
  <c r="F264" i="26"/>
  <c r="F263" i="26"/>
  <c r="F261" i="26"/>
  <c r="F260" i="26"/>
  <c r="F259" i="26"/>
  <c r="F258" i="26"/>
  <c r="F257" i="26"/>
  <c r="F255" i="26"/>
  <c r="F254" i="26"/>
  <c r="F253" i="26"/>
  <c r="F252" i="26"/>
  <c r="F251" i="26"/>
  <c r="F249" i="26"/>
  <c r="F248" i="26"/>
  <c r="F247" i="26"/>
  <c r="F246" i="26"/>
  <c r="F245" i="26"/>
  <c r="F244" i="26"/>
  <c r="F242" i="26"/>
  <c r="F241" i="26"/>
  <c r="F240" i="26"/>
  <c r="F239" i="26"/>
  <c r="F237" i="26"/>
  <c r="F236" i="26"/>
  <c r="F235" i="26"/>
  <c r="F234" i="26"/>
  <c r="F233" i="26"/>
  <c r="F232" i="26"/>
  <c r="F231" i="26"/>
  <c r="F230" i="26"/>
  <c r="F229" i="26"/>
  <c r="F228" i="26"/>
  <c r="F227" i="26"/>
  <c r="F226" i="26"/>
  <c r="F225" i="26"/>
  <c r="F224" i="26"/>
  <c r="F223" i="26"/>
  <c r="F222" i="26"/>
  <c r="F221" i="26"/>
  <c r="F220" i="26"/>
  <c r="F219" i="26"/>
  <c r="F218" i="26"/>
  <c r="F217" i="26"/>
  <c r="F216" i="26"/>
  <c r="F215" i="26"/>
  <c r="F214" i="26"/>
  <c r="F213" i="26"/>
  <c r="F212" i="26"/>
  <c r="F211" i="26"/>
  <c r="F209" i="26"/>
  <c r="F207" i="26"/>
  <c r="F204" i="26"/>
  <c r="F197" i="26"/>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3" i="15"/>
  <c r="E392" i="15"/>
  <c r="E391" i="15"/>
  <c r="E388" i="15"/>
  <c r="AA341" i="35" l="1"/>
  <c r="H341" i="36"/>
  <c r="H335" i="36" s="1"/>
  <c r="N308" i="36"/>
  <c r="E308" i="36" s="1"/>
  <c r="E386" i="15"/>
  <c r="E385" i="15"/>
  <c r="E384" i="15"/>
  <c r="E383" i="15"/>
  <c r="E382" i="15"/>
  <c r="E381" i="15"/>
  <c r="E380"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l="1"/>
  <c r="E327" i="15"/>
  <c r="E326"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2" i="15"/>
  <c r="E291" i="15"/>
  <c r="E288" i="15"/>
  <c r="E287" i="15"/>
  <c r="E286" i="15"/>
  <c r="E284" i="15"/>
  <c r="E283" i="15"/>
  <c r="E282" i="15"/>
  <c r="E281" i="15"/>
  <c r="E280" i="15"/>
  <c r="E279" i="15"/>
  <c r="E277" i="15"/>
  <c r="E276" i="15"/>
  <c r="E275" i="15"/>
  <c r="E274" i="15"/>
  <c r="E273" i="15"/>
  <c r="E272" i="15"/>
  <c r="E270"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l="1"/>
  <c r="E245" i="15"/>
  <c r="E244" i="15"/>
  <c r="E242" i="15"/>
  <c r="E241" i="15"/>
  <c r="E240" i="15"/>
  <c r="E239" i="15"/>
  <c r="E237" i="15"/>
  <c r="E236" i="15"/>
  <c r="E235" i="15"/>
  <c r="E234" i="15"/>
  <c r="E233" i="15"/>
  <c r="E232" i="15"/>
  <c r="E231" i="15"/>
  <c r="E230" i="15"/>
  <c r="E229" i="15"/>
  <c r="E228" i="15"/>
  <c r="E227" i="15"/>
  <c r="E226" i="15"/>
  <c r="E225" i="15"/>
  <c r="E223" i="15"/>
  <c r="E222" i="15"/>
  <c r="E220" i="15"/>
  <c r="E219" i="15"/>
  <c r="E218" i="15"/>
  <c r="E217" i="15"/>
  <c r="E216" i="15"/>
  <c r="E215" i="15"/>
  <c r="E214" i="15"/>
  <c r="E213" i="15"/>
  <c r="E212" i="15"/>
  <c r="E211" i="15"/>
  <c r="E210" i="15"/>
  <c r="E209" i="15"/>
  <c r="E208" i="15"/>
  <c r="E207" i="15"/>
  <c r="E205" i="15"/>
  <c r="E204" i="15"/>
  <c r="E203" i="15"/>
  <c r="E202" i="15"/>
  <c r="E201" i="15"/>
  <c r="E200" i="15"/>
  <c r="E198" i="15"/>
  <c r="E197" i="15"/>
  <c r="E196" i="15"/>
  <c r="E195" i="15"/>
  <c r="E193" i="15"/>
  <c r="E192" i="15"/>
  <c r="E191" i="15"/>
  <c r="E190" i="15"/>
  <c r="E189" i="15"/>
  <c r="E188" i="15"/>
  <c r="E187" i="15"/>
  <c r="E185" i="15"/>
  <c r="E184" i="15"/>
  <c r="E183" i="15"/>
  <c r="E182" i="15"/>
  <c r="E181" i="15"/>
  <c r="E180" i="15"/>
  <c r="E179" i="15"/>
  <c r="E178" i="15"/>
  <c r="E177" i="15"/>
  <c r="E176" i="15"/>
  <c r="E175" i="15"/>
  <c r="E174" i="15"/>
  <c r="E173" i="15"/>
  <c r="E171" i="15"/>
  <c r="E170" i="15"/>
  <c r="E169" i="15"/>
  <c r="E168" i="15"/>
  <c r="E167" i="15"/>
  <c r="E166" i="15"/>
  <c r="E165" i="15"/>
  <c r="E164" i="15"/>
  <c r="E163" i="15"/>
  <c r="E162" i="15"/>
  <c r="E161" i="15"/>
  <c r="E160" i="15"/>
  <c r="E159" i="15"/>
  <c r="E158" i="15"/>
  <c r="E157" i="15"/>
  <c r="E156" i="15"/>
  <c r="E155" i="15"/>
  <c r="E154" i="15"/>
  <c r="E153" i="15"/>
  <c r="E147" i="15" l="1"/>
  <c r="E150" i="15"/>
  <c r="E149" i="15"/>
  <c r="E148"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0" i="15"/>
  <c r="E119" i="15"/>
  <c r="E118" i="15"/>
  <c r="E117" i="15"/>
  <c r="E116" i="15"/>
  <c r="E115" i="15"/>
  <c r="E114" i="15"/>
  <c r="E112" i="15"/>
  <c r="E111" i="15"/>
  <c r="E110" i="15"/>
  <c r="E109" i="15"/>
  <c r="E108" i="15"/>
  <c r="E107" i="15"/>
  <c r="E106" i="15"/>
  <c r="E105" i="15"/>
  <c r="E104" i="15"/>
  <c r="E103" i="15"/>
  <c r="E102" i="15"/>
  <c r="E100" i="15"/>
  <c r="E99" i="15"/>
  <c r="E98" i="15"/>
  <c r="E97" i="15"/>
  <c r="E96" i="15"/>
  <c r="E95" i="15"/>
  <c r="E94" i="15"/>
  <c r="E93" i="15"/>
  <c r="F482" i="15"/>
  <c r="F483" i="15"/>
  <c r="F484" i="15"/>
  <c r="F463" i="15"/>
  <c r="F465" i="15"/>
  <c r="F468" i="15"/>
  <c r="F470" i="15"/>
  <c r="F471" i="15"/>
  <c r="F472" i="15"/>
  <c r="F473" i="15"/>
  <c r="F475" i="15"/>
  <c r="F476" i="15"/>
  <c r="F477" i="15"/>
  <c r="F478" i="15"/>
  <c r="F479" i="15"/>
  <c r="F480" i="15"/>
  <c r="F481" i="15"/>
  <c r="F459" i="15"/>
  <c r="F460" i="15"/>
  <c r="F461" i="15"/>
  <c r="F462" i="15"/>
  <c r="F464" i="15"/>
  <c r="F466" i="15"/>
  <c r="F467" i="15"/>
  <c r="F469" i="15"/>
  <c r="F474" i="15"/>
  <c r="F485" i="15"/>
  <c r="F486" i="15"/>
  <c r="F30" i="10" l="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E92" i="15"/>
  <c r="E91" i="15"/>
  <c r="E90" i="15"/>
  <c r="E88" i="15"/>
  <c r="E87" i="15"/>
  <c r="E86" i="15"/>
  <c r="E85" i="15"/>
  <c r="E83" i="15"/>
  <c r="E82" i="15"/>
  <c r="E81" i="15"/>
  <c r="E80" i="15"/>
  <c r="E79" i="15"/>
  <c r="E77" i="15"/>
  <c r="E76" i="15"/>
  <c r="E75" i="15"/>
  <c r="E74" i="15"/>
  <c r="E73" i="15"/>
  <c r="E72" i="15"/>
  <c r="E71" i="15"/>
  <c r="E70" i="15"/>
  <c r="E69" i="15"/>
  <c r="E68" i="15"/>
  <c r="E67" i="15"/>
  <c r="E66" i="15"/>
  <c r="E65" i="15"/>
  <c r="E64" i="15"/>
  <c r="E63" i="15"/>
  <c r="E61" i="15"/>
  <c r="E60" i="15"/>
  <c r="E59" i="15"/>
  <c r="E58" i="15"/>
  <c r="E57" i="15"/>
  <c r="E56" i="15"/>
  <c r="F56" i="15" s="1"/>
  <c r="E55" i="15"/>
  <c r="E54" i="15"/>
  <c r="F54" i="15" s="1"/>
  <c r="E52" i="15"/>
  <c r="F52" i="15" s="1"/>
  <c r="E51" i="15"/>
  <c r="F51" i="15" s="1"/>
  <c r="E50" i="15"/>
  <c r="E49" i="15"/>
  <c r="E48" i="15"/>
  <c r="F48" i="15" s="1"/>
  <c r="E46" i="15"/>
  <c r="F46" i="15" s="1"/>
  <c r="E45" i="15"/>
  <c r="F45" i="15" s="1"/>
  <c r="E44" i="15"/>
  <c r="F44" i="15" s="1"/>
  <c r="E43" i="15"/>
  <c r="F43" i="15" s="1"/>
  <c r="E42" i="15"/>
  <c r="F42" i="15" s="1"/>
  <c r="E41" i="15"/>
  <c r="F41" i="15" s="1"/>
  <c r="E39" i="15"/>
  <c r="F39" i="15" s="1"/>
  <c r="E38" i="15"/>
  <c r="F38" i="15" s="1"/>
  <c r="E37" i="15"/>
  <c r="F37" i="15" s="1"/>
  <c r="E36" i="15"/>
  <c r="F36" i="15" s="1"/>
  <c r="E35" i="15"/>
  <c r="F35" i="15" s="1"/>
  <c r="E34" i="15"/>
  <c r="E32" i="15"/>
  <c r="F32" i="15" s="1"/>
  <c r="E31" i="15"/>
  <c r="F31" i="15" s="1"/>
  <c r="E30" i="15"/>
  <c r="F30" i="15" s="1"/>
  <c r="E29" i="15"/>
  <c r="F29" i="15" s="1"/>
  <c r="E27" i="15"/>
  <c r="E26" i="15"/>
  <c r="F26" i="15" s="1"/>
  <c r="E24" i="15"/>
  <c r="F24" i="15" s="1"/>
  <c r="E23" i="15"/>
  <c r="E22" i="15"/>
  <c r="F22" i="15" s="1"/>
  <c r="E19" i="15"/>
  <c r="E18" i="15"/>
  <c r="F18" i="15" s="1"/>
  <c r="E17" i="15"/>
  <c r="F17" i="15" s="1"/>
  <c r="E15" i="15"/>
  <c r="F15" i="15" s="1"/>
  <c r="E13" i="15"/>
  <c r="F13" i="15" s="1"/>
  <c r="E10" i="15" l="1"/>
  <c r="F10" i="15" s="1"/>
  <c r="E6" i="15"/>
  <c r="F6" i="15" s="1"/>
  <c r="E5" i="15"/>
  <c r="F5" i="15" s="1"/>
  <c r="E4" i="15"/>
  <c r="F4" i="15" s="1"/>
  <c r="F15" i="32" l="1" a="1"/>
  <c r="F15" i="32" s="1"/>
  <c r="E15" i="32" a="1"/>
  <c r="E15" i="32" s="1"/>
  <c r="D15" i="32" a="1"/>
  <c r="D15" i="32" s="1"/>
  <c r="B91" i="35"/>
  <c r="B90" i="35"/>
  <c r="R63" i="32" a="1"/>
  <c r="R63" i="32" s="1"/>
  <c r="D14" i="32" a="1"/>
  <c r="D14" i="32" s="1"/>
  <c r="O16" i="32" a="1"/>
  <c r="O16" i="32" s="1"/>
  <c r="O15" i="32" a="1"/>
  <c r="O15" i="32" s="1"/>
  <c r="O14" i="32" a="1"/>
  <c r="O14" i="32" s="1"/>
  <c r="O13" i="32" a="1"/>
  <c r="O13" i="32" s="1"/>
  <c r="R86" i="32" a="1"/>
  <c r="R86" i="32" s="1"/>
  <c r="E158" i="10" l="1"/>
  <c r="U496" i="2"/>
  <c r="T496" i="2"/>
  <c r="U495" i="2"/>
  <c r="T495" i="2"/>
  <c r="U494" i="2"/>
  <c r="T494" i="2"/>
  <c r="U493" i="2"/>
  <c r="T493" i="2"/>
  <c r="U492" i="2"/>
  <c r="T492" i="2"/>
  <c r="U491" i="2"/>
  <c r="T491" i="2"/>
  <c r="U490" i="2"/>
  <c r="T490" i="2"/>
  <c r="U489" i="2"/>
  <c r="T489" i="2"/>
  <c r="U488" i="2"/>
  <c r="T488" i="2"/>
  <c r="U487" i="2"/>
  <c r="T487" i="2"/>
  <c r="U486" i="2"/>
  <c r="T486" i="2"/>
  <c r="U477" i="2"/>
  <c r="T477" i="2"/>
  <c r="U476" i="2"/>
  <c r="T476" i="2"/>
  <c r="U475" i="2"/>
  <c r="T475" i="2"/>
  <c r="U472" i="2"/>
  <c r="T472" i="2"/>
  <c r="U467" i="2"/>
  <c r="T467" i="2"/>
  <c r="U445" i="2"/>
  <c r="T445" i="2"/>
  <c r="U444" i="2"/>
  <c r="T444" i="2"/>
  <c r="U443" i="2"/>
  <c r="T443" i="2"/>
  <c r="U442" i="2"/>
  <c r="T442" i="2"/>
  <c r="U441" i="2"/>
  <c r="T441" i="2"/>
  <c r="U440" i="2"/>
  <c r="T440" i="2"/>
  <c r="U439" i="2"/>
  <c r="T439" i="2"/>
  <c r="U438" i="2"/>
  <c r="T438" i="2"/>
  <c r="U437" i="2"/>
  <c r="T437" i="2"/>
  <c r="U436" i="2"/>
  <c r="T436" i="2"/>
  <c r="U426" i="2"/>
  <c r="T426" i="2"/>
  <c r="U425" i="2"/>
  <c r="T425" i="2"/>
  <c r="U424" i="2"/>
  <c r="T424" i="2"/>
  <c r="U423" i="2"/>
  <c r="T423" i="2"/>
  <c r="U422" i="2"/>
  <c r="T422" i="2"/>
  <c r="U421" i="2"/>
  <c r="T421" i="2"/>
  <c r="U420" i="2"/>
  <c r="T420" i="2"/>
  <c r="U419" i="2"/>
  <c r="T419" i="2"/>
  <c r="U418" i="2"/>
  <c r="T418" i="2"/>
  <c r="U417" i="2"/>
  <c r="T417" i="2"/>
  <c r="U416" i="2"/>
  <c r="T416" i="2"/>
  <c r="U415" i="2"/>
  <c r="T415" i="2"/>
  <c r="U414" i="2"/>
  <c r="T414" i="2"/>
  <c r="U413" i="2"/>
  <c r="T413" i="2"/>
  <c r="U412" i="2"/>
  <c r="T412" i="2"/>
  <c r="U411" i="2"/>
  <c r="T411" i="2"/>
  <c r="U410" i="2"/>
  <c r="T410" i="2"/>
  <c r="U409" i="2"/>
  <c r="T409" i="2"/>
  <c r="U408" i="2"/>
  <c r="T408" i="2"/>
  <c r="U407" i="2"/>
  <c r="T407" i="2"/>
  <c r="U397" i="2"/>
  <c r="T397" i="2"/>
  <c r="U396" i="2"/>
  <c r="T396" i="2"/>
  <c r="U395" i="2"/>
  <c r="T395" i="2"/>
  <c r="U394" i="2"/>
  <c r="T394" i="2"/>
  <c r="U393" i="2"/>
  <c r="T393" i="2"/>
  <c r="U392" i="2"/>
  <c r="T392" i="2"/>
  <c r="U391" i="2"/>
  <c r="T391" i="2"/>
  <c r="U390" i="2"/>
  <c r="T390" i="2"/>
  <c r="U389" i="2"/>
  <c r="T389" i="2"/>
  <c r="U388" i="2"/>
  <c r="T388" i="2"/>
  <c r="U387" i="2"/>
  <c r="T387" i="2"/>
  <c r="U386" i="2"/>
  <c r="T386" i="2"/>
  <c r="U378" i="2"/>
  <c r="T378" i="2"/>
  <c r="U377" i="2"/>
  <c r="T377" i="2"/>
  <c r="U376" i="2"/>
  <c r="T376" i="2"/>
  <c r="U375" i="2"/>
  <c r="T375" i="2"/>
  <c r="U374" i="2"/>
  <c r="T374" i="2"/>
  <c r="U373" i="2"/>
  <c r="T373" i="2"/>
  <c r="U372" i="2"/>
  <c r="T372" i="2"/>
  <c r="U369" i="2"/>
  <c r="T369" i="2"/>
  <c r="U367" i="2"/>
  <c r="T367" i="2"/>
  <c r="U346" i="2"/>
  <c r="T346" i="2"/>
  <c r="U345" i="2"/>
  <c r="T345" i="2"/>
  <c r="U344" i="2"/>
  <c r="T344" i="2"/>
  <c r="U343" i="2"/>
  <c r="T343" i="2"/>
  <c r="U342" i="2"/>
  <c r="T342" i="2"/>
  <c r="U327" i="2"/>
  <c r="T327" i="2"/>
  <c r="U326" i="2"/>
  <c r="T326" i="2"/>
  <c r="U325" i="2"/>
  <c r="T325" i="2"/>
  <c r="U324" i="2"/>
  <c r="T324" i="2"/>
  <c r="U323" i="2"/>
  <c r="T323" i="2"/>
  <c r="U322" i="2"/>
  <c r="T322" i="2"/>
  <c r="U321" i="2"/>
  <c r="T321" i="2"/>
  <c r="U320" i="2"/>
  <c r="T320" i="2"/>
  <c r="U319" i="2"/>
  <c r="T319" i="2"/>
  <c r="U318" i="2"/>
  <c r="T318" i="2"/>
  <c r="U317" i="2"/>
  <c r="T317" i="2"/>
  <c r="U316" i="2"/>
  <c r="T316" i="2"/>
  <c r="U315" i="2"/>
  <c r="T315" i="2"/>
  <c r="U314" i="2"/>
  <c r="T314" i="2"/>
  <c r="U313" i="2"/>
  <c r="T313" i="2"/>
  <c r="U312" i="2"/>
  <c r="T312" i="2"/>
  <c r="U311" i="2"/>
  <c r="T311" i="2"/>
  <c r="U310" i="2"/>
  <c r="T310" i="2"/>
  <c r="U309" i="2"/>
  <c r="T309" i="2"/>
  <c r="U308" i="2"/>
  <c r="T308" i="2"/>
  <c r="U298" i="2"/>
  <c r="T298" i="2"/>
  <c r="U297" i="2"/>
  <c r="T297" i="2"/>
  <c r="U296" i="2"/>
  <c r="T296" i="2"/>
  <c r="U295" i="2"/>
  <c r="T295" i="2"/>
  <c r="U294" i="2"/>
  <c r="T294" i="2"/>
  <c r="U293" i="2"/>
  <c r="T293" i="2"/>
  <c r="U292" i="2"/>
  <c r="T292" i="2"/>
  <c r="U291" i="2"/>
  <c r="T291" i="2"/>
  <c r="U290" i="2"/>
  <c r="T290" i="2"/>
  <c r="U289" i="2"/>
  <c r="T289" i="2"/>
  <c r="U288" i="2"/>
  <c r="T288" i="2"/>
  <c r="U287" i="2"/>
  <c r="T287" i="2"/>
  <c r="U279" i="2"/>
  <c r="T279" i="2"/>
  <c r="U278" i="2"/>
  <c r="T278" i="2"/>
  <c r="U277" i="2"/>
  <c r="T277" i="2"/>
  <c r="U276" i="2"/>
  <c r="T276" i="2"/>
  <c r="U275" i="2"/>
  <c r="T275" i="2"/>
  <c r="U274" i="2"/>
  <c r="T274" i="2"/>
  <c r="U273" i="2"/>
  <c r="T273" i="2"/>
  <c r="U272" i="2"/>
  <c r="T272" i="2"/>
  <c r="U271" i="2"/>
  <c r="T271" i="2"/>
  <c r="U270" i="2"/>
  <c r="T270" i="2"/>
  <c r="U269" i="2"/>
  <c r="T269" i="2"/>
  <c r="U268" i="2"/>
  <c r="T268" i="2"/>
  <c r="U247" i="2"/>
  <c r="T247" i="2"/>
  <c r="U246" i="2"/>
  <c r="T246" i="2"/>
  <c r="U245" i="2"/>
  <c r="T245" i="2"/>
  <c r="U244" i="2"/>
  <c r="T244" i="2"/>
  <c r="U243" i="2"/>
  <c r="T243" i="2"/>
  <c r="U242" i="2"/>
  <c r="T242" i="2"/>
  <c r="U241" i="2"/>
  <c r="T241" i="2"/>
  <c r="U240" i="2"/>
  <c r="T240" i="2"/>
  <c r="U239" i="2"/>
  <c r="T239" i="2"/>
  <c r="U238" i="2"/>
  <c r="T238" i="2"/>
  <c r="U228" i="2"/>
  <c r="T228" i="2"/>
  <c r="U227" i="2"/>
  <c r="T227" i="2"/>
  <c r="U226" i="2"/>
  <c r="T226" i="2"/>
  <c r="U225" i="2"/>
  <c r="T225" i="2"/>
  <c r="U224" i="2"/>
  <c r="T224" i="2"/>
  <c r="U222" i="2"/>
  <c r="T222" i="2"/>
  <c r="U221" i="2"/>
  <c r="T221" i="2"/>
  <c r="U220" i="2"/>
  <c r="T220" i="2"/>
  <c r="U219" i="2"/>
  <c r="T219" i="2"/>
  <c r="U218" i="2"/>
  <c r="T218" i="2"/>
  <c r="U217" i="2"/>
  <c r="T217" i="2"/>
  <c r="U216" i="2"/>
  <c r="T216" i="2"/>
  <c r="U215" i="2"/>
  <c r="T215" i="2"/>
  <c r="U214" i="2"/>
  <c r="T214" i="2"/>
  <c r="U213" i="2"/>
  <c r="T213" i="2"/>
  <c r="U212" i="2"/>
  <c r="T212" i="2"/>
  <c r="U211" i="2"/>
  <c r="T211" i="2"/>
  <c r="U210" i="2"/>
  <c r="T210" i="2"/>
  <c r="U209" i="2"/>
  <c r="T209" i="2"/>
  <c r="U199" i="2"/>
  <c r="T199" i="2"/>
  <c r="U198" i="2"/>
  <c r="T198" i="2"/>
  <c r="U197" i="2"/>
  <c r="T197" i="2"/>
  <c r="U196" i="2"/>
  <c r="T196" i="2"/>
  <c r="U195" i="2"/>
  <c r="T195" i="2"/>
  <c r="U194" i="2"/>
  <c r="T194" i="2"/>
  <c r="U193" i="2"/>
  <c r="T193" i="2"/>
  <c r="U192" i="2"/>
  <c r="T192" i="2"/>
  <c r="U191" i="2"/>
  <c r="T191" i="2"/>
  <c r="U190" i="2"/>
  <c r="T190" i="2"/>
  <c r="U189" i="2"/>
  <c r="T189" i="2"/>
  <c r="U188" i="2"/>
  <c r="T188" i="2"/>
  <c r="U180" i="2"/>
  <c r="T180" i="2"/>
  <c r="U179" i="2"/>
  <c r="T179" i="2"/>
  <c r="U178" i="2"/>
  <c r="T178" i="2"/>
  <c r="U177" i="2"/>
  <c r="T177" i="2"/>
  <c r="U176" i="2"/>
  <c r="T176" i="2"/>
  <c r="U173" i="2"/>
  <c r="T173" i="2"/>
  <c r="U163" i="2"/>
  <c r="T163" i="2"/>
  <c r="U162" i="2"/>
  <c r="T162" i="2"/>
  <c r="U148" i="2"/>
  <c r="T148" i="2"/>
  <c r="U147" i="2"/>
  <c r="T147" i="2"/>
  <c r="U146" i="2"/>
  <c r="T146" i="2"/>
  <c r="U145" i="2"/>
  <c r="T145" i="2"/>
  <c r="U144" i="2"/>
  <c r="T144" i="2"/>
  <c r="U143" i="2"/>
  <c r="T143" i="2"/>
  <c r="U142" i="2"/>
  <c r="T142" i="2"/>
  <c r="U141" i="2"/>
  <c r="T141" i="2"/>
  <c r="U129" i="2"/>
  <c r="T129" i="2"/>
  <c r="U128" i="2"/>
  <c r="T128" i="2"/>
  <c r="U127" i="2"/>
  <c r="T127" i="2"/>
  <c r="U126" i="2"/>
  <c r="T126" i="2"/>
  <c r="U125" i="2"/>
  <c r="T125" i="2"/>
  <c r="U124" i="2"/>
  <c r="T124" i="2"/>
  <c r="U123" i="2"/>
  <c r="T123" i="2"/>
  <c r="U122" i="2"/>
  <c r="T122" i="2"/>
  <c r="U121" i="2"/>
  <c r="T121" i="2"/>
  <c r="U120" i="2"/>
  <c r="T120" i="2"/>
  <c r="U119" i="2"/>
  <c r="T119" i="2"/>
  <c r="U118" i="2"/>
  <c r="T118" i="2"/>
  <c r="U117" i="2"/>
  <c r="T117" i="2"/>
  <c r="U116" i="2"/>
  <c r="T116" i="2"/>
  <c r="U115" i="2"/>
  <c r="T115" i="2"/>
  <c r="U114" i="2"/>
  <c r="T114" i="2"/>
  <c r="U113" i="2"/>
  <c r="T113" i="2"/>
  <c r="U112" i="2"/>
  <c r="T112" i="2"/>
  <c r="U111" i="2"/>
  <c r="T111" i="2"/>
  <c r="U110" i="2"/>
  <c r="T110" i="2"/>
  <c r="U100" i="2"/>
  <c r="T100" i="2"/>
  <c r="U99" i="2"/>
  <c r="T99" i="2"/>
  <c r="U98" i="2"/>
  <c r="T98" i="2"/>
  <c r="U97" i="2"/>
  <c r="T97" i="2"/>
  <c r="U96" i="2"/>
  <c r="T96" i="2"/>
  <c r="U95" i="2"/>
  <c r="T95" i="2"/>
  <c r="U94" i="2"/>
  <c r="T94" i="2"/>
  <c r="U93" i="2"/>
  <c r="T93" i="2"/>
  <c r="U92" i="2"/>
  <c r="T92" i="2"/>
  <c r="U91" i="2"/>
  <c r="T91" i="2"/>
  <c r="U90" i="2"/>
  <c r="T90" i="2"/>
  <c r="U89" i="2"/>
  <c r="T89" i="2"/>
  <c r="L496" i="2"/>
  <c r="L495" i="2"/>
  <c r="L494" i="2"/>
  <c r="L493" i="2"/>
  <c r="L492" i="2"/>
  <c r="L491" i="2"/>
  <c r="L490" i="2"/>
  <c r="L489" i="2"/>
  <c r="L488" i="2"/>
  <c r="L487" i="2"/>
  <c r="L486" i="2"/>
  <c r="L485" i="2"/>
  <c r="L477" i="2"/>
  <c r="L476" i="2"/>
  <c r="L475" i="2"/>
  <c r="L472" i="2"/>
  <c r="L467" i="2"/>
  <c r="L445" i="2"/>
  <c r="L444" i="2"/>
  <c r="L443" i="2"/>
  <c r="L442" i="2"/>
  <c r="L441" i="2"/>
  <c r="L440" i="2"/>
  <c r="L439" i="2"/>
  <c r="L438" i="2"/>
  <c r="L437" i="2"/>
  <c r="L436" i="2"/>
  <c r="L426" i="2"/>
  <c r="L425" i="2"/>
  <c r="L424" i="2"/>
  <c r="L423" i="2"/>
  <c r="L422" i="2"/>
  <c r="L421" i="2"/>
  <c r="L420" i="2"/>
  <c r="L419" i="2"/>
  <c r="L418" i="2"/>
  <c r="L417" i="2"/>
  <c r="L416" i="2"/>
  <c r="L415" i="2"/>
  <c r="L414" i="2"/>
  <c r="L413" i="2"/>
  <c r="L412" i="2"/>
  <c r="L411" i="2"/>
  <c r="L410" i="2"/>
  <c r="L409" i="2"/>
  <c r="L408" i="2"/>
  <c r="L407" i="2"/>
  <c r="L397" i="2"/>
  <c r="L396" i="2"/>
  <c r="L395" i="2"/>
  <c r="L394" i="2"/>
  <c r="L393" i="2"/>
  <c r="L392" i="2"/>
  <c r="L391" i="2"/>
  <c r="L390" i="2"/>
  <c r="L389" i="2"/>
  <c r="L388" i="2"/>
  <c r="L387" i="2"/>
  <c r="L386" i="2"/>
  <c r="L378" i="2"/>
  <c r="L377" i="2"/>
  <c r="L376" i="2"/>
  <c r="L375" i="2"/>
  <c r="L374" i="2"/>
  <c r="L373" i="2"/>
  <c r="L372" i="2"/>
  <c r="L369" i="2"/>
  <c r="L367" i="2"/>
  <c r="L346" i="2"/>
  <c r="L345" i="2"/>
  <c r="L344" i="2"/>
  <c r="L343" i="2"/>
  <c r="L342" i="2"/>
  <c r="L327" i="2"/>
  <c r="L326" i="2"/>
  <c r="L325" i="2"/>
  <c r="L324" i="2"/>
  <c r="L323" i="2"/>
  <c r="L322" i="2"/>
  <c r="L321" i="2"/>
  <c r="L320" i="2"/>
  <c r="L319" i="2"/>
  <c r="L318" i="2"/>
  <c r="L317" i="2"/>
  <c r="L316" i="2"/>
  <c r="L315" i="2"/>
  <c r="L314" i="2"/>
  <c r="L313" i="2"/>
  <c r="L312" i="2"/>
  <c r="L311" i="2"/>
  <c r="L310" i="2"/>
  <c r="L309" i="2"/>
  <c r="L308" i="2"/>
  <c r="L298" i="2"/>
  <c r="L297" i="2"/>
  <c r="L296" i="2"/>
  <c r="L295" i="2"/>
  <c r="L294" i="2"/>
  <c r="L293" i="2"/>
  <c r="L292" i="2"/>
  <c r="L291" i="2"/>
  <c r="L290" i="2"/>
  <c r="L289" i="2"/>
  <c r="L288" i="2"/>
  <c r="L287" i="2"/>
  <c r="L279" i="2"/>
  <c r="L278" i="2"/>
  <c r="L277" i="2"/>
  <c r="L276" i="2"/>
  <c r="L275" i="2"/>
  <c r="L274" i="2"/>
  <c r="L273" i="2"/>
  <c r="L272" i="2"/>
  <c r="L271" i="2"/>
  <c r="L270" i="2"/>
  <c r="L269" i="2"/>
  <c r="L268" i="2"/>
  <c r="L247" i="2"/>
  <c r="L246" i="2"/>
  <c r="L245" i="2"/>
  <c r="L244" i="2"/>
  <c r="L243" i="2"/>
  <c r="L242" i="2"/>
  <c r="L241" i="2"/>
  <c r="L240" i="2"/>
  <c r="L239" i="2"/>
  <c r="L238" i="2"/>
  <c r="L228" i="2"/>
  <c r="L227" i="2"/>
  <c r="L226" i="2"/>
  <c r="L225" i="2"/>
  <c r="L224" i="2"/>
  <c r="L222" i="2"/>
  <c r="L221" i="2"/>
  <c r="L220" i="2"/>
  <c r="L219" i="2"/>
  <c r="L218" i="2"/>
  <c r="L217" i="2"/>
  <c r="L216" i="2"/>
  <c r="L215" i="2"/>
  <c r="L214" i="2"/>
  <c r="L213" i="2"/>
  <c r="L212" i="2"/>
  <c r="L211" i="2"/>
  <c r="L210" i="2"/>
  <c r="L209" i="2"/>
  <c r="L199" i="2"/>
  <c r="L198" i="2"/>
  <c r="L197" i="2"/>
  <c r="L196" i="2"/>
  <c r="L195" i="2"/>
  <c r="L194" i="2"/>
  <c r="L193" i="2"/>
  <c r="L192" i="2"/>
  <c r="L191" i="2"/>
  <c r="L190" i="2"/>
  <c r="L189" i="2"/>
  <c r="L188" i="2"/>
  <c r="L180" i="2"/>
  <c r="L179" i="2"/>
  <c r="L178" i="2"/>
  <c r="L177" i="2"/>
  <c r="L176" i="2"/>
  <c r="L173" i="2"/>
  <c r="L163" i="2"/>
  <c r="L162" i="2"/>
  <c r="L148" i="2"/>
  <c r="L147" i="2"/>
  <c r="L146" i="2"/>
  <c r="L145" i="2"/>
  <c r="L144" i="2"/>
  <c r="L143" i="2"/>
  <c r="L142" i="2"/>
  <c r="L141" i="2"/>
  <c r="L129" i="2"/>
  <c r="L128" i="2"/>
  <c r="L127" i="2"/>
  <c r="L126" i="2"/>
  <c r="L125" i="2"/>
  <c r="L124" i="2"/>
  <c r="L123" i="2"/>
  <c r="L122" i="2"/>
  <c r="L121" i="2"/>
  <c r="L120" i="2"/>
  <c r="L119" i="2"/>
  <c r="L118" i="2"/>
  <c r="L117" i="2"/>
  <c r="L116" i="2"/>
  <c r="L115" i="2"/>
  <c r="L114" i="2"/>
  <c r="L113" i="2"/>
  <c r="L112" i="2"/>
  <c r="L111" i="2"/>
  <c r="L110" i="2"/>
  <c r="L100" i="2"/>
  <c r="L99" i="2"/>
  <c r="L98" i="2"/>
  <c r="L97" i="2"/>
  <c r="L96" i="2"/>
  <c r="L95" i="2"/>
  <c r="L94" i="2"/>
  <c r="L93" i="2"/>
  <c r="L92" i="2"/>
  <c r="L91" i="2"/>
  <c r="L90" i="2"/>
  <c r="L89" i="2"/>
  <c r="L81" i="2"/>
  <c r="L80" i="2"/>
  <c r="L79" i="2"/>
  <c r="L78" i="2"/>
  <c r="L75" i="2"/>
  <c r="L70" i="2"/>
  <c r="L49" i="2"/>
  <c r="L48" i="2"/>
  <c r="L47" i="2"/>
  <c r="L46" i="2"/>
  <c r="L45" i="2"/>
  <c r="L44" i="2"/>
  <c r="L42" i="2"/>
  <c r="L18" i="2"/>
  <c r="L19" i="2"/>
  <c r="L20" i="2"/>
  <c r="L21" i="2"/>
  <c r="L22" i="2"/>
  <c r="L23" i="2"/>
  <c r="L24" i="2"/>
  <c r="L25" i="2"/>
  <c r="L26" i="2"/>
  <c r="L27" i="2"/>
  <c r="L28" i="2"/>
  <c r="L29" i="2"/>
  <c r="L30" i="2"/>
  <c r="U81" i="2"/>
  <c r="T81" i="2"/>
  <c r="U80" i="2"/>
  <c r="T80" i="2"/>
  <c r="U79" i="2"/>
  <c r="T79" i="2"/>
  <c r="U78" i="2"/>
  <c r="T78" i="2"/>
  <c r="U75" i="2"/>
  <c r="T75" i="2"/>
  <c r="U70" i="2"/>
  <c r="T70" i="2"/>
  <c r="U49" i="2"/>
  <c r="T49" i="2"/>
  <c r="U48" i="2"/>
  <c r="T48" i="2"/>
  <c r="U47" i="2"/>
  <c r="T47" i="2"/>
  <c r="U46" i="2"/>
  <c r="T46" i="2"/>
  <c r="U45" i="2"/>
  <c r="T45" i="2"/>
  <c r="U44" i="2"/>
  <c r="T44" i="2"/>
  <c r="U42" i="2"/>
  <c r="T42" i="2"/>
  <c r="U18" i="2"/>
  <c r="U19" i="2"/>
  <c r="U20" i="2"/>
  <c r="U21" i="2"/>
  <c r="U22" i="2"/>
  <c r="U23" i="2"/>
  <c r="U24" i="2"/>
  <c r="U25" i="2"/>
  <c r="U26" i="2"/>
  <c r="U27" i="2"/>
  <c r="U28" i="2"/>
  <c r="U29" i="2"/>
  <c r="U30" i="2"/>
  <c r="T18" i="2"/>
  <c r="T19" i="2"/>
  <c r="T20" i="2"/>
  <c r="T21" i="2"/>
  <c r="T22" i="2"/>
  <c r="T23" i="2"/>
  <c r="T24" i="2"/>
  <c r="T25" i="2"/>
  <c r="T26" i="2"/>
  <c r="T27" i="2"/>
  <c r="T28" i="2"/>
  <c r="T29" i="2"/>
  <c r="T30" i="2"/>
  <c r="I363" i="35" l="1"/>
  <c r="D363" i="35"/>
  <c r="E52" i="17" l="1"/>
  <c r="N469" i="3"/>
  <c r="L469" i="3"/>
  <c r="K469" i="3"/>
  <c r="J469" i="3"/>
  <c r="N468" i="3"/>
  <c r="L468" i="3"/>
  <c r="K468" i="3"/>
  <c r="J468" i="3"/>
  <c r="N467" i="3"/>
  <c r="L467" i="3"/>
  <c r="K467" i="3"/>
  <c r="J467" i="3"/>
  <c r="N466" i="3"/>
  <c r="L466" i="3"/>
  <c r="K466" i="3"/>
  <c r="J466" i="3"/>
  <c r="N465" i="3"/>
  <c r="L465" i="3"/>
  <c r="K465" i="3"/>
  <c r="J465" i="3"/>
  <c r="N464" i="3"/>
  <c r="L464" i="3"/>
  <c r="K464" i="3"/>
  <c r="J464" i="3"/>
  <c r="AF331" i="3"/>
  <c r="AD331" i="3"/>
  <c r="AC331" i="3"/>
  <c r="AB331" i="3"/>
  <c r="AA331" i="3"/>
  <c r="Z331" i="3"/>
  <c r="Y331" i="3"/>
  <c r="X331" i="3"/>
  <c r="W331" i="3"/>
  <c r="V331" i="3"/>
  <c r="U331" i="3"/>
  <c r="T331" i="3"/>
  <c r="S331" i="3"/>
  <c r="R331" i="3"/>
  <c r="Q331" i="3"/>
  <c r="P331" i="3"/>
  <c r="O331" i="3"/>
  <c r="N331" i="3"/>
  <c r="M331" i="3"/>
  <c r="L331" i="3"/>
  <c r="K331" i="3"/>
  <c r="J331" i="3"/>
  <c r="F72" i="3"/>
  <c r="E72" i="3"/>
  <c r="D72" i="3"/>
  <c r="C72" i="3"/>
  <c r="B72" i="3"/>
  <c r="Q58" i="2" l="1"/>
  <c r="Q59" i="2"/>
  <c r="W59" i="2" s="1"/>
  <c r="W58" i="2" l="1"/>
  <c r="Q11" i="32"/>
  <c r="AF33" i="35" l="1"/>
  <c r="AF36" i="32"/>
  <c r="AF36" i="35" s="1"/>
  <c r="AF35" i="32"/>
  <c r="AF35" i="35" s="1"/>
  <c r="F274" i="15" l="1"/>
  <c r="F270" i="15"/>
  <c r="F254" i="15" l="1"/>
  <c r="F248" i="15"/>
  <c r="F239" i="15"/>
  <c r="F209" i="15"/>
  <c r="F226" i="15"/>
  <c r="F91" i="15" l="1"/>
  <c r="F90" i="15"/>
  <c r="E477" i="5"/>
  <c r="E476" i="5"/>
  <c r="E475" i="5"/>
  <c r="E474" i="5"/>
  <c r="E473" i="5"/>
  <c r="E472" i="5"/>
  <c r="E471" i="5"/>
  <c r="E470" i="5"/>
  <c r="E469" i="5"/>
  <c r="E468" i="5"/>
  <c r="E467" i="5"/>
  <c r="E466" i="5"/>
  <c r="E465" i="5"/>
  <c r="E464" i="5"/>
  <c r="E463" i="5"/>
  <c r="E462" i="5"/>
  <c r="E461" i="5"/>
  <c r="E460" i="5"/>
  <c r="E459" i="5"/>
  <c r="E458" i="5"/>
  <c r="E457" i="5"/>
  <c r="E456" i="5"/>
  <c r="E455" i="5"/>
  <c r="E454" i="5"/>
  <c r="E445" i="5"/>
  <c r="E444" i="5"/>
  <c r="E443" i="5"/>
  <c r="E442" i="5"/>
  <c r="E441" i="5"/>
  <c r="E440" i="5"/>
  <c r="E439" i="5"/>
  <c r="E438" i="5"/>
  <c r="E437" i="5"/>
  <c r="E436" i="5"/>
  <c r="E435" i="5"/>
  <c r="E426" i="5"/>
  <c r="E425" i="5"/>
  <c r="E424" i="5"/>
  <c r="E423" i="5"/>
  <c r="E422" i="5"/>
  <c r="E421" i="5"/>
  <c r="E420" i="5"/>
  <c r="E419" i="5"/>
  <c r="E418" i="5"/>
  <c r="E417" i="5"/>
  <c r="E416" i="5"/>
  <c r="E415" i="5"/>
  <c r="E414" i="5"/>
  <c r="E413" i="5"/>
  <c r="E412" i="5"/>
  <c r="E411" i="5"/>
  <c r="E410" i="5"/>
  <c r="E409" i="5"/>
  <c r="E408" i="5"/>
  <c r="E397" i="5"/>
  <c r="E396" i="5"/>
  <c r="E395" i="5"/>
  <c r="E394" i="5"/>
  <c r="E393" i="5"/>
  <c r="E392" i="5"/>
  <c r="E391" i="5"/>
  <c r="E390" i="5"/>
  <c r="E389" i="5"/>
  <c r="E388" i="5"/>
  <c r="E387" i="5"/>
  <c r="E378" i="5"/>
  <c r="E377" i="5"/>
  <c r="E376" i="5"/>
  <c r="E375" i="5"/>
  <c r="E374" i="5"/>
  <c r="E373" i="5"/>
  <c r="E372" i="5"/>
  <c r="E371" i="5"/>
  <c r="E370" i="5"/>
  <c r="E369" i="5"/>
  <c r="E368" i="5"/>
  <c r="E367" i="5"/>
  <c r="E366" i="5"/>
  <c r="E365" i="5"/>
  <c r="E364" i="5"/>
  <c r="E363" i="5"/>
  <c r="E362" i="5"/>
  <c r="E361" i="5"/>
  <c r="E360" i="5"/>
  <c r="E359" i="5"/>
  <c r="E358" i="5"/>
  <c r="E357" i="5"/>
  <c r="E356" i="5"/>
  <c r="E355" i="5"/>
  <c r="E346" i="5"/>
  <c r="E345" i="5"/>
  <c r="E344" i="5"/>
  <c r="E343" i="5"/>
  <c r="E342" i="5"/>
  <c r="E341" i="5"/>
  <c r="E340" i="5"/>
  <c r="E339" i="5"/>
  <c r="E338" i="5"/>
  <c r="E337" i="5"/>
  <c r="E336" i="5"/>
  <c r="E327" i="5"/>
  <c r="E326" i="5"/>
  <c r="E325" i="5"/>
  <c r="E324" i="5"/>
  <c r="E323" i="5"/>
  <c r="E322" i="5"/>
  <c r="E321" i="5"/>
  <c r="E320" i="5"/>
  <c r="E319" i="5"/>
  <c r="E318" i="5"/>
  <c r="E317" i="5"/>
  <c r="E316" i="5"/>
  <c r="E315" i="5"/>
  <c r="E314" i="5"/>
  <c r="E313" i="5"/>
  <c r="E312" i="5"/>
  <c r="E311" i="5"/>
  <c r="E310" i="5"/>
  <c r="E309" i="5"/>
  <c r="E298" i="5"/>
  <c r="E297" i="5"/>
  <c r="E296" i="5"/>
  <c r="E295" i="5"/>
  <c r="E294" i="5"/>
  <c r="E293" i="5"/>
  <c r="E292" i="5"/>
  <c r="E291" i="5"/>
  <c r="E290" i="5"/>
  <c r="E289" i="5"/>
  <c r="E288" i="5"/>
  <c r="E279" i="5"/>
  <c r="E278" i="5"/>
  <c r="E277" i="5"/>
  <c r="E276" i="5"/>
  <c r="E275" i="5"/>
  <c r="E274" i="5"/>
  <c r="E273" i="5"/>
  <c r="E272" i="5"/>
  <c r="E271" i="5"/>
  <c r="E270" i="5"/>
  <c r="E269" i="5"/>
  <c r="E268" i="5"/>
  <c r="E267" i="5"/>
  <c r="E266" i="5"/>
  <c r="E265" i="5"/>
  <c r="E264" i="5"/>
  <c r="E263" i="5"/>
  <c r="E262" i="5"/>
  <c r="E261" i="5"/>
  <c r="E260" i="5"/>
  <c r="E259" i="5"/>
  <c r="E258" i="5"/>
  <c r="E257" i="5"/>
  <c r="E256" i="5"/>
  <c r="E247" i="5"/>
  <c r="E246" i="5"/>
  <c r="E245" i="5"/>
  <c r="E244" i="5"/>
  <c r="E243" i="5"/>
  <c r="E242" i="5"/>
  <c r="E241" i="5"/>
  <c r="E240" i="5"/>
  <c r="E239" i="5"/>
  <c r="E238" i="5"/>
  <c r="E237" i="5"/>
  <c r="E228" i="5"/>
  <c r="E227" i="5"/>
  <c r="E226" i="5"/>
  <c r="E225" i="5"/>
  <c r="E224" i="5"/>
  <c r="E223" i="5"/>
  <c r="E222" i="5"/>
  <c r="E221" i="5"/>
  <c r="E220" i="5"/>
  <c r="E219" i="5"/>
  <c r="E218" i="5"/>
  <c r="E217" i="5"/>
  <c r="E216" i="5"/>
  <c r="E215" i="5"/>
  <c r="E214" i="5"/>
  <c r="E213" i="5"/>
  <c r="E212" i="5"/>
  <c r="E211" i="5"/>
  <c r="E210" i="5"/>
  <c r="E199" i="5"/>
  <c r="E198" i="5"/>
  <c r="E197" i="5"/>
  <c r="E196" i="5"/>
  <c r="E195" i="5"/>
  <c r="E194" i="5"/>
  <c r="E193" i="5"/>
  <c r="E192" i="5"/>
  <c r="E191" i="5"/>
  <c r="E190" i="5"/>
  <c r="E189" i="5"/>
  <c r="E180" i="5"/>
  <c r="E179" i="5"/>
  <c r="E178" i="5"/>
  <c r="E177" i="5"/>
  <c r="E176" i="5"/>
  <c r="E175" i="5"/>
  <c r="E174" i="5"/>
  <c r="E173" i="5"/>
  <c r="E172" i="5"/>
  <c r="E171" i="5"/>
  <c r="E170" i="5"/>
  <c r="E169" i="5"/>
  <c r="E168" i="5"/>
  <c r="E167" i="5"/>
  <c r="E166" i="5"/>
  <c r="E165" i="5"/>
  <c r="E164" i="5"/>
  <c r="E163" i="5"/>
  <c r="E162" i="5"/>
  <c r="E161" i="5"/>
  <c r="E160" i="5"/>
  <c r="E159" i="5"/>
  <c r="E158" i="5"/>
  <c r="E157" i="5"/>
  <c r="E148" i="5"/>
  <c r="E147" i="5"/>
  <c r="E146" i="5"/>
  <c r="E145" i="5"/>
  <c r="E144" i="5"/>
  <c r="E143" i="5"/>
  <c r="E142" i="5"/>
  <c r="E141" i="5"/>
  <c r="E140" i="5"/>
  <c r="E139" i="5"/>
  <c r="K139" i="5" s="1"/>
  <c r="E138" i="5"/>
  <c r="E129" i="5"/>
  <c r="E128" i="5"/>
  <c r="E127" i="5"/>
  <c r="E126" i="5"/>
  <c r="E125" i="5"/>
  <c r="E124" i="5"/>
  <c r="E123" i="5"/>
  <c r="E122" i="5"/>
  <c r="E121" i="5"/>
  <c r="E120" i="5"/>
  <c r="E119" i="5"/>
  <c r="E118" i="5"/>
  <c r="E117" i="5"/>
  <c r="E116" i="5"/>
  <c r="E115" i="5"/>
  <c r="E114" i="5"/>
  <c r="E113" i="5"/>
  <c r="E112" i="5"/>
  <c r="E111" i="5"/>
  <c r="E100" i="5"/>
  <c r="E99" i="5"/>
  <c r="E98" i="5"/>
  <c r="E97" i="5"/>
  <c r="E96" i="5"/>
  <c r="E95" i="5"/>
  <c r="E94" i="5"/>
  <c r="E93" i="5"/>
  <c r="E92" i="5"/>
  <c r="E91" i="5"/>
  <c r="E90" i="5"/>
  <c r="E81" i="5"/>
  <c r="E80" i="5"/>
  <c r="E79" i="5"/>
  <c r="E78" i="5"/>
  <c r="E77" i="5"/>
  <c r="E76" i="5"/>
  <c r="E75" i="5"/>
  <c r="E74" i="5"/>
  <c r="E73" i="5"/>
  <c r="E72" i="5"/>
  <c r="E71" i="5"/>
  <c r="E70" i="5"/>
  <c r="E69" i="5"/>
  <c r="E68" i="5"/>
  <c r="E67" i="5"/>
  <c r="E66" i="5"/>
  <c r="E65" i="5"/>
  <c r="E64" i="5"/>
  <c r="E63" i="5"/>
  <c r="E62" i="5"/>
  <c r="E61" i="5"/>
  <c r="E60" i="5"/>
  <c r="E59" i="5"/>
  <c r="E58" i="5"/>
  <c r="E49" i="5"/>
  <c r="E48" i="5"/>
  <c r="E47" i="5"/>
  <c r="E46" i="5"/>
  <c r="E45" i="5"/>
  <c r="E44" i="5"/>
  <c r="E43" i="5"/>
  <c r="E42" i="5"/>
  <c r="E41" i="5"/>
  <c r="K41" i="5" s="1"/>
  <c r="E160" i="26" s="1"/>
  <c r="F160" i="26" s="1"/>
  <c r="E40" i="5"/>
  <c r="K40" i="5" s="1"/>
  <c r="E39" i="5"/>
  <c r="E30" i="5"/>
  <c r="E29" i="5"/>
  <c r="E28" i="5"/>
  <c r="E27" i="5"/>
  <c r="E26" i="5"/>
  <c r="E25" i="5"/>
  <c r="E24" i="5"/>
  <c r="E23" i="5"/>
  <c r="E22" i="5"/>
  <c r="E21" i="5"/>
  <c r="E20" i="5"/>
  <c r="E19" i="5"/>
  <c r="E18" i="5"/>
  <c r="E17" i="5"/>
  <c r="E16" i="5"/>
  <c r="E15" i="5"/>
  <c r="E14" i="5"/>
  <c r="E13" i="5"/>
  <c r="E12" i="5"/>
  <c r="E477" i="2"/>
  <c r="E476" i="2"/>
  <c r="E475" i="2"/>
  <c r="E474" i="2"/>
  <c r="E473" i="2"/>
  <c r="E472" i="2"/>
  <c r="E471" i="2"/>
  <c r="E470" i="2"/>
  <c r="E469" i="2"/>
  <c r="E468" i="2"/>
  <c r="E467" i="2"/>
  <c r="E466" i="2"/>
  <c r="E465" i="2"/>
  <c r="E464" i="2"/>
  <c r="E463" i="2"/>
  <c r="E462" i="2"/>
  <c r="E461" i="2"/>
  <c r="E460" i="2"/>
  <c r="E459" i="2"/>
  <c r="E458" i="2"/>
  <c r="E457" i="2"/>
  <c r="E456" i="2"/>
  <c r="E455" i="2"/>
  <c r="E454" i="2"/>
  <c r="E445" i="2"/>
  <c r="E444" i="2"/>
  <c r="E443" i="2"/>
  <c r="E442" i="2"/>
  <c r="E441" i="2"/>
  <c r="E440" i="2"/>
  <c r="E439" i="2"/>
  <c r="E438" i="2"/>
  <c r="E437" i="2"/>
  <c r="E436" i="2"/>
  <c r="E435" i="2"/>
  <c r="E426" i="2"/>
  <c r="E425" i="2"/>
  <c r="E424" i="2"/>
  <c r="E423" i="2"/>
  <c r="E422" i="2"/>
  <c r="E421" i="2"/>
  <c r="E420" i="2"/>
  <c r="E419" i="2"/>
  <c r="E418" i="2"/>
  <c r="E417" i="2"/>
  <c r="E416" i="2"/>
  <c r="E415" i="2"/>
  <c r="E414" i="2"/>
  <c r="E413" i="2"/>
  <c r="E412" i="2"/>
  <c r="E411" i="2"/>
  <c r="E410" i="2"/>
  <c r="E409" i="2"/>
  <c r="E408" i="2"/>
  <c r="E397" i="2"/>
  <c r="E396" i="2"/>
  <c r="E395" i="2"/>
  <c r="E394" i="2"/>
  <c r="E393" i="2"/>
  <c r="E392" i="2"/>
  <c r="E391" i="2"/>
  <c r="E390" i="2"/>
  <c r="E389" i="2"/>
  <c r="E388" i="2"/>
  <c r="E387" i="2"/>
  <c r="E378" i="2"/>
  <c r="E377" i="2"/>
  <c r="E376" i="2"/>
  <c r="E375" i="2"/>
  <c r="E374" i="2"/>
  <c r="E373" i="2"/>
  <c r="E372" i="2"/>
  <c r="E371" i="2"/>
  <c r="E370" i="2"/>
  <c r="E369" i="2"/>
  <c r="E368" i="2"/>
  <c r="E367" i="2"/>
  <c r="E366" i="2"/>
  <c r="E365" i="2"/>
  <c r="E364" i="2"/>
  <c r="E363" i="2"/>
  <c r="E362" i="2"/>
  <c r="E361" i="2"/>
  <c r="E360" i="2"/>
  <c r="E359" i="2"/>
  <c r="E358" i="2"/>
  <c r="E357" i="2"/>
  <c r="E356" i="2"/>
  <c r="E355" i="2"/>
  <c r="E346" i="2"/>
  <c r="E345" i="2"/>
  <c r="E344" i="2"/>
  <c r="E343" i="2"/>
  <c r="E342" i="2"/>
  <c r="E341" i="2"/>
  <c r="E340" i="2"/>
  <c r="E339" i="2"/>
  <c r="E338" i="2"/>
  <c r="E337" i="2"/>
  <c r="E336" i="2"/>
  <c r="E327" i="2"/>
  <c r="E326" i="2"/>
  <c r="E325" i="2"/>
  <c r="E324" i="2"/>
  <c r="E323" i="2"/>
  <c r="E322" i="2"/>
  <c r="E321" i="2"/>
  <c r="E320" i="2"/>
  <c r="E319" i="2"/>
  <c r="E318" i="2"/>
  <c r="E317" i="2"/>
  <c r="E316" i="2"/>
  <c r="E315" i="2"/>
  <c r="E314" i="2"/>
  <c r="E313" i="2"/>
  <c r="E312" i="2"/>
  <c r="E311" i="2"/>
  <c r="E310" i="2"/>
  <c r="E309" i="2"/>
  <c r="E298" i="2"/>
  <c r="E297" i="2"/>
  <c r="E296" i="2"/>
  <c r="E295" i="2"/>
  <c r="E294" i="2"/>
  <c r="E293" i="2"/>
  <c r="E292" i="2"/>
  <c r="E291" i="2"/>
  <c r="E290" i="2"/>
  <c r="E289" i="2"/>
  <c r="E288" i="2"/>
  <c r="E279" i="2"/>
  <c r="E278" i="2"/>
  <c r="E277" i="2"/>
  <c r="E276" i="2"/>
  <c r="E275" i="2"/>
  <c r="E274" i="2"/>
  <c r="E273" i="2"/>
  <c r="E272" i="2"/>
  <c r="E271" i="2"/>
  <c r="E270" i="2"/>
  <c r="E269" i="2"/>
  <c r="E268" i="2"/>
  <c r="E267" i="2"/>
  <c r="E266" i="2"/>
  <c r="E265" i="2"/>
  <c r="E264" i="2"/>
  <c r="E263" i="2"/>
  <c r="E262" i="2"/>
  <c r="E261" i="2"/>
  <c r="E260" i="2"/>
  <c r="E259" i="2"/>
  <c r="E258" i="2"/>
  <c r="E257" i="2"/>
  <c r="E256" i="2"/>
  <c r="E247" i="2"/>
  <c r="E246" i="2"/>
  <c r="E245" i="2"/>
  <c r="E244" i="2"/>
  <c r="E243" i="2"/>
  <c r="E242" i="2"/>
  <c r="E241" i="2"/>
  <c r="E240" i="2"/>
  <c r="E239" i="2"/>
  <c r="E238" i="2"/>
  <c r="E237" i="2"/>
  <c r="E228" i="2"/>
  <c r="E227" i="2"/>
  <c r="E226" i="2"/>
  <c r="E225" i="2"/>
  <c r="E224" i="2"/>
  <c r="E223" i="2"/>
  <c r="E222" i="2"/>
  <c r="E221" i="2"/>
  <c r="E220" i="2"/>
  <c r="E219" i="2"/>
  <c r="E218" i="2"/>
  <c r="E217" i="2"/>
  <c r="E216" i="2"/>
  <c r="E215" i="2"/>
  <c r="E214" i="2"/>
  <c r="E213" i="2"/>
  <c r="E212" i="2"/>
  <c r="E211" i="2"/>
  <c r="E210" i="2"/>
  <c r="E199" i="2"/>
  <c r="E198" i="2"/>
  <c r="E197" i="2"/>
  <c r="E196" i="2"/>
  <c r="E195" i="2"/>
  <c r="E194" i="2"/>
  <c r="E193" i="2"/>
  <c r="E192" i="2"/>
  <c r="E191" i="2"/>
  <c r="E190" i="2"/>
  <c r="E189" i="2"/>
  <c r="E180" i="2"/>
  <c r="E179" i="2"/>
  <c r="E178" i="2"/>
  <c r="E177" i="2"/>
  <c r="E176" i="2"/>
  <c r="E175" i="2"/>
  <c r="E174" i="2"/>
  <c r="E173" i="2"/>
  <c r="E172" i="2"/>
  <c r="E171" i="2"/>
  <c r="E170" i="2"/>
  <c r="E169" i="2"/>
  <c r="E168" i="2"/>
  <c r="E167" i="2"/>
  <c r="E166" i="2"/>
  <c r="E165" i="2"/>
  <c r="E164" i="2"/>
  <c r="E163" i="2"/>
  <c r="E162" i="2"/>
  <c r="E161" i="2"/>
  <c r="E160" i="2"/>
  <c r="E159" i="2"/>
  <c r="E158" i="2"/>
  <c r="E157" i="2"/>
  <c r="E148" i="2"/>
  <c r="E147" i="2"/>
  <c r="E146" i="2"/>
  <c r="E145" i="2"/>
  <c r="E144" i="2"/>
  <c r="E143" i="2"/>
  <c r="E142" i="2"/>
  <c r="E141" i="2"/>
  <c r="E140" i="2"/>
  <c r="E139" i="2"/>
  <c r="E138" i="2"/>
  <c r="E129" i="2"/>
  <c r="E128" i="2"/>
  <c r="E127" i="2"/>
  <c r="E126" i="2"/>
  <c r="E125" i="2"/>
  <c r="E124" i="2"/>
  <c r="E123" i="2"/>
  <c r="E122" i="2"/>
  <c r="E121" i="2"/>
  <c r="E120" i="2"/>
  <c r="E119" i="2"/>
  <c r="E118" i="2"/>
  <c r="E117" i="2"/>
  <c r="E116" i="2"/>
  <c r="E115" i="2"/>
  <c r="E114" i="2"/>
  <c r="E113" i="2"/>
  <c r="E112" i="2"/>
  <c r="E111" i="2"/>
  <c r="E100" i="2"/>
  <c r="E99" i="2"/>
  <c r="E98" i="2"/>
  <c r="E97" i="2"/>
  <c r="E96" i="2"/>
  <c r="E95" i="2"/>
  <c r="E94" i="2"/>
  <c r="E93" i="2"/>
  <c r="E92" i="2"/>
  <c r="E91" i="2"/>
  <c r="E90" i="2"/>
  <c r="E81" i="2"/>
  <c r="E80" i="2"/>
  <c r="E79" i="2"/>
  <c r="E78" i="2"/>
  <c r="E77" i="2"/>
  <c r="E76" i="2"/>
  <c r="E75" i="2"/>
  <c r="E74" i="2"/>
  <c r="E73" i="2"/>
  <c r="E72" i="2"/>
  <c r="E71" i="2"/>
  <c r="E70" i="2"/>
  <c r="E69" i="2"/>
  <c r="E68" i="2"/>
  <c r="E67" i="2"/>
  <c r="E66" i="2"/>
  <c r="E65" i="2"/>
  <c r="E64" i="2"/>
  <c r="E63" i="2"/>
  <c r="E62" i="2"/>
  <c r="E61" i="2"/>
  <c r="E60" i="2"/>
  <c r="E59" i="2"/>
  <c r="K59" i="2" s="1"/>
  <c r="E58" i="2"/>
  <c r="K58" i="2" s="1"/>
  <c r="E49" i="2"/>
  <c r="E48" i="2"/>
  <c r="E47" i="2"/>
  <c r="E46" i="2"/>
  <c r="E45" i="2"/>
  <c r="E44" i="2"/>
  <c r="E43" i="2"/>
  <c r="E42" i="2"/>
  <c r="E41" i="2"/>
  <c r="E40" i="2"/>
  <c r="E39" i="2"/>
  <c r="E30" i="2"/>
  <c r="E29" i="2"/>
  <c r="E28" i="2"/>
  <c r="E27" i="2"/>
  <c r="E26" i="2"/>
  <c r="E25" i="2"/>
  <c r="E24" i="2"/>
  <c r="E23" i="2"/>
  <c r="E22" i="2"/>
  <c r="E21" i="2"/>
  <c r="E20" i="2"/>
  <c r="E19" i="2"/>
  <c r="E18" i="2"/>
  <c r="E17" i="2"/>
  <c r="E16" i="2"/>
  <c r="E15" i="2"/>
  <c r="E14" i="2"/>
  <c r="E13" i="2"/>
  <c r="E12" i="2"/>
  <c r="F27" i="15" l="1"/>
  <c r="AH548" i="10" l="1"/>
  <c r="AH549" i="10"/>
  <c r="AH550" i="10"/>
  <c r="AH551" i="10"/>
  <c r="AH552" i="10"/>
  <c r="AH553" i="10"/>
  <c r="AH554" i="10"/>
  <c r="AH555" i="10"/>
  <c r="AH556" i="10"/>
  <c r="AH557" i="10"/>
  <c r="AH558" i="10"/>
  <c r="F330" i="15" l="1"/>
  <c r="F442" i="15" l="1"/>
  <c r="F427" i="15"/>
  <c r="F424" i="15"/>
  <c r="F426" i="15"/>
  <c r="F425" i="15"/>
  <c r="F423" i="15"/>
  <c r="F410" i="15" l="1"/>
  <c r="F411" i="15"/>
  <c r="F253" i="15"/>
  <c r="F252" i="15"/>
  <c r="F136" i="15"/>
  <c r="F94" i="15"/>
  <c r="AE56" i="10"/>
  <c r="AC56" i="10"/>
  <c r="AF56" i="10" s="1"/>
  <c r="AE54" i="10"/>
  <c r="AC54" i="10"/>
  <c r="AF54" i="10" s="1"/>
  <c r="AE53" i="10"/>
  <c r="AC53" i="10"/>
  <c r="AF53" i="10" s="1"/>
  <c r="AE52" i="10"/>
  <c r="AC52" i="10"/>
  <c r="AF52" i="10" s="1"/>
  <c r="AE50" i="10"/>
  <c r="AC50" i="10"/>
  <c r="AF50" i="10" s="1"/>
  <c r="AE48" i="10"/>
  <c r="AC48" i="10"/>
  <c r="AF48" i="10" s="1"/>
  <c r="AE46" i="10"/>
  <c r="AC46" i="10"/>
  <c r="AF46" i="10" s="1"/>
  <c r="AE42" i="10"/>
  <c r="AC42" i="10"/>
  <c r="AF42" i="10" s="1"/>
  <c r="AE41" i="10"/>
  <c r="AC41" i="10"/>
  <c r="AF41" i="10" s="1"/>
  <c r="AE40" i="10"/>
  <c r="AC40" i="10"/>
  <c r="AF40" i="10" s="1"/>
  <c r="AE39" i="10"/>
  <c r="AC39" i="10"/>
  <c r="AF39" i="10" s="1"/>
  <c r="AE38" i="10"/>
  <c r="AC38" i="10"/>
  <c r="AF38" i="10" s="1"/>
  <c r="AE35" i="10"/>
  <c r="AC35" i="10"/>
  <c r="AF35" i="10" s="1"/>
  <c r="AE34" i="10"/>
  <c r="AC34" i="10"/>
  <c r="AF34" i="10" s="1"/>
  <c r="AE33" i="10"/>
  <c r="AC33" i="10"/>
  <c r="AF33" i="10" s="1"/>
  <c r="AE32" i="10"/>
  <c r="AC32" i="10"/>
  <c r="AF32" i="10" s="1"/>
  <c r="AE31" i="10"/>
  <c r="AC31" i="10"/>
  <c r="AF31" i="10" s="1"/>
  <c r="AE24" i="10"/>
  <c r="AC24" i="10"/>
  <c r="AF24" i="10" s="1"/>
  <c r="AE23" i="10"/>
  <c r="AC23" i="10"/>
  <c r="AF23" i="10" s="1"/>
  <c r="AE21" i="10"/>
  <c r="AC21" i="10"/>
  <c r="AF21" i="10" s="1"/>
  <c r="AE20" i="10"/>
  <c r="AC20" i="10"/>
  <c r="AF20" i="10" s="1"/>
  <c r="AE19" i="10"/>
  <c r="AC19" i="10"/>
  <c r="AF19" i="10" s="1"/>
  <c r="AE17" i="10"/>
  <c r="AC17" i="10"/>
  <c r="AF17" i="10" s="1"/>
  <c r="AE13" i="10"/>
  <c r="AC13" i="10"/>
  <c r="AF13" i="10" s="1"/>
  <c r="AE12" i="10"/>
  <c r="AC12" i="10"/>
  <c r="AF12" i="10" s="1"/>
  <c r="AE11" i="10"/>
  <c r="AC11" i="10"/>
  <c r="AF11" i="10" s="1"/>
  <c r="AE9" i="10"/>
  <c r="AC9" i="10"/>
  <c r="AF9" i="10" s="1"/>
  <c r="AE8" i="10"/>
  <c r="AC8" i="10"/>
  <c r="AF8" i="10" s="1"/>
  <c r="AE6" i="10"/>
  <c r="AC6" i="10"/>
  <c r="AF6" i="10" s="1"/>
  <c r="AE4" i="10"/>
  <c r="AC4" i="10"/>
  <c r="AF4" i="10" s="1"/>
  <c r="E166" i="10" l="1"/>
  <c r="O166" i="10" s="1"/>
  <c r="T166" i="10" s="1"/>
  <c r="N257" i="25" l="1"/>
  <c r="F49" i="15"/>
  <c r="F50" i="15"/>
  <c r="F55" i="15"/>
  <c r="F61" i="15"/>
  <c r="F67" i="15"/>
  <c r="F58" i="15"/>
  <c r="F59" i="15"/>
  <c r="F60" i="15"/>
  <c r="F63" i="15"/>
  <c r="F64" i="15"/>
  <c r="F65" i="15"/>
  <c r="F66" i="15"/>
  <c r="F68" i="15"/>
  <c r="F92" i="15"/>
  <c r="F69" i="15"/>
  <c r="F71" i="15"/>
  <c r="F73" i="15"/>
  <c r="F74" i="15"/>
  <c r="F75" i="15"/>
  <c r="F76" i="15"/>
  <c r="F77" i="15"/>
  <c r="F79" i="15"/>
  <c r="F80" i="15"/>
  <c r="F81" i="15"/>
  <c r="F83" i="15"/>
  <c r="F85" i="15"/>
  <c r="F87" i="15"/>
  <c r="F93" i="15"/>
  <c r="F95" i="15"/>
  <c r="F96" i="15"/>
  <c r="F97" i="15"/>
  <c r="F98" i="15"/>
  <c r="F99" i="15"/>
  <c r="F100" i="15"/>
  <c r="F102" i="15"/>
  <c r="F103" i="15"/>
  <c r="F104" i="15"/>
  <c r="F105" i="15"/>
  <c r="F106" i="15"/>
  <c r="F107" i="15"/>
  <c r="F110" i="15"/>
  <c r="F111" i="15"/>
  <c r="F112" i="15"/>
  <c r="F114" i="15"/>
  <c r="F115" i="15"/>
  <c r="F116" i="15"/>
  <c r="F117" i="15"/>
  <c r="F118" i="15"/>
  <c r="F119" i="15"/>
  <c r="F120" i="15"/>
  <c r="F122" i="15"/>
  <c r="F123" i="15"/>
  <c r="F125" i="15"/>
  <c r="F126" i="15"/>
  <c r="F128" i="15"/>
  <c r="F129" i="15"/>
  <c r="F131" i="15"/>
  <c r="F132" i="15"/>
  <c r="F133" i="15"/>
  <c r="F134" i="15"/>
  <c r="F135" i="15"/>
  <c r="F137" i="15"/>
  <c r="F138" i="15"/>
  <c r="F139" i="15"/>
  <c r="F140" i="15"/>
  <c r="F141" i="15"/>
  <c r="F142" i="15"/>
  <c r="F143" i="15"/>
  <c r="F144" i="15"/>
  <c r="F146" i="15"/>
  <c r="F149" i="15"/>
  <c r="F150" i="15"/>
  <c r="F153" i="15"/>
  <c r="F154" i="15"/>
  <c r="F156" i="15"/>
  <c r="F157" i="15"/>
  <c r="F158" i="15"/>
  <c r="F159" i="15"/>
  <c r="F160" i="15"/>
  <c r="F161" i="15"/>
  <c r="F166" i="15"/>
  <c r="F168" i="15"/>
  <c r="F169" i="15"/>
  <c r="F170" i="15"/>
  <c r="F171" i="15"/>
  <c r="F173" i="15"/>
  <c r="F174" i="15"/>
  <c r="F175" i="15"/>
  <c r="F176" i="15"/>
  <c r="F177" i="15"/>
  <c r="F178" i="15"/>
  <c r="F179" i="15"/>
  <c r="F180" i="15"/>
  <c r="F181" i="15"/>
  <c r="F182" i="15"/>
  <c r="F183" i="15"/>
  <c r="F184" i="15"/>
  <c r="F187" i="15"/>
  <c r="F188" i="15"/>
  <c r="F189" i="15"/>
  <c r="F190" i="15"/>
  <c r="F192" i="15"/>
  <c r="F193" i="15"/>
  <c r="F196" i="15"/>
  <c r="F197" i="15"/>
  <c r="F200" i="15"/>
  <c r="F201" i="15"/>
  <c r="F203" i="15"/>
  <c r="F204" i="15"/>
  <c r="F205" i="15"/>
  <c r="F208" i="15"/>
  <c r="F210" i="15"/>
  <c r="F211" i="15"/>
  <c r="F212" i="15"/>
  <c r="F213" i="15"/>
  <c r="F214" i="15"/>
  <c r="F216" i="15"/>
  <c r="F217" i="15"/>
  <c r="F218" i="15"/>
  <c r="F220" i="15"/>
  <c r="F222" i="15"/>
  <c r="F223" i="15"/>
  <c r="F227" i="15"/>
  <c r="F228" i="15"/>
  <c r="F229" i="15"/>
  <c r="F235" i="15"/>
  <c r="F230" i="15"/>
  <c r="F232" i="15"/>
  <c r="F233" i="15"/>
  <c r="F234" i="15"/>
  <c r="F236" i="15"/>
  <c r="F237" i="15"/>
  <c r="F240" i="15"/>
  <c r="F241" i="15"/>
  <c r="F242" i="15"/>
  <c r="F244" i="15"/>
  <c r="F245" i="15"/>
  <c r="F246" i="15"/>
  <c r="F247" i="15"/>
  <c r="F249" i="15"/>
  <c r="F250" i="15"/>
  <c r="F251" i="15"/>
  <c r="F256" i="15"/>
  <c r="F258" i="15"/>
  <c r="F260" i="15"/>
  <c r="F261" i="15"/>
  <c r="F262" i="15"/>
  <c r="F263" i="15"/>
  <c r="F264" i="15"/>
  <c r="F266" i="15"/>
  <c r="F267" i="15"/>
  <c r="F268" i="15"/>
  <c r="F273" i="15"/>
  <c r="F275" i="15"/>
  <c r="F277" i="15"/>
  <c r="F279" i="15"/>
  <c r="F282" i="15"/>
  <c r="F283" i="15"/>
  <c r="F286" i="15"/>
  <c r="F287" i="15"/>
  <c r="F288" i="15"/>
  <c r="F291" i="15"/>
  <c r="F292" i="15"/>
  <c r="F294" i="15"/>
  <c r="F295" i="15"/>
  <c r="F296" i="15"/>
  <c r="F297" i="15"/>
  <c r="F298" i="15"/>
  <c r="F299" i="15"/>
  <c r="F300" i="15"/>
  <c r="F301" i="15"/>
  <c r="F302" i="15"/>
  <c r="F303" i="15"/>
  <c r="F304" i="15"/>
  <c r="F305" i="15"/>
  <c r="F306" i="15"/>
  <c r="F307" i="15"/>
  <c r="F308" i="15"/>
  <c r="F310" i="15"/>
  <c r="F311" i="15"/>
  <c r="F312" i="15"/>
  <c r="F313" i="15"/>
  <c r="F315" i="15"/>
  <c r="F316" i="15"/>
  <c r="F318" i="15"/>
  <c r="F319" i="15"/>
  <c r="F320" i="15"/>
  <c r="F321" i="15"/>
  <c r="F322" i="15"/>
  <c r="F323" i="15"/>
  <c r="F326" i="15"/>
  <c r="F327" i="15"/>
  <c r="F328" i="15"/>
  <c r="F329" i="15"/>
  <c r="F333" i="15"/>
  <c r="F334" i="15"/>
  <c r="F335" i="15"/>
  <c r="F337" i="15"/>
  <c r="F338" i="15"/>
  <c r="F339" i="15"/>
  <c r="F340" i="15"/>
  <c r="F341" i="15"/>
  <c r="F342" i="15"/>
  <c r="F344" i="15"/>
  <c r="F345" i="15"/>
  <c r="F346" i="15"/>
  <c r="F347" i="15"/>
  <c r="F348" i="15"/>
  <c r="F349" i="15"/>
  <c r="F350" i="15"/>
  <c r="F351" i="15"/>
  <c r="F352" i="15"/>
  <c r="F354" i="15"/>
  <c r="F356" i="15"/>
  <c r="F357" i="15"/>
  <c r="F358" i="15"/>
  <c r="F359" i="15"/>
  <c r="F360" i="15"/>
  <c r="F361" i="15"/>
  <c r="F363" i="15"/>
  <c r="F366" i="15"/>
  <c r="F368" i="15"/>
  <c r="F369" i="15"/>
  <c r="F370" i="15"/>
  <c r="F371" i="15"/>
  <c r="F372" i="15"/>
  <c r="F374" i="15"/>
  <c r="F376" i="15"/>
  <c r="F377" i="15"/>
  <c r="F380" i="15"/>
  <c r="F382" i="15"/>
  <c r="F383" i="15"/>
  <c r="F384" i="15"/>
  <c r="F385" i="15"/>
  <c r="F386" i="15"/>
  <c r="F388" i="15"/>
  <c r="F391" i="15"/>
  <c r="F392" i="15"/>
  <c r="F393" i="15"/>
  <c r="F395" i="15"/>
  <c r="F396" i="15"/>
  <c r="F397" i="15"/>
  <c r="F398" i="15"/>
  <c r="F399" i="15"/>
  <c r="F400" i="15"/>
  <c r="F401" i="15"/>
  <c r="F403" i="15"/>
  <c r="F404" i="15"/>
  <c r="F405" i="15"/>
  <c r="F406" i="15"/>
  <c r="F407" i="15"/>
  <c r="F408" i="15"/>
  <c r="F409" i="15"/>
  <c r="F412" i="15"/>
  <c r="F413" i="15"/>
  <c r="F414" i="15"/>
  <c r="F415" i="15"/>
  <c r="F416" i="15"/>
  <c r="F417" i="15"/>
  <c r="F418" i="15"/>
  <c r="F419" i="15"/>
  <c r="F420" i="15"/>
  <c r="F421" i="15"/>
  <c r="F429" i="15"/>
  <c r="F430" i="15"/>
  <c r="F431" i="15"/>
  <c r="F432" i="15"/>
  <c r="F433" i="15"/>
  <c r="F434" i="15"/>
  <c r="F435" i="15"/>
  <c r="F436" i="15"/>
  <c r="F437" i="15"/>
  <c r="F438" i="15"/>
  <c r="F439" i="15"/>
  <c r="F440" i="15"/>
  <c r="F441" i="15"/>
  <c r="F443" i="15"/>
  <c r="F444" i="15"/>
  <c r="F446" i="15"/>
  <c r="F457" i="15"/>
  <c r="F456" i="15"/>
  <c r="F455" i="15"/>
  <c r="F454" i="15"/>
  <c r="F453" i="15"/>
  <c r="F452" i="15"/>
  <c r="F451" i="15"/>
  <c r="F450" i="15"/>
  <c r="F449" i="15"/>
  <c r="F448" i="15"/>
  <c r="F447" i="15"/>
  <c r="Q166" i="10"/>
  <c r="P166" i="10"/>
  <c r="R166" i="10" s="1"/>
  <c r="U248" i="10" l="1"/>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303" i="10"/>
  <c r="U304" i="10"/>
  <c r="U305" i="10"/>
  <c r="U306" i="10"/>
  <c r="U307" i="10"/>
  <c r="U308" i="10"/>
  <c r="U309" i="10"/>
  <c r="U310" i="10"/>
  <c r="U311" i="10"/>
  <c r="U312" i="10"/>
  <c r="U313" i="10"/>
  <c r="U314" i="10"/>
  <c r="U315" i="10"/>
  <c r="U316" i="10"/>
  <c r="U317" i="10"/>
  <c r="E33" i="10"/>
  <c r="E34" i="10"/>
  <c r="O34" i="10" l="1"/>
  <c r="O33" i="10"/>
  <c r="E5" i="10"/>
  <c r="O5" i="10" s="1"/>
  <c r="T5" i="10" l="1"/>
  <c r="T33" i="10"/>
  <c r="T34" i="10"/>
  <c r="P5" i="10"/>
  <c r="R5" i="10" s="1"/>
  <c r="Q5" i="10"/>
  <c r="Q33" i="10"/>
  <c r="P33" i="10"/>
  <c r="R33" i="10" s="1"/>
  <c r="Q34" i="10"/>
  <c r="P34" i="10"/>
  <c r="R34" i="10" s="1"/>
  <c r="U34" i="10" l="1"/>
  <c r="U33" i="10"/>
  <c r="U5" i="10"/>
  <c r="Q179" i="2" l="1"/>
  <c r="Q178" i="2"/>
  <c r="Q177" i="2"/>
  <c r="Q176" i="2"/>
  <c r="Q175" i="2"/>
  <c r="Q174" i="2"/>
  <c r="Q173" i="2"/>
  <c r="Q172" i="2"/>
  <c r="K172" i="2" s="1"/>
  <c r="Q171" i="2"/>
  <c r="K171" i="2" s="1"/>
  <c r="Q170" i="2"/>
  <c r="K170" i="2" s="1"/>
  <c r="E224" i="15" s="1"/>
  <c r="F224" i="15" s="1"/>
  <c r="Q169" i="2"/>
  <c r="K169" i="2" s="1"/>
  <c r="AF34" i="32"/>
  <c r="K175" i="2" l="1"/>
  <c r="F400" i="35"/>
  <c r="K174" i="2"/>
  <c r="P400" i="35"/>
  <c r="N106" i="32" a="1"/>
  <c r="N106" i="32" s="1"/>
  <c r="H106" i="32" a="1"/>
  <c r="H106" i="32" s="1"/>
  <c r="D106" i="32" a="1"/>
  <c r="D106" i="32" s="1"/>
  <c r="R176" i="2"/>
  <c r="G145" i="36"/>
  <c r="G144" i="36"/>
  <c r="G143" i="36"/>
  <c r="G142" i="36"/>
  <c r="G141" i="36"/>
  <c r="G140" i="36"/>
  <c r="G139" i="36"/>
  <c r="G138" i="36"/>
  <c r="G137" i="36"/>
  <c r="G136" i="36"/>
  <c r="G135" i="36"/>
  <c r="G134" i="36"/>
  <c r="G133" i="36"/>
  <c r="G132" i="36"/>
  <c r="G131" i="36"/>
  <c r="G130" i="36"/>
  <c r="G129" i="36"/>
  <c r="G128" i="36"/>
  <c r="G127" i="36"/>
  <c r="G126" i="36"/>
  <c r="G125" i="36"/>
  <c r="G124" i="36"/>
  <c r="G123" i="36"/>
  <c r="F122" i="36"/>
  <c r="F140" i="36" s="1"/>
  <c r="E122" i="36"/>
  <c r="E145" i="36" s="1"/>
  <c r="E126" i="36" l="1"/>
  <c r="E134" i="36"/>
  <c r="F137" i="36"/>
  <c r="F129" i="36"/>
  <c r="F134" i="36"/>
  <c r="F123" i="36"/>
  <c r="E128" i="36"/>
  <c r="F131" i="36"/>
  <c r="E136" i="36"/>
  <c r="F139" i="36"/>
  <c r="E144" i="36"/>
  <c r="E142" i="36"/>
  <c r="E131" i="36"/>
  <c r="E125" i="36"/>
  <c r="F128" i="36"/>
  <c r="E133" i="36"/>
  <c r="F136" i="36"/>
  <c r="E141" i="36"/>
  <c r="F144" i="36"/>
  <c r="E123" i="36"/>
  <c r="F142" i="36"/>
  <c r="F125" i="36"/>
  <c r="E130" i="36"/>
  <c r="F133" i="36"/>
  <c r="E138" i="36"/>
  <c r="F141" i="36"/>
  <c r="E127" i="36"/>
  <c r="F130" i="36"/>
  <c r="E135" i="36"/>
  <c r="F138" i="36"/>
  <c r="E143" i="36"/>
  <c r="F127" i="36"/>
  <c r="E132" i="36"/>
  <c r="F135" i="36"/>
  <c r="E140" i="36"/>
  <c r="F143" i="36"/>
  <c r="F145" i="36"/>
  <c r="F126" i="36"/>
  <c r="E139" i="36"/>
  <c r="E124" i="36"/>
  <c r="H122" i="36"/>
  <c r="F124" i="36"/>
  <c r="E129" i="36"/>
  <c r="F132" i="36"/>
  <c r="E137" i="36"/>
  <c r="H138" i="36" l="1"/>
  <c r="H130" i="36"/>
  <c r="H140" i="36"/>
  <c r="H141" i="36"/>
  <c r="H133" i="36"/>
  <c r="H125" i="36"/>
  <c r="H127" i="36"/>
  <c r="H144" i="36"/>
  <c r="H136" i="36"/>
  <c r="H128" i="36"/>
  <c r="H139" i="36"/>
  <c r="H131" i="36"/>
  <c r="H123" i="36"/>
  <c r="H132" i="36"/>
  <c r="H143" i="36"/>
  <c r="H142" i="36"/>
  <c r="H134" i="36"/>
  <c r="H126" i="36"/>
  <c r="H124" i="36"/>
  <c r="H135" i="36"/>
  <c r="H145" i="36"/>
  <c r="H137" i="36"/>
  <c r="H129" i="36"/>
  <c r="AJ424" i="35" l="1"/>
  <c r="AK425" i="35"/>
  <c r="AI425" i="35"/>
  <c r="AJ426" i="35"/>
  <c r="AK426" i="35"/>
  <c r="AI381" i="35" l="1"/>
  <c r="AK381" i="35"/>
  <c r="AK382" i="35"/>
  <c r="AJ382" i="35"/>
  <c r="AJ380" i="35"/>
  <c r="B326" i="36" l="1"/>
  <c r="B325" i="36"/>
  <c r="B324" i="36"/>
  <c r="B323" i="36"/>
  <c r="B322" i="36"/>
  <c r="M61" i="32"/>
  <c r="G17" i="32"/>
  <c r="M17" i="32"/>
  <c r="R13" i="32" a="1"/>
  <c r="R13" i="32" s="1"/>
  <c r="G61" i="32" s="1"/>
  <c r="B414" i="36"/>
  <c r="B413" i="36"/>
  <c r="B412" i="36"/>
  <c r="B411" i="36"/>
  <c r="B410" i="36"/>
  <c r="B370" i="36"/>
  <c r="B369" i="36"/>
  <c r="B368" i="36"/>
  <c r="B367" i="36"/>
  <c r="B366" i="36"/>
  <c r="AG146" i="36"/>
  <c r="AF146" i="36"/>
  <c r="AE146" i="36"/>
  <c r="AD146" i="36"/>
  <c r="AC146" i="36"/>
  <c r="AB146" i="36"/>
  <c r="AA146" i="36"/>
  <c r="Z146" i="36"/>
  <c r="Y146" i="36"/>
  <c r="X146" i="36"/>
  <c r="W146" i="36"/>
  <c r="V146" i="36"/>
  <c r="U146" i="36"/>
  <c r="T146" i="36"/>
  <c r="S146" i="36"/>
  <c r="R146" i="36"/>
  <c r="Q146" i="36"/>
  <c r="P146" i="36"/>
  <c r="O146" i="36"/>
  <c r="N146" i="36"/>
  <c r="Z145" i="36"/>
  <c r="Y143" i="36"/>
  <c r="Z142" i="36"/>
  <c r="Y141" i="36"/>
  <c r="Y139" i="36"/>
  <c r="Y137" i="36"/>
  <c r="Z136" i="36"/>
  <c r="Y135" i="36"/>
  <c r="Z134" i="36"/>
  <c r="Y133" i="36"/>
  <c r="AA131" i="36"/>
  <c r="AB128" i="36"/>
  <c r="Y125" i="36"/>
  <c r="Z124" i="36"/>
  <c r="Z123" i="36"/>
  <c r="AB122" i="36"/>
  <c r="AA122" i="36"/>
  <c r="Z122" i="36"/>
  <c r="Y122" i="36"/>
  <c r="X122" i="36"/>
  <c r="AF33" i="36"/>
  <c r="H146" i="36" l="1"/>
  <c r="E146" i="36"/>
  <c r="J146" i="36"/>
  <c r="G146" i="36"/>
  <c r="F146" i="36"/>
  <c r="S337" i="35"/>
  <c r="Q336" i="35"/>
  <c r="AK336" i="35"/>
  <c r="AL336" i="35"/>
  <c r="AJ337" i="35"/>
  <c r="AL337" i="35"/>
  <c r="AK338" i="35"/>
  <c r="Q337" i="35"/>
  <c r="R336" i="35"/>
  <c r="R337" i="35"/>
  <c r="S336" i="35"/>
  <c r="R339" i="35"/>
  <c r="I337" i="35"/>
  <c r="AA143" i="36"/>
  <c r="AA137" i="36"/>
  <c r="Z139" i="36"/>
  <c r="AA139" i="36"/>
  <c r="AA141" i="36"/>
  <c r="AA145" i="36"/>
  <c r="S122" i="36"/>
  <c r="U122" i="36"/>
  <c r="Z143" i="36"/>
  <c r="AB123" i="36"/>
  <c r="Q125" i="36"/>
  <c r="Z137" i="36"/>
  <c r="Z141" i="36"/>
  <c r="AA135" i="36"/>
  <c r="AA133" i="36"/>
  <c r="O122" i="36"/>
  <c r="AA124" i="36"/>
  <c r="AB124" i="36"/>
  <c r="Z135" i="36"/>
  <c r="AA123" i="36"/>
  <c r="Z133" i="36"/>
  <c r="Y144" i="36"/>
  <c r="AB144" i="36"/>
  <c r="AA144" i="36"/>
  <c r="Z132" i="36"/>
  <c r="Z144" i="36"/>
  <c r="Y136" i="36"/>
  <c r="AB136" i="36"/>
  <c r="AA136" i="36"/>
  <c r="Y138" i="36"/>
  <c r="AB138" i="36"/>
  <c r="AA138" i="36"/>
  <c r="Z138" i="36"/>
  <c r="Y142" i="36"/>
  <c r="AB142" i="36"/>
  <c r="AA142" i="36"/>
  <c r="AA130" i="36"/>
  <c r="Y132" i="36"/>
  <c r="AB132" i="36"/>
  <c r="AA132" i="36"/>
  <c r="Y140" i="36"/>
  <c r="AB140" i="36"/>
  <c r="AA140" i="36"/>
  <c r="I146" i="36"/>
  <c r="AB127" i="36"/>
  <c r="AA127" i="36"/>
  <c r="L146" i="36"/>
  <c r="Y134" i="36"/>
  <c r="AB134" i="36"/>
  <c r="AA134" i="36"/>
  <c r="Z140" i="36"/>
  <c r="Y145" i="36"/>
  <c r="T122" i="36"/>
  <c r="AB133" i="36"/>
  <c r="AB135" i="36"/>
  <c r="AB137" i="36"/>
  <c r="AB139" i="36"/>
  <c r="AB141" i="36"/>
  <c r="AB143" i="36"/>
  <c r="U127" i="36"/>
  <c r="W127" i="36"/>
  <c r="V127" i="36"/>
  <c r="T127" i="36"/>
  <c r="S127" i="36"/>
  <c r="Y129" i="36"/>
  <c r="X129" i="36"/>
  <c r="Z128" i="36"/>
  <c r="Z129" i="36"/>
  <c r="Z130" i="36"/>
  <c r="AB131" i="36"/>
  <c r="M146" i="36"/>
  <c r="N125" i="36"/>
  <c r="AA128" i="36"/>
  <c r="AA129" i="36"/>
  <c r="Y126" i="36"/>
  <c r="X126" i="36"/>
  <c r="Y130" i="36"/>
  <c r="X130" i="36"/>
  <c r="N122" i="36"/>
  <c r="V122" i="36"/>
  <c r="N123" i="36"/>
  <c r="N124" i="36"/>
  <c r="O125" i="36"/>
  <c r="X125" i="36"/>
  <c r="Z126" i="36"/>
  <c r="AB129" i="36"/>
  <c r="AB130" i="36"/>
  <c r="Y128" i="36"/>
  <c r="X128" i="36"/>
  <c r="Y131" i="36"/>
  <c r="X131" i="36"/>
  <c r="W122" i="36"/>
  <c r="O123" i="36"/>
  <c r="O124" i="36"/>
  <c r="P125" i="36"/>
  <c r="Z125" i="36"/>
  <c r="AA126" i="36"/>
  <c r="Y127" i="36"/>
  <c r="X127" i="36"/>
  <c r="K146" i="36"/>
  <c r="P122" i="36"/>
  <c r="P123" i="36"/>
  <c r="X123" i="36"/>
  <c r="P124" i="36"/>
  <c r="X124" i="36"/>
  <c r="R125" i="36"/>
  <c r="AA125" i="36"/>
  <c r="AB126" i="36"/>
  <c r="Q122" i="36"/>
  <c r="Q123" i="36"/>
  <c r="Y123" i="36"/>
  <c r="Q124" i="36"/>
  <c r="Y124" i="36"/>
  <c r="AB125" i="36"/>
  <c r="R122" i="36"/>
  <c r="R123" i="36"/>
  <c r="R124" i="36"/>
  <c r="Z127" i="36"/>
  <c r="Z131" i="36"/>
  <c r="AB145" i="36"/>
  <c r="X132" i="36"/>
  <c r="X133" i="36"/>
  <c r="X134" i="36"/>
  <c r="X135" i="36"/>
  <c r="X136" i="36"/>
  <c r="X137" i="36"/>
  <c r="X138" i="36"/>
  <c r="X139" i="36"/>
  <c r="X140" i="36"/>
  <c r="X141" i="36"/>
  <c r="X142" i="36"/>
  <c r="X143" i="36"/>
  <c r="X144" i="36"/>
  <c r="X145" i="36"/>
  <c r="E501" i="35"/>
  <c r="E500" i="35"/>
  <c r="E499" i="35"/>
  <c r="E498" i="35"/>
  <c r="E497" i="35"/>
  <c r="E496" i="35"/>
  <c r="E495" i="35"/>
  <c r="E494" i="35"/>
  <c r="E493" i="35"/>
  <c r="E492" i="35"/>
  <c r="E491" i="35"/>
  <c r="E490" i="35"/>
  <c r="E489" i="35"/>
  <c r="E488" i="35"/>
  <c r="E487" i="35"/>
  <c r="E486" i="35"/>
  <c r="E485" i="35"/>
  <c r="E484" i="35"/>
  <c r="E483" i="35"/>
  <c r="E482" i="35"/>
  <c r="E481" i="35"/>
  <c r="E480" i="35"/>
  <c r="E479" i="35"/>
  <c r="AG319" i="35"/>
  <c r="AE319" i="35"/>
  <c r="AD319" i="35"/>
  <c r="AB319" i="35"/>
  <c r="AA319" i="35"/>
  <c r="Z319" i="35"/>
  <c r="Y319" i="35"/>
  <c r="X319" i="35"/>
  <c r="W319" i="35"/>
  <c r="V319" i="35"/>
  <c r="U319" i="35"/>
  <c r="T319" i="35"/>
  <c r="S319" i="35"/>
  <c r="Q319" i="35"/>
  <c r="P319" i="35"/>
  <c r="O319" i="35"/>
  <c r="N319" i="35"/>
  <c r="AG318" i="35"/>
  <c r="AF318" i="35"/>
  <c r="AE318" i="35"/>
  <c r="AD318" i="35"/>
  <c r="AB318" i="35"/>
  <c r="AA318" i="35"/>
  <c r="Z318" i="35"/>
  <c r="Y318" i="35"/>
  <c r="X318" i="35"/>
  <c r="W318" i="35"/>
  <c r="V318" i="35"/>
  <c r="U318" i="35"/>
  <c r="T318" i="35"/>
  <c r="S318" i="35"/>
  <c r="R318" i="35"/>
  <c r="Q318" i="35"/>
  <c r="P318" i="35"/>
  <c r="O318" i="35"/>
  <c r="AG317" i="35"/>
  <c r="AF317" i="35"/>
  <c r="AE317" i="35"/>
  <c r="AD317" i="35"/>
  <c r="Z317" i="35"/>
  <c r="Y317" i="35"/>
  <c r="W317" i="35"/>
  <c r="V317" i="35"/>
  <c r="U317" i="35"/>
  <c r="T317" i="35"/>
  <c r="S317" i="35"/>
  <c r="Q317" i="35"/>
  <c r="P317" i="35"/>
  <c r="O317" i="35"/>
  <c r="N317" i="35"/>
  <c r="AG316" i="35"/>
  <c r="AF316" i="35"/>
  <c r="AE316" i="35"/>
  <c r="AD316" i="35"/>
  <c r="AG314" i="35"/>
  <c r="AF314" i="35"/>
  <c r="W314" i="35"/>
  <c r="AD310" i="35"/>
  <c r="AG309" i="35"/>
  <c r="AF309" i="35"/>
  <c r="AE309" i="35"/>
  <c r="AD309" i="35"/>
  <c r="AB309" i="35"/>
  <c r="AA309" i="35"/>
  <c r="Z309" i="35"/>
  <c r="Y309" i="35"/>
  <c r="X309" i="35"/>
  <c r="W309" i="35"/>
  <c r="V309" i="35"/>
  <c r="U309" i="35"/>
  <c r="S309" i="35"/>
  <c r="P309" i="35"/>
  <c r="O309" i="35"/>
  <c r="N309" i="35"/>
  <c r="AG308" i="35"/>
  <c r="AF308" i="35"/>
  <c r="AE308" i="35"/>
  <c r="AD308" i="35"/>
  <c r="W308" i="35"/>
  <c r="V308" i="35"/>
  <c r="U308" i="35"/>
  <c r="AG307" i="35"/>
  <c r="AF307" i="35"/>
  <c r="AE307" i="35"/>
  <c r="AD307" i="35"/>
  <c r="W307" i="35"/>
  <c r="V307" i="35"/>
  <c r="U307" i="35"/>
  <c r="T307" i="35"/>
  <c r="S307" i="35"/>
  <c r="N307" i="35"/>
  <c r="AF306" i="35"/>
  <c r="AD306" i="35"/>
  <c r="O306" i="35"/>
  <c r="AG305" i="35"/>
  <c r="AF305" i="35"/>
  <c r="AE305" i="35"/>
  <c r="AD305" i="35"/>
  <c r="W305" i="35"/>
  <c r="V305" i="35"/>
  <c r="U305" i="35"/>
  <c r="S305" i="35"/>
  <c r="Q305" i="35"/>
  <c r="O305" i="35"/>
  <c r="AG146" i="35"/>
  <c r="AF146" i="35"/>
  <c r="AE146" i="35"/>
  <c r="AD146" i="35"/>
  <c r="AC146" i="35"/>
  <c r="AB146" i="35"/>
  <c r="AA146" i="35"/>
  <c r="Z146" i="35"/>
  <c r="Y146" i="35"/>
  <c r="X146" i="35"/>
  <c r="W146" i="35"/>
  <c r="V146" i="35"/>
  <c r="U146" i="35"/>
  <c r="T146" i="35"/>
  <c r="S146" i="35"/>
  <c r="R146" i="35"/>
  <c r="Q146" i="35"/>
  <c r="P146" i="35"/>
  <c r="O146" i="35"/>
  <c r="N146" i="35"/>
  <c r="E122" i="35"/>
  <c r="O11" i="32" s="1"/>
  <c r="F122" i="35"/>
  <c r="P11" i="32" s="1"/>
  <c r="G145" i="35"/>
  <c r="Z145" i="35" s="1"/>
  <c r="G144" i="35"/>
  <c r="AA144" i="35" s="1"/>
  <c r="G143" i="35"/>
  <c r="X143" i="35" s="1"/>
  <c r="G142" i="35"/>
  <c r="AA142" i="35" s="1"/>
  <c r="G141" i="35"/>
  <c r="AA141" i="35" s="1"/>
  <c r="G140" i="35"/>
  <c r="AA140" i="35" s="1"/>
  <c r="G139" i="35"/>
  <c r="AA139" i="35" s="1"/>
  <c r="G138" i="35"/>
  <c r="G137" i="35"/>
  <c r="G136" i="35"/>
  <c r="G135" i="35"/>
  <c r="G134" i="35"/>
  <c r="G133" i="35"/>
  <c r="AA133" i="35" s="1"/>
  <c r="G132" i="35"/>
  <c r="G131" i="35"/>
  <c r="G130" i="35"/>
  <c r="G129" i="35"/>
  <c r="AA129" i="35" s="1"/>
  <c r="G128" i="35"/>
  <c r="Z128" i="35" s="1"/>
  <c r="G127" i="35"/>
  <c r="AA127" i="35" s="1"/>
  <c r="G126" i="35"/>
  <c r="Z126" i="35" s="1"/>
  <c r="G125" i="35"/>
  <c r="AB125" i="35" s="1"/>
  <c r="G124" i="35"/>
  <c r="AA124" i="35" s="1"/>
  <c r="G123" i="35"/>
  <c r="Z123" i="35" s="1"/>
  <c r="AB122" i="35"/>
  <c r="AA122" i="35"/>
  <c r="Z122" i="35"/>
  <c r="Y122" i="35"/>
  <c r="X122" i="35"/>
  <c r="Q485" i="5"/>
  <c r="Q486" i="5"/>
  <c r="Q487" i="5"/>
  <c r="W487" i="5"/>
  <c r="Q488" i="5"/>
  <c r="W488" i="5"/>
  <c r="Q489" i="5"/>
  <c r="W489" i="5" s="1"/>
  <c r="Q490" i="5"/>
  <c r="W490" i="5"/>
  <c r="Q491" i="5"/>
  <c r="W491" i="5"/>
  <c r="Q492" i="5"/>
  <c r="W492" i="5"/>
  <c r="Q493" i="5"/>
  <c r="W493" i="5" s="1"/>
  <c r="Q494" i="5"/>
  <c r="W494" i="5"/>
  <c r="Q495" i="5"/>
  <c r="W495" i="5"/>
  <c r="Q496" i="5"/>
  <c r="W496" i="5"/>
  <c r="Q453" i="5"/>
  <c r="Q454" i="5"/>
  <c r="Q455" i="5"/>
  <c r="Q456" i="5"/>
  <c r="K456" i="5" s="1"/>
  <c r="Q457" i="5"/>
  <c r="Q458" i="5"/>
  <c r="Q459" i="5"/>
  <c r="Q460" i="5"/>
  <c r="Q461" i="5"/>
  <c r="AS461" i="5" s="1"/>
  <c r="Q462" i="5"/>
  <c r="Q463" i="5"/>
  <c r="K463" i="5" s="1"/>
  <c r="Q464" i="5"/>
  <c r="K464" i="5" s="1"/>
  <c r="Q465" i="5"/>
  <c r="Q466" i="5"/>
  <c r="K466" i="5" s="1"/>
  <c r="Q467" i="5"/>
  <c r="Q468" i="5"/>
  <c r="Q469" i="5"/>
  <c r="Q470" i="5"/>
  <c r="Q471" i="5"/>
  <c r="Q472" i="5"/>
  <c r="Q473" i="5"/>
  <c r="Q474" i="5"/>
  <c r="Q475" i="5"/>
  <c r="AS475" i="5" s="1"/>
  <c r="Q476" i="5"/>
  <c r="Q477" i="5"/>
  <c r="W477" i="5" s="1"/>
  <c r="Q434" i="5"/>
  <c r="K434" i="5" s="1"/>
  <c r="Q435" i="5"/>
  <c r="Q436" i="5"/>
  <c r="Q437" i="5"/>
  <c r="Q438" i="5"/>
  <c r="Q439" i="5"/>
  <c r="Q440" i="5"/>
  <c r="Q441" i="5"/>
  <c r="Q442" i="5"/>
  <c r="W442" i="5" s="1"/>
  <c r="Q443" i="5"/>
  <c r="W443" i="5" s="1"/>
  <c r="Q444" i="5"/>
  <c r="W444" i="5" s="1"/>
  <c r="Q445" i="5"/>
  <c r="W445" i="5"/>
  <c r="Q407" i="5"/>
  <c r="W407" i="5" s="1"/>
  <c r="Q408" i="5"/>
  <c r="Q409" i="5"/>
  <c r="Q410" i="5"/>
  <c r="Q411" i="5"/>
  <c r="Q412" i="5"/>
  <c r="Q413" i="5"/>
  <c r="W413" i="5" s="1"/>
  <c r="Q414" i="5"/>
  <c r="W414" i="5" s="1"/>
  <c r="Q415" i="5"/>
  <c r="Q416" i="5"/>
  <c r="W416" i="5" s="1"/>
  <c r="Q417" i="5"/>
  <c r="Q418" i="5"/>
  <c r="Q419" i="5"/>
  <c r="Q420" i="5"/>
  <c r="W420" i="5" s="1"/>
  <c r="Q421" i="5"/>
  <c r="W421" i="5" s="1"/>
  <c r="Q422" i="5"/>
  <c r="Q423" i="5"/>
  <c r="W423" i="5" s="1"/>
  <c r="Q424" i="5"/>
  <c r="W424" i="5"/>
  <c r="Q425" i="5"/>
  <c r="Q426" i="5"/>
  <c r="Q386" i="5"/>
  <c r="AI386" i="5" s="1"/>
  <c r="W386" i="5"/>
  <c r="Q387" i="5"/>
  <c r="Q388" i="5"/>
  <c r="Q389" i="5"/>
  <c r="W389" i="5"/>
  <c r="Q390" i="5"/>
  <c r="W390" i="5"/>
  <c r="Q391" i="5"/>
  <c r="Q392" i="5"/>
  <c r="Q393" i="5"/>
  <c r="Q394" i="5"/>
  <c r="W394" i="5" s="1"/>
  <c r="Q395" i="5"/>
  <c r="W395" i="5" s="1"/>
  <c r="Q396" i="5"/>
  <c r="W396" i="5" s="1"/>
  <c r="Q397" i="5"/>
  <c r="W397" i="5" s="1"/>
  <c r="Q354" i="5"/>
  <c r="Q355" i="5"/>
  <c r="Q356" i="5"/>
  <c r="Q357" i="5"/>
  <c r="Q358" i="5"/>
  <c r="Q359" i="5"/>
  <c r="Q360" i="5"/>
  <c r="Q361" i="5"/>
  <c r="Q362" i="5"/>
  <c r="K362" i="5" s="1"/>
  <c r="Q363" i="5"/>
  <c r="Q364" i="5"/>
  <c r="Q365" i="5"/>
  <c r="Q366" i="5"/>
  <c r="K366" i="5" s="1"/>
  <c r="Q367" i="5"/>
  <c r="Q368" i="5"/>
  <c r="AS368" i="5" s="1"/>
  <c r="Q369" i="5"/>
  <c r="K369" i="5" s="1"/>
  <c r="Q370" i="5"/>
  <c r="Q371" i="5"/>
  <c r="Q372" i="5"/>
  <c r="AQ372" i="5" s="1"/>
  <c r="Q373" i="5"/>
  <c r="Q374" i="5"/>
  <c r="Q375" i="5"/>
  <c r="AQ375" i="5" s="1"/>
  <c r="Q376" i="5"/>
  <c r="AS376" i="5" s="1"/>
  <c r="Q377" i="5"/>
  <c r="AS377" i="5" s="1"/>
  <c r="Q378" i="5"/>
  <c r="W378" i="5" s="1"/>
  <c r="Q335" i="5"/>
  <c r="Q336" i="5"/>
  <c r="Q337" i="5"/>
  <c r="AQ337" i="5" s="1"/>
  <c r="Q338" i="5"/>
  <c r="Q339" i="5"/>
  <c r="Q340" i="5"/>
  <c r="W340" i="5" s="1"/>
  <c r="Q341" i="5"/>
  <c r="AM341" i="5" s="1"/>
  <c r="Q342" i="5"/>
  <c r="W342" i="5" s="1"/>
  <c r="Q343" i="5"/>
  <c r="W343" i="5" s="1"/>
  <c r="Q344" i="5"/>
  <c r="W344" i="5" s="1"/>
  <c r="Q345" i="5"/>
  <c r="W345" i="5" s="1"/>
  <c r="Q346" i="5"/>
  <c r="W346" i="5" s="1"/>
  <c r="Q308" i="5"/>
  <c r="Q309" i="5"/>
  <c r="Q310" i="5"/>
  <c r="Q311" i="5"/>
  <c r="Q312" i="5"/>
  <c r="Q313" i="5"/>
  <c r="Q314" i="5"/>
  <c r="Q315" i="5"/>
  <c r="Q316" i="5"/>
  <c r="W316" i="5" s="1"/>
  <c r="Q317" i="5"/>
  <c r="Q318" i="5"/>
  <c r="W318" i="5"/>
  <c r="Q319" i="5"/>
  <c r="W319" i="5" s="1"/>
  <c r="Q320" i="5"/>
  <c r="W320" i="5" s="1"/>
  <c r="Q321" i="5"/>
  <c r="Q322" i="5"/>
  <c r="W322" i="5" s="1"/>
  <c r="Q323" i="5"/>
  <c r="Y323" i="5" s="1"/>
  <c r="Q324" i="5"/>
  <c r="W324" i="5" s="1"/>
  <c r="Q325" i="5"/>
  <c r="W325" i="5" s="1"/>
  <c r="Q326" i="5"/>
  <c r="W326" i="5" s="1"/>
  <c r="Q327" i="5"/>
  <c r="Q287" i="5"/>
  <c r="W287" i="5" s="1"/>
  <c r="Q288" i="5"/>
  <c r="W288" i="5" s="1"/>
  <c r="Q289" i="5"/>
  <c r="AN289" i="5" s="1"/>
  <c r="Q290" i="5"/>
  <c r="W290" i="5" s="1"/>
  <c r="Q291" i="5"/>
  <c r="W291" i="5"/>
  <c r="Q292" i="5"/>
  <c r="W292" i="5" s="1"/>
  <c r="Q293" i="5"/>
  <c r="AP293" i="5" s="1"/>
  <c r="Q294" i="5"/>
  <c r="W294" i="5" s="1"/>
  <c r="Q295" i="5"/>
  <c r="W295" i="5"/>
  <c r="Q296" i="5"/>
  <c r="W296" i="5"/>
  <c r="Q297" i="5"/>
  <c r="W297" i="5"/>
  <c r="Q298" i="5"/>
  <c r="W298" i="5" s="1"/>
  <c r="Q255" i="5"/>
  <c r="Q256" i="5"/>
  <c r="Q257" i="5"/>
  <c r="Q258" i="5"/>
  <c r="Q259" i="5"/>
  <c r="Q260" i="5"/>
  <c r="K260" i="5" s="1"/>
  <c r="Q261" i="5"/>
  <c r="Q262" i="5"/>
  <c r="Q263" i="5"/>
  <c r="Q264" i="5"/>
  <c r="Q265" i="5"/>
  <c r="Q266" i="5"/>
  <c r="Q267" i="5"/>
  <c r="Q268" i="5"/>
  <c r="Q269" i="5"/>
  <c r="Q270" i="5"/>
  <c r="Q271" i="5"/>
  <c r="Q272" i="5"/>
  <c r="Q273" i="5"/>
  <c r="Q274" i="5"/>
  <c r="Q275" i="5"/>
  <c r="Q276" i="5"/>
  <c r="W276" i="5" s="1"/>
  <c r="Q277" i="5"/>
  <c r="Q278" i="5"/>
  <c r="Q279" i="5"/>
  <c r="Q236" i="5"/>
  <c r="K236" i="5" s="1"/>
  <c r="Q237" i="5"/>
  <c r="Q238" i="5"/>
  <c r="Q239" i="5"/>
  <c r="Q240" i="5"/>
  <c r="Q241" i="5"/>
  <c r="Q242" i="5"/>
  <c r="W242" i="5" s="1"/>
  <c r="Q243" i="5"/>
  <c r="W243" i="5" s="1"/>
  <c r="Q244" i="5"/>
  <c r="W244" i="5" s="1"/>
  <c r="Q245" i="5"/>
  <c r="W245" i="5"/>
  <c r="Q246" i="5"/>
  <c r="W246" i="5"/>
  <c r="Q247" i="5"/>
  <c r="W247" i="5" s="1"/>
  <c r="Q209" i="5"/>
  <c r="AM209" i="5" s="1"/>
  <c r="Q210" i="5"/>
  <c r="Z210" i="5" s="1"/>
  <c r="Q211" i="5"/>
  <c r="Q212" i="5"/>
  <c r="Q213" i="5"/>
  <c r="W213" i="5" s="1"/>
  <c r="Q214" i="5"/>
  <c r="Q215" i="5"/>
  <c r="Q216" i="5"/>
  <c r="AM216" i="5" s="1"/>
  <c r="Q217" i="5"/>
  <c r="Q218" i="5"/>
  <c r="Q219" i="5"/>
  <c r="Q220" i="5"/>
  <c r="Q221" i="5"/>
  <c r="W221" i="5" s="1"/>
  <c r="Q222" i="5"/>
  <c r="W222" i="5" s="1"/>
  <c r="Q223" i="5"/>
  <c r="W223" i="5" s="1"/>
  <c r="Q224" i="5"/>
  <c r="W224" i="5" s="1"/>
  <c r="Q225" i="5"/>
  <c r="W225" i="5"/>
  <c r="Q226" i="5"/>
  <c r="W226" i="5"/>
  <c r="Q227" i="5"/>
  <c r="W227" i="5"/>
  <c r="Q228" i="5"/>
  <c r="W228" i="5" s="1"/>
  <c r="Q188" i="5"/>
  <c r="W188" i="5" s="1"/>
  <c r="Q189" i="5"/>
  <c r="AL189" i="5" s="1"/>
  <c r="Q190" i="5"/>
  <c r="Q191" i="5"/>
  <c r="Q192" i="5"/>
  <c r="Q193" i="5"/>
  <c r="Q194" i="5"/>
  <c r="AP194" i="5" s="1"/>
  <c r="Q195" i="5"/>
  <c r="W195" i="5" s="1"/>
  <c r="Q196" i="5"/>
  <c r="W196" i="5" s="1"/>
  <c r="Q197" i="5"/>
  <c r="W197" i="5" s="1"/>
  <c r="Q198" i="5"/>
  <c r="AQ198" i="5" s="1"/>
  <c r="Q199" i="5"/>
  <c r="W199" i="5" s="1"/>
  <c r="Q156" i="5"/>
  <c r="AE156" i="5" s="1"/>
  <c r="Q157" i="5"/>
  <c r="Q158" i="5"/>
  <c r="Q159" i="5"/>
  <c r="Q160" i="5"/>
  <c r="Q161" i="5"/>
  <c r="Q162" i="5"/>
  <c r="Q163" i="5"/>
  <c r="Q164" i="5"/>
  <c r="Q165" i="5"/>
  <c r="Q166" i="5"/>
  <c r="W166" i="5" s="1"/>
  <c r="Q167" i="5"/>
  <c r="Q168" i="5"/>
  <c r="AN168" i="5" s="1"/>
  <c r="Q169" i="5"/>
  <c r="Q170" i="5"/>
  <c r="Q171" i="5"/>
  <c r="Q172" i="5"/>
  <c r="AQ172" i="5" s="1"/>
  <c r="Q173" i="5"/>
  <c r="Q174" i="5"/>
  <c r="AS174" i="5" s="1"/>
  <c r="Q175" i="5"/>
  <c r="AS175" i="5" s="1"/>
  <c r="Q176" i="5"/>
  <c r="Q177" i="5"/>
  <c r="Q178" i="5"/>
  <c r="W178" i="5" s="1"/>
  <c r="Q179" i="5"/>
  <c r="W179" i="5" s="1"/>
  <c r="Q180" i="5"/>
  <c r="W180" i="5" s="1"/>
  <c r="Q137" i="5"/>
  <c r="Q138" i="5"/>
  <c r="AD138" i="5" s="1"/>
  <c r="Q139" i="5"/>
  <c r="AK139" i="5" s="1"/>
  <c r="Q140" i="5"/>
  <c r="Q141" i="5"/>
  <c r="Q142" i="5"/>
  <c r="Q143" i="5"/>
  <c r="W143" i="5" s="1"/>
  <c r="Q144" i="5"/>
  <c r="W144" i="5" s="1"/>
  <c r="Q145" i="5"/>
  <c r="W145" i="5" s="1"/>
  <c r="Q146" i="5"/>
  <c r="W146" i="5" s="1"/>
  <c r="Q147" i="5"/>
  <c r="W147" i="5" s="1"/>
  <c r="Q148" i="5"/>
  <c r="AS148" i="5" s="1"/>
  <c r="Q110" i="5"/>
  <c r="R110" i="5" s="1"/>
  <c r="Q111" i="5"/>
  <c r="Q112" i="5"/>
  <c r="Q113" i="5"/>
  <c r="Q114" i="5"/>
  <c r="W114" i="5" s="1"/>
  <c r="Q115" i="5"/>
  <c r="Q116" i="5"/>
  <c r="Q117" i="5"/>
  <c r="Y117" i="5" s="1"/>
  <c r="Q118" i="5"/>
  <c r="Q119" i="5"/>
  <c r="AO119" i="5" s="1"/>
  <c r="Q120" i="5"/>
  <c r="Q121" i="5"/>
  <c r="Q122" i="5"/>
  <c r="Y122" i="5" s="1"/>
  <c r="Q123" i="5"/>
  <c r="Q124" i="5"/>
  <c r="Y124" i="5" s="1"/>
  <c r="Q125" i="5"/>
  <c r="Q126" i="5"/>
  <c r="W126" i="5" s="1"/>
  <c r="Q127" i="5"/>
  <c r="Y127" i="5" s="1"/>
  <c r="Q128" i="5"/>
  <c r="Q129" i="5"/>
  <c r="Q89" i="5"/>
  <c r="W89" i="5" s="1"/>
  <c r="Q90" i="5"/>
  <c r="Q91" i="5"/>
  <c r="Q92" i="5"/>
  <c r="W92" i="5" s="1"/>
  <c r="Q93" i="5"/>
  <c r="W93" i="5" s="1"/>
  <c r="Q94" i="5"/>
  <c r="AO94" i="5" s="1"/>
  <c r="Q95" i="5"/>
  <c r="W95" i="5" s="1"/>
  <c r="Q96" i="5"/>
  <c r="W96" i="5" s="1"/>
  <c r="Q97" i="5"/>
  <c r="AS97" i="5" s="1"/>
  <c r="Q98" i="5"/>
  <c r="W98" i="5" s="1"/>
  <c r="Q99" i="5"/>
  <c r="W99" i="5" s="1"/>
  <c r="Q100" i="5"/>
  <c r="W100" i="5" s="1"/>
  <c r="Q57" i="5"/>
  <c r="Q58" i="5"/>
  <c r="Q59" i="5"/>
  <c r="Q60" i="5"/>
  <c r="K60" i="5" s="1"/>
  <c r="Q61" i="5"/>
  <c r="Q62" i="5"/>
  <c r="Q63" i="5"/>
  <c r="Q64" i="5"/>
  <c r="Q65" i="5"/>
  <c r="Q66" i="5"/>
  <c r="K66" i="5" s="1"/>
  <c r="E199" i="26" s="1"/>
  <c r="F199" i="26" s="1"/>
  <c r="Q67" i="5"/>
  <c r="Q68" i="5"/>
  <c r="Q69" i="5"/>
  <c r="Q70" i="5"/>
  <c r="Q71" i="5"/>
  <c r="Q72" i="5"/>
  <c r="AN72" i="5" s="1"/>
  <c r="Q73" i="5"/>
  <c r="Q74" i="5"/>
  <c r="W74" i="5"/>
  <c r="Q75" i="5"/>
  <c r="Q76" i="5"/>
  <c r="AQ76" i="5" s="1"/>
  <c r="Q77" i="5"/>
  <c r="AS77" i="5" s="1"/>
  <c r="Q78" i="5"/>
  <c r="AN78" i="5" s="1"/>
  <c r="Q79" i="5"/>
  <c r="AS79" i="5" s="1"/>
  <c r="Q80" i="5"/>
  <c r="W80" i="5" s="1"/>
  <c r="Q81" i="5"/>
  <c r="AS81" i="5" s="1"/>
  <c r="Q38" i="5"/>
  <c r="W38" i="5" s="1"/>
  <c r="Q39" i="5"/>
  <c r="AN39" i="5" s="1"/>
  <c r="Q40" i="5"/>
  <c r="Q41" i="5"/>
  <c r="AJ41" i="5" s="1"/>
  <c r="Q42" i="5"/>
  <c r="Q43" i="5"/>
  <c r="W43" i="5" s="1"/>
  <c r="Q44" i="5"/>
  <c r="W44" i="5" s="1"/>
  <c r="Q45" i="5"/>
  <c r="W45" i="5" s="1"/>
  <c r="Q46" i="5"/>
  <c r="W46" i="5" s="1"/>
  <c r="Q47" i="5"/>
  <c r="W47" i="5"/>
  <c r="Q48" i="5"/>
  <c r="W48" i="5"/>
  <c r="Q49" i="5"/>
  <c r="W49" i="5"/>
  <c r="Q11" i="5"/>
  <c r="AR11" i="5" s="1"/>
  <c r="Q12" i="5"/>
  <c r="Q13" i="5"/>
  <c r="Q14" i="5"/>
  <c r="Q15" i="5"/>
  <c r="Y15" i="5" s="1"/>
  <c r="Q16" i="5"/>
  <c r="Y16" i="5" s="1"/>
  <c r="Q17" i="5"/>
  <c r="Q18" i="5"/>
  <c r="Y18" i="5" s="1"/>
  <c r="W18" i="5"/>
  <c r="Q19" i="5"/>
  <c r="R19" i="5" s="1"/>
  <c r="Q20" i="5"/>
  <c r="Q21" i="5"/>
  <c r="W21" i="5" s="1"/>
  <c r="Q22" i="5"/>
  <c r="W22" i="5" s="1"/>
  <c r="Q23" i="5"/>
  <c r="Q24" i="5"/>
  <c r="Q25" i="5"/>
  <c r="Q26" i="5"/>
  <c r="W26" i="5" s="1"/>
  <c r="Q27" i="5"/>
  <c r="Y27" i="5" s="1"/>
  <c r="Q28" i="5"/>
  <c r="W28" i="5"/>
  <c r="Q29" i="5"/>
  <c r="Y29" i="5" s="1"/>
  <c r="W29" i="5"/>
  <c r="Q30" i="5"/>
  <c r="W30" i="5"/>
  <c r="Y13" i="5"/>
  <c r="Y14" i="5"/>
  <c r="Y17" i="5"/>
  <c r="Y20" i="5"/>
  <c r="Y28" i="5"/>
  <c r="Y30" i="5"/>
  <c r="Y111" i="5"/>
  <c r="Y112" i="5"/>
  <c r="Y113" i="5"/>
  <c r="Y114" i="5"/>
  <c r="Y115" i="5"/>
  <c r="Y120" i="5"/>
  <c r="Y121" i="5"/>
  <c r="Y123" i="5"/>
  <c r="Y125" i="5"/>
  <c r="Y128" i="5"/>
  <c r="Y211" i="5"/>
  <c r="Y212" i="5"/>
  <c r="Y213" i="5"/>
  <c r="Y215" i="5"/>
  <c r="Y218" i="5"/>
  <c r="Y221" i="5"/>
  <c r="Y225" i="5"/>
  <c r="Y226" i="5"/>
  <c r="Y228" i="5"/>
  <c r="Y308" i="5"/>
  <c r="Y310" i="5"/>
  <c r="Y311" i="5"/>
  <c r="Y313" i="5"/>
  <c r="Y314" i="5"/>
  <c r="Y315" i="5"/>
  <c r="Y316" i="5"/>
  <c r="Y317" i="5"/>
  <c r="Y318" i="5"/>
  <c r="Y320" i="5"/>
  <c r="Y321" i="5"/>
  <c r="Y322" i="5"/>
  <c r="Y324" i="5"/>
  <c r="Y326" i="5"/>
  <c r="Y407" i="5"/>
  <c r="Y409" i="5"/>
  <c r="Y410" i="5"/>
  <c r="Y411" i="5"/>
  <c r="Y412" i="5"/>
  <c r="Y413" i="5"/>
  <c r="Y415" i="5"/>
  <c r="Y416" i="5"/>
  <c r="Y417" i="5"/>
  <c r="Y418" i="5"/>
  <c r="Y419" i="5"/>
  <c r="Y420" i="5"/>
  <c r="Y421" i="5"/>
  <c r="Y423" i="5"/>
  <c r="Y424" i="5"/>
  <c r="Y425" i="5"/>
  <c r="Y426" i="5"/>
  <c r="AS40" i="5"/>
  <c r="AS43" i="5"/>
  <c r="AS44" i="5"/>
  <c r="AS47" i="5"/>
  <c r="AS48" i="5"/>
  <c r="AS49" i="5"/>
  <c r="AS137" i="5"/>
  <c r="AS141" i="5"/>
  <c r="AS142" i="5"/>
  <c r="AS143" i="5"/>
  <c r="AS145" i="5"/>
  <c r="AS146" i="5"/>
  <c r="AS147" i="5"/>
  <c r="AS236" i="5"/>
  <c r="AS237" i="5"/>
  <c r="AS240" i="5"/>
  <c r="AS241" i="5"/>
  <c r="AS243" i="5"/>
  <c r="AS244" i="5"/>
  <c r="AS245" i="5"/>
  <c r="AS246" i="5"/>
  <c r="AS247" i="5"/>
  <c r="AS335" i="5"/>
  <c r="AS338" i="5"/>
  <c r="AS340" i="5"/>
  <c r="AS342" i="5"/>
  <c r="AS343" i="5"/>
  <c r="AS344" i="5"/>
  <c r="AS345" i="5"/>
  <c r="AS346" i="5"/>
  <c r="AS437" i="5"/>
  <c r="AS438" i="5"/>
  <c r="AS439" i="5"/>
  <c r="AS442" i="5"/>
  <c r="AS443" i="5"/>
  <c r="AS444" i="5"/>
  <c r="AS445" i="5"/>
  <c r="AS58" i="5"/>
  <c r="AS59" i="5"/>
  <c r="AS66" i="5"/>
  <c r="AS69" i="5"/>
  <c r="AS72" i="5"/>
  <c r="AS73" i="5"/>
  <c r="AS74" i="5"/>
  <c r="AS157" i="5"/>
  <c r="AS158" i="5"/>
  <c r="AS159" i="5"/>
  <c r="AS167" i="5"/>
  <c r="AS172" i="5"/>
  <c r="AS179" i="5"/>
  <c r="AS180" i="5"/>
  <c r="AS259" i="5"/>
  <c r="AS261" i="5"/>
  <c r="AS267" i="5"/>
  <c r="AS272" i="5"/>
  <c r="AS276" i="5"/>
  <c r="AS279" i="5"/>
  <c r="AS354" i="5"/>
  <c r="AS356" i="5"/>
  <c r="AS360" i="5"/>
  <c r="AS361" i="5"/>
  <c r="AS374" i="5"/>
  <c r="AS456" i="5"/>
  <c r="AS457" i="5"/>
  <c r="AS460" i="5"/>
  <c r="AS463" i="5"/>
  <c r="AS464" i="5"/>
  <c r="AS466" i="5"/>
  <c r="AS470" i="5"/>
  <c r="AS471" i="5"/>
  <c r="AS474" i="5"/>
  <c r="AS476" i="5"/>
  <c r="AS91" i="5"/>
  <c r="AS92" i="5"/>
  <c r="AS95" i="5"/>
  <c r="AS96" i="5"/>
  <c r="AS98" i="5"/>
  <c r="AS99" i="5"/>
  <c r="AS100" i="5"/>
  <c r="AS188" i="5"/>
  <c r="AS191" i="5"/>
  <c r="AS192" i="5"/>
  <c r="AS194" i="5"/>
  <c r="AS195" i="5"/>
  <c r="AS196" i="5"/>
  <c r="AS197" i="5"/>
  <c r="AS199" i="5"/>
  <c r="AS287" i="5"/>
  <c r="AS288" i="5"/>
  <c r="AS290" i="5"/>
  <c r="AS291" i="5"/>
  <c r="AS292" i="5"/>
  <c r="AS294" i="5"/>
  <c r="AS295" i="5"/>
  <c r="AS296" i="5"/>
  <c r="AS297" i="5"/>
  <c r="AS298" i="5"/>
  <c r="AS386" i="5"/>
  <c r="AS388" i="5"/>
  <c r="AS389" i="5"/>
  <c r="AS390" i="5"/>
  <c r="AS392" i="5"/>
  <c r="AS394" i="5"/>
  <c r="AS395" i="5"/>
  <c r="AS396" i="5"/>
  <c r="AS397" i="5"/>
  <c r="AS485" i="5"/>
  <c r="AS486" i="5"/>
  <c r="AS487" i="5"/>
  <c r="AS488" i="5"/>
  <c r="AS489" i="5"/>
  <c r="AS490" i="5"/>
  <c r="AS491" i="5"/>
  <c r="AS492" i="5"/>
  <c r="AS493" i="5"/>
  <c r="AS494" i="5"/>
  <c r="AS495" i="5"/>
  <c r="AS496" i="5"/>
  <c r="AS13" i="5"/>
  <c r="AS14" i="5"/>
  <c r="AS16" i="5"/>
  <c r="AS17" i="5"/>
  <c r="AS22" i="5"/>
  <c r="AS23" i="5"/>
  <c r="AS28" i="5"/>
  <c r="AS29" i="5"/>
  <c r="AS30" i="5"/>
  <c r="AQ39" i="5"/>
  <c r="AQ40" i="5"/>
  <c r="AQ43" i="5"/>
  <c r="AQ44" i="5"/>
  <c r="AQ46" i="5"/>
  <c r="AQ47" i="5"/>
  <c r="AQ48" i="5"/>
  <c r="AQ49" i="5"/>
  <c r="AQ137" i="5"/>
  <c r="AQ141" i="5"/>
  <c r="AQ142" i="5"/>
  <c r="AQ143" i="5"/>
  <c r="AQ144" i="5"/>
  <c r="AQ145" i="5"/>
  <c r="AQ146" i="5"/>
  <c r="AQ147" i="5"/>
  <c r="AQ148" i="5"/>
  <c r="AQ236" i="5"/>
  <c r="AQ237" i="5"/>
  <c r="AQ240" i="5"/>
  <c r="AQ241" i="5"/>
  <c r="AQ243" i="5"/>
  <c r="AQ244" i="5"/>
  <c r="AQ245" i="5"/>
  <c r="AQ246" i="5"/>
  <c r="AQ247" i="5"/>
  <c r="AQ335" i="5"/>
  <c r="AQ338" i="5"/>
  <c r="AQ340" i="5"/>
  <c r="AQ342" i="5"/>
  <c r="AQ343" i="5"/>
  <c r="AQ344" i="5"/>
  <c r="AQ346" i="5"/>
  <c r="AQ434" i="5"/>
  <c r="AQ435" i="5"/>
  <c r="AQ437" i="5"/>
  <c r="AQ438" i="5"/>
  <c r="AQ439" i="5"/>
  <c r="AQ442" i="5"/>
  <c r="AQ443" i="5"/>
  <c r="AQ444" i="5"/>
  <c r="AQ445" i="5"/>
  <c r="AQ58" i="5"/>
  <c r="AQ59" i="5"/>
  <c r="AQ66" i="5"/>
  <c r="AQ67" i="5"/>
  <c r="AQ70" i="5"/>
  <c r="AQ72" i="5"/>
  <c r="AQ73" i="5"/>
  <c r="AQ74" i="5"/>
  <c r="AQ81" i="5"/>
  <c r="AQ157" i="5"/>
  <c r="AQ158" i="5"/>
  <c r="AQ161" i="5"/>
  <c r="AQ167" i="5"/>
  <c r="AQ175" i="5"/>
  <c r="AQ179" i="5"/>
  <c r="AQ180" i="5"/>
  <c r="AQ258" i="5"/>
  <c r="AQ259" i="5"/>
  <c r="AQ261" i="5"/>
  <c r="AQ267" i="5"/>
  <c r="AQ272" i="5"/>
  <c r="AQ274" i="5"/>
  <c r="AQ275" i="5"/>
  <c r="AQ276" i="5"/>
  <c r="AQ279" i="5"/>
  <c r="AQ354" i="5"/>
  <c r="AQ356" i="5"/>
  <c r="AQ360" i="5"/>
  <c r="AQ363" i="5"/>
  <c r="AQ374" i="5"/>
  <c r="AQ376" i="5"/>
  <c r="AQ377" i="5"/>
  <c r="AQ454" i="5"/>
  <c r="AQ456" i="5"/>
  <c r="AQ457" i="5"/>
  <c r="AQ460" i="5"/>
  <c r="AQ463" i="5"/>
  <c r="AQ464" i="5"/>
  <c r="AQ466" i="5"/>
  <c r="AQ468" i="5"/>
  <c r="AQ469" i="5"/>
  <c r="AQ470" i="5"/>
  <c r="AQ471" i="5"/>
  <c r="AQ472" i="5"/>
  <c r="AQ474" i="5"/>
  <c r="AQ475" i="5"/>
  <c r="AQ476" i="5"/>
  <c r="AQ477" i="5"/>
  <c r="AQ89" i="5"/>
  <c r="AQ91" i="5"/>
  <c r="AQ92" i="5"/>
  <c r="AQ95" i="5"/>
  <c r="AQ96" i="5"/>
  <c r="AQ97" i="5"/>
  <c r="AQ98" i="5"/>
  <c r="AQ99" i="5"/>
  <c r="AQ100" i="5"/>
  <c r="AQ188" i="5"/>
  <c r="AQ191" i="5"/>
  <c r="AQ192" i="5"/>
  <c r="AQ194" i="5"/>
  <c r="AQ195" i="5"/>
  <c r="AQ196" i="5"/>
  <c r="AQ197" i="5"/>
  <c r="AQ199" i="5"/>
  <c r="AQ287" i="5"/>
  <c r="AQ288" i="5"/>
  <c r="AQ290" i="5"/>
  <c r="AQ291" i="5"/>
  <c r="AQ292" i="5"/>
  <c r="AQ294" i="5"/>
  <c r="AQ295" i="5"/>
  <c r="AQ296" i="5"/>
  <c r="AQ297" i="5"/>
  <c r="AQ298" i="5"/>
  <c r="AQ388" i="5"/>
  <c r="AQ389" i="5"/>
  <c r="AQ390" i="5"/>
  <c r="AQ392" i="5"/>
  <c r="AQ393" i="5"/>
  <c r="AQ394" i="5"/>
  <c r="AQ395" i="5"/>
  <c r="AQ396" i="5"/>
  <c r="AQ397" i="5"/>
  <c r="AQ486" i="5"/>
  <c r="AQ487" i="5"/>
  <c r="AQ488" i="5"/>
  <c r="AQ489" i="5"/>
  <c r="AQ490" i="5"/>
  <c r="AQ491" i="5"/>
  <c r="AQ492" i="5"/>
  <c r="AQ493" i="5"/>
  <c r="AQ494" i="5"/>
  <c r="AQ495" i="5"/>
  <c r="AQ496" i="5"/>
  <c r="AQ13" i="5"/>
  <c r="AQ14" i="5"/>
  <c r="AQ16" i="5"/>
  <c r="AQ17" i="5"/>
  <c r="AQ18" i="5"/>
  <c r="AQ22" i="5"/>
  <c r="AQ27" i="5"/>
  <c r="AQ28" i="5"/>
  <c r="AQ29" i="5"/>
  <c r="AQ30" i="5"/>
  <c r="AP40" i="5"/>
  <c r="AP42" i="5"/>
  <c r="AP43" i="5"/>
  <c r="AP45" i="5"/>
  <c r="AP47" i="5"/>
  <c r="AP48" i="5"/>
  <c r="AP49" i="5"/>
  <c r="AP137" i="5"/>
  <c r="AP138" i="5"/>
  <c r="AP141" i="5"/>
  <c r="AP143" i="5"/>
  <c r="AP144" i="5"/>
  <c r="AP145" i="5"/>
  <c r="AP146" i="5"/>
  <c r="AP147" i="5"/>
  <c r="AP148" i="5"/>
  <c r="AP237" i="5"/>
  <c r="AP240" i="5"/>
  <c r="AP241" i="5"/>
  <c r="AP242" i="5"/>
  <c r="AP243" i="5"/>
  <c r="AP244" i="5"/>
  <c r="AP245" i="5"/>
  <c r="AP246" i="5"/>
  <c r="AP247" i="5"/>
  <c r="AP335" i="5"/>
  <c r="AP338" i="5"/>
  <c r="AP340" i="5"/>
  <c r="AP342" i="5"/>
  <c r="AP343" i="5"/>
  <c r="AP344" i="5"/>
  <c r="AP346" i="5"/>
  <c r="AP436" i="5"/>
  <c r="AP437" i="5"/>
  <c r="AP438" i="5"/>
  <c r="AP439" i="5"/>
  <c r="AP441" i="5"/>
  <c r="AP442" i="5"/>
  <c r="AP443" i="5"/>
  <c r="AP444" i="5"/>
  <c r="AP445" i="5"/>
  <c r="AP57" i="5"/>
  <c r="AP58" i="5"/>
  <c r="AP59" i="5"/>
  <c r="AP64" i="5"/>
  <c r="AP65" i="5"/>
  <c r="AP66" i="5"/>
  <c r="AP67" i="5"/>
  <c r="AP69" i="5"/>
  <c r="AP72" i="5"/>
  <c r="AP73" i="5"/>
  <c r="AP74" i="5"/>
  <c r="AP76" i="5"/>
  <c r="AP77" i="5"/>
  <c r="AP79" i="5"/>
  <c r="AP81" i="5"/>
  <c r="AP157" i="5"/>
  <c r="AP158" i="5"/>
  <c r="AP165" i="5"/>
  <c r="AP167" i="5"/>
  <c r="AP172" i="5"/>
  <c r="AP175" i="5"/>
  <c r="AP179" i="5"/>
  <c r="AP180" i="5"/>
  <c r="AP258" i="5"/>
  <c r="AP259" i="5"/>
  <c r="AP261" i="5"/>
  <c r="AP267" i="5"/>
  <c r="AP272" i="5"/>
  <c r="AP274" i="5"/>
  <c r="AP275" i="5"/>
  <c r="AP276" i="5"/>
  <c r="AP279" i="5"/>
  <c r="AP355" i="5"/>
  <c r="AP356" i="5"/>
  <c r="AP360" i="5"/>
  <c r="AP363" i="5"/>
  <c r="AP366" i="5"/>
  <c r="AP374" i="5"/>
  <c r="AP376" i="5"/>
  <c r="AP377" i="5"/>
  <c r="AP378" i="5"/>
  <c r="AP454" i="5"/>
  <c r="AP456" i="5"/>
  <c r="AP457" i="5"/>
  <c r="AP460" i="5"/>
  <c r="AP461" i="5"/>
  <c r="AP463" i="5"/>
  <c r="AP464" i="5"/>
  <c r="AP466" i="5"/>
  <c r="AP468" i="5"/>
  <c r="AP469" i="5"/>
  <c r="AP470" i="5"/>
  <c r="AP471" i="5"/>
  <c r="AP472" i="5"/>
  <c r="AP474" i="5"/>
  <c r="AP475" i="5"/>
  <c r="AP476" i="5"/>
  <c r="AP477" i="5"/>
  <c r="AP91" i="5"/>
  <c r="AP92" i="5"/>
  <c r="AP95" i="5"/>
  <c r="AP96" i="5"/>
  <c r="AP97" i="5"/>
  <c r="AP98" i="5"/>
  <c r="AP99" i="5"/>
  <c r="AP100" i="5"/>
  <c r="AP188" i="5"/>
  <c r="AP190" i="5"/>
  <c r="AP191" i="5"/>
  <c r="AP192" i="5"/>
  <c r="AP195" i="5"/>
  <c r="AP196" i="5"/>
  <c r="AP197" i="5"/>
  <c r="AP198" i="5"/>
  <c r="AP199" i="5"/>
  <c r="AP287" i="5"/>
  <c r="AP288" i="5"/>
  <c r="AP290" i="5"/>
  <c r="AP291" i="5"/>
  <c r="AP292" i="5"/>
  <c r="AP294" i="5"/>
  <c r="AP295" i="5"/>
  <c r="AP296" i="5"/>
  <c r="AP297" i="5"/>
  <c r="AP298" i="5"/>
  <c r="AP388" i="5"/>
  <c r="AP389" i="5"/>
  <c r="AP390" i="5"/>
  <c r="AP392" i="5"/>
  <c r="AP394" i="5"/>
  <c r="AP395" i="5"/>
  <c r="AP396" i="5"/>
  <c r="AP397" i="5"/>
  <c r="AP485" i="5"/>
  <c r="AP486" i="5"/>
  <c r="AP487" i="5"/>
  <c r="AP488" i="5"/>
  <c r="AP489" i="5"/>
  <c r="AP490" i="5"/>
  <c r="AP491" i="5"/>
  <c r="AP492" i="5"/>
  <c r="AP493" i="5"/>
  <c r="AP494" i="5"/>
  <c r="AP495" i="5"/>
  <c r="AP496" i="5"/>
  <c r="AP13" i="5"/>
  <c r="AP14" i="5"/>
  <c r="AP16" i="5"/>
  <c r="AP17" i="5"/>
  <c r="AP18" i="5"/>
  <c r="AP22" i="5"/>
  <c r="AP23" i="5"/>
  <c r="AP26" i="5"/>
  <c r="AP27" i="5"/>
  <c r="AP28" i="5"/>
  <c r="AP29" i="5"/>
  <c r="AP30" i="5"/>
  <c r="AO40" i="5"/>
  <c r="AO42" i="5"/>
  <c r="AO43" i="5"/>
  <c r="AO44" i="5"/>
  <c r="AO46" i="5"/>
  <c r="AO47" i="5"/>
  <c r="AO48" i="5"/>
  <c r="AO49" i="5"/>
  <c r="AO137" i="5"/>
  <c r="AO139" i="5"/>
  <c r="AO140" i="5"/>
  <c r="AO141" i="5"/>
  <c r="AO142" i="5"/>
  <c r="AO143" i="5"/>
  <c r="AO144" i="5"/>
  <c r="AO145" i="5"/>
  <c r="AO146" i="5"/>
  <c r="AO147" i="5"/>
  <c r="AO148" i="5"/>
  <c r="AO236" i="5"/>
  <c r="AO237" i="5"/>
  <c r="AO240" i="5"/>
  <c r="AO241" i="5"/>
  <c r="AO243" i="5"/>
  <c r="AO244" i="5"/>
  <c r="AO245" i="5"/>
  <c r="AO246" i="5"/>
  <c r="AO247" i="5"/>
  <c r="AO335" i="5"/>
  <c r="AO338" i="5"/>
  <c r="AO340" i="5"/>
  <c r="AO342" i="5"/>
  <c r="AO343" i="5"/>
  <c r="AO344" i="5"/>
  <c r="AO345" i="5"/>
  <c r="AO346" i="5"/>
  <c r="AO437" i="5"/>
  <c r="AO438" i="5"/>
  <c r="AO439" i="5"/>
  <c r="AO441" i="5"/>
  <c r="AO442" i="5"/>
  <c r="AO443" i="5"/>
  <c r="AO444" i="5"/>
  <c r="AO445" i="5"/>
  <c r="AO57" i="5"/>
  <c r="AO58" i="5"/>
  <c r="AO59" i="5"/>
  <c r="AO62" i="5"/>
  <c r="AO63" i="5"/>
  <c r="AO64" i="5"/>
  <c r="AO65" i="5"/>
  <c r="AO66" i="5"/>
  <c r="AO67" i="5"/>
  <c r="AO69" i="5"/>
  <c r="AO72" i="5"/>
  <c r="AO73" i="5"/>
  <c r="AO74" i="5"/>
  <c r="AO76" i="5"/>
  <c r="AO77" i="5"/>
  <c r="AO80" i="5"/>
  <c r="AO81" i="5"/>
  <c r="AO157" i="5"/>
  <c r="AO158" i="5"/>
  <c r="AO165" i="5"/>
  <c r="AO166" i="5"/>
  <c r="AO167" i="5"/>
  <c r="AO172" i="5"/>
  <c r="AO174" i="5"/>
  <c r="AO175" i="5"/>
  <c r="AO179" i="5"/>
  <c r="AO180" i="5"/>
  <c r="AO258" i="5"/>
  <c r="AO259" i="5"/>
  <c r="AO261" i="5"/>
  <c r="AO267" i="5"/>
  <c r="AO269" i="5"/>
  <c r="AO272" i="5"/>
  <c r="AO274" i="5"/>
  <c r="AO275" i="5"/>
  <c r="AO276" i="5"/>
  <c r="AO277" i="5"/>
  <c r="AO279" i="5"/>
  <c r="AO355" i="5"/>
  <c r="AO356" i="5"/>
  <c r="AO357" i="5"/>
  <c r="AO360" i="5"/>
  <c r="AO363" i="5"/>
  <c r="AO371" i="5"/>
  <c r="AO374" i="5"/>
  <c r="AO375" i="5"/>
  <c r="AO376" i="5"/>
  <c r="AO377" i="5"/>
  <c r="AO378" i="5"/>
  <c r="AO454" i="5"/>
  <c r="AO456" i="5"/>
  <c r="AO457" i="5"/>
  <c r="AO460" i="5"/>
  <c r="AO461" i="5"/>
  <c r="AO463" i="5"/>
  <c r="AO464" i="5"/>
  <c r="AO466" i="5"/>
  <c r="AO468" i="5"/>
  <c r="AO469" i="5"/>
  <c r="AO470" i="5"/>
  <c r="AO471" i="5"/>
  <c r="AO472" i="5"/>
  <c r="AO474" i="5"/>
  <c r="AO475" i="5"/>
  <c r="AO476" i="5"/>
  <c r="AO477" i="5"/>
  <c r="AO91" i="5"/>
  <c r="AO92" i="5"/>
  <c r="AO93" i="5"/>
  <c r="AO95" i="5"/>
  <c r="AO96" i="5"/>
  <c r="AO97" i="5"/>
  <c r="AO98" i="5"/>
  <c r="AO99" i="5"/>
  <c r="AO100" i="5"/>
  <c r="AO188" i="5"/>
  <c r="AO190" i="5"/>
  <c r="AO191" i="5"/>
  <c r="AO192" i="5"/>
  <c r="AO195" i="5"/>
  <c r="AO196" i="5"/>
  <c r="AO197" i="5"/>
  <c r="AO198" i="5"/>
  <c r="AO199" i="5"/>
  <c r="AO287" i="5"/>
  <c r="AO288" i="5"/>
  <c r="AO290" i="5"/>
  <c r="AO291" i="5"/>
  <c r="AO292" i="5"/>
  <c r="AO294" i="5"/>
  <c r="AO295" i="5"/>
  <c r="AO296" i="5"/>
  <c r="AO297" i="5"/>
  <c r="AO298" i="5"/>
  <c r="AO386" i="5"/>
  <c r="AO388" i="5"/>
  <c r="AO389" i="5"/>
  <c r="AO390" i="5"/>
  <c r="AO392" i="5"/>
  <c r="AO394" i="5"/>
  <c r="AO395" i="5"/>
  <c r="AO396" i="5"/>
  <c r="AO397" i="5"/>
  <c r="AO486" i="5"/>
  <c r="AO487" i="5"/>
  <c r="AO488" i="5"/>
  <c r="AO489" i="5"/>
  <c r="AO490" i="5"/>
  <c r="AO491" i="5"/>
  <c r="AO492" i="5"/>
  <c r="AO493" i="5"/>
  <c r="AO494" i="5"/>
  <c r="AO495" i="5"/>
  <c r="AO496" i="5"/>
  <c r="AO13" i="5"/>
  <c r="AO14" i="5"/>
  <c r="AO16" i="5"/>
  <c r="AO17" i="5"/>
  <c r="AO18" i="5"/>
  <c r="AO22" i="5"/>
  <c r="AO23" i="5"/>
  <c r="AO25" i="5"/>
  <c r="AO28" i="5"/>
  <c r="AO29" i="5"/>
  <c r="AO30" i="5"/>
  <c r="AN40" i="5"/>
  <c r="AN42" i="5"/>
  <c r="AN43" i="5"/>
  <c r="AN46" i="5"/>
  <c r="AN47" i="5"/>
  <c r="AN48" i="5"/>
  <c r="AN49" i="5"/>
  <c r="AN137" i="5"/>
  <c r="AN138" i="5"/>
  <c r="AN141" i="5"/>
  <c r="AN142" i="5"/>
  <c r="AN143" i="5"/>
  <c r="AN144" i="5"/>
  <c r="AN145" i="5"/>
  <c r="AN146" i="5"/>
  <c r="AN147" i="5"/>
  <c r="AN148" i="5"/>
  <c r="AN236" i="5"/>
  <c r="AN237" i="5"/>
  <c r="AN240" i="5"/>
  <c r="AN241" i="5"/>
  <c r="AN243" i="5"/>
  <c r="AN244" i="5"/>
  <c r="AN245" i="5"/>
  <c r="AN246" i="5"/>
  <c r="AN247" i="5"/>
  <c r="AN335" i="5"/>
  <c r="AN337" i="5"/>
  <c r="AN338" i="5"/>
  <c r="AN340" i="5"/>
  <c r="AN342" i="5"/>
  <c r="AN343" i="5"/>
  <c r="AN344" i="5"/>
  <c r="AN345" i="5"/>
  <c r="AN346" i="5"/>
  <c r="AN435" i="5"/>
  <c r="AN437" i="5"/>
  <c r="AN438" i="5"/>
  <c r="AN439" i="5"/>
  <c r="AN441" i="5"/>
  <c r="AN442" i="5"/>
  <c r="AN443" i="5"/>
  <c r="AN444" i="5"/>
  <c r="AN445" i="5"/>
  <c r="AN57" i="5"/>
  <c r="AN58" i="5"/>
  <c r="AN59" i="5"/>
  <c r="AN63" i="5"/>
  <c r="AN64" i="5"/>
  <c r="AN65" i="5"/>
  <c r="AN66" i="5"/>
  <c r="AN67" i="5"/>
  <c r="AN69" i="5"/>
  <c r="AN70" i="5"/>
  <c r="AN73" i="5"/>
  <c r="AN74" i="5"/>
  <c r="AN76" i="5"/>
  <c r="AN77" i="5"/>
  <c r="AN79" i="5"/>
  <c r="AN80" i="5"/>
  <c r="AN81" i="5"/>
  <c r="AN156" i="5"/>
  <c r="AN157" i="5"/>
  <c r="AN158" i="5"/>
  <c r="AN161" i="5"/>
  <c r="AN165" i="5"/>
  <c r="AN166" i="5"/>
  <c r="AN167" i="5"/>
  <c r="AN172" i="5"/>
  <c r="AN173" i="5"/>
  <c r="AN174" i="5"/>
  <c r="AN175" i="5"/>
  <c r="AN178" i="5"/>
  <c r="AN179" i="5"/>
  <c r="AN180" i="5"/>
  <c r="AN258" i="5"/>
  <c r="AN259" i="5"/>
  <c r="AN261" i="5"/>
  <c r="AN267" i="5"/>
  <c r="AN269" i="5"/>
  <c r="AN272" i="5"/>
  <c r="AN274" i="5"/>
  <c r="AN275" i="5"/>
  <c r="AN276" i="5"/>
  <c r="AN279" i="5"/>
  <c r="AN355" i="5"/>
  <c r="AN356" i="5"/>
  <c r="AN360" i="5"/>
  <c r="AN361" i="5"/>
  <c r="AN363" i="5"/>
  <c r="AN366" i="5"/>
  <c r="AN371" i="5"/>
  <c r="AN374" i="5"/>
  <c r="AN376" i="5"/>
  <c r="AN377" i="5"/>
  <c r="AN378" i="5"/>
  <c r="AN454" i="5"/>
  <c r="AN456" i="5"/>
  <c r="AN457" i="5"/>
  <c r="AN460" i="5"/>
  <c r="AN461" i="5"/>
  <c r="AN463" i="5"/>
  <c r="AN464" i="5"/>
  <c r="AN466" i="5"/>
  <c r="AN468" i="5"/>
  <c r="AN469" i="5"/>
  <c r="AN470" i="5"/>
  <c r="AN471" i="5"/>
  <c r="AN472" i="5"/>
  <c r="AN474" i="5"/>
  <c r="AN475" i="5"/>
  <c r="AN476" i="5"/>
  <c r="AN477" i="5"/>
  <c r="AN91" i="5"/>
  <c r="AN92" i="5"/>
  <c r="AN94" i="5"/>
  <c r="AN95" i="5"/>
  <c r="AN96" i="5"/>
  <c r="AN97" i="5"/>
  <c r="AN98" i="5"/>
  <c r="AN99" i="5"/>
  <c r="AN100" i="5"/>
  <c r="AN188" i="5"/>
  <c r="AN190" i="5"/>
  <c r="AN191" i="5"/>
  <c r="AN192" i="5"/>
  <c r="AN194" i="5"/>
  <c r="AN195" i="5"/>
  <c r="AN196" i="5"/>
  <c r="AN197" i="5"/>
  <c r="AN198" i="5"/>
  <c r="AN199" i="5"/>
  <c r="AN287" i="5"/>
  <c r="AN288" i="5"/>
  <c r="AN290" i="5"/>
  <c r="AN291" i="5"/>
  <c r="AN292" i="5"/>
  <c r="AN294" i="5"/>
  <c r="AN295" i="5"/>
  <c r="AN296" i="5"/>
  <c r="AN297" i="5"/>
  <c r="AN298" i="5"/>
  <c r="AN388" i="5"/>
  <c r="AN389" i="5"/>
  <c r="AN390" i="5"/>
  <c r="AN392" i="5"/>
  <c r="AN394" i="5"/>
  <c r="AN395" i="5"/>
  <c r="AN396" i="5"/>
  <c r="AN397" i="5"/>
  <c r="AN485" i="5"/>
  <c r="AN486" i="5"/>
  <c r="AN487" i="5"/>
  <c r="AN488" i="5"/>
  <c r="AN489" i="5"/>
  <c r="AN490" i="5"/>
  <c r="AN491" i="5"/>
  <c r="AN492" i="5"/>
  <c r="AN493" i="5"/>
  <c r="AN494" i="5"/>
  <c r="AN495" i="5"/>
  <c r="AN496" i="5"/>
  <c r="AN13" i="5"/>
  <c r="AN14" i="5"/>
  <c r="AN16" i="5"/>
  <c r="AN17" i="5"/>
  <c r="AN18" i="5"/>
  <c r="AN21" i="5"/>
  <c r="AN22" i="5"/>
  <c r="AN23" i="5"/>
  <c r="AN26" i="5"/>
  <c r="AN27" i="5"/>
  <c r="AN28" i="5"/>
  <c r="AN29" i="5"/>
  <c r="AN30" i="5"/>
  <c r="AM38" i="5"/>
  <c r="AM40" i="5"/>
  <c r="AM42" i="5"/>
  <c r="AM43" i="5"/>
  <c r="AM46" i="5"/>
  <c r="AM47" i="5"/>
  <c r="AM48" i="5"/>
  <c r="AM49" i="5"/>
  <c r="AM137" i="5"/>
  <c r="AM138" i="5"/>
  <c r="AM139" i="5"/>
  <c r="AM141" i="5"/>
  <c r="AM142" i="5"/>
  <c r="AM143" i="5"/>
  <c r="AM144" i="5"/>
  <c r="AM145" i="5"/>
  <c r="AM146" i="5"/>
  <c r="AM147" i="5"/>
  <c r="AM148" i="5"/>
  <c r="AM236" i="5"/>
  <c r="AM237" i="5"/>
  <c r="AM240" i="5"/>
  <c r="AM241" i="5"/>
  <c r="AM242" i="5"/>
  <c r="AM243" i="5"/>
  <c r="AM244" i="5"/>
  <c r="AM245" i="5"/>
  <c r="AM246" i="5"/>
  <c r="AM247" i="5"/>
  <c r="AM335" i="5"/>
  <c r="AM338" i="5"/>
  <c r="AM340" i="5"/>
  <c r="AM342" i="5"/>
  <c r="AM343" i="5"/>
  <c r="AM344" i="5"/>
  <c r="AM346" i="5"/>
  <c r="AM437" i="5"/>
  <c r="AM438" i="5"/>
  <c r="AM439" i="5"/>
  <c r="AM441" i="5"/>
  <c r="AM442" i="5"/>
  <c r="AM443" i="5"/>
  <c r="AM444" i="5"/>
  <c r="AM445" i="5"/>
  <c r="AM58" i="5"/>
  <c r="AM59" i="5"/>
  <c r="AM63" i="5"/>
  <c r="AM64" i="5"/>
  <c r="AM65" i="5"/>
  <c r="AM66" i="5"/>
  <c r="AM67" i="5"/>
  <c r="AM68" i="5"/>
  <c r="AM69" i="5"/>
  <c r="AM70" i="5"/>
  <c r="AM71" i="5"/>
  <c r="AM72" i="5"/>
  <c r="AM73" i="5"/>
  <c r="AM74" i="5"/>
  <c r="AM77" i="5"/>
  <c r="AM80" i="5"/>
  <c r="AM81" i="5"/>
  <c r="AM157" i="5"/>
  <c r="AM158" i="5"/>
  <c r="AM161" i="5"/>
  <c r="AM163" i="5"/>
  <c r="AM165" i="5"/>
  <c r="AM166" i="5"/>
  <c r="AM167" i="5"/>
  <c r="AM168" i="5"/>
  <c r="AM172" i="5"/>
  <c r="AM173" i="5"/>
  <c r="AM174" i="5"/>
  <c r="AM175" i="5"/>
  <c r="AM179" i="5"/>
  <c r="AM180" i="5"/>
  <c r="AM258" i="5"/>
  <c r="AM259" i="5"/>
  <c r="AM261" i="5"/>
  <c r="AM267" i="5"/>
  <c r="AM269" i="5"/>
  <c r="AM272" i="5"/>
  <c r="AM273" i="5"/>
  <c r="AM274" i="5"/>
  <c r="AM275" i="5"/>
  <c r="AM276" i="5"/>
  <c r="AM279" i="5"/>
  <c r="AM355" i="5"/>
  <c r="AM356" i="5"/>
  <c r="AM360" i="5"/>
  <c r="AM363" i="5"/>
  <c r="AM370" i="5"/>
  <c r="AM371" i="5"/>
  <c r="AM372" i="5"/>
  <c r="AM374" i="5"/>
  <c r="AM375" i="5"/>
  <c r="AM376" i="5"/>
  <c r="AM377" i="5"/>
  <c r="AM378" i="5"/>
  <c r="AM454" i="5"/>
  <c r="AM456" i="5"/>
  <c r="AM457" i="5"/>
  <c r="AM460" i="5"/>
  <c r="AM461" i="5"/>
  <c r="AM463" i="5"/>
  <c r="AM464" i="5"/>
  <c r="AM466" i="5"/>
  <c r="AM468" i="5"/>
  <c r="AM469" i="5"/>
  <c r="AM470" i="5"/>
  <c r="AM471" i="5"/>
  <c r="AM472" i="5"/>
  <c r="AM474" i="5"/>
  <c r="AM475" i="5"/>
  <c r="AM476" i="5"/>
  <c r="AM477" i="5"/>
  <c r="AM90" i="5"/>
  <c r="AM91" i="5"/>
  <c r="AM92" i="5"/>
  <c r="AM93" i="5"/>
  <c r="AM95" i="5"/>
  <c r="AM96" i="5"/>
  <c r="AM97" i="5"/>
  <c r="AM98" i="5"/>
  <c r="AM99" i="5"/>
  <c r="AM100" i="5"/>
  <c r="AM188" i="5"/>
  <c r="AM190" i="5"/>
  <c r="AM191" i="5"/>
  <c r="AM192" i="5"/>
  <c r="AM194" i="5"/>
  <c r="AM195" i="5"/>
  <c r="AM196" i="5"/>
  <c r="AM197" i="5"/>
  <c r="AM198" i="5"/>
  <c r="AM199" i="5"/>
  <c r="AM287" i="5"/>
  <c r="AM288" i="5"/>
  <c r="AM290" i="5"/>
  <c r="AM291" i="5"/>
  <c r="AM292" i="5"/>
  <c r="AM294" i="5"/>
  <c r="AM295" i="5"/>
  <c r="AM296" i="5"/>
  <c r="AM297" i="5"/>
  <c r="AM298" i="5"/>
  <c r="AM388" i="5"/>
  <c r="AM389" i="5"/>
  <c r="AM390" i="5"/>
  <c r="AM392" i="5"/>
  <c r="AM394" i="5"/>
  <c r="AM395" i="5"/>
  <c r="AM396" i="5"/>
  <c r="AM397" i="5"/>
  <c r="AM485" i="5"/>
  <c r="AM486" i="5"/>
  <c r="AM487" i="5"/>
  <c r="AM488" i="5"/>
  <c r="AM489" i="5"/>
  <c r="AM490" i="5"/>
  <c r="AM491" i="5"/>
  <c r="AM492" i="5"/>
  <c r="AM493" i="5"/>
  <c r="AM494" i="5"/>
  <c r="AM495" i="5"/>
  <c r="AM496" i="5"/>
  <c r="AM13" i="5"/>
  <c r="AM14" i="5"/>
  <c r="AM16" i="5"/>
  <c r="AM17" i="5"/>
  <c r="AM18" i="5"/>
  <c r="AM21" i="5"/>
  <c r="AM22" i="5"/>
  <c r="AM23" i="5"/>
  <c r="AM24" i="5"/>
  <c r="AM27" i="5"/>
  <c r="AM28" i="5"/>
  <c r="AM29" i="5"/>
  <c r="AM30" i="5"/>
  <c r="AL40" i="5"/>
  <c r="AL42" i="5"/>
  <c r="AL43" i="5"/>
  <c r="AL46" i="5"/>
  <c r="AL47" i="5"/>
  <c r="AL48" i="5"/>
  <c r="AL49" i="5"/>
  <c r="AL137" i="5"/>
  <c r="AL141" i="5"/>
  <c r="AL142" i="5"/>
  <c r="AL143" i="5"/>
  <c r="AL144" i="5"/>
  <c r="AL145" i="5"/>
  <c r="AL146" i="5"/>
  <c r="AL147" i="5"/>
  <c r="AL148" i="5"/>
  <c r="AL236" i="5"/>
  <c r="AL237" i="5"/>
  <c r="AL240" i="5"/>
  <c r="AL241" i="5"/>
  <c r="AL242" i="5"/>
  <c r="AL243" i="5"/>
  <c r="AL244" i="5"/>
  <c r="AL245" i="5"/>
  <c r="AL246" i="5"/>
  <c r="AL247" i="5"/>
  <c r="AL335" i="5"/>
  <c r="AL338" i="5"/>
  <c r="AL340" i="5"/>
  <c r="AL342" i="5"/>
  <c r="AL343" i="5"/>
  <c r="AL344" i="5"/>
  <c r="AL345" i="5"/>
  <c r="AL346" i="5"/>
  <c r="AL437" i="5"/>
  <c r="AL438" i="5"/>
  <c r="AL439" i="5"/>
  <c r="AL441" i="5"/>
  <c r="AL442" i="5"/>
  <c r="AL443" i="5"/>
  <c r="AL444" i="5"/>
  <c r="AL445" i="5"/>
  <c r="AL58" i="5"/>
  <c r="AL59" i="5"/>
  <c r="AL63" i="5"/>
  <c r="AL64" i="5"/>
  <c r="AL65" i="5"/>
  <c r="AL66" i="5"/>
  <c r="AL67" i="5"/>
  <c r="AL68" i="5"/>
  <c r="AL69" i="5"/>
  <c r="AL70" i="5"/>
  <c r="AL72" i="5"/>
  <c r="AL73" i="5"/>
  <c r="AL74" i="5"/>
  <c r="AL77" i="5"/>
  <c r="AL79" i="5"/>
  <c r="AL80" i="5"/>
  <c r="AL81" i="5"/>
  <c r="AL157" i="5"/>
  <c r="AL158" i="5"/>
  <c r="AL160" i="5"/>
  <c r="AL163" i="5"/>
  <c r="AL165" i="5"/>
  <c r="AL166" i="5"/>
  <c r="AL167" i="5"/>
  <c r="AL168" i="5"/>
  <c r="AL172" i="5"/>
  <c r="AL173" i="5"/>
  <c r="AL174" i="5"/>
  <c r="AL175" i="5"/>
  <c r="AL177" i="5"/>
  <c r="AL179" i="5"/>
  <c r="AL180" i="5"/>
  <c r="AL258" i="5"/>
  <c r="AL259" i="5"/>
  <c r="AL261" i="5"/>
  <c r="AL267" i="5"/>
  <c r="AL269" i="5"/>
  <c r="AL272" i="5"/>
  <c r="AL273" i="5"/>
  <c r="AL274" i="5"/>
  <c r="AL275" i="5"/>
  <c r="AL276" i="5"/>
  <c r="AL279" i="5"/>
  <c r="AL355" i="5"/>
  <c r="AL356" i="5"/>
  <c r="AL357" i="5"/>
  <c r="AL360" i="5"/>
  <c r="AL361" i="5"/>
  <c r="AL363" i="5"/>
  <c r="AL364" i="5"/>
  <c r="AL366" i="5"/>
  <c r="AL370" i="5"/>
  <c r="AL371" i="5"/>
  <c r="AL374" i="5"/>
  <c r="AL376" i="5"/>
  <c r="AL377" i="5"/>
  <c r="AL378" i="5"/>
  <c r="AL454" i="5"/>
  <c r="AL456" i="5"/>
  <c r="AL457" i="5"/>
  <c r="AL460" i="5"/>
  <c r="AL461" i="5"/>
  <c r="AL463" i="5"/>
  <c r="AL464" i="5"/>
  <c r="AL466" i="5"/>
  <c r="AL468" i="5"/>
  <c r="AL469" i="5"/>
  <c r="AL470" i="5"/>
  <c r="AL471" i="5"/>
  <c r="AL472" i="5"/>
  <c r="AL474" i="5"/>
  <c r="AL475" i="5"/>
  <c r="AL476" i="5"/>
  <c r="AL477" i="5"/>
  <c r="AL91" i="5"/>
  <c r="AL92" i="5"/>
  <c r="AL93" i="5"/>
  <c r="AL95" i="5"/>
  <c r="AL96" i="5"/>
  <c r="AL97" i="5"/>
  <c r="AL98" i="5"/>
  <c r="AL99" i="5"/>
  <c r="AL100" i="5"/>
  <c r="AL188" i="5"/>
  <c r="AL190" i="5"/>
  <c r="AL191" i="5"/>
  <c r="AL192" i="5"/>
  <c r="AL194" i="5"/>
  <c r="AL195" i="5"/>
  <c r="AL196" i="5"/>
  <c r="AL197" i="5"/>
  <c r="AL198" i="5"/>
  <c r="AL199" i="5"/>
  <c r="AL287" i="5"/>
  <c r="AL288" i="5"/>
  <c r="AL290" i="5"/>
  <c r="AL291" i="5"/>
  <c r="AL292" i="5"/>
  <c r="AL294" i="5"/>
  <c r="AL295" i="5"/>
  <c r="AL296" i="5"/>
  <c r="AL297" i="5"/>
  <c r="AL298" i="5"/>
  <c r="AL386" i="5"/>
  <c r="AL388" i="5"/>
  <c r="AL389" i="5"/>
  <c r="AL390" i="5"/>
  <c r="AL392" i="5"/>
  <c r="AL393" i="5"/>
  <c r="AL394" i="5"/>
  <c r="AL395" i="5"/>
  <c r="AL396" i="5"/>
  <c r="AL397" i="5"/>
  <c r="AL485" i="5"/>
  <c r="AL486" i="5"/>
  <c r="AL487" i="5"/>
  <c r="AL488" i="5"/>
  <c r="AL489" i="5"/>
  <c r="AL490" i="5"/>
  <c r="AL491" i="5"/>
  <c r="AL492" i="5"/>
  <c r="AL493" i="5"/>
  <c r="AL494" i="5"/>
  <c r="AL495" i="5"/>
  <c r="AL496" i="5"/>
  <c r="AL13" i="5"/>
  <c r="AL14" i="5"/>
  <c r="AL16" i="5"/>
  <c r="AL17" i="5"/>
  <c r="AL18" i="5"/>
  <c r="AL21" i="5"/>
  <c r="AL22" i="5"/>
  <c r="AL23" i="5"/>
  <c r="AL28" i="5"/>
  <c r="AL29" i="5"/>
  <c r="AL30" i="5"/>
  <c r="AK40" i="5"/>
  <c r="AK42" i="5"/>
  <c r="AK43" i="5"/>
  <c r="AK44" i="5"/>
  <c r="AK46" i="5"/>
  <c r="AK47" i="5"/>
  <c r="AK48" i="5"/>
  <c r="AK49" i="5"/>
  <c r="AK137" i="5"/>
  <c r="AK141" i="5"/>
  <c r="AK142" i="5"/>
  <c r="AK143" i="5"/>
  <c r="AK144" i="5"/>
  <c r="AK145" i="5"/>
  <c r="AK146" i="5"/>
  <c r="AK147" i="5"/>
  <c r="AK148" i="5"/>
  <c r="AK236" i="5"/>
  <c r="AK237" i="5"/>
  <c r="AK240" i="5"/>
  <c r="AK241" i="5"/>
  <c r="AK243" i="5"/>
  <c r="AK244" i="5"/>
  <c r="AK245" i="5"/>
  <c r="AK246" i="5"/>
  <c r="AK247" i="5"/>
  <c r="AK335" i="5"/>
  <c r="AK337" i="5"/>
  <c r="AK338" i="5"/>
  <c r="AK340" i="5"/>
  <c r="AK342" i="5"/>
  <c r="AK343" i="5"/>
  <c r="AK344" i="5"/>
  <c r="AK346" i="5"/>
  <c r="AK437" i="5"/>
  <c r="AK438" i="5"/>
  <c r="AK439" i="5"/>
  <c r="AK440" i="5"/>
  <c r="AK441" i="5"/>
  <c r="AK442" i="5"/>
  <c r="AK443" i="5"/>
  <c r="AK444" i="5"/>
  <c r="AK445" i="5"/>
  <c r="AK57" i="5"/>
  <c r="AK58" i="5"/>
  <c r="AK59" i="5"/>
  <c r="AK63" i="5"/>
  <c r="AK65" i="5"/>
  <c r="AK66" i="5"/>
  <c r="AK67" i="5"/>
  <c r="AK68" i="5"/>
  <c r="AK69" i="5"/>
  <c r="AK70" i="5"/>
  <c r="AK71" i="5"/>
  <c r="AK72" i="5"/>
  <c r="AK73" i="5"/>
  <c r="AK74" i="5"/>
  <c r="AK77" i="5"/>
  <c r="AK79" i="5"/>
  <c r="AK80" i="5"/>
  <c r="AK81" i="5"/>
  <c r="AK157" i="5"/>
  <c r="AK158" i="5"/>
  <c r="AK159" i="5"/>
  <c r="AK160" i="5"/>
  <c r="AK161" i="5"/>
  <c r="AK165" i="5"/>
  <c r="AK166" i="5"/>
  <c r="AK167" i="5"/>
  <c r="AK168" i="5"/>
  <c r="AK172" i="5"/>
  <c r="AK173" i="5"/>
  <c r="AK174" i="5"/>
  <c r="AK175" i="5"/>
  <c r="AK178" i="5"/>
  <c r="AK179" i="5"/>
  <c r="AK180" i="5"/>
  <c r="AK258" i="5"/>
  <c r="AK259" i="5"/>
  <c r="AK261" i="5"/>
  <c r="AK267" i="5"/>
  <c r="AK269" i="5"/>
  <c r="AK272" i="5"/>
  <c r="AK274" i="5"/>
  <c r="AK275" i="5"/>
  <c r="AK276" i="5"/>
  <c r="AK278" i="5"/>
  <c r="AK279" i="5"/>
  <c r="AK355" i="5"/>
  <c r="AK356" i="5"/>
  <c r="AK360" i="5"/>
  <c r="AK361" i="5"/>
  <c r="AK363" i="5"/>
  <c r="AK370" i="5"/>
  <c r="AK371" i="5"/>
  <c r="AK374" i="5"/>
  <c r="AK375" i="5"/>
  <c r="AK376" i="5"/>
  <c r="AK377" i="5"/>
  <c r="AK378" i="5"/>
  <c r="AK454" i="5"/>
  <c r="AK456" i="5"/>
  <c r="AK457" i="5"/>
  <c r="AK460" i="5"/>
  <c r="AK461" i="5"/>
  <c r="AK463" i="5"/>
  <c r="AK464" i="5"/>
  <c r="AK466" i="5"/>
  <c r="AK468" i="5"/>
  <c r="AK469" i="5"/>
  <c r="AK470" i="5"/>
  <c r="AK471" i="5"/>
  <c r="AK472" i="5"/>
  <c r="AK474" i="5"/>
  <c r="AK475" i="5"/>
  <c r="AK476" i="5"/>
  <c r="AK477" i="5"/>
  <c r="AK91" i="5"/>
  <c r="AK92" i="5"/>
  <c r="AK93" i="5"/>
  <c r="AK95" i="5"/>
  <c r="AK96" i="5"/>
  <c r="AK97" i="5"/>
  <c r="AK98" i="5"/>
  <c r="AK99" i="5"/>
  <c r="AK100" i="5"/>
  <c r="AK188" i="5"/>
  <c r="AK190" i="5"/>
  <c r="AK191" i="5"/>
  <c r="AK192" i="5"/>
  <c r="AK194" i="5"/>
  <c r="AK195" i="5"/>
  <c r="AK196" i="5"/>
  <c r="AK197" i="5"/>
  <c r="AK198" i="5"/>
  <c r="AK199" i="5"/>
  <c r="AK287" i="5"/>
  <c r="AK288" i="5"/>
  <c r="AK290" i="5"/>
  <c r="AK291" i="5"/>
  <c r="AK292" i="5"/>
  <c r="AK294" i="5"/>
  <c r="AK295" i="5"/>
  <c r="AK296" i="5"/>
  <c r="AK297" i="5"/>
  <c r="AK298" i="5"/>
  <c r="AK388" i="5"/>
  <c r="AK389" i="5"/>
  <c r="AK390" i="5"/>
  <c r="AK392" i="5"/>
  <c r="AK394" i="5"/>
  <c r="AK395" i="5"/>
  <c r="AK396" i="5"/>
  <c r="AK397" i="5"/>
  <c r="AK485" i="5"/>
  <c r="AK486" i="5"/>
  <c r="AK487" i="5"/>
  <c r="AK488" i="5"/>
  <c r="AK489" i="5"/>
  <c r="AK490" i="5"/>
  <c r="AK491" i="5"/>
  <c r="AK492" i="5"/>
  <c r="AK493" i="5"/>
  <c r="AK494" i="5"/>
  <c r="AK495" i="5"/>
  <c r="AK496" i="5"/>
  <c r="AK13" i="5"/>
  <c r="AK14" i="5"/>
  <c r="AK16" i="5"/>
  <c r="AK17" i="5"/>
  <c r="AK18" i="5"/>
  <c r="AK21" i="5"/>
  <c r="AK22" i="5"/>
  <c r="AK23" i="5"/>
  <c r="AK26" i="5"/>
  <c r="AK27" i="5"/>
  <c r="AK28" i="5"/>
  <c r="AK29" i="5"/>
  <c r="AK30" i="5"/>
  <c r="AJ40" i="5"/>
  <c r="AJ42" i="5"/>
  <c r="AJ43" i="5"/>
  <c r="AJ46" i="5"/>
  <c r="AJ47" i="5"/>
  <c r="AJ48" i="5"/>
  <c r="AJ49" i="5"/>
  <c r="AJ137" i="5"/>
  <c r="AJ139" i="5"/>
  <c r="AJ140" i="5"/>
  <c r="AJ141" i="5"/>
  <c r="AJ142" i="5"/>
  <c r="AJ143" i="5"/>
  <c r="AJ144" i="5"/>
  <c r="AJ145" i="5"/>
  <c r="AJ146" i="5"/>
  <c r="AJ147" i="5"/>
  <c r="AJ148" i="5"/>
  <c r="AJ236" i="5"/>
  <c r="AJ237" i="5"/>
  <c r="AJ239" i="5"/>
  <c r="AJ240" i="5"/>
  <c r="AJ241" i="5"/>
  <c r="AJ242" i="5"/>
  <c r="AJ243" i="5"/>
  <c r="AJ244" i="5"/>
  <c r="AJ245" i="5"/>
  <c r="AJ246" i="5"/>
  <c r="AJ247" i="5"/>
  <c r="AJ335" i="5"/>
  <c r="AJ337" i="5"/>
  <c r="AJ338" i="5"/>
  <c r="AJ340" i="5"/>
  <c r="AJ342" i="5"/>
  <c r="AJ343" i="5"/>
  <c r="AJ344" i="5"/>
  <c r="AJ345" i="5"/>
  <c r="AJ346" i="5"/>
  <c r="AJ437" i="5"/>
  <c r="AJ438" i="5"/>
  <c r="AJ439" i="5"/>
  <c r="AJ441" i="5"/>
  <c r="AJ442" i="5"/>
  <c r="AJ443" i="5"/>
  <c r="AJ444" i="5"/>
  <c r="AJ445" i="5"/>
  <c r="AJ57" i="5"/>
  <c r="AJ58" i="5"/>
  <c r="AJ59" i="5"/>
  <c r="AJ63" i="5"/>
  <c r="AJ64" i="5"/>
  <c r="AJ65" i="5"/>
  <c r="AJ66" i="5"/>
  <c r="AJ67" i="5"/>
  <c r="AJ68" i="5"/>
  <c r="AJ69" i="5"/>
  <c r="AJ72" i="5"/>
  <c r="AJ73" i="5"/>
  <c r="AJ74" i="5"/>
  <c r="AJ76" i="5"/>
  <c r="AJ77" i="5"/>
  <c r="AJ78" i="5"/>
  <c r="AJ79" i="5"/>
  <c r="AJ80" i="5"/>
  <c r="AJ81" i="5"/>
  <c r="AJ156" i="5"/>
  <c r="AJ157" i="5"/>
  <c r="AJ158" i="5"/>
  <c r="AJ161" i="5"/>
  <c r="AJ165" i="5"/>
  <c r="AJ166" i="5"/>
  <c r="AJ167" i="5"/>
  <c r="AJ168" i="5"/>
  <c r="AJ172" i="5"/>
  <c r="AJ174" i="5"/>
  <c r="AJ175" i="5"/>
  <c r="AJ178" i="5"/>
  <c r="AJ179" i="5"/>
  <c r="AJ180" i="5"/>
  <c r="AJ258" i="5"/>
  <c r="AJ259" i="5"/>
  <c r="AJ261" i="5"/>
  <c r="AJ267" i="5"/>
  <c r="AJ269" i="5"/>
  <c r="AJ272" i="5"/>
  <c r="AJ273" i="5"/>
  <c r="AJ274" i="5"/>
  <c r="AJ275" i="5"/>
  <c r="AJ276" i="5"/>
  <c r="AJ279" i="5"/>
  <c r="AJ355" i="5"/>
  <c r="AJ356" i="5"/>
  <c r="AJ360" i="5"/>
  <c r="AJ363" i="5"/>
  <c r="AJ366" i="5"/>
  <c r="AJ369" i="5"/>
  <c r="AJ370" i="5"/>
  <c r="AJ371" i="5"/>
  <c r="AJ372" i="5"/>
  <c r="AJ374" i="5"/>
  <c r="AJ375" i="5"/>
  <c r="AJ376" i="5"/>
  <c r="AJ377" i="5"/>
  <c r="AJ378" i="5"/>
  <c r="AJ454" i="5"/>
  <c r="AJ456" i="5"/>
  <c r="AJ457" i="5"/>
  <c r="AJ460" i="5"/>
  <c r="AJ461" i="5"/>
  <c r="AJ463" i="5"/>
  <c r="AJ464" i="5"/>
  <c r="AJ466" i="5"/>
  <c r="AJ468" i="5"/>
  <c r="AJ469" i="5"/>
  <c r="AJ470" i="5"/>
  <c r="AJ471" i="5"/>
  <c r="AJ472" i="5"/>
  <c r="AJ474" i="5"/>
  <c r="AJ475" i="5"/>
  <c r="AJ476" i="5"/>
  <c r="AJ477" i="5"/>
  <c r="AJ91" i="5"/>
  <c r="AJ92" i="5"/>
  <c r="AJ93" i="5"/>
  <c r="AJ95" i="5"/>
  <c r="AJ96" i="5"/>
  <c r="AJ97" i="5"/>
  <c r="AJ98" i="5"/>
  <c r="AJ99" i="5"/>
  <c r="AJ100" i="5"/>
  <c r="AJ188" i="5"/>
  <c r="AJ189" i="5"/>
  <c r="AJ190" i="5"/>
  <c r="AJ191" i="5"/>
  <c r="AJ192" i="5"/>
  <c r="AJ194" i="5"/>
  <c r="AJ195" i="5"/>
  <c r="AJ196" i="5"/>
  <c r="AJ197" i="5"/>
  <c r="AJ198" i="5"/>
  <c r="AJ199" i="5"/>
  <c r="AJ287" i="5"/>
  <c r="AJ288" i="5"/>
  <c r="AJ290" i="5"/>
  <c r="AJ291" i="5"/>
  <c r="AJ292" i="5"/>
  <c r="AJ294" i="5"/>
  <c r="AJ295" i="5"/>
  <c r="AJ296" i="5"/>
  <c r="AJ297" i="5"/>
  <c r="AJ298" i="5"/>
  <c r="AJ388" i="5"/>
  <c r="AJ389" i="5"/>
  <c r="AJ390" i="5"/>
  <c r="AJ392" i="5"/>
  <c r="AJ394" i="5"/>
  <c r="AJ395" i="5"/>
  <c r="AJ396" i="5"/>
  <c r="AJ397" i="5"/>
  <c r="AJ485" i="5"/>
  <c r="AJ486" i="5"/>
  <c r="AJ487" i="5"/>
  <c r="AJ488" i="5"/>
  <c r="AJ489" i="5"/>
  <c r="AJ490" i="5"/>
  <c r="AJ491" i="5"/>
  <c r="AJ492" i="5"/>
  <c r="AJ493" i="5"/>
  <c r="AJ494" i="5"/>
  <c r="AJ495" i="5"/>
  <c r="AJ496" i="5"/>
  <c r="AJ13" i="5"/>
  <c r="AJ14" i="5"/>
  <c r="AJ16" i="5"/>
  <c r="AJ17" i="5"/>
  <c r="AJ18" i="5"/>
  <c r="AJ20" i="5"/>
  <c r="AJ21" i="5"/>
  <c r="AJ22" i="5"/>
  <c r="AJ27" i="5"/>
  <c r="AJ28" i="5"/>
  <c r="AJ29" i="5"/>
  <c r="AJ30" i="5"/>
  <c r="AI40" i="5"/>
  <c r="AI41" i="5"/>
  <c r="AI42" i="5"/>
  <c r="AI43" i="5"/>
  <c r="AI44" i="5"/>
  <c r="AI47" i="5"/>
  <c r="AI48" i="5"/>
  <c r="AI49" i="5"/>
  <c r="AI137" i="5"/>
  <c r="AI141" i="5"/>
  <c r="AI142" i="5"/>
  <c r="AI143" i="5"/>
  <c r="AI144" i="5"/>
  <c r="AI145" i="5"/>
  <c r="AI146" i="5"/>
  <c r="AI147" i="5"/>
  <c r="AI148" i="5"/>
  <c r="AI237" i="5"/>
  <c r="AI239" i="5"/>
  <c r="AI240" i="5"/>
  <c r="AI241" i="5"/>
  <c r="AI242" i="5"/>
  <c r="AI243" i="5"/>
  <c r="AI244" i="5"/>
  <c r="AI245" i="5"/>
  <c r="AI246" i="5"/>
  <c r="AI247" i="5"/>
  <c r="AI335" i="5"/>
  <c r="AI338" i="5"/>
  <c r="AI340" i="5"/>
  <c r="AI342" i="5"/>
  <c r="AI343" i="5"/>
  <c r="AI344" i="5"/>
  <c r="AI346" i="5"/>
  <c r="AI434" i="5"/>
  <c r="AI437" i="5"/>
  <c r="AI438" i="5"/>
  <c r="AI439" i="5"/>
  <c r="AI440" i="5"/>
  <c r="AI441" i="5"/>
  <c r="AI442" i="5"/>
  <c r="AI443" i="5"/>
  <c r="AI444" i="5"/>
  <c r="AI445" i="5"/>
  <c r="AI58" i="5"/>
  <c r="AI59" i="5"/>
  <c r="AI63" i="5"/>
  <c r="AI64" i="5"/>
  <c r="AI65" i="5"/>
  <c r="AI66" i="5"/>
  <c r="AI67" i="5"/>
  <c r="AI68" i="5"/>
  <c r="AI69" i="5"/>
  <c r="AI70" i="5"/>
  <c r="AI72" i="5"/>
  <c r="AI73" i="5"/>
  <c r="AI74" i="5"/>
  <c r="AI77" i="5"/>
  <c r="AI79" i="5"/>
  <c r="AI80" i="5"/>
  <c r="AI81" i="5"/>
  <c r="AI157" i="5"/>
  <c r="AI158" i="5"/>
  <c r="AI161" i="5"/>
  <c r="AI164" i="5"/>
  <c r="AI165" i="5"/>
  <c r="AI166" i="5"/>
  <c r="AI167" i="5"/>
  <c r="AI168" i="5"/>
  <c r="AI172" i="5"/>
  <c r="AI173" i="5"/>
  <c r="AI174" i="5"/>
  <c r="AI175" i="5"/>
  <c r="AI177" i="5"/>
  <c r="AI178" i="5"/>
  <c r="AI179" i="5"/>
  <c r="AI180" i="5"/>
  <c r="AI255" i="5"/>
  <c r="AI258" i="5"/>
  <c r="AI259" i="5"/>
  <c r="AI261" i="5"/>
  <c r="AI267" i="5"/>
  <c r="AI269" i="5"/>
  <c r="AI272" i="5"/>
  <c r="AI273" i="5"/>
  <c r="AI274" i="5"/>
  <c r="AI275" i="5"/>
  <c r="AI276" i="5"/>
  <c r="AI279" i="5"/>
  <c r="AI355" i="5"/>
  <c r="AI356" i="5"/>
  <c r="AI357" i="5"/>
  <c r="AI360" i="5"/>
  <c r="AI363" i="5"/>
  <c r="AI370" i="5"/>
  <c r="AI371" i="5"/>
  <c r="AI374" i="5"/>
  <c r="AI375" i="5"/>
  <c r="AI376" i="5"/>
  <c r="AI377" i="5"/>
  <c r="AI378" i="5"/>
  <c r="AI453" i="5"/>
  <c r="AI454" i="5"/>
  <c r="AI456" i="5"/>
  <c r="AI457" i="5"/>
  <c r="AI458" i="5"/>
  <c r="AI460" i="5"/>
  <c r="AI461" i="5"/>
  <c r="AI463" i="5"/>
  <c r="AI464" i="5"/>
  <c r="AI466" i="5"/>
  <c r="AI468" i="5"/>
  <c r="AI469" i="5"/>
  <c r="AI470" i="5"/>
  <c r="AI471" i="5"/>
  <c r="AI472" i="5"/>
  <c r="AI473" i="5"/>
  <c r="AI474" i="5"/>
  <c r="AI475" i="5"/>
  <c r="AI476" i="5"/>
  <c r="AI477" i="5"/>
  <c r="AI91" i="5"/>
  <c r="AI92" i="5"/>
  <c r="AI95" i="5"/>
  <c r="AI96" i="5"/>
  <c r="AI97" i="5"/>
  <c r="AI98" i="5"/>
  <c r="AI99" i="5"/>
  <c r="AI100" i="5"/>
  <c r="AI188" i="5"/>
  <c r="AI190" i="5"/>
  <c r="AI191" i="5"/>
  <c r="AI192" i="5"/>
  <c r="AI194" i="5"/>
  <c r="AI195" i="5"/>
  <c r="AI196" i="5"/>
  <c r="AI197" i="5"/>
  <c r="AI198" i="5"/>
  <c r="AI199" i="5"/>
  <c r="AI287" i="5"/>
  <c r="AI288" i="5"/>
  <c r="AI290" i="5"/>
  <c r="AI291" i="5"/>
  <c r="AI292" i="5"/>
  <c r="AI293" i="5"/>
  <c r="AI294" i="5"/>
  <c r="AI295" i="5"/>
  <c r="AI296" i="5"/>
  <c r="AI297" i="5"/>
  <c r="AI298" i="5"/>
  <c r="AI388" i="5"/>
  <c r="AI389" i="5"/>
  <c r="AI390" i="5"/>
  <c r="AI392" i="5"/>
  <c r="AI394" i="5"/>
  <c r="AI395" i="5"/>
  <c r="AI396" i="5"/>
  <c r="AI397" i="5"/>
  <c r="AI485" i="5"/>
  <c r="AI486" i="5"/>
  <c r="AI487" i="5"/>
  <c r="AI488" i="5"/>
  <c r="AI489" i="5"/>
  <c r="AI490" i="5"/>
  <c r="AI491" i="5"/>
  <c r="AI492" i="5"/>
  <c r="AI493" i="5"/>
  <c r="AI494" i="5"/>
  <c r="AI495" i="5"/>
  <c r="AI496" i="5"/>
  <c r="AI13" i="5"/>
  <c r="AI14" i="5"/>
  <c r="AI15" i="5"/>
  <c r="AI16" i="5"/>
  <c r="AI17" i="5"/>
  <c r="AI18" i="5"/>
  <c r="AI21" i="5"/>
  <c r="AI22" i="5"/>
  <c r="AI23" i="5"/>
  <c r="AI28" i="5"/>
  <c r="AI29" i="5"/>
  <c r="AI30" i="5"/>
  <c r="AH40" i="5"/>
  <c r="AH42" i="5"/>
  <c r="AH43" i="5"/>
  <c r="AH44" i="5"/>
  <c r="AH46" i="5"/>
  <c r="AH47" i="5"/>
  <c r="AH48" i="5"/>
  <c r="AH49" i="5"/>
  <c r="AH137" i="5"/>
  <c r="AH141" i="5"/>
  <c r="AH142" i="5"/>
  <c r="AH143" i="5"/>
  <c r="AH144" i="5"/>
  <c r="AH145" i="5"/>
  <c r="AH146" i="5"/>
  <c r="AH147" i="5"/>
  <c r="AH148" i="5"/>
  <c r="AH236" i="5"/>
  <c r="AH237" i="5"/>
  <c r="AH240" i="5"/>
  <c r="AH241" i="5"/>
  <c r="AH243" i="5"/>
  <c r="AH244" i="5"/>
  <c r="AH245" i="5"/>
  <c r="AH246" i="5"/>
  <c r="AH247" i="5"/>
  <c r="AH335" i="5"/>
  <c r="AH337" i="5"/>
  <c r="AH338" i="5"/>
  <c r="AH340" i="5"/>
  <c r="AH342" i="5"/>
  <c r="AH343" i="5"/>
  <c r="AH344" i="5"/>
  <c r="AH346" i="5"/>
  <c r="AH435" i="5"/>
  <c r="AH437" i="5"/>
  <c r="AH438" i="5"/>
  <c r="AH439" i="5"/>
  <c r="AH441" i="5"/>
  <c r="AH442" i="5"/>
  <c r="AH443" i="5"/>
  <c r="AH444" i="5"/>
  <c r="AH445" i="5"/>
  <c r="AH57" i="5"/>
  <c r="AH58" i="5"/>
  <c r="AH59" i="5"/>
  <c r="AH63" i="5"/>
  <c r="AH64" i="5"/>
  <c r="AH65" i="5"/>
  <c r="AH66" i="5"/>
  <c r="AH67" i="5"/>
  <c r="AH68" i="5"/>
  <c r="AH69" i="5"/>
  <c r="AH70" i="5"/>
  <c r="AH72" i="5"/>
  <c r="AH73" i="5"/>
  <c r="AH74" i="5"/>
  <c r="AH75" i="5"/>
  <c r="AH76" i="5"/>
  <c r="AH77" i="5"/>
  <c r="AH79" i="5"/>
  <c r="AH80" i="5"/>
  <c r="AH81" i="5"/>
  <c r="AH157" i="5"/>
  <c r="AH158" i="5"/>
  <c r="AH161" i="5"/>
  <c r="AH165" i="5"/>
  <c r="AH166" i="5"/>
  <c r="AH167" i="5"/>
  <c r="AH168" i="5"/>
  <c r="AH172" i="5"/>
  <c r="AH173" i="5"/>
  <c r="AH174" i="5"/>
  <c r="AH175" i="5"/>
  <c r="AH178" i="5"/>
  <c r="AH179" i="5"/>
  <c r="AH180" i="5"/>
  <c r="AH258" i="5"/>
  <c r="AH259" i="5"/>
  <c r="AH261" i="5"/>
  <c r="AH267" i="5"/>
  <c r="AH269" i="5"/>
  <c r="AH272" i="5"/>
  <c r="AH273" i="5"/>
  <c r="AH274" i="5"/>
  <c r="AH275" i="5"/>
  <c r="AH276" i="5"/>
  <c r="AH279" i="5"/>
  <c r="AH355" i="5"/>
  <c r="AH356" i="5"/>
  <c r="AH360" i="5"/>
  <c r="AH363" i="5"/>
  <c r="AH366" i="5"/>
  <c r="AH371" i="5"/>
  <c r="AH373" i="5"/>
  <c r="AH374" i="5"/>
  <c r="AH375" i="5"/>
  <c r="AH376" i="5"/>
  <c r="AH377" i="5"/>
  <c r="AH378" i="5"/>
  <c r="AH454" i="5"/>
  <c r="AH456" i="5"/>
  <c r="AH457" i="5"/>
  <c r="AH460" i="5"/>
  <c r="AH461" i="5"/>
  <c r="AH463" i="5"/>
  <c r="AH464" i="5"/>
  <c r="AH466" i="5"/>
  <c r="AH468" i="5"/>
  <c r="AH469" i="5"/>
  <c r="AH470" i="5"/>
  <c r="AH471" i="5"/>
  <c r="AH472" i="5"/>
  <c r="AH473" i="5"/>
  <c r="AH474" i="5"/>
  <c r="AH475" i="5"/>
  <c r="AH476" i="5"/>
  <c r="AH477" i="5"/>
  <c r="AH91" i="5"/>
  <c r="AH92" i="5"/>
  <c r="AH93" i="5"/>
  <c r="AH95" i="5"/>
  <c r="AH96" i="5"/>
  <c r="AH97" i="5"/>
  <c r="AH98" i="5"/>
  <c r="AH99" i="5"/>
  <c r="AH100" i="5"/>
  <c r="AH188" i="5"/>
  <c r="AH189" i="5"/>
  <c r="AH190" i="5"/>
  <c r="AH191" i="5"/>
  <c r="AH192" i="5"/>
  <c r="AH193" i="5"/>
  <c r="AH194" i="5"/>
  <c r="AH195" i="5"/>
  <c r="AH196" i="5"/>
  <c r="AH197" i="5"/>
  <c r="AH198" i="5"/>
  <c r="AH199" i="5"/>
  <c r="AH287" i="5"/>
  <c r="AH288" i="5"/>
  <c r="AH290" i="5"/>
  <c r="AH291" i="5"/>
  <c r="AH292" i="5"/>
  <c r="AH294" i="5"/>
  <c r="AH295" i="5"/>
  <c r="AH296" i="5"/>
  <c r="AH297" i="5"/>
  <c r="AH298" i="5"/>
  <c r="AH388" i="5"/>
  <c r="AH389" i="5"/>
  <c r="AH390" i="5"/>
  <c r="AH392" i="5"/>
  <c r="AH393" i="5"/>
  <c r="AH394" i="5"/>
  <c r="AH395" i="5"/>
  <c r="AH396" i="5"/>
  <c r="AH397" i="5"/>
  <c r="AH485" i="5"/>
  <c r="AH486" i="5"/>
  <c r="AH487" i="5"/>
  <c r="AH488" i="5"/>
  <c r="AH489" i="5"/>
  <c r="AH490" i="5"/>
  <c r="AH491" i="5"/>
  <c r="AH492" i="5"/>
  <c r="AH493" i="5"/>
  <c r="AH494" i="5"/>
  <c r="AH495" i="5"/>
  <c r="AH496" i="5"/>
  <c r="AH13" i="5"/>
  <c r="AH14" i="5"/>
  <c r="AH16" i="5"/>
  <c r="AH17" i="5"/>
  <c r="AH18" i="5"/>
  <c r="AH21" i="5"/>
  <c r="AH22" i="5"/>
  <c r="AH23" i="5"/>
  <c r="AH26" i="5"/>
  <c r="AH27" i="5"/>
  <c r="AH28" i="5"/>
  <c r="AH29" i="5"/>
  <c r="AH30" i="5"/>
  <c r="AG40" i="5"/>
  <c r="AG42" i="5"/>
  <c r="AG43" i="5"/>
  <c r="AG44" i="5"/>
  <c r="AG46" i="5"/>
  <c r="AG47" i="5"/>
  <c r="AG48" i="5"/>
  <c r="AG49" i="5"/>
  <c r="AG137" i="5"/>
  <c r="AG141" i="5"/>
  <c r="AG142" i="5"/>
  <c r="AG143" i="5"/>
  <c r="AG144" i="5"/>
  <c r="AG145" i="5"/>
  <c r="AG146" i="5"/>
  <c r="AG147" i="5"/>
  <c r="AG148" i="5"/>
  <c r="AG236" i="5"/>
  <c r="AG237" i="5"/>
  <c r="AG240" i="5"/>
  <c r="AG241" i="5"/>
  <c r="AG242" i="5"/>
  <c r="AG243" i="5"/>
  <c r="AG244" i="5"/>
  <c r="AG245" i="5"/>
  <c r="AG246" i="5"/>
  <c r="AG247" i="5"/>
  <c r="AG335" i="5"/>
  <c r="AG338" i="5"/>
  <c r="AG340" i="5"/>
  <c r="AG342" i="5"/>
  <c r="AG343" i="5"/>
  <c r="AG344" i="5"/>
  <c r="AG346" i="5"/>
  <c r="AG434" i="5"/>
  <c r="AG437" i="5"/>
  <c r="AG438" i="5"/>
  <c r="AG439" i="5"/>
  <c r="AG440" i="5"/>
  <c r="AG441" i="5"/>
  <c r="AG442" i="5"/>
  <c r="AG443" i="5"/>
  <c r="AG444" i="5"/>
  <c r="AG445" i="5"/>
  <c r="AG57" i="5"/>
  <c r="AG58" i="5"/>
  <c r="AG59" i="5"/>
  <c r="AG63" i="5"/>
  <c r="AG64" i="5"/>
  <c r="AG65" i="5"/>
  <c r="AG66" i="5"/>
  <c r="AG67" i="5"/>
  <c r="AG68" i="5"/>
  <c r="AG69" i="5"/>
  <c r="AG70" i="5"/>
  <c r="AG72" i="5"/>
  <c r="AG73" i="5"/>
  <c r="AG74" i="5"/>
  <c r="AG75" i="5"/>
  <c r="AG76" i="5"/>
  <c r="AG77" i="5"/>
  <c r="AG79" i="5"/>
  <c r="AG80" i="5"/>
  <c r="AG81" i="5"/>
  <c r="AG157" i="5"/>
  <c r="AG158" i="5"/>
  <c r="AG161" i="5"/>
  <c r="AG165" i="5"/>
  <c r="AG166" i="5"/>
  <c r="AG167" i="5"/>
  <c r="AG168" i="5"/>
  <c r="AG172" i="5"/>
  <c r="AG173" i="5"/>
  <c r="AG174" i="5"/>
  <c r="AG175" i="5"/>
  <c r="AG178" i="5"/>
  <c r="AG179" i="5"/>
  <c r="AG180" i="5"/>
  <c r="AG258" i="5"/>
  <c r="AG259" i="5"/>
  <c r="AG261" i="5"/>
  <c r="AG267" i="5"/>
  <c r="AG269" i="5"/>
  <c r="AG272" i="5"/>
  <c r="AG273" i="5"/>
  <c r="AG274" i="5"/>
  <c r="AG275" i="5"/>
  <c r="AG276" i="5"/>
  <c r="AG279" i="5"/>
  <c r="AG355" i="5"/>
  <c r="AG356" i="5"/>
  <c r="AG357" i="5"/>
  <c r="AG360" i="5"/>
  <c r="AG363" i="5"/>
  <c r="AG371" i="5"/>
  <c r="AG374" i="5"/>
  <c r="AG375" i="5"/>
  <c r="AG376" i="5"/>
  <c r="AG377" i="5"/>
  <c r="AG378" i="5"/>
  <c r="AG453" i="5"/>
  <c r="AG454" i="5"/>
  <c r="AG456" i="5"/>
  <c r="AG457" i="5"/>
  <c r="AG458" i="5"/>
  <c r="AG460" i="5"/>
  <c r="AG461" i="5"/>
  <c r="AG463" i="5"/>
  <c r="AG464" i="5"/>
  <c r="AG466" i="5"/>
  <c r="AG468" i="5"/>
  <c r="AG469" i="5"/>
  <c r="AG470" i="5"/>
  <c r="AG471" i="5"/>
  <c r="AG472" i="5"/>
  <c r="AG474" i="5"/>
  <c r="AG475" i="5"/>
  <c r="AG476" i="5"/>
  <c r="AG477" i="5"/>
  <c r="AG91" i="5"/>
  <c r="AG92" i="5"/>
  <c r="AG93" i="5"/>
  <c r="AG95" i="5"/>
  <c r="AG96" i="5"/>
  <c r="AG97" i="5"/>
  <c r="AG98" i="5"/>
  <c r="AG99" i="5"/>
  <c r="AG100" i="5"/>
  <c r="AG188" i="5"/>
  <c r="AG189" i="5"/>
  <c r="AG190" i="5"/>
  <c r="AG191" i="5"/>
  <c r="AG192" i="5"/>
  <c r="AG193" i="5"/>
  <c r="AG194" i="5"/>
  <c r="AG195" i="5"/>
  <c r="AG196" i="5"/>
  <c r="AG197" i="5"/>
  <c r="AG198" i="5"/>
  <c r="AG199" i="5"/>
  <c r="AG287" i="5"/>
  <c r="AG288" i="5"/>
  <c r="AG290" i="5"/>
  <c r="AG291" i="5"/>
  <c r="AG292" i="5"/>
  <c r="AG294" i="5"/>
  <c r="AG295" i="5"/>
  <c r="AG296" i="5"/>
  <c r="AG297" i="5"/>
  <c r="AG298" i="5"/>
  <c r="AG386" i="5"/>
  <c r="AG388" i="5"/>
  <c r="AG389" i="5"/>
  <c r="AG390" i="5"/>
  <c r="AG391" i="5"/>
  <c r="AG392" i="5"/>
  <c r="AG394" i="5"/>
  <c r="AG395" i="5"/>
  <c r="AG396" i="5"/>
  <c r="AG397" i="5"/>
  <c r="AG485" i="5"/>
  <c r="AG486" i="5"/>
  <c r="AG487" i="5"/>
  <c r="AG488" i="5"/>
  <c r="AG489" i="5"/>
  <c r="AG490" i="5"/>
  <c r="AG491" i="5"/>
  <c r="AG492" i="5"/>
  <c r="AG493" i="5"/>
  <c r="AG494" i="5"/>
  <c r="AG495" i="5"/>
  <c r="AG496" i="5"/>
  <c r="AG13" i="5"/>
  <c r="AG14" i="5"/>
  <c r="AG16" i="5"/>
  <c r="AG17" i="5"/>
  <c r="AG18" i="5"/>
  <c r="AG21" i="5"/>
  <c r="AG22" i="5"/>
  <c r="AG23" i="5"/>
  <c r="AG27" i="5"/>
  <c r="AG28" i="5"/>
  <c r="AG29" i="5"/>
  <c r="AG30" i="5"/>
  <c r="AF40" i="5"/>
  <c r="AF42" i="5"/>
  <c r="AF43" i="5"/>
  <c r="AF44" i="5"/>
  <c r="AF46" i="5"/>
  <c r="AF47" i="5"/>
  <c r="AF48" i="5"/>
  <c r="AF49" i="5"/>
  <c r="AF137" i="5"/>
  <c r="AF139" i="5"/>
  <c r="AF140" i="5"/>
  <c r="AF141" i="5"/>
  <c r="AF142" i="5"/>
  <c r="AF143" i="5"/>
  <c r="AF144" i="5"/>
  <c r="AF145" i="5"/>
  <c r="AF146" i="5"/>
  <c r="AF147" i="5"/>
  <c r="AF148" i="5"/>
  <c r="AF236" i="5"/>
  <c r="AF237" i="5"/>
  <c r="AF239" i="5"/>
  <c r="AF240" i="5"/>
  <c r="AF241" i="5"/>
  <c r="AF242" i="5"/>
  <c r="AF243" i="5"/>
  <c r="AF244" i="5"/>
  <c r="AF245" i="5"/>
  <c r="AF246" i="5"/>
  <c r="AF247" i="5"/>
  <c r="AF335" i="5"/>
  <c r="AF338" i="5"/>
  <c r="AF340" i="5"/>
  <c r="AF342" i="5"/>
  <c r="AF343" i="5"/>
  <c r="AF344" i="5"/>
  <c r="AF346" i="5"/>
  <c r="AF434" i="5"/>
  <c r="AF437" i="5"/>
  <c r="AF438" i="5"/>
  <c r="AF439" i="5"/>
  <c r="AF440" i="5"/>
  <c r="AF441" i="5"/>
  <c r="AF442" i="5"/>
  <c r="AF443" i="5"/>
  <c r="AF444" i="5"/>
  <c r="AF445" i="5"/>
  <c r="AF57" i="5"/>
  <c r="AF58" i="5"/>
  <c r="AF59" i="5"/>
  <c r="AF63" i="5"/>
  <c r="AF64" i="5"/>
  <c r="AF65" i="5"/>
  <c r="AF66" i="5"/>
  <c r="AF67" i="5"/>
  <c r="AF68" i="5"/>
  <c r="AF69" i="5"/>
  <c r="AF70" i="5"/>
  <c r="AF72" i="5"/>
  <c r="AF73" i="5"/>
  <c r="AF74" i="5"/>
  <c r="AF75" i="5"/>
  <c r="AF76" i="5"/>
  <c r="AF77" i="5"/>
  <c r="AF79" i="5"/>
  <c r="AF80" i="5"/>
  <c r="AF81" i="5"/>
  <c r="AF156" i="5"/>
  <c r="AF157" i="5"/>
  <c r="AF158" i="5"/>
  <c r="AF160" i="5"/>
  <c r="AF161" i="5"/>
  <c r="AF165" i="5"/>
  <c r="AF166" i="5"/>
  <c r="AF167" i="5"/>
  <c r="AF168" i="5"/>
  <c r="AF172" i="5"/>
  <c r="AF173" i="5"/>
  <c r="AF174" i="5"/>
  <c r="AF175" i="5"/>
  <c r="AF177" i="5"/>
  <c r="AF179" i="5"/>
  <c r="AF180" i="5"/>
  <c r="AF258" i="5"/>
  <c r="AF259" i="5"/>
  <c r="AF261" i="5"/>
  <c r="AF267" i="5"/>
  <c r="AF269" i="5"/>
  <c r="AF272" i="5"/>
  <c r="AF273" i="5"/>
  <c r="AF274" i="5"/>
  <c r="AF275" i="5"/>
  <c r="AF276" i="5"/>
  <c r="AF279" i="5"/>
  <c r="AF355" i="5"/>
  <c r="AF356" i="5"/>
  <c r="AF357" i="5"/>
  <c r="AF360" i="5"/>
  <c r="AF363" i="5"/>
  <c r="AF371" i="5"/>
  <c r="AF374" i="5"/>
  <c r="AF375" i="5"/>
  <c r="AF376" i="5"/>
  <c r="AF377" i="5"/>
  <c r="AF378" i="5"/>
  <c r="AF454" i="5"/>
  <c r="AF456" i="5"/>
  <c r="AF457" i="5"/>
  <c r="AF460" i="5"/>
  <c r="AF461" i="5"/>
  <c r="AF463" i="5"/>
  <c r="AF464" i="5"/>
  <c r="AF466" i="5"/>
  <c r="AF468" i="5"/>
  <c r="AF469" i="5"/>
  <c r="AF470" i="5"/>
  <c r="AF471" i="5"/>
  <c r="AF472" i="5"/>
  <c r="AF473" i="5"/>
  <c r="AF474" i="5"/>
  <c r="AF475" i="5"/>
  <c r="AF476" i="5"/>
  <c r="AF477" i="5"/>
  <c r="AF91" i="5"/>
  <c r="AF92" i="5"/>
  <c r="AF93" i="5"/>
  <c r="AF94" i="5"/>
  <c r="AF95" i="5"/>
  <c r="AF96" i="5"/>
  <c r="AF97" i="5"/>
  <c r="AF98" i="5"/>
  <c r="AF99" i="5"/>
  <c r="AF100" i="5"/>
  <c r="AF188" i="5"/>
  <c r="AF190" i="5"/>
  <c r="AF191" i="5"/>
  <c r="AF192" i="5"/>
  <c r="AF194" i="5"/>
  <c r="AF195" i="5"/>
  <c r="AF196" i="5"/>
  <c r="AF197" i="5"/>
  <c r="AF198" i="5"/>
  <c r="AF199" i="5"/>
  <c r="AF287" i="5"/>
  <c r="AF288" i="5"/>
  <c r="AF290" i="5"/>
  <c r="AF291" i="5"/>
  <c r="AF292" i="5"/>
  <c r="AF294" i="5"/>
  <c r="AF295" i="5"/>
  <c r="AF296" i="5"/>
  <c r="AF297" i="5"/>
  <c r="AF298" i="5"/>
  <c r="AF386" i="5"/>
  <c r="AF388" i="5"/>
  <c r="AF389" i="5"/>
  <c r="AF390" i="5"/>
  <c r="AF392" i="5"/>
  <c r="AF394" i="5"/>
  <c r="AF395" i="5"/>
  <c r="AF396" i="5"/>
  <c r="AF397" i="5"/>
  <c r="AF485" i="5"/>
  <c r="AF486" i="5"/>
  <c r="AF487" i="5"/>
  <c r="AF488" i="5"/>
  <c r="AF489" i="5"/>
  <c r="AF490" i="5"/>
  <c r="AF491" i="5"/>
  <c r="AF492" i="5"/>
  <c r="AF493" i="5"/>
  <c r="AF494" i="5"/>
  <c r="AF495" i="5"/>
  <c r="AF496" i="5"/>
  <c r="AF13" i="5"/>
  <c r="AF14" i="5"/>
  <c r="AF16" i="5"/>
  <c r="AF17" i="5"/>
  <c r="AF18" i="5"/>
  <c r="AF21" i="5"/>
  <c r="AF22" i="5"/>
  <c r="AF23" i="5"/>
  <c r="AF27" i="5"/>
  <c r="AF28" i="5"/>
  <c r="AF29" i="5"/>
  <c r="AF30" i="5"/>
  <c r="AE40" i="5"/>
  <c r="AE42" i="5"/>
  <c r="AE43" i="5"/>
  <c r="AE44" i="5"/>
  <c r="AE46" i="5"/>
  <c r="AE47" i="5"/>
  <c r="AE48" i="5"/>
  <c r="AE49" i="5"/>
  <c r="AE137" i="5"/>
  <c r="AE141" i="5"/>
  <c r="AE142" i="5"/>
  <c r="AE143" i="5"/>
  <c r="AE144" i="5"/>
  <c r="AE145" i="5"/>
  <c r="AE146" i="5"/>
  <c r="AE147" i="5"/>
  <c r="AE148" i="5"/>
  <c r="AE236" i="5"/>
  <c r="AE237" i="5"/>
  <c r="AE239" i="5"/>
  <c r="AE240" i="5"/>
  <c r="AE241" i="5"/>
  <c r="AE242" i="5"/>
  <c r="AE243" i="5"/>
  <c r="AE244" i="5"/>
  <c r="AE245" i="5"/>
  <c r="AE246" i="5"/>
  <c r="AE247" i="5"/>
  <c r="AE335" i="5"/>
  <c r="AE338" i="5"/>
  <c r="AE340" i="5"/>
  <c r="AE342" i="5"/>
  <c r="AE343" i="5"/>
  <c r="AE344" i="5"/>
  <c r="AE345" i="5"/>
  <c r="AE346" i="5"/>
  <c r="AE434" i="5"/>
  <c r="AE436" i="5"/>
  <c r="AE437" i="5"/>
  <c r="AE438" i="5"/>
  <c r="AE439" i="5"/>
  <c r="AE440" i="5"/>
  <c r="AE441" i="5"/>
  <c r="AE442" i="5"/>
  <c r="AE443" i="5"/>
  <c r="AE444" i="5"/>
  <c r="AE445" i="5"/>
  <c r="AE57" i="5"/>
  <c r="AE58" i="5"/>
  <c r="AE59" i="5"/>
  <c r="AE63" i="5"/>
  <c r="AE64" i="5"/>
  <c r="AE65" i="5"/>
  <c r="AE66" i="5"/>
  <c r="AE67" i="5"/>
  <c r="AE68" i="5"/>
  <c r="AE69" i="5"/>
  <c r="AE70" i="5"/>
  <c r="AE72" i="5"/>
  <c r="AE73" i="5"/>
  <c r="AE74" i="5"/>
  <c r="AE75" i="5"/>
  <c r="AE76" i="5"/>
  <c r="AE77" i="5"/>
  <c r="AE79" i="5"/>
  <c r="AE80" i="5"/>
  <c r="AE81" i="5"/>
  <c r="AE157" i="5"/>
  <c r="AE158" i="5"/>
  <c r="AE161" i="5"/>
  <c r="AE165" i="5"/>
  <c r="AE166" i="5"/>
  <c r="AE167" i="5"/>
  <c r="AE168" i="5"/>
  <c r="AE172" i="5"/>
  <c r="AE173" i="5"/>
  <c r="AE174" i="5"/>
  <c r="AE175" i="5"/>
  <c r="AE179" i="5"/>
  <c r="AE180" i="5"/>
  <c r="AE258" i="5"/>
  <c r="AE259" i="5"/>
  <c r="AE261" i="5"/>
  <c r="AE267" i="5"/>
  <c r="AE269" i="5"/>
  <c r="AE272" i="5"/>
  <c r="AE273" i="5"/>
  <c r="AE274" i="5"/>
  <c r="AE275" i="5"/>
  <c r="AE276" i="5"/>
  <c r="AE277" i="5"/>
  <c r="AE279" i="5"/>
  <c r="AE355" i="5"/>
  <c r="AE356" i="5"/>
  <c r="AE360" i="5"/>
  <c r="AE361" i="5"/>
  <c r="AE363" i="5"/>
  <c r="AE371" i="5"/>
  <c r="AE374" i="5"/>
  <c r="AE375" i="5"/>
  <c r="AE376" i="5"/>
  <c r="AE377" i="5"/>
  <c r="AE378" i="5"/>
  <c r="AE454" i="5"/>
  <c r="AE456" i="5"/>
  <c r="AE457" i="5"/>
  <c r="AE458" i="5"/>
  <c r="AE460" i="5"/>
  <c r="AE461" i="5"/>
  <c r="AE463" i="5"/>
  <c r="AE464" i="5"/>
  <c r="AE466" i="5"/>
  <c r="AE467" i="5"/>
  <c r="AE468" i="5"/>
  <c r="AE469" i="5"/>
  <c r="AE470" i="5"/>
  <c r="AE471" i="5"/>
  <c r="AE472" i="5"/>
  <c r="AE473" i="5"/>
  <c r="AE474" i="5"/>
  <c r="AE475" i="5"/>
  <c r="AE476" i="5"/>
  <c r="AE477" i="5"/>
  <c r="AE90" i="5"/>
  <c r="AE91" i="5"/>
  <c r="AE92" i="5"/>
  <c r="AE93" i="5"/>
  <c r="AE95" i="5"/>
  <c r="AE96" i="5"/>
  <c r="AE97" i="5"/>
  <c r="AE98" i="5"/>
  <c r="AE99" i="5"/>
  <c r="AE100" i="5"/>
  <c r="AE188" i="5"/>
  <c r="AE189" i="5"/>
  <c r="AE190" i="5"/>
  <c r="AE191" i="5"/>
  <c r="AE192" i="5"/>
  <c r="AE194" i="5"/>
  <c r="AE195" i="5"/>
  <c r="AE196" i="5"/>
  <c r="AE197" i="5"/>
  <c r="AE198" i="5"/>
  <c r="AE199" i="5"/>
  <c r="AE287" i="5"/>
  <c r="AE288" i="5"/>
  <c r="AE290" i="5"/>
  <c r="AE291" i="5"/>
  <c r="AE292" i="5"/>
  <c r="AE294" i="5"/>
  <c r="AE295" i="5"/>
  <c r="AE296" i="5"/>
  <c r="AE297" i="5"/>
  <c r="AE298" i="5"/>
  <c r="AE388" i="5"/>
  <c r="AE389" i="5"/>
  <c r="AE390" i="5"/>
  <c r="AE392" i="5"/>
  <c r="AE394" i="5"/>
  <c r="AE395" i="5"/>
  <c r="AE396" i="5"/>
  <c r="AE397" i="5"/>
  <c r="AE485" i="5"/>
  <c r="AE486" i="5"/>
  <c r="AE487" i="5"/>
  <c r="AE488" i="5"/>
  <c r="AE489" i="5"/>
  <c r="AE490" i="5"/>
  <c r="AE491" i="5"/>
  <c r="AE492" i="5"/>
  <c r="AE493" i="5"/>
  <c r="AE494" i="5"/>
  <c r="AE495" i="5"/>
  <c r="AE496" i="5"/>
  <c r="AE13" i="5"/>
  <c r="AE14" i="5"/>
  <c r="AE16" i="5"/>
  <c r="AE17" i="5"/>
  <c r="AE18" i="5"/>
  <c r="AE21" i="5"/>
  <c r="AE22" i="5"/>
  <c r="AE23" i="5"/>
  <c r="AE26" i="5"/>
  <c r="AE27" i="5"/>
  <c r="AE28" i="5"/>
  <c r="AE29" i="5"/>
  <c r="AE30" i="5"/>
  <c r="AD38" i="5"/>
  <c r="AD40" i="5"/>
  <c r="AD42" i="5"/>
  <c r="AD43" i="5"/>
  <c r="AD44" i="5"/>
  <c r="AD46" i="5"/>
  <c r="AD47" i="5"/>
  <c r="AD48" i="5"/>
  <c r="AD49" i="5"/>
  <c r="AD137" i="5"/>
  <c r="AD141" i="5"/>
  <c r="AD142" i="5"/>
  <c r="AD143" i="5"/>
  <c r="AD144" i="5"/>
  <c r="AD145" i="5"/>
  <c r="AD146" i="5"/>
  <c r="AD147" i="5"/>
  <c r="AD148" i="5"/>
  <c r="AD236" i="5"/>
  <c r="AD237" i="5"/>
  <c r="AD239" i="5"/>
  <c r="AD240" i="5"/>
  <c r="AD241" i="5"/>
  <c r="AD242" i="5"/>
  <c r="AD243" i="5"/>
  <c r="AD244" i="5"/>
  <c r="AD245" i="5"/>
  <c r="AD246" i="5"/>
  <c r="AD247" i="5"/>
  <c r="AD335" i="5"/>
  <c r="AD338" i="5"/>
  <c r="AD340" i="5"/>
  <c r="AD342" i="5"/>
  <c r="AD343" i="5"/>
  <c r="AD344" i="5"/>
  <c r="AD346" i="5"/>
  <c r="AD434" i="5"/>
  <c r="AD437" i="5"/>
  <c r="AD438" i="5"/>
  <c r="AD439" i="5"/>
  <c r="AD440" i="5"/>
  <c r="AD441" i="5"/>
  <c r="AD442" i="5"/>
  <c r="AD443" i="5"/>
  <c r="AD444" i="5"/>
  <c r="AD445" i="5"/>
  <c r="AD57" i="5"/>
  <c r="AD58" i="5"/>
  <c r="AD59" i="5"/>
  <c r="AD63" i="5"/>
  <c r="AD64" i="5"/>
  <c r="AD65" i="5"/>
  <c r="AD66" i="5"/>
  <c r="AD67" i="5"/>
  <c r="AD68" i="5"/>
  <c r="AD69" i="5"/>
  <c r="AD70" i="5"/>
  <c r="AD72" i="5"/>
  <c r="AD73" i="5"/>
  <c r="AD74" i="5"/>
  <c r="AD75" i="5"/>
  <c r="AD76" i="5"/>
  <c r="AD77" i="5"/>
  <c r="AD79" i="5"/>
  <c r="AD80" i="5"/>
  <c r="AD81" i="5"/>
  <c r="AD156" i="5"/>
  <c r="AD157" i="5"/>
  <c r="AD158" i="5"/>
  <c r="AD161" i="5"/>
  <c r="AD165" i="5"/>
  <c r="AD166" i="5"/>
  <c r="AD167" i="5"/>
  <c r="AD168" i="5"/>
  <c r="AD172" i="5"/>
  <c r="AD173" i="5"/>
  <c r="AD174" i="5"/>
  <c r="AD175" i="5"/>
  <c r="AD179" i="5"/>
  <c r="AD180" i="5"/>
  <c r="AD258" i="5"/>
  <c r="AD259" i="5"/>
  <c r="AD261" i="5"/>
  <c r="AD267" i="5"/>
  <c r="AD269" i="5"/>
  <c r="AD272" i="5"/>
  <c r="AD273" i="5"/>
  <c r="AD274" i="5"/>
  <c r="AD275" i="5"/>
  <c r="AD276" i="5"/>
  <c r="AD279" i="5"/>
  <c r="AD355" i="5"/>
  <c r="AD356" i="5"/>
  <c r="AD357" i="5"/>
  <c r="AD360" i="5"/>
  <c r="AD363" i="5"/>
  <c r="AD368" i="5"/>
  <c r="AD370" i="5"/>
  <c r="AD371" i="5"/>
  <c r="AD374" i="5"/>
  <c r="AD375" i="5"/>
  <c r="AD376" i="5"/>
  <c r="AD377" i="5"/>
  <c r="AD378" i="5"/>
  <c r="AD454" i="5"/>
  <c r="AD456" i="5"/>
  <c r="AD457" i="5"/>
  <c r="AD460" i="5"/>
  <c r="AD461" i="5"/>
  <c r="AD463" i="5"/>
  <c r="AD464" i="5"/>
  <c r="AD466" i="5"/>
  <c r="AD468" i="5"/>
  <c r="AD469" i="5"/>
  <c r="AD470" i="5"/>
  <c r="AD471" i="5"/>
  <c r="AD472" i="5"/>
  <c r="AD473" i="5"/>
  <c r="AD474" i="5"/>
  <c r="AD475" i="5"/>
  <c r="AD476" i="5"/>
  <c r="AD477" i="5"/>
  <c r="AD91" i="5"/>
  <c r="AD92" i="5"/>
  <c r="AD93" i="5"/>
  <c r="AD95" i="5"/>
  <c r="AD96" i="5"/>
  <c r="AD97" i="5"/>
  <c r="AD98" i="5"/>
  <c r="AD99" i="5"/>
  <c r="AD100" i="5"/>
  <c r="AD188" i="5"/>
  <c r="AD189" i="5"/>
  <c r="AD190" i="5"/>
  <c r="AD191" i="5"/>
  <c r="AD192" i="5"/>
  <c r="AD194" i="5"/>
  <c r="AD195" i="5"/>
  <c r="AD196" i="5"/>
  <c r="AD197" i="5"/>
  <c r="AD198" i="5"/>
  <c r="AD199" i="5"/>
  <c r="AD287" i="5"/>
  <c r="AD288" i="5"/>
  <c r="AD290" i="5"/>
  <c r="AD291" i="5"/>
  <c r="AD292" i="5"/>
  <c r="AD294" i="5"/>
  <c r="AD295" i="5"/>
  <c r="AD296" i="5"/>
  <c r="AD297" i="5"/>
  <c r="AD298" i="5"/>
  <c r="AD386" i="5"/>
  <c r="AD388" i="5"/>
  <c r="AD389" i="5"/>
  <c r="AD390" i="5"/>
  <c r="AD392" i="5"/>
  <c r="AD394" i="5"/>
  <c r="AD395" i="5"/>
  <c r="AD396" i="5"/>
  <c r="AD397" i="5"/>
  <c r="AD485" i="5"/>
  <c r="AD486" i="5"/>
  <c r="AD487" i="5"/>
  <c r="AD488" i="5"/>
  <c r="AD489" i="5"/>
  <c r="AD490" i="5"/>
  <c r="AD491" i="5"/>
  <c r="AD492" i="5"/>
  <c r="AD493" i="5"/>
  <c r="AD494" i="5"/>
  <c r="AD495" i="5"/>
  <c r="AD496" i="5"/>
  <c r="AD13" i="5"/>
  <c r="AD14" i="5"/>
  <c r="AD15" i="5"/>
  <c r="AD16" i="5"/>
  <c r="AD17" i="5"/>
  <c r="AD18" i="5"/>
  <c r="AD21" i="5"/>
  <c r="AD22" i="5"/>
  <c r="AD23" i="5"/>
  <c r="AD27" i="5"/>
  <c r="AD28" i="5"/>
  <c r="AD29" i="5"/>
  <c r="AD30" i="5"/>
  <c r="AC40" i="5"/>
  <c r="AC41" i="5"/>
  <c r="AC42" i="5"/>
  <c r="AC43" i="5"/>
  <c r="AC44" i="5"/>
  <c r="AC46" i="5"/>
  <c r="AC47" i="5"/>
  <c r="AC48" i="5"/>
  <c r="AC49" i="5"/>
  <c r="AC137" i="5"/>
  <c r="AC141" i="5"/>
  <c r="AC142" i="5"/>
  <c r="AC143" i="5"/>
  <c r="AC144" i="5"/>
  <c r="AC145" i="5"/>
  <c r="AC146" i="5"/>
  <c r="AC147" i="5"/>
  <c r="AC148" i="5"/>
  <c r="AC236" i="5"/>
  <c r="AC237" i="5"/>
  <c r="AC239" i="5"/>
  <c r="AC240" i="5"/>
  <c r="AC241" i="5"/>
  <c r="AC242" i="5"/>
  <c r="AC243" i="5"/>
  <c r="AC244" i="5"/>
  <c r="AC245" i="5"/>
  <c r="AC246" i="5"/>
  <c r="AC247" i="5"/>
  <c r="AC335" i="5"/>
  <c r="AC337" i="5"/>
  <c r="AC338" i="5"/>
  <c r="AC339" i="5"/>
  <c r="AC340" i="5"/>
  <c r="AC342" i="5"/>
  <c r="AC343" i="5"/>
  <c r="AC344" i="5"/>
  <c r="AC346" i="5"/>
  <c r="AC434" i="5"/>
  <c r="AC437" i="5"/>
  <c r="AC438" i="5"/>
  <c r="AC439" i="5"/>
  <c r="AC440" i="5"/>
  <c r="AC441" i="5"/>
  <c r="AC442" i="5"/>
  <c r="AC443" i="5"/>
  <c r="AC444" i="5"/>
  <c r="AC445" i="5"/>
  <c r="AC57" i="5"/>
  <c r="AC58" i="5"/>
  <c r="AC59" i="5"/>
  <c r="AC63" i="5"/>
  <c r="AC64" i="5"/>
  <c r="AC65" i="5"/>
  <c r="AC66" i="5"/>
  <c r="AC67" i="5"/>
  <c r="AC68" i="5"/>
  <c r="AC69" i="5"/>
  <c r="AC70" i="5"/>
  <c r="AC72" i="5"/>
  <c r="AC73" i="5"/>
  <c r="AC74" i="5"/>
  <c r="AC75" i="5"/>
  <c r="AC76" i="5"/>
  <c r="AC77" i="5"/>
  <c r="AC78" i="5"/>
  <c r="AC79" i="5"/>
  <c r="AC80" i="5"/>
  <c r="AC81" i="5"/>
  <c r="AC157" i="5"/>
  <c r="AC158" i="5"/>
  <c r="AC161" i="5"/>
  <c r="AC165" i="5"/>
  <c r="AC166" i="5"/>
  <c r="AC167" i="5"/>
  <c r="AC168" i="5"/>
  <c r="AC172" i="5"/>
  <c r="AC173" i="5"/>
  <c r="AC174" i="5"/>
  <c r="AC175" i="5"/>
  <c r="AC176" i="5"/>
  <c r="AC179" i="5"/>
  <c r="AC180" i="5"/>
  <c r="AC258" i="5"/>
  <c r="AC259" i="5"/>
  <c r="AC261" i="5"/>
  <c r="AC267" i="5"/>
  <c r="AC269" i="5"/>
  <c r="AC272" i="5"/>
  <c r="AC273" i="5"/>
  <c r="AC274" i="5"/>
  <c r="AC275" i="5"/>
  <c r="AC276" i="5"/>
  <c r="AC279" i="5"/>
  <c r="AC355" i="5"/>
  <c r="AC356" i="5"/>
  <c r="AC360" i="5"/>
  <c r="AC363" i="5"/>
  <c r="AC366" i="5"/>
  <c r="AC371" i="5"/>
  <c r="AC374" i="5"/>
  <c r="AC375" i="5"/>
  <c r="AC376" i="5"/>
  <c r="AC377" i="5"/>
  <c r="AC378" i="5"/>
  <c r="AC454" i="5"/>
  <c r="AC456" i="5"/>
  <c r="AC457" i="5"/>
  <c r="AC458" i="5"/>
  <c r="AC460" i="5"/>
  <c r="AC461" i="5"/>
  <c r="AC462" i="5"/>
  <c r="AC463" i="5"/>
  <c r="AC464" i="5"/>
  <c r="AC466" i="5"/>
  <c r="AC468" i="5"/>
  <c r="AC469" i="5"/>
  <c r="AC470" i="5"/>
  <c r="AC471" i="5"/>
  <c r="AC472" i="5"/>
  <c r="AC473" i="5"/>
  <c r="AC474" i="5"/>
  <c r="AC475" i="5"/>
  <c r="AC476" i="5"/>
  <c r="AC477" i="5"/>
  <c r="AC91" i="5"/>
  <c r="AC92" i="5"/>
  <c r="AC93" i="5"/>
  <c r="AC95" i="5"/>
  <c r="AC96" i="5"/>
  <c r="AC97" i="5"/>
  <c r="AC98" i="5"/>
  <c r="AC99" i="5"/>
  <c r="AC100" i="5"/>
  <c r="AC188" i="5"/>
  <c r="AC189" i="5"/>
  <c r="AC190" i="5"/>
  <c r="AC191" i="5"/>
  <c r="AC192" i="5"/>
  <c r="AC194" i="5"/>
  <c r="AC195" i="5"/>
  <c r="AC196" i="5"/>
  <c r="AC197" i="5"/>
  <c r="AC198" i="5"/>
  <c r="AC199" i="5"/>
  <c r="AC287" i="5"/>
  <c r="AC288" i="5"/>
  <c r="AC290" i="5"/>
  <c r="AC291" i="5"/>
  <c r="AC292" i="5"/>
  <c r="AC294" i="5"/>
  <c r="AC295" i="5"/>
  <c r="AC296" i="5"/>
  <c r="AC297" i="5"/>
  <c r="AC298" i="5"/>
  <c r="AC386" i="5"/>
  <c r="AC388" i="5"/>
  <c r="AC389" i="5"/>
  <c r="AC390" i="5"/>
  <c r="AC392" i="5"/>
  <c r="AC394" i="5"/>
  <c r="AC395" i="5"/>
  <c r="AC396" i="5"/>
  <c r="AC397" i="5"/>
  <c r="AC485" i="5"/>
  <c r="AC486" i="5"/>
  <c r="AC487" i="5"/>
  <c r="AC488" i="5"/>
  <c r="AC489" i="5"/>
  <c r="AC490" i="5"/>
  <c r="AC491" i="5"/>
  <c r="AC492" i="5"/>
  <c r="AC493" i="5"/>
  <c r="AC494" i="5"/>
  <c r="AC495" i="5"/>
  <c r="AC496" i="5"/>
  <c r="AC13" i="5"/>
  <c r="AC14" i="5"/>
  <c r="AC16" i="5"/>
  <c r="AC17" i="5"/>
  <c r="AC18" i="5"/>
  <c r="AC21" i="5"/>
  <c r="AC22" i="5"/>
  <c r="AC23" i="5"/>
  <c r="AC27" i="5"/>
  <c r="AC28" i="5"/>
  <c r="AC29" i="5"/>
  <c r="AC30" i="5"/>
  <c r="AB38" i="5"/>
  <c r="AB40" i="5"/>
  <c r="AB42" i="5"/>
  <c r="AB43" i="5"/>
  <c r="AB44" i="5"/>
  <c r="AB46" i="5"/>
  <c r="AB47" i="5"/>
  <c r="AB48" i="5"/>
  <c r="AB49" i="5"/>
  <c r="AB137" i="5"/>
  <c r="AB139" i="5"/>
  <c r="AB141" i="5"/>
  <c r="AB142" i="5"/>
  <c r="AB143" i="5"/>
  <c r="AB144" i="5"/>
  <c r="AB145" i="5"/>
  <c r="AB146" i="5"/>
  <c r="AB147" i="5"/>
  <c r="AB148" i="5"/>
  <c r="AB236" i="5"/>
  <c r="AB237" i="5"/>
  <c r="AB239" i="5"/>
  <c r="AB240" i="5"/>
  <c r="AB241" i="5"/>
  <c r="AB242" i="5"/>
  <c r="AB243" i="5"/>
  <c r="AB244" i="5"/>
  <c r="AB245" i="5"/>
  <c r="AB246" i="5"/>
  <c r="AB247" i="5"/>
  <c r="AB335" i="5"/>
  <c r="AB338" i="5"/>
  <c r="AB339" i="5"/>
  <c r="AB340" i="5"/>
  <c r="AB342" i="5"/>
  <c r="AB343" i="5"/>
  <c r="AB344" i="5"/>
  <c r="AB346" i="5"/>
  <c r="AB434" i="5"/>
  <c r="AB437" i="5"/>
  <c r="AB438" i="5"/>
  <c r="AB439" i="5"/>
  <c r="AB440" i="5"/>
  <c r="AB441" i="5"/>
  <c r="AB442" i="5"/>
  <c r="AB443" i="5"/>
  <c r="AB444" i="5"/>
  <c r="AB445" i="5"/>
  <c r="AB57" i="5"/>
  <c r="AB58" i="5"/>
  <c r="AB59" i="5"/>
  <c r="AB63" i="5"/>
  <c r="AB64" i="5"/>
  <c r="AB65" i="5"/>
  <c r="AB66" i="5"/>
  <c r="AB67" i="5"/>
  <c r="AB68" i="5"/>
  <c r="AB69" i="5"/>
  <c r="AB70" i="5"/>
  <c r="AB71" i="5"/>
  <c r="AB72" i="5"/>
  <c r="AB73" i="5"/>
  <c r="AB74" i="5"/>
  <c r="AB75" i="5"/>
  <c r="AB76" i="5"/>
  <c r="AB77" i="5"/>
  <c r="AB79" i="5"/>
  <c r="AB80" i="5"/>
  <c r="AB81" i="5"/>
  <c r="AB157" i="5"/>
  <c r="AB158" i="5"/>
  <c r="AB159" i="5"/>
  <c r="AB161" i="5"/>
  <c r="AB164" i="5"/>
  <c r="AB165" i="5"/>
  <c r="AB166" i="5"/>
  <c r="AB167" i="5"/>
  <c r="AB168" i="5"/>
  <c r="AB172" i="5"/>
  <c r="AB173" i="5"/>
  <c r="AB174" i="5"/>
  <c r="AB175" i="5"/>
  <c r="AB177" i="5"/>
  <c r="AB178" i="5"/>
  <c r="AB179" i="5"/>
  <c r="AB180" i="5"/>
  <c r="AB258" i="5"/>
  <c r="AB259" i="5"/>
  <c r="AB261" i="5"/>
  <c r="AB267" i="5"/>
  <c r="AB269" i="5"/>
  <c r="AB272" i="5"/>
  <c r="AB273" i="5"/>
  <c r="AB274" i="5"/>
  <c r="AB275" i="5"/>
  <c r="AB276" i="5"/>
  <c r="AB278" i="5"/>
  <c r="AB279" i="5"/>
  <c r="AB355" i="5"/>
  <c r="AB356" i="5"/>
  <c r="AB360" i="5"/>
  <c r="AB361" i="5"/>
  <c r="AB363" i="5"/>
  <c r="AB366" i="5"/>
  <c r="AB371" i="5"/>
  <c r="AB374" i="5"/>
  <c r="AB375" i="5"/>
  <c r="AB376" i="5"/>
  <c r="AB377" i="5"/>
  <c r="AB378" i="5"/>
  <c r="AB454" i="5"/>
  <c r="AB456" i="5"/>
  <c r="AB457" i="5"/>
  <c r="AB458" i="5"/>
  <c r="AB460" i="5"/>
  <c r="AB461" i="5"/>
  <c r="AB463" i="5"/>
  <c r="AB464" i="5"/>
  <c r="AB466" i="5"/>
  <c r="AB468" i="5"/>
  <c r="AB469" i="5"/>
  <c r="AB470" i="5"/>
  <c r="AB471" i="5"/>
  <c r="AB472" i="5"/>
  <c r="AB473" i="5"/>
  <c r="AB474" i="5"/>
  <c r="AB475" i="5"/>
  <c r="AB476" i="5"/>
  <c r="AB477" i="5"/>
  <c r="AB91" i="5"/>
  <c r="AB92" i="5"/>
  <c r="AB93" i="5"/>
  <c r="AB95" i="5"/>
  <c r="AB96" i="5"/>
  <c r="AB97" i="5"/>
  <c r="AB98" i="5"/>
  <c r="AB99" i="5"/>
  <c r="AB100" i="5"/>
  <c r="AB188" i="5"/>
  <c r="AB189" i="5"/>
  <c r="AB190" i="5"/>
  <c r="AB191" i="5"/>
  <c r="AB192" i="5"/>
  <c r="AB194" i="5"/>
  <c r="AB195" i="5"/>
  <c r="AB196" i="5"/>
  <c r="AB197" i="5"/>
  <c r="AB198" i="5"/>
  <c r="AB199" i="5"/>
  <c r="AB287" i="5"/>
  <c r="AB288" i="5"/>
  <c r="AB290" i="5"/>
  <c r="AB291" i="5"/>
  <c r="AB292" i="5"/>
  <c r="AB293" i="5"/>
  <c r="AB294" i="5"/>
  <c r="AB295" i="5"/>
  <c r="AB296" i="5"/>
  <c r="AB297" i="5"/>
  <c r="AB298" i="5"/>
  <c r="AB386" i="5"/>
  <c r="AB388" i="5"/>
  <c r="AB389" i="5"/>
  <c r="AB390" i="5"/>
  <c r="AB392" i="5"/>
  <c r="AB394" i="5"/>
  <c r="AB395" i="5"/>
  <c r="AB396" i="5"/>
  <c r="AB397" i="5"/>
  <c r="AB485" i="5"/>
  <c r="AB486" i="5"/>
  <c r="AB487" i="5"/>
  <c r="AB488" i="5"/>
  <c r="AB489" i="5"/>
  <c r="AB490" i="5"/>
  <c r="AB491" i="5"/>
  <c r="AB492" i="5"/>
  <c r="AB493" i="5"/>
  <c r="AB494" i="5"/>
  <c r="AB495" i="5"/>
  <c r="AB496" i="5"/>
  <c r="AB13" i="5"/>
  <c r="AB14" i="5"/>
  <c r="AB15" i="5"/>
  <c r="AB16" i="5"/>
  <c r="AB17" i="5"/>
  <c r="AB18" i="5"/>
  <c r="AB21" i="5"/>
  <c r="AB22" i="5"/>
  <c r="AB23" i="5"/>
  <c r="AB25" i="5"/>
  <c r="AB27" i="5"/>
  <c r="AB28" i="5"/>
  <c r="AB29" i="5"/>
  <c r="AB30" i="5"/>
  <c r="AA40" i="5"/>
  <c r="AA42" i="5"/>
  <c r="AA43" i="5"/>
  <c r="AA44" i="5"/>
  <c r="AA46" i="5"/>
  <c r="AA47" i="5"/>
  <c r="AA48" i="5"/>
  <c r="AA49" i="5"/>
  <c r="AA137" i="5"/>
  <c r="AA141" i="5"/>
  <c r="AA142" i="5"/>
  <c r="AA143" i="5"/>
  <c r="AA144" i="5"/>
  <c r="AA145" i="5"/>
  <c r="AA146" i="5"/>
  <c r="AA147" i="5"/>
  <c r="AA148" i="5"/>
  <c r="AA236" i="5"/>
  <c r="AA237" i="5"/>
  <c r="AA239" i="5"/>
  <c r="AA240" i="5"/>
  <c r="AA241" i="5"/>
  <c r="AA242" i="5"/>
  <c r="AA243" i="5"/>
  <c r="AA244" i="5"/>
  <c r="AA245" i="5"/>
  <c r="AA246" i="5"/>
  <c r="AA247" i="5"/>
  <c r="AA335" i="5"/>
  <c r="AA336" i="5"/>
  <c r="AA338" i="5"/>
  <c r="AA340" i="5"/>
  <c r="AA342" i="5"/>
  <c r="AA343" i="5"/>
  <c r="AA344" i="5"/>
  <c r="AA346" i="5"/>
  <c r="AA434" i="5"/>
  <c r="AA437" i="5"/>
  <c r="AA438" i="5"/>
  <c r="AA439" i="5"/>
  <c r="AA440" i="5"/>
  <c r="AA441" i="5"/>
  <c r="AA442" i="5"/>
  <c r="AA443" i="5"/>
  <c r="AA444" i="5"/>
  <c r="AA445" i="5"/>
  <c r="AA57" i="5"/>
  <c r="AA58" i="5"/>
  <c r="AA59" i="5"/>
  <c r="AA63" i="5"/>
  <c r="AA64" i="5"/>
  <c r="AA65" i="5"/>
  <c r="AA66" i="5"/>
  <c r="AA67" i="5"/>
  <c r="AA68" i="5"/>
  <c r="AA69" i="5"/>
  <c r="AA70" i="5"/>
  <c r="AA72" i="5"/>
  <c r="AA73" i="5"/>
  <c r="AA74" i="5"/>
  <c r="AA75" i="5"/>
  <c r="AA76" i="5"/>
  <c r="AA77" i="5"/>
  <c r="AA79" i="5"/>
  <c r="AA80" i="5"/>
  <c r="AA81" i="5"/>
  <c r="AA157" i="5"/>
  <c r="AA158" i="5"/>
  <c r="AA160" i="5"/>
  <c r="AA161" i="5"/>
  <c r="AA164" i="5"/>
  <c r="AA165" i="5"/>
  <c r="AA166" i="5"/>
  <c r="AA167" i="5"/>
  <c r="AA168" i="5"/>
  <c r="AA172" i="5"/>
  <c r="AA173" i="5"/>
  <c r="AA174" i="5"/>
  <c r="AA175" i="5"/>
  <c r="AA179" i="5"/>
  <c r="AA180" i="5"/>
  <c r="AA258" i="5"/>
  <c r="AA259" i="5"/>
  <c r="AA261" i="5"/>
  <c r="AA267" i="5"/>
  <c r="AA269" i="5"/>
  <c r="AA272" i="5"/>
  <c r="AA273" i="5"/>
  <c r="AA274" i="5"/>
  <c r="AA275" i="5"/>
  <c r="AA276" i="5"/>
  <c r="AA279" i="5"/>
  <c r="AA355" i="5"/>
  <c r="AA356" i="5"/>
  <c r="AA360" i="5"/>
  <c r="AA363" i="5"/>
  <c r="AA370" i="5"/>
  <c r="AA371" i="5"/>
  <c r="AA374" i="5"/>
  <c r="AA375" i="5"/>
  <c r="AA376" i="5"/>
  <c r="AA377" i="5"/>
  <c r="AA378" i="5"/>
  <c r="AA454" i="5"/>
  <c r="AA456" i="5"/>
  <c r="AA457" i="5"/>
  <c r="AA460" i="5"/>
  <c r="AA461" i="5"/>
  <c r="AA463" i="5"/>
  <c r="AA464" i="5"/>
  <c r="AA466" i="5"/>
  <c r="AA467" i="5"/>
  <c r="AA468" i="5"/>
  <c r="AA469" i="5"/>
  <c r="AA470" i="5"/>
  <c r="AA471" i="5"/>
  <c r="AA472" i="5"/>
  <c r="AA473" i="5"/>
  <c r="AA474" i="5"/>
  <c r="AA475" i="5"/>
  <c r="AA476" i="5"/>
  <c r="AA477" i="5"/>
  <c r="AA89" i="5"/>
  <c r="AA91" i="5"/>
  <c r="AA92" i="5"/>
  <c r="AA93" i="5"/>
  <c r="AA95" i="5"/>
  <c r="AA96" i="5"/>
  <c r="AA97" i="5"/>
  <c r="AA98" i="5"/>
  <c r="AA99" i="5"/>
  <c r="AA100" i="5"/>
  <c r="AA188" i="5"/>
  <c r="AA189" i="5"/>
  <c r="AA190" i="5"/>
  <c r="AA191" i="5"/>
  <c r="AA192" i="5"/>
  <c r="AA194" i="5"/>
  <c r="AA195" i="5"/>
  <c r="AA196" i="5"/>
  <c r="AA197" i="5"/>
  <c r="AA198" i="5"/>
  <c r="AA199" i="5"/>
  <c r="AA287" i="5"/>
  <c r="AA288" i="5"/>
  <c r="AA290" i="5"/>
  <c r="AA291" i="5"/>
  <c r="AA292" i="5"/>
  <c r="AA294" i="5"/>
  <c r="AA295" i="5"/>
  <c r="AA296" i="5"/>
  <c r="AA297" i="5"/>
  <c r="AA298" i="5"/>
  <c r="AA386" i="5"/>
  <c r="AA388" i="5"/>
  <c r="AA389" i="5"/>
  <c r="AA390" i="5"/>
  <c r="AA392" i="5"/>
  <c r="AA394" i="5"/>
  <c r="AA395" i="5"/>
  <c r="AA396" i="5"/>
  <c r="AA397" i="5"/>
  <c r="AA485" i="5"/>
  <c r="AA486" i="5"/>
  <c r="AA487" i="5"/>
  <c r="AA488" i="5"/>
  <c r="AA489" i="5"/>
  <c r="AA490" i="5"/>
  <c r="AA491" i="5"/>
  <c r="AA492" i="5"/>
  <c r="AA493" i="5"/>
  <c r="AA494" i="5"/>
  <c r="AA495" i="5"/>
  <c r="AA496" i="5"/>
  <c r="AA13" i="5"/>
  <c r="AA14" i="5"/>
  <c r="AA16" i="5"/>
  <c r="AA17" i="5"/>
  <c r="AA18" i="5"/>
  <c r="AA21" i="5"/>
  <c r="AA22" i="5"/>
  <c r="AA23" i="5"/>
  <c r="AA27" i="5"/>
  <c r="AA28" i="5"/>
  <c r="AA29" i="5"/>
  <c r="AA30" i="5"/>
  <c r="Z39" i="5"/>
  <c r="Z40" i="5"/>
  <c r="Z42" i="5"/>
  <c r="Z43" i="5"/>
  <c r="Z44" i="5"/>
  <c r="Z46" i="5"/>
  <c r="Z47" i="5"/>
  <c r="Z48" i="5"/>
  <c r="Z49" i="5"/>
  <c r="Z137" i="5"/>
  <c r="Z141" i="5"/>
  <c r="Z142" i="5"/>
  <c r="Z143" i="5"/>
  <c r="Z144" i="5"/>
  <c r="Z145" i="5"/>
  <c r="Z146" i="5"/>
  <c r="Z147" i="5"/>
  <c r="Z148" i="5"/>
  <c r="Z236" i="5"/>
  <c r="Z237" i="5"/>
  <c r="Z239" i="5"/>
  <c r="Z240" i="5"/>
  <c r="Z241" i="5"/>
  <c r="Z242" i="5"/>
  <c r="Z243" i="5"/>
  <c r="Z244" i="5"/>
  <c r="Z245" i="5"/>
  <c r="Z246" i="5"/>
  <c r="Z247" i="5"/>
  <c r="Z335" i="5"/>
  <c r="Z338" i="5"/>
  <c r="Z340" i="5"/>
  <c r="Z342" i="5"/>
  <c r="Z343" i="5"/>
  <c r="Z344" i="5"/>
  <c r="Z346" i="5"/>
  <c r="Z434" i="5"/>
  <c r="Z437" i="5"/>
  <c r="Z438" i="5"/>
  <c r="Z439" i="5"/>
  <c r="Z440" i="5"/>
  <c r="Z441" i="5"/>
  <c r="Z442" i="5"/>
  <c r="Z443" i="5"/>
  <c r="Z444" i="5"/>
  <c r="Z445" i="5"/>
  <c r="Z57" i="5"/>
  <c r="Z58" i="5"/>
  <c r="Z59" i="5"/>
  <c r="Z63" i="5"/>
  <c r="Z64" i="5"/>
  <c r="Z65" i="5"/>
  <c r="Z66" i="5"/>
  <c r="Z67" i="5"/>
  <c r="Z68" i="5"/>
  <c r="Z69" i="5"/>
  <c r="Z70" i="5"/>
  <c r="Z72" i="5"/>
  <c r="Z73" i="5"/>
  <c r="Z74" i="5"/>
  <c r="Z75" i="5"/>
  <c r="Z76" i="5"/>
  <c r="Z77" i="5"/>
  <c r="Z79" i="5"/>
  <c r="Z80" i="5"/>
  <c r="Z81" i="5"/>
  <c r="Z157" i="5"/>
  <c r="Z158" i="5"/>
  <c r="Z160" i="5"/>
  <c r="Z161" i="5"/>
  <c r="Z163" i="5"/>
  <c r="Z165" i="5"/>
  <c r="Z166" i="5"/>
  <c r="Z167" i="5"/>
  <c r="Z168" i="5"/>
  <c r="Z169" i="5"/>
  <c r="Z172" i="5"/>
  <c r="Z173" i="5"/>
  <c r="Z174" i="5"/>
  <c r="Z175" i="5"/>
  <c r="Z179" i="5"/>
  <c r="Z180" i="5"/>
  <c r="Z258" i="5"/>
  <c r="Z259" i="5"/>
  <c r="Z261" i="5"/>
  <c r="Z267" i="5"/>
  <c r="Z269" i="5"/>
  <c r="Z272" i="5"/>
  <c r="Z273" i="5"/>
  <c r="Z274" i="5"/>
  <c r="Z275" i="5"/>
  <c r="Z276" i="5"/>
  <c r="Z277" i="5"/>
  <c r="Z279" i="5"/>
  <c r="Z355" i="5"/>
  <c r="Z356" i="5"/>
  <c r="Z357" i="5"/>
  <c r="Z360" i="5"/>
  <c r="Z363" i="5"/>
  <c r="Z366" i="5"/>
  <c r="Z371" i="5"/>
  <c r="Z372" i="5"/>
  <c r="Z374" i="5"/>
  <c r="Z375" i="5"/>
  <c r="Z376" i="5"/>
  <c r="Z377" i="5"/>
  <c r="Z378" i="5"/>
  <c r="Z454" i="5"/>
  <c r="Z456" i="5"/>
  <c r="Z457" i="5"/>
  <c r="Z460" i="5"/>
  <c r="Z461" i="5"/>
  <c r="Z463" i="5"/>
  <c r="Z464" i="5"/>
  <c r="Z466" i="5"/>
  <c r="Z468" i="5"/>
  <c r="Z469" i="5"/>
  <c r="Z470" i="5"/>
  <c r="Z471" i="5"/>
  <c r="Z472" i="5"/>
  <c r="Z473" i="5"/>
  <c r="Z474" i="5"/>
  <c r="Z475" i="5"/>
  <c r="Z476" i="5"/>
  <c r="Z477" i="5"/>
  <c r="Z91" i="5"/>
  <c r="Z92" i="5"/>
  <c r="Z93" i="5"/>
  <c r="Z95" i="5"/>
  <c r="Z96" i="5"/>
  <c r="Z97" i="5"/>
  <c r="Z98" i="5"/>
  <c r="Z99" i="5"/>
  <c r="Z100" i="5"/>
  <c r="Z188" i="5"/>
  <c r="Z189" i="5"/>
  <c r="Z190" i="5"/>
  <c r="Z191" i="5"/>
  <c r="Z192" i="5"/>
  <c r="Z194" i="5"/>
  <c r="Z195" i="5"/>
  <c r="Z196" i="5"/>
  <c r="Z197" i="5"/>
  <c r="Z198" i="5"/>
  <c r="Z199" i="5"/>
  <c r="Z287" i="5"/>
  <c r="Z288" i="5"/>
  <c r="Z290" i="5"/>
  <c r="Z291" i="5"/>
  <c r="Z292" i="5"/>
  <c r="Z294" i="5"/>
  <c r="Z295" i="5"/>
  <c r="Z296" i="5"/>
  <c r="Z297" i="5"/>
  <c r="Z298" i="5"/>
  <c r="Z388" i="5"/>
  <c r="Z389" i="5"/>
  <c r="Z390" i="5"/>
  <c r="Z392" i="5"/>
  <c r="Z394" i="5"/>
  <c r="Z395" i="5"/>
  <c r="Z396" i="5"/>
  <c r="Z397" i="5"/>
  <c r="Z485" i="5"/>
  <c r="Z486" i="5"/>
  <c r="Z487" i="5"/>
  <c r="Z488" i="5"/>
  <c r="Z489" i="5"/>
  <c r="Z490" i="5"/>
  <c r="Z491" i="5"/>
  <c r="Z492" i="5"/>
  <c r="Z493" i="5"/>
  <c r="Z494" i="5"/>
  <c r="Z495" i="5"/>
  <c r="Z496" i="5"/>
  <c r="Z13" i="5"/>
  <c r="Z14" i="5"/>
  <c r="Z16" i="5"/>
  <c r="Z17" i="5"/>
  <c r="Z18" i="5"/>
  <c r="Z21" i="5"/>
  <c r="Z22" i="5"/>
  <c r="Z23" i="5"/>
  <c r="Z26" i="5"/>
  <c r="Z27" i="5"/>
  <c r="Z28" i="5"/>
  <c r="Z29" i="5"/>
  <c r="Z30" i="5"/>
  <c r="Y38" i="5"/>
  <c r="Y40" i="5"/>
  <c r="Y42" i="5"/>
  <c r="Y43" i="5"/>
  <c r="Y44" i="5"/>
  <c r="Y46" i="5"/>
  <c r="Y47" i="5"/>
  <c r="Y48" i="5"/>
  <c r="Y49" i="5"/>
  <c r="Y137" i="5"/>
  <c r="Y141" i="5"/>
  <c r="Y142" i="5"/>
  <c r="Y143" i="5"/>
  <c r="Y144" i="5"/>
  <c r="Y145" i="5"/>
  <c r="Y146" i="5"/>
  <c r="Y147" i="5"/>
  <c r="Y148" i="5"/>
  <c r="Y236" i="5"/>
  <c r="Y237" i="5"/>
  <c r="Y239" i="5"/>
  <c r="Y240" i="5"/>
  <c r="Y241" i="5"/>
  <c r="Y242" i="5"/>
  <c r="Y243" i="5"/>
  <c r="Y244" i="5"/>
  <c r="Y245" i="5"/>
  <c r="Y246" i="5"/>
  <c r="Y247" i="5"/>
  <c r="Y335" i="5"/>
  <c r="Y338" i="5"/>
  <c r="Y340" i="5"/>
  <c r="Y342" i="5"/>
  <c r="Y343" i="5"/>
  <c r="Y344" i="5"/>
  <c r="Y346" i="5"/>
  <c r="Y434" i="5"/>
  <c r="Y437" i="5"/>
  <c r="Y438" i="5"/>
  <c r="Y439" i="5"/>
  <c r="Y440" i="5"/>
  <c r="Y441" i="5"/>
  <c r="Y442" i="5"/>
  <c r="Y443" i="5"/>
  <c r="Y444" i="5"/>
  <c r="Y445" i="5"/>
  <c r="Y57" i="5"/>
  <c r="Y58" i="5"/>
  <c r="Y59" i="5"/>
  <c r="Y63" i="5"/>
  <c r="Y64" i="5"/>
  <c r="Y65" i="5"/>
  <c r="Y66" i="5"/>
  <c r="Y67" i="5"/>
  <c r="Y68" i="5"/>
  <c r="Y69" i="5"/>
  <c r="Y70" i="5"/>
  <c r="Y71" i="5"/>
  <c r="Y72" i="5"/>
  <c r="Y73" i="5"/>
  <c r="Y74" i="5"/>
  <c r="Y75" i="5"/>
  <c r="Y76" i="5"/>
  <c r="Y77" i="5"/>
  <c r="Y79" i="5"/>
  <c r="Y80" i="5"/>
  <c r="Y81" i="5"/>
  <c r="Y157" i="5"/>
  <c r="Y158" i="5"/>
  <c r="Y160" i="5"/>
  <c r="Y161" i="5"/>
  <c r="Y163" i="5"/>
  <c r="Y165" i="5"/>
  <c r="Y166" i="5"/>
  <c r="Y167" i="5"/>
  <c r="Y168" i="5"/>
  <c r="Y172" i="5"/>
  <c r="Y173" i="5"/>
  <c r="Y174" i="5"/>
  <c r="Y175" i="5"/>
  <c r="Y179" i="5"/>
  <c r="Y180" i="5"/>
  <c r="Y258" i="5"/>
  <c r="Y259" i="5"/>
  <c r="Y261" i="5"/>
  <c r="Y267" i="5"/>
  <c r="Y269" i="5"/>
  <c r="Y272" i="5"/>
  <c r="Y273" i="5"/>
  <c r="Y274" i="5"/>
  <c r="Y275" i="5"/>
  <c r="Y276" i="5"/>
  <c r="Y279" i="5"/>
  <c r="Y355" i="5"/>
  <c r="Y356" i="5"/>
  <c r="Y357" i="5"/>
  <c r="Y360" i="5"/>
  <c r="Y363" i="5"/>
  <c r="Y366" i="5"/>
  <c r="Y371" i="5"/>
  <c r="Y373" i="5"/>
  <c r="Y374" i="5"/>
  <c r="Y375" i="5"/>
  <c r="Y376" i="5"/>
  <c r="Y377" i="5"/>
  <c r="Y378" i="5"/>
  <c r="Y454" i="5"/>
  <c r="Y456" i="5"/>
  <c r="Y457" i="5"/>
  <c r="Y458" i="5"/>
  <c r="Y460" i="5"/>
  <c r="Y461" i="5"/>
  <c r="Y463" i="5"/>
  <c r="Y464" i="5"/>
  <c r="Y466" i="5"/>
  <c r="Y468" i="5"/>
  <c r="Y469" i="5"/>
  <c r="Y470" i="5"/>
  <c r="Y471" i="5"/>
  <c r="Y472" i="5"/>
  <c r="Y473" i="5"/>
  <c r="Y474" i="5"/>
  <c r="Y475" i="5"/>
  <c r="Y476" i="5"/>
  <c r="Y477" i="5"/>
  <c r="Y91" i="5"/>
  <c r="Y92" i="5"/>
  <c r="Y93" i="5"/>
  <c r="Y94" i="5"/>
  <c r="Y95" i="5"/>
  <c r="Y96" i="5"/>
  <c r="Y97" i="5"/>
  <c r="Y98" i="5"/>
  <c r="Y99" i="5"/>
  <c r="Y100" i="5"/>
  <c r="Y188" i="5"/>
  <c r="Y189" i="5"/>
  <c r="Y190" i="5"/>
  <c r="Y191" i="5"/>
  <c r="Y192" i="5"/>
  <c r="Y194" i="5"/>
  <c r="Y195" i="5"/>
  <c r="Y196" i="5"/>
  <c r="Y197" i="5"/>
  <c r="Y198" i="5"/>
  <c r="Y199" i="5"/>
  <c r="Y287" i="5"/>
  <c r="Y288" i="5"/>
  <c r="Y290" i="5"/>
  <c r="Y291" i="5"/>
  <c r="Y292" i="5"/>
  <c r="Y293" i="5"/>
  <c r="Y294" i="5"/>
  <c r="Y295" i="5"/>
  <c r="Y296" i="5"/>
  <c r="Y297" i="5"/>
  <c r="Y298" i="5"/>
  <c r="Y388" i="5"/>
  <c r="Y389" i="5"/>
  <c r="Y390" i="5"/>
  <c r="Y392" i="5"/>
  <c r="Y394" i="5"/>
  <c r="Y395" i="5"/>
  <c r="Y396" i="5"/>
  <c r="Y397" i="5"/>
  <c r="Y485" i="5"/>
  <c r="Y486" i="5"/>
  <c r="Y487" i="5"/>
  <c r="Y488" i="5"/>
  <c r="Y489" i="5"/>
  <c r="Y490" i="5"/>
  <c r="Y491" i="5"/>
  <c r="Y492" i="5"/>
  <c r="Y493" i="5"/>
  <c r="Y494" i="5"/>
  <c r="Y495" i="5"/>
  <c r="Y496" i="5"/>
  <c r="R485" i="5"/>
  <c r="S485" i="5" s="1"/>
  <c r="R486" i="5"/>
  <c r="R487" i="5"/>
  <c r="R488" i="5"/>
  <c r="AV488" i="5" s="1"/>
  <c r="R489" i="5"/>
  <c r="R490" i="5"/>
  <c r="AV490" i="5" s="1"/>
  <c r="R491" i="5"/>
  <c r="AV491" i="5" s="1"/>
  <c r="R492" i="5"/>
  <c r="AV492" i="5" s="1"/>
  <c r="R493" i="5"/>
  <c r="R494" i="5"/>
  <c r="AV494" i="5" s="1"/>
  <c r="R495" i="5"/>
  <c r="AV495" i="5" s="1"/>
  <c r="R496" i="5"/>
  <c r="R388" i="5"/>
  <c r="R389" i="5"/>
  <c r="AV389" i="5" s="1"/>
  <c r="R390" i="5"/>
  <c r="R392" i="5"/>
  <c r="R394" i="5"/>
  <c r="R395" i="5"/>
  <c r="R396" i="5"/>
  <c r="R397" i="5"/>
  <c r="R287" i="5"/>
  <c r="R288" i="5"/>
  <c r="R290" i="5"/>
  <c r="R291" i="5"/>
  <c r="R292" i="5"/>
  <c r="R294" i="5"/>
  <c r="R295" i="5"/>
  <c r="AV295" i="5" s="1"/>
  <c r="R296" i="5"/>
  <c r="AV296" i="5" s="1"/>
  <c r="R297" i="5"/>
  <c r="R298" i="5"/>
  <c r="R188" i="5"/>
  <c r="R189" i="5"/>
  <c r="R190" i="5"/>
  <c r="R191" i="5"/>
  <c r="R192" i="5"/>
  <c r="R193" i="5"/>
  <c r="R194" i="5"/>
  <c r="R195" i="5"/>
  <c r="S195" i="5" s="1"/>
  <c r="R196" i="5"/>
  <c r="R197" i="5"/>
  <c r="R198" i="5"/>
  <c r="R199" i="5"/>
  <c r="R89" i="5"/>
  <c r="R91" i="5"/>
  <c r="R92" i="5"/>
  <c r="S92" i="5" s="1"/>
  <c r="R93" i="5"/>
  <c r="R95" i="5"/>
  <c r="R96" i="5"/>
  <c r="R97" i="5"/>
  <c r="R98" i="5"/>
  <c r="R99" i="5"/>
  <c r="R100" i="5"/>
  <c r="R454" i="5"/>
  <c r="R456" i="5"/>
  <c r="R457" i="5"/>
  <c r="R460" i="5"/>
  <c r="R461" i="5"/>
  <c r="R462" i="5"/>
  <c r="R463" i="5"/>
  <c r="R464" i="5"/>
  <c r="R466" i="5"/>
  <c r="R467" i="5"/>
  <c r="R468" i="5"/>
  <c r="R469" i="5"/>
  <c r="R470" i="5"/>
  <c r="R471" i="5"/>
  <c r="R472" i="5"/>
  <c r="R473" i="5"/>
  <c r="R474" i="5"/>
  <c r="S474" i="5" s="1"/>
  <c r="R475" i="5"/>
  <c r="S475" i="5" s="1"/>
  <c r="R476" i="5"/>
  <c r="BR476" i="5" s="1"/>
  <c r="R477" i="5"/>
  <c r="S477" i="5" s="1"/>
  <c r="R355" i="5"/>
  <c r="R356" i="5"/>
  <c r="R357" i="5"/>
  <c r="R360" i="5"/>
  <c r="R363" i="5"/>
  <c r="R370" i="5"/>
  <c r="R371" i="5"/>
  <c r="R372" i="5"/>
  <c r="R374" i="5"/>
  <c r="R375" i="5"/>
  <c r="R376" i="5"/>
  <c r="R377" i="5"/>
  <c r="R378" i="5"/>
  <c r="R258" i="5"/>
  <c r="R259" i="5"/>
  <c r="R261" i="5"/>
  <c r="R267" i="5"/>
  <c r="R269" i="5"/>
  <c r="R272" i="5"/>
  <c r="R273" i="5"/>
  <c r="R274" i="5"/>
  <c r="R275" i="5"/>
  <c r="R276" i="5"/>
  <c r="R279" i="5"/>
  <c r="R157" i="5"/>
  <c r="R158" i="5"/>
  <c r="R160" i="5"/>
  <c r="R161" i="5"/>
  <c r="R165" i="5"/>
  <c r="S165" i="5" s="1"/>
  <c r="R166" i="5"/>
  <c r="S166" i="5" s="1"/>
  <c r="R167" i="5"/>
  <c r="R168" i="5"/>
  <c r="R172" i="5"/>
  <c r="S172" i="5" s="1"/>
  <c r="R173" i="5"/>
  <c r="S173" i="5" s="1"/>
  <c r="R174" i="5"/>
  <c r="R175" i="5"/>
  <c r="S175" i="5" s="1"/>
  <c r="R176" i="5"/>
  <c r="R178" i="5"/>
  <c r="R179" i="5"/>
  <c r="R180" i="5"/>
  <c r="R57" i="5"/>
  <c r="R58" i="5"/>
  <c r="R59" i="5"/>
  <c r="R63" i="5"/>
  <c r="R64" i="5"/>
  <c r="R65" i="5"/>
  <c r="R66" i="5"/>
  <c r="R67" i="5"/>
  <c r="R68" i="5"/>
  <c r="R69" i="5"/>
  <c r="R70" i="5"/>
  <c r="R72" i="5"/>
  <c r="S72" i="5" s="1"/>
  <c r="R73" i="5"/>
  <c r="R74" i="5"/>
  <c r="R75" i="5"/>
  <c r="R76" i="5"/>
  <c r="S76" i="5" s="1"/>
  <c r="R77" i="5"/>
  <c r="R79" i="5"/>
  <c r="S79" i="5" s="1"/>
  <c r="R80" i="5"/>
  <c r="R81" i="5"/>
  <c r="R434" i="5"/>
  <c r="R437" i="5"/>
  <c r="R438" i="5"/>
  <c r="R439" i="5"/>
  <c r="R440" i="5"/>
  <c r="R441" i="5"/>
  <c r="R442" i="5"/>
  <c r="R443" i="5"/>
  <c r="S443" i="5" s="1"/>
  <c r="R444" i="5"/>
  <c r="R445" i="5"/>
  <c r="AV445" i="5" s="1"/>
  <c r="R335" i="5"/>
  <c r="R337" i="5"/>
  <c r="R338" i="5"/>
  <c r="S338" i="5" s="1"/>
  <c r="R340" i="5"/>
  <c r="R342" i="5"/>
  <c r="R343" i="5"/>
  <c r="R344" i="5"/>
  <c r="R346" i="5"/>
  <c r="R236" i="5"/>
  <c r="R237" i="5"/>
  <c r="R239" i="5"/>
  <c r="R240" i="5"/>
  <c r="R241" i="5"/>
  <c r="R242" i="5"/>
  <c r="S242" i="5" s="1"/>
  <c r="R243" i="5"/>
  <c r="R244" i="5"/>
  <c r="R245" i="5"/>
  <c r="R246" i="5"/>
  <c r="R247" i="5"/>
  <c r="R137" i="5"/>
  <c r="R141" i="5"/>
  <c r="R142" i="5"/>
  <c r="S142" i="5" s="1"/>
  <c r="R143" i="5"/>
  <c r="R144" i="5"/>
  <c r="S144" i="5" s="1"/>
  <c r="R145" i="5"/>
  <c r="R146" i="5"/>
  <c r="R147" i="5"/>
  <c r="R148" i="5"/>
  <c r="S148" i="5" s="1"/>
  <c r="R40" i="5"/>
  <c r="R42" i="5"/>
  <c r="R43" i="5"/>
  <c r="R44" i="5"/>
  <c r="R46" i="5"/>
  <c r="R47" i="5"/>
  <c r="AV47" i="5" s="1"/>
  <c r="R48" i="5"/>
  <c r="R49" i="5"/>
  <c r="BR49" i="5" s="1"/>
  <c r="R407" i="5"/>
  <c r="R409" i="5"/>
  <c r="R410" i="5"/>
  <c r="R411" i="5"/>
  <c r="R412" i="5"/>
  <c r="R413" i="5"/>
  <c r="R414" i="5"/>
  <c r="R415" i="5"/>
  <c r="R416" i="5"/>
  <c r="R417" i="5"/>
  <c r="R418" i="5"/>
  <c r="AX418" i="5" s="1"/>
  <c r="R419" i="5"/>
  <c r="S419" i="5" s="1"/>
  <c r="R420" i="5"/>
  <c r="R421" i="5"/>
  <c r="R422" i="5"/>
  <c r="R423" i="5"/>
  <c r="S423" i="5" s="1"/>
  <c r="R424" i="5"/>
  <c r="R425" i="5"/>
  <c r="S425" i="5" s="1"/>
  <c r="R426" i="5"/>
  <c r="R308" i="5"/>
  <c r="R310" i="5"/>
  <c r="S310" i="5" s="1"/>
  <c r="R311" i="5"/>
  <c r="R313" i="5"/>
  <c r="R314" i="5"/>
  <c r="R315" i="5"/>
  <c r="R316" i="5"/>
  <c r="R318" i="5"/>
  <c r="AV318" i="5" s="1"/>
  <c r="R319" i="5"/>
  <c r="S319" i="5" s="1"/>
  <c r="R320" i="5"/>
  <c r="R321" i="5"/>
  <c r="R322" i="5"/>
  <c r="R323" i="5"/>
  <c r="R324" i="5"/>
  <c r="R325" i="5"/>
  <c r="R326" i="5"/>
  <c r="R211" i="5"/>
  <c r="R212" i="5"/>
  <c r="R213" i="5"/>
  <c r="R214" i="5"/>
  <c r="S214" i="5" s="1"/>
  <c r="R215" i="5"/>
  <c r="R218" i="5"/>
  <c r="S218" i="5" s="1"/>
  <c r="R219" i="5"/>
  <c r="R220" i="5"/>
  <c r="R221" i="5"/>
  <c r="S221" i="5" s="1"/>
  <c r="R223" i="5"/>
  <c r="R224" i="5"/>
  <c r="R225" i="5"/>
  <c r="R226" i="5"/>
  <c r="R227" i="5"/>
  <c r="R228" i="5"/>
  <c r="R111" i="5"/>
  <c r="S111" i="5" s="1"/>
  <c r="R112" i="5"/>
  <c r="R113" i="5"/>
  <c r="S113" i="5" s="1"/>
  <c r="R114" i="5"/>
  <c r="R115" i="5"/>
  <c r="R116" i="5"/>
  <c r="R117" i="5"/>
  <c r="R118" i="5"/>
  <c r="R119" i="5"/>
  <c r="S119" i="5" s="1"/>
  <c r="R120" i="5"/>
  <c r="R121" i="5"/>
  <c r="R122" i="5"/>
  <c r="R123" i="5"/>
  <c r="S123" i="5" s="1"/>
  <c r="R124" i="5"/>
  <c r="R125" i="5"/>
  <c r="R126" i="5"/>
  <c r="R127" i="5"/>
  <c r="S127" i="5" s="1"/>
  <c r="R128" i="5"/>
  <c r="S128" i="5" s="1"/>
  <c r="R13" i="5"/>
  <c r="R14" i="5"/>
  <c r="R16" i="5"/>
  <c r="R17" i="5"/>
  <c r="R18" i="5"/>
  <c r="R21" i="5"/>
  <c r="R22" i="5"/>
  <c r="R23" i="5"/>
  <c r="R27" i="5"/>
  <c r="R28" i="5"/>
  <c r="R29" i="5"/>
  <c r="R30" i="5"/>
  <c r="AS407" i="5"/>
  <c r="AS409" i="5"/>
  <c r="AS410" i="5"/>
  <c r="AS411" i="5"/>
  <c r="AS412" i="5"/>
  <c r="AS413" i="5"/>
  <c r="AS414" i="5"/>
  <c r="AS415" i="5"/>
  <c r="AS416" i="5"/>
  <c r="AS417" i="5"/>
  <c r="AS418" i="5"/>
  <c r="AS419" i="5"/>
  <c r="AS420" i="5"/>
  <c r="AS421" i="5"/>
  <c r="AS422" i="5"/>
  <c r="AS423" i="5"/>
  <c r="AS424" i="5"/>
  <c r="AS425" i="5"/>
  <c r="AS426" i="5"/>
  <c r="AS308" i="5"/>
  <c r="AS310" i="5"/>
  <c r="AS311" i="5"/>
  <c r="AS313" i="5"/>
  <c r="AS314" i="5"/>
  <c r="AS315" i="5"/>
  <c r="AS316" i="5"/>
  <c r="AS318" i="5"/>
  <c r="AS319" i="5"/>
  <c r="AS320" i="5"/>
  <c r="AS321" i="5"/>
  <c r="AS322" i="5"/>
  <c r="AS323" i="5"/>
  <c r="AS324" i="5"/>
  <c r="AS325" i="5"/>
  <c r="AS326" i="5"/>
  <c r="AS327" i="5"/>
  <c r="AS211" i="5"/>
  <c r="AS212" i="5"/>
  <c r="AS213" i="5"/>
  <c r="AS214" i="5"/>
  <c r="AS215" i="5"/>
  <c r="AS218" i="5"/>
  <c r="AS219" i="5"/>
  <c r="AS220" i="5"/>
  <c r="AS221" i="5"/>
  <c r="AS223" i="5"/>
  <c r="AS224" i="5"/>
  <c r="AS225" i="5"/>
  <c r="AS226" i="5"/>
  <c r="AS227" i="5"/>
  <c r="AS228" i="5"/>
  <c r="AS110" i="5"/>
  <c r="AS111" i="5"/>
  <c r="AS112" i="5"/>
  <c r="AS113" i="5"/>
  <c r="AS114" i="5"/>
  <c r="AS115" i="5"/>
  <c r="AS116" i="5"/>
  <c r="AS117" i="5"/>
  <c r="AS118" i="5"/>
  <c r="AS119" i="5"/>
  <c r="AS120" i="5"/>
  <c r="AS121" i="5"/>
  <c r="AS122" i="5"/>
  <c r="AS123" i="5"/>
  <c r="AS124" i="5"/>
  <c r="AS125" i="5"/>
  <c r="AS126" i="5"/>
  <c r="AS127" i="5"/>
  <c r="AS128" i="5"/>
  <c r="AR485" i="5"/>
  <c r="AR486" i="5"/>
  <c r="AR487" i="5"/>
  <c r="AR488" i="5"/>
  <c r="AR489" i="5"/>
  <c r="BQ489" i="5" s="1"/>
  <c r="AR490" i="5"/>
  <c r="BQ490" i="5" s="1"/>
  <c r="AR491" i="5"/>
  <c r="AR492" i="5"/>
  <c r="AR493" i="5"/>
  <c r="AR494" i="5"/>
  <c r="AR495" i="5"/>
  <c r="AR496" i="5"/>
  <c r="AR386" i="5"/>
  <c r="AR388" i="5"/>
  <c r="AR389" i="5"/>
  <c r="AR390" i="5"/>
  <c r="AR392" i="5"/>
  <c r="AR394" i="5"/>
  <c r="AR395" i="5"/>
  <c r="AR396" i="5"/>
  <c r="AR397" i="5"/>
  <c r="AR287" i="5"/>
  <c r="AR288" i="5"/>
  <c r="AR290" i="5"/>
  <c r="AR291" i="5"/>
  <c r="AR292" i="5"/>
  <c r="AR293" i="5"/>
  <c r="AR294" i="5"/>
  <c r="AR295" i="5"/>
  <c r="AR296" i="5"/>
  <c r="AR297" i="5"/>
  <c r="BQ297" i="5" s="1"/>
  <c r="AR298" i="5"/>
  <c r="AR188" i="5"/>
  <c r="AR189" i="5"/>
  <c r="AR190" i="5"/>
  <c r="AR191" i="5"/>
  <c r="AR192" i="5"/>
  <c r="AR194" i="5"/>
  <c r="BQ194" i="5" s="1"/>
  <c r="AR195" i="5"/>
  <c r="AR196" i="5"/>
  <c r="BQ196" i="5" s="1"/>
  <c r="AR197" i="5"/>
  <c r="AR198" i="5"/>
  <c r="AR199" i="5"/>
  <c r="AR89" i="5"/>
  <c r="AR91" i="5"/>
  <c r="AR92" i="5"/>
  <c r="AR93" i="5"/>
  <c r="BQ93" i="5" s="1"/>
  <c r="AR95" i="5"/>
  <c r="AR96" i="5"/>
  <c r="AR97" i="5"/>
  <c r="AR98" i="5"/>
  <c r="AR99" i="5"/>
  <c r="AR100" i="5"/>
  <c r="AR453" i="5"/>
  <c r="AR454" i="5"/>
  <c r="AR456" i="5"/>
  <c r="AR457" i="5"/>
  <c r="AR458" i="5"/>
  <c r="AR460" i="5"/>
  <c r="AR461" i="5"/>
  <c r="AR462" i="5"/>
  <c r="AR463" i="5"/>
  <c r="AR464" i="5"/>
  <c r="AR466" i="5"/>
  <c r="AR468" i="5"/>
  <c r="AR469" i="5"/>
  <c r="AR470" i="5"/>
  <c r="AR471" i="5"/>
  <c r="AR472" i="5"/>
  <c r="AR473" i="5"/>
  <c r="AR474" i="5"/>
  <c r="AR475" i="5"/>
  <c r="AR476" i="5"/>
  <c r="AR477" i="5"/>
  <c r="AR355" i="5"/>
  <c r="AR356" i="5"/>
  <c r="AR360" i="5"/>
  <c r="AR361" i="5"/>
  <c r="AR363" i="5"/>
  <c r="AR366" i="5"/>
  <c r="AR371" i="5"/>
  <c r="AR374" i="5"/>
  <c r="AR375" i="5"/>
  <c r="AR376" i="5"/>
  <c r="AR377" i="5"/>
  <c r="AR378" i="5"/>
  <c r="AR258" i="5"/>
  <c r="AR259" i="5"/>
  <c r="AR261" i="5"/>
  <c r="AR267" i="5"/>
  <c r="AR269" i="5"/>
  <c r="AR272" i="5"/>
  <c r="AR273" i="5"/>
  <c r="AR274" i="5"/>
  <c r="AR275" i="5"/>
  <c r="AR276" i="5"/>
  <c r="AR279" i="5"/>
  <c r="AR157" i="5"/>
  <c r="AR158" i="5"/>
  <c r="AR160" i="5"/>
  <c r="AR161" i="5"/>
  <c r="AR165" i="5"/>
  <c r="AR166" i="5"/>
  <c r="AR167" i="5"/>
  <c r="AR168" i="5"/>
  <c r="AR172" i="5"/>
  <c r="AR173" i="5"/>
  <c r="AR174" i="5"/>
  <c r="AR175" i="5"/>
  <c r="AR176" i="5"/>
  <c r="AR179" i="5"/>
  <c r="AR180" i="5"/>
  <c r="AR57" i="5"/>
  <c r="AR58" i="5"/>
  <c r="AR59" i="5"/>
  <c r="AR60" i="5"/>
  <c r="AR63" i="5"/>
  <c r="AR64" i="5"/>
  <c r="AR65" i="5"/>
  <c r="AR66" i="5"/>
  <c r="AR67" i="5"/>
  <c r="AR68" i="5"/>
  <c r="AR69" i="5"/>
  <c r="AR70" i="5"/>
  <c r="AR72" i="5"/>
  <c r="AR73" i="5"/>
  <c r="AR74" i="5"/>
  <c r="AR75" i="5"/>
  <c r="AR76" i="5"/>
  <c r="AR77" i="5"/>
  <c r="AR79" i="5"/>
  <c r="AR80" i="5"/>
  <c r="AR81" i="5"/>
  <c r="AR434" i="5"/>
  <c r="AR437" i="5"/>
  <c r="AR438" i="5"/>
  <c r="AR439" i="5"/>
  <c r="AR440" i="5"/>
  <c r="AR441" i="5"/>
  <c r="AR442" i="5"/>
  <c r="AR443" i="5"/>
  <c r="AR444" i="5"/>
  <c r="AR445" i="5"/>
  <c r="AR335" i="5"/>
  <c r="AR336" i="5"/>
  <c r="AR338" i="5"/>
  <c r="AR340" i="5"/>
  <c r="AR342" i="5"/>
  <c r="AR343" i="5"/>
  <c r="AR344" i="5"/>
  <c r="AR346" i="5"/>
  <c r="AR236" i="5"/>
  <c r="AR237" i="5"/>
  <c r="AR239" i="5"/>
  <c r="AR240" i="5"/>
  <c r="AR241" i="5"/>
  <c r="AR242" i="5"/>
  <c r="AR243" i="5"/>
  <c r="AR244" i="5"/>
  <c r="AR245" i="5"/>
  <c r="AR246" i="5"/>
  <c r="AR247" i="5"/>
  <c r="AR137" i="5"/>
  <c r="AR141" i="5"/>
  <c r="AR142" i="5"/>
  <c r="AR143" i="5"/>
  <c r="AR144" i="5"/>
  <c r="AR145" i="5"/>
  <c r="AR146" i="5"/>
  <c r="AR147" i="5"/>
  <c r="AR148" i="5"/>
  <c r="AR38" i="5"/>
  <c r="AR40" i="5"/>
  <c r="AR42" i="5"/>
  <c r="AR43" i="5"/>
  <c r="AR44" i="5"/>
  <c r="AR45" i="5"/>
  <c r="AR46" i="5"/>
  <c r="AR47" i="5"/>
  <c r="AR48" i="5"/>
  <c r="AR49" i="5"/>
  <c r="AR407" i="5"/>
  <c r="AR409" i="5"/>
  <c r="AR410" i="5"/>
  <c r="AR411" i="5"/>
  <c r="AR412" i="5"/>
  <c r="AR413" i="5"/>
  <c r="AR414" i="5"/>
  <c r="AR415" i="5"/>
  <c r="AR416" i="5"/>
  <c r="AR417" i="5"/>
  <c r="AR418" i="5"/>
  <c r="AR419" i="5"/>
  <c r="AR420" i="5"/>
  <c r="AR421" i="5"/>
  <c r="AR422" i="5"/>
  <c r="AR423" i="5"/>
  <c r="AR424" i="5"/>
  <c r="AR425" i="5"/>
  <c r="AR426" i="5"/>
  <c r="AR308" i="5"/>
  <c r="AR310" i="5"/>
  <c r="AR311" i="5"/>
  <c r="AR312" i="5"/>
  <c r="AR313" i="5"/>
  <c r="AR314" i="5"/>
  <c r="AR315" i="5"/>
  <c r="AR316" i="5"/>
  <c r="AR318" i="5"/>
  <c r="AR319" i="5"/>
  <c r="AR320" i="5"/>
  <c r="AR321" i="5"/>
  <c r="AR322" i="5"/>
  <c r="AR323" i="5"/>
  <c r="AR324" i="5"/>
  <c r="AR325" i="5"/>
  <c r="AR326" i="5"/>
  <c r="AR211" i="5"/>
  <c r="AR212" i="5"/>
  <c r="AR213" i="5"/>
  <c r="AR214" i="5"/>
  <c r="AR215" i="5"/>
  <c r="AR217" i="5"/>
  <c r="AR218" i="5"/>
  <c r="AR219" i="5"/>
  <c r="AR221" i="5"/>
  <c r="AR223" i="5"/>
  <c r="AR224" i="5"/>
  <c r="AR225" i="5"/>
  <c r="AR226" i="5"/>
  <c r="AR227" i="5"/>
  <c r="AR228" i="5"/>
  <c r="AR110" i="5"/>
  <c r="AR111" i="5"/>
  <c r="AR112" i="5"/>
  <c r="AR113" i="5"/>
  <c r="AR114" i="5"/>
  <c r="AR115" i="5"/>
  <c r="AR116" i="5"/>
  <c r="AR117" i="5"/>
  <c r="AR118" i="5"/>
  <c r="AR120" i="5"/>
  <c r="AR121" i="5"/>
  <c r="AR122" i="5"/>
  <c r="AR123" i="5"/>
  <c r="AR124" i="5"/>
  <c r="AR125" i="5"/>
  <c r="AR126" i="5"/>
  <c r="AR127" i="5"/>
  <c r="AR128" i="5"/>
  <c r="AR13" i="5"/>
  <c r="AR14" i="5"/>
  <c r="AR16" i="5"/>
  <c r="AR17" i="5"/>
  <c r="AR18" i="5"/>
  <c r="AR21" i="5"/>
  <c r="AR22" i="5"/>
  <c r="AR23" i="5"/>
  <c r="AR27" i="5"/>
  <c r="AR28" i="5"/>
  <c r="AR29" i="5"/>
  <c r="AR30" i="5"/>
  <c r="AQ407" i="5"/>
  <c r="AQ409" i="5"/>
  <c r="AQ410" i="5"/>
  <c r="AQ411" i="5"/>
  <c r="AQ412" i="5"/>
  <c r="AQ413" i="5"/>
  <c r="AQ414" i="5"/>
  <c r="AQ415" i="5"/>
  <c r="AQ416" i="5"/>
  <c r="AQ417" i="5"/>
  <c r="AQ418" i="5"/>
  <c r="AQ419" i="5"/>
  <c r="AQ420" i="5"/>
  <c r="AQ421" i="5"/>
  <c r="AQ422" i="5"/>
  <c r="AQ423" i="5"/>
  <c r="AQ424" i="5"/>
  <c r="AQ425" i="5"/>
  <c r="AQ426" i="5"/>
  <c r="AQ308" i="5"/>
  <c r="AQ310" i="5"/>
  <c r="AQ311" i="5"/>
  <c r="AQ313" i="5"/>
  <c r="AQ314" i="5"/>
  <c r="AQ315" i="5"/>
  <c r="AQ316" i="5"/>
  <c r="AQ318" i="5"/>
  <c r="AQ319" i="5"/>
  <c r="AQ320" i="5"/>
  <c r="AQ321" i="5"/>
  <c r="AQ322" i="5"/>
  <c r="AQ323" i="5"/>
  <c r="AQ324" i="5"/>
  <c r="AQ325" i="5"/>
  <c r="AQ326" i="5"/>
  <c r="AQ211" i="5"/>
  <c r="AQ212" i="5"/>
  <c r="AQ213" i="5"/>
  <c r="AQ214" i="5"/>
  <c r="AQ215" i="5"/>
  <c r="AQ218" i="5"/>
  <c r="AQ219" i="5"/>
  <c r="AQ220" i="5"/>
  <c r="AQ221" i="5"/>
  <c r="AQ223" i="5"/>
  <c r="AQ224" i="5"/>
  <c r="AQ225" i="5"/>
  <c r="AQ226" i="5"/>
  <c r="AQ227" i="5"/>
  <c r="AQ228" i="5"/>
  <c r="AQ110" i="5"/>
  <c r="AQ111" i="5"/>
  <c r="AQ112" i="5"/>
  <c r="AQ113" i="5"/>
  <c r="AQ114" i="5"/>
  <c r="AQ115" i="5"/>
  <c r="AQ116" i="5"/>
  <c r="AQ117" i="5"/>
  <c r="AQ118" i="5"/>
  <c r="AQ119" i="5"/>
  <c r="AQ120" i="5"/>
  <c r="AQ121" i="5"/>
  <c r="AQ122" i="5"/>
  <c r="AQ123" i="5"/>
  <c r="AQ124" i="5"/>
  <c r="AQ125" i="5"/>
  <c r="AQ126" i="5"/>
  <c r="AQ127" i="5"/>
  <c r="AQ128" i="5"/>
  <c r="AP407" i="5"/>
  <c r="AP409" i="5"/>
  <c r="AP410" i="5"/>
  <c r="AP411" i="5"/>
  <c r="AP412" i="5"/>
  <c r="AP413" i="5"/>
  <c r="AP414" i="5"/>
  <c r="AP415" i="5"/>
  <c r="AP416" i="5"/>
  <c r="AP417" i="5"/>
  <c r="AP418" i="5"/>
  <c r="AP419" i="5"/>
  <c r="AP420" i="5"/>
  <c r="AP421" i="5"/>
  <c r="AP422" i="5"/>
  <c r="AP423" i="5"/>
  <c r="AP424" i="5"/>
  <c r="AP425" i="5"/>
  <c r="AP426" i="5"/>
  <c r="AP308" i="5"/>
  <c r="AP310" i="5"/>
  <c r="AP311" i="5"/>
  <c r="AP313" i="5"/>
  <c r="AP314" i="5"/>
  <c r="AP315" i="5"/>
  <c r="AP316" i="5"/>
  <c r="AP318" i="5"/>
  <c r="AP319" i="5"/>
  <c r="AP320" i="5"/>
  <c r="AP321" i="5"/>
  <c r="AP322" i="5"/>
  <c r="AP323" i="5"/>
  <c r="AP324" i="5"/>
  <c r="AP325" i="5"/>
  <c r="AP326" i="5"/>
  <c r="AP211" i="5"/>
  <c r="AP212" i="5"/>
  <c r="AP213" i="5"/>
  <c r="AP214" i="5"/>
  <c r="AP215" i="5"/>
  <c r="AP218" i="5"/>
  <c r="AP219" i="5"/>
  <c r="AP220" i="5"/>
  <c r="AP221" i="5"/>
  <c r="AP223" i="5"/>
  <c r="AP224" i="5"/>
  <c r="AP225" i="5"/>
  <c r="AP226" i="5"/>
  <c r="AP227" i="5"/>
  <c r="AP228" i="5"/>
  <c r="AP110" i="5"/>
  <c r="AP111" i="5"/>
  <c r="AP112" i="5"/>
  <c r="AP113" i="5"/>
  <c r="AP114" i="5"/>
  <c r="AP115" i="5"/>
  <c r="AP116" i="5"/>
  <c r="AP117" i="5"/>
  <c r="AP118" i="5"/>
  <c r="AP119" i="5"/>
  <c r="AP120" i="5"/>
  <c r="AP121" i="5"/>
  <c r="AP122" i="5"/>
  <c r="AP123" i="5"/>
  <c r="AP124" i="5"/>
  <c r="AP125" i="5"/>
  <c r="AP126" i="5"/>
  <c r="AP127" i="5"/>
  <c r="AP128" i="5"/>
  <c r="AO407" i="5"/>
  <c r="AO409" i="5"/>
  <c r="AO410" i="5"/>
  <c r="AO411" i="5"/>
  <c r="AO412" i="5"/>
  <c r="AO413" i="5"/>
  <c r="AO414" i="5"/>
  <c r="AO415" i="5"/>
  <c r="AO416" i="5"/>
  <c r="AO417" i="5"/>
  <c r="AO418" i="5"/>
  <c r="AO419" i="5"/>
  <c r="AO420" i="5"/>
  <c r="AO421" i="5"/>
  <c r="AO422" i="5"/>
  <c r="AO423" i="5"/>
  <c r="AO424" i="5"/>
  <c r="AO425" i="5"/>
  <c r="AO426" i="5"/>
  <c r="AO308" i="5"/>
  <c r="AO309" i="5"/>
  <c r="AO310" i="5"/>
  <c r="AO311" i="5"/>
  <c r="AO313" i="5"/>
  <c r="AO314" i="5"/>
  <c r="AO315" i="5"/>
  <c r="AO316" i="5"/>
  <c r="AO318" i="5"/>
  <c r="AO319" i="5"/>
  <c r="AO320" i="5"/>
  <c r="AO321" i="5"/>
  <c r="AO322" i="5"/>
  <c r="AO323" i="5"/>
  <c r="AO324" i="5"/>
  <c r="AO325" i="5"/>
  <c r="AO326" i="5"/>
  <c r="AO210" i="5"/>
  <c r="AO211" i="5"/>
  <c r="AO212" i="5"/>
  <c r="AO213" i="5"/>
  <c r="AO214" i="5"/>
  <c r="AO215" i="5"/>
  <c r="AO218" i="5"/>
  <c r="AO219" i="5"/>
  <c r="AO221" i="5"/>
  <c r="AO223" i="5"/>
  <c r="AO224" i="5"/>
  <c r="AO225" i="5"/>
  <c r="AO226" i="5"/>
  <c r="AO227" i="5"/>
  <c r="AO228" i="5"/>
  <c r="AO110" i="5"/>
  <c r="AO111" i="5"/>
  <c r="AO112" i="5"/>
  <c r="AO113" i="5"/>
  <c r="AO114" i="5"/>
  <c r="AO115" i="5"/>
  <c r="AO116" i="5"/>
  <c r="AO117" i="5"/>
  <c r="AO118" i="5"/>
  <c r="AO120" i="5"/>
  <c r="AO121" i="5"/>
  <c r="AO122" i="5"/>
  <c r="AO123" i="5"/>
  <c r="AO124" i="5"/>
  <c r="AO125" i="5"/>
  <c r="AO126" i="5"/>
  <c r="AO127" i="5"/>
  <c r="AO128" i="5"/>
  <c r="AO129" i="5"/>
  <c r="AN407" i="5"/>
  <c r="AN409" i="5"/>
  <c r="AN410" i="5"/>
  <c r="AN411" i="5"/>
  <c r="AN412" i="5"/>
  <c r="AN413" i="5"/>
  <c r="AN414" i="5"/>
  <c r="AN415" i="5"/>
  <c r="AN416" i="5"/>
  <c r="AN417" i="5"/>
  <c r="AN418" i="5"/>
  <c r="AN419" i="5"/>
  <c r="AN420" i="5"/>
  <c r="AN421" i="5"/>
  <c r="AN422" i="5"/>
  <c r="AN423" i="5"/>
  <c r="AN424" i="5"/>
  <c r="AN425" i="5"/>
  <c r="AN426" i="5"/>
  <c r="AN308" i="5"/>
  <c r="AN310" i="5"/>
  <c r="AN311" i="5"/>
  <c r="AN313" i="5"/>
  <c r="AN314" i="5"/>
  <c r="AN315" i="5"/>
  <c r="AN316" i="5"/>
  <c r="AN318" i="5"/>
  <c r="AN319" i="5"/>
  <c r="AN320" i="5"/>
  <c r="AN321" i="5"/>
  <c r="AN322" i="5"/>
  <c r="AN323" i="5"/>
  <c r="AN324" i="5"/>
  <c r="AN325" i="5"/>
  <c r="AN326" i="5"/>
  <c r="AN210" i="5"/>
  <c r="AN211" i="5"/>
  <c r="AN212" i="5"/>
  <c r="AN213" i="5"/>
  <c r="AN214" i="5"/>
  <c r="AN215" i="5"/>
  <c r="AN218" i="5"/>
  <c r="AN219" i="5"/>
  <c r="AN221" i="5"/>
  <c r="AN223" i="5"/>
  <c r="AN224" i="5"/>
  <c r="AN225" i="5"/>
  <c r="AN226" i="5"/>
  <c r="AN227" i="5"/>
  <c r="AN228" i="5"/>
  <c r="AN110" i="5"/>
  <c r="AN111" i="5"/>
  <c r="AN112" i="5"/>
  <c r="AN113" i="5"/>
  <c r="AN114" i="5"/>
  <c r="AN115" i="5"/>
  <c r="AN116" i="5"/>
  <c r="AN117" i="5"/>
  <c r="AN118" i="5"/>
  <c r="AN120" i="5"/>
  <c r="AN121" i="5"/>
  <c r="AN122" i="5"/>
  <c r="AN123" i="5"/>
  <c r="AN124" i="5"/>
  <c r="AN125" i="5"/>
  <c r="AN126" i="5"/>
  <c r="AN127" i="5"/>
  <c r="AN128" i="5"/>
  <c r="AM407" i="5"/>
  <c r="AM409" i="5"/>
  <c r="AM410" i="5"/>
  <c r="AM411" i="5"/>
  <c r="AM412" i="5"/>
  <c r="AM413" i="5"/>
  <c r="AM414" i="5"/>
  <c r="AM415" i="5"/>
  <c r="AM416" i="5"/>
  <c r="AM417" i="5"/>
  <c r="AM418" i="5"/>
  <c r="AM419" i="5"/>
  <c r="AM420" i="5"/>
  <c r="AM421" i="5"/>
  <c r="AM422" i="5"/>
  <c r="AM423" i="5"/>
  <c r="AM424" i="5"/>
  <c r="AM425" i="5"/>
  <c r="AM426" i="5"/>
  <c r="AM308" i="5"/>
  <c r="AM310" i="5"/>
  <c r="AM311" i="5"/>
  <c r="AM313" i="5"/>
  <c r="AM314" i="5"/>
  <c r="AM315" i="5"/>
  <c r="AM316" i="5"/>
  <c r="AM318" i="5"/>
  <c r="AM319" i="5"/>
  <c r="AM320" i="5"/>
  <c r="AM321" i="5"/>
  <c r="AM322" i="5"/>
  <c r="AM323" i="5"/>
  <c r="AM324" i="5"/>
  <c r="AM325" i="5"/>
  <c r="AM326" i="5"/>
  <c r="AM211" i="5"/>
  <c r="AM212" i="5"/>
  <c r="AM213" i="5"/>
  <c r="AM214" i="5"/>
  <c r="AM215" i="5"/>
  <c r="AM218" i="5"/>
  <c r="AM219" i="5"/>
  <c r="AM220" i="5"/>
  <c r="AM221" i="5"/>
  <c r="AM223" i="5"/>
  <c r="AM224" i="5"/>
  <c r="AM225" i="5"/>
  <c r="AM226" i="5"/>
  <c r="AM227" i="5"/>
  <c r="AM228" i="5"/>
  <c r="AM110" i="5"/>
  <c r="AM111" i="5"/>
  <c r="AM112" i="5"/>
  <c r="AM113" i="5"/>
  <c r="AM114" i="5"/>
  <c r="AM115" i="5"/>
  <c r="AM116" i="5"/>
  <c r="AM117" i="5"/>
  <c r="AM118" i="5"/>
  <c r="AM120" i="5"/>
  <c r="AM121" i="5"/>
  <c r="AM122" i="5"/>
  <c r="AM123" i="5"/>
  <c r="AM124" i="5"/>
  <c r="AM125" i="5"/>
  <c r="AM126" i="5"/>
  <c r="AM127" i="5"/>
  <c r="AM128" i="5"/>
  <c r="AL407" i="5"/>
  <c r="AL409" i="5"/>
  <c r="AL410" i="5"/>
  <c r="AL411" i="5"/>
  <c r="AL412" i="5"/>
  <c r="AL413" i="5"/>
  <c r="AL414" i="5"/>
  <c r="AL415" i="5"/>
  <c r="AL416" i="5"/>
  <c r="AL417" i="5"/>
  <c r="AL418" i="5"/>
  <c r="AL419" i="5"/>
  <c r="AL420" i="5"/>
  <c r="AL421" i="5"/>
  <c r="AL422" i="5"/>
  <c r="AL423" i="5"/>
  <c r="AL424" i="5"/>
  <c r="AL425" i="5"/>
  <c r="AL426" i="5"/>
  <c r="AL308" i="5"/>
  <c r="AL310" i="5"/>
  <c r="AL311" i="5"/>
  <c r="AL313" i="5"/>
  <c r="AL314" i="5"/>
  <c r="AL315" i="5"/>
  <c r="AL316" i="5"/>
  <c r="AL317" i="5"/>
  <c r="AL318" i="5"/>
  <c r="AL319" i="5"/>
  <c r="AL320" i="5"/>
  <c r="AL321" i="5"/>
  <c r="AL322" i="5"/>
  <c r="AL323" i="5"/>
  <c r="AL324" i="5"/>
  <c r="AL325" i="5"/>
  <c r="AL326" i="5"/>
  <c r="AL211" i="5"/>
  <c r="AL212" i="5"/>
  <c r="AL213" i="5"/>
  <c r="AL214" i="5"/>
  <c r="AL215" i="5"/>
  <c r="AL218" i="5"/>
  <c r="AL219" i="5"/>
  <c r="AL220" i="5"/>
  <c r="AL221" i="5"/>
  <c r="AL223" i="5"/>
  <c r="AL224" i="5"/>
  <c r="AL225" i="5"/>
  <c r="AL226" i="5"/>
  <c r="AL227" i="5"/>
  <c r="AL228" i="5"/>
  <c r="AL110" i="5"/>
  <c r="AL111" i="5"/>
  <c r="AL112" i="5"/>
  <c r="AL113" i="5"/>
  <c r="AL114" i="5"/>
  <c r="AL115" i="5"/>
  <c r="AL116" i="5"/>
  <c r="AL117" i="5"/>
  <c r="AL118" i="5"/>
  <c r="AL120" i="5"/>
  <c r="AL121" i="5"/>
  <c r="AL122" i="5"/>
  <c r="AL123" i="5"/>
  <c r="AL124" i="5"/>
  <c r="AL125" i="5"/>
  <c r="AL126" i="5"/>
  <c r="AL127" i="5"/>
  <c r="AL128" i="5"/>
  <c r="AL129" i="5"/>
  <c r="AK407" i="5"/>
  <c r="AK408" i="5"/>
  <c r="AK409" i="5"/>
  <c r="AK410" i="5"/>
  <c r="AK411" i="5"/>
  <c r="AK412" i="5"/>
  <c r="AK413" i="5"/>
  <c r="AK414" i="5"/>
  <c r="AK415" i="5"/>
  <c r="AK416" i="5"/>
  <c r="AK417" i="5"/>
  <c r="AK418" i="5"/>
  <c r="AK419" i="5"/>
  <c r="AK420" i="5"/>
  <c r="AK421" i="5"/>
  <c r="AK422" i="5"/>
  <c r="AK423" i="5"/>
  <c r="AK424" i="5"/>
  <c r="AK425" i="5"/>
  <c r="AK426" i="5"/>
  <c r="AK308" i="5"/>
  <c r="AK310" i="5"/>
  <c r="AK311" i="5"/>
  <c r="AK313" i="5"/>
  <c r="AK314" i="5"/>
  <c r="AK315" i="5"/>
  <c r="AK316" i="5"/>
  <c r="AK318" i="5"/>
  <c r="AK319" i="5"/>
  <c r="AK320" i="5"/>
  <c r="AK321" i="5"/>
  <c r="AK322" i="5"/>
  <c r="AK323" i="5"/>
  <c r="AK324" i="5"/>
  <c r="AK325" i="5"/>
  <c r="AK326" i="5"/>
  <c r="AK210" i="5"/>
  <c r="AK211" i="5"/>
  <c r="AK212" i="5"/>
  <c r="AK213" i="5"/>
  <c r="AK214" i="5"/>
  <c r="AK215" i="5"/>
  <c r="AK218" i="5"/>
  <c r="AK219" i="5"/>
  <c r="AK221" i="5"/>
  <c r="AK223" i="5"/>
  <c r="AK224" i="5"/>
  <c r="AK225" i="5"/>
  <c r="AK226" i="5"/>
  <c r="AK227" i="5"/>
  <c r="AK228" i="5"/>
  <c r="AK110" i="5"/>
  <c r="AK111" i="5"/>
  <c r="AK112" i="5"/>
  <c r="AK113" i="5"/>
  <c r="AK114" i="5"/>
  <c r="AK115" i="5"/>
  <c r="AK116" i="5"/>
  <c r="AK117" i="5"/>
  <c r="AK118" i="5"/>
  <c r="AK120" i="5"/>
  <c r="AK121" i="5"/>
  <c r="AK122" i="5"/>
  <c r="AK123" i="5"/>
  <c r="AK124" i="5"/>
  <c r="AK125" i="5"/>
  <c r="AK126" i="5"/>
  <c r="AK127" i="5"/>
  <c r="AK128" i="5"/>
  <c r="AJ407" i="5"/>
  <c r="AJ409" i="5"/>
  <c r="AJ410" i="5"/>
  <c r="AJ411" i="5"/>
  <c r="AJ412" i="5"/>
  <c r="AJ413" i="5"/>
  <c r="AJ414" i="5"/>
  <c r="AJ415" i="5"/>
  <c r="AJ416" i="5"/>
  <c r="AJ417" i="5"/>
  <c r="AJ418" i="5"/>
  <c r="AJ419" i="5"/>
  <c r="AJ420" i="5"/>
  <c r="AJ421" i="5"/>
  <c r="AJ422" i="5"/>
  <c r="AJ423" i="5"/>
  <c r="AJ424" i="5"/>
  <c r="AJ425" i="5"/>
  <c r="AJ426" i="5"/>
  <c r="AJ308" i="5"/>
  <c r="AJ310" i="5"/>
  <c r="AJ311" i="5"/>
  <c r="AJ313" i="5"/>
  <c r="AJ314" i="5"/>
  <c r="AJ315" i="5"/>
  <c r="AJ316" i="5"/>
  <c r="AJ318" i="5"/>
  <c r="AJ319" i="5"/>
  <c r="AJ320" i="5"/>
  <c r="AJ321" i="5"/>
  <c r="AJ322" i="5"/>
  <c r="AJ323" i="5"/>
  <c r="AJ324" i="5"/>
  <c r="AJ325" i="5"/>
  <c r="AJ326" i="5"/>
  <c r="AJ211" i="5"/>
  <c r="AJ212" i="5"/>
  <c r="AJ213" i="5"/>
  <c r="AJ214" i="5"/>
  <c r="AJ215" i="5"/>
  <c r="AJ218" i="5"/>
  <c r="AJ219" i="5"/>
  <c r="AJ220" i="5"/>
  <c r="AJ221" i="5"/>
  <c r="AJ223" i="5"/>
  <c r="AJ224" i="5"/>
  <c r="AJ225" i="5"/>
  <c r="AJ226" i="5"/>
  <c r="AJ227" i="5"/>
  <c r="AJ228" i="5"/>
  <c r="AJ110" i="5"/>
  <c r="AJ111" i="5"/>
  <c r="AJ112" i="5"/>
  <c r="AJ113" i="5"/>
  <c r="AJ114" i="5"/>
  <c r="AJ115" i="5"/>
  <c r="AJ116" i="5"/>
  <c r="AJ117" i="5"/>
  <c r="AJ118" i="5"/>
  <c r="AJ120" i="5"/>
  <c r="AJ121" i="5"/>
  <c r="AJ122" i="5"/>
  <c r="AJ123" i="5"/>
  <c r="AJ124" i="5"/>
  <c r="AJ125" i="5"/>
  <c r="AJ126" i="5"/>
  <c r="AJ127" i="5"/>
  <c r="AJ128" i="5"/>
  <c r="AJ129" i="5"/>
  <c r="AI407" i="5"/>
  <c r="AI409" i="5"/>
  <c r="AI410" i="5"/>
  <c r="AI411" i="5"/>
  <c r="AI412" i="5"/>
  <c r="AI413" i="5"/>
  <c r="AI414" i="5"/>
  <c r="AI415" i="5"/>
  <c r="AI416" i="5"/>
  <c r="AI417" i="5"/>
  <c r="AI418" i="5"/>
  <c r="AI419" i="5"/>
  <c r="AI420" i="5"/>
  <c r="AI421" i="5"/>
  <c r="AI422" i="5"/>
  <c r="AI423" i="5"/>
  <c r="AI424" i="5"/>
  <c r="AI425" i="5"/>
  <c r="AI426" i="5"/>
  <c r="AI308" i="5"/>
  <c r="AI310" i="5"/>
  <c r="AI311" i="5"/>
  <c r="AI312" i="5"/>
  <c r="AI313" i="5"/>
  <c r="AI314" i="5"/>
  <c r="AI315" i="5"/>
  <c r="AI316" i="5"/>
  <c r="AI318" i="5"/>
  <c r="AI319" i="5"/>
  <c r="AI320" i="5"/>
  <c r="AI321" i="5"/>
  <c r="AI322" i="5"/>
  <c r="AI323" i="5"/>
  <c r="AI324" i="5"/>
  <c r="AI325" i="5"/>
  <c r="AI326" i="5"/>
  <c r="AI210" i="5"/>
  <c r="AI211" i="5"/>
  <c r="AI212" i="5"/>
  <c r="AI213" i="5"/>
  <c r="AI214" i="5"/>
  <c r="AI215" i="5"/>
  <c r="AI218" i="5"/>
  <c r="AI219" i="5"/>
  <c r="AI221" i="5"/>
  <c r="AI223" i="5"/>
  <c r="AI224" i="5"/>
  <c r="AI225" i="5"/>
  <c r="AI226" i="5"/>
  <c r="AI227" i="5"/>
  <c r="AI228" i="5"/>
  <c r="AI110" i="5"/>
  <c r="AI111" i="5"/>
  <c r="AI112" i="5"/>
  <c r="AI113" i="5"/>
  <c r="AI114" i="5"/>
  <c r="AI115" i="5"/>
  <c r="AI116" i="5"/>
  <c r="AI117" i="5"/>
  <c r="AI118" i="5"/>
  <c r="AI119" i="5"/>
  <c r="AI120" i="5"/>
  <c r="AI121" i="5"/>
  <c r="AI122" i="5"/>
  <c r="AI123" i="5"/>
  <c r="AI124" i="5"/>
  <c r="AI125" i="5"/>
  <c r="AI126" i="5"/>
  <c r="AI127" i="5"/>
  <c r="AI128" i="5"/>
  <c r="AI129" i="5"/>
  <c r="AH407" i="5"/>
  <c r="AH409" i="5"/>
  <c r="AH410" i="5"/>
  <c r="AH411" i="5"/>
  <c r="AH412" i="5"/>
  <c r="AH413" i="5"/>
  <c r="AH414" i="5"/>
  <c r="AH415" i="5"/>
  <c r="AH416" i="5"/>
  <c r="AH417" i="5"/>
  <c r="AH418" i="5"/>
  <c r="AH419" i="5"/>
  <c r="AH420" i="5"/>
  <c r="AH421" i="5"/>
  <c r="AH422" i="5"/>
  <c r="AH423" i="5"/>
  <c r="AH424" i="5"/>
  <c r="AH425" i="5"/>
  <c r="AH426" i="5"/>
  <c r="AH308" i="5"/>
  <c r="AH310" i="5"/>
  <c r="AH311" i="5"/>
  <c r="AH313" i="5"/>
  <c r="AH314" i="5"/>
  <c r="AH315" i="5"/>
  <c r="AH316" i="5"/>
  <c r="AH318" i="5"/>
  <c r="AH319" i="5"/>
  <c r="AH320" i="5"/>
  <c r="AH321" i="5"/>
  <c r="AH322" i="5"/>
  <c r="AH323" i="5"/>
  <c r="AH324" i="5"/>
  <c r="AH325" i="5"/>
  <c r="AH326" i="5"/>
  <c r="AH211" i="5"/>
  <c r="AH212" i="5"/>
  <c r="AH213" i="5"/>
  <c r="AH214" i="5"/>
  <c r="AH215" i="5"/>
  <c r="AH218" i="5"/>
  <c r="AH219" i="5"/>
  <c r="AH221" i="5"/>
  <c r="AH222" i="5"/>
  <c r="AH223" i="5"/>
  <c r="AH224" i="5"/>
  <c r="AH225" i="5"/>
  <c r="AH226" i="5"/>
  <c r="AH227" i="5"/>
  <c r="AH228" i="5"/>
  <c r="AH110" i="5"/>
  <c r="AH111" i="5"/>
  <c r="AH112" i="5"/>
  <c r="AH113" i="5"/>
  <c r="AH114" i="5"/>
  <c r="AH115" i="5"/>
  <c r="AH116" i="5"/>
  <c r="AH117" i="5"/>
  <c r="AH118" i="5"/>
  <c r="AH119" i="5"/>
  <c r="AH120" i="5"/>
  <c r="AH121" i="5"/>
  <c r="AH122" i="5"/>
  <c r="AH123" i="5"/>
  <c r="AH124" i="5"/>
  <c r="AH125" i="5"/>
  <c r="AH126" i="5"/>
  <c r="AH127" i="5"/>
  <c r="AH128" i="5"/>
  <c r="AH129" i="5"/>
  <c r="AG407" i="5"/>
  <c r="AG409" i="5"/>
  <c r="AG410" i="5"/>
  <c r="AG411" i="5"/>
  <c r="AG412" i="5"/>
  <c r="AG413" i="5"/>
  <c r="AG414" i="5"/>
  <c r="AG415" i="5"/>
  <c r="AG416" i="5"/>
  <c r="AG417" i="5"/>
  <c r="AG418" i="5"/>
  <c r="AG419" i="5"/>
  <c r="AG420" i="5"/>
  <c r="AG421" i="5"/>
  <c r="AG422" i="5"/>
  <c r="AG423" i="5"/>
  <c r="AG424" i="5"/>
  <c r="AG425" i="5"/>
  <c r="AG426" i="5"/>
  <c r="AG308" i="5"/>
  <c r="AG310" i="5"/>
  <c r="AG311" i="5"/>
  <c r="AG313" i="5"/>
  <c r="AG314" i="5"/>
  <c r="AG315" i="5"/>
  <c r="AG316" i="5"/>
  <c r="AG318" i="5"/>
  <c r="AG319" i="5"/>
  <c r="AG320" i="5"/>
  <c r="AG321" i="5"/>
  <c r="AG322" i="5"/>
  <c r="AG323" i="5"/>
  <c r="AG324" i="5"/>
  <c r="AG325" i="5"/>
  <c r="AG326" i="5"/>
  <c r="AG211" i="5"/>
  <c r="AG212" i="5"/>
  <c r="AG213" i="5"/>
  <c r="AG214" i="5"/>
  <c r="AG215" i="5"/>
  <c r="AG216" i="5"/>
  <c r="AG218" i="5"/>
  <c r="AG219" i="5"/>
  <c r="AG220" i="5"/>
  <c r="AG221" i="5"/>
  <c r="AG223" i="5"/>
  <c r="AG224" i="5"/>
  <c r="AG225" i="5"/>
  <c r="AG226" i="5"/>
  <c r="AG227" i="5"/>
  <c r="AG228" i="5"/>
  <c r="AG110" i="5"/>
  <c r="AG111" i="5"/>
  <c r="AG112" i="5"/>
  <c r="AG113" i="5"/>
  <c r="AG114" i="5"/>
  <c r="AG115" i="5"/>
  <c r="AG116" i="5"/>
  <c r="AG117" i="5"/>
  <c r="AG118" i="5"/>
  <c r="AG120" i="5"/>
  <c r="AG121" i="5"/>
  <c r="AG122" i="5"/>
  <c r="AG123" i="5"/>
  <c r="AG124" i="5"/>
  <c r="AG125" i="5"/>
  <c r="AG126" i="5"/>
  <c r="AG127" i="5"/>
  <c r="AG128" i="5"/>
  <c r="AF407" i="5"/>
  <c r="AF409" i="5"/>
  <c r="AF410" i="5"/>
  <c r="AF411" i="5"/>
  <c r="AF412" i="5"/>
  <c r="AF413" i="5"/>
  <c r="AF414" i="5"/>
  <c r="AF415" i="5"/>
  <c r="AF416" i="5"/>
  <c r="AF417" i="5"/>
  <c r="AF418" i="5"/>
  <c r="AF419" i="5"/>
  <c r="AF420" i="5"/>
  <c r="AF421" i="5"/>
  <c r="AF422" i="5"/>
  <c r="AF423" i="5"/>
  <c r="AF424" i="5"/>
  <c r="AF425" i="5"/>
  <c r="AF426" i="5"/>
  <c r="AF308" i="5"/>
  <c r="AF309" i="5"/>
  <c r="AF310" i="5"/>
  <c r="AF311" i="5"/>
  <c r="AF313" i="5"/>
  <c r="AF314" i="5"/>
  <c r="AF315" i="5"/>
  <c r="AF316" i="5"/>
  <c r="AF318" i="5"/>
  <c r="AF319" i="5"/>
  <c r="AF320" i="5"/>
  <c r="AF321" i="5"/>
  <c r="AF322" i="5"/>
  <c r="AF323" i="5"/>
  <c r="AF324" i="5"/>
  <c r="AF325" i="5"/>
  <c r="AF326" i="5"/>
  <c r="AF211" i="5"/>
  <c r="AF212" i="5"/>
  <c r="AF213" i="5"/>
  <c r="AF214" i="5"/>
  <c r="AF215" i="5"/>
  <c r="AF216" i="5"/>
  <c r="AF218" i="5"/>
  <c r="AF219" i="5"/>
  <c r="AF221" i="5"/>
  <c r="AF223" i="5"/>
  <c r="AF224" i="5"/>
  <c r="AF225" i="5"/>
  <c r="AF226" i="5"/>
  <c r="AF227" i="5"/>
  <c r="AF228" i="5"/>
  <c r="AF110" i="5"/>
  <c r="AF111" i="5"/>
  <c r="AF112" i="5"/>
  <c r="AF113" i="5"/>
  <c r="AF114" i="5"/>
  <c r="AF115" i="5"/>
  <c r="AF116" i="5"/>
  <c r="AF117" i="5"/>
  <c r="AF118" i="5"/>
  <c r="AF120" i="5"/>
  <c r="AF121" i="5"/>
  <c r="AF122" i="5"/>
  <c r="AF123" i="5"/>
  <c r="AF124" i="5"/>
  <c r="AF125" i="5"/>
  <c r="AF126" i="5"/>
  <c r="AF127" i="5"/>
  <c r="AF128" i="5"/>
  <c r="AF129" i="5"/>
  <c r="AE407" i="5"/>
  <c r="AE409" i="5"/>
  <c r="AE410" i="5"/>
  <c r="AE411" i="5"/>
  <c r="AE412" i="5"/>
  <c r="AE413" i="5"/>
  <c r="AE414" i="5"/>
  <c r="AE415" i="5"/>
  <c r="AE416" i="5"/>
  <c r="AE417" i="5"/>
  <c r="AE418" i="5"/>
  <c r="AE419" i="5"/>
  <c r="AE420" i="5"/>
  <c r="AE421" i="5"/>
  <c r="AE422" i="5"/>
  <c r="AE423" i="5"/>
  <c r="AE424" i="5"/>
  <c r="AE425" i="5"/>
  <c r="AE426" i="5"/>
  <c r="AE308" i="5"/>
  <c r="AE310" i="5"/>
  <c r="AE311" i="5"/>
  <c r="AE313" i="5"/>
  <c r="AE314" i="5"/>
  <c r="AE315" i="5"/>
  <c r="AE316" i="5"/>
  <c r="AE318" i="5"/>
  <c r="AE319" i="5"/>
  <c r="AE320" i="5"/>
  <c r="AE321" i="5"/>
  <c r="AE322" i="5"/>
  <c r="AE323" i="5"/>
  <c r="AE324" i="5"/>
  <c r="AE325" i="5"/>
  <c r="AE326" i="5"/>
  <c r="AE210" i="5"/>
  <c r="AE211" i="5"/>
  <c r="AE212" i="5"/>
  <c r="AE213" i="5"/>
  <c r="AE214" i="5"/>
  <c r="AE215" i="5"/>
  <c r="AE216" i="5"/>
  <c r="AE218" i="5"/>
  <c r="AE219" i="5"/>
  <c r="AE221" i="5"/>
  <c r="AE222" i="5"/>
  <c r="AE223" i="5"/>
  <c r="AE224" i="5"/>
  <c r="AE225" i="5"/>
  <c r="AE226" i="5"/>
  <c r="AE227" i="5"/>
  <c r="AE228" i="5"/>
  <c r="AE110" i="5"/>
  <c r="AE111" i="5"/>
  <c r="AE112" i="5"/>
  <c r="AE113" i="5"/>
  <c r="AE114" i="5"/>
  <c r="AE115" i="5"/>
  <c r="AE116" i="5"/>
  <c r="AE117" i="5"/>
  <c r="AE118" i="5"/>
  <c r="AE120" i="5"/>
  <c r="AE121" i="5"/>
  <c r="AE122" i="5"/>
  <c r="AE123" i="5"/>
  <c r="AE124" i="5"/>
  <c r="AE125" i="5"/>
  <c r="AE126" i="5"/>
  <c r="AE127" i="5"/>
  <c r="AE128" i="5"/>
  <c r="AE129" i="5"/>
  <c r="AD407" i="5"/>
  <c r="AD409" i="5"/>
  <c r="AD410" i="5"/>
  <c r="AD411" i="5"/>
  <c r="AD412" i="5"/>
  <c r="AD413" i="5"/>
  <c r="AD414" i="5"/>
  <c r="AD415" i="5"/>
  <c r="AD416" i="5"/>
  <c r="AD417" i="5"/>
  <c r="AD418" i="5"/>
  <c r="AD419" i="5"/>
  <c r="AD420" i="5"/>
  <c r="AD421" i="5"/>
  <c r="AD422" i="5"/>
  <c r="AD423" i="5"/>
  <c r="AD424" i="5"/>
  <c r="AD425" i="5"/>
  <c r="AD426" i="5"/>
  <c r="AD308" i="5"/>
  <c r="AD310" i="5"/>
  <c r="AD311" i="5"/>
  <c r="AD313" i="5"/>
  <c r="AD314" i="5"/>
  <c r="AD315" i="5"/>
  <c r="AD316" i="5"/>
  <c r="AD317" i="5"/>
  <c r="AD318" i="5"/>
  <c r="AD319" i="5"/>
  <c r="AD320" i="5"/>
  <c r="AD321" i="5"/>
  <c r="AD322" i="5"/>
  <c r="AD323" i="5"/>
  <c r="AD324" i="5"/>
  <c r="AD325" i="5"/>
  <c r="AD326" i="5"/>
  <c r="AD209" i="5"/>
  <c r="AD211" i="5"/>
  <c r="AD212" i="5"/>
  <c r="AD213" i="5"/>
  <c r="AD214" i="5"/>
  <c r="AD215" i="5"/>
  <c r="AD216" i="5"/>
  <c r="AD218" i="5"/>
  <c r="AD219" i="5"/>
  <c r="AD221" i="5"/>
  <c r="AD223" i="5"/>
  <c r="AD224" i="5"/>
  <c r="AD225" i="5"/>
  <c r="AD226" i="5"/>
  <c r="AD227" i="5"/>
  <c r="AD228" i="5"/>
  <c r="AD110" i="5"/>
  <c r="AD111" i="5"/>
  <c r="AD112" i="5"/>
  <c r="AD113" i="5"/>
  <c r="AD114" i="5"/>
  <c r="AD115" i="5"/>
  <c r="AD116" i="5"/>
  <c r="AD117" i="5"/>
  <c r="AD118" i="5"/>
  <c r="AD120" i="5"/>
  <c r="AD121" i="5"/>
  <c r="AD122" i="5"/>
  <c r="AD123" i="5"/>
  <c r="AD124" i="5"/>
  <c r="AD125" i="5"/>
  <c r="AD126" i="5"/>
  <c r="AD127" i="5"/>
  <c r="AD128" i="5"/>
  <c r="AD129" i="5"/>
  <c r="AC407" i="5"/>
  <c r="AC408" i="5"/>
  <c r="AC409" i="5"/>
  <c r="AC410" i="5"/>
  <c r="AC411" i="5"/>
  <c r="AC412" i="5"/>
  <c r="AC413" i="5"/>
  <c r="AC414" i="5"/>
  <c r="AC415" i="5"/>
  <c r="AC416" i="5"/>
  <c r="AC417" i="5"/>
  <c r="AC418" i="5"/>
  <c r="AC419" i="5"/>
  <c r="AC420" i="5"/>
  <c r="AC421" i="5"/>
  <c r="AC422" i="5"/>
  <c r="AC423" i="5"/>
  <c r="AC424" i="5"/>
  <c r="AC425" i="5"/>
  <c r="AC426" i="5"/>
  <c r="AC308" i="5"/>
  <c r="AC310" i="5"/>
  <c r="AC311" i="5"/>
  <c r="AC313" i="5"/>
  <c r="AC314" i="5"/>
  <c r="AC315" i="5"/>
  <c r="AC316" i="5"/>
  <c r="AC318" i="5"/>
  <c r="AC319" i="5"/>
  <c r="AC320" i="5"/>
  <c r="AC321" i="5"/>
  <c r="AC322" i="5"/>
  <c r="AC323" i="5"/>
  <c r="AC324" i="5"/>
  <c r="AC325" i="5"/>
  <c r="AC326" i="5"/>
  <c r="AC211" i="5"/>
  <c r="AC212" i="5"/>
  <c r="AC213" i="5"/>
  <c r="AC214" i="5"/>
  <c r="AC215" i="5"/>
  <c r="AC216" i="5"/>
  <c r="AC217" i="5"/>
  <c r="AC218" i="5"/>
  <c r="AC219" i="5"/>
  <c r="AC221" i="5"/>
  <c r="AC223" i="5"/>
  <c r="AC224" i="5"/>
  <c r="AC225" i="5"/>
  <c r="AC226" i="5"/>
  <c r="AC227" i="5"/>
  <c r="AC228" i="5"/>
  <c r="AC110" i="5"/>
  <c r="AC111" i="5"/>
  <c r="AC112" i="5"/>
  <c r="AC113" i="5"/>
  <c r="AC114" i="5"/>
  <c r="AC115" i="5"/>
  <c r="AC116" i="5"/>
  <c r="AC117" i="5"/>
  <c r="AC118" i="5"/>
  <c r="AC120" i="5"/>
  <c r="AC121" i="5"/>
  <c r="AC122" i="5"/>
  <c r="AC123" i="5"/>
  <c r="AC124" i="5"/>
  <c r="AC125" i="5"/>
  <c r="AC126" i="5"/>
  <c r="AC127" i="5"/>
  <c r="AC128" i="5"/>
  <c r="AB407" i="5"/>
  <c r="AB409" i="5"/>
  <c r="AB410" i="5"/>
  <c r="AB411" i="5"/>
  <c r="AB412" i="5"/>
  <c r="AB413" i="5"/>
  <c r="AB414" i="5"/>
  <c r="AB415" i="5"/>
  <c r="AB416" i="5"/>
  <c r="AB417" i="5"/>
  <c r="AB418" i="5"/>
  <c r="AB419" i="5"/>
  <c r="AB420" i="5"/>
  <c r="AB421" i="5"/>
  <c r="AB422" i="5"/>
  <c r="AB423" i="5"/>
  <c r="AB424" i="5"/>
  <c r="AB425" i="5"/>
  <c r="AB426" i="5"/>
  <c r="AB308" i="5"/>
  <c r="AB310" i="5"/>
  <c r="AB311" i="5"/>
  <c r="AB313" i="5"/>
  <c r="AB314" i="5"/>
  <c r="AB315" i="5"/>
  <c r="AB316" i="5"/>
  <c r="AB318" i="5"/>
  <c r="AB319" i="5"/>
  <c r="AB320" i="5"/>
  <c r="AB321" i="5"/>
  <c r="AB322" i="5"/>
  <c r="AB323" i="5"/>
  <c r="AB324" i="5"/>
  <c r="AB325" i="5"/>
  <c r="AB326" i="5"/>
  <c r="AB327" i="5"/>
  <c r="AB211" i="5"/>
  <c r="AB212" i="5"/>
  <c r="AB213" i="5"/>
  <c r="AB214" i="5"/>
  <c r="AB215" i="5"/>
  <c r="AB216" i="5"/>
  <c r="AB218" i="5"/>
  <c r="AB219" i="5"/>
  <c r="AB220" i="5"/>
  <c r="AB221" i="5"/>
  <c r="AB223" i="5"/>
  <c r="AB224" i="5"/>
  <c r="AB225" i="5"/>
  <c r="AB226" i="5"/>
  <c r="AB227" i="5"/>
  <c r="AB228" i="5"/>
  <c r="AB110" i="5"/>
  <c r="AB111" i="5"/>
  <c r="AB112" i="5"/>
  <c r="AB113" i="5"/>
  <c r="AB114" i="5"/>
  <c r="AB115" i="5"/>
  <c r="AB116" i="5"/>
  <c r="AB117" i="5"/>
  <c r="AB118" i="5"/>
  <c r="AB119" i="5"/>
  <c r="AB120" i="5"/>
  <c r="AB121" i="5"/>
  <c r="AB122" i="5"/>
  <c r="AB123" i="5"/>
  <c r="AB124" i="5"/>
  <c r="AB125" i="5"/>
  <c r="AB126" i="5"/>
  <c r="AB127" i="5"/>
  <c r="AB128" i="5"/>
  <c r="AA407" i="5"/>
  <c r="AA409" i="5"/>
  <c r="AA410" i="5"/>
  <c r="AA411" i="5"/>
  <c r="AA412" i="5"/>
  <c r="AA413" i="5"/>
  <c r="AA414" i="5"/>
  <c r="AA415" i="5"/>
  <c r="AA416" i="5"/>
  <c r="AA417" i="5"/>
  <c r="AA418" i="5"/>
  <c r="AA419" i="5"/>
  <c r="AA420" i="5"/>
  <c r="AA421" i="5"/>
  <c r="AA422" i="5"/>
  <c r="AA423" i="5"/>
  <c r="AA424" i="5"/>
  <c r="AA425" i="5"/>
  <c r="AA426" i="5"/>
  <c r="AA308" i="5"/>
  <c r="AA310" i="5"/>
  <c r="AA311" i="5"/>
  <c r="AA313" i="5"/>
  <c r="AA314" i="5"/>
  <c r="AA315" i="5"/>
  <c r="AA316" i="5"/>
  <c r="AA318" i="5"/>
  <c r="AA319" i="5"/>
  <c r="AA320" i="5"/>
  <c r="AA321" i="5"/>
  <c r="AA322" i="5"/>
  <c r="AA323" i="5"/>
  <c r="AA324" i="5"/>
  <c r="AA325" i="5"/>
  <c r="AA326" i="5"/>
  <c r="AA211" i="5"/>
  <c r="AA212" i="5"/>
  <c r="AA213" i="5"/>
  <c r="AA214" i="5"/>
  <c r="AA215" i="5"/>
  <c r="AA216" i="5"/>
  <c r="AA218" i="5"/>
  <c r="AA219" i="5"/>
  <c r="AA221" i="5"/>
  <c r="AA223" i="5"/>
  <c r="AA224" i="5"/>
  <c r="AA225" i="5"/>
  <c r="AA226" i="5"/>
  <c r="AA227" i="5"/>
  <c r="AA228" i="5"/>
  <c r="AA110" i="5"/>
  <c r="AA111" i="5"/>
  <c r="AA112" i="5"/>
  <c r="AA113" i="5"/>
  <c r="AA114" i="5"/>
  <c r="AA115" i="5"/>
  <c r="AA116" i="5"/>
  <c r="AA117" i="5"/>
  <c r="AA118" i="5"/>
  <c r="AA119" i="5"/>
  <c r="AA120" i="5"/>
  <c r="AA121" i="5"/>
  <c r="AA122" i="5"/>
  <c r="AA123" i="5"/>
  <c r="AA124" i="5"/>
  <c r="AA125" i="5"/>
  <c r="AA126" i="5"/>
  <c r="AA127" i="5"/>
  <c r="AA128" i="5"/>
  <c r="AA129" i="5"/>
  <c r="Z407" i="5"/>
  <c r="Z409" i="5"/>
  <c r="Z410" i="5"/>
  <c r="Z411" i="5"/>
  <c r="Z412" i="5"/>
  <c r="Z413" i="5"/>
  <c r="Z414" i="5"/>
  <c r="Z415" i="5"/>
  <c r="Z416" i="5"/>
  <c r="Z417" i="5"/>
  <c r="Z418" i="5"/>
  <c r="Z419" i="5"/>
  <c r="Z420" i="5"/>
  <c r="Z421" i="5"/>
  <c r="Z422" i="5"/>
  <c r="Z423" i="5"/>
  <c r="Z424" i="5"/>
  <c r="Z425" i="5"/>
  <c r="Z426" i="5"/>
  <c r="Z308" i="5"/>
  <c r="Z310" i="5"/>
  <c r="Z311" i="5"/>
  <c r="Z313" i="5"/>
  <c r="Z314" i="5"/>
  <c r="Z315" i="5"/>
  <c r="Z316" i="5"/>
  <c r="Z318" i="5"/>
  <c r="Z319" i="5"/>
  <c r="Z320" i="5"/>
  <c r="Z321" i="5"/>
  <c r="Z322" i="5"/>
  <c r="Z323" i="5"/>
  <c r="Z324" i="5"/>
  <c r="Z325" i="5"/>
  <c r="Z326" i="5"/>
  <c r="Z211" i="5"/>
  <c r="Z212" i="5"/>
  <c r="Z213" i="5"/>
  <c r="Z214" i="5"/>
  <c r="Z215" i="5"/>
  <c r="Z216" i="5"/>
  <c r="Z217" i="5"/>
  <c r="Z218" i="5"/>
  <c r="Z219" i="5"/>
  <c r="Z221" i="5"/>
  <c r="Z223" i="5"/>
  <c r="Z224" i="5"/>
  <c r="Z225" i="5"/>
  <c r="Z226" i="5"/>
  <c r="Z227" i="5"/>
  <c r="Z228" i="5"/>
  <c r="Z110" i="5"/>
  <c r="Z111" i="5"/>
  <c r="Z112" i="5"/>
  <c r="Z113" i="5"/>
  <c r="Z114" i="5"/>
  <c r="Z115" i="5"/>
  <c r="Z116" i="5"/>
  <c r="Z117" i="5"/>
  <c r="Z118" i="5"/>
  <c r="Z120" i="5"/>
  <c r="Z121" i="5"/>
  <c r="Z122" i="5"/>
  <c r="Z123" i="5"/>
  <c r="Z124" i="5"/>
  <c r="Z125" i="5"/>
  <c r="Z126" i="5"/>
  <c r="Z127" i="5"/>
  <c r="Z128" i="5"/>
  <c r="Z129" i="5"/>
  <c r="Q137" i="2"/>
  <c r="E4" i="10"/>
  <c r="E6" i="10"/>
  <c r="E7" i="10"/>
  <c r="E8" i="10"/>
  <c r="E9" i="10"/>
  <c r="E10" i="10"/>
  <c r="E11" i="10"/>
  <c r="E12" i="10"/>
  <c r="O12" i="10" s="1"/>
  <c r="E13" i="10"/>
  <c r="E14" i="10"/>
  <c r="E15" i="10"/>
  <c r="E16" i="10"/>
  <c r="E17" i="10"/>
  <c r="E18" i="10"/>
  <c r="E19" i="10"/>
  <c r="E20" i="10"/>
  <c r="E21" i="10"/>
  <c r="E22" i="10"/>
  <c r="E23" i="10"/>
  <c r="E24" i="10"/>
  <c r="E25" i="10"/>
  <c r="E26" i="10"/>
  <c r="E27" i="10"/>
  <c r="E28" i="10"/>
  <c r="E29" i="10"/>
  <c r="E30" i="10"/>
  <c r="E31" i="10"/>
  <c r="O31" i="10" s="1"/>
  <c r="E32"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O92" i="10" s="1"/>
  <c r="E93" i="10"/>
  <c r="E94" i="10"/>
  <c r="O94" i="10" s="1"/>
  <c r="T94" i="10" s="1"/>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O131" i="10" s="1"/>
  <c r="E132" i="10"/>
  <c r="O132" i="10" s="1"/>
  <c r="T132" i="10" s="1"/>
  <c r="E133" i="10"/>
  <c r="E134" i="10"/>
  <c r="O134" i="10" s="1"/>
  <c r="T134" i="10" s="1"/>
  <c r="E135" i="10"/>
  <c r="O135" i="10" s="1"/>
  <c r="T135" i="10" s="1"/>
  <c r="L223" i="2" s="1"/>
  <c r="E136" i="10"/>
  <c r="O136" i="10" s="1"/>
  <c r="T136" i="10" s="1"/>
  <c r="E137" i="10"/>
  <c r="O137" i="10" s="1"/>
  <c r="T137" i="10" s="1"/>
  <c r="E138" i="10"/>
  <c r="O138" i="10" s="1"/>
  <c r="T138" i="10" s="1"/>
  <c r="E139" i="10"/>
  <c r="O139" i="10" s="1"/>
  <c r="T139" i="10" s="1"/>
  <c r="E140" i="10"/>
  <c r="O140" i="10" s="1"/>
  <c r="T140" i="10" s="1"/>
  <c r="E141" i="10"/>
  <c r="E142" i="10"/>
  <c r="E143" i="10"/>
  <c r="O143" i="10" s="1"/>
  <c r="T143" i="10" s="1"/>
  <c r="E144" i="10"/>
  <c r="O144" i="10" s="1"/>
  <c r="T144" i="10" s="1"/>
  <c r="E145" i="10"/>
  <c r="O145" i="10" s="1"/>
  <c r="T145" i="10" s="1"/>
  <c r="E146" i="10"/>
  <c r="O146" i="10" s="1"/>
  <c r="T146" i="10" s="1"/>
  <c r="E147" i="10"/>
  <c r="O147" i="10" s="1"/>
  <c r="T147" i="10" s="1"/>
  <c r="E148" i="10"/>
  <c r="E149" i="10"/>
  <c r="E150" i="10"/>
  <c r="E151" i="10"/>
  <c r="E152" i="10"/>
  <c r="E153" i="10"/>
  <c r="O153" i="10" s="1"/>
  <c r="E154" i="10"/>
  <c r="E155" i="10"/>
  <c r="E156" i="10"/>
  <c r="E157" i="10"/>
  <c r="E159" i="10"/>
  <c r="E160" i="10"/>
  <c r="E161" i="10"/>
  <c r="E162" i="10"/>
  <c r="E163" i="10"/>
  <c r="E164" i="10"/>
  <c r="E165" i="10"/>
  <c r="O165" i="10" s="1"/>
  <c r="E167" i="10"/>
  <c r="O167" i="10" s="1"/>
  <c r="E168" i="10"/>
  <c r="O168" i="10" s="1"/>
  <c r="E169" i="10"/>
  <c r="O169" i="10" s="1"/>
  <c r="E170" i="10"/>
  <c r="O170" i="10" s="1"/>
  <c r="E171" i="10"/>
  <c r="O171" i="10" s="1"/>
  <c r="E172" i="10"/>
  <c r="O172" i="10" s="1"/>
  <c r="E173" i="10"/>
  <c r="O173" i="10" s="1"/>
  <c r="E174" i="10"/>
  <c r="O174" i="10" s="1"/>
  <c r="E175" i="10"/>
  <c r="O175" i="10" s="1"/>
  <c r="E176" i="10"/>
  <c r="O176" i="10" s="1"/>
  <c r="E177" i="10"/>
  <c r="E178" i="10"/>
  <c r="E179" i="10"/>
  <c r="E180" i="10"/>
  <c r="E181" i="10"/>
  <c r="O181" i="10" s="1"/>
  <c r="E182" i="10"/>
  <c r="O182" i="10" s="1"/>
  <c r="E183" i="10"/>
  <c r="O183" i="10" s="1"/>
  <c r="E184" i="10"/>
  <c r="O184" i="10" s="1"/>
  <c r="E185" i="10"/>
  <c r="O185" i="10" s="1"/>
  <c r="E186" i="10"/>
  <c r="O186" i="10" s="1"/>
  <c r="E187" i="10"/>
  <c r="O187" i="10" s="1"/>
  <c r="E188" i="10"/>
  <c r="O188" i="10" s="1"/>
  <c r="E189" i="10"/>
  <c r="O189" i="10" s="1"/>
  <c r="E190" i="10"/>
  <c r="O190" i="10" s="1"/>
  <c r="E191" i="10"/>
  <c r="O191" i="10" s="1"/>
  <c r="E192" i="10"/>
  <c r="O192" i="10" s="1"/>
  <c r="E193" i="10"/>
  <c r="O193" i="10" s="1"/>
  <c r="E194" i="10"/>
  <c r="O194" i="10" s="1"/>
  <c r="E195" i="10"/>
  <c r="O195" i="10" s="1"/>
  <c r="E196" i="10"/>
  <c r="T196" i="10" s="1"/>
  <c r="E197" i="10"/>
  <c r="O197" i="10" s="1"/>
  <c r="E198" i="10"/>
  <c r="O198" i="10" s="1"/>
  <c r="E199" i="10"/>
  <c r="O199" i="10" s="1"/>
  <c r="E200" i="10"/>
  <c r="O200" i="10" s="1"/>
  <c r="T200" i="10" s="1"/>
  <c r="E201" i="10"/>
  <c r="E202" i="10"/>
  <c r="O202" i="10" s="1"/>
  <c r="E203" i="10"/>
  <c r="O203" i="10" s="1"/>
  <c r="E204" i="10"/>
  <c r="O204" i="10" s="1"/>
  <c r="E205" i="10"/>
  <c r="O205" i="10" s="1"/>
  <c r="E206" i="10"/>
  <c r="O206" i="10" s="1"/>
  <c r="E207" i="10"/>
  <c r="E208" i="10"/>
  <c r="E209" i="10"/>
  <c r="O209" i="10" s="1"/>
  <c r="E210" i="10"/>
  <c r="O210" i="10" s="1"/>
  <c r="E211" i="10"/>
  <c r="O211" i="10" s="1"/>
  <c r="E212" i="10"/>
  <c r="O212" i="10" s="1"/>
  <c r="E213" i="10"/>
  <c r="O213" i="10" s="1"/>
  <c r="E214" i="10"/>
  <c r="O214" i="10" s="1"/>
  <c r="E215" i="10"/>
  <c r="P215" i="10" s="1"/>
  <c r="F215" i="10"/>
  <c r="E216" i="10"/>
  <c r="O216" i="10" s="1"/>
  <c r="F216" i="10"/>
  <c r="E217" i="10"/>
  <c r="O217" i="10" s="1"/>
  <c r="F217" i="10"/>
  <c r="E218" i="10"/>
  <c r="O218" i="10" s="1"/>
  <c r="F218" i="10"/>
  <c r="E219" i="10"/>
  <c r="O219" i="10" s="1"/>
  <c r="F219" i="10"/>
  <c r="E220" i="10"/>
  <c r="O220" i="10" s="1"/>
  <c r="F220" i="10"/>
  <c r="E221" i="10"/>
  <c r="O221" i="10" s="1"/>
  <c r="F221" i="10"/>
  <c r="E222" i="10"/>
  <c r="O222" i="10" s="1"/>
  <c r="F222" i="10"/>
  <c r="E223" i="10"/>
  <c r="O223" i="10" s="1"/>
  <c r="F223" i="10"/>
  <c r="E224" i="10"/>
  <c r="O224" i="10" s="1"/>
  <c r="F224" i="10"/>
  <c r="E225" i="10"/>
  <c r="O225" i="10" s="1"/>
  <c r="F225" i="10"/>
  <c r="E226" i="10"/>
  <c r="O226" i="10" s="1"/>
  <c r="F226" i="10"/>
  <c r="E227" i="10"/>
  <c r="O227" i="10" s="1"/>
  <c r="F227" i="10"/>
  <c r="E228" i="10"/>
  <c r="O228" i="10" s="1"/>
  <c r="F228" i="10"/>
  <c r="E229" i="10"/>
  <c r="O229" i="10" s="1"/>
  <c r="F229" i="10"/>
  <c r="E230" i="10"/>
  <c r="O230" i="10" s="1"/>
  <c r="F230" i="10"/>
  <c r="E231" i="10"/>
  <c r="O231" i="10" s="1"/>
  <c r="F231" i="10"/>
  <c r="E232" i="10"/>
  <c r="O232" i="10" s="1"/>
  <c r="F232" i="10"/>
  <c r="E233" i="10"/>
  <c r="O233" i="10" s="1"/>
  <c r="F233" i="10"/>
  <c r="E234" i="10"/>
  <c r="O234" i="10" s="1"/>
  <c r="F234" i="10"/>
  <c r="E235" i="10"/>
  <c r="O235" i="10" s="1"/>
  <c r="F235" i="10"/>
  <c r="E236" i="10"/>
  <c r="O236" i="10" s="1"/>
  <c r="F236" i="10"/>
  <c r="E237" i="10"/>
  <c r="O237" i="10" s="1"/>
  <c r="F237" i="10"/>
  <c r="E238" i="10"/>
  <c r="O238" i="10" s="1"/>
  <c r="F238" i="10"/>
  <c r="E239" i="10"/>
  <c r="O239" i="10" s="1"/>
  <c r="F239" i="10"/>
  <c r="E240" i="10"/>
  <c r="O240" i="10" s="1"/>
  <c r="F240" i="10"/>
  <c r="E241" i="10"/>
  <c r="O241" i="10" s="1"/>
  <c r="F241" i="10"/>
  <c r="E242" i="10"/>
  <c r="O242" i="10" s="1"/>
  <c r="F242" i="10"/>
  <c r="E243" i="10"/>
  <c r="O243" i="10" s="1"/>
  <c r="F243" i="10"/>
  <c r="E244" i="10"/>
  <c r="O244" i="10" s="1"/>
  <c r="F244" i="10"/>
  <c r="E245" i="10"/>
  <c r="O245" i="10" s="1"/>
  <c r="F245" i="10"/>
  <c r="E246" i="10"/>
  <c r="O246" i="10" s="1"/>
  <c r="F246" i="10"/>
  <c r="E247" i="10"/>
  <c r="O247" i="10" s="1"/>
  <c r="F247" i="10"/>
  <c r="F248" i="10"/>
  <c r="P248" i="10"/>
  <c r="Q248" i="10"/>
  <c r="R248" i="10"/>
  <c r="F249" i="10"/>
  <c r="P249" i="10"/>
  <c r="Q249" i="10"/>
  <c r="R249" i="10"/>
  <c r="F250" i="10"/>
  <c r="P250" i="10"/>
  <c r="Q250" i="10"/>
  <c r="R250" i="10"/>
  <c r="F251" i="10"/>
  <c r="P251" i="10"/>
  <c r="Q251" i="10"/>
  <c r="R251" i="10"/>
  <c r="F252" i="10"/>
  <c r="P252" i="10"/>
  <c r="Q252" i="10"/>
  <c r="R252" i="10"/>
  <c r="F253" i="10"/>
  <c r="P253" i="10"/>
  <c r="Q253" i="10"/>
  <c r="R253" i="10"/>
  <c r="F254" i="10"/>
  <c r="P254" i="10"/>
  <c r="Q254" i="10"/>
  <c r="R254" i="10"/>
  <c r="F255" i="10"/>
  <c r="P255" i="10"/>
  <c r="Q255" i="10"/>
  <c r="R255" i="10"/>
  <c r="F256" i="10"/>
  <c r="P256" i="10"/>
  <c r="Q256" i="10"/>
  <c r="R256" i="10"/>
  <c r="F257" i="10"/>
  <c r="P257" i="10"/>
  <c r="Q257" i="10"/>
  <c r="R257" i="10"/>
  <c r="E304" i="10"/>
  <c r="E306" i="10"/>
  <c r="E307" i="10"/>
  <c r="E308" i="10"/>
  <c r="E309" i="10"/>
  <c r="E311" i="10"/>
  <c r="E312" i="10"/>
  <c r="E313" i="10"/>
  <c r="E314" i="10"/>
  <c r="E315" i="10"/>
  <c r="E316" i="10"/>
  <c r="E317" i="10"/>
  <c r="E318" i="10"/>
  <c r="E319" i="10"/>
  <c r="E320" i="10"/>
  <c r="T320" i="10"/>
  <c r="U320" i="10"/>
  <c r="E321" i="10"/>
  <c r="T321" i="10"/>
  <c r="U321" i="10"/>
  <c r="E322" i="10"/>
  <c r="T322" i="10"/>
  <c r="U322" i="10"/>
  <c r="E323" i="10"/>
  <c r="T323" i="10"/>
  <c r="U323" i="10"/>
  <c r="E324" i="10"/>
  <c r="T324" i="10"/>
  <c r="U324" i="10"/>
  <c r="E325" i="10"/>
  <c r="T325" i="10"/>
  <c r="U325" i="10"/>
  <c r="E326" i="10"/>
  <c r="T326" i="10"/>
  <c r="U326" i="10"/>
  <c r="E327" i="10"/>
  <c r="T327" i="10"/>
  <c r="U327" i="10"/>
  <c r="E328" i="10"/>
  <c r="T328" i="10"/>
  <c r="U328" i="10"/>
  <c r="E329" i="10"/>
  <c r="T329" i="10"/>
  <c r="U329" i="10"/>
  <c r="E330" i="10"/>
  <c r="T330" i="10"/>
  <c r="U330" i="10"/>
  <c r="E331" i="10"/>
  <c r="T331" i="10"/>
  <c r="U331" i="10"/>
  <c r="E332" i="10"/>
  <c r="T332" i="10"/>
  <c r="U332" i="10"/>
  <c r="E333" i="10"/>
  <c r="T333" i="10"/>
  <c r="U333" i="10"/>
  <c r="E334" i="10"/>
  <c r="T334" i="10"/>
  <c r="U334" i="10"/>
  <c r="E335" i="10"/>
  <c r="T335" i="10"/>
  <c r="U335" i="10"/>
  <c r="E336" i="10"/>
  <c r="T336" i="10"/>
  <c r="U336" i="10"/>
  <c r="E337" i="10"/>
  <c r="T337" i="10"/>
  <c r="U337" i="10"/>
  <c r="E338" i="10"/>
  <c r="T338" i="10"/>
  <c r="U338" i="10"/>
  <c r="E339" i="10"/>
  <c r="T339" i="10"/>
  <c r="U339" i="10"/>
  <c r="E340" i="10"/>
  <c r="T340" i="10"/>
  <c r="U340" i="10"/>
  <c r="E341" i="10"/>
  <c r="T341" i="10"/>
  <c r="U341" i="10"/>
  <c r="E342" i="10"/>
  <c r="T342" i="10"/>
  <c r="U342" i="10"/>
  <c r="E343" i="10"/>
  <c r="T343" i="10"/>
  <c r="U343" i="10"/>
  <c r="E344" i="10"/>
  <c r="T344" i="10"/>
  <c r="U344" i="10"/>
  <c r="E345" i="10"/>
  <c r="T345" i="10"/>
  <c r="U345" i="10"/>
  <c r="E346" i="10"/>
  <c r="T346" i="10"/>
  <c r="U346" i="10"/>
  <c r="E347" i="10"/>
  <c r="T347" i="10"/>
  <c r="U347" i="10"/>
  <c r="E348" i="10"/>
  <c r="T348" i="10"/>
  <c r="U348" i="10"/>
  <c r="E349" i="10"/>
  <c r="T349" i="10"/>
  <c r="U349" i="10"/>
  <c r="E350" i="10"/>
  <c r="T350" i="10"/>
  <c r="U350" i="10"/>
  <c r="E351" i="10"/>
  <c r="T351" i="10"/>
  <c r="U351" i="10"/>
  <c r="E352" i="10"/>
  <c r="T353" i="10"/>
  <c r="U353" i="10"/>
  <c r="E354" i="10"/>
  <c r="T354" i="10"/>
  <c r="U354" i="10"/>
  <c r="E355" i="10"/>
  <c r="T355" i="10"/>
  <c r="U355" i="10"/>
  <c r="E356" i="10"/>
  <c r="T356" i="10"/>
  <c r="U356" i="10"/>
  <c r="E357" i="10"/>
  <c r="T357" i="10"/>
  <c r="U357" i="10"/>
  <c r="E358" i="10"/>
  <c r="T358" i="10"/>
  <c r="U358" i="10"/>
  <c r="E359" i="10"/>
  <c r="T359" i="10"/>
  <c r="U359" i="10"/>
  <c r="E360" i="10"/>
  <c r="T360" i="10"/>
  <c r="U360" i="10"/>
  <c r="E361" i="10"/>
  <c r="T361" i="10"/>
  <c r="U361" i="10"/>
  <c r="E362" i="10"/>
  <c r="T362" i="10"/>
  <c r="U362" i="10"/>
  <c r="E363" i="10"/>
  <c r="T363" i="10"/>
  <c r="U363" i="10"/>
  <c r="E364" i="10"/>
  <c r="T364" i="10"/>
  <c r="U364" i="10"/>
  <c r="E365" i="10"/>
  <c r="T365" i="10"/>
  <c r="U365" i="10"/>
  <c r="E366" i="10"/>
  <c r="T366" i="10"/>
  <c r="U366" i="10"/>
  <c r="E367" i="10"/>
  <c r="T367" i="10"/>
  <c r="U367" i="10"/>
  <c r="E368" i="10"/>
  <c r="T368" i="10"/>
  <c r="U368" i="10"/>
  <c r="E369" i="10"/>
  <c r="T369" i="10"/>
  <c r="U369" i="10"/>
  <c r="E370" i="10"/>
  <c r="T370" i="10"/>
  <c r="U370" i="10"/>
  <c r="E371" i="10"/>
  <c r="T371" i="10"/>
  <c r="U371" i="10"/>
  <c r="E372" i="10"/>
  <c r="T372" i="10"/>
  <c r="U372" i="10"/>
  <c r="E373" i="10"/>
  <c r="T373" i="10"/>
  <c r="U373" i="10"/>
  <c r="E374" i="10"/>
  <c r="T374" i="10"/>
  <c r="U374" i="10"/>
  <c r="E375" i="10"/>
  <c r="T375" i="10"/>
  <c r="U375" i="10"/>
  <c r="E376" i="10"/>
  <c r="T376" i="10"/>
  <c r="U376" i="10"/>
  <c r="E377" i="10"/>
  <c r="T377" i="10"/>
  <c r="U377" i="10"/>
  <c r="E378" i="10"/>
  <c r="T378" i="10"/>
  <c r="U378" i="10"/>
  <c r="E379" i="10"/>
  <c r="E380" i="10"/>
  <c r="T381" i="10"/>
  <c r="U381" i="10"/>
  <c r="E382" i="10"/>
  <c r="T382" i="10"/>
  <c r="U382" i="10"/>
  <c r="E383" i="10"/>
  <c r="T383" i="10"/>
  <c r="U383" i="10"/>
  <c r="E384" i="10"/>
  <c r="T384" i="10"/>
  <c r="U384" i="10"/>
  <c r="E385" i="10"/>
  <c r="T385" i="10"/>
  <c r="U385" i="10"/>
  <c r="E386" i="10"/>
  <c r="T386" i="10"/>
  <c r="U386" i="10"/>
  <c r="E387" i="10"/>
  <c r="T387" i="10"/>
  <c r="U387" i="10"/>
  <c r="E388" i="10"/>
  <c r="T388" i="10"/>
  <c r="U388" i="10"/>
  <c r="E389" i="10"/>
  <c r="T389" i="10"/>
  <c r="U389" i="10"/>
  <c r="E390" i="10"/>
  <c r="T390" i="10"/>
  <c r="U390" i="10"/>
  <c r="E391" i="10"/>
  <c r="T391" i="10"/>
  <c r="U391" i="10"/>
  <c r="E392" i="10"/>
  <c r="T392" i="10"/>
  <c r="U392" i="10"/>
  <c r="E393" i="10"/>
  <c r="T393" i="10"/>
  <c r="U393" i="10"/>
  <c r="E394" i="10"/>
  <c r="T394" i="10"/>
  <c r="U394" i="10"/>
  <c r="E395" i="10"/>
  <c r="T395" i="10"/>
  <c r="U395" i="10"/>
  <c r="E396" i="10"/>
  <c r="T396" i="10"/>
  <c r="U396" i="10"/>
  <c r="E397" i="10"/>
  <c r="T397" i="10"/>
  <c r="U397" i="10"/>
  <c r="E398" i="10"/>
  <c r="T398" i="10"/>
  <c r="U398" i="10"/>
  <c r="E399" i="10"/>
  <c r="T399" i="10"/>
  <c r="U399" i="10"/>
  <c r="E400" i="10"/>
  <c r="T400" i="10"/>
  <c r="U400" i="10"/>
  <c r="E401" i="10"/>
  <c r="T401" i="10"/>
  <c r="U401" i="10"/>
  <c r="E402" i="10"/>
  <c r="T402" i="10"/>
  <c r="U402" i="10"/>
  <c r="E403" i="10"/>
  <c r="T403" i="10"/>
  <c r="U403" i="10"/>
  <c r="E404" i="10"/>
  <c r="E406" i="10"/>
  <c r="T406" i="10"/>
  <c r="U406" i="10"/>
  <c r="E407" i="10"/>
  <c r="T407" i="10"/>
  <c r="U407" i="10"/>
  <c r="E408" i="10"/>
  <c r="T408" i="10"/>
  <c r="U408" i="10"/>
  <c r="E409" i="10"/>
  <c r="T409" i="10"/>
  <c r="U409" i="10"/>
  <c r="E410" i="10"/>
  <c r="T410" i="10"/>
  <c r="U410" i="10"/>
  <c r="E411" i="10"/>
  <c r="T411" i="10"/>
  <c r="U411" i="10"/>
  <c r="E412" i="10"/>
  <c r="T412" i="10"/>
  <c r="U412" i="10"/>
  <c r="E413" i="10"/>
  <c r="T413" i="10"/>
  <c r="U413" i="10"/>
  <c r="E414" i="10"/>
  <c r="T414" i="10"/>
  <c r="U414" i="10"/>
  <c r="E415" i="10"/>
  <c r="T415" i="10"/>
  <c r="U415" i="10"/>
  <c r="E416" i="10"/>
  <c r="T416" i="10"/>
  <c r="U416" i="10"/>
  <c r="E417" i="10"/>
  <c r="T417" i="10"/>
  <c r="U417" i="10"/>
  <c r="E418" i="10"/>
  <c r="T418" i="10"/>
  <c r="U418" i="10"/>
  <c r="E419" i="10"/>
  <c r="T419" i="10"/>
  <c r="U419" i="10"/>
  <c r="E420" i="10"/>
  <c r="T421" i="10"/>
  <c r="U421" i="10"/>
  <c r="E422" i="10"/>
  <c r="T422" i="10"/>
  <c r="U422" i="10"/>
  <c r="E423" i="10"/>
  <c r="T423" i="10"/>
  <c r="U423" i="10"/>
  <c r="E424" i="10"/>
  <c r="T424" i="10"/>
  <c r="U424" i="10"/>
  <c r="E425" i="10"/>
  <c r="T425" i="10"/>
  <c r="U425" i="10"/>
  <c r="E426" i="10"/>
  <c r="T426" i="10"/>
  <c r="U426" i="10"/>
  <c r="E427" i="10"/>
  <c r="T427" i="10"/>
  <c r="U427" i="10"/>
  <c r="E428" i="10"/>
  <c r="T428" i="10"/>
  <c r="U428" i="10"/>
  <c r="E429" i="10"/>
  <c r="T429" i="10"/>
  <c r="U429" i="10"/>
  <c r="E430" i="10"/>
  <c r="T430" i="10"/>
  <c r="U430" i="10"/>
  <c r="E431" i="10"/>
  <c r="T431" i="10"/>
  <c r="U431" i="10"/>
  <c r="E432" i="10"/>
  <c r="T432" i="10"/>
  <c r="U432" i="10"/>
  <c r="E433" i="10"/>
  <c r="T433" i="10"/>
  <c r="U433" i="10"/>
  <c r="E434" i="10"/>
  <c r="T434" i="10"/>
  <c r="U434" i="10"/>
  <c r="E435" i="10"/>
  <c r="T435" i="10"/>
  <c r="U435" i="10"/>
  <c r="E436" i="10"/>
  <c r="T436" i="10"/>
  <c r="U436" i="10"/>
  <c r="E437" i="10"/>
  <c r="T437" i="10"/>
  <c r="U437" i="10"/>
  <c r="E438" i="10"/>
  <c r="T438" i="10"/>
  <c r="U438" i="10"/>
  <c r="E439" i="10"/>
  <c r="T439" i="10"/>
  <c r="U439" i="10"/>
  <c r="E440" i="10"/>
  <c r="T440" i="10"/>
  <c r="U440" i="10"/>
  <c r="E441" i="10"/>
  <c r="T441" i="10"/>
  <c r="U441" i="10"/>
  <c r="E442" i="10"/>
  <c r="T442" i="10"/>
  <c r="U442" i="10"/>
  <c r="E443" i="10"/>
  <c r="T443" i="10"/>
  <c r="U443" i="10"/>
  <c r="E444" i="10"/>
  <c r="T444" i="10"/>
  <c r="U444" i="10"/>
  <c r="E445" i="10"/>
  <c r="T445" i="10"/>
  <c r="U445" i="10"/>
  <c r="E446" i="10"/>
  <c r="T446" i="10"/>
  <c r="U446" i="10"/>
  <c r="E447" i="10"/>
  <c r="T447" i="10"/>
  <c r="U447" i="10"/>
  <c r="E448" i="10"/>
  <c r="T448" i="10"/>
  <c r="U448" i="10"/>
  <c r="E449" i="10"/>
  <c r="T449" i="10"/>
  <c r="U449" i="10"/>
  <c r="E450" i="10"/>
  <c r="T450" i="10"/>
  <c r="U450" i="10"/>
  <c r="E451" i="10"/>
  <c r="T452" i="10"/>
  <c r="U452" i="10"/>
  <c r="E453" i="10"/>
  <c r="T453" i="10"/>
  <c r="U453" i="10"/>
  <c r="E454" i="10"/>
  <c r="T454" i="10"/>
  <c r="U454" i="10"/>
  <c r="E455" i="10"/>
  <c r="T457" i="10"/>
  <c r="U457" i="10"/>
  <c r="E458" i="10"/>
  <c r="T458" i="10"/>
  <c r="U458" i="10"/>
  <c r="E459" i="10"/>
  <c r="T459" i="10"/>
  <c r="U459" i="10"/>
  <c r="E460" i="10"/>
  <c r="T460" i="10"/>
  <c r="U460" i="10"/>
  <c r="E461" i="10"/>
  <c r="T462" i="10"/>
  <c r="U462" i="10"/>
  <c r="E463" i="10"/>
  <c r="T463" i="10"/>
  <c r="U463" i="10"/>
  <c r="E464" i="10"/>
  <c r="T464" i="10"/>
  <c r="U464" i="10"/>
  <c r="E465" i="10"/>
  <c r="T465" i="10"/>
  <c r="U465" i="10"/>
  <c r="E466" i="10"/>
  <c r="T466" i="10"/>
  <c r="U466" i="10"/>
  <c r="E467" i="10"/>
  <c r="T467" i="10"/>
  <c r="U467" i="10"/>
  <c r="E468" i="10"/>
  <c r="E469" i="10"/>
  <c r="E470" i="10"/>
  <c r="T470" i="10"/>
  <c r="U470" i="10"/>
  <c r="E471" i="10"/>
  <c r="T471" i="10"/>
  <c r="U471" i="10"/>
  <c r="E472" i="10"/>
  <c r="T472" i="10"/>
  <c r="U472" i="10"/>
  <c r="E473" i="10"/>
  <c r="T473" i="10"/>
  <c r="U473" i="10"/>
  <c r="E474" i="10"/>
  <c r="T474" i="10"/>
  <c r="U474" i="10"/>
  <c r="E475" i="10"/>
  <c r="T475" i="10"/>
  <c r="U475" i="10"/>
  <c r="E476" i="10"/>
  <c r="T476" i="10"/>
  <c r="U476" i="10"/>
  <c r="E477" i="10"/>
  <c r="T477" i="10"/>
  <c r="U477" i="10"/>
  <c r="E478" i="10"/>
  <c r="T478" i="10"/>
  <c r="U478" i="10"/>
  <c r="E479" i="10"/>
  <c r="T479" i="10"/>
  <c r="U479" i="10"/>
  <c r="E480" i="10"/>
  <c r="T480" i="10"/>
  <c r="U480" i="10"/>
  <c r="E481" i="10"/>
  <c r="T481" i="10"/>
  <c r="U481" i="10"/>
  <c r="E482" i="10"/>
  <c r="T482" i="10"/>
  <c r="U482" i="10"/>
  <c r="E483" i="10"/>
  <c r="T483" i="10"/>
  <c r="U483" i="10"/>
  <c r="E484" i="10"/>
  <c r="T484" i="10"/>
  <c r="U484" i="10"/>
  <c r="E485" i="10"/>
  <c r="T485" i="10"/>
  <c r="U485" i="10"/>
  <c r="E486" i="10"/>
  <c r="T486" i="10"/>
  <c r="U486" i="10"/>
  <c r="E487" i="10"/>
  <c r="T487" i="10"/>
  <c r="U487" i="10"/>
  <c r="E488" i="10"/>
  <c r="T488" i="10"/>
  <c r="U488" i="10"/>
  <c r="E489" i="10"/>
  <c r="T489" i="10"/>
  <c r="U489" i="10"/>
  <c r="E490" i="10"/>
  <c r="T490" i="10"/>
  <c r="U490" i="10"/>
  <c r="E491" i="10"/>
  <c r="T491" i="10"/>
  <c r="U491" i="10"/>
  <c r="E492" i="10"/>
  <c r="T492" i="10"/>
  <c r="U492" i="10"/>
  <c r="E493" i="10"/>
  <c r="T493" i="10"/>
  <c r="U493" i="10"/>
  <c r="E494" i="10"/>
  <c r="T494" i="10"/>
  <c r="U494" i="10"/>
  <c r="E495" i="10"/>
  <c r="T495" i="10"/>
  <c r="U495" i="10"/>
  <c r="E496" i="10"/>
  <c r="T496" i="10"/>
  <c r="U496" i="10"/>
  <c r="E497" i="10"/>
  <c r="T497" i="10"/>
  <c r="U497" i="10"/>
  <c r="E498" i="10"/>
  <c r="T498" i="10"/>
  <c r="U498" i="10"/>
  <c r="E499" i="10"/>
  <c r="T499" i="10"/>
  <c r="U499" i="10"/>
  <c r="E500" i="10"/>
  <c r="T500" i="10"/>
  <c r="U500" i="10"/>
  <c r="E501" i="10"/>
  <c r="T501" i="10"/>
  <c r="U501" i="10"/>
  <c r="E502" i="10"/>
  <c r="T502" i="10"/>
  <c r="U502" i="10"/>
  <c r="E503" i="10"/>
  <c r="T503" i="10"/>
  <c r="U503" i="10"/>
  <c r="E504" i="10"/>
  <c r="T504" i="10"/>
  <c r="U504" i="10"/>
  <c r="E505" i="10"/>
  <c r="E506" i="10"/>
  <c r="E507" i="10"/>
  <c r="T507" i="10"/>
  <c r="U507" i="10"/>
  <c r="E508" i="10"/>
  <c r="T508" i="10"/>
  <c r="U508" i="10"/>
  <c r="E509" i="10"/>
  <c r="T509" i="10"/>
  <c r="U509" i="10"/>
  <c r="E510" i="10"/>
  <c r="T510" i="10"/>
  <c r="U510" i="10"/>
  <c r="E511" i="10"/>
  <c r="T511" i="10"/>
  <c r="U511" i="10"/>
  <c r="E512" i="10"/>
  <c r="T512" i="10"/>
  <c r="U512" i="10"/>
  <c r="E513" i="10"/>
  <c r="T513" i="10"/>
  <c r="U513" i="10"/>
  <c r="E514" i="10"/>
  <c r="T514" i="10"/>
  <c r="U514" i="10"/>
  <c r="E515" i="10"/>
  <c r="T515" i="10"/>
  <c r="U515" i="10"/>
  <c r="E516" i="10"/>
  <c r="T516" i="10"/>
  <c r="U516" i="10"/>
  <c r="E517" i="10"/>
  <c r="T517" i="10"/>
  <c r="U517" i="10"/>
  <c r="E518" i="10"/>
  <c r="T518" i="10"/>
  <c r="U518" i="10"/>
  <c r="E519" i="10"/>
  <c r="T519" i="10"/>
  <c r="U519" i="10"/>
  <c r="E520" i="10"/>
  <c r="T520" i="10"/>
  <c r="U520" i="10"/>
  <c r="E521" i="10"/>
  <c r="T521" i="10"/>
  <c r="U521" i="10"/>
  <c r="E522" i="10"/>
  <c r="T522" i="10"/>
  <c r="U522" i="10"/>
  <c r="E523" i="10"/>
  <c r="T523" i="10"/>
  <c r="U523" i="10"/>
  <c r="E524" i="10"/>
  <c r="T524" i="10"/>
  <c r="U524" i="10"/>
  <c r="E525" i="10"/>
  <c r="T525" i="10"/>
  <c r="U525" i="10"/>
  <c r="E526" i="10"/>
  <c r="T526" i="10"/>
  <c r="U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AQ137" i="2"/>
  <c r="AI137" i="2"/>
  <c r="Q11" i="2"/>
  <c r="K11" i="2" s="1"/>
  <c r="Q12" i="2"/>
  <c r="G389" i="35" s="1"/>
  <c r="Q13" i="2"/>
  <c r="Q14" i="2"/>
  <c r="Q15" i="2"/>
  <c r="Q16" i="2"/>
  <c r="Q17" i="2"/>
  <c r="W17" i="2" s="1"/>
  <c r="Q18" i="2"/>
  <c r="W18" i="2" s="1"/>
  <c r="Q19" i="2"/>
  <c r="Q20" i="2"/>
  <c r="Q21" i="2"/>
  <c r="Q22" i="2"/>
  <c r="Q23" i="2"/>
  <c r="Q24" i="2"/>
  <c r="Q25" i="2"/>
  <c r="Q26" i="2"/>
  <c r="Q27" i="2"/>
  <c r="Q28" i="2"/>
  <c r="Q29" i="2"/>
  <c r="Q30" i="2"/>
  <c r="Q110" i="2"/>
  <c r="AP110" i="2" s="1"/>
  <c r="Q111" i="2"/>
  <c r="R111" i="2" s="1"/>
  <c r="S111" i="2" s="1"/>
  <c r="Q112" i="2"/>
  <c r="AQ112" i="2" s="1"/>
  <c r="Q113" i="2"/>
  <c r="Q114" i="2"/>
  <c r="Q115" i="2"/>
  <c r="Q116" i="2"/>
  <c r="Q117" i="2"/>
  <c r="Q118" i="2"/>
  <c r="Q119" i="2"/>
  <c r="Q120" i="2"/>
  <c r="Q121" i="2"/>
  <c r="Q122" i="2"/>
  <c r="Q123" i="2"/>
  <c r="Q124" i="2"/>
  <c r="Q125" i="2"/>
  <c r="Q126" i="2"/>
  <c r="Q127" i="2"/>
  <c r="Q128" i="2"/>
  <c r="Q129" i="2"/>
  <c r="Q209" i="2"/>
  <c r="AP209" i="2" s="1"/>
  <c r="Q210" i="2"/>
  <c r="V210" i="2" s="1"/>
  <c r="Q211" i="2"/>
  <c r="R211" i="2" s="1"/>
  <c r="S211" i="2" s="1"/>
  <c r="Q212" i="2"/>
  <c r="R212" i="2" s="1"/>
  <c r="S212" i="2" s="1"/>
  <c r="Q213" i="2"/>
  <c r="Q214" i="2"/>
  <c r="Q215" i="2"/>
  <c r="Q216" i="2"/>
  <c r="Q217" i="2"/>
  <c r="Q218" i="2"/>
  <c r="Q219" i="2"/>
  <c r="Q220" i="2"/>
  <c r="Q221" i="2"/>
  <c r="Q222" i="2"/>
  <c r="Q223" i="2"/>
  <c r="Q224" i="2"/>
  <c r="Q225" i="2"/>
  <c r="Q226" i="2"/>
  <c r="Q227" i="2"/>
  <c r="Q228" i="2"/>
  <c r="Q308" i="2"/>
  <c r="Q309" i="2"/>
  <c r="Q310" i="2"/>
  <c r="Q311" i="2"/>
  <c r="R311" i="2" s="1"/>
  <c r="S311" i="2" s="1"/>
  <c r="Q312" i="2"/>
  <c r="Q313" i="2"/>
  <c r="Q314" i="2"/>
  <c r="Q315" i="2"/>
  <c r="Q316" i="2"/>
  <c r="Q317" i="2"/>
  <c r="Q318" i="2"/>
  <c r="Q319" i="2"/>
  <c r="Q320" i="2"/>
  <c r="Q321" i="2"/>
  <c r="Q322" i="2"/>
  <c r="Q323" i="2"/>
  <c r="Q324" i="2"/>
  <c r="Q325" i="2"/>
  <c r="Q326" i="2"/>
  <c r="Q327" i="2"/>
  <c r="Q407" i="2"/>
  <c r="AR407" i="2" s="1"/>
  <c r="Q408" i="2"/>
  <c r="AS408" i="2" s="1"/>
  <c r="Q409" i="2"/>
  <c r="AP409" i="2" s="1"/>
  <c r="Q410" i="2"/>
  <c r="Q411" i="2"/>
  <c r="Q412" i="2"/>
  <c r="Q413" i="2"/>
  <c r="Q414" i="2"/>
  <c r="Q415" i="2"/>
  <c r="Q416" i="2"/>
  <c r="Q417" i="2"/>
  <c r="Q418" i="2"/>
  <c r="Q419" i="2"/>
  <c r="Q420" i="2"/>
  <c r="Q421" i="2"/>
  <c r="Q422" i="2"/>
  <c r="Q423" i="2"/>
  <c r="Q424" i="2"/>
  <c r="Q425" i="2"/>
  <c r="Q426" i="2"/>
  <c r="Q38" i="2"/>
  <c r="Q39" i="2"/>
  <c r="Q40" i="2"/>
  <c r="Q41" i="2"/>
  <c r="Q42" i="2"/>
  <c r="Q43" i="2"/>
  <c r="Q44" i="2"/>
  <c r="Q45" i="2"/>
  <c r="Q46" i="2"/>
  <c r="Q47" i="2"/>
  <c r="Q48" i="2"/>
  <c r="Q49" i="2"/>
  <c r="Q138" i="2"/>
  <c r="Q139" i="2"/>
  <c r="Q140" i="2"/>
  <c r="I561" i="2" s="1"/>
  <c r="Q141" i="2"/>
  <c r="Q142" i="2"/>
  <c r="Q143" i="2"/>
  <c r="Q144" i="2"/>
  <c r="Q145" i="2"/>
  <c r="AR145" i="2" s="1"/>
  <c r="Q146" i="2"/>
  <c r="Q147" i="2"/>
  <c r="Q148" i="2"/>
  <c r="AR148" i="2" s="1"/>
  <c r="Q236" i="2"/>
  <c r="Q237" i="2"/>
  <c r="Q238" i="2"/>
  <c r="Q239" i="2"/>
  <c r="Q240" i="2"/>
  <c r="Q241" i="2"/>
  <c r="Q242" i="2"/>
  <c r="Q243" i="2"/>
  <c r="Q244" i="2"/>
  <c r="Q245" i="2"/>
  <c r="Q246" i="2"/>
  <c r="Q247" i="2"/>
  <c r="Q335" i="2"/>
  <c r="K335" i="2" s="1"/>
  <c r="Q336" i="2"/>
  <c r="Q337" i="2"/>
  <c r="Q338" i="2"/>
  <c r="Q339" i="2"/>
  <c r="Q340" i="2"/>
  <c r="Q341" i="2"/>
  <c r="Q342" i="2"/>
  <c r="Q343" i="2"/>
  <c r="Q344" i="2"/>
  <c r="Q345" i="2"/>
  <c r="Q346" i="2"/>
  <c r="Q434" i="2"/>
  <c r="Q435" i="2"/>
  <c r="Q436" i="2"/>
  <c r="Q437" i="2"/>
  <c r="Q438" i="2"/>
  <c r="Q439" i="2"/>
  <c r="Q440" i="2"/>
  <c r="Q441" i="2"/>
  <c r="Q442" i="2"/>
  <c r="Q443" i="2"/>
  <c r="Q444" i="2"/>
  <c r="Q445" i="2"/>
  <c r="Q57" i="2"/>
  <c r="K57" i="2" s="1"/>
  <c r="Q60" i="2"/>
  <c r="K60" i="2" s="1"/>
  <c r="Q61" i="2"/>
  <c r="Q62" i="2"/>
  <c r="Q63" i="2"/>
  <c r="Q64" i="2"/>
  <c r="Q65" i="2"/>
  <c r="Q66" i="2"/>
  <c r="Q67" i="2"/>
  <c r="K67" i="2" s="1"/>
  <c r="E28" i="15" s="1"/>
  <c r="F28" i="15" s="1"/>
  <c r="Q68" i="2"/>
  <c r="K68" i="2" s="1"/>
  <c r="Q69" i="2"/>
  <c r="Q70" i="2"/>
  <c r="Q71" i="2"/>
  <c r="K71" i="2" s="1"/>
  <c r="Q72" i="2"/>
  <c r="K72" i="2" s="1"/>
  <c r="Q73" i="2"/>
  <c r="Q74" i="2"/>
  <c r="K74" i="2" s="1"/>
  <c r="Q75" i="2"/>
  <c r="Q76" i="2"/>
  <c r="Q77" i="2"/>
  <c r="Q78" i="2"/>
  <c r="Q79" i="2"/>
  <c r="Q80" i="2"/>
  <c r="Q81" i="2"/>
  <c r="Q156" i="2"/>
  <c r="Q157" i="2"/>
  <c r="Q158" i="2"/>
  <c r="Q159" i="2"/>
  <c r="Q160" i="2"/>
  <c r="Q161" i="2"/>
  <c r="K161" i="2" s="1"/>
  <c r="E221" i="15" s="1"/>
  <c r="F221" i="15" s="1"/>
  <c r="Q162" i="2"/>
  <c r="Q163" i="2"/>
  <c r="Q164" i="2"/>
  <c r="Q165" i="2"/>
  <c r="K165" i="2" s="1"/>
  <c r="Q166" i="2"/>
  <c r="K166" i="2" s="1"/>
  <c r="Q167" i="2"/>
  <c r="K167" i="2" s="1"/>
  <c r="Q168" i="2"/>
  <c r="K168" i="2" s="1"/>
  <c r="W169" i="2"/>
  <c r="AO170" i="2"/>
  <c r="AD171" i="2"/>
  <c r="V172" i="2"/>
  <c r="AQ173" i="2"/>
  <c r="AL175" i="2"/>
  <c r="AS176" i="2"/>
  <c r="AQ177" i="2"/>
  <c r="AE178" i="2"/>
  <c r="AI179" i="2"/>
  <c r="Q180" i="2"/>
  <c r="Q255" i="2"/>
  <c r="Q256" i="2"/>
  <c r="Q257" i="2"/>
  <c r="Q258" i="2"/>
  <c r="K258" i="2" s="1"/>
  <c r="Q259" i="2"/>
  <c r="Q260" i="2"/>
  <c r="Q261" i="2"/>
  <c r="Q262" i="2"/>
  <c r="Q263" i="2"/>
  <c r="Q264" i="2"/>
  <c r="Q265" i="2"/>
  <c r="Q266" i="2"/>
  <c r="Q267" i="2"/>
  <c r="Q268" i="2"/>
  <c r="Q269" i="2"/>
  <c r="Q270" i="2"/>
  <c r="Q271" i="2"/>
  <c r="Q272" i="2"/>
  <c r="Q273" i="2"/>
  <c r="Q274" i="2"/>
  <c r="Q275" i="2"/>
  <c r="Q276" i="2"/>
  <c r="Q277" i="2"/>
  <c r="Q278" i="2"/>
  <c r="Q279" i="2"/>
  <c r="Q354" i="2"/>
  <c r="Q355" i="2"/>
  <c r="Q356" i="2"/>
  <c r="Q357" i="2"/>
  <c r="Q358" i="2"/>
  <c r="Q359" i="2"/>
  <c r="Q360" i="2"/>
  <c r="Q361" i="2"/>
  <c r="Q362" i="2"/>
  <c r="Q363" i="2"/>
  <c r="Q364" i="2"/>
  <c r="K364" i="2" s="1"/>
  <c r="Q365" i="2"/>
  <c r="K365" i="2" s="1"/>
  <c r="Q366" i="2"/>
  <c r="K366" i="2" s="1"/>
  <c r="Q367" i="2"/>
  <c r="Q368" i="2"/>
  <c r="Q369" i="2"/>
  <c r="Q370" i="2"/>
  <c r="Q371" i="2"/>
  <c r="Q372" i="2"/>
  <c r="Q373" i="2"/>
  <c r="Q374" i="2"/>
  <c r="Q375" i="2"/>
  <c r="Q376" i="2"/>
  <c r="Q377" i="2"/>
  <c r="Q378" i="2"/>
  <c r="Q453" i="2"/>
  <c r="Q454" i="2"/>
  <c r="Q455" i="2"/>
  <c r="Q456" i="2"/>
  <c r="Q457" i="2"/>
  <c r="K457" i="2" s="1"/>
  <c r="Q458" i="2"/>
  <c r="K458" i="2" s="1"/>
  <c r="Q459" i="2"/>
  <c r="Q460" i="2"/>
  <c r="Q461" i="2"/>
  <c r="K461" i="2" s="1"/>
  <c r="Q462" i="2"/>
  <c r="Q463" i="2"/>
  <c r="K463" i="2" s="1"/>
  <c r="Q464" i="2"/>
  <c r="Q465" i="2"/>
  <c r="K465" i="2" s="1"/>
  <c r="Q466" i="2"/>
  <c r="Q467" i="2"/>
  <c r="Q468" i="2"/>
  <c r="K468" i="2" s="1"/>
  <c r="Q469" i="2"/>
  <c r="K469" i="2" s="1"/>
  <c r="Q470" i="2"/>
  <c r="Q471" i="2"/>
  <c r="K471" i="2" s="1"/>
  <c r="Q472" i="2"/>
  <c r="Q473" i="2"/>
  <c r="Q474" i="2"/>
  <c r="Q475" i="2"/>
  <c r="Q476" i="2"/>
  <c r="Q477" i="2"/>
  <c r="AM477" i="2" s="1"/>
  <c r="Q89" i="2"/>
  <c r="Q90" i="2"/>
  <c r="Q91" i="2"/>
  <c r="Q92" i="2"/>
  <c r="Q93" i="2"/>
  <c r="Q94" i="2"/>
  <c r="Q95" i="2"/>
  <c r="Q96" i="2"/>
  <c r="Q97" i="2"/>
  <c r="W97" i="2" s="1"/>
  <c r="Q98" i="2"/>
  <c r="Q99" i="2"/>
  <c r="W99" i="2" s="1"/>
  <c r="Q100" i="2"/>
  <c r="W100" i="2" s="1"/>
  <c r="Q188" i="2"/>
  <c r="Q189" i="2"/>
  <c r="Q190" i="2"/>
  <c r="Q191" i="2"/>
  <c r="Q192" i="2"/>
  <c r="Q193" i="2"/>
  <c r="Q194" i="2"/>
  <c r="Q195" i="2"/>
  <c r="Q196" i="2"/>
  <c r="Q197" i="2"/>
  <c r="AR197" i="2" s="1"/>
  <c r="Q198" i="2"/>
  <c r="Q199" i="2"/>
  <c r="X199" i="2" s="1"/>
  <c r="Q287" i="2"/>
  <c r="Q288" i="2"/>
  <c r="Q289" i="2"/>
  <c r="Q290" i="2"/>
  <c r="Q291" i="2"/>
  <c r="Q292" i="2"/>
  <c r="Q293" i="2"/>
  <c r="Q294" i="2"/>
  <c r="Q295" i="2"/>
  <c r="Q296" i="2"/>
  <c r="Q297" i="2"/>
  <c r="X297" i="2" s="1"/>
  <c r="Q298" i="2"/>
  <c r="Q386" i="2"/>
  <c r="Q387" i="2"/>
  <c r="Q388" i="2"/>
  <c r="Q389" i="2"/>
  <c r="Q390" i="2"/>
  <c r="Q391" i="2"/>
  <c r="Q392" i="2"/>
  <c r="Q393" i="2"/>
  <c r="Q394" i="2"/>
  <c r="Q395" i="2"/>
  <c r="Q396" i="2"/>
  <c r="Q397" i="2"/>
  <c r="X397" i="2" s="1"/>
  <c r="Q485" i="2"/>
  <c r="Q486" i="2"/>
  <c r="Y486" i="2" s="1"/>
  <c r="Q487" i="2"/>
  <c r="AB487" i="2" s="1"/>
  <c r="Q488" i="2"/>
  <c r="AE488" i="2" s="1"/>
  <c r="Q489" i="2"/>
  <c r="AH489" i="2" s="1"/>
  <c r="Q490" i="2"/>
  <c r="Q491" i="2"/>
  <c r="R491" i="2" s="1"/>
  <c r="S491" i="2" s="1"/>
  <c r="Q492" i="2"/>
  <c r="AM492" i="2" s="1"/>
  <c r="Q493" i="2"/>
  <c r="AQ493" i="2" s="1"/>
  <c r="Q494" i="2"/>
  <c r="AL494" i="2" s="1"/>
  <c r="Q495" i="2"/>
  <c r="AP495" i="2" s="1"/>
  <c r="Q496" i="2"/>
  <c r="AK496" i="2" s="1"/>
  <c r="Q230" i="5"/>
  <c r="P228" i="36" s="1"/>
  <c r="E486" i="5"/>
  <c r="V453" i="5"/>
  <c r="V457" i="5"/>
  <c r="V460" i="5"/>
  <c r="V454" i="5"/>
  <c r="V461" i="5"/>
  <c r="V456" i="5"/>
  <c r="V458" i="5"/>
  <c r="V355" i="5"/>
  <c r="V356" i="5"/>
  <c r="V360" i="5"/>
  <c r="V361" i="5"/>
  <c r="V259" i="5"/>
  <c r="V267" i="5"/>
  <c r="V269" i="5"/>
  <c r="V258" i="5"/>
  <c r="V265" i="5"/>
  <c r="V261" i="5"/>
  <c r="V160" i="5"/>
  <c r="V167" i="5"/>
  <c r="V161" i="5"/>
  <c r="V165" i="5"/>
  <c r="V164" i="5"/>
  <c r="V157" i="5"/>
  <c r="V158" i="5"/>
  <c r="V168" i="5"/>
  <c r="V159" i="5"/>
  <c r="V163" i="5"/>
  <c r="V166" i="5"/>
  <c r="V58" i="5"/>
  <c r="V59" i="5"/>
  <c r="V60" i="5"/>
  <c r="V57" i="5"/>
  <c r="V139" i="5"/>
  <c r="V138" i="5"/>
  <c r="V141" i="5"/>
  <c r="V137" i="5"/>
  <c r="V239" i="5"/>
  <c r="V240" i="5"/>
  <c r="V236" i="5"/>
  <c r="AJ437" i="35" s="1"/>
  <c r="V237" i="5"/>
  <c r="V335" i="5"/>
  <c r="V338" i="5"/>
  <c r="V437" i="5"/>
  <c r="V434" i="5"/>
  <c r="AJ435" i="35" s="1"/>
  <c r="V39" i="5"/>
  <c r="V41" i="5"/>
  <c r="V38" i="5"/>
  <c r="V40" i="5"/>
  <c r="V110" i="5"/>
  <c r="V113" i="5"/>
  <c r="V112" i="5"/>
  <c r="V111" i="5"/>
  <c r="V211" i="5"/>
  <c r="V309" i="5"/>
  <c r="V310" i="5"/>
  <c r="V311" i="5"/>
  <c r="V308" i="5"/>
  <c r="V409" i="5"/>
  <c r="V411" i="5"/>
  <c r="V407" i="5"/>
  <c r="V410" i="5"/>
  <c r="V13" i="5"/>
  <c r="V16" i="5"/>
  <c r="V14" i="5"/>
  <c r="Q498" i="5"/>
  <c r="Q541" i="5" s="1"/>
  <c r="V188" i="5"/>
  <c r="V189" i="5"/>
  <c r="V190" i="5"/>
  <c r="V191" i="5"/>
  <c r="V192" i="5"/>
  <c r="V194" i="5"/>
  <c r="V195" i="5"/>
  <c r="V196" i="5"/>
  <c r="V197" i="5"/>
  <c r="V198" i="5"/>
  <c r="V199" i="5"/>
  <c r="V91" i="5"/>
  <c r="V92" i="5"/>
  <c r="V93" i="5"/>
  <c r="V95" i="5"/>
  <c r="V96" i="5"/>
  <c r="V97" i="5"/>
  <c r="V98" i="5"/>
  <c r="V99" i="5"/>
  <c r="V100" i="5"/>
  <c r="V172" i="5"/>
  <c r="V173" i="5"/>
  <c r="V174" i="5"/>
  <c r="V175" i="5"/>
  <c r="V176" i="5"/>
  <c r="V179" i="5"/>
  <c r="V180" i="5"/>
  <c r="V63" i="5"/>
  <c r="V64" i="5"/>
  <c r="V65" i="5"/>
  <c r="V66" i="5"/>
  <c r="V67" i="5"/>
  <c r="V68" i="5"/>
  <c r="V69" i="5"/>
  <c r="V70" i="5"/>
  <c r="V72" i="5"/>
  <c r="V73" i="5"/>
  <c r="V74" i="5"/>
  <c r="V75" i="5"/>
  <c r="V76" i="5"/>
  <c r="V77" i="5"/>
  <c r="V79" i="5"/>
  <c r="V80" i="5"/>
  <c r="V81" i="5"/>
  <c r="V142" i="5"/>
  <c r="V143" i="5"/>
  <c r="V144" i="5"/>
  <c r="V145" i="5"/>
  <c r="V146" i="5"/>
  <c r="V147" i="5"/>
  <c r="V148" i="5"/>
  <c r="V42" i="5"/>
  <c r="V43" i="5"/>
  <c r="V44" i="5"/>
  <c r="V46" i="5"/>
  <c r="V47" i="5"/>
  <c r="V48" i="5"/>
  <c r="V49" i="5"/>
  <c r="V114" i="5"/>
  <c r="V115" i="5"/>
  <c r="V116" i="5"/>
  <c r="V117" i="5"/>
  <c r="V118" i="5"/>
  <c r="V119" i="5"/>
  <c r="V120" i="5"/>
  <c r="V121" i="5"/>
  <c r="V122" i="5"/>
  <c r="V123" i="5"/>
  <c r="V124" i="5"/>
  <c r="V125" i="5"/>
  <c r="V126" i="5"/>
  <c r="V127" i="5"/>
  <c r="V128" i="5"/>
  <c r="V129" i="5"/>
  <c r="V17" i="5"/>
  <c r="V18" i="5"/>
  <c r="V21" i="5"/>
  <c r="V22" i="5"/>
  <c r="V23" i="5"/>
  <c r="V24" i="5"/>
  <c r="V26" i="5"/>
  <c r="V27" i="5"/>
  <c r="V28" i="5"/>
  <c r="V29" i="5"/>
  <c r="V30" i="5"/>
  <c r="V287" i="5"/>
  <c r="V288" i="5"/>
  <c r="V290" i="5"/>
  <c r="V291" i="5"/>
  <c r="V292" i="5"/>
  <c r="V294" i="5"/>
  <c r="V295" i="5"/>
  <c r="V296" i="5"/>
  <c r="V297" i="5"/>
  <c r="V298" i="5"/>
  <c r="V388" i="5"/>
  <c r="V389" i="5"/>
  <c r="V390" i="5"/>
  <c r="V392" i="5"/>
  <c r="V394" i="5"/>
  <c r="V395" i="5"/>
  <c r="V396" i="5"/>
  <c r="V397" i="5"/>
  <c r="V485" i="5"/>
  <c r="V486" i="5"/>
  <c r="V487" i="5"/>
  <c r="V488" i="5"/>
  <c r="V489" i="5"/>
  <c r="V490" i="5"/>
  <c r="V491" i="5"/>
  <c r="V492" i="5"/>
  <c r="V493" i="5"/>
  <c r="V494" i="5"/>
  <c r="V495" i="5"/>
  <c r="V496" i="5"/>
  <c r="V272" i="5"/>
  <c r="V273" i="5"/>
  <c r="V274" i="5"/>
  <c r="V275" i="5"/>
  <c r="V276" i="5"/>
  <c r="V279" i="5"/>
  <c r="V363" i="5"/>
  <c r="V366" i="5"/>
  <c r="V369" i="5"/>
  <c r="V370" i="5"/>
  <c r="V371" i="5"/>
  <c r="V374" i="5"/>
  <c r="V375" i="5"/>
  <c r="V376" i="5"/>
  <c r="V377" i="5"/>
  <c r="V378" i="5"/>
  <c r="V463" i="5"/>
  <c r="V464" i="5"/>
  <c r="V466" i="5"/>
  <c r="V468" i="5"/>
  <c r="V469" i="5"/>
  <c r="V470" i="5"/>
  <c r="V471" i="5"/>
  <c r="V472" i="5"/>
  <c r="V473" i="5"/>
  <c r="V474" i="5"/>
  <c r="V475" i="5"/>
  <c r="V476" i="5"/>
  <c r="V477" i="5"/>
  <c r="V241" i="5"/>
  <c r="V242" i="5"/>
  <c r="V243" i="5"/>
  <c r="V244" i="5"/>
  <c r="V245" i="5"/>
  <c r="V246" i="5"/>
  <c r="V247" i="5"/>
  <c r="V340" i="5"/>
  <c r="V342" i="5"/>
  <c r="V343" i="5"/>
  <c r="V344" i="5"/>
  <c r="V346" i="5"/>
  <c r="V438" i="5"/>
  <c r="V439" i="5"/>
  <c r="V440" i="5"/>
  <c r="V441" i="5"/>
  <c r="V442" i="5"/>
  <c r="V443" i="5"/>
  <c r="V444" i="5"/>
  <c r="V445" i="5"/>
  <c r="V212" i="5"/>
  <c r="V213" i="5"/>
  <c r="V214" i="5"/>
  <c r="V215" i="5"/>
  <c r="V216" i="5"/>
  <c r="V218" i="5"/>
  <c r="V219" i="5"/>
  <c r="V220" i="5"/>
  <c r="V221" i="5"/>
  <c r="V223" i="5"/>
  <c r="V224" i="5"/>
  <c r="V225" i="5"/>
  <c r="V226" i="5"/>
  <c r="V227" i="5"/>
  <c r="V228" i="5"/>
  <c r="V313" i="5"/>
  <c r="V314" i="5"/>
  <c r="V315" i="5"/>
  <c r="V316" i="5"/>
  <c r="V318" i="5"/>
  <c r="V319" i="5"/>
  <c r="V320" i="5"/>
  <c r="V321" i="5"/>
  <c r="V322" i="5"/>
  <c r="V323" i="5"/>
  <c r="V324" i="5"/>
  <c r="V325" i="5"/>
  <c r="V326" i="5"/>
  <c r="V412" i="5"/>
  <c r="V413" i="5"/>
  <c r="V414" i="5"/>
  <c r="V415" i="5"/>
  <c r="V416" i="5"/>
  <c r="V417" i="5"/>
  <c r="V418" i="5"/>
  <c r="V419" i="5"/>
  <c r="V420" i="5"/>
  <c r="V421" i="5"/>
  <c r="V422" i="5"/>
  <c r="V423" i="5"/>
  <c r="V424" i="5"/>
  <c r="V425" i="5"/>
  <c r="V426" i="5"/>
  <c r="X485" i="5"/>
  <c r="X486" i="5"/>
  <c r="X487" i="5"/>
  <c r="AW487" i="5" s="1"/>
  <c r="X488" i="5"/>
  <c r="X489" i="5"/>
  <c r="AW489" i="5" s="1"/>
  <c r="X490" i="5"/>
  <c r="AW490" i="5" s="1"/>
  <c r="X491" i="5"/>
  <c r="X492" i="5"/>
  <c r="X493" i="5"/>
  <c r="X494" i="5"/>
  <c r="AW494" i="5" s="1"/>
  <c r="X495" i="5"/>
  <c r="AW495" i="5" s="1"/>
  <c r="X496" i="5"/>
  <c r="X388" i="5"/>
  <c r="X389" i="5"/>
  <c r="X390" i="5"/>
  <c r="X392" i="5"/>
  <c r="X394" i="5"/>
  <c r="X395" i="5"/>
  <c r="AW395" i="5" s="1"/>
  <c r="X396" i="5"/>
  <c r="X397" i="5"/>
  <c r="X287" i="5"/>
  <c r="X288" i="5"/>
  <c r="AW288" i="5" s="1"/>
  <c r="X290" i="5"/>
  <c r="X291" i="5"/>
  <c r="AW291" i="5" s="1"/>
  <c r="X292" i="5"/>
  <c r="X294" i="5"/>
  <c r="X295" i="5"/>
  <c r="X296" i="5"/>
  <c r="AW296" i="5" s="1"/>
  <c r="X297" i="5"/>
  <c r="AW297" i="5" s="1"/>
  <c r="X298" i="5"/>
  <c r="X454" i="5"/>
  <c r="X456" i="5"/>
  <c r="X457" i="5"/>
  <c r="X460" i="5"/>
  <c r="AW460" i="5" s="1"/>
  <c r="X461" i="5"/>
  <c r="X463" i="5"/>
  <c r="X464" i="5"/>
  <c r="X466" i="5"/>
  <c r="X468" i="5"/>
  <c r="X469" i="5"/>
  <c r="X470" i="5"/>
  <c r="AW470" i="5" s="1"/>
  <c r="X471" i="5"/>
  <c r="X472" i="5"/>
  <c r="X473" i="5"/>
  <c r="X474" i="5"/>
  <c r="X475" i="5"/>
  <c r="X476" i="5"/>
  <c r="X477" i="5"/>
  <c r="X355" i="5"/>
  <c r="X356" i="5"/>
  <c r="X360" i="5"/>
  <c r="X363" i="5"/>
  <c r="X366" i="5"/>
  <c r="X368" i="5"/>
  <c r="X370" i="5"/>
  <c r="X371" i="5"/>
  <c r="X374" i="5"/>
  <c r="X375" i="5"/>
  <c r="AW375" i="5" s="1"/>
  <c r="X376" i="5"/>
  <c r="X377" i="5"/>
  <c r="X378" i="5"/>
  <c r="X258" i="5"/>
  <c r="X259" i="5"/>
  <c r="X261" i="5"/>
  <c r="X267" i="5"/>
  <c r="X269" i="5"/>
  <c r="X272" i="5"/>
  <c r="X273" i="5"/>
  <c r="X274" i="5"/>
  <c r="X275" i="5"/>
  <c r="X276" i="5"/>
  <c r="X277" i="5"/>
  <c r="X279" i="5"/>
  <c r="X434" i="5"/>
  <c r="X437" i="5"/>
  <c r="X438" i="5"/>
  <c r="X439" i="5"/>
  <c r="X440" i="5"/>
  <c r="X441" i="5"/>
  <c r="X442" i="5"/>
  <c r="X443" i="5"/>
  <c r="X444" i="5"/>
  <c r="X445" i="5"/>
  <c r="X335" i="5"/>
  <c r="X338" i="5"/>
  <c r="X340" i="5"/>
  <c r="X342" i="5"/>
  <c r="X343" i="5"/>
  <c r="X344" i="5"/>
  <c r="X346" i="5"/>
  <c r="X236" i="5"/>
  <c r="X237" i="5"/>
  <c r="X238" i="5"/>
  <c r="X239" i="5"/>
  <c r="X240" i="5"/>
  <c r="X241" i="5"/>
  <c r="X242" i="5"/>
  <c r="X243" i="5"/>
  <c r="X244" i="5"/>
  <c r="X245" i="5"/>
  <c r="X246" i="5"/>
  <c r="X247" i="5"/>
  <c r="X407" i="5"/>
  <c r="X409" i="5"/>
  <c r="X410" i="5"/>
  <c r="X411" i="5"/>
  <c r="X412" i="5"/>
  <c r="X413" i="5"/>
  <c r="X414" i="5"/>
  <c r="X415" i="5"/>
  <c r="X416" i="5"/>
  <c r="X417" i="5"/>
  <c r="X418" i="5"/>
  <c r="X419" i="5"/>
  <c r="X420" i="5"/>
  <c r="X421" i="5"/>
  <c r="X422" i="5"/>
  <c r="X423" i="5"/>
  <c r="X424" i="5"/>
  <c r="X425" i="5"/>
  <c r="X426" i="5"/>
  <c r="X308" i="5"/>
  <c r="X310" i="5"/>
  <c r="X311" i="5"/>
  <c r="X313" i="5"/>
  <c r="X314" i="5"/>
  <c r="X315" i="5"/>
  <c r="X316" i="5"/>
  <c r="X318" i="5"/>
  <c r="X319" i="5"/>
  <c r="X320" i="5"/>
  <c r="X321" i="5"/>
  <c r="X322" i="5"/>
  <c r="X323" i="5"/>
  <c r="X324" i="5"/>
  <c r="X325" i="5"/>
  <c r="X326" i="5"/>
  <c r="X211" i="5"/>
  <c r="X212" i="5"/>
  <c r="X213" i="5"/>
  <c r="X214" i="5"/>
  <c r="X215" i="5"/>
  <c r="X216" i="5"/>
  <c r="X218" i="5"/>
  <c r="X219" i="5"/>
  <c r="X220" i="5"/>
  <c r="X221" i="5"/>
  <c r="X223" i="5"/>
  <c r="X224" i="5"/>
  <c r="X225" i="5"/>
  <c r="X226" i="5"/>
  <c r="X227" i="5"/>
  <c r="X228" i="5"/>
  <c r="X157" i="5"/>
  <c r="X158" i="5"/>
  <c r="X160" i="5"/>
  <c r="X161" i="5"/>
  <c r="X165" i="5"/>
  <c r="X166" i="5"/>
  <c r="X167" i="5"/>
  <c r="X168" i="5"/>
  <c r="X169" i="5"/>
  <c r="X172" i="5"/>
  <c r="X173" i="5"/>
  <c r="X174" i="5"/>
  <c r="X175" i="5"/>
  <c r="X176" i="5"/>
  <c r="X177" i="5"/>
  <c r="X178" i="5"/>
  <c r="AW178" i="5" s="1"/>
  <c r="X179" i="5"/>
  <c r="AW179" i="5" s="1"/>
  <c r="X180" i="5"/>
  <c r="X63" i="5"/>
  <c r="X57" i="5"/>
  <c r="X58" i="5"/>
  <c r="X59" i="5"/>
  <c r="X60" i="5"/>
  <c r="X64" i="5"/>
  <c r="X65" i="5"/>
  <c r="X66" i="5"/>
  <c r="X67" i="5"/>
  <c r="X68" i="5"/>
  <c r="X69" i="5"/>
  <c r="X70" i="5"/>
  <c r="X72" i="5"/>
  <c r="X73" i="5"/>
  <c r="X74" i="5"/>
  <c r="X75" i="5"/>
  <c r="X76" i="5"/>
  <c r="X77" i="5"/>
  <c r="X78" i="5"/>
  <c r="X79" i="5"/>
  <c r="X80" i="5"/>
  <c r="X81" i="5"/>
  <c r="X137" i="5"/>
  <c r="X139" i="5"/>
  <c r="X140" i="5"/>
  <c r="X141" i="5"/>
  <c r="X142" i="5"/>
  <c r="X143" i="5"/>
  <c r="X144" i="5"/>
  <c r="X145" i="5"/>
  <c r="X146" i="5"/>
  <c r="X147" i="5"/>
  <c r="X148" i="5"/>
  <c r="X38" i="5"/>
  <c r="X40" i="5"/>
  <c r="X42" i="5"/>
  <c r="X43" i="5"/>
  <c r="X44" i="5"/>
  <c r="X46" i="5"/>
  <c r="X47" i="5"/>
  <c r="X48" i="5"/>
  <c r="X49" i="5"/>
  <c r="X110" i="5"/>
  <c r="X111" i="5"/>
  <c r="X112" i="5"/>
  <c r="X113" i="5"/>
  <c r="X114" i="5"/>
  <c r="X115" i="5"/>
  <c r="X116" i="5"/>
  <c r="X117" i="5"/>
  <c r="X118" i="5"/>
  <c r="X120" i="5"/>
  <c r="X121" i="5"/>
  <c r="X122" i="5"/>
  <c r="X123" i="5"/>
  <c r="X124" i="5"/>
  <c r="X125" i="5"/>
  <c r="X126" i="5"/>
  <c r="X127" i="5"/>
  <c r="X128" i="5"/>
  <c r="X129" i="5"/>
  <c r="X13" i="5"/>
  <c r="X14" i="5"/>
  <c r="X15" i="5"/>
  <c r="X16" i="5"/>
  <c r="X17" i="5"/>
  <c r="X18" i="5"/>
  <c r="X21" i="5"/>
  <c r="X22" i="5"/>
  <c r="X23" i="5"/>
  <c r="X27" i="5"/>
  <c r="X28" i="5"/>
  <c r="X29" i="5"/>
  <c r="X30" i="5"/>
  <c r="X188" i="5"/>
  <c r="AW188" i="5" s="1"/>
  <c r="X189" i="5"/>
  <c r="AW189" i="5" s="1"/>
  <c r="X190" i="5"/>
  <c r="X191" i="5"/>
  <c r="X192" i="5"/>
  <c r="X193" i="5"/>
  <c r="X194" i="5"/>
  <c r="AW194" i="5" s="1"/>
  <c r="X195" i="5"/>
  <c r="X196" i="5"/>
  <c r="AW196" i="5" s="1"/>
  <c r="X197" i="5"/>
  <c r="AW197" i="5" s="1"/>
  <c r="X198" i="5"/>
  <c r="X199" i="5"/>
  <c r="X91" i="5"/>
  <c r="X92" i="5"/>
  <c r="X93" i="5"/>
  <c r="AW93" i="5" s="1"/>
  <c r="X95" i="5"/>
  <c r="X96" i="5"/>
  <c r="X97" i="5"/>
  <c r="X98" i="5"/>
  <c r="X99" i="5"/>
  <c r="AW99" i="5" s="1"/>
  <c r="X100" i="5"/>
  <c r="E496" i="5"/>
  <c r="E495" i="5"/>
  <c r="E494" i="5"/>
  <c r="E493" i="5"/>
  <c r="E492" i="5"/>
  <c r="E491" i="5"/>
  <c r="E490" i="5"/>
  <c r="E489" i="5"/>
  <c r="E488" i="5"/>
  <c r="E487" i="5"/>
  <c r="F272" i="15"/>
  <c r="F72" i="15"/>
  <c r="E8" i="15"/>
  <c r="F8" i="15" s="1"/>
  <c r="F314" i="15"/>
  <c r="F162" i="15"/>
  <c r="E460" i="26"/>
  <c r="F460" i="26" s="1"/>
  <c r="E458" i="26"/>
  <c r="F458" i="26" s="1"/>
  <c r="F185" i="15"/>
  <c r="E496" i="2"/>
  <c r="E495" i="2"/>
  <c r="E494" i="2"/>
  <c r="E493" i="2"/>
  <c r="E492" i="2"/>
  <c r="E491" i="2"/>
  <c r="E490" i="2"/>
  <c r="E489" i="2"/>
  <c r="E488" i="2"/>
  <c r="E487" i="2"/>
  <c r="E486" i="2"/>
  <c r="F284" i="15"/>
  <c r="F309" i="15"/>
  <c r="F124" i="15"/>
  <c r="F231" i="15"/>
  <c r="F202" i="15"/>
  <c r="E40" i="15"/>
  <c r="F40" i="15" s="1"/>
  <c r="I8" i="27"/>
  <c r="I9" i="25"/>
  <c r="F59" i="17"/>
  <c r="F42" i="17"/>
  <c r="S468" i="5"/>
  <c r="E49" i="17"/>
  <c r="S495" i="5"/>
  <c r="E7" i="15"/>
  <c r="F7" i="15" s="1"/>
  <c r="F367" i="15"/>
  <c r="F324" i="15"/>
  <c r="F365" i="15"/>
  <c r="F86" i="15"/>
  <c r="F215" i="15"/>
  <c r="F343" i="15"/>
  <c r="F353" i="15"/>
  <c r="F219" i="15"/>
  <c r="F88" i="15"/>
  <c r="F164" i="15"/>
  <c r="F332" i="15"/>
  <c r="F23" i="15"/>
  <c r="I1" i="5" a="1"/>
  <c r="I1" i="5" s="1"/>
  <c r="C5" i="21"/>
  <c r="C39" i="21"/>
  <c r="D39" i="21"/>
  <c r="E39" i="21"/>
  <c r="F39" i="21"/>
  <c r="C22" i="21"/>
  <c r="C56" i="21"/>
  <c r="C73" i="21"/>
  <c r="F85" i="21"/>
  <c r="E85" i="21"/>
  <c r="F84" i="21"/>
  <c r="E84" i="21"/>
  <c r="F83" i="21"/>
  <c r="E83" i="21"/>
  <c r="F82" i="21"/>
  <c r="E82" i="21"/>
  <c r="F81" i="21"/>
  <c r="E81" i="21"/>
  <c r="C81" i="21"/>
  <c r="D81" i="21"/>
  <c r="F80" i="21"/>
  <c r="E80" i="21"/>
  <c r="F79" i="21"/>
  <c r="F78" i="21"/>
  <c r="E78" i="21"/>
  <c r="F77" i="21"/>
  <c r="E77" i="21"/>
  <c r="F76" i="21"/>
  <c r="E76" i="21"/>
  <c r="F75" i="21"/>
  <c r="E75" i="21"/>
  <c r="F74" i="21"/>
  <c r="E74" i="21"/>
  <c r="F73" i="21"/>
  <c r="E73" i="21"/>
  <c r="D73" i="21"/>
  <c r="F72" i="21"/>
  <c r="E72" i="21"/>
  <c r="F71" i="21"/>
  <c r="E71" i="21"/>
  <c r="F70" i="21"/>
  <c r="E70" i="21"/>
  <c r="F68" i="21"/>
  <c r="E68" i="21"/>
  <c r="F67" i="21"/>
  <c r="E67" i="21"/>
  <c r="F66" i="21"/>
  <c r="E66" i="21"/>
  <c r="F65" i="21"/>
  <c r="C65" i="21"/>
  <c r="D65" i="21"/>
  <c r="E65" i="21"/>
  <c r="F64" i="21"/>
  <c r="E64" i="21"/>
  <c r="F63" i="21"/>
  <c r="E63" i="21"/>
  <c r="C63" i="21"/>
  <c r="D63" i="21"/>
  <c r="F62" i="21"/>
  <c r="E62" i="21"/>
  <c r="F61" i="21"/>
  <c r="E61" i="21"/>
  <c r="F60" i="21"/>
  <c r="F59" i="21"/>
  <c r="E59" i="21"/>
  <c r="F58" i="21"/>
  <c r="E58" i="21"/>
  <c r="F57" i="21"/>
  <c r="E57" i="21"/>
  <c r="F56" i="21"/>
  <c r="E56" i="21"/>
  <c r="F55" i="21"/>
  <c r="E55" i="21"/>
  <c r="F54" i="21"/>
  <c r="E54" i="21"/>
  <c r="F53" i="21"/>
  <c r="E53" i="21"/>
  <c r="F51" i="21"/>
  <c r="E51" i="21"/>
  <c r="F50" i="21"/>
  <c r="E50" i="21"/>
  <c r="F49" i="21"/>
  <c r="E49" i="21"/>
  <c r="F48" i="21"/>
  <c r="E48" i="21"/>
  <c r="F47" i="21"/>
  <c r="E47" i="21"/>
  <c r="F46" i="21"/>
  <c r="E46" i="21"/>
  <c r="F45" i="21"/>
  <c r="F44" i="21"/>
  <c r="E43" i="21"/>
  <c r="F42" i="21"/>
  <c r="E42" i="21"/>
  <c r="F41" i="21"/>
  <c r="E41" i="21"/>
  <c r="F40" i="21"/>
  <c r="E40" i="21"/>
  <c r="F38" i="21"/>
  <c r="E38" i="21"/>
  <c r="F37" i="21"/>
  <c r="E37" i="21"/>
  <c r="F36" i="21"/>
  <c r="E36" i="21"/>
  <c r="F34" i="21"/>
  <c r="E34" i="21"/>
  <c r="F33" i="21"/>
  <c r="E33" i="21"/>
  <c r="F32" i="21"/>
  <c r="E32" i="21"/>
  <c r="F31" i="21"/>
  <c r="E31" i="21"/>
  <c r="F30" i="21"/>
  <c r="E30" i="21"/>
  <c r="F29" i="21"/>
  <c r="E29" i="21"/>
  <c r="F28" i="21"/>
  <c r="E28" i="21"/>
  <c r="F27" i="21"/>
  <c r="E27" i="21"/>
  <c r="F26" i="21"/>
  <c r="E26" i="21"/>
  <c r="C26" i="21"/>
  <c r="D26" i="21"/>
  <c r="F25" i="21"/>
  <c r="E25" i="21"/>
  <c r="F24" i="21"/>
  <c r="E24" i="21"/>
  <c r="F23" i="21"/>
  <c r="E23" i="21"/>
  <c r="F22" i="21"/>
  <c r="E22" i="21"/>
  <c r="F21" i="21"/>
  <c r="E21" i="21"/>
  <c r="F20" i="21"/>
  <c r="E20" i="21"/>
  <c r="F19" i="21"/>
  <c r="F17" i="21"/>
  <c r="E17" i="21"/>
  <c r="F16" i="21"/>
  <c r="E16" i="21"/>
  <c r="F15" i="21"/>
  <c r="E15" i="21"/>
  <c r="F14" i="21"/>
  <c r="F13" i="21"/>
  <c r="E13" i="21"/>
  <c r="F12" i="21"/>
  <c r="E12" i="21"/>
  <c r="F11" i="21"/>
  <c r="E11" i="21"/>
  <c r="F10" i="21"/>
  <c r="E10" i="21"/>
  <c r="F9" i="21"/>
  <c r="E9" i="21"/>
  <c r="F8" i="21"/>
  <c r="E8" i="21"/>
  <c r="F7" i="21"/>
  <c r="E7" i="21"/>
  <c r="F6" i="21"/>
  <c r="E6" i="21"/>
  <c r="F5" i="21"/>
  <c r="E5" i="21"/>
  <c r="F4" i="21"/>
  <c r="E4" i="21"/>
  <c r="F3" i="21"/>
  <c r="E3" i="21"/>
  <c r="F2" i="21"/>
  <c r="E2" i="21"/>
  <c r="C17" i="21"/>
  <c r="C51" i="21"/>
  <c r="D51" i="21"/>
  <c r="C34" i="21"/>
  <c r="C68" i="21"/>
  <c r="C85" i="21"/>
  <c r="D17" i="21"/>
  <c r="D34" i="21"/>
  <c r="D68" i="21"/>
  <c r="D85" i="21"/>
  <c r="D36" i="21"/>
  <c r="C19" i="21"/>
  <c r="C53" i="21"/>
  <c r="C70" i="21"/>
  <c r="D2" i="21"/>
  <c r="D19" i="21"/>
  <c r="D70" i="21"/>
  <c r="C3" i="21"/>
  <c r="C37" i="21"/>
  <c r="C20" i="21"/>
  <c r="C54" i="21"/>
  <c r="C71" i="21"/>
  <c r="D3" i="21"/>
  <c r="D20" i="21"/>
  <c r="D37" i="21"/>
  <c r="D54" i="21"/>
  <c r="D71" i="21"/>
  <c r="C4" i="21"/>
  <c r="C38" i="21"/>
  <c r="C21" i="21"/>
  <c r="C55" i="21"/>
  <c r="C72" i="21"/>
  <c r="D4" i="21"/>
  <c r="D21" i="21"/>
  <c r="D38" i="21"/>
  <c r="D55" i="21"/>
  <c r="D72" i="21"/>
  <c r="D5" i="21"/>
  <c r="D22" i="21"/>
  <c r="D56" i="21"/>
  <c r="C6" i="21"/>
  <c r="C40" i="21"/>
  <c r="C23" i="21"/>
  <c r="C57" i="21"/>
  <c r="D57" i="21"/>
  <c r="C74" i="21"/>
  <c r="D6" i="21"/>
  <c r="D23" i="21"/>
  <c r="D40" i="21"/>
  <c r="D74" i="21"/>
  <c r="C7" i="21"/>
  <c r="C41" i="21"/>
  <c r="C24" i="21"/>
  <c r="C58" i="21"/>
  <c r="D58" i="21"/>
  <c r="C75" i="21"/>
  <c r="D7" i="21"/>
  <c r="D24" i="21"/>
  <c r="D41" i="21"/>
  <c r="D75" i="21"/>
  <c r="C8" i="21"/>
  <c r="C25" i="21"/>
  <c r="C42" i="21"/>
  <c r="C59" i="21"/>
  <c r="C76" i="21"/>
  <c r="D76" i="21"/>
  <c r="D8" i="21"/>
  <c r="D25" i="21"/>
  <c r="D42" i="21"/>
  <c r="D59" i="21"/>
  <c r="C9" i="21"/>
  <c r="C43" i="21"/>
  <c r="C60" i="21"/>
  <c r="D60" i="21"/>
  <c r="C77" i="21"/>
  <c r="D9" i="21"/>
  <c r="D43" i="21"/>
  <c r="C10" i="21"/>
  <c r="C27" i="21"/>
  <c r="C61" i="21"/>
  <c r="C78" i="21"/>
  <c r="D78" i="21"/>
  <c r="D10" i="21"/>
  <c r="D27" i="21"/>
  <c r="D44" i="21"/>
  <c r="D61" i="21"/>
  <c r="C11" i="21"/>
  <c r="C45" i="21"/>
  <c r="D45" i="21"/>
  <c r="C28" i="21"/>
  <c r="C62" i="21"/>
  <c r="C79" i="21"/>
  <c r="D11" i="21"/>
  <c r="D28" i="21"/>
  <c r="D79" i="21"/>
  <c r="C12" i="21"/>
  <c r="C46" i="21"/>
  <c r="D46" i="21"/>
  <c r="C29" i="21"/>
  <c r="C80" i="21"/>
  <c r="D12" i="21"/>
  <c r="D29" i="21"/>
  <c r="D80" i="21"/>
  <c r="C13" i="21"/>
  <c r="C47" i="21"/>
  <c r="C30" i="21"/>
  <c r="D13" i="21"/>
  <c r="D47" i="21"/>
  <c r="D64" i="21"/>
  <c r="C14" i="21"/>
  <c r="C48" i="21"/>
  <c r="D48" i="21"/>
  <c r="C31" i="21"/>
  <c r="C82" i="21"/>
  <c r="D14" i="21"/>
  <c r="D31" i="21"/>
  <c r="D82" i="21"/>
  <c r="C15" i="21"/>
  <c r="C49" i="21"/>
  <c r="C32" i="21"/>
  <c r="D32" i="21"/>
  <c r="C66" i="21"/>
  <c r="C83" i="21"/>
  <c r="D15" i="21"/>
  <c r="D49" i="21"/>
  <c r="D66" i="21"/>
  <c r="D83" i="21"/>
  <c r="C16" i="21"/>
  <c r="C50" i="21"/>
  <c r="C33" i="21"/>
  <c r="D33" i="21"/>
  <c r="C67" i="21"/>
  <c r="C84" i="21"/>
  <c r="D16" i="21"/>
  <c r="D50" i="21"/>
  <c r="D67" i="21"/>
  <c r="D84" i="21"/>
  <c r="Q306" i="5"/>
  <c r="V306" i="5"/>
  <c r="R306" i="5"/>
  <c r="S464" i="5"/>
  <c r="S374" i="5"/>
  <c r="S355" i="5"/>
  <c r="S91" i="5"/>
  <c r="S476" i="5"/>
  <c r="S93" i="5"/>
  <c r="S99" i="5"/>
  <c r="S490" i="5"/>
  <c r="S472" i="5"/>
  <c r="S196" i="5"/>
  <c r="S487" i="5"/>
  <c r="S473" i="5"/>
  <c r="S197" i="5"/>
  <c r="S297" i="5"/>
  <c r="S363" i="5"/>
  <c r="S98" i="5"/>
  <c r="S471" i="5"/>
  <c r="S188" i="5"/>
  <c r="S470" i="5"/>
  <c r="S194" i="5"/>
  <c r="S179" i="5"/>
  <c r="S375" i="5"/>
  <c r="S100" i="5"/>
  <c r="S267" i="5"/>
  <c r="S296" i="5"/>
  <c r="S189" i="5"/>
  <c r="S193" i="5"/>
  <c r="S291" i="5"/>
  <c r="S489" i="5"/>
  <c r="S288" i="5"/>
  <c r="S496" i="5"/>
  <c r="S392" i="5"/>
  <c r="S394" i="5"/>
  <c r="S396" i="5"/>
  <c r="S298" i="5"/>
  <c r="S460" i="5"/>
  <c r="S486" i="5"/>
  <c r="S395" i="5"/>
  <c r="S292" i="5"/>
  <c r="S494" i="5"/>
  <c r="I571" i="2" l="1"/>
  <c r="AU485" i="2"/>
  <c r="AT485" i="2"/>
  <c r="AT498" i="2" s="1"/>
  <c r="AT541" i="2" s="1"/>
  <c r="AT542" i="2" s="1"/>
  <c r="K403" i="35"/>
  <c r="T485" i="2"/>
  <c r="K363" i="35" s="1"/>
  <c r="I563" i="2"/>
  <c r="D395" i="35"/>
  <c r="I560" i="2"/>
  <c r="R11" i="5"/>
  <c r="AO11" i="5"/>
  <c r="K11" i="5"/>
  <c r="E8" i="26" s="1"/>
  <c r="F8" i="26" s="1"/>
  <c r="V389" i="35"/>
  <c r="D385" i="36"/>
  <c r="T385" i="36" s="1"/>
  <c r="AP11" i="5"/>
  <c r="K223" i="2"/>
  <c r="AU223" i="2"/>
  <c r="AT223" i="2"/>
  <c r="AT230" i="2" s="1"/>
  <c r="AT509" i="2" s="1"/>
  <c r="D387" i="35"/>
  <c r="T223" i="2"/>
  <c r="D343" i="35" s="1"/>
  <c r="K14" i="2"/>
  <c r="K389" i="35"/>
  <c r="K13" i="2"/>
  <c r="E101" i="15" s="1"/>
  <c r="F101" i="15" s="1"/>
  <c r="H389" i="35"/>
  <c r="E199" i="15"/>
  <c r="F199" i="15" s="1"/>
  <c r="AO12" i="2"/>
  <c r="K12" i="2"/>
  <c r="L389" i="35"/>
  <c r="AV320" i="5"/>
  <c r="AV420" i="5"/>
  <c r="AS144" i="5"/>
  <c r="AQ68" i="5"/>
  <c r="K68" i="5"/>
  <c r="W97" i="5"/>
  <c r="W148" i="5"/>
  <c r="W167" i="5"/>
  <c r="K167" i="5"/>
  <c r="E57" i="26" s="1"/>
  <c r="F57" i="26" s="1"/>
  <c r="W400" i="35"/>
  <c r="E398" i="36"/>
  <c r="E380" i="36" s="1"/>
  <c r="AQ159" i="5"/>
  <c r="K159" i="5"/>
  <c r="L398" i="36"/>
  <c r="L380" i="36" s="1"/>
  <c r="AD400" i="35"/>
  <c r="AP269" i="5"/>
  <c r="K269" i="5"/>
  <c r="W261" i="5"/>
  <c r="K261" i="5"/>
  <c r="W361" i="5"/>
  <c r="K361" i="5"/>
  <c r="W440" i="5"/>
  <c r="K440" i="5"/>
  <c r="E376" i="26" s="1"/>
  <c r="F376" i="26" s="1"/>
  <c r="AS468" i="5"/>
  <c r="K468" i="5"/>
  <c r="E262" i="26" s="1"/>
  <c r="F262" i="26" s="1"/>
  <c r="AF397" i="35"/>
  <c r="N401" i="36"/>
  <c r="AP453" i="5"/>
  <c r="K453" i="5"/>
  <c r="E28" i="26" s="1"/>
  <c r="F28" i="26" s="1"/>
  <c r="D401" i="36"/>
  <c r="V397" i="35"/>
  <c r="AS67" i="5"/>
  <c r="K67" i="5"/>
  <c r="AC401" i="35"/>
  <c r="K397" i="36"/>
  <c r="W59" i="5"/>
  <c r="K59" i="5"/>
  <c r="L397" i="36"/>
  <c r="AD401" i="35"/>
  <c r="W158" i="5"/>
  <c r="K158" i="5"/>
  <c r="W240" i="5"/>
  <c r="K240" i="5"/>
  <c r="E163" i="26" s="1"/>
  <c r="F163" i="26" s="1"/>
  <c r="K393" i="36"/>
  <c r="AC393" i="35"/>
  <c r="K268" i="5"/>
  <c r="E360" i="26" s="1"/>
  <c r="F360" i="26" s="1"/>
  <c r="AG399" i="35"/>
  <c r="O399" i="36"/>
  <c r="O381" i="36" s="1"/>
  <c r="W360" i="5"/>
  <c r="K360" i="5"/>
  <c r="E52" i="26" s="1"/>
  <c r="F52" i="26" s="1"/>
  <c r="W439" i="5"/>
  <c r="K439" i="5"/>
  <c r="AG391" i="35"/>
  <c r="O395" i="36"/>
  <c r="O383" i="36" s="1"/>
  <c r="AC467" i="5"/>
  <c r="K467" i="5"/>
  <c r="W460" i="5"/>
  <c r="K460" i="5"/>
  <c r="L401" i="36"/>
  <c r="AD397" i="35"/>
  <c r="AV143" i="5"/>
  <c r="K74" i="5"/>
  <c r="X401" i="35"/>
  <c r="F397" i="36"/>
  <c r="K58" i="5"/>
  <c r="E40" i="26" s="1"/>
  <c r="F40" i="26" s="1"/>
  <c r="D397" i="36"/>
  <c r="V401" i="35"/>
  <c r="K157" i="5"/>
  <c r="D398" i="36"/>
  <c r="V400" i="35"/>
  <c r="AP239" i="5"/>
  <c r="K239" i="5"/>
  <c r="E104" i="26" s="1"/>
  <c r="F104" i="26" s="1"/>
  <c r="Z393" i="35"/>
  <c r="H393" i="36"/>
  <c r="AS275" i="5"/>
  <c r="K275" i="5"/>
  <c r="F399" i="36"/>
  <c r="F381" i="36" s="1"/>
  <c r="X399" i="35"/>
  <c r="W267" i="5"/>
  <c r="K267" i="5"/>
  <c r="AH399" i="35"/>
  <c r="P399" i="36"/>
  <c r="K259" i="5"/>
  <c r="M399" i="36"/>
  <c r="M381" i="36" s="1"/>
  <c r="AE399" i="35"/>
  <c r="AN367" i="5"/>
  <c r="K367" i="5"/>
  <c r="O400" i="36"/>
  <c r="O382" i="36" s="1"/>
  <c r="AG398" i="35"/>
  <c r="W359" i="5"/>
  <c r="K359" i="5"/>
  <c r="E53" i="26" s="1"/>
  <c r="F53" i="26" s="1"/>
  <c r="W438" i="5"/>
  <c r="K438" i="5"/>
  <c r="K395" i="36"/>
  <c r="AC391" i="35"/>
  <c r="AR459" i="5"/>
  <c r="K459" i="5"/>
  <c r="E39" i="26" s="1"/>
  <c r="F39" i="26" s="1"/>
  <c r="AV343" i="5"/>
  <c r="AV397" i="5"/>
  <c r="Y26" i="5"/>
  <c r="K73" i="5"/>
  <c r="P397" i="36"/>
  <c r="AH401" i="35"/>
  <c r="W65" i="5"/>
  <c r="K65" i="5"/>
  <c r="E47" i="26" s="1"/>
  <c r="F47" i="26" s="1"/>
  <c r="AM57" i="5"/>
  <c r="K57" i="5"/>
  <c r="E89" i="26" s="1"/>
  <c r="F89" i="26" s="1"/>
  <c r="G397" i="36"/>
  <c r="Y401" i="35"/>
  <c r="AO164" i="5"/>
  <c r="K164" i="5"/>
  <c r="E14" i="26" s="1"/>
  <c r="F14" i="26" s="1"/>
  <c r="AC238" i="5"/>
  <c r="K238" i="5"/>
  <c r="E256" i="26" s="1"/>
  <c r="F256" i="26" s="1"/>
  <c r="AF393" i="35"/>
  <c r="N393" i="36"/>
  <c r="N381" i="36" s="1"/>
  <c r="W274" i="5"/>
  <c r="K274" i="5"/>
  <c r="E250" i="26" s="1"/>
  <c r="F250" i="26" s="1"/>
  <c r="AM266" i="5"/>
  <c r="K266" i="5"/>
  <c r="W258" i="5"/>
  <c r="K258" i="5"/>
  <c r="L399" i="36"/>
  <c r="L381" i="36" s="1"/>
  <c r="AD399" i="35"/>
  <c r="K374" i="5"/>
  <c r="F400" i="36"/>
  <c r="F382" i="36" s="1"/>
  <c r="X398" i="35"/>
  <c r="AL358" i="5"/>
  <c r="K358" i="5"/>
  <c r="L400" i="36"/>
  <c r="L382" i="36" s="1"/>
  <c r="AD398" i="35"/>
  <c r="K437" i="5"/>
  <c r="E272" i="26" s="1"/>
  <c r="F272" i="26" s="1"/>
  <c r="AF391" i="35"/>
  <c r="N395" i="36"/>
  <c r="N383" i="36" s="1"/>
  <c r="K473" i="5"/>
  <c r="F401" i="36"/>
  <c r="F383" i="36" s="1"/>
  <c r="X397" i="35"/>
  <c r="AC465" i="5"/>
  <c r="K465" i="5"/>
  <c r="AM458" i="5"/>
  <c r="K458" i="5"/>
  <c r="E173" i="26" s="1"/>
  <c r="F173" i="26" s="1"/>
  <c r="AC397" i="35"/>
  <c r="K401" i="36"/>
  <c r="AV342" i="5"/>
  <c r="AV396" i="5"/>
  <c r="Y22" i="5"/>
  <c r="AS64" i="5"/>
  <c r="K64" i="5"/>
  <c r="E152" i="26" s="1"/>
  <c r="F152" i="26" s="1"/>
  <c r="AB401" i="35"/>
  <c r="J397" i="36"/>
  <c r="W163" i="5"/>
  <c r="K163" i="5"/>
  <c r="E175" i="26" s="1"/>
  <c r="F175" i="26" s="1"/>
  <c r="AC400" i="35"/>
  <c r="K398" i="36"/>
  <c r="K380" i="36" s="1"/>
  <c r="W237" i="5"/>
  <c r="K237" i="5"/>
  <c r="E420" i="26" s="1"/>
  <c r="F420" i="26" s="1"/>
  <c r="AH393" i="35"/>
  <c r="P393" i="36"/>
  <c r="P381" i="36" s="1"/>
  <c r="W273" i="5"/>
  <c r="K273" i="5"/>
  <c r="AS265" i="5"/>
  <c r="K265" i="5"/>
  <c r="N399" i="36"/>
  <c r="AF399" i="35"/>
  <c r="W257" i="5"/>
  <c r="K257" i="5"/>
  <c r="AP373" i="5"/>
  <c r="K373" i="5"/>
  <c r="AH398" i="35"/>
  <c r="P400" i="36"/>
  <c r="AJ365" i="5"/>
  <c r="K365" i="5"/>
  <c r="E20" i="26" s="1"/>
  <c r="F20" i="26" s="1"/>
  <c r="AS357" i="5"/>
  <c r="K357" i="5"/>
  <c r="D400" i="36"/>
  <c r="V398" i="35"/>
  <c r="AQ436" i="5"/>
  <c r="K436" i="5"/>
  <c r="J395" i="36"/>
  <c r="AB391" i="35"/>
  <c r="AS472" i="5"/>
  <c r="K472" i="5"/>
  <c r="AH397" i="35"/>
  <c r="P401" i="36"/>
  <c r="P383" i="36" s="1"/>
  <c r="W464" i="5"/>
  <c r="K457" i="5"/>
  <c r="J401" i="36"/>
  <c r="AB397" i="35"/>
  <c r="AV294" i="5"/>
  <c r="AV395" i="5"/>
  <c r="W42" i="5"/>
  <c r="K42" i="5"/>
  <c r="L391" i="36"/>
  <c r="T391" i="36" s="1"/>
  <c r="AD395" i="35"/>
  <c r="AQ71" i="5"/>
  <c r="K71" i="5"/>
  <c r="E289" i="26" s="1"/>
  <c r="F289" i="26" s="1"/>
  <c r="W63" i="5"/>
  <c r="K63" i="5"/>
  <c r="AH170" i="5"/>
  <c r="K170" i="5"/>
  <c r="F398" i="36"/>
  <c r="F380" i="36" s="1"/>
  <c r="X400" i="35"/>
  <c r="W162" i="5"/>
  <c r="K162" i="5"/>
  <c r="W272" i="5"/>
  <c r="K272" i="5"/>
  <c r="AC399" i="35"/>
  <c r="K399" i="36"/>
  <c r="AA264" i="5"/>
  <c r="K264" i="5"/>
  <c r="AP256" i="5"/>
  <c r="K256" i="5"/>
  <c r="E121" i="26" s="1"/>
  <c r="F121" i="26" s="1"/>
  <c r="H399" i="36"/>
  <c r="Z399" i="35"/>
  <c r="K336" i="5"/>
  <c r="E394" i="26" s="1"/>
  <c r="F394" i="26" s="1"/>
  <c r="AH392" i="35"/>
  <c r="P394" i="36"/>
  <c r="AJ364" i="5"/>
  <c r="K364" i="5"/>
  <c r="AC398" i="35"/>
  <c r="K400" i="36"/>
  <c r="K356" i="5"/>
  <c r="M400" i="36"/>
  <c r="M382" i="36" s="1"/>
  <c r="AE398" i="35"/>
  <c r="AK435" i="5"/>
  <c r="K435" i="5"/>
  <c r="AE391" i="35"/>
  <c r="M395" i="36"/>
  <c r="M383" i="36" s="1"/>
  <c r="AV493" i="5"/>
  <c r="W70" i="5"/>
  <c r="K70" i="5"/>
  <c r="AK62" i="5"/>
  <c r="K62" i="5"/>
  <c r="E269" i="26" s="1"/>
  <c r="F269" i="26" s="1"/>
  <c r="N397" i="36"/>
  <c r="AF401" i="35"/>
  <c r="AH169" i="5"/>
  <c r="K169" i="5"/>
  <c r="E389" i="26" s="1"/>
  <c r="F389" i="26" s="1"/>
  <c r="AH400" i="35"/>
  <c r="P398" i="36"/>
  <c r="P380" i="36" s="1"/>
  <c r="W161" i="5"/>
  <c r="K161" i="5"/>
  <c r="E290" i="26" s="1"/>
  <c r="F290" i="26" s="1"/>
  <c r="W271" i="5"/>
  <c r="K271" i="5"/>
  <c r="AB399" i="35"/>
  <c r="J399" i="36"/>
  <c r="J381" i="36" s="1"/>
  <c r="AO263" i="5"/>
  <c r="K263" i="5"/>
  <c r="AH255" i="5"/>
  <c r="K255" i="5"/>
  <c r="E7" i="26" s="1"/>
  <c r="F7" i="26" s="1"/>
  <c r="D399" i="36"/>
  <c r="V399" i="35"/>
  <c r="K335" i="5"/>
  <c r="E168" i="26" s="1"/>
  <c r="F168" i="26" s="1"/>
  <c r="K394" i="36"/>
  <c r="AC392" i="35"/>
  <c r="AP371" i="5"/>
  <c r="K371" i="5"/>
  <c r="N400" i="36"/>
  <c r="N382" i="36" s="1"/>
  <c r="AF398" i="35"/>
  <c r="W363" i="5"/>
  <c r="K363" i="5"/>
  <c r="AQ355" i="5"/>
  <c r="K355" i="5"/>
  <c r="AB398" i="35"/>
  <c r="J400" i="36"/>
  <c r="J382" i="36" s="1"/>
  <c r="AN455" i="5"/>
  <c r="K455" i="5"/>
  <c r="M401" i="36"/>
  <c r="AE397" i="35"/>
  <c r="W69" i="5"/>
  <c r="K69" i="5"/>
  <c r="W61" i="5"/>
  <c r="K61" i="5"/>
  <c r="M397" i="36"/>
  <c r="AE401" i="35"/>
  <c r="AP160" i="5"/>
  <c r="K160" i="5"/>
  <c r="N398" i="36"/>
  <c r="N380" i="36" s="1"/>
  <c r="AF400" i="35"/>
  <c r="W270" i="5"/>
  <c r="K270" i="5"/>
  <c r="E379" i="26" s="1"/>
  <c r="F379" i="26" s="1"/>
  <c r="AO262" i="5"/>
  <c r="K262" i="5"/>
  <c r="E25" i="26" s="1"/>
  <c r="F25" i="26" s="1"/>
  <c r="AS370" i="5"/>
  <c r="K370" i="5"/>
  <c r="AE354" i="5"/>
  <c r="K354" i="5"/>
  <c r="Y398" i="35"/>
  <c r="G400" i="36"/>
  <c r="G382" i="36" s="1"/>
  <c r="W441" i="5"/>
  <c r="K441" i="5"/>
  <c r="AD391" i="35"/>
  <c r="L395" i="36"/>
  <c r="L383" i="36" s="1"/>
  <c r="W469" i="5"/>
  <c r="K469" i="5"/>
  <c r="E238" i="26" s="1"/>
  <c r="F238" i="26" s="1"/>
  <c r="AN462" i="5"/>
  <c r="K462" i="5"/>
  <c r="E78" i="26" s="1"/>
  <c r="F78" i="26" s="1"/>
  <c r="Y397" i="35"/>
  <c r="G401" i="36"/>
  <c r="G383" i="36" s="1"/>
  <c r="AS454" i="5"/>
  <c r="K454" i="5"/>
  <c r="K473" i="2"/>
  <c r="P397" i="35"/>
  <c r="Y359" i="2"/>
  <c r="K359" i="2"/>
  <c r="M398" i="35"/>
  <c r="Z261" i="2"/>
  <c r="K261" i="2"/>
  <c r="N399" i="35"/>
  <c r="AR64" i="2"/>
  <c r="K64" i="2"/>
  <c r="E289" i="15" s="1"/>
  <c r="F289" i="15" s="1"/>
  <c r="AM435" i="2"/>
  <c r="K435" i="2"/>
  <c r="E394" i="15" s="1"/>
  <c r="F394" i="15" s="1"/>
  <c r="P391" i="35"/>
  <c r="AO340" i="2"/>
  <c r="K340" i="2"/>
  <c r="E325" i="15" s="1"/>
  <c r="F325" i="15" s="1"/>
  <c r="F392" i="35"/>
  <c r="V237" i="2"/>
  <c r="P437" i="35" s="1"/>
  <c r="K237" i="2"/>
  <c r="E422" i="15" s="1"/>
  <c r="F422" i="15" s="1"/>
  <c r="P393" i="35"/>
  <c r="Y38" i="2"/>
  <c r="K38" i="2"/>
  <c r="K395" i="35"/>
  <c r="K464" i="2"/>
  <c r="J397" i="35"/>
  <c r="Y456" i="2"/>
  <c r="K456" i="2"/>
  <c r="E278" i="15" s="1"/>
  <c r="F278" i="15" s="1"/>
  <c r="AD358" i="2"/>
  <c r="K358" i="2"/>
  <c r="L398" i="35"/>
  <c r="AB260" i="2"/>
  <c r="K260" i="2"/>
  <c r="E121" i="15" s="1"/>
  <c r="F121" i="15" s="1"/>
  <c r="H399" i="35"/>
  <c r="AO63" i="2"/>
  <c r="K63" i="2"/>
  <c r="E285" i="15" s="1"/>
  <c r="F285" i="15" s="1"/>
  <c r="AO434" i="2"/>
  <c r="K434" i="2"/>
  <c r="K391" i="35"/>
  <c r="AM339" i="2"/>
  <c r="K339" i="2"/>
  <c r="L392" i="35"/>
  <c r="AS236" i="2"/>
  <c r="K236" i="2"/>
  <c r="K393" i="35"/>
  <c r="Y455" i="2"/>
  <c r="K455" i="2"/>
  <c r="E290" i="15" s="1"/>
  <c r="F290" i="15" s="1"/>
  <c r="AC357" i="2"/>
  <c r="K357" i="2"/>
  <c r="E89" i="15" s="1"/>
  <c r="F89" i="15" s="1"/>
  <c r="G398" i="35"/>
  <c r="K267" i="2"/>
  <c r="F399" i="35"/>
  <c r="K259" i="2"/>
  <c r="E20" i="15" s="1"/>
  <c r="F20" i="15" s="1"/>
  <c r="AA160" i="2"/>
  <c r="K160" i="2"/>
  <c r="D400" i="35"/>
  <c r="K62" i="2"/>
  <c r="L401" i="35"/>
  <c r="AK338" i="2"/>
  <c r="K338" i="2"/>
  <c r="E379" i="15" s="1"/>
  <c r="F379" i="15" s="1"/>
  <c r="O392" i="35"/>
  <c r="AC140" i="2"/>
  <c r="K140" i="2"/>
  <c r="E394" i="35"/>
  <c r="AC356" i="2"/>
  <c r="K356" i="2"/>
  <c r="N398" i="35"/>
  <c r="K266" i="2"/>
  <c r="P399" i="35"/>
  <c r="AB159" i="2"/>
  <c r="K159" i="2"/>
  <c r="M400" i="35"/>
  <c r="K77" i="2"/>
  <c r="F401" i="35"/>
  <c r="D401" i="35"/>
  <c r="K69" i="2"/>
  <c r="E25" i="15" s="1"/>
  <c r="F25" i="15" s="1"/>
  <c r="K61" i="2"/>
  <c r="G401" i="35"/>
  <c r="V337" i="2"/>
  <c r="J436" i="35" s="1"/>
  <c r="K337" i="2"/>
  <c r="J392" i="35"/>
  <c r="AE139" i="2"/>
  <c r="K139" i="2"/>
  <c r="E151" i="15" s="1"/>
  <c r="F151" i="15" s="1"/>
  <c r="I394" i="35"/>
  <c r="X453" i="2"/>
  <c r="K453" i="2"/>
  <c r="E21" i="15" s="1"/>
  <c r="F21" i="15" s="1"/>
  <c r="D397" i="35"/>
  <c r="K371" i="2"/>
  <c r="F398" i="35"/>
  <c r="X363" i="2"/>
  <c r="K363" i="2"/>
  <c r="E172" i="15" s="1"/>
  <c r="F172" i="15" s="1"/>
  <c r="K398" i="35"/>
  <c r="X355" i="2"/>
  <c r="K355" i="2"/>
  <c r="K265" i="2"/>
  <c r="K399" i="35"/>
  <c r="AH257" i="2"/>
  <c r="K257" i="2"/>
  <c r="L399" i="35"/>
  <c r="AB158" i="2"/>
  <c r="K158" i="2"/>
  <c r="L400" i="35"/>
  <c r="K76" i="2"/>
  <c r="P401" i="35"/>
  <c r="E53" i="15"/>
  <c r="F53" i="15" s="1"/>
  <c r="R336" i="2"/>
  <c r="K336" i="2"/>
  <c r="M392" i="35"/>
  <c r="AQ138" i="2"/>
  <c r="K138" i="2"/>
  <c r="K394" i="35"/>
  <c r="W460" i="2"/>
  <c r="K460" i="2"/>
  <c r="L397" i="35"/>
  <c r="K370" i="2"/>
  <c r="P398" i="35"/>
  <c r="Z362" i="2"/>
  <c r="K362" i="2"/>
  <c r="Z354" i="2"/>
  <c r="K354" i="2"/>
  <c r="E33" i="15" s="1"/>
  <c r="F33" i="15" s="1"/>
  <c r="D398" i="35"/>
  <c r="AC264" i="2"/>
  <c r="K264" i="2"/>
  <c r="AC256" i="2"/>
  <c r="K256" i="2"/>
  <c r="M399" i="35"/>
  <c r="X454" i="2"/>
  <c r="K454" i="2"/>
  <c r="Y157" i="2"/>
  <c r="K157" i="2"/>
  <c r="J400" i="35"/>
  <c r="K459" i="2"/>
  <c r="M397" i="35"/>
  <c r="Z361" i="2"/>
  <c r="K361" i="2"/>
  <c r="E238" i="15" s="1"/>
  <c r="F238" i="15" s="1"/>
  <c r="X263" i="2"/>
  <c r="J399" i="35"/>
  <c r="X255" i="2"/>
  <c r="K255" i="2"/>
  <c r="D399" i="35"/>
  <c r="AC164" i="2"/>
  <c r="K164" i="2"/>
  <c r="E84" i="15" s="1"/>
  <c r="F84" i="15" s="1"/>
  <c r="G400" i="35"/>
  <c r="Y156" i="2"/>
  <c r="K156" i="2"/>
  <c r="E269" i="15" s="1"/>
  <c r="F269" i="15" s="1"/>
  <c r="N400" i="35"/>
  <c r="AH66" i="2"/>
  <c r="K66" i="2"/>
  <c r="M401" i="35"/>
  <c r="AC40" i="2"/>
  <c r="K40" i="2"/>
  <c r="E389" i="15" s="1"/>
  <c r="F389" i="15" s="1"/>
  <c r="P395" i="35"/>
  <c r="K470" i="2"/>
  <c r="N397" i="35"/>
  <c r="Z462" i="2"/>
  <c r="K462" i="2"/>
  <c r="K397" i="35"/>
  <c r="K474" i="2"/>
  <c r="F397" i="35"/>
  <c r="K466" i="2"/>
  <c r="G397" i="35"/>
  <c r="K368" i="2"/>
  <c r="E398" i="35"/>
  <c r="K360" i="2"/>
  <c r="J398" i="35"/>
  <c r="Z262" i="2"/>
  <c r="K262" i="2"/>
  <c r="E14" i="15" s="1"/>
  <c r="F14" i="15" s="1"/>
  <c r="K73" i="2"/>
  <c r="N401" i="35"/>
  <c r="K65" i="2"/>
  <c r="J401" i="35"/>
  <c r="AQ341" i="2"/>
  <c r="K341" i="2"/>
  <c r="K392" i="35"/>
  <c r="AA39" i="2"/>
  <c r="K39" i="2"/>
  <c r="E113" i="15" s="1"/>
  <c r="F113" i="15" s="1"/>
  <c r="H395" i="35"/>
  <c r="Y137" i="2"/>
  <c r="K137" i="2"/>
  <c r="E387" i="15" s="1"/>
  <c r="F387" i="15" s="1"/>
  <c r="P394" i="35"/>
  <c r="AK434" i="5"/>
  <c r="AJ391" i="35"/>
  <c r="AP236" i="5"/>
  <c r="AJ393" i="35"/>
  <c r="F428" i="15"/>
  <c r="E458" i="15"/>
  <c r="F458" i="15" s="1"/>
  <c r="AM335" i="2"/>
  <c r="R392" i="35"/>
  <c r="F336" i="15"/>
  <c r="E16" i="15"/>
  <c r="F16" i="15" s="1"/>
  <c r="E9" i="15"/>
  <c r="F9" i="15" s="1"/>
  <c r="F445" i="15"/>
  <c r="E11" i="15"/>
  <c r="F11" i="15" s="1"/>
  <c r="R11" i="2"/>
  <c r="S11" i="2" s="1"/>
  <c r="D389" i="35"/>
  <c r="P199" i="10"/>
  <c r="T199" i="10"/>
  <c r="P191" i="10"/>
  <c r="T191" i="10"/>
  <c r="P183" i="10"/>
  <c r="T183" i="10"/>
  <c r="P175" i="10"/>
  <c r="T175" i="10"/>
  <c r="P214" i="10"/>
  <c r="T214" i="10"/>
  <c r="P206" i="10"/>
  <c r="T206" i="10"/>
  <c r="P198" i="10"/>
  <c r="T198" i="10"/>
  <c r="P190" i="10"/>
  <c r="T190" i="10"/>
  <c r="P182" i="10"/>
  <c r="T182" i="10" s="1"/>
  <c r="P174" i="10"/>
  <c r="T174" i="10"/>
  <c r="P218" i="10"/>
  <c r="T218" i="10"/>
  <c r="Q213" i="10"/>
  <c r="T213" i="10"/>
  <c r="Q205" i="10"/>
  <c r="Q197" i="10"/>
  <c r="Q189" i="10"/>
  <c r="Q181" i="10"/>
  <c r="R217" i="10"/>
  <c r="T217" i="10"/>
  <c r="P211" i="10"/>
  <c r="T211" i="10"/>
  <c r="P195" i="10"/>
  <c r="T195" i="10"/>
  <c r="P187" i="10"/>
  <c r="T187" i="10" s="1"/>
  <c r="P171" i="10"/>
  <c r="T171" i="10"/>
  <c r="U472" i="5"/>
  <c r="P247" i="10"/>
  <c r="T247" i="10"/>
  <c r="P243" i="10"/>
  <c r="T243" i="10"/>
  <c r="P239" i="10"/>
  <c r="T239" i="10"/>
  <c r="P235" i="10"/>
  <c r="T235" i="10"/>
  <c r="P231" i="10"/>
  <c r="T231" i="10"/>
  <c r="P227" i="10"/>
  <c r="T227" i="10"/>
  <c r="P223" i="10"/>
  <c r="T223" i="10"/>
  <c r="P219" i="10"/>
  <c r="T219" i="10"/>
  <c r="P246" i="10"/>
  <c r="T246" i="10"/>
  <c r="R242" i="10"/>
  <c r="T242" i="10"/>
  <c r="P238" i="10"/>
  <c r="T238" i="10"/>
  <c r="R234" i="10"/>
  <c r="T234" i="10"/>
  <c r="P230" i="10"/>
  <c r="T230" i="10"/>
  <c r="P226" i="10"/>
  <c r="T226" i="10"/>
  <c r="P222" i="10"/>
  <c r="T222" i="10"/>
  <c r="Q245" i="10"/>
  <c r="T245" i="10"/>
  <c r="P241" i="10"/>
  <c r="T241" i="10"/>
  <c r="Q237" i="10"/>
  <c r="T237" i="10"/>
  <c r="P233" i="10"/>
  <c r="T233" i="10"/>
  <c r="Q229" i="10"/>
  <c r="T229" i="10"/>
  <c r="P225" i="10"/>
  <c r="T225" i="10"/>
  <c r="Q221" i="10"/>
  <c r="T221" i="10"/>
  <c r="Q210" i="10"/>
  <c r="P202" i="10"/>
  <c r="T202" i="10"/>
  <c r="P194" i="10"/>
  <c r="T194" i="10"/>
  <c r="P186" i="10"/>
  <c r="T186" i="10" s="1"/>
  <c r="R244" i="10"/>
  <c r="T244" i="10"/>
  <c r="P240" i="10"/>
  <c r="T240" i="10"/>
  <c r="R236" i="10"/>
  <c r="T236" i="10"/>
  <c r="P232" i="10"/>
  <c r="T232" i="10"/>
  <c r="P228" i="10"/>
  <c r="T228" i="10"/>
  <c r="P224" i="10"/>
  <c r="T224" i="10"/>
  <c r="R220" i="10"/>
  <c r="T220" i="10"/>
  <c r="P216" i="10"/>
  <c r="T216" i="10"/>
  <c r="P201" i="10"/>
  <c r="T201" i="10"/>
  <c r="P193" i="10"/>
  <c r="T193" i="10"/>
  <c r="P185" i="10"/>
  <c r="T185" i="10" s="1"/>
  <c r="M9" i="27"/>
  <c r="AU473" i="5"/>
  <c r="AU469" i="5"/>
  <c r="AU465" i="5"/>
  <c r="AU457" i="5"/>
  <c r="AU453" i="5"/>
  <c r="AU438" i="5"/>
  <c r="AU434" i="5"/>
  <c r="AU371" i="5"/>
  <c r="AU367" i="5"/>
  <c r="AU363" i="5"/>
  <c r="AU359" i="5"/>
  <c r="AU355" i="5"/>
  <c r="AU336" i="5"/>
  <c r="AU273" i="5"/>
  <c r="AU269" i="5"/>
  <c r="AU265" i="5"/>
  <c r="AU261" i="5"/>
  <c r="AU257" i="5"/>
  <c r="AU238" i="5"/>
  <c r="AU167" i="5"/>
  <c r="AU163" i="5"/>
  <c r="AU159" i="5"/>
  <c r="AU73" i="5"/>
  <c r="AU69" i="5"/>
  <c r="AU65" i="5"/>
  <c r="AU61" i="5"/>
  <c r="AU57" i="5"/>
  <c r="AU42" i="5"/>
  <c r="AU38" i="5"/>
  <c r="AU11" i="5"/>
  <c r="AU474" i="2"/>
  <c r="AU470" i="2"/>
  <c r="AU466" i="2"/>
  <c r="AU462" i="2"/>
  <c r="AU458" i="2"/>
  <c r="AU454" i="2"/>
  <c r="AU435" i="2"/>
  <c r="AU368" i="2"/>
  <c r="AU364" i="2"/>
  <c r="AU360" i="2"/>
  <c r="AU356" i="2"/>
  <c r="AU341" i="2"/>
  <c r="AU337" i="2"/>
  <c r="AU266" i="2"/>
  <c r="AU262" i="2"/>
  <c r="AU258" i="2"/>
  <c r="AU172" i="2"/>
  <c r="AU168" i="2"/>
  <c r="AU164" i="2"/>
  <c r="AU160" i="2"/>
  <c r="AU156" i="2"/>
  <c r="AU137" i="2"/>
  <c r="AU74" i="2"/>
  <c r="AU66" i="2"/>
  <c r="AU62" i="2"/>
  <c r="AU58" i="2"/>
  <c r="AU43" i="2"/>
  <c r="AU39" i="2"/>
  <c r="AU16" i="2"/>
  <c r="AU12" i="2"/>
  <c r="AT73" i="5"/>
  <c r="AT38" i="5"/>
  <c r="AT266" i="2"/>
  <c r="AU472" i="5"/>
  <c r="AU468" i="5"/>
  <c r="AU464" i="5"/>
  <c r="AU460" i="5"/>
  <c r="AU456" i="5"/>
  <c r="AU441" i="5"/>
  <c r="AU437" i="5"/>
  <c r="AU374" i="5"/>
  <c r="AU370" i="5"/>
  <c r="AU366" i="5"/>
  <c r="AU362" i="5"/>
  <c r="AU358" i="5"/>
  <c r="AU354" i="5"/>
  <c r="AU335" i="5"/>
  <c r="AU348" i="5" s="1"/>
  <c r="AU272" i="5"/>
  <c r="AU268" i="5"/>
  <c r="AU264" i="5"/>
  <c r="AU260" i="5"/>
  <c r="AU256" i="5"/>
  <c r="AU237" i="5"/>
  <c r="AU170" i="5"/>
  <c r="AU162" i="5"/>
  <c r="AU158" i="5"/>
  <c r="AU139" i="5"/>
  <c r="AU68" i="5"/>
  <c r="AU64" i="5"/>
  <c r="AU60" i="5"/>
  <c r="AU41" i="5"/>
  <c r="AU473" i="2"/>
  <c r="AU469" i="2"/>
  <c r="AU465" i="2"/>
  <c r="AU461" i="2"/>
  <c r="AU457" i="2"/>
  <c r="AU453" i="2"/>
  <c r="AU434" i="2"/>
  <c r="AU371" i="2"/>
  <c r="AU363" i="2"/>
  <c r="AU359" i="2"/>
  <c r="AU355" i="2"/>
  <c r="AU340" i="2"/>
  <c r="AU336" i="2"/>
  <c r="AU265" i="2"/>
  <c r="AU261" i="2"/>
  <c r="AU257" i="2"/>
  <c r="AU175" i="2"/>
  <c r="AU171" i="2"/>
  <c r="AU167" i="2"/>
  <c r="AU159" i="2"/>
  <c r="AU140" i="2"/>
  <c r="AU77" i="2"/>
  <c r="AU73" i="2"/>
  <c r="AU69" i="2"/>
  <c r="AU65" i="2"/>
  <c r="AU61" i="2"/>
  <c r="AU57" i="2"/>
  <c r="AU38" i="2"/>
  <c r="AU15" i="2"/>
  <c r="AU11" i="2"/>
  <c r="AT472" i="5"/>
  <c r="AT473" i="2"/>
  <c r="AU467" i="5"/>
  <c r="AU463" i="5"/>
  <c r="AU459" i="5"/>
  <c r="AU455" i="5"/>
  <c r="AU440" i="5"/>
  <c r="AU436" i="5"/>
  <c r="AU373" i="5"/>
  <c r="AU369" i="5"/>
  <c r="AU365" i="5"/>
  <c r="AU361" i="5"/>
  <c r="AU357" i="5"/>
  <c r="AU275" i="5"/>
  <c r="AU271" i="5"/>
  <c r="AU267" i="5"/>
  <c r="AU263" i="5"/>
  <c r="AU259" i="5"/>
  <c r="AU255" i="5"/>
  <c r="AU240" i="5"/>
  <c r="AU236" i="5"/>
  <c r="AU169" i="5"/>
  <c r="AU161" i="5"/>
  <c r="AU157" i="5"/>
  <c r="AU138" i="5"/>
  <c r="AU71" i="5"/>
  <c r="AU67" i="5"/>
  <c r="AU63" i="5"/>
  <c r="AU59" i="5"/>
  <c r="AU40" i="5"/>
  <c r="AU468" i="2"/>
  <c r="AU464" i="2"/>
  <c r="AU460" i="2"/>
  <c r="AU456" i="2"/>
  <c r="AU370" i="2"/>
  <c r="AU366" i="2"/>
  <c r="AU362" i="2"/>
  <c r="AU358" i="2"/>
  <c r="AU354" i="2"/>
  <c r="AU339" i="2"/>
  <c r="AU335" i="2"/>
  <c r="AU264" i="2"/>
  <c r="AU260" i="2"/>
  <c r="AU256" i="2"/>
  <c r="AU237" i="2"/>
  <c r="AU174" i="2"/>
  <c r="AU170" i="2"/>
  <c r="AU166" i="2"/>
  <c r="AU158" i="2"/>
  <c r="AU139" i="2"/>
  <c r="AU76" i="2"/>
  <c r="AU72" i="2"/>
  <c r="AU68" i="2"/>
  <c r="AU64" i="2"/>
  <c r="AU60" i="2"/>
  <c r="AU41" i="2"/>
  <c r="U347" i="35" s="1"/>
  <c r="AU14" i="2"/>
  <c r="AT373" i="5"/>
  <c r="AT267" i="5"/>
  <c r="AT370" i="2"/>
  <c r="AT174" i="2"/>
  <c r="AT76" i="2"/>
  <c r="AU466" i="5"/>
  <c r="AU462" i="5"/>
  <c r="AU458" i="5"/>
  <c r="AU454" i="5"/>
  <c r="AU439" i="5"/>
  <c r="AU435" i="5"/>
  <c r="AU364" i="5"/>
  <c r="AU360" i="5"/>
  <c r="AU356" i="5"/>
  <c r="AU274" i="5"/>
  <c r="AU270" i="5"/>
  <c r="AU266" i="5"/>
  <c r="AU262" i="5"/>
  <c r="AU258" i="5"/>
  <c r="AU239" i="5"/>
  <c r="AU164" i="5"/>
  <c r="AU160" i="5"/>
  <c r="AU156" i="5"/>
  <c r="AU137" i="5"/>
  <c r="AU74" i="5"/>
  <c r="AU70" i="5"/>
  <c r="AU66" i="5"/>
  <c r="AU62" i="5"/>
  <c r="AU58" i="5"/>
  <c r="AU39" i="5"/>
  <c r="AU471" i="2"/>
  <c r="AU463" i="2"/>
  <c r="AU459" i="2"/>
  <c r="AU455" i="2"/>
  <c r="AU365" i="2"/>
  <c r="AU361" i="2"/>
  <c r="AU357" i="2"/>
  <c r="AU338" i="2"/>
  <c r="AU267" i="2"/>
  <c r="AU263" i="2"/>
  <c r="AU259" i="2"/>
  <c r="AU255" i="2"/>
  <c r="AU236" i="2"/>
  <c r="AU169" i="2"/>
  <c r="AU165" i="2"/>
  <c r="AU161" i="2"/>
  <c r="AU157" i="2"/>
  <c r="AU138" i="2"/>
  <c r="AU71" i="2"/>
  <c r="AU67" i="2"/>
  <c r="AU63" i="2"/>
  <c r="AU59" i="2"/>
  <c r="AU40" i="2"/>
  <c r="AU17" i="2"/>
  <c r="AU13" i="2"/>
  <c r="D422" i="26"/>
  <c r="D418" i="26"/>
  <c r="D406" i="26"/>
  <c r="D398" i="26"/>
  <c r="D394" i="26"/>
  <c r="D390" i="26"/>
  <c r="D230" i="26"/>
  <c r="D194" i="26"/>
  <c r="D173" i="26"/>
  <c r="D165" i="26"/>
  <c r="D157" i="26"/>
  <c r="D109" i="26"/>
  <c r="D77" i="26"/>
  <c r="D193" i="26"/>
  <c r="D187" i="26"/>
  <c r="D180" i="26"/>
  <c r="D172" i="26"/>
  <c r="D92" i="26"/>
  <c r="D163" i="26"/>
  <c r="D433" i="26"/>
  <c r="D429" i="26"/>
  <c r="D409" i="26"/>
  <c r="D389" i="26"/>
  <c r="D186" i="26"/>
  <c r="D171" i="26"/>
  <c r="D123" i="26"/>
  <c r="D107" i="26"/>
  <c r="D154" i="26"/>
  <c r="D130" i="26"/>
  <c r="D74" i="26"/>
  <c r="D197" i="26"/>
  <c r="D169" i="26"/>
  <c r="D153" i="26"/>
  <c r="D121" i="26"/>
  <c r="D81" i="26"/>
  <c r="D444" i="26"/>
  <c r="D432" i="26"/>
  <c r="D428" i="26"/>
  <c r="D424" i="26"/>
  <c r="D420" i="26"/>
  <c r="D177" i="26"/>
  <c r="D161" i="26"/>
  <c r="D113" i="26"/>
  <c r="D73" i="26"/>
  <c r="D176" i="26"/>
  <c r="D168" i="26"/>
  <c r="D160" i="26"/>
  <c r="D104" i="26"/>
  <c r="D175" i="26"/>
  <c r="D427" i="26"/>
  <c r="D407" i="26"/>
  <c r="D387" i="26"/>
  <c r="D111" i="26"/>
  <c r="D78" i="26"/>
  <c r="D94" i="26"/>
  <c r="D86" i="26"/>
  <c r="D174" i="26"/>
  <c r="D420" i="15"/>
  <c r="D428" i="15"/>
  <c r="D444" i="15"/>
  <c r="D407" i="15"/>
  <c r="D160" i="15"/>
  <c r="D168" i="15"/>
  <c r="D176" i="15"/>
  <c r="D104" i="15"/>
  <c r="D171" i="15"/>
  <c r="D429" i="15"/>
  <c r="D197" i="15"/>
  <c r="D153" i="15"/>
  <c r="D161" i="15"/>
  <c r="D169" i="15"/>
  <c r="D177" i="15"/>
  <c r="D113" i="15"/>
  <c r="D121" i="15"/>
  <c r="D73" i="15"/>
  <c r="D81" i="15"/>
  <c r="D163" i="15"/>
  <c r="D107" i="15"/>
  <c r="D422" i="15"/>
  <c r="D230" i="15"/>
  <c r="D154" i="15"/>
  <c r="D130" i="15"/>
  <c r="D74" i="15"/>
  <c r="D123" i="15"/>
  <c r="D394" i="15"/>
  <c r="D424" i="15"/>
  <c r="D432" i="15"/>
  <c r="D387" i="15"/>
  <c r="D172" i="15"/>
  <c r="D180" i="15"/>
  <c r="D92" i="15"/>
  <c r="D175" i="15"/>
  <c r="D409" i="15"/>
  <c r="D433" i="15"/>
  <c r="D193" i="15"/>
  <c r="D157" i="15"/>
  <c r="D165" i="15"/>
  <c r="D173" i="15"/>
  <c r="D109" i="15"/>
  <c r="D77" i="15"/>
  <c r="D418" i="15"/>
  <c r="D389" i="15"/>
  <c r="D186" i="15"/>
  <c r="D194" i="15"/>
  <c r="D174" i="15"/>
  <c r="D78" i="15"/>
  <c r="D86" i="15"/>
  <c r="D94" i="15"/>
  <c r="D187" i="15"/>
  <c r="D111" i="15"/>
  <c r="D427" i="15"/>
  <c r="D390" i="15"/>
  <c r="D398" i="15"/>
  <c r="D406" i="15"/>
  <c r="T73" i="5"/>
  <c r="T267" i="5"/>
  <c r="T472" i="5"/>
  <c r="L472" i="5"/>
  <c r="L267" i="5"/>
  <c r="T373" i="5"/>
  <c r="L373" i="5"/>
  <c r="L73" i="5"/>
  <c r="L38" i="5"/>
  <c r="T38" i="5"/>
  <c r="U267" i="5"/>
  <c r="AF435" i="35"/>
  <c r="N439" i="36"/>
  <c r="AC444" i="35"/>
  <c r="K442" i="36"/>
  <c r="W444" i="35"/>
  <c r="E442" i="36"/>
  <c r="L445" i="36"/>
  <c r="AD441" i="35"/>
  <c r="O436" i="36"/>
  <c r="AG438" i="35"/>
  <c r="AD444" i="35"/>
  <c r="L442" i="36"/>
  <c r="L424" i="36" s="1"/>
  <c r="N442" i="36"/>
  <c r="N424" i="36" s="1"/>
  <c r="AF444" i="35"/>
  <c r="AB441" i="35"/>
  <c r="J445" i="36"/>
  <c r="M444" i="36"/>
  <c r="M426" i="36" s="1"/>
  <c r="AE442" i="35"/>
  <c r="F444" i="36"/>
  <c r="F426" i="36" s="1"/>
  <c r="X442" i="35"/>
  <c r="F443" i="36"/>
  <c r="F425" i="36" s="1"/>
  <c r="X443" i="35"/>
  <c r="AB439" i="35"/>
  <c r="J435" i="36"/>
  <c r="AH437" i="35"/>
  <c r="P437" i="36"/>
  <c r="Y445" i="35"/>
  <c r="G441" i="36"/>
  <c r="AB442" i="35"/>
  <c r="J444" i="36"/>
  <c r="J426" i="36" s="1"/>
  <c r="L439" i="36"/>
  <c r="L427" i="36" s="1"/>
  <c r="AD435" i="35"/>
  <c r="AC445" i="35"/>
  <c r="K441" i="36"/>
  <c r="AC436" i="35"/>
  <c r="K438" i="36"/>
  <c r="AG435" i="35"/>
  <c r="O439" i="36"/>
  <c r="O427" i="36" s="1"/>
  <c r="N444" i="36"/>
  <c r="N426" i="36" s="1"/>
  <c r="AF442" i="35"/>
  <c r="F441" i="36"/>
  <c r="X445" i="35"/>
  <c r="AC439" i="35"/>
  <c r="K435" i="36"/>
  <c r="AC441" i="35"/>
  <c r="K445" i="36"/>
  <c r="AC438" i="35"/>
  <c r="K436" i="36"/>
  <c r="AC435" i="35"/>
  <c r="K439" i="36"/>
  <c r="P441" i="36"/>
  <c r="AH445" i="35"/>
  <c r="AB445" i="35"/>
  <c r="J441" i="36"/>
  <c r="AC437" i="35"/>
  <c r="K437" i="36"/>
  <c r="L441" i="36"/>
  <c r="AD445" i="35"/>
  <c r="BQ197" i="5"/>
  <c r="F445" i="36"/>
  <c r="F427" i="36" s="1"/>
  <c r="X441" i="35"/>
  <c r="AC443" i="35"/>
  <c r="K443" i="36"/>
  <c r="L435" i="36"/>
  <c r="AD439" i="35"/>
  <c r="M435" i="36"/>
  <c r="AE439" i="35"/>
  <c r="Z437" i="35"/>
  <c r="H437" i="36"/>
  <c r="D441" i="36"/>
  <c r="V445" i="35"/>
  <c r="AH443" i="35"/>
  <c r="P443" i="36"/>
  <c r="AH441" i="35"/>
  <c r="P445" i="36"/>
  <c r="P427" i="36" s="1"/>
  <c r="AH438" i="35"/>
  <c r="P436" i="36"/>
  <c r="M443" i="36"/>
  <c r="M425" i="36" s="1"/>
  <c r="AE443" i="35"/>
  <c r="S259" i="5"/>
  <c r="S59" i="5"/>
  <c r="S272" i="5"/>
  <c r="S441" i="5"/>
  <c r="S58" i="5"/>
  <c r="S462" i="5"/>
  <c r="S68" i="5"/>
  <c r="S57" i="5"/>
  <c r="S67" i="5"/>
  <c r="S457" i="5"/>
  <c r="S74" i="5"/>
  <c r="S65" i="5"/>
  <c r="S258" i="5"/>
  <c r="S370" i="5"/>
  <c r="S467" i="5"/>
  <c r="S456" i="5"/>
  <c r="S73" i="5"/>
  <c r="U73" i="5"/>
  <c r="S466" i="5"/>
  <c r="S454" i="5"/>
  <c r="S434" i="5"/>
  <c r="S42" i="5"/>
  <c r="S63" i="5"/>
  <c r="S273" i="5"/>
  <c r="S360" i="5"/>
  <c r="AV464" i="5"/>
  <c r="S167" i="5"/>
  <c r="O30" i="10"/>
  <c r="M10" i="25"/>
  <c r="N10" i="25" s="1"/>
  <c r="K10" i="25" s="1"/>
  <c r="P10" i="25" s="1"/>
  <c r="AV245" i="5"/>
  <c r="BP194" i="5"/>
  <c r="BR288" i="5"/>
  <c r="BP197" i="5"/>
  <c r="BN99" i="5"/>
  <c r="BR392" i="5"/>
  <c r="BR99" i="5"/>
  <c r="BO487" i="5"/>
  <c r="BP470" i="5"/>
  <c r="BR194" i="5"/>
  <c r="BP394" i="5"/>
  <c r="AV18" i="5"/>
  <c r="AX22" i="5"/>
  <c r="BR463" i="5"/>
  <c r="AV246" i="5"/>
  <c r="AV180" i="5"/>
  <c r="AV225" i="5"/>
  <c r="AV126" i="5"/>
  <c r="AW441" i="5"/>
  <c r="AW419" i="5"/>
  <c r="AW411" i="5"/>
  <c r="BH321" i="5"/>
  <c r="AW115" i="5"/>
  <c r="AY313" i="5"/>
  <c r="BH423" i="5"/>
  <c r="BR297" i="5"/>
  <c r="BO297" i="5"/>
  <c r="BR296" i="5"/>
  <c r="BR495" i="5"/>
  <c r="BR487" i="5"/>
  <c r="BO495" i="5"/>
  <c r="AW81" i="5"/>
  <c r="AY415" i="5"/>
  <c r="BH314" i="5"/>
  <c r="AV97" i="5"/>
  <c r="AX412" i="5"/>
  <c r="BO66" i="5"/>
  <c r="BR72" i="5"/>
  <c r="BR16" i="5"/>
  <c r="AX410" i="5"/>
  <c r="AV297" i="5"/>
  <c r="AV49" i="5"/>
  <c r="BR470" i="5"/>
  <c r="BL292" i="5"/>
  <c r="AX115" i="5"/>
  <c r="F70" i="15"/>
  <c r="AJ137" i="2"/>
  <c r="AS137" i="2"/>
  <c r="AK137" i="2"/>
  <c r="AL137" i="2"/>
  <c r="AM137" i="2"/>
  <c r="AR137" i="2"/>
  <c r="AN137" i="2"/>
  <c r="AG137" i="2"/>
  <c r="AO137" i="2"/>
  <c r="AH137" i="2"/>
  <c r="AP137" i="2"/>
  <c r="F317" i="15"/>
  <c r="F130" i="15"/>
  <c r="X496" i="2"/>
  <c r="Y494" i="2"/>
  <c r="Z492" i="2"/>
  <c r="AB496" i="2"/>
  <c r="AC494" i="2"/>
  <c r="AD492" i="2"/>
  <c r="AF496" i="2"/>
  <c r="AG494" i="2"/>
  <c r="AH493" i="2"/>
  <c r="AI491" i="2"/>
  <c r="BH491" i="2" s="1"/>
  <c r="AK495" i="2"/>
  <c r="AL493" i="2"/>
  <c r="AM491" i="2"/>
  <c r="AO496" i="2"/>
  <c r="AP494" i="2"/>
  <c r="AQ492" i="2"/>
  <c r="AS496" i="2"/>
  <c r="V496" i="2"/>
  <c r="W496" i="2"/>
  <c r="X495" i="2"/>
  <c r="Y493" i="2"/>
  <c r="Z491" i="2"/>
  <c r="AB495" i="2"/>
  <c r="AC493" i="2"/>
  <c r="AD491" i="2"/>
  <c r="BC491" i="2" s="1"/>
  <c r="AF495" i="2"/>
  <c r="AG493" i="2"/>
  <c r="AH492" i="2"/>
  <c r="AJ496" i="2"/>
  <c r="AK494" i="2"/>
  <c r="AL492" i="2"/>
  <c r="AM488" i="2"/>
  <c r="AO495" i="2"/>
  <c r="AP493" i="2"/>
  <c r="AQ491" i="2"/>
  <c r="BP491" i="2" s="1"/>
  <c r="AS495" i="2"/>
  <c r="V495" i="2"/>
  <c r="F402" i="15"/>
  <c r="W495" i="2"/>
  <c r="X494" i="2"/>
  <c r="Y492" i="2"/>
  <c r="AA496" i="2"/>
  <c r="AB494" i="2"/>
  <c r="AC492" i="2"/>
  <c r="AE496" i="2"/>
  <c r="AF494" i="2"/>
  <c r="AG492" i="2"/>
  <c r="AH491" i="2"/>
  <c r="AJ495" i="2"/>
  <c r="AK493" i="2"/>
  <c r="AL491" i="2"/>
  <c r="BK491" i="2" s="1"/>
  <c r="AN496" i="2"/>
  <c r="AO494" i="2"/>
  <c r="AP492" i="2"/>
  <c r="AR496" i="2"/>
  <c r="AS494" i="2"/>
  <c r="R496" i="2"/>
  <c r="S496" i="2" s="1"/>
  <c r="V494" i="2"/>
  <c r="W494" i="2"/>
  <c r="X493" i="2"/>
  <c r="Y491" i="2"/>
  <c r="AX491" i="2" s="1"/>
  <c r="AA495" i="2"/>
  <c r="AB493" i="2"/>
  <c r="AC491" i="2"/>
  <c r="BB491" i="2" s="1"/>
  <c r="AE495" i="2"/>
  <c r="AF493" i="2"/>
  <c r="AG491" i="2"/>
  <c r="BF491" i="2" s="1"/>
  <c r="AI496" i="2"/>
  <c r="AJ494" i="2"/>
  <c r="AK492" i="2"/>
  <c r="AM496" i="2"/>
  <c r="AN495" i="2"/>
  <c r="AO493" i="2"/>
  <c r="AP491" i="2"/>
  <c r="BO491" i="2" s="1"/>
  <c r="AR495" i="2"/>
  <c r="AS493" i="2"/>
  <c r="R495" i="2"/>
  <c r="V493" i="2"/>
  <c r="W493" i="2"/>
  <c r="X492" i="2"/>
  <c r="Z496" i="2"/>
  <c r="AA494" i="2"/>
  <c r="AB492" i="2"/>
  <c r="AD496" i="2"/>
  <c r="AE494" i="2"/>
  <c r="AF492" i="2"/>
  <c r="AG486" i="2"/>
  <c r="AI495" i="2"/>
  <c r="AJ493" i="2"/>
  <c r="AK491" i="2"/>
  <c r="BJ491" i="2" s="1"/>
  <c r="AM495" i="2"/>
  <c r="AN494" i="2"/>
  <c r="AO492" i="2"/>
  <c r="AQ496" i="2"/>
  <c r="AR494" i="2"/>
  <c r="AS492" i="2"/>
  <c r="R494" i="2"/>
  <c r="BK494" i="2" s="1"/>
  <c r="V492" i="2"/>
  <c r="W492" i="2"/>
  <c r="X491" i="2"/>
  <c r="Z495" i="2"/>
  <c r="AA493" i="2"/>
  <c r="AB491" i="2"/>
  <c r="BA491" i="2" s="1"/>
  <c r="AD495" i="2"/>
  <c r="AE493" i="2"/>
  <c r="AF491" i="2"/>
  <c r="BE491" i="2" s="1"/>
  <c r="AH496" i="2"/>
  <c r="AI494" i="2"/>
  <c r="AJ492" i="2"/>
  <c r="AL496" i="2"/>
  <c r="AM494" i="2"/>
  <c r="AN493" i="2"/>
  <c r="AO491" i="2"/>
  <c r="BN491" i="2" s="1"/>
  <c r="AQ495" i="2"/>
  <c r="AR493" i="2"/>
  <c r="AS491" i="2"/>
  <c r="R493" i="2"/>
  <c r="V491" i="2"/>
  <c r="F57" i="15"/>
  <c r="F145" i="15"/>
  <c r="W491" i="2"/>
  <c r="AV491" i="2" s="1"/>
  <c r="Y496" i="2"/>
  <c r="Z494" i="2"/>
  <c r="AA492" i="2"/>
  <c r="AC496" i="2"/>
  <c r="AD494" i="2"/>
  <c r="AE492" i="2"/>
  <c r="AG496" i="2"/>
  <c r="AH495" i="2"/>
  <c r="AI493" i="2"/>
  <c r="AJ491" i="2"/>
  <c r="BI491" i="2" s="1"/>
  <c r="AL495" i="2"/>
  <c r="AM493" i="2"/>
  <c r="AN492" i="2"/>
  <c r="AP496" i="2"/>
  <c r="AQ494" i="2"/>
  <c r="AR492" i="2"/>
  <c r="R492" i="2"/>
  <c r="W137" i="2"/>
  <c r="F378" i="15"/>
  <c r="W488" i="2"/>
  <c r="Y495" i="2"/>
  <c r="Z493" i="2"/>
  <c r="AA491" i="2"/>
  <c r="AZ491" i="2" s="1"/>
  <c r="AC495" i="2"/>
  <c r="AD493" i="2"/>
  <c r="AE491" i="2"/>
  <c r="BD491" i="2" s="1"/>
  <c r="AG495" i="2"/>
  <c r="AH494" i="2"/>
  <c r="AI492" i="2"/>
  <c r="AN491" i="2"/>
  <c r="BM491" i="2" s="1"/>
  <c r="AR491" i="2"/>
  <c r="BQ491" i="2" s="1"/>
  <c r="AW476" i="5"/>
  <c r="AL375" i="5"/>
  <c r="BK375" i="5" s="1"/>
  <c r="AQ371" i="5"/>
  <c r="AS375" i="5"/>
  <c r="AP375" i="5"/>
  <c r="BO375" i="5" s="1"/>
  <c r="AN375" i="5"/>
  <c r="BM375" i="5" s="1"/>
  <c r="AV80" i="5"/>
  <c r="AP70" i="5"/>
  <c r="BO70" i="5" s="1"/>
  <c r="AQ69" i="5"/>
  <c r="BP69" i="5" s="1"/>
  <c r="AH65" i="2"/>
  <c r="E51" i="17"/>
  <c r="E45" i="17"/>
  <c r="F45" i="17" s="1"/>
  <c r="E48" i="17"/>
  <c r="E50" i="17"/>
  <c r="E53" i="17"/>
  <c r="C58" i="17"/>
  <c r="E46" i="17"/>
  <c r="E47" i="17"/>
  <c r="X372" i="5"/>
  <c r="AW372" i="5" s="1"/>
  <c r="AD372" i="5"/>
  <c r="AN372" i="5"/>
  <c r="BM372" i="5" s="1"/>
  <c r="V372" i="5"/>
  <c r="AB372" i="5"/>
  <c r="BA372" i="5" s="1"/>
  <c r="AI372" i="5"/>
  <c r="BH372" i="5" s="1"/>
  <c r="AL372" i="5"/>
  <c r="BK372" i="5" s="1"/>
  <c r="AP372" i="5"/>
  <c r="BO372" i="5" s="1"/>
  <c r="AS372" i="5"/>
  <c r="BR372" i="5" s="1"/>
  <c r="AR372" i="5"/>
  <c r="Y372" i="5"/>
  <c r="AC372" i="5"/>
  <c r="BB372" i="5" s="1"/>
  <c r="AG372" i="5"/>
  <c r="BF372" i="5" s="1"/>
  <c r="AA372" i="5"/>
  <c r="AZ372" i="5" s="1"/>
  <c r="AE372" i="5"/>
  <c r="BD372" i="5" s="1"/>
  <c r="AH372" i="5"/>
  <c r="BG372" i="5" s="1"/>
  <c r="AF372" i="5"/>
  <c r="BE372" i="5" s="1"/>
  <c r="AK372" i="5"/>
  <c r="AO372" i="5"/>
  <c r="BN372" i="5" s="1"/>
  <c r="P203" i="10"/>
  <c r="AK170" i="5"/>
  <c r="AR162" i="5"/>
  <c r="R170" i="5"/>
  <c r="AS161" i="5"/>
  <c r="BR161" i="5" s="1"/>
  <c r="Z162" i="5"/>
  <c r="AB170" i="5"/>
  <c r="AG170" i="5"/>
  <c r="X170" i="5"/>
  <c r="AN170" i="5"/>
  <c r="AP161" i="5"/>
  <c r="Y162" i="5"/>
  <c r="AI170" i="5"/>
  <c r="AL162" i="5"/>
  <c r="AO161" i="5"/>
  <c r="AL161" i="5"/>
  <c r="BQ375" i="5"/>
  <c r="R364" i="5"/>
  <c r="AC364" i="5"/>
  <c r="AQ378" i="5"/>
  <c r="BP378" i="5" s="1"/>
  <c r="BR376" i="5"/>
  <c r="AW374" i="5"/>
  <c r="BP472" i="5"/>
  <c r="AQ461" i="5"/>
  <c r="BP461" i="5" s="1"/>
  <c r="BR461" i="5"/>
  <c r="AW468" i="5"/>
  <c r="S463" i="5"/>
  <c r="R159" i="5"/>
  <c r="X159" i="5"/>
  <c r="AA159" i="5"/>
  <c r="AJ159" i="5"/>
  <c r="AI426" i="35"/>
  <c r="W165" i="5"/>
  <c r="AV165" i="5" s="1"/>
  <c r="AI382" i="35"/>
  <c r="AQ79" i="5"/>
  <c r="BP79" i="5" s="1"/>
  <c r="AQ77" i="5"/>
  <c r="BP77" i="5" s="1"/>
  <c r="AK76" i="5"/>
  <c r="AM79" i="5"/>
  <c r="AO79" i="5"/>
  <c r="BN79" i="5" s="1"/>
  <c r="W79" i="5"/>
  <c r="AV79" i="5" s="1"/>
  <c r="AP71" i="5"/>
  <c r="R476" i="2"/>
  <c r="S476" i="2" s="1"/>
  <c r="AQ475" i="2"/>
  <c r="AS371" i="5"/>
  <c r="AV179" i="5"/>
  <c r="AW464" i="5"/>
  <c r="BQ472" i="5"/>
  <c r="AJ270" i="5"/>
  <c r="AK270" i="5"/>
  <c r="AS274" i="5"/>
  <c r="BR274" i="5" s="1"/>
  <c r="R270" i="5"/>
  <c r="AI262" i="5"/>
  <c r="AP270" i="5"/>
  <c r="AR270" i="5"/>
  <c r="AL270" i="5"/>
  <c r="AN270" i="5"/>
  <c r="AQ270" i="5"/>
  <c r="AS270" i="5"/>
  <c r="X270" i="5"/>
  <c r="AA270" i="5"/>
  <c r="AE270" i="5"/>
  <c r="AG270" i="5"/>
  <c r="AQ269" i="5"/>
  <c r="BP269" i="5" s="1"/>
  <c r="AS269" i="5"/>
  <c r="BR269" i="5" s="1"/>
  <c r="V270" i="5"/>
  <c r="AB270" i="5"/>
  <c r="AF270" i="5"/>
  <c r="AO270" i="5"/>
  <c r="Z270" i="5"/>
  <c r="AN262" i="5"/>
  <c r="AD270" i="5"/>
  <c r="AG262" i="5"/>
  <c r="AI270" i="5"/>
  <c r="AM270" i="5"/>
  <c r="Y270" i="5"/>
  <c r="AC270" i="5"/>
  <c r="AH270" i="5"/>
  <c r="AW72" i="5"/>
  <c r="AO68" i="5"/>
  <c r="AN68" i="5"/>
  <c r="AP68" i="5"/>
  <c r="BO68" i="5" s="1"/>
  <c r="AS68" i="5"/>
  <c r="BR68" i="5" s="1"/>
  <c r="AF378" i="2"/>
  <c r="BR460" i="5"/>
  <c r="Y325" i="5"/>
  <c r="AX325" i="5" s="1"/>
  <c r="AV325" i="5"/>
  <c r="AK239" i="5"/>
  <c r="BJ239" i="5" s="1"/>
  <c r="AL239" i="5"/>
  <c r="BK239" i="5" s="1"/>
  <c r="AG239" i="5"/>
  <c r="AS239" i="5"/>
  <c r="BR239" i="5" s="1"/>
  <c r="AO239" i="5"/>
  <c r="BN239" i="5" s="1"/>
  <c r="AH239" i="5"/>
  <c r="BG239" i="5" s="1"/>
  <c r="AM239" i="5"/>
  <c r="AQ239" i="5"/>
  <c r="AN239" i="5"/>
  <c r="Y224" i="5"/>
  <c r="Y223" i="5"/>
  <c r="AX223" i="5" s="1"/>
  <c r="Y227" i="5"/>
  <c r="AX227" i="5" s="1"/>
  <c r="AI26" i="5"/>
  <c r="AM26" i="5"/>
  <c r="AR26" i="5"/>
  <c r="AG26" i="5"/>
  <c r="R26" i="5"/>
  <c r="AV26" i="5" s="1"/>
  <c r="AC26" i="5"/>
  <c r="AD26" i="5"/>
  <c r="AB26" i="5"/>
  <c r="X26" i="5"/>
  <c r="AF26" i="5"/>
  <c r="AJ26" i="5"/>
  <c r="AA26" i="5"/>
  <c r="AO26" i="5"/>
  <c r="BN26" i="5" s="1"/>
  <c r="AL26" i="5"/>
  <c r="AQ26" i="5"/>
  <c r="AS26" i="5"/>
  <c r="Y110" i="5"/>
  <c r="AX110" i="5" s="1"/>
  <c r="AA379" i="35"/>
  <c r="AA423" i="35"/>
  <c r="AA453" i="5"/>
  <c r="AB467" i="5"/>
  <c r="BA467" i="5" s="1"/>
  <c r="AL467" i="5"/>
  <c r="BK467" i="5" s="1"/>
  <c r="X467" i="5"/>
  <c r="AW467" i="5" s="1"/>
  <c r="R453" i="5"/>
  <c r="AC453" i="5"/>
  <c r="AD467" i="5"/>
  <c r="BC467" i="5" s="1"/>
  <c r="AE453" i="5"/>
  <c r="AJ467" i="5"/>
  <c r="AL453" i="5"/>
  <c r="X453" i="5"/>
  <c r="V467" i="5"/>
  <c r="BQ460" i="5"/>
  <c r="AB453" i="5"/>
  <c r="AD453" i="5"/>
  <c r="AJ453" i="5"/>
  <c r="AO467" i="5"/>
  <c r="AS467" i="5"/>
  <c r="BR467" i="5" s="1"/>
  <c r="AN467" i="5"/>
  <c r="BM467" i="5" s="1"/>
  <c r="AO453" i="5"/>
  <c r="AS453" i="5"/>
  <c r="AR467" i="5"/>
  <c r="Y467" i="5"/>
  <c r="AX467" i="5" s="1"/>
  <c r="AH467" i="5"/>
  <c r="AM467" i="5"/>
  <c r="BL467" i="5" s="1"/>
  <c r="AN453" i="5"/>
  <c r="AQ467" i="5"/>
  <c r="BP467" i="5" s="1"/>
  <c r="Z467" i="5"/>
  <c r="AY467" i="5" s="1"/>
  <c r="AF467" i="5"/>
  <c r="BE467" i="5" s="1"/>
  <c r="AG467" i="5"/>
  <c r="AH453" i="5"/>
  <c r="AI467" i="5"/>
  <c r="BH467" i="5" s="1"/>
  <c r="AK467" i="5"/>
  <c r="AM453" i="5"/>
  <c r="AP467" i="5"/>
  <c r="BO467" i="5" s="1"/>
  <c r="AQ453" i="5"/>
  <c r="Y453" i="5"/>
  <c r="Z453" i="5"/>
  <c r="AF453" i="5"/>
  <c r="AK453" i="5"/>
  <c r="W422" i="5"/>
  <c r="AV422" i="5" s="1"/>
  <c r="E60" i="21"/>
  <c r="E94" i="21" s="1"/>
  <c r="V367" i="5"/>
  <c r="Z367" i="5"/>
  <c r="AR368" i="5"/>
  <c r="AI368" i="5"/>
  <c r="V368" i="5"/>
  <c r="AK368" i="5"/>
  <c r="AN368" i="5"/>
  <c r="AO368" i="5"/>
  <c r="AA368" i="5"/>
  <c r="AM368" i="5"/>
  <c r="AF368" i="5"/>
  <c r="R368" i="5"/>
  <c r="S368" i="5" s="1"/>
  <c r="AB368" i="5"/>
  <c r="AC368" i="5"/>
  <c r="AP368" i="5"/>
  <c r="AQ368" i="5"/>
  <c r="Y368" i="5"/>
  <c r="Z368" i="5"/>
  <c r="AE368" i="5"/>
  <c r="AG368" i="5"/>
  <c r="AH368" i="5"/>
  <c r="AJ368" i="5"/>
  <c r="AL368" i="5"/>
  <c r="AA359" i="5"/>
  <c r="R359" i="5"/>
  <c r="W313" i="5"/>
  <c r="AV313" i="5" s="1"/>
  <c r="AX308" i="5"/>
  <c r="AS273" i="5"/>
  <c r="BR273" i="5" s="1"/>
  <c r="AQ273" i="5"/>
  <c r="BP273" i="5" s="1"/>
  <c r="AA210" i="5"/>
  <c r="AC220" i="5"/>
  <c r="AD222" i="5"/>
  <c r="AE217" i="5"/>
  <c r="AF210" i="5"/>
  <c r="AI222" i="5"/>
  <c r="AK222" i="5"/>
  <c r="AN222" i="5"/>
  <c r="AO222" i="5"/>
  <c r="AR220" i="5"/>
  <c r="Y217" i="5"/>
  <c r="X222" i="5"/>
  <c r="V210" i="5"/>
  <c r="AA217" i="5"/>
  <c r="AB210" i="5"/>
  <c r="AF217" i="5"/>
  <c r="AG210" i="5"/>
  <c r="AH220" i="5"/>
  <c r="BG220" i="5" s="1"/>
  <c r="AJ222" i="5"/>
  <c r="AL222" i="5"/>
  <c r="AM222" i="5"/>
  <c r="AP222" i="5"/>
  <c r="AQ222" i="5"/>
  <c r="AR210" i="5"/>
  <c r="AS222" i="5"/>
  <c r="R222" i="5"/>
  <c r="AV222" i="5" s="1"/>
  <c r="AV213" i="5"/>
  <c r="C36" i="21"/>
  <c r="V217" i="5"/>
  <c r="Z222" i="5"/>
  <c r="AB217" i="5"/>
  <c r="AC210" i="5"/>
  <c r="AD220" i="5"/>
  <c r="BC220" i="5" s="1"/>
  <c r="AG217" i="5"/>
  <c r="AH210" i="5"/>
  <c r="AI220" i="5"/>
  <c r="BH220" i="5" s="1"/>
  <c r="AK220" i="5"/>
  <c r="BJ220" i="5" s="1"/>
  <c r="AN220" i="5"/>
  <c r="BM220" i="5" s="1"/>
  <c r="AO220" i="5"/>
  <c r="BN220" i="5" s="1"/>
  <c r="W220" i="5"/>
  <c r="AV220" i="5" s="1"/>
  <c r="Z220" i="5"/>
  <c r="AY220" i="5" s="1"/>
  <c r="AA222" i="5"/>
  <c r="AD210" i="5"/>
  <c r="AF222" i="5"/>
  <c r="AH217" i="5"/>
  <c r="AJ210" i="5"/>
  <c r="AL210" i="5"/>
  <c r="AM210" i="5"/>
  <c r="AP210" i="5"/>
  <c r="AQ210" i="5"/>
  <c r="AS210" i="5"/>
  <c r="R210" i="5"/>
  <c r="S210" i="5" s="1"/>
  <c r="Y222" i="5"/>
  <c r="Y219" i="5"/>
  <c r="AX219" i="5" s="1"/>
  <c r="X210" i="5"/>
  <c r="V222" i="5"/>
  <c r="AB222" i="5"/>
  <c r="AD217" i="5"/>
  <c r="AE220" i="5"/>
  <c r="BD220" i="5" s="1"/>
  <c r="AG222" i="5"/>
  <c r="AI217" i="5"/>
  <c r="AK217" i="5"/>
  <c r="AN217" i="5"/>
  <c r="AO217" i="5"/>
  <c r="AV226" i="5"/>
  <c r="Y210" i="5"/>
  <c r="W218" i="5"/>
  <c r="AV218" i="5" s="1"/>
  <c r="C44" i="21"/>
  <c r="C95" i="21" s="1"/>
  <c r="X217" i="5"/>
  <c r="AA220" i="5"/>
  <c r="AZ220" i="5" s="1"/>
  <c r="AC222" i="5"/>
  <c r="AF220" i="5"/>
  <c r="AJ217" i="5"/>
  <c r="AL217" i="5"/>
  <c r="AM217" i="5"/>
  <c r="AP217" i="5"/>
  <c r="AQ217" i="5"/>
  <c r="AR222" i="5"/>
  <c r="AS217" i="5"/>
  <c r="R217" i="5"/>
  <c r="Y220" i="5"/>
  <c r="AX220" i="5" s="1"/>
  <c r="W217" i="5"/>
  <c r="AE119" i="5"/>
  <c r="AE131" i="5" s="1"/>
  <c r="O157" i="36" s="1"/>
  <c r="AC119" i="5"/>
  <c r="BB119" i="5" s="1"/>
  <c r="AJ119" i="5"/>
  <c r="AJ131" i="5" s="1"/>
  <c r="AJ133" i="5" s="1"/>
  <c r="AK119" i="5"/>
  <c r="BJ119" i="5" s="1"/>
  <c r="X119" i="5"/>
  <c r="AF119" i="5"/>
  <c r="AF131" i="5" s="1"/>
  <c r="O158" i="36" s="1"/>
  <c r="AL119" i="5"/>
  <c r="BK119" i="5" s="1"/>
  <c r="Z119" i="5"/>
  <c r="AY119" i="5" s="1"/>
  <c r="AD119" i="5"/>
  <c r="AD109" i="5" s="1"/>
  <c r="O462" i="36" s="1"/>
  <c r="AG119" i="5"/>
  <c r="BF119" i="5" s="1"/>
  <c r="AM119" i="5"/>
  <c r="BL119" i="5" s="1"/>
  <c r="AN119" i="5"/>
  <c r="BM119" i="5" s="1"/>
  <c r="AR119" i="5"/>
  <c r="BQ119" i="5" s="1"/>
  <c r="Y119" i="5"/>
  <c r="AX119" i="5" s="1"/>
  <c r="AE78" i="5"/>
  <c r="Z78" i="5"/>
  <c r="AD78" i="5"/>
  <c r="AF78" i="5"/>
  <c r="AP78" i="5"/>
  <c r="V78" i="5"/>
  <c r="AQ78" i="5"/>
  <c r="AS78" i="5"/>
  <c r="AA78" i="5"/>
  <c r="AB78" i="5"/>
  <c r="AH78" i="5"/>
  <c r="AO78" i="5"/>
  <c r="AR78" i="5"/>
  <c r="AG78" i="5"/>
  <c r="AI78" i="5"/>
  <c r="AK78" i="5"/>
  <c r="AL78" i="5"/>
  <c r="AM78" i="5"/>
  <c r="R78" i="5"/>
  <c r="BM78" i="5" s="1"/>
  <c r="Y78" i="5"/>
  <c r="AF71" i="5"/>
  <c r="AO71" i="5"/>
  <c r="V71" i="5"/>
  <c r="AJ71" i="5"/>
  <c r="AN71" i="5"/>
  <c r="Z71" i="5"/>
  <c r="AC71" i="5"/>
  <c r="E14" i="21"/>
  <c r="G14" i="21" s="1"/>
  <c r="AR71" i="5"/>
  <c r="AG71" i="5"/>
  <c r="AH71" i="5"/>
  <c r="AI71" i="5"/>
  <c r="X71" i="5"/>
  <c r="R71" i="5"/>
  <c r="AA71" i="5"/>
  <c r="AD71" i="5"/>
  <c r="AE71" i="5"/>
  <c r="AL71" i="5"/>
  <c r="BR81" i="5"/>
  <c r="W81" i="5"/>
  <c r="AV81" i="5" s="1"/>
  <c r="AW80" i="5"/>
  <c r="AQ80" i="5"/>
  <c r="BP80" i="5" s="1"/>
  <c r="W78" i="5"/>
  <c r="W76" i="5"/>
  <c r="AC62" i="5"/>
  <c r="AI62" i="5"/>
  <c r="V62" i="5"/>
  <c r="AQ62" i="5"/>
  <c r="X62" i="5"/>
  <c r="W27" i="5"/>
  <c r="AV27" i="5" s="1"/>
  <c r="Y21" i="5"/>
  <c r="AX21" i="5" s="1"/>
  <c r="AP21" i="5"/>
  <c r="AO21" i="5"/>
  <c r="BN21" i="5" s="1"/>
  <c r="AQ21" i="5"/>
  <c r="BP21" i="5" s="1"/>
  <c r="AS21" i="5"/>
  <c r="BR21" i="5" s="1"/>
  <c r="AK373" i="2"/>
  <c r="AK377" i="2"/>
  <c r="AD376" i="2"/>
  <c r="AQ375" i="2"/>
  <c r="AS477" i="5"/>
  <c r="BR477" i="5" s="1"/>
  <c r="Y422" i="5"/>
  <c r="AX422" i="5" s="1"/>
  <c r="Y414" i="5"/>
  <c r="AX414" i="5" s="1"/>
  <c r="AV423" i="5"/>
  <c r="AV421" i="5"/>
  <c r="AV326" i="5"/>
  <c r="Y319" i="5"/>
  <c r="AX319" i="5" s="1"/>
  <c r="AX323" i="5"/>
  <c r="W321" i="5"/>
  <c r="AV321" i="5" s="1"/>
  <c r="AJ216" i="5"/>
  <c r="AN216" i="5"/>
  <c r="AK216" i="5"/>
  <c r="Y216" i="5"/>
  <c r="W219" i="5"/>
  <c r="AV219" i="5" s="1"/>
  <c r="AO216" i="5"/>
  <c r="AS216" i="5"/>
  <c r="R209" i="5"/>
  <c r="S209" i="5" s="1"/>
  <c r="AH216" i="5"/>
  <c r="R216" i="5"/>
  <c r="S216" i="5" s="1"/>
  <c r="AL216" i="5"/>
  <c r="AP216" i="5"/>
  <c r="AR216" i="5"/>
  <c r="AV223" i="5"/>
  <c r="AI216" i="5"/>
  <c r="AQ216" i="5"/>
  <c r="AQ65" i="5"/>
  <c r="BP65" i="5" s="1"/>
  <c r="AV70" i="5"/>
  <c r="AQ57" i="5"/>
  <c r="AE15" i="5"/>
  <c r="AH15" i="5"/>
  <c r="AJ15" i="5"/>
  <c r="AK15" i="5"/>
  <c r="AN15" i="5"/>
  <c r="AR15" i="5"/>
  <c r="R15" i="5"/>
  <c r="AC15" i="5"/>
  <c r="AA15" i="5"/>
  <c r="AF15" i="5"/>
  <c r="AQ15" i="5"/>
  <c r="V15" i="5"/>
  <c r="AL15" i="5"/>
  <c r="Z15" i="5"/>
  <c r="AG15" i="5"/>
  <c r="BF15" i="5" s="1"/>
  <c r="AM15" i="5"/>
  <c r="AO15" i="5"/>
  <c r="AP15" i="5"/>
  <c r="AS15" i="5"/>
  <c r="F265" i="15"/>
  <c r="F355" i="15"/>
  <c r="F165" i="15"/>
  <c r="F207" i="15"/>
  <c r="AP180" i="2"/>
  <c r="F127" i="15"/>
  <c r="AO78" i="2"/>
  <c r="R77" i="2"/>
  <c r="S77" i="2" s="1"/>
  <c r="AO76" i="2"/>
  <c r="AN79" i="2"/>
  <c r="AV378" i="5"/>
  <c r="AN373" i="5"/>
  <c r="AB373" i="5"/>
  <c r="AD373" i="5"/>
  <c r="AS378" i="5"/>
  <c r="BR378" i="5" s="1"/>
  <c r="Z373" i="5"/>
  <c r="AA373" i="5"/>
  <c r="AQ373" i="5"/>
  <c r="AR373" i="5"/>
  <c r="R373" i="5"/>
  <c r="AC373" i="5"/>
  <c r="AE373" i="5"/>
  <c r="AG373" i="5"/>
  <c r="AI373" i="5"/>
  <c r="AL373" i="5"/>
  <c r="X373" i="5"/>
  <c r="V373" i="5"/>
  <c r="AJ373" i="5"/>
  <c r="AK373" i="5"/>
  <c r="AM373" i="5"/>
  <c r="AO373" i="5"/>
  <c r="AS373" i="5"/>
  <c r="AF373" i="5"/>
  <c r="W376" i="5"/>
  <c r="AV376" i="5" s="1"/>
  <c r="W375" i="5"/>
  <c r="AV375" i="5" s="1"/>
  <c r="W374" i="5"/>
  <c r="AV374" i="5" s="1"/>
  <c r="W373" i="5"/>
  <c r="AS363" i="5"/>
  <c r="BR363" i="5" s="1"/>
  <c r="W426" i="5"/>
  <c r="AV426" i="5" s="1"/>
  <c r="W425" i="5"/>
  <c r="AI423" i="35"/>
  <c r="AI379" i="35"/>
  <c r="W419" i="5"/>
  <c r="AV419" i="5" s="1"/>
  <c r="W418" i="5"/>
  <c r="AV418" i="5" s="1"/>
  <c r="W417" i="5"/>
  <c r="AV417" i="5" s="1"/>
  <c r="W411" i="5"/>
  <c r="AV411" i="5" s="1"/>
  <c r="W415" i="5"/>
  <c r="AV415" i="5" s="1"/>
  <c r="AV413" i="5"/>
  <c r="AX411" i="5"/>
  <c r="W412" i="5"/>
  <c r="AH370" i="5"/>
  <c r="BG370" i="5" s="1"/>
  <c r="AO370" i="5"/>
  <c r="AQ370" i="5"/>
  <c r="BP370" i="5" s="1"/>
  <c r="Y370" i="5"/>
  <c r="AX370" i="5" s="1"/>
  <c r="AC370" i="5"/>
  <c r="BB370" i="5" s="1"/>
  <c r="AE370" i="5"/>
  <c r="BD370" i="5" s="1"/>
  <c r="AN370" i="5"/>
  <c r="BM370" i="5" s="1"/>
  <c r="AP370" i="5"/>
  <c r="BO370" i="5" s="1"/>
  <c r="AG370" i="5"/>
  <c r="BF370" i="5" s="1"/>
  <c r="AR370" i="5"/>
  <c r="BQ370" i="5" s="1"/>
  <c r="Z370" i="5"/>
  <c r="AB370" i="5"/>
  <c r="BA370" i="5" s="1"/>
  <c r="AF370" i="5"/>
  <c r="BE370" i="5" s="1"/>
  <c r="W372" i="5"/>
  <c r="AV372" i="5" s="1"/>
  <c r="W377" i="5"/>
  <c r="AV377" i="5" s="1"/>
  <c r="AS355" i="5"/>
  <c r="AP367" i="5"/>
  <c r="AL367" i="5"/>
  <c r="Y367" i="5"/>
  <c r="AJ367" i="5"/>
  <c r="W366" i="5"/>
  <c r="AI380" i="35"/>
  <c r="V312" i="5"/>
  <c r="AB312" i="5"/>
  <c r="AD312" i="5"/>
  <c r="AS312" i="5"/>
  <c r="AG312" i="5"/>
  <c r="AL312" i="5"/>
  <c r="AO312" i="5"/>
  <c r="Y312" i="5"/>
  <c r="X312" i="5"/>
  <c r="Z312" i="5"/>
  <c r="AC312" i="5"/>
  <c r="AJ312" i="5"/>
  <c r="AE312" i="5"/>
  <c r="R312" i="5"/>
  <c r="S312" i="5" s="1"/>
  <c r="AH312" i="5"/>
  <c r="AK312" i="5"/>
  <c r="AM312" i="5"/>
  <c r="AP312" i="5"/>
  <c r="AA312" i="5"/>
  <c r="AF312" i="5"/>
  <c r="AN312" i="5"/>
  <c r="AQ312" i="5"/>
  <c r="AW325" i="5"/>
  <c r="Z327" i="5"/>
  <c r="AD327" i="5"/>
  <c r="AF327" i="5"/>
  <c r="AH327" i="5"/>
  <c r="AJ327" i="5"/>
  <c r="AL327" i="5"/>
  <c r="AN327" i="5"/>
  <c r="AP327" i="5"/>
  <c r="Y327" i="5"/>
  <c r="AC327" i="5"/>
  <c r="R327" i="5"/>
  <c r="V327" i="5"/>
  <c r="AA327" i="5"/>
  <c r="AK327" i="5"/>
  <c r="AQ327" i="5"/>
  <c r="X327" i="5"/>
  <c r="AE327" i="5"/>
  <c r="AG327" i="5"/>
  <c r="AI327" i="5"/>
  <c r="AO327" i="5"/>
  <c r="C64" i="21"/>
  <c r="AM327" i="5"/>
  <c r="AR327" i="5"/>
  <c r="W327" i="5"/>
  <c r="W323" i="5"/>
  <c r="AV323" i="5" s="1"/>
  <c r="W315" i="5"/>
  <c r="W314" i="5"/>
  <c r="AV314" i="5" s="1"/>
  <c r="O208" i="10"/>
  <c r="AA317" i="5"/>
  <c r="AC317" i="5"/>
  <c r="AI317" i="5"/>
  <c r="AN317" i="5"/>
  <c r="R317" i="5"/>
  <c r="AX317" i="5" s="1"/>
  <c r="Q329" i="5"/>
  <c r="Q228" i="36" s="1"/>
  <c r="AF317" i="5"/>
  <c r="AK317" i="5"/>
  <c r="AR317" i="5"/>
  <c r="X317" i="5"/>
  <c r="V317" i="5"/>
  <c r="AP317" i="5"/>
  <c r="Z317" i="5"/>
  <c r="AH317" i="5"/>
  <c r="AS317" i="5"/>
  <c r="AB317" i="5"/>
  <c r="AE317" i="5"/>
  <c r="AM317" i="5"/>
  <c r="AJ317" i="5"/>
  <c r="AO317" i="5"/>
  <c r="AG317" i="5"/>
  <c r="AQ317" i="5"/>
  <c r="W317" i="5"/>
  <c r="W279" i="5"/>
  <c r="AV279" i="5" s="1"/>
  <c r="AH271" i="5"/>
  <c r="AM271" i="5"/>
  <c r="AJ271" i="5"/>
  <c r="AN263" i="5"/>
  <c r="AC263" i="5"/>
  <c r="AK263" i="5"/>
  <c r="BR267" i="5"/>
  <c r="AJ263" i="5"/>
  <c r="AS263" i="5"/>
  <c r="AA263" i="5"/>
  <c r="AP263" i="5"/>
  <c r="X263" i="5"/>
  <c r="R263" i="5"/>
  <c r="Z263" i="5"/>
  <c r="AE263" i="5"/>
  <c r="AI263" i="5"/>
  <c r="AO255" i="5"/>
  <c r="AQ263" i="5"/>
  <c r="AR263" i="5"/>
  <c r="Y263" i="5"/>
  <c r="AB263" i="5"/>
  <c r="AH263" i="5"/>
  <c r="AL263" i="5"/>
  <c r="AM263" i="5"/>
  <c r="V263" i="5"/>
  <c r="AD263" i="5"/>
  <c r="AF263" i="5"/>
  <c r="AG263" i="5"/>
  <c r="W215" i="5"/>
  <c r="AV215" i="5" s="1"/>
  <c r="W214" i="5"/>
  <c r="AV214" i="5" s="1"/>
  <c r="W216" i="5"/>
  <c r="W209" i="5"/>
  <c r="AB255" i="5"/>
  <c r="AG255" i="5"/>
  <c r="AN255" i="5"/>
  <c r="AL255" i="5"/>
  <c r="AE255" i="5"/>
  <c r="AM255" i="5"/>
  <c r="AP255" i="5"/>
  <c r="AS255" i="5"/>
  <c r="AR255" i="5"/>
  <c r="R255" i="5"/>
  <c r="X255" i="5"/>
  <c r="AD255" i="5"/>
  <c r="AJ255" i="5"/>
  <c r="AK255" i="5"/>
  <c r="AQ255" i="5"/>
  <c r="V255" i="5"/>
  <c r="Y255" i="5"/>
  <c r="Z255" i="5"/>
  <c r="AY255" i="5" s="1"/>
  <c r="AA255" i="5"/>
  <c r="AC255" i="5"/>
  <c r="AF255" i="5"/>
  <c r="BO476" i="5"/>
  <c r="BR464" i="5"/>
  <c r="BP464" i="5"/>
  <c r="AV114" i="5"/>
  <c r="R129" i="5"/>
  <c r="S129" i="5" s="1"/>
  <c r="Y129" i="5"/>
  <c r="AB129" i="5"/>
  <c r="AB131" i="5" s="1"/>
  <c r="O154" i="36" s="1"/>
  <c r="AK129" i="5"/>
  <c r="AN129" i="5"/>
  <c r="AQ129" i="5"/>
  <c r="AQ109" i="5" s="1"/>
  <c r="O475" i="36" s="1"/>
  <c r="AS129" i="5"/>
  <c r="AS109" i="5" s="1"/>
  <c r="O477" i="36" s="1"/>
  <c r="AM129" i="5"/>
  <c r="AG129" i="5"/>
  <c r="AP129" i="5"/>
  <c r="Q131" i="5"/>
  <c r="O228" i="36" s="1"/>
  <c r="AC129" i="5"/>
  <c r="AR129" i="5"/>
  <c r="W129" i="5"/>
  <c r="AW123" i="5"/>
  <c r="W128" i="5"/>
  <c r="AV128" i="5" s="1"/>
  <c r="W127" i="5"/>
  <c r="Y126" i="5"/>
  <c r="W125" i="5"/>
  <c r="AV125" i="5" s="1"/>
  <c r="W124" i="5"/>
  <c r="AV124" i="5" s="1"/>
  <c r="W123" i="5"/>
  <c r="AV123" i="5" s="1"/>
  <c r="W122" i="5"/>
  <c r="AV122" i="5" s="1"/>
  <c r="W121" i="5"/>
  <c r="AV121" i="5" s="1"/>
  <c r="W120" i="5"/>
  <c r="AV120" i="5" s="1"/>
  <c r="W119" i="5"/>
  <c r="AV119" i="5" s="1"/>
  <c r="Y118" i="5"/>
  <c r="AX118" i="5" s="1"/>
  <c r="W117" i="5"/>
  <c r="AV117" i="5" s="1"/>
  <c r="Y116" i="5"/>
  <c r="AX116" i="5" s="1"/>
  <c r="W115" i="5"/>
  <c r="AV115" i="5" s="1"/>
  <c r="W177" i="5"/>
  <c r="W66" i="5"/>
  <c r="AV66" i="5" s="1"/>
  <c r="AO70" i="5"/>
  <c r="BN70" i="5" s="1"/>
  <c r="W77" i="5"/>
  <c r="AV77" i="5" s="1"/>
  <c r="AK359" i="5"/>
  <c r="AO367" i="5"/>
  <c r="AS359" i="5"/>
  <c r="X367" i="5"/>
  <c r="BP356" i="5"/>
  <c r="AD367" i="5"/>
  <c r="AE367" i="5"/>
  <c r="AF367" i="5"/>
  <c r="AG359" i="5"/>
  <c r="AI367" i="5"/>
  <c r="AM359" i="5"/>
  <c r="AO366" i="5"/>
  <c r="AQ367" i="5"/>
  <c r="R367" i="5"/>
  <c r="AD366" i="5"/>
  <c r="AE366" i="5"/>
  <c r="AF366" i="5"/>
  <c r="AH359" i="5"/>
  <c r="AI366" i="5"/>
  <c r="AQ366" i="5"/>
  <c r="AR359" i="5"/>
  <c r="R366" i="5"/>
  <c r="Y359" i="5"/>
  <c r="Z359" i="5"/>
  <c r="AA367" i="5"/>
  <c r="AB359" i="5"/>
  <c r="AC359" i="5"/>
  <c r="AK367" i="5"/>
  <c r="AN359" i="5"/>
  <c r="AP359" i="5"/>
  <c r="AS367" i="5"/>
  <c r="AA366" i="5"/>
  <c r="AC358" i="5"/>
  <c r="AJ359" i="5"/>
  <c r="AK366" i="5"/>
  <c r="AO359" i="5"/>
  <c r="AS366" i="5"/>
  <c r="X359" i="5"/>
  <c r="V359" i="5"/>
  <c r="AD359" i="5"/>
  <c r="AF359" i="5"/>
  <c r="AG367" i="5"/>
  <c r="AI359" i="5"/>
  <c r="AL359" i="5"/>
  <c r="AM367" i="5"/>
  <c r="AQ359" i="5"/>
  <c r="AR367" i="5"/>
  <c r="AB367" i="5"/>
  <c r="AC367" i="5"/>
  <c r="AE359" i="5"/>
  <c r="AG366" i="5"/>
  <c r="AH367" i="5"/>
  <c r="AM366" i="5"/>
  <c r="AQ357" i="5"/>
  <c r="BP357" i="5" s="1"/>
  <c r="AW73" i="5"/>
  <c r="AW65" i="5"/>
  <c r="AG20" i="5"/>
  <c r="AO20" i="5"/>
  <c r="AP20" i="5"/>
  <c r="V20" i="5"/>
  <c r="AA20" i="5"/>
  <c r="AI20" i="5"/>
  <c r="AL20" i="5"/>
  <c r="AM20" i="5"/>
  <c r="R20" i="5"/>
  <c r="AD20" i="5"/>
  <c r="AE20" i="5"/>
  <c r="AH20" i="5"/>
  <c r="AS20" i="5"/>
  <c r="AB20" i="5"/>
  <c r="AN20" i="5"/>
  <c r="AQ20" i="5"/>
  <c r="AC20" i="5"/>
  <c r="AF20" i="5"/>
  <c r="X20" i="5"/>
  <c r="AR20" i="5"/>
  <c r="Z20" i="5"/>
  <c r="AK20" i="5"/>
  <c r="W20" i="5"/>
  <c r="Z25" i="5"/>
  <c r="AD25" i="5"/>
  <c r="AG25" i="5"/>
  <c r="AP25" i="5"/>
  <c r="W24" i="5"/>
  <c r="AC25" i="5"/>
  <c r="AE25" i="5"/>
  <c r="AK25" i="5"/>
  <c r="X25" i="5"/>
  <c r="R25" i="5"/>
  <c r="AI25" i="5"/>
  <c r="AJ25" i="5"/>
  <c r="AN25" i="5"/>
  <c r="Y25" i="5"/>
  <c r="AA25" i="5"/>
  <c r="AF25" i="5"/>
  <c r="AH25" i="5"/>
  <c r="AS25" i="5"/>
  <c r="V25" i="5"/>
  <c r="AR25" i="5"/>
  <c r="AL25" i="5"/>
  <c r="AM25" i="5"/>
  <c r="AQ25" i="5"/>
  <c r="W25" i="5"/>
  <c r="AS18" i="5"/>
  <c r="BR18" i="5" s="1"/>
  <c r="AR24" i="5"/>
  <c r="AC24" i="5"/>
  <c r="AD24" i="5"/>
  <c r="AH24" i="5"/>
  <c r="AI24" i="5"/>
  <c r="W23" i="5"/>
  <c r="AV23" i="5" s="1"/>
  <c r="AA24" i="5"/>
  <c r="AJ24" i="5"/>
  <c r="AK24" i="5"/>
  <c r="AO24" i="5"/>
  <c r="Y24" i="5"/>
  <c r="AE24" i="5"/>
  <c r="AQ24" i="5"/>
  <c r="AS24" i="5"/>
  <c r="X24" i="5"/>
  <c r="AG24" i="5"/>
  <c r="AP24" i="5"/>
  <c r="Z24" i="5"/>
  <c r="AN24" i="5"/>
  <c r="AB24" i="5"/>
  <c r="R24" i="5"/>
  <c r="AF24" i="5"/>
  <c r="AL24" i="5"/>
  <c r="W19" i="5"/>
  <c r="AV19" i="5" s="1"/>
  <c r="X19" i="5"/>
  <c r="AW19" i="5" s="1"/>
  <c r="AR19" i="5"/>
  <c r="BQ19" i="5" s="1"/>
  <c r="AB19" i="5"/>
  <c r="BA19" i="5" s="1"/>
  <c r="AE19" i="5"/>
  <c r="BD19" i="5" s="1"/>
  <c r="AH19" i="5"/>
  <c r="BG19" i="5" s="1"/>
  <c r="AO19" i="5"/>
  <c r="BN19" i="5" s="1"/>
  <c r="C2" i="21"/>
  <c r="AI19" i="5"/>
  <c r="BH19" i="5" s="1"/>
  <c r="AA19" i="5"/>
  <c r="AZ19" i="5" s="1"/>
  <c r="AG19" i="5"/>
  <c r="BF19" i="5" s="1"/>
  <c r="AJ19" i="5"/>
  <c r="BI19" i="5" s="1"/>
  <c r="AL19" i="5"/>
  <c r="BK19" i="5" s="1"/>
  <c r="AN19" i="5"/>
  <c r="BM19" i="5" s="1"/>
  <c r="AQ19" i="5"/>
  <c r="BP19" i="5" s="1"/>
  <c r="AC19" i="5"/>
  <c r="BB19" i="5" s="1"/>
  <c r="AP19" i="5"/>
  <c r="BO19" i="5" s="1"/>
  <c r="Y19" i="5"/>
  <c r="AX19" i="5" s="1"/>
  <c r="V19" i="5"/>
  <c r="Z19" i="5"/>
  <c r="AD19" i="5"/>
  <c r="AF19" i="5"/>
  <c r="BE19" i="5" s="1"/>
  <c r="AK19" i="5"/>
  <c r="AM19" i="5"/>
  <c r="AS19" i="5"/>
  <c r="BR19" i="5" s="1"/>
  <c r="AS12" i="5"/>
  <c r="X12" i="5"/>
  <c r="V12" i="5"/>
  <c r="AF12" i="5"/>
  <c r="AG12" i="5"/>
  <c r="AH12" i="5"/>
  <c r="AK12" i="5"/>
  <c r="AL12" i="5"/>
  <c r="Y12" i="5"/>
  <c r="X11" i="5"/>
  <c r="AW11" i="5" s="1"/>
  <c r="V11" i="5"/>
  <c r="Q32" i="5"/>
  <c r="AC12" i="5"/>
  <c r="AE12" i="5"/>
  <c r="AF11" i="5"/>
  <c r="BE11" i="5" s="1"/>
  <c r="AG11" i="5"/>
  <c r="BF11" i="5" s="1"/>
  <c r="AH11" i="5"/>
  <c r="BG11" i="5" s="1"/>
  <c r="AK11" i="5"/>
  <c r="BJ11" i="5" s="1"/>
  <c r="AO12" i="5"/>
  <c r="Y11" i="5"/>
  <c r="AX11" i="5" s="1"/>
  <c r="W17" i="5"/>
  <c r="AV17" i="5" s="1"/>
  <c r="AC11" i="5"/>
  <c r="AE11" i="5"/>
  <c r="BD11" i="5" s="1"/>
  <c r="AN12" i="5"/>
  <c r="W16" i="5"/>
  <c r="AV16" i="5" s="1"/>
  <c r="AB12" i="5"/>
  <c r="AI12" i="5"/>
  <c r="AM12" i="5"/>
  <c r="W15" i="5"/>
  <c r="AV15" i="5" s="1"/>
  <c r="Z12" i="5"/>
  <c r="AA12" i="5"/>
  <c r="AB11" i="5"/>
  <c r="BA11" i="5" s="1"/>
  <c r="AD12" i="5"/>
  <c r="AR12" i="5"/>
  <c r="R12" i="5"/>
  <c r="Z11" i="5"/>
  <c r="AY11" i="5" s="1"/>
  <c r="AA11" i="5"/>
  <c r="AD11" i="5"/>
  <c r="BC11" i="5" s="1"/>
  <c r="AJ12" i="5"/>
  <c r="AP12" i="5"/>
  <c r="AQ12" i="5"/>
  <c r="AM474" i="2"/>
  <c r="V473" i="2"/>
  <c r="P441" i="35" s="1"/>
  <c r="F225" i="15"/>
  <c r="V413" i="2"/>
  <c r="AS412" i="2"/>
  <c r="AR411" i="2"/>
  <c r="Q428" i="2"/>
  <c r="R228" i="35" s="1"/>
  <c r="F34" i="15"/>
  <c r="AN372" i="2"/>
  <c r="R374" i="2"/>
  <c r="S374" i="2" s="1"/>
  <c r="AS279" i="2"/>
  <c r="AG278" i="2"/>
  <c r="V277" i="2"/>
  <c r="AS276" i="2"/>
  <c r="AR275" i="2"/>
  <c r="AQ274" i="2"/>
  <c r="O207" i="10"/>
  <c r="Q230" i="2"/>
  <c r="P228" i="35" s="1"/>
  <c r="F195" i="15"/>
  <c r="R213" i="2"/>
  <c r="F362" i="15"/>
  <c r="AR124" i="2"/>
  <c r="F373" i="15"/>
  <c r="F259" i="15"/>
  <c r="AJ118" i="2"/>
  <c r="AM117" i="2"/>
  <c r="V116" i="2"/>
  <c r="AR115" i="2"/>
  <c r="R114" i="2"/>
  <c r="S114" i="2" s="1"/>
  <c r="AQ113" i="2"/>
  <c r="F108" i="15"/>
  <c r="F381" i="15"/>
  <c r="F191" i="15"/>
  <c r="V13" i="2"/>
  <c r="H433" i="35" s="1"/>
  <c r="AQ19" i="2"/>
  <c r="AP18" i="2"/>
  <c r="AS17" i="2"/>
  <c r="AO16" i="2"/>
  <c r="R15" i="2"/>
  <c r="S15" i="2" s="1"/>
  <c r="F163" i="15"/>
  <c r="AR14" i="2"/>
  <c r="AP262" i="5"/>
  <c r="AW258" i="5"/>
  <c r="AL262" i="5"/>
  <c r="Y262" i="5"/>
  <c r="Z262" i="5"/>
  <c r="AJ262" i="5"/>
  <c r="AM262" i="5"/>
  <c r="AR262" i="5"/>
  <c r="AA262" i="5"/>
  <c r="R262" i="5"/>
  <c r="AF262" i="5"/>
  <c r="AK262" i="5"/>
  <c r="AQ262" i="5"/>
  <c r="AS262" i="5"/>
  <c r="AC262" i="5"/>
  <c r="X262" i="5"/>
  <c r="V262" i="5"/>
  <c r="AB262" i="5"/>
  <c r="AD262" i="5"/>
  <c r="AE262" i="5"/>
  <c r="AH262" i="5"/>
  <c r="AD62" i="5"/>
  <c r="AE62" i="5"/>
  <c r="AJ62" i="5"/>
  <c r="Y62" i="5"/>
  <c r="AF62" i="5"/>
  <c r="AM62" i="5"/>
  <c r="AN62" i="5"/>
  <c r="Q83" i="5"/>
  <c r="Q527" i="5" s="1"/>
  <c r="AR62" i="5"/>
  <c r="AB62" i="5"/>
  <c r="AL62" i="5"/>
  <c r="R62" i="5"/>
  <c r="Z62" i="5"/>
  <c r="AH62" i="5"/>
  <c r="AP62" i="5"/>
  <c r="AA62" i="5"/>
  <c r="AG62" i="5"/>
  <c r="W75" i="5"/>
  <c r="AV75" i="5" s="1"/>
  <c r="W73" i="5"/>
  <c r="AV73" i="5" s="1"/>
  <c r="W72" i="5"/>
  <c r="AV72" i="5" s="1"/>
  <c r="W71" i="5"/>
  <c r="W68" i="5"/>
  <c r="AV68" i="5" s="1"/>
  <c r="W67" i="5"/>
  <c r="AK468" i="2"/>
  <c r="AQ466" i="2"/>
  <c r="AJ472" i="2"/>
  <c r="AH471" i="2"/>
  <c r="AR470" i="2"/>
  <c r="AP469" i="2"/>
  <c r="AS467" i="2"/>
  <c r="AW463" i="5"/>
  <c r="AE462" i="5"/>
  <c r="BD462" i="5" s="1"/>
  <c r="AH462" i="5"/>
  <c r="BG462" i="5" s="1"/>
  <c r="AI455" i="5"/>
  <c r="AF462" i="5"/>
  <c r="BE462" i="5" s="1"/>
  <c r="AJ455" i="5"/>
  <c r="AG455" i="5"/>
  <c r="AH455" i="5"/>
  <c r="AO455" i="5"/>
  <c r="AS462" i="5"/>
  <c r="BR462" i="5" s="1"/>
  <c r="AS469" i="5"/>
  <c r="W364" i="5"/>
  <c r="AE362" i="5"/>
  <c r="W380" i="35"/>
  <c r="X364" i="5"/>
  <c r="AD364" i="5"/>
  <c r="AS364" i="5"/>
  <c r="AI364" i="5"/>
  <c r="V365" i="5"/>
  <c r="V364" i="5"/>
  <c r="AA364" i="5"/>
  <c r="AE364" i="5"/>
  <c r="AG364" i="5"/>
  <c r="AK364" i="5"/>
  <c r="AM364" i="5"/>
  <c r="AP364" i="5"/>
  <c r="AN364" i="5"/>
  <c r="AR364" i="5"/>
  <c r="Y364" i="5"/>
  <c r="AF364" i="5"/>
  <c r="AO364" i="5"/>
  <c r="AQ364" i="5"/>
  <c r="Z364" i="5"/>
  <c r="AB364" i="5"/>
  <c r="AH364" i="5"/>
  <c r="AS258" i="5"/>
  <c r="BR258" i="5" s="1"/>
  <c r="AV267" i="5"/>
  <c r="AS271" i="5"/>
  <c r="AW267" i="5"/>
  <c r="BO267" i="5"/>
  <c r="AA177" i="5"/>
  <c r="R177" i="5"/>
  <c r="AW177" i="5" s="1"/>
  <c r="Y177" i="5"/>
  <c r="AD177" i="5"/>
  <c r="AK177" i="5"/>
  <c r="AH177" i="5"/>
  <c r="AM177" i="5"/>
  <c r="AN177" i="5"/>
  <c r="V177" i="5"/>
  <c r="Z177" i="5"/>
  <c r="AJ177" i="5"/>
  <c r="AS178" i="5"/>
  <c r="BR178" i="5" s="1"/>
  <c r="AE177" i="5"/>
  <c r="AR177" i="5"/>
  <c r="AC177" i="5"/>
  <c r="AG177" i="5"/>
  <c r="AQ165" i="5"/>
  <c r="BP165" i="5" s="1"/>
  <c r="AS62" i="5"/>
  <c r="W57" i="5"/>
  <c r="AV57" i="5" s="1"/>
  <c r="AQ75" i="2"/>
  <c r="R74" i="2"/>
  <c r="S74" i="2" s="1"/>
  <c r="AR73" i="2"/>
  <c r="AM72" i="2"/>
  <c r="R71" i="2"/>
  <c r="S71" i="2" s="1"/>
  <c r="V465" i="2"/>
  <c r="E379" i="35"/>
  <c r="R464" i="2"/>
  <c r="S464" i="2" s="1"/>
  <c r="Z463" i="2"/>
  <c r="R367" i="2"/>
  <c r="S367" i="2" s="1"/>
  <c r="AS366" i="2"/>
  <c r="AD365" i="2"/>
  <c r="AC364" i="2"/>
  <c r="AO371" i="2"/>
  <c r="AM370" i="2"/>
  <c r="AN369" i="2"/>
  <c r="V368" i="2"/>
  <c r="E442" i="35" s="1"/>
  <c r="Z269" i="2"/>
  <c r="AB268" i="2"/>
  <c r="AR273" i="2"/>
  <c r="AI265" i="2"/>
  <c r="AP272" i="2"/>
  <c r="Z271" i="2"/>
  <c r="V270" i="2"/>
  <c r="AA168" i="2"/>
  <c r="AB167" i="2"/>
  <c r="AB166" i="2"/>
  <c r="AC165" i="2"/>
  <c r="AD70" i="2"/>
  <c r="AN69" i="2"/>
  <c r="AM68" i="2"/>
  <c r="AQ67" i="2"/>
  <c r="X458" i="5"/>
  <c r="AO458" i="5"/>
  <c r="AA458" i="5"/>
  <c r="AF458" i="5"/>
  <c r="R458" i="5"/>
  <c r="Z458" i="5"/>
  <c r="AD458" i="5"/>
  <c r="AJ458" i="5"/>
  <c r="W473" i="5"/>
  <c r="AQ473" i="5"/>
  <c r="BP473" i="5" s="1"/>
  <c r="W472" i="5"/>
  <c r="AV472" i="5" s="1"/>
  <c r="AJ473" i="5"/>
  <c r="BI473" i="5" s="1"/>
  <c r="AL473" i="5"/>
  <c r="BK473" i="5" s="1"/>
  <c r="AN473" i="5"/>
  <c r="BM473" i="5" s="1"/>
  <c r="W471" i="5"/>
  <c r="AV471" i="5" s="1"/>
  <c r="AW472" i="5"/>
  <c r="AG473" i="5"/>
  <c r="BF473" i="5" s="1"/>
  <c r="AK473" i="5"/>
  <c r="BJ473" i="5" s="1"/>
  <c r="AO473" i="5"/>
  <c r="BN473" i="5" s="1"/>
  <c r="AP473" i="5"/>
  <c r="BO473" i="5" s="1"/>
  <c r="AS473" i="5"/>
  <c r="BR473" i="5" s="1"/>
  <c r="W475" i="5"/>
  <c r="AV475" i="5" s="1"/>
  <c r="AM473" i="5"/>
  <c r="BL473" i="5" s="1"/>
  <c r="E79" i="21"/>
  <c r="G79" i="21" s="1"/>
  <c r="AP465" i="5"/>
  <c r="Z462" i="5"/>
  <c r="AY462" i="5" s="1"/>
  <c r="AA462" i="5"/>
  <c r="AO462" i="5"/>
  <c r="BN462" i="5" s="1"/>
  <c r="AQ462" i="5"/>
  <c r="BP462" i="5" s="1"/>
  <c r="X462" i="5"/>
  <c r="AW462" i="5" s="1"/>
  <c r="AG462" i="5"/>
  <c r="BF462" i="5" s="1"/>
  <c r="AJ462" i="5"/>
  <c r="BI462" i="5" s="1"/>
  <c r="AM462" i="5"/>
  <c r="BL462" i="5" s="1"/>
  <c r="AD462" i="5"/>
  <c r="BC462" i="5" s="1"/>
  <c r="AI462" i="5"/>
  <c r="BH462" i="5" s="1"/>
  <c r="AL462" i="5"/>
  <c r="BK462" i="5" s="1"/>
  <c r="AP462" i="5"/>
  <c r="BO462" i="5" s="1"/>
  <c r="Y462" i="5"/>
  <c r="AX462" i="5" s="1"/>
  <c r="AK462" i="5"/>
  <c r="BJ462" i="5" s="1"/>
  <c r="V462" i="5"/>
  <c r="AB462" i="5"/>
  <c r="BA462" i="5" s="1"/>
  <c r="Y465" i="5"/>
  <c r="AE465" i="5"/>
  <c r="AJ465" i="5"/>
  <c r="AN465" i="5"/>
  <c r="R465" i="5"/>
  <c r="AI465" i="5"/>
  <c r="AH465" i="5"/>
  <c r="AM465" i="5"/>
  <c r="AR465" i="5"/>
  <c r="AB465" i="5"/>
  <c r="AD465" i="5"/>
  <c r="AK465" i="5"/>
  <c r="AL465" i="5"/>
  <c r="AO465" i="5"/>
  <c r="AS465" i="5"/>
  <c r="X465" i="5"/>
  <c r="Z465" i="5"/>
  <c r="AF465" i="5"/>
  <c r="AG465" i="5"/>
  <c r="AQ465" i="5"/>
  <c r="V465" i="5"/>
  <c r="N445" i="36" s="1"/>
  <c r="AA465" i="5"/>
  <c r="AH458" i="5"/>
  <c r="AQ458" i="5"/>
  <c r="AS458" i="5"/>
  <c r="AN458" i="5"/>
  <c r="AP458" i="5"/>
  <c r="AK458" i="5"/>
  <c r="AL458" i="5"/>
  <c r="AA459" i="5"/>
  <c r="AD459" i="5"/>
  <c r="V459" i="5"/>
  <c r="D445" i="36" s="1"/>
  <c r="AC459" i="5"/>
  <c r="AF459" i="5"/>
  <c r="X459" i="5"/>
  <c r="BQ468" i="5"/>
  <c r="W465" i="5"/>
  <c r="W463" i="5"/>
  <c r="AV463" i="5" s="1"/>
  <c r="W474" i="5"/>
  <c r="AV474" i="5" s="1"/>
  <c r="W476" i="5"/>
  <c r="AV476" i="5" s="1"/>
  <c r="W369" i="5"/>
  <c r="S371" i="5"/>
  <c r="X365" i="5"/>
  <c r="AR365" i="5"/>
  <c r="Y361" i="5"/>
  <c r="Z361" i="5"/>
  <c r="AA357" i="5"/>
  <c r="AZ357" i="5" s="1"/>
  <c r="AB369" i="5"/>
  <c r="AD361" i="5"/>
  <c r="AE369" i="5"/>
  <c r="AF361" i="5"/>
  <c r="AH357" i="5"/>
  <c r="BG357" i="5" s="1"/>
  <c r="AI361" i="5"/>
  <c r="AK369" i="5"/>
  <c r="AL365" i="5"/>
  <c r="AM357" i="5"/>
  <c r="BL357" i="5" s="1"/>
  <c r="AN369" i="5"/>
  <c r="AO361" i="5"/>
  <c r="AP357" i="5"/>
  <c r="BO357" i="5" s="1"/>
  <c r="AQ361" i="5"/>
  <c r="AS365" i="5"/>
  <c r="W368" i="5"/>
  <c r="AW363" i="5"/>
  <c r="R365" i="5"/>
  <c r="Y369" i="5"/>
  <c r="Z369" i="5"/>
  <c r="AC357" i="5"/>
  <c r="BB357" i="5" s="1"/>
  <c r="AD369" i="5"/>
  <c r="AF369" i="5"/>
  <c r="AG365" i="5"/>
  <c r="AI369" i="5"/>
  <c r="AO369" i="5"/>
  <c r="AQ369" i="5"/>
  <c r="W367" i="5"/>
  <c r="AW371" i="5"/>
  <c r="X361" i="5"/>
  <c r="AA365" i="5"/>
  <c r="AB357" i="5"/>
  <c r="BA357" i="5" s="1"/>
  <c r="AC365" i="5"/>
  <c r="AE357" i="5"/>
  <c r="BD357" i="5" s="1"/>
  <c r="AH365" i="5"/>
  <c r="AJ361" i="5"/>
  <c r="AK357" i="5"/>
  <c r="BJ357" i="5" s="1"/>
  <c r="AM365" i="5"/>
  <c r="AN357" i="5"/>
  <c r="BM357" i="5" s="1"/>
  <c r="AP365" i="5"/>
  <c r="X369" i="5"/>
  <c r="AR369" i="5"/>
  <c r="R361" i="5"/>
  <c r="AB365" i="5"/>
  <c r="AE365" i="5"/>
  <c r="AG361" i="5"/>
  <c r="AK365" i="5"/>
  <c r="AL369" i="5"/>
  <c r="AN365" i="5"/>
  <c r="AS369" i="5"/>
  <c r="X357" i="5"/>
  <c r="AW357" i="5" s="1"/>
  <c r="V357" i="5"/>
  <c r="R369" i="5"/>
  <c r="Y365" i="5"/>
  <c r="Z365" i="5"/>
  <c r="AA361" i="5"/>
  <c r="AC361" i="5"/>
  <c r="AD365" i="5"/>
  <c r="AF365" i="5"/>
  <c r="AG369" i="5"/>
  <c r="AH361" i="5"/>
  <c r="AI365" i="5"/>
  <c r="AJ357" i="5"/>
  <c r="BI357" i="5" s="1"/>
  <c r="AM361" i="5"/>
  <c r="AO365" i="5"/>
  <c r="AP361" i="5"/>
  <c r="AQ365" i="5"/>
  <c r="W371" i="5"/>
  <c r="AV371" i="5" s="1"/>
  <c r="AW356" i="5"/>
  <c r="AR357" i="5"/>
  <c r="BQ357" i="5" s="1"/>
  <c r="AA369" i="5"/>
  <c r="AC369" i="5"/>
  <c r="AH369" i="5"/>
  <c r="AM369" i="5"/>
  <c r="AP369" i="5"/>
  <c r="W370" i="5"/>
  <c r="AV370" i="5" s="1"/>
  <c r="W278" i="5"/>
  <c r="AG278" i="5"/>
  <c r="AR278" i="5"/>
  <c r="AD278" i="5"/>
  <c r="AE278" i="5"/>
  <c r="AJ278" i="5"/>
  <c r="AN278" i="5"/>
  <c r="AP278" i="5"/>
  <c r="AH278" i="5"/>
  <c r="AS278" i="5"/>
  <c r="V278" i="5"/>
  <c r="R278" i="5"/>
  <c r="S278" i="5" s="1"/>
  <c r="AF278" i="5"/>
  <c r="AO278" i="5"/>
  <c r="X278" i="5"/>
  <c r="AA278" i="5"/>
  <c r="AL278" i="5"/>
  <c r="Y278" i="5"/>
  <c r="Z278" i="5"/>
  <c r="AC278" i="5"/>
  <c r="AI278" i="5"/>
  <c r="AM278" i="5"/>
  <c r="AQ278" i="5"/>
  <c r="R265" i="5"/>
  <c r="AK265" i="5"/>
  <c r="Y271" i="5"/>
  <c r="AN271" i="5"/>
  <c r="AR271" i="5"/>
  <c r="AA271" i="5"/>
  <c r="AD271" i="5"/>
  <c r="AQ271" i="5"/>
  <c r="V271" i="5"/>
  <c r="AI271" i="5"/>
  <c r="AP271" i="5"/>
  <c r="X271" i="5"/>
  <c r="Z271" i="5"/>
  <c r="AE271" i="5"/>
  <c r="AG271" i="5"/>
  <c r="AK271" i="5"/>
  <c r="AL271" i="5"/>
  <c r="R271" i="5"/>
  <c r="AO271" i="5"/>
  <c r="AB271" i="5"/>
  <c r="AC271" i="5"/>
  <c r="AF271" i="5"/>
  <c r="AW259" i="5"/>
  <c r="AA257" i="5"/>
  <c r="AA256" i="5"/>
  <c r="AL257" i="5"/>
  <c r="AR171" i="5"/>
  <c r="Z171" i="5"/>
  <c r="AH156" i="5"/>
  <c r="AO163" i="5"/>
  <c r="AP163" i="5"/>
  <c r="AQ171" i="5"/>
  <c r="AR178" i="5"/>
  <c r="BQ178" i="5" s="1"/>
  <c r="AR170" i="5"/>
  <c r="Y171" i="5"/>
  <c r="Z170" i="5"/>
  <c r="AC163" i="5"/>
  <c r="AE163" i="5"/>
  <c r="AF163" i="5"/>
  <c r="AG156" i="5"/>
  <c r="AI156" i="5"/>
  <c r="AL171" i="5"/>
  <c r="AM171" i="5"/>
  <c r="AP178" i="5"/>
  <c r="BO178" i="5" s="1"/>
  <c r="AQ170" i="5"/>
  <c r="AQ156" i="5"/>
  <c r="V171" i="5"/>
  <c r="Y170" i="5"/>
  <c r="Z178" i="5"/>
  <c r="AY178" i="5" s="1"/>
  <c r="AA156" i="5"/>
  <c r="AC162" i="5"/>
  <c r="AD163" i="5"/>
  <c r="AE162" i="5"/>
  <c r="AF162" i="5"/>
  <c r="AJ163" i="5"/>
  <c r="AK156" i="5"/>
  <c r="AL170" i="5"/>
  <c r="AM170" i="5"/>
  <c r="AO171" i="5"/>
  <c r="V178" i="5"/>
  <c r="V170" i="5"/>
  <c r="R156" i="5"/>
  <c r="Y178" i="5"/>
  <c r="AX178" i="5" s="1"/>
  <c r="AA163" i="5"/>
  <c r="AB156" i="5"/>
  <c r="AC171" i="5"/>
  <c r="AD162" i="5"/>
  <c r="AE171" i="5"/>
  <c r="AF171" i="5"/>
  <c r="AH163" i="5"/>
  <c r="AL178" i="5"/>
  <c r="BK178" i="5" s="1"/>
  <c r="AM178" i="5"/>
  <c r="BL178" i="5" s="1"/>
  <c r="AM156" i="5"/>
  <c r="AN163" i="5"/>
  <c r="AO170" i="5"/>
  <c r="AS156" i="5"/>
  <c r="X156" i="5"/>
  <c r="V162" i="5"/>
  <c r="D442" i="36" s="1"/>
  <c r="AR156" i="5"/>
  <c r="R163" i="5"/>
  <c r="AA171" i="5"/>
  <c r="AA162" i="5"/>
  <c r="AC178" i="5"/>
  <c r="BB178" i="5" s="1"/>
  <c r="AC170" i="5"/>
  <c r="AD171" i="5"/>
  <c r="AE170" i="5"/>
  <c r="AF170" i="5"/>
  <c r="AG163" i="5"/>
  <c r="AH162" i="5"/>
  <c r="AJ171" i="5"/>
  <c r="AK163" i="5"/>
  <c r="AO156" i="5"/>
  <c r="AP171" i="5"/>
  <c r="AP156" i="5"/>
  <c r="AQ163" i="5"/>
  <c r="AS171" i="5"/>
  <c r="X163" i="5"/>
  <c r="R162" i="5"/>
  <c r="Y156" i="5"/>
  <c r="Z156" i="5"/>
  <c r="AA170" i="5"/>
  <c r="AB163" i="5"/>
  <c r="AD170" i="5"/>
  <c r="AE178" i="5"/>
  <c r="BD178" i="5" s="1"/>
  <c r="AF178" i="5"/>
  <c r="BE178" i="5" s="1"/>
  <c r="AG162" i="5"/>
  <c r="AH171" i="5"/>
  <c r="AI163" i="5"/>
  <c r="AJ170" i="5"/>
  <c r="AL156" i="5"/>
  <c r="AP170" i="5"/>
  <c r="AQ178" i="5"/>
  <c r="AQ162" i="5"/>
  <c r="AP173" i="5"/>
  <c r="BO173" i="5" s="1"/>
  <c r="X171" i="5"/>
  <c r="X162" i="5"/>
  <c r="V156" i="5"/>
  <c r="AR163" i="5"/>
  <c r="R171" i="5"/>
  <c r="S171" i="5" s="1"/>
  <c r="AA178" i="5"/>
  <c r="AB171" i="5"/>
  <c r="AB162" i="5"/>
  <c r="AC156" i="5"/>
  <c r="AD178" i="5"/>
  <c r="BC178" i="5" s="1"/>
  <c r="AG171" i="5"/>
  <c r="AI171" i="5"/>
  <c r="AK171" i="5"/>
  <c r="BJ171" i="5" s="1"/>
  <c r="AN171" i="5"/>
  <c r="AO178" i="5"/>
  <c r="BN178" i="5" s="1"/>
  <c r="AS163" i="5"/>
  <c r="W172" i="5"/>
  <c r="AV172" i="5" s="1"/>
  <c r="AR256" i="5"/>
  <c r="AN256" i="5"/>
  <c r="R257" i="5"/>
  <c r="AC257" i="5"/>
  <c r="AG257" i="5"/>
  <c r="AH257" i="5"/>
  <c r="AM257" i="5"/>
  <c r="AQ257" i="5"/>
  <c r="X257" i="5"/>
  <c r="AI257" i="5"/>
  <c r="AJ257" i="5"/>
  <c r="AP257" i="5"/>
  <c r="AB257" i="5"/>
  <c r="AD257" i="5"/>
  <c r="AE257" i="5"/>
  <c r="Y257" i="5"/>
  <c r="Z257" i="5"/>
  <c r="AF257" i="5"/>
  <c r="AK257" i="5"/>
  <c r="AS257" i="5"/>
  <c r="V257" i="5"/>
  <c r="AR257" i="5"/>
  <c r="AN257" i="5"/>
  <c r="AO257" i="5"/>
  <c r="AD265" i="5"/>
  <c r="AG265" i="5"/>
  <c r="X265" i="5"/>
  <c r="AA265" i="5"/>
  <c r="AE265" i="5"/>
  <c r="AH265" i="5"/>
  <c r="AQ265" i="5"/>
  <c r="AP265" i="5"/>
  <c r="AF265" i="5"/>
  <c r="AL265" i="5"/>
  <c r="Y265" i="5"/>
  <c r="AC265" i="5"/>
  <c r="AI265" i="5"/>
  <c r="AN265" i="5"/>
  <c r="AR265" i="5"/>
  <c r="Z265" i="5"/>
  <c r="AJ265" i="5"/>
  <c r="AM265" i="5"/>
  <c r="AO265" i="5"/>
  <c r="AB265" i="5"/>
  <c r="AN273" i="5"/>
  <c r="AP273" i="5"/>
  <c r="BO273" i="5" s="1"/>
  <c r="AK273" i="5"/>
  <c r="BJ273" i="5" s="1"/>
  <c r="AO273" i="5"/>
  <c r="BN273" i="5" s="1"/>
  <c r="W275" i="5"/>
  <c r="AV275" i="5" s="1"/>
  <c r="W277" i="5"/>
  <c r="R277" i="5"/>
  <c r="S277" i="5" s="1"/>
  <c r="AG277" i="5"/>
  <c r="AJ277" i="5"/>
  <c r="V277" i="5"/>
  <c r="AC277" i="5"/>
  <c r="AL277" i="5"/>
  <c r="AB277" i="5"/>
  <c r="AF277" i="5"/>
  <c r="AH277" i="5"/>
  <c r="BG277" i="5" s="1"/>
  <c r="AM277" i="5"/>
  <c r="AA277" i="5"/>
  <c r="AK277" i="5"/>
  <c r="AS277" i="5"/>
  <c r="AR277" i="5"/>
  <c r="AN277" i="5"/>
  <c r="Y277" i="5"/>
  <c r="AD277" i="5"/>
  <c r="BC277" i="5" s="1"/>
  <c r="AI277" i="5"/>
  <c r="AP277" i="5"/>
  <c r="AQ277" i="5"/>
  <c r="AC436" i="5"/>
  <c r="AJ436" i="5"/>
  <c r="AK436" i="5"/>
  <c r="AK433" i="5" s="1"/>
  <c r="W469" i="36" s="1"/>
  <c r="AS436" i="5"/>
  <c r="V436" i="5"/>
  <c r="Y436" i="5"/>
  <c r="AB436" i="5"/>
  <c r="AG436" i="5"/>
  <c r="R436" i="5"/>
  <c r="AN436" i="5"/>
  <c r="AO436" i="5"/>
  <c r="AQ441" i="5"/>
  <c r="BP441" i="5" s="1"/>
  <c r="AF436" i="5"/>
  <c r="AH436" i="5"/>
  <c r="X436" i="5"/>
  <c r="Z436" i="5"/>
  <c r="AA436" i="5"/>
  <c r="AL436" i="5"/>
  <c r="AS441" i="5"/>
  <c r="BR441" i="5" s="1"/>
  <c r="AD436" i="5"/>
  <c r="AR436" i="5"/>
  <c r="AI436" i="5"/>
  <c r="AM436" i="5"/>
  <c r="X387" i="5"/>
  <c r="Z393" i="5"/>
  <c r="AI393" i="5"/>
  <c r="AP393" i="5"/>
  <c r="V393" i="5"/>
  <c r="AE393" i="5"/>
  <c r="AN393" i="5"/>
  <c r="AS393" i="5"/>
  <c r="R393" i="5"/>
  <c r="AG393" i="5"/>
  <c r="X393" i="5"/>
  <c r="AR387" i="5"/>
  <c r="Y393" i="5"/>
  <c r="AJ393" i="5"/>
  <c r="AK393" i="5"/>
  <c r="AA393" i="5"/>
  <c r="AF393" i="5"/>
  <c r="AH387" i="5"/>
  <c r="AM393" i="5"/>
  <c r="AO393" i="5"/>
  <c r="AB393" i="5"/>
  <c r="AC393" i="5"/>
  <c r="AD393" i="5"/>
  <c r="V387" i="5"/>
  <c r="AR393" i="5"/>
  <c r="AS387" i="5"/>
  <c r="W393" i="5"/>
  <c r="V386" i="5"/>
  <c r="AJ386" i="5"/>
  <c r="X386" i="5"/>
  <c r="R386" i="5"/>
  <c r="S386" i="5" s="1"/>
  <c r="Z386" i="5"/>
  <c r="AK386" i="5"/>
  <c r="AN386" i="5"/>
  <c r="AP386" i="5"/>
  <c r="AQ386" i="5"/>
  <c r="Y386" i="5"/>
  <c r="AE386" i="5"/>
  <c r="AH386" i="5"/>
  <c r="AM386" i="5"/>
  <c r="Y339" i="5"/>
  <c r="AA339" i="5"/>
  <c r="AF339" i="5"/>
  <c r="AG339" i="5"/>
  <c r="AJ339" i="5"/>
  <c r="AL339" i="5"/>
  <c r="AQ339" i="5"/>
  <c r="X339" i="5"/>
  <c r="R339" i="5"/>
  <c r="S339" i="5" s="1"/>
  <c r="AR339" i="5"/>
  <c r="AK339" i="5"/>
  <c r="AE339" i="5"/>
  <c r="AI339" i="5"/>
  <c r="AM339" i="5"/>
  <c r="AS339" i="5"/>
  <c r="V339" i="5"/>
  <c r="AD339" i="5"/>
  <c r="AH339" i="5"/>
  <c r="AN339" i="5"/>
  <c r="AP339" i="5"/>
  <c r="Z339" i="5"/>
  <c r="AO339" i="5"/>
  <c r="AO238" i="5"/>
  <c r="AC138" i="5"/>
  <c r="AI138" i="5"/>
  <c r="AS138" i="5"/>
  <c r="AL138" i="5"/>
  <c r="Z138" i="5"/>
  <c r="AH138" i="5"/>
  <c r="AJ138" i="5"/>
  <c r="AJ150" i="5" s="1"/>
  <c r="T162" i="36" s="1"/>
  <c r="AK138" i="5"/>
  <c r="AO138" i="5"/>
  <c r="AO150" i="5" s="1"/>
  <c r="AO518" i="5" s="1"/>
  <c r="Y138" i="5"/>
  <c r="AQ138" i="5"/>
  <c r="AR138" i="5"/>
  <c r="R138" i="5"/>
  <c r="AG138" i="5"/>
  <c r="AE138" i="5"/>
  <c r="AF138" i="5"/>
  <c r="X138" i="5"/>
  <c r="X150" i="5" s="1"/>
  <c r="X152" i="5" s="1"/>
  <c r="AA138" i="5"/>
  <c r="AB138" i="5"/>
  <c r="AA45" i="5"/>
  <c r="R45" i="5"/>
  <c r="AV45" i="5" s="1"/>
  <c r="AB45" i="5"/>
  <c r="AI45" i="5"/>
  <c r="AS45" i="5"/>
  <c r="AO45" i="5"/>
  <c r="Y45" i="5"/>
  <c r="Z45" i="5"/>
  <c r="AD45" i="5"/>
  <c r="AE45" i="5"/>
  <c r="AH45" i="5"/>
  <c r="V45" i="5"/>
  <c r="V51" i="5" s="1"/>
  <c r="S230" i="36" s="1"/>
  <c r="AC45" i="5"/>
  <c r="AF45" i="5"/>
  <c r="AG45" i="5"/>
  <c r="AQ45" i="5"/>
  <c r="AJ45" i="5"/>
  <c r="AM45" i="5"/>
  <c r="X45" i="5"/>
  <c r="AK45" i="5"/>
  <c r="AL45" i="5"/>
  <c r="AN45" i="5"/>
  <c r="AR39" i="5"/>
  <c r="AJ39" i="5"/>
  <c r="AP39" i="5"/>
  <c r="AD39" i="5"/>
  <c r="R39" i="5"/>
  <c r="AC39" i="5"/>
  <c r="AE39" i="5"/>
  <c r="AA39" i="5"/>
  <c r="AK39" i="5"/>
  <c r="AL39" i="5"/>
  <c r="AM39" i="5"/>
  <c r="AO39" i="5"/>
  <c r="AS39" i="5"/>
  <c r="AF39" i="5"/>
  <c r="X39" i="5"/>
  <c r="Y39" i="5"/>
  <c r="AB39" i="5"/>
  <c r="AG39" i="5"/>
  <c r="AH39" i="5"/>
  <c r="AI39" i="5"/>
  <c r="AV89" i="5"/>
  <c r="AD89" i="5"/>
  <c r="BC89" i="5" s="1"/>
  <c r="AH94" i="5"/>
  <c r="AJ94" i="5"/>
  <c r="Z94" i="5"/>
  <c r="AG89" i="5"/>
  <c r="BF89" i="5" s="1"/>
  <c r="AI89" i="5"/>
  <c r="BH89" i="5" s="1"/>
  <c r="AL94" i="5"/>
  <c r="AM89" i="5"/>
  <c r="BL89" i="5" s="1"/>
  <c r="AP94" i="5"/>
  <c r="X94" i="5"/>
  <c r="V89" i="5"/>
  <c r="AB94" i="5"/>
  <c r="AC89" i="5"/>
  <c r="BB89" i="5" s="1"/>
  <c r="AK89" i="5"/>
  <c r="AN89" i="5"/>
  <c r="BM89" i="5" s="1"/>
  <c r="AO89" i="5"/>
  <c r="BN89" i="5" s="1"/>
  <c r="AR94" i="5"/>
  <c r="Y89" i="5"/>
  <c r="AX89" i="5" s="1"/>
  <c r="AA94" i="5"/>
  <c r="AE89" i="5"/>
  <c r="BD89" i="5" s="1"/>
  <c r="AF89" i="5"/>
  <c r="AS94" i="5"/>
  <c r="R94" i="5"/>
  <c r="S94" i="5" s="1"/>
  <c r="AD94" i="5"/>
  <c r="AH89" i="5"/>
  <c r="BG89" i="5" s="1"/>
  <c r="AJ89" i="5"/>
  <c r="BI89" i="5" s="1"/>
  <c r="AM94" i="5"/>
  <c r="AP89" i="5"/>
  <c r="BO89" i="5" s="1"/>
  <c r="AQ94" i="5"/>
  <c r="AW91" i="5"/>
  <c r="AV93" i="5"/>
  <c r="Z89" i="5"/>
  <c r="AY89" i="5" s="1"/>
  <c r="AG94" i="5"/>
  <c r="AL89" i="5"/>
  <c r="BK89" i="5" s="1"/>
  <c r="X89" i="5"/>
  <c r="AW89" i="5" s="1"/>
  <c r="V94" i="5"/>
  <c r="BQ91" i="5"/>
  <c r="AB89" i="5"/>
  <c r="AC94" i="5"/>
  <c r="AE94" i="5"/>
  <c r="AI94" i="5"/>
  <c r="AK94" i="5"/>
  <c r="AF189" i="5"/>
  <c r="AI189" i="5"/>
  <c r="BH189" i="5" s="1"/>
  <c r="AK189" i="5"/>
  <c r="BJ189" i="5" s="1"/>
  <c r="AM189" i="5"/>
  <c r="BL189" i="5" s="1"/>
  <c r="AO189" i="5"/>
  <c r="BN189" i="5" s="1"/>
  <c r="AW292" i="5"/>
  <c r="AV288" i="5"/>
  <c r="AV287" i="5"/>
  <c r="BP291" i="5"/>
  <c r="W293" i="5"/>
  <c r="W289" i="5"/>
  <c r="AV292" i="5"/>
  <c r="AI387" i="5"/>
  <c r="AL391" i="5"/>
  <c r="AN387" i="5"/>
  <c r="AP387" i="5"/>
  <c r="R387" i="5"/>
  <c r="Y391" i="5"/>
  <c r="AC391" i="5"/>
  <c r="AD391" i="5"/>
  <c r="AE387" i="5"/>
  <c r="AF391" i="5"/>
  <c r="AJ391" i="5"/>
  <c r="BP392" i="5"/>
  <c r="AW392" i="5"/>
  <c r="BQ392" i="5"/>
  <c r="Z387" i="5"/>
  <c r="AA391" i="5"/>
  <c r="AB391" i="5"/>
  <c r="AK391" i="5"/>
  <c r="AM387" i="5"/>
  <c r="AO387" i="5"/>
  <c r="AQ391" i="5"/>
  <c r="X391" i="5"/>
  <c r="V391" i="5"/>
  <c r="AR391" i="5"/>
  <c r="AG387" i="5"/>
  <c r="AH391" i="5"/>
  <c r="AS391" i="5"/>
  <c r="AI391" i="5"/>
  <c r="AL387" i="5"/>
  <c r="AN391" i="5"/>
  <c r="AP391" i="5"/>
  <c r="W392" i="5"/>
  <c r="AV392" i="5" s="1"/>
  <c r="W388" i="5"/>
  <c r="AV388" i="5" s="1"/>
  <c r="Q399" i="5"/>
  <c r="Q540" i="5" s="1"/>
  <c r="R391" i="5"/>
  <c r="Y387" i="5"/>
  <c r="AC387" i="5"/>
  <c r="AD387" i="5"/>
  <c r="AE391" i="5"/>
  <c r="AF387" i="5"/>
  <c r="AJ387" i="5"/>
  <c r="Z391" i="5"/>
  <c r="AA387" i="5"/>
  <c r="AB387" i="5"/>
  <c r="AK387" i="5"/>
  <c r="AM391" i="5"/>
  <c r="AO391" i="5"/>
  <c r="AQ387" i="5"/>
  <c r="W391" i="5"/>
  <c r="W387" i="5"/>
  <c r="W486" i="5"/>
  <c r="AV486" i="5" s="1"/>
  <c r="AF489" i="2"/>
  <c r="AR487" i="2"/>
  <c r="R489" i="2"/>
  <c r="S489" i="2" s="1"/>
  <c r="AD489" i="2"/>
  <c r="AK489" i="2"/>
  <c r="AB489" i="2"/>
  <c r="AC489" i="2"/>
  <c r="AJ487" i="2"/>
  <c r="AP489" i="2"/>
  <c r="AA489" i="2"/>
  <c r="AO486" i="2"/>
  <c r="Y489" i="2"/>
  <c r="Z489" i="2"/>
  <c r="X489" i="2"/>
  <c r="F155" i="15"/>
  <c r="AF137" i="2"/>
  <c r="AE137" i="2"/>
  <c r="AC137" i="2"/>
  <c r="AB137" i="2"/>
  <c r="W485" i="5"/>
  <c r="AV485" i="5" s="1"/>
  <c r="AO435" i="5"/>
  <c r="AS435" i="5"/>
  <c r="AD435" i="5"/>
  <c r="AP435" i="5"/>
  <c r="R563" i="5"/>
  <c r="AB435" i="5"/>
  <c r="AC435" i="5"/>
  <c r="AJ435" i="5"/>
  <c r="AM435" i="5"/>
  <c r="X435" i="5"/>
  <c r="Q447" i="5"/>
  <c r="W228" i="36" s="1"/>
  <c r="R435" i="5"/>
  <c r="Z435" i="5"/>
  <c r="AA435" i="5"/>
  <c r="AG435" i="5"/>
  <c r="D77" i="21"/>
  <c r="G77" i="21" s="1"/>
  <c r="V435" i="5"/>
  <c r="AF435" i="5"/>
  <c r="AL435" i="5"/>
  <c r="Y435" i="5"/>
  <c r="Y447" i="5" s="1"/>
  <c r="W151" i="36" s="1"/>
  <c r="AI435" i="5"/>
  <c r="AR435" i="5"/>
  <c r="AE435" i="5"/>
  <c r="AE447" i="5" s="1"/>
  <c r="W157" i="36" s="1"/>
  <c r="O180" i="10"/>
  <c r="AW394" i="5"/>
  <c r="BR394" i="5"/>
  <c r="AV394" i="5"/>
  <c r="BQ394" i="5"/>
  <c r="AV390" i="5"/>
  <c r="D53" i="21"/>
  <c r="G53" i="21" s="1"/>
  <c r="V337" i="5"/>
  <c r="AS337" i="5"/>
  <c r="BR337" i="5" s="1"/>
  <c r="D62" i="21"/>
  <c r="D96" i="21" s="1"/>
  <c r="AR337" i="5"/>
  <c r="BQ337" i="5" s="1"/>
  <c r="AF337" i="5"/>
  <c r="BE337" i="5" s="1"/>
  <c r="AG337" i="5"/>
  <c r="BF337" i="5" s="1"/>
  <c r="Z337" i="5"/>
  <c r="AY337" i="5" s="1"/>
  <c r="AE337" i="5"/>
  <c r="BD337" i="5" s="1"/>
  <c r="AM337" i="5"/>
  <c r="BL337" i="5" s="1"/>
  <c r="AO337" i="5"/>
  <c r="BN337" i="5" s="1"/>
  <c r="X337" i="5"/>
  <c r="AW337" i="5" s="1"/>
  <c r="Y337" i="5"/>
  <c r="AX337" i="5" s="1"/>
  <c r="AA337" i="5"/>
  <c r="AZ337" i="5" s="1"/>
  <c r="AB337" i="5"/>
  <c r="BA337" i="5" s="1"/>
  <c r="AD337" i="5"/>
  <c r="BC337" i="5" s="1"/>
  <c r="AI337" i="5"/>
  <c r="BH337" i="5" s="1"/>
  <c r="AL337" i="5"/>
  <c r="BK337" i="5" s="1"/>
  <c r="AP337" i="5"/>
  <c r="BO337" i="5" s="1"/>
  <c r="W341" i="5"/>
  <c r="AC341" i="5"/>
  <c r="AK341" i="5"/>
  <c r="AP341" i="5"/>
  <c r="AQ341" i="5"/>
  <c r="W337" i="5"/>
  <c r="AV337" i="5" s="1"/>
  <c r="V289" i="5"/>
  <c r="X289" i="5"/>
  <c r="AQ289" i="5"/>
  <c r="AF289" i="5"/>
  <c r="AE289" i="5"/>
  <c r="AK289" i="5"/>
  <c r="AD289" i="5"/>
  <c r="AC293" i="5"/>
  <c r="AK293" i="5"/>
  <c r="X293" i="5"/>
  <c r="V293" i="5"/>
  <c r="AO293" i="5"/>
  <c r="AS293" i="5"/>
  <c r="AL293" i="5"/>
  <c r="R293" i="5"/>
  <c r="AD293" i="5"/>
  <c r="AE293" i="5"/>
  <c r="AF293" i="5"/>
  <c r="AM293" i="5"/>
  <c r="F43" i="21"/>
  <c r="F94" i="21" s="1"/>
  <c r="AA293" i="5"/>
  <c r="AH293" i="5"/>
  <c r="AQ293" i="5"/>
  <c r="Z293" i="5"/>
  <c r="AG293" i="5"/>
  <c r="AJ293" i="5"/>
  <c r="AN293" i="5"/>
  <c r="AN286" i="5" s="1"/>
  <c r="AE472" i="36" s="1"/>
  <c r="Q300" i="5"/>
  <c r="Q539" i="5" s="1"/>
  <c r="R289" i="5"/>
  <c r="AB289" i="5"/>
  <c r="AB286" i="5" s="1"/>
  <c r="AE460" i="36" s="1"/>
  <c r="AG289" i="5"/>
  <c r="AH289" i="5"/>
  <c r="AL289" i="5"/>
  <c r="AC289" i="5"/>
  <c r="AO289" i="5"/>
  <c r="AR289" i="5"/>
  <c r="AI289" i="5"/>
  <c r="AI286" i="5" s="1"/>
  <c r="AE467" i="36" s="1"/>
  <c r="AJ289" i="5"/>
  <c r="AM289" i="5"/>
  <c r="Y289" i="5"/>
  <c r="Y300" i="5" s="1"/>
  <c r="Y302" i="5" s="1"/>
  <c r="Z289" i="5"/>
  <c r="AA289" i="5"/>
  <c r="AP289" i="5"/>
  <c r="AP286" i="5" s="1"/>
  <c r="AE474" i="36" s="1"/>
  <c r="AS289" i="5"/>
  <c r="BQ291" i="5"/>
  <c r="W241" i="5"/>
  <c r="AV241" i="5" s="1"/>
  <c r="W193" i="5"/>
  <c r="AV193" i="5" s="1"/>
  <c r="AK193" i="5"/>
  <c r="BJ193" i="5" s="1"/>
  <c r="AP193" i="5"/>
  <c r="BO193" i="5" s="1"/>
  <c r="AR193" i="5"/>
  <c r="BQ193" i="5" s="1"/>
  <c r="AB193" i="5"/>
  <c r="BA193" i="5" s="1"/>
  <c r="AD193" i="5"/>
  <c r="BC193" i="5" s="1"/>
  <c r="AI193" i="5"/>
  <c r="AN193" i="5"/>
  <c r="BM193" i="5" s="1"/>
  <c r="Q201" i="5"/>
  <c r="Q538" i="5" s="1"/>
  <c r="Y193" i="5"/>
  <c r="Y201" i="5" s="1"/>
  <c r="Y203" i="5" s="1"/>
  <c r="AE193" i="5"/>
  <c r="AE201" i="5" s="1"/>
  <c r="AE203" i="5" s="1"/>
  <c r="AJ193" i="5"/>
  <c r="BI193" i="5" s="1"/>
  <c r="AL193" i="5"/>
  <c r="AL201" i="5" s="1"/>
  <c r="AL203" i="5" s="1"/>
  <c r="AS193" i="5"/>
  <c r="BR193" i="5" s="1"/>
  <c r="V193" i="5"/>
  <c r="V201" i="5" s="1"/>
  <c r="Z193" i="5"/>
  <c r="AY193" i="5" s="1"/>
  <c r="AF193" i="5"/>
  <c r="BE193" i="5" s="1"/>
  <c r="R570" i="5"/>
  <c r="S570" i="5" s="1"/>
  <c r="AA193" i="5"/>
  <c r="AZ193" i="5" s="1"/>
  <c r="AC193" i="5"/>
  <c r="BB193" i="5" s="1"/>
  <c r="AQ193" i="5"/>
  <c r="BP193" i="5" s="1"/>
  <c r="AM193" i="5"/>
  <c r="BL193" i="5" s="1"/>
  <c r="AO193" i="5"/>
  <c r="BN193" i="5" s="1"/>
  <c r="W192" i="5"/>
  <c r="AV192" i="5" s="1"/>
  <c r="W191" i="5"/>
  <c r="AV191" i="5" s="1"/>
  <c r="AQ190" i="5"/>
  <c r="BP190" i="5" s="1"/>
  <c r="AQ189" i="5"/>
  <c r="BP189" i="5" s="1"/>
  <c r="BP188" i="5"/>
  <c r="AP142" i="5"/>
  <c r="BO142" i="5" s="1"/>
  <c r="AR140" i="5"/>
  <c r="Y140" i="5"/>
  <c r="AD140" i="5"/>
  <c r="AH140" i="5"/>
  <c r="AN140" i="5"/>
  <c r="AS140" i="5"/>
  <c r="AR139" i="5"/>
  <c r="BR141" i="5"/>
  <c r="Y139" i="5"/>
  <c r="AD139" i="5"/>
  <c r="AG140" i="5"/>
  <c r="AH139" i="5"/>
  <c r="AN139" i="5"/>
  <c r="AN136" i="5" s="1"/>
  <c r="T472" i="36" s="1"/>
  <c r="AQ140" i="5"/>
  <c r="AS139" i="5"/>
  <c r="R140" i="5"/>
  <c r="AG139" i="5"/>
  <c r="AL140" i="5"/>
  <c r="AP140" i="5"/>
  <c r="AQ139" i="5"/>
  <c r="R139" i="5"/>
  <c r="AA140" i="5"/>
  <c r="AI140" i="5"/>
  <c r="AL139" i="5"/>
  <c r="AP139" i="5"/>
  <c r="Z140" i="5"/>
  <c r="AA139" i="5"/>
  <c r="AE140" i="5"/>
  <c r="AI139" i="5"/>
  <c r="D30" i="21"/>
  <c r="D98" i="21" s="1"/>
  <c r="Q150" i="5"/>
  <c r="T228" i="36" s="1"/>
  <c r="Z139" i="5"/>
  <c r="AC140" i="5"/>
  <c r="AE139" i="5"/>
  <c r="AK140" i="5"/>
  <c r="V140" i="5"/>
  <c r="V150" i="5" s="1"/>
  <c r="T230" i="36" s="1"/>
  <c r="AB140" i="5"/>
  <c r="AC139" i="5"/>
  <c r="AM140" i="5"/>
  <c r="AM150" i="5" s="1"/>
  <c r="AM518" i="5" s="1"/>
  <c r="W141" i="5"/>
  <c r="AV141" i="5" s="1"/>
  <c r="W90" i="5"/>
  <c r="Y90" i="5"/>
  <c r="AA90" i="5"/>
  <c r="AB90" i="5"/>
  <c r="AG90" i="5"/>
  <c r="AI90" i="5"/>
  <c r="AL90" i="5"/>
  <c r="W94" i="5"/>
  <c r="AS89" i="5"/>
  <c r="BR89" i="5" s="1"/>
  <c r="AN90" i="5"/>
  <c r="AH90" i="5"/>
  <c r="AK90" i="5"/>
  <c r="AO90" i="5"/>
  <c r="AQ90" i="5"/>
  <c r="AS90" i="5"/>
  <c r="AQ93" i="5"/>
  <c r="BP93" i="5" s="1"/>
  <c r="X90" i="5"/>
  <c r="Q102" i="5"/>
  <c r="Q537" i="5" s="1"/>
  <c r="AR90" i="5"/>
  <c r="R90" i="5"/>
  <c r="Z90" i="5"/>
  <c r="AF90" i="5"/>
  <c r="V90" i="5"/>
  <c r="AC90" i="5"/>
  <c r="AD90" i="5"/>
  <c r="AJ90" i="5"/>
  <c r="AP90" i="5"/>
  <c r="W91" i="5"/>
  <c r="R38" i="5"/>
  <c r="AF38" i="5"/>
  <c r="AJ38" i="5"/>
  <c r="AL38" i="5"/>
  <c r="AP38" i="5"/>
  <c r="AK38" i="5"/>
  <c r="AM44" i="5"/>
  <c r="BL44" i="5" s="1"/>
  <c r="AI38" i="5"/>
  <c r="AN38" i="5"/>
  <c r="AQ38" i="5"/>
  <c r="AS38" i="5"/>
  <c r="AC38" i="5"/>
  <c r="AE38" i="5"/>
  <c r="AJ44" i="5"/>
  <c r="BI44" i="5" s="1"/>
  <c r="AL44" i="5"/>
  <c r="BK44" i="5" s="1"/>
  <c r="AP44" i="5"/>
  <c r="BO44" i="5" s="1"/>
  <c r="Z38" i="5"/>
  <c r="AG38" i="5"/>
  <c r="AO38" i="5"/>
  <c r="AA38" i="5"/>
  <c r="AH38" i="5"/>
  <c r="AN44" i="5"/>
  <c r="BM44" i="5" s="1"/>
  <c r="W490" i="2"/>
  <c r="X490" i="2"/>
  <c r="Y490" i="2"/>
  <c r="AM490" i="2"/>
  <c r="AN490" i="2"/>
  <c r="Z490" i="2"/>
  <c r="AA490" i="2"/>
  <c r="AB490" i="2"/>
  <c r="AJ490" i="2"/>
  <c r="AK490" i="2"/>
  <c r="AL490" i="2"/>
  <c r="R490" i="2"/>
  <c r="S490" i="2" s="1"/>
  <c r="V490" i="2"/>
  <c r="AC490" i="2"/>
  <c r="AD490" i="2"/>
  <c r="AE490" i="2"/>
  <c r="AF490" i="2"/>
  <c r="AG490" i="2"/>
  <c r="AH490" i="2"/>
  <c r="AI490" i="2"/>
  <c r="AR490" i="2"/>
  <c r="AS490" i="2"/>
  <c r="AO490" i="2"/>
  <c r="AP490" i="2"/>
  <c r="AQ490" i="2"/>
  <c r="W487" i="2"/>
  <c r="Z488" i="2"/>
  <c r="AB486" i="2"/>
  <c r="AE487" i="2"/>
  <c r="AH488" i="2"/>
  <c r="AJ486" i="2"/>
  <c r="AM487" i="2"/>
  <c r="AP488" i="2"/>
  <c r="AR486" i="2"/>
  <c r="AS489" i="2"/>
  <c r="R488" i="2"/>
  <c r="W486" i="2"/>
  <c r="Z487" i="2"/>
  <c r="AC488" i="2"/>
  <c r="AE486" i="2"/>
  <c r="AH487" i="2"/>
  <c r="AK488" i="2"/>
  <c r="AM486" i="2"/>
  <c r="AN489" i="2"/>
  <c r="AP487" i="2"/>
  <c r="AS488" i="2"/>
  <c r="R487" i="2"/>
  <c r="V485" i="2"/>
  <c r="X488" i="2"/>
  <c r="Z486" i="2"/>
  <c r="AC487" i="2"/>
  <c r="AF488" i="2"/>
  <c r="AH486" i="2"/>
  <c r="AI489" i="2"/>
  <c r="AK487" i="2"/>
  <c r="BJ487" i="2" s="1"/>
  <c r="AN488" i="2"/>
  <c r="AP486" i="2"/>
  <c r="AQ489" i="2"/>
  <c r="AS487" i="2"/>
  <c r="R486" i="2"/>
  <c r="V489" i="2"/>
  <c r="X487" i="2"/>
  <c r="AA488" i="2"/>
  <c r="AC486" i="2"/>
  <c r="AF487" i="2"/>
  <c r="AI488" i="2"/>
  <c r="AK486" i="2"/>
  <c r="AL489" i="2"/>
  <c r="AN487" i="2"/>
  <c r="AQ488" i="2"/>
  <c r="AS486" i="2"/>
  <c r="V488" i="2"/>
  <c r="X486" i="2"/>
  <c r="AA487" i="2"/>
  <c r="AD488" i="2"/>
  <c r="AF486" i="2"/>
  <c r="AG489" i="2"/>
  <c r="AI487" i="2"/>
  <c r="AL488" i="2"/>
  <c r="AN486" i="2"/>
  <c r="AO489" i="2"/>
  <c r="AQ487" i="2"/>
  <c r="V487" i="2"/>
  <c r="Y488" i="2"/>
  <c r="AA486" i="2"/>
  <c r="AD487" i="2"/>
  <c r="AG488" i="2"/>
  <c r="AI486" i="2"/>
  <c r="AJ489" i="2"/>
  <c r="AL487" i="2"/>
  <c r="AO488" i="2"/>
  <c r="AQ486" i="2"/>
  <c r="AR489" i="2"/>
  <c r="V486" i="2"/>
  <c r="W489" i="2"/>
  <c r="Y487" i="2"/>
  <c r="AB488" i="2"/>
  <c r="AD486" i="2"/>
  <c r="AE489" i="2"/>
  <c r="AG487" i="2"/>
  <c r="AJ488" i="2"/>
  <c r="AL486" i="2"/>
  <c r="AM489" i="2"/>
  <c r="AO487" i="2"/>
  <c r="AR488" i="2"/>
  <c r="AM439" i="2"/>
  <c r="V438" i="2"/>
  <c r="AQ437" i="2"/>
  <c r="AK436" i="2"/>
  <c r="F331" i="15"/>
  <c r="W390" i="2"/>
  <c r="W389" i="2"/>
  <c r="W387" i="2"/>
  <c r="AP386" i="2"/>
  <c r="C60" i="17"/>
  <c r="AK342" i="2"/>
  <c r="X295" i="2"/>
  <c r="W294" i="2"/>
  <c r="W292" i="2"/>
  <c r="O179" i="10"/>
  <c r="V242" i="2"/>
  <c r="AP241" i="2"/>
  <c r="AS240" i="2"/>
  <c r="AN239" i="2"/>
  <c r="AL238" i="2"/>
  <c r="F257" i="15"/>
  <c r="O178" i="10"/>
  <c r="AR193" i="2"/>
  <c r="AR192" i="2"/>
  <c r="AR191" i="2"/>
  <c r="AR189" i="2"/>
  <c r="AP188" i="2"/>
  <c r="AR144" i="2"/>
  <c r="AS143" i="2"/>
  <c r="AL142" i="2"/>
  <c r="AS141" i="2"/>
  <c r="F147" i="15"/>
  <c r="W96" i="2"/>
  <c r="W91" i="2"/>
  <c r="Q102" i="2"/>
  <c r="O177" i="10"/>
  <c r="AR42" i="2"/>
  <c r="AE41" i="2"/>
  <c r="F375" i="15"/>
  <c r="F167" i="15"/>
  <c r="F364" i="15"/>
  <c r="AV441" i="5"/>
  <c r="AV244" i="5"/>
  <c r="AV243" i="5"/>
  <c r="Q249" i="2"/>
  <c r="Q519" i="2" s="1"/>
  <c r="BP99" i="5"/>
  <c r="BP490" i="5"/>
  <c r="BP91" i="5"/>
  <c r="BO463" i="5"/>
  <c r="BO258" i="5"/>
  <c r="BP463" i="5"/>
  <c r="BP371" i="5"/>
  <c r="BP363" i="5"/>
  <c r="BR91" i="5"/>
  <c r="BR471" i="5"/>
  <c r="BR259" i="5"/>
  <c r="BL194" i="5"/>
  <c r="BL472" i="5"/>
  <c r="BN98" i="5"/>
  <c r="BN463" i="5"/>
  <c r="BR494" i="5"/>
  <c r="BP279" i="5"/>
  <c r="BR157" i="5"/>
  <c r="BP40" i="5"/>
  <c r="S325" i="5"/>
  <c r="S16" i="5"/>
  <c r="BP196" i="5"/>
  <c r="AX419" i="5"/>
  <c r="AW343" i="5"/>
  <c r="S223" i="5"/>
  <c r="BQ165" i="5"/>
  <c r="AX123" i="5"/>
  <c r="S66" i="5"/>
  <c r="BR66" i="5"/>
  <c r="AW16" i="5"/>
  <c r="AW127" i="5"/>
  <c r="AW119" i="5"/>
  <c r="AW111" i="5"/>
  <c r="AW74" i="5"/>
  <c r="AW66" i="5"/>
  <c r="AW165" i="5"/>
  <c r="BM165" i="5"/>
  <c r="S180" i="5"/>
  <c r="AW180" i="5"/>
  <c r="AW442" i="5"/>
  <c r="BQ495" i="5"/>
  <c r="BQ476" i="5"/>
  <c r="BQ292" i="5"/>
  <c r="BP179" i="5"/>
  <c r="AV148" i="5"/>
  <c r="BB411" i="5"/>
  <c r="BQ463" i="5"/>
  <c r="S308" i="5"/>
  <c r="AW308" i="5"/>
  <c r="AW214" i="5"/>
  <c r="BO460" i="5"/>
  <c r="BP297" i="5"/>
  <c r="BI179" i="5"/>
  <c r="BN91" i="5"/>
  <c r="S411" i="5"/>
  <c r="BD419" i="5"/>
  <c r="BD411" i="5"/>
  <c r="BG411" i="5"/>
  <c r="BM308" i="5"/>
  <c r="BM419" i="5"/>
  <c r="BM411" i="5"/>
  <c r="BR472" i="5"/>
  <c r="BL275" i="5"/>
  <c r="BQ66" i="5"/>
  <c r="AW294" i="5"/>
  <c r="AW397" i="5"/>
  <c r="AW389" i="5"/>
  <c r="AW492" i="5"/>
  <c r="W456" i="5"/>
  <c r="AV456" i="5" s="1"/>
  <c r="W470" i="5"/>
  <c r="AV470" i="5" s="1"/>
  <c r="AV42" i="5"/>
  <c r="W118" i="5"/>
  <c r="AV118" i="5" s="1"/>
  <c r="W198" i="5"/>
  <c r="AV198" i="5" s="1"/>
  <c r="W194" i="5"/>
  <c r="AV194" i="5" s="1"/>
  <c r="W190" i="5"/>
  <c r="AV190" i="5" s="1"/>
  <c r="AV276" i="5"/>
  <c r="AS46" i="5"/>
  <c r="BR46" i="5" s="1"/>
  <c r="AO242" i="5"/>
  <c r="AP93" i="5"/>
  <c r="BO93" i="5" s="1"/>
  <c r="AP166" i="5"/>
  <c r="BO166" i="5" s="1"/>
  <c r="AP80" i="5"/>
  <c r="BO80" i="5" s="1"/>
  <c r="AP63" i="5"/>
  <c r="BO63" i="5" s="1"/>
  <c r="AS198" i="5"/>
  <c r="BR198" i="5" s="1"/>
  <c r="AS190" i="5"/>
  <c r="BR190" i="5" s="1"/>
  <c r="AS166" i="5"/>
  <c r="BR166" i="5" s="1"/>
  <c r="AS80" i="5"/>
  <c r="BR80" i="5" s="1"/>
  <c r="AS70" i="5"/>
  <c r="BR70" i="5" s="1"/>
  <c r="AS57" i="5"/>
  <c r="BR57" i="5" s="1"/>
  <c r="AV199" i="5"/>
  <c r="AS93" i="5"/>
  <c r="BR93" i="5" s="1"/>
  <c r="AV46" i="5"/>
  <c r="AV95" i="5"/>
  <c r="AQ23" i="5"/>
  <c r="BP23" i="5" s="1"/>
  <c r="AQ166" i="5"/>
  <c r="BP166" i="5" s="1"/>
  <c r="AQ64" i="5"/>
  <c r="BP64" i="5" s="1"/>
  <c r="AQ242" i="5"/>
  <c r="BP242" i="5" s="1"/>
  <c r="AS27" i="5"/>
  <c r="BR27" i="5" s="1"/>
  <c r="AS11" i="5"/>
  <c r="AS242" i="5"/>
  <c r="BR242" i="5" s="1"/>
  <c r="Y23" i="5"/>
  <c r="AX23" i="5" s="1"/>
  <c r="W116" i="5"/>
  <c r="AV116" i="5" s="1"/>
  <c r="BQ180" i="5"/>
  <c r="AH242" i="5"/>
  <c r="BG242" i="5" s="1"/>
  <c r="AI27" i="5"/>
  <c r="BH27" i="5" s="1"/>
  <c r="AI11" i="5"/>
  <c r="BH11" i="5" s="1"/>
  <c r="AI93" i="5"/>
  <c r="AI76" i="5"/>
  <c r="BH76" i="5" s="1"/>
  <c r="AI57" i="5"/>
  <c r="BH57" i="5" s="1"/>
  <c r="AI236" i="5"/>
  <c r="BH236" i="5" s="1"/>
  <c r="AI46" i="5"/>
  <c r="BH46" i="5" s="1"/>
  <c r="AJ23" i="5"/>
  <c r="BI23" i="5" s="1"/>
  <c r="AJ173" i="5"/>
  <c r="BI173" i="5" s="1"/>
  <c r="AJ70" i="5"/>
  <c r="AK64" i="5"/>
  <c r="BJ64" i="5" s="1"/>
  <c r="AK242" i="5"/>
  <c r="BJ242" i="5" s="1"/>
  <c r="AL27" i="5"/>
  <c r="BK27" i="5" s="1"/>
  <c r="AL76" i="5"/>
  <c r="BK76" i="5" s="1"/>
  <c r="AL57" i="5"/>
  <c r="BK57" i="5" s="1"/>
  <c r="AM76" i="5"/>
  <c r="BL76" i="5" s="1"/>
  <c r="AN93" i="5"/>
  <c r="BM93" i="5" s="1"/>
  <c r="AN242" i="5"/>
  <c r="BM242" i="5" s="1"/>
  <c r="AO27" i="5"/>
  <c r="BN27" i="5" s="1"/>
  <c r="AO194" i="5"/>
  <c r="BN194" i="5" s="1"/>
  <c r="AP46" i="5"/>
  <c r="BO46" i="5" s="1"/>
  <c r="AQ63" i="5"/>
  <c r="BP63" i="5" s="1"/>
  <c r="AQ42" i="5"/>
  <c r="BP42" i="5" s="1"/>
  <c r="AS42" i="5"/>
  <c r="BR42" i="5" s="1"/>
  <c r="AS76" i="5"/>
  <c r="BR76" i="5" s="1"/>
  <c r="AQ238" i="5"/>
  <c r="AV442" i="5"/>
  <c r="F281" i="15"/>
  <c r="F82" i="15"/>
  <c r="V396" i="2"/>
  <c r="R396" i="2"/>
  <c r="AQ396" i="2"/>
  <c r="AR396" i="2"/>
  <c r="AN396" i="2"/>
  <c r="AO396" i="2"/>
  <c r="AP396" i="2"/>
  <c r="AS396" i="2"/>
  <c r="AM396" i="2"/>
  <c r="AI396" i="2"/>
  <c r="AE396" i="2"/>
  <c r="AA396" i="2"/>
  <c r="AJ396" i="2"/>
  <c r="AF396" i="2"/>
  <c r="AB396" i="2"/>
  <c r="X396" i="2"/>
  <c r="AK396" i="2"/>
  <c r="AG396" i="2"/>
  <c r="AC396" i="2"/>
  <c r="Y396" i="2"/>
  <c r="AL396" i="2"/>
  <c r="AH396" i="2"/>
  <c r="AD396" i="2"/>
  <c r="Z396" i="2"/>
  <c r="V388" i="2"/>
  <c r="R388" i="2"/>
  <c r="AQ388" i="2"/>
  <c r="AR388" i="2"/>
  <c r="AN388" i="2"/>
  <c r="AO388" i="2"/>
  <c r="AP388" i="2"/>
  <c r="AS388" i="2"/>
  <c r="AM388" i="2"/>
  <c r="AI388" i="2"/>
  <c r="AE388" i="2"/>
  <c r="AA388" i="2"/>
  <c r="AJ388" i="2"/>
  <c r="AF388" i="2"/>
  <c r="AB388" i="2"/>
  <c r="X388" i="2"/>
  <c r="AK388" i="2"/>
  <c r="AG388" i="2"/>
  <c r="AC388" i="2"/>
  <c r="Y388" i="2"/>
  <c r="AL388" i="2"/>
  <c r="AH388" i="2"/>
  <c r="AD388" i="2"/>
  <c r="Z388" i="2"/>
  <c r="V293" i="2"/>
  <c r="R293" i="2"/>
  <c r="AS293" i="2"/>
  <c r="AQ293" i="2"/>
  <c r="AR293" i="2"/>
  <c r="AN293" i="2"/>
  <c r="AO293" i="2"/>
  <c r="AP293" i="2"/>
  <c r="AM293" i="2"/>
  <c r="AI293" i="2"/>
  <c r="AE293" i="2"/>
  <c r="AA293" i="2"/>
  <c r="AJ293" i="2"/>
  <c r="AF293" i="2"/>
  <c r="AB293" i="2"/>
  <c r="AK293" i="2"/>
  <c r="AG293" i="2"/>
  <c r="AC293" i="2"/>
  <c r="Y293" i="2"/>
  <c r="AL293" i="2"/>
  <c r="AH293" i="2"/>
  <c r="AD293" i="2"/>
  <c r="Z293" i="2"/>
  <c r="V198" i="2"/>
  <c r="R198" i="2"/>
  <c r="AP198" i="2"/>
  <c r="AS198" i="2"/>
  <c r="AQ198" i="2"/>
  <c r="AN198" i="2"/>
  <c r="AO198" i="2"/>
  <c r="AL198" i="2"/>
  <c r="AH198" i="2"/>
  <c r="AD198" i="2"/>
  <c r="Z198" i="2"/>
  <c r="AM198" i="2"/>
  <c r="AI198" i="2"/>
  <c r="AE198" i="2"/>
  <c r="AA198" i="2"/>
  <c r="AJ198" i="2"/>
  <c r="AF198" i="2"/>
  <c r="AB198" i="2"/>
  <c r="X198" i="2"/>
  <c r="AK198" i="2"/>
  <c r="AG198" i="2"/>
  <c r="AC198" i="2"/>
  <c r="Y198" i="2"/>
  <c r="V190" i="2"/>
  <c r="R190" i="2"/>
  <c r="AP190" i="2"/>
  <c r="AS190" i="2"/>
  <c r="AQ190" i="2"/>
  <c r="AN190" i="2"/>
  <c r="AO190" i="2"/>
  <c r="AL190" i="2"/>
  <c r="AH190" i="2"/>
  <c r="AD190" i="2"/>
  <c r="Z190" i="2"/>
  <c r="AM190" i="2"/>
  <c r="AI190" i="2"/>
  <c r="AE190" i="2"/>
  <c r="AA190" i="2"/>
  <c r="AJ190" i="2"/>
  <c r="AF190" i="2"/>
  <c r="AB190" i="2"/>
  <c r="X190" i="2"/>
  <c r="AK190" i="2"/>
  <c r="AG190" i="2"/>
  <c r="AC190" i="2"/>
  <c r="Y190" i="2"/>
  <c r="V95" i="2"/>
  <c r="R95" i="2"/>
  <c r="AR95" i="2"/>
  <c r="AP95" i="2"/>
  <c r="AS95" i="2"/>
  <c r="AQ95" i="2"/>
  <c r="AN95" i="2"/>
  <c r="AO95" i="2"/>
  <c r="AL95" i="2"/>
  <c r="AH95" i="2"/>
  <c r="AD95" i="2"/>
  <c r="Z95" i="2"/>
  <c r="AI95" i="2"/>
  <c r="AE95" i="2"/>
  <c r="AA95" i="2"/>
  <c r="AM95" i="2"/>
  <c r="AJ95" i="2"/>
  <c r="AF95" i="2"/>
  <c r="AB95" i="2"/>
  <c r="X95" i="2"/>
  <c r="AK95" i="2"/>
  <c r="AG95" i="2"/>
  <c r="AC95" i="2"/>
  <c r="Y95" i="2"/>
  <c r="V440" i="2"/>
  <c r="AQ440" i="2"/>
  <c r="AM440" i="2"/>
  <c r="AI440" i="2"/>
  <c r="AS440" i="2"/>
  <c r="AR440" i="2"/>
  <c r="AN440" i="2"/>
  <c r="AJ440" i="2"/>
  <c r="R440" i="2"/>
  <c r="AB440" i="2"/>
  <c r="AP440" i="2"/>
  <c r="AL440" i="2"/>
  <c r="AO440" i="2"/>
  <c r="AG440" i="2"/>
  <c r="AK440" i="2"/>
  <c r="AC440" i="2"/>
  <c r="X440" i="2"/>
  <c r="Y440" i="2"/>
  <c r="AA440" i="2"/>
  <c r="AH440" i="2"/>
  <c r="W440" i="2"/>
  <c r="AF440" i="2"/>
  <c r="AE440" i="2"/>
  <c r="AD440" i="2"/>
  <c r="Z440" i="2"/>
  <c r="AS345" i="2"/>
  <c r="AR345" i="2"/>
  <c r="AN345" i="2"/>
  <c r="AJ345" i="2"/>
  <c r="AO345" i="2"/>
  <c r="AK345" i="2"/>
  <c r="AP345" i="2"/>
  <c r="V345" i="2"/>
  <c r="AQ345" i="2"/>
  <c r="AM345" i="2"/>
  <c r="AI345" i="2"/>
  <c r="R345" i="2"/>
  <c r="AF345" i="2"/>
  <c r="Y345" i="2"/>
  <c r="AL345" i="2"/>
  <c r="AB345" i="2"/>
  <c r="AA345" i="2"/>
  <c r="W345" i="2"/>
  <c r="AH345" i="2"/>
  <c r="AD345" i="2"/>
  <c r="AG345" i="2"/>
  <c r="AE345" i="2"/>
  <c r="Z345" i="2"/>
  <c r="AC345" i="2"/>
  <c r="X345" i="2"/>
  <c r="R147" i="2"/>
  <c r="AO147" i="2"/>
  <c r="AK147" i="2"/>
  <c r="V147" i="2"/>
  <c r="AQ147" i="2"/>
  <c r="AM147" i="2"/>
  <c r="AI147" i="2"/>
  <c r="AC147" i="2"/>
  <c r="AS147" i="2"/>
  <c r="AN147" i="2"/>
  <c r="AJ147" i="2"/>
  <c r="AH147" i="2"/>
  <c r="Y147" i="2"/>
  <c r="AP147" i="2"/>
  <c r="AB147" i="2"/>
  <c r="AA147" i="2"/>
  <c r="W147" i="2"/>
  <c r="AD147" i="2"/>
  <c r="Z147" i="2"/>
  <c r="X147" i="2"/>
  <c r="AL147" i="2"/>
  <c r="AG147" i="2"/>
  <c r="AF147" i="2"/>
  <c r="AE147" i="2"/>
  <c r="AA43" i="2"/>
  <c r="AR43" i="2"/>
  <c r="X43" i="2"/>
  <c r="AD43" i="2"/>
  <c r="V424" i="2"/>
  <c r="R424" i="2"/>
  <c r="AS424" i="2"/>
  <c r="AR424" i="2"/>
  <c r="AQ424" i="2"/>
  <c r="AP424" i="2"/>
  <c r="AO424" i="2"/>
  <c r="AM424" i="2"/>
  <c r="AL424" i="2"/>
  <c r="AK424" i="2"/>
  <c r="BJ424" i="2" s="1"/>
  <c r="AJ424" i="2"/>
  <c r="AI424" i="2"/>
  <c r="AH424" i="2"/>
  <c r="AG424" i="2"/>
  <c r="AF424" i="2"/>
  <c r="AE424" i="2"/>
  <c r="AD424" i="2"/>
  <c r="AN424" i="2"/>
  <c r="BM424" i="2" s="1"/>
  <c r="AC424" i="2"/>
  <c r="AB424" i="2"/>
  <c r="AA424" i="2"/>
  <c r="Z424" i="2"/>
  <c r="Y424" i="2"/>
  <c r="X424" i="2"/>
  <c r="W424" i="2"/>
  <c r="V416" i="2"/>
  <c r="R416" i="2"/>
  <c r="AS416" i="2"/>
  <c r="AR416" i="2"/>
  <c r="AQ416" i="2"/>
  <c r="AP416" i="2"/>
  <c r="AO416" i="2"/>
  <c r="AN416" i="2"/>
  <c r="AM416" i="2"/>
  <c r="AL416" i="2"/>
  <c r="AK416" i="2"/>
  <c r="AJ416" i="2"/>
  <c r="AI416" i="2"/>
  <c r="AH416" i="2"/>
  <c r="AG416" i="2"/>
  <c r="AF416" i="2"/>
  <c r="AE416" i="2"/>
  <c r="AD416" i="2"/>
  <c r="AC416" i="2"/>
  <c r="AB416" i="2"/>
  <c r="AA416" i="2"/>
  <c r="Z416" i="2"/>
  <c r="Y416" i="2"/>
  <c r="X416" i="2"/>
  <c r="W416" i="2"/>
  <c r="V321" i="2"/>
  <c r="R321" i="2"/>
  <c r="AR321" i="2"/>
  <c r="AQ321" i="2"/>
  <c r="AP321" i="2"/>
  <c r="AO321" i="2"/>
  <c r="AN321" i="2"/>
  <c r="AS321" i="2"/>
  <c r="AM321" i="2"/>
  <c r="AL321" i="2"/>
  <c r="AK321" i="2"/>
  <c r="AJ321" i="2"/>
  <c r="AI321" i="2"/>
  <c r="AH321" i="2"/>
  <c r="AG321" i="2"/>
  <c r="AF321" i="2"/>
  <c r="AE321" i="2"/>
  <c r="AD321" i="2"/>
  <c r="AC321" i="2"/>
  <c r="AB321" i="2"/>
  <c r="AA321" i="2"/>
  <c r="Z321" i="2"/>
  <c r="Y321" i="2"/>
  <c r="X321" i="2"/>
  <c r="W321" i="2"/>
  <c r="V226" i="2"/>
  <c r="R226" i="2"/>
  <c r="AR226" i="2"/>
  <c r="AQ226" i="2"/>
  <c r="AP226" i="2"/>
  <c r="AO226" i="2"/>
  <c r="AN226" i="2"/>
  <c r="AS226" i="2"/>
  <c r="AM226" i="2"/>
  <c r="AL226" i="2"/>
  <c r="AK226" i="2"/>
  <c r="AJ226" i="2"/>
  <c r="AI226" i="2"/>
  <c r="AH226" i="2"/>
  <c r="AG226" i="2"/>
  <c r="AF226" i="2"/>
  <c r="AE226" i="2"/>
  <c r="AC226" i="2"/>
  <c r="AB226" i="2"/>
  <c r="AA226" i="2"/>
  <c r="Z226" i="2"/>
  <c r="Y226" i="2"/>
  <c r="X226" i="2"/>
  <c r="W226" i="2"/>
  <c r="AD226" i="2"/>
  <c r="V218" i="2"/>
  <c r="R218" i="2"/>
  <c r="AR218" i="2"/>
  <c r="AQ218" i="2"/>
  <c r="AP218" i="2"/>
  <c r="AO218" i="2"/>
  <c r="AN218" i="2"/>
  <c r="AS218" i="2"/>
  <c r="AM218" i="2"/>
  <c r="AL218" i="2"/>
  <c r="AK218" i="2"/>
  <c r="AJ218" i="2"/>
  <c r="AI218" i="2"/>
  <c r="AH218" i="2"/>
  <c r="AG218" i="2"/>
  <c r="AF218" i="2"/>
  <c r="AE218" i="2"/>
  <c r="AB218" i="2"/>
  <c r="AA218" i="2"/>
  <c r="Z218" i="2"/>
  <c r="Y218" i="2"/>
  <c r="X218" i="2"/>
  <c r="W218" i="2"/>
  <c r="AD218" i="2"/>
  <c r="AC218" i="2"/>
  <c r="R123" i="2"/>
  <c r="V123" i="2"/>
  <c r="AS123" i="2"/>
  <c r="AQ123" i="2"/>
  <c r="AP123" i="2"/>
  <c r="AO123" i="2"/>
  <c r="AN123" i="2"/>
  <c r="AL123" i="2"/>
  <c r="AK123" i="2"/>
  <c r="AJ123" i="2"/>
  <c r="AI123" i="2"/>
  <c r="AH123" i="2"/>
  <c r="AG123" i="2"/>
  <c r="AF123" i="2"/>
  <c r="AE123" i="2"/>
  <c r="AD123" i="2"/>
  <c r="AC123" i="2"/>
  <c r="AM123" i="2"/>
  <c r="AB123" i="2"/>
  <c r="AA123" i="2"/>
  <c r="Z123" i="2"/>
  <c r="Y123" i="2"/>
  <c r="X123" i="2"/>
  <c r="W123" i="2"/>
  <c r="R28" i="2"/>
  <c r="V28" i="2"/>
  <c r="AQ28" i="2"/>
  <c r="AP28" i="2"/>
  <c r="AO28" i="2"/>
  <c r="AR28" i="2"/>
  <c r="AS28" i="2"/>
  <c r="AN28" i="2"/>
  <c r="AL28" i="2"/>
  <c r="AK28" i="2"/>
  <c r="AJ28" i="2"/>
  <c r="AI28" i="2"/>
  <c r="AH28" i="2"/>
  <c r="AG28" i="2"/>
  <c r="AF28" i="2"/>
  <c r="AE28" i="2"/>
  <c r="AD28" i="2"/>
  <c r="AC28" i="2"/>
  <c r="AM28" i="2"/>
  <c r="AB28" i="2"/>
  <c r="AA28" i="2"/>
  <c r="Z28" i="2"/>
  <c r="Y28" i="2"/>
  <c r="X28" i="2"/>
  <c r="W28" i="2"/>
  <c r="R20" i="2"/>
  <c r="V20" i="2"/>
  <c r="AQ20" i="2"/>
  <c r="AP20" i="2"/>
  <c r="AO20" i="2"/>
  <c r="AR20" i="2"/>
  <c r="AS20" i="2"/>
  <c r="AM20" i="2"/>
  <c r="AN20" i="2"/>
  <c r="AL20" i="2"/>
  <c r="AK20" i="2"/>
  <c r="AJ20" i="2"/>
  <c r="AI20" i="2"/>
  <c r="AH20" i="2"/>
  <c r="AG20" i="2"/>
  <c r="AF20" i="2"/>
  <c r="AE20" i="2"/>
  <c r="AD20" i="2"/>
  <c r="AC20" i="2"/>
  <c r="AB20" i="2"/>
  <c r="AA20" i="2"/>
  <c r="Z20" i="2"/>
  <c r="Y20" i="2"/>
  <c r="X20" i="2"/>
  <c r="W20" i="2"/>
  <c r="W198" i="2"/>
  <c r="W190" i="2"/>
  <c r="X389" i="2"/>
  <c r="AO344" i="2"/>
  <c r="AK344" i="2"/>
  <c r="V344" i="2"/>
  <c r="AQ344" i="2"/>
  <c r="AM344" i="2"/>
  <c r="AI344" i="2"/>
  <c r="AC344" i="2"/>
  <c r="R344" i="2"/>
  <c r="AS344" i="2"/>
  <c r="AR344" i="2"/>
  <c r="AN344" i="2"/>
  <c r="AJ344" i="2"/>
  <c r="AL344" i="2"/>
  <c r="AB344" i="2"/>
  <c r="AP344" i="2"/>
  <c r="AA344" i="2"/>
  <c r="W344" i="2"/>
  <c r="AH344" i="2"/>
  <c r="AD344" i="2"/>
  <c r="AG344" i="2"/>
  <c r="AF344" i="2"/>
  <c r="AE344" i="2"/>
  <c r="Z344" i="2"/>
  <c r="X344" i="2"/>
  <c r="Y344" i="2"/>
  <c r="AO146" i="2"/>
  <c r="AK146" i="2"/>
  <c r="AP146" i="2"/>
  <c r="AL146" i="2"/>
  <c r="AH146" i="2"/>
  <c r="V146" i="2"/>
  <c r="AQ146" i="2"/>
  <c r="AF146" i="2"/>
  <c r="AA146" i="2"/>
  <c r="AS146" i="2"/>
  <c r="AN146" i="2"/>
  <c r="AJ146" i="2"/>
  <c r="R146" i="2"/>
  <c r="AD146" i="2"/>
  <c r="AM146" i="2"/>
  <c r="AB146" i="2"/>
  <c r="AI146" i="2"/>
  <c r="W146" i="2"/>
  <c r="Z146" i="2"/>
  <c r="X146" i="2"/>
  <c r="AG146" i="2"/>
  <c r="AE146" i="2"/>
  <c r="AC146" i="2"/>
  <c r="Y146" i="2"/>
  <c r="V423" i="2"/>
  <c r="R423" i="2"/>
  <c r="AR423" i="2"/>
  <c r="AQ423" i="2"/>
  <c r="AP423" i="2"/>
  <c r="AO423" i="2"/>
  <c r="AN423" i="2"/>
  <c r="AS423" i="2"/>
  <c r="AM423" i="2"/>
  <c r="AL423" i="2"/>
  <c r="AK423" i="2"/>
  <c r="AJ423" i="2"/>
  <c r="AI423" i="2"/>
  <c r="AH423" i="2"/>
  <c r="AG423" i="2"/>
  <c r="AF423" i="2"/>
  <c r="AE423" i="2"/>
  <c r="AD423" i="2"/>
  <c r="AC423" i="2"/>
  <c r="AB423" i="2"/>
  <c r="AA423" i="2"/>
  <c r="Z423" i="2"/>
  <c r="Y423" i="2"/>
  <c r="X423" i="2"/>
  <c r="W423" i="2"/>
  <c r="V415" i="2"/>
  <c r="R415" i="2"/>
  <c r="AR415" i="2"/>
  <c r="AQ415" i="2"/>
  <c r="AP415" i="2"/>
  <c r="AO415" i="2"/>
  <c r="AN415" i="2"/>
  <c r="AS415" i="2"/>
  <c r="AM415" i="2"/>
  <c r="AL415" i="2"/>
  <c r="AK415" i="2"/>
  <c r="AJ415" i="2"/>
  <c r="AI415" i="2"/>
  <c r="AH415" i="2"/>
  <c r="AG415" i="2"/>
  <c r="AF415" i="2"/>
  <c r="AE415" i="2"/>
  <c r="AD415" i="2"/>
  <c r="AC415" i="2"/>
  <c r="AB415" i="2"/>
  <c r="AA415" i="2"/>
  <c r="Z415" i="2"/>
  <c r="Y415" i="2"/>
  <c r="X415" i="2"/>
  <c r="W415" i="2"/>
  <c r="V320" i="2"/>
  <c r="R320" i="2"/>
  <c r="AR320" i="2"/>
  <c r="AQ320" i="2"/>
  <c r="AP320" i="2"/>
  <c r="AO320" i="2"/>
  <c r="AN320" i="2"/>
  <c r="AS320" i="2"/>
  <c r="AM320" i="2"/>
  <c r="AL320" i="2"/>
  <c r="AK320" i="2"/>
  <c r="AJ320" i="2"/>
  <c r="AI320" i="2"/>
  <c r="AH320" i="2"/>
  <c r="AG320" i="2"/>
  <c r="AF320" i="2"/>
  <c r="AE320" i="2"/>
  <c r="AD320" i="2"/>
  <c r="AC320" i="2"/>
  <c r="AB320" i="2"/>
  <c r="AA320" i="2"/>
  <c r="Z320" i="2"/>
  <c r="Y320" i="2"/>
  <c r="X320" i="2"/>
  <c r="W320" i="2"/>
  <c r="V225" i="2"/>
  <c r="R225" i="2"/>
  <c r="AR225" i="2"/>
  <c r="AQ225" i="2"/>
  <c r="AP225" i="2"/>
  <c r="AO225" i="2"/>
  <c r="AN225" i="2"/>
  <c r="AS225" i="2"/>
  <c r="AM225" i="2"/>
  <c r="AL225" i="2"/>
  <c r="AK225" i="2"/>
  <c r="AJ225" i="2"/>
  <c r="AI225" i="2"/>
  <c r="AH225" i="2"/>
  <c r="AG225" i="2"/>
  <c r="AF225" i="2"/>
  <c r="AE225" i="2"/>
  <c r="AD225" i="2"/>
  <c r="AC225" i="2"/>
  <c r="AB225" i="2"/>
  <c r="AA225" i="2"/>
  <c r="Z225" i="2"/>
  <c r="Y225" i="2"/>
  <c r="X225" i="2"/>
  <c r="W225" i="2"/>
  <c r="V217" i="2"/>
  <c r="R217" i="2"/>
  <c r="AR217" i="2"/>
  <c r="AQ217" i="2"/>
  <c r="AP217" i="2"/>
  <c r="AO217" i="2"/>
  <c r="AN217" i="2"/>
  <c r="AS217" i="2"/>
  <c r="AM217" i="2"/>
  <c r="AL217" i="2"/>
  <c r="AK217" i="2"/>
  <c r="AJ217" i="2"/>
  <c r="AI217" i="2"/>
  <c r="AH217" i="2"/>
  <c r="AG217" i="2"/>
  <c r="AF217" i="2"/>
  <c r="AE217" i="2"/>
  <c r="AD217" i="2"/>
  <c r="AC217" i="2"/>
  <c r="AB217" i="2"/>
  <c r="AA217" i="2"/>
  <c r="Z217" i="2"/>
  <c r="Y217" i="2"/>
  <c r="X217" i="2"/>
  <c r="W217" i="2"/>
  <c r="R122" i="2"/>
  <c r="V122" i="2"/>
  <c r="AS122" i="2"/>
  <c r="AQ122" i="2"/>
  <c r="AP122" i="2"/>
  <c r="AO122" i="2"/>
  <c r="AN122" i="2"/>
  <c r="AL122" i="2"/>
  <c r="AK122" i="2"/>
  <c r="AJ122" i="2"/>
  <c r="AI122" i="2"/>
  <c r="AH122" i="2"/>
  <c r="AG122" i="2"/>
  <c r="AF122" i="2"/>
  <c r="AE122" i="2"/>
  <c r="AD122" i="2"/>
  <c r="AC122" i="2"/>
  <c r="AM122" i="2"/>
  <c r="AB122" i="2"/>
  <c r="AA122" i="2"/>
  <c r="Z122" i="2"/>
  <c r="Y122" i="2"/>
  <c r="X122" i="2"/>
  <c r="W122" i="2"/>
  <c r="R27" i="2"/>
  <c r="V27" i="2"/>
  <c r="AR27" i="2"/>
  <c r="AS27" i="2"/>
  <c r="AQ27" i="2"/>
  <c r="AP27" i="2"/>
  <c r="AO27" i="2"/>
  <c r="AN27" i="2"/>
  <c r="AL27" i="2"/>
  <c r="AK27" i="2"/>
  <c r="AJ27" i="2"/>
  <c r="AI27" i="2"/>
  <c r="AH27" i="2"/>
  <c r="AG27" i="2"/>
  <c r="AF27" i="2"/>
  <c r="AE27" i="2"/>
  <c r="AD27" i="2"/>
  <c r="AC27" i="2"/>
  <c r="AM27" i="2"/>
  <c r="AB27" i="2"/>
  <c r="AA27" i="2"/>
  <c r="Z27" i="2"/>
  <c r="Y27" i="2"/>
  <c r="X27" i="2"/>
  <c r="W27" i="2"/>
  <c r="AR123" i="2"/>
  <c r="W397" i="2"/>
  <c r="W293" i="2"/>
  <c r="W197" i="2"/>
  <c r="W189" i="2"/>
  <c r="X387" i="2"/>
  <c r="F109" i="15"/>
  <c r="R394" i="2"/>
  <c r="V394" i="2"/>
  <c r="AR394" i="2"/>
  <c r="AN394" i="2"/>
  <c r="AO394" i="2"/>
  <c r="AP394" i="2"/>
  <c r="AS394" i="2"/>
  <c r="AQ394" i="2"/>
  <c r="AJ394" i="2"/>
  <c r="AF394" i="2"/>
  <c r="AB394" i="2"/>
  <c r="X394" i="2"/>
  <c r="AK394" i="2"/>
  <c r="AG394" i="2"/>
  <c r="AC394" i="2"/>
  <c r="Y394" i="2"/>
  <c r="AL394" i="2"/>
  <c r="AH394" i="2"/>
  <c r="AD394" i="2"/>
  <c r="Z394" i="2"/>
  <c r="AM394" i="2"/>
  <c r="AI394" i="2"/>
  <c r="AE394" i="2"/>
  <c r="AA394" i="2"/>
  <c r="V291" i="2"/>
  <c r="R291" i="2"/>
  <c r="AR291" i="2"/>
  <c r="AN291" i="2"/>
  <c r="AO291" i="2"/>
  <c r="AP291" i="2"/>
  <c r="AS291" i="2"/>
  <c r="AQ291" i="2"/>
  <c r="AJ291" i="2"/>
  <c r="AF291" i="2"/>
  <c r="AB291" i="2"/>
  <c r="AK291" i="2"/>
  <c r="AG291" i="2"/>
  <c r="AC291" i="2"/>
  <c r="Y291" i="2"/>
  <c r="AL291" i="2"/>
  <c r="AH291" i="2"/>
  <c r="AD291" i="2"/>
  <c r="Z291" i="2"/>
  <c r="AM291" i="2"/>
  <c r="AI291" i="2"/>
  <c r="AE291" i="2"/>
  <c r="AA291" i="2"/>
  <c r="R196" i="2"/>
  <c r="V196" i="2"/>
  <c r="AQ196" i="2"/>
  <c r="AN196" i="2"/>
  <c r="AO196" i="2"/>
  <c r="AP196" i="2"/>
  <c r="AS196" i="2"/>
  <c r="AM196" i="2"/>
  <c r="AI196" i="2"/>
  <c r="AE196" i="2"/>
  <c r="AA196" i="2"/>
  <c r="AJ196" i="2"/>
  <c r="AF196" i="2"/>
  <c r="AB196" i="2"/>
  <c r="X196" i="2"/>
  <c r="AK196" i="2"/>
  <c r="AG196" i="2"/>
  <c r="AC196" i="2"/>
  <c r="Y196" i="2"/>
  <c r="AL196" i="2"/>
  <c r="AH196" i="2"/>
  <c r="AD196" i="2"/>
  <c r="Z196" i="2"/>
  <c r="V93" i="2"/>
  <c r="R93" i="2"/>
  <c r="AS93" i="2"/>
  <c r="AQ93" i="2"/>
  <c r="AN93" i="2"/>
  <c r="AO93" i="2"/>
  <c r="AR93" i="2"/>
  <c r="AP93" i="2"/>
  <c r="AI93" i="2"/>
  <c r="AE93" i="2"/>
  <c r="AA93" i="2"/>
  <c r="AM93" i="2"/>
  <c r="AJ93" i="2"/>
  <c r="AF93" i="2"/>
  <c r="AB93" i="2"/>
  <c r="X93" i="2"/>
  <c r="AK93" i="2"/>
  <c r="AG93" i="2"/>
  <c r="AC93" i="2"/>
  <c r="Y93" i="2"/>
  <c r="AL93" i="2"/>
  <c r="AH93" i="2"/>
  <c r="AD93" i="2"/>
  <c r="Z93" i="2"/>
  <c r="AL81" i="2"/>
  <c r="Y81" i="2"/>
  <c r="AO81" i="2"/>
  <c r="AG81" i="2"/>
  <c r="AO343" i="2"/>
  <c r="AK343" i="2"/>
  <c r="AP343" i="2"/>
  <c r="AL343" i="2"/>
  <c r="AH343" i="2"/>
  <c r="V343" i="2"/>
  <c r="AQ343" i="2"/>
  <c r="R343" i="2"/>
  <c r="AF343" i="2"/>
  <c r="AA343" i="2"/>
  <c r="AS343" i="2"/>
  <c r="AR343" i="2"/>
  <c r="AN343" i="2"/>
  <c r="AJ343" i="2"/>
  <c r="AD343" i="2"/>
  <c r="AB343" i="2"/>
  <c r="W343" i="2"/>
  <c r="AM343" i="2"/>
  <c r="AI343" i="2"/>
  <c r="AG343" i="2"/>
  <c r="AE343" i="2"/>
  <c r="Z343" i="2"/>
  <c r="X343" i="2"/>
  <c r="AC343" i="2"/>
  <c r="Y343" i="2"/>
  <c r="AP145" i="2"/>
  <c r="AL145" i="2"/>
  <c r="AH145" i="2"/>
  <c r="V145" i="2"/>
  <c r="AS145" i="2"/>
  <c r="AN145" i="2"/>
  <c r="AJ145" i="2"/>
  <c r="R145" i="2"/>
  <c r="BQ145" i="2" s="1"/>
  <c r="AO145" i="2"/>
  <c r="AK145" i="2"/>
  <c r="AG145" i="2"/>
  <c r="AM145" i="2"/>
  <c r="AB145" i="2"/>
  <c r="AI145" i="2"/>
  <c r="W145" i="2"/>
  <c r="AA145" i="2"/>
  <c r="Z145" i="2"/>
  <c r="X145" i="2"/>
  <c r="AQ145" i="2"/>
  <c r="AE145" i="2"/>
  <c r="AD145" i="2"/>
  <c r="AF145" i="2"/>
  <c r="AC145" i="2"/>
  <c r="Y145" i="2"/>
  <c r="AC49" i="2"/>
  <c r="AN49" i="2"/>
  <c r="AJ49" i="2"/>
  <c r="AP49" i="2"/>
  <c r="AL49" i="2"/>
  <c r="AH49" i="2"/>
  <c r="X49" i="2"/>
  <c r="AF49" i="2"/>
  <c r="V422" i="2"/>
  <c r="R422" i="2"/>
  <c r="AR422" i="2"/>
  <c r="AQ422" i="2"/>
  <c r="AP422" i="2"/>
  <c r="AO422" i="2"/>
  <c r="AN422" i="2"/>
  <c r="AS422" i="2"/>
  <c r="AM422" i="2"/>
  <c r="AL422" i="2"/>
  <c r="AK422" i="2"/>
  <c r="AJ422" i="2"/>
  <c r="AI422" i="2"/>
  <c r="AH422" i="2"/>
  <c r="AG422" i="2"/>
  <c r="AF422" i="2"/>
  <c r="AE422" i="2"/>
  <c r="AD422" i="2"/>
  <c r="AC422" i="2"/>
  <c r="AB422" i="2"/>
  <c r="AA422" i="2"/>
  <c r="Z422" i="2"/>
  <c r="Y422" i="2"/>
  <c r="X422" i="2"/>
  <c r="W422" i="2"/>
  <c r="V414" i="2"/>
  <c r="R414" i="2"/>
  <c r="AR414" i="2"/>
  <c r="AQ414" i="2"/>
  <c r="AP414" i="2"/>
  <c r="AO414" i="2"/>
  <c r="AN414" i="2"/>
  <c r="AS414" i="2"/>
  <c r="AM414" i="2"/>
  <c r="AL414" i="2"/>
  <c r="AK414" i="2"/>
  <c r="AJ414" i="2"/>
  <c r="AI414" i="2"/>
  <c r="AH414" i="2"/>
  <c r="AG414" i="2"/>
  <c r="AF414" i="2"/>
  <c r="AE414" i="2"/>
  <c r="AD414" i="2"/>
  <c r="AC414" i="2"/>
  <c r="AB414" i="2"/>
  <c r="AA414" i="2"/>
  <c r="Z414" i="2"/>
  <c r="Y414" i="2"/>
  <c r="X414" i="2"/>
  <c r="W414" i="2"/>
  <c r="R327" i="2"/>
  <c r="V327" i="2"/>
  <c r="AR327" i="2"/>
  <c r="AQ327" i="2"/>
  <c r="AP327" i="2"/>
  <c r="AO327" i="2"/>
  <c r="AN327" i="2"/>
  <c r="AS327" i="2"/>
  <c r="AM327" i="2"/>
  <c r="AL327" i="2"/>
  <c r="AK327" i="2"/>
  <c r="AJ327" i="2"/>
  <c r="AI327" i="2"/>
  <c r="AH327" i="2"/>
  <c r="AG327" i="2"/>
  <c r="AF327" i="2"/>
  <c r="AE327" i="2"/>
  <c r="AC327" i="2"/>
  <c r="AB327" i="2"/>
  <c r="AA327" i="2"/>
  <c r="Z327" i="2"/>
  <c r="Y327" i="2"/>
  <c r="X327" i="2"/>
  <c r="W327" i="2"/>
  <c r="AD327" i="2"/>
  <c r="R319" i="2"/>
  <c r="V319" i="2"/>
  <c r="AR319" i="2"/>
  <c r="AQ319" i="2"/>
  <c r="AP319" i="2"/>
  <c r="AO319" i="2"/>
  <c r="AN319" i="2"/>
  <c r="AS319" i="2"/>
  <c r="AM319" i="2"/>
  <c r="AL319" i="2"/>
  <c r="AK319" i="2"/>
  <c r="AJ319" i="2"/>
  <c r="AI319" i="2"/>
  <c r="AH319" i="2"/>
  <c r="AG319" i="2"/>
  <c r="AF319" i="2"/>
  <c r="AE319" i="2"/>
  <c r="AC319" i="2"/>
  <c r="AB319" i="2"/>
  <c r="AA319" i="2"/>
  <c r="Z319" i="2"/>
  <c r="Y319" i="2"/>
  <c r="X319" i="2"/>
  <c r="W319" i="2"/>
  <c r="AD319" i="2"/>
  <c r="V224" i="2"/>
  <c r="R224" i="2"/>
  <c r="AR224" i="2"/>
  <c r="AQ224" i="2"/>
  <c r="AP224" i="2"/>
  <c r="AO224" i="2"/>
  <c r="AS224" i="2"/>
  <c r="AN224" i="2"/>
  <c r="AM224" i="2"/>
  <c r="AL224" i="2"/>
  <c r="AK224" i="2"/>
  <c r="AJ224" i="2"/>
  <c r="AI224" i="2"/>
  <c r="AH224" i="2"/>
  <c r="AG224" i="2"/>
  <c r="AF224" i="2"/>
  <c r="AE224" i="2"/>
  <c r="AD224" i="2"/>
  <c r="AC224" i="2"/>
  <c r="AB224" i="2"/>
  <c r="AA224" i="2"/>
  <c r="Z224" i="2"/>
  <c r="Y224" i="2"/>
  <c r="X224" i="2"/>
  <c r="W224" i="2"/>
  <c r="V216" i="2"/>
  <c r="R216" i="2"/>
  <c r="AR216" i="2"/>
  <c r="AQ216" i="2"/>
  <c r="AP216" i="2"/>
  <c r="AO216" i="2"/>
  <c r="AS216" i="2"/>
  <c r="AM216" i="2"/>
  <c r="AL216" i="2"/>
  <c r="AK216" i="2"/>
  <c r="AJ216" i="2"/>
  <c r="AI216" i="2"/>
  <c r="AH216" i="2"/>
  <c r="AG216" i="2"/>
  <c r="AF216" i="2"/>
  <c r="AE216" i="2"/>
  <c r="AD216" i="2"/>
  <c r="AC216" i="2"/>
  <c r="AN216" i="2"/>
  <c r="AB216" i="2"/>
  <c r="AA216" i="2"/>
  <c r="Z216" i="2"/>
  <c r="Y216" i="2"/>
  <c r="X216" i="2"/>
  <c r="W216" i="2"/>
  <c r="R129" i="2"/>
  <c r="V129" i="2"/>
  <c r="AS129" i="2"/>
  <c r="AQ129" i="2"/>
  <c r="AP129" i="2"/>
  <c r="AO129" i="2"/>
  <c r="AN129" i="2"/>
  <c r="AM129" i="2"/>
  <c r="AL129" i="2"/>
  <c r="AK129" i="2"/>
  <c r="AJ129" i="2"/>
  <c r="AI129" i="2"/>
  <c r="AH129" i="2"/>
  <c r="AG129" i="2"/>
  <c r="AF129" i="2"/>
  <c r="AE129" i="2"/>
  <c r="AD129" i="2"/>
  <c r="AC129" i="2"/>
  <c r="AB129" i="2"/>
  <c r="AA129" i="2"/>
  <c r="Z129" i="2"/>
  <c r="Y129" i="2"/>
  <c r="X129" i="2"/>
  <c r="W129" i="2"/>
  <c r="R121" i="2"/>
  <c r="V121" i="2"/>
  <c r="AS121" i="2"/>
  <c r="AQ121" i="2"/>
  <c r="AP121" i="2"/>
  <c r="AO121" i="2"/>
  <c r="AN121" i="2"/>
  <c r="AL121" i="2"/>
  <c r="AK121" i="2"/>
  <c r="AJ121" i="2"/>
  <c r="AI121" i="2"/>
  <c r="AH121" i="2"/>
  <c r="AG121" i="2"/>
  <c r="AF121" i="2"/>
  <c r="AE121" i="2"/>
  <c r="AD121" i="2"/>
  <c r="AC121" i="2"/>
  <c r="AM121" i="2"/>
  <c r="AB121" i="2"/>
  <c r="AA121" i="2"/>
  <c r="Z121" i="2"/>
  <c r="Y121" i="2"/>
  <c r="X121" i="2"/>
  <c r="W121" i="2"/>
  <c r="R26" i="2"/>
  <c r="V26" i="2"/>
  <c r="AR26" i="2"/>
  <c r="AS26" i="2"/>
  <c r="AQ26" i="2"/>
  <c r="AP26" i="2"/>
  <c r="AO26" i="2"/>
  <c r="AN26" i="2"/>
  <c r="AL26" i="2"/>
  <c r="AK26" i="2"/>
  <c r="AJ26" i="2"/>
  <c r="AI26" i="2"/>
  <c r="AH26" i="2"/>
  <c r="AG26" i="2"/>
  <c r="AF26" i="2"/>
  <c r="AE26" i="2"/>
  <c r="AD26" i="2"/>
  <c r="AC26" i="2"/>
  <c r="AM26" i="2"/>
  <c r="AB26" i="2"/>
  <c r="AA26" i="2"/>
  <c r="Z26" i="2"/>
  <c r="Y26" i="2"/>
  <c r="X26" i="2"/>
  <c r="W26" i="2"/>
  <c r="AR199" i="2"/>
  <c r="AR122" i="2"/>
  <c r="W396" i="2"/>
  <c r="W388" i="2"/>
  <c r="W196" i="2"/>
  <c r="V395" i="2"/>
  <c r="R395" i="2"/>
  <c r="AR395" i="2"/>
  <c r="AO395" i="2"/>
  <c r="AP395" i="2"/>
  <c r="AS395" i="2"/>
  <c r="AQ395" i="2"/>
  <c r="AJ395" i="2"/>
  <c r="AF395" i="2"/>
  <c r="AB395" i="2"/>
  <c r="AK395" i="2"/>
  <c r="AG395" i="2"/>
  <c r="AC395" i="2"/>
  <c r="Y395" i="2"/>
  <c r="AN395" i="2"/>
  <c r="AL395" i="2"/>
  <c r="AH395" i="2"/>
  <c r="AD395" i="2"/>
  <c r="Z395" i="2"/>
  <c r="AM395" i="2"/>
  <c r="AI395" i="2"/>
  <c r="AE395" i="2"/>
  <c r="AA395" i="2"/>
  <c r="F255" i="15"/>
  <c r="V393" i="2"/>
  <c r="R393" i="2"/>
  <c r="AO393" i="2"/>
  <c r="AP393" i="2"/>
  <c r="AS393" i="2"/>
  <c r="AQ393" i="2"/>
  <c r="AR393" i="2"/>
  <c r="AK393" i="2"/>
  <c r="AG393" i="2"/>
  <c r="AC393" i="2"/>
  <c r="Y393" i="2"/>
  <c r="AL393" i="2"/>
  <c r="AH393" i="2"/>
  <c r="AD393" i="2"/>
  <c r="Z393" i="2"/>
  <c r="AN393" i="2"/>
  <c r="AM393" i="2"/>
  <c r="AI393" i="2"/>
  <c r="AE393" i="2"/>
  <c r="AA393" i="2"/>
  <c r="AJ393" i="2"/>
  <c r="AF393" i="2"/>
  <c r="AB393" i="2"/>
  <c r="V298" i="2"/>
  <c r="R298" i="2"/>
  <c r="AR298" i="2"/>
  <c r="AN298" i="2"/>
  <c r="AO298" i="2"/>
  <c r="AP298" i="2"/>
  <c r="AS298" i="2"/>
  <c r="AQ298" i="2"/>
  <c r="AJ298" i="2"/>
  <c r="AF298" i="2"/>
  <c r="AB298" i="2"/>
  <c r="X298" i="2"/>
  <c r="AK298" i="2"/>
  <c r="AG298" i="2"/>
  <c r="AC298" i="2"/>
  <c r="Y298" i="2"/>
  <c r="AL298" i="2"/>
  <c r="AH298" i="2"/>
  <c r="AD298" i="2"/>
  <c r="Z298" i="2"/>
  <c r="AM298" i="2"/>
  <c r="AI298" i="2"/>
  <c r="AE298" i="2"/>
  <c r="AA298" i="2"/>
  <c r="V290" i="2"/>
  <c r="R290" i="2"/>
  <c r="AR290" i="2"/>
  <c r="AN290" i="2"/>
  <c r="AO290" i="2"/>
  <c r="AP290" i="2"/>
  <c r="AS290" i="2"/>
  <c r="AQ290" i="2"/>
  <c r="AJ290" i="2"/>
  <c r="AF290" i="2"/>
  <c r="AB290" i="2"/>
  <c r="X290" i="2"/>
  <c r="AK290" i="2"/>
  <c r="AG290" i="2"/>
  <c r="AC290" i="2"/>
  <c r="Y290" i="2"/>
  <c r="AL290" i="2"/>
  <c r="AH290" i="2"/>
  <c r="AD290" i="2"/>
  <c r="Z290" i="2"/>
  <c r="AM290" i="2"/>
  <c r="AI290" i="2"/>
  <c r="AE290" i="2"/>
  <c r="AA290" i="2"/>
  <c r="R195" i="2"/>
  <c r="V195" i="2"/>
  <c r="AN195" i="2"/>
  <c r="AO195" i="2"/>
  <c r="AP195" i="2"/>
  <c r="AS195" i="2"/>
  <c r="AQ195" i="2"/>
  <c r="AJ195" i="2"/>
  <c r="AF195" i="2"/>
  <c r="AB195" i="2"/>
  <c r="AK195" i="2"/>
  <c r="AG195" i="2"/>
  <c r="AC195" i="2"/>
  <c r="Y195" i="2"/>
  <c r="AL195" i="2"/>
  <c r="AH195" i="2"/>
  <c r="AD195" i="2"/>
  <c r="Z195" i="2"/>
  <c r="AM195" i="2"/>
  <c r="AI195" i="2"/>
  <c r="AE195" i="2"/>
  <c r="AA195" i="2"/>
  <c r="V100" i="2"/>
  <c r="R100" i="2"/>
  <c r="AQ100" i="2"/>
  <c r="AN100" i="2"/>
  <c r="AO100" i="2"/>
  <c r="AR100" i="2"/>
  <c r="AP100" i="2"/>
  <c r="AS100" i="2"/>
  <c r="AM100" i="2"/>
  <c r="AI100" i="2"/>
  <c r="AE100" i="2"/>
  <c r="AA100" i="2"/>
  <c r="AJ100" i="2"/>
  <c r="AF100" i="2"/>
  <c r="AB100" i="2"/>
  <c r="X100" i="2"/>
  <c r="AK100" i="2"/>
  <c r="AG100" i="2"/>
  <c r="AC100" i="2"/>
  <c r="Y100" i="2"/>
  <c r="AL100" i="2"/>
  <c r="AH100" i="2"/>
  <c r="AD100" i="2"/>
  <c r="Z100" i="2"/>
  <c r="V92" i="2"/>
  <c r="R92" i="2"/>
  <c r="AQ92" i="2"/>
  <c r="AM92" i="2"/>
  <c r="AN92" i="2"/>
  <c r="AO92" i="2"/>
  <c r="AR92" i="2"/>
  <c r="AP92" i="2"/>
  <c r="AS92" i="2"/>
  <c r="AI92" i="2"/>
  <c r="AE92" i="2"/>
  <c r="AA92" i="2"/>
  <c r="W92" i="2"/>
  <c r="AJ92" i="2"/>
  <c r="AF92" i="2"/>
  <c r="AB92" i="2"/>
  <c r="X92" i="2"/>
  <c r="AK92" i="2"/>
  <c r="AG92" i="2"/>
  <c r="AC92" i="2"/>
  <c r="Y92" i="2"/>
  <c r="AL92" i="2"/>
  <c r="AH92" i="2"/>
  <c r="AD92" i="2"/>
  <c r="Z92" i="2"/>
  <c r="V80" i="2"/>
  <c r="AD80" i="2"/>
  <c r="AL80" i="2"/>
  <c r="R445" i="2"/>
  <c r="AO445" i="2"/>
  <c r="AK445" i="2"/>
  <c r="V445" i="2"/>
  <c r="AQ445" i="2"/>
  <c r="AM445" i="2"/>
  <c r="AI445" i="2"/>
  <c r="AC445" i="2"/>
  <c r="AS445" i="2"/>
  <c r="AR445" i="2"/>
  <c r="AN445" i="2"/>
  <c r="AJ445" i="2"/>
  <c r="AB445" i="2"/>
  <c r="AA445" i="2"/>
  <c r="AH445" i="2"/>
  <c r="AP445" i="2"/>
  <c r="AL445" i="2"/>
  <c r="AG445" i="2"/>
  <c r="AF445" i="2"/>
  <c r="AE445" i="2"/>
  <c r="AD445" i="2"/>
  <c r="W445" i="2"/>
  <c r="Z445" i="2"/>
  <c r="X445" i="2"/>
  <c r="Y445" i="2"/>
  <c r="R247" i="2"/>
  <c r="AP247" i="2"/>
  <c r="AL247" i="2"/>
  <c r="V247" i="2"/>
  <c r="AS247" i="2"/>
  <c r="AR247" i="2"/>
  <c r="AN247" i="2"/>
  <c r="AJ247" i="2"/>
  <c r="AO247" i="2"/>
  <c r="AK247" i="2"/>
  <c r="AG247" i="2"/>
  <c r="AA247" i="2"/>
  <c r="W247" i="2"/>
  <c r="AM247" i="2"/>
  <c r="AI247" i="2"/>
  <c r="AH247" i="2"/>
  <c r="AE247" i="2"/>
  <c r="AD247" i="2"/>
  <c r="Z247" i="2"/>
  <c r="AF247" i="2"/>
  <c r="X247" i="2"/>
  <c r="AC247" i="2"/>
  <c r="Y247" i="2"/>
  <c r="AQ247" i="2"/>
  <c r="AB247" i="2"/>
  <c r="AP144" i="2"/>
  <c r="AL144" i="2"/>
  <c r="AH144" i="2"/>
  <c r="V144" i="2"/>
  <c r="AQ144" i="2"/>
  <c r="AM144" i="2"/>
  <c r="AI144" i="2"/>
  <c r="AS144" i="2"/>
  <c r="R144" i="2"/>
  <c r="AD144" i="2"/>
  <c r="Y144" i="2"/>
  <c r="AO144" i="2"/>
  <c r="AK144" i="2"/>
  <c r="W144" i="2"/>
  <c r="AA144" i="2"/>
  <c r="AN144" i="2"/>
  <c r="AJ144" i="2"/>
  <c r="Z144" i="2"/>
  <c r="X144" i="2"/>
  <c r="AE144" i="2"/>
  <c r="AG144" i="2"/>
  <c r="AF144" i="2"/>
  <c r="AC144" i="2"/>
  <c r="AB144" i="2"/>
  <c r="AS48" i="2"/>
  <c r="AC48" i="2"/>
  <c r="V421" i="2"/>
  <c r="R421" i="2"/>
  <c r="AR421" i="2"/>
  <c r="AQ421" i="2"/>
  <c r="AP421" i="2"/>
  <c r="AO421" i="2"/>
  <c r="AS421" i="2"/>
  <c r="AN421" i="2"/>
  <c r="AM421" i="2"/>
  <c r="AL421" i="2"/>
  <c r="AK421" i="2"/>
  <c r="AJ421" i="2"/>
  <c r="AI421" i="2"/>
  <c r="AH421" i="2"/>
  <c r="AG421" i="2"/>
  <c r="AF421" i="2"/>
  <c r="AE421" i="2"/>
  <c r="AC421" i="2"/>
  <c r="BB421" i="2" s="1"/>
  <c r="AB421" i="2"/>
  <c r="AA421" i="2"/>
  <c r="Z421" i="2"/>
  <c r="Y421" i="2"/>
  <c r="X421" i="2"/>
  <c r="W421" i="2"/>
  <c r="AD421" i="2"/>
  <c r="V326" i="2"/>
  <c r="AR326" i="2"/>
  <c r="AQ326" i="2"/>
  <c r="AP326" i="2"/>
  <c r="AO326" i="2"/>
  <c r="AN326" i="2"/>
  <c r="R326" i="2"/>
  <c r="AS326" i="2"/>
  <c r="AM326" i="2"/>
  <c r="AL326" i="2"/>
  <c r="AK326" i="2"/>
  <c r="AJ326" i="2"/>
  <c r="AI326" i="2"/>
  <c r="AH326" i="2"/>
  <c r="AG326" i="2"/>
  <c r="AF326" i="2"/>
  <c r="AE326" i="2"/>
  <c r="AD326" i="2"/>
  <c r="AC326" i="2"/>
  <c r="AB326" i="2"/>
  <c r="AA326" i="2"/>
  <c r="Z326" i="2"/>
  <c r="Y326" i="2"/>
  <c r="X326" i="2"/>
  <c r="W326" i="2"/>
  <c r="R318" i="2"/>
  <c r="V318" i="2"/>
  <c r="AR318" i="2"/>
  <c r="AQ318" i="2"/>
  <c r="AP318" i="2"/>
  <c r="AO318" i="2"/>
  <c r="AN318" i="2"/>
  <c r="AS318" i="2"/>
  <c r="AM318" i="2"/>
  <c r="AL318" i="2"/>
  <c r="AK318" i="2"/>
  <c r="AJ318" i="2"/>
  <c r="AI318" i="2"/>
  <c r="AH318" i="2"/>
  <c r="AG318" i="2"/>
  <c r="AF318" i="2"/>
  <c r="AE318" i="2"/>
  <c r="AD318" i="2"/>
  <c r="AC318" i="2"/>
  <c r="AB318" i="2"/>
  <c r="AA318" i="2"/>
  <c r="Z318" i="2"/>
  <c r="Y318" i="2"/>
  <c r="X318" i="2"/>
  <c r="W318" i="2"/>
  <c r="V223" i="2"/>
  <c r="D431" i="35" s="1"/>
  <c r="R223" i="2"/>
  <c r="U223" i="2" s="1"/>
  <c r="AS223" i="2"/>
  <c r="AR223" i="2"/>
  <c r="AQ223" i="2"/>
  <c r="AP223" i="2"/>
  <c r="AO223" i="2"/>
  <c r="AN223" i="2"/>
  <c r="AM223" i="2"/>
  <c r="AL223" i="2"/>
  <c r="AK223" i="2"/>
  <c r="AJ223" i="2"/>
  <c r="AI223" i="2"/>
  <c r="AH223" i="2"/>
  <c r="AG223" i="2"/>
  <c r="AF223" i="2"/>
  <c r="AE223" i="2"/>
  <c r="AD223" i="2"/>
  <c r="AB223" i="2"/>
  <c r="AA223" i="2"/>
  <c r="Z223" i="2"/>
  <c r="Y223" i="2"/>
  <c r="X223" i="2"/>
  <c r="W223" i="2"/>
  <c r="AC223" i="2"/>
  <c r="V215" i="2"/>
  <c r="R215" i="2"/>
  <c r="AS215" i="2"/>
  <c r="AR215" i="2"/>
  <c r="AQ215" i="2"/>
  <c r="AP215" i="2"/>
  <c r="AO215" i="2"/>
  <c r="AN215" i="2"/>
  <c r="AM215" i="2"/>
  <c r="AL215" i="2"/>
  <c r="AK215" i="2"/>
  <c r="AJ215" i="2"/>
  <c r="AI215" i="2"/>
  <c r="AH215" i="2"/>
  <c r="AG215" i="2"/>
  <c r="AF215" i="2"/>
  <c r="AE215" i="2"/>
  <c r="AD215" i="2"/>
  <c r="AC215" i="2"/>
  <c r="AB215" i="2"/>
  <c r="AA215" i="2"/>
  <c r="Z215" i="2"/>
  <c r="Y215" i="2"/>
  <c r="X215" i="2"/>
  <c r="W215" i="2"/>
  <c r="V128" i="2"/>
  <c r="R128" i="2"/>
  <c r="AS128" i="2"/>
  <c r="AQ128" i="2"/>
  <c r="AP128" i="2"/>
  <c r="AO128" i="2"/>
  <c r="AN128" i="2"/>
  <c r="AM128" i="2"/>
  <c r="AL128" i="2"/>
  <c r="AK128" i="2"/>
  <c r="AJ128" i="2"/>
  <c r="AI128" i="2"/>
  <c r="AH128" i="2"/>
  <c r="AG128" i="2"/>
  <c r="AF128" i="2"/>
  <c r="AE128" i="2"/>
  <c r="AD128" i="2"/>
  <c r="AC128" i="2"/>
  <c r="AB128" i="2"/>
  <c r="AA128" i="2"/>
  <c r="Z128" i="2"/>
  <c r="Y128" i="2"/>
  <c r="X128" i="2"/>
  <c r="W128" i="2"/>
  <c r="V120" i="2"/>
  <c r="R120" i="2"/>
  <c r="AS120" i="2"/>
  <c r="AQ120" i="2"/>
  <c r="AP120" i="2"/>
  <c r="AO120" i="2"/>
  <c r="AN120" i="2"/>
  <c r="AL120" i="2"/>
  <c r="AK120" i="2"/>
  <c r="AJ120" i="2"/>
  <c r="AI120" i="2"/>
  <c r="AH120" i="2"/>
  <c r="AG120" i="2"/>
  <c r="AF120" i="2"/>
  <c r="AE120" i="2"/>
  <c r="AD120" i="2"/>
  <c r="AC120" i="2"/>
  <c r="AM120" i="2"/>
  <c r="AB120" i="2"/>
  <c r="AA120" i="2"/>
  <c r="Z120" i="2"/>
  <c r="Y120" i="2"/>
  <c r="X120" i="2"/>
  <c r="W120" i="2"/>
  <c r="R25" i="2"/>
  <c r="V25" i="2"/>
  <c r="AR25" i="2"/>
  <c r="AS25" i="2"/>
  <c r="AQ25" i="2"/>
  <c r="AP25" i="2"/>
  <c r="AO25" i="2"/>
  <c r="AN25" i="2"/>
  <c r="AL25" i="2"/>
  <c r="AK25" i="2"/>
  <c r="AJ25" i="2"/>
  <c r="AI25" i="2"/>
  <c r="AH25" i="2"/>
  <c r="AG25" i="2"/>
  <c r="AF25" i="2"/>
  <c r="AE25" i="2"/>
  <c r="AD25" i="2"/>
  <c r="AC25" i="2"/>
  <c r="AM25" i="2"/>
  <c r="AB25" i="2"/>
  <c r="AA25" i="2"/>
  <c r="Z25" i="2"/>
  <c r="Y25" i="2"/>
  <c r="X25" i="2"/>
  <c r="W25" i="2"/>
  <c r="AR198" i="2"/>
  <c r="AR190" i="2"/>
  <c r="AR129" i="2"/>
  <c r="AR121" i="2"/>
  <c r="W395" i="2"/>
  <c r="W291" i="2"/>
  <c r="W195" i="2"/>
  <c r="F276" i="15"/>
  <c r="F198" i="15"/>
  <c r="V392" i="2"/>
  <c r="R392" i="2"/>
  <c r="AO392" i="2"/>
  <c r="AP392" i="2"/>
  <c r="AS392" i="2"/>
  <c r="AQ392" i="2"/>
  <c r="AR392" i="2"/>
  <c r="AN392" i="2"/>
  <c r="AK392" i="2"/>
  <c r="AG392" i="2"/>
  <c r="AC392" i="2"/>
  <c r="Y392" i="2"/>
  <c r="AL392" i="2"/>
  <c r="AH392" i="2"/>
  <c r="AD392" i="2"/>
  <c r="Z392" i="2"/>
  <c r="AM392" i="2"/>
  <c r="AI392" i="2"/>
  <c r="AE392" i="2"/>
  <c r="AA392" i="2"/>
  <c r="AJ392" i="2"/>
  <c r="AF392" i="2"/>
  <c r="AB392" i="2"/>
  <c r="X392" i="2"/>
  <c r="V297" i="2"/>
  <c r="R297" i="2"/>
  <c r="AO297" i="2"/>
  <c r="AP297" i="2"/>
  <c r="AS297" i="2"/>
  <c r="AQ297" i="2"/>
  <c r="AR297" i="2"/>
  <c r="AK297" i="2"/>
  <c r="AG297" i="2"/>
  <c r="AC297" i="2"/>
  <c r="Y297" i="2"/>
  <c r="AN297" i="2"/>
  <c r="AL297" i="2"/>
  <c r="AH297" i="2"/>
  <c r="AD297" i="2"/>
  <c r="Z297" i="2"/>
  <c r="AM297" i="2"/>
  <c r="AI297" i="2"/>
  <c r="AE297" i="2"/>
  <c r="AA297" i="2"/>
  <c r="AJ297" i="2"/>
  <c r="AF297" i="2"/>
  <c r="AB297" i="2"/>
  <c r="V289" i="2"/>
  <c r="R289" i="2"/>
  <c r="AO289" i="2"/>
  <c r="AP289" i="2"/>
  <c r="AS289" i="2"/>
  <c r="AQ289" i="2"/>
  <c r="AR289" i="2"/>
  <c r="AK289" i="2"/>
  <c r="AG289" i="2"/>
  <c r="AC289" i="2"/>
  <c r="Y289" i="2"/>
  <c r="AN289" i="2"/>
  <c r="AL289" i="2"/>
  <c r="AH289" i="2"/>
  <c r="AD289" i="2"/>
  <c r="Z289" i="2"/>
  <c r="AM289" i="2"/>
  <c r="AI289" i="2"/>
  <c r="AE289" i="2"/>
  <c r="AA289" i="2"/>
  <c r="AJ289" i="2"/>
  <c r="AF289" i="2"/>
  <c r="AB289" i="2"/>
  <c r="X289" i="2"/>
  <c r="V194" i="2"/>
  <c r="R194" i="2"/>
  <c r="AN194" i="2"/>
  <c r="AO194" i="2"/>
  <c r="AP194" i="2"/>
  <c r="AS194" i="2"/>
  <c r="AQ194" i="2"/>
  <c r="AJ194" i="2"/>
  <c r="AF194" i="2"/>
  <c r="AB194" i="2"/>
  <c r="X194" i="2"/>
  <c r="AK194" i="2"/>
  <c r="AG194" i="2"/>
  <c r="AC194" i="2"/>
  <c r="Y194" i="2"/>
  <c r="AL194" i="2"/>
  <c r="AH194" i="2"/>
  <c r="AD194" i="2"/>
  <c r="Z194" i="2"/>
  <c r="AM194" i="2"/>
  <c r="AI194" i="2"/>
  <c r="AE194" i="2"/>
  <c r="AA194" i="2"/>
  <c r="V99" i="2"/>
  <c r="R99" i="2"/>
  <c r="AN99" i="2"/>
  <c r="AO99" i="2"/>
  <c r="AR99" i="2"/>
  <c r="AP99" i="2"/>
  <c r="AS99" i="2"/>
  <c r="AQ99" i="2"/>
  <c r="AJ99" i="2"/>
  <c r="AF99" i="2"/>
  <c r="AB99" i="2"/>
  <c r="X99" i="2"/>
  <c r="AK99" i="2"/>
  <c r="AG99" i="2"/>
  <c r="AC99" i="2"/>
  <c r="Y99" i="2"/>
  <c r="AL99" i="2"/>
  <c r="AH99" i="2"/>
  <c r="AD99" i="2"/>
  <c r="Z99" i="2"/>
  <c r="AM99" i="2"/>
  <c r="AI99" i="2"/>
  <c r="AE99" i="2"/>
  <c r="AA99" i="2"/>
  <c r="V91" i="2"/>
  <c r="R91" i="2"/>
  <c r="AN91" i="2"/>
  <c r="AO91" i="2"/>
  <c r="AR91" i="2"/>
  <c r="AP91" i="2"/>
  <c r="AS91" i="2"/>
  <c r="AQ91" i="2"/>
  <c r="AM91" i="2"/>
  <c r="AJ91" i="2"/>
  <c r="AF91" i="2"/>
  <c r="AB91" i="2"/>
  <c r="X91" i="2"/>
  <c r="AK91" i="2"/>
  <c r="AG91" i="2"/>
  <c r="AC91" i="2"/>
  <c r="Y91" i="2"/>
  <c r="AL91" i="2"/>
  <c r="AH91" i="2"/>
  <c r="AD91" i="2"/>
  <c r="Z91" i="2"/>
  <c r="AI91" i="2"/>
  <c r="AE91" i="2"/>
  <c r="AA91" i="2"/>
  <c r="R444" i="2"/>
  <c r="AO444" i="2"/>
  <c r="AK444" i="2"/>
  <c r="AP444" i="2"/>
  <c r="AL444" i="2"/>
  <c r="V444" i="2"/>
  <c r="AQ444" i="2"/>
  <c r="AF444" i="2"/>
  <c r="AA444" i="2"/>
  <c r="AS444" i="2"/>
  <c r="AR444" i="2"/>
  <c r="AN444" i="2"/>
  <c r="AJ444" i="2"/>
  <c r="AH444" i="2"/>
  <c r="AG444" i="2"/>
  <c r="AE444" i="2"/>
  <c r="AD444" i="2"/>
  <c r="W444" i="2"/>
  <c r="Z444" i="2"/>
  <c r="AM444" i="2"/>
  <c r="AC444" i="2"/>
  <c r="X444" i="2"/>
  <c r="AI444" i="2"/>
  <c r="Y444" i="2"/>
  <c r="AB444" i="2"/>
  <c r="R246" i="2"/>
  <c r="AP246" i="2"/>
  <c r="AL246" i="2"/>
  <c r="AH246" i="2"/>
  <c r="V246" i="2"/>
  <c r="AQ246" i="2"/>
  <c r="AM246" i="2"/>
  <c r="AI246" i="2"/>
  <c r="AS246" i="2"/>
  <c r="AR246" i="2"/>
  <c r="AD246" i="2"/>
  <c r="Y246" i="2"/>
  <c r="AO246" i="2"/>
  <c r="AK246" i="2"/>
  <c r="AA246" i="2"/>
  <c r="W246" i="2"/>
  <c r="AE246" i="2"/>
  <c r="Z246" i="2"/>
  <c r="AG246" i="2"/>
  <c r="AF246" i="2"/>
  <c r="X246" i="2"/>
  <c r="AN246" i="2"/>
  <c r="AC246" i="2"/>
  <c r="AJ246" i="2"/>
  <c r="AB246" i="2"/>
  <c r="V47" i="2"/>
  <c r="AS47" i="2"/>
  <c r="X47" i="2"/>
  <c r="Z47" i="2"/>
  <c r="V420" i="2"/>
  <c r="AR420" i="2"/>
  <c r="AQ420" i="2"/>
  <c r="AP420" i="2"/>
  <c r="AO420" i="2"/>
  <c r="R420" i="2"/>
  <c r="AS420" i="2"/>
  <c r="AN420" i="2"/>
  <c r="AM420" i="2"/>
  <c r="AL420" i="2"/>
  <c r="AK420" i="2"/>
  <c r="AJ420" i="2"/>
  <c r="AI420" i="2"/>
  <c r="AH420" i="2"/>
  <c r="AG420" i="2"/>
  <c r="AF420" i="2"/>
  <c r="AE420" i="2"/>
  <c r="AD420" i="2"/>
  <c r="AC420" i="2"/>
  <c r="AB420" i="2"/>
  <c r="AA420" i="2"/>
  <c r="Z420" i="2"/>
  <c r="Y420" i="2"/>
  <c r="X420" i="2"/>
  <c r="W420" i="2"/>
  <c r="R325" i="2"/>
  <c r="V325" i="2"/>
  <c r="AR325" i="2"/>
  <c r="AQ325" i="2"/>
  <c r="AP325" i="2"/>
  <c r="AS325" i="2"/>
  <c r="AO325" i="2"/>
  <c r="AN325" i="2"/>
  <c r="AM325" i="2"/>
  <c r="AL325" i="2"/>
  <c r="AK325" i="2"/>
  <c r="AJ325" i="2"/>
  <c r="AI325" i="2"/>
  <c r="AH325" i="2"/>
  <c r="AG325" i="2"/>
  <c r="AF325" i="2"/>
  <c r="AE325" i="2"/>
  <c r="AD325" i="2"/>
  <c r="AC325" i="2"/>
  <c r="AB325" i="2"/>
  <c r="AA325" i="2"/>
  <c r="Z325" i="2"/>
  <c r="Y325" i="2"/>
  <c r="X325" i="2"/>
  <c r="W325" i="2"/>
  <c r="R317" i="2"/>
  <c r="V317" i="2"/>
  <c r="AR317" i="2"/>
  <c r="AQ317" i="2"/>
  <c r="AP317" i="2"/>
  <c r="AS317" i="2"/>
  <c r="AO317" i="2"/>
  <c r="AN317" i="2"/>
  <c r="AM317" i="2"/>
  <c r="AL317" i="2"/>
  <c r="AK317" i="2"/>
  <c r="AJ317" i="2"/>
  <c r="AI317" i="2"/>
  <c r="AH317" i="2"/>
  <c r="AG317" i="2"/>
  <c r="AF317" i="2"/>
  <c r="AE317" i="2"/>
  <c r="AD317" i="2"/>
  <c r="AC317" i="2"/>
  <c r="AB317" i="2"/>
  <c r="AA317" i="2"/>
  <c r="Z317" i="2"/>
  <c r="Y317" i="2"/>
  <c r="X317" i="2"/>
  <c r="W317" i="2"/>
  <c r="V222" i="2"/>
  <c r="R222" i="2"/>
  <c r="AS222" i="2"/>
  <c r="AR222" i="2"/>
  <c r="AQ222" i="2"/>
  <c r="AP222" i="2"/>
  <c r="AO222" i="2"/>
  <c r="AN222" i="2"/>
  <c r="AM222" i="2"/>
  <c r="AL222" i="2"/>
  <c r="AK222" i="2"/>
  <c r="AJ222" i="2"/>
  <c r="AI222" i="2"/>
  <c r="AH222" i="2"/>
  <c r="AG222" i="2"/>
  <c r="AF222" i="2"/>
  <c r="AE222" i="2"/>
  <c r="AD222" i="2"/>
  <c r="AC222" i="2"/>
  <c r="AB222" i="2"/>
  <c r="AA222" i="2"/>
  <c r="Z222" i="2"/>
  <c r="Y222" i="2"/>
  <c r="X222" i="2"/>
  <c r="W222" i="2"/>
  <c r="V214" i="2"/>
  <c r="R214" i="2"/>
  <c r="AS214" i="2"/>
  <c r="AR214" i="2"/>
  <c r="AQ214" i="2"/>
  <c r="AP214" i="2"/>
  <c r="AO214" i="2"/>
  <c r="AN214" i="2"/>
  <c r="AM214" i="2"/>
  <c r="AL214" i="2"/>
  <c r="AK214" i="2"/>
  <c r="AJ214" i="2"/>
  <c r="AI214" i="2"/>
  <c r="AH214" i="2"/>
  <c r="AG214" i="2"/>
  <c r="AF214" i="2"/>
  <c r="AE214" i="2"/>
  <c r="AD214" i="2"/>
  <c r="AC214" i="2"/>
  <c r="AB214" i="2"/>
  <c r="AA214" i="2"/>
  <c r="Z214" i="2"/>
  <c r="Y214" i="2"/>
  <c r="X214" i="2"/>
  <c r="W214" i="2"/>
  <c r="V127" i="2"/>
  <c r="R127" i="2"/>
  <c r="AQ127" i="2"/>
  <c r="AP127" i="2"/>
  <c r="AO127" i="2"/>
  <c r="AN127" i="2"/>
  <c r="AM127" i="2"/>
  <c r="AS127" i="2"/>
  <c r="AL127" i="2"/>
  <c r="AK127" i="2"/>
  <c r="AJ127" i="2"/>
  <c r="AI127" i="2"/>
  <c r="AH127" i="2"/>
  <c r="AG127" i="2"/>
  <c r="AF127" i="2"/>
  <c r="AE127" i="2"/>
  <c r="AD127" i="2"/>
  <c r="AC127" i="2"/>
  <c r="AB127" i="2"/>
  <c r="AA127" i="2"/>
  <c r="Z127" i="2"/>
  <c r="Y127" i="2"/>
  <c r="X127" i="2"/>
  <c r="W127" i="2"/>
  <c r="V119" i="2"/>
  <c r="R119" i="2"/>
  <c r="AQ119" i="2"/>
  <c r="AP119" i="2"/>
  <c r="AO119" i="2"/>
  <c r="AN119" i="2"/>
  <c r="AM119" i="2"/>
  <c r="AS119" i="2"/>
  <c r="AL119" i="2"/>
  <c r="AK119" i="2"/>
  <c r="AJ119" i="2"/>
  <c r="AI119" i="2"/>
  <c r="AH119" i="2"/>
  <c r="AG119" i="2"/>
  <c r="AF119" i="2"/>
  <c r="AE119" i="2"/>
  <c r="AD119" i="2"/>
  <c r="AC119" i="2"/>
  <c r="AB119" i="2"/>
  <c r="AA119" i="2"/>
  <c r="Z119" i="2"/>
  <c r="Y119" i="2"/>
  <c r="X119" i="2"/>
  <c r="W119" i="2"/>
  <c r="V24" i="2"/>
  <c r="R24" i="2"/>
  <c r="AS24" i="2"/>
  <c r="AQ24" i="2"/>
  <c r="AP24" i="2"/>
  <c r="AO24" i="2"/>
  <c r="AN24" i="2"/>
  <c r="AM24" i="2"/>
  <c r="AR24" i="2"/>
  <c r="AL24" i="2"/>
  <c r="AK24" i="2"/>
  <c r="AJ24" i="2"/>
  <c r="AI24" i="2"/>
  <c r="AH24" i="2"/>
  <c r="AG24" i="2"/>
  <c r="AF24" i="2"/>
  <c r="AE24" i="2"/>
  <c r="AD24" i="2"/>
  <c r="AC24" i="2"/>
  <c r="AB24" i="2"/>
  <c r="AA24" i="2"/>
  <c r="Z24" i="2"/>
  <c r="Y24" i="2"/>
  <c r="X24" i="2"/>
  <c r="W24" i="2"/>
  <c r="AR128" i="2"/>
  <c r="AR120" i="2"/>
  <c r="W394" i="2"/>
  <c r="W298" i="2"/>
  <c r="W290" i="2"/>
  <c r="W194" i="2"/>
  <c r="X293" i="2"/>
  <c r="V387" i="2"/>
  <c r="R387" i="2"/>
  <c r="AR387" i="2"/>
  <c r="AN387" i="2"/>
  <c r="AO387" i="2"/>
  <c r="AP387" i="2"/>
  <c r="AS387" i="2"/>
  <c r="AQ387" i="2"/>
  <c r="AJ387" i="2"/>
  <c r="AF387" i="2"/>
  <c r="AB387" i="2"/>
  <c r="AK387" i="2"/>
  <c r="AG387" i="2"/>
  <c r="AC387" i="2"/>
  <c r="Y387" i="2"/>
  <c r="AL387" i="2"/>
  <c r="AH387" i="2"/>
  <c r="AD387" i="2"/>
  <c r="Z387" i="2"/>
  <c r="AM387" i="2"/>
  <c r="AI387" i="2"/>
  <c r="AE387" i="2"/>
  <c r="AA387" i="2"/>
  <c r="V292" i="2"/>
  <c r="R292" i="2"/>
  <c r="AQ292" i="2"/>
  <c r="AR292" i="2"/>
  <c r="AN292" i="2"/>
  <c r="AO292" i="2"/>
  <c r="AP292" i="2"/>
  <c r="AS292" i="2"/>
  <c r="AM292" i="2"/>
  <c r="AI292" i="2"/>
  <c r="AE292" i="2"/>
  <c r="AA292" i="2"/>
  <c r="AJ292" i="2"/>
  <c r="AF292" i="2"/>
  <c r="AB292" i="2"/>
  <c r="X292" i="2"/>
  <c r="AK292" i="2"/>
  <c r="AG292" i="2"/>
  <c r="AC292" i="2"/>
  <c r="Y292" i="2"/>
  <c r="AL292" i="2"/>
  <c r="AH292" i="2"/>
  <c r="AD292" i="2"/>
  <c r="Z292" i="2"/>
  <c r="R197" i="2"/>
  <c r="V197" i="2"/>
  <c r="AS197" i="2"/>
  <c r="AQ197" i="2"/>
  <c r="AN197" i="2"/>
  <c r="AO197" i="2"/>
  <c r="AP197" i="2"/>
  <c r="AM197" i="2"/>
  <c r="AI197" i="2"/>
  <c r="AE197" i="2"/>
  <c r="AA197" i="2"/>
  <c r="AJ197" i="2"/>
  <c r="AF197" i="2"/>
  <c r="AB197" i="2"/>
  <c r="X197" i="2"/>
  <c r="AK197" i="2"/>
  <c r="AG197" i="2"/>
  <c r="AC197" i="2"/>
  <c r="Y197" i="2"/>
  <c r="AL197" i="2"/>
  <c r="AH197" i="2"/>
  <c r="AD197" i="2"/>
  <c r="Z197" i="2"/>
  <c r="R189" i="2"/>
  <c r="V189" i="2"/>
  <c r="AS189" i="2"/>
  <c r="AQ189" i="2"/>
  <c r="AN189" i="2"/>
  <c r="AO189" i="2"/>
  <c r="AP189" i="2"/>
  <c r="AM189" i="2"/>
  <c r="AI189" i="2"/>
  <c r="AE189" i="2"/>
  <c r="AA189" i="2"/>
  <c r="AJ189" i="2"/>
  <c r="AF189" i="2"/>
  <c r="AB189" i="2"/>
  <c r="X189" i="2"/>
  <c r="AK189" i="2"/>
  <c r="AG189" i="2"/>
  <c r="AC189" i="2"/>
  <c r="Y189" i="2"/>
  <c r="AL189" i="2"/>
  <c r="AH189" i="2"/>
  <c r="AD189" i="2"/>
  <c r="Z189" i="2"/>
  <c r="V94" i="2"/>
  <c r="R94" i="2"/>
  <c r="AP94" i="2"/>
  <c r="AS94" i="2"/>
  <c r="AQ94" i="2"/>
  <c r="AN94" i="2"/>
  <c r="AO94" i="2"/>
  <c r="AR94" i="2"/>
  <c r="AL94" i="2"/>
  <c r="AH94" i="2"/>
  <c r="AD94" i="2"/>
  <c r="Z94" i="2"/>
  <c r="AI94" i="2"/>
  <c r="AE94" i="2"/>
  <c r="AA94" i="2"/>
  <c r="W94" i="2"/>
  <c r="AM94" i="2"/>
  <c r="AJ94" i="2"/>
  <c r="AF94" i="2"/>
  <c r="AB94" i="2"/>
  <c r="X94" i="2"/>
  <c r="AK94" i="2"/>
  <c r="AG94" i="2"/>
  <c r="AC94" i="2"/>
  <c r="Y94" i="2"/>
  <c r="V391" i="2"/>
  <c r="R391" i="2"/>
  <c r="AP391" i="2"/>
  <c r="AS391" i="2"/>
  <c r="AQ391" i="2"/>
  <c r="AR391" i="2"/>
  <c r="AN391" i="2"/>
  <c r="AO391" i="2"/>
  <c r="AL391" i="2"/>
  <c r="AH391" i="2"/>
  <c r="AD391" i="2"/>
  <c r="Z391" i="2"/>
  <c r="AM391" i="2"/>
  <c r="AI391" i="2"/>
  <c r="AE391" i="2"/>
  <c r="AA391" i="2"/>
  <c r="AJ391" i="2"/>
  <c r="AF391" i="2"/>
  <c r="AB391" i="2"/>
  <c r="AK391" i="2"/>
  <c r="AG391" i="2"/>
  <c r="AC391" i="2"/>
  <c r="Y391" i="2"/>
  <c r="V296" i="2"/>
  <c r="R296" i="2"/>
  <c r="AO296" i="2"/>
  <c r="AP296" i="2"/>
  <c r="AS296" i="2"/>
  <c r="AQ296" i="2"/>
  <c r="AR296" i="2"/>
  <c r="AN296" i="2"/>
  <c r="AK296" i="2"/>
  <c r="AG296" i="2"/>
  <c r="AC296" i="2"/>
  <c r="Y296" i="2"/>
  <c r="AL296" i="2"/>
  <c r="AH296" i="2"/>
  <c r="AD296" i="2"/>
  <c r="Z296" i="2"/>
  <c r="AM296" i="2"/>
  <c r="AI296" i="2"/>
  <c r="AE296" i="2"/>
  <c r="AA296" i="2"/>
  <c r="AJ296" i="2"/>
  <c r="AF296" i="2"/>
  <c r="AB296" i="2"/>
  <c r="X296" i="2"/>
  <c r="V288" i="2"/>
  <c r="R288" i="2"/>
  <c r="AO288" i="2"/>
  <c r="AP288" i="2"/>
  <c r="AS288" i="2"/>
  <c r="AQ288" i="2"/>
  <c r="AR288" i="2"/>
  <c r="AN288" i="2"/>
  <c r="AK288" i="2"/>
  <c r="AG288" i="2"/>
  <c r="AC288" i="2"/>
  <c r="Y288" i="2"/>
  <c r="AL288" i="2"/>
  <c r="AH288" i="2"/>
  <c r="AD288" i="2"/>
  <c r="Z288" i="2"/>
  <c r="AM288" i="2"/>
  <c r="AI288" i="2"/>
  <c r="AE288" i="2"/>
  <c r="AA288" i="2"/>
  <c r="AJ288" i="2"/>
  <c r="AF288" i="2"/>
  <c r="AB288" i="2"/>
  <c r="X288" i="2"/>
  <c r="V193" i="2"/>
  <c r="R193" i="2"/>
  <c r="AO193" i="2"/>
  <c r="AP193" i="2"/>
  <c r="AS193" i="2"/>
  <c r="AQ193" i="2"/>
  <c r="AN193" i="2"/>
  <c r="AK193" i="2"/>
  <c r="AG193" i="2"/>
  <c r="AC193" i="2"/>
  <c r="Y193" i="2"/>
  <c r="AL193" i="2"/>
  <c r="AH193" i="2"/>
  <c r="AD193" i="2"/>
  <c r="Z193" i="2"/>
  <c r="AM193" i="2"/>
  <c r="AI193" i="2"/>
  <c r="AE193" i="2"/>
  <c r="AA193" i="2"/>
  <c r="AJ193" i="2"/>
  <c r="AF193" i="2"/>
  <c r="AB193" i="2"/>
  <c r="X193" i="2"/>
  <c r="V98" i="2"/>
  <c r="R98" i="2"/>
  <c r="AN98" i="2"/>
  <c r="AO98" i="2"/>
  <c r="AR98" i="2"/>
  <c r="AP98" i="2"/>
  <c r="AS98" i="2"/>
  <c r="AQ98" i="2"/>
  <c r="AJ98" i="2"/>
  <c r="AF98" i="2"/>
  <c r="AB98" i="2"/>
  <c r="X98" i="2"/>
  <c r="AK98" i="2"/>
  <c r="AG98" i="2"/>
  <c r="AC98" i="2"/>
  <c r="Y98" i="2"/>
  <c r="AL98" i="2"/>
  <c r="AH98" i="2"/>
  <c r="AD98" i="2"/>
  <c r="Z98" i="2"/>
  <c r="AM98" i="2"/>
  <c r="AI98" i="2"/>
  <c r="AE98" i="2"/>
  <c r="AA98" i="2"/>
  <c r="W98" i="2"/>
  <c r="AP443" i="2"/>
  <c r="AL443" i="2"/>
  <c r="V443" i="2"/>
  <c r="AS443" i="2"/>
  <c r="AR443" i="2"/>
  <c r="AN443" i="2"/>
  <c r="AJ443" i="2"/>
  <c r="R443" i="2"/>
  <c r="AO443" i="2"/>
  <c r="AK443" i="2"/>
  <c r="AG443" i="2"/>
  <c r="AH443" i="2"/>
  <c r="AA443" i="2"/>
  <c r="AE443" i="2"/>
  <c r="AD443" i="2"/>
  <c r="W443" i="2"/>
  <c r="AF443" i="2"/>
  <c r="Z443" i="2"/>
  <c r="AM443" i="2"/>
  <c r="AC443" i="2"/>
  <c r="X443" i="2"/>
  <c r="AI443" i="2"/>
  <c r="Y443" i="2"/>
  <c r="AB443" i="2"/>
  <c r="AQ443" i="2"/>
  <c r="V245" i="2"/>
  <c r="AQ245" i="2"/>
  <c r="AM245" i="2"/>
  <c r="AI245" i="2"/>
  <c r="AO245" i="2"/>
  <c r="AK245" i="2"/>
  <c r="AG245" i="2"/>
  <c r="R245" i="2"/>
  <c r="AP245" i="2"/>
  <c r="AL245" i="2"/>
  <c r="AH245" i="2"/>
  <c r="AE245" i="2"/>
  <c r="AS245" i="2"/>
  <c r="Z245" i="2"/>
  <c r="AR245" i="2"/>
  <c r="AF245" i="2"/>
  <c r="AD245" i="2"/>
  <c r="X245" i="2"/>
  <c r="AN245" i="2"/>
  <c r="AC245" i="2"/>
  <c r="AJ245" i="2"/>
  <c r="Y245" i="2"/>
  <c r="AB245" i="2"/>
  <c r="AA245" i="2"/>
  <c r="W245" i="2"/>
  <c r="R46" i="2"/>
  <c r="V46" i="2"/>
  <c r="AE46" i="2"/>
  <c r="W46" i="2"/>
  <c r="V419" i="2"/>
  <c r="R419" i="2"/>
  <c r="AR419" i="2"/>
  <c r="AQ419" i="2"/>
  <c r="AP419" i="2"/>
  <c r="AS419" i="2"/>
  <c r="AO419" i="2"/>
  <c r="AN419" i="2"/>
  <c r="AM419" i="2"/>
  <c r="AL419" i="2"/>
  <c r="AK419" i="2"/>
  <c r="AJ419" i="2"/>
  <c r="AI419" i="2"/>
  <c r="AH419" i="2"/>
  <c r="AG419" i="2"/>
  <c r="AF419" i="2"/>
  <c r="AE419" i="2"/>
  <c r="AD419" i="2"/>
  <c r="AC419" i="2"/>
  <c r="AB419" i="2"/>
  <c r="AA419" i="2"/>
  <c r="Z419" i="2"/>
  <c r="Y419" i="2"/>
  <c r="X419" i="2"/>
  <c r="W419" i="2"/>
  <c r="R324" i="2"/>
  <c r="V324" i="2"/>
  <c r="AS324" i="2"/>
  <c r="AR324" i="2"/>
  <c r="AQ324" i="2"/>
  <c r="AP324" i="2"/>
  <c r="AO324" i="2"/>
  <c r="AN324" i="2"/>
  <c r="AM324" i="2"/>
  <c r="AL324" i="2"/>
  <c r="AK324" i="2"/>
  <c r="AJ324" i="2"/>
  <c r="AI324" i="2"/>
  <c r="AH324" i="2"/>
  <c r="AG324" i="2"/>
  <c r="AF324" i="2"/>
  <c r="AE324" i="2"/>
  <c r="AD324" i="2"/>
  <c r="AC324" i="2"/>
  <c r="AB324" i="2"/>
  <c r="AA324" i="2"/>
  <c r="Z324" i="2"/>
  <c r="Y324" i="2"/>
  <c r="X324" i="2"/>
  <c r="W324" i="2"/>
  <c r="R316" i="2"/>
  <c r="V316" i="2"/>
  <c r="AS316" i="2"/>
  <c r="AR316" i="2"/>
  <c r="AQ316" i="2"/>
  <c r="AP316" i="2"/>
  <c r="AO316" i="2"/>
  <c r="AN316" i="2"/>
  <c r="AM316" i="2"/>
  <c r="AL316" i="2"/>
  <c r="AK316" i="2"/>
  <c r="AJ316" i="2"/>
  <c r="AI316" i="2"/>
  <c r="AH316" i="2"/>
  <c r="AG316" i="2"/>
  <c r="AF316" i="2"/>
  <c r="AE316" i="2"/>
  <c r="AD316" i="2"/>
  <c r="AC316" i="2"/>
  <c r="AB316" i="2"/>
  <c r="AA316" i="2"/>
  <c r="Z316" i="2"/>
  <c r="Y316" i="2"/>
  <c r="X316" i="2"/>
  <c r="W316" i="2"/>
  <c r="V221" i="2"/>
  <c r="R221" i="2"/>
  <c r="AS221" i="2"/>
  <c r="AR221" i="2"/>
  <c r="AQ221" i="2"/>
  <c r="AP221" i="2"/>
  <c r="AO221" i="2"/>
  <c r="AN221" i="2"/>
  <c r="AM221" i="2"/>
  <c r="AL221" i="2"/>
  <c r="AK221" i="2"/>
  <c r="AJ221" i="2"/>
  <c r="AI221" i="2"/>
  <c r="AH221" i="2"/>
  <c r="AG221" i="2"/>
  <c r="AF221" i="2"/>
  <c r="AE221" i="2"/>
  <c r="AD221" i="2"/>
  <c r="AB221" i="2"/>
  <c r="AA221" i="2"/>
  <c r="Z221" i="2"/>
  <c r="Y221" i="2"/>
  <c r="X221" i="2"/>
  <c r="W221" i="2"/>
  <c r="AC221" i="2"/>
  <c r="V126" i="2"/>
  <c r="R126" i="2"/>
  <c r="AQ126" i="2"/>
  <c r="AP126" i="2"/>
  <c r="AO126" i="2"/>
  <c r="AN126" i="2"/>
  <c r="AS126" i="2"/>
  <c r="AM126" i="2"/>
  <c r="AL126" i="2"/>
  <c r="AK126" i="2"/>
  <c r="AJ126" i="2"/>
  <c r="AI126" i="2"/>
  <c r="AH126" i="2"/>
  <c r="AG126" i="2"/>
  <c r="AF126" i="2"/>
  <c r="AE126" i="2"/>
  <c r="AB126" i="2"/>
  <c r="AA126" i="2"/>
  <c r="Z126" i="2"/>
  <c r="Y126" i="2"/>
  <c r="X126" i="2"/>
  <c r="W126" i="2"/>
  <c r="AD126" i="2"/>
  <c r="AC126" i="2"/>
  <c r="V23" i="2"/>
  <c r="R23" i="2"/>
  <c r="AQ23" i="2"/>
  <c r="AP23" i="2"/>
  <c r="AO23" i="2"/>
  <c r="AN23" i="2"/>
  <c r="AM23" i="2"/>
  <c r="AR23" i="2"/>
  <c r="AS23" i="2"/>
  <c r="AL23" i="2"/>
  <c r="AK23" i="2"/>
  <c r="AJ23" i="2"/>
  <c r="AI23" i="2"/>
  <c r="AH23" i="2"/>
  <c r="AG23" i="2"/>
  <c r="AF23" i="2"/>
  <c r="AE23" i="2"/>
  <c r="AD23" i="2"/>
  <c r="AC23" i="2"/>
  <c r="AB23" i="2"/>
  <c r="AA23" i="2"/>
  <c r="Z23" i="2"/>
  <c r="Y23" i="2"/>
  <c r="X23" i="2"/>
  <c r="W23" i="2"/>
  <c r="AR196" i="2"/>
  <c r="AR127" i="2"/>
  <c r="AR119" i="2"/>
  <c r="W393" i="2"/>
  <c r="W297" i="2"/>
  <c r="W289" i="2"/>
  <c r="W193" i="2"/>
  <c r="X395" i="2"/>
  <c r="X291" i="2"/>
  <c r="F280" i="15"/>
  <c r="V390" i="2"/>
  <c r="R390" i="2"/>
  <c r="AP390" i="2"/>
  <c r="AS390" i="2"/>
  <c r="AQ390" i="2"/>
  <c r="AR390" i="2"/>
  <c r="AN390" i="2"/>
  <c r="AO390" i="2"/>
  <c r="AL390" i="2"/>
  <c r="AH390" i="2"/>
  <c r="AD390" i="2"/>
  <c r="Z390" i="2"/>
  <c r="AM390" i="2"/>
  <c r="AI390" i="2"/>
  <c r="AE390" i="2"/>
  <c r="AA390" i="2"/>
  <c r="AJ390" i="2"/>
  <c r="AF390" i="2"/>
  <c r="AB390" i="2"/>
  <c r="X390" i="2"/>
  <c r="AK390" i="2"/>
  <c r="AG390" i="2"/>
  <c r="AC390" i="2"/>
  <c r="Y390" i="2"/>
  <c r="R295" i="2"/>
  <c r="V295" i="2"/>
  <c r="AP295" i="2"/>
  <c r="AS295" i="2"/>
  <c r="AQ295" i="2"/>
  <c r="AR295" i="2"/>
  <c r="AN295" i="2"/>
  <c r="AO295" i="2"/>
  <c r="AL295" i="2"/>
  <c r="AH295" i="2"/>
  <c r="AD295" i="2"/>
  <c r="Z295" i="2"/>
  <c r="AM295" i="2"/>
  <c r="AI295" i="2"/>
  <c r="AE295" i="2"/>
  <c r="AA295" i="2"/>
  <c r="AJ295" i="2"/>
  <c r="AF295" i="2"/>
  <c r="AB295" i="2"/>
  <c r="AK295" i="2"/>
  <c r="AG295" i="2"/>
  <c r="AC295" i="2"/>
  <c r="Y295" i="2"/>
  <c r="Q300" i="2"/>
  <c r="Q539" i="2" s="1"/>
  <c r="V192" i="2"/>
  <c r="R192" i="2"/>
  <c r="AO192" i="2"/>
  <c r="AP192" i="2"/>
  <c r="AS192" i="2"/>
  <c r="AQ192" i="2"/>
  <c r="AN192" i="2"/>
  <c r="AK192" i="2"/>
  <c r="AG192" i="2"/>
  <c r="AC192" i="2"/>
  <c r="Y192" i="2"/>
  <c r="AL192" i="2"/>
  <c r="AH192" i="2"/>
  <c r="AD192" i="2"/>
  <c r="Z192" i="2"/>
  <c r="AM192" i="2"/>
  <c r="AI192" i="2"/>
  <c r="AE192" i="2"/>
  <c r="AA192" i="2"/>
  <c r="AJ192" i="2"/>
  <c r="AF192" i="2"/>
  <c r="AB192" i="2"/>
  <c r="X192" i="2"/>
  <c r="R97" i="2"/>
  <c r="V97" i="2"/>
  <c r="AO97" i="2"/>
  <c r="AR97" i="2"/>
  <c r="AP97" i="2"/>
  <c r="AS97" i="2"/>
  <c r="AQ97" i="2"/>
  <c r="AN97" i="2"/>
  <c r="AK97" i="2"/>
  <c r="AG97" i="2"/>
  <c r="AC97" i="2"/>
  <c r="Y97" i="2"/>
  <c r="AL97" i="2"/>
  <c r="AH97" i="2"/>
  <c r="AD97" i="2"/>
  <c r="Z97" i="2"/>
  <c r="AM97" i="2"/>
  <c r="AI97" i="2"/>
  <c r="AE97" i="2"/>
  <c r="AA97" i="2"/>
  <c r="AJ97" i="2"/>
  <c r="AF97" i="2"/>
  <c r="AB97" i="2"/>
  <c r="X97" i="2"/>
  <c r="AP442" i="2"/>
  <c r="AL442" i="2"/>
  <c r="V442" i="2"/>
  <c r="AQ442" i="2"/>
  <c r="AM442" i="2"/>
  <c r="AI442" i="2"/>
  <c r="AS442" i="2"/>
  <c r="AR442" i="2"/>
  <c r="AD442" i="2"/>
  <c r="R442" i="2"/>
  <c r="AO442" i="2"/>
  <c r="AK442" i="2"/>
  <c r="AE442" i="2"/>
  <c r="W442" i="2"/>
  <c r="AG442" i="2"/>
  <c r="AF442" i="2"/>
  <c r="Z442" i="2"/>
  <c r="AC442" i="2"/>
  <c r="X442" i="2"/>
  <c r="Y442" i="2"/>
  <c r="AB442" i="2"/>
  <c r="AN442" i="2"/>
  <c r="AJ442" i="2"/>
  <c r="AH442" i="2"/>
  <c r="AA442" i="2"/>
  <c r="V244" i="2"/>
  <c r="AQ244" i="2"/>
  <c r="AM244" i="2"/>
  <c r="AI244" i="2"/>
  <c r="AS244" i="2"/>
  <c r="AR244" i="2"/>
  <c r="AN244" i="2"/>
  <c r="AJ244" i="2"/>
  <c r="AB244" i="2"/>
  <c r="R244" i="2"/>
  <c r="AP244" i="2"/>
  <c r="AL244" i="2"/>
  <c r="Z244" i="2"/>
  <c r="AF244" i="2"/>
  <c r="AE244" i="2"/>
  <c r="AD244" i="2"/>
  <c r="X244" i="2"/>
  <c r="AH244" i="2"/>
  <c r="AG244" i="2"/>
  <c r="AC244" i="2"/>
  <c r="Y244" i="2"/>
  <c r="AO244" i="2"/>
  <c r="AA244" i="2"/>
  <c r="W244" i="2"/>
  <c r="AK244" i="2"/>
  <c r="Y45" i="2"/>
  <c r="AQ45" i="2"/>
  <c r="AM45" i="2"/>
  <c r="AI45" i="2"/>
  <c r="R45" i="2"/>
  <c r="AO45" i="2"/>
  <c r="AG45" i="2"/>
  <c r="AK45" i="2"/>
  <c r="AB45" i="2"/>
  <c r="R426" i="2"/>
  <c r="V426" i="2"/>
  <c r="AS426" i="2"/>
  <c r="AR426" i="2"/>
  <c r="AQ426" i="2"/>
  <c r="AP426" i="2"/>
  <c r="AO426" i="2"/>
  <c r="AN426" i="2"/>
  <c r="AM426" i="2"/>
  <c r="AL426" i="2"/>
  <c r="AK426" i="2"/>
  <c r="AJ426" i="2"/>
  <c r="AI426" i="2"/>
  <c r="AH426" i="2"/>
  <c r="AG426" i="2"/>
  <c r="AF426" i="2"/>
  <c r="AE426" i="2"/>
  <c r="AD426" i="2"/>
  <c r="AC426" i="2"/>
  <c r="AB426" i="2"/>
  <c r="AA426" i="2"/>
  <c r="Z426" i="2"/>
  <c r="Y426" i="2"/>
  <c r="X426" i="2"/>
  <c r="W426" i="2"/>
  <c r="R418" i="2"/>
  <c r="V418" i="2"/>
  <c r="AS418" i="2"/>
  <c r="AR418" i="2"/>
  <c r="AQ418" i="2"/>
  <c r="AP418" i="2"/>
  <c r="AO418" i="2"/>
  <c r="AN418" i="2"/>
  <c r="AM418" i="2"/>
  <c r="AL418" i="2"/>
  <c r="AK418" i="2"/>
  <c r="AJ418" i="2"/>
  <c r="AI418" i="2"/>
  <c r="AH418" i="2"/>
  <c r="AG418" i="2"/>
  <c r="AF418" i="2"/>
  <c r="AE418" i="2"/>
  <c r="AD418" i="2"/>
  <c r="AC418" i="2"/>
  <c r="AB418" i="2"/>
  <c r="AA418" i="2"/>
  <c r="Z418" i="2"/>
  <c r="Y418" i="2"/>
  <c r="X418" i="2"/>
  <c r="W418" i="2"/>
  <c r="AQ410" i="2"/>
  <c r="R323" i="2"/>
  <c r="V323" i="2"/>
  <c r="AS323" i="2"/>
  <c r="AR323" i="2"/>
  <c r="AQ323" i="2"/>
  <c r="AP323" i="2"/>
  <c r="AO323" i="2"/>
  <c r="AN323" i="2"/>
  <c r="AM323" i="2"/>
  <c r="AL323" i="2"/>
  <c r="AK323" i="2"/>
  <c r="AJ323" i="2"/>
  <c r="AI323" i="2"/>
  <c r="AH323" i="2"/>
  <c r="AG323" i="2"/>
  <c r="AF323" i="2"/>
  <c r="AE323" i="2"/>
  <c r="AD323" i="2"/>
  <c r="AC323" i="2"/>
  <c r="AB323" i="2"/>
  <c r="AA323" i="2"/>
  <c r="Z323" i="2"/>
  <c r="Y323" i="2"/>
  <c r="X323" i="2"/>
  <c r="W323" i="2"/>
  <c r="R315" i="2"/>
  <c r="V315" i="2"/>
  <c r="AS315" i="2"/>
  <c r="AR315" i="2"/>
  <c r="AQ315" i="2"/>
  <c r="AP315" i="2"/>
  <c r="AO315" i="2"/>
  <c r="AN315" i="2"/>
  <c r="AM315" i="2"/>
  <c r="AL315" i="2"/>
  <c r="AK315" i="2"/>
  <c r="AJ315" i="2"/>
  <c r="AI315" i="2"/>
  <c r="AH315" i="2"/>
  <c r="AG315" i="2"/>
  <c r="AF315" i="2"/>
  <c r="AE315" i="2"/>
  <c r="AD315" i="2"/>
  <c r="AC315" i="2"/>
  <c r="AB315" i="2"/>
  <c r="AA315" i="2"/>
  <c r="Z315" i="2"/>
  <c r="Y315" i="2"/>
  <c r="X315" i="2"/>
  <c r="W315" i="2"/>
  <c r="V228" i="2"/>
  <c r="R228" i="2"/>
  <c r="AS228" i="2"/>
  <c r="AR228" i="2"/>
  <c r="AQ228" i="2"/>
  <c r="AP228" i="2"/>
  <c r="AO228" i="2"/>
  <c r="AN228" i="2"/>
  <c r="AM228" i="2"/>
  <c r="AL228" i="2"/>
  <c r="AK228" i="2"/>
  <c r="AJ228" i="2"/>
  <c r="AI228" i="2"/>
  <c r="AH228" i="2"/>
  <c r="AG228" i="2"/>
  <c r="AF228" i="2"/>
  <c r="AE228" i="2"/>
  <c r="AD228" i="2"/>
  <c r="AC228" i="2"/>
  <c r="AB228" i="2"/>
  <c r="AA228" i="2"/>
  <c r="Z228" i="2"/>
  <c r="Y228" i="2"/>
  <c r="X228" i="2"/>
  <c r="W228" i="2"/>
  <c r="V220" i="2"/>
  <c r="R220" i="2"/>
  <c r="AS220" i="2"/>
  <c r="AR220" i="2"/>
  <c r="AQ220" i="2"/>
  <c r="AP220" i="2"/>
  <c r="AO220" i="2"/>
  <c r="AN220" i="2"/>
  <c r="AM220" i="2"/>
  <c r="AL220" i="2"/>
  <c r="AK220" i="2"/>
  <c r="AJ220" i="2"/>
  <c r="AI220" i="2"/>
  <c r="AH220" i="2"/>
  <c r="AG220" i="2"/>
  <c r="AF220" i="2"/>
  <c r="AE220" i="2"/>
  <c r="AD220" i="2"/>
  <c r="AB220" i="2"/>
  <c r="AA220" i="2"/>
  <c r="Z220" i="2"/>
  <c r="Y220" i="2"/>
  <c r="X220" i="2"/>
  <c r="W220" i="2"/>
  <c r="AC220" i="2"/>
  <c r="V125" i="2"/>
  <c r="R125" i="2"/>
  <c r="AQ125" i="2"/>
  <c r="AP125" i="2"/>
  <c r="AO125" i="2"/>
  <c r="AN125" i="2"/>
  <c r="AS125" i="2"/>
  <c r="AL125" i="2"/>
  <c r="AK125" i="2"/>
  <c r="AJ125" i="2"/>
  <c r="AI125" i="2"/>
  <c r="AH125" i="2"/>
  <c r="AG125" i="2"/>
  <c r="AF125" i="2"/>
  <c r="AE125" i="2"/>
  <c r="AD125" i="2"/>
  <c r="AC125" i="2"/>
  <c r="AM125" i="2"/>
  <c r="AB125" i="2"/>
  <c r="AA125" i="2"/>
  <c r="Z125" i="2"/>
  <c r="Y125" i="2"/>
  <c r="X125" i="2"/>
  <c r="W125" i="2"/>
  <c r="V30" i="2"/>
  <c r="R30" i="2"/>
  <c r="AQ30" i="2"/>
  <c r="AP30" i="2"/>
  <c r="AO30" i="2"/>
  <c r="AN30" i="2"/>
  <c r="AR30" i="2"/>
  <c r="AS30" i="2"/>
  <c r="AM30" i="2"/>
  <c r="AL30" i="2"/>
  <c r="AK30" i="2"/>
  <c r="AJ30" i="2"/>
  <c r="AI30" i="2"/>
  <c r="AH30" i="2"/>
  <c r="AG30" i="2"/>
  <c r="AF30" i="2"/>
  <c r="AE30" i="2"/>
  <c r="AB30" i="2"/>
  <c r="AA30" i="2"/>
  <c r="Z30" i="2"/>
  <c r="Y30" i="2"/>
  <c r="X30" i="2"/>
  <c r="W30" i="2"/>
  <c r="AD30" i="2"/>
  <c r="AC30" i="2"/>
  <c r="V22" i="2"/>
  <c r="R22" i="2"/>
  <c r="AQ22" i="2"/>
  <c r="AP22" i="2"/>
  <c r="AO22" i="2"/>
  <c r="AN22" i="2"/>
  <c r="AR22" i="2"/>
  <c r="AS22" i="2"/>
  <c r="AM22" i="2"/>
  <c r="AL22" i="2"/>
  <c r="AK22" i="2"/>
  <c r="AJ22" i="2"/>
  <c r="AI22" i="2"/>
  <c r="AH22" i="2"/>
  <c r="AG22" i="2"/>
  <c r="AF22" i="2"/>
  <c r="AE22" i="2"/>
  <c r="AD22" i="2"/>
  <c r="AC22" i="2"/>
  <c r="AB22" i="2"/>
  <c r="AA22" i="2"/>
  <c r="Z22" i="2"/>
  <c r="Y22" i="2"/>
  <c r="X22" i="2"/>
  <c r="W22" i="2"/>
  <c r="AR195" i="2"/>
  <c r="AR147" i="2"/>
  <c r="AR126" i="2"/>
  <c r="W392" i="2"/>
  <c r="W296" i="2"/>
  <c r="W288" i="2"/>
  <c r="W192" i="2"/>
  <c r="W95" i="2"/>
  <c r="X393" i="2"/>
  <c r="R561" i="2"/>
  <c r="F148" i="15"/>
  <c r="Q399" i="2"/>
  <c r="Q540" i="2" s="1"/>
  <c r="V397" i="2"/>
  <c r="R397" i="2"/>
  <c r="AS397" i="2"/>
  <c r="AQ397" i="2"/>
  <c r="AR397" i="2"/>
  <c r="AN397" i="2"/>
  <c r="AO397" i="2"/>
  <c r="AP397" i="2"/>
  <c r="AM397" i="2"/>
  <c r="AI397" i="2"/>
  <c r="AE397" i="2"/>
  <c r="AA397" i="2"/>
  <c r="AJ397" i="2"/>
  <c r="AF397" i="2"/>
  <c r="AB397" i="2"/>
  <c r="AK397" i="2"/>
  <c r="AG397" i="2"/>
  <c r="AC397" i="2"/>
  <c r="Y397" i="2"/>
  <c r="AL397" i="2"/>
  <c r="AH397" i="2"/>
  <c r="AD397" i="2"/>
  <c r="Z397" i="2"/>
  <c r="V389" i="2"/>
  <c r="R389" i="2"/>
  <c r="AS389" i="2"/>
  <c r="AQ389" i="2"/>
  <c r="AR389" i="2"/>
  <c r="AN389" i="2"/>
  <c r="AO389" i="2"/>
  <c r="AP389" i="2"/>
  <c r="AM389" i="2"/>
  <c r="AI389" i="2"/>
  <c r="AE389" i="2"/>
  <c r="AA389" i="2"/>
  <c r="AJ389" i="2"/>
  <c r="AF389" i="2"/>
  <c r="AB389" i="2"/>
  <c r="AK389" i="2"/>
  <c r="AG389" i="2"/>
  <c r="AC389" i="2"/>
  <c r="Y389" i="2"/>
  <c r="AL389" i="2"/>
  <c r="AH389" i="2"/>
  <c r="AD389" i="2"/>
  <c r="Z389" i="2"/>
  <c r="R294" i="2"/>
  <c r="V294" i="2"/>
  <c r="AP294" i="2"/>
  <c r="AS294" i="2"/>
  <c r="AQ294" i="2"/>
  <c r="AR294" i="2"/>
  <c r="AN294" i="2"/>
  <c r="AO294" i="2"/>
  <c r="AL294" i="2"/>
  <c r="AH294" i="2"/>
  <c r="AD294" i="2"/>
  <c r="Z294" i="2"/>
  <c r="AM294" i="2"/>
  <c r="AI294" i="2"/>
  <c r="AE294" i="2"/>
  <c r="AA294" i="2"/>
  <c r="AJ294" i="2"/>
  <c r="AF294" i="2"/>
  <c r="AB294" i="2"/>
  <c r="X294" i="2"/>
  <c r="AK294" i="2"/>
  <c r="AG294" i="2"/>
  <c r="AC294" i="2"/>
  <c r="Y294" i="2"/>
  <c r="V199" i="2"/>
  <c r="R199" i="2"/>
  <c r="AP199" i="2"/>
  <c r="AS199" i="2"/>
  <c r="AQ199" i="2"/>
  <c r="AN199" i="2"/>
  <c r="AO199" i="2"/>
  <c r="AL199" i="2"/>
  <c r="AH199" i="2"/>
  <c r="AD199" i="2"/>
  <c r="Z199" i="2"/>
  <c r="AM199" i="2"/>
  <c r="AI199" i="2"/>
  <c r="AE199" i="2"/>
  <c r="AA199" i="2"/>
  <c r="AJ199" i="2"/>
  <c r="AF199" i="2"/>
  <c r="AB199" i="2"/>
  <c r="AK199" i="2"/>
  <c r="AG199" i="2"/>
  <c r="AC199" i="2"/>
  <c r="Y199" i="2"/>
  <c r="V191" i="2"/>
  <c r="R191" i="2"/>
  <c r="AP191" i="2"/>
  <c r="AS191" i="2"/>
  <c r="AQ191" i="2"/>
  <c r="AN191" i="2"/>
  <c r="AO191" i="2"/>
  <c r="AL191" i="2"/>
  <c r="AH191" i="2"/>
  <c r="AD191" i="2"/>
  <c r="Z191" i="2"/>
  <c r="AM191" i="2"/>
  <c r="AI191" i="2"/>
  <c r="AE191" i="2"/>
  <c r="AA191" i="2"/>
  <c r="AJ191" i="2"/>
  <c r="AF191" i="2"/>
  <c r="AB191" i="2"/>
  <c r="X191" i="2"/>
  <c r="AK191" i="2"/>
  <c r="AG191" i="2"/>
  <c r="AC191" i="2"/>
  <c r="Y191" i="2"/>
  <c r="R96" i="2"/>
  <c r="V96" i="2"/>
  <c r="AO96" i="2"/>
  <c r="AR96" i="2"/>
  <c r="AP96" i="2"/>
  <c r="AS96" i="2"/>
  <c r="AQ96" i="2"/>
  <c r="AM96" i="2"/>
  <c r="AN96" i="2"/>
  <c r="AK96" i="2"/>
  <c r="AG96" i="2"/>
  <c r="AC96" i="2"/>
  <c r="Y96" i="2"/>
  <c r="AL96" i="2"/>
  <c r="AH96" i="2"/>
  <c r="AD96" i="2"/>
  <c r="Z96" i="2"/>
  <c r="AI96" i="2"/>
  <c r="AE96" i="2"/>
  <c r="AA96" i="2"/>
  <c r="AJ96" i="2"/>
  <c r="AF96" i="2"/>
  <c r="AB96" i="2"/>
  <c r="X96" i="2"/>
  <c r="X461" i="2"/>
  <c r="V441" i="2"/>
  <c r="AQ441" i="2"/>
  <c r="AM441" i="2"/>
  <c r="AI441" i="2"/>
  <c r="R441" i="2"/>
  <c r="AO441" i="2"/>
  <c r="AK441" i="2"/>
  <c r="AG441" i="2"/>
  <c r="AP441" i="2"/>
  <c r="AL441" i="2"/>
  <c r="AH441" i="2"/>
  <c r="AE441" i="2"/>
  <c r="AF441" i="2"/>
  <c r="AD441" i="2"/>
  <c r="Z441" i="2"/>
  <c r="AS441" i="2"/>
  <c r="AC441" i="2"/>
  <c r="X441" i="2"/>
  <c r="AR441" i="2"/>
  <c r="Y441" i="2"/>
  <c r="AB441" i="2"/>
  <c r="AN441" i="2"/>
  <c r="AJ441" i="2"/>
  <c r="AA441" i="2"/>
  <c r="W441" i="2"/>
  <c r="R346" i="2"/>
  <c r="AS346" i="2"/>
  <c r="AR346" i="2"/>
  <c r="AN346" i="2"/>
  <c r="AJ346" i="2"/>
  <c r="AP346" i="2"/>
  <c r="AL346" i="2"/>
  <c r="AH346" i="2"/>
  <c r="AE346" i="2"/>
  <c r="BD346" i="2" s="1"/>
  <c r="Z346" i="2"/>
  <c r="V346" i="2"/>
  <c r="AQ346" i="2"/>
  <c r="AM346" i="2"/>
  <c r="AI346" i="2"/>
  <c r="AK346" i="2"/>
  <c r="AC346" i="2"/>
  <c r="X346" i="2"/>
  <c r="AW346" i="2" s="1"/>
  <c r="Y346" i="2"/>
  <c r="AB346" i="2"/>
  <c r="AA346" i="2"/>
  <c r="W346" i="2"/>
  <c r="AF346" i="2"/>
  <c r="AD346" i="2"/>
  <c r="AO346" i="2"/>
  <c r="AG346" i="2"/>
  <c r="BF346" i="2" s="1"/>
  <c r="AS243" i="2"/>
  <c r="AR243" i="2"/>
  <c r="AN243" i="2"/>
  <c r="AJ243" i="2"/>
  <c r="R243" i="2"/>
  <c r="AP243" i="2"/>
  <c r="AL243" i="2"/>
  <c r="AH243" i="2"/>
  <c r="AE243" i="2"/>
  <c r="Z243" i="2"/>
  <c r="V243" i="2"/>
  <c r="AQ243" i="2"/>
  <c r="AM243" i="2"/>
  <c r="AI243" i="2"/>
  <c r="AF243" i="2"/>
  <c r="AD243" i="2"/>
  <c r="X243" i="2"/>
  <c r="AG243" i="2"/>
  <c r="AC243" i="2"/>
  <c r="Y243" i="2"/>
  <c r="AB243" i="2"/>
  <c r="AO243" i="2"/>
  <c r="AA243" i="2"/>
  <c r="W243" i="2"/>
  <c r="AK243" i="2"/>
  <c r="AS148" i="2"/>
  <c r="AN148" i="2"/>
  <c r="AJ148" i="2"/>
  <c r="R148" i="2"/>
  <c r="AO148" i="2"/>
  <c r="AK148" i="2"/>
  <c r="AP148" i="2"/>
  <c r="V148" i="2"/>
  <c r="AQ148" i="2"/>
  <c r="AM148" i="2"/>
  <c r="AI148" i="2"/>
  <c r="AF148" i="2"/>
  <c r="AL148" i="2"/>
  <c r="AG148" i="2"/>
  <c r="AE148" i="2"/>
  <c r="AC148" i="2"/>
  <c r="AH148" i="2"/>
  <c r="Y148" i="2"/>
  <c r="AB148" i="2"/>
  <c r="AA148" i="2"/>
  <c r="W148" i="2"/>
  <c r="AD148" i="2"/>
  <c r="Z148" i="2"/>
  <c r="X148" i="2"/>
  <c r="AR44" i="2"/>
  <c r="Y44" i="2"/>
  <c r="R425" i="2"/>
  <c r="V425" i="2"/>
  <c r="AS425" i="2"/>
  <c r="AR425" i="2"/>
  <c r="AQ425" i="2"/>
  <c r="AP425" i="2"/>
  <c r="AO425" i="2"/>
  <c r="AM425" i="2"/>
  <c r="AL425" i="2"/>
  <c r="AK425" i="2"/>
  <c r="AJ425" i="2"/>
  <c r="AI425" i="2"/>
  <c r="AH425" i="2"/>
  <c r="AG425" i="2"/>
  <c r="AF425" i="2"/>
  <c r="AE425" i="2"/>
  <c r="AD425" i="2"/>
  <c r="AN425" i="2"/>
  <c r="AC425" i="2"/>
  <c r="AB425" i="2"/>
  <c r="AA425" i="2"/>
  <c r="Z425" i="2"/>
  <c r="Y425" i="2"/>
  <c r="X425" i="2"/>
  <c r="W425" i="2"/>
  <c r="R417" i="2"/>
  <c r="V417" i="2"/>
  <c r="AS417" i="2"/>
  <c r="AR417" i="2"/>
  <c r="AQ417" i="2"/>
  <c r="AP417" i="2"/>
  <c r="AO417" i="2"/>
  <c r="AN417" i="2"/>
  <c r="AM417" i="2"/>
  <c r="AL417" i="2"/>
  <c r="AK417" i="2"/>
  <c r="AJ417" i="2"/>
  <c r="AI417" i="2"/>
  <c r="AH417" i="2"/>
  <c r="AG417" i="2"/>
  <c r="AF417" i="2"/>
  <c r="AE417" i="2"/>
  <c r="AD417" i="2"/>
  <c r="AC417" i="2"/>
  <c r="AB417" i="2"/>
  <c r="AA417" i="2"/>
  <c r="Z417" i="2"/>
  <c r="Y417" i="2"/>
  <c r="X417" i="2"/>
  <c r="W417" i="2"/>
  <c r="V322" i="2"/>
  <c r="R322" i="2"/>
  <c r="AS322" i="2"/>
  <c r="AR322" i="2"/>
  <c r="AQ322" i="2"/>
  <c r="AP322" i="2"/>
  <c r="AO322" i="2"/>
  <c r="AN322" i="2"/>
  <c r="AM322" i="2"/>
  <c r="AL322" i="2"/>
  <c r="AK322" i="2"/>
  <c r="AJ322" i="2"/>
  <c r="AI322" i="2"/>
  <c r="AH322" i="2"/>
  <c r="AG322" i="2"/>
  <c r="AF322" i="2"/>
  <c r="AE322" i="2"/>
  <c r="AD322" i="2"/>
  <c r="AC322" i="2"/>
  <c r="AB322" i="2"/>
  <c r="AA322" i="2"/>
  <c r="Z322" i="2"/>
  <c r="Y322" i="2"/>
  <c r="X322" i="2"/>
  <c r="W322" i="2"/>
  <c r="R314" i="2"/>
  <c r="AR314" i="2"/>
  <c r="AQ314" i="2"/>
  <c r="AP314" i="2"/>
  <c r="AO314" i="2"/>
  <c r="AN314" i="2"/>
  <c r="AM314" i="2"/>
  <c r="AL314" i="2"/>
  <c r="AK314" i="2"/>
  <c r="AJ314" i="2"/>
  <c r="AI314" i="2"/>
  <c r="AH314" i="2"/>
  <c r="AG314" i="2"/>
  <c r="AF314" i="2"/>
  <c r="AE314" i="2"/>
  <c r="AD314" i="2"/>
  <c r="AC314" i="2"/>
  <c r="AB314" i="2"/>
  <c r="AA314" i="2"/>
  <c r="Z314" i="2"/>
  <c r="Y314" i="2"/>
  <c r="X314" i="2"/>
  <c r="W314" i="2"/>
  <c r="V227" i="2"/>
  <c r="R227" i="2"/>
  <c r="AR227" i="2"/>
  <c r="AQ227" i="2"/>
  <c r="AP227" i="2"/>
  <c r="AO227" i="2"/>
  <c r="AN227" i="2"/>
  <c r="AS227" i="2"/>
  <c r="AM227" i="2"/>
  <c r="AL227" i="2"/>
  <c r="AK227" i="2"/>
  <c r="AJ227" i="2"/>
  <c r="AI227" i="2"/>
  <c r="AH227" i="2"/>
  <c r="AG227" i="2"/>
  <c r="AF227" i="2"/>
  <c r="AE227" i="2"/>
  <c r="AD227" i="2"/>
  <c r="AC227" i="2"/>
  <c r="AB227" i="2"/>
  <c r="AA227" i="2"/>
  <c r="Z227" i="2"/>
  <c r="Y227" i="2"/>
  <c r="X227" i="2"/>
  <c r="W227" i="2"/>
  <c r="V219" i="2"/>
  <c r="R219" i="2"/>
  <c r="AR219" i="2"/>
  <c r="AQ219" i="2"/>
  <c r="AP219" i="2"/>
  <c r="AO219" i="2"/>
  <c r="AN219" i="2"/>
  <c r="AS219" i="2"/>
  <c r="AM219" i="2"/>
  <c r="AL219" i="2"/>
  <c r="AK219" i="2"/>
  <c r="AJ219" i="2"/>
  <c r="AI219" i="2"/>
  <c r="AH219" i="2"/>
  <c r="AG219" i="2"/>
  <c r="AF219" i="2"/>
  <c r="AE219" i="2"/>
  <c r="AD219" i="2"/>
  <c r="AC219" i="2"/>
  <c r="AB219" i="2"/>
  <c r="AA219" i="2"/>
  <c r="Z219" i="2"/>
  <c r="Y219" i="2"/>
  <c r="X219" i="2"/>
  <c r="W219" i="2"/>
  <c r="V124" i="2"/>
  <c r="R124" i="2"/>
  <c r="AQ124" i="2"/>
  <c r="AP124" i="2"/>
  <c r="AO124" i="2"/>
  <c r="AS124" i="2"/>
  <c r="AL124" i="2"/>
  <c r="AK124" i="2"/>
  <c r="AJ124" i="2"/>
  <c r="AI124" i="2"/>
  <c r="AH124" i="2"/>
  <c r="AG124" i="2"/>
  <c r="AF124" i="2"/>
  <c r="AE124" i="2"/>
  <c r="AD124" i="2"/>
  <c r="AC124" i="2"/>
  <c r="AN124" i="2"/>
  <c r="AM124" i="2"/>
  <c r="AB124" i="2"/>
  <c r="AA124" i="2"/>
  <c r="Z124" i="2"/>
  <c r="Y124" i="2"/>
  <c r="X124" i="2"/>
  <c r="W124" i="2"/>
  <c r="R29" i="2"/>
  <c r="V29" i="2"/>
  <c r="AQ29" i="2"/>
  <c r="AP29" i="2"/>
  <c r="AO29" i="2"/>
  <c r="AN29" i="2"/>
  <c r="AR29" i="2"/>
  <c r="AS29" i="2"/>
  <c r="AM29" i="2"/>
  <c r="BL29" i="2" s="1"/>
  <c r="AL29" i="2"/>
  <c r="AK29" i="2"/>
  <c r="AJ29" i="2"/>
  <c r="AI29" i="2"/>
  <c r="AH29" i="2"/>
  <c r="AG29" i="2"/>
  <c r="AF29" i="2"/>
  <c r="AE29" i="2"/>
  <c r="BD29" i="2" s="1"/>
  <c r="AD29" i="2"/>
  <c r="AC29" i="2"/>
  <c r="AB29" i="2"/>
  <c r="AA29" i="2"/>
  <c r="Z29" i="2"/>
  <c r="Y29" i="2"/>
  <c r="X29" i="2"/>
  <c r="W29" i="2"/>
  <c r="AV29" i="2" s="1"/>
  <c r="R21" i="2"/>
  <c r="V21" i="2"/>
  <c r="AQ21" i="2"/>
  <c r="AP21" i="2"/>
  <c r="AO21" i="2"/>
  <c r="AN21" i="2"/>
  <c r="AR21" i="2"/>
  <c r="AS21" i="2"/>
  <c r="AM21" i="2"/>
  <c r="AL21" i="2"/>
  <c r="AK21" i="2"/>
  <c r="AJ21" i="2"/>
  <c r="AI21" i="2"/>
  <c r="AH21" i="2"/>
  <c r="AG21" i="2"/>
  <c r="AF21" i="2"/>
  <c r="AE21" i="2"/>
  <c r="AD21" i="2"/>
  <c r="AC21" i="2"/>
  <c r="AB21" i="2"/>
  <c r="AA21" i="2"/>
  <c r="Z21" i="2"/>
  <c r="Y21" i="2"/>
  <c r="X21" i="2"/>
  <c r="W21" i="2"/>
  <c r="AR194" i="2"/>
  <c r="AR146" i="2"/>
  <c r="AR125" i="2"/>
  <c r="W391" i="2"/>
  <c r="W295" i="2"/>
  <c r="W199" i="2"/>
  <c r="W191" i="2"/>
  <c r="W93" i="2"/>
  <c r="X391" i="2"/>
  <c r="X195" i="2"/>
  <c r="F145" i="35"/>
  <c r="T145" i="35" s="1"/>
  <c r="BA258" i="5"/>
  <c r="BL297" i="5"/>
  <c r="BM441" i="5"/>
  <c r="BK476" i="5"/>
  <c r="BL165" i="5"/>
  <c r="BL441" i="5"/>
  <c r="BM16" i="5"/>
  <c r="BM267" i="5"/>
  <c r="BN395" i="5"/>
  <c r="BN292" i="5"/>
  <c r="BN197" i="5"/>
  <c r="BN180" i="5"/>
  <c r="BO490" i="5"/>
  <c r="BO395" i="5"/>
  <c r="BO292" i="5"/>
  <c r="BO197" i="5"/>
  <c r="BO188" i="5"/>
  <c r="BR375" i="5"/>
  <c r="BR180" i="5"/>
  <c r="BR279" i="5"/>
  <c r="S279" i="5"/>
  <c r="AW57" i="5"/>
  <c r="BP57" i="5"/>
  <c r="BQ75" i="5"/>
  <c r="BQ67" i="5"/>
  <c r="BF470" i="5"/>
  <c r="BG489" i="5"/>
  <c r="BG188" i="5"/>
  <c r="BG179" i="5"/>
  <c r="BH267" i="5"/>
  <c r="BL173" i="5"/>
  <c r="BM476" i="5"/>
  <c r="BM468" i="5"/>
  <c r="BN188" i="5"/>
  <c r="BN93" i="5"/>
  <c r="BN179" i="5"/>
  <c r="BN443" i="5"/>
  <c r="BO489" i="5"/>
  <c r="BO394" i="5"/>
  <c r="BO291" i="5"/>
  <c r="BO196" i="5"/>
  <c r="BO165" i="5"/>
  <c r="BP16" i="5"/>
  <c r="BP476" i="5"/>
  <c r="BP460" i="5"/>
  <c r="BP267" i="5"/>
  <c r="BP73" i="5"/>
  <c r="BP243" i="5"/>
  <c r="BR490" i="5"/>
  <c r="BR395" i="5"/>
  <c r="BR197" i="5"/>
  <c r="BR374" i="5"/>
  <c r="BR179" i="5"/>
  <c r="AX111" i="5"/>
  <c r="AX16" i="5"/>
  <c r="AW173" i="5"/>
  <c r="BQ57" i="5"/>
  <c r="BE472" i="5"/>
  <c r="BF173" i="5"/>
  <c r="BH197" i="5"/>
  <c r="BJ487" i="5"/>
  <c r="BJ392" i="5"/>
  <c r="BJ297" i="5"/>
  <c r="BJ194" i="5"/>
  <c r="BJ472" i="5"/>
  <c r="BJ147" i="5"/>
  <c r="BK291" i="5"/>
  <c r="BK196" i="5"/>
  <c r="BK179" i="5"/>
  <c r="BM243" i="5"/>
  <c r="BO472" i="5"/>
  <c r="BO464" i="5"/>
  <c r="BO279" i="5"/>
  <c r="BP375" i="5"/>
  <c r="BR489" i="5"/>
  <c r="BR291" i="5"/>
  <c r="BR196" i="5"/>
  <c r="AX415" i="5"/>
  <c r="AW23" i="5"/>
  <c r="BD179" i="5"/>
  <c r="BL490" i="5"/>
  <c r="BL395" i="5"/>
  <c r="BL197" i="5"/>
  <c r="BM292" i="5"/>
  <c r="BM338" i="5"/>
  <c r="BN272" i="5"/>
  <c r="BN441" i="5"/>
  <c r="BG463" i="5"/>
  <c r="BL243" i="5"/>
  <c r="BM489" i="5"/>
  <c r="BM394" i="5"/>
  <c r="AW279" i="5"/>
  <c r="BJ441" i="5"/>
  <c r="BM279" i="5"/>
  <c r="BH81" i="5"/>
  <c r="BI489" i="5"/>
  <c r="BL495" i="5"/>
  <c r="BL392" i="5"/>
  <c r="BL99" i="5"/>
  <c r="BL91" i="5"/>
  <c r="BL81" i="5"/>
  <c r="BM463" i="5"/>
  <c r="S23" i="5"/>
  <c r="BN57" i="5"/>
  <c r="BI356" i="5"/>
  <c r="BL371" i="5"/>
  <c r="BM494" i="5"/>
  <c r="BN243" i="5"/>
  <c r="BL158" i="5"/>
  <c r="BI48" i="5"/>
  <c r="BR298" i="5"/>
  <c r="BR290" i="5"/>
  <c r="BP137" i="5"/>
  <c r="BR496" i="5"/>
  <c r="BP261" i="5"/>
  <c r="BP247" i="5"/>
  <c r="BO461" i="5"/>
  <c r="BL338" i="5"/>
  <c r="AV99" i="5"/>
  <c r="AX311" i="5"/>
  <c r="BL346" i="5"/>
  <c r="AV196" i="5"/>
  <c r="BO14" i="5"/>
  <c r="BR43" i="5"/>
  <c r="BR355" i="5"/>
  <c r="BO237" i="5"/>
  <c r="BP72" i="5"/>
  <c r="AV460" i="5"/>
  <c r="BM98" i="5"/>
  <c r="AX112" i="5"/>
  <c r="BR437" i="5"/>
  <c r="AV69" i="5"/>
  <c r="BR147" i="5"/>
  <c r="BP444" i="5"/>
  <c r="AV197" i="5"/>
  <c r="AV96" i="5"/>
  <c r="AV324" i="5"/>
  <c r="BP44" i="5"/>
  <c r="AV443" i="5"/>
  <c r="AV291" i="5"/>
  <c r="AV489" i="5"/>
  <c r="AV145" i="5"/>
  <c r="AV340" i="5"/>
  <c r="AV74" i="5"/>
  <c r="BO335" i="5"/>
  <c r="BM161" i="5"/>
  <c r="BR28" i="5"/>
  <c r="BQ73" i="5"/>
  <c r="BQ65" i="5"/>
  <c r="BO81" i="5"/>
  <c r="BP81" i="5"/>
  <c r="BR73" i="5"/>
  <c r="S81" i="5"/>
  <c r="BJ199" i="5"/>
  <c r="BL191" i="5"/>
  <c r="BP96" i="5"/>
  <c r="BR389" i="5"/>
  <c r="BO492" i="5"/>
  <c r="S141" i="5"/>
  <c r="BK396" i="5"/>
  <c r="AW148" i="5"/>
  <c r="BK491" i="5"/>
  <c r="BL69" i="5"/>
  <c r="BR396" i="5"/>
  <c r="BN148" i="5"/>
  <c r="BP397" i="5"/>
  <c r="AW95" i="5"/>
  <c r="AW198" i="5"/>
  <c r="AX437" i="5"/>
  <c r="BN294" i="5"/>
  <c r="BP396" i="5"/>
  <c r="AW243" i="5"/>
  <c r="S243" i="5"/>
  <c r="BO199" i="5"/>
  <c r="BR148" i="5"/>
  <c r="S191" i="5"/>
  <c r="S397" i="5"/>
  <c r="AZ95" i="5"/>
  <c r="BJ157" i="5"/>
  <c r="BK166" i="5"/>
  <c r="BN96" i="5"/>
  <c r="BN376" i="5"/>
  <c r="BO376" i="5"/>
  <c r="BR243" i="5"/>
  <c r="BO397" i="5"/>
  <c r="BP191" i="5"/>
  <c r="BP18" i="5"/>
  <c r="BR96" i="5"/>
  <c r="S294" i="5"/>
  <c r="S96" i="5"/>
  <c r="BO191" i="5"/>
  <c r="BR191" i="5"/>
  <c r="BR397" i="5"/>
  <c r="S389" i="5"/>
  <c r="AW96" i="5"/>
  <c r="AW199" i="5"/>
  <c r="AW191" i="5"/>
  <c r="AW18" i="5"/>
  <c r="BP389" i="5"/>
  <c r="BO96" i="5"/>
  <c r="BO389" i="5"/>
  <c r="BP199" i="5"/>
  <c r="BL389" i="5"/>
  <c r="BN191" i="5"/>
  <c r="BO294" i="5"/>
  <c r="BO141" i="5"/>
  <c r="BP294" i="5"/>
  <c r="S199" i="5"/>
  <c r="S492" i="5"/>
  <c r="BN245" i="5"/>
  <c r="BQ81" i="5"/>
  <c r="AY226" i="5"/>
  <c r="AY218" i="5"/>
  <c r="BH218" i="5"/>
  <c r="BP442" i="5"/>
  <c r="BR442" i="5"/>
  <c r="BQ442" i="5"/>
  <c r="BQ434" i="5"/>
  <c r="AW434" i="5"/>
  <c r="S442" i="5"/>
  <c r="BE224" i="5"/>
  <c r="S47" i="5"/>
  <c r="S244" i="5"/>
  <c r="S224" i="5"/>
  <c r="AX18" i="5"/>
  <c r="BO47" i="5"/>
  <c r="S18" i="5"/>
  <c r="S311" i="5"/>
  <c r="AX413" i="5"/>
  <c r="BO244" i="5"/>
  <c r="BP47" i="5"/>
  <c r="S413" i="5"/>
  <c r="AW311" i="5"/>
  <c r="AW421" i="5"/>
  <c r="AW413" i="5"/>
  <c r="BL47" i="5"/>
  <c r="S421" i="5"/>
  <c r="BJ346" i="5"/>
  <c r="BK18" i="5"/>
  <c r="BN18" i="5"/>
  <c r="BP244" i="5"/>
  <c r="BR244" i="5"/>
  <c r="AW244" i="5"/>
  <c r="S335" i="5"/>
  <c r="AX224" i="5"/>
  <c r="AW346" i="5"/>
  <c r="AW438" i="5"/>
  <c r="AW47" i="5"/>
  <c r="AX421" i="5"/>
  <c r="BM47" i="5"/>
  <c r="BR47" i="5"/>
  <c r="BL390" i="5"/>
  <c r="BL475" i="5"/>
  <c r="BN378" i="5"/>
  <c r="S275" i="5"/>
  <c r="S245" i="5"/>
  <c r="AW168" i="5"/>
  <c r="BN295" i="5"/>
  <c r="BP192" i="5"/>
  <c r="BR245" i="5"/>
  <c r="BG320" i="5"/>
  <c r="BP320" i="5"/>
  <c r="BJ174" i="5"/>
  <c r="S378" i="5"/>
  <c r="S225" i="5"/>
  <c r="BM245" i="5"/>
  <c r="AW245" i="5"/>
  <c r="S337" i="5"/>
  <c r="BO27" i="5"/>
  <c r="BI93" i="5"/>
  <c r="BO245" i="5"/>
  <c r="BO378" i="5"/>
  <c r="BB320" i="5"/>
  <c r="P236" i="10"/>
  <c r="Q183" i="10"/>
  <c r="Q233" i="10"/>
  <c r="R241" i="10"/>
  <c r="R199" i="10"/>
  <c r="R226" i="10"/>
  <c r="R175" i="10"/>
  <c r="P196" i="10"/>
  <c r="R196" i="10" s="1"/>
  <c r="Q193" i="10"/>
  <c r="R186" i="10"/>
  <c r="R233" i="10"/>
  <c r="Q202" i="10"/>
  <c r="P188" i="10"/>
  <c r="Q175" i="10"/>
  <c r="Q241" i="10"/>
  <c r="R231" i="10"/>
  <c r="Q225" i="10"/>
  <c r="R215" i="10"/>
  <c r="Q194" i="10"/>
  <c r="R191" i="10"/>
  <c r="R185" i="10"/>
  <c r="R194" i="10"/>
  <c r="P242" i="10"/>
  <c r="Q231" i="10"/>
  <c r="Q185" i="10"/>
  <c r="R223" i="10"/>
  <c r="P220" i="10"/>
  <c r="Q186" i="10"/>
  <c r="R247" i="10"/>
  <c r="R183" i="10"/>
  <c r="P244" i="10"/>
  <c r="R239" i="10"/>
  <c r="P234" i="10"/>
  <c r="Q217" i="10"/>
  <c r="P212" i="10"/>
  <c r="Q209" i="10"/>
  <c r="P204" i="10"/>
  <c r="Q172" i="10"/>
  <c r="Q239" i="10"/>
  <c r="P217" i="10"/>
  <c r="P209" i="10"/>
  <c r="P172" i="10"/>
  <c r="R201" i="10"/>
  <c r="Q199" i="10"/>
  <c r="R228" i="10"/>
  <c r="R218" i="10"/>
  <c r="Q201" i="10"/>
  <c r="R225" i="10"/>
  <c r="Q223" i="10"/>
  <c r="R202" i="10"/>
  <c r="R193" i="10"/>
  <c r="Q191" i="10"/>
  <c r="Q247" i="10"/>
  <c r="Q215" i="10"/>
  <c r="U244" i="10"/>
  <c r="R240" i="10"/>
  <c r="U236" i="10"/>
  <c r="R232" i="10"/>
  <c r="U228" i="10"/>
  <c r="R224" i="10"/>
  <c r="U220" i="10"/>
  <c r="R216" i="10"/>
  <c r="P210" i="10"/>
  <c r="R246" i="10"/>
  <c r="Q243" i="10"/>
  <c r="U242" i="10"/>
  <c r="R238" i="10"/>
  <c r="Q235" i="10"/>
  <c r="U234" i="10"/>
  <c r="R230" i="10"/>
  <c r="Q227" i="10"/>
  <c r="U226" i="10"/>
  <c r="R222" i="10"/>
  <c r="Q219" i="10"/>
  <c r="U218" i="10"/>
  <c r="R214" i="10"/>
  <c r="Q211" i="10"/>
  <c r="Q246" i="10"/>
  <c r="U245" i="10"/>
  <c r="Q238" i="10"/>
  <c r="U237" i="10"/>
  <c r="Q230" i="10"/>
  <c r="U229" i="10"/>
  <c r="Q222" i="10"/>
  <c r="U221" i="10"/>
  <c r="Q214" i="10"/>
  <c r="Q206" i="10"/>
  <c r="Q198" i="10"/>
  <c r="Q190" i="10"/>
  <c r="Q182" i="10"/>
  <c r="Q174" i="10"/>
  <c r="Q168" i="10"/>
  <c r="P168" i="10"/>
  <c r="O160" i="10"/>
  <c r="O152" i="10"/>
  <c r="Q144" i="10"/>
  <c r="P144" i="10"/>
  <c r="R144" i="10" s="1"/>
  <c r="Q136" i="10"/>
  <c r="P136" i="10"/>
  <c r="R136" i="10" s="1"/>
  <c r="O128" i="10"/>
  <c r="O120" i="10"/>
  <c r="O112" i="10"/>
  <c r="O104" i="10"/>
  <c r="O96" i="10"/>
  <c r="O88" i="10"/>
  <c r="O80" i="10"/>
  <c r="O72" i="10"/>
  <c r="O64" i="10"/>
  <c r="O56" i="10"/>
  <c r="O48" i="10"/>
  <c r="O40" i="10"/>
  <c r="P30" i="10"/>
  <c r="R30" i="10"/>
  <c r="Q30" i="10"/>
  <c r="U30" i="10"/>
  <c r="O22" i="10"/>
  <c r="O14" i="10"/>
  <c r="Q167" i="10"/>
  <c r="P167" i="10"/>
  <c r="O159" i="10"/>
  <c r="O151" i="10"/>
  <c r="Q143" i="10"/>
  <c r="P143" i="10"/>
  <c r="R143" i="10" s="1"/>
  <c r="Q135" i="10"/>
  <c r="P135" i="10"/>
  <c r="R135" i="10" s="1"/>
  <c r="O127" i="10"/>
  <c r="O119" i="10"/>
  <c r="O111" i="10"/>
  <c r="O103" i="10"/>
  <c r="O95" i="10"/>
  <c r="O87" i="10"/>
  <c r="O79" i="10"/>
  <c r="O71" i="10"/>
  <c r="O63" i="10"/>
  <c r="O55" i="10"/>
  <c r="O47" i="10"/>
  <c r="O39" i="10"/>
  <c r="O29" i="10"/>
  <c r="O21" i="10"/>
  <c r="O13" i="10"/>
  <c r="O7" i="10"/>
  <c r="U240" i="10"/>
  <c r="U232" i="10"/>
  <c r="U224" i="10"/>
  <c r="U216" i="10"/>
  <c r="Q244" i="10"/>
  <c r="U243" i="10"/>
  <c r="Q236" i="10"/>
  <c r="U235" i="10"/>
  <c r="Q228" i="10"/>
  <c r="U227" i="10"/>
  <c r="Q220" i="10"/>
  <c r="U219" i="10"/>
  <c r="Q212" i="10"/>
  <c r="U211" i="10"/>
  <c r="Q204" i="10"/>
  <c r="Q196" i="10"/>
  <c r="U195" i="10"/>
  <c r="Q188" i="10"/>
  <c r="U187" i="10"/>
  <c r="U171" i="10"/>
  <c r="O158" i="10"/>
  <c r="O150" i="10"/>
  <c r="O142" i="10"/>
  <c r="T142" i="10" s="1"/>
  <c r="Q134" i="10"/>
  <c r="P134" i="10"/>
  <c r="R134" i="10" s="1"/>
  <c r="O126" i="10"/>
  <c r="O118" i="10"/>
  <c r="O110" i="10"/>
  <c r="O102" i="10"/>
  <c r="Q94" i="10"/>
  <c r="P94" i="10"/>
  <c r="R94" i="10" s="1"/>
  <c r="U94" i="10"/>
  <c r="O86" i="10"/>
  <c r="O78" i="10"/>
  <c r="O70" i="10"/>
  <c r="O62" i="10"/>
  <c r="O54" i="10"/>
  <c r="O46" i="10"/>
  <c r="O38" i="10"/>
  <c r="O28" i="10"/>
  <c r="O20" i="10"/>
  <c r="O6" i="10"/>
  <c r="U246" i="10"/>
  <c r="U238" i="10"/>
  <c r="U230" i="10"/>
  <c r="U222" i="10"/>
  <c r="U214" i="10"/>
  <c r="U206" i="10"/>
  <c r="U198" i="10"/>
  <c r="U190" i="10"/>
  <c r="U182" i="10"/>
  <c r="U174" i="10"/>
  <c r="Q165" i="10"/>
  <c r="P165" i="10"/>
  <c r="O157" i="10"/>
  <c r="O149" i="10"/>
  <c r="O141" i="10"/>
  <c r="O133" i="10"/>
  <c r="O125" i="10"/>
  <c r="O117" i="10"/>
  <c r="O109" i="10"/>
  <c r="O101" i="10"/>
  <c r="O93" i="10"/>
  <c r="O85" i="10"/>
  <c r="O77" i="10"/>
  <c r="O69" i="10"/>
  <c r="O61" i="10"/>
  <c r="O53" i="10"/>
  <c r="O45" i="10"/>
  <c r="O37" i="10"/>
  <c r="O27" i="10"/>
  <c r="O19" i="10"/>
  <c r="O11" i="10"/>
  <c r="O4" i="10"/>
  <c r="R245" i="10"/>
  <c r="Q242" i="10"/>
  <c r="U241" i="10"/>
  <c r="R237" i="10"/>
  <c r="Q234" i="10"/>
  <c r="U233" i="10"/>
  <c r="R229" i="10"/>
  <c r="Q226" i="10"/>
  <c r="U225" i="10"/>
  <c r="R221" i="10"/>
  <c r="Q218" i="10"/>
  <c r="U217" i="10"/>
  <c r="U201" i="10"/>
  <c r="U193" i="10"/>
  <c r="U185" i="10"/>
  <c r="AT164" i="2" s="1"/>
  <c r="Q170" i="10"/>
  <c r="P170" i="10"/>
  <c r="O164" i="10"/>
  <c r="O156" i="10"/>
  <c r="O148" i="10"/>
  <c r="Q140" i="10"/>
  <c r="P140" i="10"/>
  <c r="R140" i="10" s="1"/>
  <c r="Q132" i="10"/>
  <c r="P132" i="10"/>
  <c r="R132" i="10" s="1"/>
  <c r="O124" i="10"/>
  <c r="O116" i="10"/>
  <c r="O108" i="10"/>
  <c r="O100" i="10"/>
  <c r="O84" i="10"/>
  <c r="O76" i="10"/>
  <c r="O68" i="10"/>
  <c r="O60" i="10"/>
  <c r="O52" i="10"/>
  <c r="O44" i="10"/>
  <c r="O36" i="10"/>
  <c r="O26" i="10"/>
  <c r="O18" i="10"/>
  <c r="O10" i="10"/>
  <c r="Q173" i="10"/>
  <c r="O163" i="10"/>
  <c r="O155" i="10"/>
  <c r="Q147" i="10"/>
  <c r="P147" i="10"/>
  <c r="R147" i="10" s="1"/>
  <c r="Q139" i="10"/>
  <c r="P139" i="10"/>
  <c r="R139" i="10" s="1"/>
  <c r="O123" i="10"/>
  <c r="O115" i="10"/>
  <c r="O107" i="10"/>
  <c r="O99" i="10"/>
  <c r="O91" i="10"/>
  <c r="O83" i="10"/>
  <c r="O75" i="10"/>
  <c r="O67" i="10"/>
  <c r="O59" i="10"/>
  <c r="O51" i="10"/>
  <c r="O43" i="10"/>
  <c r="O35" i="10"/>
  <c r="O25" i="10"/>
  <c r="O17" i="10"/>
  <c r="O9" i="10"/>
  <c r="U247" i="10"/>
  <c r="P245" i="10"/>
  <c r="R243" i="10"/>
  <c r="Q240" i="10"/>
  <c r="U239" i="10"/>
  <c r="P237" i="10"/>
  <c r="R235" i="10"/>
  <c r="Q232" i="10"/>
  <c r="U231" i="10"/>
  <c r="P229" i="10"/>
  <c r="R227" i="10"/>
  <c r="Q224" i="10"/>
  <c r="U223" i="10"/>
  <c r="P221" i="10"/>
  <c r="R219" i="10"/>
  <c r="Q216" i="10"/>
  <c r="U215" i="10"/>
  <c r="P213" i="10"/>
  <c r="R213" i="10" s="1"/>
  <c r="R211" i="10"/>
  <c r="P205" i="10"/>
  <c r="T205" i="10" s="1"/>
  <c r="R203" i="10"/>
  <c r="Q200" i="10"/>
  <c r="U199" i="10"/>
  <c r="AT156" i="5" s="1"/>
  <c r="P197" i="10"/>
  <c r="R195" i="10"/>
  <c r="Q192" i="10"/>
  <c r="U191" i="10"/>
  <c r="P189" i="10"/>
  <c r="R187" i="10"/>
  <c r="Q184" i="10"/>
  <c r="U183" i="10"/>
  <c r="P181" i="10"/>
  <c r="T181" i="10" s="1"/>
  <c r="Q176" i="10"/>
  <c r="U175" i="10"/>
  <c r="P173" i="10"/>
  <c r="R171" i="10"/>
  <c r="P169" i="10"/>
  <c r="T169" i="10" s="1"/>
  <c r="Q169" i="10"/>
  <c r="O162" i="10"/>
  <c r="O154" i="10"/>
  <c r="Q146" i="10"/>
  <c r="P146" i="10"/>
  <c r="R146" i="10" s="1"/>
  <c r="Q138" i="10"/>
  <c r="P138" i="10"/>
  <c r="R138" i="10" s="1"/>
  <c r="O130" i="10"/>
  <c r="O122" i="10"/>
  <c r="O114" i="10"/>
  <c r="O106" i="10"/>
  <c r="O98" i="10"/>
  <c r="O90" i="10"/>
  <c r="O82" i="10"/>
  <c r="O74" i="10"/>
  <c r="O66" i="10"/>
  <c r="O58" i="10"/>
  <c r="O50" i="10"/>
  <c r="O42" i="10"/>
  <c r="O32" i="10"/>
  <c r="O24" i="10"/>
  <c r="O16" i="10"/>
  <c r="O8" i="10"/>
  <c r="R206" i="10"/>
  <c r="Q203" i="10"/>
  <c r="U202" i="10"/>
  <c r="AT16" i="2" s="1"/>
  <c r="P200" i="10"/>
  <c r="R200" i="10" s="1"/>
  <c r="R198" i="10"/>
  <c r="Q195" i="10"/>
  <c r="U194" i="10"/>
  <c r="P192" i="10"/>
  <c r="R190" i="10"/>
  <c r="Q187" i="10"/>
  <c r="U186" i="10"/>
  <c r="P184" i="10"/>
  <c r="R182" i="10"/>
  <c r="P176" i="10"/>
  <c r="R174" i="10"/>
  <c r="Q171" i="10"/>
  <c r="O161" i="10"/>
  <c r="Q153" i="10"/>
  <c r="P153" i="10"/>
  <c r="Q145" i="10"/>
  <c r="P145" i="10"/>
  <c r="R145" i="10" s="1"/>
  <c r="Q137" i="10"/>
  <c r="P137" i="10"/>
  <c r="R137" i="10" s="1"/>
  <c r="O129" i="10"/>
  <c r="O121" i="10"/>
  <c r="O113" i="10"/>
  <c r="O105" i="10"/>
  <c r="O97" i="10"/>
  <c r="O89" i="10"/>
  <c r="O81" i="10"/>
  <c r="O73" i="10"/>
  <c r="O65" i="10"/>
  <c r="O57" i="10"/>
  <c r="O49" i="10"/>
  <c r="O41" i="10"/>
  <c r="O23" i="10"/>
  <c r="O15" i="10"/>
  <c r="BH470" i="5"/>
  <c r="AJ434" i="5"/>
  <c r="BI434" i="5" s="1"/>
  <c r="AL434" i="5"/>
  <c r="BK434" i="5" s="1"/>
  <c r="AQ440" i="5"/>
  <c r="AS434" i="5"/>
  <c r="AO434" i="5"/>
  <c r="BN434" i="5" s="1"/>
  <c r="AP434" i="5"/>
  <c r="BO434" i="5" s="1"/>
  <c r="AH434" i="5"/>
  <c r="BG434" i="5" s="1"/>
  <c r="AJ440" i="5"/>
  <c r="AL440" i="5"/>
  <c r="BK440" i="5" s="1"/>
  <c r="AM434" i="5"/>
  <c r="BL434" i="5" s="1"/>
  <c r="AN434" i="5"/>
  <c r="BM434" i="5" s="1"/>
  <c r="AS440" i="5"/>
  <c r="BR440" i="5" s="1"/>
  <c r="AV440" i="5"/>
  <c r="AO440" i="5"/>
  <c r="AP440" i="5"/>
  <c r="BO440" i="5" s="1"/>
  <c r="AH440" i="5"/>
  <c r="BG440" i="5" s="1"/>
  <c r="AM440" i="5"/>
  <c r="BL440" i="5" s="1"/>
  <c r="AN440" i="5"/>
  <c r="BM440" i="5" s="1"/>
  <c r="AV363" i="5"/>
  <c r="AP354" i="5"/>
  <c r="AQ362" i="5"/>
  <c r="AS362" i="5"/>
  <c r="V354" i="5"/>
  <c r="AP362" i="5"/>
  <c r="AJ354" i="5"/>
  <c r="AJ362" i="5"/>
  <c r="AV240" i="5"/>
  <c r="AC209" i="5"/>
  <c r="AH209" i="5"/>
  <c r="AQ209" i="5"/>
  <c r="Y209" i="5"/>
  <c r="AL209" i="5"/>
  <c r="AB209" i="5"/>
  <c r="AG209" i="5"/>
  <c r="AK209" i="5"/>
  <c r="AP209" i="5"/>
  <c r="AR209" i="5"/>
  <c r="X209" i="5"/>
  <c r="AF209" i="5"/>
  <c r="AO209" i="5"/>
  <c r="AA209" i="5"/>
  <c r="AJ209" i="5"/>
  <c r="AE209" i="5"/>
  <c r="AN209" i="5"/>
  <c r="AS209" i="5"/>
  <c r="V209" i="5"/>
  <c r="Z209" i="5"/>
  <c r="AI209" i="5"/>
  <c r="BH165" i="5"/>
  <c r="AO168" i="5"/>
  <c r="BN168" i="5" s="1"/>
  <c r="AM11" i="5"/>
  <c r="AQ11" i="5"/>
  <c r="AJ11" i="5"/>
  <c r="AL11" i="5"/>
  <c r="AN11" i="5"/>
  <c r="W64" i="5"/>
  <c r="AV64" i="5" s="1"/>
  <c r="X41" i="5"/>
  <c r="R41" i="5"/>
  <c r="Y41" i="5"/>
  <c r="AA41" i="5"/>
  <c r="AN41" i="5"/>
  <c r="AF41" i="5"/>
  <c r="AL41" i="5"/>
  <c r="AR41" i="5"/>
  <c r="AS41" i="5"/>
  <c r="AE41" i="5"/>
  <c r="AH41" i="5"/>
  <c r="AK41" i="5"/>
  <c r="AO41" i="5"/>
  <c r="AD41" i="5"/>
  <c r="Q51" i="5"/>
  <c r="S228" i="36" s="1"/>
  <c r="AM41" i="5"/>
  <c r="AP41" i="5"/>
  <c r="AQ41" i="5"/>
  <c r="Z41" i="5"/>
  <c r="AB41" i="5"/>
  <c r="AG41" i="5"/>
  <c r="Q32" i="2"/>
  <c r="Q507" i="2" s="1"/>
  <c r="BQ188" i="5"/>
  <c r="W386" i="2"/>
  <c r="Z386" i="2"/>
  <c r="Y386" i="2"/>
  <c r="Y188" i="2"/>
  <c r="AD188" i="2"/>
  <c r="V89" i="2"/>
  <c r="BQ273" i="5"/>
  <c r="AP168" i="5"/>
  <c r="BO168" i="5" s="1"/>
  <c r="AM176" i="5"/>
  <c r="BL176" i="5" s="1"/>
  <c r="AK162" i="5"/>
  <c r="W175" i="5"/>
  <c r="AV175" i="5" s="1"/>
  <c r="W174" i="5"/>
  <c r="AV174" i="5" s="1"/>
  <c r="AW176" i="5"/>
  <c r="AN162" i="5"/>
  <c r="BP167" i="5"/>
  <c r="AJ162" i="5"/>
  <c r="AN169" i="5"/>
  <c r="AI162" i="5"/>
  <c r="AM162" i="5"/>
  <c r="AW40" i="5"/>
  <c r="AW143" i="5"/>
  <c r="AX27" i="5"/>
  <c r="AX122" i="5"/>
  <c r="BD143" i="5"/>
  <c r="BO40" i="5"/>
  <c r="BR122" i="5"/>
  <c r="BE440" i="5"/>
  <c r="S114" i="5"/>
  <c r="S237" i="5"/>
  <c r="S143" i="5"/>
  <c r="BJ338" i="5"/>
  <c r="S440" i="5"/>
  <c r="BR338" i="5"/>
  <c r="BI143" i="5"/>
  <c r="BL237" i="5"/>
  <c r="BP338" i="5"/>
  <c r="BK474" i="5"/>
  <c r="AY470" i="5"/>
  <c r="BJ470" i="5"/>
  <c r="W468" i="5"/>
  <c r="AV468" i="5" s="1"/>
  <c r="W467" i="5"/>
  <c r="AV467" i="5" s="1"/>
  <c r="W466" i="5"/>
  <c r="AV466" i="5" s="1"/>
  <c r="BQ275" i="5"/>
  <c r="BQ245" i="5"/>
  <c r="BE311" i="5"/>
  <c r="BN311" i="5"/>
  <c r="BC311" i="5"/>
  <c r="BC421" i="5"/>
  <c r="BC413" i="5"/>
  <c r="BL421" i="5"/>
  <c r="BL413" i="5"/>
  <c r="BE319" i="5"/>
  <c r="BL311" i="5"/>
  <c r="BC224" i="5"/>
  <c r="AX114" i="5"/>
  <c r="BI225" i="5"/>
  <c r="AW225" i="5"/>
  <c r="AW414" i="5"/>
  <c r="BQ40" i="5"/>
  <c r="BQ338" i="5"/>
  <c r="S414" i="5"/>
  <c r="S246" i="5"/>
  <c r="AX320" i="5"/>
  <c r="BO338" i="5"/>
  <c r="BR246" i="5"/>
  <c r="AW320" i="5"/>
  <c r="AW422" i="5"/>
  <c r="AW246" i="5"/>
  <c r="S217" i="5"/>
  <c r="S27" i="5"/>
  <c r="S80" i="5"/>
  <c r="S122" i="5"/>
  <c r="S48" i="5"/>
  <c r="BI40" i="5"/>
  <c r="BK143" i="5"/>
  <c r="BN338" i="5"/>
  <c r="BP246" i="5"/>
  <c r="AW237" i="5"/>
  <c r="AW338" i="5"/>
  <c r="AW440" i="5"/>
  <c r="BE320" i="5"/>
  <c r="BN320" i="5"/>
  <c r="BL66" i="5"/>
  <c r="AZ320" i="5"/>
  <c r="AZ422" i="5"/>
  <c r="AZ414" i="5"/>
  <c r="BE414" i="5"/>
  <c r="BI320" i="5"/>
  <c r="BI414" i="5"/>
  <c r="BN224" i="5"/>
  <c r="BN414" i="5"/>
  <c r="BQ141" i="5"/>
  <c r="BQ244" i="5"/>
  <c r="BQ346" i="5"/>
  <c r="S40" i="5"/>
  <c r="BL246" i="5"/>
  <c r="BR40" i="5"/>
  <c r="BD320" i="5"/>
  <c r="BD414" i="5"/>
  <c r="S320" i="5"/>
  <c r="S19" i="5"/>
  <c r="BO246" i="5"/>
  <c r="BR237" i="5"/>
  <c r="AY225" i="5"/>
  <c r="AY320" i="5"/>
  <c r="AY422" i="5"/>
  <c r="BH320" i="5"/>
  <c r="BH414" i="5"/>
  <c r="BR320" i="5"/>
  <c r="BC320" i="5"/>
  <c r="BC422" i="5"/>
  <c r="BL320" i="5"/>
  <c r="BQ96" i="5"/>
  <c r="BQ199" i="5"/>
  <c r="BQ191" i="5"/>
  <c r="BQ294" i="5"/>
  <c r="BQ389" i="5"/>
  <c r="BQ492" i="5"/>
  <c r="BM57" i="5"/>
  <c r="AW27" i="5"/>
  <c r="AW122" i="5"/>
  <c r="AW114" i="5"/>
  <c r="BP143" i="5"/>
  <c r="M10" i="27"/>
  <c r="M11" i="27" s="1"/>
  <c r="M12" i="27" s="1"/>
  <c r="M13" i="27" s="1"/>
  <c r="N13" i="27" s="1"/>
  <c r="N9" i="27"/>
  <c r="J9" i="27" s="1"/>
  <c r="AN264" i="5"/>
  <c r="AP264" i="5"/>
  <c r="AR264" i="5"/>
  <c r="R169" i="5"/>
  <c r="AA169" i="5"/>
  <c r="AG169" i="5"/>
  <c r="E19" i="21"/>
  <c r="E87" i="21" s="1"/>
  <c r="Y169" i="5"/>
  <c r="AB169" i="5"/>
  <c r="AF169" i="5"/>
  <c r="AM169" i="5"/>
  <c r="AP169" i="5"/>
  <c r="AQ169" i="5"/>
  <c r="AR169" i="5"/>
  <c r="AE169" i="5"/>
  <c r="AK169" i="5"/>
  <c r="AL169" i="5"/>
  <c r="AO169" i="5"/>
  <c r="AC169" i="5"/>
  <c r="AD169" i="5"/>
  <c r="AS169" i="5"/>
  <c r="AI169" i="5"/>
  <c r="AJ169" i="5"/>
  <c r="V169" i="5"/>
  <c r="R560" i="5"/>
  <c r="W173" i="5"/>
  <c r="AV173" i="5" s="1"/>
  <c r="W171" i="5"/>
  <c r="AS170" i="5"/>
  <c r="W169" i="5"/>
  <c r="BQ464" i="5"/>
  <c r="AD176" i="5"/>
  <c r="BC176" i="5" s="1"/>
  <c r="AE176" i="5"/>
  <c r="BD176" i="5" s="1"/>
  <c r="AF176" i="5"/>
  <c r="BE176" i="5" s="1"/>
  <c r="AG176" i="5"/>
  <c r="BF176" i="5" s="1"/>
  <c r="AQ174" i="5"/>
  <c r="BP174" i="5" s="1"/>
  <c r="Z176" i="5"/>
  <c r="AY176" i="5" s="1"/>
  <c r="Y176" i="5"/>
  <c r="AX176" i="5" s="1"/>
  <c r="AS176" i="5"/>
  <c r="BR176" i="5" s="1"/>
  <c r="BQ157" i="5"/>
  <c r="AA176" i="5"/>
  <c r="AZ176" i="5" s="1"/>
  <c r="AO176" i="5"/>
  <c r="BN176" i="5" s="1"/>
  <c r="AP176" i="5"/>
  <c r="BO176" i="5" s="1"/>
  <c r="W176" i="5"/>
  <c r="AV176" i="5" s="1"/>
  <c r="AB176" i="5"/>
  <c r="BA176" i="5" s="1"/>
  <c r="AP174" i="5"/>
  <c r="BO174" i="5" s="1"/>
  <c r="BQ172" i="5"/>
  <c r="AI176" i="5"/>
  <c r="BH176" i="5" s="1"/>
  <c r="AK176" i="5"/>
  <c r="BJ176" i="5" s="1"/>
  <c r="AN176" i="5"/>
  <c r="BM176" i="5" s="1"/>
  <c r="AQ176" i="5"/>
  <c r="BP176" i="5" s="1"/>
  <c r="AH176" i="5"/>
  <c r="BG176" i="5" s="1"/>
  <c r="AJ176" i="5"/>
  <c r="BI176" i="5" s="1"/>
  <c r="AL176" i="5"/>
  <c r="BK176" i="5" s="1"/>
  <c r="AA61" i="5"/>
  <c r="AF61" i="5"/>
  <c r="AG61" i="5"/>
  <c r="AH61" i="5"/>
  <c r="AI61" i="5"/>
  <c r="R559" i="5"/>
  <c r="AO61" i="5"/>
  <c r="AP61" i="5"/>
  <c r="AR61" i="5"/>
  <c r="R61" i="5"/>
  <c r="AB61" i="5"/>
  <c r="AJ61" i="5"/>
  <c r="Y61" i="5"/>
  <c r="Z61" i="5"/>
  <c r="AC61" i="5"/>
  <c r="AK61" i="5"/>
  <c r="X61" i="5"/>
  <c r="X83" i="5" s="1"/>
  <c r="AL61" i="5"/>
  <c r="AM61" i="5"/>
  <c r="AN61" i="5"/>
  <c r="AW64" i="5"/>
  <c r="BR64" i="5"/>
  <c r="V61" i="5"/>
  <c r="AD61" i="5"/>
  <c r="AQ61" i="5"/>
  <c r="AS61" i="5"/>
  <c r="AE61" i="5"/>
  <c r="BQ397" i="5"/>
  <c r="BQ395" i="5"/>
  <c r="W266" i="5"/>
  <c r="AB266" i="5"/>
  <c r="AF266" i="5"/>
  <c r="E44" i="21"/>
  <c r="W362" i="5"/>
  <c r="AY75" i="5"/>
  <c r="AY67" i="5"/>
  <c r="S174" i="5"/>
  <c r="AW75" i="5"/>
  <c r="AW67" i="5"/>
  <c r="BM95" i="5"/>
  <c r="BO443" i="5"/>
  <c r="BR491" i="5"/>
  <c r="BR174" i="5"/>
  <c r="AW157" i="5"/>
  <c r="BQ473" i="5"/>
  <c r="AW166" i="5"/>
  <c r="BL376" i="5"/>
  <c r="BM198" i="5"/>
  <c r="BP376" i="5"/>
  <c r="BR443" i="5"/>
  <c r="BR456" i="5"/>
  <c r="S491" i="5"/>
  <c r="S198" i="5"/>
  <c r="S376" i="5"/>
  <c r="S95" i="5"/>
  <c r="BH190" i="5"/>
  <c r="BK95" i="5"/>
  <c r="BP67" i="5"/>
  <c r="BP157" i="5"/>
  <c r="BR67" i="5"/>
  <c r="AW241" i="5"/>
  <c r="BQ95" i="5"/>
  <c r="BQ198" i="5"/>
  <c r="BQ190" i="5"/>
  <c r="BQ396" i="5"/>
  <c r="BQ388" i="5"/>
  <c r="BQ491" i="5"/>
  <c r="S75" i="5"/>
  <c r="AW174" i="5"/>
  <c r="S157" i="5"/>
  <c r="BK198" i="5"/>
  <c r="BM157" i="5"/>
  <c r="BF95" i="5"/>
  <c r="BM190" i="5"/>
  <c r="BR95" i="5"/>
  <c r="AW443" i="5"/>
  <c r="AW273" i="5"/>
  <c r="AW376" i="5"/>
  <c r="BN491" i="5"/>
  <c r="BR388" i="5"/>
  <c r="AW456" i="5"/>
  <c r="AW396" i="5"/>
  <c r="AW388" i="5"/>
  <c r="AW491" i="5"/>
  <c r="AY123" i="5"/>
  <c r="AY115" i="5"/>
  <c r="BH115" i="5"/>
  <c r="BK443" i="5"/>
  <c r="AW473" i="5"/>
  <c r="S388" i="5"/>
  <c r="BM396" i="5"/>
  <c r="BP491" i="5"/>
  <c r="R455" i="5"/>
  <c r="Y455" i="5"/>
  <c r="X455" i="5"/>
  <c r="Z455" i="5"/>
  <c r="AB455" i="5"/>
  <c r="AD455" i="5"/>
  <c r="AE455" i="5"/>
  <c r="AR455" i="5"/>
  <c r="AK455" i="5"/>
  <c r="AS455" i="5"/>
  <c r="AA455" i="5"/>
  <c r="Q479" i="5"/>
  <c r="Q531" i="5" s="1"/>
  <c r="V455" i="5"/>
  <c r="AL455" i="5"/>
  <c r="AQ455" i="5"/>
  <c r="AC455" i="5"/>
  <c r="AF455" i="5"/>
  <c r="AP455" i="5"/>
  <c r="AM455" i="5"/>
  <c r="BQ456" i="5"/>
  <c r="AJ379" i="35"/>
  <c r="BQ441" i="5"/>
  <c r="AV438" i="5"/>
  <c r="AJ423" i="35"/>
  <c r="BO355" i="5"/>
  <c r="BN355" i="5"/>
  <c r="BP355" i="5"/>
  <c r="AW355" i="5"/>
  <c r="W336" i="5"/>
  <c r="W262" i="5"/>
  <c r="W210" i="5"/>
  <c r="AB160" i="5"/>
  <c r="BA160" i="5" s="1"/>
  <c r="AD160" i="5"/>
  <c r="BC160" i="5" s="1"/>
  <c r="AG160" i="5"/>
  <c r="BF160" i="5" s="1"/>
  <c r="AS160" i="5"/>
  <c r="BR160" i="5" s="1"/>
  <c r="AH160" i="5"/>
  <c r="BG160" i="5" s="1"/>
  <c r="AE160" i="5"/>
  <c r="BD160" i="5" s="1"/>
  <c r="AI160" i="5"/>
  <c r="BH160" i="5" s="1"/>
  <c r="AC160" i="5"/>
  <c r="BB160" i="5" s="1"/>
  <c r="AM160" i="5"/>
  <c r="BL160" i="5" s="1"/>
  <c r="AO160" i="5"/>
  <c r="BN160" i="5" s="1"/>
  <c r="AQ160" i="5"/>
  <c r="BP160" i="5" s="1"/>
  <c r="AJ160" i="5"/>
  <c r="BI160" i="5" s="1"/>
  <c r="AN160" i="5"/>
  <c r="BM160" i="5" s="1"/>
  <c r="BO57" i="5"/>
  <c r="W41" i="5"/>
  <c r="D131" i="36"/>
  <c r="R568" i="5"/>
  <c r="S568" i="5" s="1"/>
  <c r="V345" i="5"/>
  <c r="V336" i="5"/>
  <c r="Q348" i="5"/>
  <c r="V228" i="36" s="1"/>
  <c r="AE336" i="5"/>
  <c r="AJ336" i="5"/>
  <c r="AL336" i="5"/>
  <c r="AN336" i="5"/>
  <c r="AO336" i="5"/>
  <c r="AS336" i="5"/>
  <c r="BO340" i="5"/>
  <c r="X345" i="5"/>
  <c r="Y345" i="5"/>
  <c r="Z341" i="5"/>
  <c r="AB341" i="5"/>
  <c r="AD345" i="5"/>
  <c r="AF341" i="5"/>
  <c r="AG345" i="5"/>
  <c r="AH341" i="5"/>
  <c r="AI345" i="5"/>
  <c r="BP340" i="5"/>
  <c r="X336" i="5"/>
  <c r="AR341" i="5"/>
  <c r="R345" i="5"/>
  <c r="BN345" i="5" s="1"/>
  <c r="Y336" i="5"/>
  <c r="AA341" i="5"/>
  <c r="AD336" i="5"/>
  <c r="AG336" i="5"/>
  <c r="AI336" i="5"/>
  <c r="BR340" i="5"/>
  <c r="R336" i="5"/>
  <c r="AC345" i="5"/>
  <c r="AE341" i="5"/>
  <c r="AJ341" i="5"/>
  <c r="AK345" i="5"/>
  <c r="AL341" i="5"/>
  <c r="AM345" i="5"/>
  <c r="AN341" i="5"/>
  <c r="AO341" i="5"/>
  <c r="AP345" i="5"/>
  <c r="AQ345" i="5"/>
  <c r="AS341" i="5"/>
  <c r="BM340" i="5"/>
  <c r="V341" i="5"/>
  <c r="AC336" i="5"/>
  <c r="AK336" i="5"/>
  <c r="AM336" i="5"/>
  <c r="AP336" i="5"/>
  <c r="AQ336" i="5"/>
  <c r="S340" i="5"/>
  <c r="X341" i="5"/>
  <c r="Y341" i="5"/>
  <c r="Z345" i="5"/>
  <c r="AB345" i="5"/>
  <c r="AD341" i="5"/>
  <c r="AF345" i="5"/>
  <c r="AG341" i="5"/>
  <c r="AH345" i="5"/>
  <c r="AI341" i="5"/>
  <c r="AW340" i="5"/>
  <c r="AR345" i="5"/>
  <c r="R341" i="5"/>
  <c r="S341" i="5" s="1"/>
  <c r="Z336" i="5"/>
  <c r="AA345" i="5"/>
  <c r="AB336" i="5"/>
  <c r="AF336" i="5"/>
  <c r="AH336" i="5"/>
  <c r="AS189" i="5"/>
  <c r="W189" i="5"/>
  <c r="AV189" i="5" s="1"/>
  <c r="AP189" i="5"/>
  <c r="AN189" i="5"/>
  <c r="BM189" i="5" s="1"/>
  <c r="AS165" i="5"/>
  <c r="BR165" i="5" s="1"/>
  <c r="BQ166" i="5"/>
  <c r="Q329" i="2"/>
  <c r="Q228" i="35" s="1"/>
  <c r="AS314" i="2"/>
  <c r="V314" i="2"/>
  <c r="X287" i="2"/>
  <c r="AR118" i="2"/>
  <c r="AR117" i="2"/>
  <c r="R560" i="2"/>
  <c r="AN90" i="2"/>
  <c r="AB90" i="2"/>
  <c r="W45" i="2"/>
  <c r="X48" i="2"/>
  <c r="Y43" i="2"/>
  <c r="Z46" i="2"/>
  <c r="AA49" i="2"/>
  <c r="AB44" i="2"/>
  <c r="AC47" i="2"/>
  <c r="AE45" i="2"/>
  <c r="AF48" i="2"/>
  <c r="AG44" i="2"/>
  <c r="AH48" i="2"/>
  <c r="AI44" i="2"/>
  <c r="AJ48" i="2"/>
  <c r="AK44" i="2"/>
  <c r="AL48" i="2"/>
  <c r="AM44" i="2"/>
  <c r="AN48" i="2"/>
  <c r="AO44" i="2"/>
  <c r="AP48" i="2"/>
  <c r="AQ44" i="2"/>
  <c r="AS46" i="2"/>
  <c r="R44" i="2"/>
  <c r="V45" i="2"/>
  <c r="W44" i="2"/>
  <c r="Z45" i="2"/>
  <c r="AA48" i="2"/>
  <c r="AB43" i="2"/>
  <c r="AC46" i="2"/>
  <c r="AD49" i="2"/>
  <c r="AE44" i="2"/>
  <c r="AF47" i="2"/>
  <c r="AG43" i="2"/>
  <c r="AH47" i="2"/>
  <c r="AI43" i="2"/>
  <c r="AJ47" i="2"/>
  <c r="AK43" i="2"/>
  <c r="AL47" i="2"/>
  <c r="AM43" i="2"/>
  <c r="AN47" i="2"/>
  <c r="AO43" i="2"/>
  <c r="AP47" i="2"/>
  <c r="AQ43" i="2"/>
  <c r="AR49" i="2"/>
  <c r="AS45" i="2"/>
  <c r="R43" i="2"/>
  <c r="V44" i="2"/>
  <c r="W43" i="2"/>
  <c r="X46" i="2"/>
  <c r="Y49" i="2"/>
  <c r="Z44" i="2"/>
  <c r="AA47" i="2"/>
  <c r="AC45" i="2"/>
  <c r="AD48" i="2"/>
  <c r="AE43" i="2"/>
  <c r="AF46" i="2"/>
  <c r="AH46" i="2"/>
  <c r="AJ46" i="2"/>
  <c r="AL46" i="2"/>
  <c r="AN46" i="2"/>
  <c r="AP46" i="2"/>
  <c r="AR48" i="2"/>
  <c r="AS44" i="2"/>
  <c r="V43" i="2"/>
  <c r="X45" i="2"/>
  <c r="Y48" i="2"/>
  <c r="Z43" i="2"/>
  <c r="AA46" i="2"/>
  <c r="AB49" i="2"/>
  <c r="AC44" i="2"/>
  <c r="AD47" i="2"/>
  <c r="AF45" i="2"/>
  <c r="AG49" i="2"/>
  <c r="AH45" i="2"/>
  <c r="AI49" i="2"/>
  <c r="AJ45" i="2"/>
  <c r="AK49" i="2"/>
  <c r="AL45" i="2"/>
  <c r="AM49" i="2"/>
  <c r="AN45" i="2"/>
  <c r="AO49" i="2"/>
  <c r="AP45" i="2"/>
  <c r="AQ49" i="2"/>
  <c r="AR47" i="2"/>
  <c r="AS43" i="2"/>
  <c r="R49" i="2"/>
  <c r="Q51" i="2"/>
  <c r="Q517" i="2" s="1"/>
  <c r="W49" i="2"/>
  <c r="X44" i="2"/>
  <c r="Y47" i="2"/>
  <c r="AA45" i="2"/>
  <c r="AB48" i="2"/>
  <c r="AC43" i="2"/>
  <c r="AD46" i="2"/>
  <c r="AE49" i="2"/>
  <c r="AF44" i="2"/>
  <c r="AG48" i="2"/>
  <c r="AH44" i="2"/>
  <c r="AI48" i="2"/>
  <c r="AJ44" i="2"/>
  <c r="AK48" i="2"/>
  <c r="AL44" i="2"/>
  <c r="AM48" i="2"/>
  <c r="AN44" i="2"/>
  <c r="AO48" i="2"/>
  <c r="AP44" i="2"/>
  <c r="AQ48" i="2"/>
  <c r="AR46" i="2"/>
  <c r="R48" i="2"/>
  <c r="V49" i="2"/>
  <c r="W48" i="2"/>
  <c r="Y46" i="2"/>
  <c r="Z49" i="2"/>
  <c r="AA44" i="2"/>
  <c r="AB47" i="2"/>
  <c r="AD45" i="2"/>
  <c r="AE48" i="2"/>
  <c r="AF43" i="2"/>
  <c r="AG47" i="2"/>
  <c r="AH43" i="2"/>
  <c r="AI47" i="2"/>
  <c r="AJ43" i="2"/>
  <c r="AK47" i="2"/>
  <c r="AL43" i="2"/>
  <c r="AM47" i="2"/>
  <c r="AN43" i="2"/>
  <c r="AO47" i="2"/>
  <c r="AP43" i="2"/>
  <c r="AQ47" i="2"/>
  <c r="AR45" i="2"/>
  <c r="AS49" i="2"/>
  <c r="R47" i="2"/>
  <c r="V48" i="2"/>
  <c r="W47" i="2"/>
  <c r="Z48" i="2"/>
  <c r="AB46" i="2"/>
  <c r="AD44" i="2"/>
  <c r="AE47" i="2"/>
  <c r="AG46" i="2"/>
  <c r="AI46" i="2"/>
  <c r="AK46" i="2"/>
  <c r="AM46" i="2"/>
  <c r="AO46" i="2"/>
  <c r="AQ46" i="2"/>
  <c r="S415" i="5"/>
  <c r="AW97" i="5"/>
  <c r="AW192" i="5"/>
  <c r="AX218" i="5"/>
  <c r="BJ493" i="5"/>
  <c r="BP493" i="5"/>
  <c r="BP49" i="5"/>
  <c r="AW59" i="5"/>
  <c r="S49" i="5"/>
  <c r="S89" i="5"/>
  <c r="S158" i="5"/>
  <c r="BM415" i="5"/>
  <c r="BR466" i="5"/>
  <c r="S313" i="5"/>
  <c r="S295" i="5"/>
  <c r="S115" i="5"/>
  <c r="S247" i="5"/>
  <c r="AW76" i="5"/>
  <c r="BH239" i="5"/>
  <c r="BM49" i="5"/>
  <c r="BN49" i="5"/>
  <c r="BN175" i="5"/>
  <c r="BO360" i="5"/>
  <c r="BR175" i="5"/>
  <c r="S390" i="5"/>
  <c r="BO49" i="5"/>
  <c r="BP360" i="5"/>
  <c r="AW175" i="5"/>
  <c r="AW167" i="5"/>
  <c r="AW158" i="5"/>
  <c r="BI466" i="5"/>
  <c r="BK247" i="5"/>
  <c r="AW226" i="5"/>
  <c r="AW218" i="5"/>
  <c r="AW321" i="5"/>
  <c r="AW313" i="5"/>
  <c r="AW423" i="5"/>
  <c r="AW415" i="5"/>
  <c r="S192" i="5"/>
  <c r="S287" i="5"/>
  <c r="AX423" i="5"/>
  <c r="AY295" i="5"/>
  <c r="BF287" i="5"/>
  <c r="BH97" i="5"/>
  <c r="BL49" i="5"/>
  <c r="BN390" i="5"/>
  <c r="BN466" i="5"/>
  <c r="BP295" i="5"/>
  <c r="BP390" i="5"/>
  <c r="AW444" i="5"/>
  <c r="AW474" i="5"/>
  <c r="AW466" i="5"/>
  <c r="S321" i="5"/>
  <c r="S226" i="5"/>
  <c r="S97" i="5"/>
  <c r="S239" i="5"/>
  <c r="AW49" i="5"/>
  <c r="AW144" i="5"/>
  <c r="AX226" i="5"/>
  <c r="BP97" i="5"/>
  <c r="AW295" i="5"/>
  <c r="AW287" i="5"/>
  <c r="AW390" i="5"/>
  <c r="AW493" i="5"/>
  <c r="AW485" i="5"/>
  <c r="S493" i="5"/>
  <c r="S377" i="5"/>
  <c r="S444" i="5"/>
  <c r="BQ390" i="5"/>
  <c r="BD123" i="5"/>
  <c r="BD115" i="5"/>
  <c r="BD226" i="5"/>
  <c r="BD218" i="5"/>
  <c r="BD321" i="5"/>
  <c r="BD313" i="5"/>
  <c r="BD423" i="5"/>
  <c r="BD415" i="5"/>
  <c r="BM115" i="5"/>
  <c r="BM226" i="5"/>
  <c r="BM218" i="5"/>
  <c r="BM321" i="5"/>
  <c r="BM313" i="5"/>
  <c r="BM423" i="5"/>
  <c r="BQ97" i="5"/>
  <c r="BQ89" i="5"/>
  <c r="BQ192" i="5"/>
  <c r="BQ295" i="5"/>
  <c r="BQ287" i="5"/>
  <c r="BQ493" i="5"/>
  <c r="BC123" i="5"/>
  <c r="BC115" i="5"/>
  <c r="BC226" i="5"/>
  <c r="BC218" i="5"/>
  <c r="BC321" i="5"/>
  <c r="BC313" i="5"/>
  <c r="BC423" i="5"/>
  <c r="BC415" i="5"/>
  <c r="BL115" i="5"/>
  <c r="BL226" i="5"/>
  <c r="BL218" i="5"/>
  <c r="BL321" i="5"/>
  <c r="BL313" i="5"/>
  <c r="BL423" i="5"/>
  <c r="BL415" i="5"/>
  <c r="S77" i="5"/>
  <c r="BP437" i="5"/>
  <c r="S445" i="5"/>
  <c r="S176" i="5"/>
  <c r="BN437" i="5"/>
  <c r="BP342" i="5"/>
  <c r="BR145" i="5"/>
  <c r="BB123" i="5"/>
  <c r="BB115" i="5"/>
  <c r="BB226" i="5"/>
  <c r="BB218" i="5"/>
  <c r="BB321" i="5"/>
  <c r="BB313" i="5"/>
  <c r="BB423" i="5"/>
  <c r="BG123" i="5"/>
  <c r="BG115" i="5"/>
  <c r="BG226" i="5"/>
  <c r="BG218" i="5"/>
  <c r="BG321" i="5"/>
  <c r="BG313" i="5"/>
  <c r="BG423" i="5"/>
  <c r="BG415" i="5"/>
  <c r="BP115" i="5"/>
  <c r="BP226" i="5"/>
  <c r="BP218" i="5"/>
  <c r="BP321" i="5"/>
  <c r="BP313" i="5"/>
  <c r="BP423" i="5"/>
  <c r="BP415" i="5"/>
  <c r="BR240" i="5"/>
  <c r="BM69" i="5"/>
  <c r="AW240" i="5"/>
  <c r="BA322" i="5"/>
  <c r="BQ42" i="5"/>
  <c r="BQ145" i="5"/>
  <c r="BQ137" i="5"/>
  <c r="BQ445" i="5"/>
  <c r="BQ437" i="5"/>
  <c r="BQ77" i="5"/>
  <c r="BQ69" i="5"/>
  <c r="BN145" i="5"/>
  <c r="BI445" i="5"/>
  <c r="BL42" i="5"/>
  <c r="BN69" i="5"/>
  <c r="BP145" i="5"/>
  <c r="BR69" i="5"/>
  <c r="S342" i="5"/>
  <c r="S69" i="5"/>
  <c r="S240" i="5"/>
  <c r="BR137" i="5"/>
  <c r="BR342" i="5"/>
  <c r="S145" i="5"/>
  <c r="BL137" i="5"/>
  <c r="BN42" i="5"/>
  <c r="BD111" i="5"/>
  <c r="BD214" i="5"/>
  <c r="BD325" i="5"/>
  <c r="BM111" i="5"/>
  <c r="BM214" i="5"/>
  <c r="BM325" i="5"/>
  <c r="U466" i="5"/>
  <c r="M11" i="25"/>
  <c r="BC316" i="5"/>
  <c r="BC426" i="5"/>
  <c r="BC418" i="5"/>
  <c r="BC410" i="5"/>
  <c r="BL426" i="5"/>
  <c r="BL418" i="5"/>
  <c r="BL410" i="5"/>
  <c r="BN394" i="5"/>
  <c r="BN291" i="5"/>
  <c r="BN196" i="5"/>
  <c r="BN375" i="5"/>
  <c r="BO491" i="5"/>
  <c r="BO396" i="5"/>
  <c r="BO95" i="5"/>
  <c r="BO468" i="5"/>
  <c r="BO73" i="5"/>
  <c r="BO247" i="5"/>
  <c r="BO48" i="5"/>
  <c r="S336" i="2"/>
  <c r="BF493" i="5"/>
  <c r="BF145" i="5"/>
  <c r="BG93" i="5"/>
  <c r="BH493" i="5"/>
  <c r="BH371" i="5"/>
  <c r="BH158" i="5"/>
  <c r="BH58" i="5"/>
  <c r="BH145" i="5"/>
  <c r="BI291" i="5"/>
  <c r="BI188" i="5"/>
  <c r="BI375" i="5"/>
  <c r="BI65" i="5"/>
  <c r="BJ495" i="5"/>
  <c r="BJ99" i="5"/>
  <c r="BJ464" i="5"/>
  <c r="BK468" i="5"/>
  <c r="BK65" i="5"/>
  <c r="BM388" i="5"/>
  <c r="BM460" i="5"/>
  <c r="BM360" i="5"/>
  <c r="BM167" i="5"/>
  <c r="BN392" i="5"/>
  <c r="BN297" i="5"/>
  <c r="BN464" i="5"/>
  <c r="BN66" i="5"/>
  <c r="BN343" i="5"/>
  <c r="BC126" i="5"/>
  <c r="BC118" i="5"/>
  <c r="BC110" i="5"/>
  <c r="BC221" i="5"/>
  <c r="BC324" i="5"/>
  <c r="BE114" i="5"/>
  <c r="BE225" i="5"/>
  <c r="BL118" i="5"/>
  <c r="BL110" i="5"/>
  <c r="BL221" i="5"/>
  <c r="BL324" i="5"/>
  <c r="BL316" i="5"/>
  <c r="BN114" i="5"/>
  <c r="BN225" i="5"/>
  <c r="BB396" i="5"/>
  <c r="BF267" i="5"/>
  <c r="BG464" i="5"/>
  <c r="BI340" i="5"/>
  <c r="BI141" i="5"/>
  <c r="BJ287" i="5"/>
  <c r="BJ192" i="5"/>
  <c r="BJ97" i="5"/>
  <c r="BJ145" i="5"/>
  <c r="BK489" i="5"/>
  <c r="BK141" i="5"/>
  <c r="BL23" i="5"/>
  <c r="BL295" i="5"/>
  <c r="BL287" i="5"/>
  <c r="BL470" i="5"/>
  <c r="BL145" i="5"/>
  <c r="BM64" i="5"/>
  <c r="BM246" i="5"/>
  <c r="BN16" i="5"/>
  <c r="BN494" i="5"/>
  <c r="BN363" i="5"/>
  <c r="BN165" i="5"/>
  <c r="BN246" i="5"/>
  <c r="AX489" i="5"/>
  <c r="AY493" i="5"/>
  <c r="AY192" i="5"/>
  <c r="AY97" i="5"/>
  <c r="AY258" i="5"/>
  <c r="AY175" i="5"/>
  <c r="AY42" i="5"/>
  <c r="BD97" i="5"/>
  <c r="BR292" i="5"/>
  <c r="U166" i="10"/>
  <c r="AT43" i="2" s="1"/>
  <c r="T43" i="2"/>
  <c r="U357" i="5"/>
  <c r="BQ487" i="5"/>
  <c r="BD487" i="5"/>
  <c r="BR475" i="5"/>
  <c r="BB29" i="5"/>
  <c r="AZ13" i="5"/>
  <c r="AZ308" i="5"/>
  <c r="AZ419" i="5"/>
  <c r="AZ411" i="5"/>
  <c r="BE419" i="5"/>
  <c r="BE411" i="5"/>
  <c r="BI411" i="5"/>
  <c r="BN411" i="5"/>
  <c r="BQ355" i="5"/>
  <c r="BQ470" i="5"/>
  <c r="BR411" i="5"/>
  <c r="BO120" i="5"/>
  <c r="S412" i="5"/>
  <c r="BC111" i="5"/>
  <c r="BC214" i="5"/>
  <c r="BC325" i="5"/>
  <c r="BC419" i="5"/>
  <c r="BC411" i="5"/>
  <c r="BL214" i="5"/>
  <c r="BL325" i="5"/>
  <c r="BL419" i="5"/>
  <c r="BL411" i="5"/>
  <c r="BH241" i="5"/>
  <c r="BK214" i="5"/>
  <c r="BK325" i="5"/>
  <c r="BK419" i="5"/>
  <c r="BK411" i="5"/>
  <c r="S46" i="5"/>
  <c r="S420" i="5"/>
  <c r="AX438" i="5"/>
  <c r="BF215" i="5"/>
  <c r="S120" i="5"/>
  <c r="S70" i="5"/>
  <c r="BR438" i="5"/>
  <c r="AW46" i="5"/>
  <c r="AX128" i="5"/>
  <c r="AX420" i="5"/>
  <c r="S326" i="5"/>
  <c r="BI122" i="5"/>
  <c r="BN438" i="5"/>
  <c r="S318" i="5"/>
  <c r="S112" i="5"/>
  <c r="BM46" i="5"/>
  <c r="BM320" i="5"/>
  <c r="BC122" i="5"/>
  <c r="BC114" i="5"/>
  <c r="BC225" i="5"/>
  <c r="BL122" i="5"/>
  <c r="BL114" i="5"/>
  <c r="BL225" i="5"/>
  <c r="AX215" i="5"/>
  <c r="AX318" i="5"/>
  <c r="BM438" i="5"/>
  <c r="BP241" i="5"/>
  <c r="BP438" i="5"/>
  <c r="BC128" i="5"/>
  <c r="BC120" i="5"/>
  <c r="BC112" i="5"/>
  <c r="BC223" i="5"/>
  <c r="BC215" i="5"/>
  <c r="BC326" i="5"/>
  <c r="BC318" i="5"/>
  <c r="BC310" i="5"/>
  <c r="BC420" i="5"/>
  <c r="BC412" i="5"/>
  <c r="BL128" i="5"/>
  <c r="BL120" i="5"/>
  <c r="BL112" i="5"/>
  <c r="BL223" i="5"/>
  <c r="BL215" i="5"/>
  <c r="BL326" i="5"/>
  <c r="BL318" i="5"/>
  <c r="BL310" i="5"/>
  <c r="BL420" i="5"/>
  <c r="BL412" i="5"/>
  <c r="BP343" i="5"/>
  <c r="BR241" i="5"/>
  <c r="AW120" i="5"/>
  <c r="BA128" i="5"/>
  <c r="BA120" i="5"/>
  <c r="BA112" i="5"/>
  <c r="BA223" i="5"/>
  <c r="BA215" i="5"/>
  <c r="BA326" i="5"/>
  <c r="BA318" i="5"/>
  <c r="BA310" i="5"/>
  <c r="BA420" i="5"/>
  <c r="BA412" i="5"/>
  <c r="BC409" i="5"/>
  <c r="BF128" i="5"/>
  <c r="BF120" i="5"/>
  <c r="BF112" i="5"/>
  <c r="BF223" i="5"/>
  <c r="BF326" i="5"/>
  <c r="BF318" i="5"/>
  <c r="BF310" i="5"/>
  <c r="BF420" i="5"/>
  <c r="BF412" i="5"/>
  <c r="BJ128" i="5"/>
  <c r="BJ120" i="5"/>
  <c r="BJ112" i="5"/>
  <c r="BJ223" i="5"/>
  <c r="BJ215" i="5"/>
  <c r="BJ326" i="5"/>
  <c r="BJ318" i="5"/>
  <c r="BJ310" i="5"/>
  <c r="BJ420" i="5"/>
  <c r="BJ412" i="5"/>
  <c r="BL409" i="5"/>
  <c r="BO128" i="5"/>
  <c r="BO112" i="5"/>
  <c r="BO223" i="5"/>
  <c r="BO215" i="5"/>
  <c r="BO326" i="5"/>
  <c r="BO318" i="5"/>
  <c r="BO310" i="5"/>
  <c r="BO420" i="5"/>
  <c r="BO412" i="5"/>
  <c r="BQ128" i="5"/>
  <c r="BQ120" i="5"/>
  <c r="BQ112" i="5"/>
  <c r="BQ223" i="5"/>
  <c r="BQ215" i="5"/>
  <c r="BQ318" i="5"/>
  <c r="BQ310" i="5"/>
  <c r="BQ420" i="5"/>
  <c r="BQ412" i="5"/>
  <c r="BQ46" i="5"/>
  <c r="S215" i="5"/>
  <c r="AW128" i="5"/>
  <c r="AW112" i="5"/>
  <c r="BO438" i="5"/>
  <c r="AW223" i="5"/>
  <c r="AW215" i="5"/>
  <c r="AW326" i="5"/>
  <c r="AW318" i="5"/>
  <c r="AW310" i="5"/>
  <c r="AW420" i="5"/>
  <c r="AW412" i="5"/>
  <c r="S241" i="5"/>
  <c r="S438" i="5"/>
  <c r="AX120" i="5"/>
  <c r="AX326" i="5"/>
  <c r="BQ326" i="5"/>
  <c r="AY128" i="5"/>
  <c r="AY120" i="5"/>
  <c r="AY112" i="5"/>
  <c r="AY223" i="5"/>
  <c r="AY215" i="5"/>
  <c r="AY326" i="5"/>
  <c r="AY318" i="5"/>
  <c r="AY310" i="5"/>
  <c r="AY420" i="5"/>
  <c r="AY412" i="5"/>
  <c r="BH128" i="5"/>
  <c r="BH120" i="5"/>
  <c r="BH112" i="5"/>
  <c r="BH223" i="5"/>
  <c r="BH215" i="5"/>
  <c r="BH326" i="5"/>
  <c r="BH318" i="5"/>
  <c r="BH310" i="5"/>
  <c r="BH420" i="5"/>
  <c r="BH412" i="5"/>
  <c r="BO219" i="5"/>
  <c r="BN490" i="5"/>
  <c r="BO388" i="5"/>
  <c r="BO198" i="5"/>
  <c r="BO190" i="5"/>
  <c r="BO342" i="5"/>
  <c r="BO143" i="5"/>
  <c r="BP495" i="5"/>
  <c r="BP487" i="5"/>
  <c r="BB310" i="5"/>
  <c r="BB412" i="5"/>
  <c r="BG412" i="5"/>
  <c r="BP412" i="5"/>
  <c r="BB441" i="5"/>
  <c r="BB243" i="5"/>
  <c r="BC96" i="5"/>
  <c r="BD27" i="5"/>
  <c r="BD267" i="5"/>
  <c r="BE495" i="5"/>
  <c r="BE99" i="5"/>
  <c r="BE464" i="5"/>
  <c r="BF485" i="5"/>
  <c r="BF390" i="5"/>
  <c r="BF192" i="5"/>
  <c r="BF258" i="5"/>
  <c r="BF175" i="5"/>
  <c r="BF241" i="5"/>
  <c r="BF137" i="5"/>
  <c r="BG394" i="5"/>
  <c r="BG291" i="5"/>
  <c r="BG466" i="5"/>
  <c r="BG375" i="5"/>
  <c r="BG141" i="5"/>
  <c r="BG46" i="5"/>
  <c r="BH23" i="5"/>
  <c r="BH485" i="5"/>
  <c r="BH390" i="5"/>
  <c r="BH295" i="5"/>
  <c r="BH287" i="5"/>
  <c r="BH192" i="5"/>
  <c r="BH175" i="5"/>
  <c r="BH167" i="5"/>
  <c r="BH67" i="5"/>
  <c r="BI27" i="5"/>
  <c r="BI394" i="5"/>
  <c r="BI196" i="5"/>
  <c r="BI267" i="5"/>
  <c r="BI165" i="5"/>
  <c r="BI73" i="5"/>
  <c r="BJ91" i="5"/>
  <c r="BJ355" i="5"/>
  <c r="BJ243" i="5"/>
  <c r="BK388" i="5"/>
  <c r="BK190" i="5"/>
  <c r="BK460" i="5"/>
  <c r="BK174" i="5"/>
  <c r="BK73" i="5"/>
  <c r="BK40" i="5"/>
  <c r="BL464" i="5"/>
  <c r="BL355" i="5"/>
  <c r="BM491" i="5"/>
  <c r="BM175" i="5"/>
  <c r="BK215" i="5"/>
  <c r="BK326" i="5"/>
  <c r="BK318" i="5"/>
  <c r="BK310" i="5"/>
  <c r="BK420" i="5"/>
  <c r="BK412" i="5"/>
  <c r="AX343" i="5"/>
  <c r="AX198" i="5"/>
  <c r="AX95" i="5"/>
  <c r="AX476" i="5"/>
  <c r="AY487" i="5"/>
  <c r="AY392" i="5"/>
  <c r="AY297" i="5"/>
  <c r="AY194" i="5"/>
  <c r="AY472" i="5"/>
  <c r="AY441" i="5"/>
  <c r="AZ198" i="5"/>
  <c r="AZ370" i="5"/>
  <c r="BA492" i="5"/>
  <c r="BA191" i="5"/>
  <c r="BA378" i="5"/>
  <c r="BA243" i="5"/>
  <c r="BB460" i="5"/>
  <c r="BB258" i="5"/>
  <c r="BD297" i="5"/>
  <c r="BD99" i="5"/>
  <c r="BE243" i="5"/>
  <c r="BE147" i="5"/>
  <c r="BF396" i="5"/>
  <c r="BF460" i="5"/>
  <c r="BF247" i="5"/>
  <c r="BG487" i="5"/>
  <c r="BG355" i="5"/>
  <c r="BH476" i="5"/>
  <c r="BH468" i="5"/>
  <c r="BH73" i="5"/>
  <c r="BH445" i="5"/>
  <c r="BH40" i="5"/>
  <c r="BI487" i="5"/>
  <c r="BI297" i="5"/>
  <c r="BI80" i="5"/>
  <c r="BI245" i="5"/>
  <c r="BI46" i="5"/>
  <c r="BJ390" i="5"/>
  <c r="BJ241" i="5"/>
  <c r="BM27" i="5"/>
  <c r="BM196" i="5"/>
  <c r="BN192" i="5"/>
  <c r="BN97" i="5"/>
  <c r="BE112" i="5"/>
  <c r="BE223" i="5"/>
  <c r="BE326" i="5"/>
  <c r="BE318" i="5"/>
  <c r="BN120" i="5"/>
  <c r="BN112" i="5"/>
  <c r="BN223" i="5"/>
  <c r="BN326" i="5"/>
  <c r="BN310" i="5"/>
  <c r="AZ128" i="5"/>
  <c r="AZ120" i="5"/>
  <c r="AZ112" i="5"/>
  <c r="AZ223" i="5"/>
  <c r="AZ215" i="5"/>
  <c r="AZ326" i="5"/>
  <c r="AZ318" i="5"/>
  <c r="AZ310" i="5"/>
  <c r="AZ420" i="5"/>
  <c r="AZ412" i="5"/>
  <c r="BE420" i="5"/>
  <c r="BE412" i="5"/>
  <c r="BI120" i="5"/>
  <c r="BI112" i="5"/>
  <c r="BI223" i="5"/>
  <c r="BI215" i="5"/>
  <c r="BI326" i="5"/>
  <c r="BI318" i="5"/>
  <c r="BI310" i="5"/>
  <c r="BI420" i="5"/>
  <c r="BN420" i="5"/>
  <c r="BN412" i="5"/>
  <c r="BR112" i="5"/>
  <c r="BR223" i="5"/>
  <c r="BR215" i="5"/>
  <c r="BR326" i="5"/>
  <c r="BR318" i="5"/>
  <c r="BR310" i="5"/>
  <c r="BR420" i="5"/>
  <c r="BR412" i="5"/>
  <c r="BD128" i="5"/>
  <c r="BD120" i="5"/>
  <c r="BD223" i="5"/>
  <c r="BD215" i="5"/>
  <c r="BD326" i="5"/>
  <c r="BD318" i="5"/>
  <c r="BD310" i="5"/>
  <c r="BD420" i="5"/>
  <c r="BD412" i="5"/>
  <c r="BM128" i="5"/>
  <c r="BM120" i="5"/>
  <c r="BM112" i="5"/>
  <c r="BM223" i="5"/>
  <c r="BM215" i="5"/>
  <c r="BM326" i="5"/>
  <c r="BM318" i="5"/>
  <c r="BM310" i="5"/>
  <c r="BM420" i="5"/>
  <c r="BM412" i="5"/>
  <c r="BQ241" i="5"/>
  <c r="BQ343" i="5"/>
  <c r="BQ438" i="5"/>
  <c r="M253" i="25"/>
  <c r="M254" i="25"/>
  <c r="M254" i="27"/>
  <c r="N254" i="27" s="1"/>
  <c r="L254" i="27" s="1"/>
  <c r="M255" i="27"/>
  <c r="N255" i="27" s="1"/>
  <c r="K255" i="27" s="1"/>
  <c r="P255" i="27" s="1"/>
  <c r="M251" i="27"/>
  <c r="N251" i="27" s="1"/>
  <c r="K251" i="27" s="1"/>
  <c r="P251" i="27" s="1"/>
  <c r="BF344" i="5"/>
  <c r="W461" i="5"/>
  <c r="AV461" i="5" s="1"/>
  <c r="Z379" i="35"/>
  <c r="BQ462" i="5"/>
  <c r="Z423" i="35"/>
  <c r="BQ454" i="5"/>
  <c r="S357" i="5"/>
  <c r="BO259" i="5"/>
  <c r="BP259" i="5"/>
  <c r="BQ259" i="5"/>
  <c r="BQ258" i="5"/>
  <c r="Y164" i="5"/>
  <c r="AW161" i="5"/>
  <c r="BL72" i="5"/>
  <c r="BN72" i="5"/>
  <c r="BO72" i="5"/>
  <c r="H380" i="35"/>
  <c r="AA79" i="2"/>
  <c r="AI79" i="2"/>
  <c r="AQ79" i="2"/>
  <c r="V79" i="2"/>
  <c r="Y80" i="2"/>
  <c r="AB81" i="2"/>
  <c r="AD79" i="2"/>
  <c r="AG80" i="2"/>
  <c r="AJ81" i="2"/>
  <c r="AL79" i="2"/>
  <c r="AO80" i="2"/>
  <c r="AR81" i="2"/>
  <c r="R81" i="2"/>
  <c r="S81" i="2" s="1"/>
  <c r="W81" i="2"/>
  <c r="Y79" i="2"/>
  <c r="AB80" i="2"/>
  <c r="AE81" i="2"/>
  <c r="AG79" i="2"/>
  <c r="AJ80" i="2"/>
  <c r="AM81" i="2"/>
  <c r="AO79" i="2"/>
  <c r="AR80" i="2"/>
  <c r="R80" i="2"/>
  <c r="W80" i="2"/>
  <c r="Z81" i="2"/>
  <c r="AB79" i="2"/>
  <c r="AE80" i="2"/>
  <c r="AH81" i="2"/>
  <c r="AJ79" i="2"/>
  <c r="AM80" i="2"/>
  <c r="AP81" i="2"/>
  <c r="AR79" i="2"/>
  <c r="R79" i="2"/>
  <c r="W79" i="2"/>
  <c r="Z80" i="2"/>
  <c r="AC81" i="2"/>
  <c r="AE79" i="2"/>
  <c r="AH80" i="2"/>
  <c r="AK81" i="2"/>
  <c r="AM79" i="2"/>
  <c r="AP80" i="2"/>
  <c r="AS81" i="2"/>
  <c r="X81" i="2"/>
  <c r="Z79" i="2"/>
  <c r="AC80" i="2"/>
  <c r="AF81" i="2"/>
  <c r="AH79" i="2"/>
  <c r="AK80" i="2"/>
  <c r="AN81" i="2"/>
  <c r="AP79" i="2"/>
  <c r="AS80" i="2"/>
  <c r="X80" i="2"/>
  <c r="AA81" i="2"/>
  <c r="AC79" i="2"/>
  <c r="AF80" i="2"/>
  <c r="AI81" i="2"/>
  <c r="AK79" i="2"/>
  <c r="AN80" i="2"/>
  <c r="AQ81" i="2"/>
  <c r="AS79" i="2"/>
  <c r="V81" i="2"/>
  <c r="X79" i="2"/>
  <c r="AA80" i="2"/>
  <c r="AD81" i="2"/>
  <c r="AF79" i="2"/>
  <c r="AI80" i="2"/>
  <c r="AQ80" i="2"/>
  <c r="AV346" i="5"/>
  <c r="BQ485" i="5"/>
  <c r="AZ122" i="5"/>
  <c r="AZ114" i="5"/>
  <c r="AZ225" i="5"/>
  <c r="BI114" i="5"/>
  <c r="BR114" i="5"/>
  <c r="BR225" i="5"/>
  <c r="BB122" i="5"/>
  <c r="BB114" i="5"/>
  <c r="BB225" i="5"/>
  <c r="BG122" i="5"/>
  <c r="BG114" i="5"/>
  <c r="BG225" i="5"/>
  <c r="BP114" i="5"/>
  <c r="BP225" i="5"/>
  <c r="S290" i="5"/>
  <c r="S488" i="5"/>
  <c r="BM195" i="5"/>
  <c r="BM178" i="5"/>
  <c r="BG426" i="5"/>
  <c r="BO290" i="5"/>
  <c r="S126" i="5"/>
  <c r="BI63" i="5"/>
  <c r="BO298" i="5"/>
  <c r="S410" i="5"/>
  <c r="S178" i="5"/>
  <c r="AX126" i="5"/>
  <c r="AW195" i="5"/>
  <c r="BA44" i="5"/>
  <c r="AX388" i="5"/>
  <c r="AX460" i="5"/>
  <c r="AX143" i="5"/>
  <c r="AX48" i="5"/>
  <c r="AY495" i="5"/>
  <c r="AZ468" i="5"/>
  <c r="AZ460" i="5"/>
  <c r="BA77" i="5"/>
  <c r="BB241" i="5"/>
  <c r="BC48" i="5"/>
  <c r="BF468" i="5"/>
  <c r="BG338" i="5"/>
  <c r="BH360" i="5"/>
  <c r="BH173" i="5"/>
  <c r="BH143" i="5"/>
  <c r="BI495" i="5"/>
  <c r="BI194" i="5"/>
  <c r="BI472" i="5"/>
  <c r="BI443" i="5"/>
  <c r="BJ295" i="5"/>
  <c r="BJ258" i="5"/>
  <c r="BK394" i="5"/>
  <c r="BK180" i="5"/>
  <c r="BK340" i="5"/>
  <c r="BK245" i="5"/>
  <c r="BK46" i="5"/>
  <c r="BL363" i="5"/>
  <c r="BL241" i="5"/>
  <c r="BM188" i="5"/>
  <c r="BM466" i="5"/>
  <c r="BN470" i="5"/>
  <c r="BN81" i="5"/>
  <c r="BN143" i="5"/>
  <c r="BO392" i="5"/>
  <c r="BO441" i="5"/>
  <c r="BO346" i="5"/>
  <c r="BP395" i="5"/>
  <c r="BP434" i="5"/>
  <c r="BR294" i="5"/>
  <c r="AX292" i="5"/>
  <c r="BB189" i="5"/>
  <c r="BC196" i="5"/>
  <c r="BC474" i="5"/>
  <c r="BD16" i="5"/>
  <c r="BJ438" i="5"/>
  <c r="BK442" i="5"/>
  <c r="BL370" i="5"/>
  <c r="BM374" i="5"/>
  <c r="BN80" i="5"/>
  <c r="BA311" i="5"/>
  <c r="BA421" i="5"/>
  <c r="BA413" i="5"/>
  <c r="BF311" i="5"/>
  <c r="BF421" i="5"/>
  <c r="BF413" i="5"/>
  <c r="BJ311" i="5"/>
  <c r="BJ421" i="5"/>
  <c r="BJ413" i="5"/>
  <c r="BO311" i="5"/>
  <c r="BO421" i="5"/>
  <c r="BO413" i="5"/>
  <c r="BQ311" i="5"/>
  <c r="BQ421" i="5"/>
  <c r="BQ413" i="5"/>
  <c r="BQ47" i="5"/>
  <c r="AZ224" i="5"/>
  <c r="AZ319" i="5"/>
  <c r="AZ311" i="5"/>
  <c r="AZ421" i="5"/>
  <c r="AZ413" i="5"/>
  <c r="BE421" i="5"/>
  <c r="BE413" i="5"/>
  <c r="BI311" i="5"/>
  <c r="BI421" i="5"/>
  <c r="BI413" i="5"/>
  <c r="BN421" i="5"/>
  <c r="BN413" i="5"/>
  <c r="BR311" i="5"/>
  <c r="BR421" i="5"/>
  <c r="BR413" i="5"/>
  <c r="BD224" i="5"/>
  <c r="BD311" i="5"/>
  <c r="BD421" i="5"/>
  <c r="BD413" i="5"/>
  <c r="BM224" i="5"/>
  <c r="BM311" i="5"/>
  <c r="BM421" i="5"/>
  <c r="BM413" i="5"/>
  <c r="AY224" i="5"/>
  <c r="AY319" i="5"/>
  <c r="AY311" i="5"/>
  <c r="AY421" i="5"/>
  <c r="AY413" i="5"/>
  <c r="BH319" i="5"/>
  <c r="BH311" i="5"/>
  <c r="BH421" i="5"/>
  <c r="BH413" i="5"/>
  <c r="BB311" i="5"/>
  <c r="BB421" i="5"/>
  <c r="BB413" i="5"/>
  <c r="BG311" i="5"/>
  <c r="BG421" i="5"/>
  <c r="BG413" i="5"/>
  <c r="BP311" i="5"/>
  <c r="BP421" i="5"/>
  <c r="BP413" i="5"/>
  <c r="BK311" i="5"/>
  <c r="BK421" i="5"/>
  <c r="BK413" i="5"/>
  <c r="AX49" i="5"/>
  <c r="BM475" i="5"/>
  <c r="BM445" i="5"/>
  <c r="BN259" i="5"/>
  <c r="BP388" i="5"/>
  <c r="M252" i="25"/>
  <c r="M253" i="27"/>
  <c r="N253" i="27" s="1"/>
  <c r="O253" i="27" s="1"/>
  <c r="BR30" i="5"/>
  <c r="AY439" i="5"/>
  <c r="BE469" i="5"/>
  <c r="AX417" i="5"/>
  <c r="BE128" i="5"/>
  <c r="BQ16" i="5"/>
  <c r="BI128" i="5"/>
  <c r="BR128" i="5"/>
  <c r="BR120" i="5"/>
  <c r="AX492" i="5"/>
  <c r="AX389" i="5"/>
  <c r="AZ492" i="5"/>
  <c r="BA485" i="5"/>
  <c r="BB418" i="5"/>
  <c r="BG118" i="5"/>
  <c r="BG324" i="5"/>
  <c r="S161" i="5"/>
  <c r="S147" i="5"/>
  <c r="BK63" i="5"/>
  <c r="BL161" i="5"/>
  <c r="BO30" i="5"/>
  <c r="S418" i="5"/>
  <c r="S461" i="5"/>
  <c r="BH439" i="5"/>
  <c r="BJ14" i="5"/>
  <c r="BN44" i="5"/>
  <c r="BB316" i="5"/>
  <c r="BB410" i="5"/>
  <c r="BG213" i="5"/>
  <c r="BP418" i="5"/>
  <c r="BP410" i="5"/>
  <c r="S30" i="5"/>
  <c r="AW63" i="5"/>
  <c r="S269" i="5"/>
  <c r="AW100" i="5"/>
  <c r="AW92" i="5"/>
  <c r="AY372" i="5"/>
  <c r="BR324" i="5"/>
  <c r="AW79" i="5"/>
  <c r="BP372" i="5"/>
  <c r="BK320" i="5"/>
  <c r="BA418" i="5"/>
  <c r="BJ426" i="5"/>
  <c r="BJ410" i="5"/>
  <c r="BO418" i="5"/>
  <c r="BQ410" i="5"/>
  <c r="BQ44" i="5"/>
  <c r="BQ269" i="5"/>
  <c r="BE126" i="5"/>
  <c r="BE221" i="5"/>
  <c r="BE324" i="5"/>
  <c r="BN118" i="5"/>
  <c r="BN324" i="5"/>
  <c r="BN316" i="5"/>
  <c r="BQ30" i="5"/>
  <c r="BQ161" i="5"/>
  <c r="AY418" i="5"/>
  <c r="BF122" i="5"/>
  <c r="BQ320" i="5"/>
  <c r="BB111" i="5"/>
  <c r="BB214" i="5"/>
  <c r="BB325" i="5"/>
  <c r="BB419" i="5"/>
  <c r="BG111" i="5"/>
  <c r="BG214" i="5"/>
  <c r="BG325" i="5"/>
  <c r="BG308" i="5"/>
  <c r="BG419" i="5"/>
  <c r="BP111" i="5"/>
  <c r="BP214" i="5"/>
  <c r="BP325" i="5"/>
  <c r="BP419" i="5"/>
  <c r="BP411" i="5"/>
  <c r="AX397" i="5"/>
  <c r="AX294" i="5"/>
  <c r="AX199" i="5"/>
  <c r="AX191" i="5"/>
  <c r="AX96" i="5"/>
  <c r="AX477" i="5"/>
  <c r="AX469" i="5"/>
  <c r="AX461" i="5"/>
  <c r="AX378" i="5"/>
  <c r="AX174" i="5"/>
  <c r="AX166" i="5"/>
  <c r="AX57" i="5"/>
  <c r="AX335" i="5"/>
  <c r="AX144" i="5"/>
  <c r="AY18" i="5"/>
  <c r="AY496" i="5"/>
  <c r="AY488" i="5"/>
  <c r="BA119" i="5"/>
  <c r="BA111" i="5"/>
  <c r="BA214" i="5"/>
  <c r="BA325" i="5"/>
  <c r="BA419" i="5"/>
  <c r="BA411" i="5"/>
  <c r="BD122" i="5"/>
  <c r="BD225" i="5"/>
  <c r="BF111" i="5"/>
  <c r="BF214" i="5"/>
  <c r="BF325" i="5"/>
  <c r="BF308" i="5"/>
  <c r="BF419" i="5"/>
  <c r="BF411" i="5"/>
  <c r="BJ111" i="5"/>
  <c r="BJ214" i="5"/>
  <c r="BJ325" i="5"/>
  <c r="BJ419" i="5"/>
  <c r="BJ411" i="5"/>
  <c r="BK110" i="5"/>
  <c r="BK316" i="5"/>
  <c r="BM122" i="5"/>
  <c r="BM114" i="5"/>
  <c r="BM225" i="5"/>
  <c r="BO111" i="5"/>
  <c r="BO214" i="5"/>
  <c r="BO325" i="5"/>
  <c r="BO419" i="5"/>
  <c r="BO411" i="5"/>
  <c r="BQ111" i="5"/>
  <c r="BQ214" i="5"/>
  <c r="BQ325" i="5"/>
  <c r="BQ419" i="5"/>
  <c r="BQ411" i="5"/>
  <c r="BQ148" i="5"/>
  <c r="BQ243" i="5"/>
  <c r="BQ72" i="5"/>
  <c r="BA324" i="5"/>
  <c r="BE111" i="5"/>
  <c r="BE214" i="5"/>
  <c r="BE325" i="5"/>
  <c r="BF221" i="5"/>
  <c r="BF324" i="5"/>
  <c r="BH114" i="5"/>
  <c r="BJ126" i="5"/>
  <c r="BJ110" i="5"/>
  <c r="BN127" i="5"/>
  <c r="BN119" i="5"/>
  <c r="BN111" i="5"/>
  <c r="BN214" i="5"/>
  <c r="BN325" i="5"/>
  <c r="BO126" i="5"/>
  <c r="BO324" i="5"/>
  <c r="BQ23" i="5"/>
  <c r="BQ126" i="5"/>
  <c r="BQ118" i="5"/>
  <c r="BQ221" i="5"/>
  <c r="BQ426" i="5"/>
  <c r="BQ179" i="5"/>
  <c r="AZ127" i="5"/>
  <c r="AZ119" i="5"/>
  <c r="AZ111" i="5"/>
  <c r="AZ214" i="5"/>
  <c r="AZ325" i="5"/>
  <c r="BA117" i="5"/>
  <c r="BE308" i="5"/>
  <c r="BI127" i="5"/>
  <c r="BI111" i="5"/>
  <c r="BI214" i="5"/>
  <c r="BI325" i="5"/>
  <c r="BI308" i="5"/>
  <c r="BI419" i="5"/>
  <c r="BN308" i="5"/>
  <c r="BN419" i="5"/>
  <c r="BR111" i="5"/>
  <c r="BR214" i="5"/>
  <c r="BR325" i="5"/>
  <c r="BR308" i="5"/>
  <c r="BR419" i="5"/>
  <c r="BM13" i="5"/>
  <c r="AY111" i="5"/>
  <c r="AY214" i="5"/>
  <c r="AY325" i="5"/>
  <c r="AY308" i="5"/>
  <c r="AY419" i="5"/>
  <c r="AY411" i="5"/>
  <c r="BH111" i="5"/>
  <c r="BH214" i="5"/>
  <c r="BH325" i="5"/>
  <c r="BH308" i="5"/>
  <c r="BH419" i="5"/>
  <c r="BH411" i="5"/>
  <c r="BC121" i="5"/>
  <c r="AY298" i="5"/>
  <c r="AY290" i="5"/>
  <c r="AY195" i="5"/>
  <c r="AY100" i="5"/>
  <c r="AY92" i="5"/>
  <c r="AY473" i="5"/>
  <c r="AY456" i="5"/>
  <c r="AY273" i="5"/>
  <c r="AY161" i="5"/>
  <c r="AY442" i="5"/>
  <c r="AY434" i="5"/>
  <c r="AY244" i="5"/>
  <c r="AY148" i="5"/>
  <c r="AZ30" i="5"/>
  <c r="AZ14" i="5"/>
  <c r="AZ397" i="5"/>
  <c r="AZ389" i="5"/>
  <c r="AZ294" i="5"/>
  <c r="AZ199" i="5"/>
  <c r="AZ191" i="5"/>
  <c r="AZ96" i="5"/>
  <c r="AZ477" i="5"/>
  <c r="AZ469" i="5"/>
  <c r="AZ461" i="5"/>
  <c r="AZ363" i="5"/>
  <c r="AZ161" i="5"/>
  <c r="AZ79" i="5"/>
  <c r="AZ443" i="5"/>
  <c r="AZ340" i="5"/>
  <c r="AZ245" i="5"/>
  <c r="AZ141" i="5"/>
  <c r="AZ46" i="5"/>
  <c r="BA23" i="5"/>
  <c r="BA493" i="5"/>
  <c r="BA390" i="5"/>
  <c r="BA295" i="5"/>
  <c r="BA287" i="5"/>
  <c r="BA192" i="5"/>
  <c r="BA97" i="5"/>
  <c r="BA470" i="5"/>
  <c r="BA259" i="5"/>
  <c r="BA442" i="5"/>
  <c r="BA244" i="5"/>
  <c r="BA148" i="5"/>
  <c r="BB30" i="5"/>
  <c r="BB14" i="5"/>
  <c r="BB492" i="5"/>
  <c r="BB397" i="5"/>
  <c r="BB389" i="5"/>
  <c r="BB294" i="5"/>
  <c r="BB199" i="5"/>
  <c r="BB191" i="5"/>
  <c r="BB96" i="5"/>
  <c r="BB477" i="5"/>
  <c r="BB469" i="5"/>
  <c r="BB461" i="5"/>
  <c r="BB371" i="5"/>
  <c r="BB363" i="5"/>
  <c r="BB279" i="5"/>
  <c r="BB168" i="5"/>
  <c r="BB158" i="5"/>
  <c r="BB76" i="5"/>
  <c r="BB59" i="5"/>
  <c r="BB440" i="5"/>
  <c r="BB337" i="5"/>
  <c r="BB147" i="5"/>
  <c r="BB44" i="5"/>
  <c r="BC491" i="5"/>
  <c r="BC396" i="5"/>
  <c r="BC388" i="5"/>
  <c r="BC198" i="5"/>
  <c r="BC190" i="5"/>
  <c r="BC95" i="5"/>
  <c r="BC476" i="5"/>
  <c r="BC468" i="5"/>
  <c r="BC460" i="5"/>
  <c r="BC57" i="5"/>
  <c r="BC438" i="5"/>
  <c r="BC343" i="5"/>
  <c r="BC240" i="5"/>
  <c r="BC144" i="5"/>
  <c r="BC49" i="5"/>
  <c r="BD18" i="5"/>
  <c r="BD496" i="5"/>
  <c r="BD290" i="5"/>
  <c r="BD100" i="5"/>
  <c r="BD92" i="5"/>
  <c r="BD473" i="5"/>
  <c r="BD456" i="5"/>
  <c r="BD180" i="5"/>
  <c r="BD172" i="5"/>
  <c r="BD80" i="5"/>
  <c r="BD72" i="5"/>
  <c r="BD246" i="5"/>
  <c r="BD237" i="5"/>
  <c r="BD47" i="5"/>
  <c r="BE288" i="5"/>
  <c r="BE463" i="5"/>
  <c r="BE355" i="5"/>
  <c r="BE442" i="5"/>
  <c r="BE244" i="5"/>
  <c r="BE148" i="5"/>
  <c r="BF30" i="5"/>
  <c r="BF14" i="5"/>
  <c r="BF492" i="5"/>
  <c r="BF397" i="5"/>
  <c r="BF389" i="5"/>
  <c r="BF294" i="5"/>
  <c r="BF199" i="5"/>
  <c r="BF191" i="5"/>
  <c r="BF96" i="5"/>
  <c r="BF477" i="5"/>
  <c r="BF461" i="5"/>
  <c r="BF378" i="5"/>
  <c r="BF269" i="5"/>
  <c r="BF174" i="5"/>
  <c r="BF166" i="5"/>
  <c r="BF66" i="5"/>
  <c r="BF57" i="5"/>
  <c r="BF438" i="5"/>
  <c r="BF240" i="5"/>
  <c r="BF49" i="5"/>
  <c r="BG18" i="5"/>
  <c r="AX491" i="5"/>
  <c r="AX190" i="5"/>
  <c r="AX468" i="5"/>
  <c r="AX73" i="5"/>
  <c r="AX65" i="5"/>
  <c r="AX239" i="5"/>
  <c r="AY91" i="5"/>
  <c r="AY464" i="5"/>
  <c r="AY147" i="5"/>
  <c r="AZ491" i="5"/>
  <c r="AZ396" i="5"/>
  <c r="AZ388" i="5"/>
  <c r="AZ190" i="5"/>
  <c r="AZ269" i="5"/>
  <c r="AZ258" i="5"/>
  <c r="AZ434" i="5"/>
  <c r="AZ244" i="5"/>
  <c r="BA389" i="5"/>
  <c r="BA294" i="5"/>
  <c r="BA199" i="5"/>
  <c r="BA96" i="5"/>
  <c r="BA461" i="5"/>
  <c r="BA175" i="5"/>
  <c r="BA441" i="5"/>
  <c r="BB388" i="5"/>
  <c r="BB198" i="5"/>
  <c r="BB95" i="5"/>
  <c r="BB378" i="5"/>
  <c r="BB175" i="5"/>
  <c r="BB167" i="5"/>
  <c r="BC395" i="5"/>
  <c r="BC292" i="5"/>
  <c r="BC165" i="5"/>
  <c r="BC81" i="5"/>
  <c r="BC65" i="5"/>
  <c r="AX490" i="5"/>
  <c r="AX395" i="5"/>
  <c r="AX197" i="5"/>
  <c r="AX189" i="5"/>
  <c r="AX376" i="5"/>
  <c r="AX180" i="5"/>
  <c r="AX80" i="5"/>
  <c r="AX72" i="5"/>
  <c r="AX444" i="5"/>
  <c r="AX246" i="5"/>
  <c r="AX237" i="5"/>
  <c r="AX47" i="5"/>
  <c r="AY494" i="5"/>
  <c r="AY296" i="5"/>
  <c r="AY288" i="5"/>
  <c r="AY463" i="5"/>
  <c r="AY279" i="5"/>
  <c r="AY158" i="5"/>
  <c r="AY440" i="5"/>
  <c r="AZ490" i="5"/>
  <c r="AZ395" i="5"/>
  <c r="AZ292" i="5"/>
  <c r="AZ197" i="5"/>
  <c r="AZ189" i="5"/>
  <c r="AZ475" i="5"/>
  <c r="AZ360" i="5"/>
  <c r="AZ267" i="5"/>
  <c r="AZ175" i="5"/>
  <c r="AZ167" i="5"/>
  <c r="AZ441" i="5"/>
  <c r="AZ338" i="5"/>
  <c r="AZ243" i="5"/>
  <c r="AZ147" i="5"/>
  <c r="BA95" i="5"/>
  <c r="BA476" i="5"/>
  <c r="BA468" i="5"/>
  <c r="BA460" i="5"/>
  <c r="BA267" i="5"/>
  <c r="AX394" i="5"/>
  <c r="AX291" i="5"/>
  <c r="AX196" i="5"/>
  <c r="AX188" i="5"/>
  <c r="AX93" i="5"/>
  <c r="AX474" i="5"/>
  <c r="AX466" i="5"/>
  <c r="AX375" i="5"/>
  <c r="AX179" i="5"/>
  <c r="AX443" i="5"/>
  <c r="AX340" i="5"/>
  <c r="AX245" i="5"/>
  <c r="AX141" i="5"/>
  <c r="AX46" i="5"/>
  <c r="AY23" i="5"/>
  <c r="AY485" i="5"/>
  <c r="AY287" i="5"/>
  <c r="AY371" i="5"/>
  <c r="AY167" i="5"/>
  <c r="AY241" i="5"/>
  <c r="AY145" i="5"/>
  <c r="AZ27" i="5"/>
  <c r="AZ489" i="5"/>
  <c r="AZ394" i="5"/>
  <c r="AZ291" i="5"/>
  <c r="AZ196" i="5"/>
  <c r="AZ188" i="5"/>
  <c r="AZ93" i="5"/>
  <c r="AZ474" i="5"/>
  <c r="AZ466" i="5"/>
  <c r="AZ376" i="5"/>
  <c r="AZ174" i="5"/>
  <c r="AZ166" i="5"/>
  <c r="AZ158" i="5"/>
  <c r="AZ76" i="5"/>
  <c r="AZ440" i="5"/>
  <c r="BA490" i="5"/>
  <c r="BA395" i="5"/>
  <c r="BA292" i="5"/>
  <c r="BA197" i="5"/>
  <c r="BA189" i="5"/>
  <c r="BA376" i="5"/>
  <c r="BA275" i="5"/>
  <c r="BA165" i="5"/>
  <c r="BA67" i="5"/>
  <c r="BA439" i="5"/>
  <c r="BA241" i="5"/>
  <c r="BB27" i="5"/>
  <c r="BB489" i="5"/>
  <c r="BB394" i="5"/>
  <c r="BB291" i="5"/>
  <c r="BB196" i="5"/>
  <c r="BB188" i="5"/>
  <c r="BB93" i="5"/>
  <c r="BB474" i="5"/>
  <c r="BB466" i="5"/>
  <c r="BB376" i="5"/>
  <c r="BB267" i="5"/>
  <c r="BB173" i="5"/>
  <c r="BB165" i="5"/>
  <c r="BB81" i="5"/>
  <c r="BB73" i="5"/>
  <c r="BB65" i="5"/>
  <c r="BB445" i="5"/>
  <c r="AX298" i="5"/>
  <c r="AX290" i="5"/>
  <c r="AX195" i="5"/>
  <c r="AX92" i="5"/>
  <c r="AX456" i="5"/>
  <c r="AX70" i="5"/>
  <c r="AX434" i="5"/>
  <c r="AX244" i="5"/>
  <c r="AX148" i="5"/>
  <c r="AY30" i="5"/>
  <c r="AY492" i="5"/>
  <c r="AY389" i="5"/>
  <c r="AY199" i="5"/>
  <c r="AY96" i="5"/>
  <c r="AY269" i="5"/>
  <c r="AY166" i="5"/>
  <c r="AY66" i="5"/>
  <c r="AY438" i="5"/>
  <c r="AY343" i="5"/>
  <c r="AY144" i="5"/>
  <c r="AY49" i="5"/>
  <c r="AZ18" i="5"/>
  <c r="AZ496" i="5"/>
  <c r="AZ298" i="5"/>
  <c r="AZ290" i="5"/>
  <c r="AZ195" i="5"/>
  <c r="AZ92" i="5"/>
  <c r="AZ457" i="5"/>
  <c r="AZ375" i="5"/>
  <c r="AZ165" i="5"/>
  <c r="AZ439" i="5"/>
  <c r="AZ241" i="5"/>
  <c r="BA291" i="5"/>
  <c r="BA196" i="5"/>
  <c r="BA188" i="5"/>
  <c r="BA93" i="5"/>
  <c r="BA474" i="5"/>
  <c r="BA375" i="5"/>
  <c r="AX392" i="5"/>
  <c r="AX441" i="5"/>
  <c r="AZ495" i="5"/>
  <c r="AZ356" i="5"/>
  <c r="AZ66" i="5"/>
  <c r="BA374" i="5"/>
  <c r="AX463" i="5"/>
  <c r="AX158" i="5"/>
  <c r="AX76" i="5"/>
  <c r="AY395" i="5"/>
  <c r="AY292" i="5"/>
  <c r="AY197" i="5"/>
  <c r="AY189" i="5"/>
  <c r="AY246" i="5"/>
  <c r="AY47" i="5"/>
  <c r="AZ16" i="5"/>
  <c r="AZ463" i="5"/>
  <c r="AZ179" i="5"/>
  <c r="AZ81" i="5"/>
  <c r="AZ73" i="5"/>
  <c r="AZ65" i="5"/>
  <c r="AZ40" i="5"/>
  <c r="BA495" i="5"/>
  <c r="BA487" i="5"/>
  <c r="BA297" i="5"/>
  <c r="BA194" i="5"/>
  <c r="BA99" i="5"/>
  <c r="BA472" i="5"/>
  <c r="BA464" i="5"/>
  <c r="BA355" i="5"/>
  <c r="AX58" i="5"/>
  <c r="AY291" i="5"/>
  <c r="AY474" i="5"/>
  <c r="AY375" i="5"/>
  <c r="AY79" i="5"/>
  <c r="AY46" i="5"/>
  <c r="AZ493" i="5"/>
  <c r="AZ80" i="5"/>
  <c r="BA16" i="5"/>
  <c r="BA471" i="5"/>
  <c r="BA279" i="5"/>
  <c r="BG298" i="5"/>
  <c r="BG290" i="5"/>
  <c r="BG100" i="5"/>
  <c r="BG473" i="5"/>
  <c r="BG456" i="5"/>
  <c r="BG273" i="5"/>
  <c r="BG178" i="5"/>
  <c r="BG70" i="5"/>
  <c r="BG442" i="5"/>
  <c r="BG244" i="5"/>
  <c r="BG148" i="5"/>
  <c r="BH30" i="5"/>
  <c r="BH22" i="5"/>
  <c r="BH492" i="5"/>
  <c r="BH397" i="5"/>
  <c r="BH389" i="5"/>
  <c r="BH294" i="5"/>
  <c r="BH199" i="5"/>
  <c r="BH191" i="5"/>
  <c r="BH96" i="5"/>
  <c r="BH477" i="5"/>
  <c r="BH469" i="5"/>
  <c r="BH174" i="5"/>
  <c r="BH66" i="5"/>
  <c r="BH438" i="5"/>
  <c r="BH240" i="5"/>
  <c r="BH49" i="5"/>
  <c r="BI18" i="5"/>
  <c r="BI298" i="5"/>
  <c r="BI195" i="5"/>
  <c r="BI100" i="5"/>
  <c r="BI92" i="5"/>
  <c r="BI180" i="5"/>
  <c r="BI172" i="5"/>
  <c r="BD495" i="5"/>
  <c r="BD194" i="5"/>
  <c r="BD472" i="5"/>
  <c r="BD464" i="5"/>
  <c r="BD443" i="5"/>
  <c r="BD245" i="5"/>
  <c r="BF388" i="5"/>
  <c r="BF190" i="5"/>
  <c r="BF476" i="5"/>
  <c r="BF360" i="5"/>
  <c r="BF165" i="5"/>
  <c r="BF81" i="5"/>
  <c r="BF73" i="5"/>
  <c r="BF342" i="5"/>
  <c r="BF40" i="5"/>
  <c r="BG495" i="5"/>
  <c r="BG392" i="5"/>
  <c r="BG297" i="5"/>
  <c r="BG99" i="5"/>
  <c r="BG91" i="5"/>
  <c r="BA174" i="5"/>
  <c r="BA166" i="5"/>
  <c r="BA158" i="5"/>
  <c r="BA76" i="5"/>
  <c r="BA440" i="5"/>
  <c r="BB490" i="5"/>
  <c r="BB395" i="5"/>
  <c r="BB292" i="5"/>
  <c r="BB197" i="5"/>
  <c r="BB174" i="5"/>
  <c r="BB57" i="5"/>
  <c r="BB438" i="5"/>
  <c r="BB240" i="5"/>
  <c r="BB42" i="5"/>
  <c r="BC27" i="5"/>
  <c r="BC19" i="5"/>
  <c r="BC489" i="5"/>
  <c r="BC394" i="5"/>
  <c r="BC291" i="5"/>
  <c r="BC188" i="5"/>
  <c r="BC93" i="5"/>
  <c r="BC376" i="5"/>
  <c r="BC275" i="5"/>
  <c r="BC180" i="5"/>
  <c r="BC72" i="5"/>
  <c r="BC444" i="5"/>
  <c r="BC246" i="5"/>
  <c r="BC237" i="5"/>
  <c r="BC47" i="5"/>
  <c r="BD355" i="5"/>
  <c r="BD148" i="5"/>
  <c r="BE30" i="5"/>
  <c r="BE492" i="5"/>
  <c r="BE397" i="5"/>
  <c r="BE389" i="5"/>
  <c r="BE294" i="5"/>
  <c r="BE199" i="5"/>
  <c r="BE191" i="5"/>
  <c r="BE96" i="5"/>
  <c r="BE477" i="5"/>
  <c r="BE371" i="5"/>
  <c r="BE363" i="5"/>
  <c r="BE259" i="5"/>
  <c r="BE158" i="5"/>
  <c r="BE76" i="5"/>
  <c r="BE68" i="5"/>
  <c r="BF490" i="5"/>
  <c r="BF395" i="5"/>
  <c r="BF292" i="5"/>
  <c r="BF197" i="5"/>
  <c r="BF189" i="5"/>
  <c r="BF376" i="5"/>
  <c r="BF180" i="5"/>
  <c r="BF80" i="5"/>
  <c r="BF72" i="5"/>
  <c r="BF246" i="5"/>
  <c r="BB239" i="5"/>
  <c r="BB144" i="5"/>
  <c r="BB49" i="5"/>
  <c r="BC18" i="5"/>
  <c r="BC496" i="5"/>
  <c r="BC290" i="5"/>
  <c r="BC195" i="5"/>
  <c r="BC100" i="5"/>
  <c r="BC92" i="5"/>
  <c r="BC473" i="5"/>
  <c r="BC375" i="5"/>
  <c r="BC179" i="5"/>
  <c r="BC79" i="5"/>
  <c r="BC340" i="5"/>
  <c r="BC245" i="5"/>
  <c r="BC141" i="5"/>
  <c r="BC46" i="5"/>
  <c r="BD23" i="5"/>
  <c r="BD493" i="5"/>
  <c r="BD485" i="5"/>
  <c r="BD390" i="5"/>
  <c r="BD295" i="5"/>
  <c r="BD287" i="5"/>
  <c r="BD192" i="5"/>
  <c r="BD470" i="5"/>
  <c r="BD371" i="5"/>
  <c r="BD77" i="5"/>
  <c r="BD441" i="5"/>
  <c r="BD338" i="5"/>
  <c r="BD243" i="5"/>
  <c r="BD147" i="5"/>
  <c r="BE491" i="5"/>
  <c r="BE396" i="5"/>
  <c r="BE388" i="5"/>
  <c r="BE198" i="5"/>
  <c r="BE190" i="5"/>
  <c r="BE95" i="5"/>
  <c r="BE476" i="5"/>
  <c r="BE468" i="5"/>
  <c r="BE269" i="5"/>
  <c r="BE258" i="5"/>
  <c r="BE175" i="5"/>
  <c r="BE167" i="5"/>
  <c r="BE75" i="5"/>
  <c r="BE67" i="5"/>
  <c r="BE439" i="5"/>
  <c r="BE344" i="5"/>
  <c r="BE241" i="5"/>
  <c r="BE145" i="5"/>
  <c r="BE42" i="5"/>
  <c r="BF27" i="5"/>
  <c r="BF489" i="5"/>
  <c r="BF394" i="5"/>
  <c r="BF291" i="5"/>
  <c r="BF196" i="5"/>
  <c r="BF188" i="5"/>
  <c r="BF93" i="5"/>
  <c r="BF466" i="5"/>
  <c r="BF375" i="5"/>
  <c r="BF179" i="5"/>
  <c r="BF141" i="5"/>
  <c r="BF46" i="5"/>
  <c r="BG23" i="5"/>
  <c r="BG493" i="5"/>
  <c r="BG390" i="5"/>
  <c r="BG295" i="5"/>
  <c r="BG287" i="5"/>
  <c r="BG192" i="5"/>
  <c r="BG97" i="5"/>
  <c r="BG470" i="5"/>
  <c r="BG371" i="5"/>
  <c r="BG258" i="5"/>
  <c r="BG167" i="5"/>
  <c r="BG75" i="5"/>
  <c r="BG67" i="5"/>
  <c r="BG439" i="5"/>
  <c r="BG344" i="5"/>
  <c r="BG241" i="5"/>
  <c r="BA180" i="5"/>
  <c r="BA66" i="5"/>
  <c r="BA57" i="5"/>
  <c r="BA343" i="5"/>
  <c r="BA335" i="5"/>
  <c r="BA240" i="5"/>
  <c r="BA144" i="5"/>
  <c r="BA49" i="5"/>
  <c r="BB18" i="5"/>
  <c r="BB496" i="5"/>
  <c r="BB473" i="5"/>
  <c r="BB375" i="5"/>
  <c r="BB275" i="5"/>
  <c r="BB180" i="5"/>
  <c r="BB80" i="5"/>
  <c r="BB72" i="5"/>
  <c r="BB444" i="5"/>
  <c r="BB246" i="5"/>
  <c r="BB143" i="5"/>
  <c r="BC495" i="5"/>
  <c r="BC487" i="5"/>
  <c r="BC392" i="5"/>
  <c r="BC297" i="5"/>
  <c r="BC99" i="5"/>
  <c r="BC91" i="5"/>
  <c r="BC464" i="5"/>
  <c r="BC374" i="5"/>
  <c r="BC442" i="5"/>
  <c r="BC434" i="5"/>
  <c r="BC244" i="5"/>
  <c r="BC148" i="5"/>
  <c r="BD22" i="5"/>
  <c r="BD492" i="5"/>
  <c r="BD397" i="5"/>
  <c r="BD389" i="5"/>
  <c r="BD191" i="5"/>
  <c r="BD96" i="5"/>
  <c r="BD469" i="5"/>
  <c r="BD279" i="5"/>
  <c r="BD158" i="5"/>
  <c r="BD76" i="5"/>
  <c r="BD440" i="5"/>
  <c r="BE292" i="5"/>
  <c r="BE377" i="5"/>
  <c r="BE267" i="5"/>
  <c r="BE166" i="5"/>
  <c r="BE57" i="5"/>
  <c r="BE438" i="5"/>
  <c r="BE49" i="5"/>
  <c r="BF18" i="5"/>
  <c r="BF273" i="5"/>
  <c r="BB392" i="5"/>
  <c r="BB464" i="5"/>
  <c r="BC494" i="5"/>
  <c r="BE165" i="5"/>
  <c r="BF487" i="5"/>
  <c r="BF69" i="5"/>
  <c r="BA72" i="5"/>
  <c r="BA444" i="5"/>
  <c r="BA246" i="5"/>
  <c r="BA237" i="5"/>
  <c r="BB16" i="5"/>
  <c r="BB296" i="5"/>
  <c r="BB288" i="5"/>
  <c r="BB463" i="5"/>
  <c r="BB442" i="5"/>
  <c r="BB244" i="5"/>
  <c r="BB141" i="5"/>
  <c r="BC23" i="5"/>
  <c r="BC485" i="5"/>
  <c r="BC295" i="5"/>
  <c r="BC192" i="5"/>
  <c r="BC279" i="5"/>
  <c r="BC259" i="5"/>
  <c r="BD490" i="5"/>
  <c r="BD292" i="5"/>
  <c r="BD197" i="5"/>
  <c r="BD376" i="5"/>
  <c r="BD174" i="5"/>
  <c r="BD166" i="5"/>
  <c r="BD438" i="5"/>
  <c r="BD343" i="5"/>
  <c r="BE18" i="5"/>
  <c r="BE298" i="5"/>
  <c r="BE195" i="5"/>
  <c r="BE100" i="5"/>
  <c r="BE180" i="5"/>
  <c r="BE72" i="5"/>
  <c r="BE246" i="5"/>
  <c r="BF158" i="5"/>
  <c r="BF76" i="5"/>
  <c r="BA161" i="5"/>
  <c r="BA340" i="5"/>
  <c r="BA245" i="5"/>
  <c r="BB23" i="5"/>
  <c r="BB287" i="5"/>
  <c r="BB192" i="5"/>
  <c r="BB470" i="5"/>
  <c r="BB462" i="5"/>
  <c r="BB355" i="5"/>
  <c r="BB338" i="5"/>
  <c r="BC492" i="5"/>
  <c r="BC397" i="5"/>
  <c r="BC294" i="5"/>
  <c r="BC461" i="5"/>
  <c r="BC363" i="5"/>
  <c r="BC241" i="5"/>
  <c r="BC145" i="5"/>
  <c r="BC137" i="5"/>
  <c r="BD489" i="5"/>
  <c r="BD394" i="5"/>
  <c r="BD291" i="5"/>
  <c r="BD196" i="5"/>
  <c r="BD188" i="5"/>
  <c r="BD457" i="5"/>
  <c r="BD375" i="5"/>
  <c r="BD173" i="5"/>
  <c r="BD165" i="5"/>
  <c r="BD81" i="5"/>
  <c r="BD73" i="5"/>
  <c r="BD65" i="5"/>
  <c r="BD342" i="5"/>
  <c r="BD40" i="5"/>
  <c r="BE392" i="5"/>
  <c r="BE297" i="5"/>
  <c r="BE194" i="5"/>
  <c r="BE91" i="5"/>
  <c r="BE456" i="5"/>
  <c r="BE374" i="5"/>
  <c r="BE273" i="5"/>
  <c r="BE179" i="5"/>
  <c r="BE141" i="5"/>
  <c r="BE46" i="5"/>
  <c r="BF23" i="5"/>
  <c r="BF295" i="5"/>
  <c r="BF97" i="5"/>
  <c r="BF371" i="5"/>
  <c r="BF363" i="5"/>
  <c r="BF67" i="5"/>
  <c r="BF439" i="5"/>
  <c r="BI81" i="5"/>
  <c r="BI72" i="5"/>
  <c r="BI64" i="5"/>
  <c r="BI444" i="5"/>
  <c r="BI246" i="5"/>
  <c r="BI237" i="5"/>
  <c r="BI47" i="5"/>
  <c r="BJ16" i="5"/>
  <c r="BJ494" i="5"/>
  <c r="BJ296" i="5"/>
  <c r="BJ463" i="5"/>
  <c r="BJ279" i="5"/>
  <c r="BJ440" i="5"/>
  <c r="BJ337" i="5"/>
  <c r="BK490" i="5"/>
  <c r="BK395" i="5"/>
  <c r="BK292" i="5"/>
  <c r="BK197" i="5"/>
  <c r="BK267" i="5"/>
  <c r="BK173" i="5"/>
  <c r="BK165" i="5"/>
  <c r="BK81" i="5"/>
  <c r="BK72" i="5"/>
  <c r="BK246" i="5"/>
  <c r="BK237" i="5"/>
  <c r="BK47" i="5"/>
  <c r="BG69" i="5"/>
  <c r="BG243" i="5"/>
  <c r="BH396" i="5"/>
  <c r="BH388" i="5"/>
  <c r="BH198" i="5"/>
  <c r="BH460" i="5"/>
  <c r="BI99" i="5"/>
  <c r="BJ371" i="5"/>
  <c r="BJ67" i="5"/>
  <c r="BJ137" i="5"/>
  <c r="BG259" i="5"/>
  <c r="BG158" i="5"/>
  <c r="BG76" i="5"/>
  <c r="BG337" i="5"/>
  <c r="BH490" i="5"/>
  <c r="BH395" i="5"/>
  <c r="BH292" i="5"/>
  <c r="BH475" i="5"/>
  <c r="BH376" i="5"/>
  <c r="BH180" i="5"/>
  <c r="BH72" i="5"/>
  <c r="BH246" i="5"/>
  <c r="BI372" i="5"/>
  <c r="BI355" i="5"/>
  <c r="BI273" i="5"/>
  <c r="BI178" i="5"/>
  <c r="BI79" i="5"/>
  <c r="BI70" i="5"/>
  <c r="BI442" i="5"/>
  <c r="BI244" i="5"/>
  <c r="BI148" i="5"/>
  <c r="BJ492" i="5"/>
  <c r="BJ397" i="5"/>
  <c r="BJ389" i="5"/>
  <c r="BJ294" i="5"/>
  <c r="BJ191" i="5"/>
  <c r="BJ96" i="5"/>
  <c r="BJ469" i="5"/>
  <c r="BJ378" i="5"/>
  <c r="BJ370" i="5"/>
  <c r="BJ166" i="5"/>
  <c r="BJ57" i="5"/>
  <c r="BJ343" i="5"/>
  <c r="BJ144" i="5"/>
  <c r="BJ49" i="5"/>
  <c r="BK195" i="5"/>
  <c r="BK100" i="5"/>
  <c r="BK374" i="5"/>
  <c r="BK357" i="5"/>
  <c r="BK79" i="5"/>
  <c r="BK244" i="5"/>
  <c r="BK148" i="5"/>
  <c r="BG145" i="5"/>
  <c r="BH489" i="5"/>
  <c r="BH394" i="5"/>
  <c r="BH291" i="5"/>
  <c r="BH196" i="5"/>
  <c r="BH188" i="5"/>
  <c r="BH474" i="5"/>
  <c r="BH466" i="5"/>
  <c r="BH375" i="5"/>
  <c r="BH357" i="5"/>
  <c r="BH179" i="5"/>
  <c r="BH80" i="5"/>
  <c r="BH141" i="5"/>
  <c r="BI493" i="5"/>
  <c r="BI485" i="5"/>
  <c r="BI390" i="5"/>
  <c r="BI295" i="5"/>
  <c r="BI287" i="5"/>
  <c r="BI192" i="5"/>
  <c r="BI97" i="5"/>
  <c r="BI470" i="5"/>
  <c r="BI371" i="5"/>
  <c r="BI441" i="5"/>
  <c r="BI338" i="5"/>
  <c r="BI243" i="5"/>
  <c r="BI147" i="5"/>
  <c r="BJ491" i="5"/>
  <c r="BJ396" i="5"/>
  <c r="BJ388" i="5"/>
  <c r="BJ198" i="5"/>
  <c r="BJ190" i="5"/>
  <c r="BJ95" i="5"/>
  <c r="BJ476" i="5"/>
  <c r="BJ468" i="5"/>
  <c r="BJ165" i="5"/>
  <c r="BJ73" i="5"/>
  <c r="BJ65" i="5"/>
  <c r="BJ445" i="5"/>
  <c r="BJ437" i="5"/>
  <c r="BJ143" i="5"/>
  <c r="BJ40" i="5"/>
  <c r="BK495" i="5"/>
  <c r="BK487" i="5"/>
  <c r="BK392" i="5"/>
  <c r="BK297" i="5"/>
  <c r="BK194" i="5"/>
  <c r="BK99" i="5"/>
  <c r="BK91" i="5"/>
  <c r="BK472" i="5"/>
  <c r="BK464" i="5"/>
  <c r="BK273" i="5"/>
  <c r="BK441" i="5"/>
  <c r="BK338" i="5"/>
  <c r="BK243" i="5"/>
  <c r="BL491" i="5"/>
  <c r="BL396" i="5"/>
  <c r="BL388" i="5"/>
  <c r="BL198" i="5"/>
  <c r="BL190" i="5"/>
  <c r="BL95" i="5"/>
  <c r="BL476" i="5"/>
  <c r="BL468" i="5"/>
  <c r="BG492" i="5"/>
  <c r="BG397" i="5"/>
  <c r="BG199" i="5"/>
  <c r="BG96" i="5"/>
  <c r="BG469" i="5"/>
  <c r="BG74" i="5"/>
  <c r="BG57" i="5"/>
  <c r="BG438" i="5"/>
  <c r="BG240" i="5"/>
  <c r="BG49" i="5"/>
  <c r="BH195" i="5"/>
  <c r="BH473" i="5"/>
  <c r="BH273" i="5"/>
  <c r="BH434" i="5"/>
  <c r="BH148" i="5"/>
  <c r="BI22" i="5"/>
  <c r="BI294" i="5"/>
  <c r="BI199" i="5"/>
  <c r="BI191" i="5"/>
  <c r="BI461" i="5"/>
  <c r="BI279" i="5"/>
  <c r="BI259" i="5"/>
  <c r="BI77" i="5"/>
  <c r="BJ490" i="5"/>
  <c r="BJ395" i="5"/>
  <c r="BJ292" i="5"/>
  <c r="BJ197" i="5"/>
  <c r="BJ172" i="5"/>
  <c r="BJ246" i="5"/>
  <c r="BJ47" i="5"/>
  <c r="BK288" i="5"/>
  <c r="BK463" i="5"/>
  <c r="BK355" i="5"/>
  <c r="BG48" i="5"/>
  <c r="BG40" i="5"/>
  <c r="BH495" i="5"/>
  <c r="BH487" i="5"/>
  <c r="BH194" i="5"/>
  <c r="BH99" i="5"/>
  <c r="BH464" i="5"/>
  <c r="BH441" i="5"/>
  <c r="BI198" i="5"/>
  <c r="BI258" i="5"/>
  <c r="BI175" i="5"/>
  <c r="BI42" i="5"/>
  <c r="BJ489" i="5"/>
  <c r="BJ394" i="5"/>
  <c r="BJ291" i="5"/>
  <c r="BJ188" i="5"/>
  <c r="BJ179" i="5"/>
  <c r="BJ80" i="5"/>
  <c r="BJ443" i="5"/>
  <c r="BJ340" i="5"/>
  <c r="BJ46" i="5"/>
  <c r="BK493" i="5"/>
  <c r="BK390" i="5"/>
  <c r="BK295" i="5"/>
  <c r="BK287" i="5"/>
  <c r="BK97" i="5"/>
  <c r="BK158" i="5"/>
  <c r="BK241" i="5"/>
  <c r="BG490" i="5"/>
  <c r="BG292" i="5"/>
  <c r="BG376" i="5"/>
  <c r="BG180" i="5"/>
  <c r="BG72" i="5"/>
  <c r="BH463" i="5"/>
  <c r="BI395" i="5"/>
  <c r="BI292" i="5"/>
  <c r="BI376" i="5"/>
  <c r="BI335" i="5"/>
  <c r="BJ496" i="5"/>
  <c r="BJ298" i="5"/>
  <c r="BJ290" i="5"/>
  <c r="BJ374" i="5"/>
  <c r="BJ161" i="5"/>
  <c r="BJ244" i="5"/>
  <c r="BK30" i="5"/>
  <c r="BK492" i="5"/>
  <c r="BK397" i="5"/>
  <c r="BK389" i="5"/>
  <c r="BK294" i="5"/>
  <c r="BK477" i="5"/>
  <c r="BK370" i="5"/>
  <c r="BK66" i="5"/>
  <c r="BK335" i="5"/>
  <c r="BK144" i="5"/>
  <c r="BK49" i="5"/>
  <c r="BL18" i="5"/>
  <c r="BL100" i="5"/>
  <c r="BL92" i="5"/>
  <c r="BL148" i="5"/>
  <c r="BM14" i="5"/>
  <c r="BM477" i="5"/>
  <c r="BG196" i="5"/>
  <c r="BL16" i="5"/>
  <c r="BL494" i="5"/>
  <c r="BL296" i="5"/>
  <c r="BL463" i="5"/>
  <c r="BL454" i="5"/>
  <c r="BL279" i="5"/>
  <c r="BM490" i="5"/>
  <c r="BM395" i="5"/>
  <c r="BM197" i="5"/>
  <c r="BM174" i="5"/>
  <c r="BM73" i="5"/>
  <c r="BM65" i="5"/>
  <c r="BM342" i="5"/>
  <c r="BM143" i="5"/>
  <c r="BM40" i="5"/>
  <c r="BN495" i="5"/>
  <c r="BN487" i="5"/>
  <c r="BN279" i="5"/>
  <c r="BN166" i="5"/>
  <c r="BN73" i="5"/>
  <c r="BN65" i="5"/>
  <c r="BN445" i="5"/>
  <c r="BN247" i="5"/>
  <c r="BO18" i="5"/>
  <c r="BO496" i="5"/>
  <c r="BO100" i="5"/>
  <c r="BO92" i="5"/>
  <c r="BO456" i="5"/>
  <c r="BO275" i="5"/>
  <c r="BO79" i="5"/>
  <c r="BO442" i="5"/>
  <c r="BO148" i="5"/>
  <c r="BP14" i="5"/>
  <c r="BP492" i="5"/>
  <c r="BP198" i="5"/>
  <c r="BP95" i="5"/>
  <c r="BP468" i="5"/>
  <c r="BP258" i="5"/>
  <c r="BP443" i="5"/>
  <c r="BP245" i="5"/>
  <c r="BP141" i="5"/>
  <c r="BP46" i="5"/>
  <c r="BR23" i="5"/>
  <c r="BR493" i="5"/>
  <c r="BR485" i="5"/>
  <c r="BR390" i="5"/>
  <c r="BR295" i="5"/>
  <c r="BR287" i="5"/>
  <c r="BR192" i="5"/>
  <c r="BR97" i="5"/>
  <c r="AX321" i="5"/>
  <c r="AX313" i="5"/>
  <c r="AX225" i="5"/>
  <c r="BM173" i="5"/>
  <c r="BM72" i="5"/>
  <c r="BN287" i="5"/>
  <c r="BR492" i="5"/>
  <c r="BR199" i="5"/>
  <c r="BL30" i="5"/>
  <c r="BL14" i="5"/>
  <c r="BL492" i="5"/>
  <c r="BL397" i="5"/>
  <c r="BL294" i="5"/>
  <c r="BL199" i="5"/>
  <c r="BL96" i="5"/>
  <c r="BL477" i="5"/>
  <c r="BL258" i="5"/>
  <c r="BL157" i="5"/>
  <c r="BL57" i="5"/>
  <c r="BL438" i="5"/>
  <c r="BL240" i="5"/>
  <c r="BM18" i="5"/>
  <c r="BM290" i="5"/>
  <c r="BM100" i="5"/>
  <c r="BM273" i="5"/>
  <c r="BM180" i="5"/>
  <c r="BM443" i="5"/>
  <c r="BM141" i="5"/>
  <c r="BN23" i="5"/>
  <c r="BN493" i="5"/>
  <c r="BN397" i="5"/>
  <c r="BN389" i="5"/>
  <c r="BN199" i="5"/>
  <c r="BN477" i="5"/>
  <c r="BN469" i="5"/>
  <c r="BN269" i="5"/>
  <c r="BN340" i="5"/>
  <c r="BN47" i="5"/>
  <c r="BO16" i="5"/>
  <c r="BO98" i="5"/>
  <c r="BO471" i="5"/>
  <c r="BO180" i="5"/>
  <c r="BO77" i="5"/>
  <c r="BL174" i="5"/>
  <c r="BL166" i="5"/>
  <c r="BL73" i="5"/>
  <c r="BL65" i="5"/>
  <c r="BL247" i="5"/>
  <c r="BL143" i="5"/>
  <c r="BL40" i="5"/>
  <c r="BM495" i="5"/>
  <c r="BM487" i="5"/>
  <c r="BM392" i="5"/>
  <c r="BM297" i="5"/>
  <c r="BM194" i="5"/>
  <c r="BM99" i="5"/>
  <c r="BM91" i="5"/>
  <c r="BM472" i="5"/>
  <c r="BM179" i="5"/>
  <c r="BM79" i="5"/>
  <c r="BM442" i="5"/>
  <c r="BM244" i="5"/>
  <c r="BM148" i="5"/>
  <c r="BN30" i="5"/>
  <c r="BN22" i="5"/>
  <c r="BN492" i="5"/>
  <c r="BN396" i="5"/>
  <c r="BN388" i="5"/>
  <c r="BN198" i="5"/>
  <c r="BN190" i="5"/>
  <c r="BN95" i="5"/>
  <c r="BN476" i="5"/>
  <c r="BN468" i="5"/>
  <c r="BN442" i="5"/>
  <c r="BN244" i="5"/>
  <c r="BN141" i="5"/>
  <c r="BN46" i="5"/>
  <c r="BO23" i="5"/>
  <c r="BO493" i="5"/>
  <c r="BO390" i="5"/>
  <c r="BO295" i="5"/>
  <c r="BO287" i="5"/>
  <c r="BO192" i="5"/>
  <c r="BO97" i="5"/>
  <c r="BO470" i="5"/>
  <c r="BO371" i="5"/>
  <c r="BO179" i="5"/>
  <c r="BO67" i="5"/>
  <c r="BO439" i="5"/>
  <c r="BO241" i="5"/>
  <c r="BO145" i="5"/>
  <c r="BO137" i="5"/>
  <c r="BO42" i="5"/>
  <c r="BP27" i="5"/>
  <c r="BP489" i="5"/>
  <c r="BP92" i="5"/>
  <c r="BP374" i="5"/>
  <c r="BP275" i="5"/>
  <c r="BP180" i="5"/>
  <c r="BK42" i="5"/>
  <c r="BL196" i="5"/>
  <c r="BL180" i="5"/>
  <c r="BL443" i="5"/>
  <c r="BL340" i="5"/>
  <c r="BL46" i="5"/>
  <c r="BM371" i="5"/>
  <c r="BM258" i="5"/>
  <c r="BM158" i="5"/>
  <c r="BM67" i="5"/>
  <c r="BM241" i="5"/>
  <c r="BN489" i="5"/>
  <c r="BN67" i="5"/>
  <c r="M256" i="25"/>
  <c r="AS484" i="5"/>
  <c r="AG477" i="36" s="1"/>
  <c r="BO17" i="5"/>
  <c r="AP484" i="5"/>
  <c r="AG474" i="36" s="1"/>
  <c r="BO58" i="5"/>
  <c r="BO485" i="5"/>
  <c r="BP337" i="5"/>
  <c r="AL484" i="5"/>
  <c r="AG470" i="36" s="1"/>
  <c r="BL144" i="5"/>
  <c r="AN484" i="5"/>
  <c r="AG472" i="36" s="1"/>
  <c r="BC142" i="5"/>
  <c r="BJ195" i="5"/>
  <c r="BH290" i="5"/>
  <c r="AY227" i="5"/>
  <c r="AY314" i="5"/>
  <c r="BJ288" i="5"/>
  <c r="BP236" i="5"/>
  <c r="AC235" i="5"/>
  <c r="U461" i="36" s="1"/>
  <c r="AG484" i="5"/>
  <c r="AG465" i="36" s="1"/>
  <c r="BM287" i="5"/>
  <c r="BQ125" i="5"/>
  <c r="BC117" i="5"/>
  <c r="BK220" i="5"/>
  <c r="BB315" i="5"/>
  <c r="BK425" i="5"/>
  <c r="BP417" i="5"/>
  <c r="AZ146" i="5"/>
  <c r="BP124" i="5"/>
  <c r="BK116" i="5"/>
  <c r="BG219" i="5"/>
  <c r="BC211" i="5"/>
  <c r="BL424" i="5"/>
  <c r="BK416" i="5"/>
  <c r="BN407" i="5"/>
  <c r="BD467" i="5"/>
  <c r="S117" i="5"/>
  <c r="BF425" i="5"/>
  <c r="BB323" i="5"/>
  <c r="BP315" i="5"/>
  <c r="BA425" i="5"/>
  <c r="S323" i="5"/>
  <c r="AW29" i="5"/>
  <c r="AW21" i="5"/>
  <c r="AW13" i="5"/>
  <c r="BF29" i="5"/>
  <c r="BC323" i="5"/>
  <c r="BG27" i="5"/>
  <c r="BK115" i="5"/>
  <c r="BK226" i="5"/>
  <c r="BK218" i="5"/>
  <c r="BK321" i="5"/>
  <c r="BK313" i="5"/>
  <c r="BK423" i="5"/>
  <c r="BK415" i="5"/>
  <c r="AZ218" i="5"/>
  <c r="AZ321" i="5"/>
  <c r="AZ313" i="5"/>
  <c r="AZ423" i="5"/>
  <c r="AZ415" i="5"/>
  <c r="BE423" i="5"/>
  <c r="BE415" i="5"/>
  <c r="BI218" i="5"/>
  <c r="BI321" i="5"/>
  <c r="BI313" i="5"/>
  <c r="BI423" i="5"/>
  <c r="BI415" i="5"/>
  <c r="BK120" i="5"/>
  <c r="BK112" i="5"/>
  <c r="BK223" i="5"/>
  <c r="BN423" i="5"/>
  <c r="BN415" i="5"/>
  <c r="BR321" i="5"/>
  <c r="BR313" i="5"/>
  <c r="BR423" i="5"/>
  <c r="BR415" i="5"/>
  <c r="AY321" i="5"/>
  <c r="AY423" i="5"/>
  <c r="BD217" i="5"/>
  <c r="BE120" i="5"/>
  <c r="BE215" i="5"/>
  <c r="BE310" i="5"/>
  <c r="BH226" i="5"/>
  <c r="BH313" i="5"/>
  <c r="BH415" i="5"/>
  <c r="BN128" i="5"/>
  <c r="BN215" i="5"/>
  <c r="BN318" i="5"/>
  <c r="BB415" i="5"/>
  <c r="BA218" i="5"/>
  <c r="BA321" i="5"/>
  <c r="BA313" i="5"/>
  <c r="BA423" i="5"/>
  <c r="BA415" i="5"/>
  <c r="BF218" i="5"/>
  <c r="BF321" i="5"/>
  <c r="BF313" i="5"/>
  <c r="BF423" i="5"/>
  <c r="BF415" i="5"/>
  <c r="BJ218" i="5"/>
  <c r="BJ321" i="5"/>
  <c r="BJ313" i="5"/>
  <c r="BJ423" i="5"/>
  <c r="BJ415" i="5"/>
  <c r="BO218" i="5"/>
  <c r="BO321" i="5"/>
  <c r="BO313" i="5"/>
  <c r="BO423" i="5"/>
  <c r="BO415" i="5"/>
  <c r="BQ218" i="5"/>
  <c r="BQ321" i="5"/>
  <c r="BQ313" i="5"/>
  <c r="BQ423" i="5"/>
  <c r="BQ415" i="5"/>
  <c r="BQ49" i="5"/>
  <c r="BA320" i="5"/>
  <c r="BB128" i="5"/>
  <c r="BB112" i="5"/>
  <c r="BB223" i="5"/>
  <c r="BB215" i="5"/>
  <c r="BB326" i="5"/>
  <c r="BB318" i="5"/>
  <c r="BB420" i="5"/>
  <c r="BE218" i="5"/>
  <c r="BE321" i="5"/>
  <c r="BE313" i="5"/>
  <c r="BF320" i="5"/>
  <c r="BG215" i="5"/>
  <c r="BG326" i="5"/>
  <c r="BG318" i="5"/>
  <c r="BG310" i="5"/>
  <c r="BG420" i="5"/>
  <c r="BJ320" i="5"/>
  <c r="BN218" i="5"/>
  <c r="BN321" i="5"/>
  <c r="BN313" i="5"/>
  <c r="BO320" i="5"/>
  <c r="BP318" i="5"/>
  <c r="BP310" i="5"/>
  <c r="BP420" i="5"/>
  <c r="BQ143" i="5"/>
  <c r="BQ246" i="5"/>
  <c r="BQ237" i="5"/>
  <c r="BQ340" i="5"/>
  <c r="BQ443" i="5"/>
  <c r="S13" i="5"/>
  <c r="BA417" i="5"/>
  <c r="BC21" i="5"/>
  <c r="BK323" i="5"/>
  <c r="AX29" i="5"/>
  <c r="BF315" i="5"/>
  <c r="BJ117" i="5"/>
  <c r="BQ17" i="5"/>
  <c r="BQ117" i="5"/>
  <c r="AX13" i="5"/>
  <c r="BA220" i="5"/>
  <c r="BB125" i="5"/>
  <c r="BJ21" i="5"/>
  <c r="AW43" i="5"/>
  <c r="AW146" i="5"/>
  <c r="BN29" i="5"/>
  <c r="BQ29" i="5"/>
  <c r="BH29" i="5"/>
  <c r="AZ29" i="5"/>
  <c r="S29" i="5"/>
  <c r="BR29" i="5"/>
  <c r="BE29" i="5"/>
  <c r="BE21" i="5"/>
  <c r="BF21" i="5"/>
  <c r="BO21" i="5"/>
  <c r="BH21" i="5"/>
  <c r="BH13" i="5"/>
  <c r="BL13" i="5"/>
  <c r="BC125" i="5"/>
  <c r="BA125" i="5"/>
  <c r="AX125" i="5"/>
  <c r="BG125" i="5"/>
  <c r="BJ125" i="5"/>
  <c r="BF117" i="5"/>
  <c r="BL117" i="5"/>
  <c r="BB117" i="5"/>
  <c r="BP117" i="5"/>
  <c r="BG117" i="5"/>
  <c r="AV228" i="5"/>
  <c r="BB228" i="5"/>
  <c r="BC228" i="5"/>
  <c r="BF228" i="5"/>
  <c r="AX228" i="5"/>
  <c r="BP220" i="5"/>
  <c r="BQ220" i="5"/>
  <c r="S220" i="5"/>
  <c r="BL220" i="5"/>
  <c r="BP212" i="5"/>
  <c r="BQ212" i="5"/>
  <c r="BJ212" i="5"/>
  <c r="BC212" i="5"/>
  <c r="AX212" i="5"/>
  <c r="BA212" i="5"/>
  <c r="S212" i="5"/>
  <c r="BJ323" i="5"/>
  <c r="BG323" i="5"/>
  <c r="BA323" i="5"/>
  <c r="BQ323" i="5"/>
  <c r="AV315" i="5"/>
  <c r="BO315" i="5"/>
  <c r="S315" i="5"/>
  <c r="BQ315" i="5"/>
  <c r="BD315" i="5"/>
  <c r="BK315" i="5"/>
  <c r="BJ315" i="5"/>
  <c r="BC315" i="5"/>
  <c r="BA315" i="5"/>
  <c r="AV425" i="5"/>
  <c r="BG425" i="5"/>
  <c r="BC425" i="5"/>
  <c r="AX425" i="5"/>
  <c r="BO425" i="5"/>
  <c r="BL425" i="5"/>
  <c r="BB425" i="5"/>
  <c r="BO417" i="5"/>
  <c r="BJ417" i="5"/>
  <c r="BL417" i="5"/>
  <c r="BK417" i="5"/>
  <c r="BB417" i="5"/>
  <c r="S417" i="5"/>
  <c r="BC417" i="5"/>
  <c r="BQ409" i="5"/>
  <c r="BO409" i="5"/>
  <c r="BG409" i="5"/>
  <c r="BP409" i="5"/>
  <c r="BJ409" i="5"/>
  <c r="S409" i="5"/>
  <c r="BA409" i="5"/>
  <c r="BP146" i="5"/>
  <c r="BE146" i="5"/>
  <c r="BA146" i="5"/>
  <c r="BE125" i="5"/>
  <c r="BE117" i="5"/>
  <c r="S137" i="5"/>
  <c r="AW77" i="5"/>
  <c r="AW69" i="5"/>
  <c r="AX342" i="5"/>
  <c r="AX475" i="5"/>
  <c r="BA145" i="5"/>
  <c r="BB137" i="5"/>
  <c r="BB437" i="5"/>
  <c r="BC445" i="5"/>
  <c r="BD378" i="5"/>
  <c r="BF475" i="5"/>
  <c r="BH342" i="5"/>
  <c r="BI437" i="5"/>
  <c r="BI275" i="5"/>
  <c r="BK445" i="5"/>
  <c r="BN342" i="5"/>
  <c r="BN475" i="5"/>
  <c r="BP296" i="5"/>
  <c r="BR445" i="5"/>
  <c r="AW342" i="5"/>
  <c r="AW445" i="5"/>
  <c r="AW437" i="5"/>
  <c r="AW275" i="5"/>
  <c r="AW378" i="5"/>
  <c r="AW370" i="5"/>
  <c r="AW475" i="5"/>
  <c r="BQ296" i="5"/>
  <c r="BQ288" i="5"/>
  <c r="BQ494" i="5"/>
  <c r="BQ486" i="5"/>
  <c r="S437" i="5"/>
  <c r="AW42" i="5"/>
  <c r="AW145" i="5"/>
  <c r="AW137" i="5"/>
  <c r="AX288" i="5"/>
  <c r="AY137" i="5"/>
  <c r="AZ98" i="5"/>
  <c r="AZ145" i="5"/>
  <c r="BA486" i="5"/>
  <c r="BA42" i="5"/>
  <c r="BA475" i="5"/>
  <c r="BB145" i="5"/>
  <c r="BC378" i="5"/>
  <c r="BD494" i="5"/>
  <c r="BD437" i="5"/>
  <c r="BD275" i="5"/>
  <c r="BE494" i="5"/>
  <c r="BE137" i="5"/>
  <c r="BF437" i="5"/>
  <c r="BG98" i="5"/>
  <c r="BG42" i="5"/>
  <c r="BG137" i="5"/>
  <c r="BH42" i="5"/>
  <c r="BI475" i="5"/>
  <c r="BK494" i="5"/>
  <c r="BK137" i="5"/>
  <c r="BK342" i="5"/>
  <c r="BK69" i="5"/>
  <c r="BK475" i="5"/>
  <c r="BL288" i="5"/>
  <c r="BL437" i="5"/>
  <c r="BM288" i="5"/>
  <c r="BM275" i="5"/>
  <c r="BN288" i="5"/>
  <c r="BO240" i="5"/>
  <c r="BO437" i="5"/>
  <c r="BP494" i="5"/>
  <c r="BQ240" i="5"/>
  <c r="S219" i="5"/>
  <c r="AW125" i="5"/>
  <c r="AW117" i="5"/>
  <c r="AX275" i="5"/>
  <c r="AY77" i="5"/>
  <c r="AY378" i="5"/>
  <c r="AZ296" i="5"/>
  <c r="AZ494" i="5"/>
  <c r="AZ342" i="5"/>
  <c r="AZ69" i="5"/>
  <c r="AZ275" i="5"/>
  <c r="AZ378" i="5"/>
  <c r="BA137" i="5"/>
  <c r="BA69" i="5"/>
  <c r="BB475" i="5"/>
  <c r="BD296" i="5"/>
  <c r="BD69" i="5"/>
  <c r="BE296" i="5"/>
  <c r="BE69" i="5"/>
  <c r="BE378" i="5"/>
  <c r="BF42" i="5"/>
  <c r="BF275" i="5"/>
  <c r="BG193" i="5"/>
  <c r="BH227" i="5"/>
  <c r="BI342" i="5"/>
  <c r="BI69" i="5"/>
  <c r="BJ42" i="5"/>
  <c r="BK437" i="5"/>
  <c r="BM145" i="5"/>
  <c r="BN296" i="5"/>
  <c r="BN240" i="5"/>
  <c r="BO445" i="5"/>
  <c r="BP445" i="5"/>
  <c r="BE228" i="5"/>
  <c r="BE220" i="5"/>
  <c r="BE212" i="5"/>
  <c r="BE323" i="5"/>
  <c r="BE315" i="5"/>
  <c r="BN125" i="5"/>
  <c r="BN117" i="5"/>
  <c r="BN228" i="5"/>
  <c r="BN212" i="5"/>
  <c r="BN323" i="5"/>
  <c r="AW98" i="5"/>
  <c r="AW193" i="5"/>
  <c r="AX296" i="5"/>
  <c r="AX77" i="5"/>
  <c r="AY98" i="5"/>
  <c r="AZ42" i="5"/>
  <c r="AZ137" i="5"/>
  <c r="BB176" i="5"/>
  <c r="BC42" i="5"/>
  <c r="BD445" i="5"/>
  <c r="BE486" i="5"/>
  <c r="BH437" i="5"/>
  <c r="BH275" i="5"/>
  <c r="BH378" i="5"/>
  <c r="BJ69" i="5"/>
  <c r="BK296" i="5"/>
  <c r="BL445" i="5"/>
  <c r="BL378" i="5"/>
  <c r="BM296" i="5"/>
  <c r="BM42" i="5"/>
  <c r="BM437" i="5"/>
  <c r="BN137" i="5"/>
  <c r="BN370" i="5"/>
  <c r="BO296" i="5"/>
  <c r="BO288" i="5"/>
  <c r="BO494" i="5"/>
  <c r="BO69" i="5"/>
  <c r="BO475" i="5"/>
  <c r="BP288" i="5"/>
  <c r="BP475" i="5"/>
  <c r="AW425" i="5"/>
  <c r="AW417" i="5"/>
  <c r="AW409" i="5"/>
  <c r="BQ176" i="5"/>
  <c r="BQ378" i="5"/>
  <c r="BQ475" i="5"/>
  <c r="AV439" i="5"/>
  <c r="BP439" i="5"/>
  <c r="BR439" i="5"/>
  <c r="BL439" i="5"/>
  <c r="BQ79" i="5"/>
  <c r="BN63" i="5"/>
  <c r="AV178" i="5"/>
  <c r="BP178" i="5"/>
  <c r="BP161" i="5"/>
  <c r="BI161" i="5"/>
  <c r="AV477" i="5"/>
  <c r="BJ477" i="5"/>
  <c r="BR469" i="5"/>
  <c r="BM469" i="5"/>
  <c r="BF469" i="5"/>
  <c r="BN461" i="5"/>
  <c r="BH461" i="5"/>
  <c r="AV100" i="5"/>
  <c r="BP100" i="5"/>
  <c r="BR100" i="5"/>
  <c r="BP298" i="5"/>
  <c r="BM298" i="5"/>
  <c r="BL496" i="5"/>
  <c r="BI496" i="5"/>
  <c r="AV30" i="5"/>
  <c r="BA30" i="5"/>
  <c r="BP30" i="5"/>
  <c r="BJ30" i="5"/>
  <c r="AV22" i="5"/>
  <c r="BG22" i="5"/>
  <c r="BQ22" i="5"/>
  <c r="BO22" i="5"/>
  <c r="BG14" i="5"/>
  <c r="BR14" i="5"/>
  <c r="BN14" i="5"/>
  <c r="BH14" i="5"/>
  <c r="BP118" i="5"/>
  <c r="BQ110" i="5"/>
  <c r="BO110" i="5"/>
  <c r="BG110" i="5"/>
  <c r="AV221" i="5"/>
  <c r="BP221" i="5"/>
  <c r="BN221" i="5"/>
  <c r="BJ221" i="5"/>
  <c r="AV316" i="5"/>
  <c r="BJ316" i="5"/>
  <c r="BP426" i="5"/>
  <c r="BQ418" i="5"/>
  <c r="AV44" i="5"/>
  <c r="BR44" i="5"/>
  <c r="AV147" i="5"/>
  <c r="BP147" i="5"/>
  <c r="BM147" i="5"/>
  <c r="AV344" i="5"/>
  <c r="BR344" i="5"/>
  <c r="BL344" i="5"/>
  <c r="AW44" i="5"/>
  <c r="AW147" i="5"/>
  <c r="AX30" i="5"/>
  <c r="AX221" i="5"/>
  <c r="AX426" i="5"/>
  <c r="AX63" i="5"/>
  <c r="AZ63" i="5"/>
  <c r="BA344" i="5"/>
  <c r="BB126" i="5"/>
  <c r="BB221" i="5"/>
  <c r="BB242" i="5"/>
  <c r="BC22" i="5"/>
  <c r="BD161" i="5"/>
  <c r="BE118" i="5"/>
  <c r="BF126" i="5"/>
  <c r="BF316" i="5"/>
  <c r="BF410" i="5"/>
  <c r="BG418" i="5"/>
  <c r="BH344" i="5"/>
  <c r="BK22" i="5"/>
  <c r="BK426" i="5"/>
  <c r="BL269" i="5"/>
  <c r="BN110" i="5"/>
  <c r="BO221" i="5"/>
  <c r="BP324" i="5"/>
  <c r="BP344" i="5"/>
  <c r="BA316" i="5"/>
  <c r="BE110" i="5"/>
  <c r="BI221" i="5"/>
  <c r="BJ22" i="5"/>
  <c r="BP126" i="5"/>
  <c r="S44" i="5"/>
  <c r="AW126" i="5"/>
  <c r="AW110" i="5"/>
  <c r="BB426" i="5"/>
  <c r="BD44" i="5"/>
  <c r="BG410" i="5"/>
  <c r="BL22" i="5"/>
  <c r="S316" i="5"/>
  <c r="S22" i="5"/>
  <c r="S344" i="5"/>
  <c r="S110" i="5"/>
  <c r="AW30" i="5"/>
  <c r="AW22" i="5"/>
  <c r="AW14" i="5"/>
  <c r="AX316" i="5"/>
  <c r="AY344" i="5"/>
  <c r="AZ44" i="5"/>
  <c r="AZ344" i="5"/>
  <c r="BB22" i="5"/>
  <c r="BB118" i="5"/>
  <c r="BB324" i="5"/>
  <c r="BG126" i="5"/>
  <c r="BG221" i="5"/>
  <c r="BG316" i="5"/>
  <c r="BJ418" i="5"/>
  <c r="BK14" i="5"/>
  <c r="BK418" i="5"/>
  <c r="BK161" i="5"/>
  <c r="BL147" i="5"/>
  <c r="BN344" i="5"/>
  <c r="BO118" i="5"/>
  <c r="BO344" i="5"/>
  <c r="BO161" i="5"/>
  <c r="BQ14" i="5"/>
  <c r="BQ147" i="5"/>
  <c r="BR410" i="5"/>
  <c r="BR79" i="5"/>
  <c r="AW221" i="5"/>
  <c r="AW324" i="5"/>
  <c r="AW316" i="5"/>
  <c r="AW426" i="5"/>
  <c r="AW418" i="5"/>
  <c r="AW410" i="5"/>
  <c r="AW118" i="5"/>
  <c r="AX14" i="5"/>
  <c r="AZ22" i="5"/>
  <c r="BE22" i="5"/>
  <c r="BF22" i="5"/>
  <c r="BI30" i="5"/>
  <c r="BN126" i="5"/>
  <c r="BO426" i="5"/>
  <c r="BP316" i="5"/>
  <c r="S426" i="5"/>
  <c r="S324" i="5"/>
  <c r="S118" i="5"/>
  <c r="S14" i="5"/>
  <c r="S213" i="5"/>
  <c r="S439" i="5"/>
  <c r="AX324" i="5"/>
  <c r="AX79" i="5"/>
  <c r="AY14" i="5"/>
  <c r="AY44" i="5"/>
  <c r="BC30" i="5"/>
  <c r="BC14" i="5"/>
  <c r="BC63" i="5"/>
  <c r="BD30" i="5"/>
  <c r="BD14" i="5"/>
  <c r="BD79" i="5"/>
  <c r="BE14" i="5"/>
  <c r="BJ324" i="5"/>
  <c r="BJ44" i="5"/>
  <c r="BJ439" i="5"/>
  <c r="BK126" i="5"/>
  <c r="BN147" i="5"/>
  <c r="BO147" i="5"/>
  <c r="BP22" i="5"/>
  <c r="BR22" i="5"/>
  <c r="AW344" i="5"/>
  <c r="AW439" i="5"/>
  <c r="AW269" i="5"/>
  <c r="AW477" i="5"/>
  <c r="AW469" i="5"/>
  <c r="AW461" i="5"/>
  <c r="BP110" i="5"/>
  <c r="BP213" i="5"/>
  <c r="AZ118" i="5"/>
  <c r="AZ110" i="5"/>
  <c r="AZ221" i="5"/>
  <c r="AZ324" i="5"/>
  <c r="AZ316" i="5"/>
  <c r="AZ426" i="5"/>
  <c r="AZ418" i="5"/>
  <c r="AZ410" i="5"/>
  <c r="BE426" i="5"/>
  <c r="BE418" i="5"/>
  <c r="BE410" i="5"/>
  <c r="BI118" i="5"/>
  <c r="BI110" i="5"/>
  <c r="BI324" i="5"/>
  <c r="BI316" i="5"/>
  <c r="BI426" i="5"/>
  <c r="BI418" i="5"/>
  <c r="BI410" i="5"/>
  <c r="BN426" i="5"/>
  <c r="BN418" i="5"/>
  <c r="BN410" i="5"/>
  <c r="BQ372" i="5"/>
  <c r="BQ477" i="5"/>
  <c r="BQ461" i="5"/>
  <c r="BR110" i="5"/>
  <c r="BR221" i="5"/>
  <c r="BR213" i="5"/>
  <c r="BR316" i="5"/>
  <c r="BR426" i="5"/>
  <c r="BR418" i="5"/>
  <c r="BB409" i="5"/>
  <c r="BD114" i="5"/>
  <c r="BG417" i="5"/>
  <c r="BK118" i="5"/>
  <c r="BK221" i="5"/>
  <c r="BK324" i="5"/>
  <c r="BK410" i="5"/>
  <c r="AY114" i="5"/>
  <c r="BA126" i="5"/>
  <c r="BA118" i="5"/>
  <c r="BA110" i="5"/>
  <c r="BA221" i="5"/>
  <c r="BA426" i="5"/>
  <c r="BA410" i="5"/>
  <c r="BF118" i="5"/>
  <c r="BF110" i="5"/>
  <c r="BF426" i="5"/>
  <c r="BF418" i="5"/>
  <c r="BH225" i="5"/>
  <c r="BJ118" i="5"/>
  <c r="BO316" i="5"/>
  <c r="BO410" i="5"/>
  <c r="BQ324" i="5"/>
  <c r="BQ316" i="5"/>
  <c r="BE316" i="5"/>
  <c r="BD126" i="5"/>
  <c r="BD118" i="5"/>
  <c r="BD110" i="5"/>
  <c r="BD221" i="5"/>
  <c r="BD324" i="5"/>
  <c r="BD316" i="5"/>
  <c r="BD426" i="5"/>
  <c r="BD418" i="5"/>
  <c r="BD410" i="5"/>
  <c r="BK114" i="5"/>
  <c r="BK225" i="5"/>
  <c r="BM118" i="5"/>
  <c r="BM110" i="5"/>
  <c r="BM221" i="5"/>
  <c r="BM324" i="5"/>
  <c r="BM316" i="5"/>
  <c r="BM426" i="5"/>
  <c r="BM418" i="5"/>
  <c r="BM410" i="5"/>
  <c r="AY118" i="5"/>
  <c r="AY110" i="5"/>
  <c r="AY221" i="5"/>
  <c r="AY324" i="5"/>
  <c r="AY316" i="5"/>
  <c r="AY426" i="5"/>
  <c r="AY410" i="5"/>
  <c r="BA114" i="5"/>
  <c r="BA225" i="5"/>
  <c r="BF114" i="5"/>
  <c r="BF225" i="5"/>
  <c r="BH110" i="5"/>
  <c r="BH221" i="5"/>
  <c r="BH324" i="5"/>
  <c r="BH316" i="5"/>
  <c r="BH426" i="5"/>
  <c r="BH418" i="5"/>
  <c r="BH410" i="5"/>
  <c r="BJ114" i="5"/>
  <c r="BJ225" i="5"/>
  <c r="BO114" i="5"/>
  <c r="BO225" i="5"/>
  <c r="BQ114" i="5"/>
  <c r="BQ225" i="5"/>
  <c r="BR121" i="5"/>
  <c r="S125" i="5"/>
  <c r="S21" i="5"/>
  <c r="BA228" i="5"/>
  <c r="BB21" i="5"/>
  <c r="BB212" i="5"/>
  <c r="BC124" i="5"/>
  <c r="BE13" i="5"/>
  <c r="BF212" i="5"/>
  <c r="BF409" i="5"/>
  <c r="BH44" i="5"/>
  <c r="BK147" i="5"/>
  <c r="BL228" i="5"/>
  <c r="BL323" i="5"/>
  <c r="BO29" i="5"/>
  <c r="BO117" i="5"/>
  <c r="BO220" i="5"/>
  <c r="BO323" i="5"/>
  <c r="BP29" i="5"/>
  <c r="BP228" i="5"/>
  <c r="BQ417" i="5"/>
  <c r="BK125" i="5"/>
  <c r="BK117" i="5"/>
  <c r="BK212" i="5"/>
  <c r="BQ344" i="5"/>
  <c r="BQ439" i="5"/>
  <c r="BQ63" i="5"/>
  <c r="BF323" i="5"/>
  <c r="AZ425" i="5"/>
  <c r="AZ417" i="5"/>
  <c r="AZ409" i="5"/>
  <c r="BE425" i="5"/>
  <c r="BE417" i="5"/>
  <c r="BE409" i="5"/>
  <c r="BI417" i="5"/>
  <c r="BI409" i="5"/>
  <c r="BN417" i="5"/>
  <c r="BN409" i="5"/>
  <c r="BQ100" i="5"/>
  <c r="BR409" i="5"/>
  <c r="S228" i="5"/>
  <c r="AX117" i="5"/>
  <c r="AX315" i="5"/>
  <c r="AY424" i="5"/>
  <c r="BB146" i="5"/>
  <c r="BC29" i="5"/>
  <c r="BF417" i="5"/>
  <c r="BJ228" i="5"/>
  <c r="BJ425" i="5"/>
  <c r="BK228" i="5"/>
  <c r="BK409" i="5"/>
  <c r="BL125" i="5"/>
  <c r="BL212" i="5"/>
  <c r="BL315" i="5"/>
  <c r="BN13" i="5"/>
  <c r="BO228" i="5"/>
  <c r="BO212" i="5"/>
  <c r="BP125" i="5"/>
  <c r="BQ425" i="5"/>
  <c r="AW242" i="5"/>
  <c r="BD409" i="5"/>
  <c r="S17" i="5"/>
  <c r="AZ21" i="5"/>
  <c r="BC13" i="5"/>
  <c r="BF125" i="5"/>
  <c r="BO125" i="5"/>
  <c r="BQ228" i="5"/>
  <c r="BQ424" i="5"/>
  <c r="AW228" i="5"/>
  <c r="AW220" i="5"/>
  <c r="AW212" i="5"/>
  <c r="AW323" i="5"/>
  <c r="AW315" i="5"/>
  <c r="AY425" i="5"/>
  <c r="AY417" i="5"/>
  <c r="AY409" i="5"/>
  <c r="BH417" i="5"/>
  <c r="BH409" i="5"/>
  <c r="S416" i="5"/>
  <c r="AX124" i="5"/>
  <c r="AY116" i="5"/>
  <c r="BH219" i="5"/>
  <c r="BK43" i="5"/>
  <c r="BR146" i="5"/>
  <c r="S121" i="5"/>
  <c r="S211" i="5"/>
  <c r="BG314" i="5"/>
  <c r="BK17" i="5"/>
  <c r="BL227" i="5"/>
  <c r="BK314" i="5"/>
  <c r="AX113" i="5"/>
  <c r="BA115" i="5"/>
  <c r="BA226" i="5"/>
  <c r="BF115" i="5"/>
  <c r="BF226" i="5"/>
  <c r="BJ115" i="5"/>
  <c r="BJ226" i="5"/>
  <c r="BO115" i="5"/>
  <c r="BO226" i="5"/>
  <c r="BA314" i="5"/>
  <c r="BK211" i="5"/>
  <c r="BH121" i="5"/>
  <c r="BH146" i="5"/>
  <c r="BE115" i="5"/>
  <c r="BE226" i="5"/>
  <c r="BG128" i="5"/>
  <c r="BN115" i="5"/>
  <c r="BN226" i="5"/>
  <c r="AX121" i="5"/>
  <c r="AY17" i="5"/>
  <c r="BB407" i="5"/>
  <c r="AW121" i="5"/>
  <c r="AW113" i="5"/>
  <c r="BB211" i="5"/>
  <c r="AZ115" i="5"/>
  <c r="AZ226" i="5"/>
  <c r="BI115" i="5"/>
  <c r="BI226" i="5"/>
  <c r="BK128" i="5"/>
  <c r="BR218" i="5"/>
  <c r="AV28" i="5"/>
  <c r="BA28" i="5"/>
  <c r="BH28" i="5"/>
  <c r="BF28" i="5"/>
  <c r="BD28" i="5"/>
  <c r="S28" i="5"/>
  <c r="BM28" i="5"/>
  <c r="AZ28" i="5"/>
  <c r="BL28" i="5"/>
  <c r="BK28" i="5"/>
  <c r="AX28" i="5"/>
  <c r="BC28" i="5"/>
  <c r="BP28" i="5"/>
  <c r="BN28" i="5"/>
  <c r="BB28" i="5"/>
  <c r="BO28" i="5"/>
  <c r="BO124" i="5"/>
  <c r="AY124" i="5"/>
  <c r="BL124" i="5"/>
  <c r="BH124" i="5"/>
  <c r="BQ124" i="5"/>
  <c r="BK124" i="5"/>
  <c r="S124" i="5"/>
  <c r="BL116" i="5"/>
  <c r="BC116" i="5"/>
  <c r="BH116" i="5"/>
  <c r="BG116" i="5"/>
  <c r="S116" i="5"/>
  <c r="BP116" i="5"/>
  <c r="AV227" i="5"/>
  <c r="BP227" i="5"/>
  <c r="BK227" i="5"/>
  <c r="S227" i="5"/>
  <c r="BQ219" i="5"/>
  <c r="BC219" i="5"/>
  <c r="BP219" i="5"/>
  <c r="BK219" i="5"/>
  <c r="AY219" i="5"/>
  <c r="AX211" i="5"/>
  <c r="BI211" i="5"/>
  <c r="BP211" i="5"/>
  <c r="BO211" i="5"/>
  <c r="BL211" i="5"/>
  <c r="BH211" i="5"/>
  <c r="AY211" i="5"/>
  <c r="AV322" i="5"/>
  <c r="BH322" i="5"/>
  <c r="AY322" i="5"/>
  <c r="AX322" i="5"/>
  <c r="BK322" i="5"/>
  <c r="AZ322" i="5"/>
  <c r="BP322" i="5"/>
  <c r="S322" i="5"/>
  <c r="BB322" i="5"/>
  <c r="AX314" i="5"/>
  <c r="BQ314" i="5"/>
  <c r="BO314" i="5"/>
  <c r="S314" i="5"/>
  <c r="BC314" i="5"/>
  <c r="BB314" i="5"/>
  <c r="BP314" i="5"/>
  <c r="AV424" i="5"/>
  <c r="BP424" i="5"/>
  <c r="AX424" i="5"/>
  <c r="S424" i="5"/>
  <c r="BK424" i="5"/>
  <c r="BH424" i="5"/>
  <c r="AV416" i="5"/>
  <c r="BH416" i="5"/>
  <c r="BG416" i="5"/>
  <c r="BA416" i="5"/>
  <c r="AX416" i="5"/>
  <c r="BL416" i="5"/>
  <c r="BP416" i="5"/>
  <c r="BC416" i="5"/>
  <c r="AY416" i="5"/>
  <c r="BO407" i="5"/>
  <c r="BL407" i="5"/>
  <c r="S407" i="5"/>
  <c r="BG407" i="5"/>
  <c r="AX407" i="5"/>
  <c r="BE407" i="5"/>
  <c r="BK407" i="5"/>
  <c r="AV43" i="5"/>
  <c r="BJ43" i="5"/>
  <c r="BC43" i="5"/>
  <c r="AZ43" i="5"/>
  <c r="BE43" i="5"/>
  <c r="BO43" i="5"/>
  <c r="BM43" i="5"/>
  <c r="BL43" i="5"/>
  <c r="BA43" i="5"/>
  <c r="BQ43" i="5"/>
  <c r="BP43" i="5"/>
  <c r="BF43" i="5"/>
  <c r="S43" i="5"/>
  <c r="BN43" i="5"/>
  <c r="BG43" i="5"/>
  <c r="AY43" i="5"/>
  <c r="BB43" i="5"/>
  <c r="AV146" i="5"/>
  <c r="AY146" i="5"/>
  <c r="BL146" i="5"/>
  <c r="BG146" i="5"/>
  <c r="BJ146" i="5"/>
  <c r="BQ146" i="5"/>
  <c r="S146" i="5"/>
  <c r="BO146" i="5"/>
  <c r="BD146" i="5"/>
  <c r="BA124" i="5"/>
  <c r="BA424" i="5"/>
  <c r="BA407" i="5"/>
  <c r="BF124" i="5"/>
  <c r="BF322" i="5"/>
  <c r="BF314" i="5"/>
  <c r="BF424" i="5"/>
  <c r="BF416" i="5"/>
  <c r="BF407" i="5"/>
  <c r="BJ124" i="5"/>
  <c r="BJ314" i="5"/>
  <c r="BJ424" i="5"/>
  <c r="BJ416" i="5"/>
  <c r="BL121" i="5"/>
  <c r="BO424" i="5"/>
  <c r="BO416" i="5"/>
  <c r="BQ416" i="5"/>
  <c r="AW116" i="5"/>
  <c r="AW28" i="5"/>
  <c r="AX17" i="5"/>
  <c r="AY121" i="5"/>
  <c r="BH113" i="5"/>
  <c r="BI121" i="5"/>
  <c r="BN17" i="5"/>
  <c r="BN121" i="5"/>
  <c r="BB124" i="5"/>
  <c r="BG124" i="5"/>
  <c r="AW17" i="5"/>
  <c r="AY113" i="5"/>
  <c r="BE121" i="5"/>
  <c r="BI17" i="5"/>
  <c r="BM121" i="5"/>
  <c r="BP17" i="5"/>
  <c r="BA17" i="5"/>
  <c r="BF220" i="5"/>
  <c r="BD121" i="5"/>
  <c r="BE17" i="5"/>
  <c r="BE113" i="5"/>
  <c r="BL17" i="5"/>
  <c r="BR17" i="5"/>
  <c r="AW227" i="5"/>
  <c r="AW219" i="5"/>
  <c r="AW211" i="5"/>
  <c r="AW322" i="5"/>
  <c r="AW314" i="5"/>
  <c r="AW424" i="5"/>
  <c r="AW416" i="5"/>
  <c r="BM17" i="5"/>
  <c r="AZ125" i="5"/>
  <c r="AZ315" i="5"/>
  <c r="BB121" i="5"/>
  <c r="BE124" i="5"/>
  <c r="BG121" i="5"/>
  <c r="BI125" i="5"/>
  <c r="BI425" i="5"/>
  <c r="BN124" i="5"/>
  <c r="BN425" i="5"/>
  <c r="BP121" i="5"/>
  <c r="BQ28" i="5"/>
  <c r="BQ115" i="5"/>
  <c r="BQ226" i="5"/>
  <c r="BR125" i="5"/>
  <c r="BR417" i="5"/>
  <c r="AZ121" i="5"/>
  <c r="BD17" i="5"/>
  <c r="BH17" i="5"/>
  <c r="BR113" i="5"/>
  <c r="AZ124" i="5"/>
  <c r="BD125" i="5"/>
  <c r="BK121" i="5"/>
  <c r="AW124" i="5"/>
  <c r="BJ17" i="5"/>
  <c r="AY125" i="5"/>
  <c r="AY117" i="5"/>
  <c r="AY228" i="5"/>
  <c r="AY212" i="5"/>
  <c r="AY323" i="5"/>
  <c r="AY315" i="5"/>
  <c r="BA121" i="5"/>
  <c r="BD124" i="5"/>
  <c r="BF121" i="5"/>
  <c r="BH125" i="5"/>
  <c r="BH228" i="5"/>
  <c r="BH212" i="5"/>
  <c r="BH323" i="5"/>
  <c r="BH315" i="5"/>
  <c r="BH425" i="5"/>
  <c r="BJ121" i="5"/>
  <c r="BM124" i="5"/>
  <c r="BO121" i="5"/>
  <c r="BQ121" i="5"/>
  <c r="BR115" i="5"/>
  <c r="BR226" i="5"/>
  <c r="AZ117" i="5"/>
  <c r="AZ228" i="5"/>
  <c r="AZ212" i="5"/>
  <c r="AZ323" i="5"/>
  <c r="BE116" i="5"/>
  <c r="BE227" i="5"/>
  <c r="BE219" i="5"/>
  <c r="BE211" i="5"/>
  <c r="BE322" i="5"/>
  <c r="BE314" i="5"/>
  <c r="BI117" i="5"/>
  <c r="BI228" i="5"/>
  <c r="BI220" i="5"/>
  <c r="BI212" i="5"/>
  <c r="BI323" i="5"/>
  <c r="BI315" i="5"/>
  <c r="BJ407" i="5"/>
  <c r="BK122" i="5"/>
  <c r="BM126" i="5"/>
  <c r="BN116" i="5"/>
  <c r="BN227" i="5"/>
  <c r="BN219" i="5"/>
  <c r="BN211" i="5"/>
  <c r="BN322" i="5"/>
  <c r="BN314" i="5"/>
  <c r="BQ371" i="5"/>
  <c r="BQ363" i="5"/>
  <c r="BR117" i="5"/>
  <c r="BR228" i="5"/>
  <c r="BR220" i="5"/>
  <c r="BR212" i="5"/>
  <c r="BR323" i="5"/>
  <c r="BR315" i="5"/>
  <c r="BR425" i="5"/>
  <c r="AZ314" i="5"/>
  <c r="AZ424" i="5"/>
  <c r="AZ416" i="5"/>
  <c r="AZ407" i="5"/>
  <c r="BB120" i="5"/>
  <c r="BD117" i="5"/>
  <c r="BD228" i="5"/>
  <c r="BD212" i="5"/>
  <c r="BD323" i="5"/>
  <c r="BD425" i="5"/>
  <c r="BD417" i="5"/>
  <c r="BE424" i="5"/>
  <c r="BE416" i="5"/>
  <c r="BG120" i="5"/>
  <c r="BI124" i="5"/>
  <c r="BI314" i="5"/>
  <c r="BI424" i="5"/>
  <c r="BI416" i="5"/>
  <c r="BI407" i="5"/>
  <c r="BM125" i="5"/>
  <c r="BM117" i="5"/>
  <c r="BM228" i="5"/>
  <c r="BM212" i="5"/>
  <c r="BM323" i="5"/>
  <c r="BM417" i="5"/>
  <c r="BM409" i="5"/>
  <c r="BN424" i="5"/>
  <c r="BN416" i="5"/>
  <c r="BP128" i="5"/>
  <c r="BP120" i="5"/>
  <c r="BQ99" i="5"/>
  <c r="BR124" i="5"/>
  <c r="BR314" i="5"/>
  <c r="BR424" i="5"/>
  <c r="BR416" i="5"/>
  <c r="BR407" i="5"/>
  <c r="BD211" i="5"/>
  <c r="BD322" i="5"/>
  <c r="BD314" i="5"/>
  <c r="BD424" i="5"/>
  <c r="BD416" i="5"/>
  <c r="BD407" i="5"/>
  <c r="BE122" i="5"/>
  <c r="BH117" i="5"/>
  <c r="BM322" i="5"/>
  <c r="BM314" i="5"/>
  <c r="BM424" i="5"/>
  <c r="BM416" i="5"/>
  <c r="BN122" i="5"/>
  <c r="BQ18" i="5"/>
  <c r="BH407" i="5"/>
  <c r="BB220" i="5"/>
  <c r="BC322" i="5"/>
  <c r="BC424" i="5"/>
  <c r="BC407" i="5"/>
  <c r="BG228" i="5"/>
  <c r="BG212" i="5"/>
  <c r="BG315" i="5"/>
  <c r="BL322" i="5"/>
  <c r="BL314" i="5"/>
  <c r="BP323" i="5"/>
  <c r="BP425" i="5"/>
  <c r="AY122" i="5"/>
  <c r="BB116" i="5"/>
  <c r="BB227" i="5"/>
  <c r="BB219" i="5"/>
  <c r="BB424" i="5"/>
  <c r="BB416" i="5"/>
  <c r="BG227" i="5"/>
  <c r="BG211" i="5"/>
  <c r="BG322" i="5"/>
  <c r="BG424" i="5"/>
  <c r="BH122" i="5"/>
  <c r="BP407" i="5"/>
  <c r="AV92" i="5"/>
  <c r="BR92" i="5"/>
  <c r="BK92" i="5"/>
  <c r="BH92" i="5"/>
  <c r="BG92" i="5"/>
  <c r="BM92" i="5"/>
  <c r="BF92" i="5"/>
  <c r="AV195" i="5"/>
  <c r="BR195" i="5"/>
  <c r="BO195" i="5"/>
  <c r="BN195" i="5"/>
  <c r="BD195" i="5"/>
  <c r="BP195" i="5"/>
  <c r="BL195" i="5"/>
  <c r="BG195" i="5"/>
  <c r="AV298" i="5"/>
  <c r="BK298" i="5"/>
  <c r="BN298" i="5"/>
  <c r="BC298" i="5"/>
  <c r="BD298" i="5"/>
  <c r="AV290" i="5"/>
  <c r="BP290" i="5"/>
  <c r="BK290" i="5"/>
  <c r="BN290" i="5"/>
  <c r="BI290" i="5"/>
  <c r="AV496" i="5"/>
  <c r="BK496" i="5"/>
  <c r="BP496" i="5"/>
  <c r="BM496" i="5"/>
  <c r="BN496" i="5"/>
  <c r="BG496" i="5"/>
  <c r="BD247" i="5"/>
  <c r="AV98" i="5"/>
  <c r="BL98" i="5"/>
  <c r="BP98" i="5"/>
  <c r="BJ98" i="5"/>
  <c r="BD98" i="5"/>
  <c r="BR98" i="5"/>
  <c r="BE98" i="5"/>
  <c r="AV127" i="5"/>
  <c r="BR127" i="5"/>
  <c r="BN422" i="5"/>
  <c r="BR422" i="5"/>
  <c r="BP422" i="5"/>
  <c r="BD422" i="5"/>
  <c r="BL422" i="5"/>
  <c r="BI422" i="5"/>
  <c r="AV414" i="5"/>
  <c r="BM414" i="5"/>
  <c r="BL414" i="5"/>
  <c r="AV48" i="5"/>
  <c r="BR48" i="5"/>
  <c r="BP48" i="5"/>
  <c r="BM48" i="5"/>
  <c r="BL48" i="5"/>
  <c r="BJ48" i="5"/>
  <c r="BD48" i="5"/>
  <c r="AV144" i="5"/>
  <c r="BO144" i="5"/>
  <c r="BN144" i="5"/>
  <c r="BR144" i="5"/>
  <c r="BP144" i="5"/>
  <c r="BM144" i="5"/>
  <c r="AV247" i="5"/>
  <c r="BM247" i="5"/>
  <c r="BI247" i="5"/>
  <c r="BH247" i="5"/>
  <c r="BR247" i="5"/>
  <c r="BJ247" i="5"/>
  <c r="BP239" i="5"/>
  <c r="BO239" i="5"/>
  <c r="BI239" i="5"/>
  <c r="BD239" i="5"/>
  <c r="AV444" i="5"/>
  <c r="BO444" i="5"/>
  <c r="BK444" i="5"/>
  <c r="BJ444" i="5"/>
  <c r="BR444" i="5"/>
  <c r="BN444" i="5"/>
  <c r="BL444" i="5"/>
  <c r="BD444" i="5"/>
  <c r="BO76" i="5"/>
  <c r="BP76" i="5"/>
  <c r="BJ76" i="5"/>
  <c r="AV59" i="5"/>
  <c r="BR59" i="5"/>
  <c r="BP175" i="5"/>
  <c r="BO175" i="5"/>
  <c r="BJ175" i="5"/>
  <c r="BL175" i="5"/>
  <c r="BG175" i="5"/>
  <c r="BL167" i="5"/>
  <c r="BJ167" i="5"/>
  <c r="BR167" i="5"/>
  <c r="BO167" i="5"/>
  <c r="BC167" i="5"/>
  <c r="BP158" i="5"/>
  <c r="BO158" i="5"/>
  <c r="BJ158" i="5"/>
  <c r="AV274" i="5"/>
  <c r="BA274" i="5"/>
  <c r="BK360" i="5"/>
  <c r="BB360" i="5"/>
  <c r="BL474" i="5"/>
  <c r="BN474" i="5"/>
  <c r="BG474" i="5"/>
  <c r="BR474" i="5"/>
  <c r="BO474" i="5"/>
  <c r="BM474" i="5"/>
  <c r="BF474" i="5"/>
  <c r="BD474" i="5"/>
  <c r="BP474" i="5"/>
  <c r="BI474" i="5"/>
  <c r="BP466" i="5"/>
  <c r="BK466" i="5"/>
  <c r="BL466" i="5"/>
  <c r="BC466" i="5"/>
  <c r="BD466" i="5"/>
  <c r="BO457" i="5"/>
  <c r="BN457" i="5"/>
  <c r="BQ457" i="5"/>
  <c r="BG457" i="5"/>
  <c r="BP457" i="5"/>
  <c r="BK457" i="5"/>
  <c r="BI457" i="5"/>
  <c r="BN113" i="5"/>
  <c r="BI113" i="5"/>
  <c r="BC113" i="5"/>
  <c r="AV224" i="5"/>
  <c r="BH224" i="5"/>
  <c r="AV319" i="5"/>
  <c r="BR319" i="5"/>
  <c r="BM319" i="5"/>
  <c r="BI319" i="5"/>
  <c r="BN319" i="5"/>
  <c r="AV29" i="5"/>
  <c r="BL29" i="5"/>
  <c r="BJ29" i="5"/>
  <c r="BM29" i="5"/>
  <c r="BK29" i="5"/>
  <c r="AV21" i="5"/>
  <c r="BL21" i="5"/>
  <c r="BK21" i="5"/>
  <c r="BM21" i="5"/>
  <c r="BR13" i="5"/>
  <c r="BP13" i="5"/>
  <c r="BO13" i="5"/>
  <c r="BJ13" i="5"/>
  <c r="BF13" i="5"/>
  <c r="BR119" i="5"/>
  <c r="BO119" i="5"/>
  <c r="AY414" i="5"/>
  <c r="BE422" i="5"/>
  <c r="BE144" i="5"/>
  <c r="BF48" i="5"/>
  <c r="BF144" i="5"/>
  <c r="BK127" i="5"/>
  <c r="BK48" i="5"/>
  <c r="BR414" i="5"/>
  <c r="S422" i="5"/>
  <c r="AW48" i="5"/>
  <c r="AX127" i="5"/>
  <c r="BB48" i="5"/>
  <c r="BB247" i="5"/>
  <c r="BF444" i="5"/>
  <c r="BG144" i="5"/>
  <c r="BH422" i="5"/>
  <c r="BH144" i="5"/>
  <c r="BH444" i="5"/>
  <c r="BQ127" i="5"/>
  <c r="BN123" i="5"/>
  <c r="BM123" i="5"/>
  <c r="BP123" i="5"/>
  <c r="AW224" i="5"/>
  <c r="AW319" i="5"/>
  <c r="AW457" i="5"/>
  <c r="AZ113" i="5"/>
  <c r="BA127" i="5"/>
  <c r="BC227" i="5"/>
  <c r="BF127" i="5"/>
  <c r="BH123" i="5"/>
  <c r="BI224" i="5"/>
  <c r="BJ127" i="5"/>
  <c r="BL219" i="5"/>
  <c r="BM422" i="5"/>
  <c r="BO127" i="5"/>
  <c r="BR224" i="5"/>
  <c r="AX396" i="5"/>
  <c r="BD113" i="5"/>
  <c r="BD216" i="5"/>
  <c r="BD319" i="5"/>
  <c r="BE127" i="5"/>
  <c r="BE119" i="5"/>
  <c r="BL123" i="5"/>
  <c r="BM113" i="5"/>
  <c r="BC414" i="5"/>
  <c r="BD112" i="5"/>
  <c r="AZ126" i="5"/>
  <c r="BA116" i="5"/>
  <c r="BA227" i="5"/>
  <c r="BA219" i="5"/>
  <c r="BA211" i="5"/>
  <c r="BB422" i="5"/>
  <c r="BB414" i="5"/>
  <c r="BC319" i="5"/>
  <c r="BD127" i="5"/>
  <c r="BD119" i="5"/>
  <c r="BF116" i="5"/>
  <c r="BF227" i="5"/>
  <c r="BF219" i="5"/>
  <c r="BF211" i="5"/>
  <c r="BG422" i="5"/>
  <c r="BG414" i="5"/>
  <c r="BI126" i="5"/>
  <c r="BJ116" i="5"/>
  <c r="BJ227" i="5"/>
  <c r="BJ219" i="5"/>
  <c r="BJ211" i="5"/>
  <c r="BJ322" i="5"/>
  <c r="BK123" i="5"/>
  <c r="BL113" i="5"/>
  <c r="BL224" i="5"/>
  <c r="BL319" i="5"/>
  <c r="BM127" i="5"/>
  <c r="BO116" i="5"/>
  <c r="BO227" i="5"/>
  <c r="BO322" i="5"/>
  <c r="BP122" i="5"/>
  <c r="BP414" i="5"/>
  <c r="BQ21" i="5"/>
  <c r="BQ13" i="5"/>
  <c r="BQ116" i="5"/>
  <c r="BQ227" i="5"/>
  <c r="BQ211" i="5"/>
  <c r="BQ322" i="5"/>
  <c r="BR126" i="5"/>
  <c r="BR118" i="5"/>
  <c r="AX496" i="5"/>
  <c r="AX100" i="5"/>
  <c r="AX473" i="5"/>
  <c r="AY127" i="5"/>
  <c r="BA123" i="5"/>
  <c r="BB113" i="5"/>
  <c r="BB224" i="5"/>
  <c r="BB319" i="5"/>
  <c r="BF123" i="5"/>
  <c r="BG113" i="5"/>
  <c r="BG224" i="5"/>
  <c r="BG319" i="5"/>
  <c r="BH127" i="5"/>
  <c r="BH119" i="5"/>
  <c r="BJ123" i="5"/>
  <c r="BK422" i="5"/>
  <c r="BK414" i="5"/>
  <c r="BO123" i="5"/>
  <c r="BP113" i="5"/>
  <c r="BP224" i="5"/>
  <c r="BP319" i="5"/>
  <c r="BQ123" i="5"/>
  <c r="BQ144" i="5"/>
  <c r="BQ247" i="5"/>
  <c r="BQ239" i="5"/>
  <c r="BQ444" i="5"/>
  <c r="BQ92" i="5"/>
  <c r="BQ195" i="5"/>
  <c r="BQ298" i="5"/>
  <c r="BQ290" i="5"/>
  <c r="BQ496" i="5"/>
  <c r="AX495" i="5"/>
  <c r="AX487" i="5"/>
  <c r="AX297" i="5"/>
  <c r="AX194" i="5"/>
  <c r="AX99" i="5"/>
  <c r="AX91" i="5"/>
  <c r="AX472" i="5"/>
  <c r="AX464" i="5"/>
  <c r="AX355" i="5"/>
  <c r="AX69" i="5"/>
  <c r="AX338" i="5"/>
  <c r="AX243" i="5"/>
  <c r="AX147" i="5"/>
  <c r="AX44" i="5"/>
  <c r="AY29" i="5"/>
  <c r="AY21" i="5"/>
  <c r="AY13" i="5"/>
  <c r="AY491" i="5"/>
  <c r="AY396" i="5"/>
  <c r="AY388" i="5"/>
  <c r="AY198" i="5"/>
  <c r="AY190" i="5"/>
  <c r="AY95" i="5"/>
  <c r="AY476" i="5"/>
  <c r="AY468" i="5"/>
  <c r="AY460" i="5"/>
  <c r="AY360" i="5"/>
  <c r="AY276" i="5"/>
  <c r="AY165" i="5"/>
  <c r="AY81" i="5"/>
  <c r="AY73" i="5"/>
  <c r="AY65" i="5"/>
  <c r="AY342" i="5"/>
  <c r="AY247" i="5"/>
  <c r="AY239" i="5"/>
  <c r="AY143" i="5"/>
  <c r="AY48" i="5"/>
  <c r="AY40" i="5"/>
  <c r="AZ17" i="5"/>
  <c r="AZ487" i="5"/>
  <c r="AZ392" i="5"/>
  <c r="AZ297" i="5"/>
  <c r="AZ194" i="5"/>
  <c r="AW298" i="5"/>
  <c r="AW290" i="5"/>
  <c r="AW496" i="5"/>
  <c r="AY126" i="5"/>
  <c r="AZ116" i="5"/>
  <c r="AZ227" i="5"/>
  <c r="AZ219" i="5"/>
  <c r="AZ211" i="5"/>
  <c r="BA122" i="5"/>
  <c r="BA422" i="5"/>
  <c r="BA414" i="5"/>
  <c r="BC127" i="5"/>
  <c r="BC119" i="5"/>
  <c r="BE123" i="5"/>
  <c r="BF422" i="5"/>
  <c r="BF414" i="5"/>
  <c r="BG112" i="5"/>
  <c r="BG223" i="5"/>
  <c r="BH126" i="5"/>
  <c r="BH118" i="5"/>
  <c r="BI116" i="5"/>
  <c r="BI227" i="5"/>
  <c r="BI219" i="5"/>
  <c r="BI322" i="5"/>
  <c r="BJ122" i="5"/>
  <c r="BJ422" i="5"/>
  <c r="BJ414" i="5"/>
  <c r="BK113" i="5"/>
  <c r="BK224" i="5"/>
  <c r="BK319" i="5"/>
  <c r="BL127" i="5"/>
  <c r="BL111" i="5"/>
  <c r="BM315" i="5"/>
  <c r="BM425" i="5"/>
  <c r="BO122" i="5"/>
  <c r="BO422" i="5"/>
  <c r="BO414" i="5"/>
  <c r="BP112" i="5"/>
  <c r="BP223" i="5"/>
  <c r="BP215" i="5"/>
  <c r="BP326" i="5"/>
  <c r="BQ27" i="5"/>
  <c r="BQ122" i="5"/>
  <c r="BQ422" i="5"/>
  <c r="BQ414" i="5"/>
  <c r="BQ48" i="5"/>
  <c r="BQ175" i="5"/>
  <c r="BQ167" i="5"/>
  <c r="BR116" i="5"/>
  <c r="BR227" i="5"/>
  <c r="BR219" i="5"/>
  <c r="BR211" i="5"/>
  <c r="BR322" i="5"/>
  <c r="AX494" i="5"/>
  <c r="AX486" i="5"/>
  <c r="AX98" i="5"/>
  <c r="AX372" i="5"/>
  <c r="AW247" i="5"/>
  <c r="AW239" i="5"/>
  <c r="AW360" i="5"/>
  <c r="AZ123" i="5"/>
  <c r="BA113" i="5"/>
  <c r="BA224" i="5"/>
  <c r="BA319" i="5"/>
  <c r="BB127" i="5"/>
  <c r="BD116" i="5"/>
  <c r="BD227" i="5"/>
  <c r="BD219" i="5"/>
  <c r="BF224" i="5"/>
  <c r="BF319" i="5"/>
  <c r="BG127" i="5"/>
  <c r="BG119" i="5"/>
  <c r="BI123" i="5"/>
  <c r="BJ113" i="5"/>
  <c r="BJ224" i="5"/>
  <c r="BJ319" i="5"/>
  <c r="BL126" i="5"/>
  <c r="BM116" i="5"/>
  <c r="BM227" i="5"/>
  <c r="BM219" i="5"/>
  <c r="BM211" i="5"/>
  <c r="BO224" i="5"/>
  <c r="BO319" i="5"/>
  <c r="BP127" i="5"/>
  <c r="BP119" i="5"/>
  <c r="BQ113" i="5"/>
  <c r="BQ224" i="5"/>
  <c r="BQ319" i="5"/>
  <c r="BQ360" i="5"/>
  <c r="BQ474" i="5"/>
  <c r="BQ466" i="5"/>
  <c r="BQ98" i="5"/>
  <c r="BR123" i="5"/>
  <c r="AX493" i="5"/>
  <c r="AX390" i="5"/>
  <c r="AX295" i="5"/>
  <c r="AX287" i="5"/>
  <c r="AX192" i="5"/>
  <c r="AX97" i="5"/>
  <c r="AX470" i="5"/>
  <c r="AX371" i="5"/>
  <c r="AX363" i="5"/>
  <c r="AX258" i="5"/>
  <c r="AX175" i="5"/>
  <c r="AX167" i="5"/>
  <c r="AX75" i="5"/>
  <c r="AX439" i="5"/>
  <c r="AX344" i="5"/>
  <c r="AX241" i="5"/>
  <c r="AX145" i="5"/>
  <c r="AX137" i="5"/>
  <c r="AX42" i="5"/>
  <c r="AY27" i="5"/>
  <c r="AX267" i="5"/>
  <c r="AX173" i="5"/>
  <c r="AX81" i="5"/>
  <c r="AX445" i="5"/>
  <c r="AX247" i="5"/>
  <c r="AX40" i="5"/>
  <c r="AY99" i="5"/>
  <c r="AY69" i="5"/>
  <c r="AY338" i="5"/>
  <c r="AY243" i="5"/>
  <c r="AZ476" i="5"/>
  <c r="AZ442" i="5"/>
  <c r="AZ148" i="5"/>
  <c r="BA22" i="5"/>
  <c r="BA14" i="5"/>
  <c r="BA397" i="5"/>
  <c r="BA477" i="5"/>
  <c r="BA469" i="5"/>
  <c r="BA167" i="5"/>
  <c r="BA338" i="5"/>
  <c r="BA147" i="5"/>
  <c r="BB491" i="5"/>
  <c r="BB190" i="5"/>
  <c r="BB476" i="5"/>
  <c r="BB468" i="5"/>
  <c r="BB157" i="5"/>
  <c r="BB75" i="5"/>
  <c r="BB344" i="5"/>
  <c r="BC490" i="5"/>
  <c r="BC173" i="5"/>
  <c r="BC73" i="5"/>
  <c r="BC437" i="5"/>
  <c r="BC342" i="5"/>
  <c r="BC247" i="5"/>
  <c r="BC40" i="5"/>
  <c r="BD392" i="5"/>
  <c r="BD91" i="5"/>
  <c r="AY486" i="5"/>
  <c r="AX161" i="5"/>
  <c r="AX442" i="5"/>
  <c r="AY22" i="5"/>
  <c r="AY397" i="5"/>
  <c r="AY294" i="5"/>
  <c r="AY191" i="5"/>
  <c r="AY477" i="5"/>
  <c r="AY370" i="5"/>
  <c r="AY174" i="5"/>
  <c r="AZ100" i="5"/>
  <c r="AZ473" i="5"/>
  <c r="BA27" i="5"/>
  <c r="BA489" i="5"/>
  <c r="BA394" i="5"/>
  <c r="BA438" i="5"/>
  <c r="BB298" i="5"/>
  <c r="BB290" i="5"/>
  <c r="BB195" i="5"/>
  <c r="BB100" i="5"/>
  <c r="BB92" i="5"/>
  <c r="BB40" i="5"/>
  <c r="BC17" i="5"/>
  <c r="BC194" i="5"/>
  <c r="BC456" i="5"/>
  <c r="BC161" i="5"/>
  <c r="BD294" i="5"/>
  <c r="BD199" i="5"/>
  <c r="BD477" i="5"/>
  <c r="BD461" i="5"/>
  <c r="AZ99" i="5"/>
  <c r="AZ472" i="5"/>
  <c r="AZ464" i="5"/>
  <c r="AZ456" i="5"/>
  <c r="AZ374" i="5"/>
  <c r="AZ273" i="5"/>
  <c r="AZ180" i="5"/>
  <c r="AZ57" i="5"/>
  <c r="AZ438" i="5"/>
  <c r="AZ343" i="5"/>
  <c r="AZ240" i="5"/>
  <c r="AZ144" i="5"/>
  <c r="AZ49" i="5"/>
  <c r="BA18" i="5"/>
  <c r="BA496" i="5"/>
  <c r="BA298" i="5"/>
  <c r="BA195" i="5"/>
  <c r="BA100" i="5"/>
  <c r="BA473" i="5"/>
  <c r="BA456" i="5"/>
  <c r="BA273" i="5"/>
  <c r="BA179" i="5"/>
  <c r="BA81" i="5"/>
  <c r="BA73" i="5"/>
  <c r="BA65" i="5"/>
  <c r="BA445" i="5"/>
  <c r="BA342" i="5"/>
  <c r="BA247" i="5"/>
  <c r="BA48" i="5"/>
  <c r="BA40" i="5"/>
  <c r="BB17" i="5"/>
  <c r="BB495" i="5"/>
  <c r="BB487" i="5"/>
  <c r="BB297" i="5"/>
  <c r="BB194" i="5"/>
  <c r="BB99" i="5"/>
  <c r="BB91" i="5"/>
  <c r="BB472" i="5"/>
  <c r="BB374" i="5"/>
  <c r="BB179" i="5"/>
  <c r="BB79" i="5"/>
  <c r="BB63" i="5"/>
  <c r="BB443" i="5"/>
  <c r="BB340" i="5"/>
  <c r="BB245" i="5"/>
  <c r="BB47" i="5"/>
  <c r="BC16" i="5"/>
  <c r="BC296" i="5"/>
  <c r="BC288" i="5"/>
  <c r="BC98" i="5"/>
  <c r="BC471" i="5"/>
  <c r="BC463" i="5"/>
  <c r="BC355" i="5"/>
  <c r="BC77" i="5"/>
  <c r="BC69" i="5"/>
  <c r="BC441" i="5"/>
  <c r="BC338" i="5"/>
  <c r="BC243" i="5"/>
  <c r="BD258" i="5"/>
  <c r="BD175" i="5"/>
  <c r="BD167" i="5"/>
  <c r="BD157" i="5"/>
  <c r="BD75" i="5"/>
  <c r="BD439" i="5"/>
  <c r="BD344" i="5"/>
  <c r="BD241" i="5"/>
  <c r="BD145" i="5"/>
  <c r="BD137" i="5"/>
  <c r="BD42" i="5"/>
  <c r="BE27" i="5"/>
  <c r="BE489" i="5"/>
  <c r="AX259" i="5"/>
  <c r="AX440" i="5"/>
  <c r="AX242" i="5"/>
  <c r="AX146" i="5"/>
  <c r="AX43" i="5"/>
  <c r="AY28" i="5"/>
  <c r="AY490" i="5"/>
  <c r="AY475" i="5"/>
  <c r="AY376" i="5"/>
  <c r="AY180" i="5"/>
  <c r="AY80" i="5"/>
  <c r="AY72" i="5"/>
  <c r="AY444" i="5"/>
  <c r="AY237" i="5"/>
  <c r="AZ288" i="5"/>
  <c r="AZ445" i="5"/>
  <c r="AZ437" i="5"/>
  <c r="AZ247" i="5"/>
  <c r="AZ143" i="5"/>
  <c r="AZ48" i="5"/>
  <c r="BA392" i="5"/>
  <c r="BA91" i="5"/>
  <c r="BA178" i="5"/>
  <c r="BA80" i="5"/>
  <c r="BA47" i="5"/>
  <c r="BB494" i="5"/>
  <c r="BB98" i="5"/>
  <c r="BB434" i="5"/>
  <c r="BB46" i="5"/>
  <c r="BC493" i="5"/>
  <c r="BC390" i="5"/>
  <c r="BC97" i="5"/>
  <c r="BC470" i="5"/>
  <c r="BC372" i="5"/>
  <c r="BC146" i="5"/>
  <c r="BD395" i="5"/>
  <c r="BD189" i="5"/>
  <c r="BD475" i="5"/>
  <c r="BD360" i="5"/>
  <c r="AY489" i="5"/>
  <c r="AY394" i="5"/>
  <c r="AY196" i="5"/>
  <c r="AY93" i="5"/>
  <c r="AY466" i="5"/>
  <c r="AY457" i="5"/>
  <c r="AY357" i="5"/>
  <c r="AY179" i="5"/>
  <c r="AY63" i="5"/>
  <c r="AY443" i="5"/>
  <c r="AY340" i="5"/>
  <c r="AY245" i="5"/>
  <c r="AY141" i="5"/>
  <c r="AZ23" i="5"/>
  <c r="AZ485" i="5"/>
  <c r="AZ390" i="5"/>
  <c r="AZ295" i="5"/>
  <c r="AZ287" i="5"/>
  <c r="AZ192" i="5"/>
  <c r="AZ97" i="5"/>
  <c r="AZ89" i="5"/>
  <c r="AZ470" i="5"/>
  <c r="AZ462" i="5"/>
  <c r="AZ178" i="5"/>
  <c r="AZ72" i="5"/>
  <c r="AZ444" i="5"/>
  <c r="AZ246" i="5"/>
  <c r="AZ237" i="5"/>
  <c r="AZ47" i="5"/>
  <c r="BA494" i="5"/>
  <c r="BA296" i="5"/>
  <c r="BA288" i="5"/>
  <c r="BA98" i="5"/>
  <c r="BA463" i="5"/>
  <c r="BA79" i="5"/>
  <c r="BA63" i="5"/>
  <c r="BA443" i="5"/>
  <c r="BA141" i="5"/>
  <c r="BA46" i="5"/>
  <c r="BB493" i="5"/>
  <c r="BB390" i="5"/>
  <c r="BB295" i="5"/>
  <c r="BB97" i="5"/>
  <c r="BB69" i="5"/>
  <c r="BB346" i="5"/>
  <c r="BB148" i="5"/>
  <c r="BC389" i="5"/>
  <c r="BC199" i="5"/>
  <c r="BC191" i="5"/>
  <c r="BC477" i="5"/>
  <c r="BC371" i="5"/>
  <c r="BC258" i="5"/>
  <c r="BC175" i="5"/>
  <c r="BC75" i="5"/>
  <c r="BC67" i="5"/>
  <c r="BC58" i="5"/>
  <c r="BC439" i="5"/>
  <c r="BC344" i="5"/>
  <c r="BD93" i="5"/>
  <c r="BD340" i="5"/>
  <c r="BE441" i="5"/>
  <c r="BE338" i="5"/>
  <c r="BE44" i="5"/>
  <c r="BF198" i="5"/>
  <c r="BF445" i="5"/>
  <c r="BF143" i="5"/>
  <c r="BG17" i="5"/>
  <c r="BG194" i="5"/>
  <c r="BG77" i="5"/>
  <c r="BG441" i="5"/>
  <c r="BG147" i="5"/>
  <c r="BG44" i="5"/>
  <c r="BH95" i="5"/>
  <c r="BH48" i="5"/>
  <c r="BI392" i="5"/>
  <c r="BD43" i="5"/>
  <c r="BE28" i="5"/>
  <c r="BE490" i="5"/>
  <c r="BE395" i="5"/>
  <c r="BE197" i="5"/>
  <c r="BE475" i="5"/>
  <c r="BE360" i="5"/>
  <c r="BE174" i="5"/>
  <c r="BE66" i="5"/>
  <c r="BE343" i="5"/>
  <c r="BE240" i="5"/>
  <c r="BF496" i="5"/>
  <c r="BF488" i="5"/>
  <c r="BF298" i="5"/>
  <c r="BF290" i="5"/>
  <c r="BF195" i="5"/>
  <c r="BF100" i="5"/>
  <c r="BF374" i="5"/>
  <c r="BF178" i="5"/>
  <c r="BF442" i="5"/>
  <c r="BF434" i="5"/>
  <c r="BF244" i="5"/>
  <c r="BF148" i="5"/>
  <c r="BG30" i="5"/>
  <c r="BG389" i="5"/>
  <c r="BG294" i="5"/>
  <c r="BG191" i="5"/>
  <c r="BG477" i="5"/>
  <c r="BG461" i="5"/>
  <c r="BG378" i="5"/>
  <c r="BG269" i="5"/>
  <c r="BG174" i="5"/>
  <c r="BH18" i="5"/>
  <c r="BH496" i="5"/>
  <c r="BH298" i="5"/>
  <c r="BH100" i="5"/>
  <c r="BH456" i="5"/>
  <c r="BH374" i="5"/>
  <c r="BH356" i="5"/>
  <c r="BH178" i="5"/>
  <c r="BH442" i="5"/>
  <c r="BH244" i="5"/>
  <c r="BI14" i="5"/>
  <c r="BI492" i="5"/>
  <c r="BI397" i="5"/>
  <c r="BI389" i="5"/>
  <c r="BE394" i="5"/>
  <c r="BE291" i="5"/>
  <c r="BE196" i="5"/>
  <c r="BE188" i="5"/>
  <c r="BE474" i="5"/>
  <c r="BE466" i="5"/>
  <c r="BE376" i="5"/>
  <c r="BE173" i="5"/>
  <c r="BE81" i="5"/>
  <c r="BE73" i="5"/>
  <c r="BE445" i="5"/>
  <c r="BE437" i="5"/>
  <c r="BE342" i="5"/>
  <c r="BE247" i="5"/>
  <c r="BE143" i="5"/>
  <c r="BE48" i="5"/>
  <c r="BE40" i="5"/>
  <c r="BF17" i="5"/>
  <c r="BF495" i="5"/>
  <c r="BF392" i="5"/>
  <c r="BF297" i="5"/>
  <c r="BF194" i="5"/>
  <c r="BF99" i="5"/>
  <c r="BF91" i="5"/>
  <c r="BF472" i="5"/>
  <c r="BF464" i="5"/>
  <c r="BF355" i="5"/>
  <c r="BF77" i="5"/>
  <c r="BF441" i="5"/>
  <c r="BF346" i="5"/>
  <c r="BF338" i="5"/>
  <c r="BF243" i="5"/>
  <c r="BF147" i="5"/>
  <c r="BF44" i="5"/>
  <c r="BG29" i="5"/>
  <c r="BG21" i="5"/>
  <c r="BG13" i="5"/>
  <c r="BG491" i="5"/>
  <c r="BG396" i="5"/>
  <c r="BG388" i="5"/>
  <c r="BG198" i="5"/>
  <c r="BG190" i="5"/>
  <c r="BG95" i="5"/>
  <c r="BG476" i="5"/>
  <c r="BG468" i="5"/>
  <c r="BG460" i="5"/>
  <c r="BG360" i="5"/>
  <c r="BG267" i="5"/>
  <c r="BG173" i="5"/>
  <c r="BG165" i="5"/>
  <c r="BG81" i="5"/>
  <c r="BG73" i="5"/>
  <c r="BG445" i="5"/>
  <c r="BG437" i="5"/>
  <c r="BG342" i="5"/>
  <c r="BG247" i="5"/>
  <c r="BG143" i="5"/>
  <c r="BH392" i="5"/>
  <c r="BH297" i="5"/>
  <c r="BH91" i="5"/>
  <c r="BH472" i="5"/>
  <c r="BH69" i="5"/>
  <c r="BH338" i="5"/>
  <c r="BH243" i="5"/>
  <c r="BH147" i="5"/>
  <c r="BI29" i="5"/>
  <c r="BI21" i="5"/>
  <c r="BI491" i="5"/>
  <c r="BI396" i="5"/>
  <c r="BI388" i="5"/>
  <c r="BD57" i="5"/>
  <c r="BD240" i="5"/>
  <c r="BD144" i="5"/>
  <c r="BD49" i="5"/>
  <c r="BE496" i="5"/>
  <c r="BE290" i="5"/>
  <c r="BE92" i="5"/>
  <c r="BE473" i="5"/>
  <c r="BE457" i="5"/>
  <c r="BE375" i="5"/>
  <c r="BE80" i="5"/>
  <c r="BE444" i="5"/>
  <c r="BF259" i="5"/>
  <c r="BF440" i="5"/>
  <c r="BF146" i="5"/>
  <c r="BG28" i="5"/>
  <c r="BG395" i="5"/>
  <c r="BG197" i="5"/>
  <c r="BG189" i="5"/>
  <c r="BG475" i="5"/>
  <c r="BG80" i="5"/>
  <c r="BG444" i="5"/>
  <c r="BG246" i="5"/>
  <c r="BH77" i="5"/>
  <c r="BH59" i="5"/>
  <c r="BH440" i="5"/>
  <c r="BH242" i="5"/>
  <c r="BH43" i="5"/>
  <c r="BI28" i="5"/>
  <c r="BI490" i="5"/>
  <c r="BI91" i="5"/>
  <c r="BI464" i="5"/>
  <c r="BJ23" i="5"/>
  <c r="BJ485" i="5"/>
  <c r="BJ363" i="5"/>
  <c r="BJ344" i="5"/>
  <c r="BK93" i="5"/>
  <c r="BK80" i="5"/>
  <c r="BL493" i="5"/>
  <c r="BL485" i="5"/>
  <c r="BL192" i="5"/>
  <c r="BL97" i="5"/>
  <c r="BL67" i="5"/>
  <c r="BM291" i="5"/>
  <c r="BM457" i="5"/>
  <c r="BM81" i="5"/>
  <c r="BM444" i="5"/>
  <c r="BM237" i="5"/>
  <c r="BN371" i="5"/>
  <c r="BN258" i="5"/>
  <c r="BN174" i="5"/>
  <c r="BN48" i="5"/>
  <c r="BN40" i="5"/>
  <c r="BO194" i="5"/>
  <c r="BO99" i="5"/>
  <c r="BO91" i="5"/>
  <c r="BO172" i="5"/>
  <c r="BO243" i="5"/>
  <c r="BP292" i="5"/>
  <c r="BP148" i="5"/>
  <c r="BR370" i="5"/>
  <c r="BI96" i="5"/>
  <c r="BI477" i="5"/>
  <c r="BI469" i="5"/>
  <c r="BI378" i="5"/>
  <c r="BI370" i="5"/>
  <c r="BI337" i="5"/>
  <c r="BI146" i="5"/>
  <c r="BI43" i="5"/>
  <c r="BJ28" i="5"/>
  <c r="BJ475" i="5"/>
  <c r="BJ376" i="5"/>
  <c r="BJ275" i="5"/>
  <c r="BJ180" i="5"/>
  <c r="BJ81" i="5"/>
  <c r="BJ72" i="5"/>
  <c r="BJ237" i="5"/>
  <c r="BK16" i="5"/>
  <c r="BK98" i="5"/>
  <c r="BK242" i="5"/>
  <c r="BK146" i="5"/>
  <c r="BI190" i="5"/>
  <c r="BI95" i="5"/>
  <c r="BI476" i="5"/>
  <c r="BI460" i="5"/>
  <c r="BI377" i="5"/>
  <c r="BI167" i="5"/>
  <c r="BI158" i="5"/>
  <c r="BI76" i="5"/>
  <c r="BI67" i="5"/>
  <c r="BI344" i="5"/>
  <c r="BI241" i="5"/>
  <c r="BI145" i="5"/>
  <c r="BJ27" i="5"/>
  <c r="BJ19" i="5"/>
  <c r="BJ196" i="5"/>
  <c r="BJ93" i="5"/>
  <c r="BJ474" i="5"/>
  <c r="BJ466" i="5"/>
  <c r="BJ457" i="5"/>
  <c r="BJ375" i="5"/>
  <c r="BJ63" i="5"/>
  <c r="BJ245" i="5"/>
  <c r="BJ141" i="5"/>
  <c r="BK23" i="5"/>
  <c r="BK192" i="5"/>
  <c r="BK470" i="5"/>
  <c r="BK371" i="5"/>
  <c r="BK363" i="5"/>
  <c r="BK279" i="5"/>
  <c r="BK67" i="5"/>
  <c r="BK344" i="5"/>
  <c r="BK145" i="5"/>
  <c r="BL27" i="5"/>
  <c r="BL489" i="5"/>
  <c r="BL394" i="5"/>
  <c r="BL291" i="5"/>
  <c r="BL188" i="5"/>
  <c r="BL93" i="5"/>
  <c r="BL457" i="5"/>
  <c r="BL375" i="5"/>
  <c r="BL80" i="5"/>
  <c r="BL63" i="5"/>
  <c r="BL245" i="5"/>
  <c r="BL141" i="5"/>
  <c r="BM23" i="5"/>
  <c r="BM493" i="5"/>
  <c r="BM485" i="5"/>
  <c r="BM390" i="5"/>
  <c r="BM295" i="5"/>
  <c r="BM192" i="5"/>
  <c r="BM97" i="5"/>
  <c r="BM470" i="5"/>
  <c r="BM462" i="5"/>
  <c r="BM146" i="5"/>
  <c r="BI197" i="5"/>
  <c r="BI360" i="5"/>
  <c r="BI174" i="5"/>
  <c r="BI166" i="5"/>
  <c r="BI157" i="5"/>
  <c r="BI57" i="5"/>
  <c r="BI438" i="5"/>
  <c r="BI144" i="5"/>
  <c r="BI49" i="5"/>
  <c r="BJ18" i="5"/>
  <c r="BJ100" i="5"/>
  <c r="BJ92" i="5"/>
  <c r="BJ456" i="5"/>
  <c r="BJ178" i="5"/>
  <c r="BJ79" i="5"/>
  <c r="BJ442" i="5"/>
  <c r="BJ434" i="5"/>
  <c r="BJ148" i="5"/>
  <c r="BK199" i="5"/>
  <c r="BK191" i="5"/>
  <c r="BK96" i="5"/>
  <c r="BK469" i="5"/>
  <c r="BK461" i="5"/>
  <c r="BK378" i="5"/>
  <c r="BK258" i="5"/>
  <c r="BK175" i="5"/>
  <c r="BK167" i="5"/>
  <c r="BK157" i="5"/>
  <c r="BK438" i="5"/>
  <c r="BK240" i="5"/>
  <c r="BL298" i="5"/>
  <c r="BL290" i="5"/>
  <c r="BL374" i="5"/>
  <c r="BL179" i="5"/>
  <c r="BL79" i="5"/>
  <c r="BL442" i="5"/>
  <c r="BL244" i="5"/>
  <c r="BM30" i="5"/>
  <c r="BM22" i="5"/>
  <c r="BM492" i="5"/>
  <c r="BM397" i="5"/>
  <c r="BM389" i="5"/>
  <c r="BM294" i="5"/>
  <c r="BM199" i="5"/>
  <c r="BM191" i="5"/>
  <c r="BM96" i="5"/>
  <c r="BM461" i="5"/>
  <c r="BM378" i="5"/>
  <c r="BM76" i="5"/>
  <c r="BM439" i="5"/>
  <c r="BM344" i="5"/>
  <c r="BM137" i="5"/>
  <c r="BN100" i="5"/>
  <c r="BN92" i="5"/>
  <c r="BN374" i="5"/>
  <c r="BN158" i="5"/>
  <c r="BN76" i="5"/>
  <c r="BN439" i="5"/>
  <c r="BN241" i="5"/>
  <c r="BN146" i="5"/>
  <c r="BP237" i="5"/>
  <c r="AP109" i="5"/>
  <c r="O474" i="36" s="1"/>
  <c r="BA143" i="5"/>
  <c r="BA437" i="5"/>
  <c r="BI13" i="5"/>
  <c r="BI137" i="5"/>
  <c r="AZ91" i="5"/>
  <c r="BA290" i="5"/>
  <c r="BA92" i="5"/>
  <c r="BE93" i="5"/>
  <c r="BM337" i="5"/>
  <c r="AD484" i="5"/>
  <c r="AG462" i="36" s="1"/>
  <c r="AH187" i="5"/>
  <c r="AD466" i="36" s="1"/>
  <c r="BF113" i="5"/>
  <c r="BO113" i="5"/>
  <c r="AA484" i="5"/>
  <c r="AG459" i="36" s="1"/>
  <c r="AB484" i="5"/>
  <c r="AG460" i="36" s="1"/>
  <c r="AO109" i="5"/>
  <c r="O473" i="36" s="1"/>
  <c r="AR484" i="5"/>
  <c r="AG476" i="36" s="1"/>
  <c r="BN315" i="5"/>
  <c r="AC484" i="5"/>
  <c r="AG461" i="36" s="1"/>
  <c r="AA109" i="5"/>
  <c r="O459" i="36" s="1"/>
  <c r="AF109" i="5"/>
  <c r="O464" i="36" s="1"/>
  <c r="BN356" i="5"/>
  <c r="BA454" i="5"/>
  <c r="M252" i="27"/>
  <c r="N252" i="27" s="1"/>
  <c r="O252" i="27" s="1"/>
  <c r="E248" i="10"/>
  <c r="D393" i="15" s="1"/>
  <c r="AI109" i="5"/>
  <c r="O467" i="36" s="1"/>
  <c r="AX471" i="5"/>
  <c r="AW491" i="2"/>
  <c r="BQ376" i="5"/>
  <c r="AY374" i="5"/>
  <c r="AZ371" i="5"/>
  <c r="BC370" i="5"/>
  <c r="BD374" i="5"/>
  <c r="BG374" i="5"/>
  <c r="BP377" i="5"/>
  <c r="AX279" i="5"/>
  <c r="BB166" i="5"/>
  <c r="BA157" i="5"/>
  <c r="AZ157" i="5"/>
  <c r="BF167" i="5"/>
  <c r="BN167" i="5"/>
  <c r="BM166" i="5"/>
  <c r="BD63" i="5"/>
  <c r="AY76" i="5"/>
  <c r="BM63" i="5"/>
  <c r="BE460" i="5"/>
  <c r="BP456" i="5"/>
  <c r="R559" i="2"/>
  <c r="AY471" i="5"/>
  <c r="BL471" i="5"/>
  <c r="BB471" i="5"/>
  <c r="BE471" i="5"/>
  <c r="BP471" i="5"/>
  <c r="BD471" i="5"/>
  <c r="BN471" i="5"/>
  <c r="AW471" i="5"/>
  <c r="BJ471" i="5"/>
  <c r="BK471" i="5"/>
  <c r="BM464" i="5"/>
  <c r="BJ460" i="5"/>
  <c r="BL460" i="5"/>
  <c r="BN460" i="5"/>
  <c r="AX457" i="5"/>
  <c r="BC457" i="5"/>
  <c r="BF457" i="5"/>
  <c r="BH457" i="5"/>
  <c r="BB457" i="5"/>
  <c r="BR457" i="5"/>
  <c r="BG454" i="5"/>
  <c r="BP454" i="5"/>
  <c r="AX454" i="5"/>
  <c r="BH454" i="5"/>
  <c r="BJ454" i="5"/>
  <c r="BK454" i="5"/>
  <c r="BR454" i="5"/>
  <c r="AZ454" i="5"/>
  <c r="BE454" i="5"/>
  <c r="BI454" i="5"/>
  <c r="BO454" i="5"/>
  <c r="AW454" i="5"/>
  <c r="AY454" i="5"/>
  <c r="BD454" i="5"/>
  <c r="BN454" i="5"/>
  <c r="AZ488" i="5"/>
  <c r="BI488" i="5"/>
  <c r="BM488" i="5"/>
  <c r="BJ488" i="5"/>
  <c r="BO488" i="5"/>
  <c r="BK488" i="5"/>
  <c r="BA488" i="5"/>
  <c r="BH488" i="5"/>
  <c r="BB488" i="5"/>
  <c r="BG488" i="5"/>
  <c r="BL488" i="5"/>
  <c r="AX488" i="5"/>
  <c r="BN488" i="5"/>
  <c r="BQ488" i="5"/>
  <c r="AW488" i="5"/>
  <c r="BD488" i="5"/>
  <c r="BE488" i="5"/>
  <c r="BP488" i="5"/>
  <c r="BR488" i="5"/>
  <c r="BC488" i="5"/>
  <c r="AK379" i="35"/>
  <c r="AK423" i="35"/>
  <c r="AL339" i="35"/>
  <c r="BE487" i="5"/>
  <c r="BL487" i="5"/>
  <c r="BJ486" i="5"/>
  <c r="BM486" i="5"/>
  <c r="BP486" i="5"/>
  <c r="BD486" i="5"/>
  <c r="BL486" i="5"/>
  <c r="BR486" i="5"/>
  <c r="AW486" i="5"/>
  <c r="AZ486" i="5"/>
  <c r="BB486" i="5"/>
  <c r="AK484" i="5"/>
  <c r="AG469" i="36" s="1"/>
  <c r="AM484" i="5"/>
  <c r="AG471" i="36" s="1"/>
  <c r="AV487" i="5"/>
  <c r="BO486" i="5"/>
  <c r="BC486" i="5"/>
  <c r="BK486" i="5"/>
  <c r="BN486" i="5"/>
  <c r="BA434" i="5"/>
  <c r="BE434" i="5"/>
  <c r="AX409" i="5"/>
  <c r="AV407" i="5"/>
  <c r="AX377" i="5"/>
  <c r="AZ377" i="5"/>
  <c r="BA377" i="5"/>
  <c r="BK377" i="5"/>
  <c r="BQ377" i="5"/>
  <c r="AW377" i="5"/>
  <c r="BO377" i="5"/>
  <c r="BJ377" i="5"/>
  <c r="BL377" i="5"/>
  <c r="BN377" i="5"/>
  <c r="BF377" i="5"/>
  <c r="BH377" i="5"/>
  <c r="BB377" i="5"/>
  <c r="AY377" i="5"/>
  <c r="BG377" i="5"/>
  <c r="BK376" i="5"/>
  <c r="BM376" i="5"/>
  <c r="BJ372" i="5"/>
  <c r="BA371" i="5"/>
  <c r="BR371" i="5"/>
  <c r="BH370" i="5"/>
  <c r="AA380" i="35"/>
  <c r="AY363" i="5"/>
  <c r="BD363" i="5"/>
  <c r="BG363" i="5"/>
  <c r="BI363" i="5"/>
  <c r="BO363" i="5"/>
  <c r="BL360" i="5"/>
  <c r="BN360" i="5"/>
  <c r="BR360" i="5"/>
  <c r="BK356" i="5"/>
  <c r="BM377" i="5"/>
  <c r="BR377" i="5"/>
  <c r="BI374" i="5"/>
  <c r="BO374" i="5"/>
  <c r="AA424" i="35"/>
  <c r="BE356" i="5"/>
  <c r="BF356" i="5"/>
  <c r="AY356" i="5"/>
  <c r="BA356" i="5"/>
  <c r="BB356" i="5"/>
  <c r="BD356" i="5"/>
  <c r="BJ356" i="5"/>
  <c r="BR356" i="5"/>
  <c r="BM356" i="5"/>
  <c r="BO356" i="5"/>
  <c r="S356" i="5"/>
  <c r="BG356" i="5"/>
  <c r="BD346" i="5"/>
  <c r="BI346" i="5"/>
  <c r="BK346" i="5"/>
  <c r="BR343" i="5"/>
  <c r="BB342" i="5"/>
  <c r="BJ342" i="5"/>
  <c r="BL342" i="5"/>
  <c r="W339" i="5"/>
  <c r="W338" i="5"/>
  <c r="AV338" i="5" s="1"/>
  <c r="BR335" i="5"/>
  <c r="AY346" i="5"/>
  <c r="AZ346" i="5"/>
  <c r="BM346" i="5"/>
  <c r="S346" i="5"/>
  <c r="AX346" i="5"/>
  <c r="BE346" i="5"/>
  <c r="BN346" i="5"/>
  <c r="BP346" i="5"/>
  <c r="BR346" i="5"/>
  <c r="BH346" i="5"/>
  <c r="BC346" i="5"/>
  <c r="BA346" i="5"/>
  <c r="BG346" i="5"/>
  <c r="BQ342" i="5"/>
  <c r="BG335" i="5"/>
  <c r="BH335" i="5"/>
  <c r="BJ335" i="5"/>
  <c r="BN335" i="5"/>
  <c r="AW335" i="5"/>
  <c r="AY335" i="5"/>
  <c r="BF335" i="5"/>
  <c r="BL335" i="5"/>
  <c r="AZ335" i="5"/>
  <c r="BC335" i="5"/>
  <c r="BD335" i="5"/>
  <c r="BQ335" i="5"/>
  <c r="BB335" i="5"/>
  <c r="BE335" i="5"/>
  <c r="BM335" i="5"/>
  <c r="BP335" i="5"/>
  <c r="AX310" i="5"/>
  <c r="BK308" i="5"/>
  <c r="BB308" i="5"/>
  <c r="BJ308" i="5"/>
  <c r="BP308" i="5"/>
  <c r="BA308" i="5"/>
  <c r="BL308" i="5"/>
  <c r="BO308" i="5"/>
  <c r="BQ308" i="5"/>
  <c r="BC308" i="5"/>
  <c r="BD308" i="5"/>
  <c r="BG275" i="5"/>
  <c r="BE274" i="5"/>
  <c r="BB273" i="5"/>
  <c r="BL273" i="5"/>
  <c r="AZ272" i="5"/>
  <c r="BD269" i="5"/>
  <c r="BI269" i="5"/>
  <c r="BM269" i="5"/>
  <c r="BO269" i="5"/>
  <c r="S276" i="5"/>
  <c r="BH276" i="5"/>
  <c r="BK276" i="5"/>
  <c r="BM276" i="5"/>
  <c r="BP276" i="5"/>
  <c r="BR276" i="5"/>
  <c r="BA276" i="5"/>
  <c r="BO276" i="5"/>
  <c r="BQ276" i="5"/>
  <c r="BD276" i="5"/>
  <c r="BI276" i="5"/>
  <c r="BG276" i="5"/>
  <c r="AX276" i="5"/>
  <c r="AZ276" i="5"/>
  <c r="BE276" i="5"/>
  <c r="BF276" i="5"/>
  <c r="BJ276" i="5"/>
  <c r="BN276" i="5"/>
  <c r="BB276" i="5"/>
  <c r="AW276" i="5"/>
  <c r="BL276" i="5"/>
  <c r="AV273" i="5"/>
  <c r="BC287" i="5"/>
  <c r="BP287" i="5"/>
  <c r="BE242" i="5"/>
  <c r="BF242" i="5"/>
  <c r="AZ239" i="5"/>
  <c r="BF239" i="5"/>
  <c r="BA239" i="5"/>
  <c r="AA238" i="5"/>
  <c r="AA235" i="5" s="1"/>
  <c r="U459" i="36" s="1"/>
  <c r="AB238" i="5"/>
  <c r="AB235" i="5" s="1"/>
  <c r="U460" i="36" s="1"/>
  <c r="AG238" i="5"/>
  <c r="AM238" i="5"/>
  <c r="AM249" i="5" s="1"/>
  <c r="AM519" i="5" s="1"/>
  <c r="AR238" i="5"/>
  <c r="AR235" i="5" s="1"/>
  <c r="U476" i="36" s="1"/>
  <c r="Y238" i="5"/>
  <c r="AJ238" i="5"/>
  <c r="AJ235" i="5" s="1"/>
  <c r="U468" i="36" s="1"/>
  <c r="AI238" i="5"/>
  <c r="V238" i="5"/>
  <c r="AF238" i="5"/>
  <c r="AF235" i="5" s="1"/>
  <c r="U464" i="36" s="1"/>
  <c r="AL238" i="5"/>
  <c r="Q249" i="5"/>
  <c r="U228" i="36" s="1"/>
  <c r="AE238" i="5"/>
  <c r="AE235" i="5" s="1"/>
  <c r="U463" i="36" s="1"/>
  <c r="AP238" i="5"/>
  <c r="AP249" i="5" s="1"/>
  <c r="U168" i="36" s="1"/>
  <c r="R238" i="5"/>
  <c r="AD238" i="5"/>
  <c r="AD249" i="5" s="1"/>
  <c r="AD251" i="5" s="1"/>
  <c r="AH238" i="5"/>
  <c r="AS238" i="5"/>
  <c r="Z238" i="5"/>
  <c r="Z249" i="5" s="1"/>
  <c r="U152" i="36" s="1"/>
  <c r="AK238" i="5"/>
  <c r="AN238" i="5"/>
  <c r="BB237" i="5"/>
  <c r="BN237" i="5"/>
  <c r="BF236" i="5"/>
  <c r="BC236" i="5"/>
  <c r="BG236" i="5"/>
  <c r="BK236" i="5"/>
  <c r="BI242" i="5"/>
  <c r="AY242" i="5"/>
  <c r="BA242" i="5"/>
  <c r="BL242" i="5"/>
  <c r="BQ242" i="5"/>
  <c r="BD242" i="5"/>
  <c r="BO242" i="5"/>
  <c r="AZ242" i="5"/>
  <c r="AY240" i="5"/>
  <c r="BM240" i="5"/>
  <c r="BP240" i="5"/>
  <c r="BC239" i="5"/>
  <c r="AV237" i="5"/>
  <c r="S236" i="5"/>
  <c r="AW236" i="5"/>
  <c r="AZ236" i="5"/>
  <c r="AY236" i="5"/>
  <c r="BO236" i="5"/>
  <c r="BE236" i="5"/>
  <c r="BL236" i="5"/>
  <c r="BQ236" i="5"/>
  <c r="BI236" i="5"/>
  <c r="BJ236" i="5"/>
  <c r="BM236" i="5"/>
  <c r="AX236" i="5"/>
  <c r="BB236" i="5"/>
  <c r="BR236" i="5"/>
  <c r="BA236" i="5"/>
  <c r="BN236" i="5"/>
  <c r="BJ240" i="5"/>
  <c r="AX240" i="5"/>
  <c r="BI240" i="5"/>
  <c r="Y214" i="5"/>
  <c r="AX214" i="5" s="1"/>
  <c r="D145" i="36"/>
  <c r="AY173" i="5"/>
  <c r="AZ173" i="5"/>
  <c r="BA173" i="5"/>
  <c r="BJ173" i="5"/>
  <c r="BQ174" i="5"/>
  <c r="AV161" i="5"/>
  <c r="BK189" i="5"/>
  <c r="BI189" i="5"/>
  <c r="BQ189" i="5"/>
  <c r="AY188" i="5"/>
  <c r="BK188" i="5"/>
  <c r="BC143" i="5"/>
  <c r="BR143" i="5"/>
  <c r="BD142" i="5"/>
  <c r="BN142" i="5"/>
  <c r="W142" i="5"/>
  <c r="AV142" i="5" s="1"/>
  <c r="W140" i="5"/>
  <c r="W139" i="5"/>
  <c r="W138" i="5"/>
  <c r="BH137" i="5"/>
  <c r="AX142" i="5"/>
  <c r="BB142" i="5"/>
  <c r="BP142" i="5"/>
  <c r="AW142" i="5"/>
  <c r="AZ142" i="5"/>
  <c r="BM142" i="5"/>
  <c r="BI142" i="5"/>
  <c r="BQ142" i="5"/>
  <c r="BR142" i="5"/>
  <c r="BA142" i="5"/>
  <c r="BK142" i="5"/>
  <c r="BL142" i="5"/>
  <c r="BJ142" i="5"/>
  <c r="AY142" i="5"/>
  <c r="AH109" i="5"/>
  <c r="O466" i="36" s="1"/>
  <c r="AL109" i="5"/>
  <c r="O470" i="36" s="1"/>
  <c r="BK111" i="5"/>
  <c r="BB110" i="5"/>
  <c r="BN77" i="5"/>
  <c r="AZ75" i="5"/>
  <c r="BA75" i="5"/>
  <c r="BF75" i="5"/>
  <c r="AK75" i="5"/>
  <c r="BJ75" i="5" s="1"/>
  <c r="AS75" i="5"/>
  <c r="BR75" i="5" s="1"/>
  <c r="AI75" i="5"/>
  <c r="BH75" i="5" s="1"/>
  <c r="AJ75" i="5"/>
  <c r="BI75" i="5" s="1"/>
  <c r="AN75" i="5"/>
  <c r="BM75" i="5" s="1"/>
  <c r="AP75" i="5"/>
  <c r="BO75" i="5" s="1"/>
  <c r="AM75" i="5"/>
  <c r="BL75" i="5" s="1"/>
  <c r="AO75" i="5"/>
  <c r="BN75" i="5" s="1"/>
  <c r="AL75" i="5"/>
  <c r="BK75" i="5" s="1"/>
  <c r="AQ75" i="5"/>
  <c r="BP75" i="5" s="1"/>
  <c r="BE70" i="5"/>
  <c r="BH70" i="5"/>
  <c r="BB66" i="5"/>
  <c r="BP66" i="5"/>
  <c r="AY57" i="5"/>
  <c r="AZ77" i="5"/>
  <c r="BB77" i="5"/>
  <c r="BE77" i="5"/>
  <c r="BM77" i="5"/>
  <c r="BL77" i="5"/>
  <c r="BJ77" i="5"/>
  <c r="BK77" i="5"/>
  <c r="BR77" i="5"/>
  <c r="BQ76" i="5"/>
  <c r="BB70" i="5"/>
  <c r="BF70" i="5"/>
  <c r="BQ70" i="5"/>
  <c r="BC70" i="5"/>
  <c r="BM70" i="5"/>
  <c r="BP70" i="5"/>
  <c r="BA70" i="5"/>
  <c r="BL70" i="5"/>
  <c r="AW70" i="5"/>
  <c r="AZ70" i="5"/>
  <c r="AY70" i="5"/>
  <c r="BJ70" i="5"/>
  <c r="BK70" i="5"/>
  <c r="BP89" i="5"/>
  <c r="S11" i="5"/>
  <c r="BQ11" i="5"/>
  <c r="BO11" i="5"/>
  <c r="BN11" i="5"/>
  <c r="AS477" i="2"/>
  <c r="W477" i="2"/>
  <c r="Z477" i="2"/>
  <c r="AC477" i="2"/>
  <c r="AK477" i="2"/>
  <c r="V476" i="2"/>
  <c r="AF476" i="2"/>
  <c r="AN476" i="2"/>
  <c r="R563" i="2"/>
  <c r="BQ469" i="5"/>
  <c r="BA363" i="5"/>
  <c r="AX374" i="5"/>
  <c r="BQ374" i="5"/>
  <c r="AZ259" i="5"/>
  <c r="BM239" i="5"/>
  <c r="AO162" i="5"/>
  <c r="AS177" i="5"/>
  <c r="AS168" i="5"/>
  <c r="BR168" i="5" s="1"/>
  <c r="BE172" i="5"/>
  <c r="AO177" i="5"/>
  <c r="AP162" i="5"/>
  <c r="AQ177" i="5"/>
  <c r="AQ168" i="5"/>
  <c r="BP168" i="5" s="1"/>
  <c r="AP177" i="5"/>
  <c r="AZ172" i="5"/>
  <c r="AS173" i="5"/>
  <c r="BR173" i="5" s="1"/>
  <c r="BQ173" i="5"/>
  <c r="AO173" i="5"/>
  <c r="BN173" i="5" s="1"/>
  <c r="AQ173" i="5"/>
  <c r="BP173" i="5" s="1"/>
  <c r="AS162" i="5"/>
  <c r="BN58" i="5"/>
  <c r="AS65" i="5"/>
  <c r="BR65" i="5" s="1"/>
  <c r="AX66" i="5"/>
  <c r="AS71" i="5"/>
  <c r="AS63" i="5"/>
  <c r="BR63" i="5" s="1"/>
  <c r="BD66" i="5"/>
  <c r="BC66" i="5"/>
  <c r="Y476" i="2"/>
  <c r="AB476" i="2"/>
  <c r="AE476" i="2"/>
  <c r="AJ477" i="2"/>
  <c r="AM476" i="2"/>
  <c r="AR477" i="2"/>
  <c r="AB473" i="2"/>
  <c r="AG477" i="2"/>
  <c r="AJ476" i="2"/>
  <c r="AO477" i="2"/>
  <c r="AR476" i="2"/>
  <c r="X477" i="2"/>
  <c r="AA477" i="2"/>
  <c r="AD477" i="2"/>
  <c r="AG476" i="2"/>
  <c r="AL477" i="2"/>
  <c r="AO476" i="2"/>
  <c r="X476" i="2"/>
  <c r="AA476" i="2"/>
  <c r="AD476" i="2"/>
  <c r="AI477" i="2"/>
  <c r="AL476" i="2"/>
  <c r="AQ477" i="2"/>
  <c r="AF477" i="2"/>
  <c r="AI476" i="2"/>
  <c r="AN477" i="2"/>
  <c r="AQ476" i="2"/>
  <c r="V477" i="2"/>
  <c r="W476" i="2"/>
  <c r="Z476" i="2"/>
  <c r="AC476" i="2"/>
  <c r="AH477" i="2"/>
  <c r="AK476" i="2"/>
  <c r="AP477" i="2"/>
  <c r="AS476" i="2"/>
  <c r="R477" i="2"/>
  <c r="Y477" i="2"/>
  <c r="AB477" i="2"/>
  <c r="AE477" i="2"/>
  <c r="AH476" i="2"/>
  <c r="AP476" i="2"/>
  <c r="Z376" i="2"/>
  <c r="AJ376" i="2"/>
  <c r="AC376" i="2"/>
  <c r="X372" i="2"/>
  <c r="AC372" i="2"/>
  <c r="AB372" i="2"/>
  <c r="W372" i="2"/>
  <c r="AA372" i="2"/>
  <c r="AD180" i="2"/>
  <c r="AS180" i="2"/>
  <c r="AC70" i="2"/>
  <c r="AR78" i="2"/>
  <c r="Y77" i="2"/>
  <c r="Z78" i="2"/>
  <c r="AA70" i="2"/>
  <c r="W77" i="2"/>
  <c r="X76" i="2"/>
  <c r="Y70" i="2"/>
  <c r="Z77" i="2"/>
  <c r="W76" i="2"/>
  <c r="AE77" i="2"/>
  <c r="AK78" i="2"/>
  <c r="W365" i="5"/>
  <c r="AF228" i="36"/>
  <c r="W335" i="5"/>
  <c r="AV335" i="5" s="1"/>
  <c r="G60" i="21"/>
  <c r="W312" i="5"/>
  <c r="W311" i="5"/>
  <c r="AV311" i="5" s="1"/>
  <c r="W310" i="5"/>
  <c r="AV310" i="5" s="1"/>
  <c r="AE309" i="5"/>
  <c r="AN309" i="5"/>
  <c r="AR309" i="5"/>
  <c r="AC309" i="5"/>
  <c r="AC329" i="5" s="1"/>
  <c r="AC510" i="5" s="1"/>
  <c r="AD309" i="5"/>
  <c r="AD329" i="5" s="1"/>
  <c r="AD510" i="5" s="1"/>
  <c r="AM309" i="5"/>
  <c r="Y309" i="5"/>
  <c r="X309" i="5"/>
  <c r="AB309" i="5"/>
  <c r="AK309" i="5"/>
  <c r="AL309" i="5"/>
  <c r="AA309" i="5"/>
  <c r="AJ309" i="5"/>
  <c r="Z309" i="5"/>
  <c r="AI309" i="5"/>
  <c r="AS309" i="5"/>
  <c r="R567" i="5"/>
  <c r="S567" i="5" s="1"/>
  <c r="AH309" i="5"/>
  <c r="AQ309" i="5"/>
  <c r="R309" i="5"/>
  <c r="BN309" i="5" s="1"/>
  <c r="AG309" i="5"/>
  <c r="AP309" i="5"/>
  <c r="W309" i="5"/>
  <c r="W308" i="5"/>
  <c r="AV308" i="5" s="1"/>
  <c r="BM259" i="5"/>
  <c r="BB259" i="5"/>
  <c r="BK259" i="5"/>
  <c r="BH259" i="5"/>
  <c r="BQ279" i="5"/>
  <c r="AZ279" i="5"/>
  <c r="AY274" i="5"/>
  <c r="BK274" i="5"/>
  <c r="BQ274" i="5"/>
  <c r="BJ274" i="5"/>
  <c r="BP274" i="5"/>
  <c r="S274" i="5"/>
  <c r="AX274" i="5"/>
  <c r="AZ274" i="5"/>
  <c r="BB274" i="5"/>
  <c r="BD274" i="5"/>
  <c r="BL274" i="5"/>
  <c r="BO274" i="5"/>
  <c r="BC274" i="5"/>
  <c r="AW274" i="5"/>
  <c r="BF274" i="5"/>
  <c r="BG274" i="5"/>
  <c r="BH274" i="5"/>
  <c r="BI274" i="5"/>
  <c r="BM274" i="5"/>
  <c r="BN274" i="5"/>
  <c r="BC273" i="5"/>
  <c r="AX273" i="5"/>
  <c r="BD273" i="5"/>
  <c r="W381" i="35"/>
  <c r="BH269" i="5"/>
  <c r="W269" i="5"/>
  <c r="AV269" i="5" s="1"/>
  <c r="AA381" i="35"/>
  <c r="BB269" i="5"/>
  <c r="BK269" i="5"/>
  <c r="BJ269" i="5"/>
  <c r="AR266" i="5"/>
  <c r="Y266" i="5"/>
  <c r="AD266" i="5"/>
  <c r="AE266" i="5"/>
  <c r="AC266" i="5"/>
  <c r="AI266" i="5"/>
  <c r="AK266" i="5"/>
  <c r="AL266" i="5"/>
  <c r="AJ266" i="5"/>
  <c r="AH266" i="5"/>
  <c r="V266" i="5"/>
  <c r="R266" i="5"/>
  <c r="AO266" i="5"/>
  <c r="X266" i="5"/>
  <c r="AA266" i="5"/>
  <c r="AG266" i="5"/>
  <c r="AN266" i="5"/>
  <c r="AP266" i="5"/>
  <c r="Z266" i="5"/>
  <c r="AQ266" i="5"/>
  <c r="AS266" i="5"/>
  <c r="AA425" i="35"/>
  <c r="BE239" i="5"/>
  <c r="W239" i="5"/>
  <c r="W238" i="5"/>
  <c r="W236" i="5"/>
  <c r="AV236" i="5" s="1"/>
  <c r="BL239" i="5"/>
  <c r="BB213" i="5"/>
  <c r="AY213" i="5"/>
  <c r="BA213" i="5"/>
  <c r="BD213" i="5"/>
  <c r="BL213" i="5"/>
  <c r="BM213" i="5"/>
  <c r="AZ213" i="5"/>
  <c r="BC213" i="5"/>
  <c r="BI213" i="5"/>
  <c r="BQ213" i="5"/>
  <c r="AW213" i="5"/>
  <c r="BO213" i="5"/>
  <c r="BE213" i="5"/>
  <c r="BN213" i="5"/>
  <c r="AX213" i="5"/>
  <c r="BF213" i="5"/>
  <c r="BK213" i="5"/>
  <c r="BH213" i="5"/>
  <c r="BJ213" i="5"/>
  <c r="W212" i="5"/>
  <c r="AV212" i="5" s="1"/>
  <c r="W211" i="5"/>
  <c r="AV211" i="5" s="1"/>
  <c r="AB337" i="35"/>
  <c r="F92" i="21"/>
  <c r="D122" i="36"/>
  <c r="D136" i="36"/>
  <c r="BP74" i="5"/>
  <c r="BH65" i="5"/>
  <c r="BG65" i="5"/>
  <c r="BF65" i="5"/>
  <c r="BE65" i="5"/>
  <c r="BO65" i="5"/>
  <c r="W60" i="5"/>
  <c r="AY58" i="5"/>
  <c r="BM58" i="5"/>
  <c r="AW58" i="5"/>
  <c r="BR58" i="5"/>
  <c r="BB58" i="5"/>
  <c r="BA58" i="5"/>
  <c r="BQ58" i="5"/>
  <c r="BD58" i="5"/>
  <c r="BG58" i="5"/>
  <c r="BG172" i="5"/>
  <c r="BF172" i="5"/>
  <c r="BG166" i="5"/>
  <c r="BH166" i="5"/>
  <c r="AH164" i="5"/>
  <c r="AJ164" i="5"/>
  <c r="AK164" i="5"/>
  <c r="AM164" i="5"/>
  <c r="X164" i="5"/>
  <c r="Q182" i="5"/>
  <c r="R164" i="5"/>
  <c r="AC164" i="5"/>
  <c r="AD164" i="5"/>
  <c r="AG164" i="5"/>
  <c r="AL164" i="5"/>
  <c r="AN164" i="5"/>
  <c r="AE164" i="5"/>
  <c r="AF164" i="5"/>
  <c r="AP164" i="5"/>
  <c r="AQ164" i="5"/>
  <c r="AS164" i="5"/>
  <c r="AR164" i="5"/>
  <c r="Z164" i="5"/>
  <c r="W160" i="5"/>
  <c r="AV160" i="5" s="1"/>
  <c r="AL159" i="5"/>
  <c r="AM159" i="5"/>
  <c r="AC159" i="5"/>
  <c r="AO159" i="5"/>
  <c r="AR159" i="5"/>
  <c r="AD159" i="5"/>
  <c r="AN159" i="5"/>
  <c r="Y159" i="5"/>
  <c r="Z159" i="5"/>
  <c r="AE159" i="5"/>
  <c r="AF159" i="5"/>
  <c r="AG159" i="5"/>
  <c r="AH159" i="5"/>
  <c r="AI159" i="5"/>
  <c r="AP159" i="5"/>
  <c r="BR158" i="5"/>
  <c r="BG157" i="5"/>
  <c r="BH157" i="5"/>
  <c r="BO157" i="5"/>
  <c r="BR172" i="5"/>
  <c r="BM172" i="5"/>
  <c r="BP172" i="5"/>
  <c r="AX172" i="5"/>
  <c r="BA172" i="5"/>
  <c r="BB172" i="5"/>
  <c r="BH172" i="5"/>
  <c r="BK172" i="5"/>
  <c r="BL172" i="5"/>
  <c r="BN172" i="5"/>
  <c r="AW172" i="5"/>
  <c r="AY172" i="5"/>
  <c r="BC172" i="5"/>
  <c r="BB161" i="5"/>
  <c r="BN161" i="5"/>
  <c r="AW160" i="5"/>
  <c r="BQ158" i="5"/>
  <c r="BR188" i="5"/>
  <c r="AD252" i="36"/>
  <c r="F96" i="21"/>
  <c r="AD228" i="36"/>
  <c r="AV188" i="5"/>
  <c r="G26" i="21"/>
  <c r="W137" i="5"/>
  <c r="AV137" i="5" s="1"/>
  <c r="W113" i="5"/>
  <c r="AV113" i="5" s="1"/>
  <c r="W112" i="5"/>
  <c r="AV112" i="5" s="1"/>
  <c r="W111" i="5"/>
  <c r="AV111" i="5" s="1"/>
  <c r="W110" i="5"/>
  <c r="AV110" i="5" s="1"/>
  <c r="V131" i="5"/>
  <c r="O230" i="36" s="1"/>
  <c r="AV76" i="5"/>
  <c r="BE74" i="5"/>
  <c r="BO74" i="5"/>
  <c r="BD74" i="5"/>
  <c r="BF74" i="5"/>
  <c r="BK74" i="5"/>
  <c r="AX74" i="5"/>
  <c r="BI74" i="5"/>
  <c r="BJ74" i="5"/>
  <c r="BL74" i="5"/>
  <c r="BQ74" i="5"/>
  <c r="BR74" i="5"/>
  <c r="AY74" i="5"/>
  <c r="BH74" i="5"/>
  <c r="BM74" i="5"/>
  <c r="BB74" i="5"/>
  <c r="AZ74" i="5"/>
  <c r="BA74" i="5"/>
  <c r="BC74" i="5"/>
  <c r="BN74" i="5"/>
  <c r="BL343" i="5"/>
  <c r="BO343" i="5"/>
  <c r="R201" i="5"/>
  <c r="AD229" i="36" s="1"/>
  <c r="BI343" i="5"/>
  <c r="BM80" i="5"/>
  <c r="R498" i="5"/>
  <c r="BF343" i="5"/>
  <c r="BN267" i="5"/>
  <c r="BQ80" i="5"/>
  <c r="BG343" i="5"/>
  <c r="BR275" i="5"/>
  <c r="S190" i="5"/>
  <c r="S372" i="5"/>
  <c r="S469" i="5"/>
  <c r="S343" i="5"/>
  <c r="AW190" i="5"/>
  <c r="AY275" i="5"/>
  <c r="BB343" i="5"/>
  <c r="BC80" i="5"/>
  <c r="BC469" i="5"/>
  <c r="BE275" i="5"/>
  <c r="BF491" i="5"/>
  <c r="BH491" i="5"/>
  <c r="BH343" i="5"/>
  <c r="BK343" i="5"/>
  <c r="BK275" i="5"/>
  <c r="BL372" i="5"/>
  <c r="BM343" i="5"/>
  <c r="BN275" i="5"/>
  <c r="BO477" i="5"/>
  <c r="BO469" i="5"/>
  <c r="BP477" i="5"/>
  <c r="BP469" i="5"/>
  <c r="BQ440" i="5"/>
  <c r="BQ267" i="5"/>
  <c r="AY491" i="2"/>
  <c r="BG491" i="2"/>
  <c r="BR491" i="2"/>
  <c r="BL491" i="2"/>
  <c r="BI412" i="5"/>
  <c r="AY355" i="5"/>
  <c r="BQ471" i="5"/>
  <c r="AZ471" i="5"/>
  <c r="AZ355" i="5"/>
  <c r="BA466" i="5"/>
  <c r="BA457" i="5"/>
  <c r="AY390" i="5"/>
  <c r="BC197" i="5"/>
  <c r="BC475" i="5"/>
  <c r="BC377" i="5"/>
  <c r="BC360" i="5"/>
  <c r="BC276" i="5"/>
  <c r="BC267" i="5"/>
  <c r="BC174" i="5"/>
  <c r="BC166" i="5"/>
  <c r="BC158" i="5"/>
  <c r="BC76" i="5"/>
  <c r="BC242" i="5"/>
  <c r="BC147" i="5"/>
  <c r="BD29" i="5"/>
  <c r="BD21" i="5"/>
  <c r="BD396" i="5"/>
  <c r="BD198" i="5"/>
  <c r="BD190" i="5"/>
  <c r="BD95" i="5"/>
  <c r="BD476" i="5"/>
  <c r="BD468" i="5"/>
  <c r="BD460" i="5"/>
  <c r="BD377" i="5"/>
  <c r="BD259" i="5"/>
  <c r="BD70" i="5"/>
  <c r="BD442" i="5"/>
  <c r="BD244" i="5"/>
  <c r="BD236" i="5"/>
  <c r="BD46" i="5"/>
  <c r="BE23" i="5"/>
  <c r="BE493" i="5"/>
  <c r="BE295" i="5"/>
  <c r="BE97" i="5"/>
  <c r="BE470" i="5"/>
  <c r="AY469" i="5"/>
  <c r="AY461" i="5"/>
  <c r="BE461" i="5"/>
  <c r="BB454" i="5"/>
  <c r="BC472" i="5"/>
  <c r="AX356" i="5"/>
  <c r="AY445" i="5"/>
  <c r="AY437" i="5"/>
  <c r="BA29" i="5"/>
  <c r="BA21" i="5"/>
  <c r="BA491" i="5"/>
  <c r="BA396" i="5"/>
  <c r="BA388" i="5"/>
  <c r="BA198" i="5"/>
  <c r="BA190" i="5"/>
  <c r="BB13" i="5"/>
  <c r="BC454" i="5"/>
  <c r="BC443" i="5"/>
  <c r="BD288" i="5"/>
  <c r="BD463" i="5"/>
  <c r="BG472" i="5"/>
  <c r="AV242" i="5"/>
  <c r="BE279" i="5"/>
  <c r="BE161" i="5"/>
  <c r="BE79" i="5"/>
  <c r="BE63" i="5"/>
  <c r="BE443" i="5"/>
  <c r="BE245" i="5"/>
  <c r="BE237" i="5"/>
  <c r="BE47" i="5"/>
  <c r="BF16" i="5"/>
  <c r="BF494" i="5"/>
  <c r="BF486" i="5"/>
  <c r="BF296" i="5"/>
  <c r="BF98" i="5"/>
  <c r="BF471" i="5"/>
  <c r="BF463" i="5"/>
  <c r="BF454" i="5"/>
  <c r="BF279" i="5"/>
  <c r="BF161" i="5"/>
  <c r="BF79" i="5"/>
  <c r="BF63" i="5"/>
  <c r="BF443" i="5"/>
  <c r="BF245" i="5"/>
  <c r="BF47" i="5"/>
  <c r="BG494" i="5"/>
  <c r="BG296" i="5"/>
  <c r="BG288" i="5"/>
  <c r="BG471" i="5"/>
  <c r="BG279" i="5"/>
  <c r="BG261" i="5"/>
  <c r="BG161" i="5"/>
  <c r="BG79" i="5"/>
  <c r="BG63" i="5"/>
  <c r="BG443" i="5"/>
  <c r="BG245" i="5"/>
  <c r="BG47" i="5"/>
  <c r="BH494" i="5"/>
  <c r="BH296" i="5"/>
  <c r="BH288" i="5"/>
  <c r="BH98" i="5"/>
  <c r="BH471" i="5"/>
  <c r="BH279" i="5"/>
  <c r="BH79" i="5"/>
  <c r="BH63" i="5"/>
  <c r="BH443" i="5"/>
  <c r="BH245" i="5"/>
  <c r="BH47" i="5"/>
  <c r="BI16" i="5"/>
  <c r="BI494" i="5"/>
  <c r="BI296" i="5"/>
  <c r="BI98" i="5"/>
  <c r="BI471" i="5"/>
  <c r="BI463" i="5"/>
  <c r="BO466" i="5"/>
  <c r="BM471" i="5"/>
  <c r="BM454" i="5"/>
  <c r="BN472" i="5"/>
  <c r="BL469" i="5"/>
  <c r="BL461" i="5"/>
  <c r="BE168" i="5"/>
  <c r="BE160" i="5"/>
  <c r="BC440" i="5"/>
  <c r="BC44" i="5"/>
  <c r="BD491" i="5"/>
  <c r="AE484" i="5"/>
  <c r="AG463" i="36" s="1"/>
  <c r="BD388" i="5"/>
  <c r="BD141" i="5"/>
  <c r="BE390" i="5"/>
  <c r="BE287" i="5"/>
  <c r="BE192" i="5"/>
  <c r="BE340" i="5"/>
  <c r="BE142" i="5"/>
  <c r="BF288" i="5"/>
  <c r="BF193" i="5"/>
  <c r="AG187" i="5"/>
  <c r="AD465" i="36" s="1"/>
  <c r="BF340" i="5"/>
  <c r="BF237" i="5"/>
  <c r="BF142" i="5"/>
  <c r="BG16" i="5"/>
  <c r="AH484" i="5"/>
  <c r="AG466" i="36" s="1"/>
  <c r="BG486" i="5"/>
  <c r="BG340" i="5"/>
  <c r="BG237" i="5"/>
  <c r="BG142" i="5"/>
  <c r="BH16" i="5"/>
  <c r="BH486" i="5"/>
  <c r="AI484" i="5"/>
  <c r="AG467" i="36" s="1"/>
  <c r="BH161" i="5"/>
  <c r="BH340" i="5"/>
  <c r="BH237" i="5"/>
  <c r="BH142" i="5"/>
  <c r="AJ484" i="5"/>
  <c r="AG468" i="36" s="1"/>
  <c r="BI486" i="5"/>
  <c r="BI288" i="5"/>
  <c r="BC189" i="5"/>
  <c r="BD434" i="5"/>
  <c r="X201" i="5"/>
  <c r="X498" i="5"/>
  <c r="AG150" i="36" s="1"/>
  <c r="X249" i="5"/>
  <c r="X519" i="5" s="1"/>
  <c r="Z498" i="5"/>
  <c r="AG152" i="36" s="1"/>
  <c r="AG201" i="5"/>
  <c r="AG203" i="5" s="1"/>
  <c r="AH201" i="5"/>
  <c r="AH538" i="5" s="1"/>
  <c r="AO300" i="5"/>
  <c r="AO302" i="5" s="1"/>
  <c r="BG68" i="5"/>
  <c r="M255" i="25"/>
  <c r="AC228" i="36"/>
  <c r="W40" i="5"/>
  <c r="AV40" i="5" s="1"/>
  <c r="W39" i="5"/>
  <c r="AY16" i="5"/>
  <c r="W14" i="5"/>
  <c r="AV14" i="5" s="1"/>
  <c r="BD13" i="5"/>
  <c r="W13" i="5"/>
  <c r="AV13" i="5" s="1"/>
  <c r="W12" i="5"/>
  <c r="W11" i="5"/>
  <c r="AV11" i="5" s="1"/>
  <c r="BE16" i="5"/>
  <c r="AX15" i="5"/>
  <c r="BP15" i="5"/>
  <c r="BH15" i="5"/>
  <c r="BC15" i="5"/>
  <c r="BI15" i="5"/>
  <c r="BA15" i="5"/>
  <c r="S15" i="5"/>
  <c r="AW15" i="5"/>
  <c r="BK13" i="5"/>
  <c r="BA13" i="5"/>
  <c r="Z475" i="2"/>
  <c r="AM475" i="2"/>
  <c r="AN475" i="2"/>
  <c r="AO475" i="2"/>
  <c r="AB475" i="2"/>
  <c r="AC475" i="2"/>
  <c r="AL475" i="2"/>
  <c r="V475" i="2"/>
  <c r="R475" i="2"/>
  <c r="Y475" i="2"/>
  <c r="X475" i="2"/>
  <c r="AA475" i="2"/>
  <c r="AE475" i="2"/>
  <c r="AD475" i="2"/>
  <c r="AG475" i="2"/>
  <c r="AH475" i="2"/>
  <c r="AI475" i="2"/>
  <c r="AK475" i="2"/>
  <c r="AR475" i="2"/>
  <c r="AS475" i="2"/>
  <c r="W475" i="2"/>
  <c r="AF475" i="2"/>
  <c r="AJ475" i="2"/>
  <c r="AP475" i="2"/>
  <c r="Z474" i="2"/>
  <c r="AH474" i="2"/>
  <c r="AN474" i="2"/>
  <c r="R474" i="2"/>
  <c r="V474" i="2"/>
  <c r="F441" i="35" s="1"/>
  <c r="Y474" i="2"/>
  <c r="AI474" i="2"/>
  <c r="AO474" i="2"/>
  <c r="AP474" i="2"/>
  <c r="X474" i="2"/>
  <c r="AD474" i="2"/>
  <c r="AE474" i="2"/>
  <c r="AQ474" i="2"/>
  <c r="AR474" i="2"/>
  <c r="W474" i="2"/>
  <c r="AB474" i="2"/>
  <c r="AJ474" i="2"/>
  <c r="AK474" i="2"/>
  <c r="AS474" i="2"/>
  <c r="AC474" i="2"/>
  <c r="AA474" i="2"/>
  <c r="AF474" i="2"/>
  <c r="AG474" i="2"/>
  <c r="AL474" i="2"/>
  <c r="W473" i="2"/>
  <c r="X473" i="2"/>
  <c r="Y473" i="2"/>
  <c r="AA473" i="2"/>
  <c r="AN473" i="2"/>
  <c r="AS473" i="2"/>
  <c r="Z473" i="2"/>
  <c r="AH473" i="2"/>
  <c r="AO473" i="2"/>
  <c r="AI473" i="2"/>
  <c r="AP473" i="2"/>
  <c r="AF473" i="2"/>
  <c r="AL473" i="2"/>
  <c r="AQ473" i="2"/>
  <c r="AD473" i="2"/>
  <c r="AG473" i="2"/>
  <c r="AJ473" i="2"/>
  <c r="AM473" i="2"/>
  <c r="AR473" i="2"/>
  <c r="R473" i="2"/>
  <c r="N379" i="35"/>
  <c r="AC473" i="2"/>
  <c r="AE473" i="2"/>
  <c r="AK473" i="2"/>
  <c r="AC472" i="2"/>
  <c r="AD472" i="2"/>
  <c r="AF472" i="2"/>
  <c r="AK472" i="2"/>
  <c r="AL472" i="2"/>
  <c r="AO472" i="2"/>
  <c r="AR472" i="2"/>
  <c r="AE472" i="2"/>
  <c r="AI472" i="2"/>
  <c r="W472" i="2"/>
  <c r="AG472" i="2"/>
  <c r="AM472" i="2"/>
  <c r="AP472" i="2"/>
  <c r="R472" i="2"/>
  <c r="X472" i="2"/>
  <c r="AS472" i="2"/>
  <c r="Y472" i="2"/>
  <c r="V472" i="2"/>
  <c r="AB472" i="2"/>
  <c r="AN472" i="2"/>
  <c r="AQ472" i="2"/>
  <c r="Z472" i="2"/>
  <c r="AA472" i="2"/>
  <c r="AH472" i="2"/>
  <c r="X471" i="2"/>
  <c r="AA471" i="2"/>
  <c r="AB471" i="2"/>
  <c r="AQ471" i="2"/>
  <c r="AS471" i="2"/>
  <c r="R471" i="2"/>
  <c r="AM471" i="2"/>
  <c r="AO471" i="2"/>
  <c r="AG471" i="2"/>
  <c r="AJ471" i="2"/>
  <c r="Y471" i="2"/>
  <c r="AC471" i="2"/>
  <c r="AI471" i="2"/>
  <c r="V471" i="2"/>
  <c r="AD471" i="2"/>
  <c r="AP471" i="2"/>
  <c r="AR471" i="2"/>
  <c r="AK471" i="2"/>
  <c r="AN471" i="2"/>
  <c r="W471" i="2"/>
  <c r="AL471" i="2"/>
  <c r="Z471" i="2"/>
  <c r="AE471" i="2"/>
  <c r="AF471" i="2"/>
  <c r="AD470" i="2"/>
  <c r="AA470" i="2"/>
  <c r="AG470" i="2"/>
  <c r="AK470" i="2"/>
  <c r="AO470" i="2"/>
  <c r="V470" i="2"/>
  <c r="W470" i="2"/>
  <c r="Y470" i="2"/>
  <c r="AB470" i="2"/>
  <c r="AQ470" i="2"/>
  <c r="AL470" i="2"/>
  <c r="AE470" i="2"/>
  <c r="AI470" i="2"/>
  <c r="AJ470" i="2"/>
  <c r="AN470" i="2"/>
  <c r="AS470" i="2"/>
  <c r="X470" i="2"/>
  <c r="AF470" i="2"/>
  <c r="AP470" i="2"/>
  <c r="R470" i="2"/>
  <c r="AC470" i="2"/>
  <c r="Z470" i="2"/>
  <c r="AH470" i="2"/>
  <c r="AM470" i="2"/>
  <c r="X469" i="2"/>
  <c r="AH469" i="2"/>
  <c r="AJ469" i="2"/>
  <c r="V469" i="2"/>
  <c r="AA469" i="2"/>
  <c r="AC469" i="2"/>
  <c r="AE469" i="2"/>
  <c r="AG469" i="2"/>
  <c r="AL469" i="2"/>
  <c r="AS469" i="2"/>
  <c r="AO469" i="2"/>
  <c r="W469" i="2"/>
  <c r="AR469" i="2"/>
  <c r="R469" i="2"/>
  <c r="AB469" i="2"/>
  <c r="AD469" i="2"/>
  <c r="AF469" i="2"/>
  <c r="AN469" i="2"/>
  <c r="AQ469" i="2"/>
  <c r="Z469" i="2"/>
  <c r="AK469" i="2"/>
  <c r="AM469" i="2"/>
  <c r="Y469" i="2"/>
  <c r="AI469" i="2"/>
  <c r="AF468" i="2"/>
  <c r="AJ468" i="2"/>
  <c r="AO468" i="2"/>
  <c r="AC468" i="2"/>
  <c r="AN468" i="2"/>
  <c r="X468" i="2"/>
  <c r="AM468" i="2"/>
  <c r="W468" i="2"/>
  <c r="Y468" i="2"/>
  <c r="Z468" i="2"/>
  <c r="AB468" i="2"/>
  <c r="AS468" i="2"/>
  <c r="AE468" i="2"/>
  <c r="AL468" i="2"/>
  <c r="AR468" i="2"/>
  <c r="V468" i="2"/>
  <c r="AQ468" i="2"/>
  <c r="AD468" i="2"/>
  <c r="AG468" i="2"/>
  <c r="AH468" i="2"/>
  <c r="AI468" i="2"/>
  <c r="AP468" i="2"/>
  <c r="R468" i="2"/>
  <c r="AA468" i="2"/>
  <c r="AL467" i="2"/>
  <c r="AC467" i="2"/>
  <c r="W467" i="2"/>
  <c r="AB467" i="2"/>
  <c r="AJ467" i="2"/>
  <c r="AK467" i="2"/>
  <c r="V467" i="2"/>
  <c r="X467" i="2"/>
  <c r="AG467" i="2"/>
  <c r="R467" i="2"/>
  <c r="AA467" i="2"/>
  <c r="AF467" i="2"/>
  <c r="Y467" i="2"/>
  <c r="AH467" i="2"/>
  <c r="AE467" i="2"/>
  <c r="AI467" i="2"/>
  <c r="Z467" i="2"/>
  <c r="AD467" i="2"/>
  <c r="AM467" i="2"/>
  <c r="AN467" i="2"/>
  <c r="AO467" i="2"/>
  <c r="AP467" i="2"/>
  <c r="AQ467" i="2"/>
  <c r="AR467" i="2"/>
  <c r="M379" i="35"/>
  <c r="AE485" i="2"/>
  <c r="AH485" i="2"/>
  <c r="Y485" i="2"/>
  <c r="Z485" i="2"/>
  <c r="AD485" i="2"/>
  <c r="AJ485" i="2"/>
  <c r="AS485" i="2"/>
  <c r="X485" i="2"/>
  <c r="AC485" i="2"/>
  <c r="AG485" i="2"/>
  <c r="AM485" i="2"/>
  <c r="AP485" i="2"/>
  <c r="Q498" i="2"/>
  <c r="AB485" i="2"/>
  <c r="AI485" i="2"/>
  <c r="AR485" i="2"/>
  <c r="W485" i="2"/>
  <c r="AF485" i="2"/>
  <c r="AQ485" i="2"/>
  <c r="AL485" i="2"/>
  <c r="R485" i="2"/>
  <c r="U485" i="2" s="1"/>
  <c r="AA485" i="2"/>
  <c r="AK485" i="2"/>
  <c r="AN485" i="2"/>
  <c r="AO485" i="2"/>
  <c r="Q447" i="2"/>
  <c r="W228" i="35" s="1"/>
  <c r="I379" i="35"/>
  <c r="AJ378" i="2"/>
  <c r="AQ378" i="2"/>
  <c r="AS378" i="2"/>
  <c r="R378" i="2"/>
  <c r="AG378" i="2"/>
  <c r="AI378" i="2"/>
  <c r="V378" i="2"/>
  <c r="AK378" i="2"/>
  <c r="AL378" i="2"/>
  <c r="AN378" i="2"/>
  <c r="AA378" i="2"/>
  <c r="AP378" i="2"/>
  <c r="AD378" i="2"/>
  <c r="AE378" i="2"/>
  <c r="AR378" i="2"/>
  <c r="Z378" i="2"/>
  <c r="AM378" i="2"/>
  <c r="AO378" i="2"/>
  <c r="Y378" i="2"/>
  <c r="AH378" i="2"/>
  <c r="W378" i="2"/>
  <c r="X378" i="2"/>
  <c r="AB378" i="2"/>
  <c r="AC378" i="2"/>
  <c r="AH377" i="2"/>
  <c r="AL377" i="2"/>
  <c r="AR377" i="2"/>
  <c r="V377" i="2"/>
  <c r="AB377" i="2"/>
  <c r="AD377" i="2"/>
  <c r="AG377" i="2"/>
  <c r="AN377" i="2"/>
  <c r="AC377" i="2"/>
  <c r="AE377" i="2"/>
  <c r="AQ377" i="2"/>
  <c r="AI377" i="2"/>
  <c r="AJ377" i="2"/>
  <c r="AM377" i="2"/>
  <c r="W377" i="2"/>
  <c r="AA377" i="2"/>
  <c r="AP377" i="2"/>
  <c r="AS377" i="2"/>
  <c r="X377" i="2"/>
  <c r="Y377" i="2"/>
  <c r="Z377" i="2"/>
  <c r="AO377" i="2"/>
  <c r="R377" i="2"/>
  <c r="S377" i="2" s="1"/>
  <c r="AF377" i="2"/>
  <c r="AE376" i="2"/>
  <c r="AH376" i="2"/>
  <c r="AN376" i="2"/>
  <c r="AS376" i="2"/>
  <c r="AG376" i="2"/>
  <c r="AM376" i="2"/>
  <c r="W376" i="2"/>
  <c r="AK376" i="2"/>
  <c r="AR376" i="2"/>
  <c r="R376" i="2"/>
  <c r="X376" i="2"/>
  <c r="AL376" i="2"/>
  <c r="AQ376" i="2"/>
  <c r="Q380" i="2"/>
  <c r="AB376" i="2"/>
  <c r="AF376" i="2"/>
  <c r="AI376" i="2"/>
  <c r="AO376" i="2"/>
  <c r="AP376" i="2"/>
  <c r="V376" i="2"/>
  <c r="Y376" i="2"/>
  <c r="AA376" i="2"/>
  <c r="X375" i="2"/>
  <c r="AG375" i="2"/>
  <c r="AM375" i="2"/>
  <c r="AN375" i="2"/>
  <c r="AC375" i="2"/>
  <c r="AD375" i="2"/>
  <c r="AH375" i="2"/>
  <c r="AL375" i="2"/>
  <c r="R375" i="2"/>
  <c r="AJ375" i="2"/>
  <c r="Y375" i="2"/>
  <c r="AF375" i="2"/>
  <c r="AE375" i="2"/>
  <c r="W375" i="2"/>
  <c r="Z375" i="2"/>
  <c r="AA375" i="2"/>
  <c r="V375" i="2"/>
  <c r="AB375" i="2"/>
  <c r="AK375" i="2"/>
  <c r="AO375" i="2"/>
  <c r="AR375" i="2"/>
  <c r="AS375" i="2"/>
  <c r="AI375" i="2"/>
  <c r="AP375" i="2"/>
  <c r="W374" i="2"/>
  <c r="Y374" i="2"/>
  <c r="AE374" i="2"/>
  <c r="AF374" i="2"/>
  <c r="AI374" i="2"/>
  <c r="AN374" i="2"/>
  <c r="AH374" i="2"/>
  <c r="AP374" i="2"/>
  <c r="AC374" i="2"/>
  <c r="AK374" i="2"/>
  <c r="AQ374" i="2"/>
  <c r="AR374" i="2"/>
  <c r="Z374" i="2"/>
  <c r="AS374" i="2"/>
  <c r="X374" i="2"/>
  <c r="AA374" i="2"/>
  <c r="AD374" i="2"/>
  <c r="AJ374" i="2"/>
  <c r="V374" i="2"/>
  <c r="AB374" i="2"/>
  <c r="AG374" i="2"/>
  <c r="AL374" i="2"/>
  <c r="AM374" i="2"/>
  <c r="AO374" i="2"/>
  <c r="AF373" i="2"/>
  <c r="AJ373" i="2"/>
  <c r="AN373" i="2"/>
  <c r="AO373" i="2"/>
  <c r="AS373" i="2"/>
  <c r="Y373" i="2"/>
  <c r="AB373" i="2"/>
  <c r="AD373" i="2"/>
  <c r="AH373" i="2"/>
  <c r="AI373" i="2"/>
  <c r="AP373" i="2"/>
  <c r="V373" i="2"/>
  <c r="X373" i="2"/>
  <c r="AL373" i="2"/>
  <c r="Z373" i="2"/>
  <c r="AM373" i="2"/>
  <c r="AQ373" i="2"/>
  <c r="R373" i="2"/>
  <c r="S373" i="2" s="1"/>
  <c r="AR373" i="2"/>
  <c r="W373" i="2"/>
  <c r="AA373" i="2"/>
  <c r="AC373" i="2"/>
  <c r="AE373" i="2"/>
  <c r="AG373" i="2"/>
  <c r="AQ372" i="2"/>
  <c r="Y372" i="2"/>
  <c r="AL372" i="2"/>
  <c r="AO372" i="2"/>
  <c r="AJ372" i="2"/>
  <c r="AK372" i="2"/>
  <c r="AR372" i="2"/>
  <c r="V372" i="2"/>
  <c r="AE372" i="2"/>
  <c r="AH372" i="2"/>
  <c r="AM372" i="2"/>
  <c r="R372" i="2"/>
  <c r="AI372" i="2"/>
  <c r="AD372" i="2"/>
  <c r="AF372" i="2"/>
  <c r="AP372" i="2"/>
  <c r="AS372" i="2"/>
  <c r="Z372" i="2"/>
  <c r="AG372" i="2"/>
  <c r="AA371" i="2"/>
  <c r="AF371" i="2"/>
  <c r="R371" i="2"/>
  <c r="V371" i="2"/>
  <c r="F442" i="35" s="1"/>
  <c r="AC371" i="2"/>
  <c r="AH371" i="2"/>
  <c r="AQ371" i="2"/>
  <c r="AS371" i="2"/>
  <c r="Z371" i="2"/>
  <c r="AG371" i="2"/>
  <c r="AJ371" i="2"/>
  <c r="AB371" i="2"/>
  <c r="AI371" i="2"/>
  <c r="AK371" i="2"/>
  <c r="AL371" i="2"/>
  <c r="AN371" i="2"/>
  <c r="Y371" i="2"/>
  <c r="AE371" i="2"/>
  <c r="AP371" i="2"/>
  <c r="AR371" i="2"/>
  <c r="W371" i="2"/>
  <c r="X371" i="2"/>
  <c r="AD371" i="2"/>
  <c r="AM371" i="2"/>
  <c r="AQ386" i="2"/>
  <c r="AR386" i="2"/>
  <c r="AS386" i="2"/>
  <c r="AF386" i="2"/>
  <c r="AG386" i="2"/>
  <c r="AN386" i="2"/>
  <c r="AD386" i="2"/>
  <c r="AM386" i="2"/>
  <c r="AO386" i="2"/>
  <c r="AB386" i="2"/>
  <c r="AE386" i="2"/>
  <c r="AL386" i="2"/>
  <c r="R386" i="2"/>
  <c r="X386" i="2"/>
  <c r="AC386" i="2"/>
  <c r="AK386" i="2"/>
  <c r="V386" i="2"/>
  <c r="AA386" i="2"/>
  <c r="AJ386" i="2"/>
  <c r="AH386" i="2"/>
  <c r="AI386" i="2"/>
  <c r="E381" i="35"/>
  <c r="AC287" i="2"/>
  <c r="AE287" i="2"/>
  <c r="AG287" i="2"/>
  <c r="AO287" i="2"/>
  <c r="R287" i="2"/>
  <c r="AJ287" i="2"/>
  <c r="AK287" i="2"/>
  <c r="AR287" i="2"/>
  <c r="W287" i="2"/>
  <c r="AI287" i="2"/>
  <c r="AL287" i="2"/>
  <c r="AN287" i="2"/>
  <c r="Z287" i="2"/>
  <c r="AM287" i="2"/>
  <c r="AS287" i="2"/>
  <c r="Y287" i="2"/>
  <c r="AP287" i="2"/>
  <c r="AB287" i="2"/>
  <c r="AH287" i="2"/>
  <c r="AQ287" i="2"/>
  <c r="V287" i="2"/>
  <c r="AA287" i="2"/>
  <c r="AD287" i="2"/>
  <c r="AF287" i="2"/>
  <c r="W180" i="2"/>
  <c r="X180" i="2"/>
  <c r="AB180" i="2"/>
  <c r="AC177" i="2"/>
  <c r="AE180" i="2"/>
  <c r="AH180" i="2"/>
  <c r="AJ180" i="2"/>
  <c r="AL180" i="2"/>
  <c r="AQ180" i="2"/>
  <c r="AE177" i="2"/>
  <c r="AF180" i="2"/>
  <c r="R180" i="2"/>
  <c r="AK180" i="2"/>
  <c r="R177" i="2"/>
  <c r="BP177" i="2" s="1"/>
  <c r="AI180" i="2"/>
  <c r="AM180" i="2"/>
  <c r="AO180" i="2"/>
  <c r="V180" i="2"/>
  <c r="AR180" i="2"/>
  <c r="AA180" i="2"/>
  <c r="AG180" i="2"/>
  <c r="AR170" i="2"/>
  <c r="Y180" i="2"/>
  <c r="Z180" i="2"/>
  <c r="AA177" i="2"/>
  <c r="AC180" i="2"/>
  <c r="AN180" i="2"/>
  <c r="X179" i="2"/>
  <c r="AH179" i="2"/>
  <c r="AK179" i="2"/>
  <c r="AN179" i="2"/>
  <c r="AO179" i="2"/>
  <c r="AS179" i="2"/>
  <c r="Y179" i="2"/>
  <c r="AR179" i="2"/>
  <c r="Z179" i="2"/>
  <c r="AA179" i="2"/>
  <c r="AD179" i="2"/>
  <c r="AE179" i="2"/>
  <c r="AJ179" i="2"/>
  <c r="AP179" i="2"/>
  <c r="R179" i="2"/>
  <c r="AM179" i="2"/>
  <c r="AG179" i="2"/>
  <c r="W179" i="2"/>
  <c r="AL179" i="2"/>
  <c r="AQ179" i="2"/>
  <c r="V179" i="2"/>
  <c r="AB179" i="2"/>
  <c r="AC179" i="2"/>
  <c r="AF179" i="2"/>
  <c r="Z178" i="2"/>
  <c r="AC178" i="2"/>
  <c r="AH178" i="2"/>
  <c r="AI178" i="2"/>
  <c r="AN178" i="2"/>
  <c r="AA178" i="2"/>
  <c r="R178" i="2"/>
  <c r="AR178" i="2"/>
  <c r="AO178" i="2"/>
  <c r="AQ178" i="2"/>
  <c r="X178" i="2"/>
  <c r="AM178" i="2"/>
  <c r="AF178" i="2"/>
  <c r="AG178" i="2"/>
  <c r="AK178" i="2"/>
  <c r="AL178" i="2"/>
  <c r="Y178" i="2"/>
  <c r="AD178" i="2"/>
  <c r="AS178" i="2"/>
  <c r="V178" i="2"/>
  <c r="AJ178" i="2"/>
  <c r="AP178" i="2"/>
  <c r="W178" i="2"/>
  <c r="AB178" i="2"/>
  <c r="W177" i="2"/>
  <c r="Y177" i="2"/>
  <c r="AN177" i="2"/>
  <c r="AP177" i="2"/>
  <c r="AK177" i="2"/>
  <c r="AS177" i="2"/>
  <c r="AR177" i="2"/>
  <c r="AH177" i="2"/>
  <c r="AJ177" i="2"/>
  <c r="AL177" i="2"/>
  <c r="AM177" i="2"/>
  <c r="V177" i="2"/>
  <c r="AD177" i="2"/>
  <c r="AF177" i="2"/>
  <c r="AI177" i="2"/>
  <c r="AO177" i="2"/>
  <c r="Z177" i="2"/>
  <c r="AB177" i="2"/>
  <c r="AG177" i="2"/>
  <c r="X177" i="2"/>
  <c r="AB176" i="2"/>
  <c r="Y176" i="2"/>
  <c r="AA176" i="2"/>
  <c r="AL176" i="2"/>
  <c r="AN176" i="2"/>
  <c r="AD176" i="2"/>
  <c r="AM176" i="2"/>
  <c r="AQ176" i="2"/>
  <c r="V176" i="2"/>
  <c r="AC176" i="2"/>
  <c r="X176" i="2"/>
  <c r="AF176" i="2"/>
  <c r="AP176" i="2"/>
  <c r="W176" i="2"/>
  <c r="AH176" i="2"/>
  <c r="AO176" i="2"/>
  <c r="BN176" i="2" s="1"/>
  <c r="AR176" i="2"/>
  <c r="Z176" i="2"/>
  <c r="AE176" i="2"/>
  <c r="BD176" i="2" s="1"/>
  <c r="AG176" i="2"/>
  <c r="AI176" i="2"/>
  <c r="AJ176" i="2"/>
  <c r="BI176" i="2" s="1"/>
  <c r="AK176" i="2"/>
  <c r="BJ176" i="2" s="1"/>
  <c r="Z175" i="2"/>
  <c r="AC175" i="2"/>
  <c r="AD175" i="2"/>
  <c r="V175" i="2"/>
  <c r="F444" i="35" s="1"/>
  <c r="AM175" i="2"/>
  <c r="AN175" i="2"/>
  <c r="Y175" i="2"/>
  <c r="AI175" i="2"/>
  <c r="R175" i="2"/>
  <c r="AJ175" i="2"/>
  <c r="AS175" i="2"/>
  <c r="AR175" i="2"/>
  <c r="W175" i="2"/>
  <c r="X175" i="2"/>
  <c r="AA175" i="2"/>
  <c r="AB175" i="2"/>
  <c r="AF175" i="2"/>
  <c r="AK175" i="2"/>
  <c r="AE175" i="2"/>
  <c r="AQ175" i="2"/>
  <c r="AO175" i="2"/>
  <c r="AP175" i="2"/>
  <c r="AG175" i="2"/>
  <c r="AH175" i="2"/>
  <c r="AR162" i="2"/>
  <c r="AE188" i="2"/>
  <c r="AH188" i="2"/>
  <c r="AI188" i="2"/>
  <c r="AJ188" i="2"/>
  <c r="Z188" i="2"/>
  <c r="AF188" i="2"/>
  <c r="AK188" i="2"/>
  <c r="V188" i="2"/>
  <c r="AG188" i="2"/>
  <c r="AQ188" i="2"/>
  <c r="AS188" i="2"/>
  <c r="R188" i="2"/>
  <c r="AL188" i="2"/>
  <c r="AR188" i="2"/>
  <c r="AA188" i="2"/>
  <c r="AM188" i="2"/>
  <c r="Q201" i="2"/>
  <c r="AB188" i="2"/>
  <c r="AN188" i="2"/>
  <c r="AO188" i="2"/>
  <c r="W188" i="2"/>
  <c r="X188" i="2"/>
  <c r="AC188" i="2"/>
  <c r="AR141" i="2"/>
  <c r="AF118" i="2"/>
  <c r="AK118" i="2"/>
  <c r="AM118" i="2"/>
  <c r="AP118" i="2"/>
  <c r="AQ118" i="2"/>
  <c r="W118" i="2"/>
  <c r="AA118" i="2"/>
  <c r="AG118" i="2"/>
  <c r="AI118" i="2"/>
  <c r="AL118" i="2"/>
  <c r="V118" i="2"/>
  <c r="AO118" i="2"/>
  <c r="X118" i="2"/>
  <c r="AC118" i="2"/>
  <c r="R118" i="2"/>
  <c r="AN118" i="2"/>
  <c r="AS118" i="2"/>
  <c r="Y118" i="2"/>
  <c r="AB118" i="2"/>
  <c r="AD118" i="2"/>
  <c r="AE118" i="2"/>
  <c r="AH118" i="2"/>
  <c r="Z118" i="2"/>
  <c r="W117" i="2"/>
  <c r="Z117" i="2"/>
  <c r="AF117" i="2"/>
  <c r="AH117" i="2"/>
  <c r="AL117" i="2"/>
  <c r="V117" i="2"/>
  <c r="AC117" i="2"/>
  <c r="AS117" i="2"/>
  <c r="R117" i="2"/>
  <c r="AB117" i="2"/>
  <c r="AP117" i="2"/>
  <c r="X117" i="2"/>
  <c r="AG117" i="2"/>
  <c r="AJ117" i="2"/>
  <c r="AA117" i="2"/>
  <c r="AD117" i="2"/>
  <c r="AO117" i="2"/>
  <c r="AQ117" i="2"/>
  <c r="AE117" i="2"/>
  <c r="AI117" i="2"/>
  <c r="AK117" i="2"/>
  <c r="AN117" i="2"/>
  <c r="Y117" i="2"/>
  <c r="Q131" i="2"/>
  <c r="Q508" i="2" s="1"/>
  <c r="AG78" i="2"/>
  <c r="AI78" i="2"/>
  <c r="AN78" i="2"/>
  <c r="AP78" i="2"/>
  <c r="AQ78" i="2"/>
  <c r="W78" i="2"/>
  <c r="AL78" i="2"/>
  <c r="R78" i="2"/>
  <c r="AH78" i="2"/>
  <c r="AJ78" i="2"/>
  <c r="AS78" i="2"/>
  <c r="X78" i="2"/>
  <c r="AA78" i="2"/>
  <c r="AB78" i="2"/>
  <c r="AC78" i="2"/>
  <c r="AD78" i="2"/>
  <c r="AE78" i="2"/>
  <c r="AF78" i="2"/>
  <c r="Y78" i="2"/>
  <c r="V78" i="2"/>
  <c r="AM78" i="2"/>
  <c r="AC77" i="2"/>
  <c r="AG77" i="2"/>
  <c r="AD77" i="2"/>
  <c r="AP77" i="2"/>
  <c r="AF77" i="2"/>
  <c r="AI77" i="2"/>
  <c r="AQ77" i="2"/>
  <c r="AR77" i="2"/>
  <c r="AH77" i="2"/>
  <c r="AK77" i="2"/>
  <c r="V77" i="2"/>
  <c r="F445" i="35" s="1"/>
  <c r="AM77" i="2"/>
  <c r="X77" i="2"/>
  <c r="AJ77" i="2"/>
  <c r="AA77" i="2"/>
  <c r="AL77" i="2"/>
  <c r="AO77" i="2"/>
  <c r="AB77" i="2"/>
  <c r="AN77" i="2"/>
  <c r="AS77" i="2"/>
  <c r="AA76" i="2"/>
  <c r="AE76" i="2"/>
  <c r="AG76" i="2"/>
  <c r="AJ76" i="2"/>
  <c r="AF76" i="2"/>
  <c r="Z76" i="2"/>
  <c r="AB76" i="2"/>
  <c r="AM76" i="2"/>
  <c r="V76" i="2"/>
  <c r="P445" i="35" s="1"/>
  <c r="AL76" i="2"/>
  <c r="AP76" i="2"/>
  <c r="AC76" i="2"/>
  <c r="AH76" i="2"/>
  <c r="AI76" i="2"/>
  <c r="AS76" i="2"/>
  <c r="AQ76" i="2"/>
  <c r="R76" i="2"/>
  <c r="Y76" i="2"/>
  <c r="AD76" i="2"/>
  <c r="AR76" i="2"/>
  <c r="AK76" i="2"/>
  <c r="AN76" i="2"/>
  <c r="X75" i="2"/>
  <c r="Z75" i="2"/>
  <c r="AA75" i="2"/>
  <c r="AS75" i="2"/>
  <c r="V75" i="2"/>
  <c r="AD75" i="2"/>
  <c r="AJ75" i="2"/>
  <c r="AK75" i="2"/>
  <c r="AR75" i="2"/>
  <c r="W75" i="2"/>
  <c r="R75" i="2"/>
  <c r="Y75" i="2"/>
  <c r="AB75" i="2"/>
  <c r="AH75" i="2"/>
  <c r="AE75" i="2"/>
  <c r="AI75" i="2"/>
  <c r="AP75" i="2"/>
  <c r="AN75" i="2"/>
  <c r="AC75" i="2"/>
  <c r="AF75" i="2"/>
  <c r="AG75" i="2"/>
  <c r="AO75" i="2"/>
  <c r="AL75" i="2"/>
  <c r="AM75" i="2"/>
  <c r="AQ74" i="2"/>
  <c r="AF74" i="2"/>
  <c r="AH74" i="2"/>
  <c r="X74" i="2"/>
  <c r="AB74" i="2"/>
  <c r="AD74" i="2"/>
  <c r="AJ74" i="2"/>
  <c r="AL74" i="2"/>
  <c r="W74" i="2"/>
  <c r="AG74" i="2"/>
  <c r="AI74" i="2"/>
  <c r="AK74" i="2"/>
  <c r="AN74" i="2"/>
  <c r="AM74" i="2"/>
  <c r="AP74" i="2"/>
  <c r="AR74" i="2"/>
  <c r="AS74" i="2"/>
  <c r="Z74" i="2"/>
  <c r="AO74" i="2"/>
  <c r="AA74" i="2"/>
  <c r="AC74" i="2"/>
  <c r="AE74" i="2"/>
  <c r="V74" i="2"/>
  <c r="Y74" i="2"/>
  <c r="AH73" i="2"/>
  <c r="AS73" i="2"/>
  <c r="AG73" i="2"/>
  <c r="AM73" i="2"/>
  <c r="AN73" i="2"/>
  <c r="AB73" i="2"/>
  <c r="AE73" i="2"/>
  <c r="AQ73" i="2"/>
  <c r="W73" i="2"/>
  <c r="Y73" i="2"/>
  <c r="Z73" i="2"/>
  <c r="AI73" i="2"/>
  <c r="AJ73" i="2"/>
  <c r="X73" i="2"/>
  <c r="AD73" i="2"/>
  <c r="AO73" i="2"/>
  <c r="R73" i="2"/>
  <c r="V73" i="2"/>
  <c r="AA73" i="2"/>
  <c r="AK73" i="2"/>
  <c r="AL73" i="2"/>
  <c r="AP73" i="2"/>
  <c r="AF73" i="2"/>
  <c r="AC73" i="2"/>
  <c r="W72" i="2"/>
  <c r="AE72" i="2"/>
  <c r="AN72" i="2"/>
  <c r="AD72" i="2"/>
  <c r="AG72" i="2"/>
  <c r="AH72" i="2"/>
  <c r="AK72" i="2"/>
  <c r="R72" i="2"/>
  <c r="X72" i="2"/>
  <c r="AL72" i="2"/>
  <c r="AR72" i="2"/>
  <c r="V72" i="2"/>
  <c r="Y72" i="2"/>
  <c r="AC72" i="2"/>
  <c r="Z72" i="2"/>
  <c r="AO72" i="2"/>
  <c r="AQ72" i="2"/>
  <c r="AS72" i="2"/>
  <c r="AB72" i="2"/>
  <c r="AF72" i="2"/>
  <c r="AI72" i="2"/>
  <c r="AJ72" i="2"/>
  <c r="AP72" i="2"/>
  <c r="AA72" i="2"/>
  <c r="AB71" i="2"/>
  <c r="AI71" i="2"/>
  <c r="AL71" i="2"/>
  <c r="AN71" i="2"/>
  <c r="AP71" i="2"/>
  <c r="AA71" i="2"/>
  <c r="AS71" i="2"/>
  <c r="V71" i="2"/>
  <c r="Y71" i="2"/>
  <c r="AG71" i="2"/>
  <c r="AJ71" i="2"/>
  <c r="W71" i="2"/>
  <c r="AH71" i="2"/>
  <c r="Z71" i="2"/>
  <c r="AF71" i="2"/>
  <c r="AO71" i="2"/>
  <c r="AD71" i="2"/>
  <c r="AE71" i="2"/>
  <c r="AK71" i="2"/>
  <c r="AM71" i="2"/>
  <c r="AR71" i="2"/>
  <c r="X71" i="2"/>
  <c r="AC71" i="2"/>
  <c r="AQ71" i="2"/>
  <c r="AF70" i="2"/>
  <c r="AG70" i="2"/>
  <c r="AI70" i="2"/>
  <c r="AK70" i="2"/>
  <c r="V70" i="2"/>
  <c r="AE70" i="2"/>
  <c r="AP70" i="2"/>
  <c r="Z70" i="2"/>
  <c r="AH70" i="2"/>
  <c r="AQ70" i="2"/>
  <c r="AR70" i="2"/>
  <c r="X70" i="2"/>
  <c r="AJ70" i="2"/>
  <c r="AL70" i="2"/>
  <c r="AM70" i="2"/>
  <c r="AO70" i="2"/>
  <c r="R70" i="2"/>
  <c r="W70" i="2"/>
  <c r="AN70" i="2"/>
  <c r="AS70" i="2"/>
  <c r="AB70" i="2"/>
  <c r="AR498" i="5"/>
  <c r="AG170" i="36" s="1"/>
  <c r="AC150" i="5"/>
  <c r="AI498" i="5"/>
  <c r="AI541" i="5" s="1"/>
  <c r="AJ498" i="5"/>
  <c r="AJ500" i="5" s="1"/>
  <c r="AS498" i="5"/>
  <c r="AG171" i="36" s="1"/>
  <c r="AA131" i="5"/>
  <c r="O153" i="36" s="1"/>
  <c r="AB498" i="5"/>
  <c r="AG154" i="36" s="1"/>
  <c r="AE498" i="5"/>
  <c r="AG157" i="36" s="1"/>
  <c r="AP498" i="5"/>
  <c r="AP541" i="5" s="1"/>
  <c r="AH131" i="5"/>
  <c r="O160" i="36" s="1"/>
  <c r="AI131" i="5"/>
  <c r="AI133" i="5" s="1"/>
  <c r="AL131" i="5"/>
  <c r="AL508" i="5" s="1"/>
  <c r="AO131" i="5"/>
  <c r="AO133" i="5" s="1"/>
  <c r="AP131" i="5"/>
  <c r="AP133" i="5" s="1"/>
  <c r="AK498" i="5"/>
  <c r="AG163" i="36" s="1"/>
  <c r="AL498" i="5"/>
  <c r="AG164" i="36" s="1"/>
  <c r="AF498" i="5"/>
  <c r="AG158" i="36" s="1"/>
  <c r="AM498" i="5"/>
  <c r="AG165" i="36" s="1"/>
  <c r="AN150" i="5"/>
  <c r="AN518" i="5" s="1"/>
  <c r="AC498" i="5"/>
  <c r="AG155" i="36" s="1"/>
  <c r="AA498" i="5"/>
  <c r="AA500" i="5" s="1"/>
  <c r="AG498" i="5"/>
  <c r="AG500" i="5" s="1"/>
  <c r="AN498" i="5"/>
  <c r="AG166" i="36" s="1"/>
  <c r="AC249" i="5"/>
  <c r="U155" i="36" s="1"/>
  <c r="AD498" i="5"/>
  <c r="AD541" i="5" s="1"/>
  <c r="AH498" i="5"/>
  <c r="AH500" i="5" s="1"/>
  <c r="AQ249" i="5"/>
  <c r="U169" i="36" s="1"/>
  <c r="W90" i="2"/>
  <c r="AA90" i="2"/>
  <c r="AE90" i="2"/>
  <c r="AI90" i="2"/>
  <c r="AM90" i="2"/>
  <c r="AQ90" i="2"/>
  <c r="R90" i="2"/>
  <c r="Z90" i="2"/>
  <c r="AD90" i="2"/>
  <c r="AH90" i="2"/>
  <c r="AL90" i="2"/>
  <c r="AP90" i="2"/>
  <c r="AS90" i="2"/>
  <c r="Y90" i="2"/>
  <c r="AC90" i="2"/>
  <c r="AG90" i="2"/>
  <c r="AK90" i="2"/>
  <c r="AO90" i="2"/>
  <c r="AR90" i="2"/>
  <c r="V90" i="2"/>
  <c r="X90" i="2"/>
  <c r="AF90" i="2"/>
  <c r="AJ90" i="2"/>
  <c r="Q537" i="2"/>
  <c r="X89" i="2"/>
  <c r="AB89" i="2"/>
  <c r="AF89" i="2"/>
  <c r="AJ89" i="2"/>
  <c r="AN89" i="2"/>
  <c r="AS89" i="2"/>
  <c r="R89" i="2"/>
  <c r="Y89" i="2"/>
  <c r="AC89" i="2"/>
  <c r="AG89" i="2"/>
  <c r="AK89" i="2"/>
  <c r="AO89" i="2"/>
  <c r="AC228" i="35"/>
  <c r="Z89" i="2"/>
  <c r="AD89" i="2"/>
  <c r="AH89" i="2"/>
  <c r="AL89" i="2"/>
  <c r="AP89" i="2"/>
  <c r="W89" i="2"/>
  <c r="AA89" i="2"/>
  <c r="AE89" i="2"/>
  <c r="AI89" i="2"/>
  <c r="AM89" i="2"/>
  <c r="AQ89" i="2"/>
  <c r="AR89" i="2"/>
  <c r="AV473" i="5"/>
  <c r="AV469" i="5"/>
  <c r="BI468" i="5"/>
  <c r="BR468" i="5"/>
  <c r="BJ467" i="5"/>
  <c r="BN467" i="5"/>
  <c r="AZ467" i="5"/>
  <c r="BQ467" i="5"/>
  <c r="BG467" i="5"/>
  <c r="BB467" i="5"/>
  <c r="BF467" i="5"/>
  <c r="BI467" i="5"/>
  <c r="BJ461" i="5"/>
  <c r="BB456" i="5"/>
  <c r="BF456" i="5"/>
  <c r="BM456" i="5"/>
  <c r="W457" i="5"/>
  <c r="AV457" i="5" s="1"/>
  <c r="BB485" i="5"/>
  <c r="BE485" i="5"/>
  <c r="AG228" i="36"/>
  <c r="AX485" i="5"/>
  <c r="AQ485" i="5"/>
  <c r="AF484" i="5"/>
  <c r="AG464" i="36" s="1"/>
  <c r="AO485" i="5"/>
  <c r="BK485" i="5"/>
  <c r="BG485" i="5"/>
  <c r="V498" i="5"/>
  <c r="Y498" i="5"/>
  <c r="F89" i="21"/>
  <c r="F93" i="21"/>
  <c r="F97" i="21"/>
  <c r="BB439" i="5"/>
  <c r="BI439" i="5"/>
  <c r="BK439" i="5"/>
  <c r="W437" i="5"/>
  <c r="AV437" i="5" s="1"/>
  <c r="W436" i="5"/>
  <c r="W435" i="5"/>
  <c r="W434" i="5"/>
  <c r="AV434" i="5" s="1"/>
  <c r="AB447" i="5"/>
  <c r="W154" i="36" s="1"/>
  <c r="W410" i="5"/>
  <c r="AV410" i="5" s="1"/>
  <c r="W409" i="5"/>
  <c r="AV409" i="5" s="1"/>
  <c r="W408" i="5"/>
  <c r="Q428" i="5"/>
  <c r="AD408" i="5"/>
  <c r="AD428" i="5" s="1"/>
  <c r="AK406" i="5"/>
  <c r="R469" i="36" s="1"/>
  <c r="AL408" i="5"/>
  <c r="AL428" i="5" s="1"/>
  <c r="R164" i="36" s="1"/>
  <c r="R408" i="5"/>
  <c r="AE408" i="5"/>
  <c r="AE428" i="5" s="1"/>
  <c r="AM408" i="5"/>
  <c r="AM428" i="5" s="1"/>
  <c r="AM430" i="5" s="1"/>
  <c r="V408" i="5"/>
  <c r="AF408" i="5"/>
  <c r="AF406" i="5" s="1"/>
  <c r="R464" i="36" s="1"/>
  <c r="AN408" i="5"/>
  <c r="AN428" i="5" s="1"/>
  <c r="AN430" i="5" s="1"/>
  <c r="AR408" i="5"/>
  <c r="AR428" i="5" s="1"/>
  <c r="AR430" i="5" s="1"/>
  <c r="AS408" i="5"/>
  <c r="AS428" i="5" s="1"/>
  <c r="AG408" i="5"/>
  <c r="AG428" i="5" s="1"/>
  <c r="AG511" i="5" s="1"/>
  <c r="AO408" i="5"/>
  <c r="AO428" i="5" s="1"/>
  <c r="R167" i="36" s="1"/>
  <c r="X408" i="5"/>
  <c r="X428" i="5" s="1"/>
  <c r="X511" i="5" s="1"/>
  <c r="Z408" i="5"/>
  <c r="Z428" i="5" s="1"/>
  <c r="Z511" i="5" s="1"/>
  <c r="AH408" i="5"/>
  <c r="AP408" i="5"/>
  <c r="Y408" i="5"/>
  <c r="AA408" i="5"/>
  <c r="AA428" i="5" s="1"/>
  <c r="AI408" i="5"/>
  <c r="AI428" i="5" s="1"/>
  <c r="R161" i="36" s="1"/>
  <c r="AQ408" i="5"/>
  <c r="AQ428" i="5" s="1"/>
  <c r="AB408" i="5"/>
  <c r="AJ408" i="5"/>
  <c r="AJ428" i="5" s="1"/>
  <c r="R162" i="36" s="1"/>
  <c r="AC406" i="5"/>
  <c r="R461" i="36" s="1"/>
  <c r="AV412" i="5"/>
  <c r="AK428" i="5"/>
  <c r="AK511" i="5" s="1"/>
  <c r="AC428" i="5"/>
  <c r="R155" i="36" s="1"/>
  <c r="AY407" i="5"/>
  <c r="BM407" i="5"/>
  <c r="BQ407" i="5"/>
  <c r="AW407" i="5"/>
  <c r="G73" i="21"/>
  <c r="BL456" i="5"/>
  <c r="BI456" i="5"/>
  <c r="BK456" i="5"/>
  <c r="BN456" i="5"/>
  <c r="G72" i="21"/>
  <c r="Q521" i="5"/>
  <c r="G75" i="21"/>
  <c r="G80" i="21"/>
  <c r="BF357" i="5"/>
  <c r="BR357" i="5"/>
  <c r="BN357" i="5"/>
  <c r="AX357" i="5"/>
  <c r="BE357" i="5"/>
  <c r="BC357" i="5"/>
  <c r="BF261" i="5"/>
  <c r="BE261" i="5"/>
  <c r="AY261" i="5"/>
  <c r="AZ261" i="5"/>
  <c r="D101" i="21"/>
  <c r="D88" i="21"/>
  <c r="C99" i="21"/>
  <c r="Q509" i="5"/>
  <c r="W170" i="5"/>
  <c r="AV167" i="5"/>
  <c r="AV166" i="5"/>
  <c r="G22" i="21"/>
  <c r="AW141" i="5"/>
  <c r="D90" i="21"/>
  <c r="D93" i="21"/>
  <c r="C98" i="21"/>
  <c r="C92" i="21"/>
  <c r="X131" i="5"/>
  <c r="Q508" i="5"/>
  <c r="AV63" i="5"/>
  <c r="AY64" i="5"/>
  <c r="AX59" i="5"/>
  <c r="BM66" i="5"/>
  <c r="AX67" i="5"/>
  <c r="BG66" i="5"/>
  <c r="BI66" i="5"/>
  <c r="AZ67" i="5"/>
  <c r="BB67" i="5"/>
  <c r="AY59" i="5"/>
  <c r="AX64" i="5"/>
  <c r="BD67" i="5"/>
  <c r="BJ66" i="5"/>
  <c r="D95" i="21"/>
  <c r="Q517" i="5"/>
  <c r="D102" i="21"/>
  <c r="AR32" i="5"/>
  <c r="N170" i="36" s="1"/>
  <c r="AK427" i="35"/>
  <c r="AJ427" i="35"/>
  <c r="AI427" i="35"/>
  <c r="AA427" i="35"/>
  <c r="Q348" i="2"/>
  <c r="Q520" i="2" s="1"/>
  <c r="R562" i="2"/>
  <c r="W241" i="2"/>
  <c r="X242" i="2"/>
  <c r="AA241" i="2"/>
  <c r="AB242" i="2"/>
  <c r="AE241" i="2"/>
  <c r="AF242" i="2"/>
  <c r="AI242" i="2"/>
  <c r="AK241" i="2"/>
  <c r="AQ242" i="2"/>
  <c r="V241" i="2"/>
  <c r="AL242" i="2"/>
  <c r="AN241" i="2"/>
  <c r="X241" i="2"/>
  <c r="Y242" i="2"/>
  <c r="AB241" i="2"/>
  <c r="AC242" i="2"/>
  <c r="AF241" i="2"/>
  <c r="AG242" i="2"/>
  <c r="AI241" i="2"/>
  <c r="AO242" i="2"/>
  <c r="AQ241" i="2"/>
  <c r="AJ242" i="2"/>
  <c r="AL241" i="2"/>
  <c r="AR242" i="2"/>
  <c r="AS242" i="2"/>
  <c r="Y241" i="2"/>
  <c r="Z242" i="2"/>
  <c r="AC241" i="2"/>
  <c r="AD242" i="2"/>
  <c r="AG241" i="2"/>
  <c r="AM242" i="2"/>
  <c r="AO241" i="2"/>
  <c r="R242" i="2"/>
  <c r="AH242" i="2"/>
  <c r="AJ241" i="2"/>
  <c r="AP242" i="2"/>
  <c r="AR241" i="2"/>
  <c r="AS241" i="2"/>
  <c r="R241" i="2"/>
  <c r="W242" i="2"/>
  <c r="Z241" i="2"/>
  <c r="AA242" i="2"/>
  <c r="AD241" i="2"/>
  <c r="AE242" i="2"/>
  <c r="AK242" i="2"/>
  <c r="AM241" i="2"/>
  <c r="AH241" i="2"/>
  <c r="AN242" i="2"/>
  <c r="X213" i="2"/>
  <c r="AB213" i="2"/>
  <c r="AF213" i="2"/>
  <c r="AJ213" i="2"/>
  <c r="AN213" i="2"/>
  <c r="AR213" i="2"/>
  <c r="W213" i="2"/>
  <c r="AA213" i="2"/>
  <c r="AE213" i="2"/>
  <c r="AI213" i="2"/>
  <c r="AM213" i="2"/>
  <c r="AQ213" i="2"/>
  <c r="V213" i="2"/>
  <c r="Z213" i="2"/>
  <c r="AD213" i="2"/>
  <c r="AH213" i="2"/>
  <c r="AL213" i="2"/>
  <c r="AP213" i="2"/>
  <c r="AS213" i="2"/>
  <c r="Y213" i="2"/>
  <c r="AC213" i="2"/>
  <c r="AG213" i="2"/>
  <c r="AK213" i="2"/>
  <c r="AO213" i="2"/>
  <c r="W143" i="2"/>
  <c r="X142" i="2"/>
  <c r="AB143" i="2"/>
  <c r="AC142" i="2"/>
  <c r="AK142" i="2"/>
  <c r="AQ143" i="2"/>
  <c r="R143" i="2"/>
  <c r="AA143" i="2"/>
  <c r="AC139" i="2"/>
  <c r="AF143" i="2"/>
  <c r="AG142" i="2"/>
  <c r="AH142" i="2"/>
  <c r="AI142" i="2"/>
  <c r="AJ142" i="2"/>
  <c r="AP143" i="2"/>
  <c r="AS142" i="2"/>
  <c r="R142" i="2"/>
  <c r="W142" i="2"/>
  <c r="AB142" i="2"/>
  <c r="AG141" i="2"/>
  <c r="AH141" i="2"/>
  <c r="AI141" i="2"/>
  <c r="AO143" i="2"/>
  <c r="AQ142" i="2"/>
  <c r="Z143" i="2"/>
  <c r="AA142" i="2"/>
  <c r="AE143" i="2"/>
  <c r="AF142" i="2"/>
  <c r="AN143" i="2"/>
  <c r="AP142" i="2"/>
  <c r="AR143" i="2"/>
  <c r="Y143" i="2"/>
  <c r="AA140" i="2"/>
  <c r="AM143" i="2"/>
  <c r="AO142" i="2"/>
  <c r="V143" i="2"/>
  <c r="Z142" i="2"/>
  <c r="AD143" i="2"/>
  <c r="AE142" i="2"/>
  <c r="AL143" i="2"/>
  <c r="AN142" i="2"/>
  <c r="V142" i="2"/>
  <c r="AR142" i="2"/>
  <c r="X143" i="2"/>
  <c r="Y142" i="2"/>
  <c r="AC143" i="2"/>
  <c r="AK143" i="2"/>
  <c r="AM142" i="2"/>
  <c r="Y141" i="2"/>
  <c r="AD142" i="2"/>
  <c r="AG143" i="2"/>
  <c r="AH143" i="2"/>
  <c r="AI143" i="2"/>
  <c r="AJ143" i="2"/>
  <c r="AR114" i="2"/>
  <c r="X115" i="2"/>
  <c r="Z115" i="2"/>
  <c r="AB115" i="2"/>
  <c r="AD115" i="2"/>
  <c r="AF115" i="2"/>
  <c r="AH115" i="2"/>
  <c r="AJ115" i="2"/>
  <c r="AL115" i="2"/>
  <c r="AN115" i="2"/>
  <c r="AP115" i="2"/>
  <c r="V115" i="2"/>
  <c r="V114" i="2"/>
  <c r="W116" i="2"/>
  <c r="X114" i="2"/>
  <c r="Y116" i="2"/>
  <c r="Z114" i="2"/>
  <c r="AA116" i="2"/>
  <c r="AB114" i="2"/>
  <c r="AC116" i="2"/>
  <c r="AD114" i="2"/>
  <c r="AE116" i="2"/>
  <c r="AF114" i="2"/>
  <c r="AG116" i="2"/>
  <c r="AH114" i="2"/>
  <c r="AI116" i="2"/>
  <c r="AJ114" i="2"/>
  <c r="AK116" i="2"/>
  <c r="AL114" i="2"/>
  <c r="AM116" i="2"/>
  <c r="AN114" i="2"/>
  <c r="AO116" i="2"/>
  <c r="AP114" i="2"/>
  <c r="AQ116" i="2"/>
  <c r="AS116" i="2"/>
  <c r="AR116" i="2"/>
  <c r="W115" i="2"/>
  <c r="Y115" i="2"/>
  <c r="AA115" i="2"/>
  <c r="AC115" i="2"/>
  <c r="AE115" i="2"/>
  <c r="AG115" i="2"/>
  <c r="AI115" i="2"/>
  <c r="AK115" i="2"/>
  <c r="AM115" i="2"/>
  <c r="AO115" i="2"/>
  <c r="AQ115" i="2"/>
  <c r="AS115" i="2"/>
  <c r="R116" i="2"/>
  <c r="R115" i="2"/>
  <c r="W114" i="2"/>
  <c r="X116" i="2"/>
  <c r="Y114" i="2"/>
  <c r="Z116" i="2"/>
  <c r="AA114" i="2"/>
  <c r="AB116" i="2"/>
  <c r="AC114" i="2"/>
  <c r="AD116" i="2"/>
  <c r="AE114" i="2"/>
  <c r="AF116" i="2"/>
  <c r="AG114" i="2"/>
  <c r="AH116" i="2"/>
  <c r="AI114" i="2"/>
  <c r="AJ116" i="2"/>
  <c r="AK114" i="2"/>
  <c r="AL116" i="2"/>
  <c r="AM114" i="2"/>
  <c r="AN116" i="2"/>
  <c r="AO114" i="2"/>
  <c r="AP116" i="2"/>
  <c r="AQ114" i="2"/>
  <c r="AS114" i="2"/>
  <c r="AL42" i="2"/>
  <c r="AS42" i="2"/>
  <c r="AG42" i="2"/>
  <c r="AM42" i="2"/>
  <c r="AN42" i="2"/>
  <c r="R42" i="2"/>
  <c r="AH42" i="2"/>
  <c r="AO42" i="2"/>
  <c r="W42" i="2"/>
  <c r="X42" i="2"/>
  <c r="AP42" i="2"/>
  <c r="V42" i="2"/>
  <c r="Y42" i="2"/>
  <c r="Z42" i="2"/>
  <c r="AI42" i="2"/>
  <c r="AQ42" i="2"/>
  <c r="AA42" i="2"/>
  <c r="AB42" i="2"/>
  <c r="AJ42" i="2"/>
  <c r="AC42" i="2"/>
  <c r="AD42" i="2"/>
  <c r="AE42" i="2"/>
  <c r="AF42" i="2"/>
  <c r="AK42" i="2"/>
  <c r="X19" i="2"/>
  <c r="Z17" i="2"/>
  <c r="AA18" i="2"/>
  <c r="AB19" i="2"/>
  <c r="AD17" i="2"/>
  <c r="AE18" i="2"/>
  <c r="AF19" i="2"/>
  <c r="AH17" i="2"/>
  <c r="AI18" i="2"/>
  <c r="AJ19" i="2"/>
  <c r="AL17" i="2"/>
  <c r="AM18" i="2"/>
  <c r="AN19" i="2"/>
  <c r="AP17" i="2"/>
  <c r="AQ18" i="2"/>
  <c r="AR19" i="2"/>
  <c r="X18" i="2"/>
  <c r="Y19" i="2"/>
  <c r="AA17" i="2"/>
  <c r="AB18" i="2"/>
  <c r="AC19" i="2"/>
  <c r="AE17" i="2"/>
  <c r="AF18" i="2"/>
  <c r="AG19" i="2"/>
  <c r="AI17" i="2"/>
  <c r="AJ18" i="2"/>
  <c r="AK19" i="2"/>
  <c r="AM17" i="2"/>
  <c r="AN18" i="2"/>
  <c r="AO19" i="2"/>
  <c r="AQ17" i="2"/>
  <c r="AR18" i="2"/>
  <c r="AS19" i="2"/>
  <c r="V19" i="2"/>
  <c r="R19" i="2"/>
  <c r="V18" i="2"/>
  <c r="X17" i="2"/>
  <c r="Y18" i="2"/>
  <c r="Z19" i="2"/>
  <c r="AB17" i="2"/>
  <c r="AC18" i="2"/>
  <c r="AD19" i="2"/>
  <c r="AF17" i="2"/>
  <c r="AG18" i="2"/>
  <c r="AH19" i="2"/>
  <c r="AJ17" i="2"/>
  <c r="AK18" i="2"/>
  <c r="AL19" i="2"/>
  <c r="AN17" i="2"/>
  <c r="AO18" i="2"/>
  <c r="AP19" i="2"/>
  <c r="AR17" i="2"/>
  <c r="AS18" i="2"/>
  <c r="R18" i="2"/>
  <c r="V17" i="2"/>
  <c r="R17" i="2"/>
  <c r="W19" i="2"/>
  <c r="Y17" i="2"/>
  <c r="Z18" i="2"/>
  <c r="AA19" i="2"/>
  <c r="AC17" i="2"/>
  <c r="AD18" i="2"/>
  <c r="AE19" i="2"/>
  <c r="AG17" i="2"/>
  <c r="AH18" i="2"/>
  <c r="AI19" i="2"/>
  <c r="AK17" i="2"/>
  <c r="AL18" i="2"/>
  <c r="AM19" i="2"/>
  <c r="AO17" i="2"/>
  <c r="Z438" i="2"/>
  <c r="Z434" i="2"/>
  <c r="AA437" i="2"/>
  <c r="AD439" i="2"/>
  <c r="AD435" i="2"/>
  <c r="AE438" i="2"/>
  <c r="AE434" i="2"/>
  <c r="AF437" i="2"/>
  <c r="AG436" i="2"/>
  <c r="AH436" i="2"/>
  <c r="AI436" i="2"/>
  <c r="AJ436" i="2"/>
  <c r="AL439" i="2"/>
  <c r="AL435" i="2"/>
  <c r="AN438" i="2"/>
  <c r="AN434" i="2"/>
  <c r="AP437" i="2"/>
  <c r="AR436" i="2"/>
  <c r="AS436" i="2"/>
  <c r="V437" i="2"/>
  <c r="R434" i="2"/>
  <c r="W436" i="2"/>
  <c r="X439" i="2"/>
  <c r="X435" i="2"/>
  <c r="Y438" i="2"/>
  <c r="Y434" i="2"/>
  <c r="AB436" i="2"/>
  <c r="AC439" i="2"/>
  <c r="AC435" i="2"/>
  <c r="AK439" i="2"/>
  <c r="AK435" i="2"/>
  <c r="AM438" i="2"/>
  <c r="AM434" i="2"/>
  <c r="AO437" i="2"/>
  <c r="AQ436" i="2"/>
  <c r="V436" i="2"/>
  <c r="Z437" i="2"/>
  <c r="AA436" i="2"/>
  <c r="AD438" i="2"/>
  <c r="AD434" i="2"/>
  <c r="AE437" i="2"/>
  <c r="AF436" i="2"/>
  <c r="AG439" i="2"/>
  <c r="AG435" i="2"/>
  <c r="AH439" i="2"/>
  <c r="AH435" i="2"/>
  <c r="AI439" i="2"/>
  <c r="AI435" i="2"/>
  <c r="AJ439" i="2"/>
  <c r="AJ435" i="2"/>
  <c r="AL438" i="2"/>
  <c r="AL434" i="2"/>
  <c r="AN437" i="2"/>
  <c r="AP436" i="2"/>
  <c r="AR439" i="2"/>
  <c r="AR435" i="2"/>
  <c r="AS439" i="2"/>
  <c r="AS435" i="2"/>
  <c r="V435" i="2"/>
  <c r="P435" i="35" s="1"/>
  <c r="R437" i="2"/>
  <c r="W439" i="2"/>
  <c r="W435" i="2"/>
  <c r="X438" i="2"/>
  <c r="X434" i="2"/>
  <c r="Y437" i="2"/>
  <c r="AB439" i="2"/>
  <c r="AB435" i="2"/>
  <c r="AC438" i="2"/>
  <c r="AC434" i="2"/>
  <c r="AK438" i="2"/>
  <c r="AK434" i="2"/>
  <c r="AM437" i="2"/>
  <c r="AO436" i="2"/>
  <c r="AQ439" i="2"/>
  <c r="AQ435" i="2"/>
  <c r="V434" i="2"/>
  <c r="K435" i="35" s="1"/>
  <c r="Z436" i="2"/>
  <c r="AA439" i="2"/>
  <c r="AA435" i="2"/>
  <c r="AD437" i="2"/>
  <c r="AE436" i="2"/>
  <c r="AF439" i="2"/>
  <c r="AF435" i="2"/>
  <c r="AG438" i="2"/>
  <c r="AG434" i="2"/>
  <c r="AH438" i="2"/>
  <c r="AH434" i="2"/>
  <c r="AI438" i="2"/>
  <c r="AI434" i="2"/>
  <c r="AJ438" i="2"/>
  <c r="AJ434" i="2"/>
  <c r="AL437" i="2"/>
  <c r="AN436" i="2"/>
  <c r="AP439" i="2"/>
  <c r="AP435" i="2"/>
  <c r="AR438" i="2"/>
  <c r="AR434" i="2"/>
  <c r="AS438" i="2"/>
  <c r="AS434" i="2"/>
  <c r="R436" i="2"/>
  <c r="W438" i="2"/>
  <c r="W434" i="2"/>
  <c r="X437" i="2"/>
  <c r="Y436" i="2"/>
  <c r="AB438" i="2"/>
  <c r="AB434" i="2"/>
  <c r="AC437" i="2"/>
  <c r="AK437" i="2"/>
  <c r="AM436" i="2"/>
  <c r="AO439" i="2"/>
  <c r="AO435" i="2"/>
  <c r="AQ438" i="2"/>
  <c r="AQ434" i="2"/>
  <c r="R439" i="2"/>
  <c r="Z439" i="2"/>
  <c r="Z435" i="2"/>
  <c r="AA438" i="2"/>
  <c r="AA434" i="2"/>
  <c r="AD436" i="2"/>
  <c r="AE439" i="2"/>
  <c r="AE435" i="2"/>
  <c r="AF438" i="2"/>
  <c r="AF434" i="2"/>
  <c r="AG437" i="2"/>
  <c r="AH437" i="2"/>
  <c r="AI437" i="2"/>
  <c r="AJ437" i="2"/>
  <c r="AL436" i="2"/>
  <c r="AN439" i="2"/>
  <c r="AN435" i="2"/>
  <c r="AP438" i="2"/>
  <c r="AP434" i="2"/>
  <c r="AR437" i="2"/>
  <c r="AS437" i="2"/>
  <c r="R438" i="2"/>
  <c r="V439" i="2"/>
  <c r="R435" i="2"/>
  <c r="W437" i="2"/>
  <c r="X436" i="2"/>
  <c r="Y439" i="2"/>
  <c r="Y435" i="2"/>
  <c r="AB437" i="2"/>
  <c r="AC436" i="2"/>
  <c r="AO438" i="2"/>
  <c r="V412" i="2"/>
  <c r="R411" i="2"/>
  <c r="R407" i="2"/>
  <c r="W413" i="2"/>
  <c r="W409" i="2"/>
  <c r="X410" i="2"/>
  <c r="Y411" i="2"/>
  <c r="Y407" i="2"/>
  <c r="Z412" i="2"/>
  <c r="Z408" i="2"/>
  <c r="AA413" i="2"/>
  <c r="AA409" i="2"/>
  <c r="AB410" i="2"/>
  <c r="AC411" i="2"/>
  <c r="AC407" i="2"/>
  <c r="AD412" i="2"/>
  <c r="AD408" i="2"/>
  <c r="AE413" i="2"/>
  <c r="AE409" i="2"/>
  <c r="AF410" i="2"/>
  <c r="AG411" i="2"/>
  <c r="AG407" i="2"/>
  <c r="AH412" i="2"/>
  <c r="AH408" i="2"/>
  <c r="AI413" i="2"/>
  <c r="AI409" i="2"/>
  <c r="AJ410" i="2"/>
  <c r="AK411" i="2"/>
  <c r="AK407" i="2"/>
  <c r="AL412" i="2"/>
  <c r="AL408" i="2"/>
  <c r="AM413" i="2"/>
  <c r="AM409" i="2"/>
  <c r="AN410" i="2"/>
  <c r="AO411" i="2"/>
  <c r="AO407" i="2"/>
  <c r="AP412" i="2"/>
  <c r="AP408" i="2"/>
  <c r="AQ413" i="2"/>
  <c r="AQ409" i="2"/>
  <c r="AR410" i="2"/>
  <c r="AS411" i="2"/>
  <c r="AS407" i="2"/>
  <c r="V411" i="2"/>
  <c r="V410" i="2"/>
  <c r="R410" i="2"/>
  <c r="W412" i="2"/>
  <c r="W408" i="2"/>
  <c r="X413" i="2"/>
  <c r="X409" i="2"/>
  <c r="Y410" i="2"/>
  <c r="Z411" i="2"/>
  <c r="Z407" i="2"/>
  <c r="AA412" i="2"/>
  <c r="AA408" i="2"/>
  <c r="AB413" i="2"/>
  <c r="AB409" i="2"/>
  <c r="AC410" i="2"/>
  <c r="AD411" i="2"/>
  <c r="AD407" i="2"/>
  <c r="AE412" i="2"/>
  <c r="AE408" i="2"/>
  <c r="AF413" i="2"/>
  <c r="AF409" i="2"/>
  <c r="AG410" i="2"/>
  <c r="AH411" i="2"/>
  <c r="AH407" i="2"/>
  <c r="AI412" i="2"/>
  <c r="AI408" i="2"/>
  <c r="AJ413" i="2"/>
  <c r="AJ409" i="2"/>
  <c r="AK410" i="2"/>
  <c r="AL411" i="2"/>
  <c r="AL407" i="2"/>
  <c r="AM412" i="2"/>
  <c r="AM408" i="2"/>
  <c r="AN413" i="2"/>
  <c r="AN409" i="2"/>
  <c r="AO410" i="2"/>
  <c r="AP411" i="2"/>
  <c r="AP407" i="2"/>
  <c r="AQ412" i="2"/>
  <c r="AQ408" i="2"/>
  <c r="AR413" i="2"/>
  <c r="AR409" i="2"/>
  <c r="AS410" i="2"/>
  <c r="R413" i="2"/>
  <c r="V409" i="2"/>
  <c r="R412" i="2"/>
  <c r="V408" i="2"/>
  <c r="R409" i="2"/>
  <c r="W411" i="2"/>
  <c r="W407" i="2"/>
  <c r="X412" i="2"/>
  <c r="X408" i="2"/>
  <c r="Y413" i="2"/>
  <c r="Y409" i="2"/>
  <c r="Z410" i="2"/>
  <c r="AA411" i="2"/>
  <c r="AA407" i="2"/>
  <c r="AB412" i="2"/>
  <c r="AB408" i="2"/>
  <c r="AC413" i="2"/>
  <c r="AC409" i="2"/>
  <c r="AD410" i="2"/>
  <c r="AE411" i="2"/>
  <c r="AE407" i="2"/>
  <c r="AF412" i="2"/>
  <c r="AF408" i="2"/>
  <c r="AG413" i="2"/>
  <c r="AG409" i="2"/>
  <c r="AH410" i="2"/>
  <c r="AI411" i="2"/>
  <c r="AI407" i="2"/>
  <c r="AJ412" i="2"/>
  <c r="AJ408" i="2"/>
  <c r="AK413" i="2"/>
  <c r="AK409" i="2"/>
  <c r="AL410" i="2"/>
  <c r="AM411" i="2"/>
  <c r="AM407" i="2"/>
  <c r="AN412" i="2"/>
  <c r="AN408" i="2"/>
  <c r="AO413" i="2"/>
  <c r="AO409" i="2"/>
  <c r="AP410" i="2"/>
  <c r="AQ411" i="2"/>
  <c r="AQ407" i="2"/>
  <c r="AR412" i="2"/>
  <c r="AR408" i="2"/>
  <c r="AS413" i="2"/>
  <c r="AS409" i="2"/>
  <c r="V407" i="2"/>
  <c r="R408" i="2"/>
  <c r="W410" i="2"/>
  <c r="X411" i="2"/>
  <c r="X407" i="2"/>
  <c r="Y412" i="2"/>
  <c r="Y408" i="2"/>
  <c r="Z413" i="2"/>
  <c r="Z409" i="2"/>
  <c r="AA410" i="2"/>
  <c r="AB411" i="2"/>
  <c r="AB407" i="2"/>
  <c r="AC412" i="2"/>
  <c r="AC408" i="2"/>
  <c r="AD413" i="2"/>
  <c r="AD409" i="2"/>
  <c r="AE410" i="2"/>
  <c r="AF411" i="2"/>
  <c r="AF407" i="2"/>
  <c r="AG412" i="2"/>
  <c r="AG408" i="2"/>
  <c r="AH413" i="2"/>
  <c r="AH409" i="2"/>
  <c r="AI410" i="2"/>
  <c r="AJ411" i="2"/>
  <c r="AJ407" i="2"/>
  <c r="AK412" i="2"/>
  <c r="AK408" i="2"/>
  <c r="AL413" i="2"/>
  <c r="AL409" i="2"/>
  <c r="AM410" i="2"/>
  <c r="AN411" i="2"/>
  <c r="AN407" i="2"/>
  <c r="AO412" i="2"/>
  <c r="AO408" i="2"/>
  <c r="AP413" i="2"/>
  <c r="Z370" i="2"/>
  <c r="AH370" i="2"/>
  <c r="AP370" i="2"/>
  <c r="R370" i="2"/>
  <c r="AC370" i="2"/>
  <c r="AK370" i="2"/>
  <c r="X370" i="2"/>
  <c r="AF370" i="2"/>
  <c r="AN370" i="2"/>
  <c r="V370" i="2"/>
  <c r="P442" i="35" s="1"/>
  <c r="AA370" i="2"/>
  <c r="AI370" i="2"/>
  <c r="AQ370" i="2"/>
  <c r="AD370" i="2"/>
  <c r="AL370" i="2"/>
  <c r="Y370" i="2"/>
  <c r="AG370" i="2"/>
  <c r="AO370" i="2"/>
  <c r="AB370" i="2"/>
  <c r="AJ370" i="2"/>
  <c r="AR370" i="2"/>
  <c r="AS370" i="2"/>
  <c r="W370" i="2"/>
  <c r="AE370" i="2"/>
  <c r="Z341" i="2"/>
  <c r="Z337" i="2"/>
  <c r="AA341" i="2"/>
  <c r="AA337" i="2"/>
  <c r="AD342" i="2"/>
  <c r="AD338" i="2"/>
  <c r="AE342" i="2"/>
  <c r="AE338" i="2"/>
  <c r="AF342" i="2"/>
  <c r="AF338" i="2"/>
  <c r="AG342" i="2"/>
  <c r="AG338" i="2"/>
  <c r="AH339" i="2"/>
  <c r="AH335" i="2"/>
  <c r="AI340" i="2"/>
  <c r="AI336" i="2"/>
  <c r="BH336" i="2" s="1"/>
  <c r="AJ341" i="2"/>
  <c r="AJ337" i="2"/>
  <c r="AL342" i="2"/>
  <c r="AL338" i="2"/>
  <c r="AN339" i="2"/>
  <c r="AN335" i="2"/>
  <c r="AP340" i="2"/>
  <c r="AP336" i="2"/>
  <c r="BO336" i="2" s="1"/>
  <c r="AR341" i="2"/>
  <c r="AR337" i="2"/>
  <c r="AS342" i="2"/>
  <c r="AS338" i="2"/>
  <c r="V336" i="2"/>
  <c r="M436" i="35" s="1"/>
  <c r="W340" i="2"/>
  <c r="W336" i="2"/>
  <c r="AV336" i="2" s="1"/>
  <c r="X340" i="2"/>
  <c r="X336" i="2"/>
  <c r="AW336" i="2" s="1"/>
  <c r="Y340" i="2"/>
  <c r="Y336" i="2"/>
  <c r="AX336" i="2" s="1"/>
  <c r="AB341" i="2"/>
  <c r="AB337" i="2"/>
  <c r="AC341" i="2"/>
  <c r="AC337" i="2"/>
  <c r="AK341" i="2"/>
  <c r="AK337" i="2"/>
  <c r="AM342" i="2"/>
  <c r="AM338" i="2"/>
  <c r="AO339" i="2"/>
  <c r="AO335" i="2"/>
  <c r="AQ340" i="2"/>
  <c r="AQ336" i="2"/>
  <c r="BP336" i="2" s="1"/>
  <c r="V335" i="2"/>
  <c r="R436" i="35" s="1"/>
  <c r="R339" i="2"/>
  <c r="R335" i="2"/>
  <c r="Z340" i="2"/>
  <c r="Z336" i="2"/>
  <c r="AY336" i="2" s="1"/>
  <c r="AA340" i="2"/>
  <c r="AA336" i="2"/>
  <c r="AZ336" i="2" s="1"/>
  <c r="AD341" i="2"/>
  <c r="AD337" i="2"/>
  <c r="AE341" i="2"/>
  <c r="AE337" i="2"/>
  <c r="AF341" i="2"/>
  <c r="AF337" i="2"/>
  <c r="AG341" i="2"/>
  <c r="AG337" i="2"/>
  <c r="AH342" i="2"/>
  <c r="AH338" i="2"/>
  <c r="AI339" i="2"/>
  <c r="AI335" i="2"/>
  <c r="AJ340" i="2"/>
  <c r="AJ336" i="2"/>
  <c r="BI336" i="2" s="1"/>
  <c r="AL341" i="2"/>
  <c r="AL337" i="2"/>
  <c r="AN342" i="2"/>
  <c r="AN338" i="2"/>
  <c r="AP339" i="2"/>
  <c r="AP335" i="2"/>
  <c r="AR340" i="2"/>
  <c r="AR336" i="2"/>
  <c r="BQ336" i="2" s="1"/>
  <c r="AS341" i="2"/>
  <c r="AS337" i="2"/>
  <c r="R342" i="2"/>
  <c r="V342" i="2"/>
  <c r="W339" i="2"/>
  <c r="W335" i="2"/>
  <c r="X339" i="2"/>
  <c r="X335" i="2"/>
  <c r="Y339" i="2"/>
  <c r="Y335" i="2"/>
  <c r="AB340" i="2"/>
  <c r="AB336" i="2"/>
  <c r="BA336" i="2" s="1"/>
  <c r="AC340" i="2"/>
  <c r="AC336" i="2"/>
  <c r="BB336" i="2" s="1"/>
  <c r="AK340" i="2"/>
  <c r="AK336" i="2"/>
  <c r="BJ336" i="2" s="1"/>
  <c r="AM341" i="2"/>
  <c r="AM337" i="2"/>
  <c r="AO342" i="2"/>
  <c r="AO338" i="2"/>
  <c r="AQ339" i="2"/>
  <c r="AQ335" i="2"/>
  <c r="R341" i="2"/>
  <c r="V341" i="2"/>
  <c r="K436" i="35" s="1"/>
  <c r="R338" i="2"/>
  <c r="Z339" i="2"/>
  <c r="Z335" i="2"/>
  <c r="AA339" i="2"/>
  <c r="AA335" i="2"/>
  <c r="AD340" i="2"/>
  <c r="AD336" i="2"/>
  <c r="BC336" i="2" s="1"/>
  <c r="AE340" i="2"/>
  <c r="AE336" i="2"/>
  <c r="BD336" i="2" s="1"/>
  <c r="AF340" i="2"/>
  <c r="AF336" i="2"/>
  <c r="BE336" i="2" s="1"/>
  <c r="AG340" i="2"/>
  <c r="AG336" i="2"/>
  <c r="BF336" i="2" s="1"/>
  <c r="AH341" i="2"/>
  <c r="AH337" i="2"/>
  <c r="AI342" i="2"/>
  <c r="AI338" i="2"/>
  <c r="AJ339" i="2"/>
  <c r="AJ335" i="2"/>
  <c r="AL340" i="2"/>
  <c r="AL336" i="2"/>
  <c r="BK336" i="2" s="1"/>
  <c r="AN341" i="2"/>
  <c r="AN337" i="2"/>
  <c r="AP342" i="2"/>
  <c r="AP338" i="2"/>
  <c r="AR339" i="2"/>
  <c r="AR335" i="2"/>
  <c r="AS340" i="2"/>
  <c r="AS336" i="2"/>
  <c r="BR336" i="2" s="1"/>
  <c r="R340" i="2"/>
  <c r="V340" i="2"/>
  <c r="F436" i="35" s="1"/>
  <c r="W342" i="2"/>
  <c r="W338" i="2"/>
  <c r="X342" i="2"/>
  <c r="X338" i="2"/>
  <c r="Y342" i="2"/>
  <c r="Y338" i="2"/>
  <c r="AB339" i="2"/>
  <c r="AB335" i="2"/>
  <c r="AC339" i="2"/>
  <c r="AC335" i="2"/>
  <c r="AK339" i="2"/>
  <c r="AK335" i="2"/>
  <c r="AM340" i="2"/>
  <c r="AM336" i="2"/>
  <c r="AO341" i="2"/>
  <c r="AO337" i="2"/>
  <c r="AQ342" i="2"/>
  <c r="AQ338" i="2"/>
  <c r="V339" i="2"/>
  <c r="L436" i="35" s="1"/>
  <c r="R337" i="2"/>
  <c r="Z342" i="2"/>
  <c r="Z338" i="2"/>
  <c r="AA342" i="2"/>
  <c r="AA338" i="2"/>
  <c r="AD339" i="2"/>
  <c r="AD335" i="2"/>
  <c r="AE339" i="2"/>
  <c r="AE335" i="2"/>
  <c r="AF339" i="2"/>
  <c r="AF335" i="2"/>
  <c r="AG339" i="2"/>
  <c r="AG335" i="2"/>
  <c r="AH340" i="2"/>
  <c r="AH336" i="2"/>
  <c r="BG336" i="2" s="1"/>
  <c r="AI341" i="2"/>
  <c r="AI337" i="2"/>
  <c r="AJ342" i="2"/>
  <c r="AJ338" i="2"/>
  <c r="AL339" i="2"/>
  <c r="AL335" i="2"/>
  <c r="AN340" i="2"/>
  <c r="AN336" i="2"/>
  <c r="BM336" i="2" s="1"/>
  <c r="AP341" i="2"/>
  <c r="AP337" i="2"/>
  <c r="AR342" i="2"/>
  <c r="AR338" i="2"/>
  <c r="AS339" i="2"/>
  <c r="AS335" i="2"/>
  <c r="V338" i="2"/>
  <c r="O436" i="35" s="1"/>
  <c r="W341" i="2"/>
  <c r="W337" i="2"/>
  <c r="X341" i="2"/>
  <c r="X337" i="2"/>
  <c r="Y341" i="2"/>
  <c r="Y337" i="2"/>
  <c r="AB342" i="2"/>
  <c r="AB338" i="2"/>
  <c r="AC342" i="2"/>
  <c r="AC338" i="2"/>
  <c r="AO336" i="2"/>
  <c r="BN336" i="2" s="1"/>
  <c r="AQ337"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R313" i="2"/>
  <c r="R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1" i="2"/>
  <c r="AS311" i="2"/>
  <c r="BR311" i="2" s="1"/>
  <c r="AR311" i="2"/>
  <c r="BQ311" i="2" s="1"/>
  <c r="AQ311" i="2"/>
  <c r="BP311" i="2" s="1"/>
  <c r="AP311" i="2"/>
  <c r="BO311" i="2" s="1"/>
  <c r="AO311" i="2"/>
  <c r="BN311" i="2" s="1"/>
  <c r="AN311" i="2"/>
  <c r="BM311" i="2" s="1"/>
  <c r="AM311" i="2"/>
  <c r="BL311" i="2" s="1"/>
  <c r="AL311" i="2"/>
  <c r="BK311" i="2" s="1"/>
  <c r="AK311" i="2"/>
  <c r="BJ311" i="2" s="1"/>
  <c r="AJ311" i="2"/>
  <c r="BI311" i="2" s="1"/>
  <c r="AI311" i="2"/>
  <c r="BH311" i="2" s="1"/>
  <c r="AH311" i="2"/>
  <c r="BG311" i="2" s="1"/>
  <c r="AG311" i="2"/>
  <c r="BF311" i="2" s="1"/>
  <c r="AF311" i="2"/>
  <c r="BE311" i="2" s="1"/>
  <c r="AE311" i="2"/>
  <c r="BD311" i="2" s="1"/>
  <c r="AD311" i="2"/>
  <c r="BC311" i="2" s="1"/>
  <c r="AC311" i="2"/>
  <c r="BB311" i="2" s="1"/>
  <c r="AB311" i="2"/>
  <c r="BA311" i="2" s="1"/>
  <c r="AA311" i="2"/>
  <c r="AZ311" i="2" s="1"/>
  <c r="Z311" i="2"/>
  <c r="AY311" i="2" s="1"/>
  <c r="Y311" i="2"/>
  <c r="AX311" i="2" s="1"/>
  <c r="X311" i="2"/>
  <c r="AW311" i="2" s="1"/>
  <c r="W311" i="2"/>
  <c r="AV311" i="2" s="1"/>
  <c r="R310" i="2"/>
  <c r="V310" i="2"/>
  <c r="AS310" i="2"/>
  <c r="AR310" i="2"/>
  <c r="AQ310" i="2"/>
  <c r="AP310" i="2"/>
  <c r="AO310" i="2"/>
  <c r="AN310" i="2"/>
  <c r="AM310" i="2"/>
  <c r="AL310" i="2"/>
  <c r="AK310" i="2"/>
  <c r="AJ310" i="2"/>
  <c r="AI310" i="2"/>
  <c r="AH310" i="2"/>
  <c r="AG310" i="2"/>
  <c r="AF310" i="2"/>
  <c r="AE310" i="2"/>
  <c r="AD310" i="2"/>
  <c r="AC310" i="2"/>
  <c r="AB310" i="2"/>
  <c r="AA310" i="2"/>
  <c r="Z310" i="2"/>
  <c r="Y310" i="2"/>
  <c r="X310" i="2"/>
  <c r="W310" i="2"/>
  <c r="V309" i="2"/>
  <c r="AS309" i="2"/>
  <c r="AR309" i="2"/>
  <c r="AQ309" i="2"/>
  <c r="AP309" i="2"/>
  <c r="AO309" i="2"/>
  <c r="AN309" i="2"/>
  <c r="AM309" i="2"/>
  <c r="AL309" i="2"/>
  <c r="AK309" i="2"/>
  <c r="AJ309" i="2"/>
  <c r="AI309" i="2"/>
  <c r="AH309" i="2"/>
  <c r="AG309" i="2"/>
  <c r="AF309" i="2"/>
  <c r="AE309" i="2"/>
  <c r="AD309" i="2"/>
  <c r="AC309" i="2"/>
  <c r="AB309" i="2"/>
  <c r="AA309" i="2"/>
  <c r="Z309" i="2"/>
  <c r="Y309" i="2"/>
  <c r="X309" i="2"/>
  <c r="W309" i="2"/>
  <c r="R309" i="2"/>
  <c r="R308" i="2"/>
  <c r="AS308" i="2"/>
  <c r="AR308" i="2"/>
  <c r="AQ308" i="2"/>
  <c r="AP308" i="2"/>
  <c r="AO308" i="2"/>
  <c r="AN308" i="2"/>
  <c r="AM308" i="2"/>
  <c r="AL308" i="2"/>
  <c r="AK308" i="2"/>
  <c r="AJ308" i="2"/>
  <c r="AI308" i="2"/>
  <c r="AH308" i="2"/>
  <c r="AG308" i="2"/>
  <c r="AF308" i="2"/>
  <c r="AE308" i="2"/>
  <c r="AD308" i="2"/>
  <c r="AC308" i="2"/>
  <c r="AB308" i="2"/>
  <c r="AA308" i="2"/>
  <c r="Z308" i="2"/>
  <c r="Y308" i="2"/>
  <c r="X308" i="2"/>
  <c r="W308" i="2"/>
  <c r="V308" i="2"/>
  <c r="I424" i="35" s="1"/>
  <c r="V312" i="2"/>
  <c r="AN275" i="2"/>
  <c r="V275" i="2"/>
  <c r="Z275" i="2"/>
  <c r="AS275" i="2"/>
  <c r="W238" i="2"/>
  <c r="X240" i="2"/>
  <c r="X236" i="2"/>
  <c r="Y238" i="2"/>
  <c r="AB237" i="2"/>
  <c r="AC239" i="2"/>
  <c r="AK239" i="2"/>
  <c r="AM240" i="2"/>
  <c r="AM236" i="2"/>
  <c r="AO237" i="2"/>
  <c r="AQ238" i="2"/>
  <c r="V236" i="2"/>
  <c r="K437" i="35" s="1"/>
  <c r="R237" i="2"/>
  <c r="Z240" i="2"/>
  <c r="Z236" i="2"/>
  <c r="AA238" i="2"/>
  <c r="AD237" i="2"/>
  <c r="AE239" i="2"/>
  <c r="AF237" i="2"/>
  <c r="AG239" i="2"/>
  <c r="AH238" i="2"/>
  <c r="AI237" i="2"/>
  <c r="AJ240" i="2"/>
  <c r="AJ236" i="2"/>
  <c r="AL237" i="2"/>
  <c r="AN238" i="2"/>
  <c r="AP239" i="2"/>
  <c r="AR240" i="2"/>
  <c r="AR236" i="2"/>
  <c r="AS239" i="2"/>
  <c r="W237" i="2"/>
  <c r="X239" i="2"/>
  <c r="Y237" i="2"/>
  <c r="AB240" i="2"/>
  <c r="AB236" i="2"/>
  <c r="AC238" i="2"/>
  <c r="AK238" i="2"/>
  <c r="AM239" i="2"/>
  <c r="AO240" i="2"/>
  <c r="AO236" i="2"/>
  <c r="AQ237" i="2"/>
  <c r="R240" i="2"/>
  <c r="R236" i="2"/>
  <c r="Z239" i="2"/>
  <c r="AA237" i="2"/>
  <c r="AD240" i="2"/>
  <c r="AD236" i="2"/>
  <c r="AE238" i="2"/>
  <c r="AF240" i="2"/>
  <c r="AF236" i="2"/>
  <c r="AG238" i="2"/>
  <c r="AH237" i="2"/>
  <c r="AI240" i="2"/>
  <c r="AI236" i="2"/>
  <c r="AJ239" i="2"/>
  <c r="AL240" i="2"/>
  <c r="AL236" i="2"/>
  <c r="AN237" i="2"/>
  <c r="AP238" i="2"/>
  <c r="AR239" i="2"/>
  <c r="AS238" i="2"/>
  <c r="W240" i="2"/>
  <c r="W236" i="2"/>
  <c r="X238" i="2"/>
  <c r="Y240" i="2"/>
  <c r="Y236" i="2"/>
  <c r="AB239" i="2"/>
  <c r="AC237" i="2"/>
  <c r="AK237" i="2"/>
  <c r="AM238" i="2"/>
  <c r="AO239" i="2"/>
  <c r="AQ240" i="2"/>
  <c r="AQ236" i="2"/>
  <c r="V240" i="2"/>
  <c r="R239" i="2"/>
  <c r="Z238" i="2"/>
  <c r="AA240" i="2"/>
  <c r="AA236" i="2"/>
  <c r="AD239" i="2"/>
  <c r="AE237" i="2"/>
  <c r="AF239" i="2"/>
  <c r="AG237" i="2"/>
  <c r="AH240" i="2"/>
  <c r="AH236" i="2"/>
  <c r="AI239" i="2"/>
  <c r="AJ238" i="2"/>
  <c r="AL239" i="2"/>
  <c r="AN240" i="2"/>
  <c r="AN236" i="2"/>
  <c r="AP237" i="2"/>
  <c r="AR238" i="2"/>
  <c r="AS237" i="2"/>
  <c r="V239" i="2"/>
  <c r="W239" i="2"/>
  <c r="X237" i="2"/>
  <c r="Y239" i="2"/>
  <c r="AB238" i="2"/>
  <c r="AC240" i="2"/>
  <c r="AC236" i="2"/>
  <c r="AK240" i="2"/>
  <c r="AK236" i="2"/>
  <c r="AM237" i="2"/>
  <c r="AO238" i="2"/>
  <c r="AQ239" i="2"/>
  <c r="V238" i="2"/>
  <c r="R238" i="2"/>
  <c r="Z237" i="2"/>
  <c r="AA239" i="2"/>
  <c r="AD238" i="2"/>
  <c r="AE240" i="2"/>
  <c r="AE236" i="2"/>
  <c r="AF238" i="2"/>
  <c r="AG240" i="2"/>
  <c r="AG236" i="2"/>
  <c r="AH239" i="2"/>
  <c r="AI238" i="2"/>
  <c r="AJ237" i="2"/>
  <c r="AP240" i="2"/>
  <c r="AP236" i="2"/>
  <c r="AR237" i="2"/>
  <c r="W209" i="2"/>
  <c r="X210" i="2"/>
  <c r="Y211" i="2"/>
  <c r="AX211" i="2" s="1"/>
  <c r="Z212" i="2"/>
  <c r="AY212" i="2" s="1"/>
  <c r="AA209" i="2"/>
  <c r="AB210" i="2"/>
  <c r="AC211" i="2"/>
  <c r="BB211" i="2" s="1"/>
  <c r="AD212" i="2"/>
  <c r="BC212" i="2" s="1"/>
  <c r="AE209" i="2"/>
  <c r="AF210" i="2"/>
  <c r="AG211" i="2"/>
  <c r="BF211" i="2" s="1"/>
  <c r="AH212" i="2"/>
  <c r="BG212" i="2" s="1"/>
  <c r="AI209" i="2"/>
  <c r="AJ210" i="2"/>
  <c r="AK211" i="2"/>
  <c r="BJ211" i="2" s="1"/>
  <c r="AL212" i="2"/>
  <c r="BK212" i="2" s="1"/>
  <c r="AM209" i="2"/>
  <c r="AN210" i="2"/>
  <c r="AO211" i="2"/>
  <c r="BN211" i="2" s="1"/>
  <c r="AP212" i="2"/>
  <c r="BO212" i="2" s="1"/>
  <c r="AQ209" i="2"/>
  <c r="AR210" i="2"/>
  <c r="AS211" i="2"/>
  <c r="BR211" i="2" s="1"/>
  <c r="V209" i="2"/>
  <c r="R210" i="2"/>
  <c r="W212" i="2"/>
  <c r="AV212" i="2" s="1"/>
  <c r="X209" i="2"/>
  <c r="Y210" i="2"/>
  <c r="Z211" i="2"/>
  <c r="AY211" i="2" s="1"/>
  <c r="AA212" i="2"/>
  <c r="AZ212" i="2" s="1"/>
  <c r="AB209" i="2"/>
  <c r="AC210" i="2"/>
  <c r="AD211" i="2"/>
  <c r="BC211" i="2" s="1"/>
  <c r="AE212" i="2"/>
  <c r="BD212" i="2" s="1"/>
  <c r="AF209" i="2"/>
  <c r="AG210" i="2"/>
  <c r="AH211" i="2"/>
  <c r="BG211" i="2" s="1"/>
  <c r="AI212" i="2"/>
  <c r="BH212" i="2" s="1"/>
  <c r="AJ209" i="2"/>
  <c r="AK210" i="2"/>
  <c r="AL211" i="2"/>
  <c r="BK211" i="2" s="1"/>
  <c r="AM212" i="2"/>
  <c r="BL212" i="2" s="1"/>
  <c r="AN209" i="2"/>
  <c r="AO210" i="2"/>
  <c r="AP211" i="2"/>
  <c r="BO211" i="2" s="1"/>
  <c r="AQ212" i="2"/>
  <c r="BP212" i="2" s="1"/>
  <c r="AR209" i="2"/>
  <c r="AS210" i="2"/>
  <c r="R209" i="2"/>
  <c r="W211" i="2"/>
  <c r="AV211" i="2" s="1"/>
  <c r="X212" i="2"/>
  <c r="AW212" i="2" s="1"/>
  <c r="Y209" i="2"/>
  <c r="Z210" i="2"/>
  <c r="AA211" i="2"/>
  <c r="AZ211" i="2" s="1"/>
  <c r="AB212" i="2"/>
  <c r="BA212" i="2" s="1"/>
  <c r="AC209" i="2"/>
  <c r="AD210" i="2"/>
  <c r="AE211" i="2"/>
  <c r="BD211" i="2" s="1"/>
  <c r="AF212" i="2"/>
  <c r="BE212" i="2" s="1"/>
  <c r="AG209" i="2"/>
  <c r="AH210" i="2"/>
  <c r="AI211" i="2"/>
  <c r="BH211" i="2" s="1"/>
  <c r="AJ212" i="2"/>
  <c r="BI212" i="2" s="1"/>
  <c r="AK209" i="2"/>
  <c r="AL210" i="2"/>
  <c r="AM211" i="2"/>
  <c r="BL211" i="2" s="1"/>
  <c r="AN212" i="2"/>
  <c r="BM212" i="2" s="1"/>
  <c r="AO209" i="2"/>
  <c r="AP210" i="2"/>
  <c r="AQ211" i="2"/>
  <c r="BP211" i="2" s="1"/>
  <c r="AR212" i="2"/>
  <c r="BQ212" i="2" s="1"/>
  <c r="AS209" i="2"/>
  <c r="V212" i="2"/>
  <c r="W210" i="2"/>
  <c r="X211" i="2"/>
  <c r="AW211" i="2" s="1"/>
  <c r="Y212" i="2"/>
  <c r="AX212" i="2" s="1"/>
  <c r="Z209" i="2"/>
  <c r="AA210" i="2"/>
  <c r="AB211" i="2"/>
  <c r="BA211" i="2" s="1"/>
  <c r="AC212" i="2"/>
  <c r="BB212" i="2" s="1"/>
  <c r="AD209" i="2"/>
  <c r="AE210" i="2"/>
  <c r="AF211" i="2"/>
  <c r="BE211" i="2" s="1"/>
  <c r="AG212" i="2"/>
  <c r="BF212" i="2" s="1"/>
  <c r="AH209" i="2"/>
  <c r="AI210" i="2"/>
  <c r="AJ211" i="2"/>
  <c r="BI211" i="2" s="1"/>
  <c r="AK212" i="2"/>
  <c r="BJ212" i="2" s="1"/>
  <c r="AL209" i="2"/>
  <c r="AM210" i="2"/>
  <c r="AN211" i="2"/>
  <c r="BM211" i="2" s="1"/>
  <c r="AO212" i="2"/>
  <c r="BN212" i="2" s="1"/>
  <c r="AQ210" i="2"/>
  <c r="AR211" i="2"/>
  <c r="BQ211" i="2" s="1"/>
  <c r="AS212" i="2"/>
  <c r="BR212" i="2" s="1"/>
  <c r="V211" i="2"/>
  <c r="AL170" i="2"/>
  <c r="AR174" i="2"/>
  <c r="AE170" i="2"/>
  <c r="AR173" i="2"/>
  <c r="AR172" i="2"/>
  <c r="AR166" i="2"/>
  <c r="X138" i="2"/>
  <c r="Z141" i="2"/>
  <c r="AB140" i="2"/>
  <c r="AD139" i="2"/>
  <c r="AF138" i="2"/>
  <c r="R140" i="2"/>
  <c r="AD137" i="2"/>
  <c r="W138" i="2"/>
  <c r="AE138" i="2"/>
  <c r="AJ141" i="2"/>
  <c r="AK141" i="2"/>
  <c r="AL141" i="2"/>
  <c r="AM141" i="2"/>
  <c r="AN141" i="2"/>
  <c r="AO141" i="2"/>
  <c r="AP141" i="2"/>
  <c r="AQ141" i="2"/>
  <c r="AS140" i="2"/>
  <c r="AA137" i="2"/>
  <c r="X141" i="2"/>
  <c r="Z140" i="2"/>
  <c r="AB139" i="2"/>
  <c r="AD138" i="2"/>
  <c r="AF141" i="2"/>
  <c r="V141" i="2"/>
  <c r="R139" i="2"/>
  <c r="X137" i="2"/>
  <c r="AR140" i="2"/>
  <c r="W141" i="2"/>
  <c r="Y140" i="2"/>
  <c r="AA139" i="2"/>
  <c r="AC138" i="2"/>
  <c r="AE141" i="2"/>
  <c r="AG140" i="2"/>
  <c r="AH140" i="2"/>
  <c r="AI140" i="2"/>
  <c r="AJ140" i="2"/>
  <c r="AK140" i="2"/>
  <c r="AL140" i="2"/>
  <c r="AM140" i="2"/>
  <c r="AN140" i="2"/>
  <c r="AO140" i="2"/>
  <c r="AP140" i="2"/>
  <c r="AQ140" i="2"/>
  <c r="AS139" i="2"/>
  <c r="V140" i="2"/>
  <c r="E438" i="35" s="1"/>
  <c r="X140" i="2"/>
  <c r="Z139" i="2"/>
  <c r="AB138" i="2"/>
  <c r="AD141" i="2"/>
  <c r="AF140" i="2"/>
  <c r="V139" i="2"/>
  <c r="I438" i="35" s="1"/>
  <c r="R138" i="2"/>
  <c r="Z137" i="2"/>
  <c r="Q150" i="2"/>
  <c r="AR139" i="2"/>
  <c r="W140" i="2"/>
  <c r="Y139" i="2"/>
  <c r="AA138" i="2"/>
  <c r="AC141" i="2"/>
  <c r="AE140" i="2"/>
  <c r="AG139" i="2"/>
  <c r="AH139" i="2"/>
  <c r="AI139" i="2"/>
  <c r="AJ139" i="2"/>
  <c r="AK139" i="2"/>
  <c r="AL139" i="2"/>
  <c r="AM139" i="2"/>
  <c r="AN139" i="2"/>
  <c r="AO139" i="2"/>
  <c r="AP139" i="2"/>
  <c r="AQ139" i="2"/>
  <c r="AS138" i="2"/>
  <c r="V138" i="2"/>
  <c r="K438" i="35" s="1"/>
  <c r="V137" i="2"/>
  <c r="P438" i="35" s="1"/>
  <c r="X139" i="2"/>
  <c r="Z138" i="2"/>
  <c r="AB141" i="2"/>
  <c r="AD140" i="2"/>
  <c r="AF139" i="2"/>
  <c r="R141" i="2"/>
  <c r="AR138" i="2"/>
  <c r="W139" i="2"/>
  <c r="Y138" i="2"/>
  <c r="AA141" i="2"/>
  <c r="AG138" i="2"/>
  <c r="AH138" i="2"/>
  <c r="AI138" i="2"/>
  <c r="AJ138" i="2"/>
  <c r="AK138" i="2"/>
  <c r="AL138" i="2"/>
  <c r="AM138" i="2"/>
  <c r="AN138" i="2"/>
  <c r="AO138" i="2"/>
  <c r="AP138" i="2"/>
  <c r="R137" i="2"/>
  <c r="AR113" i="2"/>
  <c r="W111" i="2"/>
  <c r="AV111" i="2" s="1"/>
  <c r="X113" i="2"/>
  <c r="Y111" i="2"/>
  <c r="AX111" i="2" s="1"/>
  <c r="Z113" i="2"/>
  <c r="AA111" i="2"/>
  <c r="AZ111" i="2" s="1"/>
  <c r="AB113" i="2"/>
  <c r="AC111" i="2"/>
  <c r="BB111" i="2" s="1"/>
  <c r="AD113" i="2"/>
  <c r="AE111" i="2"/>
  <c r="BD111" i="2" s="1"/>
  <c r="AF113" i="2"/>
  <c r="AG111" i="2"/>
  <c r="BF111" i="2" s="1"/>
  <c r="AH113" i="2"/>
  <c r="AI111" i="2"/>
  <c r="BH111" i="2" s="1"/>
  <c r="AJ113" i="2"/>
  <c r="AK111" i="2"/>
  <c r="BJ111" i="2" s="1"/>
  <c r="AL113" i="2"/>
  <c r="AM111" i="2"/>
  <c r="BL111" i="2" s="1"/>
  <c r="AN113" i="2"/>
  <c r="AO111" i="2"/>
  <c r="BN111" i="2" s="1"/>
  <c r="AP113" i="2"/>
  <c r="AQ111" i="2"/>
  <c r="BP111" i="2" s="1"/>
  <c r="AS110" i="2"/>
  <c r="V113" i="2"/>
  <c r="R110" i="2"/>
  <c r="V112" i="2"/>
  <c r="AR112" i="2"/>
  <c r="W110" i="2"/>
  <c r="X112" i="2"/>
  <c r="Y110" i="2"/>
  <c r="Z112" i="2"/>
  <c r="AA110" i="2"/>
  <c r="AB112" i="2"/>
  <c r="AC110" i="2"/>
  <c r="AD112" i="2"/>
  <c r="AE110" i="2"/>
  <c r="AF112" i="2"/>
  <c r="AG110" i="2"/>
  <c r="AH112" i="2"/>
  <c r="AI110" i="2"/>
  <c r="AJ112" i="2"/>
  <c r="AK110" i="2"/>
  <c r="AL112" i="2"/>
  <c r="AM110" i="2"/>
  <c r="AN112" i="2"/>
  <c r="AO110" i="2"/>
  <c r="AP112" i="2"/>
  <c r="AQ110" i="2"/>
  <c r="AS113" i="2"/>
  <c r="V111" i="2"/>
  <c r="R113" i="2"/>
  <c r="V110" i="2"/>
  <c r="AR111" i="2"/>
  <c r="BQ111" i="2" s="1"/>
  <c r="W113" i="2"/>
  <c r="X111" i="2"/>
  <c r="AW111" i="2" s="1"/>
  <c r="Y113" i="2"/>
  <c r="Z111" i="2"/>
  <c r="AY111" i="2" s="1"/>
  <c r="AA113" i="2"/>
  <c r="AB111" i="2"/>
  <c r="BA111" i="2" s="1"/>
  <c r="AC113" i="2"/>
  <c r="AD111" i="2"/>
  <c r="BC111" i="2" s="1"/>
  <c r="AE113" i="2"/>
  <c r="AF111" i="2"/>
  <c r="BE111" i="2" s="1"/>
  <c r="AG113" i="2"/>
  <c r="AH111" i="2"/>
  <c r="BG111" i="2" s="1"/>
  <c r="AI113" i="2"/>
  <c r="AJ111" i="2"/>
  <c r="BI111" i="2" s="1"/>
  <c r="AK113" i="2"/>
  <c r="AL111" i="2"/>
  <c r="BK111" i="2" s="1"/>
  <c r="AM113" i="2"/>
  <c r="AN111" i="2"/>
  <c r="BM111" i="2" s="1"/>
  <c r="AO113" i="2"/>
  <c r="AP111" i="2"/>
  <c r="BO111" i="2" s="1"/>
  <c r="AS112" i="2"/>
  <c r="R112" i="2"/>
  <c r="AR110" i="2"/>
  <c r="W112" i="2"/>
  <c r="X110" i="2"/>
  <c r="Y112" i="2"/>
  <c r="Z110" i="2"/>
  <c r="AA112" i="2"/>
  <c r="AB110" i="2"/>
  <c r="AC112" i="2"/>
  <c r="AD110" i="2"/>
  <c r="AE112" i="2"/>
  <c r="AF110" i="2"/>
  <c r="AG112" i="2"/>
  <c r="AH110" i="2"/>
  <c r="AI112" i="2"/>
  <c r="AJ110" i="2"/>
  <c r="AK112" i="2"/>
  <c r="AL110" i="2"/>
  <c r="AM112" i="2"/>
  <c r="AN110" i="2"/>
  <c r="AO112" i="2"/>
  <c r="AS111" i="2"/>
  <c r="BR111" i="2" s="1"/>
  <c r="X69" i="2"/>
  <c r="AA69" i="2"/>
  <c r="AR69" i="2"/>
  <c r="AI69" i="2"/>
  <c r="AM69" i="2"/>
  <c r="AP69" i="2"/>
  <c r="AC69" i="2"/>
  <c r="AF69" i="2"/>
  <c r="W69" i="2"/>
  <c r="Z69" i="2"/>
  <c r="AL69" i="2"/>
  <c r="AH69" i="2"/>
  <c r="AK69" i="2"/>
  <c r="AL64" i="2"/>
  <c r="AO69" i="2"/>
  <c r="Y69" i="2"/>
  <c r="AB69" i="2"/>
  <c r="AE69" i="2"/>
  <c r="AK64" i="2"/>
  <c r="V69" i="2"/>
  <c r="AJ69" i="2"/>
  <c r="AQ69" i="2"/>
  <c r="AS69" i="2"/>
  <c r="R69" i="2"/>
  <c r="AD69" i="2"/>
  <c r="AG69" i="2"/>
  <c r="AJ64" i="2"/>
  <c r="X41" i="2"/>
  <c r="Z38" i="2"/>
  <c r="AB39" i="2"/>
  <c r="AD40" i="2"/>
  <c r="AF41" i="2"/>
  <c r="AG38" i="2"/>
  <c r="AH39" i="2"/>
  <c r="AI40" i="2"/>
  <c r="AJ41" i="2"/>
  <c r="AK38" i="2"/>
  <c r="AL39" i="2"/>
  <c r="AM40" i="2"/>
  <c r="AN41" i="2"/>
  <c r="AO38" i="2"/>
  <c r="AP39" i="2"/>
  <c r="AQ40" i="2"/>
  <c r="AR40" i="2"/>
  <c r="AS41" i="2"/>
  <c r="V41" i="2"/>
  <c r="D439" i="35" s="1"/>
  <c r="R39" i="2"/>
  <c r="W40" i="2"/>
  <c r="Y41" i="2"/>
  <c r="AA38" i="2"/>
  <c r="AC39" i="2"/>
  <c r="AE40" i="2"/>
  <c r="V40" i="2"/>
  <c r="P439" i="35" s="1"/>
  <c r="X40" i="2"/>
  <c r="Z41" i="2"/>
  <c r="AB38" i="2"/>
  <c r="AD39" i="2"/>
  <c r="AF40" i="2"/>
  <c r="AG41" i="2"/>
  <c r="AH38" i="2"/>
  <c r="AI39" i="2"/>
  <c r="AJ40" i="2"/>
  <c r="AK41" i="2"/>
  <c r="AL38" i="2"/>
  <c r="AM39" i="2"/>
  <c r="AN40" i="2"/>
  <c r="AO41" i="2"/>
  <c r="AP38" i="2"/>
  <c r="AQ39" i="2"/>
  <c r="AR39" i="2"/>
  <c r="AS40" i="2"/>
  <c r="V39" i="2"/>
  <c r="H439" i="35" s="1"/>
  <c r="R38" i="2"/>
  <c r="W39" i="2"/>
  <c r="Y40" i="2"/>
  <c r="AA41" i="2"/>
  <c r="AC38" i="2"/>
  <c r="AE39" i="2"/>
  <c r="V38" i="2"/>
  <c r="K439" i="35" s="1"/>
  <c r="X39" i="2"/>
  <c r="Z40" i="2"/>
  <c r="AB41" i="2"/>
  <c r="AD38" i="2"/>
  <c r="AF39" i="2"/>
  <c r="AG40" i="2"/>
  <c r="AH41" i="2"/>
  <c r="AI38" i="2"/>
  <c r="AJ39" i="2"/>
  <c r="AK40" i="2"/>
  <c r="AL41" i="2"/>
  <c r="AM38" i="2"/>
  <c r="AN39" i="2"/>
  <c r="AO40" i="2"/>
  <c r="AP41" i="2"/>
  <c r="AQ38" i="2"/>
  <c r="AR38" i="2"/>
  <c r="AS39" i="2"/>
  <c r="R41" i="2"/>
  <c r="W38" i="2"/>
  <c r="Y39" i="2"/>
  <c r="AA40" i="2"/>
  <c r="AC41" i="2"/>
  <c r="AE38" i="2"/>
  <c r="X38" i="2"/>
  <c r="Z39" i="2"/>
  <c r="AB40" i="2"/>
  <c r="AD41" i="2"/>
  <c r="AF38" i="2"/>
  <c r="AG39" i="2"/>
  <c r="AH40" i="2"/>
  <c r="AI41" i="2"/>
  <c r="AJ38" i="2"/>
  <c r="AK39" i="2"/>
  <c r="AL40" i="2"/>
  <c r="AM41" i="2"/>
  <c r="AN38" i="2"/>
  <c r="AO39" i="2"/>
  <c r="AP40" i="2"/>
  <c r="AQ41" i="2"/>
  <c r="AR41" i="2"/>
  <c r="AS38" i="2"/>
  <c r="R40" i="2"/>
  <c r="W41" i="2"/>
  <c r="W14" i="2"/>
  <c r="V12" i="2"/>
  <c r="X14" i="2"/>
  <c r="Y15" i="2"/>
  <c r="Y11" i="2"/>
  <c r="Z16" i="2"/>
  <c r="Z12" i="2"/>
  <c r="AA13" i="2"/>
  <c r="AB14" i="2"/>
  <c r="AC15" i="2"/>
  <c r="AC11" i="2"/>
  <c r="AD16" i="2"/>
  <c r="AD12" i="2"/>
  <c r="AE13" i="2"/>
  <c r="AF14" i="2"/>
  <c r="AG15" i="2"/>
  <c r="AG11" i="2"/>
  <c r="AH16" i="2"/>
  <c r="AH12" i="2"/>
  <c r="AI13" i="2"/>
  <c r="AJ14" i="2"/>
  <c r="AK15" i="2"/>
  <c r="AK11" i="2"/>
  <c r="AL16" i="2"/>
  <c r="AL12" i="2"/>
  <c r="AM13" i="2"/>
  <c r="AN14" i="2"/>
  <c r="AO15" i="2"/>
  <c r="AO11" i="2"/>
  <c r="AP16" i="2"/>
  <c r="AP12" i="2"/>
  <c r="AQ13" i="2"/>
  <c r="AR13" i="2"/>
  <c r="AS14" i="2"/>
  <c r="V11" i="2"/>
  <c r="P433" i="35" s="1"/>
  <c r="R14" i="2"/>
  <c r="W13" i="2"/>
  <c r="X13" i="2"/>
  <c r="Y14" i="2"/>
  <c r="Z15" i="2"/>
  <c r="AY15" i="2" s="1"/>
  <c r="Z11" i="2"/>
  <c r="AA16" i="2"/>
  <c r="AA12" i="2"/>
  <c r="AB13" i="2"/>
  <c r="AC14" i="2"/>
  <c r="AD15" i="2"/>
  <c r="AD11" i="2"/>
  <c r="AE16" i="2"/>
  <c r="AE12" i="2"/>
  <c r="AF13" i="2"/>
  <c r="AG14" i="2"/>
  <c r="AH15" i="2"/>
  <c r="AH11" i="2"/>
  <c r="AI16" i="2"/>
  <c r="AI12" i="2"/>
  <c r="AJ13" i="2"/>
  <c r="AK14" i="2"/>
  <c r="AL15" i="2"/>
  <c r="AL11" i="2"/>
  <c r="AM16" i="2"/>
  <c r="AM12" i="2"/>
  <c r="AN13" i="2"/>
  <c r="AO14" i="2"/>
  <c r="AP15" i="2"/>
  <c r="BO15" i="2" s="1"/>
  <c r="AP11" i="2"/>
  <c r="AQ16" i="2"/>
  <c r="AQ12" i="2"/>
  <c r="AR16" i="2"/>
  <c r="AR12" i="2"/>
  <c r="AS13" i="2"/>
  <c r="R13" i="2"/>
  <c r="W16" i="2"/>
  <c r="W12" i="2"/>
  <c r="V16" i="2"/>
  <c r="X16" i="2"/>
  <c r="X12" i="2"/>
  <c r="Y13" i="2"/>
  <c r="Z14" i="2"/>
  <c r="AA15" i="2"/>
  <c r="AA11" i="2"/>
  <c r="AB16" i="2"/>
  <c r="AB12" i="2"/>
  <c r="AC13" i="2"/>
  <c r="AD14" i="2"/>
  <c r="AE15" i="2"/>
  <c r="AE11" i="2"/>
  <c r="AF16" i="2"/>
  <c r="AF12" i="2"/>
  <c r="AG13" i="2"/>
  <c r="AH14" i="2"/>
  <c r="AI15" i="2"/>
  <c r="AI11" i="2"/>
  <c r="AJ16" i="2"/>
  <c r="AJ12" i="2"/>
  <c r="AK13" i="2"/>
  <c r="AL14" i="2"/>
  <c r="AM15" i="2"/>
  <c r="AM11" i="2"/>
  <c r="AN16" i="2"/>
  <c r="AN12" i="2"/>
  <c r="AO13" i="2"/>
  <c r="AP14" i="2"/>
  <c r="AQ15" i="2"/>
  <c r="AQ11" i="2"/>
  <c r="AR15" i="2"/>
  <c r="AR11" i="2"/>
  <c r="AS16" i="2"/>
  <c r="AS12" i="2"/>
  <c r="V15" i="2"/>
  <c r="R16" i="2"/>
  <c r="R12" i="2"/>
  <c r="W11" i="2"/>
  <c r="W15" i="2"/>
  <c r="V14" i="2"/>
  <c r="K433" i="35" s="1"/>
  <c r="X15" i="2"/>
  <c r="X11" i="2"/>
  <c r="Y16" i="2"/>
  <c r="Y12" i="2"/>
  <c r="Z13" i="2"/>
  <c r="AA14" i="2"/>
  <c r="AB15" i="2"/>
  <c r="AB11" i="2"/>
  <c r="AC16" i="2"/>
  <c r="AC12" i="2"/>
  <c r="AD13" i="2"/>
  <c r="AE14" i="2"/>
  <c r="AF15" i="2"/>
  <c r="AF11" i="2"/>
  <c r="AG16" i="2"/>
  <c r="AG12" i="2"/>
  <c r="AH13" i="2"/>
  <c r="AI14" i="2"/>
  <c r="AJ15" i="2"/>
  <c r="AJ11" i="2"/>
  <c r="AK16" i="2"/>
  <c r="AK12" i="2"/>
  <c r="AL13" i="2"/>
  <c r="AM14" i="2"/>
  <c r="AN15" i="2"/>
  <c r="AN11" i="2"/>
  <c r="AP13" i="2"/>
  <c r="AQ14" i="2"/>
  <c r="AS15" i="2"/>
  <c r="AS11" i="2"/>
  <c r="W462" i="5"/>
  <c r="AV462" i="5" s="1"/>
  <c r="W459" i="5"/>
  <c r="Z459" i="5"/>
  <c r="AB459" i="5"/>
  <c r="Y459" i="5"/>
  <c r="AN459" i="5"/>
  <c r="AP459" i="5"/>
  <c r="AJ459" i="5"/>
  <c r="AL459" i="5"/>
  <c r="AM459" i="5"/>
  <c r="AO459" i="5"/>
  <c r="R459" i="5"/>
  <c r="U459" i="5" s="1"/>
  <c r="AI459" i="5"/>
  <c r="AK459" i="5"/>
  <c r="AH459" i="5"/>
  <c r="AH479" i="5" s="1"/>
  <c r="AB160" i="36" s="1"/>
  <c r="AB187" i="36" s="1"/>
  <c r="AQ459" i="5"/>
  <c r="AE459" i="5"/>
  <c r="AG459" i="5"/>
  <c r="AS459" i="5"/>
  <c r="W458" i="5"/>
  <c r="W455" i="5"/>
  <c r="G82" i="21"/>
  <c r="W454" i="5"/>
  <c r="AV454" i="5" s="1"/>
  <c r="W453" i="5"/>
  <c r="G76" i="21"/>
  <c r="G83" i="21"/>
  <c r="W358" i="5"/>
  <c r="W357" i="5"/>
  <c r="AV357" i="5" s="1"/>
  <c r="W356" i="5"/>
  <c r="AV356" i="5" s="1"/>
  <c r="W355" i="5"/>
  <c r="AV355" i="5" s="1"/>
  <c r="G63" i="21"/>
  <c r="W354" i="5"/>
  <c r="BM363" i="5"/>
  <c r="BH363" i="5"/>
  <c r="BJ360" i="5"/>
  <c r="BA360" i="5"/>
  <c r="AX360" i="5"/>
  <c r="AV360" i="5"/>
  <c r="BL356" i="5"/>
  <c r="BQ356" i="5"/>
  <c r="BC356" i="5"/>
  <c r="BM355" i="5"/>
  <c r="BH355" i="5"/>
  <c r="G67" i="21"/>
  <c r="G56" i="21"/>
  <c r="G57" i="21"/>
  <c r="G64" i="21"/>
  <c r="G59" i="21"/>
  <c r="BD272" i="5"/>
  <c r="BH272" i="5"/>
  <c r="BQ272" i="5"/>
  <c r="BB272" i="5"/>
  <c r="BG272" i="5"/>
  <c r="AY272" i="5"/>
  <c r="W265" i="5"/>
  <c r="W263" i="5"/>
  <c r="Y381" i="35"/>
  <c r="BQ261" i="5"/>
  <c r="BL261" i="5"/>
  <c r="BM261" i="5"/>
  <c r="BH261" i="5"/>
  <c r="BO261" i="5"/>
  <c r="BI261" i="5"/>
  <c r="BR261" i="5"/>
  <c r="AW261" i="5"/>
  <c r="BD261" i="5"/>
  <c r="BJ261" i="5"/>
  <c r="S261" i="5"/>
  <c r="BB261" i="5"/>
  <c r="BK261" i="5"/>
  <c r="BN261" i="5"/>
  <c r="AQ260" i="5"/>
  <c r="E45" i="21"/>
  <c r="AO260" i="5"/>
  <c r="W259" i="5"/>
  <c r="AV259" i="5" s="1"/>
  <c r="W255" i="5"/>
  <c r="AW272" i="5"/>
  <c r="AX272" i="5"/>
  <c r="BE272" i="5"/>
  <c r="BL272" i="5"/>
  <c r="BC272" i="5"/>
  <c r="BJ272" i="5"/>
  <c r="BM272" i="5"/>
  <c r="BO272" i="5"/>
  <c r="BF272" i="5"/>
  <c r="BK272" i="5"/>
  <c r="AV272" i="5"/>
  <c r="BI272" i="5"/>
  <c r="BA272" i="5"/>
  <c r="BP272" i="5"/>
  <c r="BR272" i="5"/>
  <c r="BA269" i="5"/>
  <c r="BC269" i="5"/>
  <c r="AX269" i="5"/>
  <c r="BJ267" i="5"/>
  <c r="AY267" i="5"/>
  <c r="BL267" i="5"/>
  <c r="G66" i="21"/>
  <c r="G48" i="21"/>
  <c r="C93" i="21"/>
  <c r="F99" i="21"/>
  <c r="G71" i="21"/>
  <c r="G85" i="21"/>
  <c r="G61" i="21"/>
  <c r="G74" i="21"/>
  <c r="G40" i="21"/>
  <c r="C102" i="21"/>
  <c r="G81" i="21"/>
  <c r="D138" i="36"/>
  <c r="D100" i="21"/>
  <c r="D92" i="21"/>
  <c r="C91" i="21"/>
  <c r="D89" i="21"/>
  <c r="F87" i="21"/>
  <c r="G78" i="21"/>
  <c r="D132" i="36"/>
  <c r="D99" i="21"/>
  <c r="D97" i="21"/>
  <c r="D91" i="21"/>
  <c r="D137" i="36"/>
  <c r="BA261" i="5"/>
  <c r="BC261" i="5"/>
  <c r="AX261" i="5"/>
  <c r="AV261" i="5"/>
  <c r="BL259" i="5"/>
  <c r="BJ259" i="5"/>
  <c r="AY259" i="5"/>
  <c r="BH258" i="5"/>
  <c r="AV258" i="5"/>
  <c r="E88" i="21"/>
  <c r="G36" i="21"/>
  <c r="G46" i="21"/>
  <c r="G50" i="21"/>
  <c r="G29" i="21"/>
  <c r="G33" i="21"/>
  <c r="G38" i="21"/>
  <c r="C90" i="21"/>
  <c r="C94" i="21"/>
  <c r="F98" i="21"/>
  <c r="F102" i="21"/>
  <c r="C101" i="21"/>
  <c r="E91" i="21"/>
  <c r="G23" i="21"/>
  <c r="G30" i="21"/>
  <c r="G34" i="21"/>
  <c r="D139" i="36"/>
  <c r="D130" i="36"/>
  <c r="D125" i="36"/>
  <c r="F91" i="21"/>
  <c r="F95" i="21"/>
  <c r="D144" i="36"/>
  <c r="D140" i="36"/>
  <c r="D124" i="36"/>
  <c r="G20" i="21"/>
  <c r="G24" i="21"/>
  <c r="G27" i="21"/>
  <c r="G31" i="21"/>
  <c r="G41" i="21"/>
  <c r="G49" i="21"/>
  <c r="G54" i="21"/>
  <c r="G58" i="21"/>
  <c r="G65" i="21"/>
  <c r="G68" i="21"/>
  <c r="D146" i="36"/>
  <c r="D123" i="36"/>
  <c r="D135" i="36"/>
  <c r="D127" i="36"/>
  <c r="F88" i="21"/>
  <c r="F100" i="21"/>
  <c r="G84" i="21"/>
  <c r="G39" i="21"/>
  <c r="D126" i="36"/>
  <c r="D128" i="36"/>
  <c r="D141" i="36"/>
  <c r="C88" i="21"/>
  <c r="G21" i="21"/>
  <c r="G25" i="21"/>
  <c r="G28" i="21"/>
  <c r="G32" i="21"/>
  <c r="G37" i="21"/>
  <c r="G42" i="21"/>
  <c r="G55" i="21"/>
  <c r="G70" i="21"/>
  <c r="D134" i="36"/>
  <c r="D142" i="36"/>
  <c r="D143" i="36"/>
  <c r="D133" i="36"/>
  <c r="D129" i="36"/>
  <c r="W382" i="35"/>
  <c r="W168" i="5"/>
  <c r="AV168" i="5" s="1"/>
  <c r="AX165" i="5"/>
  <c r="W164" i="5"/>
  <c r="W159" i="5"/>
  <c r="AY157" i="5"/>
  <c r="BC157" i="5"/>
  <c r="BE157" i="5"/>
  <c r="BN157" i="5"/>
  <c r="W157" i="5"/>
  <c r="AV157" i="5" s="1"/>
  <c r="W156" i="5"/>
  <c r="AV158" i="5"/>
  <c r="AX157" i="5"/>
  <c r="BF157" i="5"/>
  <c r="E97" i="21"/>
  <c r="E93" i="21"/>
  <c r="BH68" i="5"/>
  <c r="AW68" i="5"/>
  <c r="AX68" i="5"/>
  <c r="BD68" i="5"/>
  <c r="AZ68" i="5"/>
  <c r="BB68" i="5"/>
  <c r="BC68" i="5"/>
  <c r="BJ68" i="5"/>
  <c r="BF68" i="5"/>
  <c r="BL68" i="5"/>
  <c r="BM68" i="5"/>
  <c r="BN68" i="5"/>
  <c r="AY68" i="5"/>
  <c r="BA68" i="5"/>
  <c r="BQ68" i="5"/>
  <c r="BI68" i="5"/>
  <c r="BK68" i="5"/>
  <c r="BP68" i="5"/>
  <c r="AV67" i="5"/>
  <c r="AV65" i="5"/>
  <c r="BO64" i="5"/>
  <c r="W62" i="5"/>
  <c r="R60" i="5"/>
  <c r="Y60" i="5"/>
  <c r="Z60" i="5"/>
  <c r="AI60" i="5"/>
  <c r="AA60" i="5"/>
  <c r="AM60" i="5"/>
  <c r="AQ60" i="5"/>
  <c r="AE60" i="5"/>
  <c r="BG59" i="5"/>
  <c r="BM59" i="5"/>
  <c r="BJ59" i="5"/>
  <c r="BN59" i="5"/>
  <c r="AZ59" i="5"/>
  <c r="BI59" i="5"/>
  <c r="BO59" i="5"/>
  <c r="BF59" i="5"/>
  <c r="BA59" i="5"/>
  <c r="BC59" i="5"/>
  <c r="BK59" i="5"/>
  <c r="BL59" i="5"/>
  <c r="BD59" i="5"/>
  <c r="BE59" i="5"/>
  <c r="BP59" i="5"/>
  <c r="BQ59" i="5"/>
  <c r="BE58" i="5"/>
  <c r="BF58" i="5"/>
  <c r="BI58" i="5"/>
  <c r="BJ58" i="5"/>
  <c r="BK58" i="5"/>
  <c r="BL58" i="5"/>
  <c r="W58" i="5"/>
  <c r="AV58" i="5" s="1"/>
  <c r="BE64" i="5"/>
  <c r="BH64" i="5"/>
  <c r="BQ64" i="5"/>
  <c r="BN64" i="5"/>
  <c r="BA64" i="5"/>
  <c r="BB64" i="5"/>
  <c r="BG64" i="5"/>
  <c r="S64" i="5"/>
  <c r="BK64" i="5"/>
  <c r="BL64" i="5"/>
  <c r="AZ64" i="5"/>
  <c r="BC64" i="5"/>
  <c r="BD64" i="5"/>
  <c r="BF64" i="5"/>
  <c r="AZ58" i="5"/>
  <c r="BP58" i="5"/>
  <c r="G10" i="21"/>
  <c r="G2" i="21"/>
  <c r="Z466" i="2"/>
  <c r="AE466" i="2"/>
  <c r="AJ466" i="2"/>
  <c r="Y466" i="2"/>
  <c r="AP466" i="2"/>
  <c r="AS466" i="2"/>
  <c r="V466" i="2"/>
  <c r="G441" i="35" s="1"/>
  <c r="AD466" i="2"/>
  <c r="AI466" i="2"/>
  <c r="X466" i="2"/>
  <c r="AH466" i="2"/>
  <c r="AO466" i="2"/>
  <c r="W466" i="2"/>
  <c r="AC466" i="2"/>
  <c r="AN466" i="2"/>
  <c r="R466" i="2"/>
  <c r="AB466" i="2"/>
  <c r="AG466" i="2"/>
  <c r="AL466" i="2"/>
  <c r="AM466" i="2"/>
  <c r="AR466" i="2"/>
  <c r="Q479" i="2"/>
  <c r="AA466" i="2"/>
  <c r="AF466" i="2"/>
  <c r="AK466" i="2"/>
  <c r="W465" i="2"/>
  <c r="X465" i="2"/>
  <c r="AQ465" i="2"/>
  <c r="AR465" i="2"/>
  <c r="R465" i="2"/>
  <c r="AJ465" i="2"/>
  <c r="AP465" i="2"/>
  <c r="AH465" i="2"/>
  <c r="AI465" i="2"/>
  <c r="AK465" i="2"/>
  <c r="AL465" i="2"/>
  <c r="AN465" i="2"/>
  <c r="AO465" i="2"/>
  <c r="AG465" i="2"/>
  <c r="AM465" i="2"/>
  <c r="AE465" i="2"/>
  <c r="AF465" i="2"/>
  <c r="AS465" i="2"/>
  <c r="AB465" i="2"/>
  <c r="AC465" i="2"/>
  <c r="AD465" i="2"/>
  <c r="Y465" i="2"/>
  <c r="Z465" i="2"/>
  <c r="AA465" i="2"/>
  <c r="Z464" i="2"/>
  <c r="AL464" i="2"/>
  <c r="AA464" i="2"/>
  <c r="AB464" i="2"/>
  <c r="AC464" i="2"/>
  <c r="AM464" i="2"/>
  <c r="AS464" i="2"/>
  <c r="AD464" i="2"/>
  <c r="AE464" i="2"/>
  <c r="AN464" i="2"/>
  <c r="AF464" i="2"/>
  <c r="AG464" i="2"/>
  <c r="AH464" i="2"/>
  <c r="AO464" i="2"/>
  <c r="AP464" i="2"/>
  <c r="AQ464" i="2"/>
  <c r="AI464" i="2"/>
  <c r="AJ464" i="2"/>
  <c r="AR464" i="2"/>
  <c r="W464" i="2"/>
  <c r="V464" i="2"/>
  <c r="J441" i="35" s="1"/>
  <c r="X464" i="2"/>
  <c r="Y464" i="2"/>
  <c r="AK464" i="2"/>
  <c r="F19" i="15"/>
  <c r="Q379" i="35"/>
  <c r="W369" i="2"/>
  <c r="Y369" i="2"/>
  <c r="AK369" i="2"/>
  <c r="AP369" i="2"/>
  <c r="AF369" i="2"/>
  <c r="AH369" i="2"/>
  <c r="AR369" i="2"/>
  <c r="V369" i="2"/>
  <c r="AA369" i="2"/>
  <c r="AJ369" i="2"/>
  <c r="AS369" i="2"/>
  <c r="AC369" i="2"/>
  <c r="AM369" i="2"/>
  <c r="X369" i="2"/>
  <c r="Z369" i="2"/>
  <c r="AE369" i="2"/>
  <c r="AO369" i="2"/>
  <c r="AQ369" i="2"/>
  <c r="AG369" i="2"/>
  <c r="AL369" i="2"/>
  <c r="R369" i="2"/>
  <c r="AI369" i="2"/>
  <c r="AB369" i="2"/>
  <c r="AD369" i="2"/>
  <c r="AA368" i="2"/>
  <c r="AM368" i="2"/>
  <c r="AP368" i="2"/>
  <c r="Z368" i="2"/>
  <c r="AD368" i="2"/>
  <c r="AL368" i="2"/>
  <c r="W368" i="2"/>
  <c r="AG368" i="2"/>
  <c r="AK368" i="2"/>
  <c r="R368" i="2"/>
  <c r="AC368" i="2"/>
  <c r="AJ368" i="2"/>
  <c r="AO368" i="2"/>
  <c r="Y368" i="2"/>
  <c r="AR368" i="2"/>
  <c r="AF368" i="2"/>
  <c r="AN368" i="2"/>
  <c r="AQ368" i="2"/>
  <c r="AB368" i="2"/>
  <c r="AI368" i="2"/>
  <c r="AS368" i="2"/>
  <c r="X368" i="2"/>
  <c r="AE368" i="2"/>
  <c r="AH368" i="2"/>
  <c r="X367" i="2"/>
  <c r="AG367" i="2"/>
  <c r="AP367" i="2"/>
  <c r="W367" i="2"/>
  <c r="AF367" i="2"/>
  <c r="AO367" i="2"/>
  <c r="AS367" i="2"/>
  <c r="AC367" i="2"/>
  <c r="AD367" i="2"/>
  <c r="AE367" i="2"/>
  <c r="AN367" i="2"/>
  <c r="Z367" i="2"/>
  <c r="AA367" i="2"/>
  <c r="AB367" i="2"/>
  <c r="AJ367" i="2"/>
  <c r="AK367" i="2"/>
  <c r="AL367" i="2"/>
  <c r="AM367" i="2"/>
  <c r="V367" i="2"/>
  <c r="Y367" i="2"/>
  <c r="AH367" i="2"/>
  <c r="AI367" i="2"/>
  <c r="AQ367" i="2"/>
  <c r="AR367" i="2"/>
  <c r="W366" i="2"/>
  <c r="AD366" i="2"/>
  <c r="AG366" i="2"/>
  <c r="AI366" i="2"/>
  <c r="AE366" i="2"/>
  <c r="AF366" i="2"/>
  <c r="AK366" i="2"/>
  <c r="AQ366" i="2"/>
  <c r="AL366" i="2"/>
  <c r="AP366" i="2"/>
  <c r="AM366" i="2"/>
  <c r="AN366" i="2"/>
  <c r="AO366" i="2"/>
  <c r="AR366" i="2"/>
  <c r="V366" i="2"/>
  <c r="Z366" i="2"/>
  <c r="R366" i="2"/>
  <c r="Y366" i="2"/>
  <c r="AA366" i="2"/>
  <c r="X366" i="2"/>
  <c r="AB366" i="2"/>
  <c r="AC366" i="2"/>
  <c r="AH366" i="2"/>
  <c r="AJ366" i="2"/>
  <c r="E380" i="35"/>
  <c r="G380" i="35"/>
  <c r="AJ279" i="2"/>
  <c r="AN279" i="2"/>
  <c r="AQ279" i="2"/>
  <c r="V279" i="2"/>
  <c r="AD279" i="2"/>
  <c r="AG279" i="2"/>
  <c r="X279" i="2"/>
  <c r="AA279" i="2"/>
  <c r="AI279" i="2"/>
  <c r="AM279" i="2"/>
  <c r="AP279" i="2"/>
  <c r="R279" i="2"/>
  <c r="Z279" i="2"/>
  <c r="AC279" i="2"/>
  <c r="AF279" i="2"/>
  <c r="AL279" i="2"/>
  <c r="W279" i="2"/>
  <c r="AR279" i="2"/>
  <c r="AE279" i="2"/>
  <c r="AH279" i="2"/>
  <c r="AK279" i="2"/>
  <c r="AO279" i="2"/>
  <c r="Y279" i="2"/>
  <c r="AB279" i="2"/>
  <c r="AE278" i="2"/>
  <c r="AF278" i="2"/>
  <c r="V278" i="2"/>
  <c r="AD278" i="2"/>
  <c r="AR278" i="2"/>
  <c r="AC278" i="2"/>
  <c r="AQ278" i="2"/>
  <c r="R278" i="2"/>
  <c r="AB278" i="2"/>
  <c r="AP278" i="2"/>
  <c r="Z278" i="2"/>
  <c r="AA278" i="2"/>
  <c r="AJ278" i="2"/>
  <c r="AK278" i="2"/>
  <c r="AL278" i="2"/>
  <c r="AN278" i="2"/>
  <c r="AO278" i="2"/>
  <c r="Y278" i="2"/>
  <c r="AI278" i="2"/>
  <c r="AM278" i="2"/>
  <c r="AS278" i="2"/>
  <c r="X278" i="2"/>
  <c r="AH278" i="2"/>
  <c r="W278" i="2"/>
  <c r="AI277" i="2"/>
  <c r="AJ277" i="2"/>
  <c r="R277" i="2"/>
  <c r="W277" i="2"/>
  <c r="X277" i="2"/>
  <c r="Y277" i="2"/>
  <c r="Z277" i="2"/>
  <c r="AK277" i="2"/>
  <c r="AA277" i="2"/>
  <c r="AB277" i="2"/>
  <c r="AC277" i="2"/>
  <c r="AL277" i="2"/>
  <c r="AS277" i="2"/>
  <c r="AD277" i="2"/>
  <c r="AE277" i="2"/>
  <c r="AM277" i="2"/>
  <c r="AN277" i="2"/>
  <c r="AF277" i="2"/>
  <c r="AO277" i="2"/>
  <c r="AP277" i="2"/>
  <c r="AQ277" i="2"/>
  <c r="AR277" i="2"/>
  <c r="AG277" i="2"/>
  <c r="Q281" i="2"/>
  <c r="AH277" i="2"/>
  <c r="Y276" i="2"/>
  <c r="Z276" i="2"/>
  <c r="AE276" i="2"/>
  <c r="AI276" i="2"/>
  <c r="AR276" i="2"/>
  <c r="AJ276" i="2"/>
  <c r="AM276" i="2"/>
  <c r="AA276" i="2"/>
  <c r="AF276" i="2"/>
  <c r="AN276" i="2"/>
  <c r="W276" i="2"/>
  <c r="AB276" i="2"/>
  <c r="AC276" i="2"/>
  <c r="AG276" i="2"/>
  <c r="AK276" i="2"/>
  <c r="AO276" i="2"/>
  <c r="X276" i="2"/>
  <c r="AP276" i="2"/>
  <c r="R276" i="2"/>
  <c r="V276" i="2"/>
  <c r="AD276" i="2"/>
  <c r="AH276" i="2"/>
  <c r="AL276" i="2"/>
  <c r="AQ276" i="2"/>
  <c r="X275" i="2"/>
  <c r="AA275" i="2"/>
  <c r="AL275" i="2"/>
  <c r="AO275" i="2"/>
  <c r="AG275" i="2"/>
  <c r="AJ275" i="2"/>
  <c r="AB275" i="2"/>
  <c r="AE275" i="2"/>
  <c r="AP275" i="2"/>
  <c r="Y275" i="2"/>
  <c r="AC275" i="2"/>
  <c r="AH275" i="2"/>
  <c r="AM275" i="2"/>
  <c r="AQ275" i="2"/>
  <c r="W275" i="2"/>
  <c r="AF275" i="2"/>
  <c r="AK275" i="2"/>
  <c r="R275" i="2"/>
  <c r="AD275" i="2"/>
  <c r="AI275" i="2"/>
  <c r="X274" i="2"/>
  <c r="Z274" i="2"/>
  <c r="AC274" i="2"/>
  <c r="AE274" i="2"/>
  <c r="AO274" i="2"/>
  <c r="AG274" i="2"/>
  <c r="AI274" i="2"/>
  <c r="AK274" i="2"/>
  <c r="AA274" i="2"/>
  <c r="AM274" i="2"/>
  <c r="AR274" i="2"/>
  <c r="AS274" i="2"/>
  <c r="R274" i="2"/>
  <c r="W274" i="2"/>
  <c r="Y274" i="2"/>
  <c r="AP274" i="2"/>
  <c r="AD274" i="2"/>
  <c r="AF274" i="2"/>
  <c r="AJ274" i="2"/>
  <c r="V274" i="2"/>
  <c r="AB274" i="2"/>
  <c r="AH274" i="2"/>
  <c r="AL274" i="2"/>
  <c r="AN274" i="2"/>
  <c r="X273" i="2"/>
  <c r="AA273" i="2"/>
  <c r="AS273" i="2"/>
  <c r="AC273" i="2"/>
  <c r="AF273" i="2"/>
  <c r="AM273" i="2"/>
  <c r="AO273" i="2"/>
  <c r="R273" i="2"/>
  <c r="W273" i="2"/>
  <c r="AL273" i="2"/>
  <c r="AQ273" i="2"/>
  <c r="AI273" i="2"/>
  <c r="Z273" i="2"/>
  <c r="AB273" i="2"/>
  <c r="AE273" i="2"/>
  <c r="V273" i="2"/>
  <c r="AH273" i="2"/>
  <c r="AK273" i="2"/>
  <c r="AN273" i="2"/>
  <c r="Y273" i="2"/>
  <c r="AP273" i="2"/>
  <c r="AD273" i="2"/>
  <c r="AG273" i="2"/>
  <c r="AJ273" i="2"/>
  <c r="AE272" i="2"/>
  <c r="AK272" i="2"/>
  <c r="Z272" i="2"/>
  <c r="AJ272" i="2"/>
  <c r="AO272" i="2"/>
  <c r="Y272" i="2"/>
  <c r="AD272" i="2"/>
  <c r="AR272" i="2"/>
  <c r="V272" i="2"/>
  <c r="X272" i="2"/>
  <c r="AC272" i="2"/>
  <c r="AI272" i="2"/>
  <c r="W272" i="2"/>
  <c r="AB272" i="2"/>
  <c r="AH272" i="2"/>
  <c r="AN272" i="2"/>
  <c r="AQ272" i="2"/>
  <c r="AS272" i="2"/>
  <c r="AG272" i="2"/>
  <c r="L381" i="35"/>
  <c r="AA272" i="2"/>
  <c r="AF272" i="2"/>
  <c r="AL272" i="2"/>
  <c r="R272" i="2"/>
  <c r="AM272" i="2"/>
  <c r="AP271" i="2"/>
  <c r="AO271" i="2"/>
  <c r="AS271" i="2"/>
  <c r="V271" i="2"/>
  <c r="AL271" i="2"/>
  <c r="AN271" i="2"/>
  <c r="AE271" i="2"/>
  <c r="AF271" i="2"/>
  <c r="AG271" i="2"/>
  <c r="AH271" i="2"/>
  <c r="AI271" i="2"/>
  <c r="AJ271" i="2"/>
  <c r="AK271" i="2"/>
  <c r="R271" i="2"/>
  <c r="AA271" i="2"/>
  <c r="AB271" i="2"/>
  <c r="AC271" i="2"/>
  <c r="AD271" i="2"/>
  <c r="AM271" i="2"/>
  <c r="W271" i="2"/>
  <c r="AQ271" i="2"/>
  <c r="AR271" i="2"/>
  <c r="X271" i="2"/>
  <c r="Y271" i="2"/>
  <c r="AG270" i="2"/>
  <c r="AQ270" i="2"/>
  <c r="Y270" i="2"/>
  <c r="AH270" i="2"/>
  <c r="AN270" i="2"/>
  <c r="AO270" i="2"/>
  <c r="AP270" i="2"/>
  <c r="AR270" i="2"/>
  <c r="R270" i="2"/>
  <c r="AA270" i="2"/>
  <c r="AI270" i="2"/>
  <c r="AM270" i="2"/>
  <c r="Z270" i="2"/>
  <c r="AB270" i="2"/>
  <c r="AC270" i="2"/>
  <c r="AJ270" i="2"/>
  <c r="W270" i="2"/>
  <c r="AD270" i="2"/>
  <c r="AS270" i="2"/>
  <c r="AE270" i="2"/>
  <c r="AK270" i="2"/>
  <c r="AL270" i="2"/>
  <c r="X270" i="2"/>
  <c r="AF270" i="2"/>
  <c r="N381" i="35"/>
  <c r="Y174" i="2"/>
  <c r="AE174" i="2"/>
  <c r="AJ174" i="2"/>
  <c r="AN174" i="2"/>
  <c r="AS174" i="2"/>
  <c r="Z174" i="2"/>
  <c r="AO174" i="2"/>
  <c r="V174" i="2"/>
  <c r="P444" i="35" s="1"/>
  <c r="AA174" i="2"/>
  <c r="AF174" i="2"/>
  <c r="AK174" i="2"/>
  <c r="AP174" i="2"/>
  <c r="AB174" i="2"/>
  <c r="AG174" i="2"/>
  <c r="AQ174" i="2"/>
  <c r="AC174" i="2"/>
  <c r="AL174" i="2"/>
  <c r="AH174" i="2"/>
  <c r="R174" i="2"/>
  <c r="W174" i="2"/>
  <c r="AD174" i="2"/>
  <c r="X174" i="2"/>
  <c r="AI174" i="2"/>
  <c r="AM174" i="2"/>
  <c r="W173" i="2"/>
  <c r="V173" i="2"/>
  <c r="AF173" i="2"/>
  <c r="AN173" i="2"/>
  <c r="AA173" i="2"/>
  <c r="AI173" i="2"/>
  <c r="AL173" i="2"/>
  <c r="X173" i="2"/>
  <c r="AD173" i="2"/>
  <c r="AO173" i="2"/>
  <c r="R173" i="2"/>
  <c r="AB173" i="2"/>
  <c r="AG173" i="2"/>
  <c r="AJ173" i="2"/>
  <c r="Y173" i="2"/>
  <c r="AP173" i="2"/>
  <c r="AS173" i="2"/>
  <c r="AE173" i="2"/>
  <c r="AM173" i="2"/>
  <c r="Z173" i="2"/>
  <c r="AC173" i="2"/>
  <c r="AH173" i="2"/>
  <c r="AK173" i="2"/>
  <c r="W172" i="2"/>
  <c r="AP172" i="2"/>
  <c r="AB172" i="2"/>
  <c r="AJ172" i="2"/>
  <c r="AL172" i="2"/>
  <c r="R172" i="2"/>
  <c r="Z172" i="2"/>
  <c r="AD172" i="2"/>
  <c r="AF172" i="2"/>
  <c r="AH172" i="2"/>
  <c r="AN172" i="2"/>
  <c r="AS172" i="2"/>
  <c r="AQ172" i="2"/>
  <c r="X172" i="2"/>
  <c r="AC172" i="2"/>
  <c r="AK172" i="2"/>
  <c r="AO172" i="2"/>
  <c r="AA172" i="2"/>
  <c r="AE172" i="2"/>
  <c r="AG172" i="2"/>
  <c r="AI172" i="2"/>
  <c r="AM172" i="2"/>
  <c r="Y172" i="2"/>
  <c r="AI171" i="2"/>
  <c r="AC171" i="2"/>
  <c r="AF171" i="2"/>
  <c r="AK171" i="2"/>
  <c r="AN171" i="2"/>
  <c r="X171" i="2"/>
  <c r="Z171" i="2"/>
  <c r="AP171" i="2"/>
  <c r="AH171" i="2"/>
  <c r="AR171" i="2"/>
  <c r="AB171" i="2"/>
  <c r="AE171" i="2"/>
  <c r="AJ171" i="2"/>
  <c r="AM171" i="2"/>
  <c r="W171" i="2"/>
  <c r="AO171" i="2"/>
  <c r="V171" i="2"/>
  <c r="Y171" i="2"/>
  <c r="AG171" i="2"/>
  <c r="AL171" i="2"/>
  <c r="AQ171" i="2"/>
  <c r="AS171" i="2"/>
  <c r="R171" i="2"/>
  <c r="S171" i="2" s="1"/>
  <c r="AA171" i="2"/>
  <c r="AD170" i="2"/>
  <c r="AK170" i="2"/>
  <c r="AC170" i="2"/>
  <c r="AG170" i="2"/>
  <c r="Y170" i="2"/>
  <c r="AJ170" i="2"/>
  <c r="AN170" i="2"/>
  <c r="AQ170" i="2"/>
  <c r="AB170" i="2"/>
  <c r="AF170" i="2"/>
  <c r="AS170" i="2"/>
  <c r="AM170" i="2"/>
  <c r="R170" i="2"/>
  <c r="V170" i="2"/>
  <c r="X170" i="2"/>
  <c r="AA170" i="2"/>
  <c r="AI170" i="2"/>
  <c r="AP170" i="2"/>
  <c r="W170" i="2"/>
  <c r="Z170" i="2"/>
  <c r="AH170" i="2"/>
  <c r="AA169" i="2"/>
  <c r="X168" i="2"/>
  <c r="AB168" i="2"/>
  <c r="Y167" i="2"/>
  <c r="AC167" i="2"/>
  <c r="Z166" i="2"/>
  <c r="W165" i="2"/>
  <c r="AA165" i="2"/>
  <c r="AB164" i="2"/>
  <c r="X164" i="2"/>
  <c r="Z162" i="2"/>
  <c r="W161" i="2"/>
  <c r="AA161" i="2"/>
  <c r="AB160" i="2"/>
  <c r="X160" i="2"/>
  <c r="Y159" i="2"/>
  <c r="AR158" i="2"/>
  <c r="Z158" i="2"/>
  <c r="W157" i="2"/>
  <c r="AA157" i="2"/>
  <c r="AB156" i="2"/>
  <c r="X156" i="2"/>
  <c r="P122" i="35"/>
  <c r="AB68" i="2"/>
  <c r="AI68" i="2"/>
  <c r="AA68" i="2"/>
  <c r="AP68" i="2"/>
  <c r="AR68" i="2"/>
  <c r="Z68" i="2"/>
  <c r="AG68" i="2"/>
  <c r="AN68" i="2"/>
  <c r="AE68" i="2"/>
  <c r="AJ68" i="2"/>
  <c r="AL68" i="2"/>
  <c r="Y68" i="2"/>
  <c r="AC68" i="2"/>
  <c r="AQ68" i="2"/>
  <c r="AS68" i="2"/>
  <c r="V68" i="2"/>
  <c r="AH68" i="2"/>
  <c r="AO68" i="2"/>
  <c r="R68" i="2"/>
  <c r="AF68" i="2"/>
  <c r="W68" i="2"/>
  <c r="X68" i="2"/>
  <c r="AD68" i="2"/>
  <c r="AK68" i="2"/>
  <c r="AE67" i="2"/>
  <c r="AL67" i="2"/>
  <c r="Z67" i="2"/>
  <c r="AA67" i="2"/>
  <c r="AB67" i="2"/>
  <c r="AG67" i="2"/>
  <c r="AI67" i="2"/>
  <c r="AN67" i="2"/>
  <c r="AS67" i="2"/>
  <c r="Y67" i="2"/>
  <c r="W67" i="2"/>
  <c r="AD67" i="2"/>
  <c r="AK67" i="2"/>
  <c r="AP67" i="2"/>
  <c r="R67" i="2"/>
  <c r="V67" i="2"/>
  <c r="X67" i="2"/>
  <c r="AF67" i="2"/>
  <c r="AH67" i="2"/>
  <c r="AJ67" i="2"/>
  <c r="AM67" i="2"/>
  <c r="AO67" i="2"/>
  <c r="AR67" i="2"/>
  <c r="AC67" i="2"/>
  <c r="AK66" i="2"/>
  <c r="AD66" i="2"/>
  <c r="AJ66" i="2"/>
  <c r="AN66" i="2"/>
  <c r="AR66" i="2"/>
  <c r="R66" i="2"/>
  <c r="W66" i="2"/>
  <c r="AG66" i="2"/>
  <c r="AQ66" i="2"/>
  <c r="V66" i="2"/>
  <c r="M445" i="35" s="1"/>
  <c r="Y66" i="2"/>
  <c r="Z66" i="2"/>
  <c r="AC66" i="2"/>
  <c r="X66" i="2"/>
  <c r="AA66" i="2"/>
  <c r="AF66" i="2"/>
  <c r="AI66" i="2"/>
  <c r="AM66" i="2"/>
  <c r="AB66" i="2"/>
  <c r="AP66" i="2"/>
  <c r="AL66" i="2"/>
  <c r="AO66" i="2"/>
  <c r="AS66" i="2"/>
  <c r="AE66" i="2"/>
  <c r="AN65" i="2"/>
  <c r="V65" i="2"/>
  <c r="J445" i="35" s="1"/>
  <c r="AG65" i="2"/>
  <c r="X65" i="2"/>
  <c r="Y65" i="2"/>
  <c r="AF65" i="2"/>
  <c r="AM65" i="2"/>
  <c r="AS65" i="2"/>
  <c r="Z65" i="2"/>
  <c r="AL65" i="2"/>
  <c r="AE65" i="2"/>
  <c r="AJ65" i="2"/>
  <c r="AK65" i="2"/>
  <c r="AQ65" i="2"/>
  <c r="AR65" i="2"/>
  <c r="AA65" i="2"/>
  <c r="AD65" i="2"/>
  <c r="W65" i="2"/>
  <c r="AC65" i="2"/>
  <c r="AI65" i="2"/>
  <c r="AO65" i="2"/>
  <c r="AP65" i="2"/>
  <c r="R65" i="2"/>
  <c r="AB65" i="2"/>
  <c r="W64" i="2"/>
  <c r="Y64" i="2"/>
  <c r="AH64" i="2"/>
  <c r="AI64" i="2"/>
  <c r="AB64" i="2"/>
  <c r="AC64" i="2"/>
  <c r="AF64" i="2"/>
  <c r="AG64" i="2"/>
  <c r="AD64" i="2"/>
  <c r="AE64" i="2"/>
  <c r="R64" i="2"/>
  <c r="Z64" i="2"/>
  <c r="AO64" i="2"/>
  <c r="AN64" i="2"/>
  <c r="AP64" i="2"/>
  <c r="AQ64" i="2"/>
  <c r="AS64" i="2"/>
  <c r="V64" i="2"/>
  <c r="X64" i="2"/>
  <c r="AA64" i="2"/>
  <c r="AM64" i="2"/>
  <c r="AA63" i="2"/>
  <c r="AD63" i="2"/>
  <c r="AP63" i="2"/>
  <c r="AE63" i="2"/>
  <c r="AF63" i="2"/>
  <c r="AQ63" i="2"/>
  <c r="R63" i="2"/>
  <c r="AG63" i="2"/>
  <c r="AH63" i="2"/>
  <c r="X63" i="2"/>
  <c r="Z63" i="2"/>
  <c r="AI63" i="2"/>
  <c r="AJ63" i="2"/>
  <c r="AR63" i="2"/>
  <c r="AS63" i="2"/>
  <c r="W63" i="2"/>
  <c r="AK63" i="2"/>
  <c r="AB63" i="2"/>
  <c r="AL63" i="2"/>
  <c r="AM63" i="2"/>
  <c r="AN63" i="2"/>
  <c r="V63" i="2"/>
  <c r="Y63" i="2"/>
  <c r="AC63" i="2"/>
  <c r="E101" i="21"/>
  <c r="R362" i="5"/>
  <c r="R358" i="5"/>
  <c r="R354" i="5"/>
  <c r="AA358" i="5"/>
  <c r="AG358" i="5"/>
  <c r="AI362" i="5"/>
  <c r="AI354" i="5"/>
  <c r="AN362" i="5"/>
  <c r="AN354" i="5"/>
  <c r="AO362" i="5"/>
  <c r="AO354" i="5"/>
  <c r="X362" i="5"/>
  <c r="X354" i="5"/>
  <c r="AR362" i="5"/>
  <c r="AR354" i="5"/>
  <c r="Y358" i="5"/>
  <c r="Z358" i="5"/>
  <c r="AB358" i="5"/>
  <c r="AD362" i="5"/>
  <c r="AD354" i="5"/>
  <c r="AK358" i="5"/>
  <c r="AM362" i="5"/>
  <c r="AM354" i="5"/>
  <c r="E92" i="21"/>
  <c r="Q380" i="5"/>
  <c r="AF358" i="5"/>
  <c r="AH362" i="5"/>
  <c r="AH354" i="5"/>
  <c r="E98" i="21"/>
  <c r="E102" i="21"/>
  <c r="V362" i="5"/>
  <c r="AC362" i="5"/>
  <c r="AC354" i="5"/>
  <c r="AE358" i="5"/>
  <c r="AJ358" i="5"/>
  <c r="AL362" i="5"/>
  <c r="AL354" i="5"/>
  <c r="AP358" i="5"/>
  <c r="AQ358" i="5"/>
  <c r="AS358" i="5"/>
  <c r="R562" i="5"/>
  <c r="AA362" i="5"/>
  <c r="AA354" i="5"/>
  <c r="AG362" i="5"/>
  <c r="AG354" i="5"/>
  <c r="AI358" i="5"/>
  <c r="AN358" i="5"/>
  <c r="AO358" i="5"/>
  <c r="X358" i="5"/>
  <c r="V358" i="5"/>
  <c r="AR358" i="5"/>
  <c r="Y362" i="5"/>
  <c r="Y354" i="5"/>
  <c r="Z362" i="5"/>
  <c r="Z354" i="5"/>
  <c r="AB362" i="5"/>
  <c r="AB354" i="5"/>
  <c r="AD358" i="5"/>
  <c r="AK362" i="5"/>
  <c r="AK354" i="5"/>
  <c r="AM358" i="5"/>
  <c r="AF362" i="5"/>
  <c r="AF354" i="5"/>
  <c r="AH358" i="5"/>
  <c r="W268" i="5"/>
  <c r="AM268" i="5"/>
  <c r="AK268" i="5"/>
  <c r="Z268" i="5"/>
  <c r="AI268" i="5"/>
  <c r="AG268" i="5"/>
  <c r="AS268" i="5"/>
  <c r="AE268" i="5"/>
  <c r="AC268" i="5"/>
  <c r="AP268" i="5"/>
  <c r="AN268" i="5"/>
  <c r="AA268" i="5"/>
  <c r="AR268" i="5"/>
  <c r="AL268" i="5"/>
  <c r="AJ268" i="5"/>
  <c r="AH268" i="5"/>
  <c r="AF268" i="5"/>
  <c r="AD268" i="5"/>
  <c r="AB268" i="5"/>
  <c r="Y268" i="5"/>
  <c r="R268" i="5"/>
  <c r="V268" i="5"/>
  <c r="AO268" i="5"/>
  <c r="G47" i="21"/>
  <c r="AQ268" i="5"/>
  <c r="W260" i="5"/>
  <c r="AM260" i="5"/>
  <c r="AK260" i="5"/>
  <c r="Z260" i="5"/>
  <c r="X260" i="5"/>
  <c r="AI260" i="5"/>
  <c r="AG260" i="5"/>
  <c r="AS260" i="5"/>
  <c r="AE260" i="5"/>
  <c r="AC260" i="5"/>
  <c r="AP260" i="5"/>
  <c r="AN260" i="5"/>
  <c r="AA260" i="5"/>
  <c r="AR260" i="5"/>
  <c r="AL260" i="5"/>
  <c r="AJ260" i="5"/>
  <c r="AH260" i="5"/>
  <c r="AF260" i="5"/>
  <c r="V260" i="5"/>
  <c r="N443" i="36" s="1"/>
  <c r="AD260" i="5"/>
  <c r="AB260" i="5"/>
  <c r="Y260" i="5"/>
  <c r="R260" i="5"/>
  <c r="R569" i="5"/>
  <c r="S569" i="5" s="1"/>
  <c r="E90" i="21"/>
  <c r="G51" i="21"/>
  <c r="E89" i="21"/>
  <c r="X268" i="5"/>
  <c r="W264" i="5"/>
  <c r="AL264" i="5"/>
  <c r="AJ264" i="5"/>
  <c r="AH264" i="5"/>
  <c r="AF264" i="5"/>
  <c r="AD264" i="5"/>
  <c r="AB264" i="5"/>
  <c r="Y264" i="5"/>
  <c r="V264" i="5"/>
  <c r="L443" i="36" s="1"/>
  <c r="L425" i="36" s="1"/>
  <c r="AQ264" i="5"/>
  <c r="AO264" i="5"/>
  <c r="X264" i="5"/>
  <c r="AM264" i="5"/>
  <c r="AK264" i="5"/>
  <c r="Z264" i="5"/>
  <c r="AI264" i="5"/>
  <c r="AG264" i="5"/>
  <c r="AS264" i="5"/>
  <c r="AE264" i="5"/>
  <c r="AC264" i="5"/>
  <c r="R264" i="5"/>
  <c r="W256" i="5"/>
  <c r="AL256" i="5"/>
  <c r="AJ256" i="5"/>
  <c r="V256" i="5"/>
  <c r="AH256" i="5"/>
  <c r="AF256" i="5"/>
  <c r="AD256" i="5"/>
  <c r="AB256" i="5"/>
  <c r="Y256" i="5"/>
  <c r="AQ256" i="5"/>
  <c r="AO256" i="5"/>
  <c r="AM256" i="5"/>
  <c r="AK256" i="5"/>
  <c r="Z256" i="5"/>
  <c r="Q281" i="5"/>
  <c r="X256" i="5"/>
  <c r="AI256" i="5"/>
  <c r="AG256" i="5"/>
  <c r="R561" i="5"/>
  <c r="AS256" i="5"/>
  <c r="AE256" i="5"/>
  <c r="AC256" i="5"/>
  <c r="R256" i="5"/>
  <c r="S160" i="5"/>
  <c r="BD168" i="5"/>
  <c r="BH168" i="5"/>
  <c r="BJ168" i="5"/>
  <c r="BJ160" i="5"/>
  <c r="AZ168" i="5"/>
  <c r="AZ160" i="5"/>
  <c r="BL168" i="5"/>
  <c r="BA168" i="5"/>
  <c r="BC168" i="5"/>
  <c r="BF168" i="5"/>
  <c r="BM168" i="5"/>
  <c r="BO160" i="5"/>
  <c r="E100" i="21"/>
  <c r="BG168" i="5"/>
  <c r="AY168" i="5"/>
  <c r="AY160" i="5"/>
  <c r="BI168" i="5"/>
  <c r="BK168" i="5"/>
  <c r="BK160" i="5"/>
  <c r="BQ168" i="5"/>
  <c r="BQ160" i="5"/>
  <c r="S168" i="5"/>
  <c r="AX168" i="5"/>
  <c r="AX160" i="5"/>
  <c r="AB60" i="5"/>
  <c r="AF60" i="5"/>
  <c r="AJ60" i="5"/>
  <c r="AN60" i="5"/>
  <c r="AS60" i="5"/>
  <c r="X228" i="36"/>
  <c r="AC60" i="5"/>
  <c r="AG60" i="5"/>
  <c r="AK60" i="5"/>
  <c r="AO60" i="5"/>
  <c r="AD60" i="5"/>
  <c r="AH60" i="5"/>
  <c r="AL60" i="5"/>
  <c r="AP60" i="5"/>
  <c r="AA459" i="2"/>
  <c r="AS459" i="2"/>
  <c r="AR459" i="2"/>
  <c r="AN459" i="2"/>
  <c r="AJ459" i="2"/>
  <c r="AF459" i="2"/>
  <c r="Z459" i="2"/>
  <c r="AO459" i="2"/>
  <c r="AK459" i="2"/>
  <c r="AG459" i="2"/>
  <c r="R459" i="2"/>
  <c r="V459" i="2"/>
  <c r="M441" i="35" s="1"/>
  <c r="AC459" i="2"/>
  <c r="AP459" i="2"/>
  <c r="AL459" i="2"/>
  <c r="AH459" i="2"/>
  <c r="AD459" i="2"/>
  <c r="AB459" i="2"/>
  <c r="AQ459" i="2"/>
  <c r="AM459" i="2"/>
  <c r="AI459" i="2"/>
  <c r="AE459" i="2"/>
  <c r="AO458" i="2"/>
  <c r="AK458" i="2"/>
  <c r="AG458" i="2"/>
  <c r="R458" i="2"/>
  <c r="AC458" i="2"/>
  <c r="V458" i="2"/>
  <c r="AP458" i="2"/>
  <c r="AL458" i="2"/>
  <c r="AH458" i="2"/>
  <c r="AD458" i="2"/>
  <c r="AB458" i="2"/>
  <c r="AQ458" i="2"/>
  <c r="AM458" i="2"/>
  <c r="AI458" i="2"/>
  <c r="AE458" i="2"/>
  <c r="AA458" i="2"/>
  <c r="AS458" i="2"/>
  <c r="AR458" i="2"/>
  <c r="AN458" i="2"/>
  <c r="AJ458" i="2"/>
  <c r="AF458" i="2"/>
  <c r="Z458" i="2"/>
  <c r="W462" i="2"/>
  <c r="W458" i="2"/>
  <c r="W454" i="2"/>
  <c r="X463" i="2"/>
  <c r="X459" i="2"/>
  <c r="X455" i="2"/>
  <c r="Y460" i="2"/>
  <c r="R457" i="2"/>
  <c r="AC457" i="2"/>
  <c r="AP457" i="2"/>
  <c r="AL457" i="2"/>
  <c r="AH457" i="2"/>
  <c r="AD457" i="2"/>
  <c r="V457" i="2"/>
  <c r="AB457" i="2"/>
  <c r="AQ457" i="2"/>
  <c r="AM457" i="2"/>
  <c r="AI457" i="2"/>
  <c r="AE457" i="2"/>
  <c r="AA457" i="2"/>
  <c r="AS457" i="2"/>
  <c r="AR457" i="2"/>
  <c r="AN457" i="2"/>
  <c r="AJ457" i="2"/>
  <c r="AF457" i="2"/>
  <c r="Z457" i="2"/>
  <c r="AO457" i="2"/>
  <c r="AK457" i="2"/>
  <c r="AG457" i="2"/>
  <c r="AB456" i="2"/>
  <c r="V456" i="2"/>
  <c r="AQ456" i="2"/>
  <c r="AM456" i="2"/>
  <c r="AI456" i="2"/>
  <c r="AE456" i="2"/>
  <c r="AA456" i="2"/>
  <c r="AS456" i="2"/>
  <c r="AR456" i="2"/>
  <c r="AN456" i="2"/>
  <c r="AJ456" i="2"/>
  <c r="AF456" i="2"/>
  <c r="Z456" i="2"/>
  <c r="AO456" i="2"/>
  <c r="AK456" i="2"/>
  <c r="AG456" i="2"/>
  <c r="R456" i="2"/>
  <c r="AC456" i="2"/>
  <c r="AP456" i="2"/>
  <c r="AL456" i="2"/>
  <c r="AH456" i="2"/>
  <c r="AD456" i="2"/>
  <c r="W461" i="2"/>
  <c r="W457" i="2"/>
  <c r="W453" i="2"/>
  <c r="X462" i="2"/>
  <c r="X458" i="2"/>
  <c r="Y463" i="2"/>
  <c r="Y459" i="2"/>
  <c r="V463" i="2"/>
  <c r="AA463" i="2"/>
  <c r="AS463" i="2"/>
  <c r="AR463" i="2"/>
  <c r="AN463" i="2"/>
  <c r="AJ463" i="2"/>
  <c r="AF463" i="2"/>
  <c r="R463" i="2"/>
  <c r="AO463" i="2"/>
  <c r="AK463" i="2"/>
  <c r="AG463" i="2"/>
  <c r="AC463" i="2"/>
  <c r="AP463" i="2"/>
  <c r="AL463" i="2"/>
  <c r="AH463" i="2"/>
  <c r="AD463" i="2"/>
  <c r="AB463" i="2"/>
  <c r="AQ463" i="2"/>
  <c r="AM463" i="2"/>
  <c r="AI463" i="2"/>
  <c r="AE463" i="2"/>
  <c r="V455" i="2"/>
  <c r="AA455" i="2"/>
  <c r="AS455" i="2"/>
  <c r="AR455" i="2"/>
  <c r="AN455" i="2"/>
  <c r="AJ455" i="2"/>
  <c r="AF455" i="2"/>
  <c r="Z455" i="2"/>
  <c r="AO455" i="2"/>
  <c r="AK455" i="2"/>
  <c r="AG455" i="2"/>
  <c r="R455" i="2"/>
  <c r="AC455" i="2"/>
  <c r="AP455" i="2"/>
  <c r="AL455" i="2"/>
  <c r="AH455" i="2"/>
  <c r="AD455" i="2"/>
  <c r="AB455" i="2"/>
  <c r="AQ455" i="2"/>
  <c r="AM455" i="2"/>
  <c r="AI455" i="2"/>
  <c r="AE455" i="2"/>
  <c r="AO462" i="2"/>
  <c r="AK462" i="2"/>
  <c r="AG462" i="2"/>
  <c r="R462" i="2"/>
  <c r="AC462" i="2"/>
  <c r="AP462" i="2"/>
  <c r="AL462" i="2"/>
  <c r="AH462" i="2"/>
  <c r="AD462" i="2"/>
  <c r="AB462" i="2"/>
  <c r="AQ462" i="2"/>
  <c r="AM462" i="2"/>
  <c r="AI462" i="2"/>
  <c r="AE462" i="2"/>
  <c r="AA462" i="2"/>
  <c r="V462" i="2"/>
  <c r="K441" i="35" s="1"/>
  <c r="AS462" i="2"/>
  <c r="AR462" i="2"/>
  <c r="AN462" i="2"/>
  <c r="AJ462" i="2"/>
  <c r="AF462" i="2"/>
  <c r="AO454" i="2"/>
  <c r="AK454" i="2"/>
  <c r="AG454" i="2"/>
  <c r="R454" i="2"/>
  <c r="AC454" i="2"/>
  <c r="AP454" i="2"/>
  <c r="AL454" i="2"/>
  <c r="AH454" i="2"/>
  <c r="AD454" i="2"/>
  <c r="AB454" i="2"/>
  <c r="AQ454" i="2"/>
  <c r="AM454" i="2"/>
  <c r="AI454" i="2"/>
  <c r="AE454" i="2"/>
  <c r="AA454" i="2"/>
  <c r="V454" i="2"/>
  <c r="AS454" i="2"/>
  <c r="AR454" i="2"/>
  <c r="AN454" i="2"/>
  <c r="AJ454" i="2"/>
  <c r="AF454" i="2"/>
  <c r="Z454" i="2"/>
  <c r="W456" i="2"/>
  <c r="X457" i="2"/>
  <c r="Y462" i="2"/>
  <c r="Y458" i="2"/>
  <c r="Y454" i="2"/>
  <c r="R461" i="2"/>
  <c r="AC461" i="2"/>
  <c r="AP461" i="2"/>
  <c r="AL461" i="2"/>
  <c r="AH461" i="2"/>
  <c r="AD461" i="2"/>
  <c r="AB461" i="2"/>
  <c r="AQ461" i="2"/>
  <c r="AM461" i="2"/>
  <c r="AI461" i="2"/>
  <c r="AE461" i="2"/>
  <c r="AA461" i="2"/>
  <c r="AS461" i="2"/>
  <c r="AR461" i="2"/>
  <c r="AN461" i="2"/>
  <c r="AJ461" i="2"/>
  <c r="AF461" i="2"/>
  <c r="Z461" i="2"/>
  <c r="V461" i="2"/>
  <c r="AO461" i="2"/>
  <c r="AK461" i="2"/>
  <c r="AG461" i="2"/>
  <c r="R453" i="2"/>
  <c r="AC453" i="2"/>
  <c r="AP453" i="2"/>
  <c r="AL453" i="2"/>
  <c r="AH453" i="2"/>
  <c r="AD453" i="2"/>
  <c r="AB453" i="2"/>
  <c r="AQ453" i="2"/>
  <c r="AM453" i="2"/>
  <c r="AI453" i="2"/>
  <c r="AE453" i="2"/>
  <c r="AA453" i="2"/>
  <c r="AS453" i="2"/>
  <c r="AR453" i="2"/>
  <c r="AN453" i="2"/>
  <c r="AJ453" i="2"/>
  <c r="AF453" i="2"/>
  <c r="Z453" i="2"/>
  <c r="V453" i="2"/>
  <c r="AO453" i="2"/>
  <c r="AK453" i="2"/>
  <c r="AG453" i="2"/>
  <c r="AB460" i="2"/>
  <c r="AQ460" i="2"/>
  <c r="AM460" i="2"/>
  <c r="AI460" i="2"/>
  <c r="AE460" i="2"/>
  <c r="AA460" i="2"/>
  <c r="AS460" i="2"/>
  <c r="AR460" i="2"/>
  <c r="AN460" i="2"/>
  <c r="AJ460" i="2"/>
  <c r="AF460" i="2"/>
  <c r="Z460" i="2"/>
  <c r="V460" i="2"/>
  <c r="AO460" i="2"/>
  <c r="AK460" i="2"/>
  <c r="AG460" i="2"/>
  <c r="R460" i="2"/>
  <c r="AC460" i="2"/>
  <c r="AP460" i="2"/>
  <c r="AL460" i="2"/>
  <c r="AH460" i="2"/>
  <c r="AD460" i="2"/>
  <c r="W463" i="2"/>
  <c r="W459" i="2"/>
  <c r="W455" i="2"/>
  <c r="X460" i="2"/>
  <c r="X456" i="2"/>
  <c r="Y461" i="2"/>
  <c r="Y457" i="2"/>
  <c r="Y453" i="2"/>
  <c r="R360" i="2"/>
  <c r="AS360" i="2"/>
  <c r="AR360" i="2"/>
  <c r="AQ360" i="2"/>
  <c r="AP360" i="2"/>
  <c r="AO360" i="2"/>
  <c r="AN360" i="2"/>
  <c r="AM360" i="2"/>
  <c r="AL360" i="2"/>
  <c r="AK360" i="2"/>
  <c r="AJ360" i="2"/>
  <c r="AI360" i="2"/>
  <c r="AH360" i="2"/>
  <c r="AG360" i="2"/>
  <c r="AF360" i="2"/>
  <c r="AE360" i="2"/>
  <c r="V360" i="2"/>
  <c r="J442" i="35" s="1"/>
  <c r="W363" i="2"/>
  <c r="W359" i="2"/>
  <c r="W355" i="2"/>
  <c r="X365" i="2"/>
  <c r="X361" i="2"/>
  <c r="X357" i="2"/>
  <c r="Y363" i="2"/>
  <c r="Y355" i="2"/>
  <c r="Z364" i="2"/>
  <c r="Z360" i="2"/>
  <c r="Z356" i="2"/>
  <c r="AD362" i="2"/>
  <c r="R359" i="2"/>
  <c r="AS359" i="2"/>
  <c r="AR359" i="2"/>
  <c r="AQ359" i="2"/>
  <c r="AP359" i="2"/>
  <c r="AO359" i="2"/>
  <c r="AN359" i="2"/>
  <c r="AM359" i="2"/>
  <c r="AL359" i="2"/>
  <c r="AK359" i="2"/>
  <c r="AJ359" i="2"/>
  <c r="AI359" i="2"/>
  <c r="AH359" i="2"/>
  <c r="AG359" i="2"/>
  <c r="AF359" i="2"/>
  <c r="AE359" i="2"/>
  <c r="V359" i="2"/>
  <c r="AA365" i="2"/>
  <c r="AA361" i="2"/>
  <c r="AA357" i="2"/>
  <c r="AB363" i="2"/>
  <c r="AB359" i="2"/>
  <c r="AB355" i="2"/>
  <c r="AC365" i="2"/>
  <c r="AC361" i="2"/>
  <c r="AR358" i="2"/>
  <c r="AQ358" i="2"/>
  <c r="AP358" i="2"/>
  <c r="AO358" i="2"/>
  <c r="AN358" i="2"/>
  <c r="AM358" i="2"/>
  <c r="AL358" i="2"/>
  <c r="AK358" i="2"/>
  <c r="AJ358" i="2"/>
  <c r="AI358" i="2"/>
  <c r="AH358" i="2"/>
  <c r="AG358" i="2"/>
  <c r="AF358" i="2"/>
  <c r="AE358" i="2"/>
  <c r="V358" i="2"/>
  <c r="R358" i="2"/>
  <c r="AS358" i="2"/>
  <c r="W362" i="2"/>
  <c r="W358" i="2"/>
  <c r="W354" i="2"/>
  <c r="X364" i="2"/>
  <c r="X360" i="2"/>
  <c r="X356" i="2"/>
  <c r="Y362" i="2"/>
  <c r="Y358" i="2"/>
  <c r="Y354" i="2"/>
  <c r="Z363" i="2"/>
  <c r="Z359" i="2"/>
  <c r="Z355" i="2"/>
  <c r="AD361" i="2"/>
  <c r="R365" i="2"/>
  <c r="V365" i="2"/>
  <c r="AS365" i="2"/>
  <c r="AR365" i="2"/>
  <c r="AQ365" i="2"/>
  <c r="AP365" i="2"/>
  <c r="AO365" i="2"/>
  <c r="AN365" i="2"/>
  <c r="AM365" i="2"/>
  <c r="AL365" i="2"/>
  <c r="AK365" i="2"/>
  <c r="AJ365" i="2"/>
  <c r="AI365" i="2"/>
  <c r="AH365" i="2"/>
  <c r="AG365" i="2"/>
  <c r="AF365" i="2"/>
  <c r="AE365" i="2"/>
  <c r="V357" i="2"/>
  <c r="G442" i="35" s="1"/>
  <c r="R357" i="2"/>
  <c r="AS357" i="2"/>
  <c r="AR357" i="2"/>
  <c r="AQ357" i="2"/>
  <c r="AP357" i="2"/>
  <c r="AO357" i="2"/>
  <c r="AN357" i="2"/>
  <c r="AM357" i="2"/>
  <c r="AL357" i="2"/>
  <c r="AK357" i="2"/>
  <c r="AJ357" i="2"/>
  <c r="AI357" i="2"/>
  <c r="AH357" i="2"/>
  <c r="AG357" i="2"/>
  <c r="AF357" i="2"/>
  <c r="AE357" i="2"/>
  <c r="AD357" i="2"/>
  <c r="AA364" i="2"/>
  <c r="AA360" i="2"/>
  <c r="AA356" i="2"/>
  <c r="AB362" i="2"/>
  <c r="AB358" i="2"/>
  <c r="AB354" i="2"/>
  <c r="AC360" i="2"/>
  <c r="R364" i="2"/>
  <c r="V364" i="2"/>
  <c r="AS364" i="2"/>
  <c r="AR364" i="2"/>
  <c r="AQ364" i="2"/>
  <c r="AP364" i="2"/>
  <c r="AO364" i="2"/>
  <c r="AN364" i="2"/>
  <c r="AM364" i="2"/>
  <c r="AL364" i="2"/>
  <c r="AK364" i="2"/>
  <c r="AJ364" i="2"/>
  <c r="AI364" i="2"/>
  <c r="AH364" i="2"/>
  <c r="AG364" i="2"/>
  <c r="AF364" i="2"/>
  <c r="AE364" i="2"/>
  <c r="V356" i="2"/>
  <c r="R356" i="2"/>
  <c r="AS356" i="2"/>
  <c r="AR356" i="2"/>
  <c r="AQ356" i="2"/>
  <c r="AP356" i="2"/>
  <c r="AO356" i="2"/>
  <c r="AN356" i="2"/>
  <c r="AM356" i="2"/>
  <c r="AL356" i="2"/>
  <c r="AK356" i="2"/>
  <c r="AJ356" i="2"/>
  <c r="AI356" i="2"/>
  <c r="AH356" i="2"/>
  <c r="AG356" i="2"/>
  <c r="AF356" i="2"/>
  <c r="AE356" i="2"/>
  <c r="AD356" i="2"/>
  <c r="W365" i="2"/>
  <c r="W361" i="2"/>
  <c r="W357" i="2"/>
  <c r="X359" i="2"/>
  <c r="Y365" i="2"/>
  <c r="Y361" i="2"/>
  <c r="Y357" i="2"/>
  <c r="Z358" i="2"/>
  <c r="AD364" i="2"/>
  <c r="AD360" i="2"/>
  <c r="V363" i="2"/>
  <c r="K442" i="35" s="1"/>
  <c r="AS363" i="2"/>
  <c r="AR363" i="2"/>
  <c r="AQ363" i="2"/>
  <c r="AP363" i="2"/>
  <c r="AO363" i="2"/>
  <c r="AN363" i="2"/>
  <c r="AM363" i="2"/>
  <c r="AL363" i="2"/>
  <c r="AK363" i="2"/>
  <c r="AJ363" i="2"/>
  <c r="AI363" i="2"/>
  <c r="AH363" i="2"/>
  <c r="AG363" i="2"/>
  <c r="AF363" i="2"/>
  <c r="AE363" i="2"/>
  <c r="R363" i="2"/>
  <c r="R355" i="2"/>
  <c r="V355" i="2"/>
  <c r="AS355" i="2"/>
  <c r="AR355" i="2"/>
  <c r="AQ355" i="2"/>
  <c r="AP355" i="2"/>
  <c r="AO355" i="2"/>
  <c r="AN355" i="2"/>
  <c r="AM355" i="2"/>
  <c r="AL355" i="2"/>
  <c r="AK355" i="2"/>
  <c r="AJ355" i="2"/>
  <c r="AI355" i="2"/>
  <c r="AH355" i="2"/>
  <c r="AG355" i="2"/>
  <c r="AF355" i="2"/>
  <c r="AE355" i="2"/>
  <c r="AD355" i="2"/>
  <c r="AA363" i="2"/>
  <c r="AA359" i="2"/>
  <c r="AA355" i="2"/>
  <c r="AB365" i="2"/>
  <c r="AB361" i="2"/>
  <c r="AB357" i="2"/>
  <c r="AC363" i="2"/>
  <c r="AC359" i="2"/>
  <c r="AC355" i="2"/>
  <c r="V362" i="2"/>
  <c r="AR362" i="2"/>
  <c r="AQ362" i="2"/>
  <c r="AP362" i="2"/>
  <c r="AO362" i="2"/>
  <c r="AN362" i="2"/>
  <c r="AM362" i="2"/>
  <c r="AL362" i="2"/>
  <c r="AK362" i="2"/>
  <c r="AJ362" i="2"/>
  <c r="AI362" i="2"/>
  <c r="AH362" i="2"/>
  <c r="AG362" i="2"/>
  <c r="AF362" i="2"/>
  <c r="AE362" i="2"/>
  <c r="R362" i="2"/>
  <c r="AS362" i="2"/>
  <c r="V354" i="2"/>
  <c r="AR354" i="2"/>
  <c r="AQ354" i="2"/>
  <c r="AP354" i="2"/>
  <c r="AO354" i="2"/>
  <c r="AN354" i="2"/>
  <c r="AM354" i="2"/>
  <c r="AL354" i="2"/>
  <c r="AK354" i="2"/>
  <c r="AJ354" i="2"/>
  <c r="AI354" i="2"/>
  <c r="AH354" i="2"/>
  <c r="AG354" i="2"/>
  <c r="AF354" i="2"/>
  <c r="AE354" i="2"/>
  <c r="AD354" i="2"/>
  <c r="R354" i="2"/>
  <c r="AS354" i="2"/>
  <c r="W364" i="2"/>
  <c r="W360" i="2"/>
  <c r="W356" i="2"/>
  <c r="X362" i="2"/>
  <c r="X358" i="2"/>
  <c r="X354" i="2"/>
  <c r="Y364" i="2"/>
  <c r="Y360" i="2"/>
  <c r="Y356" i="2"/>
  <c r="Z365" i="2"/>
  <c r="Z357" i="2"/>
  <c r="AD363" i="2"/>
  <c r="AD359" i="2"/>
  <c r="R361" i="2"/>
  <c r="AS361" i="2"/>
  <c r="V361" i="2"/>
  <c r="AR361" i="2"/>
  <c r="AQ361" i="2"/>
  <c r="AP361" i="2"/>
  <c r="AO361" i="2"/>
  <c r="AN361" i="2"/>
  <c r="AM361" i="2"/>
  <c r="AL361" i="2"/>
  <c r="AK361" i="2"/>
  <c r="AJ361" i="2"/>
  <c r="AI361" i="2"/>
  <c r="AH361" i="2"/>
  <c r="AG361" i="2"/>
  <c r="AF361" i="2"/>
  <c r="AE361" i="2"/>
  <c r="AA362" i="2"/>
  <c r="AA358" i="2"/>
  <c r="AA354" i="2"/>
  <c r="AB364" i="2"/>
  <c r="AB360" i="2"/>
  <c r="AB356" i="2"/>
  <c r="AC362" i="2"/>
  <c r="AC358" i="2"/>
  <c r="AC354" i="2"/>
  <c r="AS267" i="2"/>
  <c r="R267" i="2"/>
  <c r="V267" i="2"/>
  <c r="F443" i="35" s="1"/>
  <c r="AR267" i="2"/>
  <c r="AQ267" i="2"/>
  <c r="AP267" i="2"/>
  <c r="AO267" i="2"/>
  <c r="AN267" i="2"/>
  <c r="AM267" i="2"/>
  <c r="AL267" i="2"/>
  <c r="AK267" i="2"/>
  <c r="AJ267" i="2"/>
  <c r="AS259" i="2"/>
  <c r="R259" i="2"/>
  <c r="V259" i="2"/>
  <c r="AR259" i="2"/>
  <c r="AQ259" i="2"/>
  <c r="AP259" i="2"/>
  <c r="AO259" i="2"/>
  <c r="AN259" i="2"/>
  <c r="AM259" i="2"/>
  <c r="AL259" i="2"/>
  <c r="AK259" i="2"/>
  <c r="AJ259" i="2"/>
  <c r="AI259" i="2"/>
  <c r="AA269" i="2"/>
  <c r="AA265" i="2"/>
  <c r="AA261" i="2"/>
  <c r="AA257" i="2"/>
  <c r="AB267" i="2"/>
  <c r="AB263" i="2"/>
  <c r="AB259" i="2"/>
  <c r="AB255" i="2"/>
  <c r="AC269" i="2"/>
  <c r="AC265" i="2"/>
  <c r="AC261" i="2"/>
  <c r="AC257" i="2"/>
  <c r="AS266" i="2"/>
  <c r="R266" i="2"/>
  <c r="AR266" i="2"/>
  <c r="AQ266" i="2"/>
  <c r="AP266" i="2"/>
  <c r="AO266" i="2"/>
  <c r="AN266" i="2"/>
  <c r="AM266" i="2"/>
  <c r="AL266" i="2"/>
  <c r="AK266" i="2"/>
  <c r="AJ266" i="2"/>
  <c r="V266" i="2"/>
  <c r="P443" i="35" s="1"/>
  <c r="AS258" i="2"/>
  <c r="R258" i="2"/>
  <c r="AR258" i="2"/>
  <c r="AQ258" i="2"/>
  <c r="AP258" i="2"/>
  <c r="AO258" i="2"/>
  <c r="AN258" i="2"/>
  <c r="AM258" i="2"/>
  <c r="AL258" i="2"/>
  <c r="AK258" i="2"/>
  <c r="AJ258" i="2"/>
  <c r="AI258" i="2"/>
  <c r="V258" i="2"/>
  <c r="W266" i="2"/>
  <c r="W262" i="2"/>
  <c r="W258" i="2"/>
  <c r="X268" i="2"/>
  <c r="X264" i="2"/>
  <c r="X260" i="2"/>
  <c r="X256" i="2"/>
  <c r="Y266" i="2"/>
  <c r="Y262" i="2"/>
  <c r="Y258" i="2"/>
  <c r="Z267" i="2"/>
  <c r="Z263" i="2"/>
  <c r="Z259" i="2"/>
  <c r="Z255" i="2"/>
  <c r="AD269" i="2"/>
  <c r="AD265" i="2"/>
  <c r="AD261" i="2"/>
  <c r="AD257" i="2"/>
  <c r="AE269" i="2"/>
  <c r="AE265" i="2"/>
  <c r="AE261" i="2"/>
  <c r="AE257" i="2"/>
  <c r="AF269" i="2"/>
  <c r="AF265" i="2"/>
  <c r="AF261" i="2"/>
  <c r="AF257" i="2"/>
  <c r="AG269" i="2"/>
  <c r="AG265" i="2"/>
  <c r="AG261" i="2"/>
  <c r="AG257" i="2"/>
  <c r="AH269" i="2"/>
  <c r="AH265" i="2"/>
  <c r="AH261" i="2"/>
  <c r="AI269" i="2"/>
  <c r="AI261" i="2"/>
  <c r="AS265" i="2"/>
  <c r="R265" i="2"/>
  <c r="AR265" i="2"/>
  <c r="AQ265" i="2"/>
  <c r="AP265" i="2"/>
  <c r="AO265" i="2"/>
  <c r="AN265" i="2"/>
  <c r="AM265" i="2"/>
  <c r="AL265" i="2"/>
  <c r="AK265" i="2"/>
  <c r="AJ265" i="2"/>
  <c r="V265" i="2"/>
  <c r="K443" i="35" s="1"/>
  <c r="AS257" i="2"/>
  <c r="R257" i="2"/>
  <c r="AR257" i="2"/>
  <c r="AQ257" i="2"/>
  <c r="AP257" i="2"/>
  <c r="AO257" i="2"/>
  <c r="AN257" i="2"/>
  <c r="AM257" i="2"/>
  <c r="AL257" i="2"/>
  <c r="AK257" i="2"/>
  <c r="AJ257" i="2"/>
  <c r="AI257" i="2"/>
  <c r="V257" i="2"/>
  <c r="L443" i="35" s="1"/>
  <c r="AA268" i="2"/>
  <c r="AA264" i="2"/>
  <c r="AA260" i="2"/>
  <c r="AA256" i="2"/>
  <c r="AB266" i="2"/>
  <c r="AB262" i="2"/>
  <c r="AB258" i="2"/>
  <c r="AC268" i="2"/>
  <c r="AC260" i="2"/>
  <c r="AI260" i="2"/>
  <c r="R264" i="2"/>
  <c r="AR264" i="2"/>
  <c r="AQ264" i="2"/>
  <c r="AP264" i="2"/>
  <c r="AO264" i="2"/>
  <c r="AN264" i="2"/>
  <c r="AM264" i="2"/>
  <c r="AL264" i="2"/>
  <c r="AK264" i="2"/>
  <c r="AJ264" i="2"/>
  <c r="V264" i="2"/>
  <c r="AS264" i="2"/>
  <c r="R256" i="2"/>
  <c r="AR256" i="2"/>
  <c r="AQ256" i="2"/>
  <c r="AP256" i="2"/>
  <c r="AO256" i="2"/>
  <c r="AN256" i="2"/>
  <c r="AM256" i="2"/>
  <c r="AL256" i="2"/>
  <c r="AK256" i="2"/>
  <c r="AJ256" i="2"/>
  <c r="AI256" i="2"/>
  <c r="V256" i="2"/>
  <c r="M443" i="35" s="1"/>
  <c r="AS256" i="2"/>
  <c r="W269" i="2"/>
  <c r="W265" i="2"/>
  <c r="W261" i="2"/>
  <c r="W257" i="2"/>
  <c r="X267" i="2"/>
  <c r="X259" i="2"/>
  <c r="Y269" i="2"/>
  <c r="Y265" i="2"/>
  <c r="Y261" i="2"/>
  <c r="Y257" i="2"/>
  <c r="Z266" i="2"/>
  <c r="Z258" i="2"/>
  <c r="AD268" i="2"/>
  <c r="AD264" i="2"/>
  <c r="AD260" i="2"/>
  <c r="AD256" i="2"/>
  <c r="AE268" i="2"/>
  <c r="AE264" i="2"/>
  <c r="AE260" i="2"/>
  <c r="AE256" i="2"/>
  <c r="AF268" i="2"/>
  <c r="AF264" i="2"/>
  <c r="AF260" i="2"/>
  <c r="AF256" i="2"/>
  <c r="AG268" i="2"/>
  <c r="AG264" i="2"/>
  <c r="AG260" i="2"/>
  <c r="AG256" i="2"/>
  <c r="AH268" i="2"/>
  <c r="AH264" i="2"/>
  <c r="AH260" i="2"/>
  <c r="AH256" i="2"/>
  <c r="AI268" i="2"/>
  <c r="AI264" i="2"/>
  <c r="V263" i="2"/>
  <c r="J443" i="35" s="1"/>
  <c r="AS263" i="2"/>
  <c r="R263" i="2"/>
  <c r="AR263" i="2"/>
  <c r="AQ263" i="2"/>
  <c r="AP263" i="2"/>
  <c r="AO263" i="2"/>
  <c r="AN263" i="2"/>
  <c r="AM263" i="2"/>
  <c r="AL263" i="2"/>
  <c r="AK263" i="2"/>
  <c r="AJ263" i="2"/>
  <c r="V255" i="2"/>
  <c r="AS255" i="2"/>
  <c r="R255" i="2"/>
  <c r="AR255" i="2"/>
  <c r="AQ255" i="2"/>
  <c r="AP255" i="2"/>
  <c r="AO255" i="2"/>
  <c r="AN255" i="2"/>
  <c r="AM255" i="2"/>
  <c r="AL255" i="2"/>
  <c r="AK255" i="2"/>
  <c r="AJ255" i="2"/>
  <c r="AI255" i="2"/>
  <c r="AA267" i="2"/>
  <c r="AA263" i="2"/>
  <c r="AA259" i="2"/>
  <c r="AA255" i="2"/>
  <c r="AB269" i="2"/>
  <c r="AB265" i="2"/>
  <c r="AB261" i="2"/>
  <c r="AB257" i="2"/>
  <c r="AC267" i="2"/>
  <c r="AC263" i="2"/>
  <c r="AC259" i="2"/>
  <c r="AC255" i="2"/>
  <c r="V262" i="2"/>
  <c r="AS262" i="2"/>
  <c r="R262" i="2"/>
  <c r="AR262" i="2"/>
  <c r="AQ262" i="2"/>
  <c r="AP262" i="2"/>
  <c r="AO262" i="2"/>
  <c r="AN262" i="2"/>
  <c r="AM262" i="2"/>
  <c r="AL262" i="2"/>
  <c r="AK262" i="2"/>
  <c r="AJ262" i="2"/>
  <c r="W268" i="2"/>
  <c r="W264" i="2"/>
  <c r="W260" i="2"/>
  <c r="W256" i="2"/>
  <c r="X266" i="2"/>
  <c r="X262" i="2"/>
  <c r="X258" i="2"/>
  <c r="Y268" i="2"/>
  <c r="Y264" i="2"/>
  <c r="Y260" i="2"/>
  <c r="Y256" i="2"/>
  <c r="Z265" i="2"/>
  <c r="Z257" i="2"/>
  <c r="AD267" i="2"/>
  <c r="AD263" i="2"/>
  <c r="AD259" i="2"/>
  <c r="AD255" i="2"/>
  <c r="AE267" i="2"/>
  <c r="AE263" i="2"/>
  <c r="AE259" i="2"/>
  <c r="AE255" i="2"/>
  <c r="AF267" i="2"/>
  <c r="AF263" i="2"/>
  <c r="AF259" i="2"/>
  <c r="AF255" i="2"/>
  <c r="AG267" i="2"/>
  <c r="AG263" i="2"/>
  <c r="AG259" i="2"/>
  <c r="AG255" i="2"/>
  <c r="AH267" i="2"/>
  <c r="AH263" i="2"/>
  <c r="AH259" i="2"/>
  <c r="AH255" i="2"/>
  <c r="AI267" i="2"/>
  <c r="AI263" i="2"/>
  <c r="V269" i="2"/>
  <c r="AS269" i="2"/>
  <c r="R269" i="2"/>
  <c r="AR269" i="2"/>
  <c r="AQ269" i="2"/>
  <c r="AP269" i="2"/>
  <c r="AO269" i="2"/>
  <c r="AN269" i="2"/>
  <c r="AM269" i="2"/>
  <c r="AL269" i="2"/>
  <c r="AK269" i="2"/>
  <c r="AJ269" i="2"/>
  <c r="V261" i="2"/>
  <c r="N443" i="35" s="1"/>
  <c r="AS261" i="2"/>
  <c r="R261" i="2"/>
  <c r="AR261" i="2"/>
  <c r="AQ261" i="2"/>
  <c r="AP261" i="2"/>
  <c r="AO261" i="2"/>
  <c r="AN261" i="2"/>
  <c r="AM261" i="2"/>
  <c r="AL261" i="2"/>
  <c r="AK261" i="2"/>
  <c r="AJ261" i="2"/>
  <c r="AA266" i="2"/>
  <c r="AA262" i="2"/>
  <c r="AA258" i="2"/>
  <c r="AB264" i="2"/>
  <c r="AB256" i="2"/>
  <c r="AC266" i="2"/>
  <c r="AC262" i="2"/>
  <c r="AC258" i="2"/>
  <c r="V268" i="2"/>
  <c r="R268" i="2"/>
  <c r="AR268" i="2"/>
  <c r="AQ268" i="2"/>
  <c r="AP268" i="2"/>
  <c r="AO268" i="2"/>
  <c r="AN268" i="2"/>
  <c r="AM268" i="2"/>
  <c r="AL268" i="2"/>
  <c r="AK268" i="2"/>
  <c r="AJ268" i="2"/>
  <c r="AS268" i="2"/>
  <c r="V260" i="2"/>
  <c r="H443" i="35" s="1"/>
  <c r="R260" i="2"/>
  <c r="AR260" i="2"/>
  <c r="AQ260" i="2"/>
  <c r="AP260" i="2"/>
  <c r="AO260" i="2"/>
  <c r="AN260" i="2"/>
  <c r="AM260" i="2"/>
  <c r="AL260" i="2"/>
  <c r="AK260" i="2"/>
  <c r="AJ260" i="2"/>
  <c r="AS260" i="2"/>
  <c r="W267" i="2"/>
  <c r="W263" i="2"/>
  <c r="W259" i="2"/>
  <c r="W255" i="2"/>
  <c r="X269" i="2"/>
  <c r="X265" i="2"/>
  <c r="X261" i="2"/>
  <c r="X257" i="2"/>
  <c r="Y267" i="2"/>
  <c r="Y263" i="2"/>
  <c r="Y259" i="2"/>
  <c r="Y255" i="2"/>
  <c r="Z268" i="2"/>
  <c r="Z264" i="2"/>
  <c r="Z260" i="2"/>
  <c r="Z256" i="2"/>
  <c r="AD266" i="2"/>
  <c r="AD262" i="2"/>
  <c r="AD258" i="2"/>
  <c r="AE266" i="2"/>
  <c r="AE262" i="2"/>
  <c r="AE258" i="2"/>
  <c r="AF266" i="2"/>
  <c r="AF262" i="2"/>
  <c r="AF258" i="2"/>
  <c r="AG266" i="2"/>
  <c r="AG262" i="2"/>
  <c r="AG258" i="2"/>
  <c r="AH266" i="2"/>
  <c r="AH262" i="2"/>
  <c r="AH258" i="2"/>
  <c r="AI266" i="2"/>
  <c r="AI262" i="2"/>
  <c r="AO163" i="2"/>
  <c r="AK163" i="2"/>
  <c r="AG163" i="2"/>
  <c r="V163" i="2"/>
  <c r="AP163" i="2"/>
  <c r="AL163" i="2"/>
  <c r="AH163" i="2"/>
  <c r="AD163" i="2"/>
  <c r="R163" i="2"/>
  <c r="AS163" i="2"/>
  <c r="AQ163" i="2"/>
  <c r="AM163" i="2"/>
  <c r="AI163" i="2"/>
  <c r="AE163" i="2"/>
  <c r="AN163" i="2"/>
  <c r="AJ163" i="2"/>
  <c r="AF163" i="2"/>
  <c r="Y163" i="2"/>
  <c r="AC163" i="2"/>
  <c r="V162" i="2"/>
  <c r="AP162" i="2"/>
  <c r="AL162" i="2"/>
  <c r="AH162" i="2"/>
  <c r="AD162" i="2"/>
  <c r="R162" i="2"/>
  <c r="AS162" i="2"/>
  <c r="AQ162" i="2"/>
  <c r="AM162" i="2"/>
  <c r="AI162" i="2"/>
  <c r="AE162" i="2"/>
  <c r="AN162" i="2"/>
  <c r="AJ162" i="2"/>
  <c r="AF162" i="2"/>
  <c r="AO162" i="2"/>
  <c r="AK162" i="2"/>
  <c r="AG162" i="2"/>
  <c r="R157" i="2"/>
  <c r="AS169" i="2"/>
  <c r="AQ169" i="2"/>
  <c r="AM169" i="2"/>
  <c r="AI169" i="2"/>
  <c r="AE169" i="2"/>
  <c r="AN169" i="2"/>
  <c r="AJ169" i="2"/>
  <c r="AF169" i="2"/>
  <c r="AO169" i="2"/>
  <c r="AK169" i="2"/>
  <c r="AG169" i="2"/>
  <c r="AP169" i="2"/>
  <c r="AL169" i="2"/>
  <c r="AH169" i="2"/>
  <c r="AD169" i="2"/>
  <c r="AS161" i="2"/>
  <c r="AQ161" i="2"/>
  <c r="AM161" i="2"/>
  <c r="AI161" i="2"/>
  <c r="AE161" i="2"/>
  <c r="AN161" i="2"/>
  <c r="AJ161" i="2"/>
  <c r="AF161" i="2"/>
  <c r="AO161" i="2"/>
  <c r="AK161" i="2"/>
  <c r="AG161" i="2"/>
  <c r="AC161" i="2"/>
  <c r="AP161" i="2"/>
  <c r="AL161" i="2"/>
  <c r="AH161" i="2"/>
  <c r="AD161" i="2"/>
  <c r="AR169" i="2"/>
  <c r="AR165" i="2"/>
  <c r="AR161" i="2"/>
  <c r="AR157" i="2"/>
  <c r="W168" i="2"/>
  <c r="W164" i="2"/>
  <c r="W160" i="2"/>
  <c r="W156" i="2"/>
  <c r="X167" i="2"/>
  <c r="X163" i="2"/>
  <c r="X159" i="2"/>
  <c r="Y166" i="2"/>
  <c r="Y162" i="2"/>
  <c r="Y158" i="2"/>
  <c r="Z169" i="2"/>
  <c r="Z165" i="2"/>
  <c r="Z161" i="2"/>
  <c r="Z157" i="2"/>
  <c r="AA164" i="2"/>
  <c r="AA156" i="2"/>
  <c r="AB163" i="2"/>
  <c r="AC166" i="2"/>
  <c r="AC162" i="2"/>
  <c r="V169" i="2"/>
  <c r="R169" i="2"/>
  <c r="Q182" i="2"/>
  <c r="AN168" i="2"/>
  <c r="AJ168" i="2"/>
  <c r="AF168" i="2"/>
  <c r="AO168" i="2"/>
  <c r="AK168" i="2"/>
  <c r="AG168" i="2"/>
  <c r="AP168" i="2"/>
  <c r="AL168" i="2"/>
  <c r="AH168" i="2"/>
  <c r="AD168" i="2"/>
  <c r="R168" i="2"/>
  <c r="V168" i="2"/>
  <c r="AS168" i="2"/>
  <c r="AQ168" i="2"/>
  <c r="AM168" i="2"/>
  <c r="AI168" i="2"/>
  <c r="AE168" i="2"/>
  <c r="AN160" i="2"/>
  <c r="AJ160" i="2"/>
  <c r="AF160" i="2"/>
  <c r="AO160" i="2"/>
  <c r="AK160" i="2"/>
  <c r="AG160" i="2"/>
  <c r="AC160" i="2"/>
  <c r="AP160" i="2"/>
  <c r="AL160" i="2"/>
  <c r="AH160" i="2"/>
  <c r="AD160" i="2"/>
  <c r="R160" i="2"/>
  <c r="V160" i="2"/>
  <c r="AS160" i="2"/>
  <c r="AQ160" i="2"/>
  <c r="AM160" i="2"/>
  <c r="AI160" i="2"/>
  <c r="AE160" i="2"/>
  <c r="V161" i="2"/>
  <c r="AO167" i="2"/>
  <c r="AK167" i="2"/>
  <c r="AG167" i="2"/>
  <c r="AP167" i="2"/>
  <c r="AL167" i="2"/>
  <c r="AH167" i="2"/>
  <c r="AD167" i="2"/>
  <c r="R167" i="2"/>
  <c r="AS167" i="2"/>
  <c r="AQ167" i="2"/>
  <c r="AM167" i="2"/>
  <c r="AI167" i="2"/>
  <c r="AE167" i="2"/>
  <c r="V167" i="2"/>
  <c r="AN167" i="2"/>
  <c r="AJ167" i="2"/>
  <c r="AF167" i="2"/>
  <c r="AO159" i="2"/>
  <c r="AK159" i="2"/>
  <c r="AG159" i="2"/>
  <c r="AC159" i="2"/>
  <c r="AP159" i="2"/>
  <c r="AL159" i="2"/>
  <c r="AH159" i="2"/>
  <c r="AD159" i="2"/>
  <c r="R159" i="2"/>
  <c r="AS159" i="2"/>
  <c r="AQ159" i="2"/>
  <c r="AM159" i="2"/>
  <c r="AI159" i="2"/>
  <c r="AE159" i="2"/>
  <c r="V159" i="2"/>
  <c r="AN159" i="2"/>
  <c r="AJ159" i="2"/>
  <c r="AF159" i="2"/>
  <c r="AR168" i="2"/>
  <c r="AR164" i="2"/>
  <c r="AR160" i="2"/>
  <c r="AR156" i="2"/>
  <c r="W167" i="2"/>
  <c r="W163" i="2"/>
  <c r="W159" i="2"/>
  <c r="X166" i="2"/>
  <c r="X162" i="2"/>
  <c r="X158" i="2"/>
  <c r="Y169" i="2"/>
  <c r="Y165" i="2"/>
  <c r="Y161" i="2"/>
  <c r="Z168" i="2"/>
  <c r="Z164" i="2"/>
  <c r="Z160" i="2"/>
  <c r="Z156" i="2"/>
  <c r="AA167" i="2"/>
  <c r="AA163" i="2"/>
  <c r="AA159" i="2"/>
  <c r="AB162" i="2"/>
  <c r="AC169" i="2"/>
  <c r="R161" i="2"/>
  <c r="AP166" i="2"/>
  <c r="AL166" i="2"/>
  <c r="AH166" i="2"/>
  <c r="AD166" i="2"/>
  <c r="R166" i="2"/>
  <c r="AS166" i="2"/>
  <c r="AQ166" i="2"/>
  <c r="AM166" i="2"/>
  <c r="AI166" i="2"/>
  <c r="AE166" i="2"/>
  <c r="V166" i="2"/>
  <c r="AN166" i="2"/>
  <c r="AJ166" i="2"/>
  <c r="AF166" i="2"/>
  <c r="AO166" i="2"/>
  <c r="AK166" i="2"/>
  <c r="AG166" i="2"/>
  <c r="AP158" i="2"/>
  <c r="AL158" i="2"/>
  <c r="AH158" i="2"/>
  <c r="AD158" i="2"/>
  <c r="R158" i="2"/>
  <c r="AS158" i="2"/>
  <c r="AQ158" i="2"/>
  <c r="AM158" i="2"/>
  <c r="AI158" i="2"/>
  <c r="AE158" i="2"/>
  <c r="V158" i="2"/>
  <c r="AN158" i="2"/>
  <c r="AJ158" i="2"/>
  <c r="AF158" i="2"/>
  <c r="AO158" i="2"/>
  <c r="AK158" i="2"/>
  <c r="AG158" i="2"/>
  <c r="AC158" i="2"/>
  <c r="AS165" i="2"/>
  <c r="AQ165" i="2"/>
  <c r="AM165" i="2"/>
  <c r="AI165" i="2"/>
  <c r="AE165" i="2"/>
  <c r="AN165" i="2"/>
  <c r="AJ165" i="2"/>
  <c r="AF165" i="2"/>
  <c r="V165" i="2"/>
  <c r="AO165" i="2"/>
  <c r="AK165" i="2"/>
  <c r="AG165" i="2"/>
  <c r="AP165" i="2"/>
  <c r="AL165" i="2"/>
  <c r="AH165" i="2"/>
  <c r="AD165" i="2"/>
  <c r="AS157" i="2"/>
  <c r="AQ157" i="2"/>
  <c r="AM157" i="2"/>
  <c r="AI157" i="2"/>
  <c r="AE157" i="2"/>
  <c r="AN157" i="2"/>
  <c r="AJ157" i="2"/>
  <c r="AF157" i="2"/>
  <c r="V157" i="2"/>
  <c r="J444" i="35" s="1"/>
  <c r="AO157" i="2"/>
  <c r="AK157" i="2"/>
  <c r="AG157" i="2"/>
  <c r="AC157" i="2"/>
  <c r="AP157" i="2"/>
  <c r="AL157" i="2"/>
  <c r="AH157" i="2"/>
  <c r="AD157" i="2"/>
  <c r="AR167" i="2"/>
  <c r="AR163" i="2"/>
  <c r="AR159" i="2"/>
  <c r="W166" i="2"/>
  <c r="W162" i="2"/>
  <c r="W158" i="2"/>
  <c r="X169" i="2"/>
  <c r="X165" i="2"/>
  <c r="X161" i="2"/>
  <c r="X157" i="2"/>
  <c r="Y168" i="2"/>
  <c r="Y164" i="2"/>
  <c r="Y160" i="2"/>
  <c r="Z167" i="2"/>
  <c r="Z163" i="2"/>
  <c r="Z159" i="2"/>
  <c r="AA166" i="2"/>
  <c r="AA162" i="2"/>
  <c r="AA158" i="2"/>
  <c r="AB169" i="2"/>
  <c r="AB165" i="2"/>
  <c r="AB161" i="2"/>
  <c r="AB157" i="2"/>
  <c r="AC168" i="2"/>
  <c r="AN164" i="2"/>
  <c r="AJ164" i="2"/>
  <c r="AF164" i="2"/>
  <c r="V164" i="2"/>
  <c r="G444" i="35" s="1"/>
  <c r="AO164" i="2"/>
  <c r="AK164" i="2"/>
  <c r="AG164" i="2"/>
  <c r="AP164" i="2"/>
  <c r="AL164" i="2"/>
  <c r="AH164" i="2"/>
  <c r="AD164" i="2"/>
  <c r="R164" i="2"/>
  <c r="AS164" i="2"/>
  <c r="AQ164" i="2"/>
  <c r="AM164" i="2"/>
  <c r="AI164" i="2"/>
  <c r="AE164" i="2"/>
  <c r="AN156" i="2"/>
  <c r="AJ156" i="2"/>
  <c r="AF156" i="2"/>
  <c r="V156" i="2"/>
  <c r="AO156" i="2"/>
  <c r="AK156" i="2"/>
  <c r="AG156" i="2"/>
  <c r="AC156" i="2"/>
  <c r="AP156" i="2"/>
  <c r="AL156" i="2"/>
  <c r="AH156" i="2"/>
  <c r="AD156" i="2"/>
  <c r="R156" i="2"/>
  <c r="AS156" i="2"/>
  <c r="AQ156" i="2"/>
  <c r="AM156" i="2"/>
  <c r="AI156" i="2"/>
  <c r="AE156" i="2"/>
  <c r="R165" i="2"/>
  <c r="V62" i="2"/>
  <c r="AS62" i="2"/>
  <c r="AP62" i="2"/>
  <c r="AN62" i="2"/>
  <c r="AL62" i="2"/>
  <c r="AJ62" i="2"/>
  <c r="AH62" i="2"/>
  <c r="AF62" i="2"/>
  <c r="AD62" i="2"/>
  <c r="AB62" i="2"/>
  <c r="Z62" i="2"/>
  <c r="X62" i="2"/>
  <c r="R62" i="2"/>
  <c r="AR62" i="2"/>
  <c r="AQ62" i="2"/>
  <c r="AO62" i="2"/>
  <c r="AM62" i="2"/>
  <c r="AK62" i="2"/>
  <c r="AI62" i="2"/>
  <c r="AG62" i="2"/>
  <c r="AE62" i="2"/>
  <c r="AC62" i="2"/>
  <c r="AA62" i="2"/>
  <c r="Y62" i="2"/>
  <c r="W62" i="2"/>
  <c r="V61" i="2"/>
  <c r="G445" i="35" s="1"/>
  <c r="AS61" i="2"/>
  <c r="AP61" i="2"/>
  <c r="AN61" i="2"/>
  <c r="AL61" i="2"/>
  <c r="AJ61" i="2"/>
  <c r="AH61" i="2"/>
  <c r="AF61" i="2"/>
  <c r="AD61" i="2"/>
  <c r="AB61" i="2"/>
  <c r="Z61" i="2"/>
  <c r="X61" i="2"/>
  <c r="R61" i="2"/>
  <c r="AR61" i="2"/>
  <c r="AQ61" i="2"/>
  <c r="AO61" i="2"/>
  <c r="AM61" i="2"/>
  <c r="AK61" i="2"/>
  <c r="AI61" i="2"/>
  <c r="AG61" i="2"/>
  <c r="AE61" i="2"/>
  <c r="AC61" i="2"/>
  <c r="AA61" i="2"/>
  <c r="Y61" i="2"/>
  <c r="W61" i="2"/>
  <c r="R60" i="2"/>
  <c r="AR60" i="2"/>
  <c r="AQ60" i="2"/>
  <c r="AO60" i="2"/>
  <c r="AM60" i="2"/>
  <c r="AK60" i="2"/>
  <c r="AI60" i="2"/>
  <c r="AG60" i="2"/>
  <c r="AE60" i="2"/>
  <c r="AC60" i="2"/>
  <c r="AA60" i="2"/>
  <c r="Y60" i="2"/>
  <c r="W60" i="2"/>
  <c r="V60" i="2"/>
  <c r="AS60" i="2"/>
  <c r="AP60" i="2"/>
  <c r="AN60" i="2"/>
  <c r="AL60" i="2"/>
  <c r="AJ60" i="2"/>
  <c r="AH60" i="2"/>
  <c r="AF60" i="2"/>
  <c r="AD60" i="2"/>
  <c r="AB60" i="2"/>
  <c r="Z60" i="2"/>
  <c r="X60" i="2"/>
  <c r="R59" i="2"/>
  <c r="AR59" i="2"/>
  <c r="AQ59" i="2"/>
  <c r="AO59" i="2"/>
  <c r="AM59" i="2"/>
  <c r="AK59" i="2"/>
  <c r="AI59" i="2"/>
  <c r="AG59" i="2"/>
  <c r="AE59" i="2"/>
  <c r="AC59" i="2"/>
  <c r="AA59" i="2"/>
  <c r="Y59" i="2"/>
  <c r="AS59" i="2"/>
  <c r="AP59" i="2"/>
  <c r="AN59" i="2"/>
  <c r="AL59" i="2"/>
  <c r="AJ59" i="2"/>
  <c r="AH59" i="2"/>
  <c r="AF59" i="2"/>
  <c r="AD59" i="2"/>
  <c r="AB59" i="2"/>
  <c r="Z59" i="2"/>
  <c r="X59" i="2"/>
  <c r="V59" i="2"/>
  <c r="AS58" i="2"/>
  <c r="AP58" i="2"/>
  <c r="AN58" i="2"/>
  <c r="AL58" i="2"/>
  <c r="AJ58" i="2"/>
  <c r="AH58" i="2"/>
  <c r="AF58" i="2"/>
  <c r="AD58" i="2"/>
  <c r="AB58" i="2"/>
  <c r="Z58" i="2"/>
  <c r="X58" i="2"/>
  <c r="V58" i="2"/>
  <c r="R58" i="2"/>
  <c r="AR58" i="2"/>
  <c r="AQ58" i="2"/>
  <c r="AO58" i="2"/>
  <c r="AM58" i="2"/>
  <c r="AK58" i="2"/>
  <c r="AI58" i="2"/>
  <c r="AG58" i="2"/>
  <c r="AE58" i="2"/>
  <c r="AC58" i="2"/>
  <c r="AA58" i="2"/>
  <c r="Y58" i="2"/>
  <c r="AS57" i="2"/>
  <c r="AP57" i="2"/>
  <c r="AN57" i="2"/>
  <c r="AL57" i="2"/>
  <c r="AJ57" i="2"/>
  <c r="AH57" i="2"/>
  <c r="AF57" i="2"/>
  <c r="AD57" i="2"/>
  <c r="AB57" i="2"/>
  <c r="Z57" i="2"/>
  <c r="X57" i="2"/>
  <c r="V57" i="2"/>
  <c r="R57" i="2"/>
  <c r="AR57" i="2"/>
  <c r="AQ57" i="2"/>
  <c r="AO57" i="2"/>
  <c r="AM57" i="2"/>
  <c r="AK57" i="2"/>
  <c r="AI57" i="2"/>
  <c r="AG57" i="2"/>
  <c r="AE57" i="2"/>
  <c r="AC57" i="2"/>
  <c r="AA57" i="2"/>
  <c r="Y57" i="2"/>
  <c r="W57" i="2"/>
  <c r="Q83" i="2"/>
  <c r="R382" i="35"/>
  <c r="R380" i="35"/>
  <c r="S382" i="35"/>
  <c r="S379" i="35"/>
  <c r="G5" i="21"/>
  <c r="G8" i="21"/>
  <c r="AA128" i="35"/>
  <c r="Q426" i="35"/>
  <c r="X145" i="35"/>
  <c r="AA126" i="35"/>
  <c r="R122" i="35"/>
  <c r="X141" i="35"/>
  <c r="Z141" i="35"/>
  <c r="F136" i="35"/>
  <c r="W136" i="35" s="1"/>
  <c r="X142" i="35"/>
  <c r="Z142" i="35"/>
  <c r="F319" i="35"/>
  <c r="R424" i="35"/>
  <c r="Z143" i="35"/>
  <c r="AA143" i="35"/>
  <c r="G13" i="21"/>
  <c r="G12" i="21"/>
  <c r="G6" i="21"/>
  <c r="G16" i="21"/>
  <c r="G9" i="21"/>
  <c r="G17" i="21"/>
  <c r="G7" i="21"/>
  <c r="G15" i="21"/>
  <c r="G4" i="21"/>
  <c r="F90" i="21"/>
  <c r="F101" i="21"/>
  <c r="G11" i="21"/>
  <c r="G3" i="21"/>
  <c r="C97" i="21"/>
  <c r="C89" i="21"/>
  <c r="C96" i="21"/>
  <c r="C100" i="21"/>
  <c r="K317" i="35"/>
  <c r="S425" i="35"/>
  <c r="R425" i="35"/>
  <c r="Z127" i="35"/>
  <c r="N122" i="35"/>
  <c r="AA145" i="35"/>
  <c r="O122" i="35"/>
  <c r="J318" i="35"/>
  <c r="M318" i="35"/>
  <c r="J319" i="35"/>
  <c r="Q122" i="35"/>
  <c r="Q381" i="35"/>
  <c r="AB126" i="35"/>
  <c r="K309" i="35"/>
  <c r="G146" i="35"/>
  <c r="S122" i="35"/>
  <c r="F123" i="35"/>
  <c r="F124" i="35"/>
  <c r="F125" i="35"/>
  <c r="W125" i="35" s="1"/>
  <c r="F129" i="35"/>
  <c r="W129" i="35" s="1"/>
  <c r="F135" i="35"/>
  <c r="F144" i="35"/>
  <c r="S426" i="35"/>
  <c r="T122" i="35"/>
  <c r="F126" i="35"/>
  <c r="F127" i="35"/>
  <c r="F128" i="35"/>
  <c r="F134" i="35"/>
  <c r="Z139" i="35"/>
  <c r="Z140" i="35"/>
  <c r="F143" i="35"/>
  <c r="S143" i="35" s="1"/>
  <c r="U122" i="35"/>
  <c r="F132" i="35"/>
  <c r="F133" i="35"/>
  <c r="F142" i="35"/>
  <c r="T142" i="35" s="1"/>
  <c r="V122" i="35"/>
  <c r="F141" i="35"/>
  <c r="J146" i="35"/>
  <c r="W122" i="35"/>
  <c r="F131" i="35"/>
  <c r="W131" i="35" s="1"/>
  <c r="F138" i="35"/>
  <c r="F139" i="35"/>
  <c r="F140" i="35"/>
  <c r="X144" i="35"/>
  <c r="K146" i="35"/>
  <c r="Z124" i="35"/>
  <c r="AA125" i="35"/>
  <c r="Z144" i="35"/>
  <c r="L146" i="35"/>
  <c r="F130" i="35"/>
  <c r="W130" i="35" s="1"/>
  <c r="F137" i="35"/>
  <c r="I381" i="35"/>
  <c r="E146" i="35"/>
  <c r="F146" i="35"/>
  <c r="H146" i="35"/>
  <c r="R423" i="35"/>
  <c r="F307" i="35"/>
  <c r="F317" i="35"/>
  <c r="G319" i="35"/>
  <c r="F318" i="35"/>
  <c r="L318" i="35"/>
  <c r="Y135" i="35"/>
  <c r="X135" i="35"/>
  <c r="AB135" i="35"/>
  <c r="AA135" i="35"/>
  <c r="Z135" i="35"/>
  <c r="Y132" i="35"/>
  <c r="X132" i="35"/>
  <c r="AB132" i="35"/>
  <c r="Y136" i="35"/>
  <c r="X136" i="35"/>
  <c r="AB136" i="35"/>
  <c r="AA136" i="35"/>
  <c r="Z136" i="35"/>
  <c r="Y123" i="35"/>
  <c r="X123" i="35"/>
  <c r="Y131" i="35"/>
  <c r="X131" i="35"/>
  <c r="AB131" i="35"/>
  <c r="Y130" i="35"/>
  <c r="X130" i="35"/>
  <c r="AB130" i="35"/>
  <c r="AA123" i="35"/>
  <c r="Y124" i="35"/>
  <c r="X124" i="35"/>
  <c r="Y129" i="35"/>
  <c r="X129" i="35"/>
  <c r="AB129" i="35"/>
  <c r="Z132" i="35"/>
  <c r="AB123" i="35"/>
  <c r="Y128" i="35"/>
  <c r="X128" i="35"/>
  <c r="AB128" i="35"/>
  <c r="Z131" i="35"/>
  <c r="AA132" i="35"/>
  <c r="Y125" i="35"/>
  <c r="X125" i="35"/>
  <c r="Y127" i="35"/>
  <c r="X127" i="35"/>
  <c r="AB127" i="35"/>
  <c r="Z130" i="35"/>
  <c r="AA131" i="35"/>
  <c r="Y133" i="35"/>
  <c r="X133" i="35"/>
  <c r="AB133" i="35"/>
  <c r="Z133" i="35"/>
  <c r="AB124" i="35"/>
  <c r="Z125" i="35"/>
  <c r="Y126" i="35"/>
  <c r="X126" i="35"/>
  <c r="Z129" i="35"/>
  <c r="AA130" i="35"/>
  <c r="Y134" i="35"/>
  <c r="X134" i="35"/>
  <c r="AB134" i="35"/>
  <c r="AA134" i="35"/>
  <c r="Z134" i="35"/>
  <c r="Z137" i="35"/>
  <c r="Z138" i="35"/>
  <c r="H122" i="35"/>
  <c r="E145" i="35"/>
  <c r="AA137" i="35"/>
  <c r="AA138" i="35"/>
  <c r="AB137" i="35"/>
  <c r="AB138" i="35"/>
  <c r="AB139" i="35"/>
  <c r="AB140" i="35"/>
  <c r="AB141" i="35"/>
  <c r="Y141" i="35"/>
  <c r="AB142" i="35"/>
  <c r="Y142" i="35"/>
  <c r="AB143" i="35"/>
  <c r="Y143" i="35"/>
  <c r="AB144" i="35"/>
  <c r="Y144" i="35"/>
  <c r="M146" i="35"/>
  <c r="E123" i="35"/>
  <c r="E124" i="35"/>
  <c r="E125" i="35"/>
  <c r="E126" i="35"/>
  <c r="E127" i="35"/>
  <c r="E128" i="35"/>
  <c r="E129" i="35"/>
  <c r="E130" i="35"/>
  <c r="E131" i="35"/>
  <c r="E132" i="35"/>
  <c r="E133" i="35"/>
  <c r="E134" i="35"/>
  <c r="E135" i="35"/>
  <c r="E136" i="35"/>
  <c r="E137" i="35"/>
  <c r="E138" i="35"/>
  <c r="E139" i="35"/>
  <c r="E140" i="35"/>
  <c r="AB145" i="35"/>
  <c r="Y145" i="35"/>
  <c r="I146" i="35"/>
  <c r="X137" i="35"/>
  <c r="X138" i="35"/>
  <c r="X139" i="35"/>
  <c r="X140" i="35"/>
  <c r="E141" i="35"/>
  <c r="E142" i="35"/>
  <c r="E143" i="35"/>
  <c r="E144" i="35"/>
  <c r="Y137" i="35"/>
  <c r="Y138" i="35"/>
  <c r="Y139" i="35"/>
  <c r="Y140" i="35"/>
  <c r="Q382" i="35"/>
  <c r="I382" i="35"/>
  <c r="G309" i="35"/>
  <c r="G318" i="35"/>
  <c r="K319" i="35"/>
  <c r="Q425" i="35"/>
  <c r="I425" i="35"/>
  <c r="S381" i="35"/>
  <c r="J317" i="35"/>
  <c r="K318" i="35"/>
  <c r="R379" i="35"/>
  <c r="S380" i="35"/>
  <c r="R426" i="35"/>
  <c r="Q380" i="35"/>
  <c r="I380" i="35"/>
  <c r="R381" i="35"/>
  <c r="AF34" i="36"/>
  <c r="AH144" i="36"/>
  <c r="AH140" i="36"/>
  <c r="AH138" i="36"/>
  <c r="AH136" i="36"/>
  <c r="AH132" i="36"/>
  <c r="AH128" i="36"/>
  <c r="AG122" i="36"/>
  <c r="AH125" i="36"/>
  <c r="AH124" i="36"/>
  <c r="AF122" i="36"/>
  <c r="AE122" i="36"/>
  <c r="AD122" i="36"/>
  <c r="AC122" i="36"/>
  <c r="W132" i="36"/>
  <c r="V132" i="36"/>
  <c r="U132" i="36"/>
  <c r="T132" i="36"/>
  <c r="S132" i="36"/>
  <c r="W140" i="36"/>
  <c r="V140" i="36"/>
  <c r="U140" i="36"/>
  <c r="T140" i="36"/>
  <c r="S140" i="36"/>
  <c r="T125" i="36"/>
  <c r="S125" i="36"/>
  <c r="U125" i="36"/>
  <c r="W125" i="36"/>
  <c r="V125" i="36"/>
  <c r="Q128" i="36"/>
  <c r="P128" i="36"/>
  <c r="N128" i="36"/>
  <c r="R128" i="36"/>
  <c r="O128" i="36"/>
  <c r="Q136" i="36"/>
  <c r="P136" i="36"/>
  <c r="O136" i="36"/>
  <c r="N136" i="36"/>
  <c r="R136" i="36"/>
  <c r="Q144" i="36"/>
  <c r="P144" i="36"/>
  <c r="O144" i="36"/>
  <c r="N144" i="36"/>
  <c r="R144" i="36"/>
  <c r="Q126" i="36"/>
  <c r="P126" i="36"/>
  <c r="R126" i="36"/>
  <c r="O126" i="36"/>
  <c r="N126" i="36"/>
  <c r="W133" i="36"/>
  <c r="V133" i="36"/>
  <c r="U133" i="36"/>
  <c r="S133" i="36"/>
  <c r="T133" i="36"/>
  <c r="W141" i="36"/>
  <c r="V141" i="36"/>
  <c r="U141" i="36"/>
  <c r="T141" i="36"/>
  <c r="S141" i="36"/>
  <c r="Q129" i="36"/>
  <c r="P129" i="36"/>
  <c r="N129" i="36"/>
  <c r="AH129" i="36"/>
  <c r="R129" i="36"/>
  <c r="O129" i="36"/>
  <c r="Q137" i="36"/>
  <c r="P137" i="36"/>
  <c r="O137" i="36"/>
  <c r="N137" i="36"/>
  <c r="R137" i="36"/>
  <c r="AH137" i="36"/>
  <c r="Q145" i="36"/>
  <c r="P145" i="36"/>
  <c r="O145" i="36"/>
  <c r="N145" i="36"/>
  <c r="R145" i="36"/>
  <c r="AH145" i="36"/>
  <c r="AI145" i="36"/>
  <c r="AI144" i="36"/>
  <c r="AI143" i="36"/>
  <c r="AI142" i="36"/>
  <c r="AI141" i="36"/>
  <c r="AI140" i="36"/>
  <c r="AI139" i="36"/>
  <c r="AI135" i="36"/>
  <c r="AI130" i="36"/>
  <c r="AI129" i="36"/>
  <c r="AI128" i="36"/>
  <c r="AI124" i="36"/>
  <c r="AI138" i="36"/>
  <c r="AI133" i="36"/>
  <c r="AI127" i="36"/>
  <c r="AI125" i="36"/>
  <c r="AI122" i="36"/>
  <c r="AI137" i="36"/>
  <c r="AI131" i="36"/>
  <c r="AI123" i="36"/>
  <c r="AI134" i="36"/>
  <c r="AI132" i="36"/>
  <c r="AI136" i="36"/>
  <c r="AI126" i="36"/>
  <c r="V128" i="36"/>
  <c r="U128" i="36"/>
  <c r="T128" i="36"/>
  <c r="S128" i="36"/>
  <c r="W128" i="36"/>
  <c r="W134" i="36"/>
  <c r="V134" i="36"/>
  <c r="U134" i="36"/>
  <c r="T134" i="36"/>
  <c r="S134" i="36"/>
  <c r="W142" i="36"/>
  <c r="V142" i="36"/>
  <c r="U142" i="36"/>
  <c r="T142" i="36"/>
  <c r="S142" i="36"/>
  <c r="W124" i="36"/>
  <c r="S124" i="36"/>
  <c r="V124" i="36"/>
  <c r="U124" i="36"/>
  <c r="T124" i="36"/>
  <c r="Q130" i="36"/>
  <c r="P130" i="36"/>
  <c r="N130" i="36"/>
  <c r="R130" i="36"/>
  <c r="O130" i="36"/>
  <c r="Q138" i="36"/>
  <c r="P138" i="36"/>
  <c r="O138" i="36"/>
  <c r="N138" i="36"/>
  <c r="R138" i="36"/>
  <c r="W135" i="36"/>
  <c r="V135" i="36"/>
  <c r="U135" i="36"/>
  <c r="T135" i="36"/>
  <c r="S135" i="36"/>
  <c r="W143" i="36"/>
  <c r="V143" i="36"/>
  <c r="U143" i="36"/>
  <c r="T143" i="36"/>
  <c r="S143" i="36"/>
  <c r="Q131" i="36"/>
  <c r="P131" i="36"/>
  <c r="O131" i="36"/>
  <c r="N131" i="36"/>
  <c r="R131" i="36"/>
  <c r="Q139" i="36"/>
  <c r="P139" i="36"/>
  <c r="O139" i="36"/>
  <c r="N139" i="36"/>
  <c r="R139" i="36"/>
  <c r="U126" i="36"/>
  <c r="S126" i="36"/>
  <c r="W126" i="36"/>
  <c r="V126" i="36"/>
  <c r="T126" i="36"/>
  <c r="W136" i="36"/>
  <c r="V136" i="36"/>
  <c r="U136" i="36"/>
  <c r="T136" i="36"/>
  <c r="S136" i="36"/>
  <c r="W144" i="36"/>
  <c r="V144" i="36"/>
  <c r="U144" i="36"/>
  <c r="T144" i="36"/>
  <c r="S144" i="36"/>
  <c r="W123" i="36"/>
  <c r="S123" i="36"/>
  <c r="V123" i="36"/>
  <c r="U123" i="36"/>
  <c r="T123" i="36"/>
  <c r="Q132" i="36"/>
  <c r="P132" i="36"/>
  <c r="O132" i="36"/>
  <c r="N132" i="36"/>
  <c r="R132" i="36"/>
  <c r="Q140" i="36"/>
  <c r="P140" i="36"/>
  <c r="O140" i="36"/>
  <c r="N140" i="36"/>
  <c r="R140" i="36"/>
  <c r="V129" i="36"/>
  <c r="U129" i="36"/>
  <c r="T129" i="36"/>
  <c r="S129" i="36"/>
  <c r="W129" i="36"/>
  <c r="W137" i="36"/>
  <c r="V137" i="36"/>
  <c r="U137" i="36"/>
  <c r="T137" i="36"/>
  <c r="S137" i="36"/>
  <c r="W145" i="36"/>
  <c r="V145" i="36"/>
  <c r="U145" i="36"/>
  <c r="T145" i="36"/>
  <c r="S145" i="36"/>
  <c r="Q133" i="36"/>
  <c r="P133" i="36"/>
  <c r="O133" i="36"/>
  <c r="N133" i="36"/>
  <c r="R133" i="36"/>
  <c r="AH133" i="36"/>
  <c r="Q141" i="36"/>
  <c r="P141" i="36"/>
  <c r="O141" i="36"/>
  <c r="N141" i="36"/>
  <c r="AH141" i="36"/>
  <c r="R141" i="36"/>
  <c r="V130" i="36"/>
  <c r="U130" i="36"/>
  <c r="T130" i="36"/>
  <c r="S130" i="36"/>
  <c r="W130" i="36"/>
  <c r="W138" i="36"/>
  <c r="V138" i="36"/>
  <c r="U138" i="36"/>
  <c r="T138" i="36"/>
  <c r="S138" i="36"/>
  <c r="Q134" i="36"/>
  <c r="P134" i="36"/>
  <c r="O134" i="36"/>
  <c r="N134" i="36"/>
  <c r="R134" i="36"/>
  <c r="AH134" i="36"/>
  <c r="Q142" i="36"/>
  <c r="P142" i="36"/>
  <c r="O142" i="36"/>
  <c r="N142" i="36"/>
  <c r="AH142" i="36"/>
  <c r="R142" i="36"/>
  <c r="AH122" i="36"/>
  <c r="B122" i="36" s="1"/>
  <c r="W131" i="36"/>
  <c r="V131" i="36"/>
  <c r="U131" i="36"/>
  <c r="T131" i="36"/>
  <c r="S131" i="36"/>
  <c r="W139" i="36"/>
  <c r="V139" i="36"/>
  <c r="U139" i="36"/>
  <c r="T139" i="36"/>
  <c r="S139" i="36"/>
  <c r="Q127" i="36"/>
  <c r="P127" i="36"/>
  <c r="N127" i="36"/>
  <c r="R127" i="36"/>
  <c r="O127" i="36"/>
  <c r="Q135" i="36"/>
  <c r="P135" i="36"/>
  <c r="O135" i="36"/>
  <c r="N135" i="36"/>
  <c r="R135" i="36"/>
  <c r="Q143" i="36"/>
  <c r="P143" i="36"/>
  <c r="O143" i="36"/>
  <c r="N143" i="36"/>
  <c r="R143" i="36"/>
  <c r="AF34" i="35"/>
  <c r="B366" i="35" s="1"/>
  <c r="B61" i="32"/>
  <c r="L445" i="35" l="1"/>
  <c r="D442" i="35"/>
  <c r="D447" i="35"/>
  <c r="K447" i="35"/>
  <c r="U363" i="35"/>
  <c r="AU498" i="2"/>
  <c r="AU541" i="2" s="1"/>
  <c r="AU542" i="2" s="1"/>
  <c r="X32" i="5"/>
  <c r="N150" i="36" s="1"/>
  <c r="N177" i="36" s="1"/>
  <c r="L433" i="35"/>
  <c r="G433" i="35"/>
  <c r="C251" i="17"/>
  <c r="Q509" i="2"/>
  <c r="U343" i="35"/>
  <c r="AU230" i="2"/>
  <c r="AU509" i="2" s="1"/>
  <c r="S12" i="5"/>
  <c r="U12" i="5"/>
  <c r="H429" i="36"/>
  <c r="Z433" i="35"/>
  <c r="T30" i="10"/>
  <c r="V30" i="10"/>
  <c r="AU150" i="5"/>
  <c r="AU518" i="5" s="1"/>
  <c r="E243" i="26"/>
  <c r="F243" i="26" s="1"/>
  <c r="E206" i="26"/>
  <c r="F206" i="26" s="1"/>
  <c r="E271" i="26"/>
  <c r="F271" i="26" s="1"/>
  <c r="T400" i="36"/>
  <c r="D382" i="36"/>
  <c r="K383" i="36"/>
  <c r="E293" i="26"/>
  <c r="F293" i="26" s="1"/>
  <c r="D383" i="36"/>
  <c r="T401" i="36"/>
  <c r="E12" i="26"/>
  <c r="F12" i="26" s="1"/>
  <c r="E390" i="26"/>
  <c r="F390" i="26" s="1"/>
  <c r="D380" i="36"/>
  <c r="T380" i="36" s="1"/>
  <c r="T398" i="36"/>
  <c r="K382" i="36"/>
  <c r="T394" i="36"/>
  <c r="K381" i="36"/>
  <c r="E11" i="26"/>
  <c r="F11" i="26" s="1"/>
  <c r="J383" i="36"/>
  <c r="T395" i="36"/>
  <c r="H381" i="36"/>
  <c r="T393" i="36"/>
  <c r="D379" i="36"/>
  <c r="T397" i="36"/>
  <c r="D381" i="36"/>
  <c r="T399" i="36"/>
  <c r="E33" i="26"/>
  <c r="F33" i="26" s="1"/>
  <c r="E172" i="26"/>
  <c r="F172" i="26" s="1"/>
  <c r="P382" i="36"/>
  <c r="AU447" i="2"/>
  <c r="AU521" i="2" s="1"/>
  <c r="AN353" i="35"/>
  <c r="E152" i="15"/>
  <c r="F152" i="15" s="1"/>
  <c r="E243" i="15"/>
  <c r="F243" i="15" s="1"/>
  <c r="E186" i="15"/>
  <c r="F186" i="15" s="1"/>
  <c r="E390" i="15"/>
  <c r="F390" i="15" s="1"/>
  <c r="N11" i="25" s="1"/>
  <c r="J11" i="25" s="1"/>
  <c r="E62" i="15"/>
  <c r="F62" i="15" s="1"/>
  <c r="E12" i="15"/>
  <c r="F12" i="15" s="1"/>
  <c r="N444" i="35"/>
  <c r="D444" i="35"/>
  <c r="E271" i="15"/>
  <c r="F271" i="15" s="1"/>
  <c r="E78" i="15"/>
  <c r="F78" i="15" s="1"/>
  <c r="E194" i="15"/>
  <c r="F194" i="15" s="1"/>
  <c r="E293" i="15"/>
  <c r="F293" i="15" s="1"/>
  <c r="E206" i="15"/>
  <c r="F206" i="15" s="1"/>
  <c r="E47" i="15"/>
  <c r="F47" i="15" s="1"/>
  <c r="U354" i="35"/>
  <c r="U336" i="35" s="1"/>
  <c r="U356" i="35"/>
  <c r="U338" i="35" s="1"/>
  <c r="AN354" i="35"/>
  <c r="AN336" i="35" s="1"/>
  <c r="U357" i="35"/>
  <c r="AN356" i="35"/>
  <c r="AN338" i="35" s="1"/>
  <c r="U353" i="35"/>
  <c r="AU32" i="5"/>
  <c r="AU507" i="5" s="1"/>
  <c r="AN341" i="35"/>
  <c r="AN357" i="35"/>
  <c r="AN339" i="35" s="1"/>
  <c r="U355" i="35"/>
  <c r="AN355" i="35"/>
  <c r="D433" i="35"/>
  <c r="U341" i="35"/>
  <c r="AU249" i="2"/>
  <c r="AU519" i="2" s="1"/>
  <c r="D17" i="15"/>
  <c r="D283" i="15"/>
  <c r="D411" i="15"/>
  <c r="D143" i="15"/>
  <c r="D110" i="15"/>
  <c r="D210" i="15"/>
  <c r="D370" i="15"/>
  <c r="D381" i="15"/>
  <c r="D470" i="15"/>
  <c r="D117" i="15"/>
  <c r="D217" i="15"/>
  <c r="D388" i="15"/>
  <c r="D477" i="15"/>
  <c r="D259" i="15"/>
  <c r="D330" i="15"/>
  <c r="D344" i="15"/>
  <c r="D263" i="15"/>
  <c r="D343" i="15"/>
  <c r="D415" i="15"/>
  <c r="D122" i="15"/>
  <c r="D304" i="15"/>
  <c r="R184" i="10"/>
  <c r="T184" i="10"/>
  <c r="R197" i="10"/>
  <c r="T197" i="10"/>
  <c r="T75" i="10"/>
  <c r="T26" i="10"/>
  <c r="T148" i="10"/>
  <c r="T101" i="10"/>
  <c r="U165" i="10"/>
  <c r="AT468" i="5" s="1"/>
  <c r="T165" i="10"/>
  <c r="T87" i="10"/>
  <c r="T72" i="10"/>
  <c r="R212" i="10"/>
  <c r="T212" i="10"/>
  <c r="P207" i="10"/>
  <c r="T207" i="10"/>
  <c r="D182" i="15"/>
  <c r="D202" i="15"/>
  <c r="D362" i="15"/>
  <c r="D462" i="15"/>
  <c r="D15" i="15"/>
  <c r="D93" i="15"/>
  <c r="D209" i="15"/>
  <c r="D380" i="15"/>
  <c r="D469" i="15"/>
  <c r="D227" i="15"/>
  <c r="D45" i="15"/>
  <c r="D140" i="15"/>
  <c r="D156" i="15"/>
  <c r="D251" i="15"/>
  <c r="D322" i="15"/>
  <c r="D336" i="15"/>
  <c r="D329" i="15"/>
  <c r="D335" i="15"/>
  <c r="D483" i="15"/>
  <c r="D179" i="15"/>
  <c r="D27" i="15"/>
  <c r="D257" i="15"/>
  <c r="D5" i="15"/>
  <c r="R153" i="10"/>
  <c r="T153" i="10"/>
  <c r="T50" i="10"/>
  <c r="T162" i="10"/>
  <c r="T156" i="10"/>
  <c r="T109" i="10"/>
  <c r="T95" i="10"/>
  <c r="T80" i="10"/>
  <c r="R172" i="10"/>
  <c r="T172" i="10"/>
  <c r="P179" i="10"/>
  <c r="T179" i="10"/>
  <c r="AI356" i="35"/>
  <c r="P356" i="36"/>
  <c r="D95" i="15"/>
  <c r="D471" i="15"/>
  <c r="D167" i="15"/>
  <c r="D266" i="15"/>
  <c r="D354" i="15"/>
  <c r="D442" i="15"/>
  <c r="D454" i="15"/>
  <c r="D254" i="15"/>
  <c r="D85" i="15"/>
  <c r="D181" i="15"/>
  <c r="D201" i="15"/>
  <c r="D273" i="15"/>
  <c r="D361" i="15"/>
  <c r="D372" i="15"/>
  <c r="D461" i="15"/>
  <c r="D195" i="15"/>
  <c r="D37" i="15"/>
  <c r="D132" i="15"/>
  <c r="D148" i="15"/>
  <c r="D403" i="15"/>
  <c r="D416" i="15"/>
  <c r="D321" i="15"/>
  <c r="D402" i="15"/>
  <c r="D467" i="15"/>
  <c r="D90" i="15"/>
  <c r="D178" i="15"/>
  <c r="D342" i="15"/>
  <c r="T49" i="10"/>
  <c r="T25" i="10"/>
  <c r="T44" i="10"/>
  <c r="AT365" i="5"/>
  <c r="AT259" i="2"/>
  <c r="T103" i="10"/>
  <c r="R209" i="10"/>
  <c r="T209" i="10"/>
  <c r="P178" i="10"/>
  <c r="U178" i="10" s="1"/>
  <c r="AG331" i="10" s="1"/>
  <c r="T178" i="10"/>
  <c r="D71" i="15"/>
  <c r="D301" i="15"/>
  <c r="D463" i="15"/>
  <c r="D70" i="15"/>
  <c r="D166" i="15"/>
  <c r="D434" i="15"/>
  <c r="D265" i="15"/>
  <c r="D353" i="15"/>
  <c r="D441" i="15"/>
  <c r="D453" i="15"/>
  <c r="D275" i="15"/>
  <c r="D124" i="15"/>
  <c r="D235" i="15"/>
  <c r="D306" i="15"/>
  <c r="D395" i="15"/>
  <c r="D484" i="15"/>
  <c r="D459" i="15"/>
  <c r="D82" i="15"/>
  <c r="D162" i="15"/>
  <c r="D233" i="15"/>
  <c r="D478" i="26"/>
  <c r="D446" i="26"/>
  <c r="D414" i="26"/>
  <c r="D350" i="26"/>
  <c r="D286" i="26"/>
  <c r="D254" i="26"/>
  <c r="D222" i="26"/>
  <c r="D124" i="26"/>
  <c r="D60" i="26"/>
  <c r="D297" i="26"/>
  <c r="D237" i="26"/>
  <c r="D131" i="26"/>
  <c r="D453" i="26"/>
  <c r="D421" i="26"/>
  <c r="D353" i="26"/>
  <c r="D217" i="26"/>
  <c r="D91" i="26"/>
  <c r="D185" i="26"/>
  <c r="D122" i="26"/>
  <c r="D364" i="26"/>
  <c r="D296" i="26"/>
  <c r="D228" i="26"/>
  <c r="D480" i="26"/>
  <c r="D448" i="26"/>
  <c r="D416" i="26"/>
  <c r="D380" i="26"/>
  <c r="D328" i="26"/>
  <c r="D268" i="26"/>
  <c r="D203" i="26"/>
  <c r="D183" i="26"/>
  <c r="D120" i="26"/>
  <c r="D351" i="26"/>
  <c r="D119" i="26"/>
  <c r="D483" i="26"/>
  <c r="D451" i="26"/>
  <c r="D419" i="26"/>
  <c r="D283" i="26"/>
  <c r="D79" i="26"/>
  <c r="D45" i="26"/>
  <c r="D5" i="26"/>
  <c r="D110" i="26"/>
  <c r="D448" i="15"/>
  <c r="D436" i="15"/>
  <c r="D260" i="15"/>
  <c r="D72" i="15"/>
  <c r="D258" i="15"/>
  <c r="D421" i="15"/>
  <c r="D408" i="15"/>
  <c r="D319" i="15"/>
  <c r="D248" i="15"/>
  <c r="D137" i="15"/>
  <c r="D242" i="15"/>
  <c r="D414" i="15"/>
  <c r="D401" i="15"/>
  <c r="D312" i="15"/>
  <c r="D35" i="15"/>
  <c r="D474" i="26"/>
  <c r="D442" i="26"/>
  <c r="D410" i="26"/>
  <c r="D378" i="26"/>
  <c r="D218" i="26"/>
  <c r="D93" i="26"/>
  <c r="D116" i="26"/>
  <c r="D349" i="26"/>
  <c r="D229" i="26"/>
  <c r="D115" i="26"/>
  <c r="D481" i="26"/>
  <c r="D449" i="26"/>
  <c r="D417" i="26"/>
  <c r="D385" i="26"/>
  <c r="D345" i="26"/>
  <c r="D277" i="26"/>
  <c r="D198" i="26"/>
  <c r="D75" i="26"/>
  <c r="D178" i="26"/>
  <c r="D114" i="26"/>
  <c r="D50" i="26"/>
  <c r="D288" i="26"/>
  <c r="D97" i="26"/>
  <c r="D476" i="26"/>
  <c r="D412" i="26"/>
  <c r="D320" i="26"/>
  <c r="D260" i="26"/>
  <c r="D190" i="26"/>
  <c r="D112" i="26"/>
  <c r="D339" i="26"/>
  <c r="D279" i="26"/>
  <c r="D215" i="26"/>
  <c r="D103" i="26"/>
  <c r="D447" i="26"/>
  <c r="D415" i="26"/>
  <c r="D343" i="26"/>
  <c r="D275" i="26"/>
  <c r="D22" i="26"/>
  <c r="D456" i="15"/>
  <c r="D268" i="15"/>
  <c r="D196" i="15"/>
  <c r="D80" i="15"/>
  <c r="D341" i="15"/>
  <c r="D145" i="15"/>
  <c r="D50" i="15"/>
  <c r="D191" i="15"/>
  <c r="D44" i="15"/>
  <c r="D334" i="15"/>
  <c r="D320" i="15"/>
  <c r="D249" i="15"/>
  <c r="D470" i="26"/>
  <c r="D438" i="26"/>
  <c r="D342" i="26"/>
  <c r="D310" i="26"/>
  <c r="D149" i="26"/>
  <c r="D85" i="26"/>
  <c r="D108" i="26"/>
  <c r="D44" i="26"/>
  <c r="D341" i="26"/>
  <c r="D477" i="26"/>
  <c r="D445" i="26"/>
  <c r="D413" i="26"/>
  <c r="D381" i="26"/>
  <c r="D337" i="26"/>
  <c r="D59" i="26"/>
  <c r="D170" i="26"/>
  <c r="D280" i="26"/>
  <c r="D212" i="26"/>
  <c r="D472" i="26"/>
  <c r="D440" i="26"/>
  <c r="D408" i="26"/>
  <c r="D372" i="26"/>
  <c r="D316" i="26"/>
  <c r="D252" i="26"/>
  <c r="D196" i="26"/>
  <c r="D87" i="26"/>
  <c r="D475" i="26"/>
  <c r="D411" i="26"/>
  <c r="D335" i="26"/>
  <c r="D267" i="26"/>
  <c r="D134" i="26"/>
  <c r="D61" i="26"/>
  <c r="D30" i="26"/>
  <c r="D464" i="15"/>
  <c r="D364" i="15"/>
  <c r="D276" i="15"/>
  <c r="D204" i="15"/>
  <c r="D184" i="15"/>
  <c r="D88" i="15"/>
  <c r="D10" i="15"/>
  <c r="D449" i="15"/>
  <c r="D437" i="15"/>
  <c r="D349" i="15"/>
  <c r="D261" i="15"/>
  <c r="D215" i="15"/>
  <c r="D434" i="26"/>
  <c r="D402" i="26"/>
  <c r="D370" i="26"/>
  <c r="D338" i="26"/>
  <c r="D306" i="26"/>
  <c r="D242" i="26"/>
  <c r="D200" i="26"/>
  <c r="D100" i="26"/>
  <c r="D333" i="26"/>
  <c r="D273" i="26"/>
  <c r="D83" i="26"/>
  <c r="D473" i="26"/>
  <c r="D441" i="26"/>
  <c r="D377" i="26"/>
  <c r="D329" i="26"/>
  <c r="D261" i="26"/>
  <c r="D35" i="26"/>
  <c r="D162" i="26"/>
  <c r="D98" i="26"/>
  <c r="D34" i="26"/>
  <c r="D468" i="26"/>
  <c r="D436" i="26"/>
  <c r="D404" i="26"/>
  <c r="D248" i="26"/>
  <c r="D41" i="26"/>
  <c r="D96" i="26"/>
  <c r="D259" i="26"/>
  <c r="D182" i="26"/>
  <c r="D71" i="26"/>
  <c r="D471" i="26"/>
  <c r="D439" i="26"/>
  <c r="D263" i="26"/>
  <c r="D167" i="26"/>
  <c r="D31" i="26"/>
  <c r="D70" i="26"/>
  <c r="D150" i="26"/>
  <c r="D472" i="15"/>
  <c r="D294" i="15"/>
  <c r="D212" i="15"/>
  <c r="D112" i="15"/>
  <c r="D96" i="15"/>
  <c r="D457" i="15"/>
  <c r="D445" i="15"/>
  <c r="D357" i="15"/>
  <c r="D66" i="15"/>
  <c r="D231" i="15"/>
  <c r="D450" i="15"/>
  <c r="D438" i="15"/>
  <c r="D350" i="15"/>
  <c r="D190" i="15"/>
  <c r="D170" i="15"/>
  <c r="D59" i="15"/>
  <c r="D147" i="15"/>
  <c r="D475" i="15"/>
  <c r="D386" i="15"/>
  <c r="D297" i="15"/>
  <c r="D462" i="26"/>
  <c r="D430" i="26"/>
  <c r="D334" i="26"/>
  <c r="D302" i="26"/>
  <c r="D209" i="26"/>
  <c r="D156" i="26"/>
  <c r="D265" i="26"/>
  <c r="D192" i="26"/>
  <c r="D67" i="26"/>
  <c r="D469" i="26"/>
  <c r="D437" i="26"/>
  <c r="D405" i="26"/>
  <c r="D321" i="26"/>
  <c r="D249" i="26"/>
  <c r="D19" i="26"/>
  <c r="D90" i="26"/>
  <c r="D264" i="26"/>
  <c r="D184" i="26"/>
  <c r="D464" i="26"/>
  <c r="D400" i="26"/>
  <c r="D300" i="26"/>
  <c r="D240" i="26"/>
  <c r="D145" i="26"/>
  <c r="D88" i="26"/>
  <c r="D315" i="26"/>
  <c r="D251" i="26"/>
  <c r="D467" i="26"/>
  <c r="D435" i="26"/>
  <c r="D403" i="26"/>
  <c r="D319" i="26"/>
  <c r="D255" i="26"/>
  <c r="D15" i="26"/>
  <c r="D6" i="26"/>
  <c r="D102" i="26"/>
  <c r="D210" i="26"/>
  <c r="D480" i="15"/>
  <c r="D302" i="15"/>
  <c r="D292" i="15"/>
  <c r="D120" i="15"/>
  <c r="D115" i="15"/>
  <c r="D465" i="15"/>
  <c r="D277" i="15"/>
  <c r="D105" i="15"/>
  <c r="D446" i="15"/>
  <c r="D358" i="15"/>
  <c r="D198" i="15"/>
  <c r="D426" i="26"/>
  <c r="D362" i="26"/>
  <c r="D330" i="26"/>
  <c r="D298" i="26"/>
  <c r="D266" i="26"/>
  <c r="D125" i="26"/>
  <c r="D148" i="26"/>
  <c r="D317" i="26"/>
  <c r="D257" i="26"/>
  <c r="D179" i="26"/>
  <c r="D465" i="26"/>
  <c r="D401" i="26"/>
  <c r="D82" i="26"/>
  <c r="D324" i="26"/>
  <c r="D396" i="26"/>
  <c r="D292" i="26"/>
  <c r="D232" i="26"/>
  <c r="D129" i="26"/>
  <c r="D144" i="26"/>
  <c r="D80" i="26"/>
  <c r="D311" i="26"/>
  <c r="D159" i="26"/>
  <c r="D463" i="26"/>
  <c r="D431" i="26"/>
  <c r="D399" i="26"/>
  <c r="D247" i="26"/>
  <c r="D135" i="26"/>
  <c r="D195" i="26"/>
  <c r="D126" i="26"/>
  <c r="D158" i="26"/>
  <c r="D201" i="26"/>
  <c r="D412" i="15"/>
  <c r="D399" i="15"/>
  <c r="D310" i="15"/>
  <c r="D239" i="15"/>
  <c r="D228" i="15"/>
  <c r="D128" i="15"/>
  <c r="D473" i="15"/>
  <c r="D384" i="15"/>
  <c r="D295" i="15"/>
  <c r="D97" i="15"/>
  <c r="D19" i="15"/>
  <c r="D377" i="15"/>
  <c r="D454" i="26"/>
  <c r="D358" i="26"/>
  <c r="D294" i="26"/>
  <c r="D181" i="26"/>
  <c r="D117" i="26"/>
  <c r="D140" i="26"/>
  <c r="D76" i="26"/>
  <c r="D253" i="26"/>
  <c r="D461" i="26"/>
  <c r="D397" i="26"/>
  <c r="D361" i="26"/>
  <c r="D233" i="26"/>
  <c r="D204" i="26"/>
  <c r="D10" i="26"/>
  <c r="D312" i="26"/>
  <c r="D17" i="26"/>
  <c r="D456" i="26"/>
  <c r="D392" i="26"/>
  <c r="D344" i="26"/>
  <c r="D136" i="26"/>
  <c r="D72" i="26"/>
  <c r="D303" i="26"/>
  <c r="D235" i="26"/>
  <c r="D143" i="26"/>
  <c r="D459" i="26"/>
  <c r="D395" i="26"/>
  <c r="D239" i="26"/>
  <c r="D166" i="26"/>
  <c r="D247" i="15"/>
  <c r="D136" i="15"/>
  <c r="D41" i="15"/>
  <c r="D83" i="15"/>
  <c r="D481" i="15"/>
  <c r="D392" i="15"/>
  <c r="D303" i="15"/>
  <c r="D232" i="15"/>
  <c r="D67" i="15"/>
  <c r="D131" i="15"/>
  <c r="D474" i="15"/>
  <c r="D385" i="15"/>
  <c r="D296" i="15"/>
  <c r="D286" i="15"/>
  <c r="D114" i="15"/>
  <c r="D98" i="15"/>
  <c r="D60" i="15"/>
  <c r="D423" i="15"/>
  <c r="D482" i="26"/>
  <c r="D450" i="26"/>
  <c r="D386" i="26"/>
  <c r="D354" i="26"/>
  <c r="D322" i="26"/>
  <c r="D258" i="26"/>
  <c r="D132" i="26"/>
  <c r="D301" i="26"/>
  <c r="D147" i="26"/>
  <c r="D27" i="26"/>
  <c r="D457" i="26"/>
  <c r="D425" i="26"/>
  <c r="D393" i="26"/>
  <c r="D357" i="26"/>
  <c r="D191" i="26"/>
  <c r="D66" i="26"/>
  <c r="D384" i="26"/>
  <c r="D304" i="26"/>
  <c r="D236" i="26"/>
  <c r="D137" i="26"/>
  <c r="D484" i="26"/>
  <c r="D452" i="26"/>
  <c r="D388" i="26"/>
  <c r="D336" i="26"/>
  <c r="D276" i="26"/>
  <c r="D105" i="26"/>
  <c r="D202" i="26"/>
  <c r="D128" i="26"/>
  <c r="D371" i="26"/>
  <c r="D295" i="26"/>
  <c r="D231" i="26"/>
  <c r="D127" i="26"/>
  <c r="D455" i="26"/>
  <c r="D423" i="26"/>
  <c r="D355" i="26"/>
  <c r="D227" i="26"/>
  <c r="D95" i="26"/>
  <c r="D46" i="26"/>
  <c r="D37" i="26"/>
  <c r="D118" i="26"/>
  <c r="D255" i="15"/>
  <c r="D144" i="15"/>
  <c r="D413" i="15"/>
  <c r="D400" i="15"/>
  <c r="D311" i="15"/>
  <c r="D240" i="15"/>
  <c r="D229" i="15"/>
  <c r="D129" i="15"/>
  <c r="D34" i="15"/>
  <c r="D75" i="15"/>
  <c r="T57" i="10"/>
  <c r="T66" i="10"/>
  <c r="T35" i="10"/>
  <c r="T52" i="10"/>
  <c r="U170" i="10"/>
  <c r="T170" i="10"/>
  <c r="U262" i="5" s="1"/>
  <c r="T61" i="10"/>
  <c r="T96" i="10"/>
  <c r="D119" i="15"/>
  <c r="D455" i="15"/>
  <c r="D158" i="15"/>
  <c r="D253" i="15"/>
  <c r="D324" i="15"/>
  <c r="D338" i="15"/>
  <c r="D426" i="15"/>
  <c r="D333" i="15"/>
  <c r="D185" i="15"/>
  <c r="D345" i="15"/>
  <c r="D22" i="15"/>
  <c r="D100" i="15"/>
  <c r="D116" i="15"/>
  <c r="D288" i="15"/>
  <c r="D298" i="15"/>
  <c r="D476" i="15"/>
  <c r="D378" i="15"/>
  <c r="D451" i="15"/>
  <c r="D430" i="15"/>
  <c r="R192" i="10"/>
  <c r="T192" i="10"/>
  <c r="T8" i="10"/>
  <c r="R189" i="10"/>
  <c r="T189" i="10"/>
  <c r="T60" i="10"/>
  <c r="T69" i="10"/>
  <c r="T55" i="10"/>
  <c r="R167" i="10"/>
  <c r="T167" i="10"/>
  <c r="T40" i="10"/>
  <c r="U210" i="10"/>
  <c r="T210" i="10"/>
  <c r="P177" i="10"/>
  <c r="U177" i="10" s="1"/>
  <c r="AG227" i="10" s="1"/>
  <c r="T177" i="10"/>
  <c r="P357" i="36"/>
  <c r="P339" i="36" s="1"/>
  <c r="AI357" i="35"/>
  <c r="D159" i="15"/>
  <c r="D435" i="15"/>
  <c r="D134" i="15"/>
  <c r="D150" i="15"/>
  <c r="D316" i="15"/>
  <c r="D405" i="15"/>
  <c r="D87" i="15"/>
  <c r="D317" i="15"/>
  <c r="D46" i="15"/>
  <c r="D252" i="15"/>
  <c r="D337" i="15"/>
  <c r="D425" i="15"/>
  <c r="D108" i="15"/>
  <c r="D280" i="15"/>
  <c r="D468" i="15"/>
  <c r="D447" i="15"/>
  <c r="D279" i="15"/>
  <c r="U173" i="10"/>
  <c r="T173" i="10"/>
  <c r="T51" i="10"/>
  <c r="T86" i="10"/>
  <c r="T63" i="10"/>
  <c r="Q208" i="10"/>
  <c r="AI355" i="35"/>
  <c r="P355" i="36"/>
  <c r="D203" i="15"/>
  <c r="D339" i="15"/>
  <c r="D267" i="15"/>
  <c r="D31" i="15"/>
  <c r="D126" i="15"/>
  <c r="D237" i="15"/>
  <c r="D397" i="15"/>
  <c r="D410" i="15"/>
  <c r="D135" i="15"/>
  <c r="D355" i="15"/>
  <c r="D149" i="15"/>
  <c r="D315" i="15"/>
  <c r="D404" i="15"/>
  <c r="D417" i="15"/>
  <c r="D79" i="15"/>
  <c r="D6" i="15"/>
  <c r="D200" i="15"/>
  <c r="D371" i="15"/>
  <c r="D439" i="15"/>
  <c r="D222" i="15"/>
  <c r="D482" i="15"/>
  <c r="T81" i="10"/>
  <c r="U176" i="10"/>
  <c r="T176" i="10"/>
  <c r="T24" i="10"/>
  <c r="T19" i="10"/>
  <c r="T149" i="10"/>
  <c r="T28" i="10"/>
  <c r="T120" i="10"/>
  <c r="R168" i="10"/>
  <c r="T168" i="10"/>
  <c r="R204" i="10"/>
  <c r="T204" i="10"/>
  <c r="R188" i="10"/>
  <c r="T188" i="10"/>
  <c r="P180" i="10"/>
  <c r="R180" i="10" s="1"/>
  <c r="T180" i="10"/>
  <c r="U203" i="10"/>
  <c r="AG454" i="10" s="1"/>
  <c r="T203" i="10"/>
  <c r="P353" i="36"/>
  <c r="P335" i="36" s="1"/>
  <c r="AI353" i="35"/>
  <c r="D419" i="15"/>
  <c r="D103" i="15"/>
  <c r="D102" i="15"/>
  <c r="D118" i="15"/>
  <c r="D218" i="15"/>
  <c r="D300" i="15"/>
  <c r="D478" i="15"/>
  <c r="D183" i="15"/>
  <c r="D30" i="15"/>
  <c r="D125" i="15"/>
  <c r="D236" i="15"/>
  <c r="D396" i="15"/>
  <c r="D127" i="15"/>
  <c r="D61" i="15"/>
  <c r="D76" i="15"/>
  <c r="D192" i="15"/>
  <c r="D264" i="15"/>
  <c r="D440" i="15"/>
  <c r="D452" i="15"/>
  <c r="D351" i="15"/>
  <c r="D431" i="15"/>
  <c r="D91" i="15"/>
  <c r="D328" i="15"/>
  <c r="AU51" i="2"/>
  <c r="AU517" i="2" s="1"/>
  <c r="AU520" i="5"/>
  <c r="AU447" i="5"/>
  <c r="AU182" i="5"/>
  <c r="AU380" i="2"/>
  <c r="AU530" i="2" s="1"/>
  <c r="AU380" i="5"/>
  <c r="AU530" i="5" s="1"/>
  <c r="AU51" i="5"/>
  <c r="AU517" i="5" s="1"/>
  <c r="AU479" i="5"/>
  <c r="AU531" i="5" s="1"/>
  <c r="AU249" i="5"/>
  <c r="AU32" i="2"/>
  <c r="AU150" i="2"/>
  <c r="AU281" i="2"/>
  <c r="AU529" i="2" s="1"/>
  <c r="AU182" i="2"/>
  <c r="AU528" i="2" s="1"/>
  <c r="AU83" i="5"/>
  <c r="AU527" i="5" s="1"/>
  <c r="AU281" i="5"/>
  <c r="AU529" i="5" s="1"/>
  <c r="AU479" i="2"/>
  <c r="AU531" i="2" s="1"/>
  <c r="AU348" i="2"/>
  <c r="AU83" i="2"/>
  <c r="AU527" i="2" s="1"/>
  <c r="D427" i="36"/>
  <c r="D424" i="36"/>
  <c r="AG443" i="35"/>
  <c r="O443" i="36"/>
  <c r="AE435" i="35"/>
  <c r="M439" i="36"/>
  <c r="D443" i="36"/>
  <c r="V443" i="35"/>
  <c r="AH442" i="35"/>
  <c r="P444" i="36"/>
  <c r="H443" i="36"/>
  <c r="H425" i="36" s="1"/>
  <c r="Z443" i="35"/>
  <c r="AE445" i="35"/>
  <c r="M441" i="36"/>
  <c r="O444" i="36"/>
  <c r="O426" i="36" s="1"/>
  <c r="AG442" i="35"/>
  <c r="AH436" i="35"/>
  <c r="P438" i="36"/>
  <c r="T438" i="36" s="1"/>
  <c r="Y442" i="35"/>
  <c r="G444" i="36"/>
  <c r="G426" i="36" s="1"/>
  <c r="AB443" i="35"/>
  <c r="J443" i="36"/>
  <c r="J425" i="36" s="1"/>
  <c r="D444" i="36"/>
  <c r="V442" i="35"/>
  <c r="AD443" i="35"/>
  <c r="AD425" i="35" s="1"/>
  <c r="P425" i="36"/>
  <c r="AF441" i="35"/>
  <c r="E424" i="36"/>
  <c r="D429" i="36"/>
  <c r="V433" i="35"/>
  <c r="L444" i="36"/>
  <c r="L426" i="36" s="1"/>
  <c r="AD442" i="35"/>
  <c r="AC442" i="35"/>
  <c r="AC424" i="35" s="1"/>
  <c r="K444" i="36"/>
  <c r="K426" i="36" s="1"/>
  <c r="K427" i="36"/>
  <c r="V444" i="35"/>
  <c r="T435" i="36"/>
  <c r="V441" i="35"/>
  <c r="N437" i="36"/>
  <c r="AF437" i="35"/>
  <c r="P442" i="36"/>
  <c r="P424" i="36" s="1"/>
  <c r="AH444" i="35"/>
  <c r="AB435" i="35"/>
  <c r="J439" i="36"/>
  <c r="Y441" i="35"/>
  <c r="G445" i="36"/>
  <c r="G427" i="36" s="1"/>
  <c r="BL11" i="5"/>
  <c r="P403" i="36"/>
  <c r="I403" i="36"/>
  <c r="K403" i="36"/>
  <c r="H403" i="36"/>
  <c r="F403" i="36"/>
  <c r="N403" i="36"/>
  <c r="S403" i="36"/>
  <c r="Q403" i="36"/>
  <c r="O403" i="36"/>
  <c r="M403" i="36"/>
  <c r="J403" i="36"/>
  <c r="G403" i="36"/>
  <c r="L403" i="36"/>
  <c r="E403" i="36"/>
  <c r="R403" i="36"/>
  <c r="M442" i="36"/>
  <c r="M424" i="36" s="1"/>
  <c r="AE444" i="35"/>
  <c r="F442" i="36"/>
  <c r="F424" i="36" s="1"/>
  <c r="X444" i="35"/>
  <c r="AF445" i="35"/>
  <c r="N441" i="36"/>
  <c r="K425" i="36"/>
  <c r="T436" i="36"/>
  <c r="K424" i="36"/>
  <c r="AF443" i="35"/>
  <c r="N427" i="36"/>
  <c r="AE441" i="35"/>
  <c r="AE423" i="35" s="1"/>
  <c r="M445" i="36"/>
  <c r="O424" i="36"/>
  <c r="N441" i="35"/>
  <c r="D445" i="35"/>
  <c r="N442" i="35"/>
  <c r="M444" i="35"/>
  <c r="L441" i="35"/>
  <c r="D441" i="35"/>
  <c r="M442" i="35"/>
  <c r="L444" i="35"/>
  <c r="D443" i="35"/>
  <c r="L442" i="35"/>
  <c r="N445" i="35"/>
  <c r="T459" i="5"/>
  <c r="L459" i="5"/>
  <c r="U158" i="5"/>
  <c r="L156" i="5"/>
  <c r="T156" i="5"/>
  <c r="U63" i="5"/>
  <c r="L365" i="5"/>
  <c r="T365" i="5"/>
  <c r="L15" i="2"/>
  <c r="T65" i="5"/>
  <c r="T157" i="5"/>
  <c r="L65" i="5"/>
  <c r="L157" i="5"/>
  <c r="L162" i="5"/>
  <c r="T466" i="5"/>
  <c r="T63" i="5"/>
  <c r="L466" i="5"/>
  <c r="T261" i="5"/>
  <c r="L261" i="5"/>
  <c r="T456" i="5"/>
  <c r="T162" i="5"/>
  <c r="L456" i="5"/>
  <c r="L63" i="5"/>
  <c r="U157" i="5"/>
  <c r="U456" i="5"/>
  <c r="U65" i="5"/>
  <c r="U261" i="5"/>
  <c r="T454" i="5"/>
  <c r="L454" i="5"/>
  <c r="T361" i="5"/>
  <c r="T257" i="5"/>
  <c r="L257" i="5"/>
  <c r="T158" i="5"/>
  <c r="L357" i="5"/>
  <c r="T357" i="5"/>
  <c r="L158" i="5"/>
  <c r="L361" i="5"/>
  <c r="U454" i="5"/>
  <c r="AC51" i="5"/>
  <c r="S155" i="36" s="1"/>
  <c r="AE433" i="5"/>
  <c r="W463" i="36" s="1"/>
  <c r="AQ447" i="5"/>
  <c r="AQ449" i="5" s="1"/>
  <c r="BL487" i="2"/>
  <c r="AW387" i="5"/>
  <c r="AK32" i="5"/>
  <c r="AK34" i="5" s="1"/>
  <c r="AD32" i="5"/>
  <c r="AD34" i="5" s="1"/>
  <c r="AZ327" i="2"/>
  <c r="AB150" i="5"/>
  <c r="AB518" i="5" s="1"/>
  <c r="AO286" i="5"/>
  <c r="AE473" i="36" s="1"/>
  <c r="BF156" i="5"/>
  <c r="BP156" i="5"/>
  <c r="V32" i="5"/>
  <c r="N230" i="36" s="1"/>
  <c r="AV78" i="5"/>
  <c r="R32" i="5"/>
  <c r="N229" i="36" s="1"/>
  <c r="BL493" i="2"/>
  <c r="BI294" i="2"/>
  <c r="BL315" i="2"/>
  <c r="BD315" i="2"/>
  <c r="BC487" i="2"/>
  <c r="BI464" i="2"/>
  <c r="BM464" i="2"/>
  <c r="BK464" i="2"/>
  <c r="S336" i="5"/>
  <c r="S39" i="5"/>
  <c r="S255" i="5"/>
  <c r="BG373" i="5"/>
  <c r="U373" i="5"/>
  <c r="S453" i="5"/>
  <c r="BF496" i="2"/>
  <c r="BJ257" i="5"/>
  <c r="S263" i="5"/>
  <c r="BJ156" i="5"/>
  <c r="BL97" i="2"/>
  <c r="BJ97" i="2"/>
  <c r="BK421" i="2"/>
  <c r="BC414" i="2"/>
  <c r="BK414" i="2"/>
  <c r="BK415" i="2"/>
  <c r="S364" i="5"/>
  <c r="BI156" i="5"/>
  <c r="BH367" i="2"/>
  <c r="BA367" i="2"/>
  <c r="BN367" i="2"/>
  <c r="BO213" i="2"/>
  <c r="BH213" i="2"/>
  <c r="BA213" i="2"/>
  <c r="S458" i="5"/>
  <c r="S257" i="5"/>
  <c r="U257" i="5"/>
  <c r="V83" i="5"/>
  <c r="BC415" i="2"/>
  <c r="BB94" i="5"/>
  <c r="AV257" i="5"/>
  <c r="S455" i="5"/>
  <c r="S436" i="5"/>
  <c r="S271" i="5"/>
  <c r="S369" i="5"/>
  <c r="S38" i="5"/>
  <c r="U38" i="5"/>
  <c r="S265" i="5"/>
  <c r="BA364" i="5"/>
  <c r="BH364" i="5"/>
  <c r="S366" i="5"/>
  <c r="S367" i="5"/>
  <c r="S71" i="5"/>
  <c r="Q424" i="35"/>
  <c r="BR361" i="5"/>
  <c r="U361" i="5"/>
  <c r="AV464" i="2"/>
  <c r="BF464" i="2"/>
  <c r="BA464" i="2"/>
  <c r="AV156" i="5"/>
  <c r="BN74" i="2"/>
  <c r="BH74" i="2"/>
  <c r="BG74" i="2"/>
  <c r="BB364" i="5"/>
  <c r="BM26" i="5"/>
  <c r="AV61" i="5"/>
  <c r="AX26" i="5"/>
  <c r="S365" i="5"/>
  <c r="U365" i="5"/>
  <c r="S359" i="5"/>
  <c r="S270" i="5"/>
  <c r="AW238" i="5"/>
  <c r="S163" i="5"/>
  <c r="S162" i="5"/>
  <c r="U162" i="5"/>
  <c r="BR159" i="5"/>
  <c r="BE156" i="5"/>
  <c r="U156" i="5"/>
  <c r="S169" i="5"/>
  <c r="S170" i="5"/>
  <c r="S139" i="5"/>
  <c r="BL138" i="5"/>
  <c r="S393" i="5"/>
  <c r="S391" i="5"/>
  <c r="BH464" i="2"/>
  <c r="BD464" i="2"/>
  <c r="AY464" i="2"/>
  <c r="BJ464" i="2"/>
  <c r="BP464" i="2"/>
  <c r="BC464" i="2"/>
  <c r="AV435" i="5"/>
  <c r="AX464" i="2"/>
  <c r="BO464" i="2"/>
  <c r="BR464" i="2"/>
  <c r="BG98" i="2"/>
  <c r="AW464" i="2"/>
  <c r="BN464" i="2"/>
  <c r="BL464" i="2"/>
  <c r="AV12" i="5"/>
  <c r="BG464" i="2"/>
  <c r="BB464" i="2"/>
  <c r="BQ464" i="2"/>
  <c r="BE464" i="2"/>
  <c r="AZ464" i="2"/>
  <c r="U172" i="10"/>
  <c r="BC364" i="5"/>
  <c r="BF213" i="2"/>
  <c r="AY213" i="2"/>
  <c r="BQ213" i="2"/>
  <c r="BG364" i="5"/>
  <c r="BB213" i="2"/>
  <c r="BM213" i="2"/>
  <c r="BI364" i="5"/>
  <c r="BI213" i="2"/>
  <c r="AX213" i="2"/>
  <c r="BP213" i="2"/>
  <c r="BR213" i="2"/>
  <c r="BL213" i="2"/>
  <c r="BE213" i="2"/>
  <c r="AW213" i="2"/>
  <c r="AY210" i="5"/>
  <c r="AY364" i="5"/>
  <c r="BL364" i="5"/>
  <c r="BR364" i="5"/>
  <c r="BK213" i="2"/>
  <c r="BN213" i="2"/>
  <c r="BG213" i="2"/>
  <c r="AZ213" i="2"/>
  <c r="BD213" i="2"/>
  <c r="BJ213" i="2"/>
  <c r="BC213" i="2"/>
  <c r="AV213" i="2"/>
  <c r="BF364" i="5"/>
  <c r="BE365" i="5"/>
  <c r="BG365" i="5"/>
  <c r="AX487" i="2"/>
  <c r="BO15" i="5"/>
  <c r="BE15" i="5"/>
  <c r="BC217" i="5"/>
  <c r="BI487" i="2"/>
  <c r="U212" i="10"/>
  <c r="AE300" i="5"/>
  <c r="AE302" i="5" s="1"/>
  <c r="AL235" i="5"/>
  <c r="U470" i="36" s="1"/>
  <c r="AJ136" i="5"/>
  <c r="T468" i="36" s="1"/>
  <c r="AN235" i="5"/>
  <c r="U472" i="36" s="1"/>
  <c r="AI32" i="5"/>
  <c r="AI34" i="5" s="1"/>
  <c r="BK255" i="5"/>
  <c r="BN15" i="5"/>
  <c r="BD15" i="5"/>
  <c r="BH222" i="5"/>
  <c r="BJ15" i="5"/>
  <c r="BH216" i="5"/>
  <c r="BQ12" i="5"/>
  <c r="BP496" i="2"/>
  <c r="L174" i="2"/>
  <c r="L370" i="2"/>
  <c r="AG395" i="10"/>
  <c r="AH395" i="10" s="1"/>
  <c r="AI395" i="10" s="1"/>
  <c r="T266" i="2"/>
  <c r="P355" i="35" s="1"/>
  <c r="T473" i="2"/>
  <c r="P357" i="35" s="1"/>
  <c r="U473" i="2"/>
  <c r="L76" i="2"/>
  <c r="L473" i="2"/>
  <c r="U76" i="2"/>
  <c r="T76" i="2"/>
  <c r="P353" i="35" s="1"/>
  <c r="U370" i="2"/>
  <c r="U174" i="2"/>
  <c r="L266" i="2"/>
  <c r="U266" i="2"/>
  <c r="T174" i="2"/>
  <c r="P354" i="35" s="1"/>
  <c r="T370" i="2"/>
  <c r="P356" i="35" s="1"/>
  <c r="AJ300" i="5"/>
  <c r="AJ302" i="5" s="1"/>
  <c r="AA187" i="5"/>
  <c r="AD459" i="36" s="1"/>
  <c r="Y102" i="5"/>
  <c r="AC151" i="36" s="1"/>
  <c r="AE286" i="5"/>
  <c r="AE463" i="36" s="1"/>
  <c r="AF300" i="5"/>
  <c r="AF302" i="5" s="1"/>
  <c r="AD230" i="5"/>
  <c r="P156" i="36" s="1"/>
  <c r="P183" i="36" s="1"/>
  <c r="AP300" i="5"/>
  <c r="AP302" i="5" s="1"/>
  <c r="Z201" i="5"/>
  <c r="Z538" i="5" s="1"/>
  <c r="AF286" i="5"/>
  <c r="AE464" i="36" s="1"/>
  <c r="AI329" i="5"/>
  <c r="AI510" i="5" s="1"/>
  <c r="AB109" i="5"/>
  <c r="O460" i="36" s="1"/>
  <c r="AJ102" i="5"/>
  <c r="AJ104" i="5" s="1"/>
  <c r="AR102" i="5"/>
  <c r="AR104" i="5" s="1"/>
  <c r="BI210" i="5"/>
  <c r="BQ39" i="5"/>
  <c r="AX198" i="2"/>
  <c r="BB365" i="5"/>
  <c r="BH12" i="5"/>
  <c r="BC78" i="5"/>
  <c r="AZ210" i="5"/>
  <c r="Z230" i="5"/>
  <c r="P152" i="36" s="1"/>
  <c r="P179" i="36" s="1"/>
  <c r="AB300" i="5"/>
  <c r="AB302" i="5" s="1"/>
  <c r="AS385" i="5"/>
  <c r="AF477" i="36" s="1"/>
  <c r="AA433" i="5"/>
  <c r="W459" i="36" s="1"/>
  <c r="AC433" i="5"/>
  <c r="W461" i="36" s="1"/>
  <c r="AQ131" i="5"/>
  <c r="O169" i="36" s="1"/>
  <c r="O196" i="36" s="1"/>
  <c r="AA201" i="5"/>
  <c r="AA203" i="5" s="1"/>
  <c r="AE187" i="5"/>
  <c r="AD463" i="36" s="1"/>
  <c r="AC109" i="5"/>
  <c r="O461" i="36" s="1"/>
  <c r="AB32" i="5"/>
  <c r="AB34" i="5" s="1"/>
  <c r="AR88" i="5"/>
  <c r="AC476" i="36" s="1"/>
  <c r="AC447" i="5"/>
  <c r="W155" i="36" s="1"/>
  <c r="W182" i="36" s="1"/>
  <c r="AC131" i="5"/>
  <c r="AC508" i="5" s="1"/>
  <c r="AR37" i="5"/>
  <c r="S476" i="36" s="1"/>
  <c r="AJ286" i="5"/>
  <c r="AE468" i="36" s="1"/>
  <c r="AI187" i="5"/>
  <c r="AD467" i="36" s="1"/>
  <c r="BD193" i="5"/>
  <c r="BD201" i="5" s="1"/>
  <c r="BD203" i="5" s="1"/>
  <c r="AE205" i="5" s="1"/>
  <c r="AG385" i="5"/>
  <c r="AF465" i="36" s="1"/>
  <c r="AG131" i="5"/>
  <c r="O159" i="36" s="1"/>
  <c r="O186" i="36" s="1"/>
  <c r="AM329" i="5"/>
  <c r="AM510" i="5" s="1"/>
  <c r="X300" i="5"/>
  <c r="AE150" i="36" s="1"/>
  <c r="AJ385" i="5"/>
  <c r="AF468" i="36" s="1"/>
  <c r="AJ399" i="5"/>
  <c r="AJ401" i="5" s="1"/>
  <c r="AD201" i="5"/>
  <c r="AD538" i="5" s="1"/>
  <c r="AG399" i="5"/>
  <c r="AG401" i="5" s="1"/>
  <c r="AG109" i="5"/>
  <c r="O465" i="36" s="1"/>
  <c r="AC479" i="5"/>
  <c r="AB155" i="36" s="1"/>
  <c r="AB182" i="36" s="1"/>
  <c r="AR452" i="5"/>
  <c r="AB476" i="36" s="1"/>
  <c r="AD187" i="5"/>
  <c r="AD462" i="36" s="1"/>
  <c r="AF187" i="5"/>
  <c r="AD464" i="36" s="1"/>
  <c r="BO492" i="2"/>
  <c r="AO136" i="5"/>
  <c r="T473" i="36" s="1"/>
  <c r="AI433" i="5"/>
  <c r="W467" i="36" s="1"/>
  <c r="AV91" i="2"/>
  <c r="AP187" i="5"/>
  <c r="AD474" i="36" s="1"/>
  <c r="AG51" i="5"/>
  <c r="AG517" i="5" s="1"/>
  <c r="AH399" i="5"/>
  <c r="AH401" i="5" s="1"/>
  <c r="Z300" i="5"/>
  <c r="Z302" i="5" s="1"/>
  <c r="AQ300" i="5"/>
  <c r="AQ302" i="5" s="1"/>
  <c r="AI37" i="5"/>
  <c r="S467" i="36" s="1"/>
  <c r="AD286" i="5"/>
  <c r="AE462" i="36" s="1"/>
  <c r="AE88" i="5"/>
  <c r="AC463" i="36" s="1"/>
  <c r="AD102" i="5"/>
  <c r="AD104" i="5" s="1"/>
  <c r="AH385" i="5"/>
  <c r="AF466" i="36" s="1"/>
  <c r="W498" i="5"/>
  <c r="AG149" i="36" s="1"/>
  <c r="AI447" i="5"/>
  <c r="W161" i="36" s="1"/>
  <c r="W188" i="36" s="1"/>
  <c r="AI51" i="5"/>
  <c r="S161" i="36" s="1"/>
  <c r="S188" i="36" s="1"/>
  <c r="AD88" i="5"/>
  <c r="AC462" i="36" s="1"/>
  <c r="AQ286" i="5"/>
  <c r="AE475" i="36" s="1"/>
  <c r="AE102" i="5"/>
  <c r="AC157" i="36" s="1"/>
  <c r="AD300" i="5"/>
  <c r="AD302" i="5" s="1"/>
  <c r="AX156" i="5"/>
  <c r="AZ368" i="5"/>
  <c r="BI373" i="5"/>
  <c r="AE427" i="35"/>
  <c r="BA30" i="2"/>
  <c r="BK215" i="2"/>
  <c r="BC26" i="2"/>
  <c r="AV25" i="2"/>
  <c r="BC25" i="2"/>
  <c r="BD496" i="2"/>
  <c r="BC368" i="5"/>
  <c r="BM373" i="5"/>
  <c r="BK368" i="5"/>
  <c r="BK30" i="2"/>
  <c r="BJ121" i="2"/>
  <c r="BL125" i="2"/>
  <c r="BE245" i="2"/>
  <c r="AV317" i="2"/>
  <c r="BL317" i="2"/>
  <c r="BA444" i="2"/>
  <c r="BE98" i="2"/>
  <c r="BK25" i="2"/>
  <c r="AV26" i="2"/>
  <c r="BB121" i="2"/>
  <c r="BC129" i="2"/>
  <c r="BC291" i="2"/>
  <c r="BE291" i="2"/>
  <c r="AW368" i="5"/>
  <c r="BI125" i="2"/>
  <c r="AZ245" i="2"/>
  <c r="BC444" i="2"/>
  <c r="BC215" i="2"/>
  <c r="BK26" i="2"/>
  <c r="BO373" i="5"/>
  <c r="BK15" i="5"/>
  <c r="BM15" i="5"/>
  <c r="BD78" i="5"/>
  <c r="BA217" i="5"/>
  <c r="X447" i="5"/>
  <c r="W150" i="36" s="1"/>
  <c r="W177" i="36" s="1"/>
  <c r="AG286" i="5"/>
  <c r="AE465" i="36" s="1"/>
  <c r="AF433" i="5"/>
  <c r="W464" i="36" s="1"/>
  <c r="AE385" i="5"/>
  <c r="AF463" i="36" s="1"/>
  <c r="W300" i="5"/>
  <c r="W302" i="5" s="1"/>
  <c r="BI119" i="5"/>
  <c r="AC187" i="5"/>
  <c r="AD461" i="36" s="1"/>
  <c r="AJ109" i="5"/>
  <c r="O468" i="36" s="1"/>
  <c r="BA368" i="5"/>
  <c r="BC493" i="2"/>
  <c r="AG300" i="5"/>
  <c r="AG302" i="5" s="1"/>
  <c r="AW494" i="2"/>
  <c r="BH373" i="5"/>
  <c r="BM476" i="2"/>
  <c r="AZ170" i="5"/>
  <c r="BE373" i="5"/>
  <c r="BQ368" i="5"/>
  <c r="AY368" i="5"/>
  <c r="BH368" i="5"/>
  <c r="AX368" i="5"/>
  <c r="AY373" i="5"/>
  <c r="AV159" i="5"/>
  <c r="BG368" i="5"/>
  <c r="AY476" i="2"/>
  <c r="BK476" i="2"/>
  <c r="BM368" i="5"/>
  <c r="BK373" i="5"/>
  <c r="BF159" i="5"/>
  <c r="BQ159" i="5"/>
  <c r="AZ373" i="5"/>
  <c r="AX373" i="5"/>
  <c r="BF368" i="5"/>
  <c r="BO368" i="5"/>
  <c r="BR368" i="5"/>
  <c r="BP217" i="5"/>
  <c r="AV373" i="5"/>
  <c r="BB373" i="5"/>
  <c r="BA373" i="5"/>
  <c r="AV496" i="2"/>
  <c r="AF102" i="5"/>
  <c r="AF104" i="5" s="1"/>
  <c r="AQ150" i="5"/>
  <c r="AQ518" i="5" s="1"/>
  <c r="BQ465" i="5"/>
  <c r="AS131" i="5"/>
  <c r="O171" i="36" s="1"/>
  <c r="O198" i="36" s="1"/>
  <c r="AJ201" i="5"/>
  <c r="AJ203" i="5" s="1"/>
  <c r="BE89" i="5"/>
  <c r="AR187" i="5"/>
  <c r="AD476" i="36" s="1"/>
  <c r="BJ373" i="5"/>
  <c r="BN368" i="5"/>
  <c r="AE399" i="5"/>
  <c r="AE401" i="5" s="1"/>
  <c r="AJ187" i="5"/>
  <c r="AD468" i="36" s="1"/>
  <c r="AF88" i="5"/>
  <c r="AC464" i="36" s="1"/>
  <c r="AO249" i="5"/>
  <c r="U167" i="36" s="1"/>
  <c r="U194" i="36" s="1"/>
  <c r="AG102" i="5"/>
  <c r="AG104" i="5" s="1"/>
  <c r="AP102" i="5"/>
  <c r="AP104" i="5" s="1"/>
  <c r="AP88" i="5"/>
  <c r="AC474" i="36" s="1"/>
  <c r="AF447" i="5"/>
  <c r="AF521" i="5" s="1"/>
  <c r="AC201" i="5"/>
  <c r="AC203" i="5" s="1"/>
  <c r="AG88" i="5"/>
  <c r="AC465" i="36" s="1"/>
  <c r="AR201" i="5"/>
  <c r="AR203" i="5" s="1"/>
  <c r="AM131" i="5"/>
  <c r="O165" i="36" s="1"/>
  <c r="O192" i="36" s="1"/>
  <c r="AX465" i="5"/>
  <c r="BP368" i="5"/>
  <c r="BI492" i="2"/>
  <c r="BO312" i="5"/>
  <c r="AY367" i="5"/>
  <c r="BB312" i="5"/>
  <c r="BB210" i="5"/>
  <c r="BL361" i="5"/>
  <c r="BL373" i="5"/>
  <c r="BD373" i="5"/>
  <c r="BC373" i="5"/>
  <c r="BQ15" i="5"/>
  <c r="BQ222" i="5"/>
  <c r="AY494" i="2"/>
  <c r="BM496" i="2"/>
  <c r="U207" i="10"/>
  <c r="T164" i="2"/>
  <c r="G354" i="35" s="1"/>
  <c r="AL102" i="5"/>
  <c r="AL104" i="5" s="1"/>
  <c r="AD433" i="5"/>
  <c r="W462" i="36" s="1"/>
  <c r="AK10" i="5"/>
  <c r="N469" i="36" s="1"/>
  <c r="Y131" i="5"/>
  <c r="Y508" i="5" s="1"/>
  <c r="AO307" i="5"/>
  <c r="Q473" i="36" s="1"/>
  <c r="AR109" i="5"/>
  <c r="O476" i="36" s="1"/>
  <c r="AQ235" i="5"/>
  <c r="U475" i="36" s="1"/>
  <c r="AK447" i="5"/>
  <c r="W163" i="36" s="1"/>
  <c r="W190" i="36" s="1"/>
  <c r="AO329" i="5"/>
  <c r="AO510" i="5" s="1"/>
  <c r="AK109" i="5"/>
  <c r="O469" i="36" s="1"/>
  <c r="AM109" i="5"/>
  <c r="O471" i="36" s="1"/>
  <c r="AO235" i="5"/>
  <c r="U473" i="36" s="1"/>
  <c r="AM201" i="5"/>
  <c r="AM203" i="5" s="1"/>
  <c r="AD447" i="5"/>
  <c r="W156" i="36" s="1"/>
  <c r="W183" i="36" s="1"/>
  <c r="AK131" i="5"/>
  <c r="AK133" i="5" s="1"/>
  <c r="AV390" i="2"/>
  <c r="AB201" i="5"/>
  <c r="AB203" i="5" s="1"/>
  <c r="AH329" i="5"/>
  <c r="AH510" i="5" s="1"/>
  <c r="AH235" i="5"/>
  <c r="U466" i="36" s="1"/>
  <c r="AZ440" i="2"/>
  <c r="Y150" i="5"/>
  <c r="T151" i="36" s="1"/>
  <c r="T178" i="36" s="1"/>
  <c r="U196" i="10"/>
  <c r="AZ99" i="2"/>
  <c r="BR296" i="2"/>
  <c r="BE246" i="2"/>
  <c r="BN170" i="5"/>
  <c r="AY246" i="2"/>
  <c r="BA262" i="5"/>
  <c r="BF145" i="2"/>
  <c r="BR15" i="5"/>
  <c r="AX246" i="2"/>
  <c r="BQ99" i="2"/>
  <c r="BC416" i="2"/>
  <c r="BL99" i="2"/>
  <c r="AV193" i="2"/>
  <c r="BH296" i="2"/>
  <c r="BF296" i="2"/>
  <c r="BI94" i="2"/>
  <c r="BE99" i="2"/>
  <c r="BI144" i="2"/>
  <c r="BP145" i="2"/>
  <c r="BH145" i="2"/>
  <c r="BI99" i="2"/>
  <c r="AX99" i="2"/>
  <c r="BI246" i="2"/>
  <c r="BB145" i="2"/>
  <c r="BI145" i="2"/>
  <c r="BM96" i="2"/>
  <c r="BB193" i="2"/>
  <c r="AW440" i="2"/>
  <c r="BI296" i="2"/>
  <c r="BG145" i="2"/>
  <c r="BE148" i="2"/>
  <c r="BA243" i="2"/>
  <c r="BR246" i="2"/>
  <c r="AY440" i="2"/>
  <c r="AY296" i="2"/>
  <c r="AV99" i="2"/>
  <c r="AZ148" i="2"/>
  <c r="BF288" i="2"/>
  <c r="BA246" i="2"/>
  <c r="BK91" i="2"/>
  <c r="AZ145" i="2"/>
  <c r="BK416" i="2"/>
  <c r="BL145" i="2"/>
  <c r="BH288" i="2"/>
  <c r="BD246" i="2"/>
  <c r="BM145" i="2"/>
  <c r="AW91" i="2"/>
  <c r="BI91" i="2"/>
  <c r="BG99" i="2"/>
  <c r="BL120" i="2"/>
  <c r="BI120" i="2"/>
  <c r="BB128" i="2"/>
  <c r="BJ128" i="2"/>
  <c r="BE145" i="2"/>
  <c r="BD193" i="2"/>
  <c r="BG94" i="2"/>
  <c r="AX145" i="2"/>
  <c r="BH156" i="5"/>
  <c r="BQ373" i="5"/>
  <c r="BD368" i="5"/>
  <c r="BE368" i="5"/>
  <c r="AW492" i="2"/>
  <c r="AX492" i="2"/>
  <c r="BR496" i="2"/>
  <c r="R210" i="10"/>
  <c r="P208" i="10"/>
  <c r="U167" i="10"/>
  <c r="AG173" i="10"/>
  <c r="AH173" i="10" s="1"/>
  <c r="AI173" i="10" s="1"/>
  <c r="AL399" i="5"/>
  <c r="AL540" i="5" s="1"/>
  <c r="AM88" i="5"/>
  <c r="AC471" i="36" s="1"/>
  <c r="AB136" i="5"/>
  <c r="T460" i="36" s="1"/>
  <c r="AL300" i="5"/>
  <c r="AL302" i="5" s="1"/>
  <c r="AC399" i="5"/>
  <c r="AC401" i="5" s="1"/>
  <c r="AM300" i="5"/>
  <c r="AM302" i="5" s="1"/>
  <c r="BN242" i="5"/>
  <c r="BK193" i="5"/>
  <c r="BK201" i="5" s="1"/>
  <c r="AL204" i="5" s="1"/>
  <c r="BQ192" i="2"/>
  <c r="AI235" i="5"/>
  <c r="U467" i="36" s="1"/>
  <c r="AJ88" i="5"/>
  <c r="AC468" i="36" s="1"/>
  <c r="H468" i="36" s="1"/>
  <c r="AH102" i="5"/>
  <c r="AH104" i="5" s="1"/>
  <c r="AB88" i="5"/>
  <c r="AC460" i="36" s="1"/>
  <c r="AF201" i="5"/>
  <c r="AF203" i="5" s="1"/>
  <c r="AA88" i="5"/>
  <c r="AC459" i="36" s="1"/>
  <c r="AR399" i="5"/>
  <c r="AR401" i="5" s="1"/>
  <c r="X399" i="5"/>
  <c r="X401" i="5" s="1"/>
  <c r="Z447" i="5"/>
  <c r="Z449" i="5" s="1"/>
  <c r="AN131" i="5"/>
  <c r="O166" i="36" s="1"/>
  <c r="O193" i="36" s="1"/>
  <c r="AF307" i="5"/>
  <c r="Q464" i="36" s="1"/>
  <c r="AQ187" i="5"/>
  <c r="AD475" i="36" s="1"/>
  <c r="AB187" i="5"/>
  <c r="AD460" i="36" s="1"/>
  <c r="AD131" i="5"/>
  <c r="AD508" i="5" s="1"/>
  <c r="AM102" i="5"/>
  <c r="AM104" i="5" s="1"/>
  <c r="Z329" i="5"/>
  <c r="Z510" i="5" s="1"/>
  <c r="AN109" i="5"/>
  <c r="O472" i="36" s="1"/>
  <c r="BE189" i="5"/>
  <c r="BE201" i="5" s="1"/>
  <c r="AF204" i="5" s="1"/>
  <c r="AK201" i="5"/>
  <c r="AK203" i="5" s="1"/>
  <c r="AJ329" i="5"/>
  <c r="AJ510" i="5" s="1"/>
  <c r="AX193" i="5"/>
  <c r="AX201" i="5" s="1"/>
  <c r="Y204" i="5" s="1"/>
  <c r="AH88" i="5"/>
  <c r="AC466" i="36" s="1"/>
  <c r="AA329" i="5"/>
  <c r="AA510" i="5" s="1"/>
  <c r="AK187" i="5"/>
  <c r="AD469" i="36" s="1"/>
  <c r="AR131" i="5"/>
  <c r="O170" i="36" s="1"/>
  <c r="O197" i="36" s="1"/>
  <c r="X102" i="5"/>
  <c r="X537" i="5" s="1"/>
  <c r="AI300" i="5"/>
  <c r="AI302" i="5" s="1"/>
  <c r="AL385" i="5"/>
  <c r="AF470" i="36" s="1"/>
  <c r="AA102" i="5"/>
  <c r="AA104" i="5" s="1"/>
  <c r="AE109" i="5"/>
  <c r="O463" i="36" s="1"/>
  <c r="BG493" i="2"/>
  <c r="BQ496" i="2"/>
  <c r="U43" i="2"/>
  <c r="L43" i="2"/>
  <c r="AZ217" i="5"/>
  <c r="AW296" i="2"/>
  <c r="BH246" i="2"/>
  <c r="AY128" i="2"/>
  <c r="BI387" i="5"/>
  <c r="BD39" i="5"/>
  <c r="BQ495" i="2"/>
  <c r="AV39" i="5"/>
  <c r="BC365" i="5"/>
  <c r="BN365" i="5"/>
  <c r="AX495" i="2"/>
  <c r="AZ487" i="2"/>
  <c r="BE487" i="2"/>
  <c r="BA487" i="2"/>
  <c r="BM217" i="5"/>
  <c r="BL222" i="5"/>
  <c r="BH39" i="5"/>
  <c r="BR365" i="5"/>
  <c r="BN487" i="2"/>
  <c r="BK487" i="2"/>
  <c r="BK217" i="5"/>
  <c r="BI39" i="5"/>
  <c r="AY39" i="5"/>
  <c r="AY277" i="5"/>
  <c r="BK222" i="5"/>
  <c r="BD156" i="5"/>
  <c r="S156" i="5"/>
  <c r="AY156" i="5"/>
  <c r="BF39" i="5"/>
  <c r="BJ39" i="5"/>
  <c r="BG487" i="2"/>
  <c r="BJ217" i="5"/>
  <c r="BN222" i="5"/>
  <c r="BJ222" i="5"/>
  <c r="BF222" i="5"/>
  <c r="BG222" i="5"/>
  <c r="BG217" i="5"/>
  <c r="BQ156" i="5"/>
  <c r="BG156" i="5"/>
  <c r="BQ487" i="2"/>
  <c r="BI257" i="5"/>
  <c r="AZ493" i="2"/>
  <c r="BN257" i="5"/>
  <c r="BA39" i="5"/>
  <c r="BC156" i="5"/>
  <c r="BA222" i="5"/>
  <c r="BL217" i="5"/>
  <c r="AW217" i="5"/>
  <c r="AW39" i="5"/>
  <c r="BO345" i="5"/>
  <c r="BK156" i="5"/>
  <c r="AL435" i="35"/>
  <c r="BL156" i="5"/>
  <c r="AV365" i="5"/>
  <c r="AV487" i="2"/>
  <c r="BF217" i="5"/>
  <c r="BP257" i="5"/>
  <c r="BN39" i="5"/>
  <c r="BK39" i="5"/>
  <c r="BA156" i="5"/>
  <c r="AZ222" i="5"/>
  <c r="BP222" i="5"/>
  <c r="BI217" i="5"/>
  <c r="BM39" i="5"/>
  <c r="BD222" i="5"/>
  <c r="BP39" i="5"/>
  <c r="BM365" i="5"/>
  <c r="BI365" i="5"/>
  <c r="AV495" i="2"/>
  <c r="BQ217" i="5"/>
  <c r="BM156" i="5"/>
  <c r="BC39" i="5"/>
  <c r="BR222" i="5"/>
  <c r="BI222" i="5"/>
  <c r="BE222" i="5"/>
  <c r="BP365" i="5"/>
  <c r="AW365" i="5"/>
  <c r="AY217" i="5"/>
  <c r="BE277" i="5"/>
  <c r="AY222" i="5"/>
  <c r="BO222" i="5"/>
  <c r="AX277" i="5"/>
  <c r="BB217" i="5"/>
  <c r="BP487" i="2"/>
  <c r="BD21" i="2"/>
  <c r="BL124" i="2"/>
  <c r="BM265" i="5"/>
  <c r="BC496" i="2"/>
  <c r="BG496" i="2"/>
  <c r="BL496" i="2"/>
  <c r="U17" i="2"/>
  <c r="AZ339" i="5"/>
  <c r="AW94" i="2"/>
  <c r="BH94" i="2"/>
  <c r="AY91" i="2"/>
  <c r="BJ99" i="2"/>
  <c r="AZ496" i="2"/>
  <c r="BI496" i="2"/>
  <c r="AW496" i="2"/>
  <c r="BA496" i="2"/>
  <c r="BH496" i="2"/>
  <c r="BA393" i="5"/>
  <c r="BA199" i="2"/>
  <c r="BE496" i="2"/>
  <c r="AY496" i="2"/>
  <c r="BB496" i="2"/>
  <c r="BL369" i="5"/>
  <c r="BK496" i="2"/>
  <c r="BN496" i="2"/>
  <c r="AY487" i="2"/>
  <c r="BF387" i="5"/>
  <c r="BB442" i="2"/>
  <c r="AX496" i="2"/>
  <c r="BO496" i="2"/>
  <c r="BG369" i="5"/>
  <c r="U16" i="2"/>
  <c r="BJ296" i="2"/>
  <c r="BG265" i="5"/>
  <c r="BJ496" i="2"/>
  <c r="BD487" i="2"/>
  <c r="AV21" i="2"/>
  <c r="BH124" i="2"/>
  <c r="BN339" i="5"/>
  <c r="BR487" i="2"/>
  <c r="BB487" i="2"/>
  <c r="U209" i="10"/>
  <c r="U165" i="2"/>
  <c r="T17" i="2"/>
  <c r="T354" i="2"/>
  <c r="L17" i="2"/>
  <c r="T58" i="2"/>
  <c r="L59" i="2"/>
  <c r="U258" i="2"/>
  <c r="L264" i="2"/>
  <c r="T16" i="2"/>
  <c r="U354" i="2"/>
  <c r="L160" i="2"/>
  <c r="T258" i="2"/>
  <c r="T165" i="2"/>
  <c r="U15" i="2"/>
  <c r="L454" i="2"/>
  <c r="T362" i="2"/>
  <c r="T15" i="2"/>
  <c r="L16" i="2"/>
  <c r="T355" i="2"/>
  <c r="U454" i="2"/>
  <c r="L164" i="2"/>
  <c r="U362" i="2"/>
  <c r="L354" i="2"/>
  <c r="T171" i="2"/>
  <c r="T454" i="2"/>
  <c r="U58" i="2"/>
  <c r="U59" i="2"/>
  <c r="U259" i="2"/>
  <c r="L463" i="2"/>
  <c r="T57" i="2"/>
  <c r="L362" i="2"/>
  <c r="L57" i="2"/>
  <c r="L355" i="2"/>
  <c r="U160" i="2"/>
  <c r="L171" i="2"/>
  <c r="U463" i="2"/>
  <c r="L258" i="2"/>
  <c r="T264" i="2"/>
  <c r="L165" i="2"/>
  <c r="U57" i="2"/>
  <c r="U355" i="2"/>
  <c r="L58" i="2"/>
  <c r="T160" i="2"/>
  <c r="U164" i="2"/>
  <c r="T59" i="2"/>
  <c r="T259" i="2"/>
  <c r="U264" i="2"/>
  <c r="U171" i="2"/>
  <c r="T463" i="2"/>
  <c r="L259" i="2"/>
  <c r="AL286" i="5"/>
  <c r="AE470" i="36" s="1"/>
  <c r="AL37" i="5"/>
  <c r="S470" i="36" s="1"/>
  <c r="AZ90" i="5"/>
  <c r="BI26" i="2"/>
  <c r="BQ486" i="2"/>
  <c r="BP20" i="5"/>
  <c r="BD62" i="5"/>
  <c r="AY435" i="5"/>
  <c r="BC424" i="2"/>
  <c r="AW488" i="2"/>
  <c r="S493" i="2"/>
  <c r="S495" i="2"/>
  <c r="S492" i="2"/>
  <c r="S494" i="2"/>
  <c r="S440" i="2"/>
  <c r="S444" i="2"/>
  <c r="S443" i="2"/>
  <c r="S442" i="2"/>
  <c r="AV418" i="2"/>
  <c r="BD418" i="2"/>
  <c r="BL418" i="2"/>
  <c r="S392" i="2"/>
  <c r="AV397" i="2"/>
  <c r="BK393" i="2"/>
  <c r="BR394" i="2"/>
  <c r="S396" i="2"/>
  <c r="S343" i="2"/>
  <c r="S344" i="2"/>
  <c r="S345" i="2"/>
  <c r="S346" i="2"/>
  <c r="AZ317" i="2"/>
  <c r="S327" i="2"/>
  <c r="BK295" i="2"/>
  <c r="S296" i="2"/>
  <c r="AY291" i="2"/>
  <c r="S298" i="2"/>
  <c r="S246" i="2"/>
  <c r="S245" i="2"/>
  <c r="S247" i="2"/>
  <c r="BC219" i="2"/>
  <c r="BK219" i="2"/>
  <c r="AY215" i="2"/>
  <c r="AY216" i="2"/>
  <c r="BC199" i="2"/>
  <c r="S197" i="2"/>
  <c r="S194" i="2"/>
  <c r="BF189" i="2"/>
  <c r="BH189" i="2"/>
  <c r="S196" i="2"/>
  <c r="S199" i="2"/>
  <c r="S198" i="2"/>
  <c r="S147" i="2"/>
  <c r="S146" i="2"/>
  <c r="S128" i="2"/>
  <c r="BL129" i="2"/>
  <c r="AV96" i="2"/>
  <c r="S98" i="2"/>
  <c r="BI321" i="2"/>
  <c r="BR95" i="2"/>
  <c r="BB144" i="2"/>
  <c r="AV121" i="2"/>
  <c r="BE293" i="5"/>
  <c r="AY441" i="2"/>
  <c r="BL426" i="2"/>
  <c r="BJ419" i="2"/>
  <c r="BQ445" i="2"/>
  <c r="BA395" i="2"/>
  <c r="BK224" i="2"/>
  <c r="BK217" i="2"/>
  <c r="BE262" i="5"/>
  <c r="BP225" i="2"/>
  <c r="BK465" i="5"/>
  <c r="BN327" i="5"/>
  <c r="BN24" i="5"/>
  <c r="AV421" i="2"/>
  <c r="AV92" i="2"/>
  <c r="BQ100" i="2"/>
  <c r="BB28" i="2"/>
  <c r="BB123" i="2"/>
  <c r="BK218" i="2"/>
  <c r="BI289" i="5"/>
  <c r="BL387" i="5"/>
  <c r="BF12" i="5"/>
  <c r="AY15" i="5"/>
  <c r="BB218" i="2"/>
  <c r="BA369" i="5"/>
  <c r="BH327" i="2"/>
  <c r="BJ339" i="5"/>
  <c r="BG387" i="5"/>
  <c r="BD387" i="5"/>
  <c r="BC289" i="5"/>
  <c r="BB393" i="5"/>
  <c r="BB216" i="5"/>
  <c r="BL216" i="5"/>
  <c r="BQ129" i="5"/>
  <c r="BQ131" i="5" s="1"/>
  <c r="AR134" i="5" s="1"/>
  <c r="BJ129" i="5"/>
  <c r="BJ131" i="5" s="1"/>
  <c r="AK134" i="5" s="1"/>
  <c r="BR12" i="5"/>
  <c r="BP327" i="2"/>
  <c r="BE28" i="2"/>
  <c r="BN327" i="2"/>
  <c r="BQ218" i="2"/>
  <c r="BL218" i="2"/>
  <c r="BK198" i="2"/>
  <c r="BH339" i="5"/>
  <c r="BH393" i="5"/>
  <c r="BF78" i="5"/>
  <c r="BF216" i="5"/>
  <c r="BA216" i="5"/>
  <c r="BP216" i="5"/>
  <c r="BM216" i="5"/>
  <c r="R131" i="5"/>
  <c r="O229" i="36" s="1"/>
  <c r="BN393" i="5"/>
  <c r="BB12" i="5"/>
  <c r="BI78" i="5"/>
  <c r="BD364" i="5"/>
  <c r="BJ28" i="2"/>
  <c r="BA218" i="2"/>
  <c r="BD28" i="2"/>
  <c r="BG421" i="2"/>
  <c r="BL393" i="5"/>
  <c r="BG12" i="5"/>
  <c r="BB339" i="5"/>
  <c r="BC255" i="5"/>
  <c r="BO216" i="5"/>
  <c r="BJ216" i="5"/>
  <c r="BR216" i="5"/>
  <c r="BP393" i="5"/>
  <c r="BO129" i="5"/>
  <c r="BO131" i="5" s="1"/>
  <c r="AP134" i="5" s="1"/>
  <c r="BF129" i="5"/>
  <c r="BF131" i="5" s="1"/>
  <c r="AG134" i="5" s="1"/>
  <c r="BA129" i="5"/>
  <c r="BA131" i="5" s="1"/>
  <c r="AB134" i="5" s="1"/>
  <c r="AW12" i="5"/>
  <c r="BK12" i="5"/>
  <c r="BO364" i="5"/>
  <c r="BK78" i="5"/>
  <c r="BP364" i="5"/>
  <c r="BJ364" i="5"/>
  <c r="AW393" i="5"/>
  <c r="BN198" i="2"/>
  <c r="BD198" i="2"/>
  <c r="BB198" i="2"/>
  <c r="BG216" i="5"/>
  <c r="AV216" i="5"/>
  <c r="BK393" i="5"/>
  <c r="BB129" i="5"/>
  <c r="BB131" i="5" s="1"/>
  <c r="AC134" i="5" s="1"/>
  <c r="BP12" i="5"/>
  <c r="AX12" i="5"/>
  <c r="AX32" i="5" s="1"/>
  <c r="AX34" i="5" s="1"/>
  <c r="Y36" i="5" s="1"/>
  <c r="AV364" i="5"/>
  <c r="BB78" i="5"/>
  <c r="BG339" i="5"/>
  <c r="BA78" i="5"/>
  <c r="BN364" i="5"/>
  <c r="AW364" i="5"/>
  <c r="BK364" i="5"/>
  <c r="BA289" i="5"/>
  <c r="BC339" i="5"/>
  <c r="BQ216" i="5"/>
  <c r="AV393" i="5"/>
  <c r="BP129" i="5"/>
  <c r="BP131" i="5" s="1"/>
  <c r="AQ134" i="5" s="1"/>
  <c r="BG129" i="5"/>
  <c r="BG131" i="5" s="1"/>
  <c r="AH134" i="5" s="1"/>
  <c r="BC12" i="5"/>
  <c r="BL12" i="5"/>
  <c r="BG15" i="5"/>
  <c r="BR78" i="5"/>
  <c r="BE364" i="5"/>
  <c r="AX327" i="2"/>
  <c r="AV339" i="5"/>
  <c r="AZ15" i="5"/>
  <c r="BF289" i="5"/>
  <c r="AZ78" i="5"/>
  <c r="AW198" i="2"/>
  <c r="BK129" i="5"/>
  <c r="BK131" i="5" s="1"/>
  <c r="AL134" i="5" s="1"/>
  <c r="BH78" i="5"/>
  <c r="BG255" i="5"/>
  <c r="AX78" i="5"/>
  <c r="BE78" i="5"/>
  <c r="BM364" i="5"/>
  <c r="BQ78" i="5"/>
  <c r="BP78" i="5"/>
  <c r="AX364" i="5"/>
  <c r="AZ364" i="5"/>
  <c r="BJ198" i="2"/>
  <c r="BH289" i="5"/>
  <c r="AY12" i="5"/>
  <c r="BQ393" i="5"/>
  <c r="AZ216" i="5"/>
  <c r="AW216" i="5"/>
  <c r="BJ12" i="5"/>
  <c r="BG78" i="5"/>
  <c r="BE129" i="5"/>
  <c r="BE131" i="5" s="1"/>
  <c r="AF134" i="5" s="1"/>
  <c r="BQ364" i="5"/>
  <c r="BP361" i="5"/>
  <c r="BJ366" i="5"/>
  <c r="AV368" i="5"/>
  <c r="BN495" i="2"/>
  <c r="BB74" i="2"/>
  <c r="BM74" i="2"/>
  <c r="BF391" i="5"/>
  <c r="BG366" i="5"/>
  <c r="BR495" i="2"/>
  <c r="BR28" i="2"/>
  <c r="BO218" i="2"/>
  <c r="BN493" i="2"/>
  <c r="BN218" i="2"/>
  <c r="BP493" i="2"/>
  <c r="BF493" i="2"/>
  <c r="BL327" i="2"/>
  <c r="BE493" i="2"/>
  <c r="BM366" i="5"/>
  <c r="AX218" i="2"/>
  <c r="BB366" i="5"/>
  <c r="AW493" i="2"/>
  <c r="BO495" i="2"/>
  <c r="BC495" i="2"/>
  <c r="BL495" i="2"/>
  <c r="BJ387" i="5"/>
  <c r="BK339" i="5"/>
  <c r="BE393" i="5"/>
  <c r="BF393" i="5"/>
  <c r="BB387" i="5"/>
  <c r="BI366" i="5"/>
  <c r="AY216" i="5"/>
  <c r="BL129" i="5"/>
  <c r="BL131" i="5" s="1"/>
  <c r="AM134" i="5" s="1"/>
  <c r="BO78" i="5"/>
  <c r="BC321" i="2"/>
  <c r="BO366" i="5"/>
  <c r="BH495" i="2"/>
  <c r="BD393" i="5"/>
  <c r="BD129" i="5"/>
  <c r="BD131" i="5" s="1"/>
  <c r="AE134" i="5" s="1"/>
  <c r="BI129" i="5"/>
  <c r="AY123" i="2"/>
  <c r="AY78" i="5"/>
  <c r="BI216" i="5"/>
  <c r="BM493" i="2"/>
  <c r="BH386" i="5"/>
  <c r="AW495" i="2"/>
  <c r="BK28" i="2"/>
  <c r="AW28" i="2"/>
  <c r="BJ493" i="2"/>
  <c r="AX28" i="2"/>
  <c r="AZ218" i="2"/>
  <c r="BD218" i="2"/>
  <c r="BH198" i="2"/>
  <c r="BB493" i="2"/>
  <c r="AW366" i="5"/>
  <c r="BM198" i="2"/>
  <c r="BJ495" i="2"/>
  <c r="BG361" i="5"/>
  <c r="BK387" i="5"/>
  <c r="BC393" i="5"/>
  <c r="AX339" i="5"/>
  <c r="AY393" i="5"/>
  <c r="BC216" i="5"/>
  <c r="BM495" i="2"/>
  <c r="BD361" i="5"/>
  <c r="BJ218" i="2"/>
  <c r="BQ493" i="2"/>
  <c r="BI198" i="2"/>
  <c r="AW218" i="2"/>
  <c r="BO327" i="2"/>
  <c r="AW327" i="2"/>
  <c r="BD327" i="2"/>
  <c r="BG198" i="2"/>
  <c r="BF198" i="2"/>
  <c r="BA198" i="2"/>
  <c r="AV312" i="5"/>
  <c r="BA366" i="5"/>
  <c r="BF495" i="2"/>
  <c r="BF327" i="2"/>
  <c r="BG495" i="2"/>
  <c r="BD495" i="2"/>
  <c r="BI495" i="2"/>
  <c r="BE289" i="5"/>
  <c r="BD289" i="5"/>
  <c r="BR129" i="5"/>
  <c r="BR131" i="5" s="1"/>
  <c r="AS134" i="5" s="1"/>
  <c r="AZ129" i="5"/>
  <c r="AZ131" i="5" s="1"/>
  <c r="AA134" i="5" s="1"/>
  <c r="BN129" i="5"/>
  <c r="BN131" i="5" s="1"/>
  <c r="AO134" i="5" s="1"/>
  <c r="S78" i="5"/>
  <c r="BF326" i="2"/>
  <c r="BO361" i="5"/>
  <c r="BC366" i="5"/>
  <c r="BK495" i="2"/>
  <c r="AZ495" i="2"/>
  <c r="BK361" i="5"/>
  <c r="BH218" i="2"/>
  <c r="BP198" i="2"/>
  <c r="BI493" i="2"/>
  <c r="AV28" i="2"/>
  <c r="AY327" i="2"/>
  <c r="BR493" i="2"/>
  <c r="BC28" i="2"/>
  <c r="BG218" i="2"/>
  <c r="R230" i="5"/>
  <c r="P229" i="36" s="1"/>
  <c r="BM386" i="5"/>
  <c r="AY366" i="5"/>
  <c r="BE312" i="5"/>
  <c r="AV493" i="2"/>
  <c r="BC198" i="2"/>
  <c r="AZ198" i="2"/>
  <c r="BH312" i="5"/>
  <c r="BE391" i="5"/>
  <c r="BA495" i="2"/>
  <c r="BM339" i="5"/>
  <c r="BM289" i="5"/>
  <c r="BK289" i="5"/>
  <c r="BG393" i="5"/>
  <c r="AX393" i="5"/>
  <c r="BC129" i="5"/>
  <c r="BC131" i="5" s="1"/>
  <c r="AD134" i="5" s="1"/>
  <c r="BJ78" i="5"/>
  <c r="AW78" i="5"/>
  <c r="AX326" i="2"/>
  <c r="AY74" i="2"/>
  <c r="BF74" i="2"/>
  <c r="BE74" i="2"/>
  <c r="BE361" i="5"/>
  <c r="BC327" i="2"/>
  <c r="BO198" i="2"/>
  <c r="BO493" i="2"/>
  <c r="BG327" i="2"/>
  <c r="BI327" i="2"/>
  <c r="BR366" i="5"/>
  <c r="BP366" i="5"/>
  <c r="BQ198" i="2"/>
  <c r="BB495" i="2"/>
  <c r="AY198" i="2"/>
  <c r="BP495" i="2"/>
  <c r="BE495" i="2"/>
  <c r="BI339" i="5"/>
  <c r="BE339" i="5"/>
  <c r="BA339" i="5"/>
  <c r="BI209" i="5"/>
  <c r="BF209" i="5"/>
  <c r="BA74" i="2"/>
  <c r="AV366" i="5"/>
  <c r="AX366" i="5"/>
  <c r="BK493" i="2"/>
  <c r="BQ366" i="5"/>
  <c r="AY495" i="2"/>
  <c r="BK419" i="2"/>
  <c r="AZ359" i="5"/>
  <c r="BE217" i="2"/>
  <c r="BF224" i="2"/>
  <c r="AW397" i="2"/>
  <c r="BI327" i="5"/>
  <c r="AZ327" i="5"/>
  <c r="BB122" i="2"/>
  <c r="AV445" i="2"/>
  <c r="BL445" i="2"/>
  <c r="BH327" i="5"/>
  <c r="BH397" i="2"/>
  <c r="BK220" i="2"/>
  <c r="BA443" i="2"/>
  <c r="AV325" i="2"/>
  <c r="BF327" i="5"/>
  <c r="AV262" i="5"/>
  <c r="BA441" i="2"/>
  <c r="BE441" i="2"/>
  <c r="BB397" i="2"/>
  <c r="AV324" i="2"/>
  <c r="BD324" i="2"/>
  <c r="BC223" i="2"/>
  <c r="BK223" i="2"/>
  <c r="BK445" i="2"/>
  <c r="BJ217" i="2"/>
  <c r="BB224" i="2"/>
  <c r="BP465" i="5"/>
  <c r="AX393" i="2"/>
  <c r="BD325" i="2"/>
  <c r="BH393" i="2"/>
  <c r="BB393" i="2"/>
  <c r="AV465" i="5"/>
  <c r="AY217" i="2"/>
  <c r="AZ445" i="2"/>
  <c r="BG327" i="5"/>
  <c r="BO344" i="2"/>
  <c r="BR247" i="2"/>
  <c r="BG129" i="2"/>
  <c r="BF216" i="2"/>
  <c r="BL343" i="2"/>
  <c r="BN216" i="2"/>
  <c r="BH92" i="2"/>
  <c r="BM92" i="2"/>
  <c r="BK100" i="2"/>
  <c r="AV123" i="2"/>
  <c r="AY339" i="5"/>
  <c r="AY289" i="5"/>
  <c r="BH129" i="5"/>
  <c r="BH131" i="5" s="1"/>
  <c r="BH133" i="5" s="1"/>
  <c r="AI135" i="5" s="1"/>
  <c r="BN78" i="5"/>
  <c r="AX129" i="5"/>
  <c r="AX131" i="5" s="1"/>
  <c r="O205" i="36" s="1"/>
  <c r="AV129" i="5"/>
  <c r="AV131" i="5" s="1"/>
  <c r="W134" i="5" s="1"/>
  <c r="BH387" i="5"/>
  <c r="BL78" i="5"/>
  <c r="BH100" i="2"/>
  <c r="BN100" i="2"/>
  <c r="BC92" i="2"/>
  <c r="AY129" i="5"/>
  <c r="AY131" i="5" s="1"/>
  <c r="Z134" i="5" s="1"/>
  <c r="BJ92" i="2"/>
  <c r="AW100" i="2"/>
  <c r="BL123" i="2"/>
  <c r="AY100" i="2"/>
  <c r="AW129" i="5"/>
  <c r="AW131" i="5" s="1"/>
  <c r="O204" i="36" s="1"/>
  <c r="BN289" i="5"/>
  <c r="BF100" i="2"/>
  <c r="BJ123" i="2"/>
  <c r="BI123" i="2"/>
  <c r="BG123" i="2"/>
  <c r="BO339" i="5"/>
  <c r="BE216" i="5"/>
  <c r="AX216" i="5"/>
  <c r="BC123" i="2"/>
  <c r="BJ289" i="5"/>
  <c r="BR387" i="5"/>
  <c r="BQ339" i="5"/>
  <c r="BR114" i="2"/>
  <c r="BD71" i="5"/>
  <c r="AY270" i="5"/>
  <c r="AV139" i="5"/>
  <c r="BO453" i="5"/>
  <c r="BP270" i="5"/>
  <c r="BN177" i="5"/>
  <c r="BM270" i="5"/>
  <c r="AX270" i="5"/>
  <c r="BQ163" i="5"/>
  <c r="BP114" i="2"/>
  <c r="BH114" i="2"/>
  <c r="AZ114" i="2"/>
  <c r="BM114" i="2"/>
  <c r="BE114" i="2"/>
  <c r="AW114" i="2"/>
  <c r="BH177" i="5"/>
  <c r="BG177" i="5"/>
  <c r="BF177" i="5"/>
  <c r="BD270" i="5"/>
  <c r="BR71" i="5"/>
  <c r="BI453" i="5"/>
  <c r="BK270" i="5"/>
  <c r="BC139" i="5"/>
  <c r="BE71" i="5"/>
  <c r="AY163" i="5"/>
  <c r="BG453" i="5"/>
  <c r="BK71" i="5"/>
  <c r="BN114" i="2"/>
  <c r="BF114" i="2"/>
  <c r="AX114" i="2"/>
  <c r="BK114" i="2"/>
  <c r="BC114" i="2"/>
  <c r="BO177" i="5"/>
  <c r="BR177" i="5"/>
  <c r="AX453" i="5"/>
  <c r="BL163" i="5"/>
  <c r="BI270" i="5"/>
  <c r="BB314" i="2"/>
  <c r="BE270" i="5"/>
  <c r="BI374" i="2"/>
  <c r="BJ374" i="2"/>
  <c r="AX374" i="2"/>
  <c r="AV177" i="5"/>
  <c r="BI139" i="5"/>
  <c r="BJ71" i="5"/>
  <c r="AX177" i="5"/>
  <c r="BG270" i="5"/>
  <c r="BL114" i="2"/>
  <c r="BD114" i="2"/>
  <c r="AV114" i="2"/>
  <c r="BI114" i="2"/>
  <c r="BA114" i="2"/>
  <c r="BE177" i="5"/>
  <c r="BC177" i="5"/>
  <c r="BD453" i="5"/>
  <c r="BL71" i="5"/>
  <c r="BK453" i="5"/>
  <c r="BA71" i="5"/>
  <c r="BG71" i="5"/>
  <c r="BF71" i="5"/>
  <c r="BP177" i="5"/>
  <c r="AY453" i="5"/>
  <c r="BJ270" i="5"/>
  <c r="AY71" i="5"/>
  <c r="BJ453" i="5"/>
  <c r="BJ114" i="2"/>
  <c r="BB114" i="2"/>
  <c r="BO114" i="2"/>
  <c r="BG114" i="2"/>
  <c r="AY114" i="2"/>
  <c r="BQ114" i="2"/>
  <c r="BL374" i="2"/>
  <c r="AW374" i="2"/>
  <c r="BG374" i="2"/>
  <c r="BB270" i="5"/>
  <c r="BP71" i="5"/>
  <c r="BK343" i="2"/>
  <c r="AZ444" i="2"/>
  <c r="BD344" i="2"/>
  <c r="AW247" i="2"/>
  <c r="BJ216" i="2"/>
  <c r="AV138" i="5"/>
  <c r="AY138" i="5"/>
  <c r="BE343" i="2"/>
  <c r="BK129" i="2"/>
  <c r="BA343" i="2"/>
  <c r="AY344" i="2"/>
  <c r="BN247" i="2"/>
  <c r="BI247" i="2"/>
  <c r="BA245" i="2"/>
  <c r="BD245" i="2"/>
  <c r="BC38" i="5"/>
  <c r="BA45" i="5"/>
  <c r="AW343" i="2"/>
  <c r="BJ129" i="2"/>
  <c r="AZ344" i="2"/>
  <c r="AV247" i="2"/>
  <c r="BC216" i="2"/>
  <c r="BB138" i="5"/>
  <c r="BP343" i="2"/>
  <c r="BI129" i="2"/>
  <c r="BG38" i="5"/>
  <c r="AZ291" i="2"/>
  <c r="BG435" i="5"/>
  <c r="BA293" i="5"/>
  <c r="BL344" i="2"/>
  <c r="BG344" i="2"/>
  <c r="BI344" i="2"/>
  <c r="BQ344" i="2"/>
  <c r="BQ343" i="2"/>
  <c r="BD317" i="2"/>
  <c r="BB216" i="2"/>
  <c r="BJ343" i="2"/>
  <c r="BB343" i="2"/>
  <c r="BE129" i="2"/>
  <c r="BQ38" i="5"/>
  <c r="BE344" i="2"/>
  <c r="BF344" i="2"/>
  <c r="BR344" i="2"/>
  <c r="BD247" i="2"/>
  <c r="BF343" i="2"/>
  <c r="BD129" i="2"/>
  <c r="AW435" i="5"/>
  <c r="BB344" i="2"/>
  <c r="BK344" i="2"/>
  <c r="BC344" i="2"/>
  <c r="BK216" i="2"/>
  <c r="BC247" i="2"/>
  <c r="BK247" i="2"/>
  <c r="BC435" i="5"/>
  <c r="BC343" i="2"/>
  <c r="BL215" i="2"/>
  <c r="BO129" i="2"/>
  <c r="AY129" i="2"/>
  <c r="BP344" i="2"/>
  <c r="AZ343" i="2"/>
  <c r="AW344" i="2"/>
  <c r="BA247" i="2"/>
  <c r="AW138" i="5"/>
  <c r="BA138" i="5"/>
  <c r="BD343" i="2"/>
  <c r="BD177" i="5"/>
  <c r="AY177" i="5"/>
  <c r="BA453" i="5"/>
  <c r="AZ177" i="5"/>
  <c r="BL453" i="5"/>
  <c r="BF139" i="5"/>
  <c r="BR453" i="5"/>
  <c r="BC270" i="5"/>
  <c r="BF163" i="5"/>
  <c r="AZ270" i="5"/>
  <c r="AW139" i="5"/>
  <c r="BN163" i="5"/>
  <c r="BH163" i="5"/>
  <c r="BA177" i="5"/>
  <c r="AX71" i="5"/>
  <c r="BH453" i="5"/>
  <c r="BO270" i="5"/>
  <c r="BG163" i="5"/>
  <c r="BH139" i="5"/>
  <c r="BM453" i="5"/>
  <c r="BN71" i="5"/>
  <c r="AZ453" i="5"/>
  <c r="BQ270" i="5"/>
  <c r="BA163" i="5"/>
  <c r="BM139" i="5"/>
  <c r="BB453" i="5"/>
  <c r="BM71" i="5"/>
  <c r="AZ163" i="5"/>
  <c r="BJ139" i="5"/>
  <c r="BQ71" i="5"/>
  <c r="BI177" i="5"/>
  <c r="AX163" i="5"/>
  <c r="AW71" i="5"/>
  <c r="BI71" i="5"/>
  <c r="BF270" i="5"/>
  <c r="BN270" i="5"/>
  <c r="BK177" i="5"/>
  <c r="BD163" i="5"/>
  <c r="BO71" i="5"/>
  <c r="BF453" i="5"/>
  <c r="BB192" i="2"/>
  <c r="AW159" i="5"/>
  <c r="BQ494" i="2"/>
  <c r="BJ494" i="2"/>
  <c r="BR476" i="2"/>
  <c r="BP476" i="2"/>
  <c r="AZ476" i="2"/>
  <c r="BQ476" i="2"/>
  <c r="BD476" i="2"/>
  <c r="AV140" i="5"/>
  <c r="BJ170" i="5"/>
  <c r="BC327" i="5"/>
  <c r="BI170" i="5"/>
  <c r="AY465" i="5"/>
  <c r="BP359" i="5"/>
  <c r="BR327" i="5"/>
  <c r="AX494" i="2"/>
  <c r="BR494" i="2"/>
  <c r="BM494" i="2"/>
  <c r="BF494" i="2"/>
  <c r="BK159" i="5"/>
  <c r="AW476" i="2"/>
  <c r="BA476" i="2"/>
  <c r="BN494" i="2"/>
  <c r="BO494" i="2"/>
  <c r="BG170" i="5"/>
  <c r="BK170" i="5"/>
  <c r="BK26" i="5"/>
  <c r="BG26" i="5"/>
  <c r="BD26" i="5"/>
  <c r="S26" i="5"/>
  <c r="AW26" i="5"/>
  <c r="BO170" i="5"/>
  <c r="BC170" i="5"/>
  <c r="BE170" i="5"/>
  <c r="BA159" i="5"/>
  <c r="BR225" i="2"/>
  <c r="BL494" i="2"/>
  <c r="BD494" i="2"/>
  <c r="S159" i="5"/>
  <c r="BO159" i="5"/>
  <c r="BJ159" i="5"/>
  <c r="BO476" i="2"/>
  <c r="BJ476" i="2"/>
  <c r="BH476" i="2"/>
  <c r="BN476" i="2"/>
  <c r="BI476" i="2"/>
  <c r="AX476" i="2"/>
  <c r="BA465" i="5"/>
  <c r="BA26" i="5"/>
  <c r="BD327" i="5"/>
  <c r="BP170" i="5"/>
  <c r="BF26" i="5"/>
  <c r="BC26" i="5"/>
  <c r="BG465" i="5"/>
  <c r="BB359" i="5"/>
  <c r="AY327" i="5"/>
  <c r="AW359" i="5"/>
  <c r="BP26" i="5"/>
  <c r="BP159" i="5"/>
  <c r="AV170" i="5"/>
  <c r="AV359" i="5"/>
  <c r="BP494" i="2"/>
  <c r="BC494" i="2"/>
  <c r="BG476" i="2"/>
  <c r="BE359" i="5"/>
  <c r="BF170" i="5"/>
  <c r="BB327" i="5"/>
  <c r="AX170" i="5"/>
  <c r="AX359" i="5"/>
  <c r="BR465" i="5"/>
  <c r="AX327" i="5"/>
  <c r="BF359" i="5"/>
  <c r="BG494" i="2"/>
  <c r="BH494" i="2"/>
  <c r="BG159" i="5"/>
  <c r="BB476" i="2"/>
  <c r="BF476" i="2"/>
  <c r="BE26" i="5"/>
  <c r="BH26" i="5"/>
  <c r="BB465" i="5"/>
  <c r="BL90" i="5"/>
  <c r="BJ359" i="5"/>
  <c r="BH170" i="5"/>
  <c r="AY26" i="5"/>
  <c r="BR170" i="5"/>
  <c r="BO26" i="5"/>
  <c r="BO359" i="5"/>
  <c r="BB170" i="5"/>
  <c r="AY170" i="5"/>
  <c r="W426" i="35"/>
  <c r="AZ159" i="5"/>
  <c r="AZ494" i="2"/>
  <c r="BB494" i="2"/>
  <c r="BE159" i="5"/>
  <c r="BN159" i="5"/>
  <c r="AV476" i="2"/>
  <c r="BL476" i="2"/>
  <c r="BE476" i="2"/>
  <c r="BJ26" i="5"/>
  <c r="AY359" i="5"/>
  <c r="BI494" i="2"/>
  <c r="BD170" i="5"/>
  <c r="BH359" i="5"/>
  <c r="BA170" i="5"/>
  <c r="BB26" i="5"/>
  <c r="BC359" i="5"/>
  <c r="BL359" i="5"/>
  <c r="BL170" i="5"/>
  <c r="BQ170" i="5"/>
  <c r="BA494" i="2"/>
  <c r="BD159" i="5"/>
  <c r="BB159" i="5"/>
  <c r="BC476" i="2"/>
  <c r="BA327" i="5"/>
  <c r="BE327" i="5"/>
  <c r="BQ26" i="5"/>
  <c r="AV494" i="2"/>
  <c r="BE494" i="2"/>
  <c r="BM170" i="5"/>
  <c r="BL26" i="5"/>
  <c r="BI26" i="5"/>
  <c r="AZ26" i="5"/>
  <c r="AY386" i="5"/>
  <c r="BE95" i="2"/>
  <c r="BC95" i="2"/>
  <c r="BQ361" i="5"/>
  <c r="BL366" i="5"/>
  <c r="BL386" i="5"/>
  <c r="AZ366" i="5"/>
  <c r="BN312" i="5"/>
  <c r="BM95" i="2"/>
  <c r="BD493" i="2"/>
  <c r="AZ95" i="2"/>
  <c r="BK386" i="5"/>
  <c r="BC367" i="5"/>
  <c r="BM367" i="5"/>
  <c r="AZ312" i="5"/>
  <c r="AW312" i="5"/>
  <c r="BD209" i="5"/>
  <c r="BJ209" i="5"/>
  <c r="AV209" i="5"/>
  <c r="BR386" i="5"/>
  <c r="BD386" i="5"/>
  <c r="BF386" i="5"/>
  <c r="BB367" i="5"/>
  <c r="BI312" i="5"/>
  <c r="AW95" i="2"/>
  <c r="AY493" i="2"/>
  <c r="BH366" i="5"/>
  <c r="BH321" i="2"/>
  <c r="BK367" i="5"/>
  <c r="BC312" i="5"/>
  <c r="BA209" i="5"/>
  <c r="BB386" i="5"/>
  <c r="BA312" i="5"/>
  <c r="BP312" i="5"/>
  <c r="AY312" i="5"/>
  <c r="BQ95" i="2"/>
  <c r="AX493" i="2"/>
  <c r="BG386" i="5"/>
  <c r="BH209" i="5"/>
  <c r="BN209" i="5"/>
  <c r="BK209" i="5"/>
  <c r="AZ386" i="5"/>
  <c r="BK312" i="5"/>
  <c r="BB95" i="2"/>
  <c r="BJ361" i="5"/>
  <c r="BC386" i="5"/>
  <c r="BC209" i="5"/>
  <c r="AX209" i="5"/>
  <c r="AX386" i="5"/>
  <c r="BM361" i="5"/>
  <c r="BQ312" i="5"/>
  <c r="BO95" i="2"/>
  <c r="BJ95" i="2"/>
  <c r="S361" i="5"/>
  <c r="BA386" i="5"/>
  <c r="AX367" i="5"/>
  <c r="BA361" i="5"/>
  <c r="AV361" i="5"/>
  <c r="BR312" i="5"/>
  <c r="BA493" i="2"/>
  <c r="AY95" i="2"/>
  <c r="AW209" i="5"/>
  <c r="BE386" i="5"/>
  <c r="AZ367" i="5"/>
  <c r="BG312" i="5"/>
  <c r="BH493" i="2"/>
  <c r="BH95" i="2"/>
  <c r="BL312" i="5"/>
  <c r="BB361" i="5"/>
  <c r="BD366" i="5"/>
  <c r="BR209" i="5"/>
  <c r="BQ209" i="5"/>
  <c r="BG209" i="5"/>
  <c r="BA95" i="2"/>
  <c r="BG95" i="2"/>
  <c r="BJ386" i="5"/>
  <c r="BC361" i="5"/>
  <c r="BL209" i="5"/>
  <c r="BB209" i="5"/>
  <c r="AW38" i="5"/>
  <c r="BC217" i="2"/>
  <c r="BC419" i="2"/>
  <c r="BF395" i="2"/>
  <c r="BF138" i="5"/>
  <c r="BJ435" i="5"/>
  <c r="BB445" i="2"/>
  <c r="BR138" i="5"/>
  <c r="BL45" i="5"/>
  <c r="BK38" i="5"/>
  <c r="BK317" i="5"/>
  <c r="BL317" i="5"/>
  <c r="S435" i="5"/>
  <c r="S447" i="5" s="1"/>
  <c r="BO435" i="5"/>
  <c r="V182" i="5"/>
  <c r="V528" i="5" s="1"/>
  <c r="BM217" i="2"/>
  <c r="BB217" i="2"/>
  <c r="BB395" i="2"/>
  <c r="AX419" i="2"/>
  <c r="AZ138" i="5"/>
  <c r="BB435" i="5"/>
  <c r="BI138" i="5"/>
  <c r="R300" i="5"/>
  <c r="AE229" i="36" s="1"/>
  <c r="AV443" i="2"/>
  <c r="BH138" i="5"/>
  <c r="BO138" i="5"/>
  <c r="BG394" i="2"/>
  <c r="BH45" i="5"/>
  <c r="BH38" i="5"/>
  <c r="BF38" i="5"/>
  <c r="BF293" i="5"/>
  <c r="BE317" i="5"/>
  <c r="BG317" i="5"/>
  <c r="BR317" i="5"/>
  <c r="BH435" i="5"/>
  <c r="BI445" i="2"/>
  <c r="BF445" i="2"/>
  <c r="BM395" i="2"/>
  <c r="BL435" i="5"/>
  <c r="BC138" i="5"/>
  <c r="AY393" i="2"/>
  <c r="BD394" i="2"/>
  <c r="BQ395" i="2"/>
  <c r="BM138" i="5"/>
  <c r="BL38" i="5"/>
  <c r="BK45" i="5"/>
  <c r="BP317" i="5"/>
  <c r="BJ278" i="5"/>
  <c r="BP38" i="5"/>
  <c r="BO38" i="5"/>
  <c r="S293" i="5"/>
  <c r="BR45" i="5"/>
  <c r="BF435" i="5"/>
  <c r="BF217" i="2"/>
  <c r="BO394" i="2"/>
  <c r="X426" i="35"/>
  <c r="BN435" i="5"/>
  <c r="BJ45" i="5"/>
  <c r="AX138" i="5"/>
  <c r="AX435" i="5"/>
  <c r="AX293" i="5"/>
  <c r="AW394" i="2"/>
  <c r="BP138" i="5"/>
  <c r="BR224" i="2"/>
  <c r="BP293" i="5"/>
  <c r="BF45" i="5"/>
  <c r="BD45" i="5"/>
  <c r="BD435" i="5"/>
  <c r="AZ278" i="5"/>
  <c r="BQ45" i="5"/>
  <c r="BO293" i="5"/>
  <c r="AV38" i="5"/>
  <c r="BQ293" i="5"/>
  <c r="AV278" i="5"/>
  <c r="BB278" i="5"/>
  <c r="AV394" i="2"/>
  <c r="S317" i="5"/>
  <c r="BM317" i="5"/>
  <c r="AY443" i="2"/>
  <c r="AZ443" i="2"/>
  <c r="BR435" i="5"/>
  <c r="BB45" i="5"/>
  <c r="AY394" i="2"/>
  <c r="BN393" i="2"/>
  <c r="BG138" i="5"/>
  <c r="BM45" i="5"/>
  <c r="BB38" i="5"/>
  <c r="AY38" i="5"/>
  <c r="BE45" i="5"/>
  <c r="BN317" i="5"/>
  <c r="BF317" i="5"/>
  <c r="BH293" i="5"/>
  <c r="AW293" i="5"/>
  <c r="BM435" i="5"/>
  <c r="BR293" i="5"/>
  <c r="BN426" i="2"/>
  <c r="AW224" i="2"/>
  <c r="AW217" i="2"/>
  <c r="BR217" i="2"/>
  <c r="BQ217" i="2"/>
  <c r="BP217" i="2"/>
  <c r="BI394" i="2"/>
  <c r="BO395" i="2"/>
  <c r="BP435" i="5"/>
  <c r="BN138" i="5"/>
  <c r="BO393" i="2"/>
  <c r="S138" i="5"/>
  <c r="BG45" i="5"/>
  <c r="AX45" i="5"/>
  <c r="AX38" i="5"/>
  <c r="BH317" i="5"/>
  <c r="AY317" i="5"/>
  <c r="BI317" i="5"/>
  <c r="AZ317" i="5"/>
  <c r="BB293" i="5"/>
  <c r="BC317" i="5"/>
  <c r="BN45" i="5"/>
  <c r="BE435" i="5"/>
  <c r="BD293" i="5"/>
  <c r="BQ443" i="2"/>
  <c r="AX217" i="2"/>
  <c r="BK138" i="5"/>
  <c r="BI293" i="5"/>
  <c r="BC278" i="5"/>
  <c r="BA38" i="5"/>
  <c r="AY293" i="5"/>
  <c r="BN293" i="5"/>
  <c r="BO45" i="5"/>
  <c r="BQ317" i="5"/>
  <c r="BO317" i="5"/>
  <c r="BB317" i="5"/>
  <c r="BB321" i="2"/>
  <c r="BJ177" i="5"/>
  <c r="AV270" i="5"/>
  <c r="BR321" i="2"/>
  <c r="BA321" i="2"/>
  <c r="AV95" i="2"/>
  <c r="BQ321" i="2"/>
  <c r="AZ321" i="2"/>
  <c r="BN139" i="5"/>
  <c r="BD139" i="5"/>
  <c r="BP321" i="2"/>
  <c r="AV163" i="5"/>
  <c r="BE139" i="5"/>
  <c r="BO321" i="2"/>
  <c r="AW321" i="2"/>
  <c r="BQ453" i="5"/>
  <c r="BL139" i="5"/>
  <c r="BK321" i="2"/>
  <c r="BA139" i="5"/>
  <c r="BK163" i="5"/>
  <c r="BG246" i="2"/>
  <c r="BQ386" i="5"/>
  <c r="BD144" i="2"/>
  <c r="BK45" i="2"/>
  <c r="AW128" i="2"/>
  <c r="BD224" i="2"/>
  <c r="BC145" i="2"/>
  <c r="BA145" i="2"/>
  <c r="BA128" i="2"/>
  <c r="BF128" i="2"/>
  <c r="BF144" i="2"/>
  <c r="BJ144" i="2"/>
  <c r="BD145" i="2"/>
  <c r="AZ45" i="2"/>
  <c r="BR45" i="2"/>
  <c r="BI386" i="5"/>
  <c r="AZ296" i="2"/>
  <c r="BO296" i="2"/>
  <c r="BA94" i="2"/>
  <c r="AY94" i="2"/>
  <c r="BR94" i="2"/>
  <c r="BR189" i="2"/>
  <c r="AW144" i="2"/>
  <c r="AX288" i="2"/>
  <c r="AY224" i="2"/>
  <c r="BG224" i="2"/>
  <c r="BF263" i="5"/>
  <c r="AW270" i="5"/>
  <c r="AV71" i="5"/>
  <c r="BF325" i="2"/>
  <c r="BR145" i="2"/>
  <c r="AW215" i="2"/>
  <c r="AX247" i="2"/>
  <c r="BM247" i="2"/>
  <c r="BB247" i="2"/>
  <c r="BL247" i="2"/>
  <c r="BQ247" i="2"/>
  <c r="AX129" i="2"/>
  <c r="BF129" i="2"/>
  <c r="BN129" i="2"/>
  <c r="AX216" i="2"/>
  <c r="BE216" i="2"/>
  <c r="BM343" i="2"/>
  <c r="BG343" i="2"/>
  <c r="AZ247" i="2"/>
  <c r="BH129" i="2"/>
  <c r="BP129" i="2"/>
  <c r="BG216" i="2"/>
  <c r="V102" i="5"/>
  <c r="AC230" i="36" s="1"/>
  <c r="V329" i="5"/>
  <c r="V510" i="5" s="1"/>
  <c r="S45" i="5"/>
  <c r="BI368" i="5"/>
  <c r="BB368" i="5"/>
  <c r="BO445" i="2"/>
  <c r="BD121" i="2"/>
  <c r="BM121" i="2"/>
  <c r="AW129" i="2"/>
  <c r="BK262" i="5"/>
  <c r="BG445" i="2"/>
  <c r="BK227" i="2"/>
  <c r="BC23" i="2"/>
  <c r="BM492" i="2"/>
  <c r="BO24" i="5"/>
  <c r="BF492" i="2"/>
  <c r="BL492" i="2"/>
  <c r="BJ492" i="2"/>
  <c r="BJ210" i="5"/>
  <c r="BA24" i="5"/>
  <c r="BK20" i="5"/>
  <c r="BO210" i="5"/>
  <c r="BN489" i="2"/>
  <c r="BO277" i="5"/>
  <c r="AZ277" i="5"/>
  <c r="BI277" i="5"/>
  <c r="BA365" i="5"/>
  <c r="BD12" i="5"/>
  <c r="BA191" i="2"/>
  <c r="AY420" i="2"/>
  <c r="BE492" i="2"/>
  <c r="BJ488" i="2"/>
  <c r="BA492" i="2"/>
  <c r="BN210" i="5"/>
  <c r="BA210" i="5"/>
  <c r="BM210" i="5"/>
  <c r="BD210" i="5"/>
  <c r="AV210" i="5"/>
  <c r="BE39" i="5"/>
  <c r="BB39" i="5"/>
  <c r="BC322" i="2"/>
  <c r="BK23" i="2"/>
  <c r="AZ126" i="2"/>
  <c r="BJ126" i="2"/>
  <c r="BH297" i="2"/>
  <c r="BK77" i="2"/>
  <c r="BQ77" i="2"/>
  <c r="BG24" i="5"/>
  <c r="BB492" i="2"/>
  <c r="BG490" i="2"/>
  <c r="BR492" i="2"/>
  <c r="BD77" i="2"/>
  <c r="AX77" i="2"/>
  <c r="AV492" i="2"/>
  <c r="BD24" i="5"/>
  <c r="BC210" i="5"/>
  <c r="AW210" i="5"/>
  <c r="BJ314" i="2"/>
  <c r="BK322" i="2"/>
  <c r="BF292" i="2"/>
  <c r="BH292" i="2"/>
  <c r="BK214" i="2"/>
  <c r="BG420" i="2"/>
  <c r="BB297" i="2"/>
  <c r="BH392" i="2"/>
  <c r="BD71" i="2"/>
  <c r="BF71" i="2"/>
  <c r="BH71" i="2"/>
  <c r="AZ492" i="2"/>
  <c r="AY492" i="2"/>
  <c r="BD492" i="2"/>
  <c r="BN492" i="2"/>
  <c r="BA147" i="2"/>
  <c r="AZ20" i="5"/>
  <c r="BF210" i="5"/>
  <c r="BP210" i="5"/>
  <c r="BP489" i="2"/>
  <c r="AX210" i="5"/>
  <c r="BC443" i="2"/>
  <c r="BI443" i="2"/>
  <c r="BD91" i="2"/>
  <c r="BP421" i="2"/>
  <c r="AX100" i="2"/>
  <c r="BM100" i="2"/>
  <c r="BL393" i="2"/>
  <c r="BE395" i="2"/>
  <c r="BL224" i="2"/>
  <c r="AY343" i="2"/>
  <c r="BI343" i="2"/>
  <c r="AX394" i="2"/>
  <c r="BP394" i="2"/>
  <c r="BA344" i="2"/>
  <c r="BH344" i="2"/>
  <c r="BC227" i="2"/>
  <c r="BC191" i="2"/>
  <c r="BC214" i="2"/>
  <c r="BF392" i="2"/>
  <c r="BP492" i="2"/>
  <c r="BH492" i="2"/>
  <c r="BC492" i="2"/>
  <c r="BB25" i="5"/>
  <c r="BN436" i="5"/>
  <c r="BE210" i="5"/>
  <c r="BG210" i="5"/>
  <c r="BH210" i="5"/>
  <c r="BK210" i="5"/>
  <c r="BC489" i="2"/>
  <c r="BI96" i="2"/>
  <c r="AX96" i="2"/>
  <c r="AW246" i="2"/>
  <c r="BK395" i="2"/>
  <c r="BI395" i="2"/>
  <c r="BK492" i="2"/>
  <c r="BQ492" i="2"/>
  <c r="BN488" i="2"/>
  <c r="BG492" i="2"/>
  <c r="AZ24" i="5"/>
  <c r="BG436" i="5"/>
  <c r="BG489" i="2"/>
  <c r="BC71" i="2"/>
  <c r="AX71" i="2"/>
  <c r="BA71" i="2"/>
  <c r="AZ77" i="2"/>
  <c r="BP77" i="2"/>
  <c r="BJ490" i="2"/>
  <c r="BE436" i="5"/>
  <c r="BF25" i="5"/>
  <c r="BD20" i="5"/>
  <c r="BP436" i="5"/>
  <c r="BQ25" i="5"/>
  <c r="BC25" i="5"/>
  <c r="AW20" i="5"/>
  <c r="BL20" i="5"/>
  <c r="BR20" i="5"/>
  <c r="BF489" i="2"/>
  <c r="AX436" i="5"/>
  <c r="AW489" i="2"/>
  <c r="BH489" i="2"/>
  <c r="BM489" i="2"/>
  <c r="BB489" i="2"/>
  <c r="AW436" i="5"/>
  <c r="BA489" i="2"/>
  <c r="BL162" i="5"/>
  <c r="AX392" i="2"/>
  <c r="BQ421" i="2"/>
  <c r="BF92" i="2"/>
  <c r="BD92" i="2"/>
  <c r="BP92" i="2"/>
  <c r="BB100" i="2"/>
  <c r="BP100" i="2"/>
  <c r="BB327" i="2"/>
  <c r="BK327" i="2"/>
  <c r="BQ414" i="2"/>
  <c r="BF93" i="2"/>
  <c r="BD93" i="2"/>
  <c r="BP71" i="2"/>
  <c r="BN71" i="2"/>
  <c r="BI77" i="2"/>
  <c r="BH77" i="2"/>
  <c r="AZ488" i="2"/>
  <c r="BF488" i="2"/>
  <c r="BM488" i="2"/>
  <c r="AY77" i="2"/>
  <c r="BD345" i="5"/>
  <c r="BQ436" i="5"/>
  <c r="BB490" i="2"/>
  <c r="AW490" i="2"/>
  <c r="BB436" i="5"/>
  <c r="BO25" i="5"/>
  <c r="BF20" i="5"/>
  <c r="BN25" i="5"/>
  <c r="BM458" i="5"/>
  <c r="AY436" i="5"/>
  <c r="BD489" i="2"/>
  <c r="BE489" i="2"/>
  <c r="AZ489" i="2"/>
  <c r="BN386" i="5"/>
  <c r="AV367" i="5"/>
  <c r="BM24" i="5"/>
  <c r="AX24" i="5"/>
  <c r="BH24" i="5"/>
  <c r="AV25" i="5"/>
  <c r="BE25" i="5"/>
  <c r="BJ25" i="5"/>
  <c r="AV20" i="5"/>
  <c r="BM20" i="5"/>
  <c r="BQ367" i="5"/>
  <c r="BD192" i="2"/>
  <c r="BK225" i="2"/>
  <c r="BB71" i="2"/>
  <c r="BE71" i="2"/>
  <c r="BR71" i="2"/>
  <c r="BL488" i="2"/>
  <c r="BK24" i="5"/>
  <c r="BC436" i="5"/>
  <c r="BL25" i="5"/>
  <c r="BO20" i="5"/>
  <c r="BC20" i="5"/>
  <c r="BH436" i="5"/>
  <c r="BJ24" i="5"/>
  <c r="AX489" i="2"/>
  <c r="BP24" i="5"/>
  <c r="S24" i="5"/>
  <c r="BL489" i="2"/>
  <c r="AV489" i="2"/>
  <c r="AW71" i="2"/>
  <c r="AY71" i="2"/>
  <c r="AZ71" i="2"/>
  <c r="BR77" i="2"/>
  <c r="BL77" i="2"/>
  <c r="BO77" i="2"/>
  <c r="BK490" i="2"/>
  <c r="AV488" i="2"/>
  <c r="BM490" i="2"/>
  <c r="BJ20" i="5"/>
  <c r="BI25" i="5"/>
  <c r="AZ436" i="5"/>
  <c r="AY20" i="5"/>
  <c r="AY25" i="5"/>
  <c r="BP196" i="2"/>
  <c r="BM436" i="5"/>
  <c r="BI436" i="5"/>
  <c r="BK25" i="5"/>
  <c r="BG25" i="5"/>
  <c r="BH20" i="5"/>
  <c r="AX20" i="5"/>
  <c r="AZ196" i="2"/>
  <c r="BK366" i="5"/>
  <c r="BO490" i="2"/>
  <c r="BI393" i="5"/>
  <c r="BK228" i="2"/>
  <c r="BJ458" i="5"/>
  <c r="BN458" i="5"/>
  <c r="BQ71" i="2"/>
  <c r="BG71" i="2"/>
  <c r="BO71" i="2"/>
  <c r="BM77" i="2"/>
  <c r="BC77" i="2"/>
  <c r="AX490" i="2"/>
  <c r="BI490" i="2"/>
  <c r="BQ490" i="2"/>
  <c r="BD488" i="2"/>
  <c r="BB488" i="2"/>
  <c r="BL490" i="2"/>
  <c r="AV77" i="2"/>
  <c r="BR436" i="5"/>
  <c r="S20" i="5"/>
  <c r="BN20" i="5"/>
  <c r="BA20" i="5"/>
  <c r="AY24" i="5"/>
  <c r="BE24" i="5"/>
  <c r="BR24" i="5"/>
  <c r="AW222" i="5"/>
  <c r="AW24" i="5"/>
  <c r="BQ489" i="2"/>
  <c r="BM25" i="5"/>
  <c r="BK359" i="5"/>
  <c r="BN359" i="5"/>
  <c r="BQ327" i="5"/>
  <c r="BM327" i="5"/>
  <c r="BC228" i="2"/>
  <c r="BE390" i="2"/>
  <c r="BG390" i="2"/>
  <c r="BG290" i="2"/>
  <c r="BF162" i="5"/>
  <c r="V447" i="5"/>
  <c r="AV436" i="5"/>
  <c r="AV447" i="5" s="1"/>
  <c r="AV449" i="5" s="1"/>
  <c r="W451" i="5" s="1"/>
  <c r="BL71" i="2"/>
  <c r="AV71" i="2"/>
  <c r="BM71" i="2"/>
  <c r="BA77" i="2"/>
  <c r="BJ77" i="2"/>
  <c r="BF77" i="2"/>
  <c r="BF490" i="2"/>
  <c r="AY488" i="2"/>
  <c r="BH488" i="2"/>
  <c r="BG458" i="5"/>
  <c r="BH25" i="5"/>
  <c r="BJ436" i="5"/>
  <c r="BK436" i="5"/>
  <c r="BR25" i="5"/>
  <c r="AW25" i="5"/>
  <c r="BI20" i="5"/>
  <c r="BB20" i="5"/>
  <c r="BL24" i="5"/>
  <c r="BO489" i="2"/>
  <c r="AY90" i="5"/>
  <c r="BC488" i="2"/>
  <c r="BJ71" i="2"/>
  <c r="BI71" i="2"/>
  <c r="BK71" i="2"/>
  <c r="BN77" i="2"/>
  <c r="BE490" i="2"/>
  <c r="BH490" i="2"/>
  <c r="AV490" i="2"/>
  <c r="R447" i="5"/>
  <c r="W229" i="36" s="1"/>
  <c r="BP490" i="2"/>
  <c r="BE20" i="5"/>
  <c r="BA25" i="5"/>
  <c r="BQ24" i="5"/>
  <c r="BD436" i="5"/>
  <c r="BO436" i="5"/>
  <c r="S25" i="5"/>
  <c r="BP25" i="5"/>
  <c r="AX25" i="5"/>
  <c r="BA436" i="5"/>
  <c r="AX162" i="5"/>
  <c r="BR489" i="2"/>
  <c r="BK489" i="2"/>
  <c r="S222" i="5"/>
  <c r="S230" i="5" s="1"/>
  <c r="BE321" i="2"/>
  <c r="BF487" i="2"/>
  <c r="AX488" i="2"/>
  <c r="BM487" i="2"/>
  <c r="BO487" i="2"/>
  <c r="BG488" i="2"/>
  <c r="AY490" i="2"/>
  <c r="AZ38" i="5"/>
  <c r="BO139" i="5"/>
  <c r="AX139" i="5"/>
  <c r="BG289" i="5"/>
  <c r="BG293" i="5"/>
  <c r="BJ293" i="5"/>
  <c r="V300" i="5"/>
  <c r="AE264" i="36" s="1"/>
  <c r="BK435" i="5"/>
  <c r="AY489" i="2"/>
  <c r="BJ489" i="2"/>
  <c r="BP387" i="5"/>
  <c r="BE387" i="5"/>
  <c r="BQ391" i="5"/>
  <c r="AZ391" i="5"/>
  <c r="BG39" i="5"/>
  <c r="BL39" i="5"/>
  <c r="BO39" i="5"/>
  <c r="BI45" i="5"/>
  <c r="BC45" i="5"/>
  <c r="AZ45" i="5"/>
  <c r="BQ138" i="5"/>
  <c r="BD339" i="5"/>
  <c r="BF339" i="5"/>
  <c r="BP386" i="5"/>
  <c r="BC163" i="5"/>
  <c r="AZ361" i="5"/>
  <c r="BK369" i="5"/>
  <c r="BO365" i="5"/>
  <c r="BQ177" i="5"/>
  <c r="BF366" i="5"/>
  <c r="BR359" i="5"/>
  <c r="BL327" i="5"/>
  <c r="BJ327" i="5"/>
  <c r="BM312" i="5"/>
  <c r="BD312" i="5"/>
  <c r="BF312" i="5"/>
  <c r="AX321" i="2"/>
  <c r="BF321" i="2"/>
  <c r="BM321" i="2"/>
  <c r="BE488" i="2"/>
  <c r="BD359" i="5"/>
  <c r="BF367" i="5"/>
  <c r="BI359" i="5"/>
  <c r="BA359" i="5"/>
  <c r="BG359" i="5"/>
  <c r="BN216" i="5"/>
  <c r="BR26" i="5"/>
  <c r="AD424" i="35"/>
  <c r="BE96" i="2"/>
  <c r="BK96" i="2"/>
  <c r="AY245" i="2"/>
  <c r="BA327" i="2"/>
  <c r="BJ327" i="2"/>
  <c r="BQ327" i="2"/>
  <c r="BA415" i="2"/>
  <c r="BP415" i="2"/>
  <c r="AV198" i="2"/>
  <c r="BL28" i="2"/>
  <c r="BA123" i="2"/>
  <c r="BH123" i="2"/>
  <c r="BR123" i="2"/>
  <c r="AY218" i="2"/>
  <c r="BP218" i="2"/>
  <c r="AY321" i="2"/>
  <c r="BG321" i="2"/>
  <c r="BN321" i="2"/>
  <c r="BQ440" i="2"/>
  <c r="BF95" i="2"/>
  <c r="BD95" i="2"/>
  <c r="BP95" i="2"/>
  <c r="BL198" i="2"/>
  <c r="BR198" i="2"/>
  <c r="BJ38" i="5"/>
  <c r="BJ465" i="5"/>
  <c r="BM465" i="5"/>
  <c r="AX222" i="5"/>
  <c r="AX324" i="2"/>
  <c r="BH91" i="2"/>
  <c r="BR38" i="5"/>
  <c r="BL293" i="5"/>
  <c r="BF465" i="5"/>
  <c r="BC465" i="5"/>
  <c r="BI465" i="5"/>
  <c r="BA367" i="5"/>
  <c r="BP278" i="5"/>
  <c r="BL245" i="2"/>
  <c r="BF246" i="2"/>
  <c r="BC246" i="2"/>
  <c r="BK246" i="2"/>
  <c r="BM444" i="2"/>
  <c r="BO444" i="2"/>
  <c r="BC91" i="2"/>
  <c r="BA91" i="2"/>
  <c r="BN91" i="2"/>
  <c r="AY99" i="2"/>
  <c r="BD421" i="2"/>
  <c r="AY92" i="2"/>
  <c r="AW92" i="2"/>
  <c r="BJ100" i="2"/>
  <c r="BD395" i="2"/>
  <c r="AX395" i="2"/>
  <c r="BN224" i="2"/>
  <c r="AV327" i="2"/>
  <c r="AV415" i="2"/>
  <c r="BL415" i="2"/>
  <c r="BP139" i="5"/>
  <c r="BG139" i="5"/>
  <c r="BQ435" i="5"/>
  <c r="BE38" i="5"/>
  <c r="BC293" i="5"/>
  <c r="AW45" i="5"/>
  <c r="BL339" i="5"/>
  <c r="BH278" i="5"/>
  <c r="BE278" i="5"/>
  <c r="BR369" i="5"/>
  <c r="AF423" i="35"/>
  <c r="BM177" i="5"/>
  <c r="BM359" i="5"/>
  <c r="BQ359" i="5"/>
  <c r="BR217" i="5"/>
  <c r="BB222" i="5"/>
  <c r="BB177" i="5"/>
  <c r="BL177" i="5"/>
  <c r="BM129" i="5"/>
  <c r="BM131" i="5" s="1"/>
  <c r="BM133" i="5" s="1"/>
  <c r="AN135" i="5" s="1"/>
  <c r="BJ255" i="5"/>
  <c r="AW170" i="5"/>
  <c r="AV369" i="5"/>
  <c r="AV292" i="2"/>
  <c r="BB62" i="5"/>
  <c r="AQ102" i="5"/>
  <c r="AQ104" i="5" s="1"/>
  <c r="AM187" i="5"/>
  <c r="AD471" i="36" s="1"/>
  <c r="AB102" i="5"/>
  <c r="AB104" i="5" s="1"/>
  <c r="AS102" i="5"/>
  <c r="AS537" i="5" s="1"/>
  <c r="AK88" i="5"/>
  <c r="AC469" i="36" s="1"/>
  <c r="AO399" i="5"/>
  <c r="AO401" i="5" s="1"/>
  <c r="AR385" i="5"/>
  <c r="AF476" i="36" s="1"/>
  <c r="AP399" i="5"/>
  <c r="AP401" i="5" s="1"/>
  <c r="AC498" i="2"/>
  <c r="AG155" i="35" s="1"/>
  <c r="BA89" i="5"/>
  <c r="AK102" i="5"/>
  <c r="AK104" i="5" s="1"/>
  <c r="W399" i="5"/>
  <c r="AF149" i="36" s="1"/>
  <c r="AL187" i="5"/>
  <c r="AD470" i="36" s="1"/>
  <c r="AQ88" i="5"/>
  <c r="AC475" i="36" s="1"/>
  <c r="AS235" i="5"/>
  <c r="U477" i="36" s="1"/>
  <c r="BQ387" i="5"/>
  <c r="AD51" i="5"/>
  <c r="S156" i="36" s="1"/>
  <c r="S183" i="36" s="1"/>
  <c r="AK300" i="5"/>
  <c r="AK302" i="5" s="1"/>
  <c r="AF385" i="5"/>
  <c r="AF464" i="36" s="1"/>
  <c r="BJ89" i="5"/>
  <c r="BO393" i="5"/>
  <c r="AA208" i="5"/>
  <c r="P459" i="36" s="1"/>
  <c r="AF399" i="5"/>
  <c r="AF401" i="5" s="1"/>
  <c r="AQ201" i="5"/>
  <c r="AQ203" i="5" s="1"/>
  <c r="Z102" i="5"/>
  <c r="Z537" i="5" s="1"/>
  <c r="AQ399" i="5"/>
  <c r="AQ401" i="5" s="1"/>
  <c r="AQ385" i="5"/>
  <c r="AF475" i="36" s="1"/>
  <c r="AQ208" i="5"/>
  <c r="P475" i="36" s="1"/>
  <c r="AK235" i="5"/>
  <c r="U469" i="36" s="1"/>
  <c r="AM37" i="5"/>
  <c r="S471" i="36" s="1"/>
  <c r="AS88" i="5"/>
  <c r="AC477" i="36" s="1"/>
  <c r="AV320" i="2"/>
  <c r="BJ420" i="2"/>
  <c r="BJ297" i="2"/>
  <c r="AB37" i="5"/>
  <c r="S460" i="36" s="1"/>
  <c r="AS136" i="5"/>
  <c r="T477" i="36" s="1"/>
  <c r="AR150" i="5"/>
  <c r="T170" i="36" s="1"/>
  <c r="T197" i="36" s="1"/>
  <c r="AH37" i="5"/>
  <c r="S466" i="36" s="1"/>
  <c r="X51" i="5"/>
  <c r="S150" i="36" s="1"/>
  <c r="S177" i="36" s="1"/>
  <c r="R207" i="10"/>
  <c r="Q207" i="10"/>
  <c r="R178" i="10"/>
  <c r="Q178" i="10"/>
  <c r="AG285" i="10"/>
  <c r="AH285" i="10" s="1"/>
  <c r="AI285" i="10" s="1"/>
  <c r="C189" i="17"/>
  <c r="BH214" i="2"/>
  <c r="BB146" i="2"/>
  <c r="BL146" i="2"/>
  <c r="BJ325" i="2"/>
  <c r="AV321" i="2"/>
  <c r="BD321" i="2"/>
  <c r="BL321" i="2"/>
  <c r="AW45" i="2"/>
  <c r="BK121" i="2"/>
  <c r="BM45" i="2"/>
  <c r="BE45" i="2"/>
  <c r="AY45" i="2"/>
  <c r="AV45" i="2"/>
  <c r="AW145" i="2"/>
  <c r="BH343" i="2"/>
  <c r="BR343" i="2"/>
  <c r="AX199" i="2"/>
  <c r="BQ297" i="2"/>
  <c r="AX148" i="2"/>
  <c r="BG392" i="2"/>
  <c r="BR297" i="2"/>
  <c r="AY297" i="2"/>
  <c r="BG148" i="2"/>
  <c r="BP148" i="2"/>
  <c r="BR148" i="2"/>
  <c r="BF243" i="2"/>
  <c r="AY243" i="2"/>
  <c r="AV420" i="2"/>
  <c r="BB392" i="2"/>
  <c r="BR490" i="2"/>
  <c r="BC196" i="2"/>
  <c r="AX225" i="2"/>
  <c r="Q521" i="2"/>
  <c r="AW199" i="2"/>
  <c r="BN442" i="2"/>
  <c r="BI392" i="2"/>
  <c r="BK392" i="2"/>
  <c r="AV297" i="2"/>
  <c r="AV148" i="2"/>
  <c r="AW414" i="2"/>
  <c r="BR414" i="2"/>
  <c r="BD420" i="2"/>
  <c r="AY442" i="2"/>
  <c r="BE297" i="2"/>
  <c r="AX123" i="2"/>
  <c r="BE123" i="2"/>
  <c r="BN123" i="2"/>
  <c r="BA442" i="2"/>
  <c r="AW390" i="2"/>
  <c r="AX91" i="2"/>
  <c r="BL91" i="2"/>
  <c r="BK99" i="2"/>
  <c r="BF26" i="2"/>
  <c r="BQ123" i="2"/>
  <c r="AZ28" i="2"/>
  <c r="BG28" i="2"/>
  <c r="BN28" i="2"/>
  <c r="BF123" i="2"/>
  <c r="BO123" i="2"/>
  <c r="S49" i="2"/>
  <c r="BA96" i="2"/>
  <c r="BG96" i="2"/>
  <c r="BP96" i="2"/>
  <c r="AZ192" i="2"/>
  <c r="BP99" i="2"/>
  <c r="BP392" i="2"/>
  <c r="AZ123" i="2"/>
  <c r="BP123" i="2"/>
  <c r="C220" i="17"/>
  <c r="AF228" i="35"/>
  <c r="BN392" i="2"/>
  <c r="BG297" i="2"/>
  <c r="BN297" i="2"/>
  <c r="BM392" i="2"/>
  <c r="AX297" i="2"/>
  <c r="BQ199" i="2"/>
  <c r="AW442" i="2"/>
  <c r="AY392" i="2"/>
  <c r="AY298" i="2"/>
  <c r="AV392" i="2"/>
  <c r="AX390" i="2"/>
  <c r="BN373" i="5"/>
  <c r="BF373" i="5"/>
  <c r="BJ368" i="5"/>
  <c r="BH365" i="5"/>
  <c r="AB228" i="35"/>
  <c r="C313" i="17"/>
  <c r="Q530" i="2"/>
  <c r="C282" i="17"/>
  <c r="Q507" i="5"/>
  <c r="AB10" i="5"/>
  <c r="N460" i="36" s="1"/>
  <c r="C57" i="17"/>
  <c r="I426" i="35"/>
  <c r="AR433" i="5"/>
  <c r="W476" i="36" s="1"/>
  <c r="AK37" i="5"/>
  <c r="S469" i="36" s="1"/>
  <c r="AP37" i="5"/>
  <c r="S474" i="36" s="1"/>
  <c r="AS37" i="5"/>
  <c r="S477" i="36" s="1"/>
  <c r="AY126" i="2"/>
  <c r="BB214" i="2"/>
  <c r="AE150" i="5"/>
  <c r="T157" i="36" s="1"/>
  <c r="T184" i="36" s="1"/>
  <c r="BH270" i="5"/>
  <c r="BL270" i="5"/>
  <c r="BA270" i="5"/>
  <c r="BR270" i="5"/>
  <c r="R205" i="10"/>
  <c r="R165" i="10"/>
  <c r="BP453" i="5"/>
  <c r="BN453" i="5"/>
  <c r="BE453" i="5"/>
  <c r="BI159" i="5"/>
  <c r="BN156" i="5"/>
  <c r="Z424" i="35"/>
  <c r="BO369" i="5"/>
  <c r="AN479" i="5"/>
  <c r="AB166" i="36" s="1"/>
  <c r="AB193" i="36" s="1"/>
  <c r="BD458" i="5"/>
  <c r="BO458" i="5"/>
  <c r="BQ458" i="5"/>
  <c r="AX458" i="5"/>
  <c r="BI458" i="5"/>
  <c r="BL458" i="5"/>
  <c r="BH458" i="5"/>
  <c r="AZ458" i="5"/>
  <c r="BF458" i="5"/>
  <c r="BB458" i="5"/>
  <c r="BC458" i="5"/>
  <c r="AV458" i="5"/>
  <c r="AY458" i="5"/>
  <c r="BA458" i="5"/>
  <c r="BR458" i="5"/>
  <c r="BM278" i="5"/>
  <c r="BH277" i="5"/>
  <c r="BL277" i="5"/>
  <c r="BL278" i="5"/>
  <c r="AX62" i="5"/>
  <c r="BP62" i="5"/>
  <c r="BO465" i="5"/>
  <c r="AW458" i="5"/>
  <c r="BR373" i="5"/>
  <c r="BP262" i="5"/>
  <c r="AZ255" i="5"/>
  <c r="BG271" i="5"/>
  <c r="BG262" i="5"/>
  <c r="BF262" i="5"/>
  <c r="BQ271" i="5"/>
  <c r="AY262" i="5"/>
  <c r="S262" i="5"/>
  <c r="BL271" i="5"/>
  <c r="BD262" i="5"/>
  <c r="BO262" i="5"/>
  <c r="BE271" i="5"/>
  <c r="BJ262" i="5"/>
  <c r="BI271" i="5"/>
  <c r="BM262" i="5"/>
  <c r="AH426" i="35"/>
  <c r="BR156" i="5"/>
  <c r="BH71" i="5"/>
  <c r="AV62" i="5"/>
  <c r="BO62" i="5"/>
  <c r="AW62" i="5"/>
  <c r="BE62" i="5"/>
  <c r="S62" i="5"/>
  <c r="BN62" i="5"/>
  <c r="BF62" i="5"/>
  <c r="BA62" i="5"/>
  <c r="BL62" i="5"/>
  <c r="BJ62" i="5"/>
  <c r="BG62" i="5"/>
  <c r="AY62" i="5"/>
  <c r="BC62" i="5"/>
  <c r="BM62" i="5"/>
  <c r="BH62" i="5"/>
  <c r="BK374" i="2"/>
  <c r="BR374" i="2"/>
  <c r="BM374" i="2"/>
  <c r="BF374" i="2"/>
  <c r="AY374" i="2"/>
  <c r="BH374" i="2"/>
  <c r="BA374" i="2"/>
  <c r="BQ374" i="2"/>
  <c r="BE374" i="2"/>
  <c r="BP374" i="2"/>
  <c r="BD374" i="2"/>
  <c r="BC374" i="2"/>
  <c r="BB374" i="2"/>
  <c r="AV374" i="2"/>
  <c r="BN374" i="2"/>
  <c r="AZ374" i="2"/>
  <c r="BO374" i="2"/>
  <c r="H425" i="35"/>
  <c r="O381" i="35"/>
  <c r="J379" i="35"/>
  <c r="BR74" i="2"/>
  <c r="AV74" i="2"/>
  <c r="AX74" i="2"/>
  <c r="BQ74" i="2"/>
  <c r="BK74" i="2"/>
  <c r="BP74" i="2"/>
  <c r="BO74" i="2"/>
  <c r="BI74" i="2"/>
  <c r="BD74" i="2"/>
  <c r="BL74" i="2"/>
  <c r="BC74" i="2"/>
  <c r="AZ74" i="2"/>
  <c r="BJ74" i="2"/>
  <c r="AW74" i="2"/>
  <c r="BE458" i="5"/>
  <c r="BL368" i="5"/>
  <c r="BA317" i="5"/>
  <c r="BD317" i="5"/>
  <c r="BC262" i="5"/>
  <c r="AW262" i="5"/>
  <c r="BD271" i="5"/>
  <c r="AX262" i="5"/>
  <c r="BR210" i="5"/>
  <c r="AX217" i="5"/>
  <c r="BC222" i="5"/>
  <c r="BN217" i="5"/>
  <c r="BL210" i="5"/>
  <c r="BQ210" i="5"/>
  <c r="BE217" i="5"/>
  <c r="BM222" i="5"/>
  <c r="BH217" i="5"/>
  <c r="BK216" i="5"/>
  <c r="BO217" i="5"/>
  <c r="AH136" i="5"/>
  <c r="T466" i="36" s="1"/>
  <c r="AE136" i="5"/>
  <c r="T463" i="36" s="1"/>
  <c r="BD138" i="5"/>
  <c r="AQ136" i="5"/>
  <c r="T475" i="36" s="1"/>
  <c r="AH150" i="5"/>
  <c r="AH518" i="5" s="1"/>
  <c r="BR62" i="5"/>
  <c r="BC71" i="5"/>
  <c r="AC37" i="5"/>
  <c r="S461" i="36" s="1"/>
  <c r="AF51" i="5"/>
  <c r="S158" i="36" s="1"/>
  <c r="S185" i="36" s="1"/>
  <c r="BA12" i="5"/>
  <c r="BO12" i="5"/>
  <c r="BM12" i="5"/>
  <c r="BE12" i="5"/>
  <c r="BI24" i="5"/>
  <c r="BB24" i="5"/>
  <c r="AY418" i="2"/>
  <c r="AW420" i="2"/>
  <c r="BE420" i="2"/>
  <c r="BA420" i="2"/>
  <c r="BI420" i="2"/>
  <c r="BO420" i="2"/>
  <c r="AY214" i="2"/>
  <c r="BG214" i="2"/>
  <c r="BD215" i="2"/>
  <c r="BJ214" i="2"/>
  <c r="BN215" i="2"/>
  <c r="BR214" i="2"/>
  <c r="AW214" i="2"/>
  <c r="BE214" i="2"/>
  <c r="BQ216" i="2"/>
  <c r="BQ121" i="2"/>
  <c r="BO121" i="2"/>
  <c r="BC121" i="2"/>
  <c r="AX125" i="2"/>
  <c r="BE121" i="2"/>
  <c r="AW121" i="2"/>
  <c r="BH26" i="2"/>
  <c r="BR26" i="2"/>
  <c r="BA26" i="2"/>
  <c r="BP26" i="2"/>
  <c r="AZ26" i="2"/>
  <c r="BO26" i="2"/>
  <c r="AY26" i="2"/>
  <c r="BL26" i="2"/>
  <c r="BG26" i="2"/>
  <c r="AX26" i="2"/>
  <c r="BQ424" i="2"/>
  <c r="BB424" i="2"/>
  <c r="BI424" i="2"/>
  <c r="BR424" i="2"/>
  <c r="AV424" i="2"/>
  <c r="AK136" i="5"/>
  <c r="T469" i="36" s="1"/>
  <c r="AR447" i="5"/>
  <c r="AR521" i="5" s="1"/>
  <c r="AD208" i="5"/>
  <c r="P462" i="36" s="1"/>
  <c r="AW453" i="5"/>
  <c r="BC453" i="5"/>
  <c r="AF452" i="5"/>
  <c r="AB464" i="36" s="1"/>
  <c r="W379" i="35"/>
  <c r="BN366" i="5"/>
  <c r="BG367" i="5"/>
  <c r="BJ367" i="5"/>
  <c r="AE329" i="5"/>
  <c r="AE510" i="5" s="1"/>
  <c r="AG329" i="5"/>
  <c r="AG510" i="5" s="1"/>
  <c r="BJ312" i="5"/>
  <c r="BH255" i="5"/>
  <c r="BD255" i="5"/>
  <c r="BA255" i="5"/>
  <c r="BN255" i="5"/>
  <c r="BN271" i="5"/>
  <c r="AX255" i="5"/>
  <c r="BQ255" i="5"/>
  <c r="AW255" i="5"/>
  <c r="C87" i="21"/>
  <c r="BH271" i="5"/>
  <c r="BA257" i="5"/>
  <c r="BM255" i="5"/>
  <c r="BO257" i="5"/>
  <c r="BF271" i="5"/>
  <c r="AF230" i="5"/>
  <c r="AF232" i="5" s="1"/>
  <c r="AM230" i="5"/>
  <c r="AM509" i="5" s="1"/>
  <c r="AM208" i="5"/>
  <c r="P471" i="36" s="1"/>
  <c r="G44" i="21"/>
  <c r="AN230" i="5"/>
  <c r="AN232" i="5" s="1"/>
  <c r="AP230" i="5"/>
  <c r="AP232" i="5" s="1"/>
  <c r="AV217" i="5"/>
  <c r="BF277" i="5"/>
  <c r="BN278" i="5"/>
  <c r="BI278" i="5"/>
  <c r="BD278" i="5"/>
  <c r="BF255" i="5"/>
  <c r="BO255" i="5"/>
  <c r="U213" i="10"/>
  <c r="AG50" i="10" s="1"/>
  <c r="AX126" i="2"/>
  <c r="BE120" i="2"/>
  <c r="AW416" i="2"/>
  <c r="BN424" i="2"/>
  <c r="AF329" i="5"/>
  <c r="AF510" i="5" s="1"/>
  <c r="AZ262" i="5"/>
  <c r="BI317" i="2"/>
  <c r="AY325" i="2"/>
  <c r="BR223" i="2"/>
  <c r="BE122" i="2"/>
  <c r="BP255" i="5"/>
  <c r="BE255" i="5"/>
  <c r="BP277" i="5"/>
  <c r="BJ277" i="5"/>
  <c r="BK278" i="5"/>
  <c r="AW277" i="5"/>
  <c r="AY278" i="5"/>
  <c r="AV255" i="5"/>
  <c r="AX257" i="5"/>
  <c r="BD277" i="5"/>
  <c r="AX278" i="5"/>
  <c r="BG278" i="5"/>
  <c r="BB255" i="5"/>
  <c r="BL255" i="5"/>
  <c r="BF278" i="5"/>
  <c r="BR278" i="5"/>
  <c r="BQ277" i="5"/>
  <c r="BK277" i="5"/>
  <c r="BI255" i="5"/>
  <c r="BN277" i="5"/>
  <c r="BR277" i="5"/>
  <c r="BB277" i="5"/>
  <c r="BM257" i="5"/>
  <c r="BD257" i="5"/>
  <c r="BL257" i="5"/>
  <c r="BK257" i="5"/>
  <c r="BN262" i="5"/>
  <c r="BH262" i="5"/>
  <c r="BA278" i="5"/>
  <c r="BO278" i="5"/>
  <c r="BG162" i="5"/>
  <c r="X182" i="5"/>
  <c r="X528" i="5" s="1"/>
  <c r="Z131" i="5"/>
  <c r="O152" i="36" s="1"/>
  <c r="O179" i="36" s="1"/>
  <c r="AZ71" i="5"/>
  <c r="BB71" i="5"/>
  <c r="E99" i="21"/>
  <c r="G99" i="21" s="1"/>
  <c r="AP32" i="5"/>
  <c r="N168" i="36" s="1"/>
  <c r="N195" i="36" s="1"/>
  <c r="AP10" i="5"/>
  <c r="N474" i="36" s="1"/>
  <c r="AL32" i="5"/>
  <c r="AL507" i="5" s="1"/>
  <c r="AZ25" i="5"/>
  <c r="BD25" i="5"/>
  <c r="AS32" i="5"/>
  <c r="AS34" i="5" s="1"/>
  <c r="BB15" i="5"/>
  <c r="BI12" i="5"/>
  <c r="AZ12" i="5"/>
  <c r="AR10" i="5"/>
  <c r="N476" i="36" s="1"/>
  <c r="AG10" i="5"/>
  <c r="N465" i="36" s="1"/>
  <c r="AH32" i="5"/>
  <c r="AH34" i="5" s="1"/>
  <c r="AX369" i="5"/>
  <c r="BM369" i="5"/>
  <c r="AW373" i="5"/>
  <c r="BP373" i="5"/>
  <c r="BR367" i="5"/>
  <c r="BI361" i="5"/>
  <c r="BN361" i="5"/>
  <c r="BD369" i="5"/>
  <c r="BL367" i="5"/>
  <c r="BK271" i="5"/>
  <c r="BA271" i="5"/>
  <c r="BJ271" i="5"/>
  <c r="BC271" i="5"/>
  <c r="AY271" i="5"/>
  <c r="BB262" i="5"/>
  <c r="AZ271" i="5"/>
  <c r="AX271" i="5"/>
  <c r="AY257" i="5"/>
  <c r="BQ278" i="5"/>
  <c r="BI262" i="5"/>
  <c r="BP163" i="5"/>
  <c r="BI163" i="5"/>
  <c r="BE163" i="5"/>
  <c r="BB163" i="5"/>
  <c r="AM32" i="5"/>
  <c r="N165" i="36" s="1"/>
  <c r="N192" i="36" s="1"/>
  <c r="AI10" i="5"/>
  <c r="N467" i="36" s="1"/>
  <c r="AC32" i="5"/>
  <c r="AC34" i="5" s="1"/>
  <c r="AC10" i="5"/>
  <c r="N461" i="36" s="1"/>
  <c r="BL15" i="5"/>
  <c r="BL19" i="5"/>
  <c r="BQ20" i="5"/>
  <c r="Z32" i="5"/>
  <c r="Z34" i="5" s="1"/>
  <c r="AH10" i="5"/>
  <c r="N466" i="36" s="1"/>
  <c r="AG32" i="5"/>
  <c r="AG34" i="5" s="1"/>
  <c r="BG20" i="5"/>
  <c r="Y32" i="5"/>
  <c r="Y34" i="5" s="1"/>
  <c r="AD10" i="5"/>
  <c r="N462" i="36" s="1"/>
  <c r="G379" i="35"/>
  <c r="BF419" i="2"/>
  <c r="BR419" i="2"/>
  <c r="BH424" i="2"/>
  <c r="BE424" i="2"/>
  <c r="AY424" i="2"/>
  <c r="BF424" i="2"/>
  <c r="BG424" i="2"/>
  <c r="BK424" i="2"/>
  <c r="BD424" i="2"/>
  <c r="AZ424" i="2"/>
  <c r="AX424" i="2"/>
  <c r="AW424" i="2"/>
  <c r="BO424" i="2"/>
  <c r="BL424" i="2"/>
  <c r="S425" i="2"/>
  <c r="AX420" i="2"/>
  <c r="BF420" i="2"/>
  <c r="BR420" i="2"/>
  <c r="BD416" i="2"/>
  <c r="BH416" i="2"/>
  <c r="AZ416" i="2"/>
  <c r="BL416" i="2"/>
  <c r="BJ416" i="2"/>
  <c r="BE416" i="2"/>
  <c r="AV416" i="2"/>
  <c r="BP416" i="2"/>
  <c r="BN416" i="2"/>
  <c r="BG416" i="2"/>
  <c r="AX416" i="2"/>
  <c r="AY416" i="2"/>
  <c r="BF416" i="2"/>
  <c r="S416" i="2"/>
  <c r="BI416" i="2"/>
  <c r="BM416" i="2"/>
  <c r="BO416" i="2"/>
  <c r="BB416" i="2"/>
  <c r="S423" i="35"/>
  <c r="BA317" i="2"/>
  <c r="AY317" i="2"/>
  <c r="BP317" i="2"/>
  <c r="BO317" i="2"/>
  <c r="BN326" i="2"/>
  <c r="AV326" i="2"/>
  <c r="BD326" i="2"/>
  <c r="BK326" i="2"/>
  <c r="AZ326" i="2"/>
  <c r="BK325" i="2"/>
  <c r="BC325" i="2"/>
  <c r="BG325" i="2"/>
  <c r="BO325" i="2"/>
  <c r="BH325" i="2"/>
  <c r="AX325" i="2"/>
  <c r="BL325" i="2"/>
  <c r="BE325" i="2"/>
  <c r="AZ325" i="2"/>
  <c r="BR325" i="2"/>
  <c r="AX317" i="2"/>
  <c r="BL324" i="2"/>
  <c r="BG317" i="2"/>
  <c r="S180" i="2"/>
  <c r="S179" i="2"/>
  <c r="BK122" i="2"/>
  <c r="BI122" i="2"/>
  <c r="AW77" i="2"/>
  <c r="BE77" i="2"/>
  <c r="BG77" i="2"/>
  <c r="BB77" i="2"/>
  <c r="S79" i="2"/>
  <c r="S80" i="2"/>
  <c r="BL21" i="2"/>
  <c r="AY25" i="2"/>
  <c r="BG25" i="2"/>
  <c r="AW25" i="2"/>
  <c r="AZ25" i="2"/>
  <c r="BP25" i="2"/>
  <c r="S21" i="2"/>
  <c r="BE126" i="2"/>
  <c r="AV120" i="2"/>
  <c r="BD128" i="2"/>
  <c r="BL128" i="2"/>
  <c r="AV126" i="2"/>
  <c r="BP420" i="2"/>
  <c r="BL326" i="2"/>
  <c r="G381" i="35"/>
  <c r="S225" i="2"/>
  <c r="S227" i="2"/>
  <c r="S222" i="2"/>
  <c r="AY228" i="2"/>
  <c r="S220" i="2"/>
  <c r="S228" i="2"/>
  <c r="AW228" i="2"/>
  <c r="S226" i="2"/>
  <c r="S373" i="5"/>
  <c r="AX365" i="5"/>
  <c r="BL365" i="5"/>
  <c r="BK365" i="5"/>
  <c r="BH367" i="5"/>
  <c r="BN367" i="5"/>
  <c r="BI367" i="5"/>
  <c r="BE366" i="5"/>
  <c r="BE367" i="5"/>
  <c r="BF361" i="5"/>
  <c r="AW361" i="5"/>
  <c r="AJ339" i="35"/>
  <c r="V423" i="35"/>
  <c r="BD367" i="5"/>
  <c r="BJ369" i="5"/>
  <c r="AW367" i="5"/>
  <c r="BP367" i="5"/>
  <c r="BO367" i="5"/>
  <c r="Y424" i="35"/>
  <c r="AI424" i="35"/>
  <c r="AX312" i="5"/>
  <c r="Y329" i="5"/>
  <c r="Q151" i="36" s="1"/>
  <c r="Q178" i="36" s="1"/>
  <c r="BK327" i="5"/>
  <c r="AK329" i="5"/>
  <c r="AK510" i="5" s="1"/>
  <c r="AN329" i="5"/>
  <c r="AN510" i="5" s="1"/>
  <c r="AQ329" i="5"/>
  <c r="AQ510" i="5" s="1"/>
  <c r="BP327" i="5"/>
  <c r="AV327" i="5"/>
  <c r="AW327" i="5"/>
  <c r="BO327" i="5"/>
  <c r="X329" i="5"/>
  <c r="Q150" i="36" s="1"/>
  <c r="Q177" i="36" s="1"/>
  <c r="AP329" i="5"/>
  <c r="AP510" i="5" s="1"/>
  <c r="S327" i="5"/>
  <c r="Q510" i="5"/>
  <c r="BJ317" i="5"/>
  <c r="AW317" i="5"/>
  <c r="AS329" i="5"/>
  <c r="AS510" i="5" s="1"/>
  <c r="AB307" i="5"/>
  <c r="Q460" i="36" s="1"/>
  <c r="AV317" i="5"/>
  <c r="BM271" i="5"/>
  <c r="BP271" i="5"/>
  <c r="BB271" i="5"/>
  <c r="BO271" i="5"/>
  <c r="BA263" i="5"/>
  <c r="BL263" i="5"/>
  <c r="BK263" i="5"/>
  <c r="BQ263" i="5"/>
  <c r="BM263" i="5"/>
  <c r="BI263" i="5"/>
  <c r="BB263" i="5"/>
  <c r="BG263" i="5"/>
  <c r="AZ263" i="5"/>
  <c r="BO263" i="5"/>
  <c r="AW263" i="5"/>
  <c r="BH263" i="5"/>
  <c r="BD263" i="5"/>
  <c r="BC263" i="5"/>
  <c r="BR263" i="5"/>
  <c r="BN263" i="5"/>
  <c r="AX263" i="5"/>
  <c r="AV263" i="5"/>
  <c r="AY263" i="5"/>
  <c r="BP263" i="5"/>
  <c r="BJ263" i="5"/>
  <c r="BE263" i="5"/>
  <c r="BF257" i="5"/>
  <c r="AZ257" i="5"/>
  <c r="BL262" i="5"/>
  <c r="BR255" i="5"/>
  <c r="AV271" i="5"/>
  <c r="BR271" i="5"/>
  <c r="V230" i="5"/>
  <c r="P230" i="36" s="1"/>
  <c r="E96" i="21"/>
  <c r="G96" i="21" s="1"/>
  <c r="Z479" i="5"/>
  <c r="AB152" i="36" s="1"/>
  <c r="AB179" i="36" s="1"/>
  <c r="Y382" i="35"/>
  <c r="Y426" i="35"/>
  <c r="BO163" i="5"/>
  <c r="AD426" i="35"/>
  <c r="BI171" i="5"/>
  <c r="BQ171" i="5"/>
  <c r="S177" i="5"/>
  <c r="BO171" i="5"/>
  <c r="BG171" i="5"/>
  <c r="AY171" i="5"/>
  <c r="BN171" i="5"/>
  <c r="BF171" i="5"/>
  <c r="AX171" i="5"/>
  <c r="BC171" i="5"/>
  <c r="AZ171" i="5"/>
  <c r="BD171" i="5"/>
  <c r="BM171" i="5"/>
  <c r="AV171" i="5"/>
  <c r="BL171" i="5"/>
  <c r="BH171" i="5"/>
  <c r="BE171" i="5"/>
  <c r="V426" i="35"/>
  <c r="BR163" i="5"/>
  <c r="AW163" i="5"/>
  <c r="AW156" i="5"/>
  <c r="BK62" i="5"/>
  <c r="BI62" i="5"/>
  <c r="BQ62" i="5"/>
  <c r="AF427" i="35"/>
  <c r="AR83" i="5"/>
  <c r="AR85" i="5" s="1"/>
  <c r="AO32" i="5"/>
  <c r="AO34" i="5" s="1"/>
  <c r="AF10" i="5"/>
  <c r="N464" i="36" s="1"/>
  <c r="AN10" i="5"/>
  <c r="N472" i="36" s="1"/>
  <c r="AO10" i="5"/>
  <c r="N473" i="36" s="1"/>
  <c r="BC24" i="5"/>
  <c r="AQ10" i="5"/>
  <c r="N475" i="36" s="1"/>
  <c r="BF24" i="5"/>
  <c r="AV24" i="5"/>
  <c r="AA32" i="5"/>
  <c r="AA34" i="5" s="1"/>
  <c r="AY19" i="5"/>
  <c r="AJ10" i="5"/>
  <c r="N468" i="36" s="1"/>
  <c r="BB11" i="5"/>
  <c r="AA10" i="5"/>
  <c r="N459" i="36" s="1"/>
  <c r="AS10" i="5"/>
  <c r="N477" i="36" s="1"/>
  <c r="AZ11" i="5"/>
  <c r="BR11" i="5"/>
  <c r="N228" i="36"/>
  <c r="AF32" i="5"/>
  <c r="AF34" i="5" s="1"/>
  <c r="AE32" i="5"/>
  <c r="AE34" i="5" s="1"/>
  <c r="AE10" i="5"/>
  <c r="N463" i="36" s="1"/>
  <c r="BN12" i="5"/>
  <c r="H379" i="35"/>
  <c r="S415" i="2"/>
  <c r="BE415" i="2"/>
  <c r="BR415" i="2"/>
  <c r="BO415" i="2"/>
  <c r="AZ415" i="2"/>
  <c r="AW415" i="2"/>
  <c r="BJ415" i="2"/>
  <c r="BG415" i="2"/>
  <c r="BN415" i="2"/>
  <c r="BI415" i="2"/>
  <c r="BB415" i="2"/>
  <c r="AY415" i="2"/>
  <c r="BQ415" i="2"/>
  <c r="BM415" i="2"/>
  <c r="BF415" i="2"/>
  <c r="BH415" i="2"/>
  <c r="AX415" i="2"/>
  <c r="Q511" i="2"/>
  <c r="Q423" i="35"/>
  <c r="S426" i="2"/>
  <c r="S418" i="2"/>
  <c r="S424" i="2"/>
  <c r="S423" i="2"/>
  <c r="BL414" i="2"/>
  <c r="S422" i="2"/>
  <c r="S421" i="2"/>
  <c r="BH421" i="2"/>
  <c r="AX421" i="2"/>
  <c r="BN421" i="2"/>
  <c r="AY421" i="2"/>
  <c r="AZ421" i="2"/>
  <c r="BJ421" i="2"/>
  <c r="BI421" i="2"/>
  <c r="BA421" i="2"/>
  <c r="BL421" i="2"/>
  <c r="S420" i="2"/>
  <c r="S419" i="2"/>
  <c r="AV417" i="2"/>
  <c r="BN417" i="2"/>
  <c r="BD417" i="2"/>
  <c r="BO417" i="2"/>
  <c r="S417" i="2"/>
  <c r="BL417" i="2"/>
  <c r="S414" i="2"/>
  <c r="BP414" i="2"/>
  <c r="AV414" i="2"/>
  <c r="BN414" i="2"/>
  <c r="BB414" i="2"/>
  <c r="BA414" i="2"/>
  <c r="BJ414" i="2"/>
  <c r="AZ414" i="2"/>
  <c r="BI414" i="2"/>
  <c r="AY414" i="2"/>
  <c r="BG414" i="2"/>
  <c r="AX414" i="2"/>
  <c r="BF414" i="2"/>
  <c r="S413" i="2"/>
  <c r="S412" i="2"/>
  <c r="S411" i="2"/>
  <c r="BJ326" i="2"/>
  <c r="BQ326" i="2"/>
  <c r="AW326" i="2"/>
  <c r="BG326" i="2"/>
  <c r="BO326" i="2"/>
  <c r="BA326" i="2"/>
  <c r="AY326" i="2"/>
  <c r="BC326" i="2"/>
  <c r="BB326" i="2"/>
  <c r="BG324" i="2"/>
  <c r="S318" i="2"/>
  <c r="Q510" i="2"/>
  <c r="Q550" i="2" s="1"/>
  <c r="AW317" i="2"/>
  <c r="BP324" i="2"/>
  <c r="BK324" i="2"/>
  <c r="BO324" i="2"/>
  <c r="S324" i="2"/>
  <c r="BI326" i="2"/>
  <c r="BP326" i="2"/>
  <c r="S319" i="2"/>
  <c r="S320" i="2"/>
  <c r="S315" i="2"/>
  <c r="S323" i="2"/>
  <c r="BE326" i="2"/>
  <c r="BR326" i="2"/>
  <c r="S326" i="2"/>
  <c r="S321" i="2"/>
  <c r="S317" i="2"/>
  <c r="BH326" i="2"/>
  <c r="H381" i="35"/>
  <c r="BB369" i="5"/>
  <c r="BI100" i="2"/>
  <c r="AW26" i="2"/>
  <c r="BM26" i="2"/>
  <c r="BA28" i="2"/>
  <c r="BH28" i="2"/>
  <c r="BO28" i="2"/>
  <c r="BQ257" i="5"/>
  <c r="BC257" i="5"/>
  <c r="BG257" i="5"/>
  <c r="AV125" i="2"/>
  <c r="AW126" i="2"/>
  <c r="AX25" i="2"/>
  <c r="BE26" i="2"/>
  <c r="BN26" i="2"/>
  <c r="AV217" i="2"/>
  <c r="BI28" i="2"/>
  <c r="BP28" i="2"/>
  <c r="BI488" i="2"/>
  <c r="BP488" i="2"/>
  <c r="BR488" i="2"/>
  <c r="BN490" i="2"/>
  <c r="BC490" i="2"/>
  <c r="AZ490" i="2"/>
  <c r="AV386" i="5"/>
  <c r="BE369" i="5"/>
  <c r="BQ262" i="5"/>
  <c r="BR257" i="5"/>
  <c r="BD365" i="5"/>
  <c r="BC369" i="5"/>
  <c r="BQ365" i="5"/>
  <c r="BE257" i="5"/>
  <c r="BH257" i="5"/>
  <c r="BQ215" i="2"/>
  <c r="BH121" i="2"/>
  <c r="BH216" i="2"/>
  <c r="AY145" i="2"/>
  <c r="BN145" i="2"/>
  <c r="BO145" i="2"/>
  <c r="AZ217" i="2"/>
  <c r="AW123" i="2"/>
  <c r="BR218" i="2"/>
  <c r="BD126" i="2"/>
  <c r="BL126" i="2"/>
  <c r="BB156" i="5"/>
  <c r="BJ163" i="5"/>
  <c r="BK388" i="2"/>
  <c r="U204" i="10"/>
  <c r="AG109" i="10" s="1"/>
  <c r="U205" i="10"/>
  <c r="AG364" i="10" s="1"/>
  <c r="BI218" i="2"/>
  <c r="BD217" i="2"/>
  <c r="BL217" i="2"/>
  <c r="AW216" i="2"/>
  <c r="BD216" i="2"/>
  <c r="BL216" i="2"/>
  <c r="BF215" i="2"/>
  <c r="S213" i="2"/>
  <c r="S221" i="2"/>
  <c r="S218" i="2"/>
  <c r="S216" i="2"/>
  <c r="S214" i="2"/>
  <c r="S127" i="2"/>
  <c r="S126" i="2"/>
  <c r="S125" i="2"/>
  <c r="S123" i="2"/>
  <c r="G382" i="35"/>
  <c r="O228" i="35"/>
  <c r="S121" i="2"/>
  <c r="J382" i="35"/>
  <c r="BC15" i="2"/>
  <c r="S29" i="2"/>
  <c r="S20" i="2"/>
  <c r="S28" i="2"/>
  <c r="BG15" i="2"/>
  <c r="N228" i="35"/>
  <c r="D10" i="32" s="1" a="1"/>
  <c r="D10" i="32" s="1"/>
  <c r="AZ15" i="2"/>
  <c r="BP27" i="2"/>
  <c r="BI15" i="2"/>
  <c r="BH15" i="2"/>
  <c r="BF27" i="2"/>
  <c r="BR15" i="2"/>
  <c r="BF15" i="2"/>
  <c r="BD15" i="2"/>
  <c r="BJ15" i="2"/>
  <c r="BM15" i="2"/>
  <c r="BN15" i="2"/>
  <c r="AX15" i="2"/>
  <c r="BK15" i="2"/>
  <c r="BN27" i="2"/>
  <c r="AX27" i="2"/>
  <c r="BE15" i="2"/>
  <c r="BP15" i="2"/>
  <c r="AW15" i="2"/>
  <c r="BA15" i="2"/>
  <c r="AV15" i="2"/>
  <c r="BQ15" i="2"/>
  <c r="BL15" i="2"/>
  <c r="BB15" i="2"/>
  <c r="S25" i="2"/>
  <c r="S26" i="2"/>
  <c r="BG367" i="2"/>
  <c r="AZ367" i="2"/>
  <c r="BE367" i="2"/>
  <c r="AX367" i="2"/>
  <c r="AY367" i="2"/>
  <c r="AV367" i="2"/>
  <c r="BM367" i="2"/>
  <c r="BL367" i="2"/>
  <c r="BD367" i="2"/>
  <c r="BO367" i="2"/>
  <c r="BK367" i="2"/>
  <c r="BC367" i="2"/>
  <c r="BF367" i="2"/>
  <c r="AA228" i="35"/>
  <c r="BQ367" i="2"/>
  <c r="BJ367" i="2"/>
  <c r="BB367" i="2"/>
  <c r="AW367" i="2"/>
  <c r="BP367" i="2"/>
  <c r="BI367" i="2"/>
  <c r="BR367" i="2"/>
  <c r="AZ265" i="5"/>
  <c r="BN265" i="5"/>
  <c r="BD265" i="5"/>
  <c r="BL265" i="5"/>
  <c r="BK265" i="5"/>
  <c r="BA265" i="5"/>
  <c r="BB265" i="5"/>
  <c r="BR265" i="5"/>
  <c r="BQ265" i="5"/>
  <c r="BC265" i="5"/>
  <c r="BH265" i="5"/>
  <c r="AX265" i="5"/>
  <c r="BE265" i="5"/>
  <c r="BJ265" i="5"/>
  <c r="BF265" i="5"/>
  <c r="BI265" i="5"/>
  <c r="BR262" i="5"/>
  <c r="AV265" i="5"/>
  <c r="BP265" i="5"/>
  <c r="AZ62" i="5"/>
  <c r="Q107" i="5"/>
  <c r="I228" i="36" s="1"/>
  <c r="F380" i="35"/>
  <c r="D380" i="35"/>
  <c r="Q247" i="35"/>
  <c r="J425" i="35"/>
  <c r="AD452" i="5"/>
  <c r="AB462" i="36" s="1"/>
  <c r="BP458" i="5"/>
  <c r="AY361" i="5"/>
  <c r="W424" i="35"/>
  <c r="BH361" i="5"/>
  <c r="AX361" i="5"/>
  <c r="AE380" i="5"/>
  <c r="AA157" i="36" s="1"/>
  <c r="AA184" i="36" s="1"/>
  <c r="BF369" i="5"/>
  <c r="BI369" i="5"/>
  <c r="AW369" i="5"/>
  <c r="BH369" i="5"/>
  <c r="BP369" i="5"/>
  <c r="AZ369" i="5"/>
  <c r="AY369" i="5"/>
  <c r="BQ369" i="5"/>
  <c r="BN369" i="5"/>
  <c r="AW257" i="5"/>
  <c r="BB257" i="5"/>
  <c r="BM163" i="5"/>
  <c r="AZ156" i="5"/>
  <c r="H382" i="35"/>
  <c r="S145" i="35"/>
  <c r="T406" i="35"/>
  <c r="AH122" i="35"/>
  <c r="B122" i="35" s="1"/>
  <c r="R11" i="32"/>
  <c r="E423" i="35"/>
  <c r="E426" i="35"/>
  <c r="U200" i="10"/>
  <c r="U197" i="10"/>
  <c r="AG71" i="10" s="1"/>
  <c r="U192" i="10"/>
  <c r="AG230" i="10" s="1"/>
  <c r="U189" i="10"/>
  <c r="AG199" i="10"/>
  <c r="Q179" i="10"/>
  <c r="U179" i="10"/>
  <c r="R179" i="10"/>
  <c r="Q180" i="10"/>
  <c r="U188" i="10"/>
  <c r="AT41" i="2" s="1"/>
  <c r="U184" i="10"/>
  <c r="AG208" i="10" s="1"/>
  <c r="BL289" i="5"/>
  <c r="AI201" i="5"/>
  <c r="AI203" i="5" s="1"/>
  <c r="BN486" i="2"/>
  <c r="BL296" i="2"/>
  <c r="BK92" i="2"/>
  <c r="BI92" i="2"/>
  <c r="AW278" i="5"/>
  <c r="AY365" i="5"/>
  <c r="BJ365" i="5"/>
  <c r="AZ365" i="5"/>
  <c r="BF365" i="5"/>
  <c r="AZ465" i="5"/>
  <c r="BN465" i="5"/>
  <c r="BH465" i="5"/>
  <c r="BN90" i="5"/>
  <c r="BK94" i="5"/>
  <c r="AV393" i="2"/>
  <c r="BL92" i="2"/>
  <c r="AZ100" i="2"/>
  <c r="BJ486" i="2"/>
  <c r="AZ293" i="5"/>
  <c r="BM277" i="5"/>
  <c r="BA277" i="5"/>
  <c r="AV277" i="5"/>
  <c r="AW265" i="5"/>
  <c r="BM420" i="2"/>
  <c r="BN246" i="2"/>
  <c r="BH99" i="2"/>
  <c r="BF99" i="2"/>
  <c r="BQ488" i="2"/>
  <c r="BA488" i="2"/>
  <c r="BI489" i="2"/>
  <c r="AY387" i="5"/>
  <c r="BP45" i="5"/>
  <c r="AY45" i="5"/>
  <c r="BE465" i="5"/>
  <c r="BD465" i="5"/>
  <c r="BH324" i="2"/>
  <c r="BG443" i="2"/>
  <c r="BR443" i="2"/>
  <c r="BM38" i="5"/>
  <c r="BI38" i="5"/>
  <c r="BI435" i="5"/>
  <c r="AX39" i="5"/>
  <c r="AZ39" i="5"/>
  <c r="AY265" i="5"/>
  <c r="BO265" i="5"/>
  <c r="BD23" i="2"/>
  <c r="BR23" i="2"/>
  <c r="BK126" i="2"/>
  <c r="BD296" i="2"/>
  <c r="BB296" i="2"/>
  <c r="BC99" i="2"/>
  <c r="BA99" i="2"/>
  <c r="BM99" i="2"/>
  <c r="AY144" i="2"/>
  <c r="BK144" i="2"/>
  <c r="AZ139" i="5"/>
  <c r="AX387" i="5"/>
  <c r="BN387" i="5"/>
  <c r="BO387" i="5"/>
  <c r="BE138" i="5"/>
  <c r="BJ138" i="5"/>
  <c r="AW339" i="5"/>
  <c r="AZ393" i="5"/>
  <c r="BR393" i="5"/>
  <c r="BL436" i="5"/>
  <c r="AZ162" i="5"/>
  <c r="BB171" i="5"/>
  <c r="BK171" i="5"/>
  <c r="AW465" i="5"/>
  <c r="BL465" i="5"/>
  <c r="BQ125" i="2"/>
  <c r="BE92" i="2"/>
  <c r="AV218" i="2"/>
  <c r="BF218" i="2"/>
  <c r="BM218" i="2"/>
  <c r="BK95" i="2"/>
  <c r="BH487" i="2"/>
  <c r="AW487" i="2"/>
  <c r="S289" i="5"/>
  <c r="AZ435" i="5"/>
  <c r="BI391" i="5"/>
  <c r="BM387" i="5"/>
  <c r="BR339" i="5"/>
  <c r="BP339" i="5"/>
  <c r="BM393" i="5"/>
  <c r="BA171" i="5"/>
  <c r="BK458" i="5"/>
  <c r="AA452" i="5"/>
  <c r="AB459" i="36" s="1"/>
  <c r="AI479" i="5"/>
  <c r="AI531" i="5" s="1"/>
  <c r="AO479" i="5"/>
  <c r="AB167" i="36" s="1"/>
  <c r="AB194" i="36" s="1"/>
  <c r="AJ479" i="5"/>
  <c r="AB162" i="36" s="1"/>
  <c r="AB189" i="36" s="1"/>
  <c r="AG479" i="5"/>
  <c r="AG481" i="5" s="1"/>
  <c r="V479" i="5"/>
  <c r="AB230" i="36" s="1"/>
  <c r="X479" i="5"/>
  <c r="AB150" i="36" s="1"/>
  <c r="AB177" i="36" s="1"/>
  <c r="AB228" i="36"/>
  <c r="S465" i="5"/>
  <c r="AJ381" i="35"/>
  <c r="AG425" i="35"/>
  <c r="AH379" i="35"/>
  <c r="G19" i="21"/>
  <c r="H19" i="21" s="1"/>
  <c r="E95" i="21"/>
  <c r="G95" i="21" s="1"/>
  <c r="AW271" i="5"/>
  <c r="BK162" i="5"/>
  <c r="AY162" i="5"/>
  <c r="BB162" i="5"/>
  <c r="BH162" i="5"/>
  <c r="BJ162" i="5"/>
  <c r="BP162" i="5"/>
  <c r="BR171" i="5"/>
  <c r="BR162" i="5"/>
  <c r="BI162" i="5"/>
  <c r="BN162" i="5"/>
  <c r="BD162" i="5"/>
  <c r="BO162" i="5"/>
  <c r="BC162" i="5"/>
  <c r="BQ162" i="5"/>
  <c r="BP171" i="5"/>
  <c r="BO156" i="5"/>
  <c r="BM162" i="5"/>
  <c r="BA162" i="5"/>
  <c r="BE162" i="5"/>
  <c r="AW171" i="5"/>
  <c r="AV162" i="5"/>
  <c r="AW162" i="5"/>
  <c r="D87" i="21"/>
  <c r="AE382" i="35"/>
  <c r="AP136" i="5"/>
  <c r="T474" i="36" s="1"/>
  <c r="AG150" i="5"/>
  <c r="T159" i="36" s="1"/>
  <c r="T186" i="36" s="1"/>
  <c r="AD136" i="5"/>
  <c r="T462" i="36" s="1"/>
  <c r="AB399" i="5"/>
  <c r="AB401" i="5" s="1"/>
  <c r="AI385" i="5"/>
  <c r="AF467" i="36" s="1"/>
  <c r="AG447" i="5"/>
  <c r="AG449" i="5" s="1"/>
  <c r="AB433" i="5"/>
  <c r="W460" i="36" s="1"/>
  <c r="AA399" i="5"/>
  <c r="AA401" i="5" s="1"/>
  <c r="BO391" i="5"/>
  <c r="AM399" i="5"/>
  <c r="AM401" i="5" s="1"/>
  <c r="AK385" i="5"/>
  <c r="AF469" i="36" s="1"/>
  <c r="BL189" i="2"/>
  <c r="W102" i="5"/>
  <c r="N89" i="5" s="1"/>
  <c r="AX90" i="5"/>
  <c r="AC385" i="5"/>
  <c r="AF461" i="36" s="1"/>
  <c r="AA447" i="5"/>
  <c r="W153" i="36" s="1"/>
  <c r="W180" i="36" s="1"/>
  <c r="AG433" i="5"/>
  <c r="W465" i="36" s="1"/>
  <c r="BA435" i="5"/>
  <c r="BF436" i="5"/>
  <c r="AI399" i="5"/>
  <c r="AI401" i="5" s="1"/>
  <c r="AN385" i="5"/>
  <c r="AF472" i="36" s="1"/>
  <c r="BK391" i="5"/>
  <c r="BJ391" i="5"/>
  <c r="AO385" i="5"/>
  <c r="AF473" i="36" s="1"/>
  <c r="AS399" i="5"/>
  <c r="AS401" i="5" s="1"/>
  <c r="Y399" i="5"/>
  <c r="Y401" i="5" s="1"/>
  <c r="BA391" i="5"/>
  <c r="BD391" i="5"/>
  <c r="BN391" i="5"/>
  <c r="AZ387" i="5"/>
  <c r="BH391" i="5"/>
  <c r="AA385" i="5"/>
  <c r="AF459" i="36" s="1"/>
  <c r="BP391" i="5"/>
  <c r="AK399" i="5"/>
  <c r="AK540" i="5" s="1"/>
  <c r="V399" i="5"/>
  <c r="AF266" i="36" s="1"/>
  <c r="AP385" i="5"/>
  <c r="AF474" i="36" s="1"/>
  <c r="BC391" i="5"/>
  <c r="BJ393" i="5"/>
  <c r="AX391" i="5"/>
  <c r="BA387" i="5"/>
  <c r="AY391" i="5"/>
  <c r="AM385" i="5"/>
  <c r="AF471" i="36" s="1"/>
  <c r="AD385" i="5"/>
  <c r="AF462" i="36" s="1"/>
  <c r="BM391" i="5"/>
  <c r="AB385" i="5"/>
  <c r="AF460" i="36" s="1"/>
  <c r="BR391" i="5"/>
  <c r="BG391" i="5"/>
  <c r="R399" i="5"/>
  <c r="AF229" i="36" s="1"/>
  <c r="BO386" i="5"/>
  <c r="AW386" i="5"/>
  <c r="G62" i="21"/>
  <c r="H53" i="21" s="1"/>
  <c r="AP150" i="5"/>
  <c r="AP518" i="5" s="1"/>
  <c r="AD150" i="5"/>
  <c r="T156" i="36" s="1"/>
  <c r="T183" i="36" s="1"/>
  <c r="AG136" i="5"/>
  <c r="T465" i="36" s="1"/>
  <c r="AK150" i="5"/>
  <c r="T163" i="36" s="1"/>
  <c r="T190" i="36" s="1"/>
  <c r="AA150" i="5"/>
  <c r="T153" i="36" s="1"/>
  <c r="T180" i="36" s="1"/>
  <c r="AA136" i="5"/>
  <c r="T459" i="36" s="1"/>
  <c r="BR139" i="5"/>
  <c r="BQ139" i="5"/>
  <c r="AF150" i="5"/>
  <c r="AF518" i="5" s="1"/>
  <c r="AF136" i="5"/>
  <c r="T464" i="36" s="1"/>
  <c r="Z51" i="5"/>
  <c r="S152" i="36" s="1"/>
  <c r="S179" i="36" s="1"/>
  <c r="AQ37" i="5"/>
  <c r="S475" i="36" s="1"/>
  <c r="AJ37" i="5"/>
  <c r="S468" i="36" s="1"/>
  <c r="AJ51" i="5"/>
  <c r="S162" i="36" s="1"/>
  <c r="S189" i="36" s="1"/>
  <c r="BR39" i="5"/>
  <c r="BN38" i="5"/>
  <c r="BD38" i="5"/>
  <c r="AN51" i="5"/>
  <c r="S166" i="36" s="1"/>
  <c r="S193" i="36" s="1"/>
  <c r="AA37" i="5"/>
  <c r="S459" i="36" s="1"/>
  <c r="Y51" i="5"/>
  <c r="Y517" i="5" s="1"/>
  <c r="BF90" i="5"/>
  <c r="BE94" i="5"/>
  <c r="AL88" i="5"/>
  <c r="AC470" i="36" s="1"/>
  <c r="BI94" i="5"/>
  <c r="BJ94" i="5"/>
  <c r="AV91" i="5"/>
  <c r="AX94" i="5"/>
  <c r="BG94" i="5"/>
  <c r="BD90" i="5"/>
  <c r="BE90" i="5"/>
  <c r="BP94" i="5"/>
  <c r="BN94" i="5"/>
  <c r="BC94" i="5"/>
  <c r="AO88" i="5"/>
  <c r="AC473" i="36" s="1"/>
  <c r="BO90" i="5"/>
  <c r="BJ90" i="5"/>
  <c r="AZ94" i="5"/>
  <c r="BL94" i="5"/>
  <c r="BD94" i="5"/>
  <c r="AW90" i="5"/>
  <c r="S90" i="5"/>
  <c r="S102" i="5" s="1"/>
  <c r="AV90" i="5"/>
  <c r="AC88" i="5"/>
  <c r="AC461" i="36" s="1"/>
  <c r="AO102" i="5"/>
  <c r="AO104" i="5" s="1"/>
  <c r="R102" i="5"/>
  <c r="AC229" i="36" s="1"/>
  <c r="BP90" i="5"/>
  <c r="BQ90" i="5"/>
  <c r="BG90" i="5"/>
  <c r="BF94" i="5"/>
  <c r="BA94" i="5"/>
  <c r="BR94" i="5"/>
  <c r="AV94" i="5"/>
  <c r="AW94" i="5"/>
  <c r="BA90" i="5"/>
  <c r="BC90" i="5"/>
  <c r="BM94" i="5"/>
  <c r="BH94" i="5"/>
  <c r="BQ94" i="5"/>
  <c r="BO94" i="5"/>
  <c r="BI90" i="5"/>
  <c r="BK90" i="5"/>
  <c r="AN88" i="5"/>
  <c r="AC472" i="36" s="1"/>
  <c r="AY94" i="5"/>
  <c r="BH193" i="5"/>
  <c r="BH201" i="5" s="1"/>
  <c r="BH203" i="5" s="1"/>
  <c r="AI205" i="5" s="1"/>
  <c r="AO187" i="5"/>
  <c r="AD473" i="36" s="1"/>
  <c r="AO201" i="5"/>
  <c r="AO538" i="5" s="1"/>
  <c r="Q542" i="5"/>
  <c r="AH300" i="5"/>
  <c r="AH302" i="5" s="1"/>
  <c r="AK286" i="5"/>
  <c r="AE469" i="36" s="1"/>
  <c r="AH286" i="5"/>
  <c r="AE466" i="36" s="1"/>
  <c r="BR289" i="5"/>
  <c r="BQ289" i="5"/>
  <c r="AX289" i="5"/>
  <c r="BO289" i="5"/>
  <c r="AW289" i="5"/>
  <c r="AN399" i="5"/>
  <c r="AN401" i="5" s="1"/>
  <c r="BB391" i="5"/>
  <c r="BL391" i="5"/>
  <c r="AW391" i="5"/>
  <c r="AV387" i="5"/>
  <c r="S387" i="5"/>
  <c r="S399" i="5" s="1"/>
  <c r="Z399" i="5"/>
  <c r="AF152" i="36" s="1"/>
  <c r="AV391" i="5"/>
  <c r="BC387" i="5"/>
  <c r="AD399" i="5"/>
  <c r="AD401" i="5" s="1"/>
  <c r="AA498" i="2"/>
  <c r="AG153" i="35" s="1"/>
  <c r="BO488" i="2"/>
  <c r="BK488" i="2"/>
  <c r="BD490" i="2"/>
  <c r="BA490" i="2"/>
  <c r="AW292" i="2"/>
  <c r="BM288" i="2"/>
  <c r="BI288" i="2"/>
  <c r="BD292" i="2"/>
  <c r="BP292" i="2"/>
  <c r="U251" i="35"/>
  <c r="I564" i="2"/>
  <c r="C61" i="17" s="1"/>
  <c r="BB189" i="2"/>
  <c r="AY189" i="2"/>
  <c r="AW189" i="2"/>
  <c r="AX144" i="2"/>
  <c r="BA144" i="2"/>
  <c r="BM144" i="2"/>
  <c r="AV145" i="2"/>
  <c r="AV94" i="2"/>
  <c r="BQ94" i="2"/>
  <c r="BB91" i="2"/>
  <c r="BP91" i="2"/>
  <c r="AX95" i="2"/>
  <c r="BL95" i="2"/>
  <c r="BN95" i="2"/>
  <c r="BE94" i="2"/>
  <c r="BC94" i="2"/>
  <c r="U145" i="35"/>
  <c r="V145" i="35"/>
  <c r="W145" i="35"/>
  <c r="V379" i="35"/>
  <c r="R181" i="10"/>
  <c r="U181" i="10"/>
  <c r="AG241" i="10" s="1"/>
  <c r="D94" i="21"/>
  <c r="G94" i="21" s="1"/>
  <c r="Y380" i="35"/>
  <c r="AI88" i="5"/>
  <c r="AC467" i="36" s="1"/>
  <c r="H467" i="36" s="1"/>
  <c r="AX244" i="2"/>
  <c r="BM291" i="2"/>
  <c r="BP290" i="2"/>
  <c r="BC140" i="5"/>
  <c r="AC136" i="5"/>
  <c r="T461" i="36" s="1"/>
  <c r="AN102" i="5"/>
  <c r="AN104" i="5" s="1"/>
  <c r="AI102" i="5"/>
  <c r="AI104" i="5" s="1"/>
  <c r="Z150" i="5"/>
  <c r="Z152" i="5" s="1"/>
  <c r="AL150" i="5"/>
  <c r="T164" i="36" s="1"/>
  <c r="T191" i="36" s="1"/>
  <c r="AI136" i="5"/>
  <c r="T467" i="36" s="1"/>
  <c r="Q520" i="5"/>
  <c r="AA286" i="5"/>
  <c r="AE459" i="36" s="1"/>
  <c r="AC300" i="5"/>
  <c r="AC539" i="5" s="1"/>
  <c r="BK293" i="5"/>
  <c r="AE228" i="36"/>
  <c r="AS300" i="5"/>
  <c r="AS302" i="5" s="1"/>
  <c r="AR300" i="5"/>
  <c r="AR302" i="5" s="1"/>
  <c r="AR286" i="5"/>
  <c r="AE476" i="36" s="1"/>
  <c r="AS286" i="5"/>
  <c r="AE477" i="36" s="1"/>
  <c r="G43" i="21"/>
  <c r="AN300" i="5"/>
  <c r="AN302" i="5" s="1"/>
  <c r="AE253" i="36"/>
  <c r="AM286" i="5"/>
  <c r="AE471" i="36" s="1"/>
  <c r="AV293" i="5"/>
  <c r="BM293" i="5"/>
  <c r="AZ289" i="5"/>
  <c r="AC286" i="5"/>
  <c r="AE461" i="36" s="1"/>
  <c r="BB289" i="5"/>
  <c r="AV289" i="5"/>
  <c r="AA300" i="5"/>
  <c r="AA302" i="5" s="1"/>
  <c r="BP289" i="5"/>
  <c r="AH381" i="35"/>
  <c r="Z381" i="35"/>
  <c r="BI140" i="5"/>
  <c r="R150" i="5"/>
  <c r="T229" i="36" s="1"/>
  <c r="AX140" i="5"/>
  <c r="AL136" i="5"/>
  <c r="T470" i="36" s="1"/>
  <c r="BD140" i="5"/>
  <c r="BE140" i="5"/>
  <c r="BR140" i="5"/>
  <c r="AW140" i="5"/>
  <c r="Q206" i="5"/>
  <c r="J228" i="36" s="1"/>
  <c r="AM136" i="5"/>
  <c r="T471" i="36" s="1"/>
  <c r="BK139" i="5"/>
  <c r="AZ140" i="5"/>
  <c r="BG140" i="5"/>
  <c r="BQ140" i="5"/>
  <c r="BN140" i="5"/>
  <c r="BK140" i="5"/>
  <c r="S140" i="5"/>
  <c r="AR136" i="5"/>
  <c r="T476" i="36" s="1"/>
  <c r="BL140" i="5"/>
  <c r="BB140" i="5"/>
  <c r="AY140" i="5"/>
  <c r="BA140" i="5"/>
  <c r="AI150" i="5"/>
  <c r="AI152" i="5" s="1"/>
  <c r="AS150" i="5"/>
  <c r="AS518" i="5" s="1"/>
  <c r="F228" i="36"/>
  <c r="BH140" i="5"/>
  <c r="AY139" i="5"/>
  <c r="BP140" i="5"/>
  <c r="BF140" i="5"/>
  <c r="BM140" i="5"/>
  <c r="BO140" i="5"/>
  <c r="Q518" i="5"/>
  <c r="BJ140" i="5"/>
  <c r="BB139" i="5"/>
  <c r="BH90" i="5"/>
  <c r="BB90" i="5"/>
  <c r="BR90" i="5"/>
  <c r="BH93" i="5"/>
  <c r="AC102" i="5"/>
  <c r="AC104" i="5" s="1"/>
  <c r="BM90" i="5"/>
  <c r="L380" i="35"/>
  <c r="AE37" i="5"/>
  <c r="S463" i="36" s="1"/>
  <c r="Q547" i="5"/>
  <c r="AO37" i="5"/>
  <c r="S473" i="36" s="1"/>
  <c r="AE498" i="2"/>
  <c r="AG157" i="35" s="1"/>
  <c r="T403" i="35"/>
  <c r="V498" i="2"/>
  <c r="AG230" i="35" s="1"/>
  <c r="BP486" i="2"/>
  <c r="BO486" i="2"/>
  <c r="AW486" i="2"/>
  <c r="BI486" i="2"/>
  <c r="BR486" i="2"/>
  <c r="AV486" i="2"/>
  <c r="BD486" i="2"/>
  <c r="AB498" i="2"/>
  <c r="AG154" i="35" s="1"/>
  <c r="BK486" i="2"/>
  <c r="BB486" i="2"/>
  <c r="BE486" i="2"/>
  <c r="AX486" i="2"/>
  <c r="BA486" i="2"/>
  <c r="AZ486" i="2"/>
  <c r="BH486" i="2"/>
  <c r="BM486" i="2"/>
  <c r="AY486" i="2"/>
  <c r="S488" i="2"/>
  <c r="S486" i="2"/>
  <c r="AD498" i="2"/>
  <c r="AD500" i="2" s="1"/>
  <c r="BG486" i="2"/>
  <c r="BC486" i="2"/>
  <c r="BF486" i="2"/>
  <c r="BL486" i="2"/>
  <c r="S487" i="2"/>
  <c r="S439" i="2"/>
  <c r="W245" i="35"/>
  <c r="S437" i="2"/>
  <c r="S438" i="2"/>
  <c r="L379" i="35"/>
  <c r="AY390" i="2"/>
  <c r="AF252" i="35"/>
  <c r="T404" i="35"/>
  <c r="AF251" i="35"/>
  <c r="BF390" i="2"/>
  <c r="S389" i="2"/>
  <c r="S388" i="2"/>
  <c r="S387" i="2"/>
  <c r="J380" i="35"/>
  <c r="K380" i="35"/>
  <c r="M380" i="35"/>
  <c r="S342" i="2"/>
  <c r="BD295" i="2"/>
  <c r="BI295" i="2"/>
  <c r="BQ295" i="2"/>
  <c r="BG295" i="2"/>
  <c r="BH291" i="2"/>
  <c r="BO291" i="2"/>
  <c r="BI290" i="2"/>
  <c r="AE228" i="35"/>
  <c r="BK294" i="2"/>
  <c r="AX291" i="2"/>
  <c r="BR291" i="2"/>
  <c r="AE252" i="35"/>
  <c r="BN291" i="2"/>
  <c r="AV291" i="2"/>
  <c r="BK291" i="2"/>
  <c r="BP291" i="2"/>
  <c r="BK290" i="2"/>
  <c r="J381" i="35"/>
  <c r="BO288" i="2"/>
  <c r="D381" i="35"/>
  <c r="BG288" i="2"/>
  <c r="AZ288" i="2"/>
  <c r="AY288" i="2"/>
  <c r="BK288" i="2"/>
  <c r="AW288" i="2"/>
  <c r="BL288" i="2"/>
  <c r="BR288" i="2"/>
  <c r="S293" i="2"/>
  <c r="BO292" i="2"/>
  <c r="BK292" i="2"/>
  <c r="S292" i="2"/>
  <c r="BE292" i="2"/>
  <c r="AY292" i="2"/>
  <c r="BA292" i="2"/>
  <c r="BG291" i="2"/>
  <c r="AW291" i="2"/>
  <c r="BA291" i="2"/>
  <c r="BB291" i="2"/>
  <c r="BQ291" i="2"/>
  <c r="S291" i="2"/>
  <c r="BJ291" i="2"/>
  <c r="BD291" i="2"/>
  <c r="S290" i="2"/>
  <c r="S289" i="2"/>
  <c r="AB300" i="2"/>
  <c r="AE154" i="35" s="1"/>
  <c r="AV288" i="2"/>
  <c r="Q177" i="10"/>
  <c r="R177" i="10"/>
  <c r="AV244" i="2"/>
  <c r="BL243" i="2"/>
  <c r="M381" i="35"/>
  <c r="U252" i="35"/>
  <c r="U247" i="35"/>
  <c r="U253" i="35"/>
  <c r="U241" i="35"/>
  <c r="U228" i="35"/>
  <c r="U248" i="35"/>
  <c r="Q305" i="2"/>
  <c r="K228" i="35" s="1"/>
  <c r="U250" i="35"/>
  <c r="U240" i="35"/>
  <c r="U239" i="35"/>
  <c r="U244" i="35"/>
  <c r="U238" i="35"/>
  <c r="U243" i="35"/>
  <c r="U245" i="35"/>
  <c r="U249" i="35"/>
  <c r="U246" i="35"/>
  <c r="U242" i="35"/>
  <c r="AY244" i="2"/>
  <c r="S244" i="2"/>
  <c r="BG244" i="2"/>
  <c r="S243" i="2"/>
  <c r="S242" i="2"/>
  <c r="S241" i="2"/>
  <c r="S240" i="2"/>
  <c r="S239" i="2"/>
  <c r="T393" i="35"/>
  <c r="U168" i="10"/>
  <c r="U164" i="5"/>
  <c r="BQ191" i="2"/>
  <c r="BD189" i="2"/>
  <c r="BQ193" i="2"/>
  <c r="S193" i="2"/>
  <c r="BR193" i="2"/>
  <c r="BI193" i="2"/>
  <c r="BK193" i="2"/>
  <c r="BH193" i="2"/>
  <c r="S192" i="2"/>
  <c r="S190" i="2"/>
  <c r="S189" i="2"/>
  <c r="BK189" i="2"/>
  <c r="BQ189" i="2"/>
  <c r="BI189" i="2"/>
  <c r="BM189" i="2"/>
  <c r="BJ189" i="2"/>
  <c r="AZ189" i="2"/>
  <c r="AX189" i="2"/>
  <c r="S145" i="2"/>
  <c r="P382" i="35"/>
  <c r="BE144" i="2"/>
  <c r="BL144" i="2"/>
  <c r="O382" i="35"/>
  <c r="S143" i="2"/>
  <c r="S142" i="2"/>
  <c r="E382" i="35"/>
  <c r="S95" i="2"/>
  <c r="BO94" i="2"/>
  <c r="S93" i="2"/>
  <c r="S228" i="35"/>
  <c r="S47" i="2"/>
  <c r="S46" i="2"/>
  <c r="S45" i="2"/>
  <c r="S44" i="2"/>
  <c r="S43" i="2"/>
  <c r="S42" i="2"/>
  <c r="S41" i="2"/>
  <c r="V245" i="35"/>
  <c r="AZ144" i="2"/>
  <c r="AZ392" i="2"/>
  <c r="AW148" i="2"/>
  <c r="BB148" i="2"/>
  <c r="BJ243" i="2"/>
  <c r="BR243" i="2"/>
  <c r="AX124" i="2"/>
  <c r="AZ290" i="2"/>
  <c r="BI243" i="2"/>
  <c r="AW96" i="2"/>
  <c r="BL96" i="2"/>
  <c r="AV214" i="2"/>
  <c r="BD214" i="2"/>
  <c r="BL214" i="2"/>
  <c r="AW322" i="2"/>
  <c r="BA97" i="2"/>
  <c r="AG284" i="10"/>
  <c r="AG292" i="10"/>
  <c r="AG278" i="10"/>
  <c r="AG281" i="10"/>
  <c r="AG277" i="10"/>
  <c r="AG293" i="10"/>
  <c r="AG280" i="10"/>
  <c r="AG282" i="10"/>
  <c r="AG287" i="10"/>
  <c r="AG279" i="10"/>
  <c r="AG288" i="10"/>
  <c r="BD99" i="2"/>
  <c r="BO99" i="2"/>
  <c r="AV314" i="2"/>
  <c r="BM417" i="2"/>
  <c r="BA148" i="2"/>
  <c r="BH148" i="2"/>
  <c r="BI148" i="2"/>
  <c r="BC418" i="2"/>
  <c r="BH45" i="2"/>
  <c r="BB99" i="2"/>
  <c r="BQ96" i="2"/>
  <c r="AY194" i="2"/>
  <c r="BL45" i="2"/>
  <c r="BE23" i="2"/>
  <c r="BM214" i="2"/>
  <c r="BG226" i="2"/>
  <c r="AW423" i="2"/>
  <c r="BP45" i="2"/>
  <c r="BF23" i="2"/>
  <c r="BL23" i="2"/>
  <c r="BR126" i="2"/>
  <c r="AX214" i="2"/>
  <c r="BF214" i="2"/>
  <c r="BN214" i="2"/>
  <c r="BA194" i="2"/>
  <c r="BN190" i="2"/>
  <c r="BJ422" i="2"/>
  <c r="BP417" i="2"/>
  <c r="BO214" i="2"/>
  <c r="BK420" i="2"/>
  <c r="BB147" i="2"/>
  <c r="BP190" i="2"/>
  <c r="BA222" i="2"/>
  <c r="BO147" i="2"/>
  <c r="BK226" i="2"/>
  <c r="BR222" i="2"/>
  <c r="BA423" i="2"/>
  <c r="BF46" i="2"/>
  <c r="BM46" i="2"/>
  <c r="BB46" i="2"/>
  <c r="BO392" i="2"/>
  <c r="AV425" i="2"/>
  <c r="BE147" i="2"/>
  <c r="AZ197" i="2"/>
  <c r="BN226" i="2"/>
  <c r="AX422" i="2"/>
  <c r="BA221" i="2"/>
  <c r="BM423" i="2"/>
  <c r="BD423" i="2"/>
  <c r="BF197" i="2"/>
  <c r="BL226" i="2"/>
  <c r="BL194" i="2"/>
  <c r="AG235" i="10"/>
  <c r="AH235" i="10" s="1"/>
  <c r="AG252" i="10"/>
  <c r="BR426" i="2"/>
  <c r="BE192" i="2"/>
  <c r="BG192" i="2"/>
  <c r="BJ390" i="2"/>
  <c r="BP390" i="2"/>
  <c r="BA324" i="2"/>
  <c r="AZ419" i="2"/>
  <c r="BH419" i="2"/>
  <c r="BO419" i="2"/>
  <c r="BL443" i="2"/>
  <c r="BF443" i="2"/>
  <c r="BR390" i="2"/>
  <c r="BJ324" i="2"/>
  <c r="BI419" i="2"/>
  <c r="BP419" i="2"/>
  <c r="BJ443" i="2"/>
  <c r="BK443" i="2"/>
  <c r="AV192" i="2"/>
  <c r="BA390" i="2"/>
  <c r="BC390" i="2"/>
  <c r="BO390" i="2"/>
  <c r="BC324" i="2"/>
  <c r="BB419" i="2"/>
  <c r="BP443" i="2"/>
  <c r="BE443" i="2"/>
  <c r="BN443" i="2"/>
  <c r="AY419" i="2"/>
  <c r="BG419" i="2"/>
  <c r="BJ225" i="2"/>
  <c r="BQ225" i="2"/>
  <c r="BN196" i="2"/>
  <c r="BE290" i="2"/>
  <c r="BJ146" i="2"/>
  <c r="BH196" i="2"/>
  <c r="BA298" i="2"/>
  <c r="BK298" i="2"/>
  <c r="AZ298" i="2"/>
  <c r="AV227" i="2"/>
  <c r="AV322" i="2"/>
  <c r="BD322" i="2"/>
  <c r="BL322" i="2"/>
  <c r="BE191" i="2"/>
  <c r="BG191" i="2"/>
  <c r="BA225" i="2"/>
  <c r="BD225" i="2"/>
  <c r="AY225" i="2"/>
  <c r="BL196" i="2"/>
  <c r="AY97" i="2"/>
  <c r="BI298" i="2"/>
  <c r="BJ196" i="2"/>
  <c r="AX290" i="2"/>
  <c r="BH290" i="2"/>
  <c r="BE298" i="2"/>
  <c r="BF146" i="2"/>
  <c r="BD146" i="2"/>
  <c r="AZ146" i="2"/>
  <c r="BN290" i="2"/>
  <c r="BB298" i="2"/>
  <c r="AW227" i="2"/>
  <c r="BE227" i="2"/>
  <c r="BL314" i="2"/>
  <c r="BM322" i="2"/>
  <c r="BI191" i="2"/>
  <c r="BK191" i="2"/>
  <c r="BF315" i="2"/>
  <c r="BN315" i="2"/>
  <c r="BC97" i="2"/>
  <c r="BP97" i="2"/>
  <c r="BQ196" i="2"/>
  <c r="BC225" i="2"/>
  <c r="BM196" i="2"/>
  <c r="BR196" i="2"/>
  <c r="AW196" i="2"/>
  <c r="AY196" i="2"/>
  <c r="BO146" i="2"/>
  <c r="BA146" i="2"/>
  <c r="BE146" i="2"/>
  <c r="AV146" i="2"/>
  <c r="AX315" i="2"/>
  <c r="AV290" i="2"/>
  <c r="AX227" i="2"/>
  <c r="AW314" i="2"/>
  <c r="AX322" i="2"/>
  <c r="BN322" i="2"/>
  <c r="AX191" i="2"/>
  <c r="BN191" i="2"/>
  <c r="AY315" i="2"/>
  <c r="BG315" i="2"/>
  <c r="BO315" i="2"/>
  <c r="BE97" i="2"/>
  <c r="BG97" i="2"/>
  <c r="BR97" i="2"/>
  <c r="BF225" i="2"/>
  <c r="BI225" i="2"/>
  <c r="AV225" i="2"/>
  <c r="BG225" i="2"/>
  <c r="BK196" i="2"/>
  <c r="AW225" i="2"/>
  <c r="BM146" i="2"/>
  <c r="AW290" i="2"/>
  <c r="AX196" i="2"/>
  <c r="BO196" i="2"/>
  <c r="AV298" i="2"/>
  <c r="BG298" i="2"/>
  <c r="AV97" i="2"/>
  <c r="BM93" i="2"/>
  <c r="BP93" i="2"/>
  <c r="BQ93" i="2"/>
  <c r="BQ146" i="2"/>
  <c r="BG227" i="2"/>
  <c r="BF314" i="2"/>
  <c r="BG322" i="2"/>
  <c r="BO322" i="2"/>
  <c r="BB191" i="2"/>
  <c r="BD191" i="2"/>
  <c r="BM191" i="2"/>
  <c r="AZ315" i="2"/>
  <c r="BH315" i="2"/>
  <c r="BP315" i="2"/>
  <c r="BI97" i="2"/>
  <c r="BK97" i="2"/>
  <c r="BO97" i="2"/>
  <c r="BL225" i="2"/>
  <c r="AV196" i="2"/>
  <c r="BK146" i="2"/>
  <c r="AW298" i="2"/>
  <c r="BQ298" i="2"/>
  <c r="AX146" i="2"/>
  <c r="AW146" i="2"/>
  <c r="BJ290" i="2"/>
  <c r="BL93" i="2"/>
  <c r="BO93" i="2"/>
  <c r="AW93" i="2"/>
  <c r="AY93" i="2"/>
  <c r="BH227" i="2"/>
  <c r="AY314" i="2"/>
  <c r="BG314" i="2"/>
  <c r="BO314" i="2"/>
  <c r="AZ322" i="2"/>
  <c r="BA315" i="2"/>
  <c r="BI315" i="2"/>
  <c r="BQ315" i="2"/>
  <c r="AZ97" i="2"/>
  <c r="AX97" i="2"/>
  <c r="BQ97" i="2"/>
  <c r="AZ225" i="2"/>
  <c r="BH225" i="2"/>
  <c r="BO225" i="2"/>
  <c r="BM225" i="2"/>
  <c r="BH298" i="2"/>
  <c r="BB225" i="2"/>
  <c r="BD196" i="2"/>
  <c r="BI146" i="2"/>
  <c r="AY146" i="2"/>
  <c r="BM290" i="2"/>
  <c r="BO290" i="2"/>
  <c r="BB196" i="2"/>
  <c r="BN93" i="2"/>
  <c r="BH93" i="2"/>
  <c r="BG93" i="2"/>
  <c r="AV93" i="2"/>
  <c r="BA227" i="2"/>
  <c r="BI227" i="2"/>
  <c r="BH314" i="2"/>
  <c r="BA322" i="2"/>
  <c r="BI322" i="2"/>
  <c r="BQ322" i="2"/>
  <c r="BJ191" i="2"/>
  <c r="BL191" i="2"/>
  <c r="BR191" i="2"/>
  <c r="BB315" i="2"/>
  <c r="BJ315" i="2"/>
  <c r="BD97" i="2"/>
  <c r="BB97" i="2"/>
  <c r="BN97" i="2"/>
  <c r="BE225" i="2"/>
  <c r="BI196" i="2"/>
  <c r="BG146" i="2"/>
  <c r="AY290" i="2"/>
  <c r="BM298" i="2"/>
  <c r="BP146" i="2"/>
  <c r="AV315" i="2"/>
  <c r="BJ93" i="2"/>
  <c r="AX93" i="2"/>
  <c r="BR93" i="2"/>
  <c r="AZ93" i="2"/>
  <c r="BF196" i="2"/>
  <c r="AV191" i="2"/>
  <c r="BB227" i="2"/>
  <c r="BR322" i="2"/>
  <c r="BC315" i="2"/>
  <c r="BK315" i="2"/>
  <c r="BH97" i="2"/>
  <c r="BO421" i="2"/>
  <c r="BC298" i="2"/>
  <c r="BH414" i="2"/>
  <c r="BO414" i="2"/>
  <c r="BB93" i="2"/>
  <c r="BA214" i="2"/>
  <c r="BI214" i="2"/>
  <c r="BC314" i="2"/>
  <c r="BB443" i="2"/>
  <c r="BB199" i="2"/>
  <c r="BH199" i="2"/>
  <c r="BP199" i="2"/>
  <c r="BH228" i="2"/>
  <c r="BP228" i="2"/>
  <c r="BR244" i="2"/>
  <c r="BQ324" i="2"/>
  <c r="AZ193" i="2"/>
  <c r="AX193" i="2"/>
  <c r="BD288" i="2"/>
  <c r="BB288" i="2"/>
  <c r="BN288" i="2"/>
  <c r="BN296" i="2"/>
  <c r="AZ420" i="2"/>
  <c r="BH420" i="2"/>
  <c r="BN420" i="2"/>
  <c r="BG91" i="2"/>
  <c r="BE91" i="2"/>
  <c r="BQ129" i="2"/>
  <c r="BL199" i="2"/>
  <c r="BR199" i="2"/>
  <c r="BA228" i="2"/>
  <c r="BI192" i="2"/>
  <c r="BK192" i="2"/>
  <c r="BR324" i="2"/>
  <c r="AY199" i="2"/>
  <c r="BB125" i="2"/>
  <c r="AX192" i="2"/>
  <c r="BN192" i="2"/>
  <c r="BO443" i="2"/>
  <c r="BC392" i="2"/>
  <c r="BA100" i="2"/>
  <c r="BO100" i="2"/>
  <c r="AX344" i="2"/>
  <c r="AV344" i="2"/>
  <c r="BN344" i="2"/>
  <c r="R173" i="10"/>
  <c r="BJ125" i="2"/>
  <c r="BQ420" i="2"/>
  <c r="BJ45" i="2"/>
  <c r="AZ214" i="2"/>
  <c r="BA125" i="2"/>
  <c r="BH125" i="2"/>
  <c r="BP125" i="2"/>
  <c r="BP245" i="2"/>
  <c r="BN193" i="2"/>
  <c r="BJ292" i="2"/>
  <c r="BL292" i="2"/>
  <c r="BB317" i="2"/>
  <c r="BJ317" i="2"/>
  <c r="BA325" i="2"/>
  <c r="BI325" i="2"/>
  <c r="BP325" i="2"/>
  <c r="BQ246" i="2"/>
  <c r="BO246" i="2"/>
  <c r="BL297" i="2"/>
  <c r="BF297" i="2"/>
  <c r="BL392" i="2"/>
  <c r="BJ392" i="2"/>
  <c r="BC421" i="2"/>
  <c r="BE247" i="2"/>
  <c r="BR92" i="2"/>
  <c r="AZ216" i="2"/>
  <c r="BO216" i="2"/>
  <c r="BE327" i="2"/>
  <c r="BR327" i="2"/>
  <c r="BD414" i="2"/>
  <c r="BJ145" i="2"/>
  <c r="BK145" i="2"/>
  <c r="BA93" i="2"/>
  <c r="BA196" i="2"/>
  <c r="BF291" i="2"/>
  <c r="BD415" i="2"/>
  <c r="BR146" i="2"/>
  <c r="BM344" i="2"/>
  <c r="BK123" i="2"/>
  <c r="BJ321" i="2"/>
  <c r="BP424" i="2"/>
  <c r="BO245" i="2"/>
  <c r="BN225" i="2"/>
  <c r="BH146" i="2"/>
  <c r="BJ344" i="2"/>
  <c r="BA424" i="2"/>
  <c r="BD425" i="2"/>
  <c r="AV22" i="2"/>
  <c r="AW441" i="2"/>
  <c r="BP441" i="2"/>
  <c r="BE199" i="2"/>
  <c r="BG199" i="2"/>
  <c r="AY397" i="2"/>
  <c r="AY22" i="2"/>
  <c r="BM22" i="2"/>
  <c r="AW125" i="2"/>
  <c r="BD125" i="2"/>
  <c r="BR125" i="2"/>
  <c r="AV228" i="2"/>
  <c r="BD228" i="2"/>
  <c r="BL228" i="2"/>
  <c r="BG418" i="2"/>
  <c r="BJ244" i="2"/>
  <c r="AW244" i="2"/>
  <c r="BA244" i="2"/>
  <c r="BH192" i="2"/>
  <c r="BF192" i="2"/>
  <c r="BK390" i="2"/>
  <c r="BH23" i="2"/>
  <c r="BN23" i="2"/>
  <c r="BG126" i="2"/>
  <c r="BN126" i="2"/>
  <c r="BG221" i="2"/>
  <c r="AW324" i="2"/>
  <c r="BE324" i="2"/>
  <c r="BM324" i="2"/>
  <c r="BD419" i="2"/>
  <c r="BL419" i="2"/>
  <c r="AX245" i="2"/>
  <c r="BJ245" i="2"/>
  <c r="AX443" i="2"/>
  <c r="AY193" i="2"/>
  <c r="BM193" i="2"/>
  <c r="BA288" i="2"/>
  <c r="BQ288" i="2"/>
  <c r="BA296" i="2"/>
  <c r="BC296" i="2"/>
  <c r="BQ296" i="2"/>
  <c r="AZ94" i="2"/>
  <c r="BC189" i="2"/>
  <c r="BA189" i="2"/>
  <c r="BN189" i="2"/>
  <c r="BI292" i="2"/>
  <c r="BM292" i="2"/>
  <c r="BP214" i="2"/>
  <c r="BF317" i="2"/>
  <c r="BN317" i="2"/>
  <c r="BM325" i="2"/>
  <c r="BM246" i="2"/>
  <c r="BJ246" i="2"/>
  <c r="BP246" i="2"/>
  <c r="BD194" i="2"/>
  <c r="BI297" i="2"/>
  <c r="BD25" i="2"/>
  <c r="BM25" i="2"/>
  <c r="BG247" i="2"/>
  <c r="BA290" i="2"/>
  <c r="BQ290" i="2"/>
  <c r="BD26" i="2"/>
  <c r="BI291" i="2"/>
  <c r="AV199" i="2"/>
  <c r="BQ214" i="2"/>
  <c r="BM215" i="2"/>
  <c r="BQ126" i="2"/>
  <c r="S219" i="2"/>
  <c r="AX219" i="2"/>
  <c r="S294" i="2"/>
  <c r="AV294" i="2"/>
  <c r="BK442" i="2"/>
  <c r="S295" i="2"/>
  <c r="BJ295" i="2"/>
  <c r="AX295" i="2"/>
  <c r="AW295" i="2"/>
  <c r="S223" i="2"/>
  <c r="AV223" i="2"/>
  <c r="AY223" i="2"/>
  <c r="BH223" i="2"/>
  <c r="BQ223" i="2"/>
  <c r="BE223" i="2"/>
  <c r="BM223" i="2"/>
  <c r="AW223" i="2"/>
  <c r="BF223" i="2"/>
  <c r="AX223" i="2"/>
  <c r="BN223" i="2"/>
  <c r="S445" i="2"/>
  <c r="BR445" i="2"/>
  <c r="AX445" i="2"/>
  <c r="BA445" i="2"/>
  <c r="BN445" i="2"/>
  <c r="AY445" i="2"/>
  <c r="S393" i="2"/>
  <c r="BQ393" i="2"/>
  <c r="AZ393" i="2"/>
  <c r="BJ393" i="2"/>
  <c r="BD393" i="2"/>
  <c r="S395" i="2"/>
  <c r="AZ395" i="2"/>
  <c r="BL395" i="2"/>
  <c r="BP395" i="2"/>
  <c r="BC395" i="2"/>
  <c r="AV395" i="2"/>
  <c r="AY395" i="2"/>
  <c r="S224" i="2"/>
  <c r="BM224" i="2"/>
  <c r="BC224" i="2"/>
  <c r="BJ224" i="2"/>
  <c r="BE224" i="2"/>
  <c r="AX224" i="2"/>
  <c r="AV224" i="2"/>
  <c r="BQ224" i="2"/>
  <c r="S394" i="2"/>
  <c r="BF394" i="2"/>
  <c r="BB394" i="2"/>
  <c r="BJ394" i="2"/>
  <c r="BK394" i="2"/>
  <c r="BE394" i="2"/>
  <c r="AZ394" i="2"/>
  <c r="BA394" i="2"/>
  <c r="BH394" i="2"/>
  <c r="BQ394" i="2"/>
  <c r="BL394" i="2"/>
  <c r="S27" i="2"/>
  <c r="BB27" i="2"/>
  <c r="BI27" i="2"/>
  <c r="AV27" i="2"/>
  <c r="AY27" i="2"/>
  <c r="BC27" i="2"/>
  <c r="BJ27" i="2"/>
  <c r="BD27" i="2"/>
  <c r="BK27" i="2"/>
  <c r="AZ27" i="2"/>
  <c r="BM27" i="2"/>
  <c r="BO27" i="2"/>
  <c r="AW27" i="2"/>
  <c r="BE27" i="2"/>
  <c r="BA27" i="2"/>
  <c r="S122" i="2"/>
  <c r="AX122" i="2"/>
  <c r="BM122" i="2"/>
  <c r="AV122" i="2"/>
  <c r="BJ122" i="2"/>
  <c r="BN122" i="2"/>
  <c r="AY122" i="2"/>
  <c r="BC122" i="2"/>
  <c r="AW122" i="2"/>
  <c r="BD122" i="2"/>
  <c r="BL122" i="2"/>
  <c r="S217" i="2"/>
  <c r="BG217" i="2"/>
  <c r="BO217" i="2"/>
  <c r="BN217" i="2"/>
  <c r="BI217" i="2"/>
  <c r="AX21" i="2"/>
  <c r="BF21" i="2"/>
  <c r="BQ21" i="2"/>
  <c r="AW29" i="2"/>
  <c r="BR29" i="2"/>
  <c r="BJ124" i="2"/>
  <c r="AV219" i="2"/>
  <c r="BD219" i="2"/>
  <c r="BL219" i="2"/>
  <c r="BJ417" i="2"/>
  <c r="BH425" i="2"/>
  <c r="BC148" i="2"/>
  <c r="BF148" i="2"/>
  <c r="BJ148" i="2"/>
  <c r="AZ243" i="2"/>
  <c r="BE243" i="2"/>
  <c r="BB346" i="2"/>
  <c r="BG346" i="2"/>
  <c r="AV441" i="2"/>
  <c r="BB441" i="2"/>
  <c r="BO441" i="2"/>
  <c r="BD96" i="2"/>
  <c r="BN96" i="2"/>
  <c r="BK199" i="2"/>
  <c r="AZ294" i="2"/>
  <c r="BE397" i="2"/>
  <c r="BE125" i="2"/>
  <c r="BM125" i="2"/>
  <c r="BE228" i="2"/>
  <c r="BM228" i="2"/>
  <c r="BP418" i="2"/>
  <c r="BF45" i="2"/>
  <c r="BC244" i="2"/>
  <c r="BI244" i="2"/>
  <c r="BC442" i="2"/>
  <c r="BO442" i="2"/>
  <c r="BL192" i="2"/>
  <c r="BJ192" i="2"/>
  <c r="AZ295" i="2"/>
  <c r="BN295" i="2"/>
  <c r="BN390" i="2"/>
  <c r="BI23" i="2"/>
  <c r="BO23" i="2"/>
  <c r="BO126" i="2"/>
  <c r="BE419" i="2"/>
  <c r="BM419" i="2"/>
  <c r="BN245" i="2"/>
  <c r="BD443" i="2"/>
  <c r="BA193" i="2"/>
  <c r="BC193" i="2"/>
  <c r="BP193" i="2"/>
  <c r="BE288" i="2"/>
  <c r="BP288" i="2"/>
  <c r="BE296" i="2"/>
  <c r="BG296" i="2"/>
  <c r="BP296" i="2"/>
  <c r="BJ94" i="2"/>
  <c r="BD94" i="2"/>
  <c r="BM94" i="2"/>
  <c r="BG189" i="2"/>
  <c r="BE189" i="2"/>
  <c r="AZ292" i="2"/>
  <c r="BQ292" i="2"/>
  <c r="BN325" i="2"/>
  <c r="BJ91" i="2"/>
  <c r="BO91" i="2"/>
  <c r="AZ297" i="2"/>
  <c r="BM297" i="2"/>
  <c r="BO297" i="2"/>
  <c r="BE25" i="2"/>
  <c r="BB223" i="2"/>
  <c r="BF393" i="2"/>
  <c r="BM129" i="2"/>
  <c r="AV295" i="2"/>
  <c r="AY21" i="2"/>
  <c r="BG21" i="2"/>
  <c r="BM21" i="2"/>
  <c r="AX29" i="2"/>
  <c r="BF29" i="2"/>
  <c r="BQ29" i="2"/>
  <c r="AW124" i="2"/>
  <c r="BK124" i="2"/>
  <c r="AW219" i="2"/>
  <c r="BR219" i="2"/>
  <c r="BK417" i="2"/>
  <c r="BK148" i="2"/>
  <c r="BN148" i="2"/>
  <c r="BN243" i="2"/>
  <c r="BO243" i="2"/>
  <c r="BC346" i="2"/>
  <c r="BJ346" i="2"/>
  <c r="BK346" i="2"/>
  <c r="BR441" i="2"/>
  <c r="BF441" i="2"/>
  <c r="BJ96" i="2"/>
  <c r="AZ199" i="2"/>
  <c r="BB294" i="2"/>
  <c r="BD294" i="2"/>
  <c r="BM294" i="2"/>
  <c r="BI397" i="2"/>
  <c r="AY125" i="2"/>
  <c r="BF125" i="2"/>
  <c r="AX228" i="2"/>
  <c r="BF228" i="2"/>
  <c r="BN228" i="2"/>
  <c r="AW315" i="2"/>
  <c r="BE315" i="2"/>
  <c r="BM315" i="2"/>
  <c r="BI418" i="2"/>
  <c r="BQ418" i="2"/>
  <c r="BN45" i="2"/>
  <c r="AZ244" i="2"/>
  <c r="BD244" i="2"/>
  <c r="BM244" i="2"/>
  <c r="BE442" i="2"/>
  <c r="BQ442" i="2"/>
  <c r="AW97" i="2"/>
  <c r="BM97" i="2"/>
  <c r="AY192" i="2"/>
  <c r="BM192" i="2"/>
  <c r="BM295" i="2"/>
  <c r="BD390" i="2"/>
  <c r="BM390" i="2"/>
  <c r="BJ23" i="2"/>
  <c r="BP23" i="2"/>
  <c r="BP126" i="2"/>
  <c r="BB245" i="2"/>
  <c r="AZ21" i="2"/>
  <c r="BG29" i="2"/>
  <c r="BM29" i="2"/>
  <c r="BD124" i="2"/>
  <c r="BF219" i="2"/>
  <c r="BM219" i="2"/>
  <c r="BJ425" i="2"/>
  <c r="BH346" i="2"/>
  <c r="BO346" i="2"/>
  <c r="BI441" i="2"/>
  <c r="BD199" i="2"/>
  <c r="BF294" i="2"/>
  <c r="BH294" i="2"/>
  <c r="BQ294" i="2"/>
  <c r="BI389" i="2"/>
  <c r="BP397" i="2"/>
  <c r="BI30" i="2"/>
  <c r="AZ125" i="2"/>
  <c r="BO125" i="2"/>
  <c r="BH220" i="2"/>
  <c r="BG228" i="2"/>
  <c r="BO228" i="2"/>
  <c r="BB418" i="2"/>
  <c r="BJ418" i="2"/>
  <c r="BR418" i="2"/>
  <c r="BN244" i="2"/>
  <c r="BE244" i="2"/>
  <c r="BQ244" i="2"/>
  <c r="BI442" i="2"/>
  <c r="BF442" i="2"/>
  <c r="BR442" i="2"/>
  <c r="BC192" i="2"/>
  <c r="BP192" i="2"/>
  <c r="BB295" i="2"/>
  <c r="BM245" i="2"/>
  <c r="BG245" i="2"/>
  <c r="AX296" i="2"/>
  <c r="BA21" i="2"/>
  <c r="BO21" i="2"/>
  <c r="AZ29" i="2"/>
  <c r="BN29" i="2"/>
  <c r="AY124" i="2"/>
  <c r="BE124" i="2"/>
  <c r="BN124" i="2"/>
  <c r="AY219" i="2"/>
  <c r="BG219" i="2"/>
  <c r="BN219" i="2"/>
  <c r="AV346" i="2"/>
  <c r="BL346" i="2"/>
  <c r="BI346" i="2"/>
  <c r="BM441" i="2"/>
  <c r="BC441" i="2"/>
  <c r="BN441" i="2"/>
  <c r="BJ294" i="2"/>
  <c r="BP294" i="2"/>
  <c r="AX397" i="2"/>
  <c r="BD397" i="2"/>
  <c r="BR397" i="2"/>
  <c r="AW393" i="2"/>
  <c r="BM442" i="2"/>
  <c r="AV442" i="2"/>
  <c r="BF295" i="2"/>
  <c r="BL295" i="2"/>
  <c r="BP295" i="2"/>
  <c r="AW395" i="2"/>
  <c r="BQ317" i="2"/>
  <c r="BA25" i="2"/>
  <c r="BH25" i="2"/>
  <c r="BR25" i="2"/>
  <c r="BH215" i="2"/>
  <c r="BG223" i="2"/>
  <c r="BC445" i="2"/>
  <c r="BD290" i="2"/>
  <c r="BB290" i="2"/>
  <c r="BD298" i="2"/>
  <c r="BR298" i="2"/>
  <c r="BE393" i="2"/>
  <c r="BC393" i="2"/>
  <c r="BP393" i="2"/>
  <c r="BR395" i="2"/>
  <c r="BP121" i="2"/>
  <c r="BO343" i="2"/>
  <c r="BN394" i="2"/>
  <c r="BG27" i="2"/>
  <c r="BF122" i="2"/>
  <c r="BO122" i="2"/>
  <c r="BM28" i="2"/>
  <c r="BA416" i="2"/>
  <c r="BQ416" i="2"/>
  <c r="BE198" i="2"/>
  <c r="BB21" i="2"/>
  <c r="BI29" i="2"/>
  <c r="AZ124" i="2"/>
  <c r="BF124" i="2"/>
  <c r="BO124" i="2"/>
  <c r="AZ219" i="2"/>
  <c r="BH219" i="2"/>
  <c r="BO219" i="2"/>
  <c r="BP346" i="2"/>
  <c r="BM346" i="2"/>
  <c r="AW294" i="2"/>
  <c r="BR294" i="2"/>
  <c r="BB244" i="2"/>
  <c r="BH244" i="2"/>
  <c r="BD442" i="2"/>
  <c r="BL442" i="2"/>
  <c r="BR292" i="2"/>
  <c r="BC317" i="2"/>
  <c r="BB325" i="2"/>
  <c r="BQ325" i="2"/>
  <c r="BN444" i="2"/>
  <c r="BI215" i="2"/>
  <c r="BE421" i="2"/>
  <c r="BM421" i="2"/>
  <c r="BF290" i="2"/>
  <c r="BF298" i="2"/>
  <c r="BG393" i="2"/>
  <c r="BR393" i="2"/>
  <c r="BQ122" i="2"/>
  <c r="BQ26" i="2"/>
  <c r="BA121" i="2"/>
  <c r="BR121" i="2"/>
  <c r="BA129" i="2"/>
  <c r="BR129" i="2"/>
  <c r="BP216" i="2"/>
  <c r="AZ224" i="2"/>
  <c r="BH224" i="2"/>
  <c r="BO224" i="2"/>
  <c r="BM327" i="2"/>
  <c r="BE414" i="2"/>
  <c r="BE93" i="2"/>
  <c r="BG196" i="2"/>
  <c r="BE196" i="2"/>
  <c r="BL291" i="2"/>
  <c r="BM394" i="2"/>
  <c r="BH27" i="2"/>
  <c r="BR27" i="2"/>
  <c r="AZ122" i="2"/>
  <c r="BG122" i="2"/>
  <c r="BP122" i="2"/>
  <c r="BH217" i="2"/>
  <c r="BN146" i="2"/>
  <c r="BD123" i="2"/>
  <c r="BM123" i="2"/>
  <c r="BC218" i="2"/>
  <c r="BE218" i="2"/>
  <c r="BR416" i="2"/>
  <c r="BC21" i="2"/>
  <c r="BB29" i="2"/>
  <c r="BJ29" i="2"/>
  <c r="BP29" i="2"/>
  <c r="BA124" i="2"/>
  <c r="BG124" i="2"/>
  <c r="BI219" i="2"/>
  <c r="BP219" i="2"/>
  <c r="BA346" i="2"/>
  <c r="BQ346" i="2"/>
  <c r="AX441" i="2"/>
  <c r="BD441" i="2"/>
  <c r="BH441" i="2"/>
  <c r="BO294" i="2"/>
  <c r="BB228" i="2"/>
  <c r="BJ228" i="2"/>
  <c r="BR228" i="2"/>
  <c r="AW418" i="2"/>
  <c r="BE418" i="2"/>
  <c r="BF244" i="2"/>
  <c r="BO244" i="2"/>
  <c r="BL244" i="2"/>
  <c r="AX442" i="2"/>
  <c r="BJ442" i="2"/>
  <c r="BP442" i="2"/>
  <c r="BA295" i="2"/>
  <c r="BC295" i="2"/>
  <c r="BO295" i="2"/>
  <c r="BF193" i="2"/>
  <c r="BJ288" i="2"/>
  <c r="BL94" i="2"/>
  <c r="BK94" i="2"/>
  <c r="BC292" i="2"/>
  <c r="AW222" i="2"/>
  <c r="BE222" i="2"/>
  <c r="BM222" i="2"/>
  <c r="BB25" i="2"/>
  <c r="BJ25" i="2"/>
  <c r="BB215" i="2"/>
  <c r="BJ215" i="2"/>
  <c r="BR215" i="2"/>
  <c r="AZ223" i="2"/>
  <c r="BR421" i="2"/>
  <c r="BO144" i="2"/>
  <c r="BJ247" i="2"/>
  <c r="BE445" i="2"/>
  <c r="BM445" i="2"/>
  <c r="BG92" i="2"/>
  <c r="BQ92" i="2"/>
  <c r="BL290" i="2"/>
  <c r="BL298" i="2"/>
  <c r="BN395" i="2"/>
  <c r="BB26" i="2"/>
  <c r="BJ26" i="2"/>
  <c r="BI121" i="2"/>
  <c r="BM216" i="2"/>
  <c r="BI216" i="2"/>
  <c r="BA224" i="2"/>
  <c r="BI224" i="2"/>
  <c r="BP224" i="2"/>
  <c r="BM414" i="2"/>
  <c r="AX343" i="2"/>
  <c r="AV343" i="2"/>
  <c r="BN343" i="2"/>
  <c r="BK93" i="2"/>
  <c r="BI93" i="2"/>
  <c r="BC394" i="2"/>
  <c r="BL27" i="2"/>
  <c r="BQ27" i="2"/>
  <c r="BA122" i="2"/>
  <c r="BH122" i="2"/>
  <c r="BR122" i="2"/>
  <c r="BA217" i="2"/>
  <c r="AY28" i="2"/>
  <c r="BF28" i="2"/>
  <c r="BQ28" i="2"/>
  <c r="BI95" i="2"/>
  <c r="BC29" i="2"/>
  <c r="BK29" i="2"/>
  <c r="BB219" i="2"/>
  <c r="BJ219" i="2"/>
  <c r="BQ219" i="2"/>
  <c r="AX346" i="2"/>
  <c r="AY346" i="2"/>
  <c r="BR346" i="2"/>
  <c r="BQ441" i="2"/>
  <c r="BG441" i="2"/>
  <c r="BL441" i="2"/>
  <c r="BE294" i="2"/>
  <c r="BG294" i="2"/>
  <c r="BO397" i="2"/>
  <c r="BC125" i="2"/>
  <c r="BK125" i="2"/>
  <c r="BN418" i="2"/>
  <c r="BP244" i="2"/>
  <c r="BE295" i="2"/>
  <c r="BM23" i="2"/>
  <c r="BF126" i="2"/>
  <c r="BM126" i="2"/>
  <c r="BF245" i="2"/>
  <c r="BJ193" i="2"/>
  <c r="BM296" i="2"/>
  <c r="BB94" i="2"/>
  <c r="BO189" i="2"/>
  <c r="BG292" i="2"/>
  <c r="BN292" i="2"/>
  <c r="BE317" i="2"/>
  <c r="BM317" i="2"/>
  <c r="BB246" i="2"/>
  <c r="AZ246" i="2"/>
  <c r="BL246" i="2"/>
  <c r="AZ194" i="2"/>
  <c r="R169" i="10"/>
  <c r="R170" i="10"/>
  <c r="R176" i="10"/>
  <c r="U169" i="10"/>
  <c r="AG216" i="10" s="1"/>
  <c r="AW287" i="2"/>
  <c r="BA90" i="2"/>
  <c r="W201" i="2"/>
  <c r="W399" i="2"/>
  <c r="AP201" i="2"/>
  <c r="AP203" i="2" s="1"/>
  <c r="AE201" i="2"/>
  <c r="AD157" i="35" s="1"/>
  <c r="Y201" i="2"/>
  <c r="Y203" i="2" s="1"/>
  <c r="AP187" i="2"/>
  <c r="AD474" i="35" s="1"/>
  <c r="AP399" i="2"/>
  <c r="AF168" i="35" s="1"/>
  <c r="AP385" i="2"/>
  <c r="AF474" i="35" s="1"/>
  <c r="AD300" i="2"/>
  <c r="AE156" i="35" s="1"/>
  <c r="AJ399" i="2"/>
  <c r="AJ401" i="2" s="1"/>
  <c r="AS187" i="5"/>
  <c r="AD477" i="36" s="1"/>
  <c r="AS230" i="5"/>
  <c r="P171" i="36" s="1"/>
  <c r="P198" i="36" s="1"/>
  <c r="AC201" i="2"/>
  <c r="AD155" i="35" s="1"/>
  <c r="AR201" i="2"/>
  <c r="AD170" i="35" s="1"/>
  <c r="AE300" i="2"/>
  <c r="AE157" i="35" s="1"/>
  <c r="AC300" i="2"/>
  <c r="AC539" i="2" s="1"/>
  <c r="AB201" i="2"/>
  <c r="AD154" i="35" s="1"/>
  <c r="AA399" i="2"/>
  <c r="AA540" i="2" s="1"/>
  <c r="AW120" i="2"/>
  <c r="AD187" i="2"/>
  <c r="AD462" i="35" s="1"/>
  <c r="BP444" i="2"/>
  <c r="BN440" i="2"/>
  <c r="BG444" i="2"/>
  <c r="BJ440" i="2"/>
  <c r="AX440" i="2"/>
  <c r="BL444" i="2"/>
  <c r="BJ444" i="2"/>
  <c r="AV440" i="2"/>
  <c r="BQ444" i="2"/>
  <c r="AX444" i="2"/>
  <c r="BL440" i="2"/>
  <c r="BK440" i="2"/>
  <c r="BM440" i="2"/>
  <c r="BC440" i="2"/>
  <c r="BK444" i="2"/>
  <c r="AV444" i="2"/>
  <c r="BR440" i="2"/>
  <c r="BI444" i="2"/>
  <c r="BD444" i="2"/>
  <c r="BI440" i="2"/>
  <c r="BB440" i="2"/>
  <c r="BH440" i="2"/>
  <c r="BF444" i="2"/>
  <c r="BF440" i="2"/>
  <c r="BB444" i="2"/>
  <c r="BG440" i="2"/>
  <c r="BA440" i="2"/>
  <c r="BD440" i="2"/>
  <c r="BR444" i="2"/>
  <c r="AY444" i="2"/>
  <c r="BH442" i="2"/>
  <c r="BE440" i="2"/>
  <c r="BO440" i="2"/>
  <c r="BE444" i="2"/>
  <c r="AW444" i="2"/>
  <c r="BP440" i="2"/>
  <c r="BQ419" i="2"/>
  <c r="Z399" i="2"/>
  <c r="Z540" i="2" s="1"/>
  <c r="BH390" i="2"/>
  <c r="BQ390" i="2"/>
  <c r="BL390" i="2"/>
  <c r="V252" i="35"/>
  <c r="V253" i="35"/>
  <c r="V238" i="35"/>
  <c r="V243" i="35"/>
  <c r="V244" i="35"/>
  <c r="O380" i="35"/>
  <c r="V249" i="35"/>
  <c r="T392" i="35"/>
  <c r="V250" i="35"/>
  <c r="V241" i="35"/>
  <c r="V248" i="35"/>
  <c r="V247" i="35"/>
  <c r="V251" i="35"/>
  <c r="V242" i="35"/>
  <c r="V246" i="35"/>
  <c r="V239" i="35"/>
  <c r="V240" i="35"/>
  <c r="BR315" i="2"/>
  <c r="BI314" i="2"/>
  <c r="BQ314" i="2"/>
  <c r="BJ322" i="2"/>
  <c r="BD314" i="2"/>
  <c r="BE322" i="2"/>
  <c r="BF322" i="2"/>
  <c r="AY322" i="2"/>
  <c r="BL294" i="2"/>
  <c r="AW220" i="2"/>
  <c r="AY227" i="2"/>
  <c r="BG125" i="2"/>
  <c r="AW99" i="2"/>
  <c r="BM91" i="2"/>
  <c r="N244" i="35"/>
  <c r="BI21" i="2"/>
  <c r="BJ21" i="2"/>
  <c r="BR227" i="2"/>
  <c r="BO193" i="2"/>
  <c r="BO128" i="2"/>
  <c r="BM128" i="2"/>
  <c r="BE128" i="2"/>
  <c r="AZ120" i="2"/>
  <c r="BK128" i="2"/>
  <c r="BI128" i="2"/>
  <c r="BG128" i="2"/>
  <c r="AZ128" i="2"/>
  <c r="AX120" i="2"/>
  <c r="BF120" i="2"/>
  <c r="BC128" i="2"/>
  <c r="BA120" i="2"/>
  <c r="AX128" i="2"/>
  <c r="BQ120" i="2"/>
  <c r="BR120" i="2"/>
  <c r="BQ128" i="2"/>
  <c r="BR128" i="2"/>
  <c r="BP128" i="2"/>
  <c r="BN128" i="2"/>
  <c r="BH128" i="2"/>
  <c r="BD120" i="2"/>
  <c r="AY120" i="2"/>
  <c r="BB120" i="2"/>
  <c r="AV128" i="2"/>
  <c r="BP98" i="2"/>
  <c r="AW98" i="2"/>
  <c r="BQ98" i="2"/>
  <c r="BM98" i="2"/>
  <c r="BL98" i="2"/>
  <c r="BB98" i="2"/>
  <c r="AV98" i="2"/>
  <c r="AY98" i="2"/>
  <c r="BF98" i="2"/>
  <c r="BC98" i="2"/>
  <c r="BR98" i="2"/>
  <c r="BN98" i="2"/>
  <c r="AZ98" i="2"/>
  <c r="AX98" i="2"/>
  <c r="BN99" i="2"/>
  <c r="BO98" i="2"/>
  <c r="BK98" i="2"/>
  <c r="BA98" i="2"/>
  <c r="BD98" i="2"/>
  <c r="BI98" i="2"/>
  <c r="BJ98" i="2"/>
  <c r="AY46" i="2"/>
  <c r="BP21" i="2"/>
  <c r="BN30" i="2"/>
  <c r="BQ23" i="2"/>
  <c r="BB30" i="2"/>
  <c r="N248" i="35"/>
  <c r="BF30" i="2"/>
  <c r="AW30" i="2"/>
  <c r="BO30" i="2"/>
  <c r="BH30" i="2"/>
  <c r="AZ30" i="2"/>
  <c r="BL30" i="2"/>
  <c r="AY30" i="2"/>
  <c r="AX30" i="2"/>
  <c r="BC30" i="2"/>
  <c r="BP30" i="2"/>
  <c r="BM30" i="2"/>
  <c r="AV30" i="2"/>
  <c r="AW21" i="2"/>
  <c r="BE21" i="2"/>
  <c r="BR21" i="2"/>
  <c r="BM124" i="2"/>
  <c r="BI124" i="2"/>
  <c r="BI417" i="2"/>
  <c r="BQ417" i="2"/>
  <c r="AZ425" i="2"/>
  <c r="AY148" i="2"/>
  <c r="BD148" i="2"/>
  <c r="BO148" i="2"/>
  <c r="BK296" i="2"/>
  <c r="BP94" i="2"/>
  <c r="BP189" i="2"/>
  <c r="BQ91" i="2"/>
  <c r="AX215" i="2"/>
  <c r="BP144" i="2"/>
  <c r="AX121" i="2"/>
  <c r="BN121" i="2"/>
  <c r="BA192" i="2"/>
  <c r="AZ324" i="2"/>
  <c r="BO120" i="2"/>
  <c r="BN144" i="2"/>
  <c r="AZ228" i="2"/>
  <c r="BR192" i="2"/>
  <c r="BI324" i="2"/>
  <c r="AW245" i="2"/>
  <c r="BK245" i="2"/>
  <c r="BG120" i="2"/>
  <c r="BP120" i="2"/>
  <c r="BG144" i="2"/>
  <c r="BC93" i="2"/>
  <c r="AR51" i="5"/>
  <c r="S170" i="36" s="1"/>
  <c r="S197" i="36" s="1"/>
  <c r="AH208" i="5"/>
  <c r="P466" i="36" s="1"/>
  <c r="BD30" i="2"/>
  <c r="AX94" i="2"/>
  <c r="AV246" i="2"/>
  <c r="BM326" i="2"/>
  <c r="BB92" i="2"/>
  <c r="AG162" i="10"/>
  <c r="AH162" i="10" s="1"/>
  <c r="AI162" i="10" s="1"/>
  <c r="BO209" i="5"/>
  <c r="AZ441" i="2"/>
  <c r="BJ441" i="2"/>
  <c r="BK397" i="2"/>
  <c r="AZ397" i="2"/>
  <c r="AX22" i="2"/>
  <c r="BB391" i="2"/>
  <c r="BF91" i="2"/>
  <c r="AY316" i="2"/>
  <c r="BC120" i="2"/>
  <c r="AW191" i="2"/>
  <c r="BK24" i="2"/>
  <c r="BB119" i="2"/>
  <c r="BE195" i="2"/>
  <c r="AY96" i="2"/>
  <c r="BP197" i="2"/>
  <c r="BM147" i="2"/>
  <c r="BH147" i="2"/>
  <c r="AV197" i="2"/>
  <c r="BM226" i="2"/>
  <c r="BC22" i="2"/>
  <c r="BP226" i="2"/>
  <c r="BR226" i="2"/>
  <c r="BO226" i="2"/>
  <c r="BJ190" i="2"/>
  <c r="BK22" i="2"/>
  <c r="BL289" i="2"/>
  <c r="BC289" i="2"/>
  <c r="BF190" i="2"/>
  <c r="AX197" i="2"/>
  <c r="AV190" i="2"/>
  <c r="AW190" i="2"/>
  <c r="BR194" i="2"/>
  <c r="BN222" i="2"/>
  <c r="BK425" i="2"/>
  <c r="BR425" i="2"/>
  <c r="BQ422" i="2"/>
  <c r="BO422" i="2"/>
  <c r="BM422" i="2"/>
  <c r="BK422" i="2"/>
  <c r="AZ422" i="2"/>
  <c r="AV422" i="2"/>
  <c r="AZ147" i="2"/>
  <c r="BL221" i="2"/>
  <c r="BP423" i="2"/>
  <c r="BH423" i="2"/>
  <c r="BF391" i="2"/>
  <c r="AX423" i="2"/>
  <c r="BA391" i="2"/>
  <c r="BL391" i="2"/>
  <c r="AY391" i="2"/>
  <c r="AV147" i="2"/>
  <c r="BK197" i="2"/>
  <c r="BI197" i="2"/>
  <c r="BI22" i="2"/>
  <c r="BB226" i="2"/>
  <c r="AW22" i="2"/>
  <c r="BO190" i="2"/>
  <c r="BJ289" i="2"/>
  <c r="BK190" i="2"/>
  <c r="AW226" i="2"/>
  <c r="BB190" i="2"/>
  <c r="BI226" i="2"/>
  <c r="BG147" i="2"/>
  <c r="BO222" i="2"/>
  <c r="BL425" i="2"/>
  <c r="AV194" i="2"/>
  <c r="BF222" i="2"/>
  <c r="BE425" i="2"/>
  <c r="BB222" i="2"/>
  <c r="BA425" i="2"/>
  <c r="AX222" i="2"/>
  <c r="AW425" i="2"/>
  <c r="BK194" i="2"/>
  <c r="BH422" i="2"/>
  <c r="BF422" i="2"/>
  <c r="BD422" i="2"/>
  <c r="AX221" i="2"/>
  <c r="BK423" i="2"/>
  <c r="BE423" i="2"/>
  <c r="BB423" i="2"/>
  <c r="BR391" i="2"/>
  <c r="BI46" i="2"/>
  <c r="AW391" i="2"/>
  <c r="BQ194" i="2"/>
  <c r="BP147" i="2"/>
  <c r="BN147" i="2"/>
  <c r="BF147" i="2"/>
  <c r="BN197" i="2"/>
  <c r="BL197" i="2"/>
  <c r="BA197" i="2"/>
  <c r="AW147" i="2"/>
  <c r="AW197" i="2"/>
  <c r="BL22" i="2"/>
  <c r="BH226" i="2"/>
  <c r="BK289" i="2"/>
  <c r="AZ190" i="2"/>
  <c r="BR289" i="2"/>
  <c r="AV289" i="2"/>
  <c r="BD190" i="2"/>
  <c r="AX226" i="2"/>
  <c r="BQ190" i="2"/>
  <c r="AX289" i="2"/>
  <c r="BH194" i="2"/>
  <c r="BP222" i="2"/>
  <c r="BM425" i="2"/>
  <c r="BG194" i="2"/>
  <c r="BG197" i="2"/>
  <c r="BB422" i="2"/>
  <c r="BJ221" i="2"/>
  <c r="AZ221" i="2"/>
  <c r="BN423" i="2"/>
  <c r="BI423" i="2"/>
  <c r="AY423" i="2"/>
  <c r="BC391" i="2"/>
  <c r="BP46" i="2"/>
  <c r="BA46" i="2"/>
  <c r="AX46" i="2"/>
  <c r="BG46" i="2"/>
  <c r="AW46" i="2"/>
  <c r="BJ395" i="2"/>
  <c r="BL147" i="2"/>
  <c r="BE197" i="2"/>
  <c r="AY147" i="2"/>
  <c r="BM197" i="2"/>
  <c r="BC147" i="2"/>
  <c r="BC197" i="2"/>
  <c r="BC226" i="2"/>
  <c r="BQ22" i="2"/>
  <c r="BQ289" i="2"/>
  <c r="BM190" i="2"/>
  <c r="BI289" i="2"/>
  <c r="BJ22" i="2"/>
  <c r="BG190" i="2"/>
  <c r="BM289" i="2"/>
  <c r="AY289" i="2"/>
  <c r="BO22" i="2"/>
  <c r="BE190" i="2"/>
  <c r="BC194" i="2"/>
  <c r="BP194" i="2"/>
  <c r="BE194" i="2"/>
  <c r="BQ222" i="2"/>
  <c r="BN425" i="2"/>
  <c r="BI222" i="2"/>
  <c r="BG222" i="2"/>
  <c r="BF425" i="2"/>
  <c r="BC222" i="2"/>
  <c r="BB425" i="2"/>
  <c r="AY222" i="2"/>
  <c r="AX425" i="2"/>
  <c r="AY422" i="2"/>
  <c r="AW422" i="2"/>
  <c r="BP221" i="2"/>
  <c r="BF221" i="2"/>
  <c r="BD221" i="2"/>
  <c r="BQ423" i="2"/>
  <c r="BI391" i="2"/>
  <c r="BF423" i="2"/>
  <c r="AY197" i="2"/>
  <c r="BF22" i="2"/>
  <c r="BA22" i="2"/>
  <c r="AV226" i="2"/>
  <c r="BI190" i="2"/>
  <c r="BF226" i="2"/>
  <c r="BP289" i="2"/>
  <c r="BH289" i="2"/>
  <c r="BE226" i="2"/>
  <c r="AZ22" i="2"/>
  <c r="BR190" i="2"/>
  <c r="BN289" i="2"/>
  <c r="BD226" i="2"/>
  <c r="AZ226" i="2"/>
  <c r="BA289" i="2"/>
  <c r="AX190" i="2"/>
  <c r="BA190" i="2"/>
  <c r="BC190" i="2"/>
  <c r="BL190" i="2"/>
  <c r="BO425" i="2"/>
  <c r="BJ222" i="2"/>
  <c r="BP422" i="2"/>
  <c r="BN422" i="2"/>
  <c r="BL422" i="2"/>
  <c r="BI422" i="2"/>
  <c r="AZ391" i="2"/>
  <c r="BR423" i="2"/>
  <c r="BK391" i="2"/>
  <c r="BL423" i="2"/>
  <c r="BC423" i="2"/>
  <c r="AZ423" i="2"/>
  <c r="BL46" i="2"/>
  <c r="BC46" i="2"/>
  <c r="BF199" i="2"/>
  <c r="BD223" i="2"/>
  <c r="BL223" i="2"/>
  <c r="AW445" i="2"/>
  <c r="BJ147" i="2"/>
  <c r="BD46" i="2"/>
  <c r="AX147" i="2"/>
  <c r="BD147" i="2"/>
  <c r="BD197" i="2"/>
  <c r="AY226" i="2"/>
  <c r="BE289" i="2"/>
  <c r="BB289" i="2"/>
  <c r="BD289" i="2"/>
  <c r="AW289" i="2"/>
  <c r="BH190" i="2"/>
  <c r="BE22" i="2"/>
  <c r="BR147" i="2"/>
  <c r="BP425" i="2"/>
  <c r="BK222" i="2"/>
  <c r="BH222" i="2"/>
  <c r="BG425" i="2"/>
  <c r="BD222" i="2"/>
  <c r="BC425" i="2"/>
  <c r="AZ222" i="2"/>
  <c r="AY425" i="2"/>
  <c r="AV222" i="2"/>
  <c r="BG422" i="2"/>
  <c r="BE422" i="2"/>
  <c r="BA422" i="2"/>
  <c r="BQ147" i="2"/>
  <c r="BM221" i="2"/>
  <c r="BK221" i="2"/>
  <c r="AY221" i="2"/>
  <c r="AW221" i="2"/>
  <c r="BO423" i="2"/>
  <c r="BG423" i="2"/>
  <c r="AV423" i="2"/>
  <c r="BP391" i="2"/>
  <c r="BD391" i="2"/>
  <c r="BJ46" i="2"/>
  <c r="BD227" i="2"/>
  <c r="BH445" i="2"/>
  <c r="BE391" i="2"/>
  <c r="BI147" i="2"/>
  <c r="BK147" i="2"/>
  <c r="BO197" i="2"/>
  <c r="BJ197" i="2"/>
  <c r="BB197" i="2"/>
  <c r="BH197" i="2"/>
  <c r="BJ226" i="2"/>
  <c r="BB22" i="2"/>
  <c r="BO289" i="2"/>
  <c r="BG289" i="2"/>
  <c r="BQ226" i="2"/>
  <c r="BA226" i="2"/>
  <c r="AY190" i="2"/>
  <c r="BQ425" i="2"/>
  <c r="BL222" i="2"/>
  <c r="BI425" i="2"/>
  <c r="AW194" i="2"/>
  <c r="BC422" i="2"/>
  <c r="BR422" i="2"/>
  <c r="BQ391" i="2"/>
  <c r="BQ221" i="2"/>
  <c r="BO221" i="2"/>
  <c r="BC221" i="2"/>
  <c r="BG391" i="2"/>
  <c r="BJ423" i="2"/>
  <c r="BJ391" i="2"/>
  <c r="AZ289" i="2"/>
  <c r="BN194" i="2"/>
  <c r="AV391" i="2"/>
  <c r="BH295" i="2"/>
  <c r="AY121" i="2"/>
  <c r="BF121" i="2"/>
  <c r="BI316" i="2"/>
  <c r="BG389" i="2"/>
  <c r="BM389" i="2"/>
  <c r="BR389" i="2"/>
  <c r="BE389" i="2"/>
  <c r="AX389" i="2"/>
  <c r="BN389" i="2"/>
  <c r="BA316" i="2"/>
  <c r="AV316" i="2"/>
  <c r="BR220" i="2"/>
  <c r="BM220" i="2"/>
  <c r="BF220" i="2"/>
  <c r="BO426" i="2"/>
  <c r="BH426" i="2"/>
  <c r="BL389" i="2"/>
  <c r="BK389" i="2"/>
  <c r="BA389" i="2"/>
  <c r="BM426" i="2"/>
  <c r="BE316" i="2"/>
  <c r="AY426" i="2"/>
  <c r="BQ220" i="2"/>
  <c r="BG220" i="2"/>
  <c r="BJ426" i="2"/>
  <c r="BF389" i="2"/>
  <c r="BJ389" i="2"/>
  <c r="BD389" i="2"/>
  <c r="BQ316" i="2"/>
  <c r="BK316" i="2"/>
  <c r="BC316" i="2"/>
  <c r="BA426" i="2"/>
  <c r="BN220" i="2"/>
  <c r="BB220" i="2"/>
  <c r="AV220" i="2"/>
  <c r="BF426" i="2"/>
  <c r="BQ389" i="2"/>
  <c r="AZ389" i="2"/>
  <c r="BO316" i="2"/>
  <c r="BG426" i="2"/>
  <c r="BE426" i="2"/>
  <c r="AZ316" i="2"/>
  <c r="AX426" i="2"/>
  <c r="BO220" i="2"/>
  <c r="BC220" i="2"/>
  <c r="AX220" i="2"/>
  <c r="BD316" i="2"/>
  <c r="BQ426" i="2"/>
  <c r="AY389" i="2"/>
  <c r="AC425" i="35"/>
  <c r="AJ425" i="35"/>
  <c r="AV389" i="2"/>
  <c r="BH389" i="2"/>
  <c r="BI426" i="2"/>
  <c r="BB316" i="2"/>
  <c r="AZ426" i="2"/>
  <c r="AY220" i="2"/>
  <c r="AV426" i="2"/>
  <c r="BP426" i="2"/>
  <c r="BC389" i="2"/>
  <c r="BJ316" i="2"/>
  <c r="BP220" i="2"/>
  <c r="BL220" i="2"/>
  <c r="BI220" i="2"/>
  <c r="BD220" i="2"/>
  <c r="BR317" i="2"/>
  <c r="BB389" i="2"/>
  <c r="BL316" i="2"/>
  <c r="BP389" i="2"/>
  <c r="AW389" i="2"/>
  <c r="BP316" i="2"/>
  <c r="BR316" i="2"/>
  <c r="BH316" i="2"/>
  <c r="BF316" i="2"/>
  <c r="BD426" i="2"/>
  <c r="BB426" i="2"/>
  <c r="BE220" i="2"/>
  <c r="AZ220" i="2"/>
  <c r="BR96" i="2"/>
  <c r="BC124" i="2"/>
  <c r="BE219" i="2"/>
  <c r="BC417" i="2"/>
  <c r="BH243" i="2"/>
  <c r="BH96" i="2"/>
  <c r="BN125" i="2"/>
  <c r="BG442" i="2"/>
  <c r="AW192" i="2"/>
  <c r="BI126" i="2"/>
  <c r="BN419" i="2"/>
  <c r="BH245" i="2"/>
  <c r="AW443" i="2"/>
  <c r="BH98" i="2"/>
  <c r="BE193" i="2"/>
  <c r="BG193" i="2"/>
  <c r="BR197" i="2"/>
  <c r="BB292" i="2"/>
  <c r="BJ194" i="2"/>
  <c r="BD297" i="2"/>
  <c r="BD392" i="2"/>
  <c r="BF25" i="2"/>
  <c r="BM393" i="2"/>
  <c r="BL387" i="2"/>
  <c r="BJ388" i="2"/>
  <c r="BG319" i="2"/>
  <c r="BA319" i="2"/>
  <c r="AV345" i="2"/>
  <c r="AY119" i="2"/>
  <c r="BL20" i="2"/>
  <c r="BK345" i="2"/>
  <c r="BL345" i="2"/>
  <c r="BM243" i="2"/>
  <c r="BR195" i="2"/>
  <c r="AZ319" i="2"/>
  <c r="BQ319" i="2"/>
  <c r="BE293" i="2"/>
  <c r="BH323" i="2"/>
  <c r="BA320" i="2"/>
  <c r="AV388" i="2"/>
  <c r="BC396" i="2"/>
  <c r="BD387" i="2"/>
  <c r="BB293" i="2"/>
  <c r="AZ323" i="2"/>
  <c r="BJ320" i="2"/>
  <c r="BO388" i="2"/>
  <c r="BQ323" i="2"/>
  <c r="BP323" i="2"/>
  <c r="BO323" i="2"/>
  <c r="BN323" i="2"/>
  <c r="BM323" i="2"/>
  <c r="BL323" i="2"/>
  <c r="BK323" i="2"/>
  <c r="BJ323" i="2"/>
  <c r="BI323" i="2"/>
  <c r="AZ336" i="5"/>
  <c r="BR320" i="2"/>
  <c r="BG24" i="2"/>
  <c r="BH21" i="2"/>
  <c r="BN21" i="2"/>
  <c r="AY29" i="2"/>
  <c r="BR124" i="2"/>
  <c r="BE346" i="2"/>
  <c r="BM199" i="2"/>
  <c r="BP22" i="2"/>
  <c r="BR221" i="2"/>
  <c r="BO391" i="2"/>
  <c r="BM194" i="2"/>
  <c r="BG215" i="2"/>
  <c r="BO215" i="2"/>
  <c r="BA393" i="2"/>
  <c r="BH29" i="2"/>
  <c r="BO223" i="2"/>
  <c r="BA29" i="2"/>
  <c r="BO29" i="2"/>
  <c r="AZ346" i="2"/>
  <c r="AY294" i="2"/>
  <c r="BI228" i="2"/>
  <c r="BQ228" i="2"/>
  <c r="BO192" i="2"/>
  <c r="AY295" i="2"/>
  <c r="BR295" i="2"/>
  <c r="BB324" i="2"/>
  <c r="BA419" i="2"/>
  <c r="BA219" i="2"/>
  <c r="BO199" i="2"/>
  <c r="BA294" i="2"/>
  <c r="BC294" i="2"/>
  <c r="BN25" i="2"/>
  <c r="BE215" i="2"/>
  <c r="BH247" i="2"/>
  <c r="BG395" i="2"/>
  <c r="BB127" i="2"/>
  <c r="BJ127" i="2"/>
  <c r="AV318" i="2"/>
  <c r="BK396" i="2"/>
  <c r="AV396" i="2"/>
  <c r="BD388" i="2"/>
  <c r="BG318" i="2"/>
  <c r="BA388" i="2"/>
  <c r="BI20" i="2"/>
  <c r="BK20" i="2"/>
  <c r="BJ387" i="2"/>
  <c r="BH20" i="2"/>
  <c r="BH388" i="2"/>
  <c r="BK195" i="2"/>
  <c r="BR345" i="2"/>
  <c r="BH293" i="2"/>
  <c r="BI345" i="2"/>
  <c r="BK293" i="2"/>
  <c r="BJ345" i="2"/>
  <c r="BA323" i="2"/>
  <c r="AW387" i="2"/>
  <c r="BP320" i="2"/>
  <c r="BM119" i="2"/>
  <c r="BL320" i="2"/>
  <c r="BG127" i="2"/>
  <c r="BF320" i="2"/>
  <c r="BC127" i="2"/>
  <c r="AY127" i="2"/>
  <c r="AW320" i="2"/>
  <c r="BH24" i="2"/>
  <c r="AV24" i="2"/>
  <c r="BD24" i="2"/>
  <c r="BC119" i="2"/>
  <c r="BK127" i="2"/>
  <c r="BI195" i="2"/>
  <c r="AX298" i="2"/>
  <c r="BP298" i="2"/>
  <c r="BC387" i="2"/>
  <c r="BH318" i="2"/>
  <c r="BP396" i="2"/>
  <c r="BJ318" i="2"/>
  <c r="BR318" i="2"/>
  <c r="BO396" i="2"/>
  <c r="BI388" i="2"/>
  <c r="BB318" i="2"/>
  <c r="BD396" i="2"/>
  <c r="BR388" i="2"/>
  <c r="BG388" i="2"/>
  <c r="BA396" i="2"/>
  <c r="BR20" i="2"/>
  <c r="BR319" i="2"/>
  <c r="BE20" i="2"/>
  <c r="AZ20" i="2"/>
  <c r="AY20" i="2"/>
  <c r="BL319" i="2"/>
  <c r="BB396" i="2"/>
  <c r="AX387" i="2"/>
  <c r="BJ293" i="2"/>
  <c r="AZ195" i="2"/>
  <c r="BG345" i="2"/>
  <c r="BH345" i="2"/>
  <c r="BM293" i="2"/>
  <c r="BB323" i="2"/>
  <c r="BB320" i="2"/>
  <c r="AX320" i="2"/>
  <c r="BM24" i="2"/>
  <c r="BQ243" i="2"/>
  <c r="AW417" i="2"/>
  <c r="BE417" i="2"/>
  <c r="BQ195" i="2"/>
  <c r="AW293" i="2"/>
  <c r="AW24" i="2"/>
  <c r="BE24" i="2"/>
  <c r="BL24" i="2"/>
  <c r="BD119" i="2"/>
  <c r="BR119" i="2"/>
  <c r="AZ215" i="2"/>
  <c r="BP215" i="2"/>
  <c r="BP445" i="2"/>
  <c r="BL100" i="2"/>
  <c r="BR290" i="2"/>
  <c r="AZ121" i="2"/>
  <c r="BG121" i="2"/>
  <c r="AZ129" i="2"/>
  <c r="AX318" i="2"/>
  <c r="BM318" i="2"/>
  <c r="BM396" i="2"/>
  <c r="BC318" i="2"/>
  <c r="BE388" i="2"/>
  <c r="AY396" i="2"/>
  <c r="BR396" i="2"/>
  <c r="BG396" i="2"/>
  <c r="BN345" i="2"/>
  <c r="BG387" i="2"/>
  <c r="BN387" i="2"/>
  <c r="BF20" i="2"/>
  <c r="BI387" i="2"/>
  <c r="BD20" i="2"/>
  <c r="BB387" i="2"/>
  <c r="BM319" i="2"/>
  <c r="AZ318" i="2"/>
  <c r="BE345" i="2"/>
  <c r="AW345" i="2"/>
  <c r="BD345" i="2"/>
  <c r="BP293" i="2"/>
  <c r="BC345" i="2"/>
  <c r="BR323" i="2"/>
  <c r="BG293" i="2"/>
  <c r="BF345" i="2"/>
  <c r="BC323" i="2"/>
  <c r="BA293" i="2"/>
  <c r="BM20" i="2"/>
  <c r="BQ320" i="2"/>
  <c r="BN119" i="2"/>
  <c r="BM320" i="2"/>
  <c r="BJ119" i="2"/>
  <c r="BH127" i="2"/>
  <c r="BD127" i="2"/>
  <c r="AZ119" i="2"/>
  <c r="AY320" i="2"/>
  <c r="BA195" i="2"/>
  <c r="BN24" i="2"/>
  <c r="BI24" i="2"/>
  <c r="AZ293" i="2"/>
  <c r="AX417" i="2"/>
  <c r="BF417" i="2"/>
  <c r="BM148" i="2"/>
  <c r="BD22" i="2"/>
  <c r="BA220" i="2"/>
  <c r="BJ220" i="2"/>
  <c r="BC426" i="2"/>
  <c r="BK426" i="2"/>
  <c r="BK244" i="2"/>
  <c r="BB126" i="2"/>
  <c r="BB221" i="2"/>
  <c r="AV245" i="2"/>
  <c r="BC245" i="2"/>
  <c r="AX24" i="2"/>
  <c r="BF24" i="2"/>
  <c r="BE119" i="2"/>
  <c r="BL127" i="2"/>
  <c r="BK317" i="2"/>
  <c r="BF289" i="2"/>
  <c r="AW392" i="2"/>
  <c r="BL25" i="2"/>
  <c r="BI25" i="2"/>
  <c r="BQ25" i="2"/>
  <c r="BH120" i="2"/>
  <c r="BA215" i="2"/>
  <c r="BP223" i="2"/>
  <c r="BC144" i="2"/>
  <c r="AY247" i="2"/>
  <c r="BF247" i="2"/>
  <c r="BD445" i="2"/>
  <c r="BA92" i="2"/>
  <c r="BO92" i="2"/>
  <c r="BR100" i="2"/>
  <c r="AX195" i="2"/>
  <c r="BO298" i="2"/>
  <c r="BI393" i="2"/>
  <c r="BH395" i="2"/>
  <c r="BA216" i="2"/>
  <c r="AX388" i="2"/>
  <c r="BE396" i="2"/>
  <c r="BN318" i="2"/>
  <c r="BB319" i="2"/>
  <c r="BP319" i="2"/>
  <c r="BR387" i="2"/>
  <c r="AW319" i="2"/>
  <c r="BD319" i="2"/>
  <c r="BA20" i="2"/>
  <c r="BO20" i="2"/>
  <c r="BF319" i="2"/>
  <c r="AW20" i="2"/>
  <c r="BF387" i="2"/>
  <c r="AX319" i="2"/>
  <c r="AW195" i="2"/>
  <c r="AY195" i="2"/>
  <c r="AY293" i="2"/>
  <c r="BB345" i="2"/>
  <c r="BD323" i="2"/>
  <c r="AV323" i="2"/>
  <c r="BI127" i="2"/>
  <c r="BG320" i="2"/>
  <c r="BC320" i="2"/>
  <c r="AV119" i="2"/>
  <c r="BQ127" i="2"/>
  <c r="BD195" i="2"/>
  <c r="BR24" i="2"/>
  <c r="BQ24" i="2"/>
  <c r="BO24" i="2"/>
  <c r="BA345" i="2"/>
  <c r="BJ195" i="2"/>
  <c r="BK21" i="2"/>
  <c r="AY417" i="2"/>
  <c r="BG417" i="2"/>
  <c r="BF397" i="2"/>
  <c r="BL397" i="2"/>
  <c r="BR22" i="2"/>
  <c r="BC126" i="2"/>
  <c r="AV221" i="2"/>
  <c r="AY24" i="2"/>
  <c r="BF119" i="2"/>
  <c r="BF127" i="2"/>
  <c r="BM127" i="2"/>
  <c r="BB420" i="2"/>
  <c r="BI194" i="2"/>
  <c r="BA297" i="2"/>
  <c r="BC297" i="2"/>
  <c r="BA392" i="2"/>
  <c r="BQ392" i="2"/>
  <c r="BI223" i="2"/>
  <c r="BO318" i="2"/>
  <c r="AW421" i="2"/>
  <c r="BF421" i="2"/>
  <c r="BO247" i="2"/>
  <c r="BJ445" i="2"/>
  <c r="BC100" i="2"/>
  <c r="BO195" i="2"/>
  <c r="BJ298" i="2"/>
  <c r="BN298" i="2"/>
  <c r="BL121" i="2"/>
  <c r="BB129" i="2"/>
  <c r="BI318" i="2"/>
  <c r="BL318" i="2"/>
  <c r="BC24" i="2"/>
  <c r="BM388" i="2"/>
  <c r="BL396" i="2"/>
  <c r="BP388" i="2"/>
  <c r="AW318" i="2"/>
  <c r="BJ396" i="2"/>
  <c r="AW388" i="2"/>
  <c r="BC319" i="2"/>
  <c r="BH319" i="2"/>
  <c r="AV20" i="2"/>
  <c r="BE387" i="2"/>
  <c r="BP20" i="2"/>
  <c r="BE319" i="2"/>
  <c r="BP387" i="2"/>
  <c r="BB20" i="2"/>
  <c r="AX20" i="2"/>
  <c r="AY319" i="2"/>
  <c r="BG20" i="2"/>
  <c r="BO387" i="2"/>
  <c r="BG195" i="2"/>
  <c r="BC195" i="2"/>
  <c r="AY345" i="2"/>
  <c r="AX293" i="2"/>
  <c r="BD293" i="2"/>
  <c r="BQ345" i="2"/>
  <c r="BI293" i="2"/>
  <c r="BE323" i="2"/>
  <c r="AW323" i="2"/>
  <c r="BO119" i="2"/>
  <c r="BN320" i="2"/>
  <c r="BK119" i="2"/>
  <c r="BE127" i="2"/>
  <c r="BD320" i="2"/>
  <c r="BA119" i="2"/>
  <c r="AZ320" i="2"/>
  <c r="AW119" i="2"/>
  <c r="AV127" i="2"/>
  <c r="BP24" i="2"/>
  <c r="BJ24" i="2"/>
  <c r="BF195" i="2"/>
  <c r="AZ417" i="2"/>
  <c r="BH417" i="2"/>
  <c r="BE30" i="2"/>
  <c r="AX418" i="2"/>
  <c r="BA45" i="2"/>
  <c r="BG23" i="2"/>
  <c r="BQ245" i="2"/>
  <c r="BL193" i="2"/>
  <c r="AZ24" i="2"/>
  <c r="BG119" i="2"/>
  <c r="BN127" i="2"/>
  <c r="BC420" i="2"/>
  <c r="AX194" i="2"/>
  <c r="BE392" i="2"/>
  <c r="BA223" i="2"/>
  <c r="BJ223" i="2"/>
  <c r="BA318" i="2"/>
  <c r="BP318" i="2"/>
  <c r="BH195" i="2"/>
  <c r="BN195" i="2"/>
  <c r="BN396" i="2"/>
  <c r="BI396" i="2"/>
  <c r="BF396" i="2"/>
  <c r="AX396" i="2"/>
  <c r="AY388" i="2"/>
  <c r="AW396" i="2"/>
  <c r="BQ388" i="2"/>
  <c r="BN388" i="2"/>
  <c r="AZ388" i="2"/>
  <c r="BJ20" i="2"/>
  <c r="BN20" i="2"/>
  <c r="BK387" i="2"/>
  <c r="BN319" i="2"/>
  <c r="BC20" i="2"/>
  <c r="BK319" i="2"/>
  <c r="BI319" i="2"/>
  <c r="AZ387" i="2"/>
  <c r="BA387" i="2"/>
  <c r="BN293" i="2"/>
  <c r="BF293" i="2"/>
  <c r="BL293" i="2"/>
  <c r="BO345" i="2"/>
  <c r="AX345" i="2"/>
  <c r="BF323" i="2"/>
  <c r="AX323" i="2"/>
  <c r="AY318" i="2"/>
  <c r="BQ20" i="2"/>
  <c r="BH320" i="2"/>
  <c r="BA127" i="2"/>
  <c r="AX119" i="2"/>
  <c r="AW127" i="2"/>
  <c r="BR127" i="2"/>
  <c r="AV387" i="2"/>
  <c r="BB195" i="2"/>
  <c r="BF318" i="2"/>
  <c r="BP195" i="2"/>
  <c r="BL388" i="2"/>
  <c r="BB388" i="2"/>
  <c r="BK318" i="2"/>
  <c r="BE318" i="2"/>
  <c r="BD318" i="2"/>
  <c r="BH396" i="2"/>
  <c r="BQ396" i="2"/>
  <c r="BF388" i="2"/>
  <c r="BC388" i="2"/>
  <c r="AZ396" i="2"/>
  <c r="BJ319" i="2"/>
  <c r="BH387" i="2"/>
  <c r="BO319" i="2"/>
  <c r="BM387" i="2"/>
  <c r="AV319" i="2"/>
  <c r="AZ345" i="2"/>
  <c r="AV293" i="2"/>
  <c r="BR293" i="2"/>
  <c r="BC293" i="2"/>
  <c r="BM345" i="2"/>
  <c r="BO293" i="2"/>
  <c r="BP345" i="2"/>
  <c r="BQ293" i="2"/>
  <c r="BG323" i="2"/>
  <c r="AY323" i="2"/>
  <c r="BP119" i="2"/>
  <c r="BO320" i="2"/>
  <c r="BL119" i="2"/>
  <c r="BK320" i="2"/>
  <c r="BI320" i="2"/>
  <c r="BE320" i="2"/>
  <c r="AX127" i="2"/>
  <c r="BJ199" i="2"/>
  <c r="BE29" i="2"/>
  <c r="AV124" i="2"/>
  <c r="BB124" i="2"/>
  <c r="BB417" i="2"/>
  <c r="BR417" i="2"/>
  <c r="BN346" i="2"/>
  <c r="BF96" i="2"/>
  <c r="BI199" i="2"/>
  <c r="AX294" i="2"/>
  <c r="BN294" i="2"/>
  <c r="BC397" i="2"/>
  <c r="BM397" i="2"/>
  <c r="BH22" i="2"/>
  <c r="BN22" i="2"/>
  <c r="BH418" i="2"/>
  <c r="AZ442" i="2"/>
  <c r="BQ119" i="2"/>
  <c r="BH126" i="2"/>
  <c r="AW419" i="2"/>
  <c r="AV46" i="2"/>
  <c r="BI245" i="2"/>
  <c r="BR245" i="2"/>
  <c r="BH443" i="2"/>
  <c r="BM443" i="2"/>
  <c r="AX292" i="2"/>
  <c r="AY387" i="2"/>
  <c r="BQ387" i="2"/>
  <c r="BB24" i="2"/>
  <c r="BI119" i="2"/>
  <c r="BP127" i="2"/>
  <c r="BM195" i="2"/>
  <c r="BK297" i="2"/>
  <c r="S124" i="2"/>
  <c r="BQ124" i="2"/>
  <c r="AW243" i="2"/>
  <c r="BD243" i="2"/>
  <c r="BO96" i="2"/>
  <c r="BJ397" i="2"/>
  <c r="BR30" i="2"/>
  <c r="BF418" i="2"/>
  <c r="AW426" i="2"/>
  <c r="AX45" i="2"/>
  <c r="S390" i="2"/>
  <c r="BI390" i="2"/>
  <c r="AY23" i="2"/>
  <c r="BN221" i="2"/>
  <c r="AW316" i="2"/>
  <c r="BM316" i="2"/>
  <c r="AX391" i="2"/>
  <c r="BM391" i="2"/>
  <c r="S325" i="2"/>
  <c r="AW325" i="2"/>
  <c r="AZ91" i="2"/>
  <c r="BP297" i="2"/>
  <c r="BJ120" i="2"/>
  <c r="S215" i="2"/>
  <c r="AV215" i="2"/>
  <c r="BR144" i="2"/>
  <c r="BN92" i="2"/>
  <c r="BG100" i="2"/>
  <c r="BE100" i="2"/>
  <c r="AA300" i="2"/>
  <c r="AA302" i="2" s="1"/>
  <c r="BL420" i="2"/>
  <c r="AV189" i="2"/>
  <c r="AV296" i="2"/>
  <c r="BR392" i="2"/>
  <c r="BQ197" i="2"/>
  <c r="BQ318" i="2"/>
  <c r="AV419" i="2"/>
  <c r="BO389" i="2"/>
  <c r="AW193" i="2"/>
  <c r="BP247" i="2"/>
  <c r="BC290" i="2"/>
  <c r="BH444" i="2"/>
  <c r="BB194" i="2"/>
  <c r="BA417" i="2"/>
  <c r="BO127" i="2"/>
  <c r="AZ127" i="2"/>
  <c r="BO418" i="2"/>
  <c r="BC243" i="2"/>
  <c r="AV243" i="2"/>
  <c r="BH46" i="2"/>
  <c r="BC45" i="2"/>
  <c r="BQ46" i="2"/>
  <c r="BI45" i="2"/>
  <c r="AZ46" i="2"/>
  <c r="BO46" i="2"/>
  <c r="BB45" i="2"/>
  <c r="BR46" i="2"/>
  <c r="S314" i="2"/>
  <c r="BA314" i="2"/>
  <c r="S322" i="2"/>
  <c r="BB322" i="2"/>
  <c r="BK243" i="2"/>
  <c r="S191" i="2"/>
  <c r="AY191" i="2"/>
  <c r="BO191" i="2"/>
  <c r="BG30" i="2"/>
  <c r="AZ418" i="2"/>
  <c r="S97" i="2"/>
  <c r="BF97" i="2"/>
  <c r="AZ390" i="2"/>
  <c r="BA23" i="2"/>
  <c r="BH221" i="2"/>
  <c r="BG316" i="2"/>
  <c r="BF324" i="2"/>
  <c r="BN324" i="2"/>
  <c r="BF194" i="2"/>
  <c r="BO194" i="2"/>
  <c r="BM120" i="2"/>
  <c r="AV144" i="2"/>
  <c r="AZ92" i="2"/>
  <c r="BQ227" i="2"/>
  <c r="BP227" i="2"/>
  <c r="BO227" i="2"/>
  <c r="BN227" i="2"/>
  <c r="BM227" i="2"/>
  <c r="BL227" i="2"/>
  <c r="BJ227" i="2"/>
  <c r="BF227" i="2"/>
  <c r="BP314" i="2"/>
  <c r="BN314" i="2"/>
  <c r="AZ314" i="2"/>
  <c r="BB243" i="2"/>
  <c r="BK314" i="2"/>
  <c r="BN199" i="2"/>
  <c r="BG397" i="2"/>
  <c r="BQ397" i="2"/>
  <c r="BA418" i="2"/>
  <c r="BB390" i="2"/>
  <c r="BB23" i="2"/>
  <c r="BI221" i="2"/>
  <c r="AY324" i="2"/>
  <c r="S24" i="2"/>
  <c r="BA24" i="2"/>
  <c r="S119" i="2"/>
  <c r="BH119" i="2"/>
  <c r="BH317" i="2"/>
  <c r="BO25" i="2"/>
  <c r="BN120" i="2"/>
  <c r="BD100" i="2"/>
  <c r="S195" i="2"/>
  <c r="AV195" i="2"/>
  <c r="BL195" i="2"/>
  <c r="S148" i="2"/>
  <c r="BQ148" i="2"/>
  <c r="S96" i="2"/>
  <c r="BB96" i="2"/>
  <c r="AZ96" i="2"/>
  <c r="S23" i="2"/>
  <c r="AZ23" i="2"/>
  <c r="S297" i="2"/>
  <c r="AW297" i="2"/>
  <c r="S92" i="2"/>
  <c r="AX92" i="2"/>
  <c r="S100" i="2"/>
  <c r="AV100" i="2"/>
  <c r="BR314" i="2"/>
  <c r="BE314" i="2"/>
  <c r="BM314" i="2"/>
  <c r="AX243" i="2"/>
  <c r="BP243" i="2"/>
  <c r="BC96" i="2"/>
  <c r="AZ191" i="2"/>
  <c r="S22" i="2"/>
  <c r="BG22" i="2"/>
  <c r="BJ30" i="2"/>
  <c r="BK418" i="2"/>
  <c r="AV23" i="2"/>
  <c r="BA126" i="2"/>
  <c r="S391" i="2"/>
  <c r="BH391" i="2"/>
  <c r="AX314" i="2"/>
  <c r="BL148" i="2"/>
  <c r="S441" i="2"/>
  <c r="BK441" i="2"/>
  <c r="S397" i="2"/>
  <c r="BN397" i="2"/>
  <c r="BA397" i="2"/>
  <c r="S30" i="2"/>
  <c r="BQ30" i="2"/>
  <c r="AW23" i="2"/>
  <c r="S288" i="2"/>
  <c r="BC288" i="2"/>
  <c r="S94" i="2"/>
  <c r="BN94" i="2"/>
  <c r="BF94" i="2"/>
  <c r="S91" i="2"/>
  <c r="BR91" i="2"/>
  <c r="S99" i="2"/>
  <c r="BR99" i="2"/>
  <c r="BP124" i="2"/>
  <c r="AZ227" i="2"/>
  <c r="BH322" i="2"/>
  <c r="BP322" i="2"/>
  <c r="BF191" i="2"/>
  <c r="BH191" i="2"/>
  <c r="BP191" i="2"/>
  <c r="BM418" i="2"/>
  <c r="AX23" i="2"/>
  <c r="BE221" i="2"/>
  <c r="S316" i="2"/>
  <c r="AX316" i="2"/>
  <c r="BN316" i="2"/>
  <c r="BN391" i="2"/>
  <c r="S120" i="2"/>
  <c r="BK120" i="2"/>
  <c r="S144" i="2"/>
  <c r="BH144" i="2"/>
  <c r="BQ144" i="2"/>
  <c r="S129" i="2"/>
  <c r="AV129" i="2"/>
  <c r="BR216" i="2"/>
  <c r="AV216" i="2"/>
  <c r="BQ45" i="2"/>
  <c r="BO45" i="2"/>
  <c r="BG45" i="2"/>
  <c r="BK46" i="2"/>
  <c r="X300" i="2"/>
  <c r="X302" i="2" s="1"/>
  <c r="BN46" i="2"/>
  <c r="BE46" i="2"/>
  <c r="BD45" i="2"/>
  <c r="Y399" i="2"/>
  <c r="Y540" i="2" s="1"/>
  <c r="BG243" i="2"/>
  <c r="BC146" i="2"/>
  <c r="AM51" i="5"/>
  <c r="AM517" i="5" s="1"/>
  <c r="AL447" i="5"/>
  <c r="W164" i="36" s="1"/>
  <c r="W191" i="36" s="1"/>
  <c r="AR230" i="5"/>
  <c r="P170" i="36" s="1"/>
  <c r="P197" i="36" s="1"/>
  <c r="AL433" i="5"/>
  <c r="W470" i="36" s="1"/>
  <c r="AH230" i="5"/>
  <c r="AH509" i="5" s="1"/>
  <c r="AM10" i="5"/>
  <c r="N471" i="36" s="1"/>
  <c r="AR208" i="5"/>
  <c r="P476" i="36" s="1"/>
  <c r="BF336" i="5"/>
  <c r="AG69" i="10"/>
  <c r="U132" i="10"/>
  <c r="AG25" i="10"/>
  <c r="AG29" i="10"/>
  <c r="BF341" i="5"/>
  <c r="AX43" i="2"/>
  <c r="BN61" i="5"/>
  <c r="AL51" i="5"/>
  <c r="S164" i="36" s="1"/>
  <c r="S191" i="36" s="1"/>
  <c r="AS208" i="5"/>
  <c r="P477" i="36" s="1"/>
  <c r="BM209" i="5"/>
  <c r="AJ433" i="5"/>
  <c r="W468" i="36" s="1"/>
  <c r="AG418" i="10"/>
  <c r="AG61" i="10"/>
  <c r="AG49" i="10"/>
  <c r="AG394" i="10"/>
  <c r="AG482" i="10"/>
  <c r="AG118" i="10"/>
  <c r="AG506" i="10"/>
  <c r="AH506" i="10" s="1"/>
  <c r="AG245" i="10"/>
  <c r="AG178" i="10"/>
  <c r="AG105" i="10"/>
  <c r="AG505" i="10"/>
  <c r="AH505" i="10" s="1"/>
  <c r="AG408" i="10"/>
  <c r="AG144" i="10"/>
  <c r="AG70" i="10"/>
  <c r="AG512" i="10"/>
  <c r="AH512" i="10" s="1"/>
  <c r="AG431" i="10"/>
  <c r="AG367" i="10"/>
  <c r="AG233" i="10"/>
  <c r="AG90" i="10"/>
  <c r="AG409" i="10"/>
  <c r="AG526" i="10"/>
  <c r="AH526" i="10" s="1"/>
  <c r="AG462" i="10"/>
  <c r="AG398" i="10"/>
  <c r="AG200" i="10"/>
  <c r="AG133" i="10"/>
  <c r="AG43" i="10"/>
  <c r="AG543" i="10"/>
  <c r="AH543" i="10" s="1"/>
  <c r="AG501" i="10"/>
  <c r="AH501" i="10" s="1"/>
  <c r="AG437" i="10"/>
  <c r="AG309" i="10"/>
  <c r="AG242" i="10"/>
  <c r="AG101" i="10"/>
  <c r="AG481" i="10"/>
  <c r="AG532" i="10"/>
  <c r="AH532" i="10" s="1"/>
  <c r="AG340" i="10"/>
  <c r="AG274" i="10"/>
  <c r="AG206" i="10"/>
  <c r="AG547" i="10"/>
  <c r="AH547" i="10" s="1"/>
  <c r="AG483" i="10"/>
  <c r="AG419" i="10"/>
  <c r="AG355" i="10"/>
  <c r="AG221" i="10"/>
  <c r="AG156" i="10"/>
  <c r="AG100" i="10"/>
  <c r="AG58" i="10"/>
  <c r="AG96" i="10"/>
  <c r="AG498" i="10"/>
  <c r="AH498" i="10" s="1"/>
  <c r="AG521" i="10"/>
  <c r="AH521" i="10" s="1"/>
  <c r="AG330" i="10"/>
  <c r="AG305" i="10"/>
  <c r="AG92" i="10"/>
  <c r="AG473" i="10"/>
  <c r="AG464" i="10"/>
  <c r="AG336" i="10"/>
  <c r="AG202" i="10"/>
  <c r="AG135" i="10"/>
  <c r="AG519" i="10"/>
  <c r="AH519" i="10" s="1"/>
  <c r="AG359" i="10"/>
  <c r="AG160" i="10"/>
  <c r="AG78" i="10"/>
  <c r="AG518" i="10"/>
  <c r="AH518" i="10" s="1"/>
  <c r="AG191" i="10"/>
  <c r="AG122" i="10"/>
  <c r="AG24" i="10"/>
  <c r="AG511" i="10"/>
  <c r="AH511" i="10" s="1"/>
  <c r="AG493" i="10"/>
  <c r="AH493" i="10" s="1"/>
  <c r="AG429" i="10"/>
  <c r="AG365" i="10"/>
  <c r="AG301" i="10"/>
  <c r="AG231" i="10"/>
  <c r="AG166" i="10"/>
  <c r="AG524" i="10"/>
  <c r="AH524" i="10" s="1"/>
  <c r="AG460" i="10"/>
  <c r="AG396" i="10"/>
  <c r="AG332" i="10"/>
  <c r="AG266" i="10"/>
  <c r="AG539" i="10"/>
  <c r="AH539" i="10" s="1"/>
  <c r="AG475" i="10"/>
  <c r="AG411" i="10"/>
  <c r="AG347" i="10"/>
  <c r="AG213" i="10"/>
  <c r="AG62" i="10"/>
  <c r="AG89" i="10"/>
  <c r="AG30" i="10"/>
  <c r="AG537" i="10"/>
  <c r="AH537" i="10" s="1"/>
  <c r="AG93" i="10"/>
  <c r="AG466" i="10"/>
  <c r="AG83" i="10"/>
  <c r="AG264" i="10"/>
  <c r="AG545" i="10"/>
  <c r="AH545" i="10" s="1"/>
  <c r="AG370" i="10"/>
  <c r="AG297" i="10"/>
  <c r="AG82" i="10"/>
  <c r="AG392" i="10"/>
  <c r="AG328" i="10"/>
  <c r="AG262" i="10"/>
  <c r="AG33" i="10"/>
  <c r="AG495" i="10"/>
  <c r="AH495" i="10" s="1"/>
  <c r="AG217" i="10"/>
  <c r="AG510" i="10"/>
  <c r="AH510" i="10" s="1"/>
  <c r="AG446" i="10"/>
  <c r="AG318" i="10"/>
  <c r="AG251" i="10"/>
  <c r="AG183" i="10"/>
  <c r="AG112" i="10"/>
  <c r="AG471" i="10"/>
  <c r="AG485" i="10"/>
  <c r="AG421" i="10"/>
  <c r="AG357" i="10"/>
  <c r="AG401" i="10"/>
  <c r="AG516" i="10"/>
  <c r="AH516" i="10" s="1"/>
  <c r="AG452" i="10"/>
  <c r="AG388" i="10"/>
  <c r="AG258" i="10"/>
  <c r="AG120" i="10"/>
  <c r="AG531" i="10"/>
  <c r="AH531" i="10" s="1"/>
  <c r="AG467" i="10"/>
  <c r="AG403" i="10"/>
  <c r="AG339" i="10"/>
  <c r="AG205" i="10"/>
  <c r="AG138" i="10"/>
  <c r="AG81" i="10"/>
  <c r="AG107" i="10"/>
  <c r="AG44" i="10"/>
  <c r="AG490" i="10"/>
  <c r="AH490" i="10" s="1"/>
  <c r="AG354" i="10"/>
  <c r="AG195" i="10"/>
  <c r="AG513" i="10"/>
  <c r="AH513" i="10" s="1"/>
  <c r="AG228" i="10"/>
  <c r="AG385" i="10"/>
  <c r="AG448" i="10"/>
  <c r="AG384" i="10"/>
  <c r="AG320" i="10"/>
  <c r="AG186" i="10"/>
  <c r="AG15" i="10"/>
  <c r="AG487" i="10"/>
  <c r="AG407" i="10"/>
  <c r="AG343" i="10"/>
  <c r="AG209" i="10"/>
  <c r="AG143" i="10"/>
  <c r="AG26" i="10"/>
  <c r="AG527" i="10"/>
  <c r="AH527" i="10" s="1"/>
  <c r="AG502" i="10"/>
  <c r="AH502" i="10" s="1"/>
  <c r="AG248" i="10"/>
  <c r="AG102" i="10"/>
  <c r="AG489" i="10"/>
  <c r="AH489" i="10" s="1"/>
  <c r="AG541" i="10"/>
  <c r="AH541" i="10" s="1"/>
  <c r="AG477" i="10"/>
  <c r="AG413" i="10"/>
  <c r="AG349" i="10"/>
  <c r="AG215" i="10"/>
  <c r="AG67" i="10"/>
  <c r="AG329" i="10"/>
  <c r="AG508" i="10"/>
  <c r="AH508" i="10" s="1"/>
  <c r="AG444" i="10"/>
  <c r="AG316" i="10"/>
  <c r="AG249" i="10"/>
  <c r="AG181" i="10"/>
  <c r="AG110" i="10"/>
  <c r="AG523" i="10"/>
  <c r="AH523" i="10" s="1"/>
  <c r="AG459" i="10"/>
  <c r="AG265" i="10"/>
  <c r="AG39" i="10"/>
  <c r="AG73" i="10"/>
  <c r="AG99" i="10"/>
  <c r="AG37" i="10"/>
  <c r="AG36" i="10"/>
  <c r="AG530" i="10"/>
  <c r="AH530" i="10" s="1"/>
  <c r="AG163" i="10"/>
  <c r="AG338" i="10"/>
  <c r="AG522" i="10"/>
  <c r="AH522" i="10" s="1"/>
  <c r="AG246" i="10"/>
  <c r="AG353" i="10"/>
  <c r="AG376" i="10"/>
  <c r="AG312" i="10"/>
  <c r="AG465" i="10"/>
  <c r="AG463" i="10"/>
  <c r="AG335" i="10"/>
  <c r="AG269" i="10"/>
  <c r="AG201" i="10"/>
  <c r="AG46" i="10"/>
  <c r="AG503" i="10"/>
  <c r="AH503" i="10" s="1"/>
  <c r="AG494" i="10"/>
  <c r="AH494" i="10" s="1"/>
  <c r="AG366" i="10"/>
  <c r="AG302" i="10"/>
  <c r="AG533" i="10"/>
  <c r="AH533" i="10" s="1"/>
  <c r="AG405" i="10"/>
  <c r="AG341" i="10"/>
  <c r="AG275" i="10"/>
  <c r="AG141" i="10"/>
  <c r="AG55" i="10"/>
  <c r="AG544" i="10"/>
  <c r="AH544" i="10" s="1"/>
  <c r="AG500" i="10"/>
  <c r="AH500" i="10" s="1"/>
  <c r="AG308" i="10"/>
  <c r="AG98" i="10"/>
  <c r="AG497" i="10"/>
  <c r="AH497" i="10" s="1"/>
  <c r="AG515" i="10"/>
  <c r="AH515" i="10" s="1"/>
  <c r="AG451" i="10"/>
  <c r="AG323" i="10"/>
  <c r="AG257" i="10"/>
  <c r="AG119" i="10"/>
  <c r="AG21" i="10"/>
  <c r="AG66" i="10"/>
  <c r="AG4" i="10"/>
  <c r="AG88" i="10"/>
  <c r="AG171" i="10"/>
  <c r="AG272" i="10"/>
  <c r="AG546" i="10"/>
  <c r="AH546" i="10" s="1"/>
  <c r="AG322" i="10"/>
  <c r="AG410" i="10"/>
  <c r="AG271" i="10"/>
  <c r="AG136" i="10"/>
  <c r="AG536" i="10"/>
  <c r="AH536" i="10" s="1"/>
  <c r="AG368" i="10"/>
  <c r="AG169" i="10"/>
  <c r="AG425" i="10"/>
  <c r="AG455" i="10"/>
  <c r="AG261" i="10"/>
  <c r="AG192" i="10"/>
  <c r="AG125" i="10"/>
  <c r="AG31" i="10"/>
  <c r="AG479" i="10"/>
  <c r="AG486" i="10"/>
  <c r="AG422" i="10"/>
  <c r="AG358" i="10"/>
  <c r="AG159" i="10"/>
  <c r="AG77" i="10"/>
  <c r="AG393" i="10"/>
  <c r="AG525" i="10"/>
  <c r="AH525" i="10" s="1"/>
  <c r="AG461" i="10"/>
  <c r="AG333" i="10"/>
  <c r="AG267" i="10"/>
  <c r="AG198" i="10"/>
  <c r="AG132" i="10"/>
  <c r="AG42" i="10"/>
  <c r="AG504" i="10"/>
  <c r="AH504" i="10" s="1"/>
  <c r="AG492" i="10"/>
  <c r="AH492" i="10" s="1"/>
  <c r="AG300" i="10"/>
  <c r="AG507" i="10"/>
  <c r="AH507" i="10" s="1"/>
  <c r="AG443" i="10"/>
  <c r="AG379" i="10"/>
  <c r="AG315" i="10"/>
  <c r="AG124" i="10"/>
  <c r="AG147" i="10"/>
  <c r="AG80" i="10"/>
  <c r="AG18" i="10"/>
  <c r="AG220" i="10"/>
  <c r="AG474" i="10"/>
  <c r="AG204" i="10"/>
  <c r="AG514" i="10"/>
  <c r="AH514" i="10" s="1"/>
  <c r="AG306" i="10"/>
  <c r="AG256" i="10"/>
  <c r="AG450" i="10"/>
  <c r="AG263" i="10"/>
  <c r="AG194" i="10"/>
  <c r="AG127" i="10"/>
  <c r="AG34" i="10"/>
  <c r="AG520" i="10"/>
  <c r="AH520" i="10" s="1"/>
  <c r="AG424" i="10"/>
  <c r="AG360" i="10"/>
  <c r="AG296" i="10"/>
  <c r="AG226" i="10"/>
  <c r="AG161" i="10"/>
  <c r="AG79" i="10"/>
  <c r="AG447" i="10"/>
  <c r="AG319" i="10"/>
  <c r="AG253" i="10"/>
  <c r="AG185" i="10"/>
  <c r="AG113" i="10"/>
  <c r="AG13" i="10"/>
  <c r="AG542" i="10"/>
  <c r="AH542" i="10" s="1"/>
  <c r="AG478" i="10"/>
  <c r="AG414" i="10"/>
  <c r="AG151" i="10"/>
  <c r="AG68" i="10"/>
  <c r="AG337" i="10"/>
  <c r="AG517" i="10"/>
  <c r="AH517" i="10" s="1"/>
  <c r="AG453" i="10"/>
  <c r="AG325" i="10"/>
  <c r="AG190" i="10"/>
  <c r="AG121" i="10"/>
  <c r="AG535" i="10"/>
  <c r="AH535" i="10" s="1"/>
  <c r="AG484" i="10"/>
  <c r="AG420" i="10"/>
  <c r="AG356" i="10"/>
  <c r="AG222" i="10"/>
  <c r="AG75" i="10"/>
  <c r="AG369" i="10"/>
  <c r="AG499" i="10"/>
  <c r="AH499" i="10" s="1"/>
  <c r="AG435" i="10"/>
  <c r="AG371" i="10"/>
  <c r="AG307" i="10"/>
  <c r="AG94" i="10"/>
  <c r="AG40" i="10"/>
  <c r="AG139" i="10"/>
  <c r="AG97" i="10"/>
  <c r="AG11" i="10"/>
  <c r="AG10" i="10"/>
  <c r="AG529" i="10"/>
  <c r="AH529" i="10" s="1"/>
  <c r="AG212" i="10"/>
  <c r="AG458" i="10"/>
  <c r="AG362" i="10"/>
  <c r="AG538" i="10"/>
  <c r="AH538" i="10" s="1"/>
  <c r="AG255" i="10"/>
  <c r="AG117" i="10"/>
  <c r="AG480" i="10"/>
  <c r="AG416" i="10"/>
  <c r="AG153" i="10"/>
  <c r="AG95" i="10"/>
  <c r="AG345" i="10"/>
  <c r="AG311" i="10"/>
  <c r="AG243" i="10"/>
  <c r="AG176" i="10"/>
  <c r="AG103" i="10"/>
  <c r="AG449" i="10"/>
  <c r="AG534" i="10"/>
  <c r="AH534" i="10" s="1"/>
  <c r="AG406" i="10"/>
  <c r="AG276" i="10"/>
  <c r="AG142" i="10"/>
  <c r="AG56" i="10"/>
  <c r="AG496" i="10"/>
  <c r="AH496" i="10" s="1"/>
  <c r="AG509" i="10"/>
  <c r="AH509" i="10" s="1"/>
  <c r="AG381" i="10"/>
  <c r="AG317" i="10"/>
  <c r="AG250" i="10"/>
  <c r="AG182" i="10"/>
  <c r="AG111" i="10"/>
  <c r="AG8" i="10"/>
  <c r="AG540" i="10"/>
  <c r="AH540" i="10" s="1"/>
  <c r="AG476" i="10"/>
  <c r="AG412" i="10"/>
  <c r="AG348" i="10"/>
  <c r="AG149" i="10"/>
  <c r="AG528" i="10"/>
  <c r="AH528" i="10" s="1"/>
  <c r="AG491" i="10"/>
  <c r="AH491" i="10" s="1"/>
  <c r="AG363" i="10"/>
  <c r="AG299" i="10"/>
  <c r="AG164" i="10"/>
  <c r="AG108" i="10"/>
  <c r="AG65" i="10"/>
  <c r="AG64" i="10"/>
  <c r="AD37" i="5"/>
  <c r="S462" i="36" s="1"/>
  <c r="AE230" i="5"/>
  <c r="P157" i="36" s="1"/>
  <c r="P184" i="36" s="1"/>
  <c r="AE208" i="5"/>
  <c r="P463" i="36" s="1"/>
  <c r="AF37" i="5"/>
  <c r="S464" i="36" s="1"/>
  <c r="BI440" i="5"/>
  <c r="AS447" i="5"/>
  <c r="W171" i="36" s="1"/>
  <c r="W198" i="36" s="1"/>
  <c r="AK230" i="5"/>
  <c r="P163" i="36" s="1"/>
  <c r="P190" i="36" s="1"/>
  <c r="AB155" i="5"/>
  <c r="Y460" i="36" s="1"/>
  <c r="AX188" i="2"/>
  <c r="AS201" i="5"/>
  <c r="AS203" i="5" s="1"/>
  <c r="AB479" i="5"/>
  <c r="AB154" i="36" s="1"/>
  <c r="AB181" i="36" s="1"/>
  <c r="AB182" i="5"/>
  <c r="Y154" i="36" s="1"/>
  <c r="Y181" i="36" s="1"/>
  <c r="AC83" i="5"/>
  <c r="X155" i="36" s="1"/>
  <c r="X182" i="36" s="1"/>
  <c r="AK208" i="5"/>
  <c r="P469" i="36" s="1"/>
  <c r="AF83" i="5"/>
  <c r="X158" i="36" s="1"/>
  <c r="X185" i="36" s="1"/>
  <c r="AJ32" i="5"/>
  <c r="AJ34" i="5" s="1"/>
  <c r="AY209" i="5"/>
  <c r="AE479" i="5"/>
  <c r="AE531" i="5" s="1"/>
  <c r="AP51" i="5"/>
  <c r="S168" i="36" s="1"/>
  <c r="S195" i="36" s="1"/>
  <c r="BP209" i="5"/>
  <c r="AA348" i="5"/>
  <c r="AA350" i="5" s="1"/>
  <c r="BE209" i="5"/>
  <c r="AQ479" i="5"/>
  <c r="AQ481" i="5" s="1"/>
  <c r="AE51" i="5"/>
  <c r="AE517" i="5" s="1"/>
  <c r="X230" i="5"/>
  <c r="X232" i="5" s="1"/>
  <c r="W201" i="5"/>
  <c r="AF208" i="5"/>
  <c r="P464" i="36" s="1"/>
  <c r="AP380" i="5"/>
  <c r="AP382" i="5" s="1"/>
  <c r="BI11" i="5"/>
  <c r="AN433" i="5"/>
  <c r="W472" i="36" s="1"/>
  <c r="AS51" i="5"/>
  <c r="S171" i="36" s="1"/>
  <c r="S198" i="36" s="1"/>
  <c r="AJ348" i="5"/>
  <c r="AJ520" i="5" s="1"/>
  <c r="AQ51" i="5"/>
  <c r="AQ53" i="5" s="1"/>
  <c r="AM447" i="5"/>
  <c r="W165" i="36" s="1"/>
  <c r="W192" i="36" s="1"/>
  <c r="AD348" i="5"/>
  <c r="V156" i="36" s="1"/>
  <c r="V183" i="36" s="1"/>
  <c r="BJ48" i="2"/>
  <c r="AA479" i="5"/>
  <c r="AA481" i="5" s="1"/>
  <c r="AM479" i="5"/>
  <c r="AB165" i="36" s="1"/>
  <c r="AB192" i="36" s="1"/>
  <c r="AQ32" i="5"/>
  <c r="N169" i="36" s="1"/>
  <c r="N196" i="36" s="1"/>
  <c r="BP440" i="5"/>
  <c r="AF348" i="5"/>
  <c r="AF520" i="5" s="1"/>
  <c r="AJ249" i="5"/>
  <c r="U162" i="36" s="1"/>
  <c r="U189" i="36" s="1"/>
  <c r="AO51" i="5"/>
  <c r="S167" i="36" s="1"/>
  <c r="S194" i="36" s="1"/>
  <c r="BP11" i="5"/>
  <c r="AN37" i="5"/>
  <c r="S472" i="36" s="1"/>
  <c r="AO83" i="5"/>
  <c r="X167" i="36" s="1"/>
  <c r="X194" i="36" s="1"/>
  <c r="AN447" i="5"/>
  <c r="W166" i="36" s="1"/>
  <c r="W193" i="36" s="1"/>
  <c r="AQ230" i="5"/>
  <c r="P169" i="36" s="1"/>
  <c r="P196" i="36" s="1"/>
  <c r="AQ433" i="5"/>
  <c r="W475" i="36" s="1"/>
  <c r="AG37" i="5"/>
  <c r="S465" i="36" s="1"/>
  <c r="Y479" i="5"/>
  <c r="AB151" i="36" s="1"/>
  <c r="AB178" i="36" s="1"/>
  <c r="AH433" i="5"/>
  <c r="W466" i="36" s="1"/>
  <c r="AH334" i="5"/>
  <c r="V466" i="36" s="1"/>
  <c r="AA155" i="5"/>
  <c r="Y459" i="36" s="1"/>
  <c r="AO433" i="5"/>
  <c r="W473" i="36" s="1"/>
  <c r="AS479" i="5"/>
  <c r="AB171" i="36" s="1"/>
  <c r="AB198" i="36" s="1"/>
  <c r="AH447" i="5"/>
  <c r="W160" i="36" s="1"/>
  <c r="W187" i="36" s="1"/>
  <c r="AJ230" i="5"/>
  <c r="AJ232" i="5" s="1"/>
  <c r="AR479" i="5"/>
  <c r="AB170" i="36" s="1"/>
  <c r="AB197" i="36" s="1"/>
  <c r="AA182" i="5"/>
  <c r="AA528" i="5" s="1"/>
  <c r="AP479" i="5"/>
  <c r="AP481" i="5" s="1"/>
  <c r="AO230" i="5"/>
  <c r="AO232" i="5" s="1"/>
  <c r="AP201" i="5"/>
  <c r="AP203" i="5" s="1"/>
  <c r="AI208" i="5"/>
  <c r="P467" i="36" s="1"/>
  <c r="AA83" i="5"/>
  <c r="X153" i="36" s="1"/>
  <c r="X180" i="36" s="1"/>
  <c r="AR56" i="5"/>
  <c r="X476" i="36" s="1"/>
  <c r="AK479" i="5"/>
  <c r="AB163" i="36" s="1"/>
  <c r="AB190" i="36" s="1"/>
  <c r="AO447" i="5"/>
  <c r="AO449" i="5" s="1"/>
  <c r="BK11" i="5"/>
  <c r="AO208" i="5"/>
  <c r="P473" i="36" s="1"/>
  <c r="AZ209" i="5"/>
  <c r="AG348" i="5"/>
  <c r="V159" i="36" s="1"/>
  <c r="V186" i="36" s="1"/>
  <c r="AF479" i="5"/>
  <c r="AB158" i="36" s="1"/>
  <c r="AB185" i="36" s="1"/>
  <c r="AH51" i="5"/>
  <c r="S160" i="36" s="1"/>
  <c r="S187" i="36" s="1"/>
  <c r="AL230" i="5"/>
  <c r="P164" i="36" s="1"/>
  <c r="P191" i="36" s="1"/>
  <c r="AI230" i="5"/>
  <c r="P161" i="36" s="1"/>
  <c r="P188" i="36" s="1"/>
  <c r="AH348" i="5"/>
  <c r="AH350" i="5" s="1"/>
  <c r="BQ118" i="2"/>
  <c r="AL208" i="5"/>
  <c r="P470" i="36" s="1"/>
  <c r="AK51" i="5"/>
  <c r="S163" i="36" s="1"/>
  <c r="S190" i="36" s="1"/>
  <c r="AL10" i="5"/>
  <c r="N470" i="36" s="1"/>
  <c r="BM11" i="5"/>
  <c r="AN32" i="5"/>
  <c r="AN34" i="5" s="1"/>
  <c r="AN187" i="5"/>
  <c r="AD472" i="36" s="1"/>
  <c r="AB51" i="5"/>
  <c r="S154" i="36" s="1"/>
  <c r="S181" i="36" s="1"/>
  <c r="AN201" i="5"/>
  <c r="AN203" i="5" s="1"/>
  <c r="BO189" i="5"/>
  <c r="BO201" i="5" s="1"/>
  <c r="AP204" i="5" s="1"/>
  <c r="AA51" i="5"/>
  <c r="S153" i="36" s="1"/>
  <c r="S180" i="36" s="1"/>
  <c r="AJ447" i="5"/>
  <c r="AJ521" i="5" s="1"/>
  <c r="BN440" i="5"/>
  <c r="AC208" i="5"/>
  <c r="P461" i="36" s="1"/>
  <c r="AN208" i="5"/>
  <c r="P472" i="36" s="1"/>
  <c r="AP208" i="5"/>
  <c r="P474" i="36" s="1"/>
  <c r="AM433" i="5"/>
  <c r="W471" i="36" s="1"/>
  <c r="AP447" i="5"/>
  <c r="W168" i="36" s="1"/>
  <c r="W195" i="36" s="1"/>
  <c r="BP41" i="5"/>
  <c r="AC230" i="5"/>
  <c r="P155" i="36" s="1"/>
  <c r="P182" i="36" s="1"/>
  <c r="AD201" i="2"/>
  <c r="AD203" i="2" s="1"/>
  <c r="AA230" i="5"/>
  <c r="P153" i="36" s="1"/>
  <c r="P180" i="36" s="1"/>
  <c r="AB230" i="5"/>
  <c r="AB509" i="5" s="1"/>
  <c r="AJ155" i="5"/>
  <c r="Y468" i="36" s="1"/>
  <c r="AP433" i="5"/>
  <c r="W474" i="36" s="1"/>
  <c r="AB208" i="5"/>
  <c r="P460" i="36" s="1"/>
  <c r="BR61" i="5"/>
  <c r="BH43" i="2"/>
  <c r="AW43" i="2"/>
  <c r="BK61" i="5"/>
  <c r="W423" i="35"/>
  <c r="BO169" i="5"/>
  <c r="BB474" i="2"/>
  <c r="BN169" i="5"/>
  <c r="BH169" i="5"/>
  <c r="BF169" i="5"/>
  <c r="BE169" i="5"/>
  <c r="AV169" i="5"/>
  <c r="BD169" i="5"/>
  <c r="BA169" i="5"/>
  <c r="AZ180" i="2"/>
  <c r="BD474" i="2"/>
  <c r="BC169" i="5"/>
  <c r="AW169" i="5"/>
  <c r="BR169" i="5"/>
  <c r="AY169" i="5"/>
  <c r="BP169" i="5"/>
  <c r="BM169" i="5"/>
  <c r="BG169" i="5"/>
  <c r="AX169" i="5"/>
  <c r="AZ169" i="5"/>
  <c r="BM44" i="2"/>
  <c r="AW48" i="2"/>
  <c r="BA49" i="2"/>
  <c r="BA44" i="2"/>
  <c r="BB48" i="2"/>
  <c r="AW49" i="2"/>
  <c r="AY44" i="2"/>
  <c r="BQ48" i="2"/>
  <c r="AW44" i="2"/>
  <c r="BD48" i="2"/>
  <c r="BO44" i="2"/>
  <c r="BD44" i="2"/>
  <c r="BG44" i="2"/>
  <c r="BO72" i="2"/>
  <c r="AY72" i="2"/>
  <c r="BF372" i="2"/>
  <c r="BO375" i="2"/>
  <c r="AZ375" i="2"/>
  <c r="BN44" i="2"/>
  <c r="BH44" i="2"/>
  <c r="AX44" i="2"/>
  <c r="BR48" i="2"/>
  <c r="AX48" i="2"/>
  <c r="BQ44" i="2"/>
  <c r="BC48" i="2"/>
  <c r="BJ44" i="2"/>
  <c r="BN48" i="2"/>
  <c r="S48" i="2"/>
  <c r="BK44" i="2"/>
  <c r="AV41" i="5"/>
  <c r="BR41" i="5"/>
  <c r="AX41" i="5"/>
  <c r="BQ41" i="5"/>
  <c r="BD41" i="5"/>
  <c r="BL41" i="5"/>
  <c r="BK41" i="5"/>
  <c r="BC41" i="5"/>
  <c r="BN41" i="5"/>
  <c r="BI41" i="5"/>
  <c r="BJ41" i="5"/>
  <c r="BH41" i="5"/>
  <c r="R51" i="5"/>
  <c r="BB41" i="5"/>
  <c r="BC80" i="2"/>
  <c r="BE41" i="5"/>
  <c r="BO41" i="5"/>
  <c r="BG41" i="5"/>
  <c r="S41" i="5"/>
  <c r="AY41" i="5"/>
  <c r="AZ41" i="5"/>
  <c r="BF41" i="5"/>
  <c r="BA41" i="5"/>
  <c r="AW41" i="5"/>
  <c r="BJ341" i="5"/>
  <c r="BQ336" i="5"/>
  <c r="AV341" i="5"/>
  <c r="BN336" i="5"/>
  <c r="BI336" i="5"/>
  <c r="BG336" i="5"/>
  <c r="BB341" i="5"/>
  <c r="BG341" i="5"/>
  <c r="BB179" i="2"/>
  <c r="BK341" i="5"/>
  <c r="BO341" i="5"/>
  <c r="BH341" i="5"/>
  <c r="BP341" i="5"/>
  <c r="AW336" i="5"/>
  <c r="BP44" i="2"/>
  <c r="BL341" i="5"/>
  <c r="AS348" i="5"/>
  <c r="AS350" i="5" s="1"/>
  <c r="BA336" i="5"/>
  <c r="BP336" i="5"/>
  <c r="BF345" i="5"/>
  <c r="BK43" i="2"/>
  <c r="BC43" i="2"/>
  <c r="BM43" i="2"/>
  <c r="BL43" i="2"/>
  <c r="BJ61" i="5"/>
  <c r="BP48" i="2"/>
  <c r="BH48" i="2"/>
  <c r="BJ43" i="2"/>
  <c r="BB43" i="2"/>
  <c r="BF61" i="5"/>
  <c r="BQ61" i="5"/>
  <c r="AZ80" i="2"/>
  <c r="BE80" i="2"/>
  <c r="BQ43" i="2"/>
  <c r="BA61" i="5"/>
  <c r="BE61" i="5"/>
  <c r="BR43" i="2"/>
  <c r="AZ61" i="5"/>
  <c r="AW61" i="5"/>
  <c r="BA43" i="2"/>
  <c r="BP61" i="5"/>
  <c r="BB61" i="5"/>
  <c r="BI455" i="5"/>
  <c r="BB80" i="2"/>
  <c r="AY43" i="2"/>
  <c r="BP43" i="2"/>
  <c r="AZ43" i="2"/>
  <c r="BC61" i="5"/>
  <c r="M14" i="27"/>
  <c r="M15" i="27" s="1"/>
  <c r="M16" i="27" s="1"/>
  <c r="M17" i="27" s="1"/>
  <c r="M18" i="27" s="1"/>
  <c r="M19" i="27" s="1"/>
  <c r="M20" i="27" s="1"/>
  <c r="N12" i="27"/>
  <c r="J12" i="27" s="1"/>
  <c r="U144" i="10"/>
  <c r="AG54" i="10" s="1"/>
  <c r="U137" i="10"/>
  <c r="U147" i="10"/>
  <c r="AG35" i="10" s="1"/>
  <c r="U136" i="10"/>
  <c r="M12" i="25"/>
  <c r="N12" i="25" s="1"/>
  <c r="J12" i="25" s="1"/>
  <c r="U135" i="10"/>
  <c r="U153" i="10"/>
  <c r="AG5" i="10" s="1"/>
  <c r="U146" i="10"/>
  <c r="AG19" i="10" s="1"/>
  <c r="AH19" i="10" s="1"/>
  <c r="AI19" i="10" s="1"/>
  <c r="U140" i="10"/>
  <c r="AG32" i="10" s="1"/>
  <c r="AH32" i="10" s="1"/>
  <c r="AI32" i="10" s="1"/>
  <c r="Q31" i="10"/>
  <c r="P31" i="10"/>
  <c r="Q97" i="10"/>
  <c r="P97" i="10"/>
  <c r="R97" i="10" s="1"/>
  <c r="Q129" i="10"/>
  <c r="P129" i="10"/>
  <c r="R129" i="10" s="1"/>
  <c r="Q11" i="10"/>
  <c r="P11" i="10"/>
  <c r="Q45" i="10"/>
  <c r="P45" i="10"/>
  <c r="R45" i="10" s="1"/>
  <c r="Q77" i="10"/>
  <c r="P77" i="10"/>
  <c r="R77" i="10" s="1"/>
  <c r="Q109" i="10"/>
  <c r="P109" i="10"/>
  <c r="R109" i="10" s="1"/>
  <c r="Q141" i="10"/>
  <c r="P141" i="10"/>
  <c r="P12" i="10"/>
  <c r="Q12" i="10"/>
  <c r="Q46" i="10"/>
  <c r="P46" i="10"/>
  <c r="R46" i="10" s="1"/>
  <c r="Q78" i="10"/>
  <c r="P78" i="10"/>
  <c r="R78" i="10" s="1"/>
  <c r="Q7" i="10"/>
  <c r="P7" i="10"/>
  <c r="P39" i="10"/>
  <c r="R39" i="10" s="1"/>
  <c r="Q39" i="10"/>
  <c r="Q71" i="10"/>
  <c r="P71" i="10"/>
  <c r="R71" i="10" s="1"/>
  <c r="Q103" i="10"/>
  <c r="P103" i="10"/>
  <c r="R103" i="10" s="1"/>
  <c r="Q159" i="10"/>
  <c r="P159" i="10"/>
  <c r="R159" i="10" s="1"/>
  <c r="Q48" i="10"/>
  <c r="P48" i="10"/>
  <c r="R48" i="10" s="1"/>
  <c r="Q80" i="10"/>
  <c r="P80" i="10"/>
  <c r="R80" i="10" s="1"/>
  <c r="Q112" i="10"/>
  <c r="P112" i="10"/>
  <c r="R112" i="10" s="1"/>
  <c r="Q65" i="10"/>
  <c r="P65" i="10"/>
  <c r="Q16" i="10"/>
  <c r="P16" i="10"/>
  <c r="Q50" i="10"/>
  <c r="P50" i="10"/>
  <c r="U50" i="10" s="1"/>
  <c r="Q82" i="10"/>
  <c r="P82" i="10"/>
  <c r="U82" i="10" s="1"/>
  <c r="Q114" i="10"/>
  <c r="P114" i="10"/>
  <c r="U114" i="10" s="1"/>
  <c r="Q17" i="10"/>
  <c r="P17" i="10"/>
  <c r="P51" i="10"/>
  <c r="U51" i="10" s="1"/>
  <c r="AT240" i="5" s="1"/>
  <c r="Q51" i="10"/>
  <c r="Q83" i="10"/>
  <c r="P83" i="10"/>
  <c r="U83" i="10" s="1"/>
  <c r="Q115" i="10"/>
  <c r="P115" i="10"/>
  <c r="T115" i="10" s="1"/>
  <c r="P18" i="10"/>
  <c r="Q18" i="10"/>
  <c r="Q52" i="10"/>
  <c r="P52" i="10"/>
  <c r="U52" i="10" s="1"/>
  <c r="AT163" i="5" s="1"/>
  <c r="Q84" i="10"/>
  <c r="P84" i="10"/>
  <c r="U84" i="10" s="1"/>
  <c r="Q116" i="10"/>
  <c r="P116" i="10"/>
  <c r="U116" i="10" s="1"/>
  <c r="Q110" i="10"/>
  <c r="P110" i="10"/>
  <c r="Q73" i="10"/>
  <c r="P73" i="10"/>
  <c r="R73" i="10" s="1"/>
  <c r="P19" i="10"/>
  <c r="R19" i="10" s="1"/>
  <c r="Q19" i="10"/>
  <c r="Q53" i="10"/>
  <c r="P53" i="10"/>
  <c r="Q85" i="10"/>
  <c r="P85" i="10"/>
  <c r="R85" i="10" s="1"/>
  <c r="Q117" i="10"/>
  <c r="P117" i="10"/>
  <c r="R117" i="10" s="1"/>
  <c r="Q149" i="10"/>
  <c r="P149" i="10"/>
  <c r="R149" i="10" s="1"/>
  <c r="P20" i="10"/>
  <c r="Q20" i="10"/>
  <c r="Q54" i="10"/>
  <c r="P54" i="10"/>
  <c r="Q86" i="10"/>
  <c r="P86" i="10"/>
  <c r="R86" i="10" s="1"/>
  <c r="Q142" i="10"/>
  <c r="P142" i="10"/>
  <c r="R142" i="10" s="1"/>
  <c r="P13" i="10"/>
  <c r="Q13" i="10"/>
  <c r="Q47" i="10"/>
  <c r="P47" i="10"/>
  <c r="Q79" i="10"/>
  <c r="P79" i="10"/>
  <c r="R79" i="10" s="1"/>
  <c r="Q111" i="10"/>
  <c r="P111" i="10"/>
  <c r="R111" i="10" s="1"/>
  <c r="Q56" i="10"/>
  <c r="P56" i="10"/>
  <c r="Q88" i="10"/>
  <c r="P88" i="10"/>
  <c r="Q120" i="10"/>
  <c r="P120" i="10"/>
  <c r="R120" i="10" s="1"/>
  <c r="Q41" i="10"/>
  <c r="P41" i="10"/>
  <c r="R41" i="10" s="1"/>
  <c r="Q105" i="10"/>
  <c r="P105" i="10"/>
  <c r="Q161" i="10"/>
  <c r="P161" i="10"/>
  <c r="U161" i="10" s="1"/>
  <c r="AT238" i="5" s="1"/>
  <c r="P24" i="10"/>
  <c r="Q24" i="10"/>
  <c r="Q58" i="10"/>
  <c r="P58" i="10"/>
  <c r="U58" i="10" s="1"/>
  <c r="Q90" i="10"/>
  <c r="P90" i="10"/>
  <c r="U90" i="10" s="1"/>
  <c r="Q122" i="10"/>
  <c r="P122" i="10"/>
  <c r="Q25" i="10"/>
  <c r="P25" i="10"/>
  <c r="U25" i="10" s="1"/>
  <c r="Q59" i="10"/>
  <c r="P59" i="10"/>
  <c r="T59" i="10" s="1"/>
  <c r="Q91" i="10"/>
  <c r="P91" i="10"/>
  <c r="U91" i="10" s="1"/>
  <c r="AT170" i="2" s="1"/>
  <c r="Q123" i="10"/>
  <c r="P123" i="10"/>
  <c r="P26" i="10"/>
  <c r="Q26" i="10"/>
  <c r="Q60" i="10"/>
  <c r="P60" i="10"/>
  <c r="U60" i="10" s="1"/>
  <c r="Q92" i="10"/>
  <c r="P92" i="10"/>
  <c r="Q124" i="10"/>
  <c r="P124" i="10"/>
  <c r="Q148" i="10"/>
  <c r="P148" i="10"/>
  <c r="U148" i="10" s="1"/>
  <c r="Q118" i="10"/>
  <c r="P118" i="10"/>
  <c r="U118" i="10" s="1"/>
  <c r="U143" i="10"/>
  <c r="Q15" i="10"/>
  <c r="P15" i="10"/>
  <c r="Q49" i="10"/>
  <c r="P49" i="10"/>
  <c r="R49" i="10" s="1"/>
  <c r="Q81" i="10"/>
  <c r="P81" i="10"/>
  <c r="R81" i="10" s="1"/>
  <c r="Q113" i="10"/>
  <c r="P113" i="10"/>
  <c r="Q27" i="10"/>
  <c r="P27" i="10"/>
  <c r="Q61" i="10"/>
  <c r="P61" i="10"/>
  <c r="R61" i="10" s="1"/>
  <c r="Q93" i="10"/>
  <c r="P93" i="10"/>
  <c r="R93" i="10" s="1"/>
  <c r="Q125" i="10"/>
  <c r="P125" i="10"/>
  <c r="R125" i="10" s="1"/>
  <c r="Q157" i="10"/>
  <c r="P157" i="10"/>
  <c r="Q28" i="10"/>
  <c r="P28" i="10"/>
  <c r="R28" i="10" s="1"/>
  <c r="Q62" i="10"/>
  <c r="P62" i="10"/>
  <c r="R62" i="10" s="1"/>
  <c r="Q150" i="10"/>
  <c r="P150" i="10"/>
  <c r="P21" i="10"/>
  <c r="Q21" i="10"/>
  <c r="Q55" i="10"/>
  <c r="P55" i="10"/>
  <c r="R55" i="10" s="1"/>
  <c r="Q87" i="10"/>
  <c r="P87" i="10"/>
  <c r="R87" i="10" s="1"/>
  <c r="Q119" i="10"/>
  <c r="P119" i="10"/>
  <c r="Q64" i="10"/>
  <c r="P64" i="10"/>
  <c r="Q96" i="10"/>
  <c r="P96" i="10"/>
  <c r="R96" i="10" s="1"/>
  <c r="Q128" i="10"/>
  <c r="P128" i="10"/>
  <c r="R128" i="10" s="1"/>
  <c r="Q152" i="10"/>
  <c r="P152" i="10"/>
  <c r="U145" i="10"/>
  <c r="Q32" i="10"/>
  <c r="P32" i="10"/>
  <c r="Q66" i="10"/>
  <c r="P66" i="10"/>
  <c r="U66" i="10" s="1"/>
  <c r="Q98" i="10"/>
  <c r="P98" i="10"/>
  <c r="U98" i="10" s="1"/>
  <c r="Q130" i="10"/>
  <c r="P130" i="10"/>
  <c r="U130" i="10" s="1"/>
  <c r="Q154" i="10"/>
  <c r="P154" i="10"/>
  <c r="U154" i="10" s="1"/>
  <c r="Q35" i="10"/>
  <c r="P35" i="10"/>
  <c r="U35" i="10" s="1"/>
  <c r="P67" i="10"/>
  <c r="U67" i="10" s="1"/>
  <c r="Q67" i="10"/>
  <c r="Q99" i="10"/>
  <c r="P99" i="10"/>
  <c r="Q131" i="10"/>
  <c r="P131" i="10"/>
  <c r="Q155" i="10"/>
  <c r="P155" i="10"/>
  <c r="U155" i="10" s="1"/>
  <c r="Q36" i="10"/>
  <c r="P36" i="10"/>
  <c r="U36" i="10" s="1"/>
  <c r="Q68" i="10"/>
  <c r="P68" i="10"/>
  <c r="U68" i="10" s="1"/>
  <c r="AT239" i="5" s="1"/>
  <c r="Q100" i="10"/>
  <c r="P100" i="10"/>
  <c r="Q156" i="10"/>
  <c r="P156" i="10"/>
  <c r="U156" i="10" s="1"/>
  <c r="AT340" i="2" s="1"/>
  <c r="Q126" i="10"/>
  <c r="P126" i="10"/>
  <c r="U126" i="10" s="1"/>
  <c r="P14" i="10"/>
  <c r="Q14" i="10"/>
  <c r="P23" i="10"/>
  <c r="R23" i="10" s="1"/>
  <c r="Q23" i="10"/>
  <c r="Q57" i="10"/>
  <c r="P57" i="10"/>
  <c r="R57" i="10" s="1"/>
  <c r="Q89" i="10"/>
  <c r="P89" i="10"/>
  <c r="R89" i="10" s="1"/>
  <c r="Q121" i="10"/>
  <c r="P121" i="10"/>
  <c r="Q37" i="10"/>
  <c r="P37" i="10"/>
  <c r="R37" i="10" s="1"/>
  <c r="Q69" i="10"/>
  <c r="P69" i="10"/>
  <c r="R69" i="10" s="1"/>
  <c r="Q101" i="10"/>
  <c r="P101" i="10"/>
  <c r="R101" i="10" s="1"/>
  <c r="Q133" i="10"/>
  <c r="P133" i="10"/>
  <c r="R133" i="10" s="1"/>
  <c r="P6" i="10"/>
  <c r="R6" i="10" s="1"/>
  <c r="Q6" i="10"/>
  <c r="Q38" i="10"/>
  <c r="P38" i="10"/>
  <c r="R38" i="10" s="1"/>
  <c r="Q70" i="10"/>
  <c r="P70" i="10"/>
  <c r="R70" i="10" s="1"/>
  <c r="Q158" i="10"/>
  <c r="P158" i="10"/>
  <c r="Q29" i="10"/>
  <c r="P29" i="10"/>
  <c r="Q63" i="10"/>
  <c r="P63" i="10"/>
  <c r="R63" i="10" s="1"/>
  <c r="Q95" i="10"/>
  <c r="P95" i="10"/>
  <c r="R95" i="10" s="1"/>
  <c r="Q127" i="10"/>
  <c r="P127" i="10"/>
  <c r="R127" i="10" s="1"/>
  <c r="P151" i="10"/>
  <c r="Q151" i="10"/>
  <c r="Q40" i="10"/>
  <c r="P40" i="10"/>
  <c r="R40" i="10" s="1"/>
  <c r="Q72" i="10"/>
  <c r="P72" i="10"/>
  <c r="R72" i="10" s="1"/>
  <c r="Q104" i="10"/>
  <c r="P104" i="10"/>
  <c r="R104" i="10" s="1"/>
  <c r="Q160" i="10"/>
  <c r="P160" i="10"/>
  <c r="Q8" i="10"/>
  <c r="P8" i="10"/>
  <c r="U8" i="10" s="1"/>
  <c r="Q42" i="10"/>
  <c r="P42" i="10"/>
  <c r="U42" i="10" s="1"/>
  <c r="Q74" i="10"/>
  <c r="P74" i="10"/>
  <c r="U74" i="10" s="1"/>
  <c r="Q106" i="10"/>
  <c r="P106" i="10"/>
  <c r="U138" i="10"/>
  <c r="Q162" i="10"/>
  <c r="P162" i="10"/>
  <c r="U162" i="10" s="1"/>
  <c r="AT437" i="5" s="1"/>
  <c r="Q9" i="10"/>
  <c r="P9" i="10"/>
  <c r="Q43" i="10"/>
  <c r="P43" i="10"/>
  <c r="Q75" i="10"/>
  <c r="P75" i="10"/>
  <c r="U75" i="10" s="1"/>
  <c r="Q107" i="10"/>
  <c r="P107" i="10"/>
  <c r="U107" i="10" s="1"/>
  <c r="U139" i="10"/>
  <c r="Q163" i="10"/>
  <c r="P163" i="10"/>
  <c r="P10" i="10"/>
  <c r="Q10" i="10"/>
  <c r="Q44" i="10"/>
  <c r="P44" i="10"/>
  <c r="U44" i="10" s="1"/>
  <c r="Q76" i="10"/>
  <c r="P76" i="10"/>
  <c r="U76" i="10" s="1"/>
  <c r="AT139" i="2" s="1"/>
  <c r="Q108" i="10"/>
  <c r="P108" i="10"/>
  <c r="Q164" i="10"/>
  <c r="P164" i="10"/>
  <c r="U164" i="10" s="1"/>
  <c r="R4" i="10"/>
  <c r="Q4" i="10"/>
  <c r="P4" i="10"/>
  <c r="T4" i="10"/>
  <c r="U4" i="10"/>
  <c r="AG456" i="10" s="1"/>
  <c r="Q102" i="10"/>
  <c r="P102" i="10"/>
  <c r="U134" i="10"/>
  <c r="P22" i="10"/>
  <c r="U22" i="10" s="1"/>
  <c r="Q22" i="10"/>
  <c r="Q511" i="5"/>
  <c r="AS433" i="5"/>
  <c r="W477" i="36" s="1"/>
  <c r="BR434" i="5"/>
  <c r="AQ348" i="5"/>
  <c r="AQ520" i="5" s="1"/>
  <c r="BE336" i="5"/>
  <c r="BC336" i="5"/>
  <c r="Q519" i="5"/>
  <c r="Q522" i="5" s="1"/>
  <c r="AG208" i="5"/>
  <c r="P465" i="36" s="1"/>
  <c r="AJ208" i="5"/>
  <c r="P468" i="36" s="1"/>
  <c r="AG230" i="5"/>
  <c r="P159" i="36" s="1"/>
  <c r="P186" i="36" s="1"/>
  <c r="T239" i="36"/>
  <c r="AA426" i="35"/>
  <c r="Z83" i="5"/>
  <c r="Z85" i="5" s="1"/>
  <c r="BH61" i="5"/>
  <c r="AY61" i="5"/>
  <c r="BO61" i="5"/>
  <c r="AX61" i="5"/>
  <c r="S61" i="5"/>
  <c r="BM61" i="5"/>
  <c r="BI61" i="5"/>
  <c r="BG61" i="5"/>
  <c r="BL61" i="5"/>
  <c r="BD61" i="5"/>
  <c r="BM41" i="5"/>
  <c r="V316" i="35"/>
  <c r="V304" i="35"/>
  <c r="N245" i="35"/>
  <c r="T252" i="35"/>
  <c r="Q240" i="35"/>
  <c r="Q243" i="35"/>
  <c r="AF247" i="35"/>
  <c r="V399" i="2"/>
  <c r="AF230" i="35" s="1"/>
  <c r="AE304" i="35"/>
  <c r="AG334" i="5"/>
  <c r="V465" i="36" s="1"/>
  <c r="BK169" i="5"/>
  <c r="Z182" i="5"/>
  <c r="Z184" i="5" s="1"/>
  <c r="Q528" i="5"/>
  <c r="Q548" i="5" s="1"/>
  <c r="AW80" i="2"/>
  <c r="BD266" i="2"/>
  <c r="BH80" i="2"/>
  <c r="BM80" i="2"/>
  <c r="BI43" i="2"/>
  <c r="AZ44" i="2"/>
  <c r="BO48" i="2"/>
  <c r="BG48" i="2"/>
  <c r="BI341" i="5"/>
  <c r="AZ341" i="5"/>
  <c r="BR336" i="5"/>
  <c r="BI169" i="5"/>
  <c r="BC44" i="2"/>
  <c r="BF48" i="2"/>
  <c r="AZ48" i="2"/>
  <c r="BF44" i="2"/>
  <c r="BQ169" i="5"/>
  <c r="BA80" i="2"/>
  <c r="BF80" i="2"/>
  <c r="AD235" i="5"/>
  <c r="U462" i="36" s="1"/>
  <c r="BR189" i="5"/>
  <c r="BR201" i="5" s="1"/>
  <c r="BR203" i="5" s="1"/>
  <c r="AS205" i="5" s="1"/>
  <c r="AJ334" i="5"/>
  <c r="V468" i="36" s="1"/>
  <c r="AK334" i="5"/>
  <c r="V469" i="36" s="1"/>
  <c r="AF334" i="5"/>
  <c r="V464" i="36" s="1"/>
  <c r="AK155" i="5"/>
  <c r="Y469" i="36" s="1"/>
  <c r="AC452" i="5"/>
  <c r="AB461" i="36" s="1"/>
  <c r="AD479" i="5"/>
  <c r="AB156" i="36" s="1"/>
  <c r="AB183" i="36" s="1"/>
  <c r="AL479" i="5"/>
  <c r="AB164" i="36" s="1"/>
  <c r="AB191" i="36" s="1"/>
  <c r="BC47" i="2"/>
  <c r="BI44" i="2"/>
  <c r="AY80" i="2"/>
  <c r="BO80" i="2"/>
  <c r="BR47" i="2"/>
  <c r="BI47" i="2"/>
  <c r="BE43" i="2"/>
  <c r="BB44" i="2"/>
  <c r="BR44" i="2"/>
  <c r="BD43" i="2"/>
  <c r="BM47" i="2"/>
  <c r="BK48" i="2"/>
  <c r="BB47" i="2"/>
  <c r="BB169" i="5"/>
  <c r="BL169" i="5"/>
  <c r="AX341" i="5"/>
  <c r="AX345" i="5"/>
  <c r="BD336" i="5"/>
  <c r="BJ49" i="2"/>
  <c r="BK49" i="2"/>
  <c r="BE49" i="2"/>
  <c r="BA48" i="2"/>
  <c r="BK47" i="2"/>
  <c r="BC49" i="2"/>
  <c r="BI48" i="2"/>
  <c r="AZ49" i="2"/>
  <c r="BP49" i="2"/>
  <c r="BH49" i="2"/>
  <c r="BD81" i="2"/>
  <c r="BR49" i="2"/>
  <c r="BI49" i="2"/>
  <c r="AY49" i="2"/>
  <c r="BJ80" i="2"/>
  <c r="AV80" i="2"/>
  <c r="BD47" i="2"/>
  <c r="BD455" i="5"/>
  <c r="BN49" i="2"/>
  <c r="BF49" i="2"/>
  <c r="BO49" i="2"/>
  <c r="BE341" i="5"/>
  <c r="BQ49" i="2"/>
  <c r="BG80" i="2"/>
  <c r="BQ80" i="2"/>
  <c r="BO43" i="2"/>
  <c r="BG43" i="2"/>
  <c r="BE44" i="2"/>
  <c r="AV49" i="2"/>
  <c r="BG47" i="2"/>
  <c r="BM48" i="2"/>
  <c r="BE48" i="2"/>
  <c r="AY336" i="5"/>
  <c r="BC341" i="5"/>
  <c r="BL336" i="5"/>
  <c r="BM336" i="5"/>
  <c r="AX49" i="2"/>
  <c r="BM49" i="2"/>
  <c r="BG49" i="2"/>
  <c r="AZ47" i="2"/>
  <c r="AY48" i="2"/>
  <c r="AV48" i="2"/>
  <c r="BL48" i="2"/>
  <c r="BD49" i="2"/>
  <c r="BL49" i="2"/>
  <c r="AV43" i="2"/>
  <c r="BN43" i="2"/>
  <c r="BF43" i="2"/>
  <c r="AV44" i="2"/>
  <c r="BL44" i="2"/>
  <c r="BN341" i="5"/>
  <c r="BQ341" i="5"/>
  <c r="AV336" i="5"/>
  <c r="N252" i="25"/>
  <c r="J252" i="25" s="1"/>
  <c r="N254" i="25"/>
  <c r="J254" i="25" s="1"/>
  <c r="N253" i="25"/>
  <c r="O253" i="25" s="1"/>
  <c r="N256" i="25"/>
  <c r="K256" i="25" s="1"/>
  <c r="P256" i="25" s="1"/>
  <c r="N255" i="25"/>
  <c r="O255" i="25" s="1"/>
  <c r="T244" i="36"/>
  <c r="BJ169" i="5"/>
  <c r="AA382" i="35"/>
  <c r="Z382" i="35"/>
  <c r="Z380" i="35"/>
  <c r="AE380" i="35"/>
  <c r="Y182" i="5"/>
  <c r="Y151" i="36" s="1"/>
  <c r="Y178" i="36" s="1"/>
  <c r="AX164" i="5"/>
  <c r="X424" i="35"/>
  <c r="N11" i="27"/>
  <c r="J11" i="27" s="1"/>
  <c r="AQ83" i="5"/>
  <c r="AF249" i="5"/>
  <c r="U158" i="36" s="1"/>
  <c r="U185" i="36" s="1"/>
  <c r="AS249" i="5"/>
  <c r="U171" i="36" s="1"/>
  <c r="U198" i="36" s="1"/>
  <c r="AE334" i="5"/>
  <c r="V463" i="36" s="1"/>
  <c r="AB249" i="5"/>
  <c r="AB519" i="5" s="1"/>
  <c r="AE348" i="5"/>
  <c r="V157" i="36" s="1"/>
  <c r="V184" i="36" s="1"/>
  <c r="AA334" i="5"/>
  <c r="V459" i="36" s="1"/>
  <c r="BR341" i="5"/>
  <c r="AM348" i="5"/>
  <c r="AM520" i="5" s="1"/>
  <c r="AI348" i="5"/>
  <c r="AI350" i="5" s="1"/>
  <c r="AB348" i="5"/>
  <c r="AB350" i="5" s="1"/>
  <c r="BA341" i="5"/>
  <c r="BH336" i="5"/>
  <c r="AI155" i="5"/>
  <c r="Y467" i="36" s="1"/>
  <c r="BJ336" i="5"/>
  <c r="BQ117" i="2"/>
  <c r="AI334" i="5"/>
  <c r="V467" i="36" s="1"/>
  <c r="AB334" i="5"/>
  <c r="V460" i="36" s="1"/>
  <c r="AK348" i="5"/>
  <c r="V163" i="36" s="1"/>
  <c r="V190" i="36" s="1"/>
  <c r="AQ334" i="5"/>
  <c r="V475" i="36" s="1"/>
  <c r="AV498" i="5"/>
  <c r="W501" i="5" s="1"/>
  <c r="AD334" i="5"/>
  <c r="V462" i="36" s="1"/>
  <c r="AM334" i="5"/>
  <c r="V471" i="36" s="1"/>
  <c r="AP348" i="5"/>
  <c r="AP350" i="5" s="1"/>
  <c r="X348" i="5"/>
  <c r="X350" i="5" s="1"/>
  <c r="AO348" i="5"/>
  <c r="AO520" i="5" s="1"/>
  <c r="AB338" i="35"/>
  <c r="BP266" i="5"/>
  <c r="BH455" i="5"/>
  <c r="BA455" i="5"/>
  <c r="AZ455" i="5"/>
  <c r="BQ455" i="5"/>
  <c r="BF455" i="5"/>
  <c r="BB455" i="5"/>
  <c r="AY455" i="5"/>
  <c r="BM455" i="5"/>
  <c r="AX455" i="5"/>
  <c r="BE455" i="5"/>
  <c r="BJ455" i="5"/>
  <c r="BE47" i="2"/>
  <c r="AV47" i="2"/>
  <c r="BG455" i="5"/>
  <c r="BN455" i="5"/>
  <c r="AV455" i="5"/>
  <c r="BK455" i="5"/>
  <c r="BC455" i="5"/>
  <c r="V348" i="5"/>
  <c r="V520" i="5" s="1"/>
  <c r="S498" i="5"/>
  <c r="Z427" i="35"/>
  <c r="R348" i="5"/>
  <c r="V229" i="36" s="1"/>
  <c r="BG345" i="5"/>
  <c r="BA345" i="5"/>
  <c r="BM345" i="5"/>
  <c r="BQ345" i="5"/>
  <c r="AY345" i="5"/>
  <c r="BB336" i="5"/>
  <c r="BP79" i="2"/>
  <c r="BI345" i="5"/>
  <c r="BL455" i="5"/>
  <c r="AW455" i="5"/>
  <c r="BO79" i="2"/>
  <c r="BC345" i="5"/>
  <c r="BM79" i="2"/>
  <c r="BF79" i="2"/>
  <c r="BH79" i="2"/>
  <c r="BJ79" i="2"/>
  <c r="BG79" i="2"/>
  <c r="BL345" i="5"/>
  <c r="BE345" i="5"/>
  <c r="AW341" i="5"/>
  <c r="BO455" i="5"/>
  <c r="BR455" i="5"/>
  <c r="BO378" i="2"/>
  <c r="BB79" i="2"/>
  <c r="BR79" i="2"/>
  <c r="BK345" i="5"/>
  <c r="BK79" i="2"/>
  <c r="AY79" i="2"/>
  <c r="BP345" i="5"/>
  <c r="BH345" i="5"/>
  <c r="BJ345" i="5"/>
  <c r="BB49" i="2"/>
  <c r="AX79" i="2"/>
  <c r="BQ79" i="2"/>
  <c r="S201" i="5"/>
  <c r="BC79" i="2"/>
  <c r="BE79" i="2"/>
  <c r="AZ345" i="5"/>
  <c r="BB345" i="5"/>
  <c r="BP47" i="2"/>
  <c r="BH376" i="2"/>
  <c r="AW79" i="2"/>
  <c r="BD79" i="2"/>
  <c r="AY47" i="2"/>
  <c r="BQ47" i="2"/>
  <c r="BO47" i="2"/>
  <c r="AW47" i="2"/>
  <c r="AX47" i="2"/>
  <c r="BP455" i="5"/>
  <c r="AH423" i="35"/>
  <c r="AC380" i="35"/>
  <c r="T240" i="36"/>
  <c r="AH380" i="35"/>
  <c r="V245" i="36"/>
  <c r="AX336" i="5"/>
  <c r="V248" i="36"/>
  <c r="Y348" i="5"/>
  <c r="Y350" i="5" s="1"/>
  <c r="BK336" i="5"/>
  <c r="AO334" i="5"/>
  <c r="V473" i="36" s="1"/>
  <c r="F473" i="36" s="1"/>
  <c r="AN334" i="5"/>
  <c r="V472" i="36" s="1"/>
  <c r="Z348" i="5"/>
  <c r="Z350" i="5" s="1"/>
  <c r="BO336" i="5"/>
  <c r="AP334" i="5"/>
  <c r="V474" i="36" s="1"/>
  <c r="Q240" i="36"/>
  <c r="AH425" i="35"/>
  <c r="X425" i="35"/>
  <c r="AI249" i="5"/>
  <c r="AI519" i="5" s="1"/>
  <c r="Y228" i="36"/>
  <c r="T248" i="36"/>
  <c r="J255" i="27"/>
  <c r="L255" i="27"/>
  <c r="O255" i="27"/>
  <c r="J254" i="27"/>
  <c r="K254" i="27"/>
  <c r="P254" i="27" s="1"/>
  <c r="O254" i="27"/>
  <c r="AL348" i="5"/>
  <c r="V164" i="36" s="1"/>
  <c r="V191" i="36" s="1"/>
  <c r="AL334" i="5"/>
  <c r="V470" i="36" s="1"/>
  <c r="AC334" i="5"/>
  <c r="V461" i="36" s="1"/>
  <c r="AY341" i="5"/>
  <c r="AW345" i="5"/>
  <c r="AN348" i="5"/>
  <c r="AN350" i="5" s="1"/>
  <c r="AC348" i="5"/>
  <c r="V155" i="36" s="1"/>
  <c r="V182" i="36" s="1"/>
  <c r="BM341" i="5"/>
  <c r="BD341" i="5"/>
  <c r="AR348" i="5"/>
  <c r="AR350" i="5" s="1"/>
  <c r="AS334" i="5"/>
  <c r="V477" i="36" s="1"/>
  <c r="AV345" i="5"/>
  <c r="S345" i="5"/>
  <c r="S348" i="5" s="1"/>
  <c r="AR334" i="5"/>
  <c r="V476" i="36" s="1"/>
  <c r="BR345" i="5"/>
  <c r="U247" i="36"/>
  <c r="AY159" i="5"/>
  <c r="I339" i="35"/>
  <c r="I423" i="35"/>
  <c r="S339" i="2"/>
  <c r="S337" i="2"/>
  <c r="S338" i="2"/>
  <c r="S341" i="2"/>
  <c r="S340" i="2"/>
  <c r="P242" i="35"/>
  <c r="T239" i="35"/>
  <c r="N382" i="35"/>
  <c r="O251" i="35"/>
  <c r="BN47" i="2"/>
  <c r="BF47" i="2"/>
  <c r="BL47" i="2"/>
  <c r="BJ47" i="2"/>
  <c r="BA47" i="2"/>
  <c r="S306" i="35"/>
  <c r="BH47" i="2"/>
  <c r="L10" i="25"/>
  <c r="N249" i="35"/>
  <c r="N238" i="35"/>
  <c r="N242" i="35"/>
  <c r="J10" i="25"/>
  <c r="N243" i="35"/>
  <c r="N246" i="35"/>
  <c r="O10" i="25"/>
  <c r="BL80" i="2"/>
  <c r="AZ79" i="2"/>
  <c r="BC78" i="2"/>
  <c r="J251" i="27"/>
  <c r="L251" i="27"/>
  <c r="O251" i="27"/>
  <c r="BP80" i="2"/>
  <c r="BR80" i="2"/>
  <c r="BD80" i="2"/>
  <c r="BI80" i="2"/>
  <c r="BN80" i="2"/>
  <c r="BH411" i="2"/>
  <c r="AY177" i="2"/>
  <c r="BI177" i="2"/>
  <c r="AX177" i="2"/>
  <c r="V518" i="5"/>
  <c r="BA473" i="2"/>
  <c r="BR81" i="2"/>
  <c r="BI81" i="2"/>
  <c r="BP81" i="2"/>
  <c r="BL81" i="2"/>
  <c r="BK81" i="2"/>
  <c r="BB81" i="2"/>
  <c r="AW81" i="2"/>
  <c r="BF81" i="2"/>
  <c r="BJ81" i="2"/>
  <c r="AY81" i="2"/>
  <c r="BE81" i="2"/>
  <c r="AX81" i="2"/>
  <c r="BC81" i="2"/>
  <c r="BF413" i="2"/>
  <c r="BG81" i="2"/>
  <c r="AV81" i="2"/>
  <c r="BQ81" i="2"/>
  <c r="BM81" i="2"/>
  <c r="BN81" i="2"/>
  <c r="BH81" i="2"/>
  <c r="BO81" i="2"/>
  <c r="AZ81" i="2"/>
  <c r="BL79" i="2"/>
  <c r="AV79" i="2"/>
  <c r="BN79" i="2"/>
  <c r="T272" i="36"/>
  <c r="BB238" i="5"/>
  <c r="BB249" i="5" s="1"/>
  <c r="AC252" i="5" s="1"/>
  <c r="AX80" i="2"/>
  <c r="E424" i="35"/>
  <c r="BK80" i="2"/>
  <c r="S131" i="5"/>
  <c r="AD155" i="5"/>
  <c r="Y462" i="36" s="1"/>
  <c r="Z425" i="35"/>
  <c r="Z426" i="35"/>
  <c r="AD427" i="35"/>
  <c r="T253" i="36"/>
  <c r="T241" i="36"/>
  <c r="AF382" i="35"/>
  <c r="AD382" i="35"/>
  <c r="T238" i="36"/>
  <c r="T246" i="36"/>
  <c r="P252" i="36"/>
  <c r="T247" i="36"/>
  <c r="T245" i="36"/>
  <c r="Q248" i="36"/>
  <c r="T250" i="36"/>
  <c r="T251" i="36"/>
  <c r="AE247" i="36"/>
  <c r="T242" i="36"/>
  <c r="T243" i="36"/>
  <c r="V241" i="36"/>
  <c r="T249" i="36"/>
  <c r="T252" i="36"/>
  <c r="X380" i="35"/>
  <c r="P251" i="36"/>
  <c r="AE250" i="36"/>
  <c r="P243" i="36"/>
  <c r="AG381" i="35"/>
  <c r="AE241" i="36"/>
  <c r="AE245" i="36"/>
  <c r="AV60" i="5"/>
  <c r="BL477" i="2"/>
  <c r="N241" i="35"/>
  <c r="T389" i="35"/>
  <c r="N239" i="35"/>
  <c r="N252" i="35"/>
  <c r="N240" i="35"/>
  <c r="P240" i="35"/>
  <c r="N250" i="35"/>
  <c r="N251" i="35"/>
  <c r="N253" i="35"/>
  <c r="L382" i="35"/>
  <c r="P245" i="35"/>
  <c r="P246" i="35"/>
  <c r="S246" i="35"/>
  <c r="N247" i="35"/>
  <c r="P241" i="35"/>
  <c r="P251" i="35"/>
  <c r="D379" i="35"/>
  <c r="K381" i="35"/>
  <c r="P247" i="35"/>
  <c r="BA81" i="2"/>
  <c r="BI79" i="2"/>
  <c r="W250" i="35"/>
  <c r="O244" i="35"/>
  <c r="K379" i="35"/>
  <c r="BA79" i="2"/>
  <c r="T251" i="35"/>
  <c r="V249" i="5"/>
  <c r="U230" i="36" s="1"/>
  <c r="AX259" i="2"/>
  <c r="AV259" i="2"/>
  <c r="L253" i="27"/>
  <c r="J253" i="27"/>
  <c r="K253" i="27"/>
  <c r="P253" i="27" s="1"/>
  <c r="T261" i="36"/>
  <c r="T271" i="36"/>
  <c r="T276" i="36"/>
  <c r="O9" i="27"/>
  <c r="L252" i="27"/>
  <c r="L9" i="27"/>
  <c r="J252" i="27"/>
  <c r="K252" i="27"/>
  <c r="P252" i="27" s="1"/>
  <c r="K9" i="27"/>
  <c r="P9" i="27" s="1"/>
  <c r="BD410" i="2"/>
  <c r="AV477" i="2"/>
  <c r="BN201" i="5"/>
  <c r="AO204" i="5" s="1"/>
  <c r="BQ201" i="5"/>
  <c r="AR204" i="5" s="1"/>
  <c r="AM56" i="5"/>
  <c r="X471" i="36" s="1"/>
  <c r="AA249" i="5"/>
  <c r="U153" i="36" s="1"/>
  <c r="U180" i="36" s="1"/>
  <c r="AG182" i="5"/>
  <c r="Y159" i="36" s="1"/>
  <c r="Y186" i="36" s="1"/>
  <c r="AI182" i="5"/>
  <c r="AI184" i="5" s="1"/>
  <c r="AE249" i="5"/>
  <c r="AE251" i="5" s="1"/>
  <c r="AN249" i="5"/>
  <c r="U166" i="36" s="1"/>
  <c r="U193" i="36" s="1"/>
  <c r="BJ201" i="5"/>
  <c r="AK204" i="5" s="1"/>
  <c r="AR249" i="5"/>
  <c r="U170" i="36" s="1"/>
  <c r="U197" i="36" s="1"/>
  <c r="BQ78" i="2"/>
  <c r="AQ182" i="5"/>
  <c r="Y169" i="36" s="1"/>
  <c r="Y196" i="36" s="1"/>
  <c r="AZ201" i="5"/>
  <c r="AA204" i="5" s="1"/>
  <c r="AR507" i="5"/>
  <c r="BB201" i="5"/>
  <c r="AC204" i="5" s="1"/>
  <c r="AH182" i="5"/>
  <c r="AH184" i="5" s="1"/>
  <c r="BF201" i="5"/>
  <c r="BF203" i="5" s="1"/>
  <c r="AG205" i="5" s="1"/>
  <c r="AD182" i="5"/>
  <c r="Y156" i="36" s="1"/>
  <c r="Y183" i="36" s="1"/>
  <c r="AH155" i="5"/>
  <c r="Y466" i="36" s="1"/>
  <c r="BD42" i="2"/>
  <c r="BE277" i="2"/>
  <c r="AY42" i="2"/>
  <c r="BI370" i="2"/>
  <c r="BH370" i="2"/>
  <c r="BQ271" i="2"/>
  <c r="BC312" i="2"/>
  <c r="BK312" i="2"/>
  <c r="AW341" i="2"/>
  <c r="BD370" i="2"/>
  <c r="AX370" i="2"/>
  <c r="BG411" i="2"/>
  <c r="BR411" i="2"/>
  <c r="AZ42" i="2"/>
  <c r="AV42" i="2"/>
  <c r="BP201" i="5"/>
  <c r="BP203" i="5" s="1"/>
  <c r="AQ205" i="5" s="1"/>
  <c r="AY467" i="2"/>
  <c r="R507" i="5"/>
  <c r="S507" i="5" s="1"/>
  <c r="BR410" i="2"/>
  <c r="BE175" i="2"/>
  <c r="AF426" i="35"/>
  <c r="BQ498" i="5"/>
  <c r="BQ500" i="5" s="1"/>
  <c r="AR502" i="5" s="1"/>
  <c r="BF177" i="2"/>
  <c r="BL177" i="2"/>
  <c r="BO177" i="2"/>
  <c r="BO178" i="2"/>
  <c r="BF178" i="2"/>
  <c r="BD371" i="2"/>
  <c r="BA164" i="5"/>
  <c r="BP238" i="5"/>
  <c r="BP249" i="5" s="1"/>
  <c r="AQ252" i="5" s="1"/>
  <c r="BR498" i="5"/>
  <c r="AS501" i="5" s="1"/>
  <c r="BI371" i="2"/>
  <c r="V508" i="5"/>
  <c r="AV201" i="5"/>
  <c r="W204" i="5" s="1"/>
  <c r="BM238" i="5"/>
  <c r="BM249" i="5" s="1"/>
  <c r="BD238" i="5"/>
  <c r="BD249" i="5" s="1"/>
  <c r="BQ238" i="5"/>
  <c r="BQ249" i="5" s="1"/>
  <c r="BP472" i="2"/>
  <c r="BG475" i="2"/>
  <c r="BQ164" i="5"/>
  <c r="AV238" i="5"/>
  <c r="BR238" i="5"/>
  <c r="BR249" i="5" s="1"/>
  <c r="BR251" i="5" s="1"/>
  <c r="AS253" i="5" s="1"/>
  <c r="BM142" i="2"/>
  <c r="AW201" i="5"/>
  <c r="AW203" i="5" s="1"/>
  <c r="X205" i="5" s="1"/>
  <c r="BH238" i="5"/>
  <c r="BH249" i="5" s="1"/>
  <c r="AI252" i="5" s="1"/>
  <c r="BF238" i="5"/>
  <c r="BF249" i="5" s="1"/>
  <c r="BB437" i="2"/>
  <c r="BI475" i="2"/>
  <c r="BD164" i="5"/>
  <c r="R249" i="5"/>
  <c r="U229" i="36" s="1"/>
  <c r="BN238" i="5"/>
  <c r="AW458" i="2"/>
  <c r="AY458" i="2"/>
  <c r="BJ377" i="2"/>
  <c r="BR477" i="2"/>
  <c r="BC42" i="2"/>
  <c r="V517" i="5"/>
  <c r="AW436" i="2"/>
  <c r="BM498" i="5"/>
  <c r="AN501" i="5" s="1"/>
  <c r="AY201" i="5"/>
  <c r="Z204" i="5" s="1"/>
  <c r="AY498" i="5"/>
  <c r="AY500" i="5" s="1"/>
  <c r="Z502" i="5" s="1"/>
  <c r="BG201" i="5"/>
  <c r="AH204" i="5" s="1"/>
  <c r="AY13" i="2"/>
  <c r="BJ13" i="2"/>
  <c r="BK471" i="2"/>
  <c r="BI201" i="5"/>
  <c r="AJ204" i="5" s="1"/>
  <c r="BL201" i="5"/>
  <c r="AM204" i="5" s="1"/>
  <c r="BH471" i="2"/>
  <c r="BJ139" i="2"/>
  <c r="AX139" i="2"/>
  <c r="BO498" i="5"/>
  <c r="AP501" i="5" s="1"/>
  <c r="BD361" i="2"/>
  <c r="BF14" i="2"/>
  <c r="AY18" i="2"/>
  <c r="AX42" i="2"/>
  <c r="BA266" i="2"/>
  <c r="BL361" i="2"/>
  <c r="BM368" i="2"/>
  <c r="BJ112" i="2"/>
  <c r="BG266" i="2"/>
  <c r="BA257" i="2"/>
  <c r="AY266" i="2"/>
  <c r="AZ14" i="2"/>
  <c r="BK14" i="2"/>
  <c r="BO139" i="2"/>
  <c r="BG139" i="2"/>
  <c r="BP210" i="2"/>
  <c r="BO210" i="2"/>
  <c r="BG210" i="2"/>
  <c r="AY210" i="2"/>
  <c r="BK409" i="2"/>
  <c r="BL210" i="2"/>
  <c r="BD210" i="2"/>
  <c r="AV210" i="2"/>
  <c r="AV139" i="2"/>
  <c r="BK210" i="2"/>
  <c r="BC210" i="2"/>
  <c r="BN90" i="2"/>
  <c r="BD140" i="2"/>
  <c r="BI140" i="2"/>
  <c r="AW338" i="2"/>
  <c r="BO413" i="2"/>
  <c r="AX413" i="2"/>
  <c r="BD39" i="2"/>
  <c r="BQ39" i="2"/>
  <c r="AV312" i="2"/>
  <c r="BD312" i="2"/>
  <c r="BJ140" i="2"/>
  <c r="AX140" i="2"/>
  <c r="AV456" i="2"/>
  <c r="AV170" i="2"/>
  <c r="BE238" i="5"/>
  <c r="BE249" i="5" s="1"/>
  <c r="BP338" i="2"/>
  <c r="AV338" i="2"/>
  <c r="BO338" i="2"/>
  <c r="BH338" i="2"/>
  <c r="AY118" i="2"/>
  <c r="BH170" i="2"/>
  <c r="AX90" i="2"/>
  <c r="BB117" i="2"/>
  <c r="V201" i="2"/>
  <c r="AD230" i="35" s="1"/>
  <c r="AW177" i="2"/>
  <c r="BC177" i="2"/>
  <c r="BR177" i="2"/>
  <c r="BL377" i="2"/>
  <c r="BG238" i="5"/>
  <c r="BG249" i="5" s="1"/>
  <c r="BL310" i="2"/>
  <c r="BF273" i="2"/>
  <c r="AW66" i="2"/>
  <c r="BC18" i="2"/>
  <c r="BE90" i="2"/>
  <c r="BB90" i="2"/>
  <c r="AZ170" i="2"/>
  <c r="BK18" i="2"/>
  <c r="AV310" i="2"/>
  <c r="BD310" i="2"/>
  <c r="BQ142" i="2"/>
  <c r="BN142" i="2"/>
  <c r="BA142" i="2"/>
  <c r="BJ258" i="2"/>
  <c r="BD365" i="2"/>
  <c r="AW90" i="2"/>
  <c r="BR90" i="2"/>
  <c r="BB258" i="2"/>
  <c r="BJ265" i="2"/>
  <c r="BL365" i="2"/>
  <c r="BP459" i="2"/>
  <c r="BG258" i="2"/>
  <c r="BJ14" i="2"/>
  <c r="BH210" i="2"/>
  <c r="AZ210" i="2"/>
  <c r="BK90" i="2"/>
  <c r="AZ188" i="2"/>
  <c r="BL113" i="2"/>
  <c r="AV239" i="2"/>
  <c r="BC410" i="2"/>
  <c r="AZ373" i="2"/>
  <c r="BA265" i="2"/>
  <c r="AV458" i="2"/>
  <c r="AZ458" i="2"/>
  <c r="BM139" i="2"/>
  <c r="BR139" i="2"/>
  <c r="BN210" i="2"/>
  <c r="BF210" i="2"/>
  <c r="BH238" i="2"/>
  <c r="BJ240" i="2"/>
  <c r="AW411" i="2"/>
  <c r="BL411" i="2"/>
  <c r="BK411" i="2"/>
  <c r="BC90" i="2"/>
  <c r="BB73" i="2"/>
  <c r="BN73" i="2"/>
  <c r="BR118" i="2"/>
  <c r="BO377" i="2"/>
  <c r="BB377" i="2"/>
  <c r="BG377" i="2"/>
  <c r="AX238" i="5"/>
  <c r="AX249" i="5" s="1"/>
  <c r="AX251" i="5" s="1"/>
  <c r="Y253" i="5" s="1"/>
  <c r="BI90" i="2"/>
  <c r="BF90" i="2"/>
  <c r="AY471" i="2"/>
  <c r="BM201" i="5"/>
  <c r="AN204" i="5" s="1"/>
  <c r="AW172" i="2"/>
  <c r="BQ168" i="2"/>
  <c r="BA357" i="2"/>
  <c r="AV357" i="2"/>
  <c r="BE274" i="2"/>
  <c r="BL14" i="2"/>
  <c r="BG14" i="2"/>
  <c r="BP41" i="2"/>
  <c r="BH41" i="2"/>
  <c r="BN113" i="2"/>
  <c r="BF113" i="2"/>
  <c r="AX113" i="2"/>
  <c r="BR210" i="2"/>
  <c r="BJ210" i="2"/>
  <c r="BB210" i="2"/>
  <c r="BP239" i="2"/>
  <c r="AX239" i="2"/>
  <c r="BB312" i="2"/>
  <c r="BJ312" i="2"/>
  <c r="BC409" i="2"/>
  <c r="BR409" i="2"/>
  <c r="BQ437" i="2"/>
  <c r="BG437" i="2"/>
  <c r="BL436" i="2"/>
  <c r="BM436" i="2"/>
  <c r="BI377" i="2"/>
  <c r="BA477" i="2"/>
  <c r="BC477" i="2"/>
  <c r="BJ477" i="2"/>
  <c r="BA163" i="2"/>
  <c r="BJ264" i="2"/>
  <c r="BC357" i="2"/>
  <c r="BK357" i="2"/>
  <c r="BH172" i="2"/>
  <c r="AV264" i="2"/>
  <c r="AV162" i="2"/>
  <c r="AY264" i="2"/>
  <c r="AX264" i="2"/>
  <c r="BB41" i="2"/>
  <c r="BO41" i="2"/>
  <c r="BN112" i="2"/>
  <c r="BF112" i="2"/>
  <c r="AX477" i="2"/>
  <c r="BH477" i="2"/>
  <c r="AZ477" i="2"/>
  <c r="BB477" i="2"/>
  <c r="AW477" i="2"/>
  <c r="BI477" i="2"/>
  <c r="BJ173" i="2"/>
  <c r="BI42" i="2"/>
  <c r="BO42" i="2"/>
  <c r="BD377" i="2"/>
  <c r="BI264" i="2"/>
  <c r="BP14" i="2"/>
  <c r="BD14" i="2"/>
  <c r="BO14" i="2"/>
  <c r="AY14" i="2"/>
  <c r="AV41" i="2"/>
  <c r="BL41" i="2"/>
  <c r="BC41" i="2"/>
  <c r="BJ113" i="2"/>
  <c r="BB113" i="2"/>
  <c r="AZ239" i="2"/>
  <c r="AX312" i="2"/>
  <c r="BF312" i="2"/>
  <c r="BB409" i="2"/>
  <c r="BM439" i="2"/>
  <c r="BC371" i="2"/>
  <c r="BM371" i="2"/>
  <c r="BP474" i="2"/>
  <c r="O275" i="36"/>
  <c r="BN477" i="2"/>
  <c r="BE270" i="2"/>
  <c r="BI270" i="2"/>
  <c r="BB112" i="2"/>
  <c r="BG239" i="2"/>
  <c r="BH14" i="2"/>
  <c r="BC14" i="2"/>
  <c r="BH113" i="2"/>
  <c r="AZ312" i="2"/>
  <c r="BH312" i="2"/>
  <c r="BP312" i="2"/>
  <c r="BB436" i="2"/>
  <c r="BC436" i="2"/>
  <c r="BO73" i="2"/>
  <c r="BC76" i="2"/>
  <c r="BO373" i="2"/>
  <c r="BN377" i="2"/>
  <c r="BG477" i="2"/>
  <c r="BE477" i="2"/>
  <c r="BF477" i="2"/>
  <c r="BC238" i="5"/>
  <c r="BC249" i="5" s="1"/>
  <c r="AZ166" i="2"/>
  <c r="BB362" i="2"/>
  <c r="BJ143" i="2"/>
  <c r="BQ143" i="2"/>
  <c r="BN143" i="2"/>
  <c r="BO143" i="2"/>
  <c r="BG241" i="2"/>
  <c r="AY357" i="2"/>
  <c r="BK270" i="2"/>
  <c r="BD477" i="2"/>
  <c r="AY477" i="2"/>
  <c r="BC498" i="5"/>
  <c r="AD501" i="5" s="1"/>
  <c r="AM182" i="5"/>
  <c r="Y165" i="36" s="1"/>
  <c r="Y192" i="36" s="1"/>
  <c r="BI238" i="5"/>
  <c r="BI249" i="5" s="1"/>
  <c r="BI251" i="5" s="1"/>
  <c r="AJ253" i="5" s="1"/>
  <c r="AX159" i="5"/>
  <c r="BL498" i="5"/>
  <c r="AM501" i="5" s="1"/>
  <c r="AK249" i="5"/>
  <c r="U163" i="36" s="1"/>
  <c r="U190" i="36" s="1"/>
  <c r="AX498" i="5"/>
  <c r="AX500" i="5" s="1"/>
  <c r="Y502" i="5" s="1"/>
  <c r="AM235" i="5"/>
  <c r="U471" i="36" s="1"/>
  <c r="BJ238" i="5"/>
  <c r="BJ249" i="5" s="1"/>
  <c r="AK252" i="5" s="1"/>
  <c r="P305" i="35"/>
  <c r="AN155" i="5"/>
  <c r="Y472" i="36" s="1"/>
  <c r="AZ498" i="5"/>
  <c r="AA501" i="5" s="1"/>
  <c r="BJ498" i="5"/>
  <c r="AK501" i="5" s="1"/>
  <c r="BO238" i="5"/>
  <c r="BO249" i="5" s="1"/>
  <c r="BO251" i="5" s="1"/>
  <c r="AP253" i="5" s="1"/>
  <c r="AG235" i="5"/>
  <c r="U465" i="36" s="1"/>
  <c r="AH249" i="5"/>
  <c r="AH519" i="5" s="1"/>
  <c r="AP235" i="5"/>
  <c r="U474" i="36" s="1"/>
  <c r="BK238" i="5"/>
  <c r="BK249" i="5" s="1"/>
  <c r="BK251" i="5" s="1"/>
  <c r="AL253" i="5" s="1"/>
  <c r="AS182" i="5"/>
  <c r="AS184" i="5" s="1"/>
  <c r="AN182" i="5"/>
  <c r="Y166" i="36" s="1"/>
  <c r="Y193" i="36" s="1"/>
  <c r="W51" i="5"/>
  <c r="W230" i="5"/>
  <c r="W348" i="5"/>
  <c r="BK498" i="5"/>
  <c r="AL501" i="5" s="1"/>
  <c r="AE539" i="5"/>
  <c r="AR155" i="5"/>
  <c r="Y476" i="36" s="1"/>
  <c r="AL249" i="5"/>
  <c r="U164" i="36" s="1"/>
  <c r="U191" i="36" s="1"/>
  <c r="Y249" i="5"/>
  <c r="U151" i="36" s="1"/>
  <c r="U178" i="36" s="1"/>
  <c r="AZ238" i="5"/>
  <c r="AZ249" i="5" s="1"/>
  <c r="AI83" i="5"/>
  <c r="X161" i="36" s="1"/>
  <c r="X188" i="36" s="1"/>
  <c r="BM159" i="5"/>
  <c r="BM377" i="2"/>
  <c r="AS83" i="5"/>
  <c r="AS527" i="5" s="1"/>
  <c r="AJ182" i="5"/>
  <c r="AJ184" i="5" s="1"/>
  <c r="AR182" i="5"/>
  <c r="Y170" i="36" s="1"/>
  <c r="Y197" i="36" s="1"/>
  <c r="AG249" i="5"/>
  <c r="U159" i="36" s="1"/>
  <c r="U186" i="36" s="1"/>
  <c r="AY238" i="5"/>
  <c r="AY249" i="5" s="1"/>
  <c r="BH159" i="5"/>
  <c r="AC162" i="36"/>
  <c r="Y230" i="5"/>
  <c r="P151" i="36" s="1"/>
  <c r="P178" i="36" s="1"/>
  <c r="AG538" i="5"/>
  <c r="AM500" i="5"/>
  <c r="AE157" i="36"/>
  <c r="BA238" i="5"/>
  <c r="BA249" i="5" s="1"/>
  <c r="BC159" i="5"/>
  <c r="BC201" i="5"/>
  <c r="AD204" i="5" s="1"/>
  <c r="AD159" i="36"/>
  <c r="BA201" i="5"/>
  <c r="AB204" i="5" s="1"/>
  <c r="W329" i="5"/>
  <c r="BM275" i="2"/>
  <c r="AG162" i="36"/>
  <c r="AD537" i="5"/>
  <c r="AG153" i="36"/>
  <c r="Y539" i="5"/>
  <c r="W249" i="5"/>
  <c r="BI498" i="5"/>
  <c r="BI500" i="5" s="1"/>
  <c r="AJ502" i="5" s="1"/>
  <c r="BP372" i="2"/>
  <c r="BD498" i="5"/>
  <c r="AE501" i="5" s="1"/>
  <c r="AG159" i="36"/>
  <c r="BN375" i="2"/>
  <c r="BP170" i="2"/>
  <c r="BE498" i="5"/>
  <c r="BE500" i="5" s="1"/>
  <c r="AF502" i="5" s="1"/>
  <c r="AV239" i="5"/>
  <c r="AA541" i="5"/>
  <c r="BB498" i="5"/>
  <c r="BB500" i="5" s="1"/>
  <c r="AC502" i="5" s="1"/>
  <c r="BN386" i="2"/>
  <c r="AW498" i="5"/>
  <c r="X501" i="5" s="1"/>
  <c r="BA498" i="5"/>
  <c r="AB501" i="5" s="1"/>
  <c r="W150" i="5"/>
  <c r="BH498" i="5"/>
  <c r="AI501" i="5" s="1"/>
  <c r="AL155" i="5"/>
  <c r="Y470" i="36" s="1"/>
  <c r="AE538" i="5"/>
  <c r="AO539" i="5"/>
  <c r="AE167" i="36"/>
  <c r="BQ174" i="2"/>
  <c r="BF498" i="5"/>
  <c r="AG501" i="5" s="1"/>
  <c r="BB164" i="5"/>
  <c r="BO477" i="2"/>
  <c r="BQ466" i="2"/>
  <c r="BP477" i="2"/>
  <c r="BM477" i="2"/>
  <c r="BA274" i="2"/>
  <c r="BN268" i="2"/>
  <c r="AB240" i="36"/>
  <c r="AB238" i="36"/>
  <c r="AB244" i="36"/>
  <c r="AG379" i="35"/>
  <c r="AM541" i="5"/>
  <c r="AR541" i="5"/>
  <c r="AL447" i="35"/>
  <c r="AG253" i="36"/>
  <c r="AL403" i="35"/>
  <c r="BG498" i="5"/>
  <c r="AH501" i="5" s="1"/>
  <c r="AH541" i="5"/>
  <c r="AE500" i="5"/>
  <c r="AL541" i="5"/>
  <c r="AS541" i="5"/>
  <c r="AS500" i="5"/>
  <c r="Z541" i="5"/>
  <c r="AE541" i="5"/>
  <c r="AL500" i="5"/>
  <c r="X541" i="5"/>
  <c r="Z500" i="5"/>
  <c r="X500" i="5"/>
  <c r="AG160" i="36"/>
  <c r="AR511" i="5"/>
  <c r="BG408" i="5"/>
  <c r="BG428" i="5" s="1"/>
  <c r="AH431" i="5" s="1"/>
  <c r="AE424" i="35"/>
  <c r="V242" i="36"/>
  <c r="V252" i="36"/>
  <c r="V251" i="36"/>
  <c r="V246" i="36"/>
  <c r="AB380" i="35"/>
  <c r="V249" i="36"/>
  <c r="V253" i="36"/>
  <c r="V239" i="36"/>
  <c r="V247" i="36"/>
  <c r="V244" i="36"/>
  <c r="V243" i="36"/>
  <c r="V250" i="36"/>
  <c r="V240" i="36"/>
  <c r="V238" i="36"/>
  <c r="AD380" i="35"/>
  <c r="AB424" i="35"/>
  <c r="AF380" i="35"/>
  <c r="Q246" i="36"/>
  <c r="Q238" i="36"/>
  <c r="Q239" i="36"/>
  <c r="Q241" i="36"/>
  <c r="Q249" i="36"/>
  <c r="Q252" i="36"/>
  <c r="Q250" i="36"/>
  <c r="Q245" i="36"/>
  <c r="Q242" i="36"/>
  <c r="AB329" i="5"/>
  <c r="AB510" i="5" s="1"/>
  <c r="AX266" i="5"/>
  <c r="AD266" i="36"/>
  <c r="O253" i="36"/>
  <c r="AE239" i="36"/>
  <c r="O240" i="36"/>
  <c r="X427" i="35"/>
  <c r="AD379" i="35"/>
  <c r="S247" i="36"/>
  <c r="AE243" i="36"/>
  <c r="N253" i="36"/>
  <c r="BR266" i="5"/>
  <c r="AE240" i="36"/>
  <c r="AE244" i="36"/>
  <c r="AE242" i="36"/>
  <c r="AE252" i="36"/>
  <c r="AE246" i="36"/>
  <c r="S238" i="5"/>
  <c r="U249" i="36"/>
  <c r="AW249" i="5"/>
  <c r="AW251" i="5" s="1"/>
  <c r="X253" i="5" s="1"/>
  <c r="BL238" i="5"/>
  <c r="BL249" i="5" s="1"/>
  <c r="BL251" i="5" s="1"/>
  <c r="AM253" i="5" s="1"/>
  <c r="U250" i="36"/>
  <c r="U238" i="36"/>
  <c r="U253" i="36"/>
  <c r="X251" i="5"/>
  <c r="AC519" i="5"/>
  <c r="U150" i="36"/>
  <c r="U177" i="36" s="1"/>
  <c r="U156" i="36"/>
  <c r="U183" i="36" s="1"/>
  <c r="AE381" i="35"/>
  <c r="P241" i="36"/>
  <c r="P250" i="36"/>
  <c r="AC381" i="35"/>
  <c r="AB381" i="35"/>
  <c r="V381" i="35"/>
  <c r="AF381" i="35"/>
  <c r="AC379" i="35"/>
  <c r="X379" i="35"/>
  <c r="O263" i="36"/>
  <c r="AO182" i="5"/>
  <c r="AO184" i="5" s="1"/>
  <c r="AG155" i="5"/>
  <c r="Y465" i="36" s="1"/>
  <c r="AS155" i="5"/>
  <c r="Y477" i="36" s="1"/>
  <c r="AQ155" i="5"/>
  <c r="Y475" i="36" s="1"/>
  <c r="AL182" i="5"/>
  <c r="AL528" i="5" s="1"/>
  <c r="BF164" i="5"/>
  <c r="AK182" i="5"/>
  <c r="Y163" i="36" s="1"/>
  <c r="Y190" i="36" s="1"/>
  <c r="AO155" i="5"/>
  <c r="Y473" i="36" s="1"/>
  <c r="AD268" i="36"/>
  <c r="AD272" i="36"/>
  <c r="AD151" i="36"/>
  <c r="AD269" i="36"/>
  <c r="AD270" i="36"/>
  <c r="T263" i="36"/>
  <c r="T266" i="36"/>
  <c r="T269" i="36"/>
  <c r="T275" i="36"/>
  <c r="T262" i="36"/>
  <c r="T265" i="36"/>
  <c r="T264" i="36"/>
  <c r="T273" i="36"/>
  <c r="T268" i="36"/>
  <c r="T274" i="36"/>
  <c r="T267" i="36"/>
  <c r="T270" i="36"/>
  <c r="X518" i="5"/>
  <c r="T150" i="36"/>
  <c r="T177" i="36" s="1"/>
  <c r="AE426" i="35"/>
  <c r="AH382" i="35"/>
  <c r="O276" i="36"/>
  <c r="O270" i="36"/>
  <c r="O262" i="36"/>
  <c r="O268" i="36"/>
  <c r="O264" i="36"/>
  <c r="O261" i="36"/>
  <c r="O241" i="36"/>
  <c r="O272" i="36"/>
  <c r="O267" i="36"/>
  <c r="O266" i="36"/>
  <c r="O269" i="36"/>
  <c r="O274" i="36"/>
  <c r="O265" i="36"/>
  <c r="O273" i="36"/>
  <c r="O271" i="36"/>
  <c r="AC426" i="35"/>
  <c r="N241" i="36"/>
  <c r="N252" i="36"/>
  <c r="S272" i="36"/>
  <c r="AG427" i="35"/>
  <c r="AR34" i="5"/>
  <c r="AY265" i="2"/>
  <c r="BC273" i="2"/>
  <c r="BJ266" i="2"/>
  <c r="I562" i="2"/>
  <c r="AW157" i="2"/>
  <c r="BJ157" i="2"/>
  <c r="BK157" i="2"/>
  <c r="AW73" i="2"/>
  <c r="BK73" i="2"/>
  <c r="BI73" i="2"/>
  <c r="BK60" i="2"/>
  <c r="BC60" i="2"/>
  <c r="BE60" i="2"/>
  <c r="BL469" i="2"/>
  <c r="BN467" i="2"/>
  <c r="BG467" i="2"/>
  <c r="BJ466" i="2"/>
  <c r="F423" i="35"/>
  <c r="BF461" i="2"/>
  <c r="BQ461" i="2"/>
  <c r="BH470" i="2"/>
  <c r="BA466" i="2"/>
  <c r="BA472" i="2"/>
  <c r="BO371" i="2"/>
  <c r="BG355" i="2"/>
  <c r="AX357" i="2"/>
  <c r="BC355" i="2"/>
  <c r="BD357" i="2"/>
  <c r="AR500" i="5"/>
  <c r="AF541" i="5"/>
  <c r="AI500" i="5"/>
  <c r="AF500" i="5"/>
  <c r="AG161" i="36"/>
  <c r="AN541" i="5"/>
  <c r="AC541" i="5"/>
  <c r="AJ541" i="5"/>
  <c r="AN500" i="5"/>
  <c r="AB541" i="5"/>
  <c r="AC500" i="5"/>
  <c r="AG541" i="5"/>
  <c r="AB500" i="5"/>
  <c r="AG168" i="36"/>
  <c r="AE521" i="5"/>
  <c r="R152" i="36"/>
  <c r="R179" i="36" s="1"/>
  <c r="BA408" i="5"/>
  <c r="BA428" i="5" s="1"/>
  <c r="BA430" i="5" s="1"/>
  <c r="AB432" i="5" s="1"/>
  <c r="AW408" i="5"/>
  <c r="AW428" i="5" s="1"/>
  <c r="R204" i="36" s="1"/>
  <c r="R244" i="36"/>
  <c r="BK309" i="5"/>
  <c r="BJ309" i="5"/>
  <c r="AE151" i="36"/>
  <c r="AP539" i="5"/>
  <c r="BN266" i="5"/>
  <c r="BB266" i="5"/>
  <c r="BD266" i="5"/>
  <c r="AC251" i="5"/>
  <c r="AD519" i="5"/>
  <c r="AD157" i="36"/>
  <c r="AD261" i="36"/>
  <c r="AD267" i="36"/>
  <c r="AL538" i="5"/>
  <c r="V538" i="5"/>
  <c r="AD275" i="36"/>
  <c r="AD263" i="36"/>
  <c r="AD164" i="36"/>
  <c r="AD274" i="36"/>
  <c r="AD265" i="36"/>
  <c r="AD271" i="36"/>
  <c r="AD264" i="36"/>
  <c r="AD273" i="36"/>
  <c r="AD230" i="36"/>
  <c r="AD276" i="36"/>
  <c r="R538" i="5"/>
  <c r="S538" i="5" s="1"/>
  <c r="AD262" i="36"/>
  <c r="AE182" i="5"/>
  <c r="Y157" i="36" s="1"/>
  <c r="Y184" i="36" s="1"/>
  <c r="AE155" i="5"/>
  <c r="Y463" i="36" s="1"/>
  <c r="AP182" i="5"/>
  <c r="Y168" i="36" s="1"/>
  <c r="Y195" i="36" s="1"/>
  <c r="AF155" i="5"/>
  <c r="Y464" i="36" s="1"/>
  <c r="AC382" i="35"/>
  <c r="W131" i="5"/>
  <c r="N110" i="5" s="1"/>
  <c r="W83" i="5"/>
  <c r="N161" i="36"/>
  <c r="N188" i="36" s="1"/>
  <c r="W32" i="5"/>
  <c r="W34" i="5" s="1"/>
  <c r="BD463" i="2"/>
  <c r="BH458" i="2"/>
  <c r="BQ477" i="2"/>
  <c r="BK477" i="2"/>
  <c r="S477" i="2"/>
  <c r="BL472" i="2"/>
  <c r="BA371" i="2"/>
  <c r="BP378" i="2"/>
  <c r="BL371" i="2"/>
  <c r="AY371" i="2"/>
  <c r="BR377" i="2"/>
  <c r="BI256" i="2"/>
  <c r="BM264" i="2"/>
  <c r="BK265" i="2"/>
  <c r="BD270" i="2"/>
  <c r="BC274" i="2"/>
  <c r="BD273" i="2"/>
  <c r="BN273" i="2"/>
  <c r="BL63" i="2"/>
  <c r="BJ73" i="2"/>
  <c r="BH73" i="2"/>
  <c r="BK63" i="2"/>
  <c r="BM75" i="2"/>
  <c r="BA63" i="2"/>
  <c r="AY63" i="2"/>
  <c r="BK75" i="2"/>
  <c r="BH75" i="2"/>
  <c r="V83" i="2"/>
  <c r="BM63" i="2"/>
  <c r="BB63" i="2"/>
  <c r="BF75" i="2"/>
  <c r="BG75" i="2"/>
  <c r="BI75" i="2"/>
  <c r="W380" i="5"/>
  <c r="AL404" i="35"/>
  <c r="AF239" i="36"/>
  <c r="AF251" i="36"/>
  <c r="AF242" i="36"/>
  <c r="AF250" i="36"/>
  <c r="AF248" i="36"/>
  <c r="AF245" i="36"/>
  <c r="AF238" i="36"/>
  <c r="AF249" i="36"/>
  <c r="AF243" i="36"/>
  <c r="AF253" i="36"/>
  <c r="AF246" i="36"/>
  <c r="AF247" i="36"/>
  <c r="AF244" i="36"/>
  <c r="AF240" i="36"/>
  <c r="AF241" i="36"/>
  <c r="AF252" i="36"/>
  <c r="AL448" i="35"/>
  <c r="AL392" i="35"/>
  <c r="AK380" i="35"/>
  <c r="AK424" i="35"/>
  <c r="AL338" i="35"/>
  <c r="Q253" i="36"/>
  <c r="AH307" i="5"/>
  <c r="Q466" i="36" s="1"/>
  <c r="BG309" i="5"/>
  <c r="Q243" i="36"/>
  <c r="AL329" i="5"/>
  <c r="AL510" i="5" s="1"/>
  <c r="BA309" i="5"/>
  <c r="AN307" i="5"/>
  <c r="Q472" i="36" s="1"/>
  <c r="BM309" i="5"/>
  <c r="AK307" i="5"/>
  <c r="Q469" i="36" s="1"/>
  <c r="AR307" i="5"/>
  <c r="Q476" i="36" s="1"/>
  <c r="BQ309" i="5"/>
  <c r="Q244" i="36"/>
  <c r="AS307" i="5"/>
  <c r="Q477" i="36" s="1"/>
  <c r="BR309" i="5"/>
  <c r="AW309" i="5"/>
  <c r="AE307" i="5"/>
  <c r="Q463" i="36" s="1"/>
  <c r="BD309" i="5"/>
  <c r="Q247" i="36"/>
  <c r="AR329" i="5"/>
  <c r="BH309" i="5"/>
  <c r="AI307" i="5"/>
  <c r="Q467" i="36" s="1"/>
  <c r="AX309" i="5"/>
  <c r="AL307" i="5"/>
  <c r="Q470" i="36" s="1"/>
  <c r="AP307" i="5"/>
  <c r="Q474" i="36" s="1"/>
  <c r="BO309" i="5"/>
  <c r="AY309" i="5"/>
  <c r="BL309" i="5"/>
  <c r="AM307" i="5"/>
  <c r="Q471" i="36" s="1"/>
  <c r="BP309" i="5"/>
  <c r="AQ307" i="5"/>
  <c r="Q475" i="36" s="1"/>
  <c r="Q251" i="36"/>
  <c r="AG307" i="5"/>
  <c r="Q465" i="36" s="1"/>
  <c r="BF309" i="5"/>
  <c r="AJ307" i="5"/>
  <c r="Q468" i="36" s="1"/>
  <c r="BI309" i="5"/>
  <c r="BC309" i="5"/>
  <c r="AD307" i="5"/>
  <c r="Q462" i="36" s="1"/>
  <c r="AV309" i="5"/>
  <c r="S309" i="5"/>
  <c r="R329" i="5"/>
  <c r="AA307" i="5"/>
  <c r="Q459" i="36" s="1"/>
  <c r="AZ309" i="5"/>
  <c r="AC307" i="5"/>
  <c r="Q461" i="36" s="1"/>
  <c r="BB309" i="5"/>
  <c r="BE309" i="5"/>
  <c r="AG380" i="35"/>
  <c r="AL386" i="35"/>
  <c r="AG424" i="35"/>
  <c r="AL430" i="35"/>
  <c r="S266" i="5"/>
  <c r="BA266" i="5"/>
  <c r="AY266" i="5"/>
  <c r="BC266" i="5"/>
  <c r="BO266" i="5"/>
  <c r="BG266" i="5"/>
  <c r="BM266" i="5"/>
  <c r="BI266" i="5"/>
  <c r="BQ266" i="5"/>
  <c r="AV266" i="5"/>
  <c r="BK266" i="5"/>
  <c r="BH266" i="5"/>
  <c r="AZ266" i="5"/>
  <c r="BJ266" i="5"/>
  <c r="BL266" i="5"/>
  <c r="BF266" i="5"/>
  <c r="AW266" i="5"/>
  <c r="BE266" i="5"/>
  <c r="AW268" i="5"/>
  <c r="U251" i="36"/>
  <c r="U248" i="36"/>
  <c r="U245" i="36"/>
  <c r="U240" i="36"/>
  <c r="U243" i="36"/>
  <c r="U252" i="36"/>
  <c r="U241" i="36"/>
  <c r="AL393" i="35"/>
  <c r="U244" i="36"/>
  <c r="U246" i="36"/>
  <c r="U239" i="36"/>
  <c r="U242" i="36"/>
  <c r="Z251" i="5"/>
  <c r="AP251" i="5"/>
  <c r="AP519" i="5"/>
  <c r="Z519" i="5"/>
  <c r="P248" i="36"/>
  <c r="P242" i="36"/>
  <c r="P240" i="36"/>
  <c r="P245" i="36"/>
  <c r="P249" i="36"/>
  <c r="P246" i="36"/>
  <c r="P253" i="36"/>
  <c r="P247" i="36"/>
  <c r="P244" i="36"/>
  <c r="P238" i="36"/>
  <c r="P239" i="36"/>
  <c r="AL387" i="35"/>
  <c r="AE251" i="36"/>
  <c r="AE249" i="36"/>
  <c r="AE238" i="36"/>
  <c r="AE248" i="36"/>
  <c r="X381" i="35"/>
  <c r="AL405" i="35"/>
  <c r="AL449" i="35"/>
  <c r="O239" i="36"/>
  <c r="O249" i="36"/>
  <c r="O250" i="36"/>
  <c r="O238" i="36"/>
  <c r="S251" i="36"/>
  <c r="S269" i="36"/>
  <c r="O247" i="36"/>
  <c r="AD249" i="36"/>
  <c r="O242" i="36"/>
  <c r="O246" i="36"/>
  <c r="O245" i="36"/>
  <c r="AD244" i="36"/>
  <c r="O251" i="36"/>
  <c r="AB379" i="35"/>
  <c r="S253" i="36"/>
  <c r="O244" i="36"/>
  <c r="H228" i="36"/>
  <c r="AD240" i="36"/>
  <c r="O243" i="36"/>
  <c r="AC242" i="36"/>
  <c r="O248" i="36"/>
  <c r="O252" i="36"/>
  <c r="X251" i="36"/>
  <c r="X238" i="36"/>
  <c r="X252" i="36"/>
  <c r="T253" i="35"/>
  <c r="Q253" i="35"/>
  <c r="W253" i="35"/>
  <c r="T238" i="35"/>
  <c r="T246" i="35"/>
  <c r="Q252" i="35"/>
  <c r="R251" i="35"/>
  <c r="T243" i="35"/>
  <c r="Q241" i="35"/>
  <c r="Q250" i="35"/>
  <c r="T240" i="35"/>
  <c r="T249" i="35"/>
  <c r="R253" i="35"/>
  <c r="W247" i="35"/>
  <c r="Q249" i="35"/>
  <c r="Q244" i="35"/>
  <c r="Q239" i="35"/>
  <c r="T247" i="35"/>
  <c r="T386" i="35"/>
  <c r="Q251" i="35"/>
  <c r="T250" i="35"/>
  <c r="Q248" i="35"/>
  <c r="T245" i="35"/>
  <c r="W244" i="35"/>
  <c r="T394" i="35"/>
  <c r="Q242" i="35"/>
  <c r="T248" i="35"/>
  <c r="S249" i="35"/>
  <c r="Q246" i="35"/>
  <c r="Q238" i="35"/>
  <c r="F382" i="35"/>
  <c r="P380" i="35"/>
  <c r="T244" i="35"/>
  <c r="R246" i="35"/>
  <c r="Q245" i="35"/>
  <c r="T242" i="35"/>
  <c r="T241" i="35"/>
  <c r="AF248" i="35"/>
  <c r="T391" i="35"/>
  <c r="W239" i="35"/>
  <c r="W240" i="35"/>
  <c r="P250" i="35"/>
  <c r="W241" i="35"/>
  <c r="R241" i="35"/>
  <c r="O252" i="35"/>
  <c r="R239" i="35"/>
  <c r="F379" i="35"/>
  <c r="AE246" i="35"/>
  <c r="AE253" i="35"/>
  <c r="AE243" i="35"/>
  <c r="T405" i="35"/>
  <c r="T385" i="35"/>
  <c r="W238" i="35"/>
  <c r="P249" i="35"/>
  <c r="O240" i="35"/>
  <c r="W249" i="35"/>
  <c r="R240" i="35"/>
  <c r="P253" i="35"/>
  <c r="F381" i="35"/>
  <c r="AE238" i="35"/>
  <c r="AE245" i="35"/>
  <c r="AE247" i="35"/>
  <c r="W248" i="35"/>
  <c r="P252" i="35"/>
  <c r="P244" i="35"/>
  <c r="P238" i="35"/>
  <c r="R249" i="35"/>
  <c r="W242" i="35"/>
  <c r="V382" i="35"/>
  <c r="AE379" i="35"/>
  <c r="AE248" i="35"/>
  <c r="P381" i="35"/>
  <c r="W251" i="35"/>
  <c r="W243" i="35"/>
  <c r="W252" i="35"/>
  <c r="R248" i="35"/>
  <c r="R250" i="35"/>
  <c r="W246" i="35"/>
  <c r="P239" i="35"/>
  <c r="AE241" i="35"/>
  <c r="AE240" i="35"/>
  <c r="R242" i="35"/>
  <c r="R243" i="35"/>
  <c r="R244" i="35"/>
  <c r="R245" i="35"/>
  <c r="P243" i="35"/>
  <c r="R238" i="35"/>
  <c r="O246" i="35"/>
  <c r="R247" i="35"/>
  <c r="M382" i="35"/>
  <c r="T387" i="35"/>
  <c r="R252" i="35"/>
  <c r="P248" i="35"/>
  <c r="S253" i="35"/>
  <c r="S245" i="35"/>
  <c r="S251" i="35"/>
  <c r="S242" i="35"/>
  <c r="AF243" i="35"/>
  <c r="AF246" i="35"/>
  <c r="S248" i="35"/>
  <c r="S241" i="35"/>
  <c r="S243" i="35"/>
  <c r="AE251" i="35"/>
  <c r="AF240" i="35"/>
  <c r="T395" i="35"/>
  <c r="S247" i="35"/>
  <c r="S239" i="35"/>
  <c r="S250" i="35"/>
  <c r="S240" i="35"/>
  <c r="O379" i="35"/>
  <c r="S244" i="35"/>
  <c r="S238" i="35"/>
  <c r="S252" i="35"/>
  <c r="J13" i="27"/>
  <c r="BO164" i="5"/>
  <c r="BL164" i="5"/>
  <c r="BG164" i="5"/>
  <c r="AC182" i="5"/>
  <c r="AC528" i="5" s="1"/>
  <c r="S164" i="5"/>
  <c r="BJ164" i="5"/>
  <c r="BK164" i="5"/>
  <c r="AF182" i="5"/>
  <c r="AF184" i="5" s="1"/>
  <c r="BC164" i="5"/>
  <c r="AC155" i="5"/>
  <c r="Y461" i="36" s="1"/>
  <c r="AW164" i="5"/>
  <c r="AY164" i="5"/>
  <c r="AP155" i="5"/>
  <c r="Y474" i="36" s="1"/>
  <c r="BM164" i="5"/>
  <c r="BR164" i="5"/>
  <c r="BN164" i="5"/>
  <c r="BE164" i="5"/>
  <c r="R182" i="5"/>
  <c r="BP164" i="5"/>
  <c r="AZ164" i="5"/>
  <c r="BH164" i="5"/>
  <c r="BI164" i="5"/>
  <c r="AV164" i="5"/>
  <c r="BL159" i="5"/>
  <c r="AM155" i="5"/>
  <c r="Y471" i="36" s="1"/>
  <c r="Y244" i="36"/>
  <c r="Y243" i="36"/>
  <c r="Y241" i="36"/>
  <c r="Y239" i="36"/>
  <c r="Y251" i="36"/>
  <c r="Y247" i="36"/>
  <c r="Y248" i="36"/>
  <c r="Y250" i="36"/>
  <c r="Y240" i="36"/>
  <c r="Y249" i="36"/>
  <c r="Y238" i="36"/>
  <c r="Y252" i="36"/>
  <c r="Y242" i="36"/>
  <c r="Y253" i="36"/>
  <c r="Y245" i="36"/>
  <c r="AD241" i="36"/>
  <c r="AD253" i="36"/>
  <c r="AD242" i="36"/>
  <c r="AD243" i="36"/>
  <c r="AD238" i="36"/>
  <c r="AD250" i="36"/>
  <c r="AD251" i="36"/>
  <c r="AD246" i="36"/>
  <c r="X382" i="35"/>
  <c r="AL406" i="35"/>
  <c r="AD239" i="36"/>
  <c r="AD248" i="36"/>
  <c r="AD247" i="36"/>
  <c r="AD245" i="36"/>
  <c r="AL450" i="35"/>
  <c r="Y538" i="5"/>
  <c r="T166" i="36"/>
  <c r="T193" i="36" s="1"/>
  <c r="AJ518" i="5"/>
  <c r="AJ152" i="5"/>
  <c r="AN152" i="5"/>
  <c r="AL394" i="35"/>
  <c r="AG382" i="35"/>
  <c r="AC152" i="5"/>
  <c r="AC518" i="5"/>
  <c r="T155" i="36"/>
  <c r="T182" i="36" s="1"/>
  <c r="AL438" i="35"/>
  <c r="AG426" i="35"/>
  <c r="AL388" i="35"/>
  <c r="AL133" i="5"/>
  <c r="O164" i="36"/>
  <c r="O191" i="36" s="1"/>
  <c r="AJ508" i="5"/>
  <c r="O162" i="36"/>
  <c r="O189" i="36" s="1"/>
  <c r="AB508" i="5"/>
  <c r="AB133" i="5"/>
  <c r="AI508" i="5"/>
  <c r="AE133" i="5"/>
  <c r="AE508" i="5"/>
  <c r="AL432" i="35"/>
  <c r="AF508" i="5"/>
  <c r="AO508" i="5"/>
  <c r="AP508" i="5"/>
  <c r="O168" i="36"/>
  <c r="O195" i="36" s="1"/>
  <c r="AF133" i="5"/>
  <c r="O167" i="36"/>
  <c r="O194" i="36" s="1"/>
  <c r="AH133" i="5"/>
  <c r="AH508" i="5"/>
  <c r="AG508" i="5"/>
  <c r="AW60" i="5"/>
  <c r="AX465" i="2"/>
  <c r="BL465" i="2"/>
  <c r="BB465" i="2"/>
  <c r="BA465" i="2"/>
  <c r="BR465" i="2"/>
  <c r="BM465" i="2"/>
  <c r="BQ465" i="2"/>
  <c r="BN465" i="2"/>
  <c r="S465" i="2"/>
  <c r="BE465" i="2"/>
  <c r="BK465" i="2"/>
  <c r="BP465" i="2"/>
  <c r="AZ465" i="2"/>
  <c r="BJ465" i="2"/>
  <c r="BL157" i="2"/>
  <c r="AZ359" i="2"/>
  <c r="BE411" i="2"/>
  <c r="AX411" i="2"/>
  <c r="BF373" i="2"/>
  <c r="BL467" i="2"/>
  <c r="BE467" i="2"/>
  <c r="AV475" i="2"/>
  <c r="BC475" i="2"/>
  <c r="AG229" i="36"/>
  <c r="R541" i="5"/>
  <c r="BL462" i="2"/>
  <c r="AV266" i="2"/>
  <c r="BK266" i="2"/>
  <c r="BC266" i="2"/>
  <c r="AZ266" i="2"/>
  <c r="G425" i="35"/>
  <c r="BA359" i="2"/>
  <c r="BF359" i="2"/>
  <c r="AX273" i="2"/>
  <c r="AY273" i="2"/>
  <c r="BE273" i="2"/>
  <c r="BE140" i="2"/>
  <c r="BO140" i="2"/>
  <c r="BG140" i="2"/>
  <c r="BH266" i="2"/>
  <c r="AW257" i="2"/>
  <c r="BN257" i="2"/>
  <c r="BN266" i="2"/>
  <c r="BC359" i="2"/>
  <c r="BG359" i="2"/>
  <c r="BO359" i="2"/>
  <c r="S268" i="5"/>
  <c r="AX63" i="2"/>
  <c r="BM273" i="2"/>
  <c r="BH273" i="2"/>
  <c r="BN140" i="2"/>
  <c r="BF140" i="2"/>
  <c r="AV408" i="5"/>
  <c r="AV428" i="5" s="1"/>
  <c r="AV430" i="5" s="1"/>
  <c r="W432" i="5" s="1"/>
  <c r="BJ90" i="2"/>
  <c r="BG90" i="2"/>
  <c r="BQ76" i="2"/>
  <c r="AZ78" i="2"/>
  <c r="BP78" i="2"/>
  <c r="BA118" i="2"/>
  <c r="BH177" i="2"/>
  <c r="BQ177" i="2"/>
  <c r="BA178" i="2"/>
  <c r="BK178" i="2"/>
  <c r="BN178" i="2"/>
  <c r="BP373" i="2"/>
  <c r="BF378" i="2"/>
  <c r="AY373" i="2"/>
  <c r="BC373" i="2"/>
  <c r="BN376" i="2"/>
  <c r="BM376" i="2"/>
  <c r="BC467" i="2"/>
  <c r="BD475" i="2"/>
  <c r="AV167" i="2"/>
  <c r="BN269" i="2"/>
  <c r="BC363" i="2"/>
  <c r="BB359" i="2"/>
  <c r="AV140" i="2"/>
  <c r="BQ237" i="2"/>
  <c r="BE238" i="2"/>
  <c r="BM240" i="2"/>
  <c r="BD237" i="2"/>
  <c r="BP240" i="2"/>
  <c r="BK240" i="2"/>
  <c r="BK237" i="2"/>
  <c r="BA342" i="2"/>
  <c r="AZ338" i="2"/>
  <c r="AW339" i="2"/>
  <c r="BM411" i="2"/>
  <c r="AY413" i="2"/>
  <c r="BN413" i="2"/>
  <c r="AV411" i="2"/>
  <c r="BF411" i="2"/>
  <c r="BD142" i="2"/>
  <c r="BH72" i="2"/>
  <c r="AX72" i="2"/>
  <c r="BG72" i="2"/>
  <c r="BJ373" i="2"/>
  <c r="BB373" i="2"/>
  <c r="BA373" i="2"/>
  <c r="BK59" i="2"/>
  <c r="BD59" i="2"/>
  <c r="BI462" i="2"/>
  <c r="BD61" i="2"/>
  <c r="AX257" i="2"/>
  <c r="BJ257" i="2"/>
  <c r="AY59" i="2"/>
  <c r="BK257" i="2"/>
  <c r="AX266" i="2"/>
  <c r="BQ67" i="2"/>
  <c r="BG59" i="2"/>
  <c r="AZ59" i="2"/>
  <c r="AY167" i="2"/>
  <c r="BH167" i="2"/>
  <c r="BE266" i="2"/>
  <c r="BO257" i="2"/>
  <c r="BO266" i="2"/>
  <c r="BH359" i="2"/>
  <c r="BP359" i="2"/>
  <c r="AX462" i="2"/>
  <c r="BD462" i="2"/>
  <c r="BJ457" i="2"/>
  <c r="AZ457" i="2"/>
  <c r="BQ458" i="2"/>
  <c r="AX362" i="5"/>
  <c r="BF362" i="5"/>
  <c r="BK362" i="5"/>
  <c r="BJ273" i="2"/>
  <c r="BL278" i="2"/>
  <c r="AZ278" i="2"/>
  <c r="BG279" i="2"/>
  <c r="BI59" i="2"/>
  <c r="BB59" i="2"/>
  <c r="BB266" i="2"/>
  <c r="AV257" i="2"/>
  <c r="BH257" i="2"/>
  <c r="BP266" i="2"/>
  <c r="AW359" i="2"/>
  <c r="BI359" i="2"/>
  <c r="BQ359" i="2"/>
  <c r="BE462" i="2"/>
  <c r="BH462" i="2"/>
  <c r="BR458" i="2"/>
  <c r="BP268" i="5"/>
  <c r="BG273" i="2"/>
  <c r="BK273" i="2"/>
  <c r="AZ273" i="2"/>
  <c r="BP276" i="2"/>
  <c r="BL466" i="2"/>
  <c r="AZ411" i="2"/>
  <c r="AY411" i="2"/>
  <c r="BJ411" i="2"/>
  <c r="AX439" i="2"/>
  <c r="BJ42" i="2"/>
  <c r="BP42" i="2"/>
  <c r="BN42" i="2"/>
  <c r="AX78" i="2"/>
  <c r="BR78" i="2"/>
  <c r="BM78" i="2"/>
  <c r="BO175" i="2"/>
  <c r="AW175" i="2"/>
  <c r="BD373" i="2"/>
  <c r="BK373" i="2"/>
  <c r="BQ467" i="2"/>
  <c r="BH467" i="2"/>
  <c r="BF467" i="2"/>
  <c r="BI273" i="2"/>
  <c r="AV273" i="2"/>
  <c r="BK466" i="2"/>
  <c r="BC140" i="2"/>
  <c r="BO240" i="2"/>
  <c r="BD240" i="2"/>
  <c r="AV240" i="2"/>
  <c r="BQ338" i="2"/>
  <c r="BI338" i="2"/>
  <c r="AY338" i="2"/>
  <c r="AX338" i="2"/>
  <c r="BG413" i="2"/>
  <c r="BD411" i="2"/>
  <c r="BC411" i="2"/>
  <c r="BN411" i="2"/>
  <c r="BO438" i="2"/>
  <c r="AY439" i="2"/>
  <c r="BR18" i="2"/>
  <c r="BE42" i="2"/>
  <c r="BH42" i="2"/>
  <c r="AX142" i="2"/>
  <c r="AY142" i="2"/>
  <c r="BJ242" i="2"/>
  <c r="AX408" i="5"/>
  <c r="AX428" i="5" s="1"/>
  <c r="R205" i="36" s="1"/>
  <c r="BA72" i="2"/>
  <c r="BQ72" i="2"/>
  <c r="BC72" i="2"/>
  <c r="AV75" i="2"/>
  <c r="AZ75" i="2"/>
  <c r="BL373" i="2"/>
  <c r="AV373" i="2"/>
  <c r="AW373" i="2"/>
  <c r="BR373" i="2"/>
  <c r="BA376" i="2"/>
  <c r="BE377" i="2"/>
  <c r="BN378" i="2"/>
  <c r="AZ378" i="2"/>
  <c r="BK359" i="2"/>
  <c r="BO408" i="5"/>
  <c r="BO428" i="5" s="1"/>
  <c r="AP431" i="5" s="1"/>
  <c r="BD78" i="2"/>
  <c r="AX117" i="2"/>
  <c r="AZ117" i="2"/>
  <c r="AW188" i="2"/>
  <c r="BP175" i="2"/>
  <c r="AX373" i="2"/>
  <c r="BI373" i="2"/>
  <c r="AW371" i="2"/>
  <c r="BK371" i="2"/>
  <c r="BP371" i="2"/>
  <c r="BQ373" i="2"/>
  <c r="BO467" i="2"/>
  <c r="AV471" i="2"/>
  <c r="BO475" i="2"/>
  <c r="BH475" i="2"/>
  <c r="AX475" i="2"/>
  <c r="AV159" i="2"/>
  <c r="BI159" i="2"/>
  <c r="BJ262" i="2"/>
  <c r="BO59" i="2"/>
  <c r="BF262" i="2"/>
  <c r="AY359" i="2"/>
  <c r="BQ462" i="2"/>
  <c r="BA462" i="2"/>
  <c r="BO19" i="2"/>
  <c r="BA59" i="2"/>
  <c r="BR59" i="2"/>
  <c r="BF266" i="2"/>
  <c r="BC262" i="2"/>
  <c r="AY257" i="2"/>
  <c r="AW266" i="2"/>
  <c r="BE359" i="2"/>
  <c r="BR462" i="2"/>
  <c r="BC462" i="2"/>
  <c r="BN462" i="2"/>
  <c r="BE458" i="2"/>
  <c r="BL458" i="2"/>
  <c r="BO273" i="2"/>
  <c r="BA273" i="2"/>
  <c r="BG274" i="2"/>
  <c r="BC465" i="2"/>
  <c r="BF465" i="2"/>
  <c r="BO465" i="2"/>
  <c r="BB14" i="2"/>
  <c r="AW139" i="2"/>
  <c r="BL139" i="2"/>
  <c r="BP140" i="2"/>
  <c r="BH140" i="2"/>
  <c r="AZ310" i="2"/>
  <c r="BH310" i="2"/>
  <c r="AY312" i="2"/>
  <c r="BG312" i="2"/>
  <c r="BO312" i="2"/>
  <c r="BA411" i="2"/>
  <c r="BP411" i="2"/>
  <c r="BB413" i="2"/>
  <c r="BO411" i="2"/>
  <c r="BN438" i="2"/>
  <c r="BD439" i="2"/>
  <c r="BN18" i="2"/>
  <c r="BB42" i="2"/>
  <c r="AY408" i="5"/>
  <c r="AY428" i="5" s="1"/>
  <c r="BQ90" i="2"/>
  <c r="BO90" i="2"/>
  <c r="BJ175" i="2"/>
  <c r="BG373" i="2"/>
  <c r="BM467" i="2"/>
  <c r="AX467" i="2"/>
  <c r="BJ471" i="2"/>
  <c r="AZ474" i="2"/>
  <c r="BQ474" i="2"/>
  <c r="AX474" i="2"/>
  <c r="BE475" i="2"/>
  <c r="BA279" i="2"/>
  <c r="AV459" i="5"/>
  <c r="AY138" i="2"/>
  <c r="BB237" i="2"/>
  <c r="BN342" i="2"/>
  <c r="BQ167" i="2"/>
  <c r="BP157" i="2"/>
  <c r="BI166" i="2"/>
  <c r="AX162" i="2"/>
  <c r="AX263" i="2"/>
  <c r="BE412" i="2"/>
  <c r="AX435" i="2"/>
  <c r="BJ260" i="2"/>
  <c r="AY267" i="2"/>
  <c r="BD355" i="2"/>
  <c r="BL355" i="2"/>
  <c r="AW457" i="2"/>
  <c r="BD457" i="2"/>
  <c r="BH278" i="2"/>
  <c r="AY278" i="2"/>
  <c r="BD279" i="2"/>
  <c r="BF16" i="2"/>
  <c r="BO157" i="2"/>
  <c r="BL167" i="2"/>
  <c r="BB157" i="2"/>
  <c r="BP354" i="5"/>
  <c r="BL455" i="2"/>
  <c r="BK261" i="2"/>
  <c r="BO269" i="2"/>
  <c r="BB267" i="2"/>
  <c r="AZ267" i="2"/>
  <c r="BF256" i="2"/>
  <c r="BD256" i="2"/>
  <c r="BJ256" i="2"/>
  <c r="BC463" i="2"/>
  <c r="BN457" i="2"/>
  <c r="BD173" i="2"/>
  <c r="BB277" i="2"/>
  <c r="BG60" i="2"/>
  <c r="AX60" i="2"/>
  <c r="AW261" i="2"/>
  <c r="BJ261" i="2"/>
  <c r="BH267" i="2"/>
  <c r="BF267" i="2"/>
  <c r="BD267" i="2"/>
  <c r="BB263" i="2"/>
  <c r="AZ263" i="2"/>
  <c r="BJ263" i="2"/>
  <c r="AW267" i="2"/>
  <c r="BK267" i="2"/>
  <c r="BF143" i="2"/>
  <c r="BD143" i="2"/>
  <c r="BA143" i="2"/>
  <c r="BC241" i="2"/>
  <c r="BI241" i="2"/>
  <c r="BK360" i="2"/>
  <c r="BI158" i="2"/>
  <c r="BI167" i="2"/>
  <c r="BJ269" i="2"/>
  <c r="BI457" i="2"/>
  <c r="BP457" i="2"/>
  <c r="AV278" i="2"/>
  <c r="BM278" i="2"/>
  <c r="BR237" i="2"/>
  <c r="BG237" i="2"/>
  <c r="BD58" i="2"/>
  <c r="BE256" i="2"/>
  <c r="G424" i="35"/>
  <c r="AZ355" i="2"/>
  <c r="AY358" i="2"/>
  <c r="BK356" i="2"/>
  <c r="BE461" i="2"/>
  <c r="BL461" i="2"/>
  <c r="BA457" i="2"/>
  <c r="AC423" i="35"/>
  <c r="V428" i="5"/>
  <c r="BG267" i="2"/>
  <c r="BE267" i="2"/>
  <c r="BC267" i="2"/>
  <c r="BK259" i="2"/>
  <c r="X230" i="36"/>
  <c r="V527" i="5"/>
  <c r="BO337" i="2"/>
  <c r="BH337" i="2"/>
  <c r="BF412" i="2"/>
  <c r="AW60" i="2"/>
  <c r="BM60" i="2"/>
  <c r="BD60" i="2"/>
  <c r="BD62" i="2"/>
  <c r="BN157" i="2"/>
  <c r="BM167" i="2"/>
  <c r="BE162" i="2"/>
  <c r="BE163" i="2"/>
  <c r="BG256" i="2"/>
  <c r="AZ360" i="2"/>
  <c r="AX457" i="2"/>
  <c r="BI454" i="2"/>
  <c r="BL454" i="2"/>
  <c r="BM457" i="2"/>
  <c r="BG278" i="2"/>
  <c r="BK278" i="2"/>
  <c r="AX279" i="2"/>
  <c r="BE466" i="2"/>
  <c r="AX16" i="2"/>
  <c r="AV39" i="2"/>
  <c r="BG240" i="2"/>
  <c r="BB338" i="2"/>
  <c r="BO341" i="2"/>
  <c r="BH341" i="2"/>
  <c r="BD339" i="2"/>
  <c r="BJ339" i="2"/>
  <c r="AW342" i="2"/>
  <c r="BQ339" i="2"/>
  <c r="BI339" i="2"/>
  <c r="AY339" i="2"/>
  <c r="AV370" i="2"/>
  <c r="BK370" i="2"/>
  <c r="BJ412" i="2"/>
  <c r="BF409" i="2"/>
  <c r="BC437" i="2"/>
  <c r="AX437" i="2"/>
  <c r="BD19" i="2"/>
  <c r="BC19" i="2"/>
  <c r="BM116" i="2"/>
  <c r="BE116" i="2"/>
  <c r="AW116" i="2"/>
  <c r="BC142" i="2"/>
  <c r="BL143" i="2"/>
  <c r="AZ142" i="2"/>
  <c r="BE143" i="2"/>
  <c r="AZ242" i="2"/>
  <c r="V102" i="2"/>
  <c r="AC230" i="35" s="1"/>
  <c r="BN72" i="2"/>
  <c r="BG118" i="2"/>
  <c r="BA177" i="2"/>
  <c r="BK177" i="2"/>
  <c r="BM177" i="2"/>
  <c r="BR178" i="2"/>
  <c r="BL178" i="2"/>
  <c r="BH178" i="2"/>
  <c r="AX180" i="2"/>
  <c r="BH180" i="2"/>
  <c r="BL378" i="2"/>
  <c r="BC372" i="2"/>
  <c r="BJ375" i="2"/>
  <c r="AW377" i="2"/>
  <c r="BG378" i="2"/>
  <c r="BC378" i="2"/>
  <c r="BE469" i="2"/>
  <c r="BF474" i="2"/>
  <c r="BA474" i="2"/>
  <c r="BN474" i="2"/>
  <c r="BI458" i="2"/>
  <c r="BP458" i="2"/>
  <c r="AW278" i="2"/>
  <c r="BJ278" i="2"/>
  <c r="BN279" i="2"/>
  <c r="AZ466" i="2"/>
  <c r="BC39" i="2"/>
  <c r="BF69" i="2"/>
  <c r="BB342" i="2"/>
  <c r="AV341" i="2"/>
  <c r="AX339" i="2"/>
  <c r="BR370" i="2"/>
  <c r="BC370" i="2"/>
  <c r="BN412" i="2"/>
  <c r="BI437" i="2"/>
  <c r="AW437" i="2"/>
  <c r="BL437" i="2"/>
  <c r="BN17" i="2"/>
  <c r="AY143" i="2"/>
  <c r="AV143" i="2"/>
  <c r="AY241" i="2"/>
  <c r="BD118" i="2"/>
  <c r="BC178" i="2"/>
  <c r="BK386" i="2"/>
  <c r="BQ372" i="2"/>
  <c r="BF377" i="2"/>
  <c r="BQ377" i="2"/>
  <c r="AX371" i="2"/>
  <c r="BF371" i="2"/>
  <c r="BE371" i="2"/>
  <c r="BA375" i="2"/>
  <c r="AX375" i="2"/>
  <c r="BL375" i="2"/>
  <c r="AX378" i="2"/>
  <c r="BH469" i="2"/>
  <c r="BC469" i="2"/>
  <c r="BE474" i="2"/>
  <c r="AV474" i="2"/>
  <c r="BH474" i="2"/>
  <c r="BC59" i="2"/>
  <c r="AV59" i="2"/>
  <c r="AY60" i="2"/>
  <c r="BO60" i="2"/>
  <c r="BF60" i="2"/>
  <c r="BB168" i="2"/>
  <c r="BC157" i="2"/>
  <c r="BR157" i="2"/>
  <c r="AZ163" i="2"/>
  <c r="AX267" i="2"/>
  <c r="AV267" i="2"/>
  <c r="BF259" i="2"/>
  <c r="BD259" i="2"/>
  <c r="AV256" i="2"/>
  <c r="BI355" i="2"/>
  <c r="AX461" i="2"/>
  <c r="BQ457" i="2"/>
  <c r="BD170" i="2"/>
  <c r="BJ39" i="2"/>
  <c r="AY39" i="2"/>
  <c r="BR39" i="2"/>
  <c r="BL39" i="2"/>
  <c r="BB240" i="2"/>
  <c r="BO237" i="2"/>
  <c r="BF237" i="2"/>
  <c r="BE59" i="2"/>
  <c r="AX59" i="2"/>
  <c r="BN59" i="2"/>
  <c r="BA60" i="2"/>
  <c r="BR60" i="2"/>
  <c r="BH62" i="2"/>
  <c r="AY163" i="2"/>
  <c r="BG157" i="2"/>
  <c r="AZ167" i="2"/>
  <c r="AY256" i="2"/>
  <c r="BI261" i="2"/>
  <c r="BH263" i="2"/>
  <c r="BF263" i="2"/>
  <c r="BD263" i="2"/>
  <c r="AX256" i="2"/>
  <c r="BB259" i="2"/>
  <c r="AZ259" i="2"/>
  <c r="BG264" i="2"/>
  <c r="BE264" i="2"/>
  <c r="BC264" i="2"/>
  <c r="AW259" i="2"/>
  <c r="BH256" i="2"/>
  <c r="BL264" i="2"/>
  <c r="AY259" i="2"/>
  <c r="BJ267" i="2"/>
  <c r="BE361" i="2"/>
  <c r="BM361" i="2"/>
  <c r="BB355" i="2"/>
  <c r="AX458" i="2"/>
  <c r="BQ454" i="2"/>
  <c r="BA454" i="2"/>
  <c r="AZ462" i="2"/>
  <c r="AV457" i="2"/>
  <c r="BF457" i="2"/>
  <c r="BR457" i="2"/>
  <c r="BM458" i="2"/>
  <c r="BA458" i="2"/>
  <c r="BO170" i="2"/>
  <c r="AW270" i="2"/>
  <c r="BR278" i="2"/>
  <c r="BI278" i="2"/>
  <c r="BJ279" i="2"/>
  <c r="BM466" i="2"/>
  <c r="AD423" i="35"/>
  <c r="BB16" i="2"/>
  <c r="BQ41" i="2"/>
  <c r="BI39" i="2"/>
  <c r="AW39" i="2"/>
  <c r="BC69" i="2"/>
  <c r="BF240" i="2"/>
  <c r="BE239" i="2"/>
  <c r="AX240" i="2"/>
  <c r="BE240" i="2"/>
  <c r="BP237" i="2"/>
  <c r="AX237" i="2"/>
  <c r="BA312" i="2"/>
  <c r="BI312" i="2"/>
  <c r="BA338" i="2"/>
  <c r="BM340" i="2"/>
  <c r="BG340" i="2"/>
  <c r="BC339" i="2"/>
  <c r="BP342" i="2"/>
  <c r="BB339" i="2"/>
  <c r="AV342" i="2"/>
  <c r="BO342" i="2"/>
  <c r="BH342" i="2"/>
  <c r="BQ370" i="2"/>
  <c r="BP370" i="2"/>
  <c r="BI411" i="2"/>
  <c r="AY409" i="2"/>
  <c r="BN409" i="2"/>
  <c r="BJ413" i="2"/>
  <c r="BA412" i="2"/>
  <c r="BB411" i="2"/>
  <c r="BA437" i="2"/>
  <c r="BR437" i="2"/>
  <c r="BH437" i="2"/>
  <c r="BL19" i="2"/>
  <c r="BA42" i="2"/>
  <c r="BK116" i="2"/>
  <c r="BC116" i="2"/>
  <c r="BL142" i="2"/>
  <c r="BK143" i="2"/>
  <c r="AX143" i="2"/>
  <c r="BM242" i="2"/>
  <c r="X423" i="35"/>
  <c r="BI72" i="2"/>
  <c r="BB72" i="2"/>
  <c r="BJ72" i="2"/>
  <c r="BL78" i="2"/>
  <c r="BA78" i="2"/>
  <c r="AV78" i="2"/>
  <c r="BC118" i="2"/>
  <c r="BN177" i="2"/>
  <c r="BG177" i="2"/>
  <c r="AV177" i="2"/>
  <c r="AX178" i="2"/>
  <c r="BH372" i="2"/>
  <c r="AX469" i="2"/>
  <c r="BE139" i="2"/>
  <c r="BP139" i="2"/>
  <c r="BH139" i="2"/>
  <c r="BQ139" i="2"/>
  <c r="AY139" i="2"/>
  <c r="BK239" i="2"/>
  <c r="BC239" i="2"/>
  <c r="BR339" i="2"/>
  <c r="BK339" i="2"/>
  <c r="BF339" i="2"/>
  <c r="AZ342" i="2"/>
  <c r="BN341" i="2"/>
  <c r="BA339" i="2"/>
  <c r="BM341" i="2"/>
  <c r="BG341" i="2"/>
  <c r="BA370" i="2"/>
  <c r="AZ370" i="2"/>
  <c r="BC413" i="2"/>
  <c r="BR413" i="2"/>
  <c r="BI412" i="2"/>
  <c r="BF437" i="2"/>
  <c r="BJ437" i="2"/>
  <c r="BK437" i="2"/>
  <c r="BI116" i="2"/>
  <c r="BA116" i="2"/>
  <c r="BI143" i="2"/>
  <c r="BB143" i="2"/>
  <c r="BC143" i="2"/>
  <c r="BO142" i="2"/>
  <c r="BP143" i="2"/>
  <c r="BL241" i="2"/>
  <c r="BR241" i="2"/>
  <c r="BE72" i="2"/>
  <c r="BF72" i="2"/>
  <c r="AW78" i="2"/>
  <c r="BO78" i="2"/>
  <c r="AX118" i="2"/>
  <c r="BE177" i="2"/>
  <c r="AV178" i="2"/>
  <c r="BJ178" i="2"/>
  <c r="BM180" i="2"/>
  <c r="BQ180" i="2"/>
  <c r="AY372" i="2"/>
  <c r="BL372" i="2"/>
  <c r="BH375" i="2"/>
  <c r="BB378" i="2"/>
  <c r="BM378" i="2"/>
  <c r="BJ469" i="2"/>
  <c r="BR264" i="2"/>
  <c r="BA259" i="2"/>
  <c r="BN170" i="2"/>
  <c r="BN370" i="2"/>
  <c r="BB180" i="2"/>
  <c r="AV287" i="2"/>
  <c r="BP377" i="2"/>
  <c r="AZ377" i="2"/>
  <c r="AV371" i="2"/>
  <c r="BJ371" i="2"/>
  <c r="BG371" i="2"/>
  <c r="BR372" i="2"/>
  <c r="BG372" i="2"/>
  <c r="BR375" i="2"/>
  <c r="BA378" i="2"/>
  <c r="AY378" i="2"/>
  <c r="BK378" i="2"/>
  <c r="AY469" i="2"/>
  <c r="BB470" i="2"/>
  <c r="BI470" i="2"/>
  <c r="BR474" i="2"/>
  <c r="BC474" i="2"/>
  <c r="BM474" i="2"/>
  <c r="BR475" i="2"/>
  <c r="AZ475" i="2"/>
  <c r="BD157" i="2"/>
  <c r="AW269" i="2"/>
  <c r="BA256" i="2"/>
  <c r="BG259" i="2"/>
  <c r="BE259" i="2"/>
  <c r="BC259" i="2"/>
  <c r="BN461" i="2"/>
  <c r="AZ461" i="2"/>
  <c r="AY457" i="2"/>
  <c r="BH457" i="2"/>
  <c r="AX278" i="2"/>
  <c r="BO278" i="2"/>
  <c r="BN39" i="2"/>
  <c r="BF39" i="2"/>
  <c r="BP39" i="2"/>
  <c r="BH39" i="2"/>
  <c r="AX341" i="2"/>
  <c r="BP339" i="2"/>
  <c r="AV339" i="2"/>
  <c r="BO339" i="2"/>
  <c r="BH339" i="2"/>
  <c r="AX412" i="2"/>
  <c r="BM412" i="2"/>
  <c r="BH143" i="2"/>
  <c r="BM143" i="2"/>
  <c r="AW59" i="2"/>
  <c r="BM59" i="2"/>
  <c r="BI60" i="2"/>
  <c r="AZ60" i="2"/>
  <c r="AX168" i="2"/>
  <c r="BQ159" i="2"/>
  <c r="BF157" i="2"/>
  <c r="BB169" i="2"/>
  <c r="AY168" i="2"/>
  <c r="BE167" i="2"/>
  <c r="BR167" i="2"/>
  <c r="BA264" i="2"/>
  <c r="BG263" i="2"/>
  <c r="BE263" i="2"/>
  <c r="BC263" i="2"/>
  <c r="BH264" i="2"/>
  <c r="BF264" i="2"/>
  <c r="BD264" i="2"/>
  <c r="BD461" i="2"/>
  <c r="BO461" i="2"/>
  <c r="BM462" i="2"/>
  <c r="BP462" i="2"/>
  <c r="BF462" i="2"/>
  <c r="BE457" i="2"/>
  <c r="BL457" i="2"/>
  <c r="BD458" i="2"/>
  <c r="BG170" i="2"/>
  <c r="BR270" i="2"/>
  <c r="BE272" i="2"/>
  <c r="BN278" i="2"/>
  <c r="BA278" i="2"/>
  <c r="BI366" i="2"/>
  <c r="AY465" i="2"/>
  <c r="BH465" i="2"/>
  <c r="BF466" i="2"/>
  <c r="BJ16" i="2"/>
  <c r="BN14" i="2"/>
  <c r="AX39" i="2"/>
  <c r="BM39" i="2"/>
  <c r="BE39" i="2"/>
  <c r="BL112" i="2"/>
  <c r="BD112" i="2"/>
  <c r="BN139" i="2"/>
  <c r="BF139" i="2"/>
  <c r="BI237" i="2"/>
  <c r="BC238" i="2"/>
  <c r="BH239" i="2"/>
  <c r="AZ240" i="2"/>
  <c r="BJ237" i="2"/>
  <c r="BH240" i="2"/>
  <c r="AZ237" i="2"/>
  <c r="AW312" i="2"/>
  <c r="BE312" i="2"/>
  <c r="BQ342" i="2"/>
  <c r="BI342" i="2"/>
  <c r="BE339" i="2"/>
  <c r="AY342" i="2"/>
  <c r="BL340" i="2"/>
  <c r="AX342" i="2"/>
  <c r="BR340" i="2"/>
  <c r="AZ339" i="2"/>
  <c r="BF370" i="2"/>
  <c r="BM370" i="2"/>
  <c r="BK413" i="2"/>
  <c r="BF408" i="2"/>
  <c r="BB412" i="2"/>
  <c r="BQ412" i="2"/>
  <c r="AX409" i="2"/>
  <c r="AV437" i="2"/>
  <c r="BG18" i="2"/>
  <c r="BO116" i="2"/>
  <c r="BG116" i="2"/>
  <c r="AY116" i="2"/>
  <c r="BG143" i="2"/>
  <c r="AW143" i="2"/>
  <c r="BE142" i="2"/>
  <c r="BD242" i="2"/>
  <c r="BR72" i="2"/>
  <c r="BK72" i="2"/>
  <c r="BM72" i="2"/>
  <c r="AZ73" i="2"/>
  <c r="AY73" i="2"/>
  <c r="BL75" i="2"/>
  <c r="BO75" i="2"/>
  <c r="BE78" i="2"/>
  <c r="BM118" i="2"/>
  <c r="BJ177" i="2"/>
  <c r="BI178" i="2"/>
  <c r="BE178" i="2"/>
  <c r="BN180" i="2"/>
  <c r="AY377" i="2"/>
  <c r="BQ371" i="2"/>
  <c r="BH371" i="2"/>
  <c r="BB371" i="2"/>
  <c r="BO372" i="2"/>
  <c r="BD372" i="2"/>
  <c r="BQ375" i="2"/>
  <c r="AW378" i="2"/>
  <c r="BQ378" i="2"/>
  <c r="BP469" i="2"/>
  <c r="BL471" i="2"/>
  <c r="AZ472" i="2"/>
  <c r="BJ473" i="2"/>
  <c r="BJ474" i="2"/>
  <c r="AW474" i="2"/>
  <c r="BG474" i="2"/>
  <c r="BQ475" i="2"/>
  <c r="AW475" i="2"/>
  <c r="AZ72" i="2"/>
  <c r="BP72" i="2"/>
  <c r="AW72" i="2"/>
  <c r="BD72" i="2"/>
  <c r="BM178" i="2"/>
  <c r="AY180" i="2"/>
  <c r="BL180" i="2"/>
  <c r="BE372" i="2"/>
  <c r="BO376" i="2"/>
  <c r="AW376" i="2"/>
  <c r="BR376" i="2"/>
  <c r="AX377" i="2"/>
  <c r="AV378" i="2"/>
  <c r="BD378" i="2"/>
  <c r="BP467" i="2"/>
  <c r="AZ468" i="2"/>
  <c r="AY472" i="2"/>
  <c r="BD473" i="2"/>
  <c r="BK474" i="2"/>
  <c r="BI474" i="2"/>
  <c r="BO474" i="2"/>
  <c r="AY474" i="2"/>
  <c r="BJ475" i="2"/>
  <c r="AS430" i="5"/>
  <c r="AS511" i="5"/>
  <c r="AC240" i="36"/>
  <c r="AC245" i="36"/>
  <c r="AC241" i="36"/>
  <c r="AB406" i="5"/>
  <c r="R460" i="36" s="1"/>
  <c r="AC252" i="36"/>
  <c r="AC253" i="36"/>
  <c r="AC249" i="36"/>
  <c r="AC244" i="36"/>
  <c r="AA281" i="5"/>
  <c r="Z153" i="36" s="1"/>
  <c r="Z180" i="36" s="1"/>
  <c r="AC246" i="36"/>
  <c r="AC250" i="36"/>
  <c r="AC238" i="36"/>
  <c r="AC243" i="36"/>
  <c r="AC251" i="36"/>
  <c r="AC248" i="36"/>
  <c r="AE449" i="5"/>
  <c r="AA511" i="5"/>
  <c r="R153" i="36"/>
  <c r="R180" i="36" s="1"/>
  <c r="AA430" i="5"/>
  <c r="Q167" i="36"/>
  <c r="Q194" i="36" s="1"/>
  <c r="AB428" i="5"/>
  <c r="AA56" i="5"/>
  <c r="X459" i="36" s="1"/>
  <c r="AC239" i="36"/>
  <c r="AK430" i="5"/>
  <c r="T167" i="36"/>
  <c r="T194" i="36" s="1"/>
  <c r="AO152" i="5"/>
  <c r="Q155" i="36"/>
  <c r="Q182" i="36" s="1"/>
  <c r="AC331" i="5"/>
  <c r="AD150" i="36"/>
  <c r="X203" i="5"/>
  <c r="X538" i="5"/>
  <c r="AL430" i="5"/>
  <c r="Y428" i="5"/>
  <c r="R151" i="36" s="1"/>
  <c r="R178" i="36" s="1"/>
  <c r="Q161" i="36"/>
  <c r="Q188" i="36" s="1"/>
  <c r="AI331" i="5"/>
  <c r="AP281" i="5"/>
  <c r="AP283" i="5" s="1"/>
  <c r="AM83" i="5"/>
  <c r="X165" i="36" s="1"/>
  <c r="X192" i="36" s="1"/>
  <c r="AJ511" i="5"/>
  <c r="AV188" i="2"/>
  <c r="W300" i="2"/>
  <c r="AC247" i="36"/>
  <c r="U165" i="36"/>
  <c r="U192" i="36" s="1"/>
  <c r="AM251" i="5"/>
  <c r="AD160" i="36"/>
  <c r="AH203" i="5"/>
  <c r="T154" i="36"/>
  <c r="T181" i="36" s="1"/>
  <c r="AB152" i="5"/>
  <c r="Q156" i="36"/>
  <c r="Q183" i="36" s="1"/>
  <c r="AD331" i="5"/>
  <c r="T165" i="36"/>
  <c r="T192" i="36" s="1"/>
  <c r="AM152" i="5"/>
  <c r="AD152" i="36"/>
  <c r="AG306" i="35"/>
  <c r="S270" i="36"/>
  <c r="S271" i="36"/>
  <c r="S249" i="36"/>
  <c r="S262" i="36"/>
  <c r="S273" i="36"/>
  <c r="S242" i="36"/>
  <c r="S274" i="36"/>
  <c r="S261" i="36"/>
  <c r="S246" i="36"/>
  <c r="S238" i="36"/>
  <c r="S266" i="36"/>
  <c r="S268" i="36"/>
  <c r="S244" i="36"/>
  <c r="S250" i="36"/>
  <c r="S276" i="36"/>
  <c r="S252" i="36"/>
  <c r="S267" i="36"/>
  <c r="AC427" i="35"/>
  <c r="S265" i="36"/>
  <c r="S263" i="36"/>
  <c r="S239" i="36"/>
  <c r="S240" i="36"/>
  <c r="S264" i="36"/>
  <c r="AL395" i="35"/>
  <c r="S241" i="36"/>
  <c r="S243" i="36"/>
  <c r="S275" i="36"/>
  <c r="S245" i="36"/>
  <c r="S248" i="36"/>
  <c r="AC53" i="5"/>
  <c r="AL439" i="35"/>
  <c r="AC517" i="5"/>
  <c r="N249" i="36"/>
  <c r="N242" i="36"/>
  <c r="N251" i="36"/>
  <c r="N245" i="36"/>
  <c r="N238" i="36"/>
  <c r="N243" i="36"/>
  <c r="N250" i="36"/>
  <c r="N244" i="36"/>
  <c r="N239" i="36"/>
  <c r="N240" i="36"/>
  <c r="N248" i="36"/>
  <c r="N247" i="36"/>
  <c r="AD507" i="5"/>
  <c r="N156" i="36"/>
  <c r="N183" i="36" s="1"/>
  <c r="AB427" i="35"/>
  <c r="AH427" i="35"/>
  <c r="BK475" i="2"/>
  <c r="BB475" i="2"/>
  <c r="BA475" i="2"/>
  <c r="BN475" i="2"/>
  <c r="BM475" i="2"/>
  <c r="BL475" i="2"/>
  <c r="S475" i="2"/>
  <c r="AY475" i="2"/>
  <c r="BF475" i="2"/>
  <c r="BP475" i="2"/>
  <c r="S474" i="2"/>
  <c r="BL474" i="2"/>
  <c r="BB473" i="2"/>
  <c r="BG473" i="2"/>
  <c r="BP473" i="2"/>
  <c r="AY473" i="2"/>
  <c r="S473" i="2"/>
  <c r="BK473" i="2"/>
  <c r="BR473" i="2"/>
  <c r="BQ473" i="2"/>
  <c r="BE473" i="2"/>
  <c r="BM473" i="2"/>
  <c r="BL473" i="2"/>
  <c r="AZ473" i="2"/>
  <c r="BI473" i="2"/>
  <c r="BO473" i="2"/>
  <c r="AX473" i="2"/>
  <c r="BF473" i="2"/>
  <c r="BH473" i="2"/>
  <c r="AW473" i="2"/>
  <c r="BC473" i="2"/>
  <c r="BN473" i="2"/>
  <c r="AV473" i="2"/>
  <c r="BQ472" i="2"/>
  <c r="S472" i="2"/>
  <c r="BN472" i="2"/>
  <c r="BM472" i="2"/>
  <c r="BO472" i="2"/>
  <c r="BK472" i="2"/>
  <c r="BJ472" i="2"/>
  <c r="BF472" i="2"/>
  <c r="BE472" i="2"/>
  <c r="AX472" i="2"/>
  <c r="AV472" i="2"/>
  <c r="BC472" i="2"/>
  <c r="BG472" i="2"/>
  <c r="BR472" i="2"/>
  <c r="BH472" i="2"/>
  <c r="BB472" i="2"/>
  <c r="AW472" i="2"/>
  <c r="BD472" i="2"/>
  <c r="BI472" i="2"/>
  <c r="S471" i="2"/>
  <c r="BB471" i="2"/>
  <c r="BR471" i="2"/>
  <c r="BM471" i="2"/>
  <c r="AX471" i="2"/>
  <c r="BP471" i="2"/>
  <c r="BA471" i="2"/>
  <c r="BQ471" i="2"/>
  <c r="BI471" i="2"/>
  <c r="AZ471" i="2"/>
  <c r="BE471" i="2"/>
  <c r="BO471" i="2"/>
  <c r="BF471" i="2"/>
  <c r="AW471" i="2"/>
  <c r="BD471" i="2"/>
  <c r="BC471" i="2"/>
  <c r="BN471" i="2"/>
  <c r="BG471" i="2"/>
  <c r="S470" i="2"/>
  <c r="BD470" i="2"/>
  <c r="BN470" i="2"/>
  <c r="BO470" i="2"/>
  <c r="BK470" i="2"/>
  <c r="BJ470" i="2"/>
  <c r="BE470" i="2"/>
  <c r="BP470" i="2"/>
  <c r="BF470" i="2"/>
  <c r="BL470" i="2"/>
  <c r="AW470" i="2"/>
  <c r="BA470" i="2"/>
  <c r="AZ470" i="2"/>
  <c r="BG470" i="2"/>
  <c r="BR470" i="2"/>
  <c r="AX470" i="2"/>
  <c r="BC470" i="2"/>
  <c r="AY470" i="2"/>
  <c r="BM470" i="2"/>
  <c r="AV470" i="2"/>
  <c r="BQ470" i="2"/>
  <c r="S469" i="2"/>
  <c r="BD469" i="2"/>
  <c r="BQ469" i="2"/>
  <c r="BB469" i="2"/>
  <c r="AV469" i="2"/>
  <c r="AZ469" i="2"/>
  <c r="BN469" i="2"/>
  <c r="BM469" i="2"/>
  <c r="BI469" i="2"/>
  <c r="BR469" i="2"/>
  <c r="BG469" i="2"/>
  <c r="BK469" i="2"/>
  <c r="AW469" i="2"/>
  <c r="BA469" i="2"/>
  <c r="BF469" i="2"/>
  <c r="BO469" i="2"/>
  <c r="BH468" i="2"/>
  <c r="BD468" i="2"/>
  <c r="BF468" i="2"/>
  <c r="BC468" i="2"/>
  <c r="BP468" i="2"/>
  <c r="BO468" i="2"/>
  <c r="BK468" i="2"/>
  <c r="AW468" i="2"/>
  <c r="BG468" i="2"/>
  <c r="BR468" i="2"/>
  <c r="BM468" i="2"/>
  <c r="BA468" i="2"/>
  <c r="BB468" i="2"/>
  <c r="AY468" i="2"/>
  <c r="BN468" i="2"/>
  <c r="AX468" i="2"/>
  <c r="BI468" i="2"/>
  <c r="AV468" i="2"/>
  <c r="BE468" i="2"/>
  <c r="S468" i="2"/>
  <c r="BQ468" i="2"/>
  <c r="BL468" i="2"/>
  <c r="BJ468" i="2"/>
  <c r="BJ467" i="2"/>
  <c r="BI467" i="2"/>
  <c r="BA467" i="2"/>
  <c r="AZ467" i="2"/>
  <c r="AV467" i="2"/>
  <c r="S467" i="2"/>
  <c r="BB467" i="2"/>
  <c r="BK467" i="2"/>
  <c r="BD467" i="2"/>
  <c r="AW467" i="2"/>
  <c r="BR467" i="2"/>
  <c r="BB458" i="2"/>
  <c r="BB456" i="2"/>
  <c r="AW456" i="2"/>
  <c r="AV455" i="2"/>
  <c r="AB245" i="35"/>
  <c r="AB248" i="35"/>
  <c r="AB243" i="35"/>
  <c r="AB252" i="35"/>
  <c r="AB241" i="35"/>
  <c r="T397" i="35"/>
  <c r="P379" i="35"/>
  <c r="BG465" i="2"/>
  <c r="BI465" i="2"/>
  <c r="BG462" i="2"/>
  <c r="BK462" i="2"/>
  <c r="BB462" i="2"/>
  <c r="BJ462" i="2"/>
  <c r="BJ461" i="2"/>
  <c r="BR461" i="2"/>
  <c r="AY461" i="2"/>
  <c r="BH461" i="2"/>
  <c r="BB461" i="2"/>
  <c r="BA459" i="2"/>
  <c r="AW459" i="2"/>
  <c r="BC459" i="2"/>
  <c r="AV459" i="2"/>
  <c r="AX459" i="2"/>
  <c r="BD459" i="2"/>
  <c r="BH459" i="2"/>
  <c r="BL459" i="2"/>
  <c r="BO485" i="2"/>
  <c r="AP498" i="2"/>
  <c r="AP484" i="2"/>
  <c r="AG474" i="35" s="1"/>
  <c r="BI485" i="2"/>
  <c r="AJ484" i="2"/>
  <c r="AG468" i="35" s="1"/>
  <c r="AJ498" i="2"/>
  <c r="BP485" i="2"/>
  <c r="AQ484" i="2"/>
  <c r="AG475" i="35" s="1"/>
  <c r="AQ498" i="2"/>
  <c r="BL485" i="2"/>
  <c r="AM484" i="2"/>
  <c r="AG471" i="35" s="1"/>
  <c r="AM498" i="2"/>
  <c r="BC485" i="2"/>
  <c r="AD484" i="2"/>
  <c r="AG462" i="35" s="1"/>
  <c r="BN485" i="2"/>
  <c r="AO484" i="2"/>
  <c r="AG473" i="35" s="1"/>
  <c r="AO498" i="2"/>
  <c r="BE485" i="2"/>
  <c r="AF484" i="2"/>
  <c r="AG464" i="35" s="1"/>
  <c r="AF498" i="2"/>
  <c r="BF485" i="2"/>
  <c r="AG498" i="2"/>
  <c r="AG484" i="2"/>
  <c r="AG465" i="35" s="1"/>
  <c r="Z498" i="2"/>
  <c r="AY485" i="2"/>
  <c r="BM485" i="2"/>
  <c r="AN498" i="2"/>
  <c r="AN484" i="2"/>
  <c r="AG472" i="35" s="1"/>
  <c r="AV485" i="2"/>
  <c r="W498" i="2"/>
  <c r="N485" i="2" s="1"/>
  <c r="BB485" i="2"/>
  <c r="AC484" i="2"/>
  <c r="AG461" i="35" s="1"/>
  <c r="AX485" i="2"/>
  <c r="Y498" i="2"/>
  <c r="BJ485" i="2"/>
  <c r="AK498" i="2"/>
  <c r="AK484" i="2"/>
  <c r="AG469" i="35" s="1"/>
  <c r="BQ485" i="2"/>
  <c r="AR484" i="2"/>
  <c r="AG476" i="35" s="1"/>
  <c r="AR498" i="2"/>
  <c r="AW485" i="2"/>
  <c r="X498" i="2"/>
  <c r="BG485" i="2"/>
  <c r="AH498" i="2"/>
  <c r="AH484" i="2"/>
  <c r="AG466" i="35" s="1"/>
  <c r="AZ485" i="2"/>
  <c r="AA484" i="2"/>
  <c r="AG459" i="35" s="1"/>
  <c r="BH485" i="2"/>
  <c r="AI484" i="2"/>
  <c r="AG467" i="35" s="1"/>
  <c r="AI498" i="2"/>
  <c r="BD485" i="2"/>
  <c r="AE484" i="2"/>
  <c r="AG463" i="35" s="1"/>
  <c r="S485" i="2"/>
  <c r="R498" i="2"/>
  <c r="BA485" i="2"/>
  <c r="AB484" i="2"/>
  <c r="AG460" i="35" s="1"/>
  <c r="BK485" i="2"/>
  <c r="AL498" i="2"/>
  <c r="AL484" i="2"/>
  <c r="AG470" i="35" s="1"/>
  <c r="AG247" i="35"/>
  <c r="AG239" i="35"/>
  <c r="AG246" i="35"/>
  <c r="AG238" i="35"/>
  <c r="AG253" i="35"/>
  <c r="AG245" i="35"/>
  <c r="AG228" i="35"/>
  <c r="AG252" i="35"/>
  <c r="AG244" i="35"/>
  <c r="AG251" i="35"/>
  <c r="AG243" i="35"/>
  <c r="Q541" i="2"/>
  <c r="AG250" i="35"/>
  <c r="AG242" i="35"/>
  <c r="AG249" i="35"/>
  <c r="AG241" i="35"/>
  <c r="AG248" i="35"/>
  <c r="AG240" i="35"/>
  <c r="BR485" i="2"/>
  <c r="AS498" i="2"/>
  <c r="AS484" i="2"/>
  <c r="AG477" i="35" s="1"/>
  <c r="S435" i="2"/>
  <c r="BK436" i="2"/>
  <c r="AX436" i="2"/>
  <c r="W306" i="35"/>
  <c r="S436" i="2"/>
  <c r="BN434" i="2"/>
  <c r="BB410" i="2"/>
  <c r="R309" i="35"/>
  <c r="AY410" i="2"/>
  <c r="AX410" i="2"/>
  <c r="BG410" i="2"/>
  <c r="BF410" i="2"/>
  <c r="AV410" i="2"/>
  <c r="BK410" i="2"/>
  <c r="BJ410" i="2"/>
  <c r="AZ410" i="2"/>
  <c r="BO410" i="2"/>
  <c r="BN410" i="2"/>
  <c r="S410" i="2"/>
  <c r="BH410" i="2"/>
  <c r="BL410" i="2"/>
  <c r="BG409" i="2"/>
  <c r="S409" i="2"/>
  <c r="BJ409" i="2"/>
  <c r="BB408" i="2"/>
  <c r="BJ408" i="2"/>
  <c r="BN408" i="2"/>
  <c r="S408" i="2"/>
  <c r="BQ407" i="2"/>
  <c r="V428" i="2"/>
  <c r="V511" i="2" s="1"/>
  <c r="BH378" i="2"/>
  <c r="S378" i="2"/>
  <c r="BR378" i="2"/>
  <c r="BI378" i="2"/>
  <c r="BJ378" i="2"/>
  <c r="BE378" i="2"/>
  <c r="AV377" i="2"/>
  <c r="BC377" i="2"/>
  <c r="BA377" i="2"/>
  <c r="BH377" i="2"/>
  <c r="BK377" i="2"/>
  <c r="S376" i="2"/>
  <c r="BG376" i="2"/>
  <c r="BE376" i="2"/>
  <c r="BQ376" i="2"/>
  <c r="BD376" i="2"/>
  <c r="BJ376" i="2"/>
  <c r="BB376" i="2"/>
  <c r="AZ376" i="2"/>
  <c r="AV376" i="2"/>
  <c r="AY376" i="2"/>
  <c r="AX376" i="2"/>
  <c r="BP376" i="2"/>
  <c r="BL376" i="2"/>
  <c r="BI376" i="2"/>
  <c r="BK376" i="2"/>
  <c r="BF376" i="2"/>
  <c r="BC376" i="2"/>
  <c r="AV375" i="2"/>
  <c r="BG375" i="2"/>
  <c r="BC375" i="2"/>
  <c r="BD375" i="2"/>
  <c r="BB375" i="2"/>
  <c r="BE375" i="2"/>
  <c r="BM375" i="2"/>
  <c r="BI375" i="2"/>
  <c r="BF375" i="2"/>
  <c r="S375" i="2"/>
  <c r="AW375" i="2"/>
  <c r="AY375" i="2"/>
  <c r="BK375" i="2"/>
  <c r="BP375" i="2"/>
  <c r="BN373" i="2"/>
  <c r="BM373" i="2"/>
  <c r="BH373" i="2"/>
  <c r="BE373" i="2"/>
  <c r="BI372" i="2"/>
  <c r="S372" i="2"/>
  <c r="AW372" i="2"/>
  <c r="BB372" i="2"/>
  <c r="BN372" i="2"/>
  <c r="BK372" i="2"/>
  <c r="AX372" i="2"/>
  <c r="BM372" i="2"/>
  <c r="BA372" i="2"/>
  <c r="AZ372" i="2"/>
  <c r="BJ372" i="2"/>
  <c r="AV372" i="2"/>
  <c r="S371" i="2"/>
  <c r="AZ371" i="2"/>
  <c r="BR371" i="2"/>
  <c r="BN371" i="2"/>
  <c r="AW370" i="2"/>
  <c r="BJ370" i="2"/>
  <c r="AA244" i="35"/>
  <c r="AA238" i="35"/>
  <c r="AA249" i="35"/>
  <c r="AA241" i="35"/>
  <c r="AA240" i="35"/>
  <c r="AW366" i="2"/>
  <c r="BG366" i="2"/>
  <c r="AA247" i="35"/>
  <c r="AA245" i="35"/>
  <c r="N380" i="35"/>
  <c r="AA242" i="35"/>
  <c r="AA252" i="35"/>
  <c r="AA253" i="35"/>
  <c r="AA239" i="35"/>
  <c r="AA248" i="35"/>
  <c r="AA251" i="35"/>
  <c r="AA243" i="35"/>
  <c r="AA250" i="35"/>
  <c r="AA246" i="35"/>
  <c r="S370" i="2"/>
  <c r="BB366" i="2"/>
  <c r="AX366" i="2"/>
  <c r="BA365" i="2"/>
  <c r="AV365" i="2"/>
  <c r="BJ365" i="2"/>
  <c r="AX365" i="2"/>
  <c r="BK365" i="2"/>
  <c r="AY365" i="2"/>
  <c r="BC356" i="2"/>
  <c r="BE355" i="2"/>
  <c r="BO355" i="2"/>
  <c r="T398" i="35"/>
  <c r="BB386" i="2"/>
  <c r="AC385" i="2"/>
  <c r="AF461" i="35" s="1"/>
  <c r="R399" i="2"/>
  <c r="S386" i="2"/>
  <c r="AF253" i="35"/>
  <c r="BR386" i="2"/>
  <c r="AS399" i="2"/>
  <c r="AS385" i="2"/>
  <c r="AF477" i="35" s="1"/>
  <c r="X399" i="2"/>
  <c r="AW386" i="2"/>
  <c r="AL399" i="2"/>
  <c r="AL385" i="2"/>
  <c r="AF470" i="35" s="1"/>
  <c r="AF249" i="35"/>
  <c r="BQ386" i="2"/>
  <c r="AR385" i="2"/>
  <c r="AF476" i="35" s="1"/>
  <c r="AR399" i="2"/>
  <c r="BD386" i="2"/>
  <c r="AE385" i="2"/>
  <c r="AF463" i="35" s="1"/>
  <c r="AF245" i="35"/>
  <c r="BP386" i="2"/>
  <c r="AQ399" i="2"/>
  <c r="AQ385" i="2"/>
  <c r="AF475" i="35" s="1"/>
  <c r="AE399" i="2"/>
  <c r="AE540" i="2" s="1"/>
  <c r="AX386" i="2"/>
  <c r="AF244" i="35"/>
  <c r="AF239" i="35"/>
  <c r="AF250" i="35"/>
  <c r="BA386" i="2"/>
  <c r="AB399" i="2"/>
  <c r="AB385" i="2"/>
  <c r="AF460" i="35" s="1"/>
  <c r="AF241" i="35"/>
  <c r="AY386" i="2"/>
  <c r="BI386" i="2"/>
  <c r="AJ385" i="2"/>
  <c r="AF468" i="35" s="1"/>
  <c r="AO399" i="2"/>
  <c r="AO385" i="2"/>
  <c r="AF473" i="35" s="1"/>
  <c r="AC399" i="2"/>
  <c r="AC540" i="2" s="1"/>
  <c r="AZ386" i="2"/>
  <c r="AA385" i="2"/>
  <c r="AF459" i="35" s="1"/>
  <c r="AF242" i="35"/>
  <c r="BL386" i="2"/>
  <c r="AM385" i="2"/>
  <c r="AF471" i="35" s="1"/>
  <c r="AM399" i="2"/>
  <c r="AN399" i="2"/>
  <c r="AN385" i="2"/>
  <c r="AF472" i="35" s="1"/>
  <c r="BM386" i="2"/>
  <c r="BH386" i="2"/>
  <c r="AI399" i="2"/>
  <c r="AI385" i="2"/>
  <c r="AF467" i="35" s="1"/>
  <c r="AF238" i="35"/>
  <c r="BC386" i="2"/>
  <c r="AD399" i="2"/>
  <c r="AD385" i="2"/>
  <c r="AF462" i="35" s="1"/>
  <c r="BF386" i="2"/>
  <c r="AG385" i="2"/>
  <c r="AF465" i="35" s="1"/>
  <c r="AG399" i="2"/>
  <c r="BO386" i="2"/>
  <c r="BG386" i="2"/>
  <c r="AH399" i="2"/>
  <c r="AH385" i="2"/>
  <c r="AF466" i="35" s="1"/>
  <c r="BJ386" i="2"/>
  <c r="AK399" i="2"/>
  <c r="AK385" i="2"/>
  <c r="AF469" i="35" s="1"/>
  <c r="AV386" i="2"/>
  <c r="BE386" i="2"/>
  <c r="AF385" i="2"/>
  <c r="AF464" i="35" s="1"/>
  <c r="AF399" i="2"/>
  <c r="BQ312" i="2"/>
  <c r="BR312" i="2"/>
  <c r="BL312" i="2"/>
  <c r="BM312" i="2"/>
  <c r="BN312" i="2"/>
  <c r="AY310" i="2"/>
  <c r="BG310" i="2"/>
  <c r="BO310" i="2"/>
  <c r="BA310" i="2"/>
  <c r="BI310" i="2"/>
  <c r="BQ310" i="2"/>
  <c r="BB310" i="2"/>
  <c r="BJ310" i="2"/>
  <c r="BC310" i="2"/>
  <c r="BK310" i="2"/>
  <c r="AW310" i="2"/>
  <c r="BE310" i="2"/>
  <c r="BM310" i="2"/>
  <c r="AX310" i="2"/>
  <c r="BF310" i="2"/>
  <c r="BN310" i="2"/>
  <c r="AX309" i="2"/>
  <c r="S313" i="2"/>
  <c r="S312" i="2"/>
  <c r="BP310" i="2"/>
  <c r="BR310" i="2"/>
  <c r="S310" i="2"/>
  <c r="S309" i="2"/>
  <c r="AW265" i="2"/>
  <c r="BN264" i="2"/>
  <c r="BQ264" i="2"/>
  <c r="BH262" i="2"/>
  <c r="Z228" i="35"/>
  <c r="Z247" i="35"/>
  <c r="Z239" i="35"/>
  <c r="Q529" i="2"/>
  <c r="Q549" i="2" s="1"/>
  <c r="BN259" i="2"/>
  <c r="BO259" i="2"/>
  <c r="BH259" i="2"/>
  <c r="BJ259" i="2"/>
  <c r="BB270" i="2"/>
  <c r="BA270" i="2"/>
  <c r="BI269" i="2"/>
  <c r="BJ268" i="2"/>
  <c r="BD258" i="2"/>
  <c r="BK258" i="2"/>
  <c r="BP257" i="2"/>
  <c r="AE242" i="35"/>
  <c r="AE244" i="35"/>
  <c r="BO287" i="2"/>
  <c r="AP300" i="2"/>
  <c r="AP286" i="2"/>
  <c r="AE474" i="35" s="1"/>
  <c r="BQ287" i="2"/>
  <c r="AR286" i="2"/>
  <c r="AE476" i="35" s="1"/>
  <c r="AR300" i="2"/>
  <c r="BN287" i="2"/>
  <c r="AO286" i="2"/>
  <c r="AE473" i="35" s="1"/>
  <c r="AO300" i="2"/>
  <c r="AX287" i="2"/>
  <c r="Y300" i="2"/>
  <c r="BJ287" i="2"/>
  <c r="AK300" i="2"/>
  <c r="AK286" i="2"/>
  <c r="AE469" i="35" s="1"/>
  <c r="BF287" i="2"/>
  <c r="AG300" i="2"/>
  <c r="AG286" i="2"/>
  <c r="AE465" i="35" s="1"/>
  <c r="BP287" i="2"/>
  <c r="AQ300" i="2"/>
  <c r="AQ286" i="2"/>
  <c r="AE475" i="35" s="1"/>
  <c r="BM287" i="2"/>
  <c r="AN286" i="2"/>
  <c r="AE472" i="35" s="1"/>
  <c r="AN300" i="2"/>
  <c r="BI287" i="2"/>
  <c r="AJ286" i="2"/>
  <c r="AE468" i="35" s="1"/>
  <c r="AJ300" i="2"/>
  <c r="BD287" i="2"/>
  <c r="AE286" i="2"/>
  <c r="AE463" i="35" s="1"/>
  <c r="BG287" i="2"/>
  <c r="AH300" i="2"/>
  <c r="AH286" i="2"/>
  <c r="AE466" i="35" s="1"/>
  <c r="BK287" i="2"/>
  <c r="AL300" i="2"/>
  <c r="AL286" i="2"/>
  <c r="AE470" i="35" s="1"/>
  <c r="BB287" i="2"/>
  <c r="AC286" i="2"/>
  <c r="AE461" i="35" s="1"/>
  <c r="BE287" i="2"/>
  <c r="AF286" i="2"/>
  <c r="AE464" i="35" s="1"/>
  <c r="AF300" i="2"/>
  <c r="BA287" i="2"/>
  <c r="AB286" i="2"/>
  <c r="AE460" i="35" s="1"/>
  <c r="BR287" i="2"/>
  <c r="AS300" i="2"/>
  <c r="AS286" i="2"/>
  <c r="AE477" i="35" s="1"/>
  <c r="BH287" i="2"/>
  <c r="AI300" i="2"/>
  <c r="AI286" i="2"/>
  <c r="AE467" i="35" s="1"/>
  <c r="AE239" i="35"/>
  <c r="BC287" i="2"/>
  <c r="AD286" i="2"/>
  <c r="AE462" i="35" s="1"/>
  <c r="BL287" i="2"/>
  <c r="AM300" i="2"/>
  <c r="AM286" i="2"/>
  <c r="AE471" i="35" s="1"/>
  <c r="R300" i="2"/>
  <c r="S287" i="2"/>
  <c r="AE249" i="35"/>
  <c r="V300" i="2"/>
  <c r="AZ287" i="2"/>
  <c r="AA286" i="2"/>
  <c r="AE459" i="35" s="1"/>
  <c r="Z300" i="2"/>
  <c r="AY287" i="2"/>
  <c r="AE250" i="35"/>
  <c r="AW237" i="2"/>
  <c r="BM237" i="2"/>
  <c r="S238" i="2"/>
  <c r="S237" i="2"/>
  <c r="AY237" i="2"/>
  <c r="BE237" i="2"/>
  <c r="BC237" i="2"/>
  <c r="AV237" i="2"/>
  <c r="BL237" i="2"/>
  <c r="BH237" i="2"/>
  <c r="BR236" i="2"/>
  <c r="S210" i="2"/>
  <c r="BG175" i="2"/>
  <c r="BA175" i="2"/>
  <c r="BD177" i="2"/>
  <c r="AZ177" i="2"/>
  <c r="BD175" i="2"/>
  <c r="BR175" i="2"/>
  <c r="BD180" i="2"/>
  <c r="BH176" i="2"/>
  <c r="BE180" i="2"/>
  <c r="BB177" i="2"/>
  <c r="BL174" i="2"/>
  <c r="AZ178" i="2"/>
  <c r="BA180" i="2"/>
  <c r="BL172" i="2"/>
  <c r="BF176" i="2"/>
  <c r="AW180" i="2"/>
  <c r="BP180" i="2"/>
  <c r="AV180" i="2"/>
  <c r="BF172" i="2"/>
  <c r="O247" i="35"/>
  <c r="AY176" i="2"/>
  <c r="AW178" i="2"/>
  <c r="BK180" i="2"/>
  <c r="BO180" i="2"/>
  <c r="BD172" i="2"/>
  <c r="BR172" i="2"/>
  <c r="BQ176" i="2"/>
  <c r="BP178" i="2"/>
  <c r="BF180" i="2"/>
  <c r="S177" i="2"/>
  <c r="BI180" i="2"/>
  <c r="BR180" i="2"/>
  <c r="AZ172" i="2"/>
  <c r="BM172" i="2"/>
  <c r="BJ180" i="2"/>
  <c r="BG180" i="2"/>
  <c r="BC180" i="2"/>
  <c r="AX179" i="2"/>
  <c r="BA179" i="2"/>
  <c r="BO179" i="2"/>
  <c r="BR179" i="2"/>
  <c r="BI179" i="2"/>
  <c r="BN179" i="2"/>
  <c r="BP179" i="2"/>
  <c r="BD179" i="2"/>
  <c r="BM179" i="2"/>
  <c r="BK179" i="2"/>
  <c r="BC179" i="2"/>
  <c r="BJ179" i="2"/>
  <c r="AV179" i="2"/>
  <c r="AZ179" i="2"/>
  <c r="BG179" i="2"/>
  <c r="BF179" i="2"/>
  <c r="AY179" i="2"/>
  <c r="AW179" i="2"/>
  <c r="BE179" i="2"/>
  <c r="BL179" i="2"/>
  <c r="BQ179" i="2"/>
  <c r="BH179" i="2"/>
  <c r="S178" i="2"/>
  <c r="BG178" i="2"/>
  <c r="BB178" i="2"/>
  <c r="AY178" i="2"/>
  <c r="BQ178" i="2"/>
  <c r="BD178" i="2"/>
  <c r="AV176" i="2"/>
  <c r="BL176" i="2"/>
  <c r="BO176" i="2"/>
  <c r="BC176" i="2"/>
  <c r="BE176" i="2"/>
  <c r="BM176" i="2"/>
  <c r="AW176" i="2"/>
  <c r="BK176" i="2"/>
  <c r="BB176" i="2"/>
  <c r="AZ176" i="2"/>
  <c r="S176" i="2"/>
  <c r="AX176" i="2"/>
  <c r="BA176" i="2"/>
  <c r="BG176" i="2"/>
  <c r="BP176" i="2"/>
  <c r="BR176" i="2"/>
  <c r="BN175" i="2"/>
  <c r="AV175" i="2"/>
  <c r="BM175" i="2"/>
  <c r="BQ175" i="2"/>
  <c r="BL175" i="2"/>
  <c r="BI175" i="2"/>
  <c r="BC175" i="2"/>
  <c r="S175" i="2"/>
  <c r="J563" i="2" s="1"/>
  <c r="BB175" i="2"/>
  <c r="BH175" i="2"/>
  <c r="AY175" i="2"/>
  <c r="BF175" i="2"/>
  <c r="AZ175" i="2"/>
  <c r="AX175" i="2"/>
  <c r="BK175" i="2"/>
  <c r="BG172" i="2"/>
  <c r="BK170" i="2"/>
  <c r="AW169" i="2"/>
  <c r="BQ163" i="2"/>
  <c r="AV163" i="2"/>
  <c r="AZ162" i="2"/>
  <c r="BA162" i="2"/>
  <c r="BB162" i="2"/>
  <c r="AW162" i="2"/>
  <c r="BQ160" i="2"/>
  <c r="AX160" i="2"/>
  <c r="BM174" i="2"/>
  <c r="BP172" i="2"/>
  <c r="BB172" i="2"/>
  <c r="BM170" i="2"/>
  <c r="BP167" i="2"/>
  <c r="BM159" i="2"/>
  <c r="BM157" i="2"/>
  <c r="BQ157" i="2"/>
  <c r="BH157" i="2"/>
  <c r="BE157" i="2"/>
  <c r="BI157" i="2"/>
  <c r="BB188" i="2"/>
  <c r="AC187" i="2"/>
  <c r="AD461" i="35" s="1"/>
  <c r="BL188" i="2"/>
  <c r="AM201" i="2"/>
  <c r="AM187" i="2"/>
  <c r="AD471" i="35" s="1"/>
  <c r="BF188" i="2"/>
  <c r="AG201" i="2"/>
  <c r="AG187" i="2"/>
  <c r="AD465" i="35" s="1"/>
  <c r="BG188" i="2"/>
  <c r="AH201" i="2"/>
  <c r="AH187" i="2"/>
  <c r="AD466" i="35" s="1"/>
  <c r="AA201" i="2"/>
  <c r="AA187" i="2"/>
  <c r="AD459" i="35" s="1"/>
  <c r="BD188" i="2"/>
  <c r="AE187" i="2"/>
  <c r="AD463" i="35" s="1"/>
  <c r="X201" i="2"/>
  <c r="AD150" i="35" s="1"/>
  <c r="BQ188" i="2"/>
  <c r="AR187" i="2"/>
  <c r="AD476" i="35" s="1"/>
  <c r="BJ188" i="2"/>
  <c r="AK201" i="2"/>
  <c r="AK187" i="2"/>
  <c r="AD469" i="35" s="1"/>
  <c r="BC188" i="2"/>
  <c r="BN188" i="2"/>
  <c r="AO187" i="2"/>
  <c r="AD473" i="35" s="1"/>
  <c r="AO201" i="2"/>
  <c r="BE188" i="2"/>
  <c r="AF201" i="2"/>
  <c r="AF187" i="2"/>
  <c r="AD464" i="35" s="1"/>
  <c r="BM188" i="2"/>
  <c r="AN201" i="2"/>
  <c r="AN187" i="2"/>
  <c r="AD472" i="35" s="1"/>
  <c r="BK188" i="2"/>
  <c r="AL201" i="2"/>
  <c r="AL187" i="2"/>
  <c r="AD470" i="35" s="1"/>
  <c r="AY188" i="2"/>
  <c r="Z201" i="2"/>
  <c r="BA188" i="2"/>
  <c r="AB187" i="2"/>
  <c r="AD460" i="35" s="1"/>
  <c r="R201" i="2"/>
  <c r="S188" i="2"/>
  <c r="AD253" i="35"/>
  <c r="AD251" i="35"/>
  <c r="AD249" i="35"/>
  <c r="AD247" i="35"/>
  <c r="AD245" i="35"/>
  <c r="AD243" i="35"/>
  <c r="AD241" i="35"/>
  <c r="AD239" i="35"/>
  <c r="Q538" i="2"/>
  <c r="AD228" i="35"/>
  <c r="AD252" i="35"/>
  <c r="AD250" i="35"/>
  <c r="AD248" i="35"/>
  <c r="AD246" i="35"/>
  <c r="AD244" i="35"/>
  <c r="AD242" i="35"/>
  <c r="AD240" i="35"/>
  <c r="AD238" i="35"/>
  <c r="BR188" i="2"/>
  <c r="AS201" i="2"/>
  <c r="AS187" i="2"/>
  <c r="AD477" i="35" s="1"/>
  <c r="BI188" i="2"/>
  <c r="AJ201" i="2"/>
  <c r="AJ187" i="2"/>
  <c r="AD468" i="35" s="1"/>
  <c r="BO188" i="2"/>
  <c r="BP188" i="2"/>
  <c r="AQ201" i="2"/>
  <c r="AQ187" i="2"/>
  <c r="AD475" i="35" s="1"/>
  <c r="BH188" i="2"/>
  <c r="AI201" i="2"/>
  <c r="AI187" i="2"/>
  <c r="AD467" i="35" s="1"/>
  <c r="S141" i="2"/>
  <c r="BR140" i="2"/>
  <c r="BK139" i="2"/>
  <c r="AX138" i="2"/>
  <c r="BM140" i="2"/>
  <c r="BL140" i="2"/>
  <c r="AW140" i="2"/>
  <c r="BK140" i="2"/>
  <c r="S140" i="2"/>
  <c r="BQ140" i="2"/>
  <c r="S139" i="2"/>
  <c r="BI139" i="2"/>
  <c r="AZ138" i="2"/>
  <c r="S138" i="2"/>
  <c r="O248" i="35"/>
  <c r="BB118" i="2"/>
  <c r="AZ118" i="2"/>
  <c r="AW118" i="2"/>
  <c r="AV118" i="2"/>
  <c r="BN118" i="2"/>
  <c r="BP118" i="2"/>
  <c r="BO118" i="2"/>
  <c r="BL118" i="2"/>
  <c r="BK118" i="2"/>
  <c r="BJ118" i="2"/>
  <c r="BH118" i="2"/>
  <c r="BE118" i="2"/>
  <c r="S118" i="2"/>
  <c r="BF118" i="2"/>
  <c r="BI118" i="2"/>
  <c r="BF117" i="2"/>
  <c r="O238" i="35"/>
  <c r="O243" i="35"/>
  <c r="BH117" i="2"/>
  <c r="AW117" i="2"/>
  <c r="BJ117" i="2"/>
  <c r="O241" i="35"/>
  <c r="O245" i="35"/>
  <c r="O253" i="35"/>
  <c r="BD117" i="2"/>
  <c r="BK117" i="2"/>
  <c r="BP117" i="2"/>
  <c r="BO117" i="2"/>
  <c r="BG117" i="2"/>
  <c r="T388" i="35"/>
  <c r="O242" i="35"/>
  <c r="O250" i="35"/>
  <c r="BN117" i="2"/>
  <c r="BA117" i="2"/>
  <c r="BE117" i="2"/>
  <c r="K382" i="35"/>
  <c r="BC117" i="2"/>
  <c r="AY117" i="2"/>
  <c r="S117" i="2"/>
  <c r="AV117" i="2"/>
  <c r="O239" i="35"/>
  <c r="O249" i="35"/>
  <c r="O310" i="35"/>
  <c r="BM117" i="2"/>
  <c r="BI117" i="2"/>
  <c r="BR117" i="2"/>
  <c r="BL117" i="2"/>
  <c r="S116" i="2"/>
  <c r="S115" i="2"/>
  <c r="S113" i="2"/>
  <c r="S112" i="2"/>
  <c r="BH112" i="2"/>
  <c r="BO110" i="2"/>
  <c r="V131" i="2"/>
  <c r="O230" i="35" s="1"/>
  <c r="BI78" i="2"/>
  <c r="BH78" i="2"/>
  <c r="BG78" i="2"/>
  <c r="BF78" i="2"/>
  <c r="S78" i="2"/>
  <c r="AY78" i="2"/>
  <c r="BJ78" i="2"/>
  <c r="BB78" i="2"/>
  <c r="BK78" i="2"/>
  <c r="BN78" i="2"/>
  <c r="BG76" i="2"/>
  <c r="BE76" i="2"/>
  <c r="BB76" i="2"/>
  <c r="BI76" i="2"/>
  <c r="AX76" i="2"/>
  <c r="BO76" i="2"/>
  <c r="BF76" i="2"/>
  <c r="BK76" i="2"/>
  <c r="BD76" i="2"/>
  <c r="S76" i="2"/>
  <c r="AZ76" i="2"/>
  <c r="BP76" i="2"/>
  <c r="BL76" i="2"/>
  <c r="AV76" i="2"/>
  <c r="BM76" i="2"/>
  <c r="BR76" i="2"/>
  <c r="BA76" i="2"/>
  <c r="AW76" i="2"/>
  <c r="BJ76" i="2"/>
  <c r="BH76" i="2"/>
  <c r="AY76" i="2"/>
  <c r="BN76" i="2"/>
  <c r="BE75" i="2"/>
  <c r="BA75" i="2"/>
  <c r="BC75" i="2"/>
  <c r="BB75" i="2"/>
  <c r="AX75" i="2"/>
  <c r="S75" i="2"/>
  <c r="BR75" i="2"/>
  <c r="AY75" i="2"/>
  <c r="BQ75" i="2"/>
  <c r="AW75" i="2"/>
  <c r="BN75" i="2"/>
  <c r="BD75" i="2"/>
  <c r="BJ75" i="2"/>
  <c r="BP75" i="2"/>
  <c r="BD73" i="2"/>
  <c r="BA73" i="2"/>
  <c r="BM73" i="2"/>
  <c r="BL73" i="2"/>
  <c r="AX73" i="2"/>
  <c r="BF73" i="2"/>
  <c r="S73" i="2"/>
  <c r="AV73" i="2"/>
  <c r="BR73" i="2"/>
  <c r="BG73" i="2"/>
  <c r="BE73" i="2"/>
  <c r="BC73" i="2"/>
  <c r="BP73" i="2"/>
  <c r="BQ73" i="2"/>
  <c r="AV72" i="2"/>
  <c r="S72" i="2"/>
  <c r="BL72" i="2"/>
  <c r="BM70" i="2"/>
  <c r="BQ70" i="2"/>
  <c r="BJ70" i="2"/>
  <c r="AV70" i="2"/>
  <c r="BP70" i="2"/>
  <c r="BH70" i="2"/>
  <c r="S70" i="2"/>
  <c r="BG70" i="2"/>
  <c r="BF70" i="2"/>
  <c r="BN70" i="2"/>
  <c r="AY70" i="2"/>
  <c r="BE70" i="2"/>
  <c r="BL70" i="2"/>
  <c r="AZ70" i="2"/>
  <c r="BK70" i="2"/>
  <c r="BO70" i="2"/>
  <c r="AX70" i="2"/>
  <c r="BA70" i="2"/>
  <c r="BI70" i="2"/>
  <c r="BD70" i="2"/>
  <c r="BB70" i="2"/>
  <c r="BR70" i="2"/>
  <c r="AW70" i="2"/>
  <c r="BC70" i="2"/>
  <c r="X245" i="35"/>
  <c r="S69" i="2"/>
  <c r="BR69" i="2"/>
  <c r="BP69" i="2"/>
  <c r="BC68" i="2"/>
  <c r="BN67" i="2"/>
  <c r="BL67" i="2"/>
  <c r="BB62" i="2"/>
  <c r="BF62" i="2"/>
  <c r="BJ62" i="2"/>
  <c r="AV62" i="2"/>
  <c r="BL62" i="2"/>
  <c r="AX62" i="2"/>
  <c r="AZ62" i="2"/>
  <c r="AQ430" i="5"/>
  <c r="AQ511" i="5"/>
  <c r="R157" i="36"/>
  <c r="R184" i="36" s="1"/>
  <c r="O161" i="36"/>
  <c r="O188" i="36" s="1"/>
  <c r="AG430" i="5"/>
  <c r="AR150" i="2"/>
  <c r="T170" i="35" s="1"/>
  <c r="R159" i="36"/>
  <c r="R186" i="36" s="1"/>
  <c r="AP428" i="5"/>
  <c r="AD500" i="5"/>
  <c r="AO433" i="2"/>
  <c r="W473" i="35" s="1"/>
  <c r="AQ251" i="5"/>
  <c r="AH428" i="5"/>
  <c r="R160" i="36" s="1"/>
  <c r="R187" i="36" s="1"/>
  <c r="AG156" i="36"/>
  <c r="AQ519" i="5"/>
  <c r="R163" i="36"/>
  <c r="R190" i="36" s="1"/>
  <c r="R170" i="36"/>
  <c r="R197" i="36" s="1"/>
  <c r="AK500" i="5"/>
  <c r="AA508" i="5"/>
  <c r="AI430" i="5"/>
  <c r="AK541" i="5"/>
  <c r="AQ56" i="5"/>
  <c r="X475" i="36" s="1"/>
  <c r="AA133" i="5"/>
  <c r="AI511" i="5"/>
  <c r="BE408" i="5"/>
  <c r="BE428" i="5" s="1"/>
  <c r="AF431" i="5" s="1"/>
  <c r="AP500" i="5"/>
  <c r="AR428" i="2"/>
  <c r="AR511" i="2" s="1"/>
  <c r="AJ430" i="5"/>
  <c r="AF428" i="5"/>
  <c r="AY90" i="2"/>
  <c r="S90" i="2"/>
  <c r="BP90" i="2"/>
  <c r="BL90" i="2"/>
  <c r="BH90" i="2"/>
  <c r="BD90" i="2"/>
  <c r="AZ90" i="2"/>
  <c r="AV90" i="2"/>
  <c r="BM90" i="2"/>
  <c r="AV89" i="2"/>
  <c r="W102" i="2"/>
  <c r="N89" i="2" s="1"/>
  <c r="AD102" i="2"/>
  <c r="AD88" i="2"/>
  <c r="BC89" i="2"/>
  <c r="BJ89" i="2"/>
  <c r="AK88" i="2"/>
  <c r="AK102" i="2"/>
  <c r="S89" i="2"/>
  <c r="R102" i="2"/>
  <c r="AY89" i="2"/>
  <c r="Z102" i="2"/>
  <c r="AG88" i="2"/>
  <c r="AG102" i="2"/>
  <c r="BF89" i="2"/>
  <c r="AS102" i="2"/>
  <c r="BR89" i="2"/>
  <c r="AS88" i="2"/>
  <c r="BQ89" i="2"/>
  <c r="AR102" i="2"/>
  <c r="AR88" i="2"/>
  <c r="AC102" i="2"/>
  <c r="BB89" i="2"/>
  <c r="AC88" i="2"/>
  <c r="AN88" i="2"/>
  <c r="AN102" i="2"/>
  <c r="BM89" i="2"/>
  <c r="AQ102" i="2"/>
  <c r="BP89" i="2"/>
  <c r="AQ88" i="2"/>
  <c r="Y102" i="2"/>
  <c r="AX89" i="2"/>
  <c r="AJ102" i="2"/>
  <c r="BI89" i="2"/>
  <c r="AJ88" i="2"/>
  <c r="AM88" i="2"/>
  <c r="BL89" i="2"/>
  <c r="AM102" i="2"/>
  <c r="AF88" i="2"/>
  <c r="AF102" i="2"/>
  <c r="BE89" i="2"/>
  <c r="BH89" i="2"/>
  <c r="AI102" i="2"/>
  <c r="AI88" i="2"/>
  <c r="AP102" i="2"/>
  <c r="AP88" i="2"/>
  <c r="BO89" i="2"/>
  <c r="AB88" i="2"/>
  <c r="BA89" i="2"/>
  <c r="AB102" i="2"/>
  <c r="AC154" i="35" s="1"/>
  <c r="BD89" i="2"/>
  <c r="AE88" i="2"/>
  <c r="AE102" i="2"/>
  <c r="BK89" i="2"/>
  <c r="AL102" i="2"/>
  <c r="AL88" i="2"/>
  <c r="X102" i="2"/>
  <c r="AW89" i="2"/>
  <c r="AZ89" i="2"/>
  <c r="AA102" i="2"/>
  <c r="AA88" i="2"/>
  <c r="AH102" i="2"/>
  <c r="BG89" i="2"/>
  <c r="AH88" i="2"/>
  <c r="AO88" i="2"/>
  <c r="AO102" i="2"/>
  <c r="BN89" i="2"/>
  <c r="BO40" i="2"/>
  <c r="S40" i="2"/>
  <c r="S39" i="2"/>
  <c r="AX38" i="2"/>
  <c r="N318" i="35"/>
  <c r="E318" i="35" s="1"/>
  <c r="BH19" i="2"/>
  <c r="BG19" i="2"/>
  <c r="AV19" i="2"/>
  <c r="S19" i="2"/>
  <c r="BR19" i="2"/>
  <c r="BK19" i="2"/>
  <c r="AZ19" i="2"/>
  <c r="AY19" i="2"/>
  <c r="S18" i="2"/>
  <c r="BJ17" i="2"/>
  <c r="S17" i="2"/>
  <c r="BB17" i="2"/>
  <c r="S16" i="2"/>
  <c r="S14" i="2"/>
  <c r="S13" i="2"/>
  <c r="S12" i="2"/>
  <c r="AG423" i="35"/>
  <c r="AH531" i="5"/>
  <c r="AB252" i="36"/>
  <c r="AH481" i="5"/>
  <c r="AB247" i="36"/>
  <c r="AB251" i="36"/>
  <c r="AB246" i="36"/>
  <c r="AB242" i="36"/>
  <c r="AB249" i="36"/>
  <c r="AB239" i="36"/>
  <c r="AB241" i="36"/>
  <c r="AF379" i="35"/>
  <c r="AB248" i="36"/>
  <c r="AB253" i="36"/>
  <c r="AB245" i="36"/>
  <c r="AB243" i="36"/>
  <c r="W479" i="5"/>
  <c r="AV453" i="5"/>
  <c r="H249" i="36"/>
  <c r="H240" i="36"/>
  <c r="H243" i="36"/>
  <c r="H242" i="36"/>
  <c r="AQ498" i="5"/>
  <c r="AQ484" i="5"/>
  <c r="AG475" i="36" s="1"/>
  <c r="BP485" i="5"/>
  <c r="BP498" i="5" s="1"/>
  <c r="AG250" i="36"/>
  <c r="AG249" i="36"/>
  <c r="AG245" i="36"/>
  <c r="H244" i="36"/>
  <c r="H247" i="36"/>
  <c r="H246" i="36"/>
  <c r="AG240" i="36"/>
  <c r="H248" i="36"/>
  <c r="H251" i="36"/>
  <c r="H250" i="36"/>
  <c r="AG252" i="36"/>
  <c r="AG244" i="36"/>
  <c r="H239" i="36"/>
  <c r="H238" i="36"/>
  <c r="AG246" i="36"/>
  <c r="H252" i="36"/>
  <c r="AG251" i="36"/>
  <c r="AG243" i="36"/>
  <c r="AG247" i="36"/>
  <c r="H241" i="36"/>
  <c r="H245" i="36"/>
  <c r="AG248" i="36"/>
  <c r="H253" i="36"/>
  <c r="AG238" i="36"/>
  <c r="AG239" i="36"/>
  <c r="AO498" i="5"/>
  <c r="BN485" i="5"/>
  <c r="BN498" i="5" s="1"/>
  <c r="AO484" i="5"/>
  <c r="AG473" i="36" s="1"/>
  <c r="AG242" i="36"/>
  <c r="AG241" i="36"/>
  <c r="AG151" i="36"/>
  <c r="Y500" i="5"/>
  <c r="Y541" i="5"/>
  <c r="AG273" i="36"/>
  <c r="AG269" i="36"/>
  <c r="AG265" i="36"/>
  <c r="AG261" i="36"/>
  <c r="AG274" i="36"/>
  <c r="AG270" i="36"/>
  <c r="AG266" i="36"/>
  <c r="AG262" i="36"/>
  <c r="AG230" i="36"/>
  <c r="AG275" i="36"/>
  <c r="AG271" i="36"/>
  <c r="AG267" i="36"/>
  <c r="AG263" i="36"/>
  <c r="AG276" i="36"/>
  <c r="AG272" i="36"/>
  <c r="AG268" i="36"/>
  <c r="AG264" i="36"/>
  <c r="V541" i="5"/>
  <c r="W169" i="36"/>
  <c r="W196" i="36" s="1"/>
  <c r="W252" i="36"/>
  <c r="W249" i="36"/>
  <c r="W238" i="36"/>
  <c r="W253" i="36"/>
  <c r="W248" i="36"/>
  <c r="W246" i="36"/>
  <c r="W243" i="36"/>
  <c r="AB449" i="5"/>
  <c r="W239" i="36"/>
  <c r="W240" i="36"/>
  <c r="AB521" i="5"/>
  <c r="W251" i="36"/>
  <c r="W250" i="36"/>
  <c r="W241" i="36"/>
  <c r="W245" i="36"/>
  <c r="W242" i="36"/>
  <c r="W247" i="36"/>
  <c r="AL391" i="35"/>
  <c r="W244" i="36"/>
  <c r="W447" i="5"/>
  <c r="Y521" i="5"/>
  <c r="Y449" i="5"/>
  <c r="Q551" i="5"/>
  <c r="W152" i="36"/>
  <c r="W179" i="36" s="1"/>
  <c r="AQ521" i="5"/>
  <c r="G102" i="21"/>
  <c r="AE430" i="5"/>
  <c r="AE511" i="5"/>
  <c r="AL385" i="35"/>
  <c r="R243" i="36"/>
  <c r="W428" i="5"/>
  <c r="N407" i="5" s="1"/>
  <c r="R239" i="36"/>
  <c r="R253" i="36"/>
  <c r="R247" i="36"/>
  <c r="R241" i="36"/>
  <c r="R251" i="36"/>
  <c r="R238" i="36"/>
  <c r="R245" i="36"/>
  <c r="R249" i="36"/>
  <c r="R240" i="36"/>
  <c r="R252" i="36"/>
  <c r="R242" i="36"/>
  <c r="R250" i="36"/>
  <c r="Z430" i="5"/>
  <c r="R246" i="36"/>
  <c r="R248" i="36"/>
  <c r="AC511" i="5"/>
  <c r="AC430" i="5"/>
  <c r="G93" i="21"/>
  <c r="AD511" i="5"/>
  <c r="AZ408" i="5"/>
  <c r="AZ428" i="5" s="1"/>
  <c r="AA431" i="5" s="1"/>
  <c r="AA406" i="5"/>
  <c r="R459" i="36" s="1"/>
  <c r="BR408" i="5"/>
  <c r="BR428" i="5" s="1"/>
  <c r="BR430" i="5" s="1"/>
  <c r="AS432" i="5" s="1"/>
  <c r="AS406" i="5"/>
  <c r="R477" i="36" s="1"/>
  <c r="AL406" i="5"/>
  <c r="R470" i="36" s="1"/>
  <c r="BK408" i="5"/>
  <c r="BK428" i="5" s="1"/>
  <c r="R218" i="36" s="1"/>
  <c r="BQ408" i="5"/>
  <c r="BQ428" i="5" s="1"/>
  <c r="R224" i="36" s="1"/>
  <c r="AR406" i="5"/>
  <c r="R476" i="36" s="1"/>
  <c r="BM408" i="5"/>
  <c r="BM428" i="5" s="1"/>
  <c r="AN406" i="5"/>
  <c r="R472" i="36" s="1"/>
  <c r="AD406" i="5"/>
  <c r="R462" i="36" s="1"/>
  <c r="BC408" i="5"/>
  <c r="BC428" i="5" s="1"/>
  <c r="AD431" i="5" s="1"/>
  <c r="R228" i="36"/>
  <c r="Q503" i="5"/>
  <c r="M228" i="36" s="1"/>
  <c r="BI408" i="5"/>
  <c r="BI428" i="5" s="1"/>
  <c r="R216" i="36" s="1"/>
  <c r="AJ406" i="5"/>
  <c r="R468" i="36" s="1"/>
  <c r="AN511" i="5"/>
  <c r="AP406" i="5"/>
  <c r="R474" i="36" s="1"/>
  <c r="AM406" i="5"/>
  <c r="R471" i="36" s="1"/>
  <c r="BL408" i="5"/>
  <c r="BL428" i="5" s="1"/>
  <c r="AM431" i="5" s="1"/>
  <c r="AQ406" i="5"/>
  <c r="R475" i="36" s="1"/>
  <c r="BP408" i="5"/>
  <c r="BP428" i="5" s="1"/>
  <c r="R223" i="36" s="1"/>
  <c r="BN408" i="5"/>
  <c r="BN428" i="5" s="1"/>
  <c r="R221" i="36" s="1"/>
  <c r="AO406" i="5"/>
  <c r="R473" i="36" s="1"/>
  <c r="AE406" i="5"/>
  <c r="R463" i="36" s="1"/>
  <c r="BD408" i="5"/>
  <c r="BD428" i="5" s="1"/>
  <c r="R211" i="36" s="1"/>
  <c r="AH406" i="5"/>
  <c r="R466" i="36" s="1"/>
  <c r="AI406" i="5"/>
  <c r="R467" i="36" s="1"/>
  <c r="BH408" i="5"/>
  <c r="BH428" i="5" s="1"/>
  <c r="R215" i="36" s="1"/>
  <c r="AG406" i="5"/>
  <c r="R465" i="36" s="1"/>
  <c r="BF408" i="5"/>
  <c r="BF428" i="5" s="1"/>
  <c r="BF430" i="5" s="1"/>
  <c r="AG432" i="5" s="1"/>
  <c r="R428" i="5"/>
  <c r="S408" i="5"/>
  <c r="S428" i="5" s="1"/>
  <c r="BJ408" i="5"/>
  <c r="BJ428" i="5" s="1"/>
  <c r="AK431" i="5" s="1"/>
  <c r="BB408" i="5"/>
  <c r="BB428" i="5" s="1"/>
  <c r="AC431" i="5" s="1"/>
  <c r="R166" i="36"/>
  <c r="R193" i="36" s="1"/>
  <c r="AL511" i="5"/>
  <c r="R150" i="36"/>
  <c r="R177" i="36" s="1"/>
  <c r="R171" i="36"/>
  <c r="R198" i="36" s="1"/>
  <c r="AD430" i="5"/>
  <c r="AM511" i="5"/>
  <c r="R156" i="36"/>
  <c r="R183" i="36" s="1"/>
  <c r="R165" i="36"/>
  <c r="R192" i="36" s="1"/>
  <c r="R169" i="36"/>
  <c r="R196" i="36" s="1"/>
  <c r="AO511" i="5"/>
  <c r="AO430" i="5"/>
  <c r="X430" i="5"/>
  <c r="G98" i="21"/>
  <c r="G92" i="21"/>
  <c r="G88" i="21"/>
  <c r="W182" i="5"/>
  <c r="O150" i="36"/>
  <c r="O177" i="36" s="1"/>
  <c r="X508" i="5"/>
  <c r="X133" i="5"/>
  <c r="AX60" i="5"/>
  <c r="BP60" i="5"/>
  <c r="BL60" i="5"/>
  <c r="R83" i="5"/>
  <c r="R527" i="5" s="1"/>
  <c r="S527" i="5" s="1"/>
  <c r="W427" i="35"/>
  <c r="AL451" i="35"/>
  <c r="G91" i="21"/>
  <c r="BP337" i="2"/>
  <c r="AW337" i="2"/>
  <c r="BN338" i="2"/>
  <c r="AV337" i="2"/>
  <c r="V228" i="35"/>
  <c r="Q404" i="2"/>
  <c r="L228" i="35" s="1"/>
  <c r="AX337" i="2"/>
  <c r="AM348" i="2"/>
  <c r="V165" i="35" s="1"/>
  <c r="V329" i="2"/>
  <c r="AW309" i="2"/>
  <c r="BP269" i="2"/>
  <c r="BI262" i="2"/>
  <c r="BI257" i="2"/>
  <c r="BI266" i="2"/>
  <c r="BI259" i="2"/>
  <c r="BK269" i="2"/>
  <c r="BR269" i="2"/>
  <c r="BC256" i="2"/>
  <c r="BL257" i="2"/>
  <c r="BL266" i="2"/>
  <c r="BL259" i="2"/>
  <c r="BC270" i="2"/>
  <c r="AZ272" i="2"/>
  <c r="BM274" i="2"/>
  <c r="BL269" i="2"/>
  <c r="BK264" i="2"/>
  <c r="BM257" i="2"/>
  <c r="BM266" i="2"/>
  <c r="BM259" i="2"/>
  <c r="AV270" i="2"/>
  <c r="BK274" i="2"/>
  <c r="BP256" i="2"/>
  <c r="AX274" i="2"/>
  <c r="BQ256" i="2"/>
  <c r="BR258" i="2"/>
  <c r="BC275" i="2"/>
  <c r="BQ241" i="2"/>
  <c r="BC242" i="2"/>
  <c r="BP241" i="2"/>
  <c r="AW241" i="2"/>
  <c r="BD241" i="2"/>
  <c r="BO242" i="2"/>
  <c r="BB241" i="2"/>
  <c r="BN242" i="2"/>
  <c r="BM241" i="2"/>
  <c r="BA242" i="2"/>
  <c r="AY242" i="2"/>
  <c r="BH241" i="2"/>
  <c r="BK242" i="2"/>
  <c r="AZ241" i="2"/>
  <c r="BG242" i="2"/>
  <c r="AX241" i="2"/>
  <c r="BF242" i="2"/>
  <c r="AW242" i="2"/>
  <c r="BR242" i="2"/>
  <c r="BE241" i="2"/>
  <c r="BP242" i="2"/>
  <c r="AV241" i="2"/>
  <c r="AV242" i="2"/>
  <c r="BN241" i="2"/>
  <c r="BQ242" i="2"/>
  <c r="BB242" i="2"/>
  <c r="BJ241" i="2"/>
  <c r="BO241" i="2"/>
  <c r="BL242" i="2"/>
  <c r="BK241" i="2"/>
  <c r="BA241" i="2"/>
  <c r="BH242" i="2"/>
  <c r="BF241" i="2"/>
  <c r="BI242" i="2"/>
  <c r="AX242" i="2"/>
  <c r="BE242" i="2"/>
  <c r="BF170" i="2"/>
  <c r="BE166" i="2"/>
  <c r="BA141" i="2"/>
  <c r="BA139" i="2"/>
  <c r="BI142" i="2"/>
  <c r="AF150" i="2"/>
  <c r="T158" i="35" s="1"/>
  <c r="BH142" i="2"/>
  <c r="BJ142" i="2"/>
  <c r="BG142" i="2"/>
  <c r="BB142" i="2"/>
  <c r="BF142" i="2"/>
  <c r="AV142" i="2"/>
  <c r="AW142" i="2"/>
  <c r="AB150" i="2"/>
  <c r="AB152" i="2" s="1"/>
  <c r="AE150" i="2"/>
  <c r="AE518" i="2" s="1"/>
  <c r="BP142" i="2"/>
  <c r="BR142" i="2"/>
  <c r="AZ143" i="2"/>
  <c r="BK142" i="2"/>
  <c r="AZ139" i="2"/>
  <c r="BR143" i="2"/>
  <c r="BN115" i="2"/>
  <c r="AX115" i="2"/>
  <c r="BG115" i="2"/>
  <c r="BL115" i="2"/>
  <c r="AV115" i="2"/>
  <c r="BL116" i="2"/>
  <c r="BD116" i="2"/>
  <c r="AV116" i="2"/>
  <c r="BE115" i="2"/>
  <c r="BJ115" i="2"/>
  <c r="BQ116" i="2"/>
  <c r="BC115" i="2"/>
  <c r="BD113" i="2"/>
  <c r="AV113" i="2"/>
  <c r="BH115" i="2"/>
  <c r="BJ116" i="2"/>
  <c r="BB116" i="2"/>
  <c r="BA115" i="2"/>
  <c r="AV112" i="2"/>
  <c r="BF115" i="2"/>
  <c r="BR116" i="2"/>
  <c r="BO115" i="2"/>
  <c r="AY115" i="2"/>
  <c r="BD115" i="2"/>
  <c r="BP116" i="2"/>
  <c r="BH116" i="2"/>
  <c r="AZ116" i="2"/>
  <c r="BM115" i="2"/>
  <c r="AW115" i="2"/>
  <c r="BR115" i="2"/>
  <c r="BB115" i="2"/>
  <c r="BK115" i="2"/>
  <c r="BR112" i="2"/>
  <c r="AZ113" i="2"/>
  <c r="BP115" i="2"/>
  <c r="AZ115" i="2"/>
  <c r="BN116" i="2"/>
  <c r="BF116" i="2"/>
  <c r="AX116" i="2"/>
  <c r="BI115" i="2"/>
  <c r="BQ115" i="2"/>
  <c r="BJ60" i="2"/>
  <c r="BH63" i="2"/>
  <c r="BF63" i="2"/>
  <c r="BP60" i="2"/>
  <c r="AV63" i="2"/>
  <c r="BJ59" i="2"/>
  <c r="BD63" i="2"/>
  <c r="BR63" i="2"/>
  <c r="BQ63" i="2"/>
  <c r="BC63" i="2"/>
  <c r="BI63" i="2"/>
  <c r="BM42" i="2"/>
  <c r="BL42" i="2"/>
  <c r="BF42" i="2"/>
  <c r="AW42" i="2"/>
  <c r="BR42" i="2"/>
  <c r="BK42" i="2"/>
  <c r="V51" i="2"/>
  <c r="BR40" i="2"/>
  <c r="BJ41" i="2"/>
  <c r="AY41" i="2"/>
  <c r="AV40" i="2"/>
  <c r="BM41" i="2"/>
  <c r="BE41" i="2"/>
  <c r="BG42" i="2"/>
  <c r="BQ42" i="2"/>
  <c r="BE17" i="2"/>
  <c r="BJ19" i="2"/>
  <c r="AZ17" i="2"/>
  <c r="BL18" i="2"/>
  <c r="BA19" i="2"/>
  <c r="BI18" i="2"/>
  <c r="AX19" i="2"/>
  <c r="BK17" i="2"/>
  <c r="AZ18" i="2"/>
  <c r="BM17" i="2"/>
  <c r="BB18" i="2"/>
  <c r="BH17" i="2"/>
  <c r="AW18" i="2"/>
  <c r="BI19" i="2"/>
  <c r="AY17" i="2"/>
  <c r="BR16" i="2"/>
  <c r="BA17" i="2"/>
  <c r="BQ18" i="2"/>
  <c r="BF19" i="2"/>
  <c r="AV17" i="2"/>
  <c r="BH18" i="2"/>
  <c r="AW19" i="2"/>
  <c r="BJ18" i="2"/>
  <c r="BP17" i="2"/>
  <c r="BE18" i="2"/>
  <c r="BQ19" i="2"/>
  <c r="BG17" i="2"/>
  <c r="AV18" i="2"/>
  <c r="AX17" i="2"/>
  <c r="BI17" i="2"/>
  <c r="AX18" i="2"/>
  <c r="BN19" i="2"/>
  <c r="BD17" i="2"/>
  <c r="BP18" i="2"/>
  <c r="BE19" i="2"/>
  <c r="BR17" i="2"/>
  <c r="AW17" i="2"/>
  <c r="BM18" i="2"/>
  <c r="BB19" i="2"/>
  <c r="BO17" i="2"/>
  <c r="BD18" i="2"/>
  <c r="BO18" i="2"/>
  <c r="BE16" i="2"/>
  <c r="AX14" i="2"/>
  <c r="BK16" i="2"/>
  <c r="BF17" i="2"/>
  <c r="BQ17" i="2"/>
  <c r="BF18" i="2"/>
  <c r="BL17" i="2"/>
  <c r="BA18" i="2"/>
  <c r="BM19" i="2"/>
  <c r="BC17" i="2"/>
  <c r="BP19" i="2"/>
  <c r="BO462" i="2"/>
  <c r="BG454" i="2"/>
  <c r="BK458" i="2"/>
  <c r="BJ454" i="2"/>
  <c r="AA433" i="2"/>
  <c r="W459" i="35" s="1"/>
  <c r="AZ434" i="2"/>
  <c r="AA447" i="2"/>
  <c r="BN439" i="2"/>
  <c r="AV434" i="2"/>
  <c r="W447" i="2"/>
  <c r="N434" i="2" s="1"/>
  <c r="BO439" i="2"/>
  <c r="BG438" i="2"/>
  <c r="AZ439" i="2"/>
  <c r="AK447" i="2"/>
  <c r="BJ434" i="2"/>
  <c r="AK433" i="2"/>
  <c r="W469" i="35" s="1"/>
  <c r="AW438" i="2"/>
  <c r="BQ439" i="2"/>
  <c r="BH439" i="2"/>
  <c r="BC438" i="2"/>
  <c r="BJ435" i="2"/>
  <c r="AW439" i="2"/>
  <c r="BM438" i="2"/>
  <c r="BD434" i="2"/>
  <c r="AE433" i="2"/>
  <c r="W463" i="35" s="1"/>
  <c r="AE447" i="2"/>
  <c r="AZ438" i="2"/>
  <c r="AV438" i="2"/>
  <c r="AG433" i="2"/>
  <c r="W465" i="35" s="1"/>
  <c r="BF434" i="2"/>
  <c r="AG447" i="2"/>
  <c r="AY436" i="2"/>
  <c r="BJ438" i="2"/>
  <c r="AV435" i="2"/>
  <c r="BO436" i="2"/>
  <c r="BG435" i="2"/>
  <c r="AZ436" i="2"/>
  <c r="BJ439" i="2"/>
  <c r="AV436" i="2"/>
  <c r="BK435" i="2"/>
  <c r="BD438" i="2"/>
  <c r="BO434" i="2"/>
  <c r="AP433" i="2"/>
  <c r="W474" i="35" s="1"/>
  <c r="AP447" i="2"/>
  <c r="AY435" i="2"/>
  <c r="BF438" i="2"/>
  <c r="AC447" i="2"/>
  <c r="BB434" i="2"/>
  <c r="AC433" i="2"/>
  <c r="W461" i="35" s="1"/>
  <c r="AV439" i="2"/>
  <c r="BM437" i="2"/>
  <c r="BG439" i="2"/>
  <c r="AY437" i="2"/>
  <c r="BB435" i="2"/>
  <c r="R447" i="2"/>
  <c r="S434" i="2"/>
  <c r="BK439" i="2"/>
  <c r="BC435" i="2"/>
  <c r="BL435" i="2"/>
  <c r="BE434" i="2"/>
  <c r="AF447" i="2"/>
  <c r="AF433" i="2"/>
  <c r="W464" i="35" s="1"/>
  <c r="AS447" i="2"/>
  <c r="AS433" i="2"/>
  <c r="W477" i="35" s="1"/>
  <c r="BR434" i="2"/>
  <c r="BI434" i="2"/>
  <c r="AJ447" i="2"/>
  <c r="AJ433" i="2"/>
  <c r="W468" i="35" s="1"/>
  <c r="BE435" i="2"/>
  <c r="V447" i="2"/>
  <c r="BB438" i="2"/>
  <c r="AL447" i="2"/>
  <c r="AL433" i="2"/>
  <c r="W470" i="35" s="1"/>
  <c r="BK434" i="2"/>
  <c r="BF435" i="2"/>
  <c r="BB439" i="2"/>
  <c r="BI436" i="2"/>
  <c r="BC439" i="2"/>
  <c r="BJ436" i="2"/>
  <c r="BM435" i="2"/>
  <c r="BE438" i="2"/>
  <c r="AB433" i="2"/>
  <c r="W460" i="35" s="1"/>
  <c r="AB447" i="2"/>
  <c r="BA434" i="2"/>
  <c r="BR438" i="2"/>
  <c r="BI438" i="2"/>
  <c r="BE439" i="2"/>
  <c r="BP435" i="2"/>
  <c r="BA435" i="2"/>
  <c r="BK438" i="2"/>
  <c r="BF439" i="2"/>
  <c r="BP436" i="2"/>
  <c r="BA436" i="2"/>
  <c r="BR436" i="2"/>
  <c r="BH436" i="2"/>
  <c r="AZ437" i="2"/>
  <c r="BD435" i="2"/>
  <c r="AQ447" i="2"/>
  <c r="BP434" i="2"/>
  <c r="AQ433" i="2"/>
  <c r="W475" i="35" s="1"/>
  <c r="BA438" i="2"/>
  <c r="BQ434" i="2"/>
  <c r="AR433" i="2"/>
  <c r="W476" i="35" s="1"/>
  <c r="AR447" i="2"/>
  <c r="AI447" i="2"/>
  <c r="BH434" i="2"/>
  <c r="AI433" i="2"/>
  <c r="W467" i="35" s="1"/>
  <c r="BD436" i="2"/>
  <c r="BP439" i="2"/>
  <c r="BA439" i="2"/>
  <c r="BR435" i="2"/>
  <c r="BI435" i="2"/>
  <c r="BE436" i="2"/>
  <c r="BN437" i="2"/>
  <c r="Y447" i="2"/>
  <c r="AX434" i="2"/>
  <c r="BQ436" i="2"/>
  <c r="BG436" i="2"/>
  <c r="AY434" i="2"/>
  <c r="Z447" i="2"/>
  <c r="BP438" i="2"/>
  <c r="BQ438" i="2"/>
  <c r="BH438" i="2"/>
  <c r="BN436" i="2"/>
  <c r="BR439" i="2"/>
  <c r="BI439" i="2"/>
  <c r="BD437" i="2"/>
  <c r="BL434" i="2"/>
  <c r="AM447" i="2"/>
  <c r="AM433" i="2"/>
  <c r="W471" i="35" s="1"/>
  <c r="AX438" i="2"/>
  <c r="BO437" i="2"/>
  <c r="BF436" i="2"/>
  <c r="AY438" i="2"/>
  <c r="BP437" i="2"/>
  <c r="BN435" i="2"/>
  <c r="BO435" i="2"/>
  <c r="AH447" i="2"/>
  <c r="AH433" i="2"/>
  <c r="W466" i="35" s="1"/>
  <c r="BG434" i="2"/>
  <c r="AZ435" i="2"/>
  <c r="AW434" i="2"/>
  <c r="X447" i="2"/>
  <c r="BQ435" i="2"/>
  <c r="BH435" i="2"/>
  <c r="AD433" i="2"/>
  <c r="W462" i="35" s="1"/>
  <c r="BC434" i="2"/>
  <c r="AD447" i="2"/>
  <c r="BL438" i="2"/>
  <c r="AW435" i="2"/>
  <c r="BM434" i="2"/>
  <c r="AN433" i="2"/>
  <c r="W472" i="35" s="1"/>
  <c r="AN447" i="2"/>
  <c r="BE437" i="2"/>
  <c r="AO447" i="2"/>
  <c r="BL439" i="2"/>
  <c r="BA407" i="2"/>
  <c r="AB428" i="2"/>
  <c r="AB406" i="2"/>
  <c r="R460" i="35" s="1"/>
  <c r="BP407" i="2"/>
  <c r="AQ428" i="2"/>
  <c r="AQ406" i="2"/>
  <c r="R475" i="35" s="1"/>
  <c r="BO407" i="2"/>
  <c r="AP428" i="2"/>
  <c r="AP406" i="2"/>
  <c r="R474" i="35" s="1"/>
  <c r="BA409" i="2"/>
  <c r="AW413" i="2"/>
  <c r="BQ410" i="2"/>
  <c r="BL409" i="2"/>
  <c r="BH413" i="2"/>
  <c r="BC408" i="2"/>
  <c r="AY412" i="2"/>
  <c r="BE407" i="2"/>
  <c r="AF428" i="2"/>
  <c r="AF406" i="2"/>
  <c r="R464" i="35" s="1"/>
  <c r="AW408" i="2"/>
  <c r="BE409" i="2"/>
  <c r="BA413" i="2"/>
  <c r="AV408" i="2"/>
  <c r="BP409" i="2"/>
  <c r="BL413" i="2"/>
  <c r="BG408" i="2"/>
  <c r="BC412" i="2"/>
  <c r="Y428" i="2"/>
  <c r="AX407" i="2"/>
  <c r="AJ428" i="2"/>
  <c r="BI407" i="2"/>
  <c r="AJ406" i="2"/>
  <c r="R468" i="35" s="1"/>
  <c r="BA408" i="2"/>
  <c r="AW412" i="2"/>
  <c r="BI409" i="2"/>
  <c r="BE413" i="2"/>
  <c r="AZ408" i="2"/>
  <c r="AV412" i="2"/>
  <c r="BP413" i="2"/>
  <c r="BK408" i="2"/>
  <c r="BG412" i="2"/>
  <c r="AC428" i="2"/>
  <c r="BB407" i="2"/>
  <c r="AC406" i="2"/>
  <c r="R461" i="35" s="1"/>
  <c r="BM407" i="2"/>
  <c r="AN428" i="2"/>
  <c r="AN406" i="2"/>
  <c r="R472" i="35" s="1"/>
  <c r="BE408" i="2"/>
  <c r="AV407" i="2"/>
  <c r="W428" i="2"/>
  <c r="N407" i="2" s="1"/>
  <c r="BM409" i="2"/>
  <c r="BI413" i="2"/>
  <c r="BD408" i="2"/>
  <c r="AZ412" i="2"/>
  <c r="BO408" i="2"/>
  <c r="BK412" i="2"/>
  <c r="AG428" i="2"/>
  <c r="AG406" i="2"/>
  <c r="R465" i="35" s="1"/>
  <c r="BF407" i="2"/>
  <c r="AW410" i="2"/>
  <c r="BR408" i="2"/>
  <c r="BI408" i="2"/>
  <c r="AA428" i="2"/>
  <c r="AZ407" i="2"/>
  <c r="AA406" i="2"/>
  <c r="R459" i="35" s="1"/>
  <c r="BQ409" i="2"/>
  <c r="BM413" i="2"/>
  <c r="BH408" i="2"/>
  <c r="BD412" i="2"/>
  <c r="AY407" i="2"/>
  <c r="Z428" i="2"/>
  <c r="BO412" i="2"/>
  <c r="AK406" i="2"/>
  <c r="R469" i="35" s="1"/>
  <c r="AK428" i="2"/>
  <c r="BJ407" i="2"/>
  <c r="BA410" i="2"/>
  <c r="AV409" i="2"/>
  <c r="BO409" i="2"/>
  <c r="AX408" i="2"/>
  <c r="BM408" i="2"/>
  <c r="BD407" i="2"/>
  <c r="AE428" i="2"/>
  <c r="AE406" i="2"/>
  <c r="R463" i="35" s="1"/>
  <c r="BQ413" i="2"/>
  <c r="BL408" i="2"/>
  <c r="BH412" i="2"/>
  <c r="AD428" i="2"/>
  <c r="AD406" i="2"/>
  <c r="R462" i="35" s="1"/>
  <c r="BC407" i="2"/>
  <c r="AO428" i="2"/>
  <c r="BN407" i="2"/>
  <c r="AO406" i="2"/>
  <c r="R473" i="35" s="1"/>
  <c r="BE410" i="2"/>
  <c r="AZ409" i="2"/>
  <c r="AV413" i="2"/>
  <c r="BP410" i="2"/>
  <c r="BQ408" i="2"/>
  <c r="AR406" i="2"/>
  <c r="R476" i="35" s="1"/>
  <c r="BH407" i="2"/>
  <c r="AI406" i="2"/>
  <c r="R467" i="35" s="1"/>
  <c r="AI428" i="2"/>
  <c r="BP408" i="2"/>
  <c r="BL412" i="2"/>
  <c r="AH406" i="2"/>
  <c r="R466" i="35" s="1"/>
  <c r="BG407" i="2"/>
  <c r="AH428" i="2"/>
  <c r="AS406" i="2"/>
  <c r="R477" i="35" s="1"/>
  <c r="AS428" i="2"/>
  <c r="BR407" i="2"/>
  <c r="BI410" i="2"/>
  <c r="BD409" i="2"/>
  <c r="AZ413" i="2"/>
  <c r="R428" i="2"/>
  <c r="S407" i="2"/>
  <c r="BQ411" i="2"/>
  <c r="AW407" i="2"/>
  <c r="X428" i="2"/>
  <c r="BL407" i="2"/>
  <c r="AM428" i="2"/>
  <c r="AM406" i="2"/>
  <c r="R471" i="35" s="1"/>
  <c r="BP412" i="2"/>
  <c r="AL428" i="2"/>
  <c r="BK407" i="2"/>
  <c r="AL406" i="2"/>
  <c r="R470" i="35" s="1"/>
  <c r="AW409" i="2"/>
  <c r="BM410" i="2"/>
  <c r="BH409" i="2"/>
  <c r="BD413" i="2"/>
  <c r="AY408" i="2"/>
  <c r="BR412" i="2"/>
  <c r="BK361" i="2"/>
  <c r="BH355" i="2"/>
  <c r="BI357" i="2"/>
  <c r="BQ357" i="2"/>
  <c r="BH365" i="2"/>
  <c r="BD359" i="2"/>
  <c r="BL359" i="2"/>
  <c r="AZ366" i="2"/>
  <c r="BG368" i="2"/>
  <c r="BE368" i="2"/>
  <c r="BM359" i="2"/>
  <c r="BD368" i="2"/>
  <c r="BQ368" i="2"/>
  <c r="BB370" i="2"/>
  <c r="BN359" i="2"/>
  <c r="AW368" i="2"/>
  <c r="AX368" i="2"/>
  <c r="BR368" i="2"/>
  <c r="BN368" i="2"/>
  <c r="BO370" i="2"/>
  <c r="BH368" i="2"/>
  <c r="BI368" i="2"/>
  <c r="BG370" i="2"/>
  <c r="BM355" i="2"/>
  <c r="BA368" i="2"/>
  <c r="BB368" i="2"/>
  <c r="AY370" i="2"/>
  <c r="BI361" i="2"/>
  <c r="BQ361" i="2"/>
  <c r="BF355" i="2"/>
  <c r="BN355" i="2"/>
  <c r="BJ359" i="2"/>
  <c r="BR359" i="2"/>
  <c r="BA366" i="2"/>
  <c r="BK369" i="2"/>
  <c r="BE370" i="2"/>
  <c r="BL370" i="2"/>
  <c r="BK340" i="2"/>
  <c r="BF340" i="2"/>
  <c r="BM338" i="2"/>
  <c r="BG338" i="2"/>
  <c r="BC337" i="2"/>
  <c r="V348" i="2"/>
  <c r="BJ341" i="2"/>
  <c r="AW340" i="2"/>
  <c r="BQ341" i="2"/>
  <c r="BI341" i="2"/>
  <c r="BE342" i="2"/>
  <c r="AY341" i="2"/>
  <c r="AE348" i="2"/>
  <c r="BD335" i="2"/>
  <c r="AE334" i="2"/>
  <c r="V463" i="35" s="1"/>
  <c r="BJ335" i="2"/>
  <c r="AK348" i="2"/>
  <c r="AK334" i="2"/>
  <c r="V469" i="35" s="1"/>
  <c r="BQ335" i="2"/>
  <c r="AR348" i="2"/>
  <c r="AR334" i="2"/>
  <c r="V476" i="35" s="1"/>
  <c r="BI335" i="2"/>
  <c r="AJ348" i="2"/>
  <c r="AJ334" i="2"/>
  <c r="V468" i="35" s="1"/>
  <c r="AY335" i="2"/>
  <c r="Z348" i="2"/>
  <c r="BA340" i="2"/>
  <c r="BM342" i="2"/>
  <c r="BG342" i="2"/>
  <c r="BC341" i="2"/>
  <c r="BB337" i="2"/>
  <c r="BD338" i="2"/>
  <c r="BJ338" i="2"/>
  <c r="BE340" i="2"/>
  <c r="BL337" i="2"/>
  <c r="AX335" i="2"/>
  <c r="Y348" i="2"/>
  <c r="BR337" i="2"/>
  <c r="BK337" i="2"/>
  <c r="BF337" i="2"/>
  <c r="BP340" i="2"/>
  <c r="BB341" i="2"/>
  <c r="AV340" i="2"/>
  <c r="BO340" i="2"/>
  <c r="BH340" i="2"/>
  <c r="BD342" i="2"/>
  <c r="BL339" i="2"/>
  <c r="AD348" i="2"/>
  <c r="BC335" i="2"/>
  <c r="AD334" i="2"/>
  <c r="V462" i="35" s="1"/>
  <c r="AC348" i="2"/>
  <c r="BB335" i="2"/>
  <c r="AC334" i="2"/>
  <c r="V461" i="35" s="1"/>
  <c r="BL341" i="2"/>
  <c r="BR341" i="2"/>
  <c r="BK341" i="2"/>
  <c r="BF341" i="2"/>
  <c r="AZ340" i="2"/>
  <c r="BN335" i="2"/>
  <c r="AO348" i="2"/>
  <c r="AO334" i="2"/>
  <c r="V473" i="35" s="1"/>
  <c r="BA337" i="2"/>
  <c r="BM335" i="2"/>
  <c r="AN348" i="2"/>
  <c r="AN334" i="2"/>
  <c r="V472" i="35" s="1"/>
  <c r="BG335" i="2"/>
  <c r="AH334" i="2"/>
  <c r="V466" i="35" s="1"/>
  <c r="AH348" i="2"/>
  <c r="BC338" i="2"/>
  <c r="BN340" i="2"/>
  <c r="BD340" i="2"/>
  <c r="AW335" i="2"/>
  <c r="X348" i="2"/>
  <c r="BE337" i="2"/>
  <c r="BN339" i="2"/>
  <c r="BA341" i="2"/>
  <c r="BM339" i="2"/>
  <c r="BG339" i="2"/>
  <c r="BC342" i="2"/>
  <c r="BP341" i="2"/>
  <c r="BR335" i="2"/>
  <c r="AS348" i="2"/>
  <c r="AS334" i="2"/>
  <c r="V477" i="35" s="1"/>
  <c r="BK335" i="2"/>
  <c r="AL348" i="2"/>
  <c r="AL334" i="2"/>
  <c r="V470" i="35" s="1"/>
  <c r="BF335" i="2"/>
  <c r="AG348" i="2"/>
  <c r="AG334" i="2"/>
  <c r="V465" i="35" s="1"/>
  <c r="BN337" i="2"/>
  <c r="BA335" i="2"/>
  <c r="AB348" i="2"/>
  <c r="AB334" i="2"/>
  <c r="V460" i="35" s="1"/>
  <c r="BM337" i="2"/>
  <c r="BG337" i="2"/>
  <c r="BJ340" i="2"/>
  <c r="BQ340" i="2"/>
  <c r="BI340" i="2"/>
  <c r="BE341" i="2"/>
  <c r="AY340" i="2"/>
  <c r="BL338" i="2"/>
  <c r="BR338" i="2"/>
  <c r="BK338" i="2"/>
  <c r="BF338" i="2"/>
  <c r="AZ337" i="2"/>
  <c r="BJ342" i="2"/>
  <c r="BC340" i="2"/>
  <c r="BP335" i="2"/>
  <c r="AQ348" i="2"/>
  <c r="AQ334" i="2"/>
  <c r="V475" i="35" s="1"/>
  <c r="AV335" i="2"/>
  <c r="W348" i="2"/>
  <c r="N335" i="2" s="1"/>
  <c r="AP348" i="2"/>
  <c r="BO335" i="2"/>
  <c r="AP334" i="2"/>
  <c r="V474" i="35" s="1"/>
  <c r="AI348" i="2"/>
  <c r="BH335" i="2"/>
  <c r="AI334" i="2"/>
  <c r="V467" i="35" s="1"/>
  <c r="BD337" i="2"/>
  <c r="S335" i="2"/>
  <c r="R348" i="2"/>
  <c r="BL342" i="2"/>
  <c r="AX340" i="2"/>
  <c r="BR342" i="2"/>
  <c r="BK342" i="2"/>
  <c r="BF342" i="2"/>
  <c r="AZ341" i="2"/>
  <c r="BE335" i="2"/>
  <c r="AF348" i="2"/>
  <c r="AF334" i="2"/>
  <c r="V464" i="35" s="1"/>
  <c r="BL336" i="2"/>
  <c r="AM334" i="2"/>
  <c r="V471" i="35" s="1"/>
  <c r="AZ335" i="2"/>
  <c r="AA348" i="2"/>
  <c r="AA334" i="2"/>
  <c r="V459" i="35" s="1"/>
  <c r="BB340" i="2"/>
  <c r="BD341" i="2"/>
  <c r="BJ337" i="2"/>
  <c r="BQ337" i="2"/>
  <c r="BI337" i="2"/>
  <c r="BE338" i="2"/>
  <c r="AY337" i="2"/>
  <c r="BL335" i="2"/>
  <c r="AA329" i="2"/>
  <c r="AZ308" i="2"/>
  <c r="AA307" i="2"/>
  <c r="Q459" i="35" s="1"/>
  <c r="AI329" i="2"/>
  <c r="BH308" i="2"/>
  <c r="AI307" i="2"/>
  <c r="Q467" i="35" s="1"/>
  <c r="AQ329" i="2"/>
  <c r="BP308" i="2"/>
  <c r="AQ307" i="2"/>
  <c r="Q475" i="35" s="1"/>
  <c r="AY309" i="2"/>
  <c r="BG309" i="2"/>
  <c r="BO309" i="2"/>
  <c r="BC313" i="2"/>
  <c r="BK313" i="2"/>
  <c r="BA308" i="2"/>
  <c r="AB329" i="2"/>
  <c r="AB307" i="2"/>
  <c r="Q460" i="35" s="1"/>
  <c r="AJ329" i="2"/>
  <c r="BI308" i="2"/>
  <c r="AJ307" i="2"/>
  <c r="Q468" i="35" s="1"/>
  <c r="BQ308" i="2"/>
  <c r="AR329" i="2"/>
  <c r="AR307" i="2"/>
  <c r="Q476" i="35" s="1"/>
  <c r="AZ309" i="2"/>
  <c r="BH309" i="2"/>
  <c r="BP309" i="2"/>
  <c r="AV313" i="2"/>
  <c r="BD313" i="2"/>
  <c r="BL313" i="2"/>
  <c r="AC329" i="2"/>
  <c r="BB308" i="2"/>
  <c r="AC307" i="2"/>
  <c r="Q461" i="35" s="1"/>
  <c r="BJ308" i="2"/>
  <c r="AK329" i="2"/>
  <c r="AK307" i="2"/>
  <c r="Q469" i="35" s="1"/>
  <c r="BR308" i="2"/>
  <c r="AS329" i="2"/>
  <c r="AS307" i="2"/>
  <c r="Q477" i="35" s="1"/>
  <c r="BA309" i="2"/>
  <c r="BI309" i="2"/>
  <c r="BQ309" i="2"/>
  <c r="AW313" i="2"/>
  <c r="BE313" i="2"/>
  <c r="BM313" i="2"/>
  <c r="AD329" i="2"/>
  <c r="BC308" i="2"/>
  <c r="AD307" i="2"/>
  <c r="Q462" i="35" s="1"/>
  <c r="AL329" i="2"/>
  <c r="BK308" i="2"/>
  <c r="AL307" i="2"/>
  <c r="Q470" i="35" s="1"/>
  <c r="R329" i="2"/>
  <c r="S308" i="2"/>
  <c r="BB309" i="2"/>
  <c r="BJ309" i="2"/>
  <c r="BR309" i="2"/>
  <c r="AX313" i="2"/>
  <c r="BF313" i="2"/>
  <c r="BN313" i="2"/>
  <c r="W329" i="2"/>
  <c r="N308" i="2" s="1"/>
  <c r="AV308" i="2"/>
  <c r="AE329" i="2"/>
  <c r="BD308" i="2"/>
  <c r="AE307" i="2"/>
  <c r="Q463" i="35" s="1"/>
  <c r="AM329" i="2"/>
  <c r="BL308" i="2"/>
  <c r="AM307" i="2"/>
  <c r="Q471" i="35" s="1"/>
  <c r="BC309" i="2"/>
  <c r="BK309" i="2"/>
  <c r="AY313" i="2"/>
  <c r="BG313" i="2"/>
  <c r="BO313" i="2"/>
  <c r="AW308" i="2"/>
  <c r="X329" i="2"/>
  <c r="BE308" i="2"/>
  <c r="AF329" i="2"/>
  <c r="AF307" i="2"/>
  <c r="Q464" i="35" s="1"/>
  <c r="AN329" i="2"/>
  <c r="BM308" i="2"/>
  <c r="AN307" i="2"/>
  <c r="Q472" i="35" s="1"/>
  <c r="AV309" i="2"/>
  <c r="BD309" i="2"/>
  <c r="BL309" i="2"/>
  <c r="AZ313" i="2"/>
  <c r="BH313" i="2"/>
  <c r="BP313" i="2"/>
  <c r="Y329" i="2"/>
  <c r="AX308" i="2"/>
  <c r="AG329" i="2"/>
  <c r="BF308" i="2"/>
  <c r="AG307" i="2"/>
  <c r="Q465" i="35" s="1"/>
  <c r="BN308" i="2"/>
  <c r="AO329" i="2"/>
  <c r="AO307" i="2"/>
  <c r="Q473" i="35" s="1"/>
  <c r="BE309" i="2"/>
  <c r="BM309" i="2"/>
  <c r="BA313" i="2"/>
  <c r="BI313" i="2"/>
  <c r="BQ313" i="2"/>
  <c r="Z329" i="2"/>
  <c r="AY308" i="2"/>
  <c r="AH329" i="2"/>
  <c r="BG308" i="2"/>
  <c r="AH307" i="2"/>
  <c r="Q466" i="35" s="1"/>
  <c r="BO308" i="2"/>
  <c r="AP307" i="2"/>
  <c r="Q474" i="35" s="1"/>
  <c r="AP329" i="2"/>
  <c r="BF309" i="2"/>
  <c r="BN309" i="2"/>
  <c r="BB313" i="2"/>
  <c r="BJ313" i="2"/>
  <c r="BR313" i="2"/>
  <c r="BQ261" i="2"/>
  <c r="BL273" i="2"/>
  <c r="BH274" i="2"/>
  <c r="BH275" i="2"/>
  <c r="BG277" i="2"/>
  <c r="BA277" i="2"/>
  <c r="BP275" i="2"/>
  <c r="BI275" i="2"/>
  <c r="BM277" i="2"/>
  <c r="AZ277" i="2"/>
  <c r="BR261" i="2"/>
  <c r="BB273" i="2"/>
  <c r="BR275" i="2"/>
  <c r="BL275" i="2"/>
  <c r="BF275" i="2"/>
  <c r="BF277" i="2"/>
  <c r="BL277" i="2"/>
  <c r="BO264" i="2"/>
  <c r="BJ270" i="2"/>
  <c r="AY270" i="2"/>
  <c r="BP273" i="2"/>
  <c r="BR273" i="2"/>
  <c r="BI274" i="2"/>
  <c r="BG275" i="2"/>
  <c r="BN275" i="2"/>
  <c r="BQ277" i="2"/>
  <c r="BD277" i="2"/>
  <c r="AY277" i="2"/>
  <c r="BP278" i="2"/>
  <c r="BM261" i="2"/>
  <c r="BP264" i="2"/>
  <c r="BP277" i="2"/>
  <c r="BC277" i="2"/>
  <c r="AX277" i="2"/>
  <c r="BB278" i="2"/>
  <c r="BA272" i="2"/>
  <c r="BC272" i="2"/>
  <c r="AW273" i="2"/>
  <c r="BO277" i="2"/>
  <c r="BR277" i="2"/>
  <c r="BQ278" i="2"/>
  <c r="BR256" i="2"/>
  <c r="BN277" i="2"/>
  <c r="BK277" i="2"/>
  <c r="BI238" i="2"/>
  <c r="AA249" i="2"/>
  <c r="AZ236" i="2"/>
  <c r="AA235" i="2"/>
  <c r="U459" i="35" s="1"/>
  <c r="BL238" i="2"/>
  <c r="AI235" i="2"/>
  <c r="U467" i="35" s="1"/>
  <c r="BH236" i="2"/>
  <c r="AI249" i="2"/>
  <c r="BC240" i="2"/>
  <c r="BL239" i="2"/>
  <c r="BI240" i="2"/>
  <c r="Z249" i="2"/>
  <c r="AY236" i="2"/>
  <c r="BJ239" i="2"/>
  <c r="AS235" i="2"/>
  <c r="U477" i="35" s="1"/>
  <c r="BJ236" i="2"/>
  <c r="AK249" i="2"/>
  <c r="AK235" i="2"/>
  <c r="U469" i="35" s="1"/>
  <c r="BR238" i="2"/>
  <c r="BJ238" i="2"/>
  <c r="BR239" i="2"/>
  <c r="AY240" i="2"/>
  <c r="BB239" i="2"/>
  <c r="AS249" i="2"/>
  <c r="AH235" i="2"/>
  <c r="U466" i="35" s="1"/>
  <c r="BG236" i="2"/>
  <c r="AH249" i="2"/>
  <c r="AY238" i="2"/>
  <c r="BQ239" i="2"/>
  <c r="AY239" i="2"/>
  <c r="BB238" i="2"/>
  <c r="AR235" i="2"/>
  <c r="U476" i="35" s="1"/>
  <c r="AR249" i="2"/>
  <c r="BQ236" i="2"/>
  <c r="BG238" i="2"/>
  <c r="BA237" i="2"/>
  <c r="BB236" i="2"/>
  <c r="AC249" i="2"/>
  <c r="AC235" i="2"/>
  <c r="U461" i="35" s="1"/>
  <c r="BQ238" i="2"/>
  <c r="BA239" i="2"/>
  <c r="BO238" i="2"/>
  <c r="BF238" i="2"/>
  <c r="S236" i="2"/>
  <c r="R249" i="2"/>
  <c r="AB249" i="2"/>
  <c r="BA236" i="2"/>
  <c r="AB235" i="2"/>
  <c r="U460" i="35" s="1"/>
  <c r="BQ240" i="2"/>
  <c r="BF239" i="2"/>
  <c r="V249" i="2"/>
  <c r="AX238" i="2"/>
  <c r="BF236" i="2"/>
  <c r="AG249" i="2"/>
  <c r="AG235" i="2"/>
  <c r="U465" i="35" s="1"/>
  <c r="Y249" i="2"/>
  <c r="AX236" i="2"/>
  <c r="AF249" i="2"/>
  <c r="AF235" i="2"/>
  <c r="U464" i="35" s="1"/>
  <c r="BE236" i="2"/>
  <c r="BA240" i="2"/>
  <c r="BO239" i="2"/>
  <c r="BP238" i="2"/>
  <c r="AW236" i="2"/>
  <c r="X249" i="2"/>
  <c r="BA238" i="2"/>
  <c r="BM236" i="2"/>
  <c r="AN235" i="2"/>
  <c r="U472" i="35" s="1"/>
  <c r="AN249" i="2"/>
  <c r="AQ249" i="2"/>
  <c r="AQ235" i="2"/>
  <c r="U475" i="35" s="1"/>
  <c r="BP236" i="2"/>
  <c r="BK236" i="2"/>
  <c r="AL249" i="2"/>
  <c r="AL235" i="2"/>
  <c r="U470" i="35" s="1"/>
  <c r="BM238" i="2"/>
  <c r="BD239" i="2"/>
  <c r="BN237" i="2"/>
  <c r="AW240" i="2"/>
  <c r="BK238" i="2"/>
  <c r="AW238" i="2"/>
  <c r="BD238" i="2"/>
  <c r="AO249" i="2"/>
  <c r="BN236" i="2"/>
  <c r="AO235" i="2"/>
  <c r="U473" i="35" s="1"/>
  <c r="AW239" i="2"/>
  <c r="BL236" i="2"/>
  <c r="AM235" i="2"/>
  <c r="U471" i="35" s="1"/>
  <c r="AM249" i="2"/>
  <c r="AV238" i="2"/>
  <c r="BM239" i="2"/>
  <c r="AP249" i="2"/>
  <c r="BO236" i="2"/>
  <c r="AP235" i="2"/>
  <c r="U474" i="35" s="1"/>
  <c r="BD236" i="2"/>
  <c r="AE235" i="2"/>
  <c r="U463" i="35" s="1"/>
  <c r="AE249" i="2"/>
  <c r="BN238" i="2"/>
  <c r="BN239" i="2"/>
  <c r="AV236" i="2"/>
  <c r="W249" i="2"/>
  <c r="N236" i="2" s="1"/>
  <c r="BI239" i="2"/>
  <c r="AD249" i="2"/>
  <c r="AD235" i="2"/>
  <c r="U462" i="35" s="1"/>
  <c r="BC236" i="2"/>
  <c r="BN240" i="2"/>
  <c r="AJ249" i="2"/>
  <c r="AJ235" i="2"/>
  <c r="U468" i="35" s="1"/>
  <c r="BI236" i="2"/>
  <c r="AZ238" i="2"/>
  <c r="BL240" i="2"/>
  <c r="BR240" i="2"/>
  <c r="AS230" i="2"/>
  <c r="AS208" i="2"/>
  <c r="P477" i="35" s="1"/>
  <c r="BR209" i="2"/>
  <c r="AK230" i="2"/>
  <c r="BJ209" i="2"/>
  <c r="AK208" i="2"/>
  <c r="P469" i="35" s="1"/>
  <c r="AC230" i="2"/>
  <c r="BB209" i="2"/>
  <c r="AC208" i="2"/>
  <c r="P461" i="35" s="1"/>
  <c r="R230" i="2"/>
  <c r="S209" i="2"/>
  <c r="BL209" i="2"/>
  <c r="AM230" i="2"/>
  <c r="AM208" i="2"/>
  <c r="P471" i="35" s="1"/>
  <c r="BD209" i="2"/>
  <c r="AE230" i="2"/>
  <c r="AE208" i="2"/>
  <c r="P463" i="35" s="1"/>
  <c r="AV209" i="2"/>
  <c r="W230" i="2"/>
  <c r="N209" i="2" s="1"/>
  <c r="V230" i="2"/>
  <c r="AR230" i="2"/>
  <c r="BQ209" i="2"/>
  <c r="AR208" i="2"/>
  <c r="P476" i="35" s="1"/>
  <c r="AJ230" i="2"/>
  <c r="AJ208" i="2"/>
  <c r="P468" i="35" s="1"/>
  <c r="BI209" i="2"/>
  <c r="AB230" i="2"/>
  <c r="AB208" i="2"/>
  <c r="P460" i="35" s="1"/>
  <c r="BA209" i="2"/>
  <c r="BG209" i="2"/>
  <c r="AH208" i="2"/>
  <c r="P466" i="35" s="1"/>
  <c r="AH230" i="2"/>
  <c r="Z230" i="2"/>
  <c r="AY209" i="2"/>
  <c r="BQ210" i="2"/>
  <c r="BI210" i="2"/>
  <c r="BA210" i="2"/>
  <c r="AO208" i="2"/>
  <c r="P473" i="35" s="1"/>
  <c r="BN209" i="2"/>
  <c r="AO230" i="2"/>
  <c r="AG208" i="2"/>
  <c r="P465" i="35" s="1"/>
  <c r="AG230" i="2"/>
  <c r="BF209" i="2"/>
  <c r="AX209" i="2"/>
  <c r="Y230" i="2"/>
  <c r="BP209" i="2"/>
  <c r="AQ208" i="2"/>
  <c r="P475" i="35" s="1"/>
  <c r="AQ230" i="2"/>
  <c r="BH209" i="2"/>
  <c r="AI230" i="2"/>
  <c r="AI208" i="2"/>
  <c r="P467" i="35" s="1"/>
  <c r="AZ209" i="2"/>
  <c r="AA230" i="2"/>
  <c r="AA208" i="2"/>
  <c r="P459" i="35" s="1"/>
  <c r="AX210" i="2"/>
  <c r="AP208" i="2"/>
  <c r="P474" i="35" s="1"/>
  <c r="AN230" i="2"/>
  <c r="BM209" i="2"/>
  <c r="AN208" i="2"/>
  <c r="P472" i="35" s="1"/>
  <c r="AF208" i="2"/>
  <c r="P464" i="35" s="1"/>
  <c r="BE209" i="2"/>
  <c r="AF230" i="2"/>
  <c r="AW209" i="2"/>
  <c r="X230" i="2"/>
  <c r="AP230" i="2"/>
  <c r="BK209" i="2"/>
  <c r="AL230" i="2"/>
  <c r="AL208" i="2"/>
  <c r="P470" i="35" s="1"/>
  <c r="BC209" i="2"/>
  <c r="AD208" i="2"/>
  <c r="P462" i="35" s="1"/>
  <c r="AD230" i="2"/>
  <c r="BM210" i="2"/>
  <c r="BE210" i="2"/>
  <c r="AW210" i="2"/>
  <c r="BO209" i="2"/>
  <c r="BH162" i="2"/>
  <c r="AY172" i="2"/>
  <c r="BG173" i="2"/>
  <c r="BH174" i="2"/>
  <c r="BF162" i="2"/>
  <c r="BL162" i="2"/>
  <c r="BB173" i="2"/>
  <c r="BI173" i="2"/>
  <c r="BJ162" i="2"/>
  <c r="BP162" i="2"/>
  <c r="BK172" i="2"/>
  <c r="AY173" i="2"/>
  <c r="BF173" i="2"/>
  <c r="BN162" i="2"/>
  <c r="BR162" i="2"/>
  <c r="AX163" i="2"/>
  <c r="BI172" i="2"/>
  <c r="BL173" i="2"/>
  <c r="BA173" i="2"/>
  <c r="BI162" i="2"/>
  <c r="AY170" i="2"/>
  <c r="BN173" i="2"/>
  <c r="BN166" i="2"/>
  <c r="BM162" i="2"/>
  <c r="BR173" i="2"/>
  <c r="BC173" i="2"/>
  <c r="BD162" i="2"/>
  <c r="R150" i="2"/>
  <c r="BA137" i="2"/>
  <c r="S137" i="2"/>
  <c r="BB137" i="2"/>
  <c r="BD137" i="2"/>
  <c r="AV137" i="2"/>
  <c r="BE137" i="2"/>
  <c r="BH138" i="2"/>
  <c r="AI136" i="2"/>
  <c r="T467" i="35" s="1"/>
  <c r="AC136" i="2"/>
  <c r="T461" i="35" s="1"/>
  <c r="BB138" i="2"/>
  <c r="BE141" i="2"/>
  <c r="BO141" i="2"/>
  <c r="W150" i="2"/>
  <c r="N137" i="2" s="1"/>
  <c r="AV138" i="2"/>
  <c r="BA140" i="2"/>
  <c r="BQ141" i="2"/>
  <c r="BJ137" i="2"/>
  <c r="BO138" i="2"/>
  <c r="AP150" i="2"/>
  <c r="AP136" i="2"/>
  <c r="T474" i="35" s="1"/>
  <c r="AH136" i="2"/>
  <c r="T466" i="35" s="1"/>
  <c r="BG138" i="2"/>
  <c r="T228" i="35"/>
  <c r="Q518" i="2"/>
  <c r="BC138" i="2"/>
  <c r="BN141" i="2"/>
  <c r="AD150" i="2"/>
  <c r="AD136" i="2"/>
  <c r="T462" i="35" s="1"/>
  <c r="BC137" i="2"/>
  <c r="AY141" i="2"/>
  <c r="BD139" i="2"/>
  <c r="AH150" i="2"/>
  <c r="BP137" i="2"/>
  <c r="BN138" i="2"/>
  <c r="AO150" i="2"/>
  <c r="AO136" i="2"/>
  <c r="T473" i="35" s="1"/>
  <c r="BF138" i="2"/>
  <c r="AG136" i="2"/>
  <c r="T465" i="35" s="1"/>
  <c r="AY137" i="2"/>
  <c r="Z150" i="2"/>
  <c r="BM141" i="2"/>
  <c r="AW138" i="2"/>
  <c r="BB139" i="2"/>
  <c r="AI150" i="2"/>
  <c r="BN137" i="2"/>
  <c r="BM138" i="2"/>
  <c r="AN136" i="2"/>
  <c r="T472" i="35" s="1"/>
  <c r="AN150" i="2"/>
  <c r="AZ141" i="2"/>
  <c r="AV141" i="2"/>
  <c r="AY140" i="2"/>
  <c r="BL141" i="2"/>
  <c r="BH137" i="2"/>
  <c r="BQ137" i="2"/>
  <c r="BR137" i="2"/>
  <c r="BR141" i="2"/>
  <c r="AX141" i="2"/>
  <c r="BI137" i="2"/>
  <c r="BL138" i="2"/>
  <c r="AM136" i="2"/>
  <c r="T471" i="35" s="1"/>
  <c r="AM150" i="2"/>
  <c r="BB141" i="2"/>
  <c r="AW141" i="2"/>
  <c r="BK141" i="2"/>
  <c r="BG137" i="2"/>
  <c r="AX137" i="2"/>
  <c r="BO137" i="2"/>
  <c r="BK137" i="2"/>
  <c r="AL150" i="2"/>
  <c r="BK138" i="2"/>
  <c r="AL136" i="2"/>
  <c r="T470" i="35" s="1"/>
  <c r="V150" i="2"/>
  <c r="X150" i="2"/>
  <c r="AW137" i="2"/>
  <c r="AZ137" i="2"/>
  <c r="AA150" i="2"/>
  <c r="AA136" i="2"/>
  <c r="T459" i="35" s="1"/>
  <c r="BJ141" i="2"/>
  <c r="BF137" i="2"/>
  <c r="Y150" i="2"/>
  <c r="BF141" i="2"/>
  <c r="BM137" i="2"/>
  <c r="BH141" i="2"/>
  <c r="AQ150" i="2"/>
  <c r="BJ138" i="2"/>
  <c r="AK150" i="2"/>
  <c r="AK136" i="2"/>
  <c r="T469" i="35" s="1"/>
  <c r="BQ138" i="2"/>
  <c r="AR136" i="2"/>
  <c r="T476" i="35" s="1"/>
  <c r="BC141" i="2"/>
  <c r="BI141" i="2"/>
  <c r="BE138" i="2"/>
  <c r="AF136" i="2"/>
  <c r="T464" i="35" s="1"/>
  <c r="BL137" i="2"/>
  <c r="BB140" i="2"/>
  <c r="BG141" i="2"/>
  <c r="AQ136" i="2"/>
  <c r="T475" i="35" s="1"/>
  <c r="BI138" i="2"/>
  <c r="AJ150" i="2"/>
  <c r="AJ136" i="2"/>
  <c r="T468" i="35" s="1"/>
  <c r="AS136" i="2"/>
  <c r="T477" i="35" s="1"/>
  <c r="BR138" i="2"/>
  <c r="AS150" i="2"/>
  <c r="BA138" i="2"/>
  <c r="AB136" i="2"/>
  <c r="T460" i="35" s="1"/>
  <c r="BD141" i="2"/>
  <c r="BP141" i="2"/>
  <c r="AE136" i="2"/>
  <c r="T463" i="35" s="1"/>
  <c r="BD138" i="2"/>
  <c r="BC139" i="2"/>
  <c r="AG150" i="2"/>
  <c r="AC150" i="2"/>
  <c r="AZ140" i="2"/>
  <c r="BP138" i="2"/>
  <c r="AL131" i="2"/>
  <c r="BK110" i="2"/>
  <c r="AL109" i="2"/>
  <c r="O470" i="35" s="1"/>
  <c r="AD109" i="2"/>
  <c r="O462" i="35" s="1"/>
  <c r="BC110" i="2"/>
  <c r="AD131" i="2"/>
  <c r="AR131" i="2"/>
  <c r="BQ110" i="2"/>
  <c r="AR109" i="2"/>
  <c r="O476" i="35" s="1"/>
  <c r="AM109" i="2"/>
  <c r="O471" i="35" s="1"/>
  <c r="BL110" i="2"/>
  <c r="AM131" i="2"/>
  <c r="AE131" i="2"/>
  <c r="AE109" i="2"/>
  <c r="O463" i="35" s="1"/>
  <c r="BD110" i="2"/>
  <c r="W131" i="2"/>
  <c r="N110" i="2" s="1"/>
  <c r="AV110" i="2"/>
  <c r="BO113" i="2"/>
  <c r="BG113" i="2"/>
  <c r="AY113" i="2"/>
  <c r="BK112" i="2"/>
  <c r="BC112" i="2"/>
  <c r="BQ112" i="2"/>
  <c r="BP112" i="2"/>
  <c r="BI110" i="2"/>
  <c r="AJ131" i="2"/>
  <c r="AJ109" i="2"/>
  <c r="O468" i="35" s="1"/>
  <c r="BA110" i="2"/>
  <c r="AB131" i="2"/>
  <c r="AB109" i="2"/>
  <c r="O460" i="35" s="1"/>
  <c r="AK131" i="2"/>
  <c r="BJ110" i="2"/>
  <c r="AK109" i="2"/>
  <c r="O469" i="35" s="1"/>
  <c r="AC131" i="2"/>
  <c r="AC109" i="2"/>
  <c r="O461" i="35" s="1"/>
  <c r="BB110" i="2"/>
  <c r="BM113" i="2"/>
  <c r="BE113" i="2"/>
  <c r="AW113" i="2"/>
  <c r="AZ112" i="2"/>
  <c r="BR113" i="2"/>
  <c r="BI112" i="2"/>
  <c r="BA112" i="2"/>
  <c r="AH109" i="2"/>
  <c r="O466" i="35" s="1"/>
  <c r="BG110" i="2"/>
  <c r="AH131" i="2"/>
  <c r="AY110" i="2"/>
  <c r="Z131" i="2"/>
  <c r="AQ109" i="2"/>
  <c r="O475" i="35" s="1"/>
  <c r="AQ131" i="2"/>
  <c r="BP110" i="2"/>
  <c r="AI131" i="2"/>
  <c r="AI109" i="2"/>
  <c r="O467" i="35" s="1"/>
  <c r="BH110" i="2"/>
  <c r="AA109" i="2"/>
  <c r="O459" i="35" s="1"/>
  <c r="AA131" i="2"/>
  <c r="AZ110" i="2"/>
  <c r="S110" i="2"/>
  <c r="R131" i="2"/>
  <c r="BK113" i="2"/>
  <c r="BC113" i="2"/>
  <c r="BQ113" i="2"/>
  <c r="BP113" i="2"/>
  <c r="AX112" i="2"/>
  <c r="BO112" i="2"/>
  <c r="BG112" i="2"/>
  <c r="AY112" i="2"/>
  <c r="BM110" i="2"/>
  <c r="AN131" i="2"/>
  <c r="AN109" i="2"/>
  <c r="O472" i="35" s="1"/>
  <c r="AF109" i="2"/>
  <c r="O464" i="35" s="1"/>
  <c r="BE110" i="2"/>
  <c r="AF131" i="2"/>
  <c r="AW110" i="2"/>
  <c r="X131" i="2"/>
  <c r="AO109" i="2"/>
  <c r="O473" i="35" s="1"/>
  <c r="BN110" i="2"/>
  <c r="AO131" i="2"/>
  <c r="AG131" i="2"/>
  <c r="AG109" i="2"/>
  <c r="O465" i="35" s="1"/>
  <c r="BF110" i="2"/>
  <c r="AX110" i="2"/>
  <c r="Y131" i="2"/>
  <c r="AS131" i="2"/>
  <c r="AS109" i="2"/>
  <c r="O477" i="35" s="1"/>
  <c r="BR110" i="2"/>
  <c r="BI113" i="2"/>
  <c r="BA113" i="2"/>
  <c r="AP109" i="2"/>
  <c r="O474" i="35" s="1"/>
  <c r="BM112" i="2"/>
  <c r="BE112" i="2"/>
  <c r="AW112" i="2"/>
  <c r="AP131" i="2"/>
  <c r="BN60" i="2"/>
  <c r="AV61" i="2"/>
  <c r="BL61" i="2"/>
  <c r="BJ63" i="2"/>
  <c r="AW63" i="2"/>
  <c r="BP63" i="2"/>
  <c r="AW64" i="2"/>
  <c r="BH64" i="2"/>
  <c r="AZ66" i="2"/>
  <c r="AV66" i="2"/>
  <c r="BN69" i="2"/>
  <c r="BB69" i="2"/>
  <c r="AX61" i="2"/>
  <c r="BO69" i="2"/>
  <c r="BB60" i="2"/>
  <c r="BQ60" i="2"/>
  <c r="AZ61" i="2"/>
  <c r="BB66" i="2"/>
  <c r="BQ66" i="2"/>
  <c r="BI69" i="2"/>
  <c r="BJ69" i="2"/>
  <c r="BL69" i="2"/>
  <c r="BB61" i="2"/>
  <c r="BQ61" i="2"/>
  <c r="BJ68" i="2"/>
  <c r="BG69" i="2"/>
  <c r="BH69" i="2"/>
  <c r="BM68" i="2"/>
  <c r="BK69" i="2"/>
  <c r="BQ69" i="2"/>
  <c r="BH60" i="2"/>
  <c r="BF61" i="2"/>
  <c r="AW61" i="2"/>
  <c r="BG63" i="2"/>
  <c r="AZ63" i="2"/>
  <c r="BI67" i="2"/>
  <c r="BD69" i="2"/>
  <c r="AY69" i="2"/>
  <c r="AZ69" i="2"/>
  <c r="BH61" i="2"/>
  <c r="BA69" i="2"/>
  <c r="AV69" i="2"/>
  <c r="AW69" i="2"/>
  <c r="AV60" i="2"/>
  <c r="BL60" i="2"/>
  <c r="BJ61" i="2"/>
  <c r="AX69" i="2"/>
  <c r="BE69" i="2"/>
  <c r="BM69" i="2"/>
  <c r="BD38" i="2"/>
  <c r="AE51" i="2"/>
  <c r="AE37" i="2"/>
  <c r="BH38" i="2"/>
  <c r="AI51" i="2"/>
  <c r="AI37" i="2"/>
  <c r="V517" i="2"/>
  <c r="BB40" i="2"/>
  <c r="AQ51" i="2"/>
  <c r="BP38" i="2"/>
  <c r="AQ37" i="2"/>
  <c r="BG40" i="2"/>
  <c r="BG41" i="2"/>
  <c r="BI40" i="2"/>
  <c r="AW40" i="2"/>
  <c r="BL40" i="2"/>
  <c r="BC40" i="2"/>
  <c r="BD41" i="2"/>
  <c r="AZ40" i="2"/>
  <c r="BN40" i="2"/>
  <c r="BF40" i="2"/>
  <c r="AC51" i="2"/>
  <c r="BB38" i="2"/>
  <c r="AC37" i="2"/>
  <c r="BK39" i="2"/>
  <c r="BA39" i="2"/>
  <c r="BM38" i="2"/>
  <c r="AN51" i="2"/>
  <c r="AN37" i="2"/>
  <c r="AF51" i="2"/>
  <c r="BE38" i="2"/>
  <c r="AF37" i="2"/>
  <c r="AZ41" i="2"/>
  <c r="AP51" i="2"/>
  <c r="BO38" i="2"/>
  <c r="AP37" i="2"/>
  <c r="AH51" i="2"/>
  <c r="BG38" i="2"/>
  <c r="AH37" i="2"/>
  <c r="BR41" i="2"/>
  <c r="BJ38" i="2"/>
  <c r="AK51" i="2"/>
  <c r="AK37" i="2"/>
  <c r="AY38" i="2"/>
  <c r="Z51" i="2"/>
  <c r="AV38" i="2"/>
  <c r="W51" i="2"/>
  <c r="N38" i="2" s="1"/>
  <c r="BL38" i="2"/>
  <c r="AM51" i="2"/>
  <c r="AM37" i="2"/>
  <c r="AD51" i="2"/>
  <c r="BC38" i="2"/>
  <c r="AD37" i="2"/>
  <c r="AX40" i="2"/>
  <c r="BN41" i="2"/>
  <c r="BF41" i="2"/>
  <c r="BD40" i="2"/>
  <c r="BQ40" i="2"/>
  <c r="BI41" i="2"/>
  <c r="AW41" i="2"/>
  <c r="Y51" i="2"/>
  <c r="BK40" i="2"/>
  <c r="BA40" i="2"/>
  <c r="BK41" i="2"/>
  <c r="BA41" i="2"/>
  <c r="BM40" i="2"/>
  <c r="BE40" i="2"/>
  <c r="BB39" i="2"/>
  <c r="BP40" i="2"/>
  <c r="BH40" i="2"/>
  <c r="AZ39" i="2"/>
  <c r="BR38" i="2"/>
  <c r="AS51" i="2"/>
  <c r="AS37" i="2"/>
  <c r="BJ40" i="2"/>
  <c r="AY40" i="2"/>
  <c r="R51" i="2"/>
  <c r="S38" i="2"/>
  <c r="AA51" i="2"/>
  <c r="AZ38" i="2"/>
  <c r="AA37" i="2"/>
  <c r="BO39" i="2"/>
  <c r="BG39" i="2"/>
  <c r="BI38" i="2"/>
  <c r="AJ51" i="2"/>
  <c r="AJ37" i="2"/>
  <c r="AW38" i="2"/>
  <c r="X51" i="2"/>
  <c r="AR51" i="2"/>
  <c r="BQ38" i="2"/>
  <c r="AR37" i="2"/>
  <c r="AL51" i="2"/>
  <c r="BK38" i="2"/>
  <c r="AL37" i="2"/>
  <c r="AB51" i="2"/>
  <c r="BA38" i="2"/>
  <c r="AB37" i="2"/>
  <c r="AX41" i="2"/>
  <c r="BN38" i="2"/>
  <c r="AO51" i="2"/>
  <c r="AO37" i="2"/>
  <c r="BF38" i="2"/>
  <c r="AG51" i="2"/>
  <c r="AG37" i="2"/>
  <c r="BH12" i="2"/>
  <c r="BI11" i="2"/>
  <c r="AJ32" i="2"/>
  <c r="AJ10" i="2"/>
  <c r="AX12" i="2"/>
  <c r="BI12" i="2"/>
  <c r="BD11" i="2"/>
  <c r="AE32" i="2"/>
  <c r="AE10" i="2"/>
  <c r="BR13" i="2"/>
  <c r="BM13" i="2"/>
  <c r="BH16" i="2"/>
  <c r="AW13" i="2"/>
  <c r="BO12" i="2"/>
  <c r="AK32" i="2"/>
  <c r="BJ11" i="2"/>
  <c r="AK10" i="2"/>
  <c r="BE14" i="2"/>
  <c r="AY12" i="2"/>
  <c r="AZ13" i="2"/>
  <c r="BO13" i="2"/>
  <c r="BC13" i="2"/>
  <c r="BN13" i="2"/>
  <c r="BI16" i="2"/>
  <c r="AX13" i="2"/>
  <c r="BQ12" i="2"/>
  <c r="BL12" i="2"/>
  <c r="BG11" i="2"/>
  <c r="AH32" i="2"/>
  <c r="AH10" i="2"/>
  <c r="AV13" i="2"/>
  <c r="BO16" i="2"/>
  <c r="BD13" i="2"/>
  <c r="AY16" i="2"/>
  <c r="BN16" i="2"/>
  <c r="BM11" i="2"/>
  <c r="AN32" i="2"/>
  <c r="AN10" i="2"/>
  <c r="BB12" i="2"/>
  <c r="AW11" i="2"/>
  <c r="X32" i="2"/>
  <c r="BR12" i="2"/>
  <c r="BM12" i="2"/>
  <c r="BH11" i="2"/>
  <c r="AI32" i="2"/>
  <c r="AI10" i="2"/>
  <c r="AW12" i="2"/>
  <c r="BQ16" i="2"/>
  <c r="BL16" i="2"/>
  <c r="BA13" i="2"/>
  <c r="AO32" i="2"/>
  <c r="AO10" i="2"/>
  <c r="BN11" i="2"/>
  <c r="BI14" i="2"/>
  <c r="BC12" i="2"/>
  <c r="AX11" i="2"/>
  <c r="Y32" i="2"/>
  <c r="R32" i="2"/>
  <c r="BP13" i="2"/>
  <c r="BG13" i="2"/>
  <c r="BM16" i="2"/>
  <c r="BB13" i="2"/>
  <c r="AW16" i="2"/>
  <c r="BP12" i="2"/>
  <c r="AL32" i="2"/>
  <c r="BK11" i="2"/>
  <c r="AL10" i="2"/>
  <c r="AZ12" i="2"/>
  <c r="BH13" i="2"/>
  <c r="BC16" i="2"/>
  <c r="BN12" i="2"/>
  <c r="BF12" i="2"/>
  <c r="BA11" i="2"/>
  <c r="AB32" i="2"/>
  <c r="AB10" i="2"/>
  <c r="BQ11" i="2"/>
  <c r="AR32" i="2"/>
  <c r="AR10" i="2"/>
  <c r="AM32" i="2"/>
  <c r="BL11" i="2"/>
  <c r="AM10" i="2"/>
  <c r="BA12" i="2"/>
  <c r="BP16" i="2"/>
  <c r="BE13" i="2"/>
  <c r="AZ16" i="2"/>
  <c r="V32" i="2"/>
  <c r="BM14" i="2"/>
  <c r="BG12" i="2"/>
  <c r="AC32" i="2"/>
  <c r="BB11" i="2"/>
  <c r="AC10" i="2"/>
  <c r="AW14" i="2"/>
  <c r="BQ14" i="2"/>
  <c r="BC11" i="2"/>
  <c r="AD32" i="2"/>
  <c r="AD10" i="2"/>
  <c r="BK13" i="2"/>
  <c r="BF13" i="2"/>
  <c r="BA16" i="2"/>
  <c r="AV12" i="2"/>
  <c r="BO11" i="2"/>
  <c r="AP32" i="2"/>
  <c r="AP10" i="2"/>
  <c r="BD12" i="2"/>
  <c r="Z32" i="2"/>
  <c r="AY11" i="2"/>
  <c r="BR14" i="2"/>
  <c r="BL13" i="2"/>
  <c r="BG16" i="2"/>
  <c r="BR11" i="2"/>
  <c r="AS32" i="2"/>
  <c r="AS10" i="2"/>
  <c r="BJ12" i="2"/>
  <c r="BE11" i="2"/>
  <c r="AF32" i="2"/>
  <c r="AF10" i="2"/>
  <c r="W32" i="2"/>
  <c r="AV11" i="2"/>
  <c r="BP11" i="2"/>
  <c r="AQ32" i="2"/>
  <c r="AQ10" i="2"/>
  <c r="BE12" i="2"/>
  <c r="AA32" i="2"/>
  <c r="AZ11" i="2"/>
  <c r="AA10" i="2"/>
  <c r="AV16" i="2"/>
  <c r="BI13" i="2"/>
  <c r="BD16" i="2"/>
  <c r="BQ13" i="2"/>
  <c r="BK12" i="2"/>
  <c r="BF11" i="2"/>
  <c r="AG32" i="2"/>
  <c r="AG10" i="2"/>
  <c r="BA14" i="2"/>
  <c r="AV14" i="2"/>
  <c r="AI452" i="5"/>
  <c r="AB467" i="36" s="1"/>
  <c r="BH459" i="5"/>
  <c r="AX459" i="5"/>
  <c r="BR459" i="5"/>
  <c r="AS452" i="5"/>
  <c r="AB477" i="36" s="1"/>
  <c r="BQ459" i="5"/>
  <c r="S459" i="5"/>
  <c r="R479" i="5"/>
  <c r="BE459" i="5"/>
  <c r="BC459" i="5"/>
  <c r="BB459" i="5"/>
  <c r="AW459" i="5"/>
  <c r="AZ459" i="5"/>
  <c r="AB452" i="5"/>
  <c r="AB460" i="36" s="1"/>
  <c r="BA459" i="5"/>
  <c r="AG452" i="5"/>
  <c r="AB465" i="36" s="1"/>
  <c r="BF459" i="5"/>
  <c r="BN459" i="5"/>
  <c r="AO452" i="5"/>
  <c r="AB473" i="36" s="1"/>
  <c r="AY459" i="5"/>
  <c r="BD459" i="5"/>
  <c r="AE452" i="5"/>
  <c r="AB463" i="36" s="1"/>
  <c r="AM452" i="5"/>
  <c r="AB471" i="36" s="1"/>
  <c r="BL459" i="5"/>
  <c r="BP459" i="5"/>
  <c r="AQ452" i="5"/>
  <c r="AB475" i="36" s="1"/>
  <c r="BK459" i="5"/>
  <c r="AL452" i="5"/>
  <c r="AB470" i="36" s="1"/>
  <c r="AH452" i="5"/>
  <c r="AB466" i="36" s="1"/>
  <c r="BG459" i="5"/>
  <c r="AJ452" i="5"/>
  <c r="AB468" i="36" s="1"/>
  <c r="BI459" i="5"/>
  <c r="AP452" i="5"/>
  <c r="AB474" i="36" s="1"/>
  <c r="BO459" i="5"/>
  <c r="BJ459" i="5"/>
  <c r="AK452" i="5"/>
  <c r="AB469" i="36" s="1"/>
  <c r="BM459" i="5"/>
  <c r="AN452" i="5"/>
  <c r="AB472" i="36" s="1"/>
  <c r="H84" i="21"/>
  <c r="AB250" i="36"/>
  <c r="H70" i="21"/>
  <c r="Y379" i="35"/>
  <c r="AL397" i="35"/>
  <c r="AL441" i="35"/>
  <c r="Y423" i="35"/>
  <c r="H82" i="21"/>
  <c r="H75" i="21"/>
  <c r="H78" i="21"/>
  <c r="H79" i="21"/>
  <c r="H74" i="21"/>
  <c r="H73" i="21"/>
  <c r="H72" i="21"/>
  <c r="H85" i="21"/>
  <c r="H80" i="21"/>
  <c r="H71" i="21"/>
  <c r="BH358" i="5"/>
  <c r="AY358" i="5"/>
  <c r="BL358" i="5"/>
  <c r="AX358" i="5"/>
  <c r="BA358" i="5"/>
  <c r="BM358" i="5"/>
  <c r="BQ358" i="5"/>
  <c r="BC358" i="5"/>
  <c r="BJ358" i="5"/>
  <c r="BG358" i="5"/>
  <c r="AW358" i="5"/>
  <c r="BN358" i="5"/>
  <c r="BE358" i="5"/>
  <c r="BI354" i="5"/>
  <c r="BO354" i="5"/>
  <c r="AL398" i="35"/>
  <c r="V380" i="35"/>
  <c r="BJ362" i="5"/>
  <c r="AZ362" i="5"/>
  <c r="BL362" i="5"/>
  <c r="BQ362" i="5"/>
  <c r="BA362" i="5"/>
  <c r="BB362" i="5"/>
  <c r="BG362" i="5"/>
  <c r="BE362" i="5"/>
  <c r="AW362" i="5"/>
  <c r="AY362" i="5"/>
  <c r="BC362" i="5"/>
  <c r="BN362" i="5"/>
  <c r="S362" i="5"/>
  <c r="V380" i="5"/>
  <c r="V530" i="5" s="1"/>
  <c r="AF424" i="35"/>
  <c r="S358" i="5"/>
  <c r="BD354" i="5"/>
  <c r="BF264" i="5"/>
  <c r="BD264" i="5"/>
  <c r="BN264" i="5"/>
  <c r="BI264" i="5"/>
  <c r="G45" i="21"/>
  <c r="G97" i="21"/>
  <c r="AX260" i="5"/>
  <c r="AL399" i="35"/>
  <c r="AD381" i="35"/>
  <c r="BN268" i="5"/>
  <c r="BE268" i="5"/>
  <c r="BB268" i="5"/>
  <c r="AV268" i="5"/>
  <c r="BB264" i="5"/>
  <c r="AW264" i="5"/>
  <c r="BG264" i="5"/>
  <c r="BR264" i="5"/>
  <c r="BP264" i="5"/>
  <c r="AB425" i="35"/>
  <c r="AV264" i="5"/>
  <c r="AO281" i="5"/>
  <c r="Z167" i="36" s="1"/>
  <c r="Z194" i="36" s="1"/>
  <c r="AJ281" i="5"/>
  <c r="AJ529" i="5" s="1"/>
  <c r="BH264" i="5"/>
  <c r="AY264" i="5"/>
  <c r="BA264" i="5"/>
  <c r="BJ264" i="5"/>
  <c r="BC264" i="5"/>
  <c r="S260" i="5"/>
  <c r="AE425" i="35"/>
  <c r="BE260" i="5"/>
  <c r="BB260" i="5"/>
  <c r="BL260" i="5"/>
  <c r="V281" i="5"/>
  <c r="Z230" i="36" s="1"/>
  <c r="V425" i="35"/>
  <c r="BK256" i="5"/>
  <c r="BO256" i="5"/>
  <c r="H77" i="21"/>
  <c r="H83" i="21"/>
  <c r="H76" i="21"/>
  <c r="H81" i="21"/>
  <c r="G89" i="21"/>
  <c r="Y246" i="36"/>
  <c r="AB382" i="35"/>
  <c r="AL400" i="35"/>
  <c r="AB426" i="35"/>
  <c r="G101" i="21"/>
  <c r="G90" i="21"/>
  <c r="X248" i="36"/>
  <c r="X244" i="36"/>
  <c r="X249" i="36"/>
  <c r="X245" i="36"/>
  <c r="X243" i="36"/>
  <c r="X253" i="36"/>
  <c r="X240" i="36"/>
  <c r="G100" i="21"/>
  <c r="X246" i="36"/>
  <c r="X239" i="36"/>
  <c r="X250" i="36"/>
  <c r="X242" i="36"/>
  <c r="X247" i="36"/>
  <c r="BD60" i="5"/>
  <c r="AE56" i="5"/>
  <c r="X463" i="36" s="1"/>
  <c r="BQ60" i="5"/>
  <c r="S60" i="5"/>
  <c r="Y83" i="5"/>
  <c r="AZ60" i="5"/>
  <c r="AE83" i="5"/>
  <c r="BH60" i="5"/>
  <c r="AI56" i="5"/>
  <c r="X467" i="36" s="1"/>
  <c r="AY60" i="5"/>
  <c r="AL401" i="35"/>
  <c r="X241" i="36"/>
  <c r="BB466" i="2"/>
  <c r="BR466" i="2"/>
  <c r="AB244" i="35"/>
  <c r="AB250" i="35"/>
  <c r="AB246" i="35"/>
  <c r="AV466" i="2"/>
  <c r="BO466" i="2"/>
  <c r="AB253" i="35"/>
  <c r="AB247" i="35"/>
  <c r="AB240" i="35"/>
  <c r="BN466" i="2"/>
  <c r="AX466" i="2"/>
  <c r="Q531" i="2"/>
  <c r="Q503" i="2"/>
  <c r="M228" i="35" s="1"/>
  <c r="AB238" i="35"/>
  <c r="BG466" i="2"/>
  <c r="BI466" i="2"/>
  <c r="AB249" i="35"/>
  <c r="AW466" i="2"/>
  <c r="BD466" i="2"/>
  <c r="BH466" i="2"/>
  <c r="AY466" i="2"/>
  <c r="AB239" i="35"/>
  <c r="AB242" i="35"/>
  <c r="AB251" i="35"/>
  <c r="S466" i="2"/>
  <c r="BC466" i="2"/>
  <c r="BP466" i="2"/>
  <c r="BD465" i="2"/>
  <c r="AW465" i="2"/>
  <c r="AV465" i="2"/>
  <c r="BC457" i="2"/>
  <c r="BC456" i="2"/>
  <c r="BG456" i="2"/>
  <c r="BK456" i="2"/>
  <c r="BO456" i="2"/>
  <c r="AZ454" i="2"/>
  <c r="AY454" i="2"/>
  <c r="BD454" i="2"/>
  <c r="BE454" i="2"/>
  <c r="BH454" i="2"/>
  <c r="AX454" i="2"/>
  <c r="BM454" i="2"/>
  <c r="BP454" i="2"/>
  <c r="BR454" i="2"/>
  <c r="BC454" i="2"/>
  <c r="BN454" i="2"/>
  <c r="BC455" i="2"/>
  <c r="BD455" i="2"/>
  <c r="BH455" i="2"/>
  <c r="BB455" i="2"/>
  <c r="BB454" i="2"/>
  <c r="BH463" i="2"/>
  <c r="BB463" i="2"/>
  <c r="BQ463" i="2"/>
  <c r="BL463" i="2"/>
  <c r="BF463" i="2"/>
  <c r="BR463" i="2"/>
  <c r="BP463" i="2"/>
  <c r="BJ463" i="2"/>
  <c r="AZ463" i="2"/>
  <c r="BA463" i="2"/>
  <c r="BN463" i="2"/>
  <c r="S463" i="2"/>
  <c r="BG463" i="2"/>
  <c r="BE463" i="2"/>
  <c r="AV463" i="2"/>
  <c r="BK463" i="2"/>
  <c r="BI463" i="2"/>
  <c r="BO463" i="2"/>
  <c r="BM463" i="2"/>
  <c r="AX463" i="2"/>
  <c r="S462" i="2"/>
  <c r="S461" i="2"/>
  <c r="BC460" i="2"/>
  <c r="BN460" i="2"/>
  <c r="BG460" i="2"/>
  <c r="AW460" i="2"/>
  <c r="S460" i="2"/>
  <c r="BF460" i="2"/>
  <c r="BJ460" i="2"/>
  <c r="BR460" i="2"/>
  <c r="S459" i="2"/>
  <c r="S458" i="2"/>
  <c r="S457" i="2"/>
  <c r="S456" i="2"/>
  <c r="S455" i="2"/>
  <c r="BG455" i="2"/>
  <c r="BK455" i="2"/>
  <c r="BO455" i="2"/>
  <c r="S454" i="2"/>
  <c r="AB317" i="35"/>
  <c r="AW453" i="2"/>
  <c r="S369" i="2"/>
  <c r="AW369" i="2"/>
  <c r="BQ369" i="2"/>
  <c r="BG369" i="2"/>
  <c r="BF369" i="2"/>
  <c r="BL369" i="2"/>
  <c r="BE369" i="2"/>
  <c r="BB369" i="2"/>
  <c r="BO369" i="2"/>
  <c r="BP369" i="2"/>
  <c r="BR369" i="2"/>
  <c r="BJ369" i="2"/>
  <c r="BC369" i="2"/>
  <c r="BN369" i="2"/>
  <c r="BI369" i="2"/>
  <c r="AX369" i="2"/>
  <c r="BA369" i="2"/>
  <c r="BD369" i="2"/>
  <c r="AZ369" i="2"/>
  <c r="AV369" i="2"/>
  <c r="BH369" i="2"/>
  <c r="AY369" i="2"/>
  <c r="BM369" i="2"/>
  <c r="AV368" i="2"/>
  <c r="BK368" i="2"/>
  <c r="BC368" i="2"/>
  <c r="AY368" i="2"/>
  <c r="BP368" i="2"/>
  <c r="S368" i="2"/>
  <c r="BO368" i="2"/>
  <c r="BJ368" i="2"/>
  <c r="BL368" i="2"/>
  <c r="BF368" i="2"/>
  <c r="AZ368" i="2"/>
  <c r="BQ366" i="2"/>
  <c r="BJ366" i="2"/>
  <c r="BN366" i="2"/>
  <c r="BE366" i="2"/>
  <c r="BM366" i="2"/>
  <c r="BD366" i="2"/>
  <c r="BL366" i="2"/>
  <c r="BH366" i="2"/>
  <c r="BO366" i="2"/>
  <c r="BF366" i="2"/>
  <c r="S366" i="2"/>
  <c r="BK366" i="2"/>
  <c r="BC366" i="2"/>
  <c r="AY366" i="2"/>
  <c r="AV366" i="2"/>
  <c r="BP366" i="2"/>
  <c r="BR366" i="2"/>
  <c r="BE364" i="2"/>
  <c r="BM364" i="2"/>
  <c r="BF364" i="2"/>
  <c r="BN364" i="2"/>
  <c r="BL364" i="2"/>
  <c r="BA364" i="2"/>
  <c r="BG364" i="2"/>
  <c r="BO364" i="2"/>
  <c r="AV364" i="2"/>
  <c r="BH364" i="2"/>
  <c r="BP364" i="2"/>
  <c r="BD364" i="2"/>
  <c r="BC364" i="2"/>
  <c r="BI364" i="2"/>
  <c r="BQ364" i="2"/>
  <c r="AX364" i="2"/>
  <c r="BJ364" i="2"/>
  <c r="BR364" i="2"/>
  <c r="BK364" i="2"/>
  <c r="BR362" i="2"/>
  <c r="AW362" i="2"/>
  <c r="BF362" i="2"/>
  <c r="BG362" i="2"/>
  <c r="AZ362" i="2"/>
  <c r="BR361" i="2"/>
  <c r="S365" i="2"/>
  <c r="BE365" i="2"/>
  <c r="BM365" i="2"/>
  <c r="BF365" i="2"/>
  <c r="BN365" i="2"/>
  <c r="BG365" i="2"/>
  <c r="BO365" i="2"/>
  <c r="S364" i="2"/>
  <c r="AZ363" i="2"/>
  <c r="BB363" i="2"/>
  <c r="S363" i="2"/>
  <c r="S362" i="2"/>
  <c r="BJ361" i="2"/>
  <c r="S361" i="2"/>
  <c r="BG361" i="2"/>
  <c r="BH361" i="2"/>
  <c r="BP361" i="2"/>
  <c r="AX360" i="2"/>
  <c r="BJ360" i="2"/>
  <c r="S360" i="2"/>
  <c r="BD360" i="2"/>
  <c r="AW360" i="2"/>
  <c r="BE360" i="2"/>
  <c r="BB360" i="2"/>
  <c r="BF360" i="2"/>
  <c r="BA360" i="2"/>
  <c r="BG360" i="2"/>
  <c r="AV360" i="2"/>
  <c r="BH360" i="2"/>
  <c r="BC360" i="2"/>
  <c r="AY360" i="2"/>
  <c r="BI360" i="2"/>
  <c r="S359" i="2"/>
  <c r="AZ358" i="2"/>
  <c r="AX358" i="2"/>
  <c r="BR358" i="2"/>
  <c r="S358" i="2"/>
  <c r="BB358" i="2"/>
  <c r="AW358" i="2"/>
  <c r="BA358" i="2"/>
  <c r="AV358" i="2"/>
  <c r="BG357" i="2"/>
  <c r="BO357" i="2"/>
  <c r="BH357" i="2"/>
  <c r="BP357" i="2"/>
  <c r="BJ357" i="2"/>
  <c r="S357" i="2"/>
  <c r="BL357" i="2"/>
  <c r="BE357" i="2"/>
  <c r="BM357" i="2"/>
  <c r="BF357" i="2"/>
  <c r="BN357" i="2"/>
  <c r="BJ356" i="2"/>
  <c r="BR356" i="2"/>
  <c r="S356" i="2"/>
  <c r="BD356" i="2"/>
  <c r="BL356" i="2"/>
  <c r="BE356" i="2"/>
  <c r="BA356" i="2"/>
  <c r="BF356" i="2"/>
  <c r="AV356" i="2"/>
  <c r="BG356" i="2"/>
  <c r="BO356" i="2"/>
  <c r="BH356" i="2"/>
  <c r="BP356" i="2"/>
  <c r="AX356" i="2"/>
  <c r="BI356" i="2"/>
  <c r="BQ356" i="2"/>
  <c r="AW355" i="2"/>
  <c r="AY354" i="2"/>
  <c r="BK279" i="2"/>
  <c r="BE279" i="2"/>
  <c r="BB279" i="2"/>
  <c r="AY279" i="2"/>
  <c r="S279" i="2"/>
  <c r="BO279" i="2"/>
  <c r="BQ279" i="2"/>
  <c r="BL279" i="2"/>
  <c r="AV279" i="2"/>
  <c r="BH279" i="2"/>
  <c r="S278" i="2"/>
  <c r="BC278" i="2"/>
  <c r="BE278" i="2"/>
  <c r="BD278" i="2"/>
  <c r="AW279" i="2"/>
  <c r="BF279" i="2"/>
  <c r="BC279" i="2"/>
  <c r="BP279" i="2"/>
  <c r="BM279" i="2"/>
  <c r="BI279" i="2"/>
  <c r="AZ279" i="2"/>
  <c r="BR279" i="2"/>
  <c r="BF278" i="2"/>
  <c r="BJ277" i="2"/>
  <c r="AW277" i="2"/>
  <c r="AV277" i="2"/>
  <c r="S277" i="2"/>
  <c r="BI277" i="2"/>
  <c r="BH277" i="2"/>
  <c r="BG276" i="2"/>
  <c r="BF276" i="2"/>
  <c r="BL276" i="2"/>
  <c r="BC276" i="2"/>
  <c r="BB276" i="2"/>
  <c r="BI276" i="2"/>
  <c r="BQ276" i="2"/>
  <c r="S276" i="2"/>
  <c r="BA276" i="2"/>
  <c r="BH276" i="2"/>
  <c r="BO276" i="2"/>
  <c r="AV276" i="2"/>
  <c r="BD276" i="2"/>
  <c r="AW276" i="2"/>
  <c r="BM276" i="2"/>
  <c r="AY276" i="2"/>
  <c r="BN276" i="2"/>
  <c r="BE276" i="2"/>
  <c r="AX276" i="2"/>
  <c r="BK276" i="2"/>
  <c r="BJ276" i="2"/>
  <c r="AZ276" i="2"/>
  <c r="BR276" i="2"/>
  <c r="S275" i="2"/>
  <c r="BB275" i="2"/>
  <c r="BK275" i="2"/>
  <c r="BJ275" i="2"/>
  <c r="AX275" i="2"/>
  <c r="AZ275" i="2"/>
  <c r="BE275" i="2"/>
  <c r="BO275" i="2"/>
  <c r="AW275" i="2"/>
  <c r="AV275" i="2"/>
  <c r="BD275" i="2"/>
  <c r="AY275" i="2"/>
  <c r="BA275" i="2"/>
  <c r="BQ275" i="2"/>
  <c r="Z238" i="35"/>
  <c r="AW262" i="2"/>
  <c r="AZ262" i="2"/>
  <c r="BG262" i="2"/>
  <c r="Z246" i="35"/>
  <c r="AV274" i="2"/>
  <c r="BF274" i="2"/>
  <c r="S274" i="2"/>
  <c r="BN274" i="2"/>
  <c r="Z245" i="35"/>
  <c r="Z252" i="35"/>
  <c r="Z244" i="35"/>
  <c r="BR274" i="2"/>
  <c r="BD274" i="2"/>
  <c r="Z251" i="35"/>
  <c r="Z243" i="35"/>
  <c r="Z253" i="35"/>
  <c r="BQ274" i="2"/>
  <c r="BB274" i="2"/>
  <c r="Z250" i="35"/>
  <c r="Z242" i="35"/>
  <c r="BL274" i="2"/>
  <c r="AY274" i="2"/>
  <c r="Z249" i="35"/>
  <c r="Z241" i="35"/>
  <c r="AZ274" i="2"/>
  <c r="AW274" i="2"/>
  <c r="T399" i="35"/>
  <c r="Z248" i="35"/>
  <c r="Z240" i="35"/>
  <c r="BO274" i="2"/>
  <c r="BJ274" i="2"/>
  <c r="BP274" i="2"/>
  <c r="S273" i="2"/>
  <c r="BQ273" i="2"/>
  <c r="AV272" i="2"/>
  <c r="AX272" i="2"/>
  <c r="BN272" i="2"/>
  <c r="BF272" i="2"/>
  <c r="BH272" i="2"/>
  <c r="BI272" i="2"/>
  <c r="BR272" i="2"/>
  <c r="BB272" i="2"/>
  <c r="AY272" i="2"/>
  <c r="BL272" i="2"/>
  <c r="BP272" i="2"/>
  <c r="AW272" i="2"/>
  <c r="BJ272" i="2"/>
  <c r="S272" i="2"/>
  <c r="BM272" i="2"/>
  <c r="BD272" i="2"/>
  <c r="BK272" i="2"/>
  <c r="BG272" i="2"/>
  <c r="BQ272" i="2"/>
  <c r="BO272" i="2"/>
  <c r="S271" i="2"/>
  <c r="BP271" i="2"/>
  <c r="BJ271" i="2"/>
  <c r="BM271" i="2"/>
  <c r="AV271" i="2"/>
  <c r="BI271" i="2"/>
  <c r="BK271" i="2"/>
  <c r="BL271" i="2"/>
  <c r="BH271" i="2"/>
  <c r="BC271" i="2"/>
  <c r="BG271" i="2"/>
  <c r="BR271" i="2"/>
  <c r="BB271" i="2"/>
  <c r="BF271" i="2"/>
  <c r="BN271" i="2"/>
  <c r="AX271" i="2"/>
  <c r="BA271" i="2"/>
  <c r="BE271" i="2"/>
  <c r="BO271" i="2"/>
  <c r="AW271" i="2"/>
  <c r="AZ271" i="2"/>
  <c r="BD271" i="2"/>
  <c r="AY271" i="2"/>
  <c r="BQ270" i="2"/>
  <c r="BO270" i="2"/>
  <c r="BN270" i="2"/>
  <c r="BM270" i="2"/>
  <c r="BL270" i="2"/>
  <c r="BG270" i="2"/>
  <c r="BH270" i="2"/>
  <c r="AX270" i="2"/>
  <c r="AZ270" i="2"/>
  <c r="BP270" i="2"/>
  <c r="S270" i="2"/>
  <c r="BF270" i="2"/>
  <c r="BR268" i="2"/>
  <c r="BA267" i="2"/>
  <c r="BI267" i="2"/>
  <c r="BL267" i="2"/>
  <c r="AX265" i="2"/>
  <c r="BR265" i="2"/>
  <c r="BP259" i="2"/>
  <c r="BQ259" i="2"/>
  <c r="BR259" i="2"/>
  <c r="BM269" i="2"/>
  <c r="BQ269" i="2"/>
  <c r="S269" i="2"/>
  <c r="BL268" i="2"/>
  <c r="BM268" i="2"/>
  <c r="AY268" i="2"/>
  <c r="BO268" i="2"/>
  <c r="BP268" i="2"/>
  <c r="BI268" i="2"/>
  <c r="BQ268" i="2"/>
  <c r="S268" i="2"/>
  <c r="BK268" i="2"/>
  <c r="S267" i="2"/>
  <c r="S266" i="2"/>
  <c r="AV265" i="2"/>
  <c r="BI265" i="2"/>
  <c r="S265" i="2"/>
  <c r="BL265" i="2"/>
  <c r="S264" i="2"/>
  <c r="S263" i="2"/>
  <c r="BK263" i="2"/>
  <c r="BR263" i="2"/>
  <c r="BM263" i="2"/>
  <c r="AV263" i="2"/>
  <c r="BI263" i="2"/>
  <c r="BQ263" i="2"/>
  <c r="BN262" i="2"/>
  <c r="BB262" i="2"/>
  <c r="BO262" i="2"/>
  <c r="BD262" i="2"/>
  <c r="BP262" i="2"/>
  <c r="S262" i="2"/>
  <c r="BK262" i="2"/>
  <c r="BL262" i="2"/>
  <c r="BE262" i="2"/>
  <c r="BM262" i="2"/>
  <c r="S261" i="2"/>
  <c r="AY260" i="2"/>
  <c r="BI260" i="2"/>
  <c r="BQ260" i="2"/>
  <c r="S260" i="2"/>
  <c r="BK260" i="2"/>
  <c r="BM260" i="2"/>
  <c r="S259" i="2"/>
  <c r="S258" i="2"/>
  <c r="AY258" i="2"/>
  <c r="BA258" i="2"/>
  <c r="AV258" i="2"/>
  <c r="BL258" i="2"/>
  <c r="BF258" i="2"/>
  <c r="AX258" i="2"/>
  <c r="BC258" i="2"/>
  <c r="AW258" i="2"/>
  <c r="AZ258" i="2"/>
  <c r="BE258" i="2"/>
  <c r="BH258" i="2"/>
  <c r="BI258" i="2"/>
  <c r="S257" i="2"/>
  <c r="X281" i="2"/>
  <c r="S256" i="2"/>
  <c r="BL256" i="2"/>
  <c r="AW255" i="2"/>
  <c r="AW174" i="2"/>
  <c r="BB174" i="2"/>
  <c r="BP174" i="2"/>
  <c r="BN174" i="2"/>
  <c r="BC174" i="2"/>
  <c r="BF174" i="2"/>
  <c r="AY174" i="2"/>
  <c r="AV174" i="2"/>
  <c r="BA174" i="2"/>
  <c r="BR174" i="2"/>
  <c r="BO174" i="2"/>
  <c r="S174" i="2"/>
  <c r="BJ174" i="2"/>
  <c r="BI174" i="2"/>
  <c r="BG174" i="2"/>
  <c r="BE174" i="2"/>
  <c r="BD174" i="2"/>
  <c r="BK174" i="2"/>
  <c r="AZ174" i="2"/>
  <c r="AX174" i="2"/>
  <c r="BH173" i="2"/>
  <c r="AZ173" i="2"/>
  <c r="BM173" i="2"/>
  <c r="S173" i="2"/>
  <c r="BE173" i="2"/>
  <c r="AV173" i="2"/>
  <c r="BO173" i="2"/>
  <c r="AW173" i="2"/>
  <c r="BP173" i="2"/>
  <c r="AX173" i="2"/>
  <c r="BK173" i="2"/>
  <c r="BQ173" i="2"/>
  <c r="S172" i="2"/>
  <c r="BA172" i="2"/>
  <c r="BO172" i="2"/>
  <c r="BN172" i="2"/>
  <c r="BE172" i="2"/>
  <c r="AV172" i="2"/>
  <c r="AX172" i="2"/>
  <c r="BJ172" i="2"/>
  <c r="BC172" i="2"/>
  <c r="BQ172" i="2"/>
  <c r="Y248" i="35"/>
  <c r="Y239" i="35"/>
  <c r="BF171" i="2"/>
  <c r="BM171" i="2"/>
  <c r="BJ171" i="2"/>
  <c r="AX171" i="2"/>
  <c r="BA171" i="2"/>
  <c r="BQ171" i="2"/>
  <c r="BE171" i="2"/>
  <c r="BN171" i="2"/>
  <c r="AZ171" i="2"/>
  <c r="BB171" i="2"/>
  <c r="AV171" i="2"/>
  <c r="BG171" i="2"/>
  <c r="BH171" i="2"/>
  <c r="BK171" i="2"/>
  <c r="BD171" i="2"/>
  <c r="BO171" i="2"/>
  <c r="BR171" i="2"/>
  <c r="BL171" i="2"/>
  <c r="AY171" i="2"/>
  <c r="BP171" i="2"/>
  <c r="BI171" i="2"/>
  <c r="AW171" i="2"/>
  <c r="BC171" i="2"/>
  <c r="AW170" i="2"/>
  <c r="BI170" i="2"/>
  <c r="S170" i="2"/>
  <c r="AX170" i="2"/>
  <c r="BR170" i="2"/>
  <c r="BQ170" i="2"/>
  <c r="BL170" i="2"/>
  <c r="BB170" i="2"/>
  <c r="BE170" i="2"/>
  <c r="BJ170" i="2"/>
  <c r="BA170" i="2"/>
  <c r="BC170" i="2"/>
  <c r="AX169" i="2"/>
  <c r="BC168" i="2"/>
  <c r="BD168" i="2"/>
  <c r="BF167" i="2"/>
  <c r="V182" i="2"/>
  <c r="BA169" i="2"/>
  <c r="Y247" i="35"/>
  <c r="Y250" i="35"/>
  <c r="Y245" i="35"/>
  <c r="Y238" i="35"/>
  <c r="Y252" i="35"/>
  <c r="Y243" i="35"/>
  <c r="T400" i="35"/>
  <c r="Y251" i="35"/>
  <c r="Y253" i="35"/>
  <c r="Y240" i="35"/>
  <c r="Y249" i="35"/>
  <c r="Y244" i="35"/>
  <c r="BR164" i="2"/>
  <c r="D382" i="35"/>
  <c r="Y241" i="35"/>
  <c r="Y242" i="35"/>
  <c r="Y246" i="35"/>
  <c r="AY160" i="2"/>
  <c r="BC160" i="2"/>
  <c r="BD160" i="2"/>
  <c r="BH160" i="2"/>
  <c r="AY157" i="2"/>
  <c r="S169" i="2"/>
  <c r="BP168" i="2"/>
  <c r="BR168" i="2"/>
  <c r="S168" i="2"/>
  <c r="S167" i="2"/>
  <c r="BP164" i="2"/>
  <c r="BJ164" i="2"/>
  <c r="S164" i="2"/>
  <c r="S165" i="2"/>
  <c r="S166" i="2"/>
  <c r="BM166" i="2"/>
  <c r="AV166" i="2"/>
  <c r="AW163" i="2"/>
  <c r="BD163" i="2"/>
  <c r="BH163" i="2"/>
  <c r="BL163" i="2"/>
  <c r="BB163" i="2"/>
  <c r="BP163" i="2"/>
  <c r="S163" i="2"/>
  <c r="BI163" i="2"/>
  <c r="BM163" i="2"/>
  <c r="S162" i="2"/>
  <c r="AB182" i="2"/>
  <c r="AB184" i="2" s="1"/>
  <c r="S160" i="2"/>
  <c r="BL160" i="2"/>
  <c r="AZ159" i="2"/>
  <c r="BD159" i="2"/>
  <c r="BP159" i="2"/>
  <c r="BE159" i="2"/>
  <c r="BR159" i="2"/>
  <c r="BJ159" i="2"/>
  <c r="S159" i="2"/>
  <c r="BC159" i="2"/>
  <c r="AY159" i="2"/>
  <c r="BB158" i="2"/>
  <c r="BD158" i="2"/>
  <c r="AV158" i="2"/>
  <c r="BF158" i="2"/>
  <c r="BJ158" i="2"/>
  <c r="BN158" i="2"/>
  <c r="AZ158" i="2"/>
  <c r="BE158" i="2"/>
  <c r="BR158" i="2"/>
  <c r="S158" i="2"/>
  <c r="BM158" i="2"/>
  <c r="BC158" i="2"/>
  <c r="S157" i="2"/>
  <c r="AX156" i="2"/>
  <c r="S161" i="2"/>
  <c r="AW161" i="2"/>
  <c r="BA161" i="2"/>
  <c r="AI122" i="35"/>
  <c r="D122" i="35"/>
  <c r="M122" i="35" s="1"/>
  <c r="AW68" i="2"/>
  <c r="BR68" i="2"/>
  <c r="BF68" i="2"/>
  <c r="AV68" i="2"/>
  <c r="BP68" i="2"/>
  <c r="AY68" i="2"/>
  <c r="BE68" i="2"/>
  <c r="BB68" i="2"/>
  <c r="BQ68" i="2"/>
  <c r="AX68" i="2"/>
  <c r="BO68" i="2"/>
  <c r="S68" i="2"/>
  <c r="BK68" i="2"/>
  <c r="AZ68" i="2"/>
  <c r="BN68" i="2"/>
  <c r="BI68" i="2"/>
  <c r="BH68" i="2"/>
  <c r="BG68" i="2"/>
  <c r="BD68" i="2"/>
  <c r="BA68" i="2"/>
  <c r="BL68" i="2"/>
  <c r="BC67" i="2"/>
  <c r="AZ67" i="2"/>
  <c r="BG67" i="2"/>
  <c r="AV67" i="2"/>
  <c r="AY67" i="2"/>
  <c r="BE67" i="2"/>
  <c r="AX67" i="2"/>
  <c r="X238" i="35"/>
  <c r="BB67" i="2"/>
  <c r="AW67" i="2"/>
  <c r="BR67" i="2"/>
  <c r="BM67" i="2"/>
  <c r="S67" i="2"/>
  <c r="BH67" i="2"/>
  <c r="BK67" i="2"/>
  <c r="BO67" i="2"/>
  <c r="BF67" i="2"/>
  <c r="BD67" i="2"/>
  <c r="BJ67" i="2"/>
  <c r="BA67" i="2"/>
  <c r="BP67" i="2"/>
  <c r="X242" i="35"/>
  <c r="X252" i="35"/>
  <c r="S66" i="2"/>
  <c r="X241" i="35"/>
  <c r="X250" i="35"/>
  <c r="D383" i="35"/>
  <c r="X253" i="35"/>
  <c r="X251" i="35"/>
  <c r="X247" i="35"/>
  <c r="BO66" i="2"/>
  <c r="AY66" i="2"/>
  <c r="BM66" i="2"/>
  <c r="X248" i="35"/>
  <c r="X249" i="35"/>
  <c r="X243" i="35"/>
  <c r="BA66" i="2"/>
  <c r="AX66" i="2"/>
  <c r="BI66" i="2"/>
  <c r="T401" i="35"/>
  <c r="BR66" i="2"/>
  <c r="BL66" i="2"/>
  <c r="BC66" i="2"/>
  <c r="X239" i="35"/>
  <c r="BD66" i="2"/>
  <c r="BN66" i="2"/>
  <c r="BH66" i="2"/>
  <c r="BP66" i="2"/>
  <c r="BJ66" i="2"/>
  <c r="X240" i="35"/>
  <c r="X244" i="35"/>
  <c r="BK66" i="2"/>
  <c r="BE66" i="2"/>
  <c r="BF66" i="2"/>
  <c r="BG66" i="2"/>
  <c r="BH65" i="2"/>
  <c r="BJ65" i="2"/>
  <c r="BL65" i="2"/>
  <c r="BB65" i="2"/>
  <c r="BI65" i="2"/>
  <c r="BE65" i="2"/>
  <c r="AV65" i="2"/>
  <c r="BD65" i="2"/>
  <c r="AX65" i="2"/>
  <c r="BC65" i="2"/>
  <c r="BK65" i="2"/>
  <c r="AW65" i="2"/>
  <c r="BA65" i="2"/>
  <c r="AZ65" i="2"/>
  <c r="AY65" i="2"/>
  <c r="BF65" i="2"/>
  <c r="S65" i="2"/>
  <c r="BO65" i="2"/>
  <c r="BQ65" i="2"/>
  <c r="BM65" i="2"/>
  <c r="BN65" i="2"/>
  <c r="BP65" i="2"/>
  <c r="BR65" i="2"/>
  <c r="BG65" i="2"/>
  <c r="S64" i="2"/>
  <c r="BG64" i="2"/>
  <c r="BR64" i="2"/>
  <c r="BD64" i="2"/>
  <c r="AX64" i="2"/>
  <c r="BP64" i="2"/>
  <c r="BC64" i="2"/>
  <c r="AV64" i="2"/>
  <c r="BO64" i="2"/>
  <c r="BF64" i="2"/>
  <c r="BJ64" i="2"/>
  <c r="BM64" i="2"/>
  <c r="BE64" i="2"/>
  <c r="BI64" i="2"/>
  <c r="BL64" i="2"/>
  <c r="BN64" i="2"/>
  <c r="BB64" i="2"/>
  <c r="BK64" i="2"/>
  <c r="AZ64" i="2"/>
  <c r="AY64" i="2"/>
  <c r="BA64" i="2"/>
  <c r="BQ64" i="2"/>
  <c r="S63" i="2"/>
  <c r="X246" i="35"/>
  <c r="BE63" i="2"/>
  <c r="BO63" i="2"/>
  <c r="BN63" i="2"/>
  <c r="BQ62" i="2"/>
  <c r="S62" i="2"/>
  <c r="AY62" i="2"/>
  <c r="BA62" i="2"/>
  <c r="BN62" i="2"/>
  <c r="BP62" i="2"/>
  <c r="S61" i="2"/>
  <c r="S60" i="2"/>
  <c r="S59" i="2"/>
  <c r="S58" i="2"/>
  <c r="AL380" i="5"/>
  <c r="AL353" i="5"/>
  <c r="AA470" i="36" s="1"/>
  <c r="BK354" i="5"/>
  <c r="AM353" i="5"/>
  <c r="AA471" i="36" s="1"/>
  <c r="AM380" i="5"/>
  <c r="BL354" i="5"/>
  <c r="BQ354" i="5"/>
  <c r="AR353" i="5"/>
  <c r="AA476" i="36" s="1"/>
  <c r="AR380" i="5"/>
  <c r="AZ358" i="5"/>
  <c r="AV358" i="5"/>
  <c r="Y380" i="5"/>
  <c r="AX354" i="5"/>
  <c r="AO353" i="5"/>
  <c r="AA473" i="36" s="1"/>
  <c r="BN354" i="5"/>
  <c r="AO380" i="5"/>
  <c r="R380" i="5"/>
  <c r="S354" i="5"/>
  <c r="BP362" i="5"/>
  <c r="BI362" i="5"/>
  <c r="BO362" i="5"/>
  <c r="AK380" i="5"/>
  <c r="AK353" i="5"/>
  <c r="AA469" i="36" s="1"/>
  <c r="BJ354" i="5"/>
  <c r="AJ353" i="5"/>
  <c r="AA468" i="36" s="1"/>
  <c r="BI358" i="5"/>
  <c r="AA228" i="36"/>
  <c r="AA243" i="36"/>
  <c r="AA242" i="36"/>
  <c r="AA245" i="36"/>
  <c r="AA251" i="36"/>
  <c r="AA253" i="36"/>
  <c r="AA238" i="36"/>
  <c r="AA244" i="36"/>
  <c r="AA252" i="36"/>
  <c r="AA248" i="36"/>
  <c r="Q530" i="5"/>
  <c r="AA249" i="36"/>
  <c r="AA239" i="36"/>
  <c r="AA246" i="36"/>
  <c r="AA247" i="36"/>
  <c r="AA250" i="36"/>
  <c r="AA241" i="36"/>
  <c r="AA240" i="36"/>
  <c r="Q404" i="5"/>
  <c r="L228" i="36" s="1"/>
  <c r="AW354" i="5"/>
  <c r="X380" i="5"/>
  <c r="BR362" i="5"/>
  <c r="AF380" i="5"/>
  <c r="AF353" i="5"/>
  <c r="AA464" i="36" s="1"/>
  <c r="BE354" i="5"/>
  <c r="BD358" i="5"/>
  <c r="AE353" i="5"/>
  <c r="AA463" i="36" s="1"/>
  <c r="BC354" i="5"/>
  <c r="AD353" i="5"/>
  <c r="AA462" i="36" s="1"/>
  <c r="AD380" i="5"/>
  <c r="BM354" i="5"/>
  <c r="AN353" i="5"/>
  <c r="AA472" i="36" s="1"/>
  <c r="AN380" i="5"/>
  <c r="BK358" i="5"/>
  <c r="AV354" i="5"/>
  <c r="AC353" i="5"/>
  <c r="AA461" i="36" s="1"/>
  <c r="AC380" i="5"/>
  <c r="BB354" i="5"/>
  <c r="BR354" i="5"/>
  <c r="BM362" i="5"/>
  <c r="AJ380" i="5"/>
  <c r="AB380" i="5"/>
  <c r="BA354" i="5"/>
  <c r="AB353" i="5"/>
  <c r="AA460" i="36" s="1"/>
  <c r="AG380" i="5"/>
  <c r="BF354" i="5"/>
  <c r="AG353" i="5"/>
  <c r="AA465" i="36" s="1"/>
  <c r="BR358" i="5"/>
  <c r="AS353" i="5"/>
  <c r="AA477" i="36" s="1"/>
  <c r="BH354" i="5"/>
  <c r="AI353" i="5"/>
  <c r="AA467" i="36" s="1"/>
  <c r="AI380" i="5"/>
  <c r="BD362" i="5"/>
  <c r="R564" i="5"/>
  <c r="AQ353" i="5"/>
  <c r="AA475" i="36" s="1"/>
  <c r="BP358" i="5"/>
  <c r="BH362" i="5"/>
  <c r="AV362" i="5"/>
  <c r="BB358" i="5"/>
  <c r="AY354" i="5"/>
  <c r="Z380" i="5"/>
  <c r="AZ354" i="5"/>
  <c r="AA380" i="5"/>
  <c r="AA353" i="5"/>
  <c r="AA459" i="36" s="1"/>
  <c r="BO358" i="5"/>
  <c r="AP353" i="5"/>
  <c r="AA474" i="36" s="1"/>
  <c r="BG354" i="5"/>
  <c r="AH353" i="5"/>
  <c r="AA466" i="36" s="1"/>
  <c r="AH380" i="5"/>
  <c r="BF358" i="5"/>
  <c r="AQ380" i="5"/>
  <c r="AS380" i="5"/>
  <c r="BH256" i="5"/>
  <c r="AI281" i="5"/>
  <c r="AI254" i="5"/>
  <c r="Z467" i="36" s="1"/>
  <c r="AX256" i="5"/>
  <c r="AV256" i="5"/>
  <c r="BG260" i="5"/>
  <c r="BD260" i="5"/>
  <c r="AV260" i="5"/>
  <c r="BG268" i="5"/>
  <c r="BD268" i="5"/>
  <c r="BN260" i="5"/>
  <c r="AW256" i="5"/>
  <c r="X281" i="5"/>
  <c r="BA256" i="5"/>
  <c r="AB254" i="5"/>
  <c r="Z460" i="36" s="1"/>
  <c r="S264" i="5"/>
  <c r="BQ264" i="5"/>
  <c r="BL264" i="5"/>
  <c r="BE264" i="5"/>
  <c r="BM264" i="5"/>
  <c r="BI260" i="5"/>
  <c r="BR260" i="5"/>
  <c r="W281" i="5"/>
  <c r="N255" i="5" s="1"/>
  <c r="BI268" i="5"/>
  <c r="BR268" i="5"/>
  <c r="AQ281" i="5"/>
  <c r="BP256" i="5"/>
  <c r="AQ254" i="5"/>
  <c r="Z475" i="36" s="1"/>
  <c r="R281" i="5"/>
  <c r="S256" i="5"/>
  <c r="Z228" i="36"/>
  <c r="Z250" i="36"/>
  <c r="Z253" i="36"/>
  <c r="Z242" i="36"/>
  <c r="Z247" i="36"/>
  <c r="Z245" i="36"/>
  <c r="Z241" i="36"/>
  <c r="Z246" i="36"/>
  <c r="Z238" i="36"/>
  <c r="Z244" i="36"/>
  <c r="Z248" i="36"/>
  <c r="Z240" i="36"/>
  <c r="Q529" i="5"/>
  <c r="Z239" i="36"/>
  <c r="Z243" i="36"/>
  <c r="Z252" i="36"/>
  <c r="Z249" i="36"/>
  <c r="Q305" i="5"/>
  <c r="K228" i="36" s="1"/>
  <c r="Z251" i="36"/>
  <c r="AD281" i="5"/>
  <c r="BC256" i="5"/>
  <c r="AD254" i="5"/>
  <c r="Z462" i="36" s="1"/>
  <c r="AL254" i="5"/>
  <c r="Z470" i="36" s="1"/>
  <c r="BK260" i="5"/>
  <c r="BF260" i="5"/>
  <c r="BP260" i="5"/>
  <c r="BK268" i="5"/>
  <c r="BF268" i="5"/>
  <c r="AG281" i="5"/>
  <c r="BF256" i="5"/>
  <c r="AG254" i="5"/>
  <c r="Z465" i="36" s="1"/>
  <c r="BB256" i="5"/>
  <c r="AC281" i="5"/>
  <c r="AC254" i="5"/>
  <c r="Z461" i="36" s="1"/>
  <c r="AY256" i="5"/>
  <c r="Z281" i="5"/>
  <c r="BE256" i="5"/>
  <c r="AF254" i="5"/>
  <c r="Z464" i="36" s="1"/>
  <c r="BM256" i="5"/>
  <c r="BQ260" i="5"/>
  <c r="AR281" i="5"/>
  <c r="BH260" i="5"/>
  <c r="AR254" i="5"/>
  <c r="Z476" i="36" s="1"/>
  <c r="BQ268" i="5"/>
  <c r="BH268" i="5"/>
  <c r="BD256" i="5"/>
  <c r="AE281" i="5"/>
  <c r="AE254" i="5"/>
  <c r="Z463" i="36" s="1"/>
  <c r="AK281" i="5"/>
  <c r="BJ256" i="5"/>
  <c r="AK254" i="5"/>
  <c r="Z469" i="36" s="1"/>
  <c r="AH281" i="5"/>
  <c r="BG256" i="5"/>
  <c r="AH254" i="5"/>
  <c r="Z466" i="36" s="1"/>
  <c r="BK264" i="5"/>
  <c r="AL281" i="5"/>
  <c r="Y281" i="5"/>
  <c r="BA260" i="5"/>
  <c r="AZ260" i="5"/>
  <c r="AA254" i="5"/>
  <c r="Z459" i="36" s="1"/>
  <c r="AW260" i="5"/>
  <c r="BQ256" i="5"/>
  <c r="AX268" i="5"/>
  <c r="AZ268" i="5"/>
  <c r="AY268" i="5"/>
  <c r="BR256" i="5"/>
  <c r="AS254" i="5"/>
  <c r="Z477" i="36" s="1"/>
  <c r="AS281" i="5"/>
  <c r="BL256" i="5"/>
  <c r="AM281" i="5"/>
  <c r="AM254" i="5"/>
  <c r="Z471" i="36" s="1"/>
  <c r="BO264" i="5"/>
  <c r="AB281" i="5"/>
  <c r="BC260" i="5"/>
  <c r="BM260" i="5"/>
  <c r="AN281" i="5"/>
  <c r="AN254" i="5"/>
  <c r="Z472" i="36" s="1"/>
  <c r="AY260" i="5"/>
  <c r="BA268" i="5"/>
  <c r="BM268" i="5"/>
  <c r="BJ268" i="5"/>
  <c r="AF281" i="5"/>
  <c r="BN256" i="5"/>
  <c r="AO254" i="5"/>
  <c r="Z473" i="36" s="1"/>
  <c r="BI256" i="5"/>
  <c r="AJ254" i="5"/>
  <c r="Z468" i="36" s="1"/>
  <c r="AX264" i="5"/>
  <c r="AZ264" i="5"/>
  <c r="AZ256" i="5"/>
  <c r="BO260" i="5"/>
  <c r="AP254" i="5"/>
  <c r="Z474" i="36" s="1"/>
  <c r="BJ260" i="5"/>
  <c r="BC268" i="5"/>
  <c r="BO268" i="5"/>
  <c r="BL268" i="5"/>
  <c r="BJ60" i="5"/>
  <c r="AK56" i="5"/>
  <c r="X469" i="36" s="1"/>
  <c r="BM60" i="5"/>
  <c r="AN56" i="5"/>
  <c r="X472" i="36" s="1"/>
  <c r="G472" i="36" s="1"/>
  <c r="BF60" i="5"/>
  <c r="AG56" i="5"/>
  <c r="X465" i="36" s="1"/>
  <c r="BI60" i="5"/>
  <c r="AJ56" i="5"/>
  <c r="X468" i="36" s="1"/>
  <c r="AJ83" i="5"/>
  <c r="BB60" i="5"/>
  <c r="AC56" i="5"/>
  <c r="X461" i="36" s="1"/>
  <c r="AF56" i="5"/>
  <c r="X464" i="36" s="1"/>
  <c r="BE60" i="5"/>
  <c r="BO60" i="5"/>
  <c r="AP83" i="5"/>
  <c r="AP56" i="5"/>
  <c r="X474" i="36" s="1"/>
  <c r="BA60" i="5"/>
  <c r="AB56" i="5"/>
  <c r="X460" i="36" s="1"/>
  <c r="BK60" i="5"/>
  <c r="AL56" i="5"/>
  <c r="X470" i="36" s="1"/>
  <c r="G470" i="36" s="1"/>
  <c r="AL83" i="5"/>
  <c r="AH56" i="5"/>
  <c r="X466" i="36" s="1"/>
  <c r="BG60" i="5"/>
  <c r="X150" i="36"/>
  <c r="X177" i="36" s="1"/>
  <c r="X85" i="5"/>
  <c r="X527" i="5"/>
  <c r="AN83" i="5"/>
  <c r="AD56" i="5"/>
  <c r="X462" i="36" s="1"/>
  <c r="BC60" i="5"/>
  <c r="AK83" i="5"/>
  <c r="AG83" i="5"/>
  <c r="AH83" i="5"/>
  <c r="BN60" i="5"/>
  <c r="AO56" i="5"/>
  <c r="X473" i="36" s="1"/>
  <c r="BR60" i="5"/>
  <c r="AS56" i="5"/>
  <c r="X477" i="36" s="1"/>
  <c r="G477" i="36" s="1"/>
  <c r="AB83" i="5"/>
  <c r="AD83" i="5"/>
  <c r="BM460" i="2"/>
  <c r="BA460" i="2"/>
  <c r="BM453" i="2"/>
  <c r="AN452" i="2"/>
  <c r="AN479" i="2"/>
  <c r="BA453" i="2"/>
  <c r="AB479" i="2"/>
  <c r="AB452" i="2"/>
  <c r="BG461" i="2"/>
  <c r="AY455" i="2"/>
  <c r="BE456" i="2"/>
  <c r="BL456" i="2"/>
  <c r="BB457" i="2"/>
  <c r="AV462" i="2"/>
  <c r="BO458" i="2"/>
  <c r="BB459" i="2"/>
  <c r="BI459" i="2"/>
  <c r="BQ460" i="2"/>
  <c r="BF453" i="2"/>
  <c r="AG452" i="2"/>
  <c r="AG479" i="2"/>
  <c r="BQ453" i="2"/>
  <c r="AR479" i="2"/>
  <c r="AR452" i="2"/>
  <c r="BC453" i="2"/>
  <c r="AD452" i="2"/>
  <c r="AD479" i="2"/>
  <c r="BK461" i="2"/>
  <c r="BF454" i="2"/>
  <c r="BE455" i="2"/>
  <c r="BI456" i="2"/>
  <c r="BP456" i="2"/>
  <c r="BM459" i="2"/>
  <c r="BJ453" i="2"/>
  <c r="AK479" i="2"/>
  <c r="AK452" i="2"/>
  <c r="BR453" i="2"/>
  <c r="AS452" i="2"/>
  <c r="AS479" i="2"/>
  <c r="BG453" i="2"/>
  <c r="AH452" i="2"/>
  <c r="AH479" i="2"/>
  <c r="BI455" i="2"/>
  <c r="AW462" i="2"/>
  <c r="BM456" i="2"/>
  <c r="AX460" i="2"/>
  <c r="BQ459" i="2"/>
  <c r="AX453" i="2"/>
  <c r="Y479" i="2"/>
  <c r="AZ460" i="2"/>
  <c r="BN453" i="2"/>
  <c r="AO479" i="2"/>
  <c r="AO452" i="2"/>
  <c r="AZ453" i="2"/>
  <c r="AA479" i="2"/>
  <c r="AA452" i="2"/>
  <c r="BK453" i="2"/>
  <c r="AL452" i="2"/>
  <c r="AL479" i="2"/>
  <c r="BM455" i="2"/>
  <c r="W479" i="2"/>
  <c r="N453" i="2" s="1"/>
  <c r="AV453" i="2"/>
  <c r="BQ456" i="2"/>
  <c r="BA456" i="2"/>
  <c r="AW455" i="2"/>
  <c r="BF459" i="2"/>
  <c r="BR459" i="2"/>
  <c r="AV460" i="2"/>
  <c r="BD460" i="2"/>
  <c r="V479" i="2"/>
  <c r="BD453" i="2"/>
  <c r="AE479" i="2"/>
  <c r="AE452" i="2"/>
  <c r="BO453" i="2"/>
  <c r="AP452" i="2"/>
  <c r="AP479" i="2"/>
  <c r="BQ455" i="2"/>
  <c r="BF456" i="2"/>
  <c r="BR456" i="2"/>
  <c r="BF458" i="2"/>
  <c r="BJ459" i="2"/>
  <c r="AZ459" i="2"/>
  <c r="AW454" i="2"/>
  <c r="X479" i="2"/>
  <c r="BK460" i="2"/>
  <c r="AY460" i="2"/>
  <c r="BH460" i="2"/>
  <c r="AY453" i="2"/>
  <c r="Z479" i="2"/>
  <c r="BH453" i="2"/>
  <c r="AI479" i="2"/>
  <c r="AI452" i="2"/>
  <c r="BB453" i="2"/>
  <c r="AC479" i="2"/>
  <c r="AC452" i="2"/>
  <c r="BI461" i="2"/>
  <c r="BP461" i="2"/>
  <c r="BK454" i="2"/>
  <c r="BP455" i="2"/>
  <c r="BF455" i="2"/>
  <c r="BR455" i="2"/>
  <c r="AV461" i="2"/>
  <c r="BJ456" i="2"/>
  <c r="AZ456" i="2"/>
  <c r="BG457" i="2"/>
  <c r="AW463" i="2"/>
  <c r="BC458" i="2"/>
  <c r="BJ458" i="2"/>
  <c r="BG459" i="2"/>
  <c r="BN459" i="2"/>
  <c r="AY462" i="2"/>
  <c r="BO460" i="2"/>
  <c r="BE460" i="2"/>
  <c r="BL460" i="2"/>
  <c r="BE453" i="2"/>
  <c r="AF452" i="2"/>
  <c r="AF479" i="2"/>
  <c r="BL453" i="2"/>
  <c r="AM479" i="2"/>
  <c r="AM452" i="2"/>
  <c r="R479" i="2"/>
  <c r="S453" i="2"/>
  <c r="BM461" i="2"/>
  <c r="BA461" i="2"/>
  <c r="BO454" i="2"/>
  <c r="BA455" i="2"/>
  <c r="BJ455" i="2"/>
  <c r="AZ455" i="2"/>
  <c r="BN456" i="2"/>
  <c r="BD456" i="2"/>
  <c r="BK457" i="2"/>
  <c r="AV454" i="2"/>
  <c r="BG458" i="2"/>
  <c r="BN458" i="2"/>
  <c r="BK459" i="2"/>
  <c r="AY459" i="2"/>
  <c r="AX455" i="2"/>
  <c r="AW461" i="2"/>
  <c r="BB460" i="2"/>
  <c r="BI460" i="2"/>
  <c r="BP460" i="2"/>
  <c r="BI453" i="2"/>
  <c r="AJ452" i="2"/>
  <c r="AJ479" i="2"/>
  <c r="BP453" i="2"/>
  <c r="AQ479" i="2"/>
  <c r="AQ452" i="2"/>
  <c r="BC461" i="2"/>
  <c r="BN455" i="2"/>
  <c r="AY456" i="2"/>
  <c r="BH456" i="2"/>
  <c r="BO457" i="2"/>
  <c r="BO459" i="2"/>
  <c r="BE459" i="2"/>
  <c r="AY463" i="2"/>
  <c r="AX456" i="2"/>
  <c r="BD354" i="2"/>
  <c r="AE380" i="2"/>
  <c r="AE353" i="2"/>
  <c r="BL354" i="2"/>
  <c r="AM353" i="2"/>
  <c r="AM380" i="2"/>
  <c r="BK362" i="2"/>
  <c r="BQ355" i="2"/>
  <c r="BG363" i="2"/>
  <c r="BO363" i="2"/>
  <c r="BP365" i="2"/>
  <c r="AX362" i="2"/>
  <c r="BJ358" i="2"/>
  <c r="AZ357" i="2"/>
  <c r="AX355" i="2"/>
  <c r="BC358" i="2"/>
  <c r="BF361" i="2"/>
  <c r="BN361" i="2"/>
  <c r="BE354" i="2"/>
  <c r="AF353" i="2"/>
  <c r="AF380" i="2"/>
  <c r="BM354" i="2"/>
  <c r="AN353" i="2"/>
  <c r="AN380" i="2"/>
  <c r="BD362" i="2"/>
  <c r="BL362" i="2"/>
  <c r="S355" i="2"/>
  <c r="BJ355" i="2"/>
  <c r="BR355" i="2"/>
  <c r="BH363" i="2"/>
  <c r="BP363" i="2"/>
  <c r="AX361" i="2"/>
  <c r="BM356" i="2"/>
  <c r="AZ364" i="2"/>
  <c r="BR357" i="2"/>
  <c r="BI365" i="2"/>
  <c r="BQ365" i="2"/>
  <c r="AW356" i="2"/>
  <c r="BK358" i="2"/>
  <c r="AZ361" i="2"/>
  <c r="AX363" i="2"/>
  <c r="BL360" i="2"/>
  <c r="BO361" i="2"/>
  <c r="BF354" i="2"/>
  <c r="AG353" i="2"/>
  <c r="AG380" i="2"/>
  <c r="BN354" i="2"/>
  <c r="AO353" i="2"/>
  <c r="AO380" i="2"/>
  <c r="BE362" i="2"/>
  <c r="BM362" i="2"/>
  <c r="BK355" i="2"/>
  <c r="BI363" i="2"/>
  <c r="BQ363" i="2"/>
  <c r="BN356" i="2"/>
  <c r="BR365" i="2"/>
  <c r="BC361" i="2"/>
  <c r="BD358" i="2"/>
  <c r="BL358" i="2"/>
  <c r="AZ365" i="2"/>
  <c r="AW357" i="2"/>
  <c r="BM360" i="2"/>
  <c r="BB357" i="2"/>
  <c r="BG354" i="2"/>
  <c r="AH353" i="2"/>
  <c r="AH380" i="2"/>
  <c r="BO354" i="2"/>
  <c r="AP380" i="2"/>
  <c r="AP353" i="2"/>
  <c r="BN362" i="2"/>
  <c r="BJ363" i="2"/>
  <c r="BR363" i="2"/>
  <c r="AY355" i="2"/>
  <c r="AW364" i="2"/>
  <c r="BE358" i="2"/>
  <c r="BM358" i="2"/>
  <c r="BB361" i="2"/>
  <c r="AW361" i="2"/>
  <c r="BN360" i="2"/>
  <c r="BC365" i="2"/>
  <c r="Z380" i="2"/>
  <c r="AZ354" i="2"/>
  <c r="AA353" i="2"/>
  <c r="AA459" i="35" s="1"/>
  <c r="AA380" i="2"/>
  <c r="BH354" i="2"/>
  <c r="AI380" i="2"/>
  <c r="AI353" i="2"/>
  <c r="BP354" i="2"/>
  <c r="AQ380" i="2"/>
  <c r="AQ353" i="2"/>
  <c r="BO362" i="2"/>
  <c r="BA361" i="2"/>
  <c r="BK363" i="2"/>
  <c r="AB380" i="2"/>
  <c r="BA354" i="2"/>
  <c r="AB353" i="2"/>
  <c r="W380" i="2"/>
  <c r="N354" i="2" s="1"/>
  <c r="AV354" i="2"/>
  <c r="BF358" i="2"/>
  <c r="BN358" i="2"/>
  <c r="BB365" i="2"/>
  <c r="BC362" i="2"/>
  <c r="AW365" i="2"/>
  <c r="BO360" i="2"/>
  <c r="AY362" i="2"/>
  <c r="AW363" i="2"/>
  <c r="BB356" i="2"/>
  <c r="BR354" i="2"/>
  <c r="AS353" i="2"/>
  <c r="AS380" i="2"/>
  <c r="BI354" i="2"/>
  <c r="AJ353" i="2"/>
  <c r="AJ380" i="2"/>
  <c r="BQ354" i="2"/>
  <c r="AR380" i="2"/>
  <c r="AR353" i="2"/>
  <c r="BH362" i="2"/>
  <c r="BP362" i="2"/>
  <c r="BD363" i="2"/>
  <c r="BL363" i="2"/>
  <c r="AV361" i="2"/>
  <c r="AY363" i="2"/>
  <c r="BG358" i="2"/>
  <c r="BO358" i="2"/>
  <c r="BA355" i="2"/>
  <c r="AY356" i="2"/>
  <c r="AV355" i="2"/>
  <c r="BP360" i="2"/>
  <c r="AX359" i="2"/>
  <c r="BB364" i="2"/>
  <c r="BB354" i="2"/>
  <c r="AC353" i="2"/>
  <c r="AC380" i="2"/>
  <c r="R380" i="2"/>
  <c r="S354" i="2"/>
  <c r="BJ354" i="2"/>
  <c r="AK353" i="2"/>
  <c r="AK380" i="2"/>
  <c r="V380" i="2"/>
  <c r="BI362" i="2"/>
  <c r="BQ362" i="2"/>
  <c r="BE363" i="2"/>
  <c r="BM363" i="2"/>
  <c r="BA362" i="2"/>
  <c r="AX354" i="2"/>
  <c r="Y380" i="2"/>
  <c r="AV362" i="2"/>
  <c r="BH358" i="2"/>
  <c r="BP358" i="2"/>
  <c r="AV359" i="2"/>
  <c r="BQ360" i="2"/>
  <c r="AW354" i="2"/>
  <c r="X380" i="2"/>
  <c r="BC354" i="2"/>
  <c r="AD353" i="2"/>
  <c r="AD380" i="2"/>
  <c r="BK354" i="2"/>
  <c r="AL380" i="2"/>
  <c r="AL353" i="2"/>
  <c r="BJ362" i="2"/>
  <c r="BP355" i="2"/>
  <c r="BF363" i="2"/>
  <c r="BN363" i="2"/>
  <c r="AZ356" i="2"/>
  <c r="BI358" i="2"/>
  <c r="BQ358" i="2"/>
  <c r="BA363" i="2"/>
  <c r="AY364" i="2"/>
  <c r="AV363" i="2"/>
  <c r="BR360" i="2"/>
  <c r="AY361" i="2"/>
  <c r="AV260" i="2"/>
  <c r="BM255" i="2"/>
  <c r="AN281" i="2"/>
  <c r="AN254" i="2"/>
  <c r="BB260" i="2"/>
  <c r="AZ268" i="2"/>
  <c r="BF261" i="2"/>
  <c r="BD261" i="2"/>
  <c r="AW264" i="2"/>
  <c r="BB265" i="2"/>
  <c r="AZ265" i="2"/>
  <c r="AY262" i="2"/>
  <c r="BA268" i="2"/>
  <c r="AX260" i="2"/>
  <c r="BN255" i="2"/>
  <c r="AO281" i="2"/>
  <c r="AO254" i="2"/>
  <c r="BG268" i="2"/>
  <c r="BE268" i="2"/>
  <c r="BC268" i="2"/>
  <c r="BB268" i="2"/>
  <c r="BF265" i="2"/>
  <c r="BD265" i="2"/>
  <c r="AY263" i="2"/>
  <c r="AW268" i="2"/>
  <c r="BB269" i="2"/>
  <c r="AZ269" i="2"/>
  <c r="BG257" i="2"/>
  <c r="BG255" i="2"/>
  <c r="AH281" i="2"/>
  <c r="AH254" i="2"/>
  <c r="BE255" i="2"/>
  <c r="AF281" i="2"/>
  <c r="AF254" i="2"/>
  <c r="BC255" i="2"/>
  <c r="AD254" i="2"/>
  <c r="AD281" i="2"/>
  <c r="AV268" i="2"/>
  <c r="BO255" i="2"/>
  <c r="AP254" i="2"/>
  <c r="AP281" i="2"/>
  <c r="BH261" i="2"/>
  <c r="BF269" i="2"/>
  <c r="BD269" i="2"/>
  <c r="BA255" i="2"/>
  <c r="AB281" i="2"/>
  <c r="AB254" i="2"/>
  <c r="BR267" i="2"/>
  <c r="BH265" i="2"/>
  <c r="AX255" i="2"/>
  <c r="Y281" i="2"/>
  <c r="AV255" i="2"/>
  <c r="W281" i="2"/>
  <c r="N255" i="2" s="1"/>
  <c r="BL260" i="2"/>
  <c r="BL261" i="2"/>
  <c r="AX268" i="2"/>
  <c r="BQ262" i="2"/>
  <c r="BH255" i="2"/>
  <c r="AI281" i="2"/>
  <c r="AI254" i="2"/>
  <c r="BP255" i="2"/>
  <c r="AQ281" i="2"/>
  <c r="AQ254" i="2"/>
  <c r="BL263" i="2"/>
  <c r="BF260" i="2"/>
  <c r="BD260" i="2"/>
  <c r="AV261" i="2"/>
  <c r="BK256" i="2"/>
  <c r="BA262" i="2"/>
  <c r="BQ257" i="2"/>
  <c r="BM265" i="2"/>
  <c r="BH269" i="2"/>
  <c r="BE257" i="2"/>
  <c r="BC257" i="2"/>
  <c r="AV262" i="2"/>
  <c r="BM258" i="2"/>
  <c r="BQ266" i="2"/>
  <c r="BM267" i="2"/>
  <c r="BA261" i="2"/>
  <c r="BI255" i="2"/>
  <c r="AJ281" i="2"/>
  <c r="AJ254" i="2"/>
  <c r="BQ255" i="2"/>
  <c r="AR281" i="2"/>
  <c r="AR254" i="2"/>
  <c r="BN265" i="2"/>
  <c r="BG261" i="2"/>
  <c r="BE261" i="2"/>
  <c r="BC261" i="2"/>
  <c r="AX262" i="2"/>
  <c r="BN258" i="2"/>
  <c r="BA263" i="2"/>
  <c r="BN267" i="2"/>
  <c r="AW263" i="2"/>
  <c r="BN260" i="2"/>
  <c r="BN261" i="2"/>
  <c r="BR262" i="2"/>
  <c r="BJ255" i="2"/>
  <c r="AK254" i="2"/>
  <c r="AK281" i="2"/>
  <c r="R281" i="2"/>
  <c r="S255" i="2"/>
  <c r="BN263" i="2"/>
  <c r="BH268" i="2"/>
  <c r="BF268" i="2"/>
  <c r="BD268" i="2"/>
  <c r="AX261" i="2"/>
  <c r="AV269" i="2"/>
  <c r="BM256" i="2"/>
  <c r="AZ256" i="2"/>
  <c r="BR257" i="2"/>
  <c r="BO265" i="2"/>
  <c r="BG265" i="2"/>
  <c r="BE265" i="2"/>
  <c r="BC265" i="2"/>
  <c r="BO258" i="2"/>
  <c r="BR266" i="2"/>
  <c r="BO267" i="2"/>
  <c r="AY261" i="2"/>
  <c r="BB256" i="2"/>
  <c r="BO260" i="2"/>
  <c r="BO261" i="2"/>
  <c r="BF255" i="2"/>
  <c r="AG281" i="2"/>
  <c r="AG254" i="2"/>
  <c r="BD255" i="2"/>
  <c r="AE281" i="2"/>
  <c r="AE254" i="2"/>
  <c r="BA269" i="2"/>
  <c r="BK255" i="2"/>
  <c r="AL254" i="2"/>
  <c r="AL281" i="2"/>
  <c r="BR255" i="2"/>
  <c r="AS254" i="2"/>
  <c r="AS281" i="2"/>
  <c r="BO263" i="2"/>
  <c r="BN256" i="2"/>
  <c r="AZ260" i="2"/>
  <c r="BP265" i="2"/>
  <c r="BG269" i="2"/>
  <c r="BE269" i="2"/>
  <c r="BC269" i="2"/>
  <c r="AW256" i="2"/>
  <c r="BP258" i="2"/>
  <c r="BB257" i="2"/>
  <c r="AZ257" i="2"/>
  <c r="BP267" i="2"/>
  <c r="AY269" i="2"/>
  <c r="BB264" i="2"/>
  <c r="BR260" i="2"/>
  <c r="BP260" i="2"/>
  <c r="BP261" i="2"/>
  <c r="BB255" i="2"/>
  <c r="AC281" i="2"/>
  <c r="AC254" i="2"/>
  <c r="AZ255" i="2"/>
  <c r="AA281" i="2"/>
  <c r="AA254" i="2"/>
  <c r="BL255" i="2"/>
  <c r="AM281" i="2"/>
  <c r="AM254" i="2"/>
  <c r="V281" i="2"/>
  <c r="BP263" i="2"/>
  <c r="BG260" i="2"/>
  <c r="BE260" i="2"/>
  <c r="BC260" i="2"/>
  <c r="AX269" i="2"/>
  <c r="BO256" i="2"/>
  <c r="BH260" i="2"/>
  <c r="AZ264" i="2"/>
  <c r="BQ265" i="2"/>
  <c r="BF257" i="2"/>
  <c r="BD257" i="2"/>
  <c r="Z281" i="2"/>
  <c r="AY255" i="2"/>
  <c r="AW260" i="2"/>
  <c r="BQ258" i="2"/>
  <c r="BB261" i="2"/>
  <c r="AZ261" i="2"/>
  <c r="BQ267" i="2"/>
  <c r="BA260" i="2"/>
  <c r="BG156" i="2"/>
  <c r="AH182" i="2"/>
  <c r="AH155" i="2"/>
  <c r="BE156" i="2"/>
  <c r="AF155" i="2"/>
  <c r="AF182" i="2"/>
  <c r="BC165" i="2"/>
  <c r="BE165" i="2"/>
  <c r="BK158" i="2"/>
  <c r="BG166" i="2"/>
  <c r="AX165" i="2"/>
  <c r="AR182" i="2"/>
  <c r="AR155" i="2"/>
  <c r="BQ156" i="2"/>
  <c r="BK159" i="2"/>
  <c r="BC167" i="2"/>
  <c r="BO160" i="2"/>
  <c r="BG168" i="2"/>
  <c r="BM168" i="2"/>
  <c r="AA182" i="2"/>
  <c r="AA155" i="2"/>
  <c r="AZ156" i="2"/>
  <c r="AX166" i="2"/>
  <c r="BB161" i="2"/>
  <c r="BH161" i="2"/>
  <c r="BF169" i="2"/>
  <c r="BL169" i="2"/>
  <c r="BC162" i="2"/>
  <c r="BC163" i="2"/>
  <c r="AZ165" i="2"/>
  <c r="AW164" i="2"/>
  <c r="BA156" i="2"/>
  <c r="AV157" i="2"/>
  <c r="AE182" i="2"/>
  <c r="AE155" i="2"/>
  <c r="BD156" i="2"/>
  <c r="BK156" i="2"/>
  <c r="AL155" i="2"/>
  <c r="AL182" i="2"/>
  <c r="BI156" i="2"/>
  <c r="AJ182" i="2"/>
  <c r="AJ155" i="2"/>
  <c r="BC164" i="2"/>
  <c r="BE164" i="2"/>
  <c r="BA165" i="2"/>
  <c r="BG165" i="2"/>
  <c r="BI165" i="2"/>
  <c r="BH158" i="2"/>
  <c r="BO158" i="2"/>
  <c r="BD166" i="2"/>
  <c r="BK166" i="2"/>
  <c r="BH159" i="2"/>
  <c r="BO159" i="2"/>
  <c r="BG167" i="2"/>
  <c r="BP160" i="2"/>
  <c r="BB160" i="2"/>
  <c r="BH168" i="2"/>
  <c r="BK168" i="2"/>
  <c r="Q206" i="2"/>
  <c r="J228" i="35" s="1"/>
  <c r="Q528" i="2"/>
  <c r="Y228" i="35"/>
  <c r="AZ164" i="2"/>
  <c r="AW159" i="2"/>
  <c r="BQ161" i="2"/>
  <c r="BF161" i="2"/>
  <c r="BL161" i="2"/>
  <c r="BJ169" i="2"/>
  <c r="BP169" i="2"/>
  <c r="BG162" i="2"/>
  <c r="BG163" i="2"/>
  <c r="AW160" i="2"/>
  <c r="BQ158" i="2"/>
  <c r="AY158" i="2"/>
  <c r="BQ166" i="2"/>
  <c r="BA168" i="2"/>
  <c r="BH156" i="2"/>
  <c r="AI155" i="2"/>
  <c r="AI182" i="2"/>
  <c r="BO156" i="2"/>
  <c r="AP155" i="2"/>
  <c r="AP182" i="2"/>
  <c r="BM156" i="2"/>
  <c r="AN155" i="2"/>
  <c r="AN182" i="2"/>
  <c r="BG164" i="2"/>
  <c r="BI164" i="2"/>
  <c r="AX164" i="2"/>
  <c r="BK165" i="2"/>
  <c r="BM165" i="2"/>
  <c r="BL158" i="2"/>
  <c r="BF166" i="2"/>
  <c r="BH166" i="2"/>
  <c r="BO166" i="2"/>
  <c r="AW158" i="2"/>
  <c r="BQ164" i="2"/>
  <c r="BL159" i="2"/>
  <c r="BB159" i="2"/>
  <c r="BD167" i="2"/>
  <c r="BK167" i="2"/>
  <c r="BR160" i="2"/>
  <c r="BF160" i="2"/>
  <c r="BL168" i="2"/>
  <c r="BO168" i="2"/>
  <c r="BQ165" i="2"/>
  <c r="BJ161" i="2"/>
  <c r="BP161" i="2"/>
  <c r="BN169" i="2"/>
  <c r="BR169" i="2"/>
  <c r="BK162" i="2"/>
  <c r="BK163" i="2"/>
  <c r="AX157" i="2"/>
  <c r="BA158" i="2"/>
  <c r="AW168" i="2"/>
  <c r="AZ160" i="2"/>
  <c r="AX159" i="2"/>
  <c r="AM155" i="2"/>
  <c r="AM182" i="2"/>
  <c r="BL156" i="2"/>
  <c r="BB156" i="2"/>
  <c r="AC155" i="2"/>
  <c r="AC182" i="2"/>
  <c r="BD164" i="2"/>
  <c r="BK164" i="2"/>
  <c r="BM164" i="2"/>
  <c r="BO165" i="2"/>
  <c r="BD165" i="2"/>
  <c r="BP158" i="2"/>
  <c r="BJ166" i="2"/>
  <c r="BL166" i="2"/>
  <c r="AY156" i="2"/>
  <c r="Z182" i="2"/>
  <c r="BF159" i="2"/>
  <c r="BO167" i="2"/>
  <c r="BJ160" i="2"/>
  <c r="BF168" i="2"/>
  <c r="AY161" i="2"/>
  <c r="AW167" i="2"/>
  <c r="BQ169" i="2"/>
  <c r="BN161" i="2"/>
  <c r="BR161" i="2"/>
  <c r="BE169" i="2"/>
  <c r="BO162" i="2"/>
  <c r="BO163" i="2"/>
  <c r="BB165" i="2"/>
  <c r="BA166" i="2"/>
  <c r="BQ162" i="2"/>
  <c r="AZ168" i="2"/>
  <c r="AV165" i="2"/>
  <c r="AZ161" i="2"/>
  <c r="AQ182" i="2"/>
  <c r="BP156" i="2"/>
  <c r="AQ155" i="2"/>
  <c r="BF156" i="2"/>
  <c r="AG182" i="2"/>
  <c r="AG155" i="2"/>
  <c r="BH164" i="2"/>
  <c r="BO164" i="2"/>
  <c r="BF165" i="2"/>
  <c r="BH165" i="2"/>
  <c r="BP166" i="2"/>
  <c r="AW166" i="2"/>
  <c r="BN160" i="2"/>
  <c r="BJ168" i="2"/>
  <c r="AY165" i="2"/>
  <c r="AV156" i="2"/>
  <c r="W182" i="2"/>
  <c r="N156" i="2" s="1"/>
  <c r="BC161" i="2"/>
  <c r="BE161" i="2"/>
  <c r="BC169" i="2"/>
  <c r="BI169" i="2"/>
  <c r="BA159" i="2"/>
  <c r="BA164" i="2"/>
  <c r="AZ157" i="2"/>
  <c r="AW156" i="2"/>
  <c r="BR156" i="2"/>
  <c r="AS182" i="2"/>
  <c r="AS155" i="2"/>
  <c r="BJ156" i="2"/>
  <c r="AK155" i="2"/>
  <c r="AK182" i="2"/>
  <c r="BL164" i="2"/>
  <c r="BF164" i="2"/>
  <c r="BJ165" i="2"/>
  <c r="BL165" i="2"/>
  <c r="BR166" i="2"/>
  <c r="AY164" i="2"/>
  <c r="BN159" i="2"/>
  <c r="BJ167" i="2"/>
  <c r="X182" i="2"/>
  <c r="BE160" i="2"/>
  <c r="BN168" i="2"/>
  <c r="AY169" i="2"/>
  <c r="AV160" i="2"/>
  <c r="BG161" i="2"/>
  <c r="BI161" i="2"/>
  <c r="BG169" i="2"/>
  <c r="BM169" i="2"/>
  <c r="BF163" i="2"/>
  <c r="BA167" i="2"/>
  <c r="AY166" i="2"/>
  <c r="AX167" i="2"/>
  <c r="S156" i="2"/>
  <c r="R182" i="2"/>
  <c r="BN156" i="2"/>
  <c r="AO182" i="2"/>
  <c r="AO155" i="2"/>
  <c r="AW165" i="2"/>
  <c r="BN165" i="2"/>
  <c r="BP165" i="2"/>
  <c r="BN167" i="2"/>
  <c r="BG160" i="2"/>
  <c r="BI160" i="2"/>
  <c r="BE168" i="2"/>
  <c r="BB166" i="2"/>
  <c r="AX158" i="2"/>
  <c r="AV164" i="2"/>
  <c r="BK161" i="2"/>
  <c r="BM161" i="2"/>
  <c r="BK169" i="2"/>
  <c r="BD169" i="2"/>
  <c r="BR163" i="2"/>
  <c r="BJ163" i="2"/>
  <c r="BB167" i="2"/>
  <c r="BA160" i="2"/>
  <c r="AV161" i="2"/>
  <c r="AV169" i="2"/>
  <c r="Y182" i="2"/>
  <c r="BC156" i="2"/>
  <c r="AD182" i="2"/>
  <c r="AD155" i="2"/>
  <c r="BN164" i="2"/>
  <c r="BA157" i="2"/>
  <c r="AB155" i="2"/>
  <c r="BR165" i="2"/>
  <c r="BG158" i="2"/>
  <c r="BC166" i="2"/>
  <c r="AX161" i="2"/>
  <c r="BG159" i="2"/>
  <c r="BK160" i="2"/>
  <c r="BM160" i="2"/>
  <c r="BI168" i="2"/>
  <c r="AV168" i="2"/>
  <c r="BO161" i="2"/>
  <c r="BD161" i="2"/>
  <c r="BO169" i="2"/>
  <c r="BH169" i="2"/>
  <c r="BN163" i="2"/>
  <c r="AZ169" i="2"/>
  <c r="AY162" i="2"/>
  <c r="BB164" i="2"/>
  <c r="X228" i="35"/>
  <c r="Q107" i="2"/>
  <c r="I228" i="35" s="1"/>
  <c r="Q527" i="2"/>
  <c r="AZ57" i="2"/>
  <c r="AA56" i="2"/>
  <c r="AA83" i="2"/>
  <c r="AQ83" i="2"/>
  <c r="BP57" i="2"/>
  <c r="AQ56" i="2"/>
  <c r="BE57" i="2"/>
  <c r="AF83" i="2"/>
  <c r="AF56" i="2"/>
  <c r="AX58" i="2"/>
  <c r="BN58" i="2"/>
  <c r="BC58" i="2"/>
  <c r="BP61" i="2"/>
  <c r="BG61" i="2"/>
  <c r="AW62" i="2"/>
  <c r="BM62" i="2"/>
  <c r="BB57" i="2"/>
  <c r="AC83" i="2"/>
  <c r="AC56" i="2"/>
  <c r="BQ57" i="2"/>
  <c r="AR56" i="2"/>
  <c r="AR83" i="2"/>
  <c r="BG57" i="2"/>
  <c r="AH83" i="2"/>
  <c r="AH56" i="2"/>
  <c r="AZ58" i="2"/>
  <c r="BP58" i="2"/>
  <c r="BE58" i="2"/>
  <c r="BP59" i="2"/>
  <c r="BI61" i="2"/>
  <c r="BO62" i="2"/>
  <c r="BD57" i="2"/>
  <c r="AE56" i="2"/>
  <c r="AE83" i="2"/>
  <c r="R83" i="2"/>
  <c r="S57" i="2"/>
  <c r="BI57" i="2"/>
  <c r="AJ56" i="2"/>
  <c r="AJ83" i="2"/>
  <c r="BB58" i="2"/>
  <c r="BQ58" i="2"/>
  <c r="BG58" i="2"/>
  <c r="BQ59" i="2"/>
  <c r="BK61" i="2"/>
  <c r="BR62" i="2"/>
  <c r="AG83" i="2"/>
  <c r="BF57" i="2"/>
  <c r="AG56" i="2"/>
  <c r="BK57" i="2"/>
  <c r="AL83" i="2"/>
  <c r="AL56" i="2"/>
  <c r="BI58" i="2"/>
  <c r="BM61" i="2"/>
  <c r="BC62" i="2"/>
  <c r="BH57" i="2"/>
  <c r="AI83" i="2"/>
  <c r="AI56" i="2"/>
  <c r="AW57" i="2"/>
  <c r="X83" i="2"/>
  <c r="AN83" i="2"/>
  <c r="BM57" i="2"/>
  <c r="AN56" i="2"/>
  <c r="BF58" i="2"/>
  <c r="BK58" i="2"/>
  <c r="BF59" i="2"/>
  <c r="AY61" i="2"/>
  <c r="BO61" i="2"/>
  <c r="BE62" i="2"/>
  <c r="AK83" i="2"/>
  <c r="BJ57" i="2"/>
  <c r="AK56" i="2"/>
  <c r="AY57" i="2"/>
  <c r="Z83" i="2"/>
  <c r="BO57" i="2"/>
  <c r="AP83" i="2"/>
  <c r="AP56" i="2"/>
  <c r="BH58" i="2"/>
  <c r="AW58" i="2"/>
  <c r="BM58" i="2"/>
  <c r="BH59" i="2"/>
  <c r="BA61" i="2"/>
  <c r="BR61" i="2"/>
  <c r="BG62" i="2"/>
  <c r="AV57" i="2"/>
  <c r="W83" i="2"/>
  <c r="N57" i="2" s="1"/>
  <c r="AM83" i="2"/>
  <c r="BL57" i="2"/>
  <c r="AM56" i="2"/>
  <c r="BA57" i="2"/>
  <c r="AB56" i="2"/>
  <c r="AB83" i="2"/>
  <c r="BR57" i="2"/>
  <c r="AS83" i="2"/>
  <c r="AS56" i="2"/>
  <c r="BJ58" i="2"/>
  <c r="AY58" i="2"/>
  <c r="BO58" i="2"/>
  <c r="BC61" i="2"/>
  <c r="BI62" i="2"/>
  <c r="AX57" i="2"/>
  <c r="Y83" i="2"/>
  <c r="AO83" i="2"/>
  <c r="BN57" i="2"/>
  <c r="AO56" i="2"/>
  <c r="BC57" i="2"/>
  <c r="AD56" i="2"/>
  <c r="AD83" i="2"/>
  <c r="AV58" i="2"/>
  <c r="BL58" i="2"/>
  <c r="BA58" i="2"/>
  <c r="BR58" i="2"/>
  <c r="BL59" i="2"/>
  <c r="BN61" i="2"/>
  <c r="BE61" i="2"/>
  <c r="BK62" i="2"/>
  <c r="B411" i="35"/>
  <c r="B413" i="35"/>
  <c r="B412" i="35"/>
  <c r="B410" i="35"/>
  <c r="B414" i="35"/>
  <c r="S142" i="35"/>
  <c r="B367" i="35"/>
  <c r="B370" i="35"/>
  <c r="B368" i="35"/>
  <c r="B369" i="35"/>
  <c r="V383" i="35"/>
  <c r="AL389" i="35"/>
  <c r="AI383" i="35"/>
  <c r="X383" i="35"/>
  <c r="AJ383" i="35"/>
  <c r="AF383" i="35"/>
  <c r="AD383" i="35"/>
  <c r="Z383" i="35"/>
  <c r="AB383" i="35"/>
  <c r="AH383" i="35"/>
  <c r="H11" i="21"/>
  <c r="AL407" i="35"/>
  <c r="W383" i="35"/>
  <c r="Y383" i="35"/>
  <c r="AC383" i="35"/>
  <c r="AE383" i="35"/>
  <c r="AG383" i="35"/>
  <c r="AA383" i="35"/>
  <c r="AK383" i="35"/>
  <c r="N246" i="36"/>
  <c r="T136" i="35"/>
  <c r="S136" i="35"/>
  <c r="T143" i="35"/>
  <c r="V136" i="35"/>
  <c r="U136" i="35"/>
  <c r="W124" i="35"/>
  <c r="H5" i="21"/>
  <c r="H16" i="21"/>
  <c r="AB335" i="35"/>
  <c r="AK335" i="35"/>
  <c r="AJ335" i="35"/>
  <c r="AL335" i="35"/>
  <c r="B326" i="35"/>
  <c r="B322" i="35"/>
  <c r="B324" i="35"/>
  <c r="B323" i="35"/>
  <c r="B325" i="35"/>
  <c r="O187" i="36"/>
  <c r="T189" i="36"/>
  <c r="U179" i="36"/>
  <c r="U195" i="36"/>
  <c r="W181" i="36"/>
  <c r="R188" i="36"/>
  <c r="O185" i="36"/>
  <c r="AH139" i="36"/>
  <c r="W184" i="36"/>
  <c r="R194" i="36"/>
  <c r="S182" i="36"/>
  <c r="R182" i="36"/>
  <c r="O181" i="36"/>
  <c r="W178" i="36"/>
  <c r="O180" i="36"/>
  <c r="U196" i="36"/>
  <c r="O184" i="36"/>
  <c r="U182" i="36"/>
  <c r="R191" i="36"/>
  <c r="R189" i="36"/>
  <c r="N197" i="36"/>
  <c r="W128" i="35"/>
  <c r="W127" i="35"/>
  <c r="W132" i="35"/>
  <c r="T144" i="35"/>
  <c r="S144" i="35"/>
  <c r="W123" i="35"/>
  <c r="H3" i="21"/>
  <c r="H17" i="21"/>
  <c r="H4" i="21"/>
  <c r="H9" i="21"/>
  <c r="H8" i="21"/>
  <c r="H6" i="21"/>
  <c r="H2" i="21"/>
  <c r="H12" i="21"/>
  <c r="H10" i="21"/>
  <c r="H13" i="21"/>
  <c r="H7" i="21"/>
  <c r="H14" i="21"/>
  <c r="H15" i="21"/>
  <c r="D146" i="35"/>
  <c r="W137" i="35"/>
  <c r="V137" i="35"/>
  <c r="U137" i="35"/>
  <c r="T137" i="35"/>
  <c r="S137" i="35"/>
  <c r="V126" i="35"/>
  <c r="U126" i="35"/>
  <c r="T126" i="35"/>
  <c r="S126" i="35"/>
  <c r="W126" i="35"/>
  <c r="V130" i="35"/>
  <c r="U130" i="35"/>
  <c r="T130" i="35"/>
  <c r="S130" i="35"/>
  <c r="V131" i="35"/>
  <c r="S131" i="35"/>
  <c r="U131" i="35"/>
  <c r="T131" i="35"/>
  <c r="W143" i="35"/>
  <c r="V143" i="35"/>
  <c r="U143" i="35"/>
  <c r="V125" i="35"/>
  <c r="U125" i="35"/>
  <c r="T125" i="35"/>
  <c r="S125" i="35"/>
  <c r="T141" i="35"/>
  <c r="W142" i="35"/>
  <c r="V142" i="35"/>
  <c r="U142" i="35"/>
  <c r="V124" i="35"/>
  <c r="U124" i="35"/>
  <c r="T124" i="35"/>
  <c r="S124" i="35"/>
  <c r="V123" i="35"/>
  <c r="U123" i="35"/>
  <c r="T123" i="35"/>
  <c r="S123" i="35"/>
  <c r="W141" i="35"/>
  <c r="V141" i="35"/>
  <c r="U141" i="35"/>
  <c r="V129" i="35"/>
  <c r="U129" i="35"/>
  <c r="T129" i="35"/>
  <c r="S129" i="35"/>
  <c r="V133" i="35"/>
  <c r="U133" i="35"/>
  <c r="T133" i="35"/>
  <c r="S133" i="35"/>
  <c r="W133" i="35"/>
  <c r="V140" i="35"/>
  <c r="T140" i="35"/>
  <c r="S140" i="35"/>
  <c r="U140" i="35"/>
  <c r="W140" i="35"/>
  <c r="T132" i="35"/>
  <c r="S132" i="35"/>
  <c r="U132" i="35"/>
  <c r="V132" i="35"/>
  <c r="V134" i="35"/>
  <c r="U134" i="35"/>
  <c r="T134" i="35"/>
  <c r="S134" i="35"/>
  <c r="W134" i="35"/>
  <c r="S141" i="35"/>
  <c r="W139" i="35"/>
  <c r="T139" i="35"/>
  <c r="S139" i="35"/>
  <c r="V139" i="35"/>
  <c r="U139" i="35"/>
  <c r="V128" i="35"/>
  <c r="U128" i="35"/>
  <c r="T128" i="35"/>
  <c r="S128" i="35"/>
  <c r="W144" i="35"/>
  <c r="V144" i="35"/>
  <c r="U144" i="35"/>
  <c r="V138" i="35"/>
  <c r="S138" i="35"/>
  <c r="W138" i="35"/>
  <c r="U138" i="35"/>
  <c r="T138" i="35"/>
  <c r="V127" i="35"/>
  <c r="U127" i="35"/>
  <c r="T127" i="35"/>
  <c r="S127" i="35"/>
  <c r="W135" i="35"/>
  <c r="V135" i="35"/>
  <c r="U135" i="35"/>
  <c r="T135" i="35"/>
  <c r="S135" i="35"/>
  <c r="Q143" i="35"/>
  <c r="R143" i="35"/>
  <c r="P143" i="35"/>
  <c r="O143" i="35"/>
  <c r="N143" i="35"/>
  <c r="Q135" i="35"/>
  <c r="P135" i="35"/>
  <c r="O135" i="35"/>
  <c r="N135" i="35"/>
  <c r="R135" i="35"/>
  <c r="Q142" i="35"/>
  <c r="R142" i="35"/>
  <c r="P142" i="35"/>
  <c r="O142" i="35"/>
  <c r="N142" i="35"/>
  <c r="Q134" i="35"/>
  <c r="P134" i="35"/>
  <c r="O134" i="35"/>
  <c r="N134" i="35"/>
  <c r="R134" i="35"/>
  <c r="Q129" i="35"/>
  <c r="P129" i="35"/>
  <c r="O129" i="35"/>
  <c r="N129" i="35"/>
  <c r="R129" i="35"/>
  <c r="Q125" i="35"/>
  <c r="P125" i="35"/>
  <c r="O125" i="35"/>
  <c r="N125" i="35"/>
  <c r="R125" i="35"/>
  <c r="Q141" i="35"/>
  <c r="R141" i="35"/>
  <c r="P141" i="35"/>
  <c r="O141" i="35"/>
  <c r="N141" i="35"/>
  <c r="Q133" i="35"/>
  <c r="P133" i="35"/>
  <c r="O133" i="35"/>
  <c r="N133" i="35"/>
  <c r="R133" i="35"/>
  <c r="Q140" i="35"/>
  <c r="P140" i="35"/>
  <c r="O140" i="35"/>
  <c r="N140" i="35"/>
  <c r="R140" i="35"/>
  <c r="Q132" i="35"/>
  <c r="P132" i="35"/>
  <c r="O132" i="35"/>
  <c r="N132" i="35"/>
  <c r="R132" i="35"/>
  <c r="Q128" i="35"/>
  <c r="P128" i="35"/>
  <c r="O128" i="35"/>
  <c r="N128" i="35"/>
  <c r="R128" i="35"/>
  <c r="Q124" i="35"/>
  <c r="P124" i="35"/>
  <c r="O124" i="35"/>
  <c r="N124" i="35"/>
  <c r="R124" i="35"/>
  <c r="Q145" i="35"/>
  <c r="R145" i="35"/>
  <c r="P145" i="35"/>
  <c r="O145" i="35"/>
  <c r="N145" i="35"/>
  <c r="Q139" i="35"/>
  <c r="P139" i="35"/>
  <c r="O139" i="35"/>
  <c r="N139" i="35"/>
  <c r="R139" i="35"/>
  <c r="AC122" i="35"/>
  <c r="H145" i="35"/>
  <c r="D145" i="35" s="1"/>
  <c r="H144" i="35"/>
  <c r="AH144" i="35" s="1"/>
  <c r="H143" i="35"/>
  <c r="AH143" i="35" s="1"/>
  <c r="H142" i="35"/>
  <c r="D142" i="35" s="1"/>
  <c r="H141" i="35"/>
  <c r="AH141" i="35" s="1"/>
  <c r="H140" i="35"/>
  <c r="D140" i="35" s="1"/>
  <c r="H139" i="35"/>
  <c r="AI139" i="35" s="1"/>
  <c r="H138" i="35"/>
  <c r="AI138" i="35" s="1"/>
  <c r="H137" i="35"/>
  <c r="D137" i="35" s="1"/>
  <c r="I137" i="35" s="1"/>
  <c r="H136" i="35"/>
  <c r="AI136" i="35" s="1"/>
  <c r="H135" i="35"/>
  <c r="AH135" i="35" s="1"/>
  <c r="H134" i="35"/>
  <c r="D134" i="35" s="1"/>
  <c r="AE122" i="35"/>
  <c r="H126" i="35"/>
  <c r="AH126" i="35" s="1"/>
  <c r="AD122" i="35"/>
  <c r="H133" i="35"/>
  <c r="AH133" i="35" s="1"/>
  <c r="H127" i="35"/>
  <c r="AH127" i="35" s="1"/>
  <c r="H128" i="35"/>
  <c r="D128" i="35" s="1"/>
  <c r="H125" i="35"/>
  <c r="AH125" i="35" s="1"/>
  <c r="H129" i="35"/>
  <c r="AH129" i="35" s="1"/>
  <c r="H130" i="35"/>
  <c r="AH130" i="35" s="1"/>
  <c r="H124" i="35"/>
  <c r="D124" i="35" s="1"/>
  <c r="H131" i="35"/>
  <c r="AH131" i="35" s="1"/>
  <c r="AG122" i="35"/>
  <c r="H132" i="35"/>
  <c r="AH132" i="35" s="1"/>
  <c r="H123" i="35"/>
  <c r="D123" i="35" s="1"/>
  <c r="AF122" i="35"/>
  <c r="AI129" i="35"/>
  <c r="Q138" i="35"/>
  <c r="P138" i="35"/>
  <c r="O138" i="35"/>
  <c r="N138" i="35"/>
  <c r="R138" i="35"/>
  <c r="Q131" i="35"/>
  <c r="P131" i="35"/>
  <c r="O131" i="35"/>
  <c r="N131" i="35"/>
  <c r="R131" i="35"/>
  <c r="Q127" i="35"/>
  <c r="P127" i="35"/>
  <c r="O127" i="35"/>
  <c r="N127" i="35"/>
  <c r="R127" i="35"/>
  <c r="Q123" i="35"/>
  <c r="P123" i="35"/>
  <c r="O123" i="35"/>
  <c r="N123" i="35"/>
  <c r="R123" i="35"/>
  <c r="Q137" i="35"/>
  <c r="P137" i="35"/>
  <c r="O137" i="35"/>
  <c r="N137" i="35"/>
  <c r="R137" i="35"/>
  <c r="Q144" i="35"/>
  <c r="R144" i="35"/>
  <c r="P144" i="35"/>
  <c r="O144" i="35"/>
  <c r="N144" i="35"/>
  <c r="Q136" i="35"/>
  <c r="P136" i="35"/>
  <c r="O136" i="35"/>
  <c r="N136" i="35"/>
  <c r="R136" i="35"/>
  <c r="Q130" i="35"/>
  <c r="P130" i="35"/>
  <c r="O130" i="35"/>
  <c r="N130" i="35"/>
  <c r="R130" i="35"/>
  <c r="Q126" i="35"/>
  <c r="P126" i="35"/>
  <c r="O126" i="35"/>
  <c r="N126" i="35"/>
  <c r="R126" i="35"/>
  <c r="N87" i="36" a="1"/>
  <c r="N87" i="36" s="1"/>
  <c r="H87" i="36" a="1"/>
  <c r="H87" i="36" s="1"/>
  <c r="D87" i="36" a="1"/>
  <c r="D87" i="36" s="1"/>
  <c r="J124" i="36"/>
  <c r="I124" i="36"/>
  <c r="M124" i="36"/>
  <c r="L124" i="36"/>
  <c r="K124" i="36"/>
  <c r="AG123" i="36"/>
  <c r="AF123" i="36"/>
  <c r="AE123" i="36"/>
  <c r="AD123" i="36"/>
  <c r="AC123" i="36"/>
  <c r="AH123" i="36"/>
  <c r="AG130" i="36"/>
  <c r="AF130" i="36"/>
  <c r="AD130" i="36"/>
  <c r="AC130" i="36"/>
  <c r="AE130" i="36"/>
  <c r="AG138" i="36"/>
  <c r="AF138" i="36"/>
  <c r="AE138" i="36"/>
  <c r="AD138" i="36"/>
  <c r="AC138" i="36"/>
  <c r="AG124" i="36"/>
  <c r="AF124" i="36"/>
  <c r="AE124" i="36"/>
  <c r="AD124" i="36"/>
  <c r="AC124" i="36"/>
  <c r="AG131" i="36"/>
  <c r="AF131" i="36"/>
  <c r="AE131" i="36"/>
  <c r="AD131" i="36"/>
  <c r="AC131" i="36"/>
  <c r="AG139" i="36"/>
  <c r="AF139" i="36"/>
  <c r="AE139" i="36"/>
  <c r="AD139" i="36"/>
  <c r="AC139" i="36"/>
  <c r="J122" i="36"/>
  <c r="I122" i="36"/>
  <c r="K122" i="36"/>
  <c r="M122" i="36"/>
  <c r="L122" i="36"/>
  <c r="AG125" i="36"/>
  <c r="AC125" i="36"/>
  <c r="AD125" i="36"/>
  <c r="AF125" i="36"/>
  <c r="AE125" i="36"/>
  <c r="AG132" i="36"/>
  <c r="AF132" i="36"/>
  <c r="AE132" i="36"/>
  <c r="AD132" i="36"/>
  <c r="AC132" i="36"/>
  <c r="AG140" i="36"/>
  <c r="AF140" i="36"/>
  <c r="AE140" i="36"/>
  <c r="AD140" i="36"/>
  <c r="AC140" i="36"/>
  <c r="AH130" i="36"/>
  <c r="AG133" i="36"/>
  <c r="AF133" i="36"/>
  <c r="AE133" i="36"/>
  <c r="AD133" i="36"/>
  <c r="AC133" i="36"/>
  <c r="AG141" i="36"/>
  <c r="AF141" i="36"/>
  <c r="AE141" i="36"/>
  <c r="AD141" i="36"/>
  <c r="AC141" i="36"/>
  <c r="I125" i="36"/>
  <c r="K125" i="36"/>
  <c r="L125" i="36"/>
  <c r="J125" i="36"/>
  <c r="M125" i="36"/>
  <c r="AG126" i="36"/>
  <c r="AF126" i="36"/>
  <c r="AC126" i="36"/>
  <c r="AE126" i="36"/>
  <c r="AD126" i="36"/>
  <c r="AG134" i="36"/>
  <c r="AF134" i="36"/>
  <c r="AE134" i="36"/>
  <c r="AD134" i="36"/>
  <c r="AC134" i="36"/>
  <c r="AG142" i="36"/>
  <c r="AF142" i="36"/>
  <c r="AE142" i="36"/>
  <c r="AD142" i="36"/>
  <c r="AC142" i="36"/>
  <c r="AG127" i="36"/>
  <c r="AF127" i="36"/>
  <c r="AC127" i="36"/>
  <c r="AE127" i="36"/>
  <c r="AD127" i="36"/>
  <c r="AG135" i="36"/>
  <c r="AF135" i="36"/>
  <c r="AE135" i="36"/>
  <c r="AD135" i="36"/>
  <c r="AC135" i="36"/>
  <c r="AG143" i="36"/>
  <c r="AF143" i="36"/>
  <c r="AE143" i="36"/>
  <c r="AD143" i="36"/>
  <c r="AC143" i="36"/>
  <c r="AH143" i="36"/>
  <c r="J123" i="36"/>
  <c r="I123" i="36"/>
  <c r="K123" i="36"/>
  <c r="M123" i="36"/>
  <c r="L123" i="36"/>
  <c r="AG128" i="36"/>
  <c r="AF128" i="36"/>
  <c r="AD128" i="36"/>
  <c r="AC128" i="36"/>
  <c r="AE128" i="36"/>
  <c r="AG136" i="36"/>
  <c r="AF136" i="36"/>
  <c r="AE136" i="36"/>
  <c r="AD136" i="36"/>
  <c r="AC136" i="36"/>
  <c r="AG144" i="36"/>
  <c r="AF144" i="36"/>
  <c r="AE144" i="36"/>
  <c r="AD144" i="36"/>
  <c r="AC144" i="36"/>
  <c r="AH135" i="36"/>
  <c r="AH127" i="36"/>
  <c r="AH131" i="36"/>
  <c r="AH126" i="36"/>
  <c r="AG129" i="36"/>
  <c r="AF129" i="36"/>
  <c r="AD129" i="36"/>
  <c r="AC129" i="36"/>
  <c r="AE129" i="36"/>
  <c r="AG137" i="36"/>
  <c r="AF137" i="36"/>
  <c r="AE137" i="36"/>
  <c r="AD137" i="36"/>
  <c r="AC137" i="36"/>
  <c r="AG145" i="36"/>
  <c r="AF145" i="36"/>
  <c r="AE145" i="36"/>
  <c r="AD145" i="36"/>
  <c r="AC145" i="36"/>
  <c r="N87" i="35" a="1"/>
  <c r="N87" i="35" s="1"/>
  <c r="H87" i="35" a="1"/>
  <c r="H87" i="35" s="1"/>
  <c r="D87" i="35" a="1"/>
  <c r="D87" i="35" s="1"/>
  <c r="J560" i="2" l="1"/>
  <c r="J561" i="2"/>
  <c r="X34" i="5"/>
  <c r="X507" i="5"/>
  <c r="N10" i="27"/>
  <c r="J10" i="27" s="1"/>
  <c r="AI507" i="5"/>
  <c r="V507" i="5"/>
  <c r="BB102" i="5"/>
  <c r="BB104" i="5" s="1"/>
  <c r="AC106" i="5" s="1"/>
  <c r="G465" i="36"/>
  <c r="H470" i="36"/>
  <c r="M447" i="36"/>
  <c r="M423" i="36" s="1"/>
  <c r="T382" i="36"/>
  <c r="G469" i="36"/>
  <c r="T381" i="36"/>
  <c r="T383" i="36"/>
  <c r="Q551" i="2"/>
  <c r="Q542" i="2"/>
  <c r="E466" i="36"/>
  <c r="F469" i="36"/>
  <c r="E469" i="36"/>
  <c r="D469" i="36" s="1"/>
  <c r="F459" i="36"/>
  <c r="G474" i="36"/>
  <c r="H473" i="36"/>
  <c r="E459" i="36"/>
  <c r="H463" i="36"/>
  <c r="U335" i="35"/>
  <c r="AN337" i="35"/>
  <c r="U337" i="35"/>
  <c r="AN335" i="35"/>
  <c r="U339" i="35"/>
  <c r="C65" i="17"/>
  <c r="AU503" i="2"/>
  <c r="AU305" i="2"/>
  <c r="AU549" i="2"/>
  <c r="AU551" i="2"/>
  <c r="AU404" i="5"/>
  <c r="AU550" i="5"/>
  <c r="AT461" i="2"/>
  <c r="AT364" i="2"/>
  <c r="AT66" i="5"/>
  <c r="U208" i="10"/>
  <c r="T208" i="10"/>
  <c r="U457" i="2" s="1"/>
  <c r="T130" i="10"/>
  <c r="T164" i="10"/>
  <c r="T90" i="10"/>
  <c r="T74" i="10"/>
  <c r="T159" i="10"/>
  <c r="T116" i="10"/>
  <c r="T37" i="10"/>
  <c r="T68" i="10"/>
  <c r="T125" i="10"/>
  <c r="T161" i="10"/>
  <c r="T45" i="10"/>
  <c r="T23" i="10"/>
  <c r="AU528" i="5"/>
  <c r="AU548" i="5" s="1"/>
  <c r="AU206" i="5"/>
  <c r="T6" i="10"/>
  <c r="T91" i="10"/>
  <c r="AG48" i="10"/>
  <c r="AH48" i="10" s="1"/>
  <c r="AI48" i="10" s="1"/>
  <c r="AT466" i="5"/>
  <c r="AT17" i="2"/>
  <c r="AT63" i="5"/>
  <c r="AT463" i="2"/>
  <c r="AT58" i="2"/>
  <c r="AT261" i="5"/>
  <c r="AT456" i="5"/>
  <c r="AT160" i="2"/>
  <c r="AT162" i="5"/>
  <c r="AT171" i="2"/>
  <c r="AT355" i="2"/>
  <c r="AT264" i="2"/>
  <c r="U106" i="10"/>
  <c r="T106" i="10"/>
  <c r="R160" i="10"/>
  <c r="T160" i="10"/>
  <c r="R29" i="10"/>
  <c r="T29" i="10"/>
  <c r="U100" i="10"/>
  <c r="T100" i="10"/>
  <c r="U131" i="10"/>
  <c r="T131" i="10"/>
  <c r="AT366" i="2"/>
  <c r="AT68" i="2"/>
  <c r="AT359" i="5"/>
  <c r="U32" i="10"/>
  <c r="AT458" i="5" s="1"/>
  <c r="T32" i="10"/>
  <c r="U124" i="10"/>
  <c r="T124" i="10"/>
  <c r="U123" i="10"/>
  <c r="T123" i="10"/>
  <c r="U122" i="10"/>
  <c r="T122" i="10"/>
  <c r="R88" i="10"/>
  <c r="T88" i="10"/>
  <c r="R47" i="10"/>
  <c r="T47" i="10"/>
  <c r="R54" i="10"/>
  <c r="T54" i="10"/>
  <c r="U110" i="10"/>
  <c r="AG350" i="10" s="1"/>
  <c r="T110" i="10"/>
  <c r="U17" i="10"/>
  <c r="AT237" i="2" s="1"/>
  <c r="T17" i="10"/>
  <c r="U16" i="10"/>
  <c r="AG415" i="10" s="1"/>
  <c r="AH415" i="10" s="1"/>
  <c r="AI415" i="10" s="1"/>
  <c r="T16" i="10"/>
  <c r="R31" i="10"/>
  <c r="T31" i="10"/>
  <c r="AU521" i="5"/>
  <c r="AU551" i="5" s="1"/>
  <c r="AU503" i="5"/>
  <c r="T133" i="10"/>
  <c r="U102" i="10"/>
  <c r="T102" i="10"/>
  <c r="U10" i="10"/>
  <c r="T10" i="10"/>
  <c r="U43" i="10"/>
  <c r="T43" i="10"/>
  <c r="R151" i="10"/>
  <c r="T151" i="10"/>
  <c r="R64" i="10"/>
  <c r="T64" i="10"/>
  <c r="R157" i="10"/>
  <c r="T157" i="10"/>
  <c r="R27" i="10"/>
  <c r="T27" i="10"/>
  <c r="R15" i="10"/>
  <c r="T15" i="10"/>
  <c r="U18" i="10"/>
  <c r="T18" i="10"/>
  <c r="R12" i="10"/>
  <c r="T12" i="10"/>
  <c r="AG17" i="10"/>
  <c r="AH17" i="10" s="1"/>
  <c r="AI17" i="10" s="1"/>
  <c r="AT164" i="5"/>
  <c r="AT12" i="2"/>
  <c r="AT262" i="2"/>
  <c r="AT172" i="2"/>
  <c r="AU519" i="5"/>
  <c r="AU549" i="5" s="1"/>
  <c r="AU305" i="5"/>
  <c r="AT69" i="2"/>
  <c r="AT262" i="5"/>
  <c r="AT255" i="2"/>
  <c r="AT465" i="2"/>
  <c r="T39" i="10"/>
  <c r="T114" i="10"/>
  <c r="U108" i="10"/>
  <c r="T108" i="10"/>
  <c r="U163" i="10"/>
  <c r="T163" i="10"/>
  <c r="R158" i="10"/>
  <c r="T158" i="10"/>
  <c r="R121" i="10"/>
  <c r="T121" i="10"/>
  <c r="U99" i="10"/>
  <c r="T99" i="10"/>
  <c r="AG20" i="10"/>
  <c r="AH20" i="10" s="1"/>
  <c r="AI20" i="10" s="1"/>
  <c r="AT454" i="2"/>
  <c r="AT15" i="2"/>
  <c r="AT362" i="2"/>
  <c r="AT65" i="5"/>
  <c r="AT157" i="5"/>
  <c r="AT57" i="2"/>
  <c r="R21" i="10"/>
  <c r="T21" i="10"/>
  <c r="U92" i="10"/>
  <c r="T92" i="10"/>
  <c r="R105" i="10"/>
  <c r="T105" i="10"/>
  <c r="R56" i="10"/>
  <c r="T56" i="10"/>
  <c r="R53" i="10"/>
  <c r="T53" i="10"/>
  <c r="AT42" i="5"/>
  <c r="AT370" i="5"/>
  <c r="AT264" i="5"/>
  <c r="AT463" i="5"/>
  <c r="AT72" i="2"/>
  <c r="AT273" i="5"/>
  <c r="AT159" i="5"/>
  <c r="AT59" i="5"/>
  <c r="AT62" i="2"/>
  <c r="AT362" i="5"/>
  <c r="AT358" i="2"/>
  <c r="AT69" i="5"/>
  <c r="AT460" i="5"/>
  <c r="AT358" i="5"/>
  <c r="AT257" i="2"/>
  <c r="AT258" i="5"/>
  <c r="AT339" i="2"/>
  <c r="AT166" i="2"/>
  <c r="AT441" i="5"/>
  <c r="AT469" i="2"/>
  <c r="AT460" i="2"/>
  <c r="AT158" i="2"/>
  <c r="AG295" i="10"/>
  <c r="AH295" i="10" s="1"/>
  <c r="AI295" i="10" s="1"/>
  <c r="AT168" i="2"/>
  <c r="AT161" i="5"/>
  <c r="AT465" i="5"/>
  <c r="AT455" i="2"/>
  <c r="R65" i="10"/>
  <c r="T65" i="10"/>
  <c r="R7" i="10"/>
  <c r="T7" i="10"/>
  <c r="R141" i="10"/>
  <c r="T141" i="10"/>
  <c r="R11" i="10"/>
  <c r="T11" i="10"/>
  <c r="AG6" i="10"/>
  <c r="AH6" i="10" s="1"/>
  <c r="AI6" i="10" s="1"/>
  <c r="AT11" i="5"/>
  <c r="AT32" i="5" s="1"/>
  <c r="AU532" i="5"/>
  <c r="T48" i="10"/>
  <c r="T104" i="10"/>
  <c r="U9" i="10"/>
  <c r="AT237" i="5" s="1"/>
  <c r="T9" i="10"/>
  <c r="U14" i="10"/>
  <c r="T14" i="10"/>
  <c r="R152" i="10"/>
  <c r="T152" i="10"/>
  <c r="R119" i="10"/>
  <c r="T119" i="10"/>
  <c r="R150" i="10"/>
  <c r="T150" i="10"/>
  <c r="U113" i="10"/>
  <c r="T113" i="10"/>
  <c r="AT59" i="2"/>
  <c r="AT454" i="5"/>
  <c r="AT361" i="5"/>
  <c r="AT258" i="2"/>
  <c r="AT357" i="5"/>
  <c r="AT354" i="2"/>
  <c r="AT257" i="5"/>
  <c r="AT165" i="2"/>
  <c r="AT158" i="5"/>
  <c r="R13" i="10"/>
  <c r="T13" i="10"/>
  <c r="R20" i="10"/>
  <c r="T20" i="10"/>
  <c r="T85" i="10"/>
  <c r="T127" i="10"/>
  <c r="T154" i="10"/>
  <c r="T128" i="10"/>
  <c r="AT434" i="5"/>
  <c r="AT335" i="2"/>
  <c r="AT159" i="2"/>
  <c r="AT336" i="2"/>
  <c r="AT256" i="2"/>
  <c r="AT66" i="2"/>
  <c r="AT356" i="5"/>
  <c r="AT459" i="2"/>
  <c r="AT269" i="5"/>
  <c r="AT455" i="5"/>
  <c r="AT435" i="5"/>
  <c r="AT363" i="5"/>
  <c r="AT61" i="5"/>
  <c r="AT359" i="2"/>
  <c r="AT259" i="5"/>
  <c r="AG38" i="10"/>
  <c r="AH38" i="10" s="1"/>
  <c r="AI38" i="10" s="1"/>
  <c r="AT255" i="5"/>
  <c r="AT13" i="2"/>
  <c r="AU532" i="2"/>
  <c r="T76" i="10"/>
  <c r="AT357" i="2"/>
  <c r="AT354" i="5"/>
  <c r="AT57" i="5"/>
  <c r="T111" i="10"/>
  <c r="T36" i="10"/>
  <c r="T42" i="10"/>
  <c r="AG23" i="10"/>
  <c r="AH23" i="10" s="1"/>
  <c r="AI23" i="10" s="1"/>
  <c r="AT71" i="2"/>
  <c r="AT68" i="5"/>
  <c r="AT11" i="2"/>
  <c r="AT468" i="2"/>
  <c r="AT263" i="5"/>
  <c r="AT369" i="5"/>
  <c r="AU520" i="2"/>
  <c r="AU550" i="2" s="1"/>
  <c r="AU404" i="2"/>
  <c r="AU547" i="5"/>
  <c r="AU512" i="5"/>
  <c r="T82" i="10"/>
  <c r="T107" i="10"/>
  <c r="T129" i="10"/>
  <c r="T62" i="10"/>
  <c r="T83" i="10"/>
  <c r="AT453" i="5"/>
  <c r="AT67" i="2"/>
  <c r="AT38" i="2"/>
  <c r="AT236" i="2"/>
  <c r="AT434" i="2"/>
  <c r="AT341" i="2"/>
  <c r="AG16" i="10"/>
  <c r="AT467" i="5"/>
  <c r="AT58" i="5"/>
  <c r="AT14" i="2"/>
  <c r="AT138" i="2"/>
  <c r="AT265" i="2"/>
  <c r="AT462" i="2"/>
  <c r="U180" i="10"/>
  <c r="AG383" i="10" s="1"/>
  <c r="AH383" i="10" s="1"/>
  <c r="AI383" i="10" s="1"/>
  <c r="AU518" i="2"/>
  <c r="AU548" i="2" s="1"/>
  <c r="AU206" i="2"/>
  <c r="AU107" i="5"/>
  <c r="T71" i="10"/>
  <c r="T77" i="10"/>
  <c r="T126" i="10"/>
  <c r="T118" i="10"/>
  <c r="T155" i="10"/>
  <c r="T117" i="10"/>
  <c r="T58" i="10"/>
  <c r="T41" i="10"/>
  <c r="T46" i="10"/>
  <c r="AG53" i="10"/>
  <c r="AT459" i="5"/>
  <c r="AG286" i="10"/>
  <c r="AT456" i="2"/>
  <c r="AU507" i="2"/>
  <c r="AU107" i="2"/>
  <c r="T112" i="10"/>
  <c r="T73" i="10"/>
  <c r="T78" i="10"/>
  <c r="T70" i="10"/>
  <c r="T97" i="10"/>
  <c r="T84" i="10"/>
  <c r="T22" i="10"/>
  <c r="T79" i="10"/>
  <c r="T67" i="10"/>
  <c r="T98" i="10"/>
  <c r="T38" i="10"/>
  <c r="T89" i="10"/>
  <c r="T93" i="10"/>
  <c r="G471" i="36"/>
  <c r="E470" i="36"/>
  <c r="F462" i="36"/>
  <c r="E465" i="36"/>
  <c r="H466" i="36"/>
  <c r="H459" i="36"/>
  <c r="H462" i="36"/>
  <c r="F467" i="36"/>
  <c r="K447" i="36"/>
  <c r="O447" i="36"/>
  <c r="Q379" i="36"/>
  <c r="Q366" i="36"/>
  <c r="M427" i="36"/>
  <c r="G462" i="36"/>
  <c r="G464" i="36"/>
  <c r="E473" i="36"/>
  <c r="D473" i="36" s="1"/>
  <c r="E476" i="36"/>
  <c r="E474" i="36"/>
  <c r="I447" i="36"/>
  <c r="Q447" i="36"/>
  <c r="R366" i="36"/>
  <c r="R379" i="36"/>
  <c r="S379" i="36"/>
  <c r="S366" i="36"/>
  <c r="G461" i="36"/>
  <c r="G463" i="36"/>
  <c r="AK507" i="5"/>
  <c r="F463" i="36"/>
  <c r="H472" i="36"/>
  <c r="E468" i="36"/>
  <c r="E472" i="36"/>
  <c r="E462" i="36"/>
  <c r="D462" i="36" s="1"/>
  <c r="BO32" i="5"/>
  <c r="N222" i="36" s="1"/>
  <c r="E460" i="36"/>
  <c r="F470" i="36"/>
  <c r="H460" i="36"/>
  <c r="F476" i="36"/>
  <c r="P447" i="36"/>
  <c r="S447" i="36"/>
  <c r="E366" i="36"/>
  <c r="E379" i="36"/>
  <c r="T403" i="36"/>
  <c r="T366" i="36" s="1"/>
  <c r="N379" i="36"/>
  <c r="N366" i="36"/>
  <c r="N425" i="36"/>
  <c r="T429" i="36"/>
  <c r="D423" i="36"/>
  <c r="D426" i="36"/>
  <c r="T444" i="36"/>
  <c r="T441" i="36"/>
  <c r="O425" i="36"/>
  <c r="G473" i="36"/>
  <c r="G460" i="36"/>
  <c r="G467" i="36"/>
  <c r="F471" i="36"/>
  <c r="F468" i="36"/>
  <c r="E464" i="36"/>
  <c r="E461" i="36"/>
  <c r="H477" i="36"/>
  <c r="H476" i="36"/>
  <c r="H464" i="36"/>
  <c r="L447" i="36"/>
  <c r="N447" i="36"/>
  <c r="L379" i="36"/>
  <c r="L366" i="36"/>
  <c r="F379" i="36"/>
  <c r="F366" i="36"/>
  <c r="T437" i="36"/>
  <c r="N163" i="36"/>
  <c r="N190" i="36" s="1"/>
  <c r="F472" i="36"/>
  <c r="F475" i="36"/>
  <c r="F477" i="36"/>
  <c r="F466" i="36"/>
  <c r="H475" i="36"/>
  <c r="H465" i="36"/>
  <c r="E447" i="36"/>
  <c r="F447" i="36"/>
  <c r="G379" i="36"/>
  <c r="G366" i="36"/>
  <c r="H366" i="36"/>
  <c r="H379" i="36"/>
  <c r="J427" i="36"/>
  <c r="T439" i="36"/>
  <c r="T442" i="36"/>
  <c r="G468" i="36"/>
  <c r="G475" i="36"/>
  <c r="F464" i="36"/>
  <c r="H461" i="36"/>
  <c r="E467" i="36"/>
  <c r="F461" i="36"/>
  <c r="F474" i="36"/>
  <c r="H469" i="36"/>
  <c r="H471" i="36"/>
  <c r="G447" i="36"/>
  <c r="J366" i="36"/>
  <c r="J379" i="36"/>
  <c r="K366" i="36"/>
  <c r="K379" i="36"/>
  <c r="T424" i="36"/>
  <c r="R447" i="36"/>
  <c r="J447" i="36"/>
  <c r="M379" i="36"/>
  <c r="M366" i="36"/>
  <c r="I366" i="36"/>
  <c r="I379" i="36"/>
  <c r="T445" i="36"/>
  <c r="E463" i="36"/>
  <c r="G466" i="36"/>
  <c r="G459" i="36"/>
  <c r="AC312" i="36"/>
  <c r="H312" i="36" s="1"/>
  <c r="AC307" i="36"/>
  <c r="H307" i="36" s="1"/>
  <c r="AC315" i="36"/>
  <c r="AC319" i="36"/>
  <c r="AC317" i="36"/>
  <c r="AC313" i="36"/>
  <c r="H313" i="36" s="1"/>
  <c r="AC305" i="36"/>
  <c r="AC311" i="36"/>
  <c r="H311" i="36" s="1"/>
  <c r="AC310" i="36"/>
  <c r="H310" i="36" s="1"/>
  <c r="AC308" i="36"/>
  <c r="AC306" i="36"/>
  <c r="AC316" i="36"/>
  <c r="AC318" i="36"/>
  <c r="AC314" i="36"/>
  <c r="AC309" i="36"/>
  <c r="G476" i="36"/>
  <c r="F465" i="36"/>
  <c r="E471" i="36"/>
  <c r="E477" i="36"/>
  <c r="E475" i="36"/>
  <c r="F460" i="36"/>
  <c r="H474" i="36"/>
  <c r="H447" i="36"/>
  <c r="O366" i="36"/>
  <c r="O379" i="36"/>
  <c r="P366" i="36"/>
  <c r="P379" i="36"/>
  <c r="P426" i="36"/>
  <c r="D425" i="36"/>
  <c r="T443" i="36"/>
  <c r="T468" i="5"/>
  <c r="L468" i="5"/>
  <c r="U468" i="5"/>
  <c r="T354" i="5"/>
  <c r="T57" i="5"/>
  <c r="L57" i="5"/>
  <c r="L354" i="5"/>
  <c r="U57" i="5"/>
  <c r="T71" i="2"/>
  <c r="T369" i="5"/>
  <c r="L68" i="5"/>
  <c r="T263" i="5"/>
  <c r="L263" i="5"/>
  <c r="T68" i="5"/>
  <c r="L369" i="5"/>
  <c r="U68" i="5"/>
  <c r="T66" i="5"/>
  <c r="L66" i="5"/>
  <c r="U66" i="5"/>
  <c r="Y313" i="36"/>
  <c r="J313" i="36" s="1"/>
  <c r="M354" i="36"/>
  <c r="M336" i="36" s="1"/>
  <c r="AF354" i="35"/>
  <c r="L13" i="2"/>
  <c r="T255" i="5"/>
  <c r="L255" i="5"/>
  <c r="U354" i="5"/>
  <c r="T69" i="2"/>
  <c r="T262" i="5"/>
  <c r="L262" i="5"/>
  <c r="T11" i="5"/>
  <c r="L11" i="5"/>
  <c r="U11" i="5"/>
  <c r="U369" i="5"/>
  <c r="U263" i="5"/>
  <c r="U255" i="5"/>
  <c r="U172" i="2"/>
  <c r="L164" i="5"/>
  <c r="T164" i="5"/>
  <c r="Y304" i="36" s="1"/>
  <c r="J304" i="36" s="1"/>
  <c r="BJ32" i="5"/>
  <c r="BJ34" i="5" s="1"/>
  <c r="AK36" i="5" s="1"/>
  <c r="BE32" i="5"/>
  <c r="N212" i="36" s="1"/>
  <c r="BN249" i="5"/>
  <c r="BG32" i="5"/>
  <c r="N214" i="36" s="1"/>
  <c r="BK32" i="5"/>
  <c r="AL35" i="5" s="1"/>
  <c r="BH32" i="5"/>
  <c r="N215" i="36" s="1"/>
  <c r="AY32" i="5"/>
  <c r="AY34" i="5" s="1"/>
  <c r="Z36" i="5" s="1"/>
  <c r="S32" i="5"/>
  <c r="BN32" i="5"/>
  <c r="N221" i="36" s="1"/>
  <c r="BC32" i="5"/>
  <c r="N210" i="36" s="1"/>
  <c r="BA32" i="5"/>
  <c r="BA34" i="5" s="1"/>
  <c r="AB36" i="5" s="1"/>
  <c r="AW32" i="5"/>
  <c r="X35" i="5" s="1"/>
  <c r="AV83" i="5"/>
  <c r="X203" i="36" s="1"/>
  <c r="BQ32" i="5"/>
  <c r="AR35" i="5" s="1"/>
  <c r="BF32" i="5"/>
  <c r="AG35" i="5" s="1"/>
  <c r="BP32" i="5"/>
  <c r="AQ35" i="5" s="1"/>
  <c r="BD32" i="5"/>
  <c r="BD34" i="5" s="1"/>
  <c r="AE36" i="5" s="1"/>
  <c r="BR32" i="5"/>
  <c r="N225" i="36" s="1"/>
  <c r="BB32" i="5"/>
  <c r="BB34" i="5" s="1"/>
  <c r="AC36" i="5" s="1"/>
  <c r="AV32" i="5"/>
  <c r="N203" i="36" s="1"/>
  <c r="L468" i="2"/>
  <c r="L465" i="2"/>
  <c r="U468" i="2"/>
  <c r="T468" i="2"/>
  <c r="U465" i="2"/>
  <c r="T465" i="2"/>
  <c r="L262" i="2"/>
  <c r="T262" i="2"/>
  <c r="T255" i="2"/>
  <c r="U262" i="2"/>
  <c r="L255" i="2"/>
  <c r="U255" i="2"/>
  <c r="T172" i="2"/>
  <c r="D354" i="35" s="1"/>
  <c r="L172" i="2"/>
  <c r="AD509" i="5"/>
  <c r="AD232" i="5"/>
  <c r="AC531" i="5"/>
  <c r="AG133" i="5"/>
  <c r="AE168" i="36"/>
  <c r="AL537" i="5"/>
  <c r="AC481" i="5"/>
  <c r="Z203" i="5"/>
  <c r="AC170" i="36"/>
  <c r="AJ331" i="5"/>
  <c r="AE152" i="5"/>
  <c r="AC156" i="36"/>
  <c r="AE162" i="36"/>
  <c r="AJ539" i="5"/>
  <c r="AD153" i="36"/>
  <c r="AD180" i="36" s="1"/>
  <c r="AE169" i="36"/>
  <c r="AE196" i="36" s="1"/>
  <c r="Y537" i="5"/>
  <c r="Y104" i="5"/>
  <c r="AF159" i="36"/>
  <c r="AF186" i="36" s="1"/>
  <c r="AF539" i="5"/>
  <c r="AE158" i="36"/>
  <c r="AE185" i="36" s="1"/>
  <c r="AJ537" i="5"/>
  <c r="AJ538" i="5"/>
  <c r="AB507" i="5"/>
  <c r="AG540" i="5"/>
  <c r="AE537" i="5"/>
  <c r="Z232" i="5"/>
  <c r="AF151" i="36"/>
  <c r="AF178" i="36" s="1"/>
  <c r="AE154" i="36"/>
  <c r="AE181" i="36" s="1"/>
  <c r="Y540" i="5"/>
  <c r="AB539" i="5"/>
  <c r="Z509" i="5"/>
  <c r="AR537" i="5"/>
  <c r="N154" i="36"/>
  <c r="N181" i="36" s="1"/>
  <c r="AC449" i="5"/>
  <c r="AM331" i="5"/>
  <c r="AC503" i="5"/>
  <c r="Q165" i="36"/>
  <c r="Q192" i="36" s="1"/>
  <c r="AC521" i="5"/>
  <c r="AF537" i="5"/>
  <c r="Z331" i="5"/>
  <c r="AQ539" i="5"/>
  <c r="AQ508" i="5"/>
  <c r="Y518" i="5"/>
  <c r="AA538" i="5"/>
  <c r="AS104" i="5"/>
  <c r="AR538" i="5"/>
  <c r="AF162" i="36"/>
  <c r="AF189" i="36" s="1"/>
  <c r="AQ133" i="5"/>
  <c r="AJ540" i="5"/>
  <c r="AD449" i="5"/>
  <c r="AM133" i="5"/>
  <c r="AR133" i="5"/>
  <c r="AD521" i="5"/>
  <c r="Z521" i="5"/>
  <c r="AD203" i="5"/>
  <c r="AD156" i="36"/>
  <c r="AD183" i="36" s="1"/>
  <c r="AC133" i="5"/>
  <c r="X539" i="5"/>
  <c r="X302" i="5"/>
  <c r="O155" i="36"/>
  <c r="O182" i="36" s="1"/>
  <c r="X449" i="5"/>
  <c r="AC541" i="2"/>
  <c r="AQ152" i="5"/>
  <c r="AF160" i="36"/>
  <c r="AF187" i="36" s="1"/>
  <c r="T169" i="36"/>
  <c r="T196" i="36" s="1"/>
  <c r="AF157" i="36"/>
  <c r="AF184" i="36" s="1"/>
  <c r="AH540" i="5"/>
  <c r="AG53" i="5"/>
  <c r="O156" i="36"/>
  <c r="O183" i="36" s="1"/>
  <c r="S159" i="36"/>
  <c r="S186" i="36" s="1"/>
  <c r="AE540" i="5"/>
  <c r="AD155" i="36"/>
  <c r="AD182" i="36" s="1"/>
  <c r="X521" i="5"/>
  <c r="AC538" i="5"/>
  <c r="AC548" i="5" s="1"/>
  <c r="J155" i="36" s="1"/>
  <c r="W541" i="5"/>
  <c r="N485" i="5"/>
  <c r="AC169" i="36"/>
  <c r="AC196" i="36" s="1"/>
  <c r="W500" i="5"/>
  <c r="AE152" i="36"/>
  <c r="AE179" i="36" s="1"/>
  <c r="AG570" i="5"/>
  <c r="Z539" i="5"/>
  <c r="AI521" i="5"/>
  <c r="AI551" i="5" s="1"/>
  <c r="M161" i="36" s="1"/>
  <c r="AI449" i="5"/>
  <c r="N287" i="5"/>
  <c r="AE149" i="36"/>
  <c r="AE176" i="36" s="1"/>
  <c r="AM508" i="5"/>
  <c r="AO251" i="5"/>
  <c r="W539" i="5"/>
  <c r="AO519" i="5"/>
  <c r="AD162" i="36"/>
  <c r="AD189" i="36" s="1"/>
  <c r="AC168" i="36"/>
  <c r="AC195" i="36" s="1"/>
  <c r="AP537" i="5"/>
  <c r="AE570" i="5"/>
  <c r="AE104" i="5"/>
  <c r="Q152" i="36"/>
  <c r="Q179" i="36" s="1"/>
  <c r="AD165" i="36"/>
  <c r="AD192" i="36" s="1"/>
  <c r="AS133" i="5"/>
  <c r="AL401" i="5"/>
  <c r="AI517" i="5"/>
  <c r="AM538" i="5"/>
  <c r="AF164" i="36"/>
  <c r="AF191" i="36" s="1"/>
  <c r="W540" i="5"/>
  <c r="X540" i="5"/>
  <c r="AI53" i="5"/>
  <c r="W401" i="5"/>
  <c r="AG539" i="5"/>
  <c r="AE159" i="36"/>
  <c r="AE186" i="36" s="1"/>
  <c r="AS508" i="5"/>
  <c r="AD170" i="36"/>
  <c r="AD197" i="36" s="1"/>
  <c r="AC171" i="36"/>
  <c r="AC198" i="36" s="1"/>
  <c r="Y152" i="5"/>
  <c r="AF150" i="36"/>
  <c r="AF177" i="36" s="1"/>
  <c r="Q162" i="36"/>
  <c r="Q189" i="36" s="1"/>
  <c r="AE156" i="36"/>
  <c r="AE183" i="36" s="1"/>
  <c r="AB538" i="5"/>
  <c r="AD154" i="36"/>
  <c r="AD181" i="36" s="1"/>
  <c r="AD169" i="36"/>
  <c r="AD196" i="36" s="1"/>
  <c r="AF155" i="36"/>
  <c r="AF182" i="36" s="1"/>
  <c r="AC164" i="36"/>
  <c r="AC191" i="36" s="1"/>
  <c r="AO331" i="5"/>
  <c r="AD539" i="5"/>
  <c r="AC540" i="5"/>
  <c r="W158" i="36"/>
  <c r="W185" i="36" s="1"/>
  <c r="AC500" i="2"/>
  <c r="AQ537" i="5"/>
  <c r="AH331" i="5"/>
  <c r="AD517" i="5"/>
  <c r="Q160" i="36"/>
  <c r="Q187" i="36" s="1"/>
  <c r="Z104" i="5"/>
  <c r="AC158" i="36"/>
  <c r="AC185" i="36" s="1"/>
  <c r="AE165" i="36"/>
  <c r="AE192" i="36" s="1"/>
  <c r="AD53" i="5"/>
  <c r="AM539" i="5"/>
  <c r="AF449" i="5"/>
  <c r="AC152" i="36"/>
  <c r="AC179" i="36" s="1"/>
  <c r="AE518" i="5"/>
  <c r="BI131" i="5"/>
  <c r="AJ134" i="5" s="1"/>
  <c r="AC159" i="36"/>
  <c r="AC186" i="36" s="1"/>
  <c r="O163" i="36"/>
  <c r="O190" i="36" s="1"/>
  <c r="AG537" i="5"/>
  <c r="X104" i="5"/>
  <c r="AC150" i="36"/>
  <c r="AC177" i="36" s="1"/>
  <c r="BE102" i="5"/>
  <c r="BE104" i="5" s="1"/>
  <c r="AF106" i="5" s="1"/>
  <c r="R509" i="5"/>
  <c r="S509" i="5" s="1"/>
  <c r="R208" i="10"/>
  <c r="AG283" i="10"/>
  <c r="AH283" i="10" s="1"/>
  <c r="AI283" i="10" s="1"/>
  <c r="AA331" i="5"/>
  <c r="Q153" i="36"/>
  <c r="Q180" i="36" s="1"/>
  <c r="AF170" i="36"/>
  <c r="AF197" i="36" s="1"/>
  <c r="AM537" i="5"/>
  <c r="AR540" i="5"/>
  <c r="Y133" i="5"/>
  <c r="O151" i="36"/>
  <c r="O178" i="36" s="1"/>
  <c r="AC165" i="36"/>
  <c r="AC192" i="36" s="1"/>
  <c r="AE161" i="36"/>
  <c r="AE188" i="36" s="1"/>
  <c r="AE163" i="36"/>
  <c r="AE190" i="36" s="1"/>
  <c r="AD133" i="5"/>
  <c r="AK539" i="5"/>
  <c r="AF169" i="36"/>
  <c r="AF196" i="36" s="1"/>
  <c r="AQ540" i="5"/>
  <c r="AI539" i="5"/>
  <c r="AF158" i="36"/>
  <c r="AF185" i="36" s="1"/>
  <c r="AK521" i="5"/>
  <c r="AE164" i="36"/>
  <c r="AE191" i="36" s="1"/>
  <c r="AK538" i="5"/>
  <c r="AF540" i="5"/>
  <c r="AK449" i="5"/>
  <c r="AH152" i="5"/>
  <c r="AL539" i="5"/>
  <c r="AD163" i="36"/>
  <c r="AD190" i="36" s="1"/>
  <c r="AH537" i="5"/>
  <c r="AC160" i="36"/>
  <c r="AC187" i="36" s="1"/>
  <c r="AN508" i="5"/>
  <c r="AN133" i="5"/>
  <c r="AK508" i="5"/>
  <c r="AJ570" i="5"/>
  <c r="AR508" i="5"/>
  <c r="N164" i="36"/>
  <c r="N191" i="36" s="1"/>
  <c r="AG521" i="5"/>
  <c r="AE270" i="36"/>
  <c r="AE267" i="36"/>
  <c r="AE273" i="36"/>
  <c r="AE266" i="36"/>
  <c r="BM300" i="5"/>
  <c r="AN303" i="5" s="1"/>
  <c r="R508" i="5"/>
  <c r="S508" i="5" s="1"/>
  <c r="V107" i="5"/>
  <c r="I230" i="36" s="1"/>
  <c r="AE271" i="36"/>
  <c r="AE269" i="36"/>
  <c r="AE263" i="36"/>
  <c r="AE262" i="36"/>
  <c r="S182" i="5"/>
  <c r="AB423" i="35"/>
  <c r="AL423" i="35" s="1"/>
  <c r="V541" i="2"/>
  <c r="AZ230" i="5"/>
  <c r="AA233" i="5" s="1"/>
  <c r="U71" i="2"/>
  <c r="L71" i="2"/>
  <c r="BI300" i="5"/>
  <c r="AJ303" i="5" s="1"/>
  <c r="AY447" i="5"/>
  <c r="Z450" i="5" s="1"/>
  <c r="AC153" i="36"/>
  <c r="AC180" i="36" s="1"/>
  <c r="AA537" i="5"/>
  <c r="AF538" i="5"/>
  <c r="AC154" i="36"/>
  <c r="AC181" i="36" s="1"/>
  <c r="AD158" i="36"/>
  <c r="AD185" i="36" s="1"/>
  <c r="BE300" i="5"/>
  <c r="AF303" i="5" s="1"/>
  <c r="Q166" i="36"/>
  <c r="Q193" i="36" s="1"/>
  <c r="AC163" i="36"/>
  <c r="AC190" i="36" s="1"/>
  <c r="AF570" i="5"/>
  <c r="AN531" i="5"/>
  <c r="AB537" i="5"/>
  <c r="AN481" i="5"/>
  <c r="AF517" i="5"/>
  <c r="AK537" i="5"/>
  <c r="AD161" i="36"/>
  <c r="AD188" i="36" s="1"/>
  <c r="AF53" i="5"/>
  <c r="BL102" i="5"/>
  <c r="BL104" i="5" s="1"/>
  <c r="AM106" i="5" s="1"/>
  <c r="AW150" i="5"/>
  <c r="AW152" i="5" s="1"/>
  <c r="X154" i="5" s="1"/>
  <c r="L41" i="2"/>
  <c r="T41" i="2"/>
  <c r="D347" i="35" s="1"/>
  <c r="L69" i="2"/>
  <c r="U69" i="2"/>
  <c r="U41" i="2"/>
  <c r="T13" i="2"/>
  <c r="H341" i="35" s="1"/>
  <c r="U13" i="2"/>
  <c r="BA300" i="5"/>
  <c r="AB303" i="5" s="1"/>
  <c r="V537" i="5"/>
  <c r="V547" i="5" s="1"/>
  <c r="AZ102" i="5"/>
  <c r="AA105" i="5" s="1"/>
  <c r="AE274" i="36"/>
  <c r="AE261" i="36"/>
  <c r="AE276" i="36"/>
  <c r="AE268" i="36"/>
  <c r="AE265" i="36"/>
  <c r="V539" i="5"/>
  <c r="AE272" i="36"/>
  <c r="AE230" i="36"/>
  <c r="AE275" i="36"/>
  <c r="AZ329" i="5"/>
  <c r="AZ331" i="5" s="1"/>
  <c r="AA333" i="5" s="1"/>
  <c r="BF230" i="5"/>
  <c r="BF232" i="5" s="1"/>
  <c r="AG234" i="5" s="1"/>
  <c r="S150" i="5"/>
  <c r="BB300" i="5"/>
  <c r="AC303" i="5" s="1"/>
  <c r="L426" i="35"/>
  <c r="BK300" i="5"/>
  <c r="AL303" i="5" s="1"/>
  <c r="BF300" i="5"/>
  <c r="AG303" i="5" s="1"/>
  <c r="BC300" i="5"/>
  <c r="BC302" i="5" s="1"/>
  <c r="AD304" i="5" s="1"/>
  <c r="BJ300" i="5"/>
  <c r="AK303" i="5" s="1"/>
  <c r="BJ447" i="5"/>
  <c r="AK450" i="5" s="1"/>
  <c r="BB230" i="5"/>
  <c r="AC233" i="5" s="1"/>
  <c r="Z508" i="5"/>
  <c r="Z133" i="5"/>
  <c r="AY230" i="5"/>
  <c r="AY232" i="5" s="1"/>
  <c r="Z234" i="5" s="1"/>
  <c r="AG331" i="5"/>
  <c r="BA51" i="5"/>
  <c r="AB54" i="5" s="1"/>
  <c r="BJ230" i="5"/>
  <c r="BJ232" i="5" s="1"/>
  <c r="AK234" i="5" s="1"/>
  <c r="AW300" i="5"/>
  <c r="AW302" i="5" s="1"/>
  <c r="X304" i="5" s="1"/>
  <c r="U12" i="2"/>
  <c r="L12" i="2"/>
  <c r="T12" i="2"/>
  <c r="U11" i="2"/>
  <c r="T11" i="2"/>
  <c r="P341" i="35" s="1"/>
  <c r="T357" i="2"/>
  <c r="G356" i="35" s="1"/>
  <c r="U357" i="2"/>
  <c r="L357" i="2"/>
  <c r="L364" i="2"/>
  <c r="U461" i="2"/>
  <c r="L461" i="2"/>
  <c r="T461" i="2"/>
  <c r="T364" i="2"/>
  <c r="U364" i="2"/>
  <c r="L456" i="2"/>
  <c r="U456" i="2"/>
  <c r="T456" i="2"/>
  <c r="L11" i="2"/>
  <c r="BH300" i="5"/>
  <c r="AI303" i="5" s="1"/>
  <c r="BC230" i="5"/>
  <c r="AD233" i="5" s="1"/>
  <c r="BK399" i="5"/>
  <c r="BK401" i="5" s="1"/>
  <c r="AL403" i="5" s="1"/>
  <c r="P166" i="36"/>
  <c r="P193" i="36" s="1"/>
  <c r="BH329" i="5"/>
  <c r="AI332" i="5" s="1"/>
  <c r="AP34" i="5"/>
  <c r="N386" i="5"/>
  <c r="AN509" i="5"/>
  <c r="BA447" i="5"/>
  <c r="AB450" i="5" s="1"/>
  <c r="BD447" i="5"/>
  <c r="W211" i="36" s="1"/>
  <c r="BN329" i="5"/>
  <c r="AO332" i="5" s="1"/>
  <c r="AG225" i="10"/>
  <c r="AH225" i="10" s="1"/>
  <c r="AI225" i="10" s="1"/>
  <c r="BI230" i="5"/>
  <c r="AJ233" i="5" s="1"/>
  <c r="AG14" i="10"/>
  <c r="AH14" i="10" s="1"/>
  <c r="AI14" i="10" s="1"/>
  <c r="AW447" i="5"/>
  <c r="AW449" i="5" s="1"/>
  <c r="X451" i="5" s="1"/>
  <c r="BN300" i="5"/>
  <c r="BN302" i="5" s="1"/>
  <c r="AO304" i="5" s="1"/>
  <c r="BC447" i="5"/>
  <c r="AD450" i="5" s="1"/>
  <c r="BD300" i="5"/>
  <c r="BD302" i="5" s="1"/>
  <c r="AE304" i="5" s="1"/>
  <c r="BJ51" i="5"/>
  <c r="AK54" i="5" s="1"/>
  <c r="BH447" i="5"/>
  <c r="AI450" i="5" s="1"/>
  <c r="BG399" i="5"/>
  <c r="AH402" i="5" s="1"/>
  <c r="BH399" i="5"/>
  <c r="AI402" i="5" s="1"/>
  <c r="AY300" i="5"/>
  <c r="AY302" i="5" s="1"/>
  <c r="Z304" i="5" s="1"/>
  <c r="BF399" i="5"/>
  <c r="BF401" i="5" s="1"/>
  <c r="AG403" i="5" s="1"/>
  <c r="Q261" i="36"/>
  <c r="BQ329" i="5"/>
  <c r="BQ331" i="5" s="1"/>
  <c r="AR333" i="5" s="1"/>
  <c r="BF51" i="5"/>
  <c r="AG54" i="5" s="1"/>
  <c r="S300" i="5"/>
  <c r="BR230" i="5"/>
  <c r="AS233" i="5" s="1"/>
  <c r="BG230" i="5"/>
  <c r="AH233" i="5" s="1"/>
  <c r="BD230" i="5"/>
  <c r="BD232" i="5" s="1"/>
  <c r="AE234" i="5" s="1"/>
  <c r="BE329" i="5"/>
  <c r="AF332" i="5" s="1"/>
  <c r="BR329" i="5"/>
  <c r="BR331" i="5" s="1"/>
  <c r="AS333" i="5" s="1"/>
  <c r="Q262" i="36"/>
  <c r="Q273" i="36"/>
  <c r="BB329" i="5"/>
  <c r="BB331" i="5" s="1"/>
  <c r="AC333" i="5" s="1"/>
  <c r="Q271" i="36"/>
  <c r="BI329" i="5"/>
  <c r="BI331" i="5" s="1"/>
  <c r="AJ333" i="5" s="1"/>
  <c r="Q276" i="36"/>
  <c r="Q266" i="36"/>
  <c r="Q274" i="36"/>
  <c r="BH230" i="5"/>
  <c r="AI233" i="5" s="1"/>
  <c r="Q268" i="36"/>
  <c r="Q263" i="36"/>
  <c r="BG329" i="5"/>
  <c r="Q214" i="36" s="1"/>
  <c r="Q275" i="36"/>
  <c r="Q270" i="36"/>
  <c r="BP300" i="5"/>
  <c r="AQ303" i="5" s="1"/>
  <c r="Q267" i="36"/>
  <c r="BA329" i="5"/>
  <c r="AB332" i="5" s="1"/>
  <c r="Q230" i="36"/>
  <c r="BD329" i="5"/>
  <c r="AE332" i="5" s="1"/>
  <c r="Q265" i="36"/>
  <c r="BK51" i="5"/>
  <c r="BK53" i="5" s="1"/>
  <c r="AL55" i="5" s="1"/>
  <c r="S329" i="5"/>
  <c r="Q272" i="36"/>
  <c r="Q264" i="36"/>
  <c r="Q269" i="36"/>
  <c r="BQ300" i="5"/>
  <c r="AR303" i="5" s="1"/>
  <c r="BM150" i="5"/>
  <c r="AN153" i="5" s="1"/>
  <c r="AV150" i="5"/>
  <c r="W153" i="5" s="1"/>
  <c r="AV230" i="5"/>
  <c r="P203" i="36" s="1"/>
  <c r="BE447" i="5"/>
  <c r="BE449" i="5" s="1"/>
  <c r="AF451" i="5" s="1"/>
  <c r="BM447" i="5"/>
  <c r="BM449" i="5" s="1"/>
  <c r="AN451" i="5" s="1"/>
  <c r="AW230" i="5"/>
  <c r="P204" i="36" s="1"/>
  <c r="BG447" i="5"/>
  <c r="AH450" i="5" s="1"/>
  <c r="C252" i="17"/>
  <c r="F426" i="35"/>
  <c r="BL447" i="5"/>
  <c r="AM450" i="5" s="1"/>
  <c r="BL300" i="5"/>
  <c r="BL302" i="5" s="1"/>
  <c r="AM304" i="5" s="1"/>
  <c r="BC329" i="5"/>
  <c r="BC331" i="5" s="1"/>
  <c r="AD333" i="5" s="1"/>
  <c r="BR447" i="5"/>
  <c r="BR449" i="5" s="1"/>
  <c r="AS451" i="5" s="1"/>
  <c r="BE51" i="5"/>
  <c r="BE53" i="5" s="1"/>
  <c r="AF55" i="5" s="1"/>
  <c r="BL329" i="5"/>
  <c r="BL331" i="5" s="1"/>
  <c r="AM333" i="5" s="1"/>
  <c r="BM329" i="5"/>
  <c r="BM331" i="5" s="1"/>
  <c r="AN333" i="5" s="1"/>
  <c r="AY329" i="5"/>
  <c r="AY331" i="5" s="1"/>
  <c r="Z333" i="5" s="1"/>
  <c r="BL230" i="5"/>
  <c r="AM233" i="5" s="1"/>
  <c r="R539" i="5"/>
  <c r="I539" i="5" s="1"/>
  <c r="AE231" i="36" s="1"/>
  <c r="BA150" i="5"/>
  <c r="AB153" i="5" s="1"/>
  <c r="V206" i="5"/>
  <c r="J230" i="36" s="1"/>
  <c r="BQ51" i="5"/>
  <c r="BQ53" i="5" s="1"/>
  <c r="AR55" i="5" s="1"/>
  <c r="BN447" i="5"/>
  <c r="AO450" i="5" s="1"/>
  <c r="BL399" i="5"/>
  <c r="AM402" i="5" s="1"/>
  <c r="J426" i="35"/>
  <c r="Y230" i="36"/>
  <c r="G423" i="35"/>
  <c r="AX51" i="5"/>
  <c r="Y54" i="5" s="1"/>
  <c r="BI150" i="5"/>
  <c r="AJ153" i="5" s="1"/>
  <c r="AX300" i="5"/>
  <c r="Y303" i="5" s="1"/>
  <c r="BD399" i="5"/>
  <c r="AE402" i="5" s="1"/>
  <c r="BP230" i="5"/>
  <c r="AQ233" i="5" s="1"/>
  <c r="BN150" i="5"/>
  <c r="AO153" i="5" s="1"/>
  <c r="BF447" i="5"/>
  <c r="AG450" i="5" s="1"/>
  <c r="BQ447" i="5"/>
  <c r="AR450" i="5" s="1"/>
  <c r="BH51" i="5"/>
  <c r="AI54" i="5" s="1"/>
  <c r="BF150" i="5"/>
  <c r="AG153" i="5" s="1"/>
  <c r="BB447" i="5"/>
  <c r="BB449" i="5" s="1"/>
  <c r="AC451" i="5" s="1"/>
  <c r="AX447" i="5"/>
  <c r="Y450" i="5" s="1"/>
  <c r="R518" i="5"/>
  <c r="I518" i="5" s="1"/>
  <c r="T231" i="36" s="1"/>
  <c r="BO447" i="5"/>
  <c r="AP450" i="5" s="1"/>
  <c r="BG51" i="5"/>
  <c r="AH54" i="5" s="1"/>
  <c r="BL150" i="5"/>
  <c r="AM153" i="5" s="1"/>
  <c r="BP150" i="5"/>
  <c r="BP152" i="5" s="1"/>
  <c r="AQ154" i="5" s="1"/>
  <c r="BB399" i="5"/>
  <c r="BB401" i="5" s="1"/>
  <c r="AC403" i="5" s="1"/>
  <c r="AW51" i="5"/>
  <c r="AW53" i="5" s="1"/>
  <c r="X55" i="5" s="1"/>
  <c r="AV51" i="5"/>
  <c r="W54" i="5" s="1"/>
  <c r="BH150" i="5"/>
  <c r="T215" i="36" s="1"/>
  <c r="BI399" i="5"/>
  <c r="AJ402" i="5" s="1"/>
  <c r="BO230" i="5"/>
  <c r="BO232" i="5" s="1"/>
  <c r="AP234" i="5" s="1"/>
  <c r="BO300" i="5"/>
  <c r="AP303" i="5" s="1"/>
  <c r="BQ230" i="5"/>
  <c r="BQ232" i="5" s="1"/>
  <c r="AR234" i="5" s="1"/>
  <c r="BL51" i="5"/>
  <c r="AM54" i="5" s="1"/>
  <c r="BO150" i="5"/>
  <c r="AP153" i="5" s="1"/>
  <c r="BC150" i="5"/>
  <c r="AD153" i="5" s="1"/>
  <c r="BE399" i="5"/>
  <c r="AF402" i="5" s="1"/>
  <c r="BA230" i="5"/>
  <c r="AB233" i="5" s="1"/>
  <c r="BR300" i="5"/>
  <c r="AS303" i="5" s="1"/>
  <c r="AY102" i="5"/>
  <c r="Z105" i="5" s="1"/>
  <c r="BJ498" i="2"/>
  <c r="BJ500" i="2" s="1"/>
  <c r="AK502" i="2" s="1"/>
  <c r="BE230" i="5"/>
  <c r="AF233" i="5" s="1"/>
  <c r="BB51" i="5"/>
  <c r="BB53" i="5" s="1"/>
  <c r="AC55" i="5" s="1"/>
  <c r="W273" i="36"/>
  <c r="S51" i="5"/>
  <c r="W270" i="36"/>
  <c r="BG300" i="5"/>
  <c r="AH303" i="5" s="1"/>
  <c r="W268" i="36"/>
  <c r="BK447" i="5"/>
  <c r="BK449" i="5" s="1"/>
  <c r="AL451" i="5" s="1"/>
  <c r="C317" i="17"/>
  <c r="BP329" i="5"/>
  <c r="BP331" i="5" s="1"/>
  <c r="AQ333" i="5" s="1"/>
  <c r="BN230" i="5"/>
  <c r="BN232" i="5" s="1"/>
  <c r="AO234" i="5" s="1"/>
  <c r="G426" i="35"/>
  <c r="W267" i="36"/>
  <c r="W262" i="36"/>
  <c r="W264" i="36"/>
  <c r="BG150" i="5"/>
  <c r="AH153" i="5" s="1"/>
  <c r="BP399" i="5"/>
  <c r="BP401" i="5" s="1"/>
  <c r="AQ403" i="5" s="1"/>
  <c r="W266" i="36"/>
  <c r="V521" i="5"/>
  <c r="W269" i="36"/>
  <c r="BK230" i="5"/>
  <c r="AL233" i="5" s="1"/>
  <c r="AX230" i="5"/>
  <c r="P205" i="36" s="1"/>
  <c r="BQ399" i="5"/>
  <c r="AR402" i="5" s="1"/>
  <c r="W261" i="36"/>
  <c r="W230" i="36"/>
  <c r="W263" i="36"/>
  <c r="W265" i="36"/>
  <c r="BP447" i="5"/>
  <c r="BP449" i="5" s="1"/>
  <c r="AQ451" i="5" s="1"/>
  <c r="W274" i="36"/>
  <c r="AX150" i="5"/>
  <c r="AX152" i="5" s="1"/>
  <c r="Y154" i="5" s="1"/>
  <c r="W272" i="36"/>
  <c r="W275" i="36"/>
  <c r="V509" i="5"/>
  <c r="BC51" i="5"/>
  <c r="AD54" i="5" s="1"/>
  <c r="AZ447" i="5"/>
  <c r="AA450" i="5" s="1"/>
  <c r="W276" i="36"/>
  <c r="W271" i="36"/>
  <c r="BF329" i="5"/>
  <c r="BF331" i="5" s="1"/>
  <c r="AG333" i="5" s="1"/>
  <c r="R521" i="5"/>
  <c r="S521" i="5" s="1"/>
  <c r="C283" i="17"/>
  <c r="R540" i="5"/>
  <c r="I540" i="5" s="1"/>
  <c r="AF231" i="36" s="1"/>
  <c r="BO51" i="5"/>
  <c r="BO53" i="5" s="1"/>
  <c r="AP55" i="5" s="1"/>
  <c r="C255" i="17"/>
  <c r="C314" i="17"/>
  <c r="Y425" i="35"/>
  <c r="C221" i="17"/>
  <c r="C286" i="17"/>
  <c r="BQ498" i="2"/>
  <c r="BQ500" i="2" s="1"/>
  <c r="AR502" i="2" s="1"/>
  <c r="R537" i="5"/>
  <c r="S537" i="5" s="1"/>
  <c r="BO102" i="5"/>
  <c r="BO104" i="5" s="1"/>
  <c r="AP106" i="5" s="1"/>
  <c r="AX102" i="5"/>
  <c r="AX104" i="5" s="1"/>
  <c r="Y106" i="5" s="1"/>
  <c r="W159" i="36"/>
  <c r="W186" i="36" s="1"/>
  <c r="AO540" i="5"/>
  <c r="AF167" i="36"/>
  <c r="AF194" i="36" s="1"/>
  <c r="Z53" i="5"/>
  <c r="BM230" i="5"/>
  <c r="BM232" i="5" s="1"/>
  <c r="AN234" i="5" s="1"/>
  <c r="AR518" i="5"/>
  <c r="AR152" i="5"/>
  <c r="T160" i="36"/>
  <c r="T187" i="36" s="1"/>
  <c r="Z517" i="5"/>
  <c r="AX399" i="5"/>
  <c r="AX401" i="5" s="1"/>
  <c r="Y403" i="5" s="1"/>
  <c r="AF168" i="36"/>
  <c r="AF195" i="36" s="1"/>
  <c r="AQ538" i="5"/>
  <c r="X107" i="5"/>
  <c r="AP540" i="5"/>
  <c r="AA152" i="5"/>
  <c r="AA521" i="5"/>
  <c r="AA540" i="5"/>
  <c r="X517" i="5"/>
  <c r="X547" i="5" s="1"/>
  <c r="AZ51" i="5"/>
  <c r="AA54" i="5" s="1"/>
  <c r="X53" i="5"/>
  <c r="AG145" i="10"/>
  <c r="AH145" i="10" s="1"/>
  <c r="AI145" i="10" s="1"/>
  <c r="C190" i="17"/>
  <c r="Y230" i="35"/>
  <c r="C224" i="17"/>
  <c r="V527" i="2"/>
  <c r="C193" i="17"/>
  <c r="C162" i="17"/>
  <c r="C159" i="17"/>
  <c r="C131" i="17"/>
  <c r="C127" i="17"/>
  <c r="C128" i="17"/>
  <c r="C97" i="17"/>
  <c r="C96" i="17"/>
  <c r="C100" i="17"/>
  <c r="C158" i="17"/>
  <c r="F158" i="17" s="1"/>
  <c r="AG276" i="35"/>
  <c r="C59" i="17"/>
  <c r="AG203" i="10"/>
  <c r="AH203" i="10" s="1"/>
  <c r="AI203" i="10" s="1"/>
  <c r="S479" i="5"/>
  <c r="S503" i="5" s="1"/>
  <c r="X206" i="5"/>
  <c r="X184" i="5"/>
  <c r="BD150" i="5"/>
  <c r="AE153" i="5" s="1"/>
  <c r="Z507" i="5"/>
  <c r="Z512" i="5" s="1"/>
  <c r="BJ399" i="5"/>
  <c r="BJ401" i="5" s="1"/>
  <c r="AK403" i="5" s="1"/>
  <c r="AV329" i="5"/>
  <c r="Q203" i="36" s="1"/>
  <c r="BJ329" i="5"/>
  <c r="Q217" i="36" s="1"/>
  <c r="AK401" i="5"/>
  <c r="BR51" i="5"/>
  <c r="BR53" i="5" s="1"/>
  <c r="AS55" i="5" s="1"/>
  <c r="AO203" i="5"/>
  <c r="BK329" i="5"/>
  <c r="BK331" i="5" s="1"/>
  <c r="AL333" i="5" s="1"/>
  <c r="AL34" i="5"/>
  <c r="AF165" i="36"/>
  <c r="AF192" i="36" s="1"/>
  <c r="BQ150" i="5"/>
  <c r="AR153" i="5" s="1"/>
  <c r="AD167" i="36"/>
  <c r="AD194" i="36" s="1"/>
  <c r="AM232" i="5"/>
  <c r="BM102" i="5"/>
  <c r="BM104" i="5" s="1"/>
  <c r="AN106" i="5" s="1"/>
  <c r="P165" i="36"/>
  <c r="P192" i="36" s="1"/>
  <c r="AM540" i="5"/>
  <c r="AK152" i="5"/>
  <c r="AB540" i="5"/>
  <c r="AH539" i="5"/>
  <c r="AE160" i="36"/>
  <c r="AE187" i="36" s="1"/>
  <c r="AE331" i="5"/>
  <c r="Q157" i="36"/>
  <c r="Q184" i="36" s="1"/>
  <c r="Y150" i="36"/>
  <c r="Y177" i="36" s="1"/>
  <c r="AF331" i="5"/>
  <c r="AA500" i="2"/>
  <c r="AP507" i="5"/>
  <c r="Q158" i="36"/>
  <c r="Q185" i="36" s="1"/>
  <c r="AA541" i="2"/>
  <c r="AX329" i="5"/>
  <c r="Q205" i="36" s="1"/>
  <c r="AW329" i="5"/>
  <c r="X332" i="5" s="1"/>
  <c r="AY51" i="5"/>
  <c r="AY53" i="5" s="1"/>
  <c r="Z55" i="5" s="1"/>
  <c r="AR449" i="5"/>
  <c r="AF509" i="5"/>
  <c r="Q159" i="36"/>
  <c r="Q186" i="36" s="1"/>
  <c r="P158" i="36"/>
  <c r="P185" i="36" s="1"/>
  <c r="AZ32" i="5"/>
  <c r="AZ34" i="5" s="1"/>
  <c r="AA36" i="5" s="1"/>
  <c r="AF563" i="5"/>
  <c r="M464" i="36" s="1"/>
  <c r="AQ331" i="5"/>
  <c r="AA518" i="5"/>
  <c r="Y510" i="5"/>
  <c r="AF171" i="36"/>
  <c r="AF198" i="36" s="1"/>
  <c r="N171" i="36"/>
  <c r="N198" i="36" s="1"/>
  <c r="W170" i="36"/>
  <c r="W197" i="36" s="1"/>
  <c r="BN498" i="2"/>
  <c r="AO501" i="2" s="1"/>
  <c r="Q169" i="36"/>
  <c r="Q196" i="36" s="1"/>
  <c r="Y331" i="5"/>
  <c r="AS507" i="5"/>
  <c r="AH570" i="5"/>
  <c r="Z503" i="5"/>
  <c r="Z481" i="5"/>
  <c r="Z531" i="5"/>
  <c r="G87" i="21"/>
  <c r="H88" i="21" s="1"/>
  <c r="X331" i="5"/>
  <c r="X510" i="5"/>
  <c r="AK331" i="5"/>
  <c r="Q163" i="36"/>
  <c r="Q190" i="36" s="1"/>
  <c r="AP331" i="5"/>
  <c r="Q168" i="36"/>
  <c r="Q195" i="36" s="1"/>
  <c r="AN331" i="5"/>
  <c r="P168" i="36"/>
  <c r="P195" i="36" s="1"/>
  <c r="AP509" i="5"/>
  <c r="BN102" i="5"/>
  <c r="AO105" i="5" s="1"/>
  <c r="BK102" i="5"/>
  <c r="AL105" i="5" s="1"/>
  <c r="H30" i="21"/>
  <c r="H28" i="21"/>
  <c r="H20" i="21"/>
  <c r="H27" i="21"/>
  <c r="H22" i="21"/>
  <c r="AL444" i="35"/>
  <c r="H33" i="21"/>
  <c r="X275" i="36"/>
  <c r="AR527" i="5"/>
  <c r="V427" i="35"/>
  <c r="AO507" i="5"/>
  <c r="N167" i="36"/>
  <c r="N194" i="36" s="1"/>
  <c r="BI32" i="5"/>
  <c r="BI34" i="5" s="1"/>
  <c r="AJ36" i="5" s="1"/>
  <c r="AM34" i="5"/>
  <c r="AM507" i="5"/>
  <c r="AM512" i="5" s="1"/>
  <c r="AC507" i="5"/>
  <c r="N155" i="36"/>
  <c r="N182" i="36" s="1"/>
  <c r="BL32" i="5"/>
  <c r="N219" i="36" s="1"/>
  <c r="Y507" i="5"/>
  <c r="N160" i="36"/>
  <c r="N187" i="36" s="1"/>
  <c r="N151" i="36"/>
  <c r="N178" i="36" s="1"/>
  <c r="N152" i="36"/>
  <c r="N179" i="36" s="1"/>
  <c r="AH507" i="5"/>
  <c r="AG507" i="5"/>
  <c r="AA507" i="5"/>
  <c r="N153" i="36"/>
  <c r="N180" i="36" s="1"/>
  <c r="N159" i="36"/>
  <c r="N186" i="36" s="1"/>
  <c r="S339" i="35"/>
  <c r="R319" i="35"/>
  <c r="Q512" i="2"/>
  <c r="E253" i="35" s="1"/>
  <c r="E228" i="35"/>
  <c r="Q512" i="5"/>
  <c r="E253" i="36" s="1"/>
  <c r="R307" i="35"/>
  <c r="BO329" i="5"/>
  <c r="BO331" i="5" s="1"/>
  <c r="AP333" i="5" s="1"/>
  <c r="H65" i="21"/>
  <c r="AS331" i="5"/>
  <c r="Q171" i="36"/>
  <c r="Q198" i="36" s="1"/>
  <c r="W425" i="35"/>
  <c r="X268" i="36"/>
  <c r="AI503" i="5"/>
  <c r="AB161" i="36"/>
  <c r="AB188" i="36" s="1"/>
  <c r="AO481" i="5"/>
  <c r="H31" i="21"/>
  <c r="H24" i="21"/>
  <c r="H23" i="21"/>
  <c r="H29" i="21"/>
  <c r="H32" i="21"/>
  <c r="H34" i="21"/>
  <c r="H21" i="21"/>
  <c r="H25" i="21"/>
  <c r="H26" i="21"/>
  <c r="Y263" i="36"/>
  <c r="X262" i="36"/>
  <c r="X265" i="36"/>
  <c r="X269" i="36"/>
  <c r="X274" i="36"/>
  <c r="X272" i="36"/>
  <c r="X264" i="36"/>
  <c r="X267" i="36"/>
  <c r="X276" i="36"/>
  <c r="X271" i="36"/>
  <c r="X263" i="36"/>
  <c r="X266" i="36"/>
  <c r="X273" i="36"/>
  <c r="X261" i="36"/>
  <c r="X270" i="36"/>
  <c r="N265" i="36"/>
  <c r="Q339" i="35"/>
  <c r="R317" i="35"/>
  <c r="E317" i="35" s="1"/>
  <c r="AL445" i="35"/>
  <c r="X170" i="36"/>
  <c r="X197" i="36" s="1"/>
  <c r="AE382" i="5"/>
  <c r="AE530" i="5"/>
  <c r="N270" i="36"/>
  <c r="N269" i="36"/>
  <c r="N272" i="36"/>
  <c r="N267" i="36"/>
  <c r="AE507" i="5"/>
  <c r="N157" i="36"/>
  <c r="N184" i="36" s="1"/>
  <c r="N261" i="36"/>
  <c r="N266" i="36"/>
  <c r="AL433" i="35"/>
  <c r="N275" i="36"/>
  <c r="N273" i="36"/>
  <c r="N264" i="36"/>
  <c r="N263" i="36"/>
  <c r="Y427" i="35"/>
  <c r="N274" i="36"/>
  <c r="N276" i="36"/>
  <c r="N158" i="36"/>
  <c r="N185" i="36" s="1"/>
  <c r="N268" i="36"/>
  <c r="N262" i="36"/>
  <c r="N271" i="36"/>
  <c r="E228" i="36"/>
  <c r="AF507" i="5"/>
  <c r="L423" i="35"/>
  <c r="N423" i="35"/>
  <c r="J424" i="35"/>
  <c r="AO531" i="5"/>
  <c r="S151" i="36"/>
  <c r="S178" i="36" s="1"/>
  <c r="AA570" i="5"/>
  <c r="Y53" i="5"/>
  <c r="AF153" i="36"/>
  <c r="AF180" i="36" s="1"/>
  <c r="AA449" i="5"/>
  <c r="AL570" i="5"/>
  <c r="BP51" i="5"/>
  <c r="BP53" i="5" s="1"/>
  <c r="AQ55" i="5" s="1"/>
  <c r="AW399" i="5"/>
  <c r="X402" i="5" s="1"/>
  <c r="BE150" i="5"/>
  <c r="AF153" i="5" s="1"/>
  <c r="N425" i="35"/>
  <c r="E425" i="35"/>
  <c r="O424" i="35"/>
  <c r="N424" i="35"/>
  <c r="AJ531" i="5"/>
  <c r="AJ551" i="5" s="1"/>
  <c r="M162" i="36" s="1"/>
  <c r="X531" i="5"/>
  <c r="AJ481" i="5"/>
  <c r="X481" i="5"/>
  <c r="X503" i="5"/>
  <c r="V531" i="5"/>
  <c r="F424" i="35"/>
  <c r="AH199" i="10"/>
  <c r="AI199" i="10"/>
  <c r="AY399" i="5"/>
  <c r="AY401" i="5" s="1"/>
  <c r="Z403" i="5" s="1"/>
  <c r="BC102" i="5"/>
  <c r="AD105" i="5" s="1"/>
  <c r="BG102" i="5"/>
  <c r="BG104" i="5" s="1"/>
  <c r="AH106" i="5" s="1"/>
  <c r="AZ300" i="5"/>
  <c r="AZ302" i="5" s="1"/>
  <c r="AA304" i="5" s="1"/>
  <c r="BP102" i="5"/>
  <c r="AQ105" i="5" s="1"/>
  <c r="BM399" i="5"/>
  <c r="BM401" i="5" s="1"/>
  <c r="AN403" i="5" s="1"/>
  <c r="AF163" i="36"/>
  <c r="AF190" i="36" s="1"/>
  <c r="AK518" i="5"/>
  <c r="BR150" i="5"/>
  <c r="AS153" i="5" s="1"/>
  <c r="AF154" i="36"/>
  <c r="AF181" i="36" s="1"/>
  <c r="AI538" i="5"/>
  <c r="AF161" i="36"/>
  <c r="AF188" i="36" s="1"/>
  <c r="AG152" i="5"/>
  <c r="AI481" i="5"/>
  <c r="AI540" i="5"/>
  <c r="AG518" i="5"/>
  <c r="BI51" i="5"/>
  <c r="BI53" i="5" s="1"/>
  <c r="AJ55" i="5" s="1"/>
  <c r="BL498" i="2"/>
  <c r="AM501" i="2" s="1"/>
  <c r="BM51" i="5"/>
  <c r="AN54" i="5" s="1"/>
  <c r="BN51" i="5"/>
  <c r="AO54" i="5" s="1"/>
  <c r="BJ150" i="5"/>
  <c r="AK153" i="5" s="1"/>
  <c r="BN399" i="5"/>
  <c r="BN401" i="5" s="1"/>
  <c r="AO403" i="5" s="1"/>
  <c r="AZ399" i="5"/>
  <c r="AA402" i="5" s="1"/>
  <c r="BQ102" i="5"/>
  <c r="AR105" i="5" s="1"/>
  <c r="BA102" i="5"/>
  <c r="BA104" i="5" s="1"/>
  <c r="AB106" i="5" s="1"/>
  <c r="BR399" i="5"/>
  <c r="BR401" i="5" s="1"/>
  <c r="AS403" i="5" s="1"/>
  <c r="BI447" i="5"/>
  <c r="BI449" i="5" s="1"/>
  <c r="AJ451" i="5" s="1"/>
  <c r="BD102" i="5"/>
  <c r="AE105" i="5" s="1"/>
  <c r="BO399" i="5"/>
  <c r="BO401" i="5" s="1"/>
  <c r="AP403" i="5" s="1"/>
  <c r="AZ150" i="5"/>
  <c r="AA153" i="5" s="1"/>
  <c r="W184" i="5"/>
  <c r="N156" i="5"/>
  <c r="W518" i="5"/>
  <c r="N137" i="5"/>
  <c r="AD149" i="36"/>
  <c r="AD176" i="36" s="1"/>
  <c r="N188" i="5"/>
  <c r="W527" i="5"/>
  <c r="N57" i="5"/>
  <c r="V149" i="36"/>
  <c r="V176" i="36" s="1"/>
  <c r="N335" i="5"/>
  <c r="W519" i="5"/>
  <c r="N236" i="5"/>
  <c r="P149" i="36"/>
  <c r="P176" i="36" s="1"/>
  <c r="N209" i="5"/>
  <c r="W149" i="36"/>
  <c r="W176" i="36" s="1"/>
  <c r="N434" i="5"/>
  <c r="AA149" i="36"/>
  <c r="AA176" i="36" s="1"/>
  <c r="N354" i="5"/>
  <c r="S149" i="36"/>
  <c r="S176" i="36" s="1"/>
  <c r="N38" i="5"/>
  <c r="W531" i="5"/>
  <c r="N453" i="5"/>
  <c r="W331" i="5"/>
  <c r="N308" i="5"/>
  <c r="W540" i="2"/>
  <c r="N386" i="2"/>
  <c r="AE149" i="35"/>
  <c r="N287" i="2"/>
  <c r="W538" i="2"/>
  <c r="N188" i="2"/>
  <c r="AB266" i="36"/>
  <c r="AB262" i="36"/>
  <c r="AB273" i="36"/>
  <c r="AB267" i="36"/>
  <c r="AB263" i="36"/>
  <c r="AB270" i="36"/>
  <c r="AB271" i="36"/>
  <c r="AB269" i="36"/>
  <c r="AB261" i="36"/>
  <c r="AB264" i="36"/>
  <c r="AB274" i="36"/>
  <c r="AB275" i="36"/>
  <c r="AB268" i="36"/>
  <c r="AB276" i="36"/>
  <c r="AB265" i="36"/>
  <c r="AB272" i="36"/>
  <c r="AG531" i="5"/>
  <c r="AG503" i="5"/>
  <c r="AB159" i="36"/>
  <c r="AB186" i="36" s="1"/>
  <c r="Y261" i="36"/>
  <c r="H40" i="21"/>
  <c r="Y273" i="36"/>
  <c r="Y269" i="36"/>
  <c r="Y265" i="36"/>
  <c r="Y274" i="36"/>
  <c r="Y271" i="36"/>
  <c r="Y268" i="36"/>
  <c r="Y275" i="36"/>
  <c r="Y262" i="36"/>
  <c r="Y267" i="36"/>
  <c r="Y264" i="36"/>
  <c r="Y266" i="36"/>
  <c r="Y272" i="36"/>
  <c r="Y276" i="36"/>
  <c r="Y270" i="36"/>
  <c r="H229" i="36"/>
  <c r="AD540" i="5"/>
  <c r="AV102" i="5"/>
  <c r="AV104" i="5" s="1"/>
  <c r="W106" i="5" s="1"/>
  <c r="AS540" i="5"/>
  <c r="BB150" i="5"/>
  <c r="AC153" i="5" s="1"/>
  <c r="AK570" i="5"/>
  <c r="BF102" i="5"/>
  <c r="BF104" i="5" s="1"/>
  <c r="AG106" i="5" s="1"/>
  <c r="BC399" i="5"/>
  <c r="BC401" i="5" s="1"/>
  <c r="AD403" i="5" s="1"/>
  <c r="AE155" i="36"/>
  <c r="AE182" i="36" s="1"/>
  <c r="AJ517" i="5"/>
  <c r="AA560" i="5"/>
  <c r="J459" i="36" s="1"/>
  <c r="AJ53" i="5"/>
  <c r="AF156" i="36"/>
  <c r="AF183" i="36" s="1"/>
  <c r="AW102" i="5"/>
  <c r="X105" i="5" s="1"/>
  <c r="AD152" i="5"/>
  <c r="BD498" i="2"/>
  <c r="AE501" i="2" s="1"/>
  <c r="T168" i="36"/>
  <c r="T195" i="36" s="1"/>
  <c r="AB570" i="5"/>
  <c r="BA399" i="5"/>
  <c r="BA401" i="5" s="1"/>
  <c r="AB403" i="5" s="1"/>
  <c r="AP570" i="5"/>
  <c r="BD51" i="5"/>
  <c r="BD53" i="5" s="1"/>
  <c r="AE55" i="5" s="1"/>
  <c r="AD518" i="5"/>
  <c r="AF152" i="5"/>
  <c r="T158" i="36"/>
  <c r="T185" i="36" s="1"/>
  <c r="AP152" i="5"/>
  <c r="W104" i="5"/>
  <c r="AC149" i="36"/>
  <c r="AC176" i="36" s="1"/>
  <c r="BI102" i="5"/>
  <c r="AJ105" i="5" s="1"/>
  <c r="BJ102" i="5"/>
  <c r="AK105" i="5" s="1"/>
  <c r="W537" i="5"/>
  <c r="H66" i="21"/>
  <c r="H67" i="21"/>
  <c r="H59" i="21"/>
  <c r="AF271" i="36"/>
  <c r="AF273" i="36"/>
  <c r="AF274" i="36"/>
  <c r="H56" i="21"/>
  <c r="H54" i="21"/>
  <c r="AF272" i="36"/>
  <c r="AF263" i="36"/>
  <c r="AF265" i="36"/>
  <c r="H57" i="21"/>
  <c r="H68" i="21"/>
  <c r="AF267" i="36"/>
  <c r="H58" i="21"/>
  <c r="H60" i="21"/>
  <c r="AF270" i="36"/>
  <c r="AD570" i="5"/>
  <c r="AF262" i="36"/>
  <c r="AF275" i="36"/>
  <c r="AF230" i="36"/>
  <c r="H63" i="21"/>
  <c r="H64" i="21"/>
  <c r="AF261" i="36"/>
  <c r="AF264" i="36"/>
  <c r="AF276" i="36"/>
  <c r="AF268" i="36"/>
  <c r="H62" i="21"/>
  <c r="H55" i="21"/>
  <c r="V540" i="5"/>
  <c r="H61" i="21"/>
  <c r="AF269" i="36"/>
  <c r="AV399" i="5"/>
  <c r="AV401" i="5" s="1"/>
  <c r="W403" i="5" s="1"/>
  <c r="AF166" i="36"/>
  <c r="AF193" i="36" s="1"/>
  <c r="AN540" i="5"/>
  <c r="AN53" i="5"/>
  <c r="AN517" i="5"/>
  <c r="AC167" i="36"/>
  <c r="AC194" i="36" s="1"/>
  <c r="BR102" i="5"/>
  <c r="AS105" i="5" s="1"/>
  <c r="AO537" i="5"/>
  <c r="Z401" i="5"/>
  <c r="Z540" i="5"/>
  <c r="M423" i="35"/>
  <c r="AB500" i="2"/>
  <c r="BA498" i="2"/>
  <c r="BA500" i="2" s="1"/>
  <c r="AB502" i="2" s="1"/>
  <c r="AE541" i="2"/>
  <c r="AE500" i="2"/>
  <c r="AI570" i="5"/>
  <c r="BH102" i="5"/>
  <c r="AI105" i="5" s="1"/>
  <c r="BG498" i="2"/>
  <c r="AH501" i="2" s="1"/>
  <c r="AE170" i="36"/>
  <c r="AE197" i="36" s="1"/>
  <c r="BI498" i="2"/>
  <c r="BI500" i="2" s="1"/>
  <c r="AJ502" i="2" s="1"/>
  <c r="Z518" i="5"/>
  <c r="AE153" i="36"/>
  <c r="AE180" i="36" s="1"/>
  <c r="AD541" i="2"/>
  <c r="BO498" i="2"/>
  <c r="BO500" i="2" s="1"/>
  <c r="AP502" i="2" s="1"/>
  <c r="AC155" i="36"/>
  <c r="AC182" i="36" s="1"/>
  <c r="AG156" i="35"/>
  <c r="BH498" i="2"/>
  <c r="AI501" i="2" s="1"/>
  <c r="BB498" i="2"/>
  <c r="BB500" i="2" s="1"/>
  <c r="AC502" i="2" s="1"/>
  <c r="BP498" i="2"/>
  <c r="AQ501" i="2" s="1"/>
  <c r="AC537" i="5"/>
  <c r="AM570" i="5"/>
  <c r="AY150" i="5"/>
  <c r="Z153" i="5" s="1"/>
  <c r="AC166" i="36"/>
  <c r="AC193" i="36" s="1"/>
  <c r="BK498" i="2"/>
  <c r="AL501" i="2" s="1"/>
  <c r="BM498" i="2"/>
  <c r="BM500" i="2" s="1"/>
  <c r="AN502" i="2" s="1"/>
  <c r="AN537" i="5"/>
  <c r="AZ498" i="2"/>
  <c r="AA501" i="2" s="1"/>
  <c r="BK150" i="5"/>
  <c r="AL153" i="5" s="1"/>
  <c r="AC302" i="5"/>
  <c r="AB541" i="2"/>
  <c r="BE498" i="2"/>
  <c r="BE500" i="2" s="1"/>
  <c r="AF502" i="2" s="1"/>
  <c r="AS539" i="5"/>
  <c r="AV300" i="5"/>
  <c r="W303" i="5" s="1"/>
  <c r="AW498" i="2"/>
  <c r="X501" i="2" s="1"/>
  <c r="AY498" i="2"/>
  <c r="AY500" i="2" s="1"/>
  <c r="Z502" i="2" s="1"/>
  <c r="AE171" i="36"/>
  <c r="AE198" i="36" s="1"/>
  <c r="AC161" i="36"/>
  <c r="AC188" i="36" s="1"/>
  <c r="AI537" i="5"/>
  <c r="AX498" i="2"/>
  <c r="Y501" i="2" s="1"/>
  <c r="AL518" i="5"/>
  <c r="AL548" i="5" s="1"/>
  <c r="J164" i="36" s="1"/>
  <c r="AR570" i="5"/>
  <c r="BR498" i="2"/>
  <c r="BR500" i="2" s="1"/>
  <c r="AS502" i="2" s="1"/>
  <c r="AS152" i="5"/>
  <c r="AL152" i="5"/>
  <c r="BC498" i="2"/>
  <c r="BC500" i="2" s="1"/>
  <c r="AD502" i="2" s="1"/>
  <c r="T171" i="36"/>
  <c r="T198" i="36" s="1"/>
  <c r="AA539" i="5"/>
  <c r="T152" i="36"/>
  <c r="T179" i="36" s="1"/>
  <c r="V424" i="35"/>
  <c r="AN539" i="5"/>
  <c r="AR539" i="5"/>
  <c r="AE166" i="36"/>
  <c r="AE193" i="36" s="1"/>
  <c r="AC570" i="5"/>
  <c r="AI518" i="5"/>
  <c r="T161" i="36"/>
  <c r="T188" i="36" s="1"/>
  <c r="J423" i="35"/>
  <c r="AG275" i="35"/>
  <c r="AG271" i="35"/>
  <c r="T447" i="35"/>
  <c r="AG273" i="35"/>
  <c r="AG266" i="35"/>
  <c r="AG265" i="35"/>
  <c r="AG261" i="35"/>
  <c r="AG269" i="35"/>
  <c r="AG264" i="35"/>
  <c r="AG272" i="35"/>
  <c r="S498" i="2"/>
  <c r="AV498" i="2"/>
  <c r="W501" i="2" s="1"/>
  <c r="BF498" i="2"/>
  <c r="AG501" i="2" s="1"/>
  <c r="AG262" i="35"/>
  <c r="AG267" i="35"/>
  <c r="AG268" i="35"/>
  <c r="AG270" i="35"/>
  <c r="AG263" i="35"/>
  <c r="AG274" i="35"/>
  <c r="L424" i="35"/>
  <c r="O425" i="35"/>
  <c r="AB539" i="2"/>
  <c r="AB302" i="2"/>
  <c r="L425" i="35"/>
  <c r="M425" i="35"/>
  <c r="AD151" i="35"/>
  <c r="S201" i="2"/>
  <c r="AH277" i="10"/>
  <c r="AI277" i="10"/>
  <c r="AH286" i="10"/>
  <c r="AI286" i="10" s="1"/>
  <c r="AH281" i="10"/>
  <c r="AI281" i="10"/>
  <c r="AH288" i="10"/>
  <c r="AI288" i="10"/>
  <c r="AH278" i="10"/>
  <c r="AI278" i="10"/>
  <c r="AH279" i="10"/>
  <c r="AI279" i="10" s="1"/>
  <c r="AH292" i="10"/>
  <c r="AI292" i="10"/>
  <c r="AI287" i="10"/>
  <c r="AH287" i="10"/>
  <c r="AH284" i="10"/>
  <c r="AI284" i="10"/>
  <c r="AH282" i="10"/>
  <c r="AI282" i="10"/>
  <c r="AH280" i="10"/>
  <c r="AI280" i="10"/>
  <c r="AH293" i="10"/>
  <c r="AI293" i="10" s="1"/>
  <c r="AI252" i="10"/>
  <c r="AH252" i="10"/>
  <c r="Y538" i="2"/>
  <c r="AF151" i="35"/>
  <c r="AD149" i="35"/>
  <c r="W203" i="2"/>
  <c r="Y401" i="2"/>
  <c r="X539" i="2"/>
  <c r="AJ540" i="2"/>
  <c r="AF149" i="35"/>
  <c r="W401" i="2"/>
  <c r="AD168" i="35"/>
  <c r="AP538" i="2"/>
  <c r="AE153" i="35"/>
  <c r="AR538" i="2"/>
  <c r="AE203" i="2"/>
  <c r="AR203" i="2"/>
  <c r="AE538" i="2"/>
  <c r="AP540" i="2"/>
  <c r="AP401" i="2"/>
  <c r="AW300" i="2"/>
  <c r="AW302" i="2" s="1"/>
  <c r="X304" i="2" s="1"/>
  <c r="AF162" i="35"/>
  <c r="AR53" i="5"/>
  <c r="AS570" i="5"/>
  <c r="AS509" i="5"/>
  <c r="AS232" i="5"/>
  <c r="AD539" i="2"/>
  <c r="AD302" i="2"/>
  <c r="AA539" i="2"/>
  <c r="AW201" i="2"/>
  <c r="X204" i="2" s="1"/>
  <c r="AE150" i="35"/>
  <c r="AR517" i="5"/>
  <c r="BD399" i="2"/>
  <c r="AE402" i="2" s="1"/>
  <c r="AE539" i="2"/>
  <c r="BO300" i="2"/>
  <c r="AP303" i="2" s="1"/>
  <c r="AB203" i="2"/>
  <c r="AC538" i="2"/>
  <c r="AR107" i="5"/>
  <c r="AB538" i="2"/>
  <c r="AC203" i="2"/>
  <c r="AL509" i="5"/>
  <c r="AL512" i="5" s="1"/>
  <c r="BE300" i="2"/>
  <c r="AF303" i="2" s="1"/>
  <c r="AC302" i="2"/>
  <c r="AE155" i="35"/>
  <c r="BP300" i="2"/>
  <c r="AQ303" i="2" s="1"/>
  <c r="AE509" i="5"/>
  <c r="BE201" i="2"/>
  <c r="AF204" i="2" s="1"/>
  <c r="BR300" i="2"/>
  <c r="AS303" i="2" s="1"/>
  <c r="AL449" i="5"/>
  <c r="AA401" i="2"/>
  <c r="AL521" i="5"/>
  <c r="AF153" i="35"/>
  <c r="BH201" i="2"/>
  <c r="BH203" i="2" s="1"/>
  <c r="AI205" i="2" s="1"/>
  <c r="BG201" i="2"/>
  <c r="BG203" i="2" s="1"/>
  <c r="AH205" i="2" s="1"/>
  <c r="BK399" i="2"/>
  <c r="AL402" i="2" s="1"/>
  <c r="BK201" i="2"/>
  <c r="BK203" i="2" s="1"/>
  <c r="AL205" i="2" s="1"/>
  <c r="BH399" i="2"/>
  <c r="AI402" i="2" s="1"/>
  <c r="BR201" i="2"/>
  <c r="AS204" i="2" s="1"/>
  <c r="BN201" i="2"/>
  <c r="AO204" i="2" s="1"/>
  <c r="BF300" i="2"/>
  <c r="AG303" i="2" s="1"/>
  <c r="BN300" i="2"/>
  <c r="BN302" i="2" s="1"/>
  <c r="AO304" i="2" s="1"/>
  <c r="BP201" i="2"/>
  <c r="BP203" i="2" s="1"/>
  <c r="AQ205" i="2" s="1"/>
  <c r="BD201" i="2"/>
  <c r="AE204" i="2" s="1"/>
  <c r="BF201" i="2"/>
  <c r="BF203" i="2" s="1"/>
  <c r="AG205" i="2" s="1"/>
  <c r="BG300" i="2"/>
  <c r="AH303" i="2" s="1"/>
  <c r="AE302" i="2"/>
  <c r="AZ300" i="2"/>
  <c r="AA303" i="2" s="1"/>
  <c r="BB300" i="2"/>
  <c r="AC303" i="2" s="1"/>
  <c r="BD300" i="2"/>
  <c r="AE303" i="2" s="1"/>
  <c r="BE399" i="2"/>
  <c r="AF402" i="2" s="1"/>
  <c r="BN399" i="2"/>
  <c r="BN401" i="2" s="1"/>
  <c r="AO403" i="2" s="1"/>
  <c r="Z401" i="2"/>
  <c r="BI201" i="2"/>
  <c r="AJ204" i="2" s="1"/>
  <c r="BO399" i="2"/>
  <c r="BO401" i="2" s="1"/>
  <c r="AP403" i="2" s="1"/>
  <c r="BL399" i="2"/>
  <c r="AM402" i="2" s="1"/>
  <c r="AF152" i="35"/>
  <c r="AR509" i="5"/>
  <c r="AR232" i="5"/>
  <c r="AV399" i="2"/>
  <c r="AV401" i="2" s="1"/>
  <c r="W403" i="2" s="1"/>
  <c r="AY399" i="2"/>
  <c r="Z402" i="2" s="1"/>
  <c r="BF399" i="2"/>
  <c r="AG402" i="2" s="1"/>
  <c r="BA201" i="2"/>
  <c r="AB204" i="2" s="1"/>
  <c r="BC201" i="2"/>
  <c r="AD204" i="2" s="1"/>
  <c r="BM201" i="2"/>
  <c r="AN204" i="2" s="1"/>
  <c r="BM300" i="2"/>
  <c r="BM302" i="2" s="1"/>
  <c r="AN304" i="2" s="1"/>
  <c r="AV300" i="2"/>
  <c r="AV302" i="2" s="1"/>
  <c r="W304" i="2" s="1"/>
  <c r="BJ300" i="2"/>
  <c r="BJ302" i="2" s="1"/>
  <c r="AK304" i="2" s="1"/>
  <c r="BC399" i="2"/>
  <c r="BC401" i="2" s="1"/>
  <c r="AD403" i="2" s="1"/>
  <c r="BJ201" i="2"/>
  <c r="AK204" i="2" s="1"/>
  <c r="BL300" i="2"/>
  <c r="AM303" i="2" s="1"/>
  <c r="BQ201" i="2"/>
  <c r="BQ203" i="2" s="1"/>
  <c r="AR205" i="2" s="1"/>
  <c r="BB201" i="2"/>
  <c r="AC204" i="2" s="1"/>
  <c r="AX399" i="2"/>
  <c r="AX401" i="2" s="1"/>
  <c r="Y403" i="2" s="1"/>
  <c r="BA102" i="2"/>
  <c r="BA104" i="2" s="1"/>
  <c r="AB106" i="2" s="1"/>
  <c r="BK300" i="2"/>
  <c r="AL303" i="2" s="1"/>
  <c r="BI300" i="2"/>
  <c r="AJ303" i="2" s="1"/>
  <c r="BM399" i="2"/>
  <c r="AN402" i="2" s="1"/>
  <c r="AZ399" i="2"/>
  <c r="AA402" i="2" s="1"/>
  <c r="BQ399" i="2"/>
  <c r="AR402" i="2" s="1"/>
  <c r="BR399" i="2"/>
  <c r="BR401" i="2" s="1"/>
  <c r="AS403" i="2" s="1"/>
  <c r="AY300" i="2"/>
  <c r="AY302" i="2" s="1"/>
  <c r="Z304" i="2" s="1"/>
  <c r="BJ399" i="2"/>
  <c r="BJ401" i="2" s="1"/>
  <c r="AK403" i="2" s="1"/>
  <c r="BO201" i="2"/>
  <c r="AP204" i="2" s="1"/>
  <c r="S399" i="2"/>
  <c r="AZ201" i="2"/>
  <c r="AZ203" i="2" s="1"/>
  <c r="AA205" i="2" s="1"/>
  <c r="AX201" i="2"/>
  <c r="AX203" i="2" s="1"/>
  <c r="Y205" i="2" s="1"/>
  <c r="BH300" i="2"/>
  <c r="AI303" i="2" s="1"/>
  <c r="BA399" i="2"/>
  <c r="BA401" i="2" s="1"/>
  <c r="AB403" i="2" s="1"/>
  <c r="BP399" i="2"/>
  <c r="AQ402" i="2" s="1"/>
  <c r="BQ300" i="2"/>
  <c r="AR303" i="2" s="1"/>
  <c r="AY201" i="2"/>
  <c r="AY203" i="2" s="1"/>
  <c r="Z205" i="2" s="1"/>
  <c r="BL201" i="2"/>
  <c r="AM204" i="2" s="1"/>
  <c r="BG399" i="2"/>
  <c r="AH402" i="2" s="1"/>
  <c r="AW399" i="2"/>
  <c r="X402" i="2" s="1"/>
  <c r="AX300" i="2"/>
  <c r="AX302" i="2" s="1"/>
  <c r="Y304" i="2" s="1"/>
  <c r="BI399" i="2"/>
  <c r="AJ402" i="2" s="1"/>
  <c r="BC300" i="2"/>
  <c r="BC302" i="2" s="1"/>
  <c r="AD304" i="2" s="1"/>
  <c r="BB399" i="2"/>
  <c r="AC402" i="2" s="1"/>
  <c r="S300" i="2"/>
  <c r="BA300" i="2"/>
  <c r="AB303" i="2" s="1"/>
  <c r="AV201" i="2"/>
  <c r="AV203" i="2" s="1"/>
  <c r="W205" i="2" s="1"/>
  <c r="P160" i="36"/>
  <c r="P187" i="36" s="1"/>
  <c r="AH232" i="5"/>
  <c r="S165" i="36"/>
  <c r="S192" i="36" s="1"/>
  <c r="AM53" i="5"/>
  <c r="AL53" i="5"/>
  <c r="BN83" i="5"/>
  <c r="X221" i="36" s="1"/>
  <c r="X509" i="5"/>
  <c r="AQ517" i="5"/>
  <c r="AQ522" i="5" s="1"/>
  <c r="AL517" i="5"/>
  <c r="AF107" i="5"/>
  <c r="BF348" i="5"/>
  <c r="AG351" i="5" s="1"/>
  <c r="AI69" i="10"/>
  <c r="AH69" i="10"/>
  <c r="AF85" i="5"/>
  <c r="AG12" i="10"/>
  <c r="AH12" i="10" s="1"/>
  <c r="AI12" i="10" s="1"/>
  <c r="AG52" i="10"/>
  <c r="AH52" i="10" s="1"/>
  <c r="AI52" i="10" s="1"/>
  <c r="AG41" i="10"/>
  <c r="AH41" i="10" s="1"/>
  <c r="AI41" i="10" s="1"/>
  <c r="AI25" i="10"/>
  <c r="AH25" i="10"/>
  <c r="AE232" i="5"/>
  <c r="AD171" i="36"/>
  <c r="AD198" i="36" s="1"/>
  <c r="AM449" i="5"/>
  <c r="AS538" i="5"/>
  <c r="AM521" i="5"/>
  <c r="AM522" i="5" s="1"/>
  <c r="AE481" i="5"/>
  <c r="AD538" i="2"/>
  <c r="AB157" i="36"/>
  <c r="AB184" i="36" s="1"/>
  <c r="AE503" i="5"/>
  <c r="AD156" i="35"/>
  <c r="W203" i="5"/>
  <c r="AF527" i="5"/>
  <c r="AS521" i="5"/>
  <c r="AS449" i="5"/>
  <c r="AK509" i="5"/>
  <c r="AC527" i="5"/>
  <c r="AC107" i="5"/>
  <c r="AC85" i="5"/>
  <c r="AK232" i="5"/>
  <c r="AB169" i="36"/>
  <c r="AB196" i="36" s="1"/>
  <c r="Y531" i="5"/>
  <c r="AK503" i="5"/>
  <c r="AP517" i="5"/>
  <c r="AP530" i="5"/>
  <c r="Y153" i="36"/>
  <c r="Y180" i="36" s="1"/>
  <c r="AK531" i="5"/>
  <c r="AH245" i="10"/>
  <c r="AI245" i="10" s="1"/>
  <c r="AH65" i="10"/>
  <c r="AI65" i="10"/>
  <c r="AH250" i="10"/>
  <c r="AI250" i="10"/>
  <c r="AH276" i="10"/>
  <c r="AI276" i="10"/>
  <c r="AH345" i="10"/>
  <c r="AI345" i="10"/>
  <c r="AH97" i="10"/>
  <c r="AI97" i="10"/>
  <c r="AH369" i="10"/>
  <c r="AI369" i="10"/>
  <c r="AH151" i="10"/>
  <c r="AI151" i="10"/>
  <c r="AH113" i="10"/>
  <c r="AI113" i="10"/>
  <c r="AH226" i="10"/>
  <c r="AI226" i="10"/>
  <c r="AH263" i="10"/>
  <c r="AI263" i="10" s="1"/>
  <c r="AH18" i="10"/>
  <c r="AI18" i="10" s="1"/>
  <c r="AH443" i="10"/>
  <c r="AI443" i="10"/>
  <c r="AH132" i="10"/>
  <c r="AI132" i="10"/>
  <c r="AH159" i="10"/>
  <c r="AI159" i="10"/>
  <c r="AH192" i="10"/>
  <c r="AI192" i="10"/>
  <c r="AH136" i="10"/>
  <c r="AI136" i="10"/>
  <c r="AH257" i="10"/>
  <c r="AI257" i="10"/>
  <c r="AH241" i="10"/>
  <c r="AI241" i="10" s="1"/>
  <c r="AH405" i="10"/>
  <c r="AI405" i="10"/>
  <c r="AH269" i="10"/>
  <c r="AI269" i="10"/>
  <c r="AH37" i="10"/>
  <c r="AI37" i="10" s="1"/>
  <c r="AH444" i="10"/>
  <c r="AI444" i="10"/>
  <c r="AH477" i="10"/>
  <c r="AI477" i="10"/>
  <c r="AH143" i="10"/>
  <c r="AI143" i="10"/>
  <c r="AH320" i="10"/>
  <c r="AI320" i="10"/>
  <c r="AH205" i="10"/>
  <c r="AI205" i="10"/>
  <c r="AH388" i="10"/>
  <c r="AI388" i="10"/>
  <c r="AH112" i="10"/>
  <c r="AI112" i="10"/>
  <c r="AH456" i="10"/>
  <c r="AI456" i="10" s="1"/>
  <c r="AH264" i="10"/>
  <c r="AI264" i="10"/>
  <c r="AH266" i="10"/>
  <c r="AI266" i="10"/>
  <c r="AH301" i="10"/>
  <c r="AI301" i="10"/>
  <c r="AH454" i="10"/>
  <c r="AI454" i="10" s="1"/>
  <c r="AH202" i="10"/>
  <c r="AI202" i="10"/>
  <c r="AH355" i="10"/>
  <c r="AI355" i="10"/>
  <c r="AH43" i="10"/>
  <c r="AI43" i="10"/>
  <c r="AH233" i="10"/>
  <c r="AI233" i="10"/>
  <c r="AH108" i="10"/>
  <c r="AI108" i="10"/>
  <c r="AH348" i="10"/>
  <c r="AI348" i="10"/>
  <c r="AH317" i="10"/>
  <c r="AI317" i="10" s="1"/>
  <c r="AH406" i="10"/>
  <c r="AI406" i="10"/>
  <c r="AH95" i="10"/>
  <c r="AI95" i="10"/>
  <c r="AH362" i="10"/>
  <c r="AI362" i="10"/>
  <c r="AH139" i="10"/>
  <c r="AI139" i="10" s="1"/>
  <c r="AH75" i="10"/>
  <c r="AI75" i="10"/>
  <c r="AH121" i="10"/>
  <c r="AI121" i="10"/>
  <c r="AH216" i="10"/>
  <c r="AI216" i="10" s="1"/>
  <c r="AH185" i="10"/>
  <c r="AI185" i="10"/>
  <c r="AH296" i="10"/>
  <c r="AI296" i="10"/>
  <c r="AH450" i="10"/>
  <c r="AI450" i="10"/>
  <c r="AH80" i="10"/>
  <c r="AI80" i="10" s="1"/>
  <c r="AH198" i="10"/>
  <c r="AI198" i="10"/>
  <c r="AH261" i="10"/>
  <c r="AI261" i="10"/>
  <c r="AH171" i="10"/>
  <c r="AI171" i="10"/>
  <c r="AH323" i="10"/>
  <c r="AI323" i="10"/>
  <c r="AH308" i="10"/>
  <c r="AI308" i="10"/>
  <c r="AH335" i="10"/>
  <c r="AI335" i="10"/>
  <c r="AH246" i="10"/>
  <c r="AI246" i="10"/>
  <c r="AH99" i="10"/>
  <c r="AI99" i="10"/>
  <c r="AH209" i="10"/>
  <c r="AI209" i="10"/>
  <c r="AH384" i="10"/>
  <c r="AI384" i="10"/>
  <c r="AH44" i="10"/>
  <c r="AI44" i="10" s="1"/>
  <c r="AH339" i="10"/>
  <c r="AI339" i="10"/>
  <c r="AH452" i="10"/>
  <c r="AI452" i="10"/>
  <c r="AH183" i="10"/>
  <c r="AI183" i="10"/>
  <c r="AH82" i="10"/>
  <c r="AI82" i="10"/>
  <c r="AH83" i="10"/>
  <c r="AI83" i="10"/>
  <c r="AH62" i="10"/>
  <c r="AI62" i="10"/>
  <c r="AH332" i="10"/>
  <c r="AI332" i="10"/>
  <c r="AH365" i="10"/>
  <c r="AI365" i="10"/>
  <c r="AH336" i="10"/>
  <c r="AI336" i="10"/>
  <c r="AH96" i="10"/>
  <c r="AI96" i="10"/>
  <c r="AH419" i="10"/>
  <c r="AI419" i="10"/>
  <c r="AH481" i="10"/>
  <c r="AI481" i="10"/>
  <c r="AH133" i="10"/>
  <c r="AI133" i="10"/>
  <c r="AH367" i="10"/>
  <c r="AI367" i="10"/>
  <c r="AH164" i="10"/>
  <c r="AI164" i="10"/>
  <c r="AH412" i="10"/>
  <c r="AI412" i="10"/>
  <c r="AH381" i="10"/>
  <c r="AI381" i="10"/>
  <c r="AH153" i="10"/>
  <c r="AI153" i="10"/>
  <c r="AH458" i="10"/>
  <c r="AI458" i="10"/>
  <c r="AH40" i="10"/>
  <c r="AI40" i="10"/>
  <c r="AH222" i="10"/>
  <c r="AI222" i="10"/>
  <c r="AH190" i="10"/>
  <c r="AI190" i="10"/>
  <c r="AH253" i="10"/>
  <c r="AI253" i="10"/>
  <c r="AH360" i="10"/>
  <c r="AI360" i="10"/>
  <c r="AH256" i="10"/>
  <c r="AI256" i="10"/>
  <c r="AH147" i="10"/>
  <c r="AI147" i="10"/>
  <c r="AH230" i="10"/>
  <c r="AI230" i="10" s="1"/>
  <c r="AH267" i="10"/>
  <c r="AI267" i="10"/>
  <c r="AH358" i="10"/>
  <c r="AI358" i="10"/>
  <c r="AH271" i="10"/>
  <c r="AI271" i="10"/>
  <c r="AH88" i="10"/>
  <c r="AI88" i="10"/>
  <c r="AH451" i="10"/>
  <c r="AI451" i="10"/>
  <c r="AH302" i="10"/>
  <c r="AI302" i="10"/>
  <c r="AH463" i="10"/>
  <c r="AI463" i="10"/>
  <c r="AH459" i="10"/>
  <c r="AI459" i="10"/>
  <c r="AH329" i="10"/>
  <c r="AI329" i="10"/>
  <c r="AH448" i="10"/>
  <c r="AI448" i="10"/>
  <c r="AH403" i="10"/>
  <c r="AI403" i="10"/>
  <c r="AH251" i="10"/>
  <c r="AI251" i="10"/>
  <c r="AH466" i="10"/>
  <c r="AI466" i="10"/>
  <c r="AH213" i="10"/>
  <c r="AI213" i="10"/>
  <c r="AH396" i="10"/>
  <c r="AI396" i="10" s="1"/>
  <c r="AH429" i="10"/>
  <c r="AI429" i="10"/>
  <c r="AH78" i="10"/>
  <c r="AI78" i="10"/>
  <c r="AH464" i="10"/>
  <c r="AI464" i="10"/>
  <c r="AH58" i="10"/>
  <c r="AI58" i="10"/>
  <c r="AH483" i="10"/>
  <c r="AI483" i="10"/>
  <c r="AH101" i="10"/>
  <c r="AI101" i="10"/>
  <c r="AH200" i="10"/>
  <c r="AI200" i="10" s="1"/>
  <c r="AH431" i="10"/>
  <c r="AI431" i="10"/>
  <c r="AH178" i="10"/>
  <c r="AI178" i="10" s="1"/>
  <c r="AH299" i="10"/>
  <c r="AI299" i="10"/>
  <c r="AH476" i="10"/>
  <c r="AI476" i="10"/>
  <c r="AH449" i="10"/>
  <c r="AI449" i="10"/>
  <c r="AH416" i="10"/>
  <c r="AI416" i="10"/>
  <c r="AH212" i="10"/>
  <c r="AI212" i="10" s="1"/>
  <c r="AH94" i="10"/>
  <c r="AI94" i="10" s="1"/>
  <c r="AH325" i="10"/>
  <c r="AI325" i="10"/>
  <c r="AH350" i="10"/>
  <c r="AI350" i="10" s="1"/>
  <c r="AH319" i="10"/>
  <c r="AI319" i="10"/>
  <c r="AH424" i="10"/>
  <c r="AI424" i="10"/>
  <c r="AH306" i="10"/>
  <c r="AI306" i="10"/>
  <c r="AH124" i="10"/>
  <c r="AI124" i="10"/>
  <c r="AH300" i="10"/>
  <c r="AI300" i="10"/>
  <c r="AH333" i="10"/>
  <c r="AI333" i="10"/>
  <c r="AH422" i="10"/>
  <c r="AI422" i="10"/>
  <c r="AH455" i="10"/>
  <c r="AI455" i="10"/>
  <c r="AH410" i="10"/>
  <c r="AI410" i="10"/>
  <c r="AH4" i="10"/>
  <c r="AI4" i="10" s="1"/>
  <c r="AH366" i="10"/>
  <c r="AI366" i="10"/>
  <c r="AH465" i="10"/>
  <c r="AI465" i="10"/>
  <c r="AH73" i="10"/>
  <c r="AI73" i="10"/>
  <c r="AH67" i="10"/>
  <c r="AI67" i="10"/>
  <c r="AH102" i="10"/>
  <c r="AI102" i="10"/>
  <c r="AH343" i="10"/>
  <c r="AI343" i="10"/>
  <c r="AH385" i="10"/>
  <c r="AI385" i="10"/>
  <c r="AH107" i="10"/>
  <c r="AI107" i="10"/>
  <c r="AH467" i="10"/>
  <c r="AI467" i="10"/>
  <c r="AH401" i="10"/>
  <c r="AI401" i="10"/>
  <c r="AH318" i="10"/>
  <c r="AI318" i="10"/>
  <c r="AH33" i="10"/>
  <c r="AI33" i="10" s="1"/>
  <c r="AH93" i="10"/>
  <c r="AI93" i="10"/>
  <c r="AH460" i="10"/>
  <c r="AI460" i="10"/>
  <c r="AH160" i="10"/>
  <c r="AI160" i="10" s="1"/>
  <c r="AH473" i="10"/>
  <c r="AI473" i="10"/>
  <c r="AH100" i="10"/>
  <c r="AI100" i="10"/>
  <c r="AH242" i="10"/>
  <c r="AI242" i="10"/>
  <c r="AH398" i="10"/>
  <c r="AI398" i="10"/>
  <c r="AH363" i="10"/>
  <c r="AI363" i="10"/>
  <c r="AH103" i="10"/>
  <c r="AI103" i="10"/>
  <c r="AH480" i="10"/>
  <c r="AI480" i="10"/>
  <c r="AH307" i="10"/>
  <c r="AI307" i="10"/>
  <c r="AH356" i="10"/>
  <c r="AI356" i="10" s="1"/>
  <c r="AH453" i="10"/>
  <c r="AI453" i="10"/>
  <c r="AH414" i="10"/>
  <c r="AI414" i="10"/>
  <c r="AH364" i="10"/>
  <c r="AI364" i="10" s="1"/>
  <c r="AH461" i="10"/>
  <c r="AI461" i="10"/>
  <c r="AH486" i="10"/>
  <c r="AI486" i="10"/>
  <c r="AH425" i="10"/>
  <c r="AI425" i="10"/>
  <c r="AH322" i="10"/>
  <c r="AI322" i="10" s="1"/>
  <c r="AH66" i="10"/>
  <c r="AI66" i="10" s="1"/>
  <c r="AH55" i="10"/>
  <c r="AI55" i="10"/>
  <c r="AH312" i="10"/>
  <c r="AI312" i="10"/>
  <c r="AH338" i="10"/>
  <c r="AI338" i="10"/>
  <c r="AH5" i="10"/>
  <c r="AI5" i="10" s="1"/>
  <c r="AH110" i="10"/>
  <c r="AI110" i="10"/>
  <c r="AH215" i="10"/>
  <c r="AI215" i="10"/>
  <c r="AH248" i="10"/>
  <c r="AI248" i="10"/>
  <c r="AH407" i="10"/>
  <c r="AI407" i="10"/>
  <c r="AH228" i="10"/>
  <c r="AI228" i="10"/>
  <c r="AH81" i="10"/>
  <c r="AI81" i="10"/>
  <c r="AH357" i="10"/>
  <c r="AI357" i="10"/>
  <c r="AH446" i="10"/>
  <c r="AI446" i="10"/>
  <c r="AH227" i="10"/>
  <c r="AI227" i="10" s="1"/>
  <c r="AH347" i="10"/>
  <c r="AI347" i="10"/>
  <c r="AH92" i="10"/>
  <c r="AI92" i="10"/>
  <c r="AH54" i="10"/>
  <c r="AI54" i="10" s="1"/>
  <c r="AH309" i="10"/>
  <c r="AI309" i="10"/>
  <c r="AH462" i="10"/>
  <c r="AI462" i="10"/>
  <c r="AH70" i="10"/>
  <c r="AI70" i="10" s="1"/>
  <c r="AH8" i="10"/>
  <c r="AI8" i="10" s="1"/>
  <c r="AH56" i="10"/>
  <c r="AI56" i="10"/>
  <c r="AH176" i="10"/>
  <c r="AI176" i="10"/>
  <c r="AH371" i="10"/>
  <c r="AI371" i="10"/>
  <c r="AH420" i="10"/>
  <c r="AI420" i="10"/>
  <c r="AH478" i="10"/>
  <c r="AI478" i="10"/>
  <c r="AH447" i="10"/>
  <c r="AI447" i="10"/>
  <c r="AH34" i="10"/>
  <c r="AI34" i="10"/>
  <c r="AH204" i="10"/>
  <c r="AI204" i="10"/>
  <c r="AH109" i="10"/>
  <c r="AI109" i="10" s="1"/>
  <c r="AH479" i="10"/>
  <c r="AI479" i="10"/>
  <c r="AH169" i="10"/>
  <c r="AI169" i="10"/>
  <c r="AH35" i="10"/>
  <c r="AI35" i="10" s="1"/>
  <c r="AH98" i="10"/>
  <c r="AI98" i="10"/>
  <c r="AH141" i="10"/>
  <c r="AI141" i="10"/>
  <c r="AH376" i="10"/>
  <c r="AI376" i="10"/>
  <c r="AH163" i="10"/>
  <c r="AI163" i="10"/>
  <c r="AH39" i="10"/>
  <c r="AI39" i="10"/>
  <c r="AH181" i="10"/>
  <c r="AI181" i="10"/>
  <c r="AH487" i="10"/>
  <c r="AI487" i="10"/>
  <c r="AH421" i="10"/>
  <c r="AI421" i="10"/>
  <c r="AH262" i="10"/>
  <c r="AI262" i="10"/>
  <c r="AH297" i="10"/>
  <c r="AI297" i="10"/>
  <c r="AH50" i="10"/>
  <c r="AI50" i="10" s="1"/>
  <c r="AH411" i="10"/>
  <c r="AI411" i="10"/>
  <c r="AH24" i="10"/>
  <c r="AI24" i="10" s="1"/>
  <c r="AH359" i="10"/>
  <c r="AI359" i="10" s="1"/>
  <c r="AH305" i="10"/>
  <c r="AI305" i="10"/>
  <c r="AH156" i="10"/>
  <c r="AI156" i="10"/>
  <c r="AH206" i="10"/>
  <c r="AI206" i="10"/>
  <c r="AH437" i="10"/>
  <c r="AI437" i="10"/>
  <c r="AH144" i="10"/>
  <c r="AI144" i="10"/>
  <c r="AH118" i="10"/>
  <c r="AI118" i="10"/>
  <c r="AH111" i="10"/>
  <c r="AI111" i="10"/>
  <c r="AH142" i="10"/>
  <c r="AI142" i="10"/>
  <c r="AH243" i="10"/>
  <c r="AI243" i="10"/>
  <c r="AH117" i="10"/>
  <c r="AI117" i="10"/>
  <c r="AH10" i="10"/>
  <c r="AI10" i="10"/>
  <c r="AH435" i="10"/>
  <c r="AI435" i="10"/>
  <c r="AH484" i="10"/>
  <c r="AI484" i="10"/>
  <c r="AH337" i="10"/>
  <c r="AI337" i="10"/>
  <c r="AH79" i="10"/>
  <c r="AI79" i="10"/>
  <c r="AH127" i="10"/>
  <c r="AI127" i="10"/>
  <c r="AH474" i="10"/>
  <c r="AI474" i="10"/>
  <c r="AH315" i="10"/>
  <c r="AI315" i="10"/>
  <c r="AH393" i="10"/>
  <c r="AI393" i="10"/>
  <c r="AH31" i="10"/>
  <c r="AI31" i="10"/>
  <c r="AH368" i="10"/>
  <c r="AI368" i="10"/>
  <c r="AH21" i="10"/>
  <c r="AI21" i="10"/>
  <c r="AH275" i="10"/>
  <c r="AI275" i="10"/>
  <c r="AH46" i="10"/>
  <c r="AI46" i="10"/>
  <c r="AH353" i="10"/>
  <c r="AI353" i="10"/>
  <c r="AH265" i="10"/>
  <c r="AI265" i="10"/>
  <c r="AH249" i="10"/>
  <c r="AI249" i="10"/>
  <c r="AH349" i="10"/>
  <c r="AI349" i="10"/>
  <c r="AH15" i="10"/>
  <c r="AI15" i="10"/>
  <c r="AH195" i="10"/>
  <c r="AI195" i="10" s="1"/>
  <c r="AH53" i="10"/>
  <c r="AI53" i="10" s="1"/>
  <c r="AH120" i="10"/>
  <c r="AI120" i="10"/>
  <c r="AH485" i="10"/>
  <c r="AI485" i="10"/>
  <c r="AH71" i="10"/>
  <c r="AI71" i="10" s="1"/>
  <c r="AH328" i="10"/>
  <c r="AI328" i="10"/>
  <c r="AH370" i="10"/>
  <c r="AI370" i="10"/>
  <c r="AH30" i="10"/>
  <c r="AI30" i="10"/>
  <c r="AH475" i="10"/>
  <c r="AI475" i="10"/>
  <c r="AH166" i="10"/>
  <c r="AI166" i="10"/>
  <c r="AH122" i="10"/>
  <c r="AI122" i="10"/>
  <c r="AH330" i="10"/>
  <c r="AI330" i="10"/>
  <c r="AH221" i="10"/>
  <c r="AI221" i="10"/>
  <c r="AH274" i="10"/>
  <c r="AI274" i="10"/>
  <c r="AH409" i="10"/>
  <c r="AI409" i="10"/>
  <c r="AH482" i="10"/>
  <c r="AI482" i="10"/>
  <c r="AH64" i="10"/>
  <c r="AI64" i="10"/>
  <c r="AH149" i="10"/>
  <c r="AI149" i="10"/>
  <c r="AH182" i="10"/>
  <c r="AI182" i="10"/>
  <c r="AH208" i="10"/>
  <c r="AI208" i="10" s="1"/>
  <c r="AH311" i="10"/>
  <c r="AI311" i="10"/>
  <c r="AH255" i="10"/>
  <c r="AI255" i="10"/>
  <c r="AH11" i="10"/>
  <c r="AI11" i="10" s="1"/>
  <c r="AH68" i="10"/>
  <c r="AI68" i="10"/>
  <c r="AH13" i="10"/>
  <c r="AI13" i="10"/>
  <c r="AH161" i="10"/>
  <c r="AI161" i="10" s="1"/>
  <c r="AH194" i="10"/>
  <c r="AI194" i="10"/>
  <c r="AH220" i="10"/>
  <c r="AI220" i="10"/>
  <c r="AH379" i="10"/>
  <c r="AI379" i="10"/>
  <c r="AH42" i="10"/>
  <c r="AI42" i="10" s="1"/>
  <c r="AH77" i="10"/>
  <c r="AI77" i="10"/>
  <c r="AH125" i="10"/>
  <c r="AI125" i="10"/>
  <c r="AH272" i="10"/>
  <c r="AI272" i="10"/>
  <c r="AH119" i="10"/>
  <c r="AI119" i="10"/>
  <c r="AH341" i="10"/>
  <c r="AI341" i="10"/>
  <c r="AH201" i="10"/>
  <c r="AI201" i="10"/>
  <c r="AH36" i="10"/>
  <c r="AI36" i="10"/>
  <c r="AH331" i="10"/>
  <c r="AI331" i="10" s="1"/>
  <c r="AH316" i="10"/>
  <c r="AI316" i="10"/>
  <c r="AH413" i="10"/>
  <c r="AI413" i="10"/>
  <c r="AH26" i="10"/>
  <c r="AI26" i="10"/>
  <c r="AH186" i="10"/>
  <c r="AI186" i="10"/>
  <c r="AH354" i="10"/>
  <c r="AI354" i="10"/>
  <c r="AH138" i="10"/>
  <c r="AI138" i="10"/>
  <c r="AH258" i="10"/>
  <c r="AI258" i="10"/>
  <c r="AH471" i="10"/>
  <c r="AI471" i="10"/>
  <c r="AH217" i="10"/>
  <c r="AI217" i="10"/>
  <c r="AH392" i="10"/>
  <c r="AI392" i="10"/>
  <c r="AH89" i="10"/>
  <c r="AI89" i="10"/>
  <c r="AH231" i="10"/>
  <c r="AI231" i="10"/>
  <c r="AH191" i="10"/>
  <c r="AI191" i="10" s="1"/>
  <c r="AH135" i="10"/>
  <c r="AI135" i="10"/>
  <c r="AH340" i="10"/>
  <c r="AI340" i="10"/>
  <c r="AH90" i="10"/>
  <c r="AI90" i="10"/>
  <c r="AH408" i="10"/>
  <c r="AI408" i="10"/>
  <c r="AH394" i="10"/>
  <c r="AI394" i="10"/>
  <c r="AH49" i="10"/>
  <c r="AI49" i="10" s="1"/>
  <c r="AH105" i="10"/>
  <c r="AI105" i="10"/>
  <c r="AH61" i="10"/>
  <c r="AI61" i="10" s="1"/>
  <c r="AH418" i="10"/>
  <c r="AI418" i="10"/>
  <c r="AR503" i="5"/>
  <c r="N166" i="36"/>
  <c r="N193" i="36" s="1"/>
  <c r="AD350" i="5"/>
  <c r="AR481" i="5"/>
  <c r="AO517" i="5"/>
  <c r="AD520" i="5"/>
  <c r="AB560" i="5"/>
  <c r="J460" i="36" s="1"/>
  <c r="Y481" i="5"/>
  <c r="AB481" i="5"/>
  <c r="AF567" i="5"/>
  <c r="AO53" i="5"/>
  <c r="AB503" i="5"/>
  <c r="AR531" i="5"/>
  <c r="AR551" i="5" s="1"/>
  <c r="M170" i="36" s="1"/>
  <c r="AB531" i="5"/>
  <c r="AL232" i="5"/>
  <c r="AP53" i="5"/>
  <c r="AK481" i="5"/>
  <c r="AN507" i="5"/>
  <c r="AN512" i="5" s="1"/>
  <c r="AA168" i="36"/>
  <c r="AA195" i="36" s="1"/>
  <c r="AJ507" i="5"/>
  <c r="AB206" i="5"/>
  <c r="AA206" i="5"/>
  <c r="AJ350" i="5"/>
  <c r="AB528" i="5"/>
  <c r="V162" i="36"/>
  <c r="V189" i="36" s="1"/>
  <c r="AB184" i="5"/>
  <c r="AA184" i="5"/>
  <c r="AE53" i="5"/>
  <c r="N162" i="36"/>
  <c r="N189" i="36" s="1"/>
  <c r="AB153" i="36"/>
  <c r="AB180" i="36" s="1"/>
  <c r="AA503" i="5"/>
  <c r="AP531" i="5"/>
  <c r="AA531" i="5"/>
  <c r="AQ531" i="5"/>
  <c r="V153" i="36"/>
  <c r="V180" i="36" s="1"/>
  <c r="AM503" i="5"/>
  <c r="AN449" i="5"/>
  <c r="AN521" i="5"/>
  <c r="AA520" i="5"/>
  <c r="AS517" i="5"/>
  <c r="AS53" i="5"/>
  <c r="W538" i="5"/>
  <c r="S157" i="36"/>
  <c r="S184" i="36" s="1"/>
  <c r="AQ107" i="5"/>
  <c r="P150" i="36"/>
  <c r="P177" i="36" s="1"/>
  <c r="S169" i="36"/>
  <c r="S196" i="36" s="1"/>
  <c r="AA53" i="5"/>
  <c r="AK517" i="5"/>
  <c r="AM481" i="5"/>
  <c r="AM531" i="5"/>
  <c r="AJ251" i="5"/>
  <c r="Z107" i="5"/>
  <c r="V158" i="36"/>
  <c r="V185" i="36" s="1"/>
  <c r="X152" i="36"/>
  <c r="X179" i="36" s="1"/>
  <c r="AQ232" i="5"/>
  <c r="AQ507" i="5"/>
  <c r="AJ519" i="5"/>
  <c r="AQ34" i="5"/>
  <c r="AF350" i="5"/>
  <c r="AN503" i="5"/>
  <c r="AQ509" i="5"/>
  <c r="AP538" i="5"/>
  <c r="AO85" i="5"/>
  <c r="BO182" i="5"/>
  <c r="BO184" i="5" s="1"/>
  <c r="AP186" i="5" s="1"/>
  <c r="AO107" i="5"/>
  <c r="P167" i="36"/>
  <c r="P194" i="36" s="1"/>
  <c r="AO527" i="5"/>
  <c r="AH568" i="5"/>
  <c r="BA182" i="5"/>
  <c r="AB185" i="5" s="1"/>
  <c r="AB168" i="36"/>
  <c r="AB195" i="36" s="1"/>
  <c r="AO509" i="5"/>
  <c r="BO348" i="5"/>
  <c r="BO350" i="5" s="1"/>
  <c r="AP352" i="5" s="1"/>
  <c r="AA107" i="5"/>
  <c r="AF481" i="5"/>
  <c r="Z528" i="5"/>
  <c r="P162" i="36"/>
  <c r="P189" i="36" s="1"/>
  <c r="AS519" i="5"/>
  <c r="V154" i="36"/>
  <c r="V181" i="36" s="1"/>
  <c r="AA517" i="5"/>
  <c r="BM32" i="5"/>
  <c r="AN35" i="5" s="1"/>
  <c r="AH517" i="5"/>
  <c r="AG232" i="5"/>
  <c r="AA85" i="5"/>
  <c r="AS481" i="5"/>
  <c r="AF503" i="5"/>
  <c r="AK53" i="5"/>
  <c r="AH53" i="5"/>
  <c r="Z206" i="5"/>
  <c r="V165" i="36"/>
  <c r="V192" i="36" s="1"/>
  <c r="AK560" i="5"/>
  <c r="J469" i="36" s="1"/>
  <c r="AG350" i="5"/>
  <c r="AP521" i="5"/>
  <c r="AF531" i="5"/>
  <c r="Z527" i="5"/>
  <c r="AZ182" i="5"/>
  <c r="Y207" i="36" s="1"/>
  <c r="AS503" i="5"/>
  <c r="AP503" i="5"/>
  <c r="AR559" i="5"/>
  <c r="I476" i="36" s="1"/>
  <c r="Y152" i="36"/>
  <c r="Y179" i="36" s="1"/>
  <c r="AG509" i="5"/>
  <c r="AE568" i="5"/>
  <c r="AC520" i="5"/>
  <c r="AC522" i="5" s="1"/>
  <c r="F155" i="36" s="1"/>
  <c r="F182" i="36" s="1"/>
  <c r="AD168" i="36"/>
  <c r="AD195" i="36" s="1"/>
  <c r="AG520" i="5"/>
  <c r="AZ83" i="5"/>
  <c r="X207" i="36" s="1"/>
  <c r="BL83" i="5"/>
  <c r="AM86" i="5" s="1"/>
  <c r="AH449" i="5"/>
  <c r="AC350" i="5"/>
  <c r="AS531" i="5"/>
  <c r="AP449" i="5"/>
  <c r="AJ449" i="5"/>
  <c r="AA527" i="5"/>
  <c r="AC232" i="5"/>
  <c r="AC509" i="5"/>
  <c r="BF182" i="5"/>
  <c r="AG185" i="5" s="1"/>
  <c r="AJ509" i="5"/>
  <c r="AB520" i="5"/>
  <c r="AH521" i="5"/>
  <c r="BK83" i="5"/>
  <c r="BK85" i="5" s="1"/>
  <c r="AL87" i="5" s="1"/>
  <c r="AB251" i="5"/>
  <c r="AA509" i="5"/>
  <c r="AA232" i="5"/>
  <c r="AB517" i="5"/>
  <c r="AO568" i="5"/>
  <c r="V160" i="36"/>
  <c r="V187" i="36" s="1"/>
  <c r="AQ350" i="5"/>
  <c r="AI509" i="5"/>
  <c r="AI512" i="5" s="1"/>
  <c r="AO521" i="5"/>
  <c r="V169" i="36"/>
  <c r="V196" i="36" s="1"/>
  <c r="AI232" i="5"/>
  <c r="W167" i="36"/>
  <c r="W194" i="36" s="1"/>
  <c r="AH520" i="5"/>
  <c r="AN570" i="5"/>
  <c r="BP182" i="5"/>
  <c r="BP184" i="5" s="1"/>
  <c r="AQ186" i="5" s="1"/>
  <c r="P154" i="36"/>
  <c r="P181" i="36" s="1"/>
  <c r="AN538" i="5"/>
  <c r="AJ560" i="5"/>
  <c r="J468" i="36" s="1"/>
  <c r="AK568" i="5"/>
  <c r="AJ503" i="5"/>
  <c r="AD166" i="36"/>
  <c r="AD193" i="36" s="1"/>
  <c r="W162" i="36"/>
  <c r="W189" i="36" s="1"/>
  <c r="AZ348" i="5"/>
  <c r="AZ350" i="5" s="1"/>
  <c r="AA352" i="5" s="1"/>
  <c r="Z520" i="5"/>
  <c r="AB53" i="5"/>
  <c r="X169" i="36"/>
  <c r="X196" i="36" s="1"/>
  <c r="BM479" i="5"/>
  <c r="BM481" i="5" s="1"/>
  <c r="AN483" i="5" s="1"/>
  <c r="AB232" i="5"/>
  <c r="AE404" i="5"/>
  <c r="V171" i="36"/>
  <c r="V198" i="36" s="1"/>
  <c r="AS520" i="5"/>
  <c r="AJ568" i="5"/>
  <c r="N14" i="27"/>
  <c r="N19" i="27"/>
  <c r="J19" i="27" s="1"/>
  <c r="N16" i="27"/>
  <c r="J16" i="27" s="1"/>
  <c r="N17" i="27"/>
  <c r="J17" i="27" s="1"/>
  <c r="N18" i="27"/>
  <c r="J18" i="27" s="1"/>
  <c r="BG182" i="5"/>
  <c r="Y214" i="36" s="1"/>
  <c r="BR83" i="5"/>
  <c r="AS86" i="5" s="1"/>
  <c r="BN182" i="5"/>
  <c r="AO185" i="5" s="1"/>
  <c r="BQ83" i="5"/>
  <c r="AR86" i="5" s="1"/>
  <c r="AW182" i="5"/>
  <c r="Y204" i="36" s="1"/>
  <c r="BO83" i="5"/>
  <c r="AP86" i="5" s="1"/>
  <c r="BE182" i="5"/>
  <c r="BE184" i="5" s="1"/>
  <c r="AF186" i="5" s="1"/>
  <c r="AX83" i="5"/>
  <c r="AX85" i="5" s="1"/>
  <c r="Y87" i="5" s="1"/>
  <c r="BC83" i="5"/>
  <c r="AD86" i="5" s="1"/>
  <c r="BD182" i="5"/>
  <c r="AE185" i="5" s="1"/>
  <c r="P272" i="36"/>
  <c r="AV182" i="5"/>
  <c r="W185" i="5" s="1"/>
  <c r="BR182" i="5"/>
  <c r="BR184" i="5" s="1"/>
  <c r="AS186" i="5" s="1"/>
  <c r="V540" i="2"/>
  <c r="P264" i="36"/>
  <c r="P269" i="36"/>
  <c r="P271" i="36"/>
  <c r="BQ479" i="5"/>
  <c r="BQ481" i="5" s="1"/>
  <c r="AR483" i="5" s="1"/>
  <c r="P274" i="36"/>
  <c r="P275" i="36"/>
  <c r="P266" i="36"/>
  <c r="P263" i="36"/>
  <c r="AF425" i="35"/>
  <c r="BL479" i="5"/>
  <c r="BL481" i="5" s="1"/>
  <c r="AM483" i="5" s="1"/>
  <c r="BF83" i="5"/>
  <c r="AG86" i="5" s="1"/>
  <c r="P267" i="36"/>
  <c r="P261" i="36"/>
  <c r="BH83" i="5"/>
  <c r="AI86" i="5" s="1"/>
  <c r="BJ182" i="5"/>
  <c r="BJ184" i="5" s="1"/>
  <c r="AK186" i="5" s="1"/>
  <c r="BM83" i="5"/>
  <c r="BM85" i="5" s="1"/>
  <c r="AN87" i="5" s="1"/>
  <c r="P426" i="35"/>
  <c r="BB83" i="5"/>
  <c r="BB85" i="5" s="1"/>
  <c r="AC87" i="5" s="1"/>
  <c r="BA83" i="5"/>
  <c r="AB86" i="5" s="1"/>
  <c r="BJ83" i="5"/>
  <c r="X217" i="36" s="1"/>
  <c r="BI479" i="5"/>
  <c r="BI481" i="5" s="1"/>
  <c r="AJ483" i="5" s="1"/>
  <c r="BP83" i="5"/>
  <c r="X223" i="36" s="1"/>
  <c r="AF262" i="35"/>
  <c r="BN348" i="5"/>
  <c r="AO351" i="5" s="1"/>
  <c r="M426" i="35"/>
  <c r="T431" i="35"/>
  <c r="V271" i="36"/>
  <c r="BI182" i="5"/>
  <c r="AJ185" i="5" s="1"/>
  <c r="BG83" i="5"/>
  <c r="BG85" i="5" s="1"/>
  <c r="AH87" i="5" s="1"/>
  <c r="R520" i="5"/>
  <c r="S520" i="5" s="1"/>
  <c r="T437" i="35"/>
  <c r="BP348" i="5"/>
  <c r="AQ351" i="5" s="1"/>
  <c r="S229" i="36"/>
  <c r="F229" i="36" s="1"/>
  <c r="R517" i="5"/>
  <c r="O217" i="36"/>
  <c r="BI83" i="5"/>
  <c r="X216" i="36" s="1"/>
  <c r="AY83" i="5"/>
  <c r="Z86" i="5" s="1"/>
  <c r="BG348" i="5"/>
  <c r="V214" i="36" s="1"/>
  <c r="BD83" i="5"/>
  <c r="BD85" i="5" s="1"/>
  <c r="AE87" i="5" s="1"/>
  <c r="K425" i="35"/>
  <c r="S348" i="2"/>
  <c r="AW83" i="5"/>
  <c r="X204" i="36" s="1"/>
  <c r="D424" i="35"/>
  <c r="AL431" i="35"/>
  <c r="P424" i="35"/>
  <c r="P265" i="36"/>
  <c r="P273" i="36"/>
  <c r="P276" i="36"/>
  <c r="AX182" i="5"/>
  <c r="Y205" i="36" s="1"/>
  <c r="BK182" i="5"/>
  <c r="AL185" i="5" s="1"/>
  <c r="P262" i="36"/>
  <c r="P268" i="36"/>
  <c r="P270" i="36"/>
  <c r="F425" i="35"/>
  <c r="D423" i="35"/>
  <c r="BL348" i="5"/>
  <c r="AM351" i="5" s="1"/>
  <c r="BD479" i="5"/>
  <c r="AE482" i="5" s="1"/>
  <c r="BE83" i="5"/>
  <c r="AF86" i="5" s="1"/>
  <c r="BQ182" i="5"/>
  <c r="Y224" i="36" s="1"/>
  <c r="BI348" i="5"/>
  <c r="BI350" i="5" s="1"/>
  <c r="AJ352" i="5" s="1"/>
  <c r="BQ348" i="5"/>
  <c r="BQ350" i="5" s="1"/>
  <c r="AR352" i="5" s="1"/>
  <c r="AE272" i="35"/>
  <c r="AW348" i="5"/>
  <c r="AW350" i="5" s="1"/>
  <c r="X352" i="5" s="1"/>
  <c r="U304" i="35"/>
  <c r="M13" i="25"/>
  <c r="M14" i="25" s="1"/>
  <c r="W304" i="35"/>
  <c r="N15" i="27"/>
  <c r="AD304" i="35"/>
  <c r="U63" i="10"/>
  <c r="U72" i="10"/>
  <c r="AH29" i="10"/>
  <c r="U79" i="10"/>
  <c r="U12" i="10"/>
  <c r="U117" i="10"/>
  <c r="U101" i="10"/>
  <c r="AT274" i="5" s="1"/>
  <c r="U104" i="10"/>
  <c r="U69" i="10"/>
  <c r="U97" i="10"/>
  <c r="AT236" i="5" s="1"/>
  <c r="U45" i="10"/>
  <c r="AT41" i="5" s="1"/>
  <c r="U81" i="10"/>
  <c r="U20" i="10"/>
  <c r="U85" i="10"/>
  <c r="U127" i="10"/>
  <c r="AG327" i="10" s="1"/>
  <c r="AH327" i="10" s="1"/>
  <c r="U120" i="10"/>
  <c r="U80" i="10"/>
  <c r="U71" i="10"/>
  <c r="U49" i="10"/>
  <c r="U86" i="10"/>
  <c r="U160" i="10"/>
  <c r="U95" i="10"/>
  <c r="U133" i="10"/>
  <c r="U87" i="10"/>
  <c r="U125" i="10"/>
  <c r="U23" i="10"/>
  <c r="U64" i="10"/>
  <c r="AG126" i="10" s="1"/>
  <c r="AH126" i="10" s="1"/>
  <c r="AI126" i="10" s="1"/>
  <c r="U47" i="10"/>
  <c r="U65" i="10"/>
  <c r="AT39" i="2" s="1"/>
  <c r="U93" i="10"/>
  <c r="U39" i="10"/>
  <c r="U46" i="10"/>
  <c r="U11" i="10"/>
  <c r="U119" i="10"/>
  <c r="AG234" i="10" s="1"/>
  <c r="AH234" i="10" s="1"/>
  <c r="U157" i="10"/>
  <c r="U73" i="10"/>
  <c r="U77" i="10"/>
  <c r="U7" i="10"/>
  <c r="AT137" i="5" s="1"/>
  <c r="AC304" i="35"/>
  <c r="R76" i="10"/>
  <c r="R75" i="10"/>
  <c r="AG150" i="10"/>
  <c r="R74" i="10"/>
  <c r="U70" i="10"/>
  <c r="U89" i="10"/>
  <c r="AT161" i="2" s="1"/>
  <c r="R68" i="10"/>
  <c r="R67" i="10"/>
  <c r="AG106" i="10"/>
  <c r="R130" i="10"/>
  <c r="AG303" i="10"/>
  <c r="U152" i="10"/>
  <c r="AT360" i="5" s="1"/>
  <c r="U150" i="10"/>
  <c r="R118" i="10"/>
  <c r="R26" i="10"/>
  <c r="R59" i="10"/>
  <c r="R24" i="10"/>
  <c r="U88" i="10"/>
  <c r="AT138" i="5" s="1"/>
  <c r="U54" i="10"/>
  <c r="R115" i="10"/>
  <c r="U159" i="10"/>
  <c r="U141" i="10"/>
  <c r="R163" i="10"/>
  <c r="AG148" i="10"/>
  <c r="R162" i="10"/>
  <c r="R156" i="10"/>
  <c r="R131" i="10"/>
  <c r="AG310" i="10"/>
  <c r="R32" i="10"/>
  <c r="R92" i="10"/>
  <c r="AG247" i="10"/>
  <c r="R90" i="10"/>
  <c r="AG239" i="10"/>
  <c r="R110" i="10"/>
  <c r="AG377" i="10"/>
  <c r="R17" i="10"/>
  <c r="R22" i="10"/>
  <c r="AG417" i="10"/>
  <c r="R164" i="10"/>
  <c r="AG140" i="10"/>
  <c r="U40" i="10"/>
  <c r="U29" i="10"/>
  <c r="U37" i="10"/>
  <c r="R35" i="10"/>
  <c r="U55" i="10"/>
  <c r="U61" i="10"/>
  <c r="R113" i="10"/>
  <c r="U15" i="10"/>
  <c r="R123" i="10"/>
  <c r="R161" i="10"/>
  <c r="U41" i="10"/>
  <c r="U142" i="10"/>
  <c r="AG9" i="10" s="1"/>
  <c r="AH9" i="10" s="1"/>
  <c r="AI9" i="10" s="1"/>
  <c r="U19" i="10"/>
  <c r="AG423" i="10" s="1"/>
  <c r="AH423" i="10" s="1"/>
  <c r="AI423" i="10" s="1"/>
  <c r="R52" i="10"/>
  <c r="R50" i="10"/>
  <c r="R102" i="10"/>
  <c r="R44" i="10"/>
  <c r="AG175" i="10"/>
  <c r="R43" i="10"/>
  <c r="AG196" i="10"/>
  <c r="R42" i="10"/>
  <c r="AG174" i="10"/>
  <c r="U38" i="10"/>
  <c r="AT335" i="5" s="1"/>
  <c r="U57" i="10"/>
  <c r="R36" i="10"/>
  <c r="AG168" i="10"/>
  <c r="R98" i="10"/>
  <c r="U128" i="10"/>
  <c r="U62" i="10"/>
  <c r="R148" i="10"/>
  <c r="R25" i="10"/>
  <c r="AG445" i="10"/>
  <c r="U56" i="10"/>
  <c r="R83" i="10"/>
  <c r="AG374" i="10"/>
  <c r="U103" i="10"/>
  <c r="AT268" i="5" s="1"/>
  <c r="U109" i="10"/>
  <c r="AT440" i="5" s="1"/>
  <c r="R99" i="10"/>
  <c r="AG488" i="10"/>
  <c r="R60" i="10"/>
  <c r="R58" i="10"/>
  <c r="R116" i="10"/>
  <c r="R114" i="10"/>
  <c r="R108" i="10"/>
  <c r="AG378" i="10"/>
  <c r="R107" i="10"/>
  <c r="AG391" i="10"/>
  <c r="R106" i="10"/>
  <c r="AG390" i="10"/>
  <c r="U151" i="10"/>
  <c r="AG28" i="10" s="1"/>
  <c r="U158" i="10"/>
  <c r="AT167" i="5" s="1"/>
  <c r="U121" i="10"/>
  <c r="AT39" i="5" s="1"/>
  <c r="R100" i="10"/>
  <c r="R154" i="10"/>
  <c r="U21" i="10"/>
  <c r="U27" i="10"/>
  <c r="R91" i="10"/>
  <c r="R16" i="10"/>
  <c r="AG427" i="10"/>
  <c r="U48" i="10"/>
  <c r="U31" i="10"/>
  <c r="R9" i="10"/>
  <c r="R8" i="10"/>
  <c r="AG219" i="10"/>
  <c r="U6" i="10"/>
  <c r="R126" i="10"/>
  <c r="AG321" i="10"/>
  <c r="R155" i="10"/>
  <c r="R66" i="10"/>
  <c r="AG104" i="10"/>
  <c r="U96" i="10"/>
  <c r="AG236" i="10" s="1"/>
  <c r="U28" i="10"/>
  <c r="AT137" i="2" s="1"/>
  <c r="R124" i="10"/>
  <c r="U26" i="10"/>
  <c r="R122" i="10"/>
  <c r="U24" i="10"/>
  <c r="U111" i="10"/>
  <c r="U149" i="10"/>
  <c r="AT453" i="2" s="1"/>
  <c r="R18" i="10"/>
  <c r="R10" i="10"/>
  <c r="R14" i="10"/>
  <c r="AG441" i="10"/>
  <c r="U59" i="10"/>
  <c r="U105" i="10"/>
  <c r="U13" i="10"/>
  <c r="U53" i="10"/>
  <c r="R84" i="10"/>
  <c r="AG468" i="10"/>
  <c r="U115" i="10"/>
  <c r="AG289" i="10" s="1"/>
  <c r="AH289" i="10" s="1"/>
  <c r="AI289" i="10" s="1"/>
  <c r="R51" i="10"/>
  <c r="R82" i="10"/>
  <c r="U112" i="10"/>
  <c r="AG290" i="10" s="1"/>
  <c r="U78" i="10"/>
  <c r="U129" i="10"/>
  <c r="AE520" i="5"/>
  <c r="AR520" i="5"/>
  <c r="AE350" i="5"/>
  <c r="AX133" i="5"/>
  <c r="Y135" i="5" s="1"/>
  <c r="BJ133" i="5"/>
  <c r="AK135" i="5" s="1"/>
  <c r="Y134" i="5"/>
  <c r="AQ85" i="5"/>
  <c r="H424" i="35"/>
  <c r="T304" i="35"/>
  <c r="S304" i="35"/>
  <c r="AV500" i="5"/>
  <c r="W502" i="5" s="1"/>
  <c r="AI204" i="5"/>
  <c r="S338" i="35"/>
  <c r="AF304" i="35"/>
  <c r="T449" i="35"/>
  <c r="T450" i="35"/>
  <c r="L253" i="25"/>
  <c r="H423" i="35"/>
  <c r="BO479" i="5"/>
  <c r="BO481" i="5" s="1"/>
  <c r="AP483" i="5" s="1"/>
  <c r="AR568" i="5"/>
  <c r="AP404" i="5"/>
  <c r="AF251" i="5"/>
  <c r="AI568" i="5"/>
  <c r="AL481" i="5"/>
  <c r="AD531" i="5"/>
  <c r="AM350" i="5"/>
  <c r="AQ527" i="5"/>
  <c r="AS251" i="5"/>
  <c r="AD503" i="5"/>
  <c r="AD481" i="5"/>
  <c r="AL531" i="5"/>
  <c r="AI520" i="5"/>
  <c r="V168" i="36"/>
  <c r="V195" i="36" s="1"/>
  <c r="BD348" i="5"/>
  <c r="AE351" i="5" s="1"/>
  <c r="V161" i="36"/>
  <c r="V188" i="36" s="1"/>
  <c r="AL503" i="5"/>
  <c r="AP520" i="5"/>
  <c r="AF519" i="5"/>
  <c r="AC563" i="5"/>
  <c r="M461" i="36" s="1"/>
  <c r="K253" i="25"/>
  <c r="P253" i="25" s="1"/>
  <c r="L255" i="25"/>
  <c r="J255" i="25"/>
  <c r="K255" i="25"/>
  <c r="P255" i="25" s="1"/>
  <c r="BR348" i="5"/>
  <c r="BR350" i="5" s="1"/>
  <c r="AS352" i="5" s="1"/>
  <c r="L252" i="25"/>
  <c r="O252" i="25"/>
  <c r="K252" i="25"/>
  <c r="P252" i="25" s="1"/>
  <c r="J256" i="25"/>
  <c r="L256" i="25"/>
  <c r="O256" i="25"/>
  <c r="J253" i="25"/>
  <c r="AF568" i="5"/>
  <c r="U154" i="36"/>
  <c r="U181" i="36" s="1"/>
  <c r="AQ568" i="5"/>
  <c r="BC348" i="5"/>
  <c r="AD351" i="5" s="1"/>
  <c r="BB182" i="5"/>
  <c r="BB184" i="5" s="1"/>
  <c r="AC186" i="5" s="1"/>
  <c r="AY479" i="5"/>
  <c r="AY481" i="5" s="1"/>
  <c r="Z483" i="5" s="1"/>
  <c r="BN479" i="5"/>
  <c r="AO482" i="5" s="1"/>
  <c r="BR479" i="5"/>
  <c r="BR481" i="5" s="1"/>
  <c r="AS483" i="5" s="1"/>
  <c r="AV348" i="5"/>
  <c r="W351" i="5" s="1"/>
  <c r="BE348" i="5"/>
  <c r="AF351" i="5" s="1"/>
  <c r="V274" i="36"/>
  <c r="AX348" i="5"/>
  <c r="Y351" i="5" s="1"/>
  <c r="V263" i="36"/>
  <c r="V267" i="36"/>
  <c r="H426" i="35"/>
  <c r="V272" i="36"/>
  <c r="V276" i="36"/>
  <c r="BG479" i="5"/>
  <c r="AB214" i="36" s="1"/>
  <c r="K424" i="35"/>
  <c r="K423" i="35"/>
  <c r="V262" i="36"/>
  <c r="V230" i="36"/>
  <c r="V266" i="36"/>
  <c r="V268" i="36"/>
  <c r="V265" i="36"/>
  <c r="V261" i="36"/>
  <c r="AD265" i="35"/>
  <c r="V270" i="36"/>
  <c r="V275" i="36"/>
  <c r="BB479" i="5"/>
  <c r="AC482" i="5" s="1"/>
  <c r="V273" i="36"/>
  <c r="V264" i="36"/>
  <c r="V269" i="36"/>
  <c r="O254" i="25"/>
  <c r="K254" i="25"/>
  <c r="P254" i="25" s="1"/>
  <c r="L254" i="25"/>
  <c r="M21" i="27"/>
  <c r="N20" i="27"/>
  <c r="J20" i="27" s="1"/>
  <c r="Y184" i="5"/>
  <c r="Y206" i="5"/>
  <c r="Y528" i="5"/>
  <c r="AI560" i="5"/>
  <c r="J467" i="36" s="1"/>
  <c r="AA568" i="5"/>
  <c r="BA348" i="5"/>
  <c r="BA350" i="5" s="1"/>
  <c r="AB352" i="5" s="1"/>
  <c r="AO350" i="5"/>
  <c r="AK350" i="5"/>
  <c r="BK479" i="5"/>
  <c r="AB218" i="36" s="1"/>
  <c r="V167" i="36"/>
  <c r="V194" i="36" s="1"/>
  <c r="BE479" i="5"/>
  <c r="AF482" i="5" s="1"/>
  <c r="AK520" i="5"/>
  <c r="BA479" i="5"/>
  <c r="AB482" i="5" s="1"/>
  <c r="AY348" i="5"/>
  <c r="AY350" i="5" s="1"/>
  <c r="Z352" i="5" s="1"/>
  <c r="BK348" i="5"/>
  <c r="BK350" i="5" s="1"/>
  <c r="AL352" i="5" s="1"/>
  <c r="BH348" i="5"/>
  <c r="BH350" i="5" s="1"/>
  <c r="AI352" i="5" s="1"/>
  <c r="V152" i="36"/>
  <c r="V179" i="36" s="1"/>
  <c r="AY182" i="5"/>
  <c r="Z185" i="5" s="1"/>
  <c r="AC568" i="5"/>
  <c r="BP479" i="5"/>
  <c r="AB223" i="36" s="1"/>
  <c r="BF479" i="5"/>
  <c r="AB213" i="36" s="1"/>
  <c r="BH479" i="5"/>
  <c r="AI482" i="5" s="1"/>
  <c r="V150" i="36"/>
  <c r="V177" i="36" s="1"/>
  <c r="AN568" i="5"/>
  <c r="X520" i="5"/>
  <c r="AX479" i="5"/>
  <c r="AB205" i="36" s="1"/>
  <c r="AN520" i="5"/>
  <c r="V166" i="36"/>
  <c r="V193" i="36" s="1"/>
  <c r="AD568" i="5"/>
  <c r="AS568" i="5"/>
  <c r="Y520" i="5"/>
  <c r="V151" i="36"/>
  <c r="V178" i="36" s="1"/>
  <c r="AW479" i="5"/>
  <c r="AB204" i="36" s="1"/>
  <c r="AB568" i="5"/>
  <c r="BJ348" i="5"/>
  <c r="AK351" i="5" s="1"/>
  <c r="BJ479" i="5"/>
  <c r="AK482" i="5" s="1"/>
  <c r="BC479" i="5"/>
  <c r="BC481" i="5" s="1"/>
  <c r="AD483" i="5" s="1"/>
  <c r="AL350" i="5"/>
  <c r="AZ479" i="5"/>
  <c r="AB207" i="36" s="1"/>
  <c r="AL520" i="5"/>
  <c r="U161" i="36"/>
  <c r="U188" i="36" s="1"/>
  <c r="AI251" i="5"/>
  <c r="BM348" i="5"/>
  <c r="BM350" i="5" s="1"/>
  <c r="AN352" i="5" s="1"/>
  <c r="T436" i="35"/>
  <c r="BB348" i="5"/>
  <c r="BB350" i="5" s="1"/>
  <c r="AC352" i="5" s="1"/>
  <c r="T439" i="35"/>
  <c r="M424" i="35"/>
  <c r="AH424" i="35"/>
  <c r="AL437" i="35"/>
  <c r="AL568" i="5"/>
  <c r="AL436" i="35"/>
  <c r="V170" i="36"/>
  <c r="V197" i="36" s="1"/>
  <c r="E248" i="36"/>
  <c r="P425" i="35"/>
  <c r="AD269" i="35"/>
  <c r="AD273" i="35"/>
  <c r="AD270" i="35"/>
  <c r="AD272" i="35"/>
  <c r="AD276" i="35"/>
  <c r="V538" i="2"/>
  <c r="AD263" i="35"/>
  <c r="AD274" i="35"/>
  <c r="O206" i="36"/>
  <c r="U266" i="36"/>
  <c r="AD271" i="35"/>
  <c r="AD560" i="5"/>
  <c r="J462" i="36" s="1"/>
  <c r="O212" i="36"/>
  <c r="O223" i="36"/>
  <c r="AV230" i="2"/>
  <c r="W233" i="2" s="1"/>
  <c r="O218" i="36"/>
  <c r="O209" i="36"/>
  <c r="BO133" i="5"/>
  <c r="AP135" i="5" s="1"/>
  <c r="O220" i="36"/>
  <c r="W510" i="5"/>
  <c r="AM559" i="5"/>
  <c r="I471" i="36" s="1"/>
  <c r="Z501" i="5"/>
  <c r="AC501" i="5"/>
  <c r="U160" i="36"/>
  <c r="U187" i="36" s="1"/>
  <c r="AI527" i="5"/>
  <c r="Y161" i="36"/>
  <c r="Y188" i="36" s="1"/>
  <c r="AY230" i="2"/>
  <c r="Z233" i="2" s="1"/>
  <c r="Q149" i="36"/>
  <c r="Q176" i="36" s="1"/>
  <c r="BB230" i="2"/>
  <c r="AC233" i="2" s="1"/>
  <c r="BO34" i="5"/>
  <c r="AP36" i="5" s="1"/>
  <c r="U262" i="36"/>
  <c r="AY133" i="5"/>
  <c r="Z135" i="5" s="1"/>
  <c r="AD266" i="35"/>
  <c r="V519" i="5"/>
  <c r="U275" i="36"/>
  <c r="BN203" i="5"/>
  <c r="AO205" i="5" s="1"/>
  <c r="U261" i="36"/>
  <c r="U269" i="36"/>
  <c r="AY203" i="5"/>
  <c r="Z205" i="5" s="1"/>
  <c r="I507" i="5"/>
  <c r="N231" i="36" s="1"/>
  <c r="BC133" i="5"/>
  <c r="AD135" i="5" s="1"/>
  <c r="U271" i="36"/>
  <c r="U272" i="36"/>
  <c r="U267" i="36"/>
  <c r="U276" i="36"/>
  <c r="O210" i="36"/>
  <c r="U264" i="36"/>
  <c r="AD264" i="35"/>
  <c r="I508" i="5"/>
  <c r="O231" i="36" s="1"/>
  <c r="U268" i="36"/>
  <c r="U273" i="36"/>
  <c r="BQ203" i="5"/>
  <c r="AR205" i="5" s="1"/>
  <c r="BE133" i="5"/>
  <c r="AF135" i="5" s="1"/>
  <c r="AX203" i="5"/>
  <c r="Y205" i="5" s="1"/>
  <c r="W251" i="5"/>
  <c r="W509" i="5"/>
  <c r="BB133" i="5"/>
  <c r="AC135" i="5" s="1"/>
  <c r="W133" i="5"/>
  <c r="U149" i="36"/>
  <c r="U176" i="36" s="1"/>
  <c r="AW133" i="5"/>
  <c r="X135" i="5" s="1"/>
  <c r="AR519" i="5"/>
  <c r="U216" i="36"/>
  <c r="O222" i="36"/>
  <c r="X134" i="5"/>
  <c r="W232" i="5"/>
  <c r="AA519" i="5"/>
  <c r="AR251" i="5"/>
  <c r="W530" i="5"/>
  <c r="W350" i="5"/>
  <c r="AI206" i="5"/>
  <c r="AA251" i="5"/>
  <c r="W53" i="5"/>
  <c r="BC102" i="2"/>
  <c r="BC104" i="2" s="1"/>
  <c r="AD106" i="2" s="1"/>
  <c r="BO230" i="2"/>
  <c r="AP233" i="2" s="1"/>
  <c r="BK230" i="2"/>
  <c r="AL233" i="2" s="1"/>
  <c r="BH230" i="2"/>
  <c r="AI233" i="2" s="1"/>
  <c r="AX102" i="2"/>
  <c r="AX104" i="2" s="1"/>
  <c r="Y106" i="2" s="1"/>
  <c r="BR102" i="2"/>
  <c r="AS105" i="2" s="1"/>
  <c r="AF319" i="35"/>
  <c r="L319" i="35" s="1"/>
  <c r="U274" i="36"/>
  <c r="U265" i="36"/>
  <c r="Q261" i="35"/>
  <c r="AV203" i="5"/>
  <c r="W205" i="5" s="1"/>
  <c r="U270" i="36"/>
  <c r="U263" i="36"/>
  <c r="AD275" i="35"/>
  <c r="R519" i="5"/>
  <c r="S519" i="5" s="1"/>
  <c r="AV133" i="5"/>
  <c r="W135" i="5" s="1"/>
  <c r="BF102" i="2"/>
  <c r="BF104" i="2" s="1"/>
  <c r="AG106" i="2" s="1"/>
  <c r="AD267" i="35"/>
  <c r="AD268" i="35"/>
  <c r="Y35" i="5"/>
  <c r="AD261" i="35"/>
  <c r="AD262" i="35"/>
  <c r="BJ230" i="2"/>
  <c r="AK233" i="2" s="1"/>
  <c r="BJ203" i="5"/>
  <c r="AK205" i="5" s="1"/>
  <c r="N205" i="36"/>
  <c r="AP35" i="5"/>
  <c r="BK133" i="5"/>
  <c r="AL135" i="5" s="1"/>
  <c r="AN134" i="5"/>
  <c r="AB336" i="35"/>
  <c r="Y164" i="36"/>
  <c r="Y191" i="36" s="1"/>
  <c r="AL184" i="5"/>
  <c r="AP184" i="5"/>
  <c r="AI528" i="5"/>
  <c r="AE528" i="5"/>
  <c r="AE206" i="5"/>
  <c r="AS107" i="5"/>
  <c r="AS85" i="5"/>
  <c r="X171" i="36"/>
  <c r="X198" i="36" s="1"/>
  <c r="D58" i="17"/>
  <c r="T382" i="35"/>
  <c r="AI142" i="35"/>
  <c r="F228" i="35"/>
  <c r="L242" i="35"/>
  <c r="R263" i="36"/>
  <c r="O203" i="36"/>
  <c r="V548" i="5"/>
  <c r="O224" i="36"/>
  <c r="BQ133" i="5"/>
  <c r="AR135" i="5" s="1"/>
  <c r="U498" i="5"/>
  <c r="AG233" i="36" s="1"/>
  <c r="T498" i="5"/>
  <c r="T430" i="35"/>
  <c r="AF269" i="35"/>
  <c r="AF265" i="35"/>
  <c r="AF264" i="35"/>
  <c r="AF261" i="35"/>
  <c r="AF272" i="35"/>
  <c r="R222" i="36"/>
  <c r="I538" i="5"/>
  <c r="AD231" i="36" s="1"/>
  <c r="S428" i="2"/>
  <c r="AK206" i="5"/>
  <c r="BH500" i="5"/>
  <c r="AI502" i="5" s="1"/>
  <c r="AP252" i="5"/>
  <c r="U222" i="36"/>
  <c r="AP528" i="5"/>
  <c r="BE203" i="5"/>
  <c r="AF205" i="5" s="1"/>
  <c r="AC105" i="5"/>
  <c r="BL203" i="5"/>
  <c r="AM205" i="5" s="1"/>
  <c r="BC182" i="5"/>
  <c r="Y210" i="36" s="1"/>
  <c r="O213" i="36"/>
  <c r="O225" i="36"/>
  <c r="BN230" i="2"/>
  <c r="P221" i="35" s="1"/>
  <c r="BH182" i="5"/>
  <c r="BH184" i="5" s="1"/>
  <c r="AI186" i="5" s="1"/>
  <c r="BG203" i="5"/>
  <c r="AH205" i="5" s="1"/>
  <c r="BG230" i="2"/>
  <c r="BG232" i="2" s="1"/>
  <c r="AH234" i="2" s="1"/>
  <c r="BI102" i="2"/>
  <c r="BI104" i="2" s="1"/>
  <c r="AJ106" i="2" s="1"/>
  <c r="Y171" i="36"/>
  <c r="Y198" i="36" s="1"/>
  <c r="AZ203" i="5"/>
  <c r="AA205" i="5" s="1"/>
  <c r="BC230" i="2"/>
  <c r="AD233" i="2" s="1"/>
  <c r="BR133" i="5"/>
  <c r="AS135" i="5" s="1"/>
  <c r="AS528" i="5"/>
  <c r="BO500" i="5"/>
  <c r="AP502" i="5" s="1"/>
  <c r="AZ230" i="2"/>
  <c r="P207" i="35" s="1"/>
  <c r="AS206" i="5"/>
  <c r="BF133" i="5"/>
  <c r="AG135" i="5" s="1"/>
  <c r="AR501" i="5"/>
  <c r="O214" i="36"/>
  <c r="BG133" i="5"/>
  <c r="AH135" i="5" s="1"/>
  <c r="Y162" i="36"/>
  <c r="Y189" i="36" s="1"/>
  <c r="AJ206" i="5"/>
  <c r="AJ528" i="5"/>
  <c r="BJ102" i="2"/>
  <c r="BJ104" i="2" s="1"/>
  <c r="AK106" i="2" s="1"/>
  <c r="AJ252" i="5"/>
  <c r="AG184" i="5"/>
  <c r="R214" i="36"/>
  <c r="AB331" i="5"/>
  <c r="AQ560" i="5"/>
  <c r="J475" i="36" s="1"/>
  <c r="BM500" i="5"/>
  <c r="AN502" i="5" s="1"/>
  <c r="BG500" i="5"/>
  <c r="AH502" i="5" s="1"/>
  <c r="O208" i="36"/>
  <c r="BD230" i="2"/>
  <c r="AE233" i="2" s="1"/>
  <c r="BP133" i="5"/>
  <c r="AQ135" i="5" s="1"/>
  <c r="AN519" i="5"/>
  <c r="AD206" i="5"/>
  <c r="AE519" i="5"/>
  <c r="U219" i="36"/>
  <c r="AG528" i="5"/>
  <c r="AG206" i="5"/>
  <c r="AK519" i="5"/>
  <c r="U209" i="36"/>
  <c r="BQ102" i="2"/>
  <c r="AR105" i="2" s="1"/>
  <c r="AH560" i="5"/>
  <c r="J466" i="36" s="1"/>
  <c r="O207" i="36"/>
  <c r="BR230" i="2"/>
  <c r="BR232" i="2" s="1"/>
  <c r="AS234" i="2" s="1"/>
  <c r="AG519" i="5"/>
  <c r="AG251" i="5"/>
  <c r="AK251" i="5"/>
  <c r="BB203" i="5"/>
  <c r="AC205" i="5" s="1"/>
  <c r="BN251" i="5"/>
  <c r="AO253" i="5" s="1"/>
  <c r="AO252" i="5"/>
  <c r="U221" i="36"/>
  <c r="BK203" i="5"/>
  <c r="AL205" i="5" s="1"/>
  <c r="BA133" i="5"/>
  <c r="AB135" i="5" s="1"/>
  <c r="AN251" i="5"/>
  <c r="BO203" i="5"/>
  <c r="AP205" i="5" s="1"/>
  <c r="BB102" i="2"/>
  <c r="BB104" i="2" s="1"/>
  <c r="AC106" i="2" s="1"/>
  <c r="AZ133" i="5"/>
  <c r="AA135" i="5" s="1"/>
  <c r="AD252" i="5"/>
  <c r="BC251" i="5"/>
  <c r="AD253" i="5" s="1"/>
  <c r="U210" i="36"/>
  <c r="BE251" i="5"/>
  <c r="AF253" i="5" s="1"/>
  <c r="U212" i="36"/>
  <c r="O219" i="36"/>
  <c r="AS560" i="5"/>
  <c r="J477" i="36" s="1"/>
  <c r="BN102" i="2"/>
  <c r="BN104" i="2" s="1"/>
  <c r="AO106" i="2" s="1"/>
  <c r="O215" i="36"/>
  <c r="AQ204" i="5"/>
  <c r="BF230" i="2"/>
  <c r="P213" i="35" s="1"/>
  <c r="BM182" i="5"/>
  <c r="Y220" i="36" s="1"/>
  <c r="BH251" i="5"/>
  <c r="AI253" i="5" s="1"/>
  <c r="AP568" i="5"/>
  <c r="N211" i="36"/>
  <c r="U217" i="36"/>
  <c r="AQ184" i="5"/>
  <c r="U157" i="36"/>
  <c r="U184" i="36" s="1"/>
  <c r="AR560" i="5"/>
  <c r="J476" i="36" s="1"/>
  <c r="AD184" i="5"/>
  <c r="AL560" i="5"/>
  <c r="J470" i="36" s="1"/>
  <c r="AQ528" i="5"/>
  <c r="BK102" i="2"/>
  <c r="AL105" i="2" s="1"/>
  <c r="BL500" i="5"/>
  <c r="AM502" i="5" s="1"/>
  <c r="BL230" i="2"/>
  <c r="AM233" i="2" s="1"/>
  <c r="X538" i="2"/>
  <c r="AQ206" i="5"/>
  <c r="BI203" i="5"/>
  <c r="AJ205" i="5" s="1"/>
  <c r="BJ251" i="5"/>
  <c r="AK253" i="5" s="1"/>
  <c r="AD528" i="5"/>
  <c r="BE102" i="2"/>
  <c r="AF105" i="2" s="1"/>
  <c r="BQ251" i="5"/>
  <c r="AR253" i="5" s="1"/>
  <c r="U224" i="36"/>
  <c r="O221" i="36"/>
  <c r="AI85" i="5"/>
  <c r="O211" i="36"/>
  <c r="BK500" i="5"/>
  <c r="AL502" i="5" s="1"/>
  <c r="AI107" i="5"/>
  <c r="BD133" i="5"/>
  <c r="AE135" i="5" s="1"/>
  <c r="AH251" i="5"/>
  <c r="BN133" i="5"/>
  <c r="AO135" i="5" s="1"/>
  <c r="BP34" i="5"/>
  <c r="AQ36" i="5" s="1"/>
  <c r="AN560" i="5"/>
  <c r="J472" i="36" s="1"/>
  <c r="AM206" i="5"/>
  <c r="AG204" i="5"/>
  <c r="BD251" i="5"/>
  <c r="AE253" i="5" s="1"/>
  <c r="U211" i="36"/>
  <c r="AI134" i="5"/>
  <c r="AV249" i="5"/>
  <c r="W252" i="5" s="1"/>
  <c r="W507" i="5"/>
  <c r="Y160" i="36"/>
  <c r="Y187" i="36" s="1"/>
  <c r="AH206" i="5"/>
  <c r="AH528" i="5"/>
  <c r="AH548" i="5" s="1"/>
  <c r="J160" i="36" s="1"/>
  <c r="N209" i="36"/>
  <c r="BL133" i="5"/>
  <c r="AM135" i="5" s="1"/>
  <c r="AN528" i="5"/>
  <c r="AN184" i="5"/>
  <c r="N217" i="36"/>
  <c r="AK35" i="5"/>
  <c r="AN206" i="5"/>
  <c r="AM184" i="5"/>
  <c r="N223" i="36"/>
  <c r="W517" i="5"/>
  <c r="W302" i="2"/>
  <c r="W539" i="2"/>
  <c r="Y501" i="5"/>
  <c r="BN34" i="5"/>
  <c r="AO36" i="5" s="1"/>
  <c r="BR500" i="5"/>
  <c r="AS502" i="5" s="1"/>
  <c r="AM528" i="5"/>
  <c r="AO35" i="5"/>
  <c r="BO430" i="5"/>
  <c r="AP432" i="5" s="1"/>
  <c r="X204" i="5"/>
  <c r="AL251" i="5"/>
  <c r="AL519" i="5"/>
  <c r="BF251" i="5"/>
  <c r="AG253" i="5" s="1"/>
  <c r="AG252" i="5"/>
  <c r="U213" i="36"/>
  <c r="BM251" i="5"/>
  <c r="AN253" i="5" s="1"/>
  <c r="U220" i="36"/>
  <c r="AN252" i="5"/>
  <c r="AH252" i="5"/>
  <c r="U214" i="36"/>
  <c r="AF268" i="35"/>
  <c r="AF270" i="35"/>
  <c r="BM203" i="5"/>
  <c r="AN205" i="5" s="1"/>
  <c r="BC500" i="5"/>
  <c r="AD502" i="5" s="1"/>
  <c r="AF271" i="35"/>
  <c r="AF267" i="35"/>
  <c r="AF273" i="35"/>
  <c r="AF266" i="35"/>
  <c r="D427" i="35"/>
  <c r="AF263" i="35"/>
  <c r="AF276" i="35"/>
  <c r="U225" i="36"/>
  <c r="BP230" i="2"/>
  <c r="AQ233" i="2" s="1"/>
  <c r="U223" i="36"/>
  <c r="AW102" i="2"/>
  <c r="AW104" i="2" s="1"/>
  <c r="X106" i="2" s="1"/>
  <c r="AF274" i="35"/>
  <c r="AS252" i="5"/>
  <c r="AS204" i="5"/>
  <c r="U215" i="36"/>
  <c r="U207" i="36"/>
  <c r="AA252" i="5"/>
  <c r="BP251" i="5"/>
  <c r="AQ253" i="5" s="1"/>
  <c r="BC203" i="5"/>
  <c r="AD205" i="5" s="1"/>
  <c r="AZ251" i="5"/>
  <c r="AA253" i="5" s="1"/>
  <c r="BO102" i="2"/>
  <c r="BO104" i="2" s="1"/>
  <c r="AP106" i="2" s="1"/>
  <c r="R270" i="36"/>
  <c r="R208" i="36"/>
  <c r="AB252" i="5"/>
  <c r="U208" i="36"/>
  <c r="BB251" i="5"/>
  <c r="AC253" i="5" s="1"/>
  <c r="S32" i="2"/>
  <c r="AE273" i="35"/>
  <c r="V539" i="2"/>
  <c r="AE252" i="5"/>
  <c r="N213" i="36"/>
  <c r="BD500" i="5"/>
  <c r="AE502" i="5" s="1"/>
  <c r="S263" i="35"/>
  <c r="S276" i="35"/>
  <c r="BL182" i="5"/>
  <c r="BL184" i="5" s="1"/>
  <c r="AM186" i="5" s="1"/>
  <c r="AR252" i="5"/>
  <c r="AE270" i="35"/>
  <c r="BA203" i="5"/>
  <c r="AB205" i="5" s="1"/>
  <c r="BG251" i="5"/>
  <c r="AH253" i="5" s="1"/>
  <c r="AE271" i="35"/>
  <c r="AW500" i="5"/>
  <c r="X502" i="5" s="1"/>
  <c r="AF501" i="5"/>
  <c r="AL331" i="5"/>
  <c r="Q164" i="36"/>
  <c r="Q191" i="36" s="1"/>
  <c r="AE204" i="5"/>
  <c r="AF252" i="5"/>
  <c r="X252" i="5"/>
  <c r="W520" i="5"/>
  <c r="AR184" i="5"/>
  <c r="AM568" i="5"/>
  <c r="AO206" i="5"/>
  <c r="W152" i="5"/>
  <c r="AZ500" i="5"/>
  <c r="AA502" i="5" s="1"/>
  <c r="U218" i="36"/>
  <c r="AR528" i="5"/>
  <c r="AL252" i="5"/>
  <c r="Y167" i="36"/>
  <c r="Y194" i="36" s="1"/>
  <c r="Y251" i="5"/>
  <c r="U205" i="36"/>
  <c r="AG568" i="5"/>
  <c r="AR206" i="5"/>
  <c r="Y252" i="5"/>
  <c r="BJ500" i="5"/>
  <c r="AK502" i="5" s="1"/>
  <c r="AJ501" i="5"/>
  <c r="Y519" i="5"/>
  <c r="Z252" i="5"/>
  <c r="AY251" i="5"/>
  <c r="Z253" i="5" s="1"/>
  <c r="U206" i="36"/>
  <c r="Y232" i="5"/>
  <c r="Y509" i="5"/>
  <c r="W450" i="5"/>
  <c r="X203" i="2"/>
  <c r="AR152" i="2"/>
  <c r="BF500" i="5"/>
  <c r="AG502" i="5" s="1"/>
  <c r="AG560" i="5"/>
  <c r="J465" i="36" s="1"/>
  <c r="H266" i="36"/>
  <c r="N208" i="36"/>
  <c r="AM252" i="5"/>
  <c r="BG430" i="5"/>
  <c r="AH432" i="5" s="1"/>
  <c r="BC51" i="2"/>
  <c r="AD54" i="2" s="1"/>
  <c r="AB149" i="36"/>
  <c r="AB176" i="36" s="1"/>
  <c r="R170" i="35"/>
  <c r="R197" i="35" s="1"/>
  <c r="AM520" i="2"/>
  <c r="AR430" i="2"/>
  <c r="R209" i="36"/>
  <c r="BA500" i="5"/>
  <c r="AB502" i="5" s="1"/>
  <c r="R213" i="36"/>
  <c r="AW348" i="2"/>
  <c r="V204" i="35" s="1"/>
  <c r="AM350" i="2"/>
  <c r="W481" i="5"/>
  <c r="R225" i="36"/>
  <c r="AF518" i="2"/>
  <c r="W382" i="5"/>
  <c r="AF152" i="2"/>
  <c r="T149" i="36"/>
  <c r="T176" i="36" s="1"/>
  <c r="AB431" i="5"/>
  <c r="AL206" i="5"/>
  <c r="AO528" i="5"/>
  <c r="AO548" i="5" s="1"/>
  <c r="J167" i="36" s="1"/>
  <c r="BG428" i="2"/>
  <c r="BG430" i="2" s="1"/>
  <c r="AH432" i="2" s="1"/>
  <c r="U204" i="36"/>
  <c r="W404" i="5"/>
  <c r="BC329" i="2"/>
  <c r="Q210" i="35" s="1"/>
  <c r="AE184" i="5"/>
  <c r="AY102" i="2"/>
  <c r="AY104" i="2" s="1"/>
  <c r="Z106" i="2" s="1"/>
  <c r="BN380" i="5"/>
  <c r="AA221" i="36" s="1"/>
  <c r="BQ380" i="5"/>
  <c r="BQ382" i="5" s="1"/>
  <c r="AR384" i="5" s="1"/>
  <c r="X305" i="2"/>
  <c r="C257" i="17" s="1"/>
  <c r="AB518" i="2"/>
  <c r="AO560" i="5"/>
  <c r="J473" i="36" s="1"/>
  <c r="BD380" i="5"/>
  <c r="AA211" i="36" s="1"/>
  <c r="AR518" i="2"/>
  <c r="BG102" i="2"/>
  <c r="AH105" i="2" s="1"/>
  <c r="Q154" i="36"/>
  <c r="Q181" i="36" s="1"/>
  <c r="AC184" i="5"/>
  <c r="BJ428" i="2"/>
  <c r="R217" i="35" s="1"/>
  <c r="BF428" i="2"/>
  <c r="BF430" i="2" s="1"/>
  <c r="AG432" i="2" s="1"/>
  <c r="BB428" i="2"/>
  <c r="AC431" i="2" s="1"/>
  <c r="AC206" i="5"/>
  <c r="AP206" i="5"/>
  <c r="BJ281" i="2"/>
  <c r="AK284" i="2" s="1"/>
  <c r="AV479" i="5"/>
  <c r="AB203" i="36" s="1"/>
  <c r="R273" i="36"/>
  <c r="V511" i="5"/>
  <c r="V512" i="5" s="1"/>
  <c r="R230" i="36"/>
  <c r="R264" i="36"/>
  <c r="V503" i="5"/>
  <c r="M230" i="36" s="1"/>
  <c r="R268" i="36"/>
  <c r="R267" i="36"/>
  <c r="R275" i="36"/>
  <c r="AF430" i="5"/>
  <c r="R262" i="36"/>
  <c r="R266" i="36"/>
  <c r="R274" i="36"/>
  <c r="R269" i="36"/>
  <c r="R212" i="36"/>
  <c r="R276" i="36"/>
  <c r="R265" i="36"/>
  <c r="R271" i="36"/>
  <c r="R261" i="36"/>
  <c r="R272" i="36"/>
  <c r="W503" i="5"/>
  <c r="R149" i="36"/>
  <c r="R176" i="36" s="1"/>
  <c r="Y430" i="5"/>
  <c r="Y511" i="5"/>
  <c r="AW430" i="5"/>
  <c r="X432" i="5" s="1"/>
  <c r="X431" i="5"/>
  <c r="Q532" i="5"/>
  <c r="G252" i="36" s="1"/>
  <c r="BA251" i="5"/>
  <c r="AB253" i="5" s="1"/>
  <c r="S249" i="5"/>
  <c r="AK184" i="5"/>
  <c r="AK528" i="5"/>
  <c r="AF560" i="5"/>
  <c r="J464" i="36" s="1"/>
  <c r="R528" i="5"/>
  <c r="I528" i="5" s="1"/>
  <c r="Y231" i="36" s="1"/>
  <c r="X548" i="5"/>
  <c r="J150" i="36" s="1"/>
  <c r="J177" i="36" s="1"/>
  <c r="W508" i="5"/>
  <c r="O149" i="36"/>
  <c r="O176" i="36" s="1"/>
  <c r="W85" i="5"/>
  <c r="X149" i="36"/>
  <c r="X176" i="36" s="1"/>
  <c r="W107" i="5"/>
  <c r="AE35" i="5"/>
  <c r="BE34" i="5"/>
  <c r="AF36" i="5" s="1"/>
  <c r="X230" i="35"/>
  <c r="M250" i="35"/>
  <c r="M249" i="35"/>
  <c r="M243" i="35"/>
  <c r="AH430" i="5"/>
  <c r="AH511" i="5"/>
  <c r="AH503" i="5"/>
  <c r="AE560" i="5"/>
  <c r="J463" i="36" s="1"/>
  <c r="N149" i="36"/>
  <c r="N176" i="36" s="1"/>
  <c r="N11" i="5"/>
  <c r="M247" i="35"/>
  <c r="M251" i="35"/>
  <c r="M238" i="35"/>
  <c r="M252" i="35"/>
  <c r="M245" i="35"/>
  <c r="M244" i="35"/>
  <c r="M253" i="35"/>
  <c r="M246" i="35"/>
  <c r="M242" i="35"/>
  <c r="M248" i="35"/>
  <c r="M240" i="35"/>
  <c r="M241" i="35"/>
  <c r="M239" i="35"/>
  <c r="L250" i="35"/>
  <c r="AW380" i="5"/>
  <c r="X383" i="5" s="1"/>
  <c r="BG380" i="5"/>
  <c r="BG382" i="5" s="1"/>
  <c r="AH384" i="5" s="1"/>
  <c r="BO380" i="5"/>
  <c r="BO382" i="5" s="1"/>
  <c r="AP384" i="5" s="1"/>
  <c r="AL380" i="35"/>
  <c r="AK567" i="5"/>
  <c r="Q229" i="36"/>
  <c r="R510" i="5"/>
  <c r="AR331" i="5"/>
  <c r="Q170" i="36"/>
  <c r="Q197" i="36" s="1"/>
  <c r="AR510" i="5"/>
  <c r="AC567" i="5"/>
  <c r="AL381" i="35"/>
  <c r="H43" i="21"/>
  <c r="AA305" i="5"/>
  <c r="AA283" i="5"/>
  <c r="AA529" i="5"/>
  <c r="AP529" i="5"/>
  <c r="AO305" i="5"/>
  <c r="Z168" i="36"/>
  <c r="Z195" i="36" s="1"/>
  <c r="AP305" i="5"/>
  <c r="Z162" i="36"/>
  <c r="Z189" i="36" s="1"/>
  <c r="AD512" i="5"/>
  <c r="H50" i="21"/>
  <c r="H39" i="21"/>
  <c r="H46" i="21"/>
  <c r="H38" i="21"/>
  <c r="H51" i="21"/>
  <c r="AC264" i="36"/>
  <c r="AC267" i="36"/>
  <c r="H36" i="21"/>
  <c r="H48" i="21"/>
  <c r="H267" i="36"/>
  <c r="H276" i="36"/>
  <c r="H264" i="36"/>
  <c r="H262" i="36"/>
  <c r="AC271" i="36"/>
  <c r="H44" i="21"/>
  <c r="H269" i="36"/>
  <c r="H270" i="36"/>
  <c r="H274" i="36"/>
  <c r="AC273" i="36"/>
  <c r="H41" i="21"/>
  <c r="H263" i="36"/>
  <c r="H42" i="21"/>
  <c r="H49" i="21"/>
  <c r="H268" i="36"/>
  <c r="H45" i="21"/>
  <c r="H37" i="21"/>
  <c r="H47" i="21"/>
  <c r="H265" i="36"/>
  <c r="H273" i="36"/>
  <c r="AX83" i="2"/>
  <c r="X205" i="35" s="1"/>
  <c r="AL379" i="35"/>
  <c r="L238" i="35"/>
  <c r="T381" i="35"/>
  <c r="T379" i="35"/>
  <c r="AI123" i="35"/>
  <c r="T380" i="35"/>
  <c r="R206" i="5"/>
  <c r="J229" i="36" s="1"/>
  <c r="Y229" i="36"/>
  <c r="AC560" i="5"/>
  <c r="J461" i="36" s="1"/>
  <c r="Y155" i="36"/>
  <c r="Y182" i="36" s="1"/>
  <c r="Y158" i="36"/>
  <c r="Y185" i="36" s="1"/>
  <c r="AF206" i="5"/>
  <c r="AF528" i="5"/>
  <c r="AP560" i="5"/>
  <c r="J474" i="36" s="1"/>
  <c r="AM560" i="5"/>
  <c r="J471" i="36" s="1"/>
  <c r="W528" i="5"/>
  <c r="Y149" i="36"/>
  <c r="Y176" i="36" s="1"/>
  <c r="W206" i="5"/>
  <c r="AL426" i="35"/>
  <c r="AL382" i="35"/>
  <c r="R107" i="5"/>
  <c r="I229" i="36" s="1"/>
  <c r="I527" i="5"/>
  <c r="X231" i="36" s="1"/>
  <c r="AM527" i="5"/>
  <c r="AM85" i="5"/>
  <c r="AM107" i="5"/>
  <c r="R206" i="36"/>
  <c r="Z431" i="5"/>
  <c r="AY430" i="5"/>
  <c r="Z432" i="5" s="1"/>
  <c r="AE262" i="35"/>
  <c r="AC268" i="36"/>
  <c r="AC269" i="36"/>
  <c r="Y431" i="5"/>
  <c r="AX430" i="5"/>
  <c r="Y432" i="5" s="1"/>
  <c r="AC274" i="36"/>
  <c r="AC275" i="36"/>
  <c r="AC261" i="36"/>
  <c r="AC270" i="36"/>
  <c r="AE261" i="35"/>
  <c r="AC276" i="36"/>
  <c r="AC263" i="36"/>
  <c r="AC272" i="36"/>
  <c r="AX380" i="5"/>
  <c r="AX382" i="5" s="1"/>
  <c r="Y384" i="5" s="1"/>
  <c r="S230" i="35"/>
  <c r="Z266" i="36"/>
  <c r="AX329" i="2"/>
  <c r="Q205" i="35" s="1"/>
  <c r="S265" i="35"/>
  <c r="S261" i="35"/>
  <c r="BH348" i="2"/>
  <c r="V215" i="35" s="1"/>
  <c r="S447" i="2"/>
  <c r="V537" i="2"/>
  <c r="R219" i="36"/>
  <c r="S268" i="35"/>
  <c r="R230" i="35"/>
  <c r="R217" i="36"/>
  <c r="R207" i="36"/>
  <c r="W203" i="36"/>
  <c r="BE430" i="5"/>
  <c r="AF432" i="5" s="1"/>
  <c r="H275" i="36"/>
  <c r="H261" i="36"/>
  <c r="S479" i="2"/>
  <c r="H271" i="36"/>
  <c r="H272" i="36"/>
  <c r="AE275" i="35"/>
  <c r="AC266" i="36"/>
  <c r="AC265" i="36"/>
  <c r="AC262" i="36"/>
  <c r="S541" i="5"/>
  <c r="I541" i="5"/>
  <c r="AG231" i="36" s="1"/>
  <c r="S264" i="35"/>
  <c r="BL131" i="2"/>
  <c r="O219" i="35" s="1"/>
  <c r="S230" i="2"/>
  <c r="S102" i="2"/>
  <c r="BI281" i="2"/>
  <c r="AJ284" i="2" s="1"/>
  <c r="S249" i="2"/>
  <c r="BA380" i="5"/>
  <c r="AB383" i="5" s="1"/>
  <c r="S380" i="5"/>
  <c r="AX131" i="2"/>
  <c r="AX133" i="2" s="1"/>
  <c r="Y135" i="2" s="1"/>
  <c r="BC428" i="2"/>
  <c r="AD431" i="2" s="1"/>
  <c r="S267" i="35"/>
  <c r="BF131" i="2"/>
  <c r="O213" i="35" s="1"/>
  <c r="AZ131" i="2"/>
  <c r="AZ133" i="2" s="1"/>
  <c r="AA135" i="2" s="1"/>
  <c r="AV131" i="2"/>
  <c r="AV133" i="2" s="1"/>
  <c r="W135" i="2" s="1"/>
  <c r="BC249" i="2"/>
  <c r="AD252" i="2" s="1"/>
  <c r="S329" i="2"/>
  <c r="V510" i="2"/>
  <c r="BB281" i="5"/>
  <c r="AC284" i="5" s="1"/>
  <c r="BH131" i="2"/>
  <c r="AI134" i="2" s="1"/>
  <c r="BD102" i="2"/>
  <c r="AE105" i="2" s="1"/>
  <c r="R210" i="36"/>
  <c r="BB131" i="2"/>
  <c r="BB133" i="2" s="1"/>
  <c r="AC135" i="2" s="1"/>
  <c r="BN281" i="5"/>
  <c r="AO284" i="5" s="1"/>
  <c r="AV51" i="2"/>
  <c r="S131" i="2"/>
  <c r="AY380" i="5"/>
  <c r="Z383" i="5" s="1"/>
  <c r="BJ380" i="5"/>
  <c r="BJ382" i="5" s="1"/>
  <c r="AK384" i="5" s="1"/>
  <c r="S269" i="35"/>
  <c r="BJ131" i="2"/>
  <c r="BJ133" i="2" s="1"/>
  <c r="AK135" i="2" s="1"/>
  <c r="S150" i="2"/>
  <c r="Q230" i="35"/>
  <c r="BP102" i="2"/>
  <c r="AQ105" i="2" s="1"/>
  <c r="AE267" i="35"/>
  <c r="S51" i="2"/>
  <c r="BN131" i="2"/>
  <c r="O221" i="35" s="1"/>
  <c r="AF275" i="35"/>
  <c r="S424" i="35"/>
  <c r="T448" i="35"/>
  <c r="AB567" i="5"/>
  <c r="BO131" i="2"/>
  <c r="O222" i="35" s="1"/>
  <c r="AY329" i="2"/>
  <c r="Z332" i="2" s="1"/>
  <c r="BP380" i="5"/>
  <c r="BP382" i="5" s="1"/>
  <c r="AQ384" i="5" s="1"/>
  <c r="AZ51" i="2"/>
  <c r="AZ53" i="2" s="1"/>
  <c r="AA55" i="2" s="1"/>
  <c r="BR51" i="2"/>
  <c r="BR53" i="2" s="1"/>
  <c r="AS55" i="2" s="1"/>
  <c r="AC401" i="2"/>
  <c r="BL380" i="5"/>
  <c r="AM383" i="5" s="1"/>
  <c r="BO348" i="2"/>
  <c r="AP351" i="2" s="1"/>
  <c r="AZ102" i="2"/>
  <c r="AA105" i="2" s="1"/>
  <c r="AF155" i="35"/>
  <c r="AX447" i="2"/>
  <c r="AX449" i="2" s="1"/>
  <c r="Y451" i="2" s="1"/>
  <c r="BI281" i="5"/>
  <c r="Z216" i="36" s="1"/>
  <c r="BL51" i="2"/>
  <c r="S219" i="35" s="1"/>
  <c r="BC447" i="2"/>
  <c r="W210" i="35" s="1"/>
  <c r="AE551" i="5"/>
  <c r="M157" i="36" s="1"/>
  <c r="AY51" i="2"/>
  <c r="Z54" i="2" s="1"/>
  <c r="AA559" i="5"/>
  <c r="I459" i="36" s="1"/>
  <c r="BN51" i="2"/>
  <c r="S221" i="35" s="1"/>
  <c r="AX51" i="2"/>
  <c r="Y54" i="2" s="1"/>
  <c r="BK150" i="2"/>
  <c r="BK152" i="2" s="1"/>
  <c r="AL154" i="2" s="1"/>
  <c r="AV428" i="2"/>
  <c r="AV430" i="2" s="1"/>
  <c r="W432" i="2" s="1"/>
  <c r="Y503" i="5"/>
  <c r="R154" i="36"/>
  <c r="R181" i="36" s="1"/>
  <c r="AB511" i="5"/>
  <c r="AB430" i="5"/>
  <c r="AL383" i="35"/>
  <c r="AG170" i="35"/>
  <c r="AR500" i="2"/>
  <c r="AR541" i="2"/>
  <c r="AG152" i="35"/>
  <c r="Z500" i="2"/>
  <c r="Z541" i="2"/>
  <c r="AG229" i="35"/>
  <c r="R541" i="2"/>
  <c r="W500" i="2"/>
  <c r="AG149" i="35"/>
  <c r="W541" i="2"/>
  <c r="AG159" i="35"/>
  <c r="AG500" i="2"/>
  <c r="AG541" i="2"/>
  <c r="AG162" i="35"/>
  <c r="AJ500" i="2"/>
  <c r="AJ541" i="2"/>
  <c r="AG164" i="35"/>
  <c r="AL500" i="2"/>
  <c r="AL541" i="2"/>
  <c r="AG160" i="35"/>
  <c r="AH500" i="2"/>
  <c r="AH541" i="2"/>
  <c r="AG163" i="35"/>
  <c r="AK500" i="2"/>
  <c r="AK541" i="2"/>
  <c r="AG158" i="35"/>
  <c r="AF541" i="2"/>
  <c r="AF500" i="2"/>
  <c r="AG165" i="35"/>
  <c r="AM500" i="2"/>
  <c r="AM541" i="2"/>
  <c r="AG166" i="35"/>
  <c r="AN500" i="2"/>
  <c r="AN541" i="2"/>
  <c r="AG171" i="35"/>
  <c r="AS500" i="2"/>
  <c r="AS541" i="2"/>
  <c r="AG161" i="35"/>
  <c r="AI500" i="2"/>
  <c r="AI541" i="2"/>
  <c r="AG150" i="35"/>
  <c r="X500" i="2"/>
  <c r="X541" i="2"/>
  <c r="AG151" i="35"/>
  <c r="Y541" i="2"/>
  <c r="Y500" i="2"/>
  <c r="AG168" i="35"/>
  <c r="AP541" i="2"/>
  <c r="AP500" i="2"/>
  <c r="H228" i="35"/>
  <c r="AG167" i="35"/>
  <c r="AO500" i="2"/>
  <c r="AO541" i="2"/>
  <c r="AG169" i="35"/>
  <c r="AQ500" i="2"/>
  <c r="AQ541" i="2"/>
  <c r="T435" i="35"/>
  <c r="O423" i="35"/>
  <c r="BN428" i="2"/>
  <c r="AO431" i="2" s="1"/>
  <c r="M309" i="35"/>
  <c r="T429" i="35"/>
  <c r="AL429" i="35"/>
  <c r="R273" i="35"/>
  <c r="R266" i="35"/>
  <c r="R265" i="35"/>
  <c r="R274" i="35"/>
  <c r="R263" i="35"/>
  <c r="R272" i="35"/>
  <c r="R270" i="35"/>
  <c r="R262" i="35"/>
  <c r="R267" i="35"/>
  <c r="R276" i="35"/>
  <c r="R269" i="35"/>
  <c r="R261" i="35"/>
  <c r="R264" i="35"/>
  <c r="R271" i="35"/>
  <c r="R268" i="35"/>
  <c r="R275" i="35"/>
  <c r="P423" i="35"/>
  <c r="L239" i="35"/>
  <c r="L240" i="35"/>
  <c r="L241" i="35"/>
  <c r="L253" i="35"/>
  <c r="L247" i="35"/>
  <c r="L251" i="35"/>
  <c r="L249" i="35"/>
  <c r="L244" i="35"/>
  <c r="L245" i="35"/>
  <c r="L252" i="35"/>
  <c r="L243" i="35"/>
  <c r="L248" i="35"/>
  <c r="L246" i="35"/>
  <c r="AE401" i="2"/>
  <c r="AF170" i="35"/>
  <c r="AR540" i="2"/>
  <c r="AR401" i="2"/>
  <c r="R540" i="2"/>
  <c r="AF229" i="35"/>
  <c r="AF157" i="35"/>
  <c r="AQ401" i="2"/>
  <c r="AF169" i="35"/>
  <c r="AQ540" i="2"/>
  <c r="AF401" i="2"/>
  <c r="AF158" i="35"/>
  <c r="AF540" i="2"/>
  <c r="AH401" i="2"/>
  <c r="AF160" i="35"/>
  <c r="AH540" i="2"/>
  <c r="AF156" i="35"/>
  <c r="AD401" i="2"/>
  <c r="AD540" i="2"/>
  <c r="AF166" i="35"/>
  <c r="AN540" i="2"/>
  <c r="AN401" i="2"/>
  <c r="AF171" i="35"/>
  <c r="AS540" i="2"/>
  <c r="AS401" i="2"/>
  <c r="AM401" i="2"/>
  <c r="AF165" i="35"/>
  <c r="AM540" i="2"/>
  <c r="AL401" i="2"/>
  <c r="AF164" i="35"/>
  <c r="AL540" i="2"/>
  <c r="AG401" i="2"/>
  <c r="AF159" i="35"/>
  <c r="AG540" i="2"/>
  <c r="AI401" i="2"/>
  <c r="AF161" i="35"/>
  <c r="AI540" i="2"/>
  <c r="AK401" i="2"/>
  <c r="AF163" i="35"/>
  <c r="AK540" i="2"/>
  <c r="AO401" i="2"/>
  <c r="AF167" i="35"/>
  <c r="AO540" i="2"/>
  <c r="AF154" i="35"/>
  <c r="AB401" i="2"/>
  <c r="AB540" i="2"/>
  <c r="AF150" i="35"/>
  <c r="X540" i="2"/>
  <c r="X401" i="2"/>
  <c r="AW329" i="2"/>
  <c r="X332" i="2" s="1"/>
  <c r="AV329" i="2"/>
  <c r="W332" i="2" s="1"/>
  <c r="AE171" i="35"/>
  <c r="AS302" i="2"/>
  <c r="AS539" i="2"/>
  <c r="AE169" i="35"/>
  <c r="AQ302" i="2"/>
  <c r="AQ539" i="2"/>
  <c r="AE151" i="35"/>
  <c r="Y302" i="2"/>
  <c r="Y539" i="2"/>
  <c r="AE162" i="35"/>
  <c r="AJ302" i="2"/>
  <c r="AJ539" i="2"/>
  <c r="AE168" i="35"/>
  <c r="AP302" i="2"/>
  <c r="AP539" i="2"/>
  <c r="AE230" i="35"/>
  <c r="H230" i="35" s="1"/>
  <c r="AE266" i="35"/>
  <c r="AE164" i="35"/>
  <c r="AL302" i="2"/>
  <c r="AL539" i="2"/>
  <c r="AE167" i="35"/>
  <c r="AO302" i="2"/>
  <c r="AO539" i="2"/>
  <c r="AE265" i="35"/>
  <c r="AE274" i="35"/>
  <c r="AE159" i="35"/>
  <c r="AG539" i="2"/>
  <c r="AG302" i="2"/>
  <c r="AE158" i="35"/>
  <c r="AF302" i="2"/>
  <c r="AF539" i="2"/>
  <c r="AE166" i="35"/>
  <c r="AN302" i="2"/>
  <c r="AN539" i="2"/>
  <c r="AE268" i="35"/>
  <c r="AE269" i="35"/>
  <c r="R539" i="2"/>
  <c r="AE229" i="35"/>
  <c r="AE161" i="35"/>
  <c r="AI302" i="2"/>
  <c r="AI539" i="2"/>
  <c r="AE160" i="35"/>
  <c r="AH302" i="2"/>
  <c r="AH539" i="2"/>
  <c r="AE170" i="35"/>
  <c r="AR302" i="2"/>
  <c r="AR539" i="2"/>
  <c r="AE276" i="35"/>
  <c r="AE264" i="35"/>
  <c r="AE152" i="35"/>
  <c r="Z539" i="2"/>
  <c r="Z302" i="2"/>
  <c r="AE163" i="35"/>
  <c r="AK302" i="2"/>
  <c r="AK539" i="2"/>
  <c r="AE263" i="35"/>
  <c r="AE165" i="35"/>
  <c r="AM302" i="2"/>
  <c r="AM539" i="2"/>
  <c r="AI128" i="35"/>
  <c r="AI140" i="35"/>
  <c r="AI144" i="35"/>
  <c r="AI124" i="35"/>
  <c r="AI135" i="35"/>
  <c r="AI125" i="35"/>
  <c r="D136" i="35"/>
  <c r="D141" i="35"/>
  <c r="D139" i="35"/>
  <c r="L139" i="35" s="1"/>
  <c r="D130" i="35"/>
  <c r="M130" i="35" s="1"/>
  <c r="D133" i="35"/>
  <c r="D131" i="35"/>
  <c r="AI143" i="35"/>
  <c r="AI127" i="35"/>
  <c r="D143" i="35"/>
  <c r="AI133" i="35"/>
  <c r="D125" i="35"/>
  <c r="D135" i="35"/>
  <c r="D127" i="35"/>
  <c r="D138" i="35"/>
  <c r="AI145" i="35"/>
  <c r="D129" i="35"/>
  <c r="M129" i="35" s="1"/>
  <c r="AI131" i="35"/>
  <c r="AI134" i="35"/>
  <c r="AI137" i="35"/>
  <c r="AI130" i="35"/>
  <c r="D132" i="35"/>
  <c r="AI132" i="35"/>
  <c r="AI141" i="35"/>
  <c r="AI126" i="35"/>
  <c r="D144" i="35"/>
  <c r="D126" i="35"/>
  <c r="O426" i="35"/>
  <c r="N426" i="35"/>
  <c r="AD162" i="35"/>
  <c r="AJ538" i="2"/>
  <c r="AJ203" i="2"/>
  <c r="AD152" i="35"/>
  <c r="Z203" i="2"/>
  <c r="Z538" i="2"/>
  <c r="AD161" i="35"/>
  <c r="AI203" i="2"/>
  <c r="AI538" i="2"/>
  <c r="AD163" i="35"/>
  <c r="AK203" i="2"/>
  <c r="AK538" i="2"/>
  <c r="AD153" i="35"/>
  <c r="AA538" i="2"/>
  <c r="AA203" i="2"/>
  <c r="AD165" i="35"/>
  <c r="AM203" i="2"/>
  <c r="AM538" i="2"/>
  <c r="R538" i="2"/>
  <c r="AD229" i="35"/>
  <c r="AD158" i="35"/>
  <c r="AF203" i="2"/>
  <c r="AF538" i="2"/>
  <c r="AD171" i="35"/>
  <c r="AS203" i="2"/>
  <c r="AS538" i="2"/>
  <c r="AD164" i="35"/>
  <c r="AL203" i="2"/>
  <c r="AL538" i="2"/>
  <c r="AD160" i="35"/>
  <c r="AH203" i="2"/>
  <c r="AH538" i="2"/>
  <c r="H267" i="35"/>
  <c r="H247" i="35"/>
  <c r="H261" i="35"/>
  <c r="H275" i="35"/>
  <c r="H249" i="35"/>
  <c r="H239" i="35"/>
  <c r="H253" i="35"/>
  <c r="H241" i="35"/>
  <c r="H272" i="35"/>
  <c r="H245" i="35"/>
  <c r="H266" i="35"/>
  <c r="H264" i="35"/>
  <c r="H270" i="35"/>
  <c r="H251" i="35"/>
  <c r="H250" i="35"/>
  <c r="H248" i="35"/>
  <c r="H246" i="35"/>
  <c r="H262" i="35"/>
  <c r="H243" i="35"/>
  <c r="H274" i="35"/>
  <c r="H240" i="35"/>
  <c r="H238" i="35"/>
  <c r="H252" i="35"/>
  <c r="H276" i="35"/>
  <c r="H273" i="35"/>
  <c r="H271" i="35"/>
  <c r="H244" i="35"/>
  <c r="H268" i="35"/>
  <c r="H242" i="35"/>
  <c r="H265" i="35"/>
  <c r="H263" i="35"/>
  <c r="H269" i="35"/>
  <c r="AD169" i="35"/>
  <c r="AQ203" i="2"/>
  <c r="AQ538" i="2"/>
  <c r="AD167" i="35"/>
  <c r="AO203" i="2"/>
  <c r="AO538" i="2"/>
  <c r="AD166" i="35"/>
  <c r="AN203" i="2"/>
  <c r="AN538" i="2"/>
  <c r="AD159" i="35"/>
  <c r="AG203" i="2"/>
  <c r="AG538" i="2"/>
  <c r="T438" i="35"/>
  <c r="BL150" i="2"/>
  <c r="AM153" i="2" s="1"/>
  <c r="AE152" i="2"/>
  <c r="T157" i="35"/>
  <c r="T184" i="35" s="1"/>
  <c r="T154" i="35"/>
  <c r="T181" i="35" s="1"/>
  <c r="V508" i="2"/>
  <c r="V206" i="2"/>
  <c r="J230" i="35" s="1"/>
  <c r="BD131" i="2"/>
  <c r="AE134" i="2" s="1"/>
  <c r="T432" i="35"/>
  <c r="O269" i="35"/>
  <c r="O265" i="35"/>
  <c r="O267" i="35"/>
  <c r="O272" i="35"/>
  <c r="O262" i="35"/>
  <c r="O264" i="35"/>
  <c r="O266" i="35"/>
  <c r="O276" i="35"/>
  <c r="O268" i="35"/>
  <c r="O275" i="35"/>
  <c r="O270" i="35"/>
  <c r="O261" i="35"/>
  <c r="O273" i="35"/>
  <c r="O274" i="35"/>
  <c r="O263" i="35"/>
  <c r="O271" i="35"/>
  <c r="K426" i="35"/>
  <c r="J383" i="35"/>
  <c r="AC244" i="35"/>
  <c r="G383" i="35"/>
  <c r="AC241" i="35"/>
  <c r="N383" i="35"/>
  <c r="AC248" i="35"/>
  <c r="BP249" i="2"/>
  <c r="BP251" i="2" s="1"/>
  <c r="AQ253" i="2" s="1"/>
  <c r="BN447" i="2"/>
  <c r="W221" i="35" s="1"/>
  <c r="M383" i="35"/>
  <c r="AC247" i="35"/>
  <c r="Q383" i="35"/>
  <c r="AC251" i="35"/>
  <c r="F383" i="35"/>
  <c r="AC240" i="35"/>
  <c r="BA348" i="2"/>
  <c r="V208" i="35" s="1"/>
  <c r="BL428" i="2"/>
  <c r="AM431" i="2" s="1"/>
  <c r="BM447" i="2"/>
  <c r="AN450" i="2" s="1"/>
  <c r="BL102" i="2"/>
  <c r="BL104" i="2" s="1"/>
  <c r="AM106" i="2" s="1"/>
  <c r="R158" i="36"/>
  <c r="R185" i="36" s="1"/>
  <c r="AF511" i="5"/>
  <c r="R168" i="36"/>
  <c r="R195" i="36" s="1"/>
  <c r="AP511" i="5"/>
  <c r="AP430" i="5"/>
  <c r="AC239" i="35"/>
  <c r="AC238" i="35"/>
  <c r="I383" i="35"/>
  <c r="AC243" i="35"/>
  <c r="BQ230" i="2"/>
  <c r="P224" i="35" s="1"/>
  <c r="BQ447" i="2"/>
  <c r="AR450" i="2" s="1"/>
  <c r="L383" i="35"/>
  <c r="AC246" i="35"/>
  <c r="BK51" i="2"/>
  <c r="AL54" i="2" s="1"/>
  <c r="BM102" i="2"/>
  <c r="BM104" i="2" s="1"/>
  <c r="AN106" i="2" s="1"/>
  <c r="S383" i="35"/>
  <c r="AC253" i="35"/>
  <c r="P383" i="35"/>
  <c r="AC250" i="35"/>
  <c r="AQ559" i="5"/>
  <c r="I475" i="36" s="1"/>
  <c r="K383" i="35"/>
  <c r="AC245" i="35"/>
  <c r="H383" i="35"/>
  <c r="AC242" i="35"/>
  <c r="BM329" i="2"/>
  <c r="AN332" i="2" s="1"/>
  <c r="BD329" i="2"/>
  <c r="AE332" i="2" s="1"/>
  <c r="R383" i="35"/>
  <c r="AC252" i="35"/>
  <c r="O383" i="35"/>
  <c r="AC249" i="35"/>
  <c r="BQ428" i="2"/>
  <c r="R224" i="35" s="1"/>
  <c r="BH102" i="2"/>
  <c r="AI105" i="2" s="1"/>
  <c r="AV102" i="2"/>
  <c r="AV104" i="2" s="1"/>
  <c r="W106" i="2" s="1"/>
  <c r="AA537" i="2"/>
  <c r="AC153" i="35"/>
  <c r="AA104" i="2"/>
  <c r="AE567" i="2"/>
  <c r="AC463" i="35"/>
  <c r="H463" i="35" s="1"/>
  <c r="AI567" i="2"/>
  <c r="AC467" i="35"/>
  <c r="H467" i="35" s="1"/>
  <c r="AC165" i="35"/>
  <c r="AM537" i="2"/>
  <c r="AM104" i="2"/>
  <c r="AC475" i="35"/>
  <c r="H475" i="35" s="1"/>
  <c r="AQ567" i="2"/>
  <c r="AC104" i="2"/>
  <c r="AC155" i="35"/>
  <c r="AC537" i="2"/>
  <c r="AC171" i="35"/>
  <c r="AS537" i="2"/>
  <c r="AS104" i="2"/>
  <c r="AK537" i="2"/>
  <c r="AC163" i="35"/>
  <c r="AK104" i="2"/>
  <c r="AI104" i="2"/>
  <c r="AC161" i="35"/>
  <c r="AI537" i="2"/>
  <c r="AC476" i="35"/>
  <c r="H476" i="35" s="1"/>
  <c r="AR567" i="2"/>
  <c r="AC469" i="35"/>
  <c r="H469" i="35" s="1"/>
  <c r="AK567" i="2"/>
  <c r="AO104" i="2"/>
  <c r="AO537" i="2"/>
  <c r="AC167" i="35"/>
  <c r="AB537" i="2"/>
  <c r="AB104" i="2"/>
  <c r="AM567" i="2"/>
  <c r="AC471" i="35"/>
  <c r="H471" i="35" s="1"/>
  <c r="AQ537" i="2"/>
  <c r="AC169" i="35"/>
  <c r="AQ104" i="2"/>
  <c r="AR104" i="2"/>
  <c r="AC170" i="35"/>
  <c r="AR537" i="2"/>
  <c r="AG104" i="2"/>
  <c r="AG537" i="2"/>
  <c r="AC159" i="35"/>
  <c r="AO567" i="2"/>
  <c r="AC473" i="35"/>
  <c r="H473" i="35" s="1"/>
  <c r="AC150" i="35"/>
  <c r="X104" i="2"/>
  <c r="X537" i="2"/>
  <c r="AJ567" i="2"/>
  <c r="AC468" i="35"/>
  <c r="H468" i="35" s="1"/>
  <c r="AG567" i="2"/>
  <c r="AC465" i="35"/>
  <c r="H465" i="35" s="1"/>
  <c r="AC466" i="35"/>
  <c r="H466" i="35" s="1"/>
  <c r="AH567" i="2"/>
  <c r="AC470" i="35"/>
  <c r="H470" i="35" s="1"/>
  <c r="AL567" i="2"/>
  <c r="AB567" i="2"/>
  <c r="AC460" i="35"/>
  <c r="H460" i="35" s="1"/>
  <c r="AC166" i="35"/>
  <c r="AN104" i="2"/>
  <c r="AN537" i="2"/>
  <c r="AC152" i="35"/>
  <c r="Z104" i="2"/>
  <c r="Z537" i="2"/>
  <c r="AC462" i="35"/>
  <c r="H462" i="35" s="1"/>
  <c r="AD567" i="2"/>
  <c r="AL104" i="2"/>
  <c r="AC164" i="35"/>
  <c r="AL537" i="2"/>
  <c r="AJ104" i="2"/>
  <c r="AJ537" i="2"/>
  <c r="AC162" i="35"/>
  <c r="AN567" i="2"/>
  <c r="AC472" i="35"/>
  <c r="H472" i="35" s="1"/>
  <c r="AD537" i="2"/>
  <c r="AC156" i="35"/>
  <c r="AD104" i="2"/>
  <c r="AC160" i="35"/>
  <c r="AH537" i="2"/>
  <c r="AH104" i="2"/>
  <c r="AC474" i="35"/>
  <c r="H474" i="35" s="1"/>
  <c r="AP567" i="2"/>
  <c r="AC158" i="35"/>
  <c r="AF537" i="2"/>
  <c r="AF104" i="2"/>
  <c r="AC461" i="35"/>
  <c r="H461" i="35" s="1"/>
  <c r="AC567" i="2"/>
  <c r="AC477" i="35"/>
  <c r="H477" i="35" s="1"/>
  <c r="AS567" i="2"/>
  <c r="R537" i="2"/>
  <c r="AC229" i="35"/>
  <c r="AC149" i="35"/>
  <c r="W104" i="2"/>
  <c r="W537" i="2"/>
  <c r="AC459" i="35"/>
  <c r="H459" i="35" s="1"/>
  <c r="AA567" i="2"/>
  <c r="AC157" i="35"/>
  <c r="AE104" i="2"/>
  <c r="AE537" i="2"/>
  <c r="AC168" i="35"/>
  <c r="AP537" i="2"/>
  <c r="AP104" i="2"/>
  <c r="AC464" i="35"/>
  <c r="H464" i="35" s="1"/>
  <c r="AF567" i="2"/>
  <c r="Y537" i="2"/>
  <c r="Y104" i="2"/>
  <c r="AC151" i="35"/>
  <c r="BF51" i="2"/>
  <c r="AG54" i="2" s="1"/>
  <c r="AY32" i="2"/>
  <c r="Z35" i="2" s="1"/>
  <c r="T433" i="35"/>
  <c r="AQ501" i="5"/>
  <c r="BP500" i="5"/>
  <c r="AQ502" i="5" s="1"/>
  <c r="AG167" i="36"/>
  <c r="AG194" i="36" s="1"/>
  <c r="AO500" i="5"/>
  <c r="AO541" i="5"/>
  <c r="AQ570" i="5"/>
  <c r="AG169" i="36"/>
  <c r="AG196" i="36" s="1"/>
  <c r="AQ541" i="5"/>
  <c r="AQ503" i="5"/>
  <c r="AQ500" i="5"/>
  <c r="AO501" i="5"/>
  <c r="BN500" i="5"/>
  <c r="AO502" i="5" s="1"/>
  <c r="AO503" i="5"/>
  <c r="AO570" i="5"/>
  <c r="W521" i="5"/>
  <c r="W449" i="5"/>
  <c r="W511" i="5"/>
  <c r="W430" i="5"/>
  <c r="BB430" i="5"/>
  <c r="AC432" i="5" s="1"/>
  <c r="BL430" i="5"/>
  <c r="AM432" i="5" s="1"/>
  <c r="R203" i="36"/>
  <c r="W431" i="5"/>
  <c r="BC430" i="5"/>
  <c r="AD432" i="5" s="1"/>
  <c r="AS431" i="5"/>
  <c r="AG431" i="5"/>
  <c r="AN431" i="5"/>
  <c r="BM430" i="5"/>
  <c r="AN432" i="5" s="1"/>
  <c r="R220" i="36"/>
  <c r="AG567" i="5"/>
  <c r="AE431" i="5"/>
  <c r="BD430" i="5"/>
  <c r="AE432" i="5" s="1"/>
  <c r="AM567" i="5"/>
  <c r="AD567" i="5"/>
  <c r="AD563" i="5"/>
  <c r="M462" i="36" s="1"/>
  <c r="AI431" i="5"/>
  <c r="BH430" i="5"/>
  <c r="AI432" i="5" s="1"/>
  <c r="AE567" i="5"/>
  <c r="AP567" i="5"/>
  <c r="AN567" i="5"/>
  <c r="AI567" i="5"/>
  <c r="AO567" i="5"/>
  <c r="AH567" i="5"/>
  <c r="BN430" i="5"/>
  <c r="AO432" i="5" s="1"/>
  <c r="AO431" i="5"/>
  <c r="AR431" i="5"/>
  <c r="BQ430" i="5"/>
  <c r="AR432" i="5" s="1"/>
  <c r="AL431" i="5"/>
  <c r="BK430" i="5"/>
  <c r="AL432" i="5" s="1"/>
  <c r="AZ430" i="5"/>
  <c r="AA432" i="5" s="1"/>
  <c r="AQ431" i="5"/>
  <c r="BP430" i="5"/>
  <c r="AQ432" i="5" s="1"/>
  <c r="AL567" i="5"/>
  <c r="BJ430" i="5"/>
  <c r="AK432" i="5" s="1"/>
  <c r="R229" i="36"/>
  <c r="R511" i="5"/>
  <c r="AQ567" i="5"/>
  <c r="AJ567" i="5"/>
  <c r="AS567" i="5"/>
  <c r="BI430" i="5"/>
  <c r="AJ432" i="5" s="1"/>
  <c r="AJ431" i="5"/>
  <c r="AR563" i="5"/>
  <c r="M476" i="36" s="1"/>
  <c r="AR567" i="5"/>
  <c r="AA567" i="5"/>
  <c r="AA562" i="5"/>
  <c r="L459" i="36" s="1"/>
  <c r="AA563" i="5"/>
  <c r="M459" i="36" s="1"/>
  <c r="G228" i="36"/>
  <c r="AR569" i="5"/>
  <c r="X229" i="36"/>
  <c r="F275" i="36"/>
  <c r="F241" i="36"/>
  <c r="F248" i="36"/>
  <c r="F263" i="36"/>
  <c r="F267" i="36"/>
  <c r="F274" i="36"/>
  <c r="F251" i="36"/>
  <c r="F244" i="36"/>
  <c r="F239" i="36"/>
  <c r="F252" i="36"/>
  <c r="F273" i="36"/>
  <c r="F238" i="36"/>
  <c r="F276" i="36"/>
  <c r="F262" i="36"/>
  <c r="F247" i="36"/>
  <c r="F272" i="36"/>
  <c r="F264" i="36"/>
  <c r="F268" i="36"/>
  <c r="F270" i="36"/>
  <c r="F243" i="36"/>
  <c r="F265" i="36"/>
  <c r="F266" i="36"/>
  <c r="F271" i="36"/>
  <c r="F250" i="36"/>
  <c r="F242" i="36"/>
  <c r="F249" i="36"/>
  <c r="F245" i="36"/>
  <c r="F240" i="36"/>
  <c r="F261" i="36"/>
  <c r="F269" i="36"/>
  <c r="F246" i="36"/>
  <c r="F253" i="36"/>
  <c r="BB348" i="2"/>
  <c r="BB350" i="2" s="1"/>
  <c r="AC352" i="2" s="1"/>
  <c r="BR348" i="2"/>
  <c r="AS351" i="2" s="1"/>
  <c r="BN329" i="2"/>
  <c r="BN331" i="2" s="1"/>
  <c r="AO333" i="2" s="1"/>
  <c r="Q276" i="35"/>
  <c r="Q264" i="35"/>
  <c r="Q274" i="35"/>
  <c r="Q263" i="35"/>
  <c r="Q273" i="35"/>
  <c r="Q271" i="35"/>
  <c r="Q269" i="35"/>
  <c r="Q270" i="35"/>
  <c r="Q268" i="35"/>
  <c r="Q275" i="35"/>
  <c r="Q267" i="35"/>
  <c r="Q272" i="35"/>
  <c r="Q266" i="35"/>
  <c r="Q262" i="35"/>
  <c r="Q265" i="35"/>
  <c r="BI249" i="2"/>
  <c r="U216" i="35" s="1"/>
  <c r="BO249" i="2"/>
  <c r="AP252" i="2" s="1"/>
  <c r="BF249" i="2"/>
  <c r="BF251" i="2" s="1"/>
  <c r="AG253" i="2" s="1"/>
  <c r="BB249" i="2"/>
  <c r="BB251" i="2" s="1"/>
  <c r="AC253" i="2" s="1"/>
  <c r="AV249" i="2"/>
  <c r="W252" i="2" s="1"/>
  <c r="BE249" i="2"/>
  <c r="AF252" i="2" s="1"/>
  <c r="BR249" i="2"/>
  <c r="BR251" i="2" s="1"/>
  <c r="AS253" i="2" s="1"/>
  <c r="BK249" i="2"/>
  <c r="AL252" i="2" s="1"/>
  <c r="BH249" i="2"/>
  <c r="AI252" i="2" s="1"/>
  <c r="AW230" i="2"/>
  <c r="AW232" i="2" s="1"/>
  <c r="X234" i="2" s="1"/>
  <c r="BE230" i="2"/>
  <c r="BE232" i="2" s="1"/>
  <c r="AF234" i="2" s="1"/>
  <c r="BG150" i="2"/>
  <c r="AH153" i="2" s="1"/>
  <c r="BQ150" i="2"/>
  <c r="T224" i="35" s="1"/>
  <c r="BI150" i="2"/>
  <c r="T216" i="35" s="1"/>
  <c r="BP131" i="2"/>
  <c r="BP133" i="2" s="1"/>
  <c r="AQ135" i="2" s="1"/>
  <c r="BI131" i="2"/>
  <c r="AJ134" i="2" s="1"/>
  <c r="S275" i="35"/>
  <c r="S270" i="35"/>
  <c r="S266" i="35"/>
  <c r="S262" i="35"/>
  <c r="S272" i="35"/>
  <c r="S271" i="35"/>
  <c r="S274" i="35"/>
  <c r="S273" i="35"/>
  <c r="BI51" i="2"/>
  <c r="S216" i="35" s="1"/>
  <c r="BM51" i="2"/>
  <c r="AN54" i="2" s="1"/>
  <c r="BR32" i="2"/>
  <c r="AS35" i="2" s="1"/>
  <c r="BC32" i="2"/>
  <c r="AD35" i="2" s="1"/>
  <c r="BO32" i="2"/>
  <c r="AP35" i="2" s="1"/>
  <c r="BB32" i="2"/>
  <c r="N209" i="35" s="1"/>
  <c r="AX32" i="2"/>
  <c r="AX34" i="2" s="1"/>
  <c r="Y36" i="2" s="1"/>
  <c r="AW32" i="2"/>
  <c r="N204" i="35" s="1"/>
  <c r="AD521" i="2"/>
  <c r="W156" i="35"/>
  <c r="W183" i="35" s="1"/>
  <c r="AD449" i="2"/>
  <c r="BG447" i="2"/>
  <c r="W214" i="35" s="1"/>
  <c r="AY447" i="2"/>
  <c r="W171" i="35"/>
  <c r="W198" i="35" s="1"/>
  <c r="AS521" i="2"/>
  <c r="AS449" i="2"/>
  <c r="W229" i="35"/>
  <c r="R521" i="2"/>
  <c r="W155" i="35"/>
  <c r="W182" i="35" s="1"/>
  <c r="AC449" i="2"/>
  <c r="AC521" i="2"/>
  <c r="AE449" i="2"/>
  <c r="W157" i="35"/>
  <c r="W184" i="35" s="1"/>
  <c r="AE521" i="2"/>
  <c r="W149" i="35"/>
  <c r="W176" i="35" s="1"/>
  <c r="W521" i="2"/>
  <c r="W449" i="2"/>
  <c r="AO449" i="2"/>
  <c r="W167" i="35"/>
  <c r="W194" i="35" s="1"/>
  <c r="AO521" i="2"/>
  <c r="V521" i="2"/>
  <c r="W230" i="35"/>
  <c r="W263" i="35"/>
  <c r="W261" i="35"/>
  <c r="W264" i="35"/>
  <c r="W268" i="35"/>
  <c r="W269" i="35"/>
  <c r="W276" i="35"/>
  <c r="W262" i="35"/>
  <c r="W265" i="35"/>
  <c r="W266" i="35"/>
  <c r="W275" i="35"/>
  <c r="W273" i="35"/>
  <c r="W270" i="35"/>
  <c r="W267" i="35"/>
  <c r="W272" i="35"/>
  <c r="W271" i="35"/>
  <c r="W274" i="35"/>
  <c r="AG449" i="2"/>
  <c r="W159" i="35"/>
  <c r="W186" i="35" s="1"/>
  <c r="AG521" i="2"/>
  <c r="AV447" i="2"/>
  <c r="W203" i="35" s="1"/>
  <c r="AH449" i="2"/>
  <c r="AH521" i="2"/>
  <c r="W160" i="35"/>
  <c r="W187" i="35" s="1"/>
  <c r="W158" i="35"/>
  <c r="W185" i="35" s="1"/>
  <c r="AF449" i="2"/>
  <c r="AF521" i="2"/>
  <c r="BF447" i="2"/>
  <c r="W213" i="35" s="1"/>
  <c r="BD447" i="2"/>
  <c r="AN449" i="2"/>
  <c r="W166" i="35"/>
  <c r="W193" i="35" s="1"/>
  <c r="AN521" i="2"/>
  <c r="BA447" i="2"/>
  <c r="W208" i="35" s="1"/>
  <c r="BE447" i="2"/>
  <c r="W212" i="35" s="1"/>
  <c r="BJ447" i="2"/>
  <c r="W217" i="35" s="1"/>
  <c r="W153" i="35"/>
  <c r="W180" i="35" s="1"/>
  <c r="AA449" i="2"/>
  <c r="AA521" i="2"/>
  <c r="Y521" i="2"/>
  <c r="Y449" i="2"/>
  <c r="W151" i="35"/>
  <c r="W178" i="35" s="1"/>
  <c r="W152" i="35"/>
  <c r="W179" i="35" s="1"/>
  <c r="BP447" i="2"/>
  <c r="W223" i="35" s="1"/>
  <c r="AB449" i="2"/>
  <c r="AB521" i="2"/>
  <c r="W154" i="35"/>
  <c r="W181" i="35" s="1"/>
  <c r="AJ449" i="2"/>
  <c r="W162" i="35"/>
  <c r="W189" i="35" s="1"/>
  <c r="AJ521" i="2"/>
  <c r="AP449" i="2"/>
  <c r="W168" i="35"/>
  <c r="W195" i="35" s="1"/>
  <c r="AP521" i="2"/>
  <c r="W163" i="35"/>
  <c r="W190" i="35" s="1"/>
  <c r="AK521" i="2"/>
  <c r="AK449" i="2"/>
  <c r="AZ447" i="2"/>
  <c r="W207" i="35" s="1"/>
  <c r="X449" i="2"/>
  <c r="W150" i="35"/>
  <c r="W177" i="35" s="1"/>
  <c r="X521" i="2"/>
  <c r="BH447" i="2"/>
  <c r="W215" i="35" s="1"/>
  <c r="AQ521" i="2"/>
  <c r="AQ449" i="2"/>
  <c r="W169" i="35"/>
  <c r="W196" i="35" s="1"/>
  <c r="BK447" i="2"/>
  <c r="W218" i="35" s="1"/>
  <c r="BI447" i="2"/>
  <c r="AW447" i="2"/>
  <c r="W204" i="35" s="1"/>
  <c r="AM521" i="2"/>
  <c r="W165" i="35"/>
  <c r="W192" i="35" s="1"/>
  <c r="AM449" i="2"/>
  <c r="AI449" i="2"/>
  <c r="AI521" i="2"/>
  <c r="W161" i="35"/>
  <c r="W188" i="35" s="1"/>
  <c r="BR447" i="2"/>
  <c r="BO447" i="2"/>
  <c r="W222" i="35" s="1"/>
  <c r="BL447" i="2"/>
  <c r="W219" i="35" s="1"/>
  <c r="Z521" i="2"/>
  <c r="Z449" i="2"/>
  <c r="AR449" i="2"/>
  <c r="AR521" i="2"/>
  <c r="W170" i="35"/>
  <c r="W197" i="35" s="1"/>
  <c r="W164" i="35"/>
  <c r="W191" i="35" s="1"/>
  <c r="AL449" i="2"/>
  <c r="AL521" i="2"/>
  <c r="BB447" i="2"/>
  <c r="R229" i="35"/>
  <c r="R511" i="2"/>
  <c r="R157" i="35"/>
  <c r="R184" i="35" s="1"/>
  <c r="AE511" i="2"/>
  <c r="AE430" i="2"/>
  <c r="AK511" i="2"/>
  <c r="AK430" i="2"/>
  <c r="R163" i="35"/>
  <c r="R190" i="35" s="1"/>
  <c r="W511" i="2"/>
  <c r="W430" i="2"/>
  <c r="R149" i="35"/>
  <c r="R176" i="35" s="1"/>
  <c r="R151" i="35"/>
  <c r="R178" i="35" s="1"/>
  <c r="Y430" i="2"/>
  <c r="Y511" i="2"/>
  <c r="BP428" i="2"/>
  <c r="R223" i="35" s="1"/>
  <c r="BD428" i="2"/>
  <c r="R211" i="35" s="1"/>
  <c r="AG511" i="2"/>
  <c r="R159" i="35"/>
  <c r="R186" i="35" s="1"/>
  <c r="AG430" i="2"/>
  <c r="R165" i="35"/>
  <c r="R192" i="35" s="1"/>
  <c r="AM511" i="2"/>
  <c r="AM430" i="2"/>
  <c r="R156" i="35"/>
  <c r="R183" i="35" s="1"/>
  <c r="AD511" i="2"/>
  <c r="AD430" i="2"/>
  <c r="AZ428" i="2"/>
  <c r="R207" i="35" s="1"/>
  <c r="R155" i="35"/>
  <c r="R182" i="35" s="1"/>
  <c r="AC511" i="2"/>
  <c r="AC430" i="2"/>
  <c r="R158" i="35"/>
  <c r="R185" i="35" s="1"/>
  <c r="AF430" i="2"/>
  <c r="AF511" i="2"/>
  <c r="AB511" i="2"/>
  <c r="R154" i="35"/>
  <c r="R181" i="35" s="1"/>
  <c r="AB430" i="2"/>
  <c r="Z511" i="2"/>
  <c r="R152" i="35"/>
  <c r="R179" i="35" s="1"/>
  <c r="Z430" i="2"/>
  <c r="AA511" i="2"/>
  <c r="R153" i="35"/>
  <c r="R180" i="35" s="1"/>
  <c r="AA430" i="2"/>
  <c r="BE428" i="2"/>
  <c r="R212" i="35" s="1"/>
  <c r="BA428" i="2"/>
  <c r="R208" i="35" s="1"/>
  <c r="X430" i="2"/>
  <c r="R150" i="35"/>
  <c r="R177" i="35" s="1"/>
  <c r="X511" i="2"/>
  <c r="BR428" i="2"/>
  <c r="R225" i="35" s="1"/>
  <c r="AI511" i="2"/>
  <c r="R161" i="35"/>
  <c r="R188" i="35" s="1"/>
  <c r="AI430" i="2"/>
  <c r="AY428" i="2"/>
  <c r="R206" i="35" s="1"/>
  <c r="R168" i="35"/>
  <c r="R195" i="35" s="1"/>
  <c r="AP511" i="2"/>
  <c r="AP430" i="2"/>
  <c r="AW428" i="2"/>
  <c r="R204" i="35" s="1"/>
  <c r="AS511" i="2"/>
  <c r="R171" i="35"/>
  <c r="R198" i="35" s="1"/>
  <c r="AS430" i="2"/>
  <c r="BI428" i="2"/>
  <c r="R216" i="35" s="1"/>
  <c r="BO428" i="2"/>
  <c r="R222" i="35" s="1"/>
  <c r="BK428" i="2"/>
  <c r="R218" i="35" s="1"/>
  <c r="BH428" i="2"/>
  <c r="R215" i="35" s="1"/>
  <c r="R166" i="35"/>
  <c r="R193" i="35" s="1"/>
  <c r="AN511" i="2"/>
  <c r="AN430" i="2"/>
  <c r="AJ511" i="2"/>
  <c r="R162" i="35"/>
  <c r="R189" i="35" s="1"/>
  <c r="AJ430" i="2"/>
  <c r="AL430" i="2"/>
  <c r="R164" i="35"/>
  <c r="R191" i="35" s="1"/>
  <c r="AL511" i="2"/>
  <c r="R160" i="35"/>
  <c r="R187" i="35" s="1"/>
  <c r="AH430" i="2"/>
  <c r="AH511" i="2"/>
  <c r="R167" i="35"/>
  <c r="R194" i="35" s="1"/>
  <c r="AO511" i="2"/>
  <c r="AO430" i="2"/>
  <c r="BM428" i="2"/>
  <c r="R220" i="35" s="1"/>
  <c r="AX428" i="2"/>
  <c r="R205" i="35" s="1"/>
  <c r="R169" i="35"/>
  <c r="R196" i="35" s="1"/>
  <c r="AQ430" i="2"/>
  <c r="AQ511" i="2"/>
  <c r="AO520" i="2"/>
  <c r="V167" i="35"/>
  <c r="V194" i="35" s="1"/>
  <c r="AO350" i="2"/>
  <c r="AX348" i="2"/>
  <c r="V205" i="35" s="1"/>
  <c r="AE520" i="2"/>
  <c r="V157" i="35"/>
  <c r="V184" i="35" s="1"/>
  <c r="AE350" i="2"/>
  <c r="AS520" i="2"/>
  <c r="V171" i="35"/>
  <c r="V198" i="35" s="1"/>
  <c r="AS350" i="2"/>
  <c r="BG348" i="2"/>
  <c r="V214" i="35" s="1"/>
  <c r="BN348" i="2"/>
  <c r="V221" i="35" s="1"/>
  <c r="AC520" i="2"/>
  <c r="V155" i="35"/>
  <c r="V182" i="35" s="1"/>
  <c r="AC350" i="2"/>
  <c r="AR520" i="2"/>
  <c r="V170" i="35"/>
  <c r="V197" i="35" s="1"/>
  <c r="AR350" i="2"/>
  <c r="AF520" i="2"/>
  <c r="V158" i="35"/>
  <c r="V185" i="35" s="1"/>
  <c r="AF350" i="2"/>
  <c r="R520" i="2"/>
  <c r="V229" i="35"/>
  <c r="V168" i="35"/>
  <c r="V195" i="35" s="1"/>
  <c r="AP520" i="2"/>
  <c r="AP350" i="2"/>
  <c r="X520" i="2"/>
  <c r="V150" i="35"/>
  <c r="V177" i="35" s="1"/>
  <c r="X350" i="2"/>
  <c r="BQ348" i="2"/>
  <c r="V224" i="35" s="1"/>
  <c r="BE348" i="2"/>
  <c r="V212" i="35" s="1"/>
  <c r="V149" i="35"/>
  <c r="V176" i="35" s="1"/>
  <c r="W520" i="2"/>
  <c r="W350" i="2"/>
  <c r="V159" i="35"/>
  <c r="V186" i="35" s="1"/>
  <c r="AG520" i="2"/>
  <c r="AG350" i="2"/>
  <c r="AN520" i="2"/>
  <c r="V166" i="35"/>
  <c r="V193" i="35" s="1"/>
  <c r="AN350" i="2"/>
  <c r="BC348" i="2"/>
  <c r="V210" i="35" s="1"/>
  <c r="V152" i="35"/>
  <c r="V179" i="35" s="1"/>
  <c r="Z520" i="2"/>
  <c r="Z350" i="2"/>
  <c r="BL348" i="2"/>
  <c r="V219" i="35" s="1"/>
  <c r="AV348" i="2"/>
  <c r="V203" i="35" s="1"/>
  <c r="BF348" i="2"/>
  <c r="V213" i="35" s="1"/>
  <c r="BM348" i="2"/>
  <c r="V220" i="35" s="1"/>
  <c r="AD520" i="2"/>
  <c r="V156" i="35"/>
  <c r="V183" i="35" s="1"/>
  <c r="AD350" i="2"/>
  <c r="AY348" i="2"/>
  <c r="V206" i="35" s="1"/>
  <c r="AK520" i="2"/>
  <c r="V163" i="35"/>
  <c r="V190" i="35" s="1"/>
  <c r="AK350" i="2"/>
  <c r="AA350" i="2"/>
  <c r="AA520" i="2"/>
  <c r="V153" i="35"/>
  <c r="V180" i="35" s="1"/>
  <c r="BJ348" i="2"/>
  <c r="V217" i="35" s="1"/>
  <c r="AZ348" i="2"/>
  <c r="V207" i="35" s="1"/>
  <c r="V169" i="35"/>
  <c r="V196" i="35" s="1"/>
  <c r="AQ520" i="2"/>
  <c r="AQ350" i="2"/>
  <c r="AL520" i="2"/>
  <c r="V164" i="35"/>
  <c r="V191" i="35" s="1"/>
  <c r="AL350" i="2"/>
  <c r="AJ520" i="2"/>
  <c r="V162" i="35"/>
  <c r="V189" i="35" s="1"/>
  <c r="AJ350" i="2"/>
  <c r="AI520" i="2"/>
  <c r="V161" i="35"/>
  <c r="V188" i="35" s="1"/>
  <c r="AI350" i="2"/>
  <c r="BP348" i="2"/>
  <c r="V223" i="35" s="1"/>
  <c r="AB520" i="2"/>
  <c r="V154" i="35"/>
  <c r="V181" i="35" s="1"/>
  <c r="AB350" i="2"/>
  <c r="BK348" i="2"/>
  <c r="V218" i="35" s="1"/>
  <c r="V160" i="35"/>
  <c r="V187" i="35" s="1"/>
  <c r="AH520" i="2"/>
  <c r="AH350" i="2"/>
  <c r="V151" i="35"/>
  <c r="V178" i="35" s="1"/>
  <c r="Y520" i="2"/>
  <c r="Y350" i="2"/>
  <c r="BI348" i="2"/>
  <c r="BD348" i="2"/>
  <c r="V211" i="35" s="1"/>
  <c r="V520" i="2"/>
  <c r="V230" i="35"/>
  <c r="V265" i="35"/>
  <c r="V269" i="35"/>
  <c r="V275" i="35"/>
  <c r="V267" i="35"/>
  <c r="V262" i="35"/>
  <c r="V263" i="35"/>
  <c r="V274" i="35"/>
  <c r="V271" i="35"/>
  <c r="V273" i="35"/>
  <c r="V272" i="35"/>
  <c r="V276" i="35"/>
  <c r="V270" i="35"/>
  <c r="V268" i="35"/>
  <c r="V261" i="35"/>
  <c r="V264" i="35"/>
  <c r="V266" i="35"/>
  <c r="AH510" i="2"/>
  <c r="Q160" i="35"/>
  <c r="Q187" i="35" s="1"/>
  <c r="AH331" i="2"/>
  <c r="Q154" i="35"/>
  <c r="Q181" i="35" s="1"/>
  <c r="AB510" i="2"/>
  <c r="AB331" i="2"/>
  <c r="BP329" i="2"/>
  <c r="Q223" i="35" s="1"/>
  <c r="AO510" i="2"/>
  <c r="Q167" i="35"/>
  <c r="Q194" i="35" s="1"/>
  <c r="AO331" i="2"/>
  <c r="Q166" i="35"/>
  <c r="Q193" i="35" s="1"/>
  <c r="AN510" i="2"/>
  <c r="AN331" i="2"/>
  <c r="Q157" i="35"/>
  <c r="Q184" i="35" s="1"/>
  <c r="AE510" i="2"/>
  <c r="AE331" i="2"/>
  <c r="AD510" i="2"/>
  <c r="Q156" i="35"/>
  <c r="Q183" i="35" s="1"/>
  <c r="AD331" i="2"/>
  <c r="BB329" i="2"/>
  <c r="Q209" i="35" s="1"/>
  <c r="BA329" i="2"/>
  <c r="Q208" i="35" s="1"/>
  <c r="Q169" i="35"/>
  <c r="Q196" i="35" s="1"/>
  <c r="AQ510" i="2"/>
  <c r="AQ331" i="2"/>
  <c r="Z510" i="2"/>
  <c r="Q152" i="35"/>
  <c r="Q179" i="35" s="1"/>
  <c r="Z331" i="2"/>
  <c r="Q155" i="35"/>
  <c r="Q182" i="35" s="1"/>
  <c r="AC510" i="2"/>
  <c r="AC331" i="2"/>
  <c r="Q170" i="35"/>
  <c r="Q197" i="35" s="1"/>
  <c r="AR331" i="2"/>
  <c r="AR510" i="2"/>
  <c r="Q168" i="35"/>
  <c r="Q195" i="35" s="1"/>
  <c r="AP510" i="2"/>
  <c r="AP331" i="2"/>
  <c r="AF510" i="2"/>
  <c r="Q158" i="35"/>
  <c r="Q185" i="35" s="1"/>
  <c r="AF331" i="2"/>
  <c r="W510" i="2"/>
  <c r="Q149" i="35"/>
  <c r="Q176" i="35" s="1"/>
  <c r="W331" i="2"/>
  <c r="Q229" i="35"/>
  <c r="R510" i="2"/>
  <c r="Q171" i="35"/>
  <c r="Q198" i="35" s="1"/>
  <c r="AS331" i="2"/>
  <c r="AS510" i="2"/>
  <c r="BQ329" i="2"/>
  <c r="Q224" i="35" s="1"/>
  <c r="BH329" i="2"/>
  <c r="Q215" i="35" s="1"/>
  <c r="BF329" i="2"/>
  <c r="Q213" i="35" s="1"/>
  <c r="BE329" i="2"/>
  <c r="Q212" i="35" s="1"/>
  <c r="BR329" i="2"/>
  <c r="Q225" i="35" s="1"/>
  <c r="AI510" i="2"/>
  <c r="Q161" i="35"/>
  <c r="Q188" i="35" s="1"/>
  <c r="AI331" i="2"/>
  <c r="BO329" i="2"/>
  <c r="Q222" i="35" s="1"/>
  <c r="Q159" i="35"/>
  <c r="Q186" i="35" s="1"/>
  <c r="AG510" i="2"/>
  <c r="AG331" i="2"/>
  <c r="X510" i="2"/>
  <c r="Q150" i="35"/>
  <c r="Q177" i="35" s="1"/>
  <c r="X331" i="2"/>
  <c r="BL329" i="2"/>
  <c r="Q219" i="35" s="1"/>
  <c r="BK329" i="2"/>
  <c r="Q218" i="35" s="1"/>
  <c r="BI329" i="2"/>
  <c r="Q216" i="35" s="1"/>
  <c r="Q165" i="35"/>
  <c r="Q192" i="35" s="1"/>
  <c r="AM510" i="2"/>
  <c r="AM331" i="2"/>
  <c r="AL510" i="2"/>
  <c r="Q164" i="35"/>
  <c r="Q191" i="35" s="1"/>
  <c r="AL331" i="2"/>
  <c r="Q163" i="35"/>
  <c r="Q190" i="35" s="1"/>
  <c r="AK510" i="2"/>
  <c r="AK331" i="2"/>
  <c r="Q162" i="35"/>
  <c r="Q189" i="35" s="1"/>
  <c r="AJ510" i="2"/>
  <c r="AJ331" i="2"/>
  <c r="AZ329" i="2"/>
  <c r="Q207" i="35" s="1"/>
  <c r="BG329" i="2"/>
  <c r="Q214" i="35" s="1"/>
  <c r="Q151" i="35"/>
  <c r="Q178" i="35" s="1"/>
  <c r="Y510" i="2"/>
  <c r="Y331" i="2"/>
  <c r="BJ329" i="2"/>
  <c r="Q217" i="35" s="1"/>
  <c r="Q153" i="35"/>
  <c r="Q180" i="35" s="1"/>
  <c r="AA510" i="2"/>
  <c r="AA331" i="2"/>
  <c r="U169" i="35"/>
  <c r="U196" i="35" s="1"/>
  <c r="AQ519" i="2"/>
  <c r="AQ251" i="2"/>
  <c r="AG251" i="2"/>
  <c r="AG519" i="2"/>
  <c r="U159" i="35"/>
  <c r="U186" i="35" s="1"/>
  <c r="U154" i="35"/>
  <c r="U181" i="35" s="1"/>
  <c r="AB519" i="2"/>
  <c r="AB251" i="2"/>
  <c r="AC519" i="2"/>
  <c r="U155" i="35"/>
  <c r="U182" i="35" s="1"/>
  <c r="AC251" i="2"/>
  <c r="W251" i="2"/>
  <c r="U149" i="35"/>
  <c r="U176" i="35" s="1"/>
  <c r="W519" i="2"/>
  <c r="U166" i="35"/>
  <c r="U193" i="35" s="1"/>
  <c r="AN251" i="2"/>
  <c r="AN519" i="2"/>
  <c r="U229" i="35"/>
  <c r="R519" i="2"/>
  <c r="AP519" i="2"/>
  <c r="AP251" i="2"/>
  <c r="U168" i="35"/>
  <c r="U195" i="35" s="1"/>
  <c r="BN249" i="2"/>
  <c r="U221" i="35" s="1"/>
  <c r="AY249" i="2"/>
  <c r="U206" i="35" s="1"/>
  <c r="AJ519" i="2"/>
  <c r="U162" i="35"/>
  <c r="U189" i="35" s="1"/>
  <c r="AJ251" i="2"/>
  <c r="AO519" i="2"/>
  <c r="U167" i="35"/>
  <c r="U194" i="35" s="1"/>
  <c r="AO251" i="2"/>
  <c r="BM249" i="2"/>
  <c r="U220" i="35" s="1"/>
  <c r="V519" i="2"/>
  <c r="U230" i="35"/>
  <c r="U269" i="35"/>
  <c r="U271" i="35"/>
  <c r="U272" i="35"/>
  <c r="U275" i="35"/>
  <c r="U273" i="35"/>
  <c r="U265" i="35"/>
  <c r="U274" i="35"/>
  <c r="U262" i="35"/>
  <c r="U276" i="35"/>
  <c r="U264" i="35"/>
  <c r="U270" i="35"/>
  <c r="U268" i="35"/>
  <c r="U263" i="35"/>
  <c r="U266" i="35"/>
  <c r="U261" i="35"/>
  <c r="U267" i="35"/>
  <c r="U160" i="35"/>
  <c r="U187" i="35" s="1"/>
  <c r="AH519" i="2"/>
  <c r="AH251" i="2"/>
  <c r="U152" i="35"/>
  <c r="U179" i="35" s="1"/>
  <c r="Z519" i="2"/>
  <c r="Z251" i="2"/>
  <c r="AL519" i="2"/>
  <c r="U164" i="35"/>
  <c r="U191" i="35" s="1"/>
  <c r="AL251" i="2"/>
  <c r="U158" i="35"/>
  <c r="U185" i="35" s="1"/>
  <c r="AF519" i="2"/>
  <c r="AF251" i="2"/>
  <c r="BQ249" i="2"/>
  <c r="U224" i="35" s="1"/>
  <c r="BG249" i="2"/>
  <c r="U214" i="35" s="1"/>
  <c r="AZ249" i="2"/>
  <c r="U207" i="35" s="1"/>
  <c r="U157" i="35"/>
  <c r="U184" i="35" s="1"/>
  <c r="AE519" i="2"/>
  <c r="AE251" i="2"/>
  <c r="AM519" i="2"/>
  <c r="AM251" i="2"/>
  <c r="U165" i="35"/>
  <c r="U192" i="35" s="1"/>
  <c r="U150" i="35"/>
  <c r="U177" i="35" s="1"/>
  <c r="X519" i="2"/>
  <c r="X251" i="2"/>
  <c r="AX249" i="2"/>
  <c r="U205" i="35" s="1"/>
  <c r="AR519" i="2"/>
  <c r="U170" i="35"/>
  <c r="U197" i="35" s="1"/>
  <c r="AR251" i="2"/>
  <c r="U153" i="35"/>
  <c r="U180" i="35" s="1"/>
  <c r="AA251" i="2"/>
  <c r="AA519" i="2"/>
  <c r="AW249" i="2"/>
  <c r="U204" i="35" s="1"/>
  <c r="Y251" i="2"/>
  <c r="Y519" i="2"/>
  <c r="U151" i="35"/>
  <c r="U178" i="35" s="1"/>
  <c r="AK251" i="2"/>
  <c r="U163" i="35"/>
  <c r="U190" i="35" s="1"/>
  <c r="AK519" i="2"/>
  <c r="AD519" i="2"/>
  <c r="AD251" i="2"/>
  <c r="U156" i="35"/>
  <c r="U183" i="35" s="1"/>
  <c r="BD249" i="2"/>
  <c r="U211" i="35" s="1"/>
  <c r="BL249" i="2"/>
  <c r="U219" i="35" s="1"/>
  <c r="BA249" i="2"/>
  <c r="U208" i="35" s="1"/>
  <c r="U171" i="35"/>
  <c r="U198" i="35" s="1"/>
  <c r="AS251" i="2"/>
  <c r="AS519" i="2"/>
  <c r="BJ249" i="2"/>
  <c r="U217" i="35" s="1"/>
  <c r="U161" i="35"/>
  <c r="U188" i="35" s="1"/>
  <c r="AI251" i="2"/>
  <c r="AI519" i="2"/>
  <c r="X232" i="2"/>
  <c r="P150" i="35"/>
  <c r="P177" i="35" s="1"/>
  <c r="X509" i="2"/>
  <c r="AQ509" i="2"/>
  <c r="AQ232" i="2"/>
  <c r="P169" i="35"/>
  <c r="P196" i="35" s="1"/>
  <c r="P167" i="35"/>
  <c r="P194" i="35" s="1"/>
  <c r="AO509" i="2"/>
  <c r="AO232" i="2"/>
  <c r="AH509" i="2"/>
  <c r="P160" i="35"/>
  <c r="P187" i="35" s="1"/>
  <c r="AH232" i="2"/>
  <c r="AJ509" i="2"/>
  <c r="P162" i="35"/>
  <c r="P189" i="35" s="1"/>
  <c r="AJ232" i="2"/>
  <c r="AE232" i="2"/>
  <c r="AE509" i="2"/>
  <c r="P157" i="35"/>
  <c r="P184" i="35" s="1"/>
  <c r="P156" i="35"/>
  <c r="P183" i="35" s="1"/>
  <c r="AD509" i="2"/>
  <c r="AD232" i="2"/>
  <c r="AC509" i="2"/>
  <c r="AC232" i="2"/>
  <c r="P155" i="35"/>
  <c r="P182" i="35" s="1"/>
  <c r="P158" i="35"/>
  <c r="P185" i="35" s="1"/>
  <c r="AF232" i="2"/>
  <c r="AF509" i="2"/>
  <c r="AA509" i="2"/>
  <c r="AA232" i="2"/>
  <c r="P153" i="35"/>
  <c r="P180" i="35" s="1"/>
  <c r="Y509" i="2"/>
  <c r="Y232" i="2"/>
  <c r="P151" i="35"/>
  <c r="P178" i="35" s="1"/>
  <c r="BA230" i="2"/>
  <c r="P208" i="35" s="1"/>
  <c r="AR509" i="2"/>
  <c r="P170" i="35"/>
  <c r="P197" i="35" s="1"/>
  <c r="AR232" i="2"/>
  <c r="AM232" i="2"/>
  <c r="AM509" i="2"/>
  <c r="P165" i="35"/>
  <c r="P192" i="35" s="1"/>
  <c r="AX230" i="2"/>
  <c r="P205" i="35" s="1"/>
  <c r="V509" i="2"/>
  <c r="P230" i="35"/>
  <c r="P266" i="35"/>
  <c r="P275" i="35"/>
  <c r="P268" i="35"/>
  <c r="P274" i="35"/>
  <c r="P269" i="35"/>
  <c r="P272" i="35"/>
  <c r="P264" i="35"/>
  <c r="P267" i="35"/>
  <c r="P271" i="35"/>
  <c r="P262" i="35"/>
  <c r="P265" i="35"/>
  <c r="P263" i="35"/>
  <c r="P273" i="35"/>
  <c r="P261" i="35"/>
  <c r="P270" i="35"/>
  <c r="P276" i="35"/>
  <c r="AK509" i="2"/>
  <c r="AK232" i="2"/>
  <c r="P163" i="35"/>
  <c r="P190" i="35" s="1"/>
  <c r="AL232" i="2"/>
  <c r="P164" i="35"/>
  <c r="P191" i="35" s="1"/>
  <c r="AL509" i="2"/>
  <c r="AB232" i="2"/>
  <c r="P154" i="35"/>
  <c r="P181" i="35" s="1"/>
  <c r="AB509" i="2"/>
  <c r="W509" i="2"/>
  <c r="W232" i="2"/>
  <c r="P149" i="35"/>
  <c r="P176" i="35" s="1"/>
  <c r="BM230" i="2"/>
  <c r="P220" i="35" s="1"/>
  <c r="AI509" i="2"/>
  <c r="AI232" i="2"/>
  <c r="P161" i="35"/>
  <c r="P188" i="35" s="1"/>
  <c r="AG509" i="2"/>
  <c r="AG232" i="2"/>
  <c r="P159" i="35"/>
  <c r="P186" i="35" s="1"/>
  <c r="BI230" i="2"/>
  <c r="P216" i="35" s="1"/>
  <c r="R509" i="2"/>
  <c r="P229" i="35"/>
  <c r="AP232" i="2"/>
  <c r="P168" i="35"/>
  <c r="P195" i="35" s="1"/>
  <c r="AP509" i="2"/>
  <c r="P166" i="35"/>
  <c r="P193" i="35" s="1"/>
  <c r="AN509" i="2"/>
  <c r="AN232" i="2"/>
  <c r="Z509" i="2"/>
  <c r="P152" i="35"/>
  <c r="P179" i="35" s="1"/>
  <c r="Z232" i="2"/>
  <c r="AS232" i="2"/>
  <c r="AS509" i="2"/>
  <c r="P171" i="35"/>
  <c r="P198" i="35" s="1"/>
  <c r="T150" i="35"/>
  <c r="T177" i="35" s="1"/>
  <c r="X152" i="2"/>
  <c r="X518" i="2"/>
  <c r="BB150" i="2"/>
  <c r="T209" i="35" s="1"/>
  <c r="AC518" i="2"/>
  <c r="AC152" i="2"/>
  <c r="T155" i="35"/>
  <c r="T182" i="35" s="1"/>
  <c r="Y518" i="2"/>
  <c r="T151" i="35"/>
  <c r="T178" i="35" s="1"/>
  <c r="Y152" i="2"/>
  <c r="T230" i="35"/>
  <c r="V518" i="2"/>
  <c r="T266" i="35"/>
  <c r="T261" i="35"/>
  <c r="T267" i="35"/>
  <c r="T270" i="35"/>
  <c r="T273" i="35"/>
  <c r="T262" i="35"/>
  <c r="T265" i="35"/>
  <c r="T272" i="35"/>
  <c r="T263" i="35"/>
  <c r="T268" i="35"/>
  <c r="T264" i="35"/>
  <c r="T276" i="35"/>
  <c r="T275" i="35"/>
  <c r="T269" i="35"/>
  <c r="T274" i="35"/>
  <c r="T271" i="35"/>
  <c r="BP150" i="2"/>
  <c r="T223" i="35" s="1"/>
  <c r="T159" i="35"/>
  <c r="T186" i="35" s="1"/>
  <c r="AG152" i="2"/>
  <c r="AG518" i="2"/>
  <c r="AS518" i="2"/>
  <c r="AS152" i="2"/>
  <c r="T171" i="35"/>
  <c r="T198" i="35" s="1"/>
  <c r="BF150" i="2"/>
  <c r="T213" i="35" s="1"/>
  <c r="T166" i="35"/>
  <c r="T193" i="35" s="1"/>
  <c r="AN152" i="2"/>
  <c r="AN518" i="2"/>
  <c r="Z518" i="2"/>
  <c r="Z152" i="2"/>
  <c r="T152" i="35"/>
  <c r="T179" i="35" s="1"/>
  <c r="AH518" i="2"/>
  <c r="T160" i="35"/>
  <c r="T187" i="35" s="1"/>
  <c r="AH152" i="2"/>
  <c r="Q522" i="2"/>
  <c r="BJ150" i="2"/>
  <c r="T217" i="35" s="1"/>
  <c r="BA150" i="2"/>
  <c r="T208" i="35" s="1"/>
  <c r="AK152" i="2"/>
  <c r="AK518" i="2"/>
  <c r="T163" i="35"/>
  <c r="T190" i="35" s="1"/>
  <c r="BR150" i="2"/>
  <c r="AY150" i="2"/>
  <c r="T206" i="35" s="1"/>
  <c r="R518" i="2"/>
  <c r="I518" i="2" s="1"/>
  <c r="T231" i="35" s="1"/>
  <c r="T229" i="35"/>
  <c r="AL152" i="2"/>
  <c r="AL518" i="2"/>
  <c r="T164" i="35"/>
  <c r="T191" i="35" s="1"/>
  <c r="AM518" i="2"/>
  <c r="AM152" i="2"/>
  <c r="T165" i="35"/>
  <c r="T192" i="35" s="1"/>
  <c r="AQ152" i="2"/>
  <c r="T169" i="35"/>
  <c r="T196" i="35" s="1"/>
  <c r="AQ518" i="2"/>
  <c r="AA518" i="2"/>
  <c r="T153" i="35"/>
  <c r="T180" i="35" s="1"/>
  <c r="AA152" i="2"/>
  <c r="BH150" i="2"/>
  <c r="T215" i="35" s="1"/>
  <c r="BN150" i="2"/>
  <c r="T221" i="35" s="1"/>
  <c r="BC150" i="2"/>
  <c r="T210" i="35" s="1"/>
  <c r="BE150" i="2"/>
  <c r="T212" i="35" s="1"/>
  <c r="AJ518" i="2"/>
  <c r="T162" i="35"/>
  <c r="T189" i="35" s="1"/>
  <c r="AJ152" i="2"/>
  <c r="AZ150" i="2"/>
  <c r="T207" i="35" s="1"/>
  <c r="BO150" i="2"/>
  <c r="T161" i="35"/>
  <c r="T188" i="35" s="1"/>
  <c r="AI518" i="2"/>
  <c r="AI152" i="2"/>
  <c r="W152" i="2"/>
  <c r="T149" i="35"/>
  <c r="T176" i="35" s="1"/>
  <c r="W518" i="2"/>
  <c r="AV150" i="2"/>
  <c r="T203" i="35" s="1"/>
  <c r="BM150" i="2"/>
  <c r="T220" i="35" s="1"/>
  <c r="AW150" i="2"/>
  <c r="T204" i="35" s="1"/>
  <c r="AX150" i="2"/>
  <c r="T205" i="35" s="1"/>
  <c r="AO152" i="2"/>
  <c r="T167" i="35"/>
  <c r="T194" i="35" s="1"/>
  <c r="AO518" i="2"/>
  <c r="AD518" i="2"/>
  <c r="T156" i="35"/>
  <c r="T183" i="35" s="1"/>
  <c r="AD152" i="2"/>
  <c r="AP518" i="2"/>
  <c r="AP152" i="2"/>
  <c r="T168" i="35"/>
  <c r="T195" i="35" s="1"/>
  <c r="BD150" i="2"/>
  <c r="T211" i="35" s="1"/>
  <c r="AP133" i="2"/>
  <c r="O168" i="35"/>
  <c r="O195" i="35" s="1"/>
  <c r="AP508" i="2"/>
  <c r="O166" i="35"/>
  <c r="O193" i="35" s="1"/>
  <c r="AN508" i="2"/>
  <c r="AN133" i="2"/>
  <c r="BG131" i="2"/>
  <c r="O214" i="35" s="1"/>
  <c r="AB133" i="2"/>
  <c r="O154" i="35"/>
  <c r="O181" i="35" s="1"/>
  <c r="AB508" i="2"/>
  <c r="AE133" i="2"/>
  <c r="O157" i="35"/>
  <c r="O184" i="35" s="1"/>
  <c r="AE508" i="2"/>
  <c r="AR133" i="2"/>
  <c r="O170" i="35"/>
  <c r="O197" i="35" s="1"/>
  <c r="AR508" i="2"/>
  <c r="AS508" i="2"/>
  <c r="AS133" i="2"/>
  <c r="O171" i="35"/>
  <c r="O198" i="35" s="1"/>
  <c r="BM131" i="2"/>
  <c r="O220" i="35" s="1"/>
  <c r="AI133" i="2"/>
  <c r="O161" i="35"/>
  <c r="O188" i="35" s="1"/>
  <c r="AI508" i="2"/>
  <c r="BA131" i="2"/>
  <c r="O208" i="35" s="1"/>
  <c r="O165" i="35"/>
  <c r="O192" i="35" s="1"/>
  <c r="AM508" i="2"/>
  <c r="AM133" i="2"/>
  <c r="AD133" i="2"/>
  <c r="AD508" i="2"/>
  <c r="O156" i="35"/>
  <c r="O183" i="35" s="1"/>
  <c r="Y133" i="2"/>
  <c r="O151" i="35"/>
  <c r="O178" i="35" s="1"/>
  <c r="Y508" i="2"/>
  <c r="X508" i="2"/>
  <c r="O150" i="35"/>
  <c r="O177" i="35" s="1"/>
  <c r="X133" i="2"/>
  <c r="O229" i="35"/>
  <c r="R508" i="2"/>
  <c r="BC131" i="2"/>
  <c r="O210" i="35" s="1"/>
  <c r="AW131" i="2"/>
  <c r="O204" i="35" s="1"/>
  <c r="AQ133" i="2"/>
  <c r="O169" i="35"/>
  <c r="O196" i="35" s="1"/>
  <c r="AQ508" i="2"/>
  <c r="AC508" i="2"/>
  <c r="AC133" i="2"/>
  <c r="O155" i="35"/>
  <c r="O182" i="35" s="1"/>
  <c r="AJ133" i="2"/>
  <c r="O162" i="35"/>
  <c r="O189" i="35" s="1"/>
  <c r="AJ508" i="2"/>
  <c r="AF508" i="2"/>
  <c r="O158" i="35"/>
  <c r="O185" i="35" s="1"/>
  <c r="AF133" i="2"/>
  <c r="BE131" i="2"/>
  <c r="O212" i="35" s="1"/>
  <c r="O153" i="35"/>
  <c r="O180" i="35" s="1"/>
  <c r="AA133" i="2"/>
  <c r="AA508" i="2"/>
  <c r="Z133" i="2"/>
  <c r="Z508" i="2"/>
  <c r="O152" i="35"/>
  <c r="O179" i="35" s="1"/>
  <c r="O149" i="35"/>
  <c r="O176" i="35" s="1"/>
  <c r="W508" i="2"/>
  <c r="W133" i="2"/>
  <c r="BK131" i="2"/>
  <c r="O218" i="35" s="1"/>
  <c r="AG508" i="2"/>
  <c r="O159" i="35"/>
  <c r="O186" i="35" s="1"/>
  <c r="AG133" i="2"/>
  <c r="AY131" i="2"/>
  <c r="O206" i="35" s="1"/>
  <c r="AK508" i="2"/>
  <c r="AK133" i="2"/>
  <c r="O163" i="35"/>
  <c r="O190" i="35" s="1"/>
  <c r="AL508" i="2"/>
  <c r="AL133" i="2"/>
  <c r="O164" i="35"/>
  <c r="O191" i="35" s="1"/>
  <c r="BR131" i="2"/>
  <c r="O225" i="35" s="1"/>
  <c r="AO508" i="2"/>
  <c r="AO133" i="2"/>
  <c r="O167" i="35"/>
  <c r="O194" i="35" s="1"/>
  <c r="AH508" i="2"/>
  <c r="O160" i="35"/>
  <c r="O187" i="35" s="1"/>
  <c r="AH133" i="2"/>
  <c r="BQ131" i="2"/>
  <c r="O224" i="35" s="1"/>
  <c r="S470" i="35"/>
  <c r="F470" i="35" s="1"/>
  <c r="AL565" i="2"/>
  <c r="S468" i="35"/>
  <c r="F468" i="35" s="1"/>
  <c r="AJ565" i="2"/>
  <c r="S471" i="35"/>
  <c r="F471" i="35" s="1"/>
  <c r="AM565" i="2"/>
  <c r="BG51" i="2"/>
  <c r="S214" i="35" s="1"/>
  <c r="AF517" i="2"/>
  <c r="S158" i="35"/>
  <c r="S185" i="35" s="1"/>
  <c r="AF53" i="2"/>
  <c r="S473" i="35"/>
  <c r="F473" i="35" s="1"/>
  <c r="AO565" i="2"/>
  <c r="S162" i="35"/>
  <c r="S189" i="35" s="1"/>
  <c r="AJ517" i="2"/>
  <c r="AJ53" i="2"/>
  <c r="S477" i="35"/>
  <c r="F477" i="35" s="1"/>
  <c r="AS565" i="2"/>
  <c r="S165" i="35"/>
  <c r="S192" i="35" s="1"/>
  <c r="AM517" i="2"/>
  <c r="AM53" i="2"/>
  <c r="Z517" i="2"/>
  <c r="S152" i="35"/>
  <c r="S179" i="35" s="1"/>
  <c r="Z53" i="2"/>
  <c r="AH517" i="2"/>
  <c r="S160" i="35"/>
  <c r="S187" i="35" s="1"/>
  <c r="AH53" i="2"/>
  <c r="S472" i="35"/>
  <c r="F472" i="35" s="1"/>
  <c r="AN565" i="2"/>
  <c r="S467" i="35"/>
  <c r="F467" i="35" s="1"/>
  <c r="AI565" i="2"/>
  <c r="AO517" i="2"/>
  <c r="S167" i="35"/>
  <c r="S194" i="35" s="1"/>
  <c r="AO53" i="2"/>
  <c r="AL517" i="2"/>
  <c r="AL53" i="2"/>
  <c r="S164" i="35"/>
  <c r="S191" i="35" s="1"/>
  <c r="S459" i="35"/>
  <c r="F459" i="35" s="1"/>
  <c r="AA565" i="2"/>
  <c r="AS517" i="2"/>
  <c r="S171" i="35"/>
  <c r="S198" i="35" s="1"/>
  <c r="AS53" i="2"/>
  <c r="S474" i="35"/>
  <c r="F474" i="35" s="1"/>
  <c r="AP565" i="2"/>
  <c r="AN517" i="2"/>
  <c r="S166" i="35"/>
  <c r="S193" i="35" s="1"/>
  <c r="AN53" i="2"/>
  <c r="AI517" i="2"/>
  <c r="S161" i="35"/>
  <c r="S188" i="35" s="1"/>
  <c r="AI53" i="2"/>
  <c r="S476" i="35"/>
  <c r="F476" i="35" s="1"/>
  <c r="AR565" i="2"/>
  <c r="W517" i="2"/>
  <c r="W53" i="2"/>
  <c r="S149" i="35"/>
  <c r="S469" i="35"/>
  <c r="F469" i="35" s="1"/>
  <c r="AK565" i="2"/>
  <c r="BO51" i="2"/>
  <c r="S475" i="35"/>
  <c r="F475" i="35" s="1"/>
  <c r="AQ565" i="2"/>
  <c r="BH51" i="2"/>
  <c r="S215" i="35" s="1"/>
  <c r="BQ51" i="2"/>
  <c r="S224" i="35" s="1"/>
  <c r="AA517" i="2"/>
  <c r="S153" i="35"/>
  <c r="S180" i="35" s="1"/>
  <c r="AA53" i="2"/>
  <c r="AK517" i="2"/>
  <c r="S163" i="35"/>
  <c r="S190" i="35" s="1"/>
  <c r="AK53" i="2"/>
  <c r="AP517" i="2"/>
  <c r="S168" i="35"/>
  <c r="S195" i="35" s="1"/>
  <c r="AP53" i="2"/>
  <c r="S461" i="35"/>
  <c r="F461" i="35" s="1"/>
  <c r="AC565" i="2"/>
  <c r="BP51" i="2"/>
  <c r="S463" i="35"/>
  <c r="F463" i="35" s="1"/>
  <c r="AE565" i="2"/>
  <c r="S460" i="35"/>
  <c r="F460" i="35" s="1"/>
  <c r="AB565" i="2"/>
  <c r="AR517" i="2"/>
  <c r="S170" i="35"/>
  <c r="S197" i="35" s="1"/>
  <c r="AR53" i="2"/>
  <c r="Y517" i="2"/>
  <c r="Y53" i="2"/>
  <c r="S151" i="35"/>
  <c r="S178" i="35" s="1"/>
  <c r="S462" i="35"/>
  <c r="F462" i="35" s="1"/>
  <c r="AD565" i="2"/>
  <c r="BJ51" i="2"/>
  <c r="S217" i="35" s="1"/>
  <c r="BB51" i="2"/>
  <c r="S209" i="35" s="1"/>
  <c r="AQ517" i="2"/>
  <c r="S169" i="35"/>
  <c r="S196" i="35" s="1"/>
  <c r="AQ53" i="2"/>
  <c r="AE517" i="2"/>
  <c r="S157" i="35"/>
  <c r="S184" i="35" s="1"/>
  <c r="AE53" i="2"/>
  <c r="S465" i="35"/>
  <c r="F465" i="35" s="1"/>
  <c r="AG565" i="2"/>
  <c r="BA51" i="2"/>
  <c r="S208" i="35" s="1"/>
  <c r="X517" i="2"/>
  <c r="S150" i="35"/>
  <c r="S177" i="35" s="1"/>
  <c r="X53" i="2"/>
  <c r="S229" i="35"/>
  <c r="R517" i="2"/>
  <c r="AF565" i="2"/>
  <c r="S464" i="35"/>
  <c r="F464" i="35" s="1"/>
  <c r="AC517" i="2"/>
  <c r="S155" i="35"/>
  <c r="S182" i="35" s="1"/>
  <c r="AC53" i="2"/>
  <c r="BD51" i="2"/>
  <c r="S211" i="35" s="1"/>
  <c r="AG517" i="2"/>
  <c r="S159" i="35"/>
  <c r="S186" i="35" s="1"/>
  <c r="AG53" i="2"/>
  <c r="AB517" i="2"/>
  <c r="S154" i="35"/>
  <c r="S181" i="35" s="1"/>
  <c r="AB53" i="2"/>
  <c r="AW51" i="2"/>
  <c r="S204" i="35" s="1"/>
  <c r="AD517" i="2"/>
  <c r="S156" i="35"/>
  <c r="S183" i="35" s="1"/>
  <c r="AD53" i="2"/>
  <c r="S466" i="35"/>
  <c r="F466" i="35" s="1"/>
  <c r="AH565" i="2"/>
  <c r="BE51" i="2"/>
  <c r="S212" i="35" s="1"/>
  <c r="N475" i="35"/>
  <c r="E475" i="35" s="1"/>
  <c r="AQ564" i="2"/>
  <c r="AQ507" i="2"/>
  <c r="N169" i="35"/>
  <c r="N196" i="35" s="1"/>
  <c r="AQ34" i="2"/>
  <c r="N477" i="35"/>
  <c r="E477" i="35" s="1"/>
  <c r="AS564" i="2"/>
  <c r="Z507" i="2"/>
  <c r="N152" i="35"/>
  <c r="N179" i="35" s="1"/>
  <c r="Z34" i="2"/>
  <c r="N460" i="35"/>
  <c r="E460" i="35" s="1"/>
  <c r="AB564" i="2"/>
  <c r="N468" i="35"/>
  <c r="E468" i="35" s="1"/>
  <c r="AJ564" i="2"/>
  <c r="BP32" i="2"/>
  <c r="N223" i="35" s="1"/>
  <c r="N171" i="35"/>
  <c r="N198" i="35" s="1"/>
  <c r="AS507" i="2"/>
  <c r="AS34" i="2"/>
  <c r="N461" i="35"/>
  <c r="E461" i="35" s="1"/>
  <c r="AC564" i="2"/>
  <c r="N154" i="35"/>
  <c r="N181" i="35" s="1"/>
  <c r="AB507" i="2"/>
  <c r="AB34" i="2"/>
  <c r="N467" i="35"/>
  <c r="E467" i="35" s="1"/>
  <c r="AI564" i="2"/>
  <c r="N472" i="35"/>
  <c r="E472" i="35" s="1"/>
  <c r="AN564" i="2"/>
  <c r="N162" i="35"/>
  <c r="N189" i="35" s="1"/>
  <c r="AJ507" i="2"/>
  <c r="AJ34" i="2"/>
  <c r="AV32" i="2"/>
  <c r="N203" i="35" s="1"/>
  <c r="N474" i="35"/>
  <c r="E474" i="35" s="1"/>
  <c r="AP564" i="2"/>
  <c r="BA32" i="2"/>
  <c r="N208" i="35" s="1"/>
  <c r="BN32" i="2"/>
  <c r="N221" i="35" s="1"/>
  <c r="N161" i="35"/>
  <c r="N188" i="35" s="1"/>
  <c r="AI507" i="2"/>
  <c r="AI34" i="2"/>
  <c r="N166" i="35"/>
  <c r="N193" i="35" s="1"/>
  <c r="AN507" i="2"/>
  <c r="AN34" i="2"/>
  <c r="BI32" i="2"/>
  <c r="N216" i="35" s="1"/>
  <c r="N465" i="35"/>
  <c r="E465" i="35" s="1"/>
  <c r="AG564" i="2"/>
  <c r="N459" i="35"/>
  <c r="E459" i="35" s="1"/>
  <c r="AA564" i="2"/>
  <c r="W507" i="2"/>
  <c r="N149" i="35"/>
  <c r="N11" i="2"/>
  <c r="W34" i="2"/>
  <c r="AP507" i="2"/>
  <c r="N168" i="35"/>
  <c r="N195" i="35" s="1"/>
  <c r="AP34" i="2"/>
  <c r="N462" i="35"/>
  <c r="E462" i="35" s="1"/>
  <c r="AD564" i="2"/>
  <c r="AC507" i="2"/>
  <c r="AC34" i="2"/>
  <c r="N155" i="35"/>
  <c r="N182" i="35" s="1"/>
  <c r="N471" i="35"/>
  <c r="E471" i="35" s="1"/>
  <c r="AM564" i="2"/>
  <c r="BL32" i="2"/>
  <c r="N219" i="35" s="1"/>
  <c r="N473" i="35"/>
  <c r="E473" i="35" s="1"/>
  <c r="AO564" i="2"/>
  <c r="BH32" i="2"/>
  <c r="N215" i="35" s="1"/>
  <c r="AC318" i="35"/>
  <c r="AC315" i="35"/>
  <c r="BM32" i="2"/>
  <c r="N220" i="35" s="1"/>
  <c r="AC313" i="35"/>
  <c r="AC311" i="35"/>
  <c r="AC310" i="35"/>
  <c r="AC306" i="35"/>
  <c r="AC314" i="35"/>
  <c r="AC312" i="35"/>
  <c r="AC309" i="35"/>
  <c r="AC307" i="35"/>
  <c r="AC305" i="35"/>
  <c r="AC319" i="35"/>
  <c r="AC317" i="35"/>
  <c r="AC316" i="35"/>
  <c r="AC308" i="35"/>
  <c r="N469" i="35"/>
  <c r="E469" i="35" s="1"/>
  <c r="AK564" i="2"/>
  <c r="N463" i="35"/>
  <c r="E463" i="35" s="1"/>
  <c r="AE564" i="2"/>
  <c r="AG507" i="2"/>
  <c r="N159" i="35"/>
  <c r="N186" i="35" s="1"/>
  <c r="AG34" i="2"/>
  <c r="AZ32" i="2"/>
  <c r="N207" i="35" s="1"/>
  <c r="N464" i="35"/>
  <c r="E464" i="35" s="1"/>
  <c r="AF564" i="2"/>
  <c r="N156" i="35"/>
  <c r="N183" i="35" s="1"/>
  <c r="AD507" i="2"/>
  <c r="AD34" i="2"/>
  <c r="N470" i="35"/>
  <c r="E470" i="35" s="1"/>
  <c r="AL564" i="2"/>
  <c r="AO507" i="2"/>
  <c r="N167" i="35"/>
  <c r="N194" i="35" s="1"/>
  <c r="AO34" i="2"/>
  <c r="N466" i="35"/>
  <c r="E466" i="35" s="1"/>
  <c r="AH564" i="2"/>
  <c r="BJ32" i="2"/>
  <c r="N217" i="35" s="1"/>
  <c r="N157" i="35"/>
  <c r="N184" i="35" s="1"/>
  <c r="AE507" i="2"/>
  <c r="AE34" i="2"/>
  <c r="BQ32" i="2"/>
  <c r="N224" i="35" s="1"/>
  <c r="BF32" i="2"/>
  <c r="N213" i="35" s="1"/>
  <c r="N153" i="35"/>
  <c r="N180" i="35" s="1"/>
  <c r="AA507" i="2"/>
  <c r="AA34" i="2"/>
  <c r="AF507" i="2"/>
  <c r="N158" i="35"/>
  <c r="N185" i="35" s="1"/>
  <c r="AF34" i="2"/>
  <c r="T407" i="35"/>
  <c r="E383" i="35"/>
  <c r="N476" i="35"/>
  <c r="E476" i="35" s="1"/>
  <c r="AR564" i="2"/>
  <c r="BK32" i="2"/>
  <c r="N218" i="35" s="1"/>
  <c r="R507" i="2"/>
  <c r="N229" i="35"/>
  <c r="N160" i="35"/>
  <c r="N187" i="35" s="1"/>
  <c r="AH507" i="2"/>
  <c r="AH34" i="2"/>
  <c r="AK507" i="2"/>
  <c r="N163" i="35"/>
  <c r="N190" i="35" s="1"/>
  <c r="AK34" i="2"/>
  <c r="BD32" i="2"/>
  <c r="N211" i="35" s="1"/>
  <c r="BE32" i="2"/>
  <c r="N212" i="35" s="1"/>
  <c r="N230" i="35"/>
  <c r="V507" i="2"/>
  <c r="N270" i="35"/>
  <c r="N261" i="35"/>
  <c r="N268" i="35"/>
  <c r="N274" i="35"/>
  <c r="N276" i="35"/>
  <c r="N273" i="35"/>
  <c r="N269" i="35"/>
  <c r="N267" i="35"/>
  <c r="N271" i="35"/>
  <c r="N266" i="35"/>
  <c r="N262" i="35"/>
  <c r="N265" i="35"/>
  <c r="N275" i="35"/>
  <c r="N272" i="35"/>
  <c r="N264" i="35"/>
  <c r="N263" i="35"/>
  <c r="N165" i="35"/>
  <c r="N192" i="35" s="1"/>
  <c r="AM507" i="2"/>
  <c r="AM34" i="2"/>
  <c r="AR507" i="2"/>
  <c r="N170" i="35"/>
  <c r="N197" i="35" s="1"/>
  <c r="AR34" i="2"/>
  <c r="AL507" i="2"/>
  <c r="N164" i="35"/>
  <c r="N191" i="35" s="1"/>
  <c r="AL34" i="2"/>
  <c r="Y507" i="2"/>
  <c r="N151" i="35"/>
  <c r="N178" i="35" s="1"/>
  <c r="Y34" i="2"/>
  <c r="N150" i="35"/>
  <c r="N177" i="35" s="1"/>
  <c r="X507" i="2"/>
  <c r="X34" i="2"/>
  <c r="BG32" i="2"/>
  <c r="N214" i="35" s="1"/>
  <c r="AJ563" i="5"/>
  <c r="M468" i="36" s="1"/>
  <c r="AM563" i="5"/>
  <c r="M471" i="36" s="1"/>
  <c r="AN563" i="5"/>
  <c r="M472" i="36" s="1"/>
  <c r="AE563" i="5"/>
  <c r="M463" i="36" s="1"/>
  <c r="AB563" i="5"/>
  <c r="M460" i="36" s="1"/>
  <c r="AH563" i="5"/>
  <c r="M466" i="36" s="1"/>
  <c r="AK563" i="5"/>
  <c r="M469" i="36" s="1"/>
  <c r="AL563" i="5"/>
  <c r="M470" i="36" s="1"/>
  <c r="AS563" i="5"/>
  <c r="M477" i="36" s="1"/>
  <c r="AO563" i="5"/>
  <c r="M473" i="36" s="1"/>
  <c r="AQ563" i="5"/>
  <c r="M475" i="36" s="1"/>
  <c r="AP563" i="5"/>
  <c r="M474" i="36" s="1"/>
  <c r="AG563" i="5"/>
  <c r="M465" i="36" s="1"/>
  <c r="R531" i="5"/>
  <c r="R503" i="5"/>
  <c r="M229" i="36" s="1"/>
  <c r="AB229" i="36"/>
  <c r="AI563" i="5"/>
  <c r="M467" i="36" s="1"/>
  <c r="M238" i="36"/>
  <c r="M243" i="36"/>
  <c r="M253" i="36"/>
  <c r="M249" i="36"/>
  <c r="M242" i="36"/>
  <c r="M246" i="36"/>
  <c r="M245" i="36"/>
  <c r="M239" i="36"/>
  <c r="M247" i="36"/>
  <c r="M251" i="36"/>
  <c r="M250" i="36"/>
  <c r="M241" i="36"/>
  <c r="M248" i="36"/>
  <c r="M252" i="36"/>
  <c r="M244" i="36"/>
  <c r="M240" i="36"/>
  <c r="AA230" i="36"/>
  <c r="G230" i="36" s="1"/>
  <c r="BM380" i="5"/>
  <c r="AN383" i="5" s="1"/>
  <c r="BI380" i="5"/>
  <c r="BI382" i="5" s="1"/>
  <c r="AJ384" i="5" s="1"/>
  <c r="BC380" i="5"/>
  <c r="AA210" i="36" s="1"/>
  <c r="BF380" i="5"/>
  <c r="AG383" i="5" s="1"/>
  <c r="BE380" i="5"/>
  <c r="AA212" i="36" s="1"/>
  <c r="V404" i="5"/>
  <c r="L230" i="36" s="1"/>
  <c r="AA266" i="36"/>
  <c r="AA261" i="36"/>
  <c r="AA265" i="36"/>
  <c r="AA273" i="36"/>
  <c r="AA267" i="36"/>
  <c r="AA271" i="36"/>
  <c r="AA262" i="36"/>
  <c r="AA276" i="36"/>
  <c r="AA275" i="36"/>
  <c r="AA272" i="36"/>
  <c r="AA264" i="36"/>
  <c r="AA263" i="36"/>
  <c r="AA274" i="36"/>
  <c r="AA270" i="36"/>
  <c r="AA269" i="36"/>
  <c r="AA268" i="36"/>
  <c r="AL442" i="35"/>
  <c r="BK380" i="5"/>
  <c r="AL383" i="5" s="1"/>
  <c r="Z275" i="36"/>
  <c r="Z276" i="36"/>
  <c r="AO283" i="5"/>
  <c r="V305" i="5"/>
  <c r="K230" i="36" s="1"/>
  <c r="Z261" i="36"/>
  <c r="AO529" i="5"/>
  <c r="Z274" i="36"/>
  <c r="Z263" i="36"/>
  <c r="V529" i="5"/>
  <c r="Z265" i="36"/>
  <c r="Z264" i="36"/>
  <c r="Z267" i="36"/>
  <c r="Z262" i="36"/>
  <c r="Z269" i="36"/>
  <c r="Z268" i="36"/>
  <c r="BR281" i="5"/>
  <c r="AS284" i="5" s="1"/>
  <c r="AJ283" i="5"/>
  <c r="AJ305" i="5"/>
  <c r="S281" i="5"/>
  <c r="Z272" i="36"/>
  <c r="Z271" i="36"/>
  <c r="Z270" i="36"/>
  <c r="Z273" i="36"/>
  <c r="BL281" i="5"/>
  <c r="AM284" i="5" s="1"/>
  <c r="BO281" i="5"/>
  <c r="Z222" i="36" s="1"/>
  <c r="AZ281" i="5"/>
  <c r="Z207" i="36" s="1"/>
  <c r="BG281" i="5"/>
  <c r="Z214" i="36" s="1"/>
  <c r="BK281" i="5"/>
  <c r="BK283" i="5" s="1"/>
  <c r="AL285" i="5" s="1"/>
  <c r="D228" i="36"/>
  <c r="AL443" i="35"/>
  <c r="AV85" i="5"/>
  <c r="W87" i="5" s="1"/>
  <c r="W86" i="5"/>
  <c r="S83" i="5"/>
  <c r="AI559" i="5"/>
  <c r="I467" i="36" s="1"/>
  <c r="AE559" i="5"/>
  <c r="I463" i="36" s="1"/>
  <c r="AE107" i="5"/>
  <c r="X157" i="36"/>
  <c r="X184" i="36" s="1"/>
  <c r="AE85" i="5"/>
  <c r="AE527" i="5"/>
  <c r="Y107" i="5"/>
  <c r="X151" i="36"/>
  <c r="X178" i="36" s="1"/>
  <c r="Y85" i="5"/>
  <c r="Y527" i="5"/>
  <c r="BI479" i="2"/>
  <c r="AJ482" i="2" s="1"/>
  <c r="BE479" i="2"/>
  <c r="AB212" i="35" s="1"/>
  <c r="BL479" i="2"/>
  <c r="AM482" i="2" s="1"/>
  <c r="T441" i="35"/>
  <c r="BB479" i="2"/>
  <c r="AB209" i="35" s="1"/>
  <c r="AW479" i="2"/>
  <c r="AW481" i="2" s="1"/>
  <c r="X483" i="2" s="1"/>
  <c r="T442" i="35"/>
  <c r="BB380" i="2"/>
  <c r="BB382" i="2" s="1"/>
  <c r="AC384" i="2" s="1"/>
  <c r="AY380" i="2"/>
  <c r="AY382" i="2" s="1"/>
  <c r="Z384" i="2" s="1"/>
  <c r="BR380" i="2"/>
  <c r="AA225" i="35" s="1"/>
  <c r="AW380" i="2"/>
  <c r="AW382" i="2" s="1"/>
  <c r="X384" i="2" s="1"/>
  <c r="AX380" i="2"/>
  <c r="Y383" i="2" s="1"/>
  <c r="K248" i="35"/>
  <c r="K249" i="35"/>
  <c r="K241" i="35"/>
  <c r="K242" i="35"/>
  <c r="K252" i="35"/>
  <c r="K245" i="35"/>
  <c r="K239" i="35"/>
  <c r="K240" i="35"/>
  <c r="K251" i="35"/>
  <c r="K244" i="35"/>
  <c r="K253" i="35"/>
  <c r="K247" i="35"/>
  <c r="K243" i="35"/>
  <c r="K238" i="35"/>
  <c r="K250" i="35"/>
  <c r="K246" i="35"/>
  <c r="X529" i="2"/>
  <c r="S281" i="2"/>
  <c r="X283" i="2"/>
  <c r="Z150" i="35"/>
  <c r="Z177" i="35" s="1"/>
  <c r="BL281" i="2"/>
  <c r="Z219" i="35" s="1"/>
  <c r="AW281" i="2"/>
  <c r="X284" i="2" s="1"/>
  <c r="BD281" i="2"/>
  <c r="BD283" i="2" s="1"/>
  <c r="AE285" i="2" s="1"/>
  <c r="D425" i="35"/>
  <c r="T443" i="35"/>
  <c r="BK281" i="2"/>
  <c r="BK283" i="2" s="1"/>
  <c r="AL285" i="2" s="1"/>
  <c r="V528" i="2"/>
  <c r="Y273" i="35"/>
  <c r="S182" i="2"/>
  <c r="D228" i="35"/>
  <c r="Y272" i="35"/>
  <c r="Y263" i="35"/>
  <c r="Y262" i="35"/>
  <c r="Y274" i="35"/>
  <c r="Y267" i="35"/>
  <c r="Y271" i="35"/>
  <c r="Y265" i="35"/>
  <c r="Y261" i="35"/>
  <c r="Y275" i="35"/>
  <c r="Y270" i="35"/>
  <c r="Y268" i="35"/>
  <c r="Y276" i="35"/>
  <c r="Y269" i="35"/>
  <c r="Y266" i="35"/>
  <c r="Y264" i="35"/>
  <c r="AB528" i="2"/>
  <c r="Y154" i="35"/>
  <c r="Y181" i="35" s="1"/>
  <c r="AB206" i="2"/>
  <c r="C230" i="17" s="1"/>
  <c r="BC182" i="2"/>
  <c r="AD185" i="2" s="1"/>
  <c r="AW182" i="2"/>
  <c r="X185" i="2" s="1"/>
  <c r="T444" i="35"/>
  <c r="D426" i="35"/>
  <c r="AX182" i="2"/>
  <c r="Y205" i="35" s="1"/>
  <c r="G228" i="35"/>
  <c r="BD83" i="2"/>
  <c r="X211" i="35" s="1"/>
  <c r="V107" i="2"/>
  <c r="I230" i="35" s="1"/>
  <c r="BH83" i="2"/>
  <c r="X215" i="35" s="1"/>
  <c r="BO83" i="2"/>
  <c r="X222" i="35" s="1"/>
  <c r="S83" i="2"/>
  <c r="BN83" i="2"/>
  <c r="AO86" i="2" s="1"/>
  <c r="BM83" i="2"/>
  <c r="X220" i="35" s="1"/>
  <c r="BB83" i="2"/>
  <c r="AC86" i="2" s="1"/>
  <c r="AV83" i="2"/>
  <c r="X203" i="35" s="1"/>
  <c r="BI83" i="2"/>
  <c r="AJ86" i="2" s="1"/>
  <c r="T445" i="35"/>
  <c r="G427" i="35"/>
  <c r="X264" i="35"/>
  <c r="X268" i="35"/>
  <c r="X270" i="35"/>
  <c r="X263" i="35"/>
  <c r="X274" i="35"/>
  <c r="X271" i="35"/>
  <c r="X275" i="35"/>
  <c r="X265" i="35"/>
  <c r="X276" i="35"/>
  <c r="X273" i="35"/>
  <c r="X266" i="35"/>
  <c r="X261" i="35"/>
  <c r="X272" i="35"/>
  <c r="X267" i="35"/>
  <c r="X262" i="35"/>
  <c r="X269" i="35"/>
  <c r="AH562" i="5"/>
  <c r="L466" i="36" s="1"/>
  <c r="AA152" i="36"/>
  <c r="AA179" i="36" s="1"/>
  <c r="Z382" i="5"/>
  <c r="Z530" i="5"/>
  <c r="Z404" i="5"/>
  <c r="AS562" i="5"/>
  <c r="L477" i="36" s="1"/>
  <c r="AF562" i="5"/>
  <c r="L464" i="36" s="1"/>
  <c r="BB380" i="5"/>
  <c r="AA156" i="36"/>
  <c r="AA183" i="36" s="1"/>
  <c r="AD382" i="5"/>
  <c r="AD404" i="5"/>
  <c r="AD530" i="5"/>
  <c r="AA158" i="36"/>
  <c r="AA185" i="36" s="1"/>
  <c r="AF382" i="5"/>
  <c r="AF530" i="5"/>
  <c r="AF404" i="5"/>
  <c r="AA171" i="36"/>
  <c r="AA198" i="36" s="1"/>
  <c r="AS530" i="5"/>
  <c r="AS382" i="5"/>
  <c r="AS404" i="5"/>
  <c r="AQ562" i="5"/>
  <c r="L475" i="36" s="1"/>
  <c r="AG562" i="5"/>
  <c r="L465" i="36" s="1"/>
  <c r="AA155" i="36"/>
  <c r="AA182" i="36" s="1"/>
  <c r="AC382" i="5"/>
  <c r="AC404" i="5"/>
  <c r="AC530" i="5"/>
  <c r="AD562" i="5"/>
  <c r="L462" i="36" s="1"/>
  <c r="AJ562" i="5"/>
  <c r="L468" i="36" s="1"/>
  <c r="AA229" i="36"/>
  <c r="R530" i="5"/>
  <c r="S530" i="5" s="1"/>
  <c r="R404" i="5"/>
  <c r="L229" i="36" s="1"/>
  <c r="AA170" i="36"/>
  <c r="AA197" i="36" s="1"/>
  <c r="AR530" i="5"/>
  <c r="AR404" i="5"/>
  <c r="AR382" i="5"/>
  <c r="AL562" i="5"/>
  <c r="L470" i="36" s="1"/>
  <c r="AA169" i="36"/>
  <c r="AA196" i="36" s="1"/>
  <c r="AQ530" i="5"/>
  <c r="AQ382" i="5"/>
  <c r="AQ404" i="5"/>
  <c r="AP562" i="5"/>
  <c r="L474" i="36" s="1"/>
  <c r="AC562" i="5"/>
  <c r="L461" i="36" s="1"/>
  <c r="AA150" i="36"/>
  <c r="AA177" i="36" s="1"/>
  <c r="X530" i="5"/>
  <c r="X404" i="5"/>
  <c r="X382" i="5"/>
  <c r="AA167" i="36"/>
  <c r="AA194" i="36" s="1"/>
  <c r="AO530" i="5"/>
  <c r="AO404" i="5"/>
  <c r="AO382" i="5"/>
  <c r="AR562" i="5"/>
  <c r="L476" i="36" s="1"/>
  <c r="AA164" i="36"/>
  <c r="AA191" i="36" s="1"/>
  <c r="AL404" i="5"/>
  <c r="AL530" i="5"/>
  <c r="AL382" i="5"/>
  <c r="AA159" i="36"/>
  <c r="AA186" i="36" s="1"/>
  <c r="AG530" i="5"/>
  <c r="AG382" i="5"/>
  <c r="AG404" i="5"/>
  <c r="AV380" i="5"/>
  <c r="AK562" i="5"/>
  <c r="L469" i="36" s="1"/>
  <c r="AA161" i="36"/>
  <c r="AA188" i="36" s="1"/>
  <c r="AI530" i="5"/>
  <c r="AI404" i="5"/>
  <c r="AI382" i="5"/>
  <c r="AB562" i="5"/>
  <c r="L460" i="36" s="1"/>
  <c r="AA162" i="36"/>
  <c r="AA189" i="36" s="1"/>
  <c r="AJ530" i="5"/>
  <c r="AJ404" i="5"/>
  <c r="AJ382" i="5"/>
  <c r="AE562" i="5"/>
  <c r="L463" i="36" s="1"/>
  <c r="Q550" i="5"/>
  <c r="AA163" i="36"/>
  <c r="AA190" i="36" s="1"/>
  <c r="AK382" i="5"/>
  <c r="AK404" i="5"/>
  <c r="AK530" i="5"/>
  <c r="AO562" i="5"/>
  <c r="L473" i="36" s="1"/>
  <c r="AA153" i="36"/>
  <c r="AA180" i="36" s="1"/>
  <c r="AA382" i="5"/>
  <c r="AA404" i="5"/>
  <c r="AA530" i="5"/>
  <c r="AI562" i="5"/>
  <c r="L467" i="36" s="1"/>
  <c r="AA166" i="36"/>
  <c r="AA193" i="36" s="1"/>
  <c r="AN530" i="5"/>
  <c r="AN382" i="5"/>
  <c r="AN404" i="5"/>
  <c r="AA165" i="36"/>
  <c r="AA192" i="36" s="1"/>
  <c r="AM382" i="5"/>
  <c r="AM404" i="5"/>
  <c r="AM530" i="5"/>
  <c r="AA160" i="36"/>
  <c r="AA187" i="36" s="1"/>
  <c r="AH404" i="5"/>
  <c r="AH530" i="5"/>
  <c r="AH382" i="5"/>
  <c r="AZ380" i="5"/>
  <c r="BH380" i="5"/>
  <c r="AA154" i="36"/>
  <c r="AA181" i="36" s="1"/>
  <c r="AB530" i="5"/>
  <c r="AB382" i="5"/>
  <c r="AB404" i="5"/>
  <c r="BR380" i="5"/>
  <c r="AN562" i="5"/>
  <c r="L472" i="36" s="1"/>
  <c r="AA151" i="36"/>
  <c r="AA178" i="36" s="1"/>
  <c r="Y404" i="5"/>
  <c r="Y530" i="5"/>
  <c r="Y382" i="5"/>
  <c r="AM562" i="5"/>
  <c r="L471" i="36" s="1"/>
  <c r="AO561" i="5"/>
  <c r="K473" i="36" s="1"/>
  <c r="Z154" i="36"/>
  <c r="Z181" i="36" s="1"/>
  <c r="AB529" i="5"/>
  <c r="AB305" i="5"/>
  <c r="AB283" i="5"/>
  <c r="BJ281" i="5"/>
  <c r="AR561" i="5"/>
  <c r="K476" i="36" s="1"/>
  <c r="Z152" i="36"/>
  <c r="Z179" i="36" s="1"/>
  <c r="Z529" i="5"/>
  <c r="Z305" i="5"/>
  <c r="Z283" i="5"/>
  <c r="BH281" i="5"/>
  <c r="BE281" i="5"/>
  <c r="Z171" i="36"/>
  <c r="Z198" i="36" s="1"/>
  <c r="AS283" i="5"/>
  <c r="AS305" i="5"/>
  <c r="AS529" i="5"/>
  <c r="Z151" i="36"/>
  <c r="Z178" i="36" s="1"/>
  <c r="Y529" i="5"/>
  <c r="Y283" i="5"/>
  <c r="Y305" i="5"/>
  <c r="Z163" i="36"/>
  <c r="Z190" i="36" s="1"/>
  <c r="AK529" i="5"/>
  <c r="AK305" i="5"/>
  <c r="AK283" i="5"/>
  <c r="AY281" i="5"/>
  <c r="AG561" i="5"/>
  <c r="K465" i="36" s="1"/>
  <c r="AK561" i="5"/>
  <c r="K469" i="36" s="1"/>
  <c r="Z161" i="36"/>
  <c r="Z188" i="36" s="1"/>
  <c r="AI529" i="5"/>
  <c r="AI283" i="5"/>
  <c r="AI305" i="5"/>
  <c r="Z158" i="36"/>
  <c r="Z185" i="36" s="1"/>
  <c r="AF529" i="5"/>
  <c r="AF305" i="5"/>
  <c r="AF283" i="5"/>
  <c r="AS561" i="5"/>
  <c r="K477" i="36" s="1"/>
  <c r="Z164" i="36"/>
  <c r="Z191" i="36" s="1"/>
  <c r="AL529" i="5"/>
  <c r="AL305" i="5"/>
  <c r="AL283" i="5"/>
  <c r="AE561" i="5"/>
  <c r="K463" i="36" s="1"/>
  <c r="AE569" i="5"/>
  <c r="Z170" i="36"/>
  <c r="Z197" i="36" s="1"/>
  <c r="AR283" i="5"/>
  <c r="AR529" i="5"/>
  <c r="AR305" i="5"/>
  <c r="AC561" i="5"/>
  <c r="K461" i="36" s="1"/>
  <c r="BF281" i="5"/>
  <c r="AL561" i="5"/>
  <c r="K470" i="36" s="1"/>
  <c r="Z149" i="36"/>
  <c r="Z176" i="36" s="1"/>
  <c r="W283" i="5"/>
  <c r="W529" i="5"/>
  <c r="W305" i="5"/>
  <c r="Z165" i="36"/>
  <c r="Z192" i="36" s="1"/>
  <c r="AM529" i="5"/>
  <c r="AM283" i="5"/>
  <c r="AM305" i="5"/>
  <c r="Z157" i="36"/>
  <c r="Z184" i="36" s="1"/>
  <c r="AE305" i="5"/>
  <c r="AE529" i="5"/>
  <c r="AE283" i="5"/>
  <c r="Z155" i="36"/>
  <c r="Z182" i="36" s="1"/>
  <c r="AC529" i="5"/>
  <c r="AC283" i="5"/>
  <c r="AC305" i="5"/>
  <c r="Z159" i="36"/>
  <c r="Z186" i="36" s="1"/>
  <c r="AG283" i="5"/>
  <c r="AG529" i="5"/>
  <c r="AG305" i="5"/>
  <c r="AD561" i="5"/>
  <c r="K462" i="36" s="1"/>
  <c r="Z229" i="36"/>
  <c r="R529" i="5"/>
  <c r="S529" i="5" s="1"/>
  <c r="R305" i="5"/>
  <c r="K229" i="36" s="1"/>
  <c r="AB561" i="5"/>
  <c r="K460" i="36" s="1"/>
  <c r="AN561" i="5"/>
  <c r="K472" i="36" s="1"/>
  <c r="BQ281" i="5"/>
  <c r="AH561" i="5"/>
  <c r="K466" i="36" s="1"/>
  <c r="BD281" i="5"/>
  <c r="BM281" i="5"/>
  <c r="BC281" i="5"/>
  <c r="Q549" i="5"/>
  <c r="Q373" i="36" s="1"/>
  <c r="AQ561" i="5"/>
  <c r="K475" i="36" s="1"/>
  <c r="AQ569" i="5"/>
  <c r="BA281" i="5"/>
  <c r="AV281" i="5"/>
  <c r="AP561" i="5"/>
  <c r="K474" i="36" s="1"/>
  <c r="Z166" i="36"/>
  <c r="Z193" i="36" s="1"/>
  <c r="AN529" i="5"/>
  <c r="AN305" i="5"/>
  <c r="AN283" i="5"/>
  <c r="Z156" i="36"/>
  <c r="Z183" i="36" s="1"/>
  <c r="AD529" i="5"/>
  <c r="AD283" i="5"/>
  <c r="AD305" i="5"/>
  <c r="BP281" i="5"/>
  <c r="Z150" i="36"/>
  <c r="Z177" i="36" s="1"/>
  <c r="X305" i="5"/>
  <c r="X283" i="5"/>
  <c r="X529" i="5"/>
  <c r="AX281" i="5"/>
  <c r="AJ561" i="5"/>
  <c r="K468" i="36" s="1"/>
  <c r="AM569" i="5"/>
  <c r="AM561" i="5"/>
  <c r="K471" i="36" s="1"/>
  <c r="AA561" i="5"/>
  <c r="K459" i="36" s="1"/>
  <c r="AA569" i="5"/>
  <c r="Z160" i="36"/>
  <c r="Z187" i="36" s="1"/>
  <c r="AH529" i="5"/>
  <c r="AH283" i="5"/>
  <c r="AH305" i="5"/>
  <c r="AF561" i="5"/>
  <c r="K464" i="36" s="1"/>
  <c r="Z169" i="36"/>
  <c r="Z196" i="36" s="1"/>
  <c r="AQ529" i="5"/>
  <c r="AQ283" i="5"/>
  <c r="AQ305" i="5"/>
  <c r="AW281" i="5"/>
  <c r="AI569" i="5"/>
  <c r="AI561" i="5"/>
  <c r="K467" i="36" s="1"/>
  <c r="J252" i="36"/>
  <c r="J242" i="36"/>
  <c r="J243" i="36"/>
  <c r="J244" i="36"/>
  <c r="J238" i="36"/>
  <c r="J253" i="36"/>
  <c r="J249" i="36"/>
  <c r="J246" i="36"/>
  <c r="J240" i="36"/>
  <c r="J250" i="36"/>
  <c r="J248" i="36"/>
  <c r="J247" i="36"/>
  <c r="J241" i="36"/>
  <c r="J245" i="36"/>
  <c r="J251" i="36"/>
  <c r="J239" i="36"/>
  <c r="X156" i="36"/>
  <c r="X183" i="36" s="1"/>
  <c r="AD527" i="5"/>
  <c r="AD85" i="5"/>
  <c r="AD107" i="5"/>
  <c r="X166" i="36"/>
  <c r="X193" i="36" s="1"/>
  <c r="AN85" i="5"/>
  <c r="AN527" i="5"/>
  <c r="AN107" i="5"/>
  <c r="AN569" i="5"/>
  <c r="AN559" i="5"/>
  <c r="I472" i="36" s="1"/>
  <c r="X159" i="36"/>
  <c r="X186" i="36" s="1"/>
  <c r="AG527" i="5"/>
  <c r="AG85" i="5"/>
  <c r="AG107" i="5"/>
  <c r="AP569" i="5"/>
  <c r="AP559" i="5"/>
  <c r="I474" i="36" s="1"/>
  <c r="AG569" i="5"/>
  <c r="AG559" i="5"/>
  <c r="I465" i="36" s="1"/>
  <c r="X154" i="36"/>
  <c r="AB107" i="5"/>
  <c r="AB85" i="5"/>
  <c r="AB527" i="5"/>
  <c r="X163" i="36"/>
  <c r="X190" i="36" s="1"/>
  <c r="AK107" i="5"/>
  <c r="AK527" i="5"/>
  <c r="AK85" i="5"/>
  <c r="X164" i="36"/>
  <c r="X191" i="36" s="1"/>
  <c r="AL527" i="5"/>
  <c r="AL85" i="5"/>
  <c r="AL107" i="5"/>
  <c r="X168" i="36"/>
  <c r="X195" i="36" s="1"/>
  <c r="AP527" i="5"/>
  <c r="AP85" i="5"/>
  <c r="AP107" i="5"/>
  <c r="AS569" i="5"/>
  <c r="AS559" i="5"/>
  <c r="I477" i="36" s="1"/>
  <c r="AH569" i="5"/>
  <c r="AH559" i="5"/>
  <c r="I466" i="36" s="1"/>
  <c r="AL569" i="5"/>
  <c r="AL559" i="5"/>
  <c r="I470" i="36" s="1"/>
  <c r="AD569" i="5"/>
  <c r="AD559" i="5"/>
  <c r="I462" i="36" s="1"/>
  <c r="X162" i="36"/>
  <c r="X189" i="36" s="1"/>
  <c r="AJ107" i="5"/>
  <c r="AJ527" i="5"/>
  <c r="AJ85" i="5"/>
  <c r="AK569" i="5"/>
  <c r="AK559" i="5"/>
  <c r="I469" i="36" s="1"/>
  <c r="AO569" i="5"/>
  <c r="AO559" i="5"/>
  <c r="I473" i="36" s="1"/>
  <c r="AF569" i="5"/>
  <c r="AF559" i="5"/>
  <c r="I464" i="36" s="1"/>
  <c r="AC569" i="5"/>
  <c r="AC559" i="5"/>
  <c r="I461" i="36" s="1"/>
  <c r="X160" i="36"/>
  <c r="X187" i="36" s="1"/>
  <c r="AH527" i="5"/>
  <c r="AH85" i="5"/>
  <c r="AH107" i="5"/>
  <c r="AB569" i="5"/>
  <c r="AB559" i="5"/>
  <c r="I460" i="36" s="1"/>
  <c r="AJ569" i="5"/>
  <c r="AJ559" i="5"/>
  <c r="I468" i="36" s="1"/>
  <c r="AB162" i="35"/>
  <c r="AB189" i="35" s="1"/>
  <c r="AJ503" i="2"/>
  <c r="C331" i="17" s="1"/>
  <c r="AJ531" i="2"/>
  <c r="AJ481" i="2"/>
  <c r="AB471" i="35"/>
  <c r="AM563" i="2"/>
  <c r="M471" i="35" s="1"/>
  <c r="AB155" i="35"/>
  <c r="AB182" i="35" s="1"/>
  <c r="AC503" i="2"/>
  <c r="C324" i="17" s="1"/>
  <c r="AC481" i="2"/>
  <c r="AC531" i="2"/>
  <c r="AB463" i="35"/>
  <c r="AE563" i="2"/>
  <c r="M463" i="35" s="1"/>
  <c r="BK479" i="2"/>
  <c r="AB151" i="35"/>
  <c r="AB178" i="35" s="1"/>
  <c r="Y503" i="2"/>
  <c r="C320" i="17" s="1"/>
  <c r="Y481" i="2"/>
  <c r="Y531" i="2"/>
  <c r="AB469" i="35"/>
  <c r="AK563" i="2"/>
  <c r="M469" i="35" s="1"/>
  <c r="BQ479" i="2"/>
  <c r="AB468" i="35"/>
  <c r="AJ563" i="2"/>
  <c r="M468" i="35" s="1"/>
  <c r="AB165" i="35"/>
  <c r="AB192" i="35" s="1"/>
  <c r="AM481" i="2"/>
  <c r="AM531" i="2"/>
  <c r="AM503" i="2"/>
  <c r="C334" i="17" s="1"/>
  <c r="AB157" i="35"/>
  <c r="AB184" i="35" s="1"/>
  <c r="AE531" i="2"/>
  <c r="AE481" i="2"/>
  <c r="AE503" i="2"/>
  <c r="C326" i="17" s="1"/>
  <c r="AB459" i="35"/>
  <c r="AA562" i="2"/>
  <c r="L459" i="35" s="1"/>
  <c r="AA563" i="2"/>
  <c r="M459" i="35" s="1"/>
  <c r="AX479" i="2"/>
  <c r="AB163" i="35"/>
  <c r="AB190" i="35" s="1"/>
  <c r="AK531" i="2"/>
  <c r="AK503" i="2"/>
  <c r="C332" i="17" s="1"/>
  <c r="AK481" i="2"/>
  <c r="AB159" i="35"/>
  <c r="AB186" i="35" s="1"/>
  <c r="AG531" i="2"/>
  <c r="AG503" i="2"/>
  <c r="C328" i="17" s="1"/>
  <c r="AG481" i="2"/>
  <c r="AB467" i="35"/>
  <c r="AI563" i="2"/>
  <c r="M467" i="35" s="1"/>
  <c r="BD479" i="2"/>
  <c r="AB153" i="35"/>
  <c r="AB180" i="35" s="1"/>
  <c r="AA503" i="2"/>
  <c r="C322" i="17" s="1"/>
  <c r="AA531" i="2"/>
  <c r="AA481" i="2"/>
  <c r="AB160" i="35"/>
  <c r="AB187" i="35" s="1"/>
  <c r="AH481" i="2"/>
  <c r="AH531" i="2"/>
  <c r="AH503" i="2"/>
  <c r="C329" i="17" s="1"/>
  <c r="BJ479" i="2"/>
  <c r="AB465" i="35"/>
  <c r="AG563" i="2"/>
  <c r="M465" i="35" s="1"/>
  <c r="AB460" i="35"/>
  <c r="AB563" i="2"/>
  <c r="M460" i="35" s="1"/>
  <c r="AB158" i="35"/>
  <c r="AB185" i="35" s="1"/>
  <c r="AF503" i="2"/>
  <c r="C327" i="17" s="1"/>
  <c r="AF481" i="2"/>
  <c r="AF531" i="2"/>
  <c r="AB161" i="35"/>
  <c r="AB188" i="35" s="1"/>
  <c r="AI503" i="2"/>
  <c r="C330" i="17" s="1"/>
  <c r="AI531" i="2"/>
  <c r="AI481" i="2"/>
  <c r="V503" i="2"/>
  <c r="M230" i="35" s="1"/>
  <c r="AB230" i="35"/>
  <c r="V531" i="2"/>
  <c r="AB273" i="35"/>
  <c r="AB270" i="35"/>
  <c r="AB276" i="35"/>
  <c r="AB272" i="35"/>
  <c r="AB275" i="35"/>
  <c r="AB261" i="35"/>
  <c r="AB264" i="35"/>
  <c r="AB268" i="35"/>
  <c r="AB266" i="35"/>
  <c r="AB263" i="35"/>
  <c r="AB269" i="35"/>
  <c r="AB262" i="35"/>
  <c r="AB274" i="35"/>
  <c r="AB267" i="35"/>
  <c r="AB271" i="35"/>
  <c r="AB265" i="35"/>
  <c r="AV479" i="2"/>
  <c r="AZ479" i="2"/>
  <c r="AB466" i="35"/>
  <c r="AH563" i="2"/>
  <c r="M466" i="35" s="1"/>
  <c r="AB156" i="35"/>
  <c r="AB183" i="35" s="1"/>
  <c r="AD503" i="2"/>
  <c r="C325" i="17" s="1"/>
  <c r="AD481" i="2"/>
  <c r="AD531" i="2"/>
  <c r="BF479" i="2"/>
  <c r="AB154" i="35"/>
  <c r="AB181" i="35" s="1"/>
  <c r="AB481" i="2"/>
  <c r="AB503" i="2"/>
  <c r="C323" i="17" s="1"/>
  <c r="AB531" i="2"/>
  <c r="AB464" i="35"/>
  <c r="AF563" i="2"/>
  <c r="M464" i="35" s="1"/>
  <c r="BH479" i="2"/>
  <c r="AB149" i="35"/>
  <c r="AB176" i="35" s="1"/>
  <c r="W531" i="2"/>
  <c r="W481" i="2"/>
  <c r="W503" i="2"/>
  <c r="C318" i="17" s="1"/>
  <c r="AB473" i="35"/>
  <c r="AO563" i="2"/>
  <c r="M473" i="35" s="1"/>
  <c r="BG479" i="2"/>
  <c r="AB462" i="35"/>
  <c r="AD563" i="2"/>
  <c r="M462" i="35" s="1"/>
  <c r="BA479" i="2"/>
  <c r="AB475" i="35"/>
  <c r="AQ563" i="2"/>
  <c r="M475" i="35" s="1"/>
  <c r="AB152" i="35"/>
  <c r="AB179" i="35" s="1"/>
  <c r="Z481" i="2"/>
  <c r="Z503" i="2"/>
  <c r="C321" i="17" s="1"/>
  <c r="Z531" i="2"/>
  <c r="AB150" i="35"/>
  <c r="AB177" i="35" s="1"/>
  <c r="X481" i="2"/>
  <c r="X531" i="2"/>
  <c r="X503" i="2"/>
  <c r="C319" i="17" s="1"/>
  <c r="AB168" i="35"/>
  <c r="AB195" i="35" s="1"/>
  <c r="AP531" i="2"/>
  <c r="AP503" i="2"/>
  <c r="C337" i="17" s="1"/>
  <c r="AP481" i="2"/>
  <c r="AB167" i="35"/>
  <c r="AB194" i="35" s="1"/>
  <c r="AO503" i="2"/>
  <c r="C336" i="17" s="1"/>
  <c r="AO531" i="2"/>
  <c r="AO481" i="2"/>
  <c r="AB171" i="35"/>
  <c r="AB198" i="35" s="1"/>
  <c r="AS503" i="2"/>
  <c r="C340" i="17" s="1"/>
  <c r="AS531" i="2"/>
  <c r="AS481" i="2"/>
  <c r="BC479" i="2"/>
  <c r="AB166" i="35"/>
  <c r="AB193" i="35" s="1"/>
  <c r="AN531" i="2"/>
  <c r="AN481" i="2"/>
  <c r="AN503" i="2"/>
  <c r="C335" i="17" s="1"/>
  <c r="AB169" i="35"/>
  <c r="AB196" i="35" s="1"/>
  <c r="AQ531" i="2"/>
  <c r="AQ503" i="2"/>
  <c r="C338" i="17" s="1"/>
  <c r="AQ481" i="2"/>
  <c r="AY479" i="2"/>
  <c r="AB474" i="35"/>
  <c r="AP563" i="2"/>
  <c r="M474" i="35" s="1"/>
  <c r="AB164" i="35"/>
  <c r="AB191" i="35" s="1"/>
  <c r="AL531" i="2"/>
  <c r="AL481" i="2"/>
  <c r="AL503" i="2"/>
  <c r="C333" i="17" s="1"/>
  <c r="BN479" i="2"/>
  <c r="AB477" i="35"/>
  <c r="AS563" i="2"/>
  <c r="M477" i="35" s="1"/>
  <c r="AB476" i="35"/>
  <c r="AR563" i="2"/>
  <c r="M476" i="35" s="1"/>
  <c r="AB472" i="35"/>
  <c r="AN563" i="2"/>
  <c r="M472" i="35" s="1"/>
  <c r="BP479" i="2"/>
  <c r="R503" i="2"/>
  <c r="M229" i="35" s="1"/>
  <c r="AB229" i="35"/>
  <c r="R531" i="2"/>
  <c r="AB461" i="35"/>
  <c r="AC563" i="2"/>
  <c r="M461" i="35" s="1"/>
  <c r="BO479" i="2"/>
  <c r="AB470" i="35"/>
  <c r="AL563" i="2"/>
  <c r="M470" i="35" s="1"/>
  <c r="BR479" i="2"/>
  <c r="AB170" i="35"/>
  <c r="AB197" i="35" s="1"/>
  <c r="AR531" i="2"/>
  <c r="AR503" i="2"/>
  <c r="C339" i="17" s="1"/>
  <c r="AR481" i="2"/>
  <c r="BM479" i="2"/>
  <c r="AA230" i="35"/>
  <c r="V404" i="2"/>
  <c r="L230" i="35" s="1"/>
  <c r="V530" i="2"/>
  <c r="AA274" i="35"/>
  <c r="AA270" i="35"/>
  <c r="AA268" i="35"/>
  <c r="AA261" i="35"/>
  <c r="AA272" i="35"/>
  <c r="AA262" i="35"/>
  <c r="AA266" i="35"/>
  <c r="AA275" i="35"/>
  <c r="AA271" i="35"/>
  <c r="AA269" i="35"/>
  <c r="AA276" i="35"/>
  <c r="AA264" i="35"/>
  <c r="AA273" i="35"/>
  <c r="AA267" i="35"/>
  <c r="AA265" i="35"/>
  <c r="AA263" i="35"/>
  <c r="AA476" i="35"/>
  <c r="AR562" i="2"/>
  <c r="L476" i="35" s="1"/>
  <c r="AA153" i="35"/>
  <c r="AA180" i="35" s="1"/>
  <c r="AA382" i="2"/>
  <c r="AA404" i="2"/>
  <c r="C291" i="17" s="1"/>
  <c r="AA530" i="2"/>
  <c r="AA167" i="35"/>
  <c r="AA194" i="35" s="1"/>
  <c r="AO530" i="2"/>
  <c r="AO382" i="2"/>
  <c r="AO404" i="2"/>
  <c r="C305" i="17" s="1"/>
  <c r="AA471" i="35"/>
  <c r="AM562" i="2"/>
  <c r="L471" i="35" s="1"/>
  <c r="AA470" i="35"/>
  <c r="AL562" i="2"/>
  <c r="L470" i="35" s="1"/>
  <c r="AA151" i="35"/>
  <c r="AA178" i="35" s="1"/>
  <c r="Y404" i="2"/>
  <c r="C289" i="17" s="1"/>
  <c r="Y382" i="2"/>
  <c r="Y530" i="2"/>
  <c r="AA163" i="35"/>
  <c r="AA190" i="35" s="1"/>
  <c r="AK530" i="2"/>
  <c r="AK382" i="2"/>
  <c r="AK404" i="2"/>
  <c r="C301" i="17" s="1"/>
  <c r="AA170" i="35"/>
  <c r="AA197" i="35" s="1"/>
  <c r="AR530" i="2"/>
  <c r="AR404" i="2"/>
  <c r="C308" i="17" s="1"/>
  <c r="AR382" i="2"/>
  <c r="AA474" i="35"/>
  <c r="AP562" i="2"/>
  <c r="L474" i="35" s="1"/>
  <c r="AA473" i="35"/>
  <c r="AO562" i="2"/>
  <c r="L473" i="35" s="1"/>
  <c r="BL380" i="2"/>
  <c r="AA164" i="35"/>
  <c r="AA191" i="35" s="1"/>
  <c r="AL382" i="2"/>
  <c r="AL404" i="2"/>
  <c r="C302" i="17" s="1"/>
  <c r="AL530" i="2"/>
  <c r="AA469" i="35"/>
  <c r="AK562" i="2"/>
  <c r="L469" i="35" s="1"/>
  <c r="BQ380" i="2"/>
  <c r="AV380" i="2"/>
  <c r="AA475" i="35"/>
  <c r="AQ562" i="2"/>
  <c r="L475" i="35" s="1"/>
  <c r="AZ380" i="2"/>
  <c r="AA168" i="35"/>
  <c r="AA195" i="35" s="1"/>
  <c r="AP404" i="2"/>
  <c r="C306" i="17" s="1"/>
  <c r="AP530" i="2"/>
  <c r="AP382" i="2"/>
  <c r="BN380" i="2"/>
  <c r="AA166" i="35"/>
  <c r="AA193" i="35" s="1"/>
  <c r="AN404" i="2"/>
  <c r="C304" i="17" s="1"/>
  <c r="AN382" i="2"/>
  <c r="AN530" i="2"/>
  <c r="AA463" i="35"/>
  <c r="AE562" i="2"/>
  <c r="L463" i="35" s="1"/>
  <c r="BK380" i="2"/>
  <c r="BJ380" i="2"/>
  <c r="AA162" i="35"/>
  <c r="AA189" i="35" s="1"/>
  <c r="AJ530" i="2"/>
  <c r="AJ404" i="2"/>
  <c r="C300" i="17" s="1"/>
  <c r="AJ382" i="2"/>
  <c r="AA149" i="35"/>
  <c r="AA176" i="35" s="1"/>
  <c r="W530" i="2"/>
  <c r="W404" i="2"/>
  <c r="C287" i="17" s="1"/>
  <c r="W382" i="2"/>
  <c r="AA169" i="35"/>
  <c r="AA196" i="35" s="1"/>
  <c r="AQ382" i="2"/>
  <c r="AQ530" i="2"/>
  <c r="AQ404" i="2"/>
  <c r="C307" i="17" s="1"/>
  <c r="BO380" i="2"/>
  <c r="AA159" i="35"/>
  <c r="AA186" i="35" s="1"/>
  <c r="AG382" i="2"/>
  <c r="AG530" i="2"/>
  <c r="AG404" i="2"/>
  <c r="C297" i="17" s="1"/>
  <c r="AA472" i="35"/>
  <c r="AN562" i="2"/>
  <c r="L472" i="35" s="1"/>
  <c r="AA157" i="35"/>
  <c r="AA184" i="35" s="1"/>
  <c r="AE530" i="2"/>
  <c r="AE382" i="2"/>
  <c r="AE404" i="2"/>
  <c r="C295" i="17" s="1"/>
  <c r="AA156" i="35"/>
  <c r="AA183" i="35" s="1"/>
  <c r="AD382" i="2"/>
  <c r="AD530" i="2"/>
  <c r="AD404" i="2"/>
  <c r="C294" i="17" s="1"/>
  <c r="S380" i="2"/>
  <c r="AA468" i="35"/>
  <c r="AJ562" i="2"/>
  <c r="L468" i="35" s="1"/>
  <c r="AA460" i="35"/>
  <c r="AB562" i="2"/>
  <c r="L460" i="35" s="1"/>
  <c r="BP380" i="2"/>
  <c r="AA160" i="35"/>
  <c r="AA187" i="35" s="1"/>
  <c r="AH530" i="2"/>
  <c r="AH404" i="2"/>
  <c r="C298" i="17" s="1"/>
  <c r="AH382" i="2"/>
  <c r="AA465" i="35"/>
  <c r="AG562" i="2"/>
  <c r="L465" i="35" s="1"/>
  <c r="BM380" i="2"/>
  <c r="BD380" i="2"/>
  <c r="AA462" i="35"/>
  <c r="AD562" i="2"/>
  <c r="L462" i="35" s="1"/>
  <c r="R404" i="2"/>
  <c r="L229" i="35" s="1"/>
  <c r="AA229" i="35"/>
  <c r="R530" i="2"/>
  <c r="BI380" i="2"/>
  <c r="BA380" i="2"/>
  <c r="AA467" i="35"/>
  <c r="AI562" i="2"/>
  <c r="L467" i="35" s="1"/>
  <c r="AA152" i="35"/>
  <c r="AA179" i="35" s="1"/>
  <c r="Z530" i="2"/>
  <c r="Z404" i="2"/>
  <c r="C290" i="17" s="1"/>
  <c r="Z382" i="2"/>
  <c r="AA466" i="35"/>
  <c r="AH562" i="2"/>
  <c r="L466" i="35" s="1"/>
  <c r="BF380" i="2"/>
  <c r="AA158" i="35"/>
  <c r="AA185" i="35" s="1"/>
  <c r="AF382" i="2"/>
  <c r="AF404" i="2"/>
  <c r="C296" i="17" s="1"/>
  <c r="AF530" i="2"/>
  <c r="BC380" i="2"/>
  <c r="AA155" i="35"/>
  <c r="AA182" i="35" s="1"/>
  <c r="AC404" i="2"/>
  <c r="C293" i="17" s="1"/>
  <c r="AC382" i="2"/>
  <c r="AC530" i="2"/>
  <c r="AA171" i="35"/>
  <c r="AA198" i="35" s="1"/>
  <c r="AS382" i="2"/>
  <c r="AS404" i="2"/>
  <c r="C309" i="17" s="1"/>
  <c r="AS530" i="2"/>
  <c r="AA154" i="35"/>
  <c r="AA181" i="35" s="1"/>
  <c r="AB404" i="2"/>
  <c r="C292" i="17" s="1"/>
  <c r="AB530" i="2"/>
  <c r="AB382" i="2"/>
  <c r="AA161" i="35"/>
  <c r="AA188" i="35" s="1"/>
  <c r="AI530" i="2"/>
  <c r="AI404" i="2"/>
  <c r="C299" i="17" s="1"/>
  <c r="AI382" i="2"/>
  <c r="BG380" i="2"/>
  <c r="AA464" i="35"/>
  <c r="AF562" i="2"/>
  <c r="L464" i="35" s="1"/>
  <c r="AA150" i="35"/>
  <c r="AA177" i="35" s="1"/>
  <c r="X382" i="2"/>
  <c r="X530" i="2"/>
  <c r="X404" i="2"/>
  <c r="C288" i="17" s="1"/>
  <c r="AA461" i="35"/>
  <c r="AC562" i="2"/>
  <c r="L461" i="35" s="1"/>
  <c r="AA477" i="35"/>
  <c r="AS562" i="2"/>
  <c r="L477" i="35" s="1"/>
  <c r="BH380" i="2"/>
  <c r="BE380" i="2"/>
  <c r="AA165" i="35"/>
  <c r="AA192" i="35" s="1"/>
  <c r="AM382" i="2"/>
  <c r="AM404" i="2"/>
  <c r="C303" i="17" s="1"/>
  <c r="AM530" i="2"/>
  <c r="AZ281" i="2"/>
  <c r="Z171" i="35"/>
  <c r="Z198" i="35" s="1"/>
  <c r="AS529" i="2"/>
  <c r="AS283" i="2"/>
  <c r="AS305" i="2"/>
  <c r="C278" i="17" s="1"/>
  <c r="Z157" i="35"/>
  <c r="Z184" i="35" s="1"/>
  <c r="AE529" i="2"/>
  <c r="AE283" i="2"/>
  <c r="AE305" i="2"/>
  <c r="C264" i="17" s="1"/>
  <c r="BQ281" i="2"/>
  <c r="Z169" i="35"/>
  <c r="Z196" i="35" s="1"/>
  <c r="AQ305" i="2"/>
  <c r="C276" i="17" s="1"/>
  <c r="AQ529" i="2"/>
  <c r="AQ283" i="2"/>
  <c r="Z460" i="35"/>
  <c r="AB561" i="2"/>
  <c r="K460" i="35" s="1"/>
  <c r="BO281" i="2"/>
  <c r="Z466" i="35"/>
  <c r="AH561" i="2"/>
  <c r="K466" i="35" s="1"/>
  <c r="BN281" i="2"/>
  <c r="BM281" i="2"/>
  <c r="Z461" i="35"/>
  <c r="AC561" i="2"/>
  <c r="K461" i="35" s="1"/>
  <c r="Z477" i="35"/>
  <c r="AS561" i="2"/>
  <c r="K477" i="35" s="1"/>
  <c r="Z468" i="35"/>
  <c r="AJ561" i="2"/>
  <c r="K468" i="35" s="1"/>
  <c r="BP281" i="2"/>
  <c r="Z149" i="35"/>
  <c r="Z176" i="35" s="1"/>
  <c r="W529" i="2"/>
  <c r="W283" i="2"/>
  <c r="W305" i="2"/>
  <c r="C256" i="17" s="1"/>
  <c r="Z154" i="35"/>
  <c r="Z181" i="35" s="1"/>
  <c r="AB529" i="2"/>
  <c r="AB305" i="2"/>
  <c r="C261" i="17" s="1"/>
  <c r="AB283" i="2"/>
  <c r="Z160" i="35"/>
  <c r="Z187" i="35" s="1"/>
  <c r="AH529" i="2"/>
  <c r="AH283" i="2"/>
  <c r="AH305" i="2"/>
  <c r="C267" i="17" s="1"/>
  <c r="V305" i="2"/>
  <c r="K230" i="35" s="1"/>
  <c r="Z230" i="35"/>
  <c r="V529" i="2"/>
  <c r="Z271" i="35"/>
  <c r="Z276" i="35"/>
  <c r="Z274" i="35"/>
  <c r="Z261" i="35"/>
  <c r="Z268" i="35"/>
  <c r="Z266" i="35"/>
  <c r="Z272" i="35"/>
  <c r="Z263" i="35"/>
  <c r="Z270" i="35"/>
  <c r="Z273" i="35"/>
  <c r="Z275" i="35"/>
  <c r="Z267" i="35"/>
  <c r="Z264" i="35"/>
  <c r="Z265" i="35"/>
  <c r="Z269" i="35"/>
  <c r="Z262" i="35"/>
  <c r="Z155" i="35"/>
  <c r="Z182" i="35" s="1"/>
  <c r="AC305" i="2"/>
  <c r="C262" i="17" s="1"/>
  <c r="AC529" i="2"/>
  <c r="AC283" i="2"/>
  <c r="BR281" i="2"/>
  <c r="Z465" i="35"/>
  <c r="AG561" i="2"/>
  <c r="K465" i="35" s="1"/>
  <c r="Z162" i="35"/>
  <c r="Z189" i="35" s="1"/>
  <c r="AJ529" i="2"/>
  <c r="AJ305" i="2"/>
  <c r="C269" i="17" s="1"/>
  <c r="AJ283" i="2"/>
  <c r="Z467" i="35"/>
  <c r="AI561" i="2"/>
  <c r="K467" i="35" s="1"/>
  <c r="AV281" i="2"/>
  <c r="BA281" i="2"/>
  <c r="Z156" i="35"/>
  <c r="Z183" i="35" s="1"/>
  <c r="AD529" i="2"/>
  <c r="AD305" i="2"/>
  <c r="C263" i="17" s="1"/>
  <c r="AD283" i="2"/>
  <c r="BG281" i="2"/>
  <c r="Z471" i="35"/>
  <c r="AM561" i="2"/>
  <c r="K471" i="35" s="1"/>
  <c r="BB281" i="2"/>
  <c r="Z164" i="35"/>
  <c r="Z191" i="35" s="1"/>
  <c r="AL305" i="2"/>
  <c r="C271" i="17" s="1"/>
  <c r="AL529" i="2"/>
  <c r="AL283" i="2"/>
  <c r="Z159" i="35"/>
  <c r="Z186" i="35" s="1"/>
  <c r="AG283" i="2"/>
  <c r="AG529" i="2"/>
  <c r="AG305" i="2"/>
  <c r="C266" i="17" s="1"/>
  <c r="Z229" i="35"/>
  <c r="R305" i="2"/>
  <c r="K229" i="35" s="1"/>
  <c r="R529" i="2"/>
  <c r="Z161" i="35"/>
  <c r="Z188" i="35" s="1"/>
  <c r="AI283" i="2"/>
  <c r="AI529" i="2"/>
  <c r="AI305" i="2"/>
  <c r="C268" i="17" s="1"/>
  <c r="Z151" i="35"/>
  <c r="Z178" i="35" s="1"/>
  <c r="Y529" i="2"/>
  <c r="Y283" i="2"/>
  <c r="Y305" i="2"/>
  <c r="C258" i="17" s="1"/>
  <c r="Z462" i="35"/>
  <c r="AD561" i="2"/>
  <c r="K462" i="35" s="1"/>
  <c r="Z165" i="35"/>
  <c r="Z192" i="35" s="1"/>
  <c r="AM305" i="2"/>
  <c r="C272" i="17" s="1"/>
  <c r="AM283" i="2"/>
  <c r="AM529" i="2"/>
  <c r="Z470" i="35"/>
  <c r="AL561" i="2"/>
  <c r="K470" i="35" s="1"/>
  <c r="BF281" i="2"/>
  <c r="Z163" i="35"/>
  <c r="Z190" i="35" s="1"/>
  <c r="AK305" i="2"/>
  <c r="C270" i="17" s="1"/>
  <c r="AK529" i="2"/>
  <c r="AK283" i="2"/>
  <c r="BH281" i="2"/>
  <c r="AX281" i="2"/>
  <c r="BC281" i="2"/>
  <c r="AY281" i="2"/>
  <c r="Z469" i="35"/>
  <c r="AK561" i="2"/>
  <c r="K469" i="35" s="1"/>
  <c r="Z464" i="35"/>
  <c r="AF561" i="2"/>
  <c r="K464" i="35" s="1"/>
  <c r="Z152" i="35"/>
  <c r="Z179" i="35" s="1"/>
  <c r="Z529" i="2"/>
  <c r="Z283" i="2"/>
  <c r="Z305" i="2"/>
  <c r="C259" i="17" s="1"/>
  <c r="Z459" i="35"/>
  <c r="AA561" i="2"/>
  <c r="K459" i="35" s="1"/>
  <c r="Z476" i="35"/>
  <c r="AR561" i="2"/>
  <c r="K476" i="35" s="1"/>
  <c r="Z168" i="35"/>
  <c r="Z195" i="35" s="1"/>
  <c r="AP305" i="2"/>
  <c r="C275" i="17" s="1"/>
  <c r="AP529" i="2"/>
  <c r="AP283" i="2"/>
  <c r="Z158" i="35"/>
  <c r="Z185" i="35" s="1"/>
  <c r="AF283" i="2"/>
  <c r="AF529" i="2"/>
  <c r="AF305" i="2"/>
  <c r="C265" i="17" s="1"/>
  <c r="Z473" i="35"/>
  <c r="AO561" i="2"/>
  <c r="K473" i="35" s="1"/>
  <c r="Z472" i="35"/>
  <c r="AN561" i="2"/>
  <c r="K472" i="35" s="1"/>
  <c r="Z153" i="35"/>
  <c r="Z180" i="35" s="1"/>
  <c r="AA283" i="2"/>
  <c r="AA305" i="2"/>
  <c r="C260" i="17" s="1"/>
  <c r="AA529" i="2"/>
  <c r="Z463" i="35"/>
  <c r="AE561" i="2"/>
  <c r="K463" i="35" s="1"/>
  <c r="Z170" i="35"/>
  <c r="Z197" i="35" s="1"/>
  <c r="AR305" i="2"/>
  <c r="C277" i="17" s="1"/>
  <c r="AR529" i="2"/>
  <c r="AR283" i="2"/>
  <c r="Z475" i="35"/>
  <c r="AQ561" i="2"/>
  <c r="K475" i="35" s="1"/>
  <c r="Z474" i="35"/>
  <c r="AP561" i="2"/>
  <c r="K474" i="35" s="1"/>
  <c r="BE281" i="2"/>
  <c r="Z167" i="35"/>
  <c r="Z194" i="35" s="1"/>
  <c r="AO529" i="2"/>
  <c r="AO305" i="2"/>
  <c r="C274" i="17" s="1"/>
  <c r="AO283" i="2"/>
  <c r="Z166" i="35"/>
  <c r="Z193" i="35" s="1"/>
  <c r="AN529" i="2"/>
  <c r="AN283" i="2"/>
  <c r="AN305" i="2"/>
  <c r="C273" i="17" s="1"/>
  <c r="BR182" i="2"/>
  <c r="BL182" i="2"/>
  <c r="Y168" i="35"/>
  <c r="Y195" i="35" s="1"/>
  <c r="AP528" i="2"/>
  <c r="AP206" i="2"/>
  <c r="C244" i="17" s="1"/>
  <c r="AP184" i="2"/>
  <c r="Y164" i="35"/>
  <c r="Y191" i="35" s="1"/>
  <c r="AL528" i="2"/>
  <c r="AL184" i="2"/>
  <c r="AL206" i="2"/>
  <c r="C240" i="17" s="1"/>
  <c r="BG182" i="2"/>
  <c r="Y473" i="35"/>
  <c r="AO560" i="2"/>
  <c r="J473" i="35" s="1"/>
  <c r="Y165" i="35"/>
  <c r="Y192" i="35" s="1"/>
  <c r="AM528" i="2"/>
  <c r="AM184" i="2"/>
  <c r="AM206" i="2"/>
  <c r="C241" i="17" s="1"/>
  <c r="Y474" i="35"/>
  <c r="AP560" i="2"/>
  <c r="J474" i="35" s="1"/>
  <c r="Y470" i="35"/>
  <c r="AL560" i="2"/>
  <c r="J470" i="35" s="1"/>
  <c r="BA182" i="2"/>
  <c r="Y167" i="35"/>
  <c r="Y194" i="35" s="1"/>
  <c r="AO528" i="2"/>
  <c r="AO206" i="2"/>
  <c r="C243" i="17" s="1"/>
  <c r="AO184" i="2"/>
  <c r="Y150" i="35"/>
  <c r="Y177" i="35" s="1"/>
  <c r="X206" i="2"/>
  <c r="C226" i="17" s="1"/>
  <c r="X528" i="2"/>
  <c r="X184" i="2"/>
  <c r="Y465" i="35"/>
  <c r="AG560" i="2"/>
  <c r="J465" i="35" s="1"/>
  <c r="Y471" i="35"/>
  <c r="AM560" i="2"/>
  <c r="J471" i="35" s="1"/>
  <c r="BO182" i="2"/>
  <c r="Q548" i="2"/>
  <c r="BK182" i="2"/>
  <c r="BN182" i="2"/>
  <c r="Y163" i="35"/>
  <c r="Y190" i="35" s="1"/>
  <c r="AK184" i="2"/>
  <c r="AK206" i="2"/>
  <c r="C239" i="17" s="1"/>
  <c r="AK528" i="2"/>
  <c r="Y149" i="35"/>
  <c r="Y176" i="35" s="1"/>
  <c r="W528" i="2"/>
  <c r="W184" i="2"/>
  <c r="W206" i="2"/>
  <c r="C225" i="17" s="1"/>
  <c r="Y159" i="35"/>
  <c r="Y186" i="35" s="1"/>
  <c r="AG206" i="2"/>
  <c r="C235" i="17" s="1"/>
  <c r="AG184" i="2"/>
  <c r="AG528" i="2"/>
  <c r="Y152" i="35"/>
  <c r="Y179" i="35" s="1"/>
  <c r="Z206" i="2"/>
  <c r="C228" i="17" s="1"/>
  <c r="Z184" i="2"/>
  <c r="Z528" i="2"/>
  <c r="Y161" i="35"/>
  <c r="Y188" i="35" s="1"/>
  <c r="AI184" i="2"/>
  <c r="AI528" i="2"/>
  <c r="AI206" i="2"/>
  <c r="C237" i="17" s="1"/>
  <c r="BD182" i="2"/>
  <c r="AZ182" i="2"/>
  <c r="BQ182" i="2"/>
  <c r="Y158" i="35"/>
  <c r="Y185" i="35" s="1"/>
  <c r="AF206" i="2"/>
  <c r="C234" i="17" s="1"/>
  <c r="AF184" i="2"/>
  <c r="AF528" i="2"/>
  <c r="Y151" i="35"/>
  <c r="Y178" i="35" s="1"/>
  <c r="Y184" i="2"/>
  <c r="Y528" i="2"/>
  <c r="Y206" i="2"/>
  <c r="C227" i="17" s="1"/>
  <c r="Y229" i="35"/>
  <c r="R206" i="2"/>
  <c r="J229" i="35" s="1"/>
  <c r="R528" i="2"/>
  <c r="Y469" i="35"/>
  <c r="AK560" i="2"/>
  <c r="J469" i="35" s="1"/>
  <c r="AV182" i="2"/>
  <c r="BF182" i="2"/>
  <c r="AY182" i="2"/>
  <c r="Y467" i="35"/>
  <c r="AI560" i="2"/>
  <c r="J467" i="35" s="1"/>
  <c r="Y463" i="35"/>
  <c r="AE560" i="2"/>
  <c r="J463" i="35" s="1"/>
  <c r="Y459" i="35"/>
  <c r="AA560" i="2"/>
  <c r="J459" i="35" s="1"/>
  <c r="Y476" i="35"/>
  <c r="AR560" i="2"/>
  <c r="J476" i="35" s="1"/>
  <c r="Y464" i="35"/>
  <c r="AF560" i="2"/>
  <c r="J464" i="35" s="1"/>
  <c r="BJ182" i="2"/>
  <c r="Y475" i="35"/>
  <c r="AQ560" i="2"/>
  <c r="J475" i="35" s="1"/>
  <c r="Y155" i="35"/>
  <c r="Y182" i="35" s="1"/>
  <c r="AC206" i="2"/>
  <c r="C231" i="17" s="1"/>
  <c r="AC184" i="2"/>
  <c r="AC528" i="2"/>
  <c r="Y166" i="35"/>
  <c r="Y193" i="35" s="1"/>
  <c r="AN184" i="2"/>
  <c r="AN206" i="2"/>
  <c r="C242" i="17" s="1"/>
  <c r="AN528" i="2"/>
  <c r="BH182" i="2"/>
  <c r="Y468" i="35"/>
  <c r="AJ560" i="2"/>
  <c r="J468" i="35" s="1"/>
  <c r="Y157" i="35"/>
  <c r="Y184" i="35" s="1"/>
  <c r="AE184" i="2"/>
  <c r="AE528" i="2"/>
  <c r="AE206" i="2"/>
  <c r="C233" i="17" s="1"/>
  <c r="Y153" i="35"/>
  <c r="Y180" i="35" s="1"/>
  <c r="AA184" i="2"/>
  <c r="AA528" i="2"/>
  <c r="AA206" i="2"/>
  <c r="C229" i="17" s="1"/>
  <c r="Y170" i="35"/>
  <c r="Y197" i="35" s="1"/>
  <c r="AR206" i="2"/>
  <c r="C246" i="17" s="1"/>
  <c r="AR528" i="2"/>
  <c r="AR184" i="2"/>
  <c r="BE182" i="2"/>
  <c r="Y462" i="35"/>
  <c r="AD560" i="2"/>
  <c r="J462" i="35" s="1"/>
  <c r="Y477" i="35"/>
  <c r="AS560" i="2"/>
  <c r="J477" i="35" s="1"/>
  <c r="BP182" i="2"/>
  <c r="Y461" i="35"/>
  <c r="AC560" i="2"/>
  <c r="J461" i="35" s="1"/>
  <c r="Y472" i="35"/>
  <c r="AN560" i="2"/>
  <c r="J472" i="35" s="1"/>
  <c r="Y162" i="35"/>
  <c r="Y189" i="35" s="1"/>
  <c r="AJ528" i="2"/>
  <c r="AJ206" i="2"/>
  <c r="C238" i="17" s="1"/>
  <c r="AJ184" i="2"/>
  <c r="Y466" i="35"/>
  <c r="AH560" i="2"/>
  <c r="J466" i="35" s="1"/>
  <c r="Y460" i="35"/>
  <c r="AB560" i="2"/>
  <c r="J460" i="35" s="1"/>
  <c r="Y156" i="35"/>
  <c r="Y183" i="35" s="1"/>
  <c r="AD184" i="2"/>
  <c r="AD528" i="2"/>
  <c r="AD206" i="2"/>
  <c r="C232" i="17" s="1"/>
  <c r="Y171" i="35"/>
  <c r="Y198" i="35" s="1"/>
  <c r="AS184" i="2"/>
  <c r="AS206" i="2"/>
  <c r="C247" i="17" s="1"/>
  <c r="AS528" i="2"/>
  <c r="Y169" i="35"/>
  <c r="Y196" i="35" s="1"/>
  <c r="AQ184" i="2"/>
  <c r="AQ528" i="2"/>
  <c r="AQ206" i="2"/>
  <c r="C245" i="17" s="1"/>
  <c r="BB182" i="2"/>
  <c r="BM182" i="2"/>
  <c r="BI182" i="2"/>
  <c r="Y160" i="35"/>
  <c r="Y187" i="35" s="1"/>
  <c r="AH206" i="2"/>
  <c r="C236" i="17" s="1"/>
  <c r="AH184" i="2"/>
  <c r="AH528" i="2"/>
  <c r="X473" i="35"/>
  <c r="AO566" i="2"/>
  <c r="AO559" i="2"/>
  <c r="I473" i="35" s="1"/>
  <c r="X460" i="35"/>
  <c r="AB566" i="2"/>
  <c r="AB559" i="2"/>
  <c r="I460" i="35" s="1"/>
  <c r="X474" i="35"/>
  <c r="AP566" i="2"/>
  <c r="AP559" i="2"/>
  <c r="I474" i="35" s="1"/>
  <c r="X164" i="35"/>
  <c r="X191" i="35" s="1"/>
  <c r="AL527" i="2"/>
  <c r="AL107" i="2"/>
  <c r="AL85" i="2"/>
  <c r="AG527" i="2"/>
  <c r="X159" i="35"/>
  <c r="X186" i="35" s="1"/>
  <c r="AG85" i="2"/>
  <c r="AG107" i="2"/>
  <c r="C204" i="17" s="1"/>
  <c r="X461" i="35"/>
  <c r="AC566" i="2"/>
  <c r="AC559" i="2"/>
  <c r="I461" i="35" s="1"/>
  <c r="X158" i="35"/>
  <c r="X185" i="35" s="1"/>
  <c r="AF527" i="2"/>
  <c r="AF107" i="2"/>
  <c r="C203" i="17" s="1"/>
  <c r="AF85" i="2"/>
  <c r="Q532" i="2"/>
  <c r="Q547" i="2"/>
  <c r="BA83" i="2"/>
  <c r="X168" i="35"/>
  <c r="X195" i="35" s="1"/>
  <c r="AP527" i="2"/>
  <c r="AP107" i="2"/>
  <c r="AP85" i="2"/>
  <c r="X472" i="35"/>
  <c r="AN566" i="2"/>
  <c r="AN559" i="2"/>
  <c r="I472" i="35" s="1"/>
  <c r="BK83" i="2"/>
  <c r="X162" i="35"/>
  <c r="X189" i="35" s="1"/>
  <c r="AJ527" i="2"/>
  <c r="AJ107" i="2"/>
  <c r="AJ85" i="2"/>
  <c r="X155" i="35"/>
  <c r="X182" i="35" s="1"/>
  <c r="AC107" i="2"/>
  <c r="C200" i="17" s="1"/>
  <c r="AC85" i="2"/>
  <c r="AC527" i="2"/>
  <c r="BE83" i="2"/>
  <c r="AO527" i="2"/>
  <c r="X167" i="35"/>
  <c r="X194" i="35" s="1"/>
  <c r="AO107" i="2"/>
  <c r="C212" i="17" s="1"/>
  <c r="AO85" i="2"/>
  <c r="X471" i="35"/>
  <c r="AM559" i="2"/>
  <c r="I471" i="35" s="1"/>
  <c r="AM566" i="2"/>
  <c r="X468" i="35"/>
  <c r="AJ559" i="2"/>
  <c r="I468" i="35" s="1"/>
  <c r="AJ566" i="2"/>
  <c r="X466" i="35"/>
  <c r="AH566" i="2"/>
  <c r="AH559" i="2"/>
  <c r="I466" i="35" s="1"/>
  <c r="X475" i="35"/>
  <c r="AQ559" i="2"/>
  <c r="I475" i="35" s="1"/>
  <c r="AQ566" i="2"/>
  <c r="X151" i="35"/>
  <c r="X178" i="35" s="1"/>
  <c r="Y85" i="2"/>
  <c r="Y527" i="2"/>
  <c r="Y107" i="2"/>
  <c r="C196" i="17" s="1"/>
  <c r="BL83" i="2"/>
  <c r="X152" i="35"/>
  <c r="X179" i="35" s="1"/>
  <c r="Z85" i="2"/>
  <c r="Z527" i="2"/>
  <c r="Z107" i="2"/>
  <c r="C197" i="17" s="1"/>
  <c r="X166" i="35"/>
  <c r="X193" i="35" s="1"/>
  <c r="AN527" i="2"/>
  <c r="AN107" i="2"/>
  <c r="C211" i="17" s="1"/>
  <c r="AN85" i="2"/>
  <c r="X160" i="35"/>
  <c r="X187" i="35" s="1"/>
  <c r="AH107" i="2"/>
  <c r="AH527" i="2"/>
  <c r="AH85" i="2"/>
  <c r="BP83" i="2"/>
  <c r="X477" i="35"/>
  <c r="AS566" i="2"/>
  <c r="AS559" i="2"/>
  <c r="I477" i="35" s="1"/>
  <c r="AM527" i="2"/>
  <c r="X165" i="35"/>
  <c r="X192" i="35" s="1"/>
  <c r="AM107" i="2"/>
  <c r="C210" i="17" s="1"/>
  <c r="AM85" i="2"/>
  <c r="AY83" i="2"/>
  <c r="X150" i="35"/>
  <c r="X177" i="35" s="1"/>
  <c r="X527" i="2"/>
  <c r="X107" i="2"/>
  <c r="C195" i="17" s="1"/>
  <c r="X85" i="2"/>
  <c r="BG83" i="2"/>
  <c r="X169" i="35"/>
  <c r="X196" i="35" s="1"/>
  <c r="AQ527" i="2"/>
  <c r="AQ85" i="2"/>
  <c r="AQ107" i="2"/>
  <c r="C214" i="17" s="1"/>
  <c r="X156" i="35"/>
  <c r="X183" i="35" s="1"/>
  <c r="AD85" i="2"/>
  <c r="AD107" i="2"/>
  <c r="AD527" i="2"/>
  <c r="X171" i="35"/>
  <c r="X198" i="35" s="1"/>
  <c r="AS85" i="2"/>
  <c r="AS107" i="2"/>
  <c r="C216" i="17" s="1"/>
  <c r="AS527" i="2"/>
  <c r="W527" i="2"/>
  <c r="X149" i="35"/>
  <c r="W107" i="2"/>
  <c r="C194" i="17" s="1"/>
  <c r="W85" i="2"/>
  <c r="X469" i="35"/>
  <c r="AK559" i="2"/>
  <c r="I469" i="35" s="1"/>
  <c r="AK566" i="2"/>
  <c r="AW83" i="2"/>
  <c r="X229" i="35"/>
  <c r="R107" i="2"/>
  <c r="I229" i="35" s="1"/>
  <c r="R527" i="2"/>
  <c r="S527" i="2" s="1"/>
  <c r="X170" i="35"/>
  <c r="X197" i="35" s="1"/>
  <c r="AR527" i="2"/>
  <c r="AR107" i="2"/>
  <c r="C215" i="17" s="1"/>
  <c r="AR85" i="2"/>
  <c r="X153" i="35"/>
  <c r="X180" i="35" s="1"/>
  <c r="AA527" i="2"/>
  <c r="AA85" i="2"/>
  <c r="AA107" i="2"/>
  <c r="C198" i="17" s="1"/>
  <c r="X462" i="35"/>
  <c r="AD566" i="2"/>
  <c r="AD559" i="2"/>
  <c r="I462" i="35" s="1"/>
  <c r="BR83" i="2"/>
  <c r="BJ83" i="2"/>
  <c r="X467" i="35"/>
  <c r="AI559" i="2"/>
  <c r="I467" i="35" s="1"/>
  <c r="AI566" i="2"/>
  <c r="X465" i="35"/>
  <c r="AG566" i="2"/>
  <c r="AG559" i="2"/>
  <c r="I465" i="35" s="1"/>
  <c r="X157" i="35"/>
  <c r="X184" i="35" s="1"/>
  <c r="AE527" i="2"/>
  <c r="AE85" i="2"/>
  <c r="AE107" i="2"/>
  <c r="C202" i="17" s="1"/>
  <c r="X476" i="35"/>
  <c r="AR559" i="2"/>
  <c r="I476" i="35" s="1"/>
  <c r="AR566" i="2"/>
  <c r="X459" i="35"/>
  <c r="AA559" i="2"/>
  <c r="I459" i="35" s="1"/>
  <c r="AA566" i="2"/>
  <c r="BC83" i="2"/>
  <c r="X154" i="35"/>
  <c r="X181" i="35" s="1"/>
  <c r="AB107" i="2"/>
  <c r="AB527" i="2"/>
  <c r="AB85" i="2"/>
  <c r="AK527" i="2"/>
  <c r="X163" i="35"/>
  <c r="X190" i="35" s="1"/>
  <c r="AK107" i="2"/>
  <c r="C208" i="17" s="1"/>
  <c r="AK85" i="2"/>
  <c r="X161" i="35"/>
  <c r="X188" i="35" s="1"/>
  <c r="AI527" i="2"/>
  <c r="AI107" i="2"/>
  <c r="C206" i="17" s="1"/>
  <c r="AI85" i="2"/>
  <c r="X470" i="35"/>
  <c r="AL566" i="2"/>
  <c r="AL559" i="2"/>
  <c r="I470" i="35" s="1"/>
  <c r="BF83" i="2"/>
  <c r="X463" i="35"/>
  <c r="AE566" i="2"/>
  <c r="AE559" i="2"/>
  <c r="I463" i="35" s="1"/>
  <c r="BQ83" i="2"/>
  <c r="X464" i="35"/>
  <c r="AF559" i="2"/>
  <c r="I464" i="35" s="1"/>
  <c r="AF566" i="2"/>
  <c r="AZ83" i="2"/>
  <c r="K122" i="35"/>
  <c r="AG224" i="36"/>
  <c r="AG197" i="36"/>
  <c r="AG221" i="36"/>
  <c r="AF176" i="36"/>
  <c r="AC183" i="36"/>
  <c r="AC189" i="36"/>
  <c r="AD222" i="36"/>
  <c r="AE178" i="36"/>
  <c r="AD225" i="36"/>
  <c r="AG217" i="36"/>
  <c r="AG190" i="36"/>
  <c r="AD216" i="36"/>
  <c r="AG208" i="36"/>
  <c r="AG181" i="36"/>
  <c r="AD223" i="36"/>
  <c r="AG215" i="36"/>
  <c r="AG188" i="36"/>
  <c r="AE195" i="36"/>
  <c r="AD206" i="36"/>
  <c r="AD179" i="36"/>
  <c r="AD213" i="36"/>
  <c r="AD186" i="36"/>
  <c r="AE184" i="36"/>
  <c r="AD220" i="36"/>
  <c r="AG203" i="36"/>
  <c r="AG176" i="36"/>
  <c r="AE189" i="36"/>
  <c r="AD207" i="36"/>
  <c r="AG220" i="36"/>
  <c r="AG193" i="36"/>
  <c r="AD205" i="36"/>
  <c r="AD178" i="36"/>
  <c r="AD218" i="36"/>
  <c r="AD191" i="36"/>
  <c r="AG210" i="36"/>
  <c r="AG183" i="36"/>
  <c r="AD208" i="36"/>
  <c r="AC184" i="36"/>
  <c r="AD211" i="36"/>
  <c r="AD184" i="36"/>
  <c r="AC209" i="36"/>
  <c r="AC197" i="36"/>
  <c r="AG222" i="36"/>
  <c r="AG195" i="36"/>
  <c r="AC178" i="36"/>
  <c r="AD219" i="36"/>
  <c r="AG211" i="36"/>
  <c r="AG184" i="36"/>
  <c r="AG214" i="36"/>
  <c r="AG187" i="36"/>
  <c r="AG204" i="36"/>
  <c r="AG177" i="36"/>
  <c r="AG225" i="36"/>
  <c r="AG198" i="36"/>
  <c r="AD209" i="36"/>
  <c r="AD224" i="36"/>
  <c r="AG216" i="36"/>
  <c r="AG189" i="36"/>
  <c r="AG223" i="36"/>
  <c r="AF179" i="36"/>
  <c r="AD221" i="36"/>
  <c r="AG213" i="36"/>
  <c r="AG186" i="36"/>
  <c r="AD212" i="36"/>
  <c r="AG205" i="36"/>
  <c r="AG178" i="36"/>
  <c r="AD214" i="36"/>
  <c r="AD187" i="36"/>
  <c r="AG206" i="36"/>
  <c r="AG179" i="36"/>
  <c r="AE194" i="36"/>
  <c r="AD204" i="36"/>
  <c r="AD177" i="36"/>
  <c r="AG218" i="36"/>
  <c r="AG191" i="36"/>
  <c r="AD203" i="36"/>
  <c r="AG212" i="36"/>
  <c r="AG185" i="36"/>
  <c r="AD210" i="36"/>
  <c r="AD217" i="36"/>
  <c r="AG209" i="36"/>
  <c r="AG182" i="36"/>
  <c r="AD215" i="36"/>
  <c r="AG207" i="36"/>
  <c r="AG180" i="36"/>
  <c r="AG219" i="36"/>
  <c r="AG192" i="36"/>
  <c r="AE177" i="36"/>
  <c r="I122" i="35"/>
  <c r="J122" i="35"/>
  <c r="L122" i="35"/>
  <c r="T197" i="35"/>
  <c r="AH137" i="35"/>
  <c r="AH142" i="35"/>
  <c r="AH124" i="35"/>
  <c r="T185" i="35"/>
  <c r="V192" i="35"/>
  <c r="J137" i="35"/>
  <c r="M137" i="35"/>
  <c r="L137" i="35"/>
  <c r="K137" i="35"/>
  <c r="J134" i="35"/>
  <c r="I134" i="35"/>
  <c r="M134" i="35"/>
  <c r="L134" i="35"/>
  <c r="K134" i="35"/>
  <c r="J123" i="35"/>
  <c r="I123" i="35"/>
  <c r="M123" i="35"/>
  <c r="L123" i="35"/>
  <c r="K123" i="35"/>
  <c r="AG123" i="35"/>
  <c r="AF123" i="35"/>
  <c r="AE123" i="35"/>
  <c r="AD123" i="35"/>
  <c r="AC123" i="35"/>
  <c r="AG128" i="35"/>
  <c r="AF128" i="35"/>
  <c r="AE128" i="35"/>
  <c r="AD128" i="35"/>
  <c r="AC128" i="35"/>
  <c r="AC181" i="35" s="1"/>
  <c r="AG136" i="35"/>
  <c r="AF136" i="35"/>
  <c r="AE136" i="35"/>
  <c r="AD136" i="35"/>
  <c r="AC136" i="35"/>
  <c r="AG144" i="35"/>
  <c r="AD144" i="35"/>
  <c r="AC144" i="35"/>
  <c r="AF144" i="35"/>
  <c r="AE144" i="35"/>
  <c r="AG132" i="35"/>
  <c r="AF132" i="35"/>
  <c r="AE132" i="35"/>
  <c r="AD132" i="35"/>
  <c r="AC132" i="35"/>
  <c r="AG127" i="35"/>
  <c r="AF127" i="35"/>
  <c r="AE127" i="35"/>
  <c r="AD127" i="35"/>
  <c r="AC127" i="35"/>
  <c r="AG137" i="35"/>
  <c r="AF137" i="35"/>
  <c r="AE137" i="35"/>
  <c r="AD137" i="35"/>
  <c r="AC137" i="35"/>
  <c r="AG145" i="35"/>
  <c r="AD145" i="35"/>
  <c r="AC145" i="35"/>
  <c r="AF145" i="35"/>
  <c r="AE145" i="35"/>
  <c r="AH128" i="35"/>
  <c r="AH123" i="35"/>
  <c r="AG133" i="35"/>
  <c r="AF133" i="35"/>
  <c r="AE133" i="35"/>
  <c r="AD133" i="35"/>
  <c r="AC133" i="35"/>
  <c r="AG138" i="35"/>
  <c r="AF138" i="35"/>
  <c r="AE138" i="35"/>
  <c r="AD138" i="35"/>
  <c r="AC138" i="35"/>
  <c r="J124" i="35"/>
  <c r="I124" i="35"/>
  <c r="M124" i="35"/>
  <c r="L124" i="35"/>
  <c r="K124" i="35"/>
  <c r="M142" i="35"/>
  <c r="J142" i="35"/>
  <c r="I142" i="35"/>
  <c r="L142" i="35"/>
  <c r="K142" i="35"/>
  <c r="AG131" i="35"/>
  <c r="AF131" i="35"/>
  <c r="AE131" i="35"/>
  <c r="AD131" i="35"/>
  <c r="AC131" i="35"/>
  <c r="AG139" i="35"/>
  <c r="AF139" i="35"/>
  <c r="AE139" i="35"/>
  <c r="AD139" i="35"/>
  <c r="AC139" i="35"/>
  <c r="J130" i="35"/>
  <c r="AG124" i="35"/>
  <c r="AF124" i="35"/>
  <c r="AE124" i="35"/>
  <c r="AD124" i="35"/>
  <c r="AC124" i="35"/>
  <c r="AG126" i="35"/>
  <c r="AF126" i="35"/>
  <c r="AE126" i="35"/>
  <c r="AD126" i="35"/>
  <c r="AC126" i="35"/>
  <c r="AG140" i="35"/>
  <c r="AF140" i="35"/>
  <c r="AE140" i="35"/>
  <c r="AD140" i="35"/>
  <c r="AC140" i="35"/>
  <c r="AH134" i="35"/>
  <c r="AH136" i="35"/>
  <c r="AG130" i="35"/>
  <c r="AF130" i="35"/>
  <c r="AE130" i="35"/>
  <c r="AD130" i="35"/>
  <c r="AC130" i="35"/>
  <c r="AG141" i="35"/>
  <c r="AD141" i="35"/>
  <c r="AC141" i="35"/>
  <c r="AF141" i="35"/>
  <c r="AE141" i="35"/>
  <c r="AH145" i="35"/>
  <c r="AG129" i="35"/>
  <c r="AF129" i="35"/>
  <c r="AE129" i="35"/>
  <c r="AD129" i="35"/>
  <c r="AC129" i="35"/>
  <c r="AG134" i="35"/>
  <c r="AF134" i="35"/>
  <c r="AE134" i="35"/>
  <c r="AD134" i="35"/>
  <c r="AC134" i="35"/>
  <c r="AG142" i="35"/>
  <c r="AD142" i="35"/>
  <c r="AC142" i="35"/>
  <c r="AF142" i="35"/>
  <c r="AE142" i="35"/>
  <c r="AH139" i="35"/>
  <c r="AH138" i="35"/>
  <c r="AG125" i="35"/>
  <c r="AF125" i="35"/>
  <c r="AE125" i="35"/>
  <c r="AD125" i="35"/>
  <c r="AC125" i="35"/>
  <c r="AG135" i="35"/>
  <c r="AF135" i="35"/>
  <c r="AE135" i="35"/>
  <c r="AD135" i="35"/>
  <c r="AC135" i="35"/>
  <c r="AG143" i="35"/>
  <c r="AD143" i="35"/>
  <c r="AC143" i="35"/>
  <c r="AF143" i="35"/>
  <c r="AE143" i="35"/>
  <c r="AH140" i="35"/>
  <c r="AT249" i="5" l="1"/>
  <c r="N206" i="36"/>
  <c r="BF34" i="5"/>
  <c r="AG36" i="5" s="1"/>
  <c r="Z35" i="5"/>
  <c r="E273" i="36"/>
  <c r="E251" i="36"/>
  <c r="E269" i="36"/>
  <c r="E266" i="36"/>
  <c r="E275" i="36"/>
  <c r="AB35" i="5"/>
  <c r="AC35" i="5"/>
  <c r="AS35" i="5"/>
  <c r="AD35" i="5"/>
  <c r="AF35" i="5"/>
  <c r="AK512" i="5"/>
  <c r="BR34" i="5"/>
  <c r="AS36" i="5" s="1"/>
  <c r="BC34" i="5"/>
  <c r="AD36" i="5" s="1"/>
  <c r="BQ34" i="5"/>
  <c r="AR36" i="5" s="1"/>
  <c r="M410" i="36"/>
  <c r="L341" i="35"/>
  <c r="G341" i="35"/>
  <c r="N218" i="36"/>
  <c r="BK34" i="5"/>
  <c r="AL36" i="5" s="1"/>
  <c r="C207" i="17"/>
  <c r="C213" i="17"/>
  <c r="N224" i="36"/>
  <c r="C209" i="17"/>
  <c r="AI35" i="5"/>
  <c r="AI513" i="5" s="1"/>
  <c r="C205" i="17"/>
  <c r="BH34" i="5"/>
  <c r="AI36" i="5" s="1"/>
  <c r="C199" i="17"/>
  <c r="C201" i="17"/>
  <c r="T427" i="36"/>
  <c r="D466" i="36"/>
  <c r="AT249" i="2"/>
  <c r="D464" i="36"/>
  <c r="D467" i="36"/>
  <c r="D472" i="36"/>
  <c r="L376" i="36"/>
  <c r="M376" i="36"/>
  <c r="D465" i="36"/>
  <c r="L374" i="36"/>
  <c r="P373" i="36"/>
  <c r="N375" i="36"/>
  <c r="D470" i="36"/>
  <c r="G374" i="36"/>
  <c r="D474" i="36"/>
  <c r="F376" i="36"/>
  <c r="S373" i="36"/>
  <c r="E272" i="35"/>
  <c r="E274" i="35"/>
  <c r="E273" i="35"/>
  <c r="E276" i="35"/>
  <c r="E275" i="35"/>
  <c r="E270" i="35"/>
  <c r="E269" i="35"/>
  <c r="E264" i="35"/>
  <c r="E263" i="35"/>
  <c r="E271" i="35"/>
  <c r="E266" i="35"/>
  <c r="E265" i="35"/>
  <c r="E268" i="35"/>
  <c r="E267" i="35"/>
  <c r="E262" i="35"/>
  <c r="E261" i="35"/>
  <c r="D238" i="35"/>
  <c r="I130" i="35"/>
  <c r="AU522" i="2"/>
  <c r="D355" i="35"/>
  <c r="AU522" i="5"/>
  <c r="AT32" i="2"/>
  <c r="AT507" i="2" s="1"/>
  <c r="AG294" i="10"/>
  <c r="AH294" i="10" s="1"/>
  <c r="AI294" i="10" s="1"/>
  <c r="AT160" i="5"/>
  <c r="AT471" i="2"/>
  <c r="AT74" i="2"/>
  <c r="AT366" i="5"/>
  <c r="AT260" i="5"/>
  <c r="AT169" i="2"/>
  <c r="AT464" i="5"/>
  <c r="AT60" i="5"/>
  <c r="AT261" i="2"/>
  <c r="AT266" i="5"/>
  <c r="AT64" i="2"/>
  <c r="AT365" i="2"/>
  <c r="AT60" i="2"/>
  <c r="AT458" i="2"/>
  <c r="AT71" i="5"/>
  <c r="AG86" i="10"/>
  <c r="AH86" i="10" s="1"/>
  <c r="AI86" i="10" s="1"/>
  <c r="AT462" i="5"/>
  <c r="AT466" i="2"/>
  <c r="AT61" i="2"/>
  <c r="AG273" i="10"/>
  <c r="AH273" i="10" s="1"/>
  <c r="AT70" i="5"/>
  <c r="AT73" i="2"/>
  <c r="AT371" i="5"/>
  <c r="AT265" i="5"/>
  <c r="AT470" i="2"/>
  <c r="AU552" i="5"/>
  <c r="AT169" i="5"/>
  <c r="AT40" i="2"/>
  <c r="AT51" i="2" s="1"/>
  <c r="AG179" i="10"/>
  <c r="AH179" i="10" s="1"/>
  <c r="AI179" i="10" s="1"/>
  <c r="AT139" i="5"/>
  <c r="AT150" i="5" s="1"/>
  <c r="AT67" i="5"/>
  <c r="AT438" i="5"/>
  <c r="AT364" i="5"/>
  <c r="AT363" i="2"/>
  <c r="AT272" i="5"/>
  <c r="AT356" i="2"/>
  <c r="AT62" i="5"/>
  <c r="AT156" i="2"/>
  <c r="AT167" i="2"/>
  <c r="AG155" i="10"/>
  <c r="AH155" i="10" s="1"/>
  <c r="AT457" i="5"/>
  <c r="AT355" i="5"/>
  <c r="AT64" i="5"/>
  <c r="AT40" i="5"/>
  <c r="AT51" i="5" s="1"/>
  <c r="AT360" i="2"/>
  <c r="AT271" i="5"/>
  <c r="AT65" i="2"/>
  <c r="AT157" i="2"/>
  <c r="AT436" i="5"/>
  <c r="AT464" i="2"/>
  <c r="AT263" i="2"/>
  <c r="AT337" i="2"/>
  <c r="AU512" i="2"/>
  <c r="AU547" i="2"/>
  <c r="AU552" i="2" s="1"/>
  <c r="AT361" i="2"/>
  <c r="AT469" i="5"/>
  <c r="AG291" i="10"/>
  <c r="AH291" i="10" s="1"/>
  <c r="AI291" i="10" s="1"/>
  <c r="AT457" i="2"/>
  <c r="AT63" i="2"/>
  <c r="AT140" i="2"/>
  <c r="AT150" i="2" s="1"/>
  <c r="AT368" i="2"/>
  <c r="AT336" i="5"/>
  <c r="AT348" i="5" s="1"/>
  <c r="AT435" i="2"/>
  <c r="AT447" i="2" s="1"/>
  <c r="AT519" i="5"/>
  <c r="AT374" i="5"/>
  <c r="AT74" i="5"/>
  <c r="AT77" i="2"/>
  <c r="AT474" i="2"/>
  <c r="AT275" i="5"/>
  <c r="AT371" i="2"/>
  <c r="AT267" i="2"/>
  <c r="AT473" i="5"/>
  <c r="AT170" i="5"/>
  <c r="AT175" i="2"/>
  <c r="AT260" i="2"/>
  <c r="AT256" i="5"/>
  <c r="AT519" i="2"/>
  <c r="AT507" i="5"/>
  <c r="AT270" i="5"/>
  <c r="AT338" i="2"/>
  <c r="AT439" i="5"/>
  <c r="AT367" i="5"/>
  <c r="I317" i="36"/>
  <c r="H317" i="36"/>
  <c r="D317" i="36" s="1"/>
  <c r="AW34" i="5"/>
  <c r="X36" i="5" s="1"/>
  <c r="I316" i="36"/>
  <c r="H316" i="36"/>
  <c r="D316" i="36" s="1"/>
  <c r="H319" i="36"/>
  <c r="D319" i="36" s="1"/>
  <c r="I319" i="36"/>
  <c r="N410" i="36"/>
  <c r="P410" i="36"/>
  <c r="P423" i="36"/>
  <c r="D468" i="36"/>
  <c r="D476" i="36"/>
  <c r="J375" i="36"/>
  <c r="J374" i="36"/>
  <c r="M374" i="36"/>
  <c r="S376" i="36"/>
  <c r="H375" i="36"/>
  <c r="K374" i="36"/>
  <c r="H318" i="36"/>
  <c r="D318" i="36" s="1"/>
  <c r="I318" i="36"/>
  <c r="N204" i="36"/>
  <c r="I306" i="36"/>
  <c r="H306" i="36"/>
  <c r="D306" i="36" s="1"/>
  <c r="H315" i="36"/>
  <c r="I315" i="36"/>
  <c r="I373" i="36"/>
  <c r="G410" i="36"/>
  <c r="G423" i="36"/>
  <c r="D475" i="36"/>
  <c r="G373" i="36"/>
  <c r="L410" i="36"/>
  <c r="L423" i="36"/>
  <c r="N373" i="36"/>
  <c r="I376" i="36"/>
  <c r="R374" i="36"/>
  <c r="K375" i="36"/>
  <c r="S374" i="36"/>
  <c r="P374" i="36"/>
  <c r="O375" i="36"/>
  <c r="O423" i="36"/>
  <c r="O410" i="36"/>
  <c r="R410" i="36"/>
  <c r="R423" i="36"/>
  <c r="AH35" i="5"/>
  <c r="BG34" i="5"/>
  <c r="AH36" i="5" s="1"/>
  <c r="O373" i="36"/>
  <c r="H308" i="36"/>
  <c r="I308" i="36"/>
  <c r="T426" i="36"/>
  <c r="D460" i="36"/>
  <c r="R373" i="36"/>
  <c r="F375" i="36"/>
  <c r="E375" i="36"/>
  <c r="D374" i="36"/>
  <c r="L375" i="36"/>
  <c r="I374" i="36"/>
  <c r="N376" i="36"/>
  <c r="E376" i="36"/>
  <c r="K410" i="36"/>
  <c r="K423" i="36"/>
  <c r="D471" i="36"/>
  <c r="X551" i="5"/>
  <c r="M150" i="36" s="1"/>
  <c r="M177" i="36" s="1"/>
  <c r="T425" i="36"/>
  <c r="M373" i="36"/>
  <c r="F373" i="36"/>
  <c r="O376" i="36"/>
  <c r="R375" i="36"/>
  <c r="E374" i="36"/>
  <c r="D373" i="36"/>
  <c r="M375" i="36"/>
  <c r="O374" i="36"/>
  <c r="AV34" i="5"/>
  <c r="W36" i="5" s="1"/>
  <c r="K373" i="36"/>
  <c r="F410" i="36"/>
  <c r="F423" i="36"/>
  <c r="D477" i="36"/>
  <c r="T379" i="36"/>
  <c r="D463" i="36"/>
  <c r="F374" i="36"/>
  <c r="G376" i="36"/>
  <c r="D375" i="36"/>
  <c r="G375" i="36"/>
  <c r="H374" i="36"/>
  <c r="H376" i="36"/>
  <c r="S410" i="36"/>
  <c r="S423" i="36"/>
  <c r="W35" i="5"/>
  <c r="Z542" i="5"/>
  <c r="H423" i="36"/>
  <c r="H410" i="36"/>
  <c r="H309" i="36"/>
  <c r="D309" i="36" s="1"/>
  <c r="I309" i="36"/>
  <c r="H305" i="36"/>
  <c r="I305" i="36"/>
  <c r="E410" i="36"/>
  <c r="E423" i="36"/>
  <c r="T447" i="36"/>
  <c r="T410" i="36" s="1"/>
  <c r="D461" i="36"/>
  <c r="Q423" i="36"/>
  <c r="Q410" i="36"/>
  <c r="Q375" i="36"/>
  <c r="Q376" i="36"/>
  <c r="R376" i="36"/>
  <c r="S375" i="36"/>
  <c r="I375" i="36"/>
  <c r="N374" i="36"/>
  <c r="D459" i="36"/>
  <c r="H314" i="36"/>
  <c r="D314" i="36" s="1"/>
  <c r="I314" i="36"/>
  <c r="J410" i="36"/>
  <c r="J423" i="36"/>
  <c r="J373" i="36"/>
  <c r="H373" i="36"/>
  <c r="N423" i="36"/>
  <c r="L373" i="36"/>
  <c r="E373" i="36"/>
  <c r="I423" i="36"/>
  <c r="I410" i="36"/>
  <c r="P376" i="36"/>
  <c r="J376" i="36"/>
  <c r="K376" i="36"/>
  <c r="D376" i="36"/>
  <c r="Q374" i="36"/>
  <c r="P375" i="36"/>
  <c r="W354" i="35"/>
  <c r="T240" i="5"/>
  <c r="L240" i="5"/>
  <c r="U240" i="5"/>
  <c r="T237" i="5"/>
  <c r="L237" i="5"/>
  <c r="U237" i="5"/>
  <c r="T238" i="5"/>
  <c r="L238" i="5"/>
  <c r="U238" i="5"/>
  <c r="L70" i="5"/>
  <c r="T265" i="5"/>
  <c r="L265" i="5"/>
  <c r="T70" i="5"/>
  <c r="L371" i="5"/>
  <c r="T371" i="5"/>
  <c r="U70" i="5"/>
  <c r="U371" i="5"/>
  <c r="U265" i="5"/>
  <c r="T138" i="5"/>
  <c r="L138" i="5"/>
  <c r="U138" i="5"/>
  <c r="T453" i="5"/>
  <c r="L453" i="5"/>
  <c r="U453" i="5"/>
  <c r="L360" i="5"/>
  <c r="T360" i="5"/>
  <c r="U360" i="5"/>
  <c r="L39" i="5"/>
  <c r="T39" i="5"/>
  <c r="U39" i="5"/>
  <c r="T41" i="5"/>
  <c r="L41" i="5"/>
  <c r="U41" i="5"/>
  <c r="T74" i="5"/>
  <c r="T473" i="5"/>
  <c r="T374" i="5"/>
  <c r="L374" i="5"/>
  <c r="L170" i="5"/>
  <c r="T170" i="5"/>
  <c r="L74" i="5"/>
  <c r="L473" i="5"/>
  <c r="T275" i="5"/>
  <c r="L275" i="5"/>
  <c r="U74" i="5"/>
  <c r="U275" i="5"/>
  <c r="U374" i="5"/>
  <c r="U473" i="5"/>
  <c r="U170" i="5"/>
  <c r="L335" i="5"/>
  <c r="T335" i="5"/>
  <c r="U335" i="5"/>
  <c r="L62" i="5"/>
  <c r="T62" i="5"/>
  <c r="U62" i="5"/>
  <c r="T469" i="5"/>
  <c r="L469" i="5"/>
  <c r="U469" i="5"/>
  <c r="L167" i="5"/>
  <c r="T167" i="5"/>
  <c r="U167" i="5"/>
  <c r="L169" i="5"/>
  <c r="T169" i="5"/>
  <c r="U169" i="5"/>
  <c r="T256" i="5"/>
  <c r="L256" i="5"/>
  <c r="U256" i="5"/>
  <c r="L161" i="5"/>
  <c r="T465" i="5"/>
  <c r="L465" i="5"/>
  <c r="T161" i="5"/>
  <c r="U161" i="5"/>
  <c r="U465" i="5"/>
  <c r="T434" i="5"/>
  <c r="AK351" i="35" s="1"/>
  <c r="L434" i="5"/>
  <c r="U434" i="5"/>
  <c r="AG177" i="10"/>
  <c r="L163" i="5"/>
  <c r="T163" i="5"/>
  <c r="U163" i="5"/>
  <c r="L437" i="5"/>
  <c r="T437" i="5"/>
  <c r="U437" i="5"/>
  <c r="T435" i="5"/>
  <c r="L61" i="5"/>
  <c r="L435" i="5"/>
  <c r="L356" i="5"/>
  <c r="T269" i="5"/>
  <c r="L363" i="5"/>
  <c r="L269" i="5"/>
  <c r="T356" i="5"/>
  <c r="T61" i="5"/>
  <c r="T455" i="5"/>
  <c r="T363" i="5"/>
  <c r="T259" i="5"/>
  <c r="L455" i="5"/>
  <c r="L259" i="5"/>
  <c r="U269" i="5"/>
  <c r="U356" i="5"/>
  <c r="U363" i="5"/>
  <c r="U259" i="5"/>
  <c r="U435" i="5"/>
  <c r="U455" i="5"/>
  <c r="U61" i="5"/>
  <c r="T274" i="5"/>
  <c r="L274" i="5"/>
  <c r="U274" i="5"/>
  <c r="D355" i="36"/>
  <c r="W355" i="35"/>
  <c r="Z304" i="36"/>
  <c r="K304" i="36" s="1"/>
  <c r="X307" i="36"/>
  <c r="Z353" i="35"/>
  <c r="G353" i="36"/>
  <c r="L336" i="5"/>
  <c r="T336" i="5"/>
  <c r="U336" i="5"/>
  <c r="L359" i="5"/>
  <c r="T359" i="5"/>
  <c r="U359" i="5"/>
  <c r="T239" i="5"/>
  <c r="L239" i="5"/>
  <c r="U239" i="5"/>
  <c r="T236" i="5"/>
  <c r="AK349" i="35" s="1"/>
  <c r="L236" i="5"/>
  <c r="U236" i="5"/>
  <c r="D354" i="36"/>
  <c r="G356" i="36"/>
  <c r="G338" i="36" s="1"/>
  <c r="Z356" i="35"/>
  <c r="AA307" i="36"/>
  <c r="L307" i="36" s="1"/>
  <c r="T362" i="5"/>
  <c r="T258" i="5"/>
  <c r="T59" i="5"/>
  <c r="L258" i="5"/>
  <c r="T273" i="5"/>
  <c r="T159" i="5"/>
  <c r="T42" i="5"/>
  <c r="L273" i="5"/>
  <c r="L69" i="5"/>
  <c r="T460" i="5"/>
  <c r="T441" i="5"/>
  <c r="T264" i="5"/>
  <c r="L460" i="5"/>
  <c r="L358" i="5"/>
  <c r="L264" i="5"/>
  <c r="L59" i="5"/>
  <c r="L42" i="5"/>
  <c r="T358" i="5"/>
  <c r="L159" i="5"/>
  <c r="T463" i="5"/>
  <c r="T69" i="5"/>
  <c r="L441" i="5"/>
  <c r="L370" i="5"/>
  <c r="L362" i="5"/>
  <c r="T370" i="5"/>
  <c r="L463" i="5"/>
  <c r="U273" i="5"/>
  <c r="U441" i="5"/>
  <c r="U463" i="5"/>
  <c r="U460" i="5"/>
  <c r="U258" i="5"/>
  <c r="U42" i="5"/>
  <c r="U69" i="5"/>
  <c r="U59" i="5"/>
  <c r="U370" i="5"/>
  <c r="U159" i="5"/>
  <c r="U362" i="5"/>
  <c r="U264" i="5"/>
  <c r="U358" i="5"/>
  <c r="T266" i="5"/>
  <c r="T160" i="5"/>
  <c r="L266" i="5"/>
  <c r="L366" i="5"/>
  <c r="L60" i="5"/>
  <c r="T366" i="5"/>
  <c r="T71" i="5"/>
  <c r="L160" i="5"/>
  <c r="T464" i="5"/>
  <c r="T260" i="5"/>
  <c r="L464" i="5"/>
  <c r="L260" i="5"/>
  <c r="T60" i="5"/>
  <c r="L71" i="5"/>
  <c r="U160" i="5"/>
  <c r="U464" i="5"/>
  <c r="U266" i="5"/>
  <c r="U366" i="5"/>
  <c r="U60" i="5"/>
  <c r="U71" i="5"/>
  <c r="U260" i="5"/>
  <c r="T458" i="5"/>
  <c r="L458" i="5"/>
  <c r="U458" i="5"/>
  <c r="L462" i="5"/>
  <c r="T462" i="5"/>
  <c r="U462" i="5"/>
  <c r="T271" i="5"/>
  <c r="T64" i="5"/>
  <c r="T40" i="5"/>
  <c r="L436" i="5"/>
  <c r="L271" i="5"/>
  <c r="T457" i="5"/>
  <c r="L457" i="5"/>
  <c r="L355" i="5"/>
  <c r="L64" i="5"/>
  <c r="T436" i="5"/>
  <c r="T355" i="5"/>
  <c r="L40" i="5"/>
  <c r="U64" i="5"/>
  <c r="U355" i="5"/>
  <c r="U457" i="5"/>
  <c r="U40" i="5"/>
  <c r="U436" i="5"/>
  <c r="U271" i="5"/>
  <c r="N304" i="36"/>
  <c r="W341" i="35"/>
  <c r="D341" i="36"/>
  <c r="L439" i="5"/>
  <c r="L367" i="5"/>
  <c r="T367" i="5"/>
  <c r="T439" i="5"/>
  <c r="T270" i="5"/>
  <c r="L270" i="5"/>
  <c r="U439" i="5"/>
  <c r="U270" i="5"/>
  <c r="U367" i="5"/>
  <c r="T58" i="5"/>
  <c r="T467" i="5"/>
  <c r="L467" i="5"/>
  <c r="L58" i="5"/>
  <c r="U467" i="5"/>
  <c r="U58" i="5"/>
  <c r="T137" i="5"/>
  <c r="L137" i="5"/>
  <c r="U137" i="5"/>
  <c r="U363" i="2"/>
  <c r="T67" i="5"/>
  <c r="L438" i="5"/>
  <c r="T272" i="5"/>
  <c r="L272" i="5"/>
  <c r="L139" i="5"/>
  <c r="L67" i="5"/>
  <c r="L364" i="5"/>
  <c r="T438" i="5"/>
  <c r="T364" i="5"/>
  <c r="T139" i="5"/>
  <c r="U272" i="5"/>
  <c r="U438" i="5"/>
  <c r="U67" i="5"/>
  <c r="U364" i="5"/>
  <c r="U139" i="5"/>
  <c r="T440" i="5"/>
  <c r="L440" i="5"/>
  <c r="U440" i="5"/>
  <c r="T268" i="5"/>
  <c r="L268" i="5"/>
  <c r="U268" i="5"/>
  <c r="U453" i="2"/>
  <c r="L453" i="2"/>
  <c r="T453" i="2"/>
  <c r="D357" i="35" s="1"/>
  <c r="L474" i="2"/>
  <c r="T474" i="2"/>
  <c r="F357" i="35" s="1"/>
  <c r="U474" i="2"/>
  <c r="T363" i="2"/>
  <c r="K356" i="35" s="1"/>
  <c r="L363" i="2"/>
  <c r="L340" i="2"/>
  <c r="T340" i="2"/>
  <c r="F350" i="35" s="1"/>
  <c r="U340" i="2"/>
  <c r="U371" i="2"/>
  <c r="T371" i="2"/>
  <c r="F356" i="35" s="1"/>
  <c r="L371" i="2"/>
  <c r="U366" i="2"/>
  <c r="L366" i="2"/>
  <c r="T366" i="2"/>
  <c r="D356" i="35" s="1"/>
  <c r="U368" i="2"/>
  <c r="L368" i="2"/>
  <c r="T368" i="2"/>
  <c r="E356" i="35" s="1"/>
  <c r="L267" i="2"/>
  <c r="T267" i="2"/>
  <c r="F355" i="35" s="1"/>
  <c r="U267" i="2"/>
  <c r="T175" i="2"/>
  <c r="F354" i="35" s="1"/>
  <c r="L175" i="2"/>
  <c r="U175" i="2"/>
  <c r="L140" i="2"/>
  <c r="T140" i="2"/>
  <c r="E348" i="35" s="1"/>
  <c r="U140" i="2"/>
  <c r="I537" i="5"/>
  <c r="AC231" i="36" s="1"/>
  <c r="I509" i="5"/>
  <c r="P231" i="36" s="1"/>
  <c r="H230" i="36"/>
  <c r="AE213" i="36"/>
  <c r="AE542" i="5"/>
  <c r="AL542" i="5"/>
  <c r="AB512" i="5"/>
  <c r="E154" i="36" s="1"/>
  <c r="E181" i="36" s="1"/>
  <c r="AC551" i="5"/>
  <c r="M155" i="36" s="1"/>
  <c r="AJ550" i="5"/>
  <c r="L162" i="36" s="1"/>
  <c r="Y542" i="5"/>
  <c r="H151" i="36" s="1"/>
  <c r="H178" i="36" s="1"/>
  <c r="W225" i="36"/>
  <c r="Y548" i="5"/>
  <c r="J151" i="36" s="1"/>
  <c r="J178" i="36" s="1"/>
  <c r="AG324" i="10"/>
  <c r="AH324" i="10" s="1"/>
  <c r="AI324" i="10" s="1"/>
  <c r="AA548" i="5"/>
  <c r="J153" i="36" s="1"/>
  <c r="AJ542" i="5"/>
  <c r="H162" i="36" s="1"/>
  <c r="H189" i="36" s="1"/>
  <c r="AJ548" i="5"/>
  <c r="J162" i="36" s="1"/>
  <c r="AB549" i="5"/>
  <c r="K154" i="36" s="1"/>
  <c r="Z551" i="5"/>
  <c r="M152" i="36" s="1"/>
  <c r="X542" i="5"/>
  <c r="H150" i="36" s="1"/>
  <c r="H177" i="36" s="1"/>
  <c r="AR542" i="5"/>
  <c r="H170" i="36" s="1"/>
  <c r="H197" i="36" s="1"/>
  <c r="AD551" i="5"/>
  <c r="M156" i="36" s="1"/>
  <c r="AQ550" i="5"/>
  <c r="L169" i="36" s="1"/>
  <c r="AM548" i="5"/>
  <c r="J165" i="36" s="1"/>
  <c r="AB548" i="5"/>
  <c r="J154" i="36" s="1"/>
  <c r="AC542" i="5"/>
  <c r="H155" i="36" s="1"/>
  <c r="H182" i="36" s="1"/>
  <c r="AG542" i="5"/>
  <c r="H159" i="36" s="1"/>
  <c r="H186" i="36" s="1"/>
  <c r="X303" i="5"/>
  <c r="X543" i="5" s="1"/>
  <c r="AD549" i="5"/>
  <c r="K156" i="36" s="1"/>
  <c r="AE548" i="5"/>
  <c r="J157" i="36" s="1"/>
  <c r="AD542" i="5"/>
  <c r="H156" i="36" s="1"/>
  <c r="H183" i="36" s="1"/>
  <c r="AJ207" i="5"/>
  <c r="BI133" i="5"/>
  <c r="AJ135" i="5" s="1"/>
  <c r="O216" i="36"/>
  <c r="AM542" i="5"/>
  <c r="H165" i="36" s="1"/>
  <c r="H192" i="36" s="1"/>
  <c r="BI232" i="5"/>
  <c r="AJ234" i="5" s="1"/>
  <c r="AA551" i="5"/>
  <c r="M153" i="36" s="1"/>
  <c r="AM105" i="5"/>
  <c r="AK551" i="5"/>
  <c r="M163" i="36" s="1"/>
  <c r="AE209" i="36"/>
  <c r="AN551" i="5"/>
  <c r="M166" i="36" s="1"/>
  <c r="AG551" i="5"/>
  <c r="M159" i="36" s="1"/>
  <c r="AH542" i="5"/>
  <c r="H160" i="36" s="1"/>
  <c r="H187" i="36" s="1"/>
  <c r="AF105" i="5"/>
  <c r="AF543" i="5" s="1"/>
  <c r="AC212" i="36"/>
  <c r="AB542" i="5"/>
  <c r="H154" i="36" s="1"/>
  <c r="H181" i="36" s="1"/>
  <c r="AK542" i="5"/>
  <c r="H163" i="36" s="1"/>
  <c r="H190" i="36" s="1"/>
  <c r="AO550" i="5"/>
  <c r="L167" i="36" s="1"/>
  <c r="W224" i="36"/>
  <c r="AZ232" i="5"/>
  <c r="AA234" i="5" s="1"/>
  <c r="Q221" i="36"/>
  <c r="BB302" i="5"/>
  <c r="AC304" i="5" s="1"/>
  <c r="BF53" i="5"/>
  <c r="AG55" i="5" s="1"/>
  <c r="AC219" i="36"/>
  <c r="BN449" i="5"/>
  <c r="AO451" i="5" s="1"/>
  <c r="S213" i="36"/>
  <c r="P216" i="36"/>
  <c r="P207" i="36"/>
  <c r="S217" i="36"/>
  <c r="BJ53" i="5"/>
  <c r="AK55" i="5" s="1"/>
  <c r="T63" i="2"/>
  <c r="U63" i="2"/>
  <c r="L63" i="2"/>
  <c r="L457" i="2"/>
  <c r="T457" i="2"/>
  <c r="AC222" i="36"/>
  <c r="AG233" i="5"/>
  <c r="AP105" i="5"/>
  <c r="P213" i="36"/>
  <c r="AE220" i="36"/>
  <c r="BM302" i="5"/>
  <c r="AN304" i="5" s="1"/>
  <c r="AP542" i="5"/>
  <c r="H168" i="36" s="1"/>
  <c r="H195" i="36" s="1"/>
  <c r="AE216" i="36"/>
  <c r="BI302" i="5"/>
  <c r="AJ304" i="5" s="1"/>
  <c r="AC207" i="36"/>
  <c r="AE212" i="36"/>
  <c r="AF550" i="5"/>
  <c r="L158" i="36" s="1"/>
  <c r="BE302" i="5"/>
  <c r="AF304" i="5" s="1"/>
  <c r="W206" i="36"/>
  <c r="AY449" i="5"/>
  <c r="Z451" i="5" s="1"/>
  <c r="AF542" i="5"/>
  <c r="H158" i="36" s="1"/>
  <c r="H185" i="36" s="1"/>
  <c r="Q224" i="36"/>
  <c r="AC205" i="36"/>
  <c r="BD401" i="5"/>
  <c r="AE403" i="5" s="1"/>
  <c r="AR332" i="5"/>
  <c r="AF548" i="5"/>
  <c r="J158" i="36" s="1"/>
  <c r="AM332" i="5"/>
  <c r="AM405" i="5" s="1"/>
  <c r="W214" i="36"/>
  <c r="BH331" i="5"/>
  <c r="AI333" i="5" s="1"/>
  <c r="BG449" i="5"/>
  <c r="AH451" i="5" s="1"/>
  <c r="Q215" i="36"/>
  <c r="AE211" i="36"/>
  <c r="BA331" i="5"/>
  <c r="AB333" i="5" s="1"/>
  <c r="W221" i="36"/>
  <c r="BB232" i="5"/>
  <c r="AC234" i="5" s="1"/>
  <c r="AF217" i="36"/>
  <c r="AC306" i="5"/>
  <c r="Q208" i="36"/>
  <c r="P209" i="36"/>
  <c r="BO152" i="5"/>
  <c r="AP154" i="5" s="1"/>
  <c r="AF211" i="36"/>
  <c r="AE303" i="5"/>
  <c r="H211" i="36" s="1"/>
  <c r="BH232" i="5"/>
  <c r="AI234" i="5" s="1"/>
  <c r="X153" i="5"/>
  <c r="T204" i="36"/>
  <c r="BP302" i="5"/>
  <c r="AQ304" i="5" s="1"/>
  <c r="AQ153" i="5"/>
  <c r="P224" i="36"/>
  <c r="T214" i="36"/>
  <c r="AZ449" i="5"/>
  <c r="AA451" i="5" s="1"/>
  <c r="W220" i="36"/>
  <c r="T216" i="36"/>
  <c r="AE217" i="36"/>
  <c r="BD449" i="5"/>
  <c r="AE451" i="5" s="1"/>
  <c r="BE331" i="5"/>
  <c r="AF333" i="5" s="1"/>
  <c r="AS450" i="5"/>
  <c r="BH53" i="5"/>
  <c r="AI55" i="5" s="1"/>
  <c r="R547" i="5"/>
  <c r="S547" i="5" s="1"/>
  <c r="AE450" i="5"/>
  <c r="AE504" i="5" s="1"/>
  <c r="Q212" i="36"/>
  <c r="BJ302" i="5"/>
  <c r="AK304" i="5" s="1"/>
  <c r="AE221" i="36"/>
  <c r="AF213" i="36"/>
  <c r="AE223" i="36"/>
  <c r="AK501" i="2"/>
  <c r="AL402" i="5"/>
  <c r="AL543" i="5" s="1"/>
  <c r="Q207" i="36"/>
  <c r="AN450" i="5"/>
  <c r="AF218" i="36"/>
  <c r="AA332" i="5"/>
  <c r="AR233" i="5"/>
  <c r="AG402" i="5"/>
  <c r="P217" i="36"/>
  <c r="BG152" i="5"/>
  <c r="AH154" i="5" s="1"/>
  <c r="AX232" i="5"/>
  <c r="Y234" i="5" s="1"/>
  <c r="AK233" i="5"/>
  <c r="S215" i="36"/>
  <c r="Y233" i="5"/>
  <c r="AO303" i="5"/>
  <c r="T223" i="36"/>
  <c r="W207" i="36"/>
  <c r="BI152" i="5"/>
  <c r="AJ154" i="5" s="1"/>
  <c r="J14" i="27"/>
  <c r="T77" i="2"/>
  <c r="F353" i="35" s="1"/>
  <c r="U77" i="2"/>
  <c r="L77" i="2"/>
  <c r="S208" i="36"/>
  <c r="BQ104" i="5"/>
  <c r="AR106" i="5" s="1"/>
  <c r="AD303" i="5"/>
  <c r="Q210" i="36"/>
  <c r="AF522" i="5"/>
  <c r="F158" i="36" s="1"/>
  <c r="F185" i="36" s="1"/>
  <c r="AE210" i="36"/>
  <c r="BA53" i="5"/>
  <c r="AB55" i="5" s="1"/>
  <c r="P206" i="36"/>
  <c r="BK302" i="5"/>
  <c r="AL304" i="5" s="1"/>
  <c r="X522" i="5"/>
  <c r="F150" i="36" s="1"/>
  <c r="F177" i="36" s="1"/>
  <c r="AE218" i="36"/>
  <c r="Z233" i="5"/>
  <c r="BF302" i="5"/>
  <c r="AG304" i="5" s="1"/>
  <c r="AZ104" i="5"/>
  <c r="AA106" i="5" s="1"/>
  <c r="Q219" i="36"/>
  <c r="AC54" i="5"/>
  <c r="P215" i="36"/>
  <c r="W209" i="36"/>
  <c r="S209" i="36"/>
  <c r="AC450" i="5"/>
  <c r="S204" i="36"/>
  <c r="T222" i="36"/>
  <c r="X54" i="5"/>
  <c r="AS547" i="5"/>
  <c r="I171" i="36" s="1"/>
  <c r="BH449" i="5"/>
  <c r="AI451" i="5" s="1"/>
  <c r="V542" i="5"/>
  <c r="BA302" i="5"/>
  <c r="AB304" i="5" s="1"/>
  <c r="AE208" i="36"/>
  <c r="T68" i="2"/>
  <c r="U68" i="2"/>
  <c r="L68" i="2"/>
  <c r="L67" i="2"/>
  <c r="U67" i="2"/>
  <c r="T67" i="2"/>
  <c r="T14" i="2"/>
  <c r="U14" i="2"/>
  <c r="L14" i="2"/>
  <c r="W215" i="36"/>
  <c r="AS332" i="5"/>
  <c r="AS513" i="5" s="1"/>
  <c r="AP54" i="5"/>
  <c r="W210" i="36"/>
  <c r="AW232" i="5"/>
  <c r="X234" i="5" s="1"/>
  <c r="BN331" i="5"/>
  <c r="AO333" i="5" s="1"/>
  <c r="AQ402" i="5"/>
  <c r="AQ543" i="5" s="1"/>
  <c r="AE204" i="36"/>
  <c r="S222" i="36"/>
  <c r="S212" i="36"/>
  <c r="Y153" i="5"/>
  <c r="Y523" i="5" s="1"/>
  <c r="BQ401" i="5"/>
  <c r="AR403" i="5" s="1"/>
  <c r="BJ449" i="5"/>
  <c r="AK451" i="5" s="1"/>
  <c r="AR54" i="5"/>
  <c r="AR108" i="5" s="1"/>
  <c r="AK504" i="5"/>
  <c r="AF54" i="5"/>
  <c r="BL53" i="5"/>
  <c r="AM55" i="5" s="1"/>
  <c r="BE232" i="5"/>
  <c r="AF234" i="5" s="1"/>
  <c r="AF209" i="36"/>
  <c r="AC210" i="36"/>
  <c r="AE205" i="36"/>
  <c r="AF224" i="36"/>
  <c r="E212" i="36"/>
  <c r="BG302" i="5"/>
  <c r="AH304" i="5" s="1"/>
  <c r="AX302" i="5"/>
  <c r="Y304" i="5" s="1"/>
  <c r="Q225" i="36"/>
  <c r="X233" i="5"/>
  <c r="X513" i="5" s="1"/>
  <c r="P212" i="36"/>
  <c r="S224" i="36"/>
  <c r="AF223" i="36"/>
  <c r="AE214" i="36"/>
  <c r="BC449" i="5"/>
  <c r="AD451" i="5" s="1"/>
  <c r="BF152" i="5"/>
  <c r="AG154" i="5" s="1"/>
  <c r="T205" i="36"/>
  <c r="S219" i="36"/>
  <c r="T213" i="36"/>
  <c r="AC402" i="5"/>
  <c r="AC543" i="5" s="1"/>
  <c r="W217" i="36"/>
  <c r="AI327" i="10"/>
  <c r="AS512" i="5"/>
  <c r="E171" i="36" s="1"/>
  <c r="E198" i="36" s="1"/>
  <c r="AE215" i="36"/>
  <c r="AE233" i="5"/>
  <c r="E211" i="36" s="1"/>
  <c r="BH302" i="5"/>
  <c r="AI304" i="5" s="1"/>
  <c r="BA152" i="5"/>
  <c r="AB154" i="5" s="1"/>
  <c r="W208" i="36"/>
  <c r="AC203" i="36"/>
  <c r="W212" i="36"/>
  <c r="BC232" i="5"/>
  <c r="AD234" i="5" s="1"/>
  <c r="S205" i="36"/>
  <c r="T219" i="36"/>
  <c r="T208" i="36"/>
  <c r="Z303" i="5"/>
  <c r="AB207" i="5"/>
  <c r="AG548" i="5"/>
  <c r="J159" i="36" s="1"/>
  <c r="BN500" i="2"/>
  <c r="AO502" i="2" s="1"/>
  <c r="AF216" i="36"/>
  <c r="BL152" i="5"/>
  <c r="AM154" i="5" s="1"/>
  <c r="BQ449" i="5"/>
  <c r="AR451" i="5" s="1"/>
  <c r="W204" i="36"/>
  <c r="P211" i="36"/>
  <c r="AF450" i="5"/>
  <c r="AF504" i="5" s="1"/>
  <c r="AE206" i="36"/>
  <c r="AX53" i="5"/>
  <c r="Y55" i="5" s="1"/>
  <c r="X450" i="5"/>
  <c r="AC224" i="36"/>
  <c r="AK548" i="5"/>
  <c r="J163" i="36" s="1"/>
  <c r="AD332" i="5"/>
  <c r="AD513" i="5" s="1"/>
  <c r="P210" i="36"/>
  <c r="BA449" i="5"/>
  <c r="AB451" i="5" s="1"/>
  <c r="T356" i="2"/>
  <c r="U356" i="2"/>
  <c r="L356" i="2"/>
  <c r="U167" i="2"/>
  <c r="T156" i="2"/>
  <c r="U156" i="2"/>
  <c r="T167" i="2"/>
  <c r="L156" i="2"/>
  <c r="L167" i="2"/>
  <c r="T361" i="2"/>
  <c r="L361" i="2"/>
  <c r="U361" i="2"/>
  <c r="U168" i="2"/>
  <c r="T455" i="2"/>
  <c r="L455" i="2"/>
  <c r="U455" i="2"/>
  <c r="L168" i="2"/>
  <c r="T168" i="2"/>
  <c r="L159" i="2"/>
  <c r="L66" i="2"/>
  <c r="U359" i="2"/>
  <c r="T459" i="2"/>
  <c r="M357" i="35" s="1"/>
  <c r="U66" i="2"/>
  <c r="U159" i="2"/>
  <c r="U256" i="2"/>
  <c r="U459" i="2"/>
  <c r="U336" i="2"/>
  <c r="T359" i="2"/>
  <c r="T256" i="2"/>
  <c r="M355" i="35" s="1"/>
  <c r="T66" i="2"/>
  <c r="M353" i="35" s="1"/>
  <c r="L459" i="2"/>
  <c r="T159" i="2"/>
  <c r="L359" i="2"/>
  <c r="T336" i="2"/>
  <c r="M350" i="35" s="1"/>
  <c r="L336" i="2"/>
  <c r="L256" i="2"/>
  <c r="U39" i="2"/>
  <c r="T39" i="2"/>
  <c r="H347" i="35" s="1"/>
  <c r="L39" i="2"/>
  <c r="T435" i="2"/>
  <c r="P351" i="35" s="1"/>
  <c r="U435" i="2"/>
  <c r="L435" i="2"/>
  <c r="U470" i="2"/>
  <c r="L73" i="2"/>
  <c r="L470" i="2"/>
  <c r="U73" i="2"/>
  <c r="T73" i="2"/>
  <c r="T470" i="2"/>
  <c r="U335" i="2"/>
  <c r="T335" i="2"/>
  <c r="L335" i="2"/>
  <c r="U460" i="2"/>
  <c r="U158" i="2"/>
  <c r="T339" i="2"/>
  <c r="L350" i="35" s="1"/>
  <c r="T166" i="2"/>
  <c r="U469" i="2"/>
  <c r="L166" i="2"/>
  <c r="U72" i="2"/>
  <c r="T460" i="2"/>
  <c r="T158" i="2"/>
  <c r="T72" i="2"/>
  <c r="L257" i="2"/>
  <c r="T257" i="2"/>
  <c r="L355" i="35" s="1"/>
  <c r="L158" i="2"/>
  <c r="L460" i="2"/>
  <c r="U62" i="2"/>
  <c r="L72" i="2"/>
  <c r="L469" i="2"/>
  <c r="T469" i="2"/>
  <c r="L358" i="2"/>
  <c r="L339" i="2"/>
  <c r="U358" i="2"/>
  <c r="T62" i="2"/>
  <c r="T358" i="2"/>
  <c r="L356" i="35" s="1"/>
  <c r="L62" i="2"/>
  <c r="U257" i="2"/>
  <c r="U339" i="2"/>
  <c r="U166" i="2"/>
  <c r="U74" i="2"/>
  <c r="T261" i="2"/>
  <c r="N355" i="35" s="1"/>
  <c r="U471" i="2"/>
  <c r="L471" i="2"/>
  <c r="L169" i="2"/>
  <c r="T458" i="2"/>
  <c r="U64" i="2"/>
  <c r="T64" i="2"/>
  <c r="T365" i="2"/>
  <c r="U458" i="2"/>
  <c r="T74" i="2"/>
  <c r="L64" i="2"/>
  <c r="U60" i="2"/>
  <c r="T60" i="2"/>
  <c r="T169" i="2"/>
  <c r="L60" i="2"/>
  <c r="L261" i="2"/>
  <c r="U365" i="2"/>
  <c r="U261" i="2"/>
  <c r="U169" i="2"/>
  <c r="L365" i="2"/>
  <c r="L458" i="2"/>
  <c r="T471" i="2"/>
  <c r="L74" i="2"/>
  <c r="U237" i="2"/>
  <c r="T237" i="2"/>
  <c r="P349" i="35" s="1"/>
  <c r="L237" i="2"/>
  <c r="T466" i="2"/>
  <c r="G357" i="35" s="1"/>
  <c r="U61" i="2"/>
  <c r="U466" i="2"/>
  <c r="T61" i="2"/>
  <c r="G353" i="35" s="1"/>
  <c r="L466" i="2"/>
  <c r="L61" i="2"/>
  <c r="AG152" i="10"/>
  <c r="AH152" i="10" s="1"/>
  <c r="AI152" i="10" s="1"/>
  <c r="U139" i="2"/>
  <c r="L139" i="2"/>
  <c r="T139" i="2"/>
  <c r="I348" i="35" s="1"/>
  <c r="U338" i="2"/>
  <c r="L338" i="2"/>
  <c r="T338" i="2"/>
  <c r="O350" i="35" s="1"/>
  <c r="T40" i="2"/>
  <c r="P347" i="35" s="1"/>
  <c r="U40" i="2"/>
  <c r="L40" i="2"/>
  <c r="U260" i="2"/>
  <c r="T260" i="2"/>
  <c r="H355" i="35" s="1"/>
  <c r="L260" i="2"/>
  <c r="L170" i="2"/>
  <c r="U170" i="2"/>
  <c r="T170" i="2"/>
  <c r="U65" i="2"/>
  <c r="L464" i="2"/>
  <c r="T464" i="2"/>
  <c r="J357" i="35" s="1"/>
  <c r="L337" i="2"/>
  <c r="T263" i="2"/>
  <c r="J355" i="35" s="1"/>
  <c r="U360" i="2"/>
  <c r="L263" i="2"/>
  <c r="T65" i="2"/>
  <c r="J353" i="35" s="1"/>
  <c r="U157" i="2"/>
  <c r="L65" i="2"/>
  <c r="U263" i="2"/>
  <c r="T337" i="2"/>
  <c r="J350" i="35" s="1"/>
  <c r="L157" i="2"/>
  <c r="U337" i="2"/>
  <c r="U464" i="2"/>
  <c r="L360" i="2"/>
  <c r="T157" i="2"/>
  <c r="J354" i="35" s="1"/>
  <c r="T360" i="2"/>
  <c r="J356" i="35" s="1"/>
  <c r="U161" i="2"/>
  <c r="L161" i="2"/>
  <c r="T161" i="2"/>
  <c r="T265" i="2"/>
  <c r="K355" i="35" s="1"/>
  <c r="L265" i="2"/>
  <c r="T138" i="2"/>
  <c r="K348" i="35" s="1"/>
  <c r="T462" i="2"/>
  <c r="K357" i="35" s="1"/>
  <c r="U138" i="2"/>
  <c r="U462" i="2"/>
  <c r="L462" i="2"/>
  <c r="L138" i="2"/>
  <c r="U265" i="2"/>
  <c r="L434" i="2"/>
  <c r="T434" i="2"/>
  <c r="K351" i="35" s="1"/>
  <c r="L236" i="2"/>
  <c r="T341" i="2"/>
  <c r="K350" i="35" s="1"/>
  <c r="U341" i="2"/>
  <c r="L341" i="2"/>
  <c r="T236" i="2"/>
  <c r="K349" i="35" s="1"/>
  <c r="U236" i="2"/>
  <c r="U434" i="2"/>
  <c r="T38" i="2"/>
  <c r="K347" i="35" s="1"/>
  <c r="L38" i="2"/>
  <c r="U38" i="2"/>
  <c r="T137" i="2"/>
  <c r="P348" i="35" s="1"/>
  <c r="U137" i="2"/>
  <c r="L137" i="2"/>
  <c r="P208" i="36"/>
  <c r="P219" i="36"/>
  <c r="AH512" i="5"/>
  <c r="E160" i="36" s="1"/>
  <c r="E187" i="36" s="1"/>
  <c r="AF214" i="36"/>
  <c r="S540" i="5"/>
  <c r="AO233" i="5"/>
  <c r="AO513" i="5" s="1"/>
  <c r="AP233" i="5"/>
  <c r="Q223" i="36"/>
  <c r="BR232" i="5"/>
  <c r="AS234" i="5" s="1"/>
  <c r="W207" i="5"/>
  <c r="J203" i="36" s="1"/>
  <c r="AQ332" i="5"/>
  <c r="AQ513" i="5" s="1"/>
  <c r="T203" i="36"/>
  <c r="W213" i="36"/>
  <c r="BG331" i="5"/>
  <c r="AH333" i="5" s="1"/>
  <c r="Z54" i="5"/>
  <c r="Z108" i="5" s="1"/>
  <c r="BF449" i="5"/>
  <c r="AG451" i="5" s="1"/>
  <c r="BO449" i="5"/>
  <c r="AP451" i="5" s="1"/>
  <c r="W219" i="36"/>
  <c r="AH332" i="5"/>
  <c r="E214" i="36" s="1"/>
  <c r="BA232" i="5"/>
  <c r="AB234" i="5" s="1"/>
  <c r="AV152" i="5"/>
  <c r="W154" i="5" s="1"/>
  <c r="AK402" i="5"/>
  <c r="H217" i="36" s="1"/>
  <c r="AG332" i="5"/>
  <c r="BL232" i="5"/>
  <c r="AM234" i="5" s="1"/>
  <c r="Q213" i="36"/>
  <c r="P225" i="36"/>
  <c r="BG401" i="5"/>
  <c r="AH403" i="5" s="1"/>
  <c r="S206" i="36"/>
  <c r="BI401" i="5"/>
  <c r="AJ403" i="5" s="1"/>
  <c r="BL449" i="5"/>
  <c r="AM451" i="5" s="1"/>
  <c r="W222" i="36"/>
  <c r="AE219" i="36"/>
  <c r="BG53" i="5"/>
  <c r="AH55" i="5" s="1"/>
  <c r="S539" i="5"/>
  <c r="R542" i="5"/>
  <c r="BG232" i="5"/>
  <c r="AH234" i="5" s="1"/>
  <c r="AE225" i="36"/>
  <c r="AJ332" i="5"/>
  <c r="S218" i="36"/>
  <c r="BR302" i="5"/>
  <c r="AS304" i="5" s="1"/>
  <c r="Q216" i="36"/>
  <c r="AV232" i="5"/>
  <c r="W234" i="5" s="1"/>
  <c r="P221" i="36"/>
  <c r="P214" i="36"/>
  <c r="W233" i="5"/>
  <c r="S214" i="36"/>
  <c r="AL54" i="5"/>
  <c r="P222" i="36"/>
  <c r="AF215" i="36"/>
  <c r="AM303" i="5"/>
  <c r="H219" i="36" s="1"/>
  <c r="BH401" i="5"/>
  <c r="AI403" i="5" s="1"/>
  <c r="BD331" i="5"/>
  <c r="AE333" i="5" s="1"/>
  <c r="E230" i="36"/>
  <c r="Q209" i="36"/>
  <c r="T220" i="36"/>
  <c r="Q211" i="36"/>
  <c r="BQ302" i="5"/>
  <c r="AR304" i="5" s="1"/>
  <c r="BM152" i="5"/>
  <c r="AN154" i="5" s="1"/>
  <c r="AE224" i="36"/>
  <c r="AC332" i="5"/>
  <c r="AF219" i="36"/>
  <c r="BD152" i="5"/>
  <c r="AE154" i="5" s="1"/>
  <c r="P223" i="36"/>
  <c r="AX449" i="5"/>
  <c r="Y451" i="5" s="1"/>
  <c r="F230" i="36"/>
  <c r="AV53" i="5"/>
  <c r="W55" i="5" s="1"/>
  <c r="W218" i="36"/>
  <c r="S203" i="36"/>
  <c r="AL332" i="5"/>
  <c r="AL513" i="5" s="1"/>
  <c r="W205" i="36"/>
  <c r="Y332" i="5"/>
  <c r="BC152" i="5"/>
  <c r="AD154" i="5" s="1"/>
  <c r="BP232" i="5"/>
  <c r="AQ234" i="5" s="1"/>
  <c r="AN332" i="5"/>
  <c r="T210" i="36"/>
  <c r="BL401" i="5"/>
  <c r="AM403" i="5" s="1"/>
  <c r="Q220" i="36"/>
  <c r="BM53" i="5"/>
  <c r="AN55" i="5" s="1"/>
  <c r="I521" i="5"/>
  <c r="W231" i="36" s="1"/>
  <c r="AF212" i="36"/>
  <c r="V550" i="5"/>
  <c r="BE401" i="5"/>
  <c r="AF403" i="5" s="1"/>
  <c r="V522" i="5"/>
  <c r="S518" i="5"/>
  <c r="Z332" i="5"/>
  <c r="AO207" i="5"/>
  <c r="BN152" i="5"/>
  <c r="AO154" i="5" s="1"/>
  <c r="BB152" i="5"/>
  <c r="AC154" i="5" s="1"/>
  <c r="AI153" i="5"/>
  <c r="Q206" i="36"/>
  <c r="T209" i="36"/>
  <c r="AC216" i="36"/>
  <c r="AF205" i="36"/>
  <c r="H216" i="36"/>
  <c r="Y402" i="5"/>
  <c r="BH152" i="5"/>
  <c r="AI154" i="5" s="1"/>
  <c r="T221" i="36"/>
  <c r="N216" i="36"/>
  <c r="AJ35" i="5"/>
  <c r="AS54" i="5"/>
  <c r="AF210" i="36"/>
  <c r="AZ401" i="5"/>
  <c r="AA403" i="5" s="1"/>
  <c r="AC206" i="36"/>
  <c r="AY104" i="5"/>
  <c r="Z106" i="5" s="1"/>
  <c r="BC53" i="5"/>
  <c r="AD55" i="5" s="1"/>
  <c r="AE222" i="36"/>
  <c r="AF207" i="36"/>
  <c r="BO302" i="5"/>
  <c r="AP304" i="5" s="1"/>
  <c r="W105" i="5"/>
  <c r="AL450" i="5"/>
  <c r="AX331" i="5"/>
  <c r="Y333" i="5" s="1"/>
  <c r="BC104" i="5"/>
  <c r="AD106" i="5" s="1"/>
  <c r="Q218" i="36"/>
  <c r="T211" i="36"/>
  <c r="AG105" i="5"/>
  <c r="AG108" i="5" s="1"/>
  <c r="AQ450" i="5"/>
  <c r="AA35" i="5"/>
  <c r="Y105" i="5"/>
  <c r="AN233" i="5"/>
  <c r="S225" i="36"/>
  <c r="AR501" i="2"/>
  <c r="H224" i="35" s="1"/>
  <c r="BK104" i="5"/>
  <c r="AL106" i="5" s="1"/>
  <c r="P220" i="36"/>
  <c r="P218" i="36"/>
  <c r="AF206" i="36"/>
  <c r="AC213" i="36"/>
  <c r="T212" i="36"/>
  <c r="AC218" i="36"/>
  <c r="N207" i="36"/>
  <c r="Z402" i="5"/>
  <c r="Z543" i="5" s="1"/>
  <c r="S210" i="36"/>
  <c r="AC220" i="36"/>
  <c r="AN105" i="5"/>
  <c r="W223" i="36"/>
  <c r="BK232" i="5"/>
  <c r="AL234" i="5" s="1"/>
  <c r="AC225" i="36"/>
  <c r="AR548" i="5"/>
  <c r="J170" i="36" s="1"/>
  <c r="BD500" i="2"/>
  <c r="AE502" i="2" s="1"/>
  <c r="AX500" i="2"/>
  <c r="Y502" i="2" s="1"/>
  <c r="AI542" i="5"/>
  <c r="H161" i="36" s="1"/>
  <c r="H188" i="36" s="1"/>
  <c r="S220" i="36"/>
  <c r="Z501" i="2"/>
  <c r="Z547" i="5"/>
  <c r="I152" i="36" s="1"/>
  <c r="AA542" i="5"/>
  <c r="H153" i="36" s="1"/>
  <c r="H180" i="36" s="1"/>
  <c r="Q204" i="36"/>
  <c r="AM550" i="5"/>
  <c r="L165" i="36" s="1"/>
  <c r="AJ450" i="5"/>
  <c r="AC214" i="36"/>
  <c r="AC223" i="36"/>
  <c r="W332" i="5"/>
  <c r="AQ548" i="5"/>
  <c r="J169" i="36" s="1"/>
  <c r="AV331" i="5"/>
  <c r="W333" i="5" s="1"/>
  <c r="T224" i="36"/>
  <c r="AQ542" i="5"/>
  <c r="H169" i="36" s="1"/>
  <c r="H196" i="36" s="1"/>
  <c r="AW104" i="5"/>
  <c r="X106" i="5" s="1"/>
  <c r="BJ104" i="5"/>
  <c r="AK106" i="5" s="1"/>
  <c r="S207" i="36"/>
  <c r="AF222" i="36"/>
  <c r="BQ152" i="5"/>
  <c r="AR154" i="5" s="1"/>
  <c r="AZ53" i="5"/>
  <c r="AA55" i="5" s="1"/>
  <c r="BJ152" i="5"/>
  <c r="AK154" i="5" s="1"/>
  <c r="AD522" i="5"/>
  <c r="F156" i="36" s="1"/>
  <c r="F183" i="36" s="1"/>
  <c r="BJ331" i="5"/>
  <c r="AK333" i="5" s="1"/>
  <c r="AK332" i="5"/>
  <c r="BE152" i="5"/>
  <c r="AF154" i="5" s="1"/>
  <c r="E169" i="17"/>
  <c r="E179" i="17"/>
  <c r="E171" i="17"/>
  <c r="E168" i="17"/>
  <c r="E178" i="17"/>
  <c r="E170" i="17"/>
  <c r="E185" i="17"/>
  <c r="E177" i="17"/>
  <c r="E164" i="17"/>
  <c r="B186" i="17" s="1"/>
  <c r="E184" i="17"/>
  <c r="E176" i="17"/>
  <c r="E165" i="17"/>
  <c r="C186" i="17" s="1"/>
  <c r="E166" i="17"/>
  <c r="D186" i="17" s="1"/>
  <c r="E183" i="17"/>
  <c r="E175" i="17"/>
  <c r="E182" i="17"/>
  <c r="E174" i="17"/>
  <c r="E167" i="17"/>
  <c r="E186" i="17" s="1"/>
  <c r="E181" i="17"/>
  <c r="E173" i="17"/>
  <c r="E163" i="17"/>
  <c r="A186" i="17" s="1"/>
  <c r="E180" i="17"/>
  <c r="E172" i="17"/>
  <c r="C69" i="17"/>
  <c r="C66" i="17"/>
  <c r="E41" i="17"/>
  <c r="C9" i="17"/>
  <c r="D60" i="17"/>
  <c r="E43" i="17"/>
  <c r="E40" i="17"/>
  <c r="D57" i="17"/>
  <c r="AB315" i="35"/>
  <c r="E239" i="35"/>
  <c r="H99" i="21"/>
  <c r="H96" i="21"/>
  <c r="E247" i="35"/>
  <c r="H102" i="21"/>
  <c r="H87" i="21"/>
  <c r="H90" i="21"/>
  <c r="H92" i="21"/>
  <c r="H100" i="21"/>
  <c r="H95" i="21"/>
  <c r="H97" i="21"/>
  <c r="H101" i="21"/>
  <c r="H93" i="21"/>
  <c r="H89" i="21"/>
  <c r="H91" i="21"/>
  <c r="H98" i="21"/>
  <c r="H94" i="21"/>
  <c r="AZ152" i="5"/>
  <c r="AA154" i="5" s="1"/>
  <c r="AP549" i="5"/>
  <c r="K168" i="36" s="1"/>
  <c r="BN104" i="5"/>
  <c r="AO106" i="5" s="1"/>
  <c r="AP402" i="5"/>
  <c r="AF221" i="36"/>
  <c r="AP512" i="5"/>
  <c r="E168" i="36" s="1"/>
  <c r="E195" i="36" s="1"/>
  <c r="AO402" i="5"/>
  <c r="AO543" i="5" s="1"/>
  <c r="BP104" i="5"/>
  <c r="AQ106" i="5" s="1"/>
  <c r="T207" i="36"/>
  <c r="AR547" i="5"/>
  <c r="I170" i="36" s="1"/>
  <c r="T217" i="36"/>
  <c r="F217" i="36"/>
  <c r="AQ54" i="5"/>
  <c r="AJ522" i="5"/>
  <c r="F162" i="36" s="1"/>
  <c r="F189" i="36" s="1"/>
  <c r="S223" i="36"/>
  <c r="AH549" i="5"/>
  <c r="K160" i="36" s="1"/>
  <c r="AC211" i="36"/>
  <c r="AO542" i="5"/>
  <c r="H167" i="36" s="1"/>
  <c r="H194" i="36" s="1"/>
  <c r="AN402" i="5"/>
  <c r="AC217" i="36"/>
  <c r="AF204" i="36"/>
  <c r="AF220" i="36"/>
  <c r="AW401" i="5"/>
  <c r="X403" i="5" s="1"/>
  <c r="BD104" i="5"/>
  <c r="AE106" i="5" s="1"/>
  <c r="X512" i="5"/>
  <c r="AE207" i="36"/>
  <c r="AM547" i="5"/>
  <c r="I165" i="36" s="1"/>
  <c r="BN53" i="5"/>
  <c r="AO55" i="5" s="1"/>
  <c r="AD548" i="5"/>
  <c r="J156" i="36" s="1"/>
  <c r="AA303" i="5"/>
  <c r="H207" i="36" s="1"/>
  <c r="S221" i="36"/>
  <c r="AC204" i="36"/>
  <c r="AC221" i="36"/>
  <c r="AW331" i="5"/>
  <c r="X333" i="5" s="1"/>
  <c r="AC512" i="5"/>
  <c r="W216" i="36"/>
  <c r="AH105" i="5"/>
  <c r="AH543" i="5" s="1"/>
  <c r="AH544" i="5" s="1"/>
  <c r="AD402" i="5"/>
  <c r="AP332" i="5"/>
  <c r="Q222" i="36"/>
  <c r="AL425" i="35"/>
  <c r="E268" i="36"/>
  <c r="E265" i="36"/>
  <c r="E242" i="36"/>
  <c r="E264" i="36"/>
  <c r="E270" i="36"/>
  <c r="E243" i="36"/>
  <c r="E274" i="36"/>
  <c r="E271" i="36"/>
  <c r="E247" i="36"/>
  <c r="E267" i="36"/>
  <c r="E246" i="36"/>
  <c r="M317" i="35"/>
  <c r="AL427" i="35"/>
  <c r="D241" i="36"/>
  <c r="I250" i="36"/>
  <c r="I243" i="36"/>
  <c r="D239" i="36"/>
  <c r="D243" i="36"/>
  <c r="I239" i="36"/>
  <c r="I241" i="36"/>
  <c r="D247" i="36"/>
  <c r="D253" i="36"/>
  <c r="AO512" i="5"/>
  <c r="I253" i="36"/>
  <c r="I247" i="36"/>
  <c r="D251" i="36"/>
  <c r="I245" i="36"/>
  <c r="D248" i="36"/>
  <c r="D240" i="36"/>
  <c r="D238" i="36"/>
  <c r="I251" i="36"/>
  <c r="D245" i="36"/>
  <c r="I248" i="36"/>
  <c r="I240" i="36"/>
  <c r="I249" i="36"/>
  <c r="I246" i="36"/>
  <c r="D252" i="36"/>
  <c r="D242" i="36"/>
  <c r="I244" i="36"/>
  <c r="D246" i="36"/>
  <c r="I242" i="36"/>
  <c r="D249" i="36"/>
  <c r="I252" i="36"/>
  <c r="D244" i="36"/>
  <c r="I238" i="36"/>
  <c r="D250" i="36"/>
  <c r="AM35" i="5"/>
  <c r="AG512" i="5"/>
  <c r="BL34" i="5"/>
  <c r="AM36" i="5" s="1"/>
  <c r="AA512" i="5"/>
  <c r="E276" i="36"/>
  <c r="E252" i="36"/>
  <c r="E241" i="36"/>
  <c r="E245" i="36"/>
  <c r="E249" i="36"/>
  <c r="E244" i="36"/>
  <c r="E272" i="36"/>
  <c r="E263" i="36"/>
  <c r="E240" i="36"/>
  <c r="E239" i="36"/>
  <c r="E261" i="36"/>
  <c r="E262" i="36"/>
  <c r="E238" i="36"/>
  <c r="E250" i="36"/>
  <c r="AE512" i="5"/>
  <c r="E238" i="35"/>
  <c r="E245" i="35"/>
  <c r="E248" i="35"/>
  <c r="E243" i="35"/>
  <c r="E251" i="35"/>
  <c r="E244" i="35"/>
  <c r="E249" i="35"/>
  <c r="E241" i="35"/>
  <c r="E240" i="35"/>
  <c r="E250" i="35"/>
  <c r="E242" i="35"/>
  <c r="E252" i="35"/>
  <c r="E246" i="35"/>
  <c r="M319" i="35"/>
  <c r="E319" i="35"/>
  <c r="AE550" i="5"/>
  <c r="L157" i="36" s="1"/>
  <c r="AG373" i="10"/>
  <c r="AH373" i="10" s="1"/>
  <c r="AI373" i="10" s="1"/>
  <c r="J276" i="36"/>
  <c r="J263" i="36"/>
  <c r="J275" i="36"/>
  <c r="J262" i="36"/>
  <c r="J272" i="36"/>
  <c r="J271" i="36"/>
  <c r="J265" i="36"/>
  <c r="J267" i="36"/>
  <c r="J269" i="36"/>
  <c r="J273" i="36"/>
  <c r="J266" i="36"/>
  <c r="J268" i="36"/>
  <c r="J270" i="36"/>
  <c r="J264" i="36"/>
  <c r="J261" i="36"/>
  <c r="J274" i="36"/>
  <c r="Q307" i="35"/>
  <c r="AF547" i="5"/>
  <c r="I158" i="36" s="1"/>
  <c r="P307" i="35"/>
  <c r="AA305" i="35"/>
  <c r="S216" i="36"/>
  <c r="AF208" i="36"/>
  <c r="AJ54" i="5"/>
  <c r="AC208" i="36"/>
  <c r="AB105" i="5"/>
  <c r="BR152" i="5"/>
  <c r="AS154" i="5" s="1"/>
  <c r="T225" i="36"/>
  <c r="AB402" i="5"/>
  <c r="AF225" i="36"/>
  <c r="BL500" i="2"/>
  <c r="AM502" i="2" s="1"/>
  <c r="AS402" i="5"/>
  <c r="H225" i="36" s="1"/>
  <c r="AG22" i="10"/>
  <c r="AH22" i="10" s="1"/>
  <c r="T206" i="36"/>
  <c r="S211" i="36"/>
  <c r="Z522" i="5"/>
  <c r="BI104" i="5"/>
  <c r="AJ106" i="5" s="1"/>
  <c r="AE54" i="5"/>
  <c r="AF203" i="36"/>
  <c r="BR104" i="5"/>
  <c r="AS106" i="5" s="1"/>
  <c r="W542" i="5"/>
  <c r="H149" i="36" s="1"/>
  <c r="H176" i="36" s="1"/>
  <c r="AB501" i="2"/>
  <c r="W402" i="5"/>
  <c r="Z548" i="5"/>
  <c r="J152" i="36" s="1"/>
  <c r="R12" i="32"/>
  <c r="BG500" i="2"/>
  <c r="AH502" i="2" s="1"/>
  <c r="AI547" i="5"/>
  <c r="I161" i="36" s="1"/>
  <c r="AJ501" i="2"/>
  <c r="S176" i="35"/>
  <c r="P12" i="32"/>
  <c r="X176" i="35"/>
  <c r="Q12" i="32"/>
  <c r="N176" i="35"/>
  <c r="O12" i="32"/>
  <c r="AL424" i="35"/>
  <c r="AF311" i="35"/>
  <c r="AG223" i="10"/>
  <c r="AH223" i="10" s="1"/>
  <c r="AI223" i="10" s="1"/>
  <c r="AG311" i="35"/>
  <c r="BH104" i="5"/>
  <c r="AI106" i="5" s="1"/>
  <c r="AC215" i="36"/>
  <c r="AS501" i="2"/>
  <c r="H215" i="36"/>
  <c r="BK152" i="5"/>
  <c r="AL154" i="5" s="1"/>
  <c r="AL207" i="5"/>
  <c r="T218" i="36"/>
  <c r="AZ500" i="2"/>
  <c r="AA502" i="2" s="1"/>
  <c r="AC547" i="5"/>
  <c r="I155" i="36" s="1"/>
  <c r="AW500" i="2"/>
  <c r="X502" i="2" s="1"/>
  <c r="BP500" i="2"/>
  <c r="AQ502" i="2" s="1"/>
  <c r="AP501" i="2"/>
  <c r="AD501" i="2"/>
  <c r="AN542" i="5"/>
  <c r="AY152" i="5"/>
  <c r="Z154" i="5" s="1"/>
  <c r="AN501" i="2"/>
  <c r="AI548" i="5"/>
  <c r="J161" i="36" s="1"/>
  <c r="AE203" i="36"/>
  <c r="BK500" i="2"/>
  <c r="AL502" i="2" s="1"/>
  <c r="AS542" i="5"/>
  <c r="AI522" i="5"/>
  <c r="AV302" i="5"/>
  <c r="W304" i="5" s="1"/>
  <c r="AC501" i="2"/>
  <c r="AY401" i="2"/>
  <c r="Z403" i="2" s="1"/>
  <c r="AV500" i="2"/>
  <c r="W502" i="2" s="1"/>
  <c r="BH500" i="2"/>
  <c r="AI502" i="2" s="1"/>
  <c r="AF501" i="2"/>
  <c r="H212" i="35" s="1"/>
  <c r="BF500" i="2"/>
  <c r="AG502" i="2" s="1"/>
  <c r="AV53" i="2"/>
  <c r="W55" i="2" s="1"/>
  <c r="S203" i="35"/>
  <c r="AG438" i="10"/>
  <c r="AH438" i="10" s="1"/>
  <c r="AI438" i="10" s="1"/>
  <c r="AD311" i="35"/>
  <c r="Z204" i="2"/>
  <c r="T313" i="35"/>
  <c r="AG389" i="10"/>
  <c r="AH389" i="10" s="1"/>
  <c r="AI389" i="10" s="1"/>
  <c r="M139" i="35"/>
  <c r="I139" i="35"/>
  <c r="J139" i="35"/>
  <c r="AH290" i="10"/>
  <c r="AI290" i="10" s="1"/>
  <c r="AI234" i="10"/>
  <c r="AG240" i="10"/>
  <c r="AH240" i="10" s="1"/>
  <c r="AI240" i="10" s="1"/>
  <c r="AG237" i="10"/>
  <c r="Y303" i="2"/>
  <c r="AO402" i="2"/>
  <c r="W402" i="2"/>
  <c r="X303" i="2"/>
  <c r="AW203" i="2"/>
  <c r="X205" i="2" s="1"/>
  <c r="BD203" i="2"/>
  <c r="AE205" i="2" s="1"/>
  <c r="BE302" i="2"/>
  <c r="AF304" i="2" s="1"/>
  <c r="BO302" i="2"/>
  <c r="AP304" i="2" s="1"/>
  <c r="BR302" i="2"/>
  <c r="AS304" i="2" s="1"/>
  <c r="AE542" i="2"/>
  <c r="C171" i="17" s="1"/>
  <c r="BF302" i="2"/>
  <c r="AG304" i="2" s="1"/>
  <c r="BO203" i="2"/>
  <c r="AP205" i="2" s="1"/>
  <c r="BD401" i="2"/>
  <c r="AE403" i="2" s="1"/>
  <c r="BB302" i="2"/>
  <c r="AC304" i="2" s="1"/>
  <c r="AD402" i="2"/>
  <c r="BK302" i="2"/>
  <c r="AL304" i="2" s="1"/>
  <c r="AC542" i="2"/>
  <c r="C169" i="17" s="1"/>
  <c r="BF401" i="2"/>
  <c r="AG403" i="2" s="1"/>
  <c r="BP302" i="2"/>
  <c r="AQ304" i="2" s="1"/>
  <c r="BC203" i="2"/>
  <c r="AD205" i="2" s="1"/>
  <c r="BE203" i="2"/>
  <c r="AF205" i="2" s="1"/>
  <c r="AB105" i="2"/>
  <c r="AL551" i="5"/>
  <c r="M164" i="36" s="1"/>
  <c r="AZ302" i="2"/>
  <c r="AA304" i="2" s="1"/>
  <c r="BB401" i="2"/>
  <c r="AC403" i="2" s="1"/>
  <c r="BQ302" i="2"/>
  <c r="AR304" i="2" s="1"/>
  <c r="AK303" i="2"/>
  <c r="BN203" i="2"/>
  <c r="AO205" i="2" s="1"/>
  <c r="AK402" i="2"/>
  <c r="BL401" i="2"/>
  <c r="AM403" i="2" s="1"/>
  <c r="AH204" i="2"/>
  <c r="H214" i="35" s="1"/>
  <c r="BG302" i="2"/>
  <c r="AH304" i="2" s="1"/>
  <c r="BI203" i="2"/>
  <c r="AJ205" i="2" s="1"/>
  <c r="AI204" i="2"/>
  <c r="AI543" i="2" s="1"/>
  <c r="D175" i="17" s="1"/>
  <c r="AR204" i="2"/>
  <c r="AO303" i="2"/>
  <c r="BD302" i="2"/>
  <c r="AE304" i="2" s="1"/>
  <c r="AL204" i="2"/>
  <c r="AL543" i="2" s="1"/>
  <c r="D178" i="17" s="1"/>
  <c r="BM203" i="2"/>
  <c r="AN205" i="2" s="1"/>
  <c r="BH302" i="2"/>
  <c r="AI304" i="2" s="1"/>
  <c r="AG204" i="2"/>
  <c r="BE401" i="2"/>
  <c r="AF403" i="2" s="1"/>
  <c r="AQ204" i="2"/>
  <c r="AQ543" i="2" s="1"/>
  <c r="D183" i="17" s="1"/>
  <c r="BK401" i="2"/>
  <c r="AL403" i="2" s="1"/>
  <c r="BH401" i="2"/>
  <c r="AI403" i="2" s="1"/>
  <c r="BQ401" i="2"/>
  <c r="AR403" i="2" s="1"/>
  <c r="AP402" i="2"/>
  <c r="BR203" i="2"/>
  <c r="AS205" i="2" s="1"/>
  <c r="BA302" i="2"/>
  <c r="AB304" i="2" s="1"/>
  <c r="W204" i="2"/>
  <c r="AA204" i="2"/>
  <c r="H207" i="35" s="1"/>
  <c r="BL302" i="2"/>
  <c r="AM304" i="2" s="1"/>
  <c r="BI302" i="2"/>
  <c r="AJ304" i="2" s="1"/>
  <c r="BM401" i="2"/>
  <c r="AN403" i="2" s="1"/>
  <c r="BA203" i="2"/>
  <c r="AB205" i="2" s="1"/>
  <c r="BJ203" i="2"/>
  <c r="AK205" i="2" s="1"/>
  <c r="BL203" i="2"/>
  <c r="AM205" i="2" s="1"/>
  <c r="AR512" i="5"/>
  <c r="BB203" i="2"/>
  <c r="AC205" i="2" s="1"/>
  <c r="AS402" i="2"/>
  <c r="P311" i="35"/>
  <c r="AN303" i="2"/>
  <c r="BI401" i="2"/>
  <c r="AJ403" i="2" s="1"/>
  <c r="AB402" i="2"/>
  <c r="BP401" i="2"/>
  <c r="AQ403" i="2" s="1"/>
  <c r="AD303" i="2"/>
  <c r="Z303" i="2"/>
  <c r="W303" i="2"/>
  <c r="Y402" i="2"/>
  <c r="Y204" i="2"/>
  <c r="AZ401" i="2"/>
  <c r="AA403" i="2" s="1"/>
  <c r="BG401" i="2"/>
  <c r="AH403" i="2" s="1"/>
  <c r="AW401" i="2"/>
  <c r="X403" i="2" s="1"/>
  <c r="Q311" i="35"/>
  <c r="AG184" i="10"/>
  <c r="AH184" i="10" s="1"/>
  <c r="AI184" i="10" s="1"/>
  <c r="AG380" i="10"/>
  <c r="AH380" i="10" s="1"/>
  <c r="AI380" i="10" s="1"/>
  <c r="AG469" i="10"/>
  <c r="AH469" i="10" s="1"/>
  <c r="AI469" i="10" s="1"/>
  <c r="AG84" i="10"/>
  <c r="AH84" i="10" s="1"/>
  <c r="AI84" i="10" s="1"/>
  <c r="AG189" i="10"/>
  <c r="AH189" i="10" s="1"/>
  <c r="AI189" i="10" s="1"/>
  <c r="AG426" i="10"/>
  <c r="AH426" i="10" s="1"/>
  <c r="AI426" i="10" s="1"/>
  <c r="AG27" i="10"/>
  <c r="AH27" i="10" s="1"/>
  <c r="AI27" i="10" s="1"/>
  <c r="AG428" i="10"/>
  <c r="AH428" i="10" s="1"/>
  <c r="AI428" i="10" s="1"/>
  <c r="AH16" i="10"/>
  <c r="AI16" i="10" s="1"/>
  <c r="AG254" i="10"/>
  <c r="AH254" i="10" s="1"/>
  <c r="AI254" i="10" s="1"/>
  <c r="AG180" i="10"/>
  <c r="AH180" i="10" s="1"/>
  <c r="AI180" i="10" s="1"/>
  <c r="AG260" i="10"/>
  <c r="AH260" i="10" s="1"/>
  <c r="AI260" i="10" s="1"/>
  <c r="AG130" i="10"/>
  <c r="AH130" i="10" s="1"/>
  <c r="AI130" i="10" s="1"/>
  <c r="R315" i="35"/>
  <c r="O311" i="35"/>
  <c r="AG244" i="10"/>
  <c r="AH244" i="10" s="1"/>
  <c r="AI244" i="10" s="1"/>
  <c r="AG76" i="10"/>
  <c r="AH76" i="10" s="1"/>
  <c r="AI76" i="10" s="1"/>
  <c r="AG91" i="10"/>
  <c r="AH91" i="10" s="1"/>
  <c r="AI91" i="10" s="1"/>
  <c r="AG172" i="10"/>
  <c r="AH172" i="10" s="1"/>
  <c r="AI172" i="10" s="1"/>
  <c r="AG165" i="10"/>
  <c r="AH165" i="10" s="1"/>
  <c r="AI165" i="10" s="1"/>
  <c r="AG334" i="10"/>
  <c r="AH334" i="10" s="1"/>
  <c r="AI334" i="10" s="1"/>
  <c r="AG304" i="10"/>
  <c r="AH304" i="10" s="1"/>
  <c r="AI304" i="10" s="1"/>
  <c r="AG232" i="10"/>
  <c r="AH232" i="10" s="1"/>
  <c r="AI232" i="10" s="1"/>
  <c r="AG134" i="10"/>
  <c r="AH134" i="10" s="1"/>
  <c r="AI134" i="10" s="1"/>
  <c r="AG404" i="10"/>
  <c r="AH404" i="10" s="1"/>
  <c r="AI404" i="10" s="1"/>
  <c r="AG470" i="10"/>
  <c r="AH470" i="10" s="1"/>
  <c r="AI470" i="10" s="1"/>
  <c r="AG211" i="10"/>
  <c r="AH211" i="10" s="1"/>
  <c r="AI211" i="10" s="1"/>
  <c r="AG210" i="10"/>
  <c r="AH210" i="10" s="1"/>
  <c r="AI210" i="10" s="1"/>
  <c r="AG434" i="10"/>
  <c r="AH434" i="10" s="1"/>
  <c r="AI434" i="10" s="1"/>
  <c r="AG386" i="10"/>
  <c r="AH386" i="10" s="1"/>
  <c r="AI386" i="10" s="1"/>
  <c r="AG116" i="10"/>
  <c r="AH116" i="10" s="1"/>
  <c r="AI116" i="10" s="1"/>
  <c r="AO86" i="5"/>
  <c r="AO108" i="5" s="1"/>
  <c r="BN85" i="5"/>
  <c r="AO87" i="5" s="1"/>
  <c r="AM551" i="5"/>
  <c r="M165" i="36" s="1"/>
  <c r="F213" i="36"/>
  <c r="BF350" i="5"/>
  <c r="AG352" i="5" s="1"/>
  <c r="V213" i="36"/>
  <c r="AR543" i="5"/>
  <c r="AR544" i="5" s="1"/>
  <c r="AS551" i="5"/>
  <c r="M171" i="36" s="1"/>
  <c r="X549" i="5"/>
  <c r="K150" i="36" s="1"/>
  <c r="K177" i="36" s="1"/>
  <c r="AS548" i="5"/>
  <c r="J171" i="36" s="1"/>
  <c r="AQ547" i="5"/>
  <c r="I169" i="36" s="1"/>
  <c r="AP550" i="5"/>
  <c r="L168" i="36" s="1"/>
  <c r="AG47" i="10"/>
  <c r="AH47" i="10" s="1"/>
  <c r="AI47" i="10" s="1"/>
  <c r="AG128" i="10"/>
  <c r="AH128" i="10" s="1"/>
  <c r="AI128" i="10" s="1"/>
  <c r="AG131" i="10"/>
  <c r="AH131" i="10" s="1"/>
  <c r="AI131" i="10" s="1"/>
  <c r="AG214" i="10"/>
  <c r="AH214" i="10" s="1"/>
  <c r="AI214" i="10" s="1"/>
  <c r="AG115" i="10"/>
  <c r="AH115" i="10" s="1"/>
  <c r="AI115" i="10" s="1"/>
  <c r="AG170" i="10"/>
  <c r="AH170" i="10" s="1"/>
  <c r="AI170" i="10" s="1"/>
  <c r="AG387" i="10"/>
  <c r="AH387" i="10" s="1"/>
  <c r="AI387" i="10" s="1"/>
  <c r="AG146" i="10"/>
  <c r="AH146" i="10" s="1"/>
  <c r="AI146" i="10" s="1"/>
  <c r="AG157" i="10"/>
  <c r="AH157" i="10" s="1"/>
  <c r="AI157" i="10" s="1"/>
  <c r="AG72" i="10"/>
  <c r="AH72" i="10" s="1"/>
  <c r="AI72" i="10" s="1"/>
  <c r="AG238" i="10"/>
  <c r="AH238" i="10" s="1"/>
  <c r="AI238" i="10" s="1"/>
  <c r="AG158" i="10"/>
  <c r="AH158" i="10" s="1"/>
  <c r="AI158" i="10" s="1"/>
  <c r="AG457" i="10"/>
  <c r="AH457" i="10" s="1"/>
  <c r="AI457" i="10" s="1"/>
  <c r="AG268" i="10"/>
  <c r="AH268" i="10" s="1"/>
  <c r="AI268" i="10" s="1"/>
  <c r="AG137" i="10"/>
  <c r="AH137" i="10" s="1"/>
  <c r="AI137" i="10" s="1"/>
  <c r="AG87" i="10"/>
  <c r="AH87" i="10" s="1"/>
  <c r="AI87" i="10" s="1"/>
  <c r="AH28" i="10"/>
  <c r="AI28" i="10" s="1"/>
  <c r="AG430" i="10"/>
  <c r="AH430" i="10" s="1"/>
  <c r="AI430" i="10" s="1"/>
  <c r="AG187" i="10"/>
  <c r="AH187" i="10" s="1"/>
  <c r="AI187" i="10" s="1"/>
  <c r="AG436" i="10"/>
  <c r="AH436" i="10" s="1"/>
  <c r="AI436" i="10" s="1"/>
  <c r="AG188" i="10"/>
  <c r="AH188" i="10" s="1"/>
  <c r="AI188" i="10" s="1"/>
  <c r="AG114" i="10"/>
  <c r="AH114" i="10" s="1"/>
  <c r="AI114" i="10" s="1"/>
  <c r="AG313" i="10"/>
  <c r="AH313" i="10" s="1"/>
  <c r="AI313" i="10" s="1"/>
  <c r="AG259" i="10"/>
  <c r="AH259" i="10" s="1"/>
  <c r="AI259" i="10" s="1"/>
  <c r="AG433" i="10"/>
  <c r="AH433" i="10" s="1"/>
  <c r="AI433" i="10" s="1"/>
  <c r="AG472" i="10"/>
  <c r="AH472" i="10" s="1"/>
  <c r="AI472" i="10" s="1"/>
  <c r="AH236" i="10"/>
  <c r="AI236" i="10" s="1"/>
  <c r="AG440" i="10"/>
  <c r="AH440" i="10" s="1"/>
  <c r="AI440" i="10" s="1"/>
  <c r="AG439" i="10"/>
  <c r="AH439" i="10" s="1"/>
  <c r="AI439" i="10" s="1"/>
  <c r="AG197" i="10"/>
  <c r="AH197" i="10" s="1"/>
  <c r="AI197" i="10" s="1"/>
  <c r="AG346" i="10"/>
  <c r="AH346" i="10" s="1"/>
  <c r="AI346" i="10" s="1"/>
  <c r="AG342" i="10"/>
  <c r="AH342" i="10" s="1"/>
  <c r="AI342" i="10" s="1"/>
  <c r="AG123" i="10"/>
  <c r="AH123" i="10" s="1"/>
  <c r="AI123" i="10" s="1"/>
  <c r="AG314" i="10"/>
  <c r="AH314" i="10" s="1"/>
  <c r="AI314" i="10" s="1"/>
  <c r="AG7" i="10"/>
  <c r="AH7" i="10" s="1"/>
  <c r="AI7" i="10" s="1"/>
  <c r="AG60" i="10"/>
  <c r="AH60" i="10" s="1"/>
  <c r="AI60" i="10" s="1"/>
  <c r="AG129" i="10"/>
  <c r="AH129" i="10" s="1"/>
  <c r="AI129" i="10" s="1"/>
  <c r="AG229" i="10"/>
  <c r="AH229" i="10" s="1"/>
  <c r="AI229" i="10" s="1"/>
  <c r="AG352" i="10"/>
  <c r="AH352" i="10" s="1"/>
  <c r="AI352" i="10" s="1"/>
  <c r="AG74" i="10"/>
  <c r="AH74" i="10" s="1"/>
  <c r="AI74" i="10" s="1"/>
  <c r="AG382" i="10"/>
  <c r="AH382" i="10" s="1"/>
  <c r="AI382" i="10" s="1"/>
  <c r="AG59" i="10"/>
  <c r="AH59" i="10" s="1"/>
  <c r="AI59" i="10" s="1"/>
  <c r="AG351" i="10"/>
  <c r="AH351" i="10" s="1"/>
  <c r="AI351" i="10" s="1"/>
  <c r="AG402" i="10"/>
  <c r="AH402" i="10" s="1"/>
  <c r="AI402" i="10" s="1"/>
  <c r="AG207" i="10"/>
  <c r="AH207" i="10" s="1"/>
  <c r="AI207" i="10" s="1"/>
  <c r="AG218" i="10"/>
  <c r="AH218" i="10" s="1"/>
  <c r="AI218" i="10" s="1"/>
  <c r="AG154" i="10"/>
  <c r="AH154" i="10" s="1"/>
  <c r="AI154" i="10" s="1"/>
  <c r="AG361" i="10"/>
  <c r="AH361" i="10" s="1"/>
  <c r="AI361" i="10" s="1"/>
  <c r="AG167" i="10"/>
  <c r="AH167" i="10" s="1"/>
  <c r="AI167" i="10" s="1"/>
  <c r="AG399" i="10"/>
  <c r="AH399" i="10" s="1"/>
  <c r="AI399" i="10" s="1"/>
  <c r="AG442" i="10"/>
  <c r="AH442" i="10" s="1"/>
  <c r="AI442" i="10" s="1"/>
  <c r="AG397" i="10"/>
  <c r="AH397" i="10" s="1"/>
  <c r="AI397" i="10" s="1"/>
  <c r="AG400" i="10"/>
  <c r="AH400" i="10" s="1"/>
  <c r="AI400" i="10" s="1"/>
  <c r="AG375" i="10"/>
  <c r="AH375" i="10" s="1"/>
  <c r="AI375" i="10" s="1"/>
  <c r="AG298" i="10"/>
  <c r="AH298" i="10" s="1"/>
  <c r="AI298" i="10" s="1"/>
  <c r="AG372" i="10"/>
  <c r="AH372" i="10" s="1"/>
  <c r="AI372" i="10" s="1"/>
  <c r="AG344" i="10"/>
  <c r="AH344" i="10" s="1"/>
  <c r="AI344" i="10" s="1"/>
  <c r="AG85" i="10"/>
  <c r="AH85" i="10" s="1"/>
  <c r="AI85" i="10" s="1"/>
  <c r="AG224" i="10"/>
  <c r="AH224" i="10" s="1"/>
  <c r="AI224" i="10" s="1"/>
  <c r="AG326" i="10"/>
  <c r="AH326" i="10" s="1"/>
  <c r="AI326" i="10" s="1"/>
  <c r="AG193" i="10"/>
  <c r="AH193" i="10" s="1"/>
  <c r="AI193" i="10" s="1"/>
  <c r="AG270" i="10"/>
  <c r="AH270" i="10" s="1"/>
  <c r="AI270" i="10" s="1"/>
  <c r="AG432" i="10"/>
  <c r="AH432" i="10" s="1"/>
  <c r="AI432" i="10" s="1"/>
  <c r="AD550" i="5"/>
  <c r="L156" i="36" s="1"/>
  <c r="AA351" i="5"/>
  <c r="F207" i="36" s="1"/>
  <c r="V207" i="36"/>
  <c r="O19" i="27"/>
  <c r="K19" i="27"/>
  <c r="P19" i="27" s="1"/>
  <c r="AH441" i="10"/>
  <c r="AI441" i="10" s="1"/>
  <c r="AH378" i="10"/>
  <c r="AI378" i="10" s="1"/>
  <c r="AH374" i="10"/>
  <c r="AI374" i="10" s="1"/>
  <c r="AH303" i="10"/>
  <c r="AI303" i="10" s="1"/>
  <c r="AH468" i="10"/>
  <c r="AI468" i="10" s="1"/>
  <c r="AG45" i="10"/>
  <c r="AH174" i="10"/>
  <c r="AI174" i="10" s="1"/>
  <c r="AH140" i="10"/>
  <c r="AI140" i="10" s="1"/>
  <c r="AH239" i="10"/>
  <c r="AI239" i="10" s="1"/>
  <c r="AI235" i="10"/>
  <c r="AH321" i="10"/>
  <c r="AI321" i="10" s="1"/>
  <c r="AH106" i="10"/>
  <c r="AI106" i="10" s="1"/>
  <c r="AH488" i="10"/>
  <c r="AI488" i="10" s="1"/>
  <c r="AH196" i="10"/>
  <c r="AI196" i="10" s="1"/>
  <c r="AH177" i="10"/>
  <c r="AI177" i="10" s="1"/>
  <c r="AH417" i="10"/>
  <c r="AI417" i="10" s="1"/>
  <c r="AH247" i="10"/>
  <c r="AI247" i="10" s="1"/>
  <c r="AH150" i="10"/>
  <c r="AI150" i="10" s="1"/>
  <c r="AG51" i="10"/>
  <c r="AG63" i="10"/>
  <c r="AH390" i="10"/>
  <c r="AI390" i="10" s="1"/>
  <c r="AH445" i="10"/>
  <c r="AI445" i="10" s="1"/>
  <c r="AG57" i="10"/>
  <c r="AI29" i="10"/>
  <c r="AH219" i="10"/>
  <c r="AI219" i="10" s="1"/>
  <c r="AH427" i="10"/>
  <c r="AI427" i="10" s="1"/>
  <c r="AH168" i="10"/>
  <c r="AI168" i="10" s="1"/>
  <c r="AH175" i="10"/>
  <c r="AI175" i="10" s="1"/>
  <c r="AH148" i="10"/>
  <c r="AI148" i="10" s="1"/>
  <c r="AH391" i="10"/>
  <c r="AI391" i="10" s="1"/>
  <c r="AH104" i="10"/>
  <c r="AI104" i="10" s="1"/>
  <c r="AH377" i="10"/>
  <c r="AI377" i="10" s="1"/>
  <c r="AH310" i="10"/>
  <c r="AI310" i="10" s="1"/>
  <c r="L19" i="27"/>
  <c r="X213" i="36"/>
  <c r="AC549" i="5"/>
  <c r="K155" i="36" s="1"/>
  <c r="BL85" i="5"/>
  <c r="AM87" i="5" s="1"/>
  <c r="AL86" i="5"/>
  <c r="AP522" i="5"/>
  <c r="AE522" i="5"/>
  <c r="X218" i="36"/>
  <c r="X219" i="36"/>
  <c r="AO547" i="5"/>
  <c r="I167" i="36" s="1"/>
  <c r="BP350" i="5"/>
  <c r="AQ352" i="5" s="1"/>
  <c r="AO522" i="5"/>
  <c r="Y222" i="36"/>
  <c r="AP185" i="5"/>
  <c r="AP207" i="5" s="1"/>
  <c r="AP351" i="5"/>
  <c r="V222" i="36"/>
  <c r="AJ549" i="5"/>
  <c r="K162" i="36" s="1"/>
  <c r="AQ512" i="5"/>
  <c r="AO549" i="5"/>
  <c r="K167" i="36" s="1"/>
  <c r="N220" i="36"/>
  <c r="BM34" i="5"/>
  <c r="AN36" i="5" s="1"/>
  <c r="Y550" i="5"/>
  <c r="L151" i="36" s="1"/>
  <c r="L178" i="36" s="1"/>
  <c r="BF184" i="5"/>
  <c r="AG186" i="5" s="1"/>
  <c r="AA522" i="5"/>
  <c r="AA547" i="5"/>
  <c r="I153" i="36" s="1"/>
  <c r="AJ512" i="5"/>
  <c r="Y213" i="36"/>
  <c r="Y203" i="36"/>
  <c r="AN548" i="5"/>
  <c r="J166" i="36" s="1"/>
  <c r="AG207" i="5"/>
  <c r="AB550" i="5"/>
  <c r="L154" i="36" s="1"/>
  <c r="AA185" i="5"/>
  <c r="AA207" i="5" s="1"/>
  <c r="AP548" i="5"/>
  <c r="J168" i="36" s="1"/>
  <c r="AS549" i="5"/>
  <c r="K171" i="36" s="1"/>
  <c r="AB522" i="5"/>
  <c r="AS522" i="5"/>
  <c r="X224" i="36"/>
  <c r="BE350" i="5"/>
  <c r="AF352" i="5" s="1"/>
  <c r="AG550" i="5"/>
  <c r="L159" i="36" s="1"/>
  <c r="BQ85" i="5"/>
  <c r="AR87" i="5" s="1"/>
  <c r="AC550" i="5"/>
  <c r="L155" i="36" s="1"/>
  <c r="AR522" i="5"/>
  <c r="Z550" i="5"/>
  <c r="L152" i="36" s="1"/>
  <c r="BA184" i="5"/>
  <c r="AB186" i="5" s="1"/>
  <c r="Y217" i="36"/>
  <c r="AZ184" i="5"/>
  <c r="AA186" i="5" s="1"/>
  <c r="X225" i="36"/>
  <c r="Y208" i="36"/>
  <c r="AH522" i="5"/>
  <c r="AA86" i="5"/>
  <c r="AG522" i="5"/>
  <c r="AH550" i="5"/>
  <c r="L160" i="36" s="1"/>
  <c r="AZ85" i="5"/>
  <c r="AA87" i="5" s="1"/>
  <c r="BR85" i="5"/>
  <c r="AS87" i="5" s="1"/>
  <c r="BH481" i="5"/>
  <c r="AI483" i="5" s="1"/>
  <c r="X220" i="36"/>
  <c r="AL550" i="5"/>
  <c r="L164" i="36" s="1"/>
  <c r="X211" i="36"/>
  <c r="X185" i="5"/>
  <c r="AQ185" i="5"/>
  <c r="Z482" i="5"/>
  <c r="Z504" i="5" s="1"/>
  <c r="AB220" i="36"/>
  <c r="X550" i="5"/>
  <c r="L150" i="36" s="1"/>
  <c r="L177" i="36" s="1"/>
  <c r="AB206" i="36"/>
  <c r="AN482" i="5"/>
  <c r="AW184" i="5"/>
  <c r="X186" i="5" s="1"/>
  <c r="F165" i="36"/>
  <c r="F192" i="36" s="1"/>
  <c r="Y223" i="36"/>
  <c r="AB215" i="36"/>
  <c r="X205" i="36"/>
  <c r="Y221" i="36"/>
  <c r="BN184" i="5"/>
  <c r="AO186" i="5" s="1"/>
  <c r="BH85" i="5"/>
  <c r="AI87" i="5" s="1"/>
  <c r="AS550" i="5"/>
  <c r="L171" i="36" s="1"/>
  <c r="AH185" i="5"/>
  <c r="AH207" i="5" s="1"/>
  <c r="N13" i="25"/>
  <c r="J13" i="25" s="1"/>
  <c r="BC85" i="5"/>
  <c r="AD87" i="5" s="1"/>
  <c r="X210" i="36"/>
  <c r="Y225" i="36"/>
  <c r="AK86" i="5"/>
  <c r="AK108" i="5" s="1"/>
  <c r="AS185" i="5"/>
  <c r="AS207" i="5" s="1"/>
  <c r="AV184" i="5"/>
  <c r="W186" i="5" s="1"/>
  <c r="AS482" i="5"/>
  <c r="BG184" i="5"/>
  <c r="AH186" i="5" s="1"/>
  <c r="AI543" i="5"/>
  <c r="BA85" i="5"/>
  <c r="AB87" i="5" s="1"/>
  <c r="Y86" i="5"/>
  <c r="X206" i="36"/>
  <c r="BO85" i="5"/>
  <c r="AP87" i="5" s="1"/>
  <c r="Y212" i="36"/>
  <c r="AR482" i="5"/>
  <c r="AR504" i="5" s="1"/>
  <c r="BG481" i="5"/>
  <c r="AH483" i="5" s="1"/>
  <c r="AF185" i="5"/>
  <c r="AF207" i="5" s="1"/>
  <c r="AB210" i="36"/>
  <c r="AB224" i="36"/>
  <c r="AD482" i="5"/>
  <c r="AD504" i="5" s="1"/>
  <c r="X222" i="36"/>
  <c r="BF85" i="5"/>
  <c r="AG87" i="5" s="1"/>
  <c r="AH482" i="5"/>
  <c r="AH504" i="5" s="1"/>
  <c r="V218" i="36"/>
  <c r="BQ184" i="5"/>
  <c r="AR186" i="5" s="1"/>
  <c r="BP85" i="5"/>
  <c r="AQ87" i="5" s="1"/>
  <c r="AN86" i="5"/>
  <c r="AE86" i="5"/>
  <c r="BN350" i="5"/>
  <c r="AO352" i="5" s="1"/>
  <c r="AR351" i="5"/>
  <c r="F221" i="36"/>
  <c r="I520" i="5"/>
  <c r="V231" i="36" s="1"/>
  <c r="Y211" i="36"/>
  <c r="AB219" i="36"/>
  <c r="V212" i="36"/>
  <c r="BD184" i="5"/>
  <c r="AE186" i="5" s="1"/>
  <c r="AM482" i="5"/>
  <c r="AM504" i="5" s="1"/>
  <c r="V221" i="36"/>
  <c r="V224" i="36"/>
  <c r="X209" i="36"/>
  <c r="AX184" i="5"/>
  <c r="Y186" i="5" s="1"/>
  <c r="AC86" i="5"/>
  <c r="BI85" i="5"/>
  <c r="AJ87" i="5" s="1"/>
  <c r="Y185" i="5"/>
  <c r="AJ86" i="5"/>
  <c r="Y216" i="36"/>
  <c r="AK185" i="5"/>
  <c r="AK207" i="5" s="1"/>
  <c r="BI184" i="5"/>
  <c r="AJ186" i="5" s="1"/>
  <c r="BJ85" i="5"/>
  <c r="AK87" i="5" s="1"/>
  <c r="X208" i="36"/>
  <c r="BD481" i="5"/>
  <c r="AE483" i="5" s="1"/>
  <c r="AB211" i="36"/>
  <c r="X215" i="36"/>
  <c r="AB225" i="36"/>
  <c r="AB222" i="36"/>
  <c r="AP482" i="5"/>
  <c r="AP504" i="5" s="1"/>
  <c r="X214" i="36"/>
  <c r="AH86" i="5"/>
  <c r="AB216" i="36"/>
  <c r="AQ86" i="5"/>
  <c r="AR185" i="5"/>
  <c r="AR207" i="5" s="1"/>
  <c r="AY85" i="5"/>
  <c r="Z87" i="5" s="1"/>
  <c r="AJ482" i="5"/>
  <c r="V223" i="36"/>
  <c r="AL351" i="5"/>
  <c r="BN481" i="5"/>
  <c r="AO483" i="5" s="1"/>
  <c r="V215" i="36"/>
  <c r="AI351" i="5"/>
  <c r="AI523" i="5" s="1"/>
  <c r="X86" i="5"/>
  <c r="Y218" i="36"/>
  <c r="V219" i="36"/>
  <c r="BK184" i="5"/>
  <c r="AL186" i="5" s="1"/>
  <c r="AW85" i="5"/>
  <c r="X87" i="5" s="1"/>
  <c r="BL350" i="5"/>
  <c r="AM352" i="5" s="1"/>
  <c r="F219" i="36"/>
  <c r="X351" i="5"/>
  <c r="V204" i="36"/>
  <c r="AB221" i="36"/>
  <c r="F210" i="36"/>
  <c r="V210" i="36"/>
  <c r="BC350" i="5"/>
  <c r="AD352" i="5" s="1"/>
  <c r="AC351" i="5"/>
  <c r="AH351" i="5"/>
  <c r="AH523" i="5" s="1"/>
  <c r="BG350" i="5"/>
  <c r="AH352" i="5" s="1"/>
  <c r="S517" i="5"/>
  <c r="I517" i="5"/>
  <c r="S231" i="36" s="1"/>
  <c r="X212" i="36"/>
  <c r="BE85" i="5"/>
  <c r="AF87" i="5" s="1"/>
  <c r="AB209" i="36"/>
  <c r="BH232" i="2"/>
  <c r="AI234" i="2" s="1"/>
  <c r="P203" i="35"/>
  <c r="BB481" i="5"/>
  <c r="AC483" i="5" s="1"/>
  <c r="AV232" i="2"/>
  <c r="W234" i="2" s="1"/>
  <c r="V216" i="36"/>
  <c r="AJ351" i="5"/>
  <c r="AS351" i="5"/>
  <c r="BD350" i="5"/>
  <c r="AE352" i="5" s="1"/>
  <c r="AV350" i="5"/>
  <c r="W352" i="5" s="1"/>
  <c r="V203" i="36"/>
  <c r="V225" i="36"/>
  <c r="V211" i="36"/>
  <c r="L261" i="35"/>
  <c r="T399" i="5"/>
  <c r="U399" i="5"/>
  <c r="AF233" i="36" s="1"/>
  <c r="Y522" i="5"/>
  <c r="F151" i="36" s="1"/>
  <c r="F178" i="36" s="1"/>
  <c r="V208" i="36"/>
  <c r="Z351" i="5"/>
  <c r="W549" i="5"/>
  <c r="K149" i="36" s="1"/>
  <c r="K176" i="36" s="1"/>
  <c r="P215" i="35"/>
  <c r="F304" i="35"/>
  <c r="K130" i="35"/>
  <c r="L130" i="35"/>
  <c r="K139" i="35"/>
  <c r="AB351" i="5"/>
  <c r="F208" i="36" s="1"/>
  <c r="AK522" i="5"/>
  <c r="AY232" i="2"/>
  <c r="Z234" i="2" s="1"/>
  <c r="V206" i="36"/>
  <c r="P222" i="35"/>
  <c r="Y209" i="36"/>
  <c r="AF549" i="5"/>
  <c r="K158" i="36" s="1"/>
  <c r="AI550" i="5"/>
  <c r="L161" i="36" s="1"/>
  <c r="AC185" i="5"/>
  <c r="AC207" i="5" s="1"/>
  <c r="AX350" i="5"/>
  <c r="Y352" i="5" s="1"/>
  <c r="V205" i="36"/>
  <c r="AW481" i="5"/>
  <c r="X483" i="5" s="1"/>
  <c r="AX481" i="5"/>
  <c r="Y483" i="5" s="1"/>
  <c r="Y482" i="5"/>
  <c r="Y504" i="5" s="1"/>
  <c r="X482" i="5"/>
  <c r="BA481" i="5"/>
  <c r="AB483" i="5" s="1"/>
  <c r="BF481" i="5"/>
  <c r="AG483" i="5" s="1"/>
  <c r="O20" i="27"/>
  <c r="K20" i="27"/>
  <c r="P20" i="27" s="1"/>
  <c r="L20" i="27"/>
  <c r="N14" i="25"/>
  <c r="M15" i="25"/>
  <c r="M22" i="27"/>
  <c r="N21" i="27"/>
  <c r="Y206" i="36"/>
  <c r="AY184" i="5"/>
  <c r="Z186" i="5" s="1"/>
  <c r="AB212" i="36"/>
  <c r="BK481" i="5"/>
  <c r="AL483" i="5" s="1"/>
  <c r="AZ481" i="5"/>
  <c r="AA483" i="5" s="1"/>
  <c r="AL482" i="5"/>
  <c r="AA482" i="5"/>
  <c r="AA504" i="5" s="1"/>
  <c r="P209" i="35"/>
  <c r="AD105" i="2"/>
  <c r="AL522" i="5"/>
  <c r="AN550" i="5"/>
  <c r="L166" i="36" s="1"/>
  <c r="AB208" i="36"/>
  <c r="BE481" i="5"/>
  <c r="AF483" i="5" s="1"/>
  <c r="AK550" i="5"/>
  <c r="L163" i="36" s="1"/>
  <c r="AG105" i="2"/>
  <c r="Y105" i="2"/>
  <c r="V220" i="36"/>
  <c r="AG482" i="5"/>
  <c r="AG504" i="5" s="1"/>
  <c r="AB217" i="36"/>
  <c r="BJ481" i="5"/>
  <c r="AK483" i="5" s="1"/>
  <c r="AN351" i="5"/>
  <c r="BJ350" i="5"/>
  <c r="AK352" i="5" s="1"/>
  <c r="BP481" i="5"/>
  <c r="AQ483" i="5" s="1"/>
  <c r="AC504" i="5"/>
  <c r="BO232" i="2"/>
  <c r="AP234" i="2" s="1"/>
  <c r="AQ482" i="5"/>
  <c r="AN522" i="5"/>
  <c r="R214" i="35"/>
  <c r="V217" i="36"/>
  <c r="BB232" i="2"/>
  <c r="AC234" i="2" s="1"/>
  <c r="V209" i="36"/>
  <c r="V549" i="5"/>
  <c r="W550" i="5"/>
  <c r="L149" i="36" s="1"/>
  <c r="L176" i="36" s="1"/>
  <c r="R522" i="5"/>
  <c r="AA549" i="5"/>
  <c r="K153" i="36" s="1"/>
  <c r="P219" i="35"/>
  <c r="BL232" i="2"/>
  <c r="AM234" i="2" s="1"/>
  <c r="X351" i="2"/>
  <c r="P206" i="35"/>
  <c r="BE104" i="2"/>
  <c r="AF106" i="2" s="1"/>
  <c r="P210" i="35"/>
  <c r="BC232" i="2"/>
  <c r="AD234" i="2" s="1"/>
  <c r="W547" i="5"/>
  <c r="I149" i="36" s="1"/>
  <c r="I176" i="36" s="1"/>
  <c r="AJ105" i="2"/>
  <c r="P218" i="35"/>
  <c r="P225" i="35"/>
  <c r="P214" i="35"/>
  <c r="AH233" i="2"/>
  <c r="AA54" i="2"/>
  <c r="BK232" i="2"/>
  <c r="AL234" i="2" s="1"/>
  <c r="BQ104" i="2"/>
  <c r="AR106" i="2" s="1"/>
  <c r="AS233" i="2"/>
  <c r="V549" i="2"/>
  <c r="V542" i="2"/>
  <c r="AK549" i="5"/>
  <c r="K163" i="36" s="1"/>
  <c r="BD232" i="2"/>
  <c r="AE234" i="2" s="1"/>
  <c r="E152" i="36"/>
  <c r="E179" i="36" s="1"/>
  <c r="O215" i="35"/>
  <c r="P211" i="35"/>
  <c r="BR104" i="2"/>
  <c r="AS106" i="2" s="1"/>
  <c r="U223" i="35"/>
  <c r="R221" i="35"/>
  <c r="Q203" i="35"/>
  <c r="Y512" i="5"/>
  <c r="BC430" i="2"/>
  <c r="AD432" i="2" s="1"/>
  <c r="BJ232" i="2"/>
  <c r="AK234" i="2" s="1"/>
  <c r="S207" i="35"/>
  <c r="X105" i="2"/>
  <c r="AO105" i="2"/>
  <c r="R210" i="35"/>
  <c r="AS306" i="5"/>
  <c r="P217" i="35"/>
  <c r="BH133" i="2"/>
  <c r="AI135" i="2" s="1"/>
  <c r="AZ232" i="2"/>
  <c r="AA234" i="2" s="1"/>
  <c r="BK104" i="2"/>
  <c r="AL106" i="2" s="1"/>
  <c r="AA233" i="2"/>
  <c r="S205" i="35"/>
  <c r="E229" i="36"/>
  <c r="I519" i="5"/>
  <c r="R512" i="5"/>
  <c r="U541" i="5"/>
  <c r="M275" i="36"/>
  <c r="M273" i="36"/>
  <c r="M261" i="36"/>
  <c r="M272" i="36"/>
  <c r="M270" i="36"/>
  <c r="M271" i="36"/>
  <c r="M276" i="36"/>
  <c r="M274" i="36"/>
  <c r="M262" i="36"/>
  <c r="M267" i="36"/>
  <c r="M263" i="36"/>
  <c r="M269" i="36"/>
  <c r="M265" i="36"/>
  <c r="M264" i="36"/>
  <c r="M268" i="36"/>
  <c r="M266" i="36"/>
  <c r="AN185" i="5"/>
  <c r="AN207" i="5" s="1"/>
  <c r="BM184" i="5"/>
  <c r="AN186" i="5" s="1"/>
  <c r="AD185" i="5"/>
  <c r="AD207" i="5" s="1"/>
  <c r="BC184" i="5"/>
  <c r="AD186" i="5" s="1"/>
  <c r="S528" i="5"/>
  <c r="R548" i="5"/>
  <c r="I548" i="5" s="1"/>
  <c r="AG291" i="36"/>
  <c r="AG290" i="36"/>
  <c r="J564" i="2"/>
  <c r="Q204" i="35"/>
  <c r="S210" i="35"/>
  <c r="W54" i="2"/>
  <c r="AG296" i="36"/>
  <c r="AG288" i="36"/>
  <c r="T541" i="5"/>
  <c r="AG287" i="36"/>
  <c r="AG293" i="36"/>
  <c r="AG284" i="36"/>
  <c r="AG232" i="36"/>
  <c r="AG292" i="36"/>
  <c r="AG286" i="36"/>
  <c r="AG294" i="36"/>
  <c r="AG295" i="36"/>
  <c r="AG297" i="36"/>
  <c r="AG289" i="36"/>
  <c r="AG283" i="36"/>
  <c r="AG282" i="36"/>
  <c r="AG285" i="36"/>
  <c r="AM363" i="35"/>
  <c r="AO134" i="2"/>
  <c r="BO133" i="2"/>
  <c r="AP135" i="2" s="1"/>
  <c r="V551" i="2"/>
  <c r="AK105" i="2"/>
  <c r="U203" i="36"/>
  <c r="AV251" i="5"/>
  <c r="W253" i="5" s="1"/>
  <c r="R213" i="35"/>
  <c r="AE383" i="5"/>
  <c r="AE405" i="5" s="1"/>
  <c r="BP232" i="2"/>
  <c r="AQ234" i="2" s="1"/>
  <c r="BN382" i="5"/>
  <c r="AO384" i="5" s="1"/>
  <c r="AO233" i="2"/>
  <c r="AC105" i="2"/>
  <c r="H224" i="36"/>
  <c r="BN232" i="2"/>
  <c r="AO234" i="2" s="1"/>
  <c r="Y215" i="36"/>
  <c r="BF232" i="2"/>
  <c r="AG234" i="2" s="1"/>
  <c r="O217" i="35"/>
  <c r="AG233" i="2"/>
  <c r="AI185" i="5"/>
  <c r="AL549" i="5"/>
  <c r="K164" i="36" s="1"/>
  <c r="AN549" i="5"/>
  <c r="K166" i="36" s="1"/>
  <c r="P223" i="35"/>
  <c r="BG104" i="2"/>
  <c r="AH106" i="2" s="1"/>
  <c r="AP548" i="2"/>
  <c r="J168" i="35" s="1"/>
  <c r="J195" i="35" s="1"/>
  <c r="AG549" i="5"/>
  <c r="K159" i="36" s="1"/>
  <c r="AB542" i="2"/>
  <c r="C168" i="17" s="1"/>
  <c r="Q211" i="35"/>
  <c r="AI550" i="2"/>
  <c r="L161" i="35" s="1"/>
  <c r="BD331" i="2"/>
  <c r="AE333" i="2" s="1"/>
  <c r="AP105" i="2"/>
  <c r="AI551" i="2"/>
  <c r="M161" i="35" s="1"/>
  <c r="AD551" i="2"/>
  <c r="M156" i="35" s="1"/>
  <c r="M183" i="35" s="1"/>
  <c r="F203" i="36"/>
  <c r="AW350" i="2"/>
  <c r="X352" i="2" s="1"/>
  <c r="AA213" i="36"/>
  <c r="BN430" i="2"/>
  <c r="AO432" i="2" s="1"/>
  <c r="AV331" i="2"/>
  <c r="W333" i="2" s="1"/>
  <c r="S503" i="2"/>
  <c r="BG283" i="5"/>
  <c r="AH285" i="5" s="1"/>
  <c r="V548" i="2"/>
  <c r="AH284" i="5"/>
  <c r="AH306" i="5" s="1"/>
  <c r="O203" i="35"/>
  <c r="AA134" i="2"/>
  <c r="AB219" i="35"/>
  <c r="W134" i="2"/>
  <c r="BQ449" i="2"/>
  <c r="AR451" i="2" s="1"/>
  <c r="W224" i="35"/>
  <c r="T214" i="35"/>
  <c r="V547" i="2"/>
  <c r="O207" i="35"/>
  <c r="AA219" i="36"/>
  <c r="BL152" i="2"/>
  <c r="AM154" i="2" s="1"/>
  <c r="Y219" i="36"/>
  <c r="BL53" i="2"/>
  <c r="AM55" i="2" s="1"/>
  <c r="U209" i="35"/>
  <c r="AM54" i="2"/>
  <c r="BD133" i="2"/>
  <c r="AE135" i="2" s="1"/>
  <c r="N222" i="35"/>
  <c r="V550" i="2"/>
  <c r="V551" i="5"/>
  <c r="N210" i="35"/>
  <c r="BL481" i="2"/>
  <c r="AM483" i="2" s="1"/>
  <c r="L274" i="35"/>
  <c r="BF53" i="2"/>
  <c r="AG55" i="2" s="1"/>
  <c r="AM185" i="5"/>
  <c r="AM207" i="5" s="1"/>
  <c r="O211" i="35"/>
  <c r="S213" i="35"/>
  <c r="BG152" i="2"/>
  <c r="AH154" i="2" s="1"/>
  <c r="AZ104" i="2"/>
  <c r="AA106" i="2" s="1"/>
  <c r="AI504" i="5"/>
  <c r="AK134" i="2"/>
  <c r="W431" i="2"/>
  <c r="O209" i="35"/>
  <c r="AJ550" i="2"/>
  <c r="L162" i="35" s="1"/>
  <c r="AC134" i="2"/>
  <c r="AQ252" i="2"/>
  <c r="AR550" i="2"/>
  <c r="L170" i="35" s="1"/>
  <c r="AJ543" i="5"/>
  <c r="AL548" i="2"/>
  <c r="J164" i="35" s="1"/>
  <c r="AA204" i="36"/>
  <c r="AX53" i="2"/>
  <c r="Y55" i="2" s="1"/>
  <c r="AW382" i="5"/>
  <c r="X384" i="5" s="1"/>
  <c r="AW34" i="2"/>
  <c r="X36" i="2" s="1"/>
  <c r="AP542" i="2"/>
  <c r="C182" i="17" s="1"/>
  <c r="AW331" i="2"/>
  <c r="X333" i="2" s="1"/>
  <c r="U213" i="35"/>
  <c r="BL283" i="2"/>
  <c r="AM285" i="2" s="1"/>
  <c r="BD104" i="2"/>
  <c r="AE106" i="2" s="1"/>
  <c r="AS252" i="2"/>
  <c r="N206" i="35"/>
  <c r="V209" i="35"/>
  <c r="Z216" i="35"/>
  <c r="BI283" i="2"/>
  <c r="AJ285" i="2" s="1"/>
  <c r="AD383" i="5"/>
  <c r="AH551" i="5"/>
  <c r="M160" i="36" s="1"/>
  <c r="AA549" i="2"/>
  <c r="K153" i="35" s="1"/>
  <c r="AY34" i="2"/>
  <c r="Z36" i="2" s="1"/>
  <c r="Y551" i="5"/>
  <c r="M151" i="36" s="1"/>
  <c r="M178" i="36" s="1"/>
  <c r="AC351" i="2"/>
  <c r="AV481" i="5"/>
  <c r="W483" i="5" s="1"/>
  <c r="N205" i="35"/>
  <c r="W551" i="2"/>
  <c r="M149" i="35" s="1"/>
  <c r="M176" i="35" s="1"/>
  <c r="W482" i="5"/>
  <c r="W504" i="5" s="1"/>
  <c r="AS54" i="2"/>
  <c r="BC449" i="2"/>
  <c r="AD451" i="2" s="1"/>
  <c r="AQ549" i="2"/>
  <c r="K169" i="35" s="1"/>
  <c r="AO383" i="5"/>
  <c r="AB204" i="35"/>
  <c r="BL382" i="5"/>
  <c r="AM384" i="5" s="1"/>
  <c r="BD382" i="5"/>
  <c r="AE384" i="5" s="1"/>
  <c r="O205" i="35"/>
  <c r="AG549" i="2"/>
  <c r="K159" i="35" s="1"/>
  <c r="BH350" i="2"/>
  <c r="AI352" i="2" s="1"/>
  <c r="AG431" i="2"/>
  <c r="U203" i="35"/>
  <c r="X548" i="2"/>
  <c r="J150" i="35" s="1"/>
  <c r="J177" i="35" s="1"/>
  <c r="BO34" i="2"/>
  <c r="AP36" i="2" s="1"/>
  <c r="BC53" i="2"/>
  <c r="AD55" i="2" s="1"/>
  <c r="AL153" i="2"/>
  <c r="AR153" i="2"/>
  <c r="BA350" i="2"/>
  <c r="AB352" i="2" s="1"/>
  <c r="Z105" i="2"/>
  <c r="T218" i="35"/>
  <c r="BQ152" i="2"/>
  <c r="AR154" i="2" s="1"/>
  <c r="AB351" i="2"/>
  <c r="AF550" i="2"/>
  <c r="L158" i="35" s="1"/>
  <c r="AJ551" i="2"/>
  <c r="M162" i="35" s="1"/>
  <c r="BO283" i="5"/>
  <c r="AP285" i="5" s="1"/>
  <c r="AC35" i="2"/>
  <c r="H211" i="35"/>
  <c r="E208" i="36"/>
  <c r="E161" i="36"/>
  <c r="E188" i="36" s="1"/>
  <c r="AA548" i="2"/>
  <c r="J153" i="35" s="1"/>
  <c r="AM284" i="2"/>
  <c r="AP284" i="5"/>
  <c r="BF133" i="2"/>
  <c r="AG135" i="2" s="1"/>
  <c r="AP134" i="2"/>
  <c r="BE251" i="2"/>
  <c r="AF253" i="2" s="1"/>
  <c r="AK431" i="2"/>
  <c r="BQ430" i="2"/>
  <c r="AR432" i="2" s="1"/>
  <c r="H164" i="36"/>
  <c r="H191" i="36" s="1"/>
  <c r="W548" i="5"/>
  <c r="J149" i="36" s="1"/>
  <c r="J176" i="36" s="1"/>
  <c r="H157" i="36"/>
  <c r="H184" i="36" s="1"/>
  <c r="V222" i="35"/>
  <c r="U215" i="35"/>
  <c r="AN549" i="2"/>
  <c r="K166" i="35" s="1"/>
  <c r="AX382" i="2"/>
  <c r="Y384" i="2" s="1"/>
  <c r="Z551" i="2"/>
  <c r="M152" i="35" s="1"/>
  <c r="BB34" i="2"/>
  <c r="AC36" i="2" s="1"/>
  <c r="AG134" i="2"/>
  <c r="BJ430" i="2"/>
  <c r="AK432" i="2" s="1"/>
  <c r="AR431" i="2"/>
  <c r="R219" i="35"/>
  <c r="S218" i="35"/>
  <c r="E163" i="36"/>
  <c r="E190" i="36" s="1"/>
  <c r="BK53" i="2"/>
  <c r="AL55" i="2" s="1"/>
  <c r="BN133" i="2"/>
  <c r="AO135" i="2" s="1"/>
  <c r="W542" i="2"/>
  <c r="AD542" i="2"/>
  <c r="C170" i="17" s="1"/>
  <c r="AB551" i="5"/>
  <c r="M154" i="36" s="1"/>
  <c r="Q221" i="35"/>
  <c r="AH431" i="2"/>
  <c r="R203" i="35"/>
  <c r="U212" i="35"/>
  <c r="AF548" i="2"/>
  <c r="J158" i="35" s="1"/>
  <c r="AO549" i="2"/>
  <c r="K167" i="35" s="1"/>
  <c r="AR549" i="2"/>
  <c r="K170" i="35" s="1"/>
  <c r="AP383" i="5"/>
  <c r="AJ153" i="2"/>
  <c r="BO350" i="2"/>
  <c r="AP352" i="2" s="1"/>
  <c r="AQ542" i="2"/>
  <c r="C183" i="17" s="1"/>
  <c r="BP104" i="2"/>
  <c r="AQ106" i="2" s="1"/>
  <c r="T219" i="35"/>
  <c r="AC548" i="2"/>
  <c r="J155" i="35" s="1"/>
  <c r="AK549" i="2"/>
  <c r="K163" i="35" s="1"/>
  <c r="K190" i="35" s="1"/>
  <c r="AL549" i="2"/>
  <c r="K164" i="35" s="1"/>
  <c r="W550" i="2"/>
  <c r="L149" i="35" s="1"/>
  <c r="L176" i="35" s="1"/>
  <c r="AK551" i="2"/>
  <c r="M163" i="35" s="1"/>
  <c r="M190" i="35" s="1"/>
  <c r="AP532" i="5"/>
  <c r="AB504" i="5"/>
  <c r="BI152" i="2"/>
  <c r="AJ154" i="2" s="1"/>
  <c r="BH251" i="2"/>
  <c r="AI253" i="2" s="1"/>
  <c r="X542" i="2"/>
  <c r="W220" i="35"/>
  <c r="Z550" i="2"/>
  <c r="L152" i="35" s="1"/>
  <c r="AO551" i="2"/>
  <c r="M167" i="35" s="1"/>
  <c r="X551" i="2"/>
  <c r="M150" i="35" s="1"/>
  <c r="M177" i="35" s="1"/>
  <c r="AA224" i="36"/>
  <c r="Q206" i="35"/>
  <c r="S206" i="35"/>
  <c r="AG548" i="2"/>
  <c r="J159" i="35" s="1"/>
  <c r="Z217" i="35"/>
  <c r="AA205" i="35"/>
  <c r="AQ532" i="5"/>
  <c r="AA208" i="36"/>
  <c r="AR383" i="5"/>
  <c r="AY53" i="2"/>
  <c r="Z55" i="2" s="1"/>
  <c r="AY331" i="2"/>
  <c r="Z333" i="2" s="1"/>
  <c r="R209" i="35"/>
  <c r="BJ283" i="2"/>
  <c r="AK285" i="2" s="1"/>
  <c r="AA205" i="36"/>
  <c r="BA382" i="5"/>
  <c r="AB384" i="5" s="1"/>
  <c r="AX331" i="2"/>
  <c r="Y333" i="2" s="1"/>
  <c r="BB430" i="2"/>
  <c r="AC432" i="2" s="1"/>
  <c r="AH548" i="2"/>
  <c r="J160" i="35" s="1"/>
  <c r="J187" i="35" s="1"/>
  <c r="AQ548" i="2"/>
  <c r="J169" i="35" s="1"/>
  <c r="AB550" i="2"/>
  <c r="L154" i="35" s="1"/>
  <c r="AK550" i="2"/>
  <c r="L163" i="35" s="1"/>
  <c r="L190" i="35" s="1"/>
  <c r="AM551" i="2"/>
  <c r="M165" i="35" s="1"/>
  <c r="Y551" i="2"/>
  <c r="M151" i="35" s="1"/>
  <c r="Y383" i="5"/>
  <c r="Y35" i="2"/>
  <c r="Y332" i="2"/>
  <c r="AO542" i="2"/>
  <c r="C181" i="17" s="1"/>
  <c r="U222" i="35"/>
  <c r="AO548" i="2"/>
  <c r="J167" i="35" s="1"/>
  <c r="AQ551" i="2"/>
  <c r="M169" i="35" s="1"/>
  <c r="AS551" i="2"/>
  <c r="M171" i="35" s="1"/>
  <c r="BM449" i="2"/>
  <c r="AN451" i="2" s="1"/>
  <c r="Z542" i="2"/>
  <c r="C166" i="17" s="1"/>
  <c r="AG542" i="2"/>
  <c r="C173" i="17" s="1"/>
  <c r="AL551" i="2"/>
  <c r="M164" i="35" s="1"/>
  <c r="AL542" i="2"/>
  <c r="C178" i="17" s="1"/>
  <c r="S220" i="35"/>
  <c r="AS550" i="2"/>
  <c r="L171" i="35" s="1"/>
  <c r="AH551" i="2"/>
  <c r="M160" i="35" s="1"/>
  <c r="M187" i="35" s="1"/>
  <c r="Y542" i="2"/>
  <c r="Y185" i="2"/>
  <c r="BL133" i="2"/>
  <c r="AM135" i="2" s="1"/>
  <c r="BK251" i="2"/>
  <c r="AL253" i="2" s="1"/>
  <c r="BC251" i="2"/>
  <c r="AD253" i="2" s="1"/>
  <c r="W105" i="2"/>
  <c r="AJ542" i="2"/>
  <c r="C176" i="17" s="1"/>
  <c r="Z548" i="2"/>
  <c r="J152" i="35" s="1"/>
  <c r="AM550" i="2"/>
  <c r="L165" i="35" s="1"/>
  <c r="L192" i="35" s="1"/>
  <c r="AF551" i="2"/>
  <c r="M158" i="35" s="1"/>
  <c r="AG551" i="2"/>
  <c r="M159" i="35" s="1"/>
  <c r="BN53" i="2"/>
  <c r="AO55" i="2" s="1"/>
  <c r="AM134" i="2"/>
  <c r="AR233" i="2"/>
  <c r="W205" i="35"/>
  <c r="O216" i="35"/>
  <c r="AC549" i="2"/>
  <c r="K155" i="35" s="1"/>
  <c r="S225" i="35"/>
  <c r="AO54" i="2"/>
  <c r="BQ232" i="2"/>
  <c r="AR234" i="2" s="1"/>
  <c r="BC331" i="2"/>
  <c r="AD333" i="2" s="1"/>
  <c r="U210" i="35"/>
  <c r="AD332" i="2"/>
  <c r="AD450" i="2"/>
  <c r="U218" i="35"/>
  <c r="AE550" i="2"/>
  <c r="L157" i="35" s="1"/>
  <c r="X35" i="2"/>
  <c r="Y134" i="2"/>
  <c r="AI351" i="2"/>
  <c r="AF549" i="2"/>
  <c r="K158" i="35" s="1"/>
  <c r="AS549" i="2"/>
  <c r="K171" i="35" s="1"/>
  <c r="Y450" i="2"/>
  <c r="AH542" i="2"/>
  <c r="C174" i="17" s="1"/>
  <c r="AD548" i="2"/>
  <c r="J156" i="35" s="1"/>
  <c r="J183" i="35" s="1"/>
  <c r="AH550" i="2"/>
  <c r="L160" i="35" s="1"/>
  <c r="L187" i="35" s="1"/>
  <c r="AQ550" i="2"/>
  <c r="L169" i="35" s="1"/>
  <c r="AF542" i="2"/>
  <c r="AW184" i="2"/>
  <c r="X186" i="2" s="1"/>
  <c r="Y204" i="35"/>
  <c r="I542" i="5"/>
  <c r="H231" i="36" s="1"/>
  <c r="BF382" i="5"/>
  <c r="AG384" i="5" s="1"/>
  <c r="BC382" i="5"/>
  <c r="AD384" i="5" s="1"/>
  <c r="AA218" i="36"/>
  <c r="BK382" i="5"/>
  <c r="AL384" i="5" s="1"/>
  <c r="AA214" i="36"/>
  <c r="AH383" i="5"/>
  <c r="E156" i="36"/>
  <c r="E183" i="36" s="1"/>
  <c r="E164" i="36"/>
  <c r="E191" i="36" s="1"/>
  <c r="L275" i="35"/>
  <c r="D373" i="35"/>
  <c r="AE86" i="2"/>
  <c r="AX85" i="2"/>
  <c r="Y87" i="2" s="1"/>
  <c r="Y86" i="2"/>
  <c r="AB216" i="35"/>
  <c r="BI481" i="2"/>
  <c r="AJ483" i="2" s="1"/>
  <c r="BE481" i="2"/>
  <c r="AF483" i="2" s="1"/>
  <c r="AF482" i="2"/>
  <c r="AO551" i="5"/>
  <c r="M167" i="36" s="1"/>
  <c r="AP551" i="5"/>
  <c r="M168" i="36" s="1"/>
  <c r="AA222" i="36"/>
  <c r="L264" i="35"/>
  <c r="L267" i="35"/>
  <c r="L271" i="35"/>
  <c r="L263" i="35"/>
  <c r="L273" i="35"/>
  <c r="L269" i="35"/>
  <c r="L262" i="35"/>
  <c r="L276" i="35"/>
  <c r="L265" i="35"/>
  <c r="L270" i="35"/>
  <c r="L268" i="35"/>
  <c r="L272" i="35"/>
  <c r="AA220" i="36"/>
  <c r="BM382" i="5"/>
  <c r="AN384" i="5" s="1"/>
  <c r="AA223" i="36"/>
  <c r="AQ383" i="5"/>
  <c r="AA216" i="36"/>
  <c r="AJ383" i="5"/>
  <c r="AA217" i="36"/>
  <c r="AJ532" i="5"/>
  <c r="AK383" i="5"/>
  <c r="AR532" i="5"/>
  <c r="Q552" i="5"/>
  <c r="Z532" i="5"/>
  <c r="AI532" i="5"/>
  <c r="AM532" i="5"/>
  <c r="AA206" i="36"/>
  <c r="AY382" i="5"/>
  <c r="Z384" i="5" s="1"/>
  <c r="BE382" i="5"/>
  <c r="AF384" i="5" s="1"/>
  <c r="AF383" i="5"/>
  <c r="AF405" i="5" s="1"/>
  <c r="I510" i="5"/>
  <c r="Q231" i="36" s="1"/>
  <c r="S510" i="5"/>
  <c r="AR550" i="5"/>
  <c r="L170" i="36" s="1"/>
  <c r="AA532" i="5"/>
  <c r="Z221" i="36"/>
  <c r="BN283" i="5"/>
  <c r="AO285" i="5" s="1"/>
  <c r="AG532" i="5"/>
  <c r="AN532" i="5"/>
  <c r="Z209" i="36"/>
  <c r="BB283" i="5"/>
  <c r="AC285" i="5" s="1"/>
  <c r="BR283" i="5"/>
  <c r="AS285" i="5" s="1"/>
  <c r="AL532" i="5"/>
  <c r="AJ284" i="5"/>
  <c r="AJ306" i="5" s="1"/>
  <c r="AZ283" i="5"/>
  <c r="AA285" i="5" s="1"/>
  <c r="AA284" i="5"/>
  <c r="BI283" i="5"/>
  <c r="AJ285" i="5" s="1"/>
  <c r="AL284" i="5"/>
  <c r="AL306" i="5" s="1"/>
  <c r="AK532" i="5"/>
  <c r="AB532" i="5"/>
  <c r="E166" i="36"/>
  <c r="E193" i="36" s="1"/>
  <c r="BD85" i="2"/>
  <c r="AE87" i="2" s="1"/>
  <c r="T383" i="35"/>
  <c r="T424" i="35"/>
  <c r="H152" i="36"/>
  <c r="H179" i="36" s="1"/>
  <c r="AA206" i="35"/>
  <c r="Z383" i="2"/>
  <c r="L266" i="35"/>
  <c r="AV85" i="2"/>
  <c r="W87" i="2" s="1"/>
  <c r="W86" i="2"/>
  <c r="BO85" i="2"/>
  <c r="AP87" i="2" s="1"/>
  <c r="V225" i="35"/>
  <c r="R532" i="5"/>
  <c r="AP86" i="2"/>
  <c r="V532" i="5"/>
  <c r="BH104" i="2"/>
  <c r="AI106" i="2" s="1"/>
  <c r="AA542" i="2"/>
  <c r="C167" i="17" s="1"/>
  <c r="AQ551" i="5"/>
  <c r="M169" i="36" s="1"/>
  <c r="AM105" i="2"/>
  <c r="H219" i="35" s="1"/>
  <c r="AK523" i="5"/>
  <c r="AD523" i="5"/>
  <c r="W512" i="5"/>
  <c r="AO523" i="5"/>
  <c r="AB513" i="5"/>
  <c r="Y547" i="5"/>
  <c r="Y532" i="5"/>
  <c r="AD532" i="5"/>
  <c r="AS542" i="2"/>
  <c r="AM542" i="2"/>
  <c r="AN105" i="2"/>
  <c r="AR542" i="2"/>
  <c r="C184" i="17" s="1"/>
  <c r="AF513" i="5"/>
  <c r="W523" i="5"/>
  <c r="W522" i="5"/>
  <c r="AM523" i="5"/>
  <c r="AG523" i="5"/>
  <c r="W532" i="5"/>
  <c r="AI542" i="2"/>
  <c r="X532" i="5"/>
  <c r="X482" i="2"/>
  <c r="S541" i="2"/>
  <c r="I541" i="2"/>
  <c r="AG231" i="35" s="1"/>
  <c r="T423" i="35"/>
  <c r="M269" i="35"/>
  <c r="M274" i="35"/>
  <c r="M270" i="35"/>
  <c r="M264" i="35"/>
  <c r="M266" i="35"/>
  <c r="M263" i="35"/>
  <c r="M268" i="35"/>
  <c r="M276" i="35"/>
  <c r="M267" i="35"/>
  <c r="M272" i="35"/>
  <c r="M271" i="35"/>
  <c r="M273" i="35"/>
  <c r="M275" i="35"/>
  <c r="M265" i="35"/>
  <c r="M262" i="35"/>
  <c r="M261" i="35"/>
  <c r="BL430" i="2"/>
  <c r="AM432" i="2" s="1"/>
  <c r="AA204" i="35"/>
  <c r="X383" i="2"/>
  <c r="AC383" i="2"/>
  <c r="BR382" i="2"/>
  <c r="AS384" i="2" s="1"/>
  <c r="AS383" i="2"/>
  <c r="AA209" i="35"/>
  <c r="S540" i="2"/>
  <c r="I540" i="2"/>
  <c r="AF231" i="35" s="1"/>
  <c r="AL550" i="2"/>
  <c r="L164" i="35" s="1"/>
  <c r="AA550" i="2"/>
  <c r="L153" i="35" s="1"/>
  <c r="AN550" i="2"/>
  <c r="L166" i="35" s="1"/>
  <c r="AR512" i="2"/>
  <c r="AO332" i="2"/>
  <c r="AP550" i="2"/>
  <c r="L168" i="35" s="1"/>
  <c r="L195" i="35" s="1"/>
  <c r="Y550" i="2"/>
  <c r="L151" i="35" s="1"/>
  <c r="I539" i="2"/>
  <c r="AE231" i="35" s="1"/>
  <c r="S539" i="2"/>
  <c r="AV251" i="2"/>
  <c r="W253" i="2" s="1"/>
  <c r="AI549" i="2"/>
  <c r="K161" i="35" s="1"/>
  <c r="AJ252" i="2"/>
  <c r="AC252" i="2"/>
  <c r="AH522" i="2"/>
  <c r="C112" i="17" s="1"/>
  <c r="BI251" i="2"/>
  <c r="AJ253" i="2" s="1"/>
  <c r="BO251" i="2"/>
  <c r="AP253" i="2" s="1"/>
  <c r="F229" i="35"/>
  <c r="P204" i="35"/>
  <c r="P212" i="35"/>
  <c r="Y549" i="2"/>
  <c r="K151" i="35" s="1"/>
  <c r="W549" i="2"/>
  <c r="K149" i="35" s="1"/>
  <c r="K176" i="35" s="1"/>
  <c r="AD549" i="2"/>
  <c r="K156" i="35" s="1"/>
  <c r="AJ549" i="2"/>
  <c r="K162" i="35" s="1"/>
  <c r="X549" i="2"/>
  <c r="K150" i="35" s="1"/>
  <c r="K177" i="35" s="1"/>
  <c r="Z549" i="2"/>
  <c r="K152" i="35" s="1"/>
  <c r="AD512" i="2"/>
  <c r="C77" i="17" s="1"/>
  <c r="V512" i="2"/>
  <c r="E230" i="35"/>
  <c r="AP512" i="2"/>
  <c r="E168" i="35" s="1"/>
  <c r="E195" i="35" s="1"/>
  <c r="AF233" i="2"/>
  <c r="X233" i="2"/>
  <c r="T426" i="35"/>
  <c r="Y210" i="35"/>
  <c r="BC184" i="2"/>
  <c r="AD186" i="2" s="1"/>
  <c r="AX184" i="2"/>
  <c r="Y186" i="2" s="1"/>
  <c r="I538" i="2"/>
  <c r="AD231" i="35" s="1"/>
  <c r="S538" i="2"/>
  <c r="H229" i="35"/>
  <c r="AK542" i="2"/>
  <c r="C177" i="17" s="1"/>
  <c r="AN542" i="2"/>
  <c r="C180" i="17" s="1"/>
  <c r="F240" i="35"/>
  <c r="F244" i="35"/>
  <c r="F247" i="35"/>
  <c r="F251" i="35"/>
  <c r="F239" i="35"/>
  <c r="F243" i="35"/>
  <c r="F248" i="35"/>
  <c r="F246" i="35"/>
  <c r="F250" i="35"/>
  <c r="F238" i="35"/>
  <c r="F242" i="35"/>
  <c r="F253" i="35"/>
  <c r="F245" i="35"/>
  <c r="F249" i="35"/>
  <c r="F252" i="35"/>
  <c r="F241" i="35"/>
  <c r="F269" i="35"/>
  <c r="F264" i="35"/>
  <c r="F267" i="35"/>
  <c r="F266" i="35"/>
  <c r="F271" i="35"/>
  <c r="F268" i="35"/>
  <c r="F273" i="35"/>
  <c r="F272" i="35"/>
  <c r="F275" i="35"/>
  <c r="F274" i="35"/>
  <c r="F261" i="35"/>
  <c r="F276" i="35"/>
  <c r="F262" i="35"/>
  <c r="F263" i="35"/>
  <c r="F270" i="35"/>
  <c r="F265" i="35"/>
  <c r="Q552" i="2"/>
  <c r="W522" i="2"/>
  <c r="C101" i="17" s="1"/>
  <c r="AN522" i="2"/>
  <c r="C118" i="17" s="1"/>
  <c r="Y522" i="2"/>
  <c r="AM548" i="2"/>
  <c r="J165" i="35" s="1"/>
  <c r="Y548" i="2"/>
  <c r="J151" i="35" s="1"/>
  <c r="AR548" i="2"/>
  <c r="J170" i="35" s="1"/>
  <c r="AL512" i="2"/>
  <c r="E164" i="35" s="1"/>
  <c r="E191" i="35" s="1"/>
  <c r="X512" i="2"/>
  <c r="AA512" i="2"/>
  <c r="AQ512" i="2"/>
  <c r="E169" i="35" s="1"/>
  <c r="E196" i="35" s="1"/>
  <c r="BI133" i="2"/>
  <c r="AJ135" i="2" s="1"/>
  <c r="AI548" i="2"/>
  <c r="J161" i="35" s="1"/>
  <c r="AI512" i="2"/>
  <c r="C82" i="17" s="1"/>
  <c r="AJ548" i="2"/>
  <c r="J162" i="35" s="1"/>
  <c r="J261" i="35"/>
  <c r="AN548" i="2"/>
  <c r="J166" i="35" s="1"/>
  <c r="W548" i="2"/>
  <c r="J149" i="35" s="1"/>
  <c r="J176" i="35" s="1"/>
  <c r="AE548" i="2"/>
  <c r="J157" i="35" s="1"/>
  <c r="AK548" i="2"/>
  <c r="J163" i="35" s="1"/>
  <c r="J190" i="35" s="1"/>
  <c r="AB548" i="2"/>
  <c r="J154" i="35" s="1"/>
  <c r="AB512" i="2"/>
  <c r="C75" i="17" s="1"/>
  <c r="AF512" i="2"/>
  <c r="W512" i="2"/>
  <c r="Y512" i="2"/>
  <c r="AK512" i="2"/>
  <c r="C84" i="17" s="1"/>
  <c r="BN85" i="2"/>
  <c r="AO87" i="2" s="1"/>
  <c r="X221" i="35"/>
  <c r="G252" i="35"/>
  <c r="G244" i="35"/>
  <c r="G251" i="35"/>
  <c r="G243" i="35"/>
  <c r="G273" i="35"/>
  <c r="G265" i="35"/>
  <c r="G253" i="35"/>
  <c r="G250" i="35"/>
  <c r="G242" i="35"/>
  <c r="G272" i="35"/>
  <c r="G264" i="35"/>
  <c r="G246" i="35"/>
  <c r="G245" i="35"/>
  <c r="G249" i="35"/>
  <c r="G241" i="35"/>
  <c r="G271" i="35"/>
  <c r="G263" i="35"/>
  <c r="G268" i="35"/>
  <c r="G266" i="35"/>
  <c r="G248" i="35"/>
  <c r="G240" i="35"/>
  <c r="G270" i="35"/>
  <c r="G262" i="35"/>
  <c r="G276" i="35"/>
  <c r="G267" i="35"/>
  <c r="G274" i="35"/>
  <c r="G247" i="35"/>
  <c r="G239" i="35"/>
  <c r="G269" i="35"/>
  <c r="G261" i="35"/>
  <c r="G238" i="35"/>
  <c r="G275" i="35"/>
  <c r="BM85" i="2"/>
  <c r="AN87" i="2" s="1"/>
  <c r="BH85" i="2"/>
  <c r="AI87" i="2" s="1"/>
  <c r="AI86" i="2"/>
  <c r="X209" i="35"/>
  <c r="D248" i="35"/>
  <c r="L77" i="32" s="1" a="1"/>
  <c r="L77" i="32" s="1"/>
  <c r="D245" i="35"/>
  <c r="D241" i="35"/>
  <c r="D253" i="35"/>
  <c r="L82" i="32" s="1" a="1"/>
  <c r="L82" i="32" s="1"/>
  <c r="D242" i="35"/>
  <c r="D252" i="35"/>
  <c r="D250" i="35"/>
  <c r="D249" i="35"/>
  <c r="L78" i="32" s="1" a="1"/>
  <c r="L78" i="32" s="1"/>
  <c r="D246" i="35"/>
  <c r="D243" i="35"/>
  <c r="D240" i="35"/>
  <c r="D251" i="35"/>
  <c r="D239" i="35"/>
  <c r="D244" i="35"/>
  <c r="D247" i="35"/>
  <c r="Q427" i="35"/>
  <c r="AC274" i="35"/>
  <c r="AM549" i="2"/>
  <c r="K165" i="35" s="1"/>
  <c r="AD550" i="2"/>
  <c r="L156" i="35" s="1"/>
  <c r="AN551" i="2"/>
  <c r="M166" i="35" s="1"/>
  <c r="BB481" i="2"/>
  <c r="AC483" i="2" s="1"/>
  <c r="I335" i="35"/>
  <c r="I427" i="35"/>
  <c r="AC266" i="35"/>
  <c r="M427" i="35"/>
  <c r="AC270" i="35"/>
  <c r="AB522" i="2"/>
  <c r="AS522" i="2"/>
  <c r="Q220" i="35"/>
  <c r="BB85" i="2"/>
  <c r="AC87" i="2" s="1"/>
  <c r="AP549" i="2"/>
  <c r="K168" i="35" s="1"/>
  <c r="K195" i="35" s="1"/>
  <c r="AE549" i="2"/>
  <c r="K157" i="35" s="1"/>
  <c r="AB551" i="2"/>
  <c r="M154" i="35" s="1"/>
  <c r="AC482" i="2"/>
  <c r="P427" i="35"/>
  <c r="AC273" i="35"/>
  <c r="AC261" i="35"/>
  <c r="AC262" i="35"/>
  <c r="AJ522" i="2"/>
  <c r="AF522" i="2"/>
  <c r="C110" i="17" s="1"/>
  <c r="AS548" i="2"/>
  <c r="J171" i="35" s="1"/>
  <c r="AH549" i="2"/>
  <c r="K160" i="35" s="1"/>
  <c r="K187" i="35" s="1"/>
  <c r="AC551" i="2"/>
  <c r="M155" i="35" s="1"/>
  <c r="M182" i="35" s="1"/>
  <c r="AH532" i="5"/>
  <c r="AE512" i="2"/>
  <c r="E157" i="35" s="1"/>
  <c r="E184" i="35" s="1"/>
  <c r="L427" i="35"/>
  <c r="AC269" i="35"/>
  <c r="H427" i="35"/>
  <c r="AC265" i="35"/>
  <c r="BM331" i="2"/>
  <c r="AN333" i="2" s="1"/>
  <c r="BR350" i="2"/>
  <c r="AS352" i="2" s="1"/>
  <c r="AG550" i="2"/>
  <c r="L159" i="35" s="1"/>
  <c r="AE547" i="5"/>
  <c r="AE532" i="5"/>
  <c r="S427" i="35"/>
  <c r="AC276" i="35"/>
  <c r="O427" i="35"/>
  <c r="AC272" i="35"/>
  <c r="AG522" i="2"/>
  <c r="C111" i="17" s="1"/>
  <c r="AQ134" i="2"/>
  <c r="AO532" i="5"/>
  <c r="O223" i="35"/>
  <c r="Z219" i="36"/>
  <c r="AM512" i="2"/>
  <c r="C86" i="17" s="1"/>
  <c r="R335" i="35"/>
  <c r="K427" i="35"/>
  <c r="AC268" i="35"/>
  <c r="AC264" i="35"/>
  <c r="AS512" i="2"/>
  <c r="E171" i="35" s="1"/>
  <c r="E198" i="35" s="1"/>
  <c r="AD522" i="2"/>
  <c r="C108" i="17" s="1"/>
  <c r="AR522" i="2"/>
  <c r="AG252" i="2"/>
  <c r="BN449" i="2"/>
  <c r="AO451" i="2" s="1"/>
  <c r="AS532" i="5"/>
  <c r="AP551" i="2"/>
  <c r="M168" i="35" s="1"/>
  <c r="M195" i="35" s="1"/>
  <c r="BL283" i="5"/>
  <c r="AM285" i="5" s="1"/>
  <c r="R427" i="35"/>
  <c r="AC275" i="35"/>
  <c r="N427" i="35"/>
  <c r="AC271" i="35"/>
  <c r="AL522" i="2"/>
  <c r="AO450" i="2"/>
  <c r="AF532" i="5"/>
  <c r="AC532" i="5"/>
  <c r="AB549" i="2"/>
  <c r="K154" i="35" s="1"/>
  <c r="AR551" i="2"/>
  <c r="M170" i="35" s="1"/>
  <c r="AA551" i="2"/>
  <c r="M153" i="35" s="1"/>
  <c r="AE551" i="2"/>
  <c r="M157" i="35" s="1"/>
  <c r="AG512" i="2"/>
  <c r="S335" i="35"/>
  <c r="J427" i="35"/>
  <c r="AC267" i="35"/>
  <c r="F427" i="35"/>
  <c r="AC263" i="35"/>
  <c r="AE522" i="2"/>
  <c r="C109" i="17" s="1"/>
  <c r="AF551" i="5"/>
  <c r="M158" i="36" s="1"/>
  <c r="AF512" i="5"/>
  <c r="AE543" i="2"/>
  <c r="D171" i="17" s="1"/>
  <c r="R542" i="2"/>
  <c r="I537" i="2"/>
  <c r="S537" i="2"/>
  <c r="BM53" i="2"/>
  <c r="AN55" i="2" s="1"/>
  <c r="BI53" i="2"/>
  <c r="AJ55" i="2" s="1"/>
  <c r="AJ54" i="2"/>
  <c r="N225" i="35"/>
  <c r="BR34" i="2"/>
  <c r="AS36" i="2" s="1"/>
  <c r="BC34" i="2"/>
  <c r="AD36" i="2" s="1"/>
  <c r="G243" i="36"/>
  <c r="G264" i="36"/>
  <c r="G249" i="36"/>
  <c r="G266" i="36"/>
  <c r="G269" i="36"/>
  <c r="G270" i="36"/>
  <c r="G265" i="36"/>
  <c r="G242" i="36"/>
  <c r="G261" i="36"/>
  <c r="G251" i="36"/>
  <c r="G271" i="36"/>
  <c r="G273" i="36"/>
  <c r="G253" i="36"/>
  <c r="G276" i="36"/>
  <c r="G262" i="36"/>
  <c r="G241" i="36"/>
  <c r="G275" i="36"/>
  <c r="G268" i="36"/>
  <c r="G267" i="36"/>
  <c r="G239" i="36"/>
  <c r="G248" i="36"/>
  <c r="G245" i="36"/>
  <c r="G250" i="36"/>
  <c r="G272" i="36"/>
  <c r="G238" i="36"/>
  <c r="G246" i="36"/>
  <c r="G244" i="36"/>
  <c r="G240" i="36"/>
  <c r="G247" i="36"/>
  <c r="G263" i="36"/>
  <c r="G274" i="36"/>
  <c r="AO504" i="5"/>
  <c r="F169" i="36"/>
  <c r="F196" i="36" s="1"/>
  <c r="W551" i="5"/>
  <c r="AA566" i="5"/>
  <c r="I511" i="5"/>
  <c r="S511" i="5"/>
  <c r="Z225" i="36"/>
  <c r="X522" i="2"/>
  <c r="C102" i="17" s="1"/>
  <c r="X550" i="2"/>
  <c r="L150" i="35" s="1"/>
  <c r="L177" i="35" s="1"/>
  <c r="AO550" i="2"/>
  <c r="L167" i="35" s="1"/>
  <c r="AO522" i="2"/>
  <c r="AC550" i="2"/>
  <c r="L155" i="35" s="1"/>
  <c r="AO512" i="2"/>
  <c r="E167" i="35" s="1"/>
  <c r="E194" i="35" s="1"/>
  <c r="E229" i="35"/>
  <c r="U225" i="35"/>
  <c r="AM522" i="2"/>
  <c r="C117" i="17" s="1"/>
  <c r="F230" i="35"/>
  <c r="AC522" i="2"/>
  <c r="C107" i="17" s="1"/>
  <c r="AH512" i="2"/>
  <c r="E160" i="35" s="1"/>
  <c r="E187" i="35" s="1"/>
  <c r="AN512" i="2"/>
  <c r="C87" i="17" s="1"/>
  <c r="BI449" i="2"/>
  <c r="AJ451" i="2" s="1"/>
  <c r="AJ450" i="2"/>
  <c r="W216" i="35"/>
  <c r="Z450" i="2"/>
  <c r="AY449" i="2"/>
  <c r="Z451" i="2" s="1"/>
  <c r="AL450" i="2"/>
  <c r="BK449" i="2"/>
  <c r="AL451" i="2" s="1"/>
  <c r="BG449" i="2"/>
  <c r="AH451" i="2" s="1"/>
  <c r="AH450" i="2"/>
  <c r="AQ450" i="2"/>
  <c r="BP449" i="2"/>
  <c r="AQ451" i="2" s="1"/>
  <c r="AC450" i="2"/>
  <c r="BB449" i="2"/>
  <c r="AC451" i="2" s="1"/>
  <c r="W209" i="35"/>
  <c r="BJ449" i="2"/>
  <c r="AK451" i="2" s="1"/>
  <c r="AK450" i="2"/>
  <c r="AE450" i="2"/>
  <c r="BD449" i="2"/>
  <c r="AE451" i="2" s="1"/>
  <c r="W211" i="35"/>
  <c r="I521" i="2"/>
  <c r="W231" i="35" s="1"/>
  <c r="S521" i="2"/>
  <c r="BL449" i="2"/>
  <c r="AM451" i="2" s="1"/>
  <c r="AM450" i="2"/>
  <c r="AF450" i="2"/>
  <c r="BE449" i="2"/>
  <c r="AF451" i="2" s="1"/>
  <c r="AG450" i="2"/>
  <c r="BF449" i="2"/>
  <c r="AG451" i="2" s="1"/>
  <c r="W450" i="2"/>
  <c r="AV449" i="2"/>
  <c r="W451" i="2" s="1"/>
  <c r="AI450" i="2"/>
  <c r="BH449" i="2"/>
  <c r="AI451" i="2" s="1"/>
  <c r="AA450" i="2"/>
  <c r="AZ449" i="2"/>
  <c r="AA451" i="2" s="1"/>
  <c r="BA449" i="2"/>
  <c r="AB451" i="2" s="1"/>
  <c r="AB450" i="2"/>
  <c r="W206" i="35"/>
  <c r="AK522" i="2"/>
  <c r="C115" i="17" s="1"/>
  <c r="AP450" i="2"/>
  <c r="BO449" i="2"/>
  <c r="AP451" i="2" s="1"/>
  <c r="AW449" i="2"/>
  <c r="X451" i="2" s="1"/>
  <c r="X450" i="2"/>
  <c r="BR449" i="2"/>
  <c r="AS451" i="2" s="1"/>
  <c r="AS450" i="2"/>
  <c r="W225" i="35"/>
  <c r="AJ431" i="2"/>
  <c r="BI430" i="2"/>
  <c r="AJ432" i="2" s="1"/>
  <c r="Z431" i="2"/>
  <c r="AY430" i="2"/>
  <c r="Z432" i="2" s="1"/>
  <c r="AB431" i="2"/>
  <c r="BA430" i="2"/>
  <c r="AB432" i="2" s="1"/>
  <c r="AF431" i="2"/>
  <c r="BE430" i="2"/>
  <c r="AF432" i="2" s="1"/>
  <c r="AE431" i="2"/>
  <c r="BD430" i="2"/>
  <c r="AE432" i="2" s="1"/>
  <c r="AQ431" i="2"/>
  <c r="BP430" i="2"/>
  <c r="AQ432" i="2" s="1"/>
  <c r="AA431" i="2"/>
  <c r="AZ430" i="2"/>
  <c r="AA432" i="2" s="1"/>
  <c r="X431" i="2"/>
  <c r="AW430" i="2"/>
  <c r="X432" i="2" s="1"/>
  <c r="BR430" i="2"/>
  <c r="AS432" i="2" s="1"/>
  <c r="AS431" i="2"/>
  <c r="I511" i="2"/>
  <c r="R231" i="35" s="1"/>
  <c r="S511" i="2"/>
  <c r="BH430" i="2"/>
  <c r="AI432" i="2" s="1"/>
  <c r="AI431" i="2"/>
  <c r="AX430" i="2"/>
  <c r="Y432" i="2" s="1"/>
  <c r="Y431" i="2"/>
  <c r="AL431" i="2"/>
  <c r="BK430" i="2"/>
  <c r="AL432" i="2" s="1"/>
  <c r="AN431" i="2"/>
  <c r="BM430" i="2"/>
  <c r="AN432" i="2" s="1"/>
  <c r="AP431" i="2"/>
  <c r="BO430" i="2"/>
  <c r="AP432" i="2" s="1"/>
  <c r="AQ351" i="2"/>
  <c r="BP350" i="2"/>
  <c r="AQ352" i="2" s="1"/>
  <c r="AK351" i="2"/>
  <c r="BJ350" i="2"/>
  <c r="AK352" i="2" s="1"/>
  <c r="AF351" i="2"/>
  <c r="BE350" i="2"/>
  <c r="AF352" i="2" s="1"/>
  <c r="AR351" i="2"/>
  <c r="BQ350" i="2"/>
  <c r="AR352" i="2" s="1"/>
  <c r="AN351" i="2"/>
  <c r="BM350" i="2"/>
  <c r="AN352" i="2" s="1"/>
  <c r="AD351" i="2"/>
  <c r="BC350" i="2"/>
  <c r="AD352" i="2" s="1"/>
  <c r="I520" i="2"/>
  <c r="V231" i="35" s="1"/>
  <c r="S520" i="2"/>
  <c r="AP522" i="2"/>
  <c r="C120" i="17" s="1"/>
  <c r="AA522" i="2"/>
  <c r="C105" i="17" s="1"/>
  <c r="AE351" i="2"/>
  <c r="BD350" i="2"/>
  <c r="AE352" i="2" s="1"/>
  <c r="AL351" i="2"/>
  <c r="BK350" i="2"/>
  <c r="AL352" i="2" s="1"/>
  <c r="AG351" i="2"/>
  <c r="BF350" i="2"/>
  <c r="AG352" i="2" s="1"/>
  <c r="AI522" i="2"/>
  <c r="AJ351" i="2"/>
  <c r="BI350" i="2"/>
  <c r="AJ352" i="2" s="1"/>
  <c r="W351" i="2"/>
  <c r="AV350" i="2"/>
  <c r="W352" i="2" s="1"/>
  <c r="AO351" i="2"/>
  <c r="BN350" i="2"/>
  <c r="AO352" i="2" s="1"/>
  <c r="AM351" i="2"/>
  <c r="BL350" i="2"/>
  <c r="AM352" i="2" s="1"/>
  <c r="AH351" i="2"/>
  <c r="BG350" i="2"/>
  <c r="AH352" i="2" s="1"/>
  <c r="AA351" i="2"/>
  <c r="AZ350" i="2"/>
  <c r="AA352" i="2" s="1"/>
  <c r="Z351" i="2"/>
  <c r="AY350" i="2"/>
  <c r="Z352" i="2" s="1"/>
  <c r="Y351" i="2"/>
  <c r="AX350" i="2"/>
  <c r="Y352" i="2" s="1"/>
  <c r="V216" i="35"/>
  <c r="AH332" i="2"/>
  <c r="BG331" i="2"/>
  <c r="AH333" i="2" s="1"/>
  <c r="AF332" i="2"/>
  <c r="BE331" i="2"/>
  <c r="AF333" i="2" s="1"/>
  <c r="AA332" i="2"/>
  <c r="AZ331" i="2"/>
  <c r="AA333" i="2" s="1"/>
  <c r="AG332" i="2"/>
  <c r="BF331" i="2"/>
  <c r="AG333" i="2" s="1"/>
  <c r="AJ332" i="2"/>
  <c r="BI331" i="2"/>
  <c r="AJ333" i="2" s="1"/>
  <c r="AI332" i="2"/>
  <c r="BH331" i="2"/>
  <c r="AI333" i="2" s="1"/>
  <c r="AL332" i="2"/>
  <c r="BK331" i="2"/>
  <c r="AL333" i="2" s="1"/>
  <c r="AP332" i="2"/>
  <c r="BO331" i="2"/>
  <c r="AP333" i="2" s="1"/>
  <c r="AR332" i="2"/>
  <c r="BQ331" i="2"/>
  <c r="AR333" i="2" s="1"/>
  <c r="AB332" i="2"/>
  <c r="BA331" i="2"/>
  <c r="AB333" i="2" s="1"/>
  <c r="AQ332" i="2"/>
  <c r="BP331" i="2"/>
  <c r="AQ333" i="2" s="1"/>
  <c r="AK332" i="2"/>
  <c r="BJ331" i="2"/>
  <c r="AK333" i="2" s="1"/>
  <c r="AM332" i="2"/>
  <c r="BL331" i="2"/>
  <c r="AM333" i="2" s="1"/>
  <c r="AC332" i="2"/>
  <c r="BB331" i="2"/>
  <c r="AC333" i="2" s="1"/>
  <c r="AS332" i="2"/>
  <c r="BR331" i="2"/>
  <c r="AS333" i="2" s="1"/>
  <c r="I510" i="2"/>
  <c r="Q231" i="35" s="1"/>
  <c r="S510" i="2"/>
  <c r="BN251" i="2"/>
  <c r="AO253" i="2" s="1"/>
  <c r="AO252" i="2"/>
  <c r="I519" i="2"/>
  <c r="U231" i="35" s="1"/>
  <c r="S519" i="2"/>
  <c r="BA251" i="2"/>
  <c r="AB253" i="2" s="1"/>
  <c r="AB252" i="2"/>
  <c r="AM252" i="2"/>
  <c r="BL251" i="2"/>
  <c r="AM253" i="2" s="1"/>
  <c r="AE252" i="2"/>
  <c r="BD251" i="2"/>
  <c r="AE253" i="2" s="1"/>
  <c r="AZ251" i="2"/>
  <c r="AA253" i="2" s="1"/>
  <c r="AA252" i="2"/>
  <c r="AY251" i="2"/>
  <c r="Z253" i="2" s="1"/>
  <c r="Z252" i="2"/>
  <c r="V522" i="2"/>
  <c r="BJ251" i="2"/>
  <c r="AK253" i="2" s="1"/>
  <c r="AK252" i="2"/>
  <c r="X252" i="2"/>
  <c r="AW251" i="2"/>
  <c r="X253" i="2" s="1"/>
  <c r="AH252" i="2"/>
  <c r="BG251" i="2"/>
  <c r="AH253" i="2" s="1"/>
  <c r="AN252" i="2"/>
  <c r="BM251" i="2"/>
  <c r="AN253" i="2" s="1"/>
  <c r="AX251" i="2"/>
  <c r="Y253" i="2" s="1"/>
  <c r="Y252" i="2"/>
  <c r="BQ251" i="2"/>
  <c r="AR253" i="2" s="1"/>
  <c r="AR252" i="2"/>
  <c r="I509" i="2"/>
  <c r="P231" i="35" s="1"/>
  <c r="S509" i="2"/>
  <c r="BA232" i="2"/>
  <c r="AB234" i="2" s="1"/>
  <c r="AB233" i="2"/>
  <c r="AC512" i="2"/>
  <c r="AJ512" i="2"/>
  <c r="BI232" i="2"/>
  <c r="AJ234" i="2" s="1"/>
  <c r="AJ233" i="2"/>
  <c r="BM232" i="2"/>
  <c r="AN234" i="2" s="1"/>
  <c r="AN233" i="2"/>
  <c r="Y233" i="2"/>
  <c r="AX232" i="2"/>
  <c r="Y234" i="2" s="1"/>
  <c r="AE153" i="2"/>
  <c r="BD152" i="2"/>
  <c r="AE154" i="2" s="1"/>
  <c r="BF152" i="2"/>
  <c r="AG154" i="2" s="1"/>
  <c r="AG153" i="2"/>
  <c r="BB152" i="2"/>
  <c r="AC154" i="2" s="1"/>
  <c r="AC153" i="2"/>
  <c r="Z522" i="2"/>
  <c r="AX152" i="2"/>
  <c r="Y154" i="2" s="1"/>
  <c r="Y153" i="2"/>
  <c r="AQ522" i="2"/>
  <c r="C121" i="17" s="1"/>
  <c r="X153" i="2"/>
  <c r="AW152" i="2"/>
  <c r="X154" i="2" s="1"/>
  <c r="BE152" i="2"/>
  <c r="AF154" i="2" s="1"/>
  <c r="AF153" i="2"/>
  <c r="Z153" i="2"/>
  <c r="AY152" i="2"/>
  <c r="Z154" i="2" s="1"/>
  <c r="BA152" i="2"/>
  <c r="AB154" i="2" s="1"/>
  <c r="AB153" i="2"/>
  <c r="AN153" i="2"/>
  <c r="BM152" i="2"/>
  <c r="AN154" i="2" s="1"/>
  <c r="BC152" i="2"/>
  <c r="AD154" i="2" s="1"/>
  <c r="AD153" i="2"/>
  <c r="BR152" i="2"/>
  <c r="AS154" i="2" s="1"/>
  <c r="AS153" i="2"/>
  <c r="T225" i="35"/>
  <c r="BJ152" i="2"/>
  <c r="AK154" i="2" s="1"/>
  <c r="AK153" i="2"/>
  <c r="W153" i="2"/>
  <c r="AV152" i="2"/>
  <c r="W154" i="2" s="1"/>
  <c r="BO152" i="2"/>
  <c r="AP154" i="2" s="1"/>
  <c r="AP153" i="2"/>
  <c r="T222" i="35"/>
  <c r="BN152" i="2"/>
  <c r="AO154" i="2" s="1"/>
  <c r="AO153" i="2"/>
  <c r="AA153" i="2"/>
  <c r="AZ152" i="2"/>
  <c r="AA154" i="2" s="1"/>
  <c r="BH152" i="2"/>
  <c r="AI154" i="2" s="1"/>
  <c r="AI153" i="2"/>
  <c r="S518" i="2"/>
  <c r="BP152" i="2"/>
  <c r="AQ154" i="2" s="1"/>
  <c r="AQ153" i="2"/>
  <c r="AN134" i="2"/>
  <c r="BM133" i="2"/>
  <c r="AN135" i="2" s="1"/>
  <c r="BK133" i="2"/>
  <c r="AL135" i="2" s="1"/>
  <c r="AL134" i="2"/>
  <c r="AB134" i="2"/>
  <c r="BA133" i="2"/>
  <c r="AB135" i="2" s="1"/>
  <c r="BQ133" i="2"/>
  <c r="AR135" i="2" s="1"/>
  <c r="AR134" i="2"/>
  <c r="X134" i="2"/>
  <c r="AW133" i="2"/>
  <c r="X135" i="2" s="1"/>
  <c r="I508" i="2"/>
  <c r="O231" i="35" s="1"/>
  <c r="S508" i="2"/>
  <c r="Z512" i="2"/>
  <c r="E152" i="35" s="1"/>
  <c r="E179" i="35" s="1"/>
  <c r="BR133" i="2"/>
  <c r="AS135" i="2" s="1"/>
  <c r="AS134" i="2"/>
  <c r="AH134" i="2"/>
  <c r="BG133" i="2"/>
  <c r="AH135" i="2" s="1"/>
  <c r="Z134" i="2"/>
  <c r="AY133" i="2"/>
  <c r="Z135" i="2" s="1"/>
  <c r="AF134" i="2"/>
  <c r="BE133" i="2"/>
  <c r="AF135" i="2" s="1"/>
  <c r="BC133" i="2"/>
  <c r="AD135" i="2" s="1"/>
  <c r="AD134" i="2"/>
  <c r="X54" i="2"/>
  <c r="AW53" i="2"/>
  <c r="X55" i="2" s="1"/>
  <c r="AK54" i="2"/>
  <c r="BJ53" i="2"/>
  <c r="AK55" i="2" s="1"/>
  <c r="AF54" i="2"/>
  <c r="BE53" i="2"/>
  <c r="AF55" i="2" s="1"/>
  <c r="AP54" i="2"/>
  <c r="BO53" i="2"/>
  <c r="AP55" i="2" s="1"/>
  <c r="S222" i="35"/>
  <c r="AR54" i="2"/>
  <c r="BQ53" i="2"/>
  <c r="AR55" i="2" s="1"/>
  <c r="AI54" i="2"/>
  <c r="BH53" i="2"/>
  <c r="AI55" i="2" s="1"/>
  <c r="AH54" i="2"/>
  <c r="BG53" i="2"/>
  <c r="AH55" i="2" s="1"/>
  <c r="BA53" i="2"/>
  <c r="AB55" i="2" s="1"/>
  <c r="AB54" i="2"/>
  <c r="AQ54" i="2"/>
  <c r="BP53" i="2"/>
  <c r="AQ55" i="2" s="1"/>
  <c r="S223" i="35"/>
  <c r="AE54" i="2"/>
  <c r="BD53" i="2"/>
  <c r="AE55" i="2" s="1"/>
  <c r="R522" i="2"/>
  <c r="I517" i="2"/>
  <c r="S517" i="2"/>
  <c r="AC54" i="2"/>
  <c r="BB53" i="2"/>
  <c r="AC55" i="2" s="1"/>
  <c r="AF35" i="2"/>
  <c r="BE34" i="2"/>
  <c r="AF36" i="2" s="1"/>
  <c r="H316" i="35"/>
  <c r="BN34" i="2"/>
  <c r="AO36" i="2" s="1"/>
  <c r="AO35" i="2"/>
  <c r="T451" i="35"/>
  <c r="E427" i="35"/>
  <c r="BF34" i="2"/>
  <c r="AG36" i="2" s="1"/>
  <c r="AG35" i="2"/>
  <c r="H317" i="35"/>
  <c r="AM35" i="2"/>
  <c r="BL34" i="2"/>
  <c r="AM36" i="2" s="1"/>
  <c r="AJ35" i="2"/>
  <c r="BI34" i="2"/>
  <c r="AJ36" i="2" s="1"/>
  <c r="H308" i="35"/>
  <c r="I319" i="35"/>
  <c r="H319" i="35"/>
  <c r="AQ35" i="2"/>
  <c r="BP34" i="2"/>
  <c r="AQ36" i="2" s="1"/>
  <c r="AE35" i="2"/>
  <c r="BD34" i="2"/>
  <c r="AE36" i="2" s="1"/>
  <c r="R512" i="2"/>
  <c r="I507" i="2"/>
  <c r="S507" i="2"/>
  <c r="H305" i="35"/>
  <c r="AL35" i="2"/>
  <c r="BK34" i="2"/>
  <c r="AL36" i="2" s="1"/>
  <c r="AA35" i="2"/>
  <c r="AZ34" i="2"/>
  <c r="AA36" i="2" s="1"/>
  <c r="H307" i="35"/>
  <c r="AN35" i="2"/>
  <c r="BM34" i="2"/>
  <c r="AN36" i="2" s="1"/>
  <c r="W35" i="2"/>
  <c r="AV34" i="2"/>
  <c r="W36" i="2" s="1"/>
  <c r="AR35" i="2"/>
  <c r="BQ34" i="2"/>
  <c r="AR36" i="2" s="1"/>
  <c r="AK35" i="2"/>
  <c r="BJ34" i="2"/>
  <c r="AK36" i="2" s="1"/>
  <c r="H309" i="35"/>
  <c r="I309" i="35"/>
  <c r="AH35" i="2"/>
  <c r="BG34" i="2"/>
  <c r="AH36" i="2" s="1"/>
  <c r="H318" i="35"/>
  <c r="D318" i="35" s="1"/>
  <c r="I318" i="35"/>
  <c r="AI35" i="2"/>
  <c r="BH34" i="2"/>
  <c r="AI36" i="2" s="1"/>
  <c r="AB35" i="2"/>
  <c r="BA34" i="2"/>
  <c r="AB36" i="2" s="1"/>
  <c r="I531" i="5"/>
  <c r="AB231" i="36" s="1"/>
  <c r="R551" i="5"/>
  <c r="S531" i="5"/>
  <c r="D229" i="36"/>
  <c r="Z218" i="36"/>
  <c r="AR564" i="5"/>
  <c r="AR565" i="5" s="1"/>
  <c r="G229" i="36"/>
  <c r="X181" i="36"/>
  <c r="D230" i="35"/>
  <c r="D13" i="32" s="1" a="1"/>
  <c r="D13" i="32" s="1"/>
  <c r="Z204" i="35"/>
  <c r="AW283" i="2"/>
  <c r="X285" i="2" s="1"/>
  <c r="V532" i="2"/>
  <c r="Z211" i="35"/>
  <c r="AE284" i="2"/>
  <c r="AL284" i="2"/>
  <c r="AL306" i="2" s="1"/>
  <c r="Z218" i="35"/>
  <c r="G471" i="35"/>
  <c r="D471" i="35" s="1"/>
  <c r="C34" i="32" s="1" a="1"/>
  <c r="C34" i="32" s="1"/>
  <c r="G465" i="35"/>
  <c r="D465" i="35" s="1"/>
  <c r="C28" i="32" s="1" a="1"/>
  <c r="C28" i="32" s="1"/>
  <c r="G474" i="35"/>
  <c r="D474" i="35" s="1"/>
  <c r="C37" i="32" s="1" a="1"/>
  <c r="C37" i="32" s="1"/>
  <c r="K271" i="35"/>
  <c r="K265" i="35"/>
  <c r="K276" i="35"/>
  <c r="T425" i="35"/>
  <c r="K268" i="35"/>
  <c r="K269" i="35"/>
  <c r="K264" i="35"/>
  <c r="K267" i="35"/>
  <c r="K266" i="35"/>
  <c r="K273" i="35"/>
  <c r="K272" i="35"/>
  <c r="K270" i="35"/>
  <c r="K262" i="35"/>
  <c r="K274" i="35"/>
  <c r="K263" i="35"/>
  <c r="K275" i="35"/>
  <c r="K261" i="35"/>
  <c r="G463" i="35"/>
  <c r="D463" i="35" s="1"/>
  <c r="C26" i="32" s="1" a="1"/>
  <c r="C26" i="32" s="1"/>
  <c r="G469" i="35"/>
  <c r="D469" i="35" s="1"/>
  <c r="C32" i="32" s="1" a="1"/>
  <c r="C32" i="32" s="1"/>
  <c r="G467" i="35"/>
  <c r="D467" i="35" s="1"/>
  <c r="C30" i="32" s="1" a="1"/>
  <c r="C30" i="32" s="1"/>
  <c r="D229" i="35"/>
  <c r="D11" i="32" s="1" a="1"/>
  <c r="D11" i="32" s="1"/>
  <c r="G473" i="35"/>
  <c r="D473" i="35" s="1"/>
  <c r="C36" i="32" s="1" a="1"/>
  <c r="C36" i="32" s="1"/>
  <c r="J562" i="2"/>
  <c r="G477" i="35"/>
  <c r="D477" i="35" s="1"/>
  <c r="C40" i="32" s="1" a="1"/>
  <c r="C40" i="32" s="1"/>
  <c r="G470" i="35"/>
  <c r="D470" i="35" s="1"/>
  <c r="C33" i="32" s="1" a="1"/>
  <c r="C33" i="32" s="1"/>
  <c r="G476" i="35"/>
  <c r="D476" i="35" s="1"/>
  <c r="C39" i="32" s="1" a="1"/>
  <c r="C39" i="32" s="1"/>
  <c r="G229" i="35"/>
  <c r="G468" i="35"/>
  <c r="D468" i="35" s="1"/>
  <c r="C31" i="32" s="1" a="1"/>
  <c r="C31" i="32" s="1"/>
  <c r="G464" i="35"/>
  <c r="D464" i="35" s="1"/>
  <c r="C27" i="32" s="1" a="1"/>
  <c r="C27" i="32" s="1"/>
  <c r="G462" i="35"/>
  <c r="D462" i="35" s="1"/>
  <c r="C25" i="32" s="1" a="1"/>
  <c r="C25" i="32" s="1"/>
  <c r="G459" i="35"/>
  <c r="D459" i="35" s="1"/>
  <c r="C22" i="32" s="1" a="1"/>
  <c r="C22" i="32" s="1"/>
  <c r="G230" i="35"/>
  <c r="G460" i="35"/>
  <c r="D460" i="35" s="1"/>
  <c r="C23" i="32" s="1" a="1"/>
  <c r="C23" i="32" s="1"/>
  <c r="AN86" i="2"/>
  <c r="X216" i="35"/>
  <c r="BI85" i="2"/>
  <c r="AJ87" i="2" s="1"/>
  <c r="BR382" i="5"/>
  <c r="AS384" i="5" s="1"/>
  <c r="AS383" i="5"/>
  <c r="AA225" i="36"/>
  <c r="R550" i="5"/>
  <c r="I550" i="5" s="1"/>
  <c r="I530" i="5"/>
  <c r="AA231" i="36" s="1"/>
  <c r="L249" i="36"/>
  <c r="L239" i="36"/>
  <c r="L248" i="36"/>
  <c r="L274" i="36"/>
  <c r="L246" i="36"/>
  <c r="L265" i="36"/>
  <c r="L250" i="36"/>
  <c r="L264" i="36"/>
  <c r="L266" i="36"/>
  <c r="L252" i="36"/>
  <c r="L273" i="36"/>
  <c r="L247" i="36"/>
  <c r="L275" i="36"/>
  <c r="L262" i="36"/>
  <c r="L241" i="36"/>
  <c r="L276" i="36"/>
  <c r="L271" i="36"/>
  <c r="L263" i="36"/>
  <c r="L251" i="36"/>
  <c r="L244" i="36"/>
  <c r="L245" i="36"/>
  <c r="L272" i="36"/>
  <c r="L270" i="36"/>
  <c r="L242" i="36"/>
  <c r="L269" i="36"/>
  <c r="L268" i="36"/>
  <c r="L253" i="36"/>
  <c r="L238" i="36"/>
  <c r="L267" i="36"/>
  <c r="L261" i="36"/>
  <c r="L243" i="36"/>
  <c r="L240" i="36"/>
  <c r="W383" i="5"/>
  <c r="AV382" i="5"/>
  <c r="W384" i="5" s="1"/>
  <c r="AA203" i="36"/>
  <c r="BH382" i="5"/>
  <c r="AI384" i="5" s="1"/>
  <c r="AI383" i="5"/>
  <c r="AA215" i="36"/>
  <c r="AA550" i="5"/>
  <c r="AZ382" i="5"/>
  <c r="AA384" i="5" s="1"/>
  <c r="AA383" i="5"/>
  <c r="AA207" i="36"/>
  <c r="AC383" i="5"/>
  <c r="BB382" i="5"/>
  <c r="AC384" i="5" s="1"/>
  <c r="AA209" i="36"/>
  <c r="AQ549" i="5"/>
  <c r="AG284" i="5"/>
  <c r="BF283" i="5"/>
  <c r="AG285" i="5" s="1"/>
  <c r="Z213" i="36"/>
  <c r="AE564" i="5"/>
  <c r="AE565" i="5" s="1"/>
  <c r="AE566" i="5" s="1"/>
  <c r="AI549" i="5"/>
  <c r="Z284" i="5"/>
  <c r="AY283" i="5"/>
  <c r="Z285" i="5" s="1"/>
  <c r="Z206" i="36"/>
  <c r="AM549" i="5"/>
  <c r="K165" i="36" s="1"/>
  <c r="AA564" i="5"/>
  <c r="AA565" i="5" s="1"/>
  <c r="K265" i="36"/>
  <c r="K240" i="36"/>
  <c r="K249" i="36"/>
  <c r="K238" i="36"/>
  <c r="K252" i="36"/>
  <c r="K263" i="36"/>
  <c r="K270" i="36"/>
  <c r="K261" i="36"/>
  <c r="K262" i="36"/>
  <c r="K246" i="36"/>
  <c r="K242" i="36"/>
  <c r="K271" i="36"/>
  <c r="K239" i="36"/>
  <c r="K244" i="36"/>
  <c r="K241" i="36"/>
  <c r="K272" i="36"/>
  <c r="K274" i="36"/>
  <c r="K273" i="36"/>
  <c r="K251" i="36"/>
  <c r="K269" i="36"/>
  <c r="K276" i="36"/>
  <c r="K267" i="36"/>
  <c r="K266" i="36"/>
  <c r="K253" i="36"/>
  <c r="K248" i="36"/>
  <c r="K243" i="36"/>
  <c r="K268" i="36"/>
  <c r="K247" i="36"/>
  <c r="K245" i="36"/>
  <c r="K264" i="36"/>
  <c r="K275" i="36"/>
  <c r="K250" i="36"/>
  <c r="AD373" i="35"/>
  <c r="AF375" i="35"/>
  <c r="AD374" i="35"/>
  <c r="W375" i="35"/>
  <c r="W374" i="35"/>
  <c r="X376" i="35"/>
  <c r="AB376" i="35"/>
  <c r="AG373" i="35"/>
  <c r="AD375" i="35"/>
  <c r="AB374" i="35"/>
  <c r="AG374" i="35"/>
  <c r="AD376" i="35"/>
  <c r="AJ376" i="35"/>
  <c r="AK373" i="35"/>
  <c r="AH375" i="35"/>
  <c r="Y375" i="35"/>
  <c r="X373" i="35"/>
  <c r="AF373" i="35"/>
  <c r="W373" i="35"/>
  <c r="AB375" i="35"/>
  <c r="Z374" i="35"/>
  <c r="AK374" i="35"/>
  <c r="AE374" i="35"/>
  <c r="AE376" i="35"/>
  <c r="Z376" i="35"/>
  <c r="Y376" i="35"/>
  <c r="AJ375" i="35"/>
  <c r="Z375" i="35"/>
  <c r="X374" i="35"/>
  <c r="AI374" i="35"/>
  <c r="AC374" i="35"/>
  <c r="AK375" i="35"/>
  <c r="AG375" i="35"/>
  <c r="AF374" i="35"/>
  <c r="V376" i="35"/>
  <c r="Z373" i="35"/>
  <c r="X375" i="35"/>
  <c r="V374" i="35"/>
  <c r="V373" i="35"/>
  <c r="AA374" i="35"/>
  <c r="AI375" i="35"/>
  <c r="AE375" i="35"/>
  <c r="AK376" i="35"/>
  <c r="AI376" i="35"/>
  <c r="AA373" i="35"/>
  <c r="AH373" i="35"/>
  <c r="Y373" i="35"/>
  <c r="AC373" i="35"/>
  <c r="V375" i="35"/>
  <c r="Y374" i="35"/>
  <c r="AG376" i="35"/>
  <c r="AC375" i="35"/>
  <c r="W376" i="35"/>
  <c r="AE373" i="35"/>
  <c r="AI373" i="35"/>
  <c r="AJ373" i="35"/>
  <c r="AB373" i="35"/>
  <c r="AJ374" i="35"/>
  <c r="AH374" i="35"/>
  <c r="AC376" i="35"/>
  <c r="AA375" i="35"/>
  <c r="AH376" i="35"/>
  <c r="AF376" i="35"/>
  <c r="AA376" i="35"/>
  <c r="R549" i="5"/>
  <c r="I529" i="5"/>
  <c r="AI564" i="5"/>
  <c r="AI565" i="5" s="1"/>
  <c r="AQ284" i="5"/>
  <c r="BP283" i="5"/>
  <c r="AQ285" i="5" s="1"/>
  <c r="Z223" i="36"/>
  <c r="AD284" i="5"/>
  <c r="BC283" i="5"/>
  <c r="AD285" i="5" s="1"/>
  <c r="Z210" i="36"/>
  <c r="AR284" i="5"/>
  <c r="BQ283" i="5"/>
  <c r="AR285" i="5" s="1"/>
  <c r="Z224" i="36"/>
  <c r="AF284" i="5"/>
  <c r="AF306" i="5" s="1"/>
  <c r="BE283" i="5"/>
  <c r="AF285" i="5" s="1"/>
  <c r="Z212" i="36"/>
  <c r="BJ283" i="5"/>
  <c r="AK285" i="5" s="1"/>
  <c r="AK284" i="5"/>
  <c r="Z217" i="36"/>
  <c r="AE284" i="5"/>
  <c r="BD283" i="5"/>
  <c r="AE285" i="5" s="1"/>
  <c r="Z211" i="36"/>
  <c r="AE549" i="5"/>
  <c r="Y549" i="5"/>
  <c r="AM564" i="5"/>
  <c r="AM565" i="5" s="1"/>
  <c r="Z203" i="36"/>
  <c r="W284" i="5"/>
  <c r="AV283" i="5"/>
  <c r="W285" i="5" s="1"/>
  <c r="AI284" i="5"/>
  <c r="BH283" i="5"/>
  <c r="AI285" i="5" s="1"/>
  <c r="Z215" i="36"/>
  <c r="AB284" i="5"/>
  <c r="AB306" i="5" s="1"/>
  <c r="BA283" i="5"/>
  <c r="AB285" i="5" s="1"/>
  <c r="Z208" i="36"/>
  <c r="AR549" i="5"/>
  <c r="X284" i="5"/>
  <c r="Z204" i="36"/>
  <c r="AW283" i="5"/>
  <c r="X285" i="5" s="1"/>
  <c r="Y284" i="5"/>
  <c r="AX283" i="5"/>
  <c r="Y285" i="5" s="1"/>
  <c r="Z205" i="36"/>
  <c r="AQ564" i="5"/>
  <c r="AQ565" i="5" s="1"/>
  <c r="AN284" i="5"/>
  <c r="BM283" i="5"/>
  <c r="AN285" i="5" s="1"/>
  <c r="Z220" i="36"/>
  <c r="Z549" i="5"/>
  <c r="AE207" i="5"/>
  <c r="Z207" i="5"/>
  <c r="AS564" i="5"/>
  <c r="AS565" i="5" s="1"/>
  <c r="AL547" i="5"/>
  <c r="AK547" i="5"/>
  <c r="AN564" i="5"/>
  <c r="AN565" i="5" s="1"/>
  <c r="AK564" i="5"/>
  <c r="AK565" i="5" s="1"/>
  <c r="AH547" i="5"/>
  <c r="AH564" i="5"/>
  <c r="AH565" i="5" s="1"/>
  <c r="AG564" i="5"/>
  <c r="AG565" i="5" s="1"/>
  <c r="AG566" i="5" s="1"/>
  <c r="AN547" i="5"/>
  <c r="AB564" i="5"/>
  <c r="AO564" i="5"/>
  <c r="AO565" i="5" s="1"/>
  <c r="AB547" i="5"/>
  <c r="AP547" i="5"/>
  <c r="AG547" i="5"/>
  <c r="AJ564" i="5"/>
  <c r="AJ565" i="5" s="1"/>
  <c r="AF564" i="5"/>
  <c r="AF565" i="5" s="1"/>
  <c r="AF566" i="5" s="1"/>
  <c r="AJ547" i="5"/>
  <c r="AP564" i="5"/>
  <c r="AP565" i="5" s="1"/>
  <c r="AC564" i="5"/>
  <c r="AC565" i="5" s="1"/>
  <c r="AC566" i="5" s="1"/>
  <c r="AD564" i="5"/>
  <c r="AD565" i="5" s="1"/>
  <c r="AD566" i="5" s="1"/>
  <c r="AD547" i="5"/>
  <c r="AL564" i="5"/>
  <c r="AL565" i="5" s="1"/>
  <c r="AD108" i="5"/>
  <c r="AY481" i="2"/>
  <c r="Z483" i="2" s="1"/>
  <c r="Z482" i="2"/>
  <c r="AB206" i="35"/>
  <c r="AL482" i="2"/>
  <c r="BK481" i="2"/>
  <c r="AL483" i="2" s="1"/>
  <c r="AB218" i="35"/>
  <c r="AQ482" i="2"/>
  <c r="BP481" i="2"/>
  <c r="AQ483" i="2" s="1"/>
  <c r="AB223" i="35"/>
  <c r="AO482" i="2"/>
  <c r="BN481" i="2"/>
  <c r="AO483" i="2" s="1"/>
  <c r="AB221" i="35"/>
  <c r="AD482" i="2"/>
  <c r="BC481" i="2"/>
  <c r="AD483" i="2" s="1"/>
  <c r="AB210" i="35"/>
  <c r="AK482" i="2"/>
  <c r="BJ481" i="2"/>
  <c r="AK483" i="2" s="1"/>
  <c r="AB217" i="35"/>
  <c r="Y482" i="2"/>
  <c r="AX481" i="2"/>
  <c r="Y483" i="2" s="1"/>
  <c r="AB205" i="35"/>
  <c r="AR482" i="2"/>
  <c r="BQ481" i="2"/>
  <c r="AR483" i="2" s="1"/>
  <c r="AB224" i="35"/>
  <c r="AN482" i="2"/>
  <c r="BM481" i="2"/>
  <c r="AN483" i="2" s="1"/>
  <c r="AB220" i="35"/>
  <c r="AP482" i="2"/>
  <c r="BO481" i="2"/>
  <c r="AP483" i="2" s="1"/>
  <c r="AB222" i="35"/>
  <c r="AB482" i="2"/>
  <c r="BA481" i="2"/>
  <c r="AB483" i="2" s="1"/>
  <c r="AB208" i="35"/>
  <c r="AE482" i="2"/>
  <c r="BD481" i="2"/>
  <c r="AE483" i="2" s="1"/>
  <c r="AB211" i="35"/>
  <c r="AG482" i="2"/>
  <c r="BF481" i="2"/>
  <c r="AG483" i="2" s="1"/>
  <c r="AB213" i="35"/>
  <c r="I531" i="2"/>
  <c r="AB231" i="35" s="1"/>
  <c r="R551" i="2"/>
  <c r="S531" i="2"/>
  <c r="AH482" i="2"/>
  <c r="BG481" i="2"/>
  <c r="AH483" i="2" s="1"/>
  <c r="AB214" i="35"/>
  <c r="AI482" i="2"/>
  <c r="BH481" i="2"/>
  <c r="AI483" i="2" s="1"/>
  <c r="AB215" i="35"/>
  <c r="AA482" i="2"/>
  <c r="AZ481" i="2"/>
  <c r="AA483" i="2" s="1"/>
  <c r="AB207" i="35"/>
  <c r="AV481" i="2"/>
  <c r="W483" i="2" s="1"/>
  <c r="W482" i="2"/>
  <c r="AB203" i="35"/>
  <c r="AS482" i="2"/>
  <c r="BR481" i="2"/>
  <c r="AS483" i="2" s="1"/>
  <c r="AB225" i="35"/>
  <c r="AI383" i="2"/>
  <c r="BH382" i="2"/>
  <c r="AI384" i="2" s="1"/>
  <c r="AA215" i="35"/>
  <c r="AP383" i="2"/>
  <c r="BO382" i="2"/>
  <c r="AP384" i="2" s="1"/>
  <c r="AA222" i="35"/>
  <c r="AO383" i="2"/>
  <c r="BN382" i="2"/>
  <c r="AO384" i="2" s="1"/>
  <c r="AA221" i="35"/>
  <c r="W383" i="2"/>
  <c r="AV382" i="2"/>
  <c r="W384" i="2" s="1"/>
  <c r="AA203" i="35"/>
  <c r="AG383" i="2"/>
  <c r="BF382" i="2"/>
  <c r="AG384" i="2" s="1"/>
  <c r="AA213" i="35"/>
  <c r="AR383" i="2"/>
  <c r="BQ382" i="2"/>
  <c r="AR384" i="2" s="1"/>
  <c r="AA224" i="35"/>
  <c r="BA382" i="2"/>
  <c r="AB384" i="2" s="1"/>
  <c r="AB383" i="2"/>
  <c r="AA208" i="35"/>
  <c r="AM383" i="2"/>
  <c r="BL382" i="2"/>
  <c r="AM384" i="2" s="1"/>
  <c r="AA219" i="35"/>
  <c r="AH383" i="2"/>
  <c r="BG382" i="2"/>
  <c r="AH384" i="2" s="1"/>
  <c r="AA214" i="35"/>
  <c r="AJ383" i="2"/>
  <c r="BI382" i="2"/>
  <c r="AJ384" i="2" s="1"/>
  <c r="AA216" i="35"/>
  <c r="AE383" i="2"/>
  <c r="BD382" i="2"/>
  <c r="AE384" i="2" s="1"/>
  <c r="AA211" i="35"/>
  <c r="AQ383" i="2"/>
  <c r="BP382" i="2"/>
  <c r="AQ384" i="2" s="1"/>
  <c r="AA223" i="35"/>
  <c r="AD383" i="2"/>
  <c r="BC382" i="2"/>
  <c r="AD384" i="2" s="1"/>
  <c r="AA210" i="35"/>
  <c r="R550" i="2"/>
  <c r="I530" i="2"/>
  <c r="AA231" i="35" s="1"/>
  <c r="S530" i="2"/>
  <c r="AN383" i="2"/>
  <c r="BM382" i="2"/>
  <c r="AN384" i="2" s="1"/>
  <c r="AA220" i="35"/>
  <c r="AA383" i="2"/>
  <c r="AZ382" i="2"/>
  <c r="AA384" i="2" s="1"/>
  <c r="AA207" i="35"/>
  <c r="AF383" i="2"/>
  <c r="BE382" i="2"/>
  <c r="AF384" i="2" s="1"/>
  <c r="AA212" i="35"/>
  <c r="AK383" i="2"/>
  <c r="BJ382" i="2"/>
  <c r="AK384" i="2" s="1"/>
  <c r="AA217" i="35"/>
  <c r="AL383" i="2"/>
  <c r="BK382" i="2"/>
  <c r="AL384" i="2" s="1"/>
  <c r="AA218" i="35"/>
  <c r="Y284" i="2"/>
  <c r="AX283" i="2"/>
  <c r="Y285" i="2" s="1"/>
  <c r="Z205" i="35"/>
  <c r="W284" i="2"/>
  <c r="AV283" i="2"/>
  <c r="W285" i="2" s="1"/>
  <c r="Z203" i="35"/>
  <c r="AN284" i="2"/>
  <c r="BM283" i="2"/>
  <c r="AN285" i="2" s="1"/>
  <c r="Z220" i="35"/>
  <c r="AI284" i="2"/>
  <c r="AI306" i="2" s="1"/>
  <c r="BH283" i="2"/>
  <c r="AI285" i="2" s="1"/>
  <c r="Z215" i="35"/>
  <c r="AS284" i="2"/>
  <c r="BR283" i="2"/>
  <c r="AS285" i="2" s="1"/>
  <c r="Z225" i="35"/>
  <c r="AO284" i="2"/>
  <c r="BN283" i="2"/>
  <c r="AO285" i="2" s="1"/>
  <c r="Z221" i="35"/>
  <c r="AF284" i="2"/>
  <c r="BE283" i="2"/>
  <c r="AF285" i="2" s="1"/>
  <c r="Z212" i="35"/>
  <c r="AH284" i="2"/>
  <c r="BG283" i="2"/>
  <c r="AH285" i="2" s="1"/>
  <c r="Z214" i="35"/>
  <c r="R549" i="2"/>
  <c r="I529" i="2"/>
  <c r="Z231" i="35" s="1"/>
  <c r="S529" i="2"/>
  <c r="AR284" i="2"/>
  <c r="BQ283" i="2"/>
  <c r="AR285" i="2" s="1"/>
  <c r="Z224" i="35"/>
  <c r="AP284" i="2"/>
  <c r="AP306" i="2" s="1"/>
  <c r="BO283" i="2"/>
  <c r="AP285" i="2" s="1"/>
  <c r="Z222" i="35"/>
  <c r="AA284" i="2"/>
  <c r="AZ283" i="2"/>
  <c r="AA285" i="2" s="1"/>
  <c r="Z207" i="35"/>
  <c r="Z284" i="2"/>
  <c r="AY283" i="2"/>
  <c r="Z285" i="2" s="1"/>
  <c r="Z206" i="35"/>
  <c r="AG284" i="2"/>
  <c r="BF283" i="2"/>
  <c r="AG285" i="2" s="1"/>
  <c r="Z213" i="35"/>
  <c r="BC283" i="2"/>
  <c r="AD285" i="2" s="1"/>
  <c r="AD284" i="2"/>
  <c r="Z210" i="35"/>
  <c r="AC284" i="2"/>
  <c r="BB283" i="2"/>
  <c r="AC285" i="2" s="1"/>
  <c r="Z209" i="35"/>
  <c r="AB284" i="2"/>
  <c r="BA283" i="2"/>
  <c r="AB285" i="2" s="1"/>
  <c r="Z208" i="35"/>
  <c r="AQ284" i="2"/>
  <c r="BP283" i="2"/>
  <c r="AQ285" i="2" s="1"/>
  <c r="Z223" i="35"/>
  <c r="AC185" i="2"/>
  <c r="BB184" i="2"/>
  <c r="AC186" i="2" s="1"/>
  <c r="Y209" i="35"/>
  <c r="W185" i="2"/>
  <c r="AV184" i="2"/>
  <c r="W186" i="2" s="1"/>
  <c r="Y203" i="35"/>
  <c r="AA185" i="2"/>
  <c r="AZ184" i="2"/>
  <c r="AA186" i="2" s="1"/>
  <c r="Y207" i="35"/>
  <c r="AH185" i="2"/>
  <c r="BG184" i="2"/>
  <c r="AH186" i="2" s="1"/>
  <c r="Y214" i="35"/>
  <c r="AK185" i="2"/>
  <c r="BJ184" i="2"/>
  <c r="AK186" i="2" s="1"/>
  <c r="Y217" i="35"/>
  <c r="AE185" i="2"/>
  <c r="BD184" i="2"/>
  <c r="AE186" i="2" s="1"/>
  <c r="Y211" i="35"/>
  <c r="AO185" i="2"/>
  <c r="BN184" i="2"/>
  <c r="AO186" i="2" s="1"/>
  <c r="Y221" i="35"/>
  <c r="AM185" i="2"/>
  <c r="BL184" i="2"/>
  <c r="AM186" i="2" s="1"/>
  <c r="Y219" i="35"/>
  <c r="G472" i="35"/>
  <c r="D472" i="35" s="1"/>
  <c r="C35" i="32" s="1" a="1"/>
  <c r="C35" i="32" s="1"/>
  <c r="G461" i="35"/>
  <c r="D461" i="35" s="1"/>
  <c r="C24" i="32" s="1" a="1"/>
  <c r="C24" i="32" s="1"/>
  <c r="AQ185" i="2"/>
  <c r="BP184" i="2"/>
  <c r="AQ186" i="2" s="1"/>
  <c r="Y223" i="35"/>
  <c r="AL185" i="2"/>
  <c r="BK184" i="2"/>
  <c r="AL186" i="2" s="1"/>
  <c r="Y218" i="35"/>
  <c r="AS185" i="2"/>
  <c r="BR184" i="2"/>
  <c r="AS186" i="2" s="1"/>
  <c r="Y225" i="35"/>
  <c r="R548" i="2"/>
  <c r="I548" i="2" s="1"/>
  <c r="D221" i="17" s="1"/>
  <c r="I528" i="2"/>
  <c r="Y231" i="35" s="1"/>
  <c r="S528" i="2"/>
  <c r="BA184" i="2"/>
  <c r="AB186" i="2" s="1"/>
  <c r="AB185" i="2"/>
  <c r="Y208" i="35"/>
  <c r="J273" i="35"/>
  <c r="J268" i="35"/>
  <c r="J245" i="35"/>
  <c r="J242" i="35"/>
  <c r="J270" i="35"/>
  <c r="J264" i="35"/>
  <c r="J238" i="35"/>
  <c r="J243" i="35"/>
  <c r="J265" i="35"/>
  <c r="J247" i="35"/>
  <c r="J263" i="35"/>
  <c r="J252" i="35"/>
  <c r="J272" i="35"/>
  <c r="J262" i="35"/>
  <c r="J267" i="35"/>
  <c r="J239" i="35"/>
  <c r="J275" i="35"/>
  <c r="J274" i="35"/>
  <c r="J241" i="35"/>
  <c r="J249" i="35"/>
  <c r="J266" i="35"/>
  <c r="J271" i="35"/>
  <c r="J248" i="35"/>
  <c r="J244" i="35"/>
  <c r="J251" i="35"/>
  <c r="J276" i="35"/>
  <c r="J253" i="35"/>
  <c r="J240" i="35"/>
  <c r="J269" i="35"/>
  <c r="J250" i="35"/>
  <c r="J246" i="35"/>
  <c r="G475" i="35"/>
  <c r="D475" i="35" s="1"/>
  <c r="C38" i="32" s="1" a="1"/>
  <c r="C38" i="32" s="1"/>
  <c r="G466" i="35"/>
  <c r="D466" i="35" s="1"/>
  <c r="C29" i="32" s="1" a="1"/>
  <c r="C29" i="32" s="1"/>
  <c r="AJ185" i="2"/>
  <c r="BI184" i="2"/>
  <c r="AJ186" i="2" s="1"/>
  <c r="Y216" i="35"/>
  <c r="AY184" i="2"/>
  <c r="Z186" i="2" s="1"/>
  <c r="Z185" i="2"/>
  <c r="Y206" i="35"/>
  <c r="AP185" i="2"/>
  <c r="BO184" i="2"/>
  <c r="AP186" i="2" s="1"/>
  <c r="Y222" i="35"/>
  <c r="AI185" i="2"/>
  <c r="BH184" i="2"/>
  <c r="AI186" i="2" s="1"/>
  <c r="Y215" i="35"/>
  <c r="AG185" i="2"/>
  <c r="BF184" i="2"/>
  <c r="AG186" i="2" s="1"/>
  <c r="Y213" i="35"/>
  <c r="AN185" i="2"/>
  <c r="BM184" i="2"/>
  <c r="AN186" i="2" s="1"/>
  <c r="Y220" i="35"/>
  <c r="AF185" i="2"/>
  <c r="BE184" i="2"/>
  <c r="AF186" i="2" s="1"/>
  <c r="Y212" i="35"/>
  <c r="BQ184" i="2"/>
  <c r="AR186" i="2" s="1"/>
  <c r="AR185" i="2"/>
  <c r="Y224" i="35"/>
  <c r="AK86" i="2"/>
  <c r="BJ85" i="2"/>
  <c r="AK87" i="2" s="1"/>
  <c r="X217" i="35"/>
  <c r="AR547" i="2"/>
  <c r="AR532" i="2"/>
  <c r="C153" i="17" s="1"/>
  <c r="X86" i="2"/>
  <c r="AW85" i="2"/>
  <c r="X87" i="2" s="1"/>
  <c r="X204" i="35"/>
  <c r="W532" i="2"/>
  <c r="C132" i="17" s="1"/>
  <c r="W547" i="2"/>
  <c r="AG532" i="2"/>
  <c r="C142" i="17" s="1"/>
  <c r="AG547" i="2"/>
  <c r="AK532" i="2"/>
  <c r="C146" i="17" s="1"/>
  <c r="AK547" i="2"/>
  <c r="AS532" i="2"/>
  <c r="C154" i="17" s="1"/>
  <c r="AS547" i="2"/>
  <c r="AQ86" i="2"/>
  <c r="BP85" i="2"/>
  <c r="AQ87" i="2" s="1"/>
  <c r="X223" i="35"/>
  <c r="AR86" i="2"/>
  <c r="BQ85" i="2"/>
  <c r="AR87" i="2" s="1"/>
  <c r="X224" i="35"/>
  <c r="R547" i="2"/>
  <c r="I527" i="2"/>
  <c r="R532" i="2"/>
  <c r="AM532" i="2"/>
  <c r="C148" i="17" s="1"/>
  <c r="AM547" i="2"/>
  <c r="Z532" i="2"/>
  <c r="C135" i="17" s="1"/>
  <c r="Z547" i="2"/>
  <c r="H374" i="35"/>
  <c r="H367" i="35" s="1"/>
  <c r="R374" i="35"/>
  <c r="N376" i="35"/>
  <c r="I373" i="35"/>
  <c r="I366" i="35" s="1"/>
  <c r="D376" i="35"/>
  <c r="S374" i="35"/>
  <c r="Q376" i="35"/>
  <c r="S373" i="35"/>
  <c r="I375" i="35"/>
  <c r="O373" i="35"/>
  <c r="S375" i="35"/>
  <c r="J374" i="35"/>
  <c r="F376" i="35"/>
  <c r="L375" i="35"/>
  <c r="P373" i="35"/>
  <c r="N374" i="35"/>
  <c r="G373" i="35"/>
  <c r="M373" i="35"/>
  <c r="K375" i="35"/>
  <c r="G376" i="35"/>
  <c r="M375" i="35"/>
  <c r="S376" i="35"/>
  <c r="I376" i="35"/>
  <c r="K373" i="35"/>
  <c r="R373" i="35"/>
  <c r="H373" i="35"/>
  <c r="H366" i="35" s="1"/>
  <c r="E373" i="35"/>
  <c r="P376" i="35"/>
  <c r="E375" i="35"/>
  <c r="Q374" i="35"/>
  <c r="P375" i="35"/>
  <c r="F375" i="35"/>
  <c r="M376" i="35"/>
  <c r="F374" i="35"/>
  <c r="M374" i="35"/>
  <c r="K374" i="35"/>
  <c r="R375" i="35"/>
  <c r="L373" i="35"/>
  <c r="N375" i="35"/>
  <c r="P374" i="35"/>
  <c r="H376" i="35"/>
  <c r="I374" i="35"/>
  <c r="O376" i="35"/>
  <c r="N373" i="35"/>
  <c r="R376" i="35"/>
  <c r="D375" i="35"/>
  <c r="H375" i="35"/>
  <c r="O375" i="35"/>
  <c r="O374" i="35"/>
  <c r="E376" i="35"/>
  <c r="K376" i="35"/>
  <c r="L374" i="35"/>
  <c r="J375" i="35"/>
  <c r="J373" i="35"/>
  <c r="Q373" i="35"/>
  <c r="L376" i="35"/>
  <c r="Q375" i="35"/>
  <c r="Q368" i="35" s="1"/>
  <c r="F373" i="35"/>
  <c r="J376" i="35"/>
  <c r="J369" i="35" s="1"/>
  <c r="G375" i="35"/>
  <c r="G368" i="35" s="1"/>
  <c r="G374" i="35"/>
  <c r="D374" i="35"/>
  <c r="E374" i="35"/>
  <c r="E367" i="35" s="1"/>
  <c r="I239" i="35"/>
  <c r="I243" i="35"/>
  <c r="I240" i="35"/>
  <c r="I245" i="35"/>
  <c r="I241" i="35"/>
  <c r="I249" i="35"/>
  <c r="I247" i="35"/>
  <c r="I238" i="35"/>
  <c r="I253" i="35"/>
  <c r="I246" i="35"/>
  <c r="I242" i="35"/>
  <c r="I251" i="35"/>
  <c r="I252" i="35"/>
  <c r="I250" i="35"/>
  <c r="I244" i="35"/>
  <c r="I248" i="35"/>
  <c r="AB547" i="2"/>
  <c r="AB532" i="2"/>
  <c r="C137" i="17" s="1"/>
  <c r="AS86" i="2"/>
  <c r="BR85" i="2"/>
  <c r="AS87" i="2" s="1"/>
  <c r="X225" i="35"/>
  <c r="AH532" i="2"/>
  <c r="C143" i="17" s="1"/>
  <c r="AH547" i="2"/>
  <c r="AL532" i="2"/>
  <c r="C147" i="17" s="1"/>
  <c r="AL547" i="2"/>
  <c r="AI532" i="2"/>
  <c r="C144" i="17" s="1"/>
  <c r="AI547" i="2"/>
  <c r="AA547" i="2"/>
  <c r="AA532" i="2"/>
  <c r="C136" i="17" s="1"/>
  <c r="AQ532" i="2"/>
  <c r="C152" i="17" s="1"/>
  <c r="AQ547" i="2"/>
  <c r="X532" i="2"/>
  <c r="C133" i="17" s="1"/>
  <c r="X547" i="2"/>
  <c r="AO532" i="2"/>
  <c r="C150" i="17" s="1"/>
  <c r="AO547" i="2"/>
  <c r="AJ547" i="2"/>
  <c r="AJ532" i="2"/>
  <c r="C145" i="17" s="1"/>
  <c r="AP532" i="2"/>
  <c r="C151" i="17" s="1"/>
  <c r="AP547" i="2"/>
  <c r="AD532" i="2"/>
  <c r="C139" i="17" s="1"/>
  <c r="AD547" i="2"/>
  <c r="AM86" i="2"/>
  <c r="BL85" i="2"/>
  <c r="AM87" i="2" s="1"/>
  <c r="X219" i="35"/>
  <c r="AF86" i="2"/>
  <c r="BE85" i="2"/>
  <c r="AF87" i="2" s="1"/>
  <c r="X212" i="35"/>
  <c r="AA86" i="2"/>
  <c r="AZ85" i="2"/>
  <c r="AA87" i="2" s="1"/>
  <c r="X207" i="35"/>
  <c r="AG86" i="2"/>
  <c r="BF85" i="2"/>
  <c r="AG87" i="2" s="1"/>
  <c r="X213" i="35"/>
  <c r="AD86" i="2"/>
  <c r="BC85" i="2"/>
  <c r="AD87" i="2" s="1"/>
  <c r="X210" i="35"/>
  <c r="Z86" i="2"/>
  <c r="AY85" i="2"/>
  <c r="Z87" i="2" s="1"/>
  <c r="X206" i="35"/>
  <c r="AC547" i="2"/>
  <c r="AC532" i="2"/>
  <c r="C138" i="17" s="1"/>
  <c r="AL86" i="2"/>
  <c r="BK85" i="2"/>
  <c r="AL87" i="2" s="1"/>
  <c r="X218" i="35"/>
  <c r="AB86" i="2"/>
  <c r="BA85" i="2"/>
  <c r="AB87" i="2" s="1"/>
  <c r="X208" i="35"/>
  <c r="AF532" i="2"/>
  <c r="C141" i="17" s="1"/>
  <c r="AF547" i="2"/>
  <c r="AE532" i="2"/>
  <c r="C140" i="17" s="1"/>
  <c r="AE547" i="2"/>
  <c r="AH86" i="2"/>
  <c r="BG85" i="2"/>
  <c r="AH87" i="2" s="1"/>
  <c r="X214" i="35"/>
  <c r="AN532" i="2"/>
  <c r="C149" i="17" s="1"/>
  <c r="AN547" i="2"/>
  <c r="Y547" i="2"/>
  <c r="Y532" i="2"/>
  <c r="C134" i="17" s="1"/>
  <c r="K141" i="35"/>
  <c r="L141" i="35"/>
  <c r="I141" i="35"/>
  <c r="J141" i="35"/>
  <c r="M141" i="35"/>
  <c r="J143" i="35"/>
  <c r="M143" i="35"/>
  <c r="I129" i="35"/>
  <c r="I136" i="36"/>
  <c r="L130" i="36"/>
  <c r="D230" i="36"/>
  <c r="J133" i="36"/>
  <c r="K128" i="36"/>
  <c r="L143" i="35"/>
  <c r="K143" i="35"/>
  <c r="I143" i="35"/>
  <c r="J129" i="35"/>
  <c r="L129" i="35"/>
  <c r="K129" i="35"/>
  <c r="M125" i="35"/>
  <c r="K125" i="35"/>
  <c r="L125" i="35"/>
  <c r="I125" i="35"/>
  <c r="I150" i="36"/>
  <c r="M128" i="36"/>
  <c r="J128" i="36"/>
  <c r="I126" i="36"/>
  <c r="L126" i="36"/>
  <c r="K126" i="36"/>
  <c r="J126" i="36"/>
  <c r="M126" i="36"/>
  <c r="M137" i="36"/>
  <c r="L137" i="36"/>
  <c r="I137" i="36"/>
  <c r="K137" i="36"/>
  <c r="J137" i="36"/>
  <c r="K130" i="36"/>
  <c r="I145" i="36"/>
  <c r="M145" i="36"/>
  <c r="L145" i="36"/>
  <c r="K145" i="36"/>
  <c r="J145" i="36"/>
  <c r="I143" i="36"/>
  <c r="L143" i="36"/>
  <c r="K143" i="36"/>
  <c r="J143" i="36"/>
  <c r="M143" i="36"/>
  <c r="M134" i="36"/>
  <c r="L134" i="36"/>
  <c r="K134" i="36"/>
  <c r="J134" i="36"/>
  <c r="I134" i="36"/>
  <c r="M133" i="36"/>
  <c r="K141" i="36"/>
  <c r="J141" i="36"/>
  <c r="I141" i="36"/>
  <c r="M141" i="36"/>
  <c r="L141" i="36"/>
  <c r="J140" i="36"/>
  <c r="I140" i="36"/>
  <c r="M140" i="36"/>
  <c r="L140" i="36"/>
  <c r="K140" i="36"/>
  <c r="I144" i="36"/>
  <c r="K144" i="36"/>
  <c r="M144" i="36"/>
  <c r="L144" i="36"/>
  <c r="J144" i="36"/>
  <c r="M139" i="36"/>
  <c r="I139" i="36"/>
  <c r="L139" i="36"/>
  <c r="J139" i="36"/>
  <c r="K139" i="36"/>
  <c r="M138" i="36"/>
  <c r="I138" i="36"/>
  <c r="L138" i="36"/>
  <c r="K138" i="36"/>
  <c r="J138" i="36"/>
  <c r="J131" i="36"/>
  <c r="I131" i="36"/>
  <c r="M131" i="36"/>
  <c r="L131" i="36"/>
  <c r="K131" i="36"/>
  <c r="M135" i="36"/>
  <c r="K135" i="36"/>
  <c r="L135" i="36"/>
  <c r="J135" i="36"/>
  <c r="I135" i="36"/>
  <c r="E165" i="36"/>
  <c r="L129" i="36"/>
  <c r="J129" i="36"/>
  <c r="K129" i="36"/>
  <c r="I129" i="36"/>
  <c r="M129" i="36"/>
  <c r="L132" i="36"/>
  <c r="I132" i="36"/>
  <c r="K132" i="36"/>
  <c r="M132" i="36"/>
  <c r="J132" i="36"/>
  <c r="J125" i="35"/>
  <c r="AG219" i="35"/>
  <c r="AG192" i="35"/>
  <c r="AD218" i="35"/>
  <c r="AD191" i="35"/>
  <c r="AE213" i="35"/>
  <c r="AE186" i="35"/>
  <c r="AC207" i="35"/>
  <c r="AC180" i="35"/>
  <c r="AD212" i="35"/>
  <c r="AD185" i="35"/>
  <c r="AD224" i="35"/>
  <c r="AD197" i="35"/>
  <c r="AG216" i="35"/>
  <c r="AG189" i="35"/>
  <c r="J140" i="35"/>
  <c r="I140" i="35"/>
  <c r="M140" i="35"/>
  <c r="L140" i="35"/>
  <c r="K140" i="35"/>
  <c r="AC204" i="35"/>
  <c r="AC177" i="35"/>
  <c r="AE218" i="35"/>
  <c r="AE191" i="35"/>
  <c r="AF213" i="35"/>
  <c r="AF186" i="35"/>
  <c r="AC217" i="35"/>
  <c r="AC190" i="35"/>
  <c r="AD207" i="35"/>
  <c r="AD180" i="35"/>
  <c r="AE212" i="35"/>
  <c r="AE185" i="35"/>
  <c r="AG224" i="35"/>
  <c r="AG197" i="35"/>
  <c r="AC205" i="35"/>
  <c r="AC178" i="35"/>
  <c r="AC209" i="35"/>
  <c r="AC182" i="35"/>
  <c r="AC215" i="35"/>
  <c r="AC188" i="35"/>
  <c r="J126" i="35"/>
  <c r="I126" i="35"/>
  <c r="M126" i="35"/>
  <c r="L126" i="35"/>
  <c r="K126" i="35"/>
  <c r="AC206" i="35"/>
  <c r="AC179" i="35"/>
  <c r="AD204" i="35"/>
  <c r="AD177" i="35"/>
  <c r="J136" i="35"/>
  <c r="I136" i="35"/>
  <c r="M136" i="35"/>
  <c r="L136" i="35"/>
  <c r="K136" i="35"/>
  <c r="J127" i="35"/>
  <c r="I127" i="35"/>
  <c r="M127" i="35"/>
  <c r="L127" i="35"/>
  <c r="K127" i="35"/>
  <c r="AF218" i="35"/>
  <c r="AF191" i="35"/>
  <c r="AG213" i="35"/>
  <c r="AG186" i="35"/>
  <c r="AE225" i="35"/>
  <c r="AE198" i="35"/>
  <c r="AD217" i="35"/>
  <c r="AD190" i="35"/>
  <c r="AE207" i="35"/>
  <c r="AE180" i="35"/>
  <c r="AF212" i="35"/>
  <c r="AF185" i="35"/>
  <c r="AC203" i="35"/>
  <c r="AC176" i="35"/>
  <c r="J133" i="35"/>
  <c r="I133" i="35"/>
  <c r="M133" i="35"/>
  <c r="L133" i="35"/>
  <c r="K133" i="35"/>
  <c r="AC220" i="35"/>
  <c r="AC193" i="35"/>
  <c r="AD206" i="35"/>
  <c r="AD179" i="35"/>
  <c r="AE204" i="35"/>
  <c r="AE177" i="35"/>
  <c r="AC211" i="35"/>
  <c r="AC184" i="35"/>
  <c r="J135" i="35"/>
  <c r="I135" i="35"/>
  <c r="M135" i="35"/>
  <c r="L135" i="35"/>
  <c r="K135" i="35"/>
  <c r="AG218" i="35"/>
  <c r="AG191" i="35"/>
  <c r="AF225" i="35"/>
  <c r="AF198" i="35"/>
  <c r="AE217" i="35"/>
  <c r="AE190" i="35"/>
  <c r="AF207" i="35"/>
  <c r="AF180" i="35"/>
  <c r="AG212" i="35"/>
  <c r="AG185" i="35"/>
  <c r="AC208" i="35"/>
  <c r="AD203" i="35"/>
  <c r="AD176" i="35"/>
  <c r="AC214" i="35"/>
  <c r="AC187" i="35"/>
  <c r="AF223" i="35"/>
  <c r="AF196" i="35"/>
  <c r="AE215" i="35"/>
  <c r="AE188" i="35"/>
  <c r="AF205" i="35"/>
  <c r="AF178" i="35"/>
  <c r="J132" i="35"/>
  <c r="I132" i="35"/>
  <c r="M132" i="35"/>
  <c r="L132" i="35"/>
  <c r="K132" i="35"/>
  <c r="AF222" i="35"/>
  <c r="AF195" i="35"/>
  <c r="AE214" i="35"/>
  <c r="AE187" i="35"/>
  <c r="AF209" i="35"/>
  <c r="AF182" i="35"/>
  <c r="AE221" i="35"/>
  <c r="AE194" i="35"/>
  <c r="AD210" i="35"/>
  <c r="AD183" i="35"/>
  <c r="AD220" i="35"/>
  <c r="AD193" i="35"/>
  <c r="AE206" i="35"/>
  <c r="AE179" i="35"/>
  <c r="AF204" i="35"/>
  <c r="AF177" i="35"/>
  <c r="AC219" i="35"/>
  <c r="AC192" i="35"/>
  <c r="AD211" i="35"/>
  <c r="AD184" i="35"/>
  <c r="AC225" i="35"/>
  <c r="AC198" i="35"/>
  <c r="AF217" i="35"/>
  <c r="AF190" i="35"/>
  <c r="AG207" i="35"/>
  <c r="AG180" i="35"/>
  <c r="AC216" i="35"/>
  <c r="AC189" i="35"/>
  <c r="AD208" i="35"/>
  <c r="AD181" i="35"/>
  <c r="AE203" i="35"/>
  <c r="AE176" i="35"/>
  <c r="AD205" i="35"/>
  <c r="AD178" i="35"/>
  <c r="AE205" i="35"/>
  <c r="AE178" i="35"/>
  <c r="AE209" i="35"/>
  <c r="AE182" i="35"/>
  <c r="AC223" i="35"/>
  <c r="AC196" i="35"/>
  <c r="AF215" i="35"/>
  <c r="AF188" i="35"/>
  <c r="AG205" i="35"/>
  <c r="AG178" i="35"/>
  <c r="AC222" i="35"/>
  <c r="AC195" i="35"/>
  <c r="AF214" i="35"/>
  <c r="AF187" i="35"/>
  <c r="AG209" i="35"/>
  <c r="AG182" i="35"/>
  <c r="AF221" i="35"/>
  <c r="AF194" i="35"/>
  <c r="AE210" i="35"/>
  <c r="AE183" i="35"/>
  <c r="J131" i="35"/>
  <c r="I131" i="35"/>
  <c r="M131" i="35"/>
  <c r="L131" i="35"/>
  <c r="K131" i="35"/>
  <c r="AE220" i="35"/>
  <c r="AE193" i="35"/>
  <c r="AF206" i="35"/>
  <c r="AF179" i="35"/>
  <c r="AG204" i="35"/>
  <c r="AG177" i="35"/>
  <c r="AD219" i="35"/>
  <c r="AD192" i="35"/>
  <c r="AE211" i="35"/>
  <c r="AE184" i="35"/>
  <c r="AD225" i="35"/>
  <c r="AD198" i="35"/>
  <c r="AG217" i="35"/>
  <c r="AG190" i="35"/>
  <c r="AE224" i="35"/>
  <c r="AE197" i="35"/>
  <c r="AD216" i="35"/>
  <c r="AD189" i="35"/>
  <c r="AE208" i="35"/>
  <c r="AE181" i="35"/>
  <c r="AF203" i="35"/>
  <c r="AF176" i="35"/>
  <c r="AD215" i="35"/>
  <c r="AD188" i="35"/>
  <c r="AD214" i="35"/>
  <c r="AD187" i="35"/>
  <c r="AC210" i="35"/>
  <c r="AC183" i="35"/>
  <c r="AD223" i="35"/>
  <c r="AD196" i="35"/>
  <c r="AG215" i="35"/>
  <c r="AG188" i="35"/>
  <c r="AD222" i="35"/>
  <c r="AD195" i="35"/>
  <c r="AG214" i="35"/>
  <c r="AG187" i="35"/>
  <c r="AC221" i="35"/>
  <c r="AC194" i="35"/>
  <c r="AF210" i="35"/>
  <c r="AF183" i="35"/>
  <c r="M145" i="35"/>
  <c r="J145" i="35"/>
  <c r="I145" i="35"/>
  <c r="L145" i="35"/>
  <c r="K145" i="35"/>
  <c r="AF220" i="35"/>
  <c r="AF193" i="35"/>
  <c r="AG206" i="35"/>
  <c r="AG179" i="35"/>
  <c r="AE219" i="35"/>
  <c r="AE192" i="35"/>
  <c r="AF211" i="35"/>
  <c r="AF184" i="35"/>
  <c r="AC213" i="35"/>
  <c r="AC186" i="35"/>
  <c r="AG225" i="35"/>
  <c r="AG198" i="35"/>
  <c r="AF224" i="35"/>
  <c r="AF197" i="35"/>
  <c r="AE216" i="35"/>
  <c r="AE189" i="35"/>
  <c r="AF208" i="35"/>
  <c r="AF181" i="35"/>
  <c r="AG203" i="35"/>
  <c r="AG176" i="35"/>
  <c r="AG221" i="35"/>
  <c r="AG194" i="35"/>
  <c r="AD209" i="35"/>
  <c r="AD182" i="35"/>
  <c r="AE223" i="35"/>
  <c r="AE196" i="35"/>
  <c r="AE222" i="35"/>
  <c r="AE195" i="35"/>
  <c r="M144" i="35"/>
  <c r="J144" i="35"/>
  <c r="I144" i="35"/>
  <c r="L144" i="35"/>
  <c r="K144" i="35"/>
  <c r="AG223" i="35"/>
  <c r="AG196" i="35"/>
  <c r="J128" i="35"/>
  <c r="I128" i="35"/>
  <c r="M128" i="35"/>
  <c r="L128" i="35"/>
  <c r="K128" i="35"/>
  <c r="AG222" i="35"/>
  <c r="AG195" i="35"/>
  <c r="J138" i="35"/>
  <c r="I138" i="35"/>
  <c r="M138" i="35"/>
  <c r="L138" i="35"/>
  <c r="K138" i="35"/>
  <c r="AD221" i="35"/>
  <c r="AD194" i="35"/>
  <c r="AG210" i="35"/>
  <c r="AG183" i="35"/>
  <c r="AG220" i="35"/>
  <c r="AG193" i="35"/>
  <c r="AF219" i="35"/>
  <c r="AF192" i="35"/>
  <c r="AG211" i="35"/>
  <c r="AG184" i="35"/>
  <c r="AC218" i="35"/>
  <c r="AC191" i="35"/>
  <c r="AD213" i="35"/>
  <c r="AD186" i="35"/>
  <c r="AC212" i="35"/>
  <c r="AC185" i="35"/>
  <c r="AC224" i="35"/>
  <c r="AC197" i="35"/>
  <c r="AF216" i="35"/>
  <c r="AF189" i="35"/>
  <c r="AG208" i="35"/>
  <c r="AG181" i="35"/>
  <c r="J192" i="35" l="1"/>
  <c r="E215" i="36"/>
  <c r="AS108" i="5"/>
  <c r="E209" i="36"/>
  <c r="AI108" i="5"/>
  <c r="I270" i="36"/>
  <c r="W108" i="5"/>
  <c r="I203" i="36" s="1"/>
  <c r="D271" i="36"/>
  <c r="D341" i="35"/>
  <c r="K341" i="35"/>
  <c r="I272" i="36"/>
  <c r="I265" i="36"/>
  <c r="I276" i="36"/>
  <c r="I262" i="36"/>
  <c r="L76" i="32" a="1"/>
  <c r="L76" i="32" s="1"/>
  <c r="L79" i="32" a="1"/>
  <c r="L79" i="32" s="1"/>
  <c r="L73" i="32" a="1"/>
  <c r="L73" i="32" s="1"/>
  <c r="L81" i="32" a="1"/>
  <c r="L81" i="32" s="1"/>
  <c r="L71" i="32" a="1"/>
  <c r="L71" i="32" s="1"/>
  <c r="L80" i="32" a="1"/>
  <c r="L80" i="32" s="1"/>
  <c r="L69" i="32" a="1"/>
  <c r="L69" i="32" s="1"/>
  <c r="L70" i="32" a="1"/>
  <c r="L70" i="32" s="1"/>
  <c r="L72" i="32" a="1"/>
  <c r="L72" i="32" s="1"/>
  <c r="L67" i="32" a="1"/>
  <c r="L67" i="32" s="1"/>
  <c r="D268" i="36"/>
  <c r="I275" i="36"/>
  <c r="I263" i="36"/>
  <c r="D276" i="36"/>
  <c r="I261" i="36"/>
  <c r="D266" i="36"/>
  <c r="I274" i="36"/>
  <c r="D272" i="36"/>
  <c r="D265" i="36"/>
  <c r="D267" i="36"/>
  <c r="I264" i="36"/>
  <c r="D275" i="36"/>
  <c r="D270" i="36"/>
  <c r="I268" i="36"/>
  <c r="D274" i="36"/>
  <c r="I271" i="36"/>
  <c r="D261" i="36"/>
  <c r="I266" i="36"/>
  <c r="D263" i="36"/>
  <c r="D262" i="36"/>
  <c r="D264" i="36"/>
  <c r="I267" i="36"/>
  <c r="AI155" i="10"/>
  <c r="L377" i="36"/>
  <c r="AG357" i="35"/>
  <c r="T423" i="36"/>
  <c r="AI273" i="10"/>
  <c r="Q377" i="36"/>
  <c r="L417" i="36"/>
  <c r="AN333" i="35"/>
  <c r="AN331" i="35"/>
  <c r="AN332" i="35"/>
  <c r="AN330" i="35"/>
  <c r="H377" i="36"/>
  <c r="J377" i="36"/>
  <c r="S377" i="36"/>
  <c r="P377" i="36"/>
  <c r="E377" i="36"/>
  <c r="N357" i="36"/>
  <c r="AT281" i="2"/>
  <c r="AT305" i="2" s="1"/>
  <c r="U332" i="35"/>
  <c r="W323" i="35" s="1"/>
  <c r="U333" i="35"/>
  <c r="U331" i="35"/>
  <c r="U330" i="35"/>
  <c r="AT281" i="5"/>
  <c r="AT529" i="5" s="1"/>
  <c r="AT549" i="5" s="1"/>
  <c r="AT182" i="5"/>
  <c r="AT528" i="5" s="1"/>
  <c r="AT479" i="5"/>
  <c r="AT531" i="5" s="1"/>
  <c r="L354" i="35"/>
  <c r="AT83" i="2"/>
  <c r="AT527" i="2" s="1"/>
  <c r="AT479" i="2"/>
  <c r="AT531" i="2" s="1"/>
  <c r="AT380" i="5"/>
  <c r="AT530" i="5" s="1"/>
  <c r="AT447" i="5"/>
  <c r="AT521" i="5" s="1"/>
  <c r="AT182" i="2"/>
  <c r="AT528" i="2" s="1"/>
  <c r="AT83" i="5"/>
  <c r="AT527" i="5" s="1"/>
  <c r="AT380" i="2"/>
  <c r="AT530" i="2" s="1"/>
  <c r="AT518" i="5"/>
  <c r="AT518" i="2"/>
  <c r="AT517" i="5"/>
  <c r="AT517" i="2"/>
  <c r="AT520" i="5"/>
  <c r="AT348" i="2"/>
  <c r="AT521" i="2"/>
  <c r="AT512" i="2"/>
  <c r="AT512" i="5"/>
  <c r="L353" i="35"/>
  <c r="L419" i="36"/>
  <c r="O330" i="36"/>
  <c r="S332" i="36"/>
  <c r="R332" i="36"/>
  <c r="I333" i="36"/>
  <c r="R418" i="36"/>
  <c r="R420" i="36"/>
  <c r="L333" i="36"/>
  <c r="N420" i="36"/>
  <c r="I332" i="36"/>
  <c r="H417" i="36"/>
  <c r="K417" i="36"/>
  <c r="M418" i="36"/>
  <c r="N418" i="36"/>
  <c r="J418" i="36"/>
  <c r="J417" i="36"/>
  <c r="O419" i="36"/>
  <c r="G331" i="36"/>
  <c r="R419" i="36"/>
  <c r="M330" i="36"/>
  <c r="N330" i="36"/>
  <c r="Q331" i="36"/>
  <c r="G419" i="36"/>
  <c r="Q418" i="36"/>
  <c r="M420" i="36"/>
  <c r="D331" i="36"/>
  <c r="O418" i="36"/>
  <c r="K418" i="36"/>
  <c r="F377" i="36"/>
  <c r="R377" i="36"/>
  <c r="P417" i="36"/>
  <c r="T376" i="36"/>
  <c r="E418" i="36"/>
  <c r="O333" i="36"/>
  <c r="H333" i="36"/>
  <c r="F330" i="36"/>
  <c r="R333" i="36"/>
  <c r="Q333" i="36"/>
  <c r="Q330" i="36"/>
  <c r="I418" i="36"/>
  <c r="Q332" i="36"/>
  <c r="S420" i="36"/>
  <c r="M377" i="36"/>
  <c r="G377" i="36"/>
  <c r="N419" i="36"/>
  <c r="H419" i="36"/>
  <c r="D417" i="36"/>
  <c r="N333" i="36"/>
  <c r="Q420" i="36"/>
  <c r="M333" i="36"/>
  <c r="H420" i="36"/>
  <c r="S418" i="36"/>
  <c r="D419" i="36"/>
  <c r="E331" i="36"/>
  <c r="J420" i="36"/>
  <c r="E417" i="36"/>
  <c r="P419" i="36"/>
  <c r="R417" i="36"/>
  <c r="F418" i="36"/>
  <c r="K419" i="36"/>
  <c r="F333" i="36"/>
  <c r="R331" i="36"/>
  <c r="F331" i="36"/>
  <c r="P330" i="36"/>
  <c r="L330" i="36"/>
  <c r="F419" i="36"/>
  <c r="O420" i="36"/>
  <c r="Q419" i="36"/>
  <c r="D333" i="36"/>
  <c r="T375" i="36"/>
  <c r="F417" i="36"/>
  <c r="T373" i="36"/>
  <c r="D377" i="36"/>
  <c r="H418" i="36"/>
  <c r="P418" i="36"/>
  <c r="J419" i="36"/>
  <c r="R330" i="36"/>
  <c r="E330" i="36"/>
  <c r="J333" i="36"/>
  <c r="I331" i="36"/>
  <c r="G330" i="36"/>
  <c r="L420" i="36"/>
  <c r="K333" i="36"/>
  <c r="I419" i="36"/>
  <c r="Q417" i="36"/>
  <c r="N417" i="36"/>
  <c r="L418" i="36"/>
  <c r="J330" i="36"/>
  <c r="S330" i="36"/>
  <c r="I420" i="36"/>
  <c r="E333" i="36"/>
  <c r="F420" i="36"/>
  <c r="G333" i="36"/>
  <c r="I330" i="36"/>
  <c r="S331" i="36"/>
  <c r="K420" i="36"/>
  <c r="K377" i="36"/>
  <c r="T374" i="36"/>
  <c r="N377" i="36"/>
  <c r="G417" i="36"/>
  <c r="D418" i="36"/>
  <c r="M417" i="36"/>
  <c r="I417" i="36"/>
  <c r="M419" i="36"/>
  <c r="K330" i="36"/>
  <c r="E420" i="36"/>
  <c r="P333" i="36"/>
  <c r="H330" i="36"/>
  <c r="G420" i="36"/>
  <c r="P420" i="36"/>
  <c r="E419" i="36"/>
  <c r="S419" i="36"/>
  <c r="S333" i="36"/>
  <c r="S417" i="36"/>
  <c r="G418" i="36"/>
  <c r="O377" i="36"/>
  <c r="O417" i="36"/>
  <c r="I377" i="36"/>
  <c r="D420" i="36"/>
  <c r="Y354" i="35"/>
  <c r="F354" i="36"/>
  <c r="F336" i="36" s="1"/>
  <c r="Y356" i="35"/>
  <c r="F356" i="36"/>
  <c r="F338" i="36" s="1"/>
  <c r="Y357" i="35"/>
  <c r="F357" i="36"/>
  <c r="F339" i="36" s="1"/>
  <c r="Y355" i="35"/>
  <c r="F355" i="36"/>
  <c r="F337" i="36" s="1"/>
  <c r="Y353" i="35"/>
  <c r="F353" i="36"/>
  <c r="L357" i="35"/>
  <c r="M356" i="35"/>
  <c r="AI348" i="35"/>
  <c r="P348" i="36"/>
  <c r="T341" i="36"/>
  <c r="D330" i="36"/>
  <c r="L347" i="36"/>
  <c r="S312" i="36"/>
  <c r="AE347" i="35"/>
  <c r="H349" i="36"/>
  <c r="AA349" i="35"/>
  <c r="AA331" i="35" s="1"/>
  <c r="U308" i="36"/>
  <c r="AA355" i="35"/>
  <c r="H355" i="36"/>
  <c r="H332" i="36" s="1"/>
  <c r="Z308" i="36"/>
  <c r="G308" i="36" s="1"/>
  <c r="Y312" i="36"/>
  <c r="J312" i="36" s="1"/>
  <c r="L354" i="36"/>
  <c r="L336" i="36" s="1"/>
  <c r="AE354" i="35"/>
  <c r="I307" i="36"/>
  <c r="M355" i="36"/>
  <c r="M337" i="36" s="1"/>
  <c r="AF355" i="35"/>
  <c r="Z313" i="36"/>
  <c r="K313" i="36" s="1"/>
  <c r="AD354" i="35"/>
  <c r="Y311" i="36"/>
  <c r="K354" i="36"/>
  <c r="S311" i="36"/>
  <c r="K347" i="36"/>
  <c r="AD347" i="35"/>
  <c r="N356" i="36"/>
  <c r="N338" i="36" s="1"/>
  <c r="AG356" i="35"/>
  <c r="N349" i="36"/>
  <c r="AG349" i="35"/>
  <c r="R350" i="35"/>
  <c r="R338" i="35" s="1"/>
  <c r="O355" i="36"/>
  <c r="AH355" i="35"/>
  <c r="Z315" i="36"/>
  <c r="AD355" i="35"/>
  <c r="K355" i="36"/>
  <c r="Z311" i="36"/>
  <c r="E304" i="36"/>
  <c r="AC356" i="35"/>
  <c r="J356" i="36"/>
  <c r="J338" i="36" s="1"/>
  <c r="AA310" i="36"/>
  <c r="L310" i="36" s="1"/>
  <c r="AC347" i="35"/>
  <c r="J347" i="36"/>
  <c r="S310" i="36"/>
  <c r="AD357" i="35"/>
  <c r="K357" i="36"/>
  <c r="AB311" i="36"/>
  <c r="D336" i="36"/>
  <c r="D356" i="36"/>
  <c r="AA304" i="36"/>
  <c r="L304" i="36" s="1"/>
  <c r="W356" i="35"/>
  <c r="P354" i="36"/>
  <c r="P332" i="36" s="1"/>
  <c r="AI354" i="35"/>
  <c r="D357" i="36"/>
  <c r="AB304" i="36"/>
  <c r="M304" i="36" s="1"/>
  <c r="W357" i="35"/>
  <c r="N356" i="35"/>
  <c r="AD348" i="35"/>
  <c r="K348" i="36"/>
  <c r="T311" i="36"/>
  <c r="AC351" i="35"/>
  <c r="W310" i="36"/>
  <c r="J351" i="36"/>
  <c r="AC353" i="35"/>
  <c r="X310" i="36"/>
  <c r="J353" i="36"/>
  <c r="M357" i="36"/>
  <c r="AB313" i="36"/>
  <c r="AF357" i="35"/>
  <c r="AG353" i="35"/>
  <c r="N353" i="36"/>
  <c r="M347" i="36"/>
  <c r="AF347" i="35"/>
  <c r="S313" i="36"/>
  <c r="N357" i="35"/>
  <c r="M354" i="35"/>
  <c r="D353" i="35"/>
  <c r="AD356" i="35"/>
  <c r="K356" i="36"/>
  <c r="AA311" i="36"/>
  <c r="AD353" i="35"/>
  <c r="X311" i="36"/>
  <c r="K353" i="36"/>
  <c r="W315" i="36"/>
  <c r="M315" i="36" s="1"/>
  <c r="AH351" i="35"/>
  <c r="O351" i="36"/>
  <c r="O339" i="36" s="1"/>
  <c r="AC355" i="35"/>
  <c r="J355" i="36"/>
  <c r="J337" i="36" s="1"/>
  <c r="Z310" i="36"/>
  <c r="K310" i="36" s="1"/>
  <c r="W312" i="36"/>
  <c r="L351" i="36"/>
  <c r="AE351" i="35"/>
  <c r="X312" i="36"/>
  <c r="L353" i="36"/>
  <c r="AE353" i="35"/>
  <c r="D337" i="36"/>
  <c r="X313" i="36"/>
  <c r="M353" i="36"/>
  <c r="AF353" i="35"/>
  <c r="W313" i="36"/>
  <c r="M313" i="36" s="1"/>
  <c r="AF351" i="35"/>
  <c r="M351" i="36"/>
  <c r="AI349" i="35"/>
  <c r="P349" i="36"/>
  <c r="P337" i="36" s="1"/>
  <c r="N353" i="35"/>
  <c r="AD351" i="35"/>
  <c r="W311" i="36"/>
  <c r="M311" i="36" s="1"/>
  <c r="K351" i="36"/>
  <c r="O356" i="36"/>
  <c r="O338" i="36" s="1"/>
  <c r="AH356" i="35"/>
  <c r="AA315" i="36"/>
  <c r="L315" i="36" s="1"/>
  <c r="L356" i="36"/>
  <c r="L338" i="36" s="1"/>
  <c r="AA312" i="36"/>
  <c r="L312" i="36" s="1"/>
  <c r="AE356" i="35"/>
  <c r="L357" i="36"/>
  <c r="AB312" i="36"/>
  <c r="AE357" i="35"/>
  <c r="L355" i="36"/>
  <c r="L337" i="36" s="1"/>
  <c r="AE355" i="35"/>
  <c r="Z312" i="36"/>
  <c r="K312" i="36" s="1"/>
  <c r="AI350" i="35"/>
  <c r="P350" i="36"/>
  <c r="P338" i="36" s="1"/>
  <c r="M356" i="36"/>
  <c r="M338" i="36" s="1"/>
  <c r="AF356" i="35"/>
  <c r="AA313" i="36"/>
  <c r="L313" i="36" s="1"/>
  <c r="Y305" i="36"/>
  <c r="E354" i="36"/>
  <c r="X354" i="35"/>
  <c r="O348" i="36"/>
  <c r="AH348" i="35"/>
  <c r="T315" i="36"/>
  <c r="N355" i="36"/>
  <c r="AG355" i="35"/>
  <c r="X304" i="36"/>
  <c r="D353" i="36"/>
  <c r="W353" i="35"/>
  <c r="G357" i="36"/>
  <c r="G339" i="36" s="1"/>
  <c r="Z357" i="35"/>
  <c r="Z339" i="35" s="1"/>
  <c r="AB307" i="36"/>
  <c r="M307" i="36" s="1"/>
  <c r="N354" i="36"/>
  <c r="N336" i="36" s="1"/>
  <c r="AG354" i="35"/>
  <c r="AG351" i="35"/>
  <c r="N351" i="36"/>
  <c r="AD350" i="35"/>
  <c r="V311" i="36"/>
  <c r="L311" i="36" s="1"/>
  <c r="K350" i="36"/>
  <c r="N354" i="35"/>
  <c r="AC357" i="35"/>
  <c r="J357" i="36"/>
  <c r="AB310" i="36"/>
  <c r="G335" i="36"/>
  <c r="AD349" i="35"/>
  <c r="K349" i="36"/>
  <c r="U311" i="36"/>
  <c r="K367" i="35"/>
  <c r="Q369" i="35"/>
  <c r="P369" i="35"/>
  <c r="K369" i="35"/>
  <c r="H369" i="35"/>
  <c r="L74" i="32" a="1"/>
  <c r="L74" i="32" s="1"/>
  <c r="L75" i="32" a="1"/>
  <c r="L75" i="32" s="1"/>
  <c r="L68" i="32" a="1"/>
  <c r="L68" i="32" s="1"/>
  <c r="D273" i="36"/>
  <c r="I547" i="5"/>
  <c r="I231" i="36" s="1"/>
  <c r="D269" i="36"/>
  <c r="T311" i="35"/>
  <c r="H204" i="36"/>
  <c r="H223" i="36"/>
  <c r="H218" i="36"/>
  <c r="AN504" i="5"/>
  <c r="M220" i="36" s="1"/>
  <c r="AN108" i="5"/>
  <c r="I220" i="36" s="1"/>
  <c r="X207" i="5"/>
  <c r="J204" i="36" s="1"/>
  <c r="Y108" i="5"/>
  <c r="I205" i="36" s="1"/>
  <c r="AD306" i="5"/>
  <c r="K210" i="36" s="1"/>
  <c r="F224" i="36"/>
  <c r="AF108" i="5"/>
  <c r="I212" i="36" s="1"/>
  <c r="AG306" i="5"/>
  <c r="H212" i="36"/>
  <c r="AD543" i="5"/>
  <c r="AD544" i="5" s="1"/>
  <c r="F205" i="36"/>
  <c r="AS504" i="5"/>
  <c r="M225" i="36" s="1"/>
  <c r="AM108" i="5"/>
  <c r="I219" i="36" s="1"/>
  <c r="E210" i="36"/>
  <c r="AE543" i="5"/>
  <c r="AE544" i="5" s="1"/>
  <c r="Z306" i="5"/>
  <c r="K206" i="36" s="1"/>
  <c r="AG513" i="5"/>
  <c r="AG514" i="5" s="1"/>
  <c r="H222" i="36"/>
  <c r="AE306" i="5"/>
  <c r="K211" i="36" s="1"/>
  <c r="AP108" i="5"/>
  <c r="E217" i="36"/>
  <c r="I273" i="36"/>
  <c r="AK306" i="5"/>
  <c r="K217" i="36" s="1"/>
  <c r="F211" i="36"/>
  <c r="Z513" i="5"/>
  <c r="Z514" i="5" s="1"/>
  <c r="E224" i="36"/>
  <c r="Y513" i="5"/>
  <c r="Y514" i="5" s="1"/>
  <c r="E225" i="36"/>
  <c r="Y306" i="5"/>
  <c r="K205" i="36" s="1"/>
  <c r="X108" i="5"/>
  <c r="I204" i="36" s="1"/>
  <c r="AR513" i="5"/>
  <c r="AR514" i="5" s="1"/>
  <c r="F204" i="36"/>
  <c r="AK513" i="5"/>
  <c r="AK514" i="5" s="1"/>
  <c r="AE513" i="5"/>
  <c r="AE514" i="5" s="1"/>
  <c r="E207" i="36"/>
  <c r="AQ207" i="5"/>
  <c r="J223" i="36" s="1"/>
  <c r="X504" i="5"/>
  <c r="M204" i="36" s="1"/>
  <c r="AF523" i="5"/>
  <c r="AF524" i="5" s="1"/>
  <c r="F212" i="36"/>
  <c r="H209" i="36"/>
  <c r="E205" i="36"/>
  <c r="AM306" i="5"/>
  <c r="K219" i="36" s="1"/>
  <c r="E221" i="36"/>
  <c r="AM543" i="5"/>
  <c r="AM544" i="5" s="1"/>
  <c r="W543" i="5"/>
  <c r="W544" i="5" s="1"/>
  <c r="AP523" i="5"/>
  <c r="AP524" i="5" s="1"/>
  <c r="H213" i="36"/>
  <c r="Y207" i="5"/>
  <c r="J205" i="36" s="1"/>
  <c r="H221" i="36"/>
  <c r="AO405" i="5"/>
  <c r="L221" i="36" s="1"/>
  <c r="AG543" i="5"/>
  <c r="AG544" i="5" s="1"/>
  <c r="AO306" i="5"/>
  <c r="K221" i="36" s="1"/>
  <c r="E204" i="36"/>
  <c r="AC523" i="5"/>
  <c r="AC524" i="5" s="1"/>
  <c r="AC108" i="5"/>
  <c r="I209" i="36" s="1"/>
  <c r="AK543" i="5"/>
  <c r="AK544" i="5" s="1"/>
  <c r="AQ108" i="5"/>
  <c r="I223" i="36" s="1"/>
  <c r="S542" i="5"/>
  <c r="AR543" i="2"/>
  <c r="D184" i="17" s="1"/>
  <c r="AS523" i="5"/>
  <c r="AS524" i="5" s="1"/>
  <c r="E223" i="36"/>
  <c r="E206" i="36"/>
  <c r="AL504" i="5"/>
  <c r="M218" i="36" s="1"/>
  <c r="S522" i="5"/>
  <c r="AN306" i="5"/>
  <c r="K220" i="36" s="1"/>
  <c r="H220" i="36"/>
  <c r="E218" i="36"/>
  <c r="AE523" i="5"/>
  <c r="AE524" i="5" s="1"/>
  <c r="AF543" i="2"/>
  <c r="D172" i="17" s="1"/>
  <c r="I269" i="36"/>
  <c r="AA306" i="5"/>
  <c r="AQ405" i="5"/>
  <c r="L223" i="36" s="1"/>
  <c r="AP543" i="5"/>
  <c r="AP544" i="5" s="1"/>
  <c r="AL108" i="5"/>
  <c r="I218" i="36" s="1"/>
  <c r="AH513" i="5"/>
  <c r="AH514" i="5" s="1"/>
  <c r="AK405" i="5"/>
  <c r="L217" i="36" s="1"/>
  <c r="AI207" i="5"/>
  <c r="J215" i="36" s="1"/>
  <c r="H210" i="36"/>
  <c r="F223" i="36"/>
  <c r="Y543" i="5"/>
  <c r="Y544" i="5" s="1"/>
  <c r="AN513" i="5"/>
  <c r="AN514" i="5" s="1"/>
  <c r="E216" i="36"/>
  <c r="E220" i="36"/>
  <c r="AJ513" i="5"/>
  <c r="AJ514" i="5" s="1"/>
  <c r="AG405" i="5"/>
  <c r="AQ523" i="5"/>
  <c r="AQ524" i="5" s="1"/>
  <c r="AP306" i="5"/>
  <c r="E213" i="36"/>
  <c r="Y405" i="5"/>
  <c r="Z523" i="5"/>
  <c r="Z524" i="5" s="1"/>
  <c r="E203" i="36"/>
  <c r="H206" i="36"/>
  <c r="AQ504" i="5"/>
  <c r="M223" i="36" s="1"/>
  <c r="AA513" i="5"/>
  <c r="AA514" i="5" s="1"/>
  <c r="W513" i="5"/>
  <c r="W514" i="5" s="1"/>
  <c r="AP513" i="5"/>
  <c r="AP514" i="5" s="1"/>
  <c r="H205" i="36"/>
  <c r="AL523" i="5"/>
  <c r="AL524" i="5" s="1"/>
  <c r="AC513" i="5"/>
  <c r="AC514" i="5" s="1"/>
  <c r="AN405" i="5"/>
  <c r="L220" i="36" s="1"/>
  <c r="H214" i="36"/>
  <c r="E222" i="36"/>
  <c r="AH108" i="5"/>
  <c r="I214" i="36" s="1"/>
  <c r="AJ504" i="5"/>
  <c r="AA108" i="5"/>
  <c r="AN543" i="5"/>
  <c r="AN544" i="5" s="1"/>
  <c r="AS543" i="5"/>
  <c r="AS544" i="5" s="1"/>
  <c r="AB543" i="5"/>
  <c r="AB544" i="5" s="1"/>
  <c r="F162" i="35"/>
  <c r="F189" i="35" s="1"/>
  <c r="C114" i="17"/>
  <c r="F167" i="35"/>
  <c r="F194" i="35" s="1"/>
  <c r="C119" i="17"/>
  <c r="F152" i="35"/>
  <c r="F179" i="35" s="1"/>
  <c r="C104" i="17"/>
  <c r="F170" i="35"/>
  <c r="F197" i="35" s="1"/>
  <c r="C122" i="17"/>
  <c r="F171" i="35"/>
  <c r="F198" i="35" s="1"/>
  <c r="C123" i="17"/>
  <c r="F161" i="35"/>
  <c r="F188" i="35" s="1"/>
  <c r="C113" i="17"/>
  <c r="F164" i="35"/>
  <c r="F191" i="35" s="1"/>
  <c r="C116" i="17"/>
  <c r="F154" i="35"/>
  <c r="F181" i="35" s="1"/>
  <c r="C106" i="17"/>
  <c r="F151" i="35"/>
  <c r="F178" i="35" s="1"/>
  <c r="C103" i="17"/>
  <c r="C92" i="17"/>
  <c r="C79" i="17"/>
  <c r="C85" i="17"/>
  <c r="C81" i="17"/>
  <c r="C73" i="17"/>
  <c r="L369" i="35"/>
  <c r="N366" i="35"/>
  <c r="L367" i="35"/>
  <c r="O369" i="35"/>
  <c r="M367" i="35"/>
  <c r="S368" i="35"/>
  <c r="J366" i="35"/>
  <c r="Q367" i="35"/>
  <c r="E369" i="35"/>
  <c r="I367" i="35"/>
  <c r="F367" i="35"/>
  <c r="I368" i="35"/>
  <c r="F366" i="35"/>
  <c r="M366" i="35"/>
  <c r="O366" i="35"/>
  <c r="R367" i="35"/>
  <c r="D367" i="35"/>
  <c r="S367" i="35"/>
  <c r="L366" i="35"/>
  <c r="L368" i="35"/>
  <c r="R369" i="35"/>
  <c r="F369" i="35"/>
  <c r="J367" i="35"/>
  <c r="G369" i="35"/>
  <c r="K368" i="35"/>
  <c r="N369" i="35"/>
  <c r="O367" i="35"/>
  <c r="M369" i="35"/>
  <c r="G366" i="35"/>
  <c r="G367" i="35"/>
  <c r="J368" i="35"/>
  <c r="E368" i="35"/>
  <c r="M368" i="35"/>
  <c r="D369" i="35"/>
  <c r="E366" i="35"/>
  <c r="O368" i="35"/>
  <c r="P367" i="35"/>
  <c r="F368" i="35"/>
  <c r="K366" i="35"/>
  <c r="N367" i="35"/>
  <c r="S366" i="35"/>
  <c r="R366" i="35"/>
  <c r="Q366" i="35"/>
  <c r="N368" i="35"/>
  <c r="P368" i="35"/>
  <c r="I369" i="35"/>
  <c r="P366" i="35"/>
  <c r="S369" i="35"/>
  <c r="D366" i="35"/>
  <c r="D268" i="17"/>
  <c r="E268" i="17"/>
  <c r="F268" i="17" s="1"/>
  <c r="D271" i="17"/>
  <c r="E271" i="17"/>
  <c r="F271" i="17" s="1"/>
  <c r="D275" i="17"/>
  <c r="E275" i="17"/>
  <c r="F275" i="17" s="1"/>
  <c r="H165" i="35"/>
  <c r="H192" i="35" s="1"/>
  <c r="C179" i="17"/>
  <c r="H161" i="35"/>
  <c r="H188" i="35" s="1"/>
  <c r="C175" i="17"/>
  <c r="H171" i="35"/>
  <c r="H198" i="35" s="1"/>
  <c r="C185" i="17"/>
  <c r="H150" i="35"/>
  <c r="H177" i="35" s="1"/>
  <c r="C164" i="17"/>
  <c r="H158" i="35"/>
  <c r="H185" i="35" s="1"/>
  <c r="C172" i="17"/>
  <c r="H149" i="35"/>
  <c r="H176" i="35" s="1"/>
  <c r="C163" i="17"/>
  <c r="H151" i="35"/>
  <c r="H178" i="35" s="1"/>
  <c r="C165" i="17"/>
  <c r="C13" i="17"/>
  <c r="C72" i="17"/>
  <c r="C90" i="17"/>
  <c r="E170" i="36"/>
  <c r="E197" i="36" s="1"/>
  <c r="C91" i="17"/>
  <c r="C74" i="17"/>
  <c r="C89" i="17"/>
  <c r="C80" i="17"/>
  <c r="E167" i="36"/>
  <c r="E194" i="36" s="1"/>
  <c r="C88" i="17"/>
  <c r="C76" i="17"/>
  <c r="C70" i="17"/>
  <c r="C78" i="17"/>
  <c r="C71" i="17"/>
  <c r="C83" i="17"/>
  <c r="C10" i="17"/>
  <c r="D61" i="17"/>
  <c r="E63" i="17" s="1"/>
  <c r="E44" i="17"/>
  <c r="D59" i="17"/>
  <c r="B63" i="17" s="1"/>
  <c r="E42" i="17"/>
  <c r="I336" i="35"/>
  <c r="T309" i="35"/>
  <c r="AJ336" i="35"/>
  <c r="AB311" i="35"/>
  <c r="Q335" i="35"/>
  <c r="X317" i="35"/>
  <c r="I317" i="35" s="1"/>
  <c r="E338" i="35"/>
  <c r="Q338" i="35"/>
  <c r="AA317" i="35"/>
  <c r="E150" i="36"/>
  <c r="E177" i="36" s="1"/>
  <c r="AA306" i="35"/>
  <c r="AA315" i="35"/>
  <c r="Y311" i="35"/>
  <c r="E155" i="36"/>
  <c r="E182" i="36" s="1"/>
  <c r="AM513" i="5"/>
  <c r="AM514" i="5" s="1"/>
  <c r="E219" i="36"/>
  <c r="H216" i="35"/>
  <c r="AD405" i="5"/>
  <c r="L210" i="36" s="1"/>
  <c r="AJ108" i="5"/>
  <c r="AA543" i="5"/>
  <c r="AA544" i="5" s="1"/>
  <c r="AJ523" i="5"/>
  <c r="AJ524" i="5" s="1"/>
  <c r="AB108" i="5"/>
  <c r="AE108" i="5"/>
  <c r="I211" i="36" s="1"/>
  <c r="H208" i="36"/>
  <c r="F152" i="36"/>
  <c r="F179" i="36" s="1"/>
  <c r="AB339" i="35"/>
  <c r="T305" i="35"/>
  <c r="F305" i="35" s="1"/>
  <c r="D319" i="35"/>
  <c r="AA336" i="35"/>
  <c r="E153" i="36"/>
  <c r="E180" i="36" s="1"/>
  <c r="E159" i="36"/>
  <c r="E186" i="36" s="1"/>
  <c r="E157" i="36"/>
  <c r="E184" i="36" s="1"/>
  <c r="R305" i="35"/>
  <c r="R306" i="35"/>
  <c r="R311" i="35"/>
  <c r="K330" i="35"/>
  <c r="R304" i="35"/>
  <c r="Q306" i="35"/>
  <c r="P315" i="35"/>
  <c r="Q310" i="35"/>
  <c r="I338" i="35"/>
  <c r="Q309" i="35"/>
  <c r="Z311" i="35"/>
  <c r="Z308" i="35"/>
  <c r="Y308" i="35"/>
  <c r="X308" i="35"/>
  <c r="N315" i="35"/>
  <c r="N308" i="35"/>
  <c r="P306" i="35"/>
  <c r="AJ338" i="35"/>
  <c r="N304" i="35"/>
  <c r="AB306" i="35"/>
  <c r="Q314" i="35"/>
  <c r="U32" i="5"/>
  <c r="AB310" i="35"/>
  <c r="Q315" i="35"/>
  <c r="R314" i="35"/>
  <c r="R312" i="35"/>
  <c r="R310" i="35"/>
  <c r="Q313" i="35"/>
  <c r="R313" i="35"/>
  <c r="AA308" i="35"/>
  <c r="Q312" i="35"/>
  <c r="Q304" i="35"/>
  <c r="G338" i="35"/>
  <c r="E337" i="35"/>
  <c r="Z305" i="35"/>
  <c r="K305" i="35" s="1"/>
  <c r="Z315" i="35"/>
  <c r="O315" i="35"/>
  <c r="O314" i="35"/>
  <c r="N305" i="35"/>
  <c r="N313" i="35"/>
  <c r="N311" i="35"/>
  <c r="G330" i="35"/>
  <c r="O307" i="35"/>
  <c r="E307" i="35" s="1"/>
  <c r="O313" i="35"/>
  <c r="P313" i="35"/>
  <c r="N314" i="35"/>
  <c r="N310" i="35"/>
  <c r="O312" i="35"/>
  <c r="N306" i="35"/>
  <c r="P312" i="35"/>
  <c r="P314" i="35"/>
  <c r="P304" i="35"/>
  <c r="O304" i="35"/>
  <c r="X315" i="35"/>
  <c r="N312" i="35"/>
  <c r="X305" i="35"/>
  <c r="X311" i="35"/>
  <c r="X310" i="35"/>
  <c r="X316" i="35"/>
  <c r="K192" i="35"/>
  <c r="M192" i="35"/>
  <c r="AA307" i="35"/>
  <c r="L307" i="35" s="1"/>
  <c r="AA339" i="35"/>
  <c r="X338" i="35"/>
  <c r="X335" i="35"/>
  <c r="Y310" i="35"/>
  <c r="AA304" i="35"/>
  <c r="Y306" i="35"/>
  <c r="AB308" i="35"/>
  <c r="AB304" i="35"/>
  <c r="AB305" i="35"/>
  <c r="AA311" i="35"/>
  <c r="AA310" i="35"/>
  <c r="D338" i="35"/>
  <c r="Z304" i="35"/>
  <c r="Z310" i="35"/>
  <c r="Y305" i="35"/>
  <c r="E336" i="35"/>
  <c r="Y315" i="35"/>
  <c r="Y304" i="35"/>
  <c r="Y307" i="35"/>
  <c r="X304" i="35"/>
  <c r="AI22" i="10"/>
  <c r="U316" i="35"/>
  <c r="H203" i="36"/>
  <c r="W405" i="5"/>
  <c r="L203" i="36" s="1"/>
  <c r="T316" i="35"/>
  <c r="K183" i="35"/>
  <c r="U399" i="2"/>
  <c r="U540" i="2" s="1"/>
  <c r="U300" i="2"/>
  <c r="U539" i="2" s="1"/>
  <c r="U498" i="2"/>
  <c r="AG315" i="35"/>
  <c r="AF310" i="35"/>
  <c r="T399" i="2"/>
  <c r="AF313" i="35"/>
  <c r="W315" i="35"/>
  <c r="U102" i="5"/>
  <c r="AE310" i="35"/>
  <c r="W312" i="35"/>
  <c r="AE312" i="35"/>
  <c r="AE314" i="35"/>
  <c r="K333" i="35"/>
  <c r="AE311" i="35"/>
  <c r="H311" i="35" s="1"/>
  <c r="T201" i="5"/>
  <c r="AE315" i="35"/>
  <c r="T102" i="5"/>
  <c r="AK337" i="35"/>
  <c r="U300" i="5"/>
  <c r="AE313" i="35"/>
  <c r="T300" i="2"/>
  <c r="F333" i="35"/>
  <c r="AE306" i="35"/>
  <c r="H306" i="35" s="1"/>
  <c r="AG310" i="35"/>
  <c r="AG312" i="35"/>
  <c r="U201" i="5"/>
  <c r="T300" i="5"/>
  <c r="AF315" i="35"/>
  <c r="AF312" i="35"/>
  <c r="U230" i="5"/>
  <c r="P233" i="36" s="1"/>
  <c r="AG333" i="35"/>
  <c r="AG313" i="35"/>
  <c r="AS543" i="2"/>
  <c r="H166" i="36"/>
  <c r="H193" i="36" s="1"/>
  <c r="H209" i="35"/>
  <c r="H171" i="36"/>
  <c r="H198" i="36" s="1"/>
  <c r="F161" i="36"/>
  <c r="F188" i="36" s="1"/>
  <c r="W313" i="35"/>
  <c r="W310" i="35"/>
  <c r="V306" i="35"/>
  <c r="V314" i="35"/>
  <c r="H204" i="35"/>
  <c r="U306" i="35"/>
  <c r="U315" i="35"/>
  <c r="U314" i="35"/>
  <c r="T315" i="35"/>
  <c r="U310" i="35"/>
  <c r="U312" i="35"/>
  <c r="U313" i="35"/>
  <c r="AD314" i="35"/>
  <c r="T306" i="35"/>
  <c r="T314" i="35"/>
  <c r="T312" i="35"/>
  <c r="AD315" i="35"/>
  <c r="AD312" i="35"/>
  <c r="U201" i="2"/>
  <c r="AD313" i="35"/>
  <c r="T201" i="2"/>
  <c r="T150" i="2"/>
  <c r="T232" i="35" s="1"/>
  <c r="T310" i="35"/>
  <c r="U102" i="2"/>
  <c r="S313" i="35"/>
  <c r="T102" i="2"/>
  <c r="S314" i="35"/>
  <c r="S312" i="35"/>
  <c r="S315" i="35"/>
  <c r="S310" i="35"/>
  <c r="L183" i="35"/>
  <c r="H208" i="35"/>
  <c r="AH237" i="10"/>
  <c r="AI237" i="10" s="1"/>
  <c r="U428" i="5"/>
  <c r="R233" i="36" s="1"/>
  <c r="W306" i="2"/>
  <c r="H206" i="35"/>
  <c r="H157" i="35"/>
  <c r="H184" i="35" s="1"/>
  <c r="AH543" i="2"/>
  <c r="H155" i="35"/>
  <c r="H182" i="35" s="1"/>
  <c r="H225" i="35"/>
  <c r="H218" i="35"/>
  <c r="AP543" i="2"/>
  <c r="D182" i="17" s="1"/>
  <c r="H223" i="35"/>
  <c r="AA543" i="2"/>
  <c r="D167" i="17" s="1"/>
  <c r="H217" i="35"/>
  <c r="AK306" i="2"/>
  <c r="H221" i="35"/>
  <c r="H213" i="35"/>
  <c r="H215" i="35"/>
  <c r="AD306" i="2"/>
  <c r="AD543" i="2"/>
  <c r="D170" i="17" s="1"/>
  <c r="AB543" i="2"/>
  <c r="D168" i="17" s="1"/>
  <c r="H220" i="35"/>
  <c r="Y543" i="2"/>
  <c r="D165" i="17" s="1"/>
  <c r="H203" i="35"/>
  <c r="U32" i="2"/>
  <c r="N233" i="35" s="1"/>
  <c r="U131" i="2"/>
  <c r="O233" i="35" s="1"/>
  <c r="U131" i="5"/>
  <c r="O233" i="36" s="1"/>
  <c r="U348" i="5"/>
  <c r="U447" i="5"/>
  <c r="W233" i="36" s="1"/>
  <c r="U329" i="5"/>
  <c r="Q233" i="36" s="1"/>
  <c r="U150" i="5"/>
  <c r="S308" i="35"/>
  <c r="U83" i="5"/>
  <c r="T348" i="2"/>
  <c r="T520" i="2" s="1"/>
  <c r="U479" i="5"/>
  <c r="U249" i="5"/>
  <c r="U233" i="36" s="1"/>
  <c r="U83" i="2"/>
  <c r="U380" i="5"/>
  <c r="AA233" i="36" s="1"/>
  <c r="V315" i="35"/>
  <c r="U281" i="5"/>
  <c r="U529" i="5" s="1"/>
  <c r="T32" i="5"/>
  <c r="Z338" i="35"/>
  <c r="G335" i="35"/>
  <c r="X307" i="35"/>
  <c r="I307" i="35" s="1"/>
  <c r="T348" i="5"/>
  <c r="O308" i="35"/>
  <c r="Z337" i="35"/>
  <c r="T131" i="5"/>
  <c r="U281" i="2"/>
  <c r="U51" i="5"/>
  <c r="T380" i="5"/>
  <c r="T249" i="5"/>
  <c r="T51" i="5"/>
  <c r="T83" i="5"/>
  <c r="T150" i="5"/>
  <c r="T281" i="5"/>
  <c r="U182" i="5"/>
  <c r="T329" i="5"/>
  <c r="T182" i="5"/>
  <c r="T479" i="5"/>
  <c r="T230" i="5"/>
  <c r="AK339" i="35"/>
  <c r="Z312" i="35"/>
  <c r="S316" i="35"/>
  <c r="U311" i="35"/>
  <c r="T249" i="2"/>
  <c r="P310" i="35"/>
  <c r="T230" i="2"/>
  <c r="T308" i="35"/>
  <c r="AB314" i="35"/>
  <c r="Y312" i="35"/>
  <c r="T182" i="2"/>
  <c r="L305" i="35"/>
  <c r="R316" i="35"/>
  <c r="T428" i="2"/>
  <c r="W311" i="35"/>
  <c r="T447" i="2"/>
  <c r="V310" i="35"/>
  <c r="P308" i="35"/>
  <c r="V312" i="35"/>
  <c r="O316" i="35"/>
  <c r="T131" i="2"/>
  <c r="R308" i="35"/>
  <c r="AA314" i="35"/>
  <c r="AB312" i="35"/>
  <c r="Z316" i="35"/>
  <c r="AA316" i="35"/>
  <c r="Z307" i="35"/>
  <c r="T281" i="2"/>
  <c r="AA313" i="35"/>
  <c r="Q316" i="35"/>
  <c r="Z314" i="35"/>
  <c r="V313" i="35"/>
  <c r="X314" i="35"/>
  <c r="T83" i="2"/>
  <c r="Y316" i="35"/>
  <c r="Y314" i="35"/>
  <c r="AB307" i="35"/>
  <c r="M307" i="35" s="1"/>
  <c r="T479" i="2"/>
  <c r="AA312" i="35"/>
  <c r="T380" i="2"/>
  <c r="Y313" i="35"/>
  <c r="W316" i="35"/>
  <c r="Z306" i="35"/>
  <c r="P316" i="35"/>
  <c r="V311" i="35"/>
  <c r="Z313" i="35"/>
  <c r="U51" i="2"/>
  <c r="X312" i="35"/>
  <c r="AB313" i="35"/>
  <c r="N316" i="35"/>
  <c r="T32" i="2"/>
  <c r="X306" i="35"/>
  <c r="AB316" i="35"/>
  <c r="T51" i="2"/>
  <c r="S311" i="35"/>
  <c r="X313" i="35"/>
  <c r="Q308" i="35"/>
  <c r="T329" i="2"/>
  <c r="U182" i="2"/>
  <c r="U150" i="2"/>
  <c r="U329" i="2"/>
  <c r="U479" i="2"/>
  <c r="U428" i="2"/>
  <c r="U230" i="2"/>
  <c r="U348" i="2"/>
  <c r="U249" i="2"/>
  <c r="U380" i="2"/>
  <c r="U447" i="2"/>
  <c r="AD552" i="5"/>
  <c r="AA405" i="5"/>
  <c r="AA523" i="5"/>
  <c r="AA524" i="5" s="1"/>
  <c r="E162" i="36"/>
  <c r="E189" i="36" s="1"/>
  <c r="F157" i="36"/>
  <c r="F184" i="36" s="1"/>
  <c r="F171" i="36"/>
  <c r="F198" i="36" s="1"/>
  <c r="F159" i="36"/>
  <c r="F186" i="36" s="1"/>
  <c r="F222" i="36"/>
  <c r="AL544" i="5"/>
  <c r="F168" i="36"/>
  <c r="F195" i="36" s="1"/>
  <c r="H368" i="35"/>
  <c r="D368" i="35"/>
  <c r="R368" i="35"/>
  <c r="T447" i="5"/>
  <c r="W232" i="36" s="1"/>
  <c r="AG304" i="35"/>
  <c r="H304" i="35" s="1"/>
  <c r="T498" i="2"/>
  <c r="AH51" i="10"/>
  <c r="AI51" i="10" s="1"/>
  <c r="AH45" i="10"/>
  <c r="AI45" i="10" s="1"/>
  <c r="AH57" i="10"/>
  <c r="AI57" i="10" s="1"/>
  <c r="T428" i="5"/>
  <c r="R232" i="36" s="1"/>
  <c r="AH63" i="10"/>
  <c r="AI63" i="10" s="1"/>
  <c r="AP405" i="5"/>
  <c r="E169" i="36"/>
  <c r="E196" i="36" s="1"/>
  <c r="F167" i="36"/>
  <c r="F194" i="36" s="1"/>
  <c r="AJ552" i="5"/>
  <c r="F153" i="36"/>
  <c r="F180" i="36" s="1"/>
  <c r="AC552" i="5"/>
  <c r="AS552" i="5"/>
  <c r="F170" i="36"/>
  <c r="F197" i="36" s="1"/>
  <c r="F154" i="36"/>
  <c r="F181" i="36" s="1"/>
  <c r="Z552" i="5"/>
  <c r="F160" i="36"/>
  <c r="F187" i="36" s="1"/>
  <c r="F209" i="36"/>
  <c r="AC405" i="5"/>
  <c r="X552" i="5"/>
  <c r="AI544" i="5"/>
  <c r="F163" i="36"/>
  <c r="F190" i="36" s="1"/>
  <c r="AI552" i="5"/>
  <c r="X543" i="2"/>
  <c r="D164" i="17" s="1"/>
  <c r="F216" i="36"/>
  <c r="AJ405" i="5"/>
  <c r="AR523" i="5"/>
  <c r="AR524" i="5" s="1"/>
  <c r="AL405" i="5"/>
  <c r="AR405" i="5"/>
  <c r="F218" i="36"/>
  <c r="AS405" i="5"/>
  <c r="AI405" i="5"/>
  <c r="F215" i="36"/>
  <c r="AM306" i="2"/>
  <c r="X523" i="5"/>
  <c r="F214" i="36"/>
  <c r="X405" i="5"/>
  <c r="X533" i="5"/>
  <c r="AH405" i="5"/>
  <c r="F225" i="36"/>
  <c r="AB523" i="5"/>
  <c r="X544" i="5"/>
  <c r="AK543" i="2"/>
  <c r="D177" i="17" s="1"/>
  <c r="F220" i="36"/>
  <c r="U540" i="5"/>
  <c r="AF288" i="36"/>
  <c r="AM362" i="35"/>
  <c r="T540" i="5"/>
  <c r="AF232" i="36"/>
  <c r="Z405" i="5"/>
  <c r="F206" i="36"/>
  <c r="AB405" i="5"/>
  <c r="AN523" i="5"/>
  <c r="H210" i="35"/>
  <c r="AG543" i="2"/>
  <c r="D173" i="17" s="1"/>
  <c r="F164" i="36"/>
  <c r="F191" i="36" s="1"/>
  <c r="F166" i="36"/>
  <c r="F193" i="36" s="1"/>
  <c r="J15" i="27"/>
  <c r="AA552" i="5"/>
  <c r="H205" i="35"/>
  <c r="K21" i="27"/>
  <c r="P21" i="27" s="1"/>
  <c r="L21" i="27"/>
  <c r="O21" i="27"/>
  <c r="J21" i="27"/>
  <c r="M23" i="27"/>
  <c r="N22" i="27"/>
  <c r="J22" i="27" s="1"/>
  <c r="M16" i="25"/>
  <c r="N15" i="25"/>
  <c r="J15" i="25" s="1"/>
  <c r="J14" i="25"/>
  <c r="S532" i="5"/>
  <c r="Z544" i="5"/>
  <c r="AB419" i="35"/>
  <c r="W417" i="35"/>
  <c r="AE417" i="35"/>
  <c r="AF417" i="35"/>
  <c r="AH417" i="35"/>
  <c r="AJ333" i="35"/>
  <c r="AG420" i="35"/>
  <c r="AK419" i="35"/>
  <c r="AH420" i="35"/>
  <c r="AG417" i="35"/>
  <c r="AG552" i="5"/>
  <c r="AJ543" i="2"/>
  <c r="AC544" i="5"/>
  <c r="X405" i="2"/>
  <c r="AQ552" i="5"/>
  <c r="AL552" i="5"/>
  <c r="AK552" i="5"/>
  <c r="AN552" i="5"/>
  <c r="W552" i="5"/>
  <c r="F166" i="35"/>
  <c r="F193" i="35" s="1"/>
  <c r="AO543" i="2"/>
  <c r="D181" i="17" s="1"/>
  <c r="E151" i="36"/>
  <c r="E178" i="36" s="1"/>
  <c r="Y405" i="2"/>
  <c r="AQ533" i="5"/>
  <c r="V552" i="5"/>
  <c r="U231" i="36"/>
  <c r="I522" i="5"/>
  <c r="AC543" i="2"/>
  <c r="D169" i="17" s="1"/>
  <c r="J541" i="5"/>
  <c r="AG234" i="36" s="1"/>
  <c r="AH552" i="5"/>
  <c r="S548" i="5"/>
  <c r="J231" i="36"/>
  <c r="L417" i="35"/>
  <c r="P420" i="35"/>
  <c r="R333" i="35"/>
  <c r="N419" i="35"/>
  <c r="J418" i="35"/>
  <c r="Q330" i="35"/>
  <c r="E418" i="35"/>
  <c r="D333" i="35"/>
  <c r="O420" i="35"/>
  <c r="E419" i="35"/>
  <c r="P418" i="35"/>
  <c r="J182" i="35"/>
  <c r="E153" i="35"/>
  <c r="E180" i="35" s="1"/>
  <c r="AC108" i="2"/>
  <c r="Z543" i="2"/>
  <c r="D166" i="17" s="1"/>
  <c r="H154" i="35"/>
  <c r="H181" i="35" s="1"/>
  <c r="H222" i="35"/>
  <c r="AS306" i="2"/>
  <c r="G221" i="36"/>
  <c r="AO533" i="5"/>
  <c r="F156" i="35"/>
  <c r="F183" i="35" s="1"/>
  <c r="M196" i="35"/>
  <c r="AJ207" i="2"/>
  <c r="AQ552" i="2"/>
  <c r="F158" i="35"/>
  <c r="F185" i="35" s="1"/>
  <c r="AF544" i="5"/>
  <c r="AJ544" i="5"/>
  <c r="AQ306" i="2"/>
  <c r="H160" i="35"/>
  <c r="H187" i="35" s="1"/>
  <c r="H153" i="35"/>
  <c r="H180" i="35" s="1"/>
  <c r="F160" i="35"/>
  <c r="F187" i="35" s="1"/>
  <c r="AE405" i="2"/>
  <c r="AB504" i="2"/>
  <c r="AN405" i="2"/>
  <c r="AJ405" i="2"/>
  <c r="AO207" i="2"/>
  <c r="AJ108" i="2"/>
  <c r="W207" i="2"/>
  <c r="G222" i="36"/>
  <c r="H164" i="35"/>
  <c r="H191" i="35" s="1"/>
  <c r="AR533" i="5"/>
  <c r="AR534" i="5" s="1"/>
  <c r="G219" i="36"/>
  <c r="H169" i="35"/>
  <c r="H196" i="35" s="1"/>
  <c r="E170" i="35"/>
  <c r="E197" i="35" s="1"/>
  <c r="H167" i="35"/>
  <c r="H194" i="35" s="1"/>
  <c r="AR504" i="2"/>
  <c r="AN207" i="2"/>
  <c r="AB405" i="2"/>
  <c r="W504" i="2"/>
  <c r="E156" i="35"/>
  <c r="E183" i="35" s="1"/>
  <c r="AS405" i="2"/>
  <c r="AM533" i="5"/>
  <c r="F149" i="35"/>
  <c r="H170" i="35"/>
  <c r="H197" i="35" s="1"/>
  <c r="H168" i="35"/>
  <c r="H195" i="35" s="1"/>
  <c r="AF552" i="2"/>
  <c r="AG504" i="2"/>
  <c r="AH207" i="2"/>
  <c r="AH405" i="2"/>
  <c r="AE207" i="2"/>
  <c r="Z333" i="35"/>
  <c r="AA333" i="35"/>
  <c r="K420" i="35"/>
  <c r="R418" i="35"/>
  <c r="D417" i="35"/>
  <c r="G417" i="35"/>
  <c r="N420" i="35"/>
  <c r="Q417" i="35"/>
  <c r="F417" i="35"/>
  <c r="L418" i="35"/>
  <c r="S330" i="35"/>
  <c r="D331" i="35"/>
  <c r="G214" i="36"/>
  <c r="AH419" i="35"/>
  <c r="AH418" i="35"/>
  <c r="Y420" i="35"/>
  <c r="AG418" i="35"/>
  <c r="X419" i="35"/>
  <c r="Y417" i="35"/>
  <c r="AA419" i="35"/>
  <c r="AA418" i="35"/>
  <c r="V419" i="35"/>
  <c r="Z331" i="35"/>
  <c r="I418" i="35"/>
  <c r="S417" i="35"/>
  <c r="D419" i="35"/>
  <c r="I420" i="35"/>
  <c r="F418" i="35"/>
  <c r="Q420" i="35"/>
  <c r="M420" i="35"/>
  <c r="D420" i="35"/>
  <c r="AG419" i="35"/>
  <c r="AC417" i="35"/>
  <c r="AF419" i="35"/>
  <c r="AB417" i="35"/>
  <c r="AD419" i="35"/>
  <c r="AB333" i="35"/>
  <c r="AL332" i="35"/>
  <c r="AL331" i="35"/>
  <c r="AJ331" i="35"/>
  <c r="S419" i="35"/>
  <c r="F420" i="35"/>
  <c r="Q418" i="35"/>
  <c r="G418" i="35"/>
  <c r="R417" i="35"/>
  <c r="O418" i="35"/>
  <c r="G420" i="35"/>
  <c r="I419" i="35"/>
  <c r="S333" i="35"/>
  <c r="E333" i="35"/>
  <c r="I332" i="35"/>
  <c r="X417" i="35"/>
  <c r="Z420" i="35"/>
  <c r="W420" i="35"/>
  <c r="AA417" i="35"/>
  <c r="V417" i="35"/>
  <c r="Z418" i="35"/>
  <c r="W418" i="35"/>
  <c r="AB331" i="35"/>
  <c r="K417" i="35"/>
  <c r="F419" i="35"/>
  <c r="H420" i="35"/>
  <c r="E420" i="35"/>
  <c r="K418" i="35"/>
  <c r="J420" i="35"/>
  <c r="R420" i="35"/>
  <c r="E417" i="35"/>
  <c r="H333" i="35"/>
  <c r="G331" i="35"/>
  <c r="S332" i="35"/>
  <c r="S323" i="35" s="1"/>
  <c r="R331" i="35"/>
  <c r="AI418" i="35"/>
  <c r="V420" i="35"/>
  <c r="Y418" i="35"/>
  <c r="AI417" i="35"/>
  <c r="AJ420" i="35"/>
  <c r="AI420" i="35"/>
  <c r="AE420" i="35"/>
  <c r="AA420" i="35"/>
  <c r="W419" i="35"/>
  <c r="AK333" i="35"/>
  <c r="AD333" i="35"/>
  <c r="X333" i="35"/>
  <c r="AJ330" i="35"/>
  <c r="P419" i="35"/>
  <c r="M417" i="35"/>
  <c r="S420" i="35"/>
  <c r="L420" i="35"/>
  <c r="S418" i="35"/>
  <c r="L419" i="35"/>
  <c r="D418" i="35"/>
  <c r="H418" i="35"/>
  <c r="P333" i="35"/>
  <c r="R332" i="35"/>
  <c r="R323" i="35" s="1"/>
  <c r="S331" i="35"/>
  <c r="AF420" i="35"/>
  <c r="AI419" i="35"/>
  <c r="Y419" i="35"/>
  <c r="AB418" i="35"/>
  <c r="AC419" i="35"/>
  <c r="AK420" i="35"/>
  <c r="AE418" i="35"/>
  <c r="AD418" i="35"/>
  <c r="AK418" i="35"/>
  <c r="AJ419" i="35"/>
  <c r="AK417" i="35"/>
  <c r="AI333" i="35"/>
  <c r="AK330" i="35"/>
  <c r="R419" i="35"/>
  <c r="M418" i="35"/>
  <c r="M419" i="35"/>
  <c r="O419" i="35"/>
  <c r="O417" i="35"/>
  <c r="I417" i="35"/>
  <c r="K419" i="35"/>
  <c r="H419" i="35"/>
  <c r="I333" i="35"/>
  <c r="G333" i="35"/>
  <c r="Q331" i="35"/>
  <c r="E331" i="35"/>
  <c r="AF418" i="35"/>
  <c r="AJ418" i="35"/>
  <c r="AD420" i="35"/>
  <c r="Z419" i="35"/>
  <c r="V418" i="35"/>
  <c r="X420" i="35"/>
  <c r="AJ417" i="35"/>
  <c r="V552" i="2"/>
  <c r="AL333" i="35"/>
  <c r="AL330" i="35"/>
  <c r="AB330" i="35"/>
  <c r="AK332" i="35"/>
  <c r="N417" i="35"/>
  <c r="Q419" i="35"/>
  <c r="G419" i="35"/>
  <c r="J417" i="35"/>
  <c r="P417" i="35"/>
  <c r="J419" i="35"/>
  <c r="N418" i="35"/>
  <c r="H417" i="35"/>
  <c r="R330" i="35"/>
  <c r="Q333" i="35"/>
  <c r="AC306" i="2"/>
  <c r="AO504" i="2"/>
  <c r="AE419" i="35"/>
  <c r="AC418" i="35"/>
  <c r="AD417" i="35"/>
  <c r="X418" i="35"/>
  <c r="AC420" i="35"/>
  <c r="AB420" i="35"/>
  <c r="Z417" i="35"/>
  <c r="S512" i="5"/>
  <c r="AA306" i="2"/>
  <c r="AI504" i="2"/>
  <c r="AD504" i="2"/>
  <c r="E210" i="35"/>
  <c r="M203" i="36"/>
  <c r="S542" i="2"/>
  <c r="Y108" i="2"/>
  <c r="AM207" i="2"/>
  <c r="AQ207" i="2"/>
  <c r="AJ306" i="2"/>
  <c r="AK405" i="2"/>
  <c r="AS504" i="2"/>
  <c r="AM543" i="2"/>
  <c r="D179" i="17" s="1"/>
  <c r="AL504" i="2"/>
  <c r="H159" i="35"/>
  <c r="H186" i="35" s="1"/>
  <c r="L194" i="35"/>
  <c r="W108" i="2"/>
  <c r="AG207" i="2"/>
  <c r="AH306" i="2"/>
  <c r="H162" i="35"/>
  <c r="H189" i="35" s="1"/>
  <c r="G218" i="36"/>
  <c r="AR306" i="2"/>
  <c r="AD405" i="2"/>
  <c r="AO405" i="2"/>
  <c r="AE306" i="2"/>
  <c r="Y306" i="2"/>
  <c r="AP405" i="2"/>
  <c r="AR207" i="2"/>
  <c r="AS207" i="2"/>
  <c r="AG306" i="2"/>
  <c r="Z405" i="2"/>
  <c r="AN543" i="2"/>
  <c r="D180" i="17" s="1"/>
  <c r="AP207" i="2"/>
  <c r="AH504" i="2"/>
  <c r="AB306" i="2"/>
  <c r="AE504" i="2"/>
  <c r="AP533" i="5"/>
  <c r="Z306" i="2"/>
  <c r="AR405" i="2"/>
  <c r="AA504" i="2"/>
  <c r="AB552" i="5"/>
  <c r="K194" i="35"/>
  <c r="AN504" i="2"/>
  <c r="H152" i="35"/>
  <c r="H179" i="35" s="1"/>
  <c r="W543" i="2"/>
  <c r="D163" i="17" s="1"/>
  <c r="AK504" i="2"/>
  <c r="H156" i="35"/>
  <c r="H183" i="35" s="1"/>
  <c r="AM552" i="2"/>
  <c r="AI207" i="2"/>
  <c r="AF306" i="2"/>
  <c r="AQ504" i="2"/>
  <c r="AO108" i="2"/>
  <c r="M205" i="36"/>
  <c r="AQ405" i="2"/>
  <c r="AB207" i="2"/>
  <c r="AC207" i="2"/>
  <c r="AN306" i="2"/>
  <c r="Y533" i="2"/>
  <c r="D134" i="17" s="1"/>
  <c r="E134" i="17" s="1"/>
  <c r="C155" i="17" s="1"/>
  <c r="AE108" i="2"/>
  <c r="Z552" i="2"/>
  <c r="Z207" i="2"/>
  <c r="AA207" i="2"/>
  <c r="AK207" i="2"/>
  <c r="G205" i="35"/>
  <c r="AO306" i="2"/>
  <c r="W405" i="2"/>
  <c r="H163" i="35"/>
  <c r="H190" i="35" s="1"/>
  <c r="AI405" i="2"/>
  <c r="Z504" i="2"/>
  <c r="AP108" i="2"/>
  <c r="AO552" i="5"/>
  <c r="AP552" i="5"/>
  <c r="AH533" i="5"/>
  <c r="AR552" i="5"/>
  <c r="AC405" i="2"/>
  <c r="AL552" i="2"/>
  <c r="G225" i="36"/>
  <c r="AI533" i="5"/>
  <c r="G207" i="36"/>
  <c r="W524" i="5"/>
  <c r="G216" i="36"/>
  <c r="AJ533" i="5"/>
  <c r="AL533" i="5"/>
  <c r="AD524" i="5"/>
  <c r="F149" i="36"/>
  <c r="F176" i="36" s="1"/>
  <c r="AI524" i="5"/>
  <c r="E149" i="36"/>
  <c r="E176" i="36" s="1"/>
  <c r="AD514" i="5"/>
  <c r="R552" i="5"/>
  <c r="G220" i="36"/>
  <c r="W533" i="5"/>
  <c r="E209" i="35"/>
  <c r="AB514" i="5"/>
  <c r="Z533" i="5"/>
  <c r="Z534" i="5" s="1"/>
  <c r="AM524" i="5"/>
  <c r="AF514" i="5"/>
  <c r="Y533" i="5"/>
  <c r="AL523" i="2"/>
  <c r="D116" i="17" s="1"/>
  <c r="E116" i="17" s="1"/>
  <c r="AO524" i="5"/>
  <c r="AK524" i="5"/>
  <c r="M149" i="36"/>
  <c r="M176" i="36" s="1"/>
  <c r="Y524" i="5"/>
  <c r="X514" i="5"/>
  <c r="Y552" i="5"/>
  <c r="I151" i="36"/>
  <c r="I178" i="36" s="1"/>
  <c r="AC504" i="2"/>
  <c r="AG524" i="5"/>
  <c r="AH524" i="5"/>
  <c r="AJ504" i="2"/>
  <c r="F207" i="35"/>
  <c r="W523" i="2"/>
  <c r="D101" i="17" s="1"/>
  <c r="E101" i="17" s="1"/>
  <c r="X504" i="2"/>
  <c r="AF504" i="2"/>
  <c r="AP504" i="2"/>
  <c r="Y504" i="2"/>
  <c r="Y513" i="2"/>
  <c r="D72" i="17" s="1"/>
  <c r="E72" i="17" s="1"/>
  <c r="F72" i="17" s="1"/>
  <c r="Z513" i="2"/>
  <c r="D73" i="17" s="1"/>
  <c r="E73" i="17" s="1"/>
  <c r="F73" i="17" s="1"/>
  <c r="L178" i="35"/>
  <c r="AA552" i="2"/>
  <c r="AO552" i="2"/>
  <c r="AD523" i="2"/>
  <c r="AA523" i="2"/>
  <c r="AG552" i="2"/>
  <c r="AA405" i="2"/>
  <c r="AL405" i="2"/>
  <c r="AD552" i="2"/>
  <c r="AC552" i="2"/>
  <c r="E149" i="35"/>
  <c r="E176" i="35" s="1"/>
  <c r="AC513" i="2"/>
  <c r="D76" i="17" s="1"/>
  <c r="E76" i="17" s="1"/>
  <c r="AS513" i="2"/>
  <c r="D92" i="17" s="1"/>
  <c r="E92" i="17" s="1"/>
  <c r="AP552" i="2"/>
  <c r="H166" i="35"/>
  <c r="H193" i="35" s="1"/>
  <c r="W552" i="2"/>
  <c r="F205" i="35"/>
  <c r="F157" i="35"/>
  <c r="F184" i="35" s="1"/>
  <c r="E154" i="35"/>
  <c r="E181" i="35" s="1"/>
  <c r="AH552" i="2"/>
  <c r="AE552" i="2"/>
  <c r="X552" i="2"/>
  <c r="E161" i="35"/>
  <c r="E188" i="35" s="1"/>
  <c r="X306" i="2"/>
  <c r="X513" i="2"/>
  <c r="D71" i="17" s="1"/>
  <c r="E71" i="17" s="1"/>
  <c r="F71" i="17" s="1"/>
  <c r="E205" i="35"/>
  <c r="G216" i="35"/>
  <c r="AB552" i="2"/>
  <c r="AS552" i="2"/>
  <c r="AK552" i="2"/>
  <c r="AR552" i="2"/>
  <c r="Y552" i="2"/>
  <c r="AJ552" i="2"/>
  <c r="AI552" i="2"/>
  <c r="AN552" i="2"/>
  <c r="AE533" i="2"/>
  <c r="D140" i="17" s="1"/>
  <c r="E140" i="17" s="1"/>
  <c r="F159" i="35"/>
  <c r="F186" i="35" s="1"/>
  <c r="F203" i="35"/>
  <c r="Y207" i="2"/>
  <c r="F150" i="35"/>
  <c r="F177" i="35" s="1"/>
  <c r="Y523" i="2"/>
  <c r="F165" i="35"/>
  <c r="F192" i="35" s="1"/>
  <c r="E158" i="35"/>
  <c r="E185" i="35" s="1"/>
  <c r="E150" i="35"/>
  <c r="E177" i="35" s="1"/>
  <c r="AD513" i="2"/>
  <c r="D77" i="17" s="1"/>
  <c r="E77" i="17" s="1"/>
  <c r="E151" i="35"/>
  <c r="E178" i="35" s="1"/>
  <c r="E159" i="35"/>
  <c r="E186" i="35" s="1"/>
  <c r="E163" i="35"/>
  <c r="E190" i="35" s="1"/>
  <c r="AL207" i="2"/>
  <c r="S512" i="2"/>
  <c r="AF207" i="2"/>
  <c r="E165" i="35"/>
  <c r="E192" i="35" s="1"/>
  <c r="E204" i="35"/>
  <c r="S547" i="2"/>
  <c r="R552" i="2"/>
  <c r="D261" i="35"/>
  <c r="I272" i="35"/>
  <c r="I264" i="35"/>
  <c r="D272" i="35"/>
  <c r="T78" i="32" s="1" a="1"/>
  <c r="T78" i="32" s="1"/>
  <c r="D264" i="35"/>
  <c r="I261" i="35"/>
  <c r="D269" i="35"/>
  <c r="I273" i="35"/>
  <c r="D60" i="32" s="1" a="1"/>
  <c r="D60" i="32" s="1"/>
  <c r="D265" i="35"/>
  <c r="I271" i="35"/>
  <c r="I263" i="35"/>
  <c r="D271" i="35"/>
  <c r="T77" i="32" s="1" a="1"/>
  <c r="T77" i="32" s="1"/>
  <c r="D263" i="35"/>
  <c r="I269" i="35"/>
  <c r="I270" i="35"/>
  <c r="I262" i="35"/>
  <c r="D270" i="35"/>
  <c r="D262" i="35"/>
  <c r="I265" i="35"/>
  <c r="I276" i="35"/>
  <c r="I268" i="35"/>
  <c r="D276" i="35"/>
  <c r="D268" i="35"/>
  <c r="I266" i="35"/>
  <c r="D274" i="35"/>
  <c r="I275" i="35"/>
  <c r="I267" i="35"/>
  <c r="D275" i="35"/>
  <c r="T81" i="32" s="1" a="1"/>
  <c r="T81" i="32" s="1"/>
  <c r="D267" i="35"/>
  <c r="I274" i="35"/>
  <c r="D266" i="35"/>
  <c r="D273" i="35"/>
  <c r="T79" i="32" s="1" a="1"/>
  <c r="T79" i="32" s="1"/>
  <c r="AC533" i="5"/>
  <c r="AE533" i="5"/>
  <c r="AE534" i="5" s="1"/>
  <c r="AJ523" i="2"/>
  <c r="D114" i="17" s="1"/>
  <c r="E114" i="17" s="1"/>
  <c r="AN533" i="5"/>
  <c r="AF533" i="5"/>
  <c r="AF534" i="5" s="1"/>
  <c r="AS533" i="5"/>
  <c r="AS534" i="5" s="1"/>
  <c r="AB533" i="5"/>
  <c r="AN108" i="2"/>
  <c r="AN523" i="2"/>
  <c r="AA533" i="5"/>
  <c r="AG533" i="5"/>
  <c r="AD533" i="5"/>
  <c r="AM552" i="5"/>
  <c r="AG523" i="2"/>
  <c r="E158" i="36"/>
  <c r="E185" i="36" s="1"/>
  <c r="F221" i="35"/>
  <c r="AE552" i="5"/>
  <c r="I157" i="36"/>
  <c r="I184" i="36" s="1"/>
  <c r="AI108" i="2"/>
  <c r="AF552" i="5"/>
  <c r="AK533" i="5"/>
  <c r="AL544" i="2"/>
  <c r="AI544" i="2"/>
  <c r="AE544" i="2"/>
  <c r="AC231" i="35"/>
  <c r="I542" i="2"/>
  <c r="D159" i="17" s="1"/>
  <c r="AQ544" i="2"/>
  <c r="F155" i="35"/>
  <c r="F182" i="35" s="1"/>
  <c r="E155" i="35"/>
  <c r="E182" i="35" s="1"/>
  <c r="T427" i="35"/>
  <c r="AQ544" i="5"/>
  <c r="AO544" i="5"/>
  <c r="AS514" i="5"/>
  <c r="AQ514" i="5"/>
  <c r="AI514" i="5"/>
  <c r="AL514" i="5"/>
  <c r="AO514" i="5"/>
  <c r="R231" i="36"/>
  <c r="I512" i="5"/>
  <c r="AF405" i="2"/>
  <c r="AG405" i="2"/>
  <c r="F216" i="35"/>
  <c r="F213" i="35"/>
  <c r="AO523" i="2"/>
  <c r="D119" i="17" s="1"/>
  <c r="E119" i="17" s="1"/>
  <c r="AM405" i="2"/>
  <c r="E166" i="35"/>
  <c r="E193" i="35" s="1"/>
  <c r="AP513" i="2"/>
  <c r="AP514" i="2" s="1"/>
  <c r="Z523" i="2"/>
  <c r="D104" i="17" s="1"/>
  <c r="E104" i="17" s="1"/>
  <c r="AM523" i="2"/>
  <c r="F220" i="35"/>
  <c r="AS523" i="2"/>
  <c r="E225" i="35"/>
  <c r="E206" i="35"/>
  <c r="E162" i="35"/>
  <c r="E189" i="35" s="1"/>
  <c r="AD207" i="2"/>
  <c r="F153" i="35"/>
  <c r="F180" i="35" s="1"/>
  <c r="F168" i="35"/>
  <c r="F195" i="35" s="1"/>
  <c r="AM504" i="2"/>
  <c r="F218" i="35"/>
  <c r="F219" i="35"/>
  <c r="F163" i="35"/>
  <c r="F190" i="35" s="1"/>
  <c r="F225" i="35"/>
  <c r="E222" i="35"/>
  <c r="F169" i="35"/>
  <c r="F196" i="35" s="1"/>
  <c r="X207" i="2"/>
  <c r="F206" i="35"/>
  <c r="S522" i="2"/>
  <c r="F210" i="35"/>
  <c r="AC523" i="2"/>
  <c r="D107" i="17" s="1"/>
  <c r="E107" i="17" s="1"/>
  <c r="F209" i="35"/>
  <c r="AH523" i="2"/>
  <c r="D112" i="17" s="1"/>
  <c r="E112" i="17" s="1"/>
  <c r="F214" i="35"/>
  <c r="AP523" i="2"/>
  <c r="D120" i="17" s="1"/>
  <c r="E120" i="17" s="1"/>
  <c r="F222" i="35"/>
  <c r="S231" i="35"/>
  <c r="I522" i="2"/>
  <c r="D97" i="17" s="1"/>
  <c r="AQ523" i="2"/>
  <c r="D121" i="17" s="1"/>
  <c r="E121" i="17" s="1"/>
  <c r="F223" i="35"/>
  <c r="AE523" i="2"/>
  <c r="D109" i="17" s="1"/>
  <c r="E109" i="17" s="1"/>
  <c r="F211" i="35"/>
  <c r="AF523" i="2"/>
  <c r="D110" i="17" s="1"/>
  <c r="E110" i="17" s="1"/>
  <c r="F212" i="35"/>
  <c r="AK523" i="2"/>
  <c r="D115" i="17" s="1"/>
  <c r="E115" i="17" s="1"/>
  <c r="F217" i="35"/>
  <c r="AI523" i="2"/>
  <c r="D113" i="17" s="1"/>
  <c r="E113" i="17" s="1"/>
  <c r="F215" i="35"/>
  <c r="AR523" i="2"/>
  <c r="D122" i="17" s="1"/>
  <c r="E122" i="17" s="1"/>
  <c r="F224" i="35"/>
  <c r="AB523" i="2"/>
  <c r="D106" i="17" s="1"/>
  <c r="E106" i="17" s="1"/>
  <c r="F208" i="35"/>
  <c r="X523" i="2"/>
  <c r="D102" i="17" s="1"/>
  <c r="E102" i="17" s="1"/>
  <c r="F204" i="35"/>
  <c r="AB513" i="2"/>
  <c r="D75" i="17" s="1"/>
  <c r="E75" i="17" s="1"/>
  <c r="E208" i="35"/>
  <c r="AA513" i="2"/>
  <c r="D74" i="17" s="1"/>
  <c r="E74" i="17" s="1"/>
  <c r="E207" i="35"/>
  <c r="N231" i="35"/>
  <c r="I512" i="2"/>
  <c r="AM513" i="2"/>
  <c r="E219" i="35"/>
  <c r="AG513" i="2"/>
  <c r="D80" i="17" s="1"/>
  <c r="E80" i="17" s="1"/>
  <c r="E213" i="35"/>
  <c r="AH513" i="2"/>
  <c r="D81" i="17" s="1"/>
  <c r="E81" i="17" s="1"/>
  <c r="E214" i="35"/>
  <c r="AQ513" i="2"/>
  <c r="D90" i="17" s="1"/>
  <c r="E90" i="17" s="1"/>
  <c r="E223" i="35"/>
  <c r="AF513" i="2"/>
  <c r="D79" i="17" s="1"/>
  <c r="E79" i="17" s="1"/>
  <c r="E212" i="35"/>
  <c r="AK513" i="2"/>
  <c r="D84" i="17" s="1"/>
  <c r="E84" i="17" s="1"/>
  <c r="E217" i="35"/>
  <c r="W513" i="2"/>
  <c r="D70" i="17" s="1"/>
  <c r="E70" i="17" s="1"/>
  <c r="F70" i="17" s="1"/>
  <c r="E203" i="35"/>
  <c r="AL513" i="2"/>
  <c r="D85" i="17" s="1"/>
  <c r="E85" i="17" s="1"/>
  <c r="E218" i="35"/>
  <c r="AE513" i="2"/>
  <c r="E211" i="35"/>
  <c r="AN513" i="2"/>
  <c r="D87" i="17" s="1"/>
  <c r="E87" i="17" s="1"/>
  <c r="E220" i="35"/>
  <c r="AR513" i="2"/>
  <c r="D91" i="17" s="1"/>
  <c r="E91" i="17" s="1"/>
  <c r="E224" i="35"/>
  <c r="AO513" i="2"/>
  <c r="D88" i="17" s="1"/>
  <c r="E88" i="17" s="1"/>
  <c r="E221" i="35"/>
  <c r="AI513" i="2"/>
  <c r="D82" i="17" s="1"/>
  <c r="E82" i="17" s="1"/>
  <c r="E215" i="35"/>
  <c r="AJ513" i="2"/>
  <c r="D83" i="17" s="1"/>
  <c r="E83" i="17" s="1"/>
  <c r="E216" i="35"/>
  <c r="G149" i="36"/>
  <c r="G176" i="36" s="1"/>
  <c r="I551" i="5"/>
  <c r="S551" i="5"/>
  <c r="S550" i="5"/>
  <c r="G209" i="36"/>
  <c r="G210" i="36"/>
  <c r="G212" i="36"/>
  <c r="G208" i="36"/>
  <c r="G213" i="36"/>
  <c r="G217" i="36"/>
  <c r="G211" i="36"/>
  <c r="G206" i="36"/>
  <c r="AE377" i="35"/>
  <c r="Y377" i="35"/>
  <c r="Z377" i="35"/>
  <c r="G211" i="35"/>
  <c r="G221" i="35"/>
  <c r="AO533" i="2"/>
  <c r="G209" i="35"/>
  <c r="AC533" i="2"/>
  <c r="D138" i="17" s="1"/>
  <c r="E138" i="17" s="1"/>
  <c r="K222" i="35"/>
  <c r="AP533" i="2"/>
  <c r="D151" i="17" s="1"/>
  <c r="E151" i="17" s="1"/>
  <c r="S532" i="2"/>
  <c r="G203" i="35"/>
  <c r="W533" i="2"/>
  <c r="D132" i="17" s="1"/>
  <c r="E132" i="17" s="1"/>
  <c r="G222" i="35"/>
  <c r="G220" i="35"/>
  <c r="AJ533" i="2"/>
  <c r="AN533" i="2"/>
  <c r="D149" i="17" s="1"/>
  <c r="E149" i="17" s="1"/>
  <c r="G215" i="35"/>
  <c r="AI533" i="2"/>
  <c r="G167" i="36"/>
  <c r="G153" i="36"/>
  <c r="X377" i="35"/>
  <c r="L153" i="36"/>
  <c r="L231" i="36"/>
  <c r="G171" i="36"/>
  <c r="AR306" i="5"/>
  <c r="G224" i="36"/>
  <c r="G170" i="36"/>
  <c r="G151" i="36"/>
  <c r="AH377" i="35"/>
  <c r="AF377" i="35"/>
  <c r="G165" i="36"/>
  <c r="G192" i="36" s="1"/>
  <c r="G152" i="36"/>
  <c r="K170" i="36"/>
  <c r="K197" i="36" s="1"/>
  <c r="K151" i="36"/>
  <c r="K178" i="36" s="1"/>
  <c r="Z231" i="36"/>
  <c r="I532" i="5"/>
  <c r="AA377" i="35"/>
  <c r="G205" i="36"/>
  <c r="K152" i="36"/>
  <c r="K179" i="36" s="1"/>
  <c r="AI306" i="5"/>
  <c r="G215" i="36"/>
  <c r="G157" i="36"/>
  <c r="I549" i="5"/>
  <c r="AB377" i="35"/>
  <c r="AG377" i="35"/>
  <c r="AD377" i="35"/>
  <c r="G150" i="36"/>
  <c r="G177" i="36" s="1"/>
  <c r="K157" i="36"/>
  <c r="K184" i="36" s="1"/>
  <c r="G158" i="36"/>
  <c r="W306" i="5"/>
  <c r="G203" i="36"/>
  <c r="AJ377" i="35"/>
  <c r="AL375" i="35"/>
  <c r="V377" i="35"/>
  <c r="AL373" i="35"/>
  <c r="S549" i="5"/>
  <c r="G169" i="36"/>
  <c r="X306" i="5"/>
  <c r="G204" i="36"/>
  <c r="AQ306" i="5"/>
  <c r="G223" i="36"/>
  <c r="AI377" i="35"/>
  <c r="AL374" i="35"/>
  <c r="AL376" i="35"/>
  <c r="W377" i="35"/>
  <c r="AK377" i="35"/>
  <c r="G161" i="36"/>
  <c r="K169" i="36"/>
  <c r="K196" i="36" s="1"/>
  <c r="G155" i="36"/>
  <c r="AC377" i="35"/>
  <c r="K161" i="36"/>
  <c r="K188" i="36" s="1"/>
  <c r="G168" i="36"/>
  <c r="I166" i="36"/>
  <c r="I193" i="36" s="1"/>
  <c r="G166" i="36"/>
  <c r="I160" i="36"/>
  <c r="I187" i="36" s="1"/>
  <c r="I156" i="36"/>
  <c r="G160" i="36"/>
  <c r="G156" i="36"/>
  <c r="I162" i="36"/>
  <c r="I189" i="36" s="1"/>
  <c r="AB566" i="5"/>
  <c r="AB565" i="5"/>
  <c r="I163" i="36"/>
  <c r="I190" i="36" s="1"/>
  <c r="G162" i="36"/>
  <c r="G163" i="36"/>
  <c r="I159" i="36"/>
  <c r="I154" i="36"/>
  <c r="I164" i="36"/>
  <c r="I191" i="36" s="1"/>
  <c r="G159" i="36"/>
  <c r="G154" i="36"/>
  <c r="G164" i="36"/>
  <c r="I168" i="36"/>
  <c r="I551" i="2"/>
  <c r="D314" i="17" s="1"/>
  <c r="S551" i="2"/>
  <c r="I550" i="2"/>
  <c r="D283" i="17" s="1"/>
  <c r="S550" i="2"/>
  <c r="K377" i="35"/>
  <c r="S377" i="35"/>
  <c r="I549" i="2"/>
  <c r="D252" i="17" s="1"/>
  <c r="S549" i="2"/>
  <c r="Q377" i="35"/>
  <c r="J377" i="35"/>
  <c r="J231" i="35"/>
  <c r="T374" i="35"/>
  <c r="L377" i="35"/>
  <c r="S548" i="2"/>
  <c r="G157" i="35"/>
  <c r="AB108" i="2"/>
  <c r="AB533" i="2"/>
  <c r="D137" i="17" s="1"/>
  <c r="E137" i="17" s="1"/>
  <c r="G208" i="35"/>
  <c r="I162" i="35"/>
  <c r="I189" i="35" s="1"/>
  <c r="I153" i="35"/>
  <c r="I180" i="35" s="1"/>
  <c r="I547" i="2"/>
  <c r="D190" i="17" s="1"/>
  <c r="X533" i="2"/>
  <c r="D133" i="17" s="1"/>
  <c r="E133" i="17" s="1"/>
  <c r="B155" i="17" s="1"/>
  <c r="X108" i="2"/>
  <c r="G204" i="35"/>
  <c r="Z108" i="2"/>
  <c r="Z533" i="2"/>
  <c r="D135" i="17" s="1"/>
  <c r="E135" i="17" s="1"/>
  <c r="G206" i="35"/>
  <c r="AG108" i="2"/>
  <c r="AG533" i="2"/>
  <c r="D142" i="17" s="1"/>
  <c r="E142" i="17" s="1"/>
  <c r="G213" i="35"/>
  <c r="I167" i="35"/>
  <c r="I194" i="35" s="1"/>
  <c r="I161" i="35"/>
  <c r="I188" i="35" s="1"/>
  <c r="I160" i="35"/>
  <c r="I187" i="35" s="1"/>
  <c r="P377" i="35"/>
  <c r="G170" i="35"/>
  <c r="G151" i="35"/>
  <c r="G167" i="35"/>
  <c r="G161" i="35"/>
  <c r="G160" i="35"/>
  <c r="D377" i="35"/>
  <c r="T373" i="35"/>
  <c r="T375" i="35"/>
  <c r="I152" i="35"/>
  <c r="I179" i="35" s="1"/>
  <c r="I171" i="35"/>
  <c r="I198" i="35" s="1"/>
  <c r="I170" i="35"/>
  <c r="I197" i="35" s="1"/>
  <c r="I151" i="35"/>
  <c r="I178" i="35" s="1"/>
  <c r="AL533" i="2"/>
  <c r="D147" i="17" s="1"/>
  <c r="E147" i="17" s="1"/>
  <c r="AL108" i="2"/>
  <c r="G218" i="35"/>
  <c r="I150" i="35"/>
  <c r="I177" i="35" s="1"/>
  <c r="I164" i="35"/>
  <c r="I191" i="35" s="1"/>
  <c r="T376" i="35"/>
  <c r="G152" i="35"/>
  <c r="G171" i="35"/>
  <c r="I166" i="35"/>
  <c r="I193" i="35" s="1"/>
  <c r="I158" i="35"/>
  <c r="I185" i="35" s="1"/>
  <c r="G155" i="35"/>
  <c r="AA533" i="2"/>
  <c r="D136" i="17" s="1"/>
  <c r="E136" i="17" s="1"/>
  <c r="AA108" i="2"/>
  <c r="G207" i="35"/>
  <c r="G150" i="35"/>
  <c r="G164" i="35"/>
  <c r="N377" i="35"/>
  <c r="I377" i="35"/>
  <c r="I165" i="35"/>
  <c r="I192" i="35" s="1"/>
  <c r="I163" i="35"/>
  <c r="I190" i="35" s="1"/>
  <c r="I149" i="35"/>
  <c r="I176" i="35" s="1"/>
  <c r="G166" i="35"/>
  <c r="G158" i="35"/>
  <c r="I155" i="35"/>
  <c r="I182" i="35" s="1"/>
  <c r="AM533" i="2"/>
  <c r="D148" i="17" s="1"/>
  <c r="E148" i="17" s="1"/>
  <c r="AM108" i="2"/>
  <c r="G219" i="35"/>
  <c r="I168" i="35"/>
  <c r="I195" i="35" s="1"/>
  <c r="I169" i="35"/>
  <c r="I196" i="35" s="1"/>
  <c r="AS108" i="2"/>
  <c r="AS533" i="2"/>
  <c r="D154" i="17" s="1"/>
  <c r="E154" i="17" s="1"/>
  <c r="G225" i="35"/>
  <c r="F377" i="35"/>
  <c r="E377" i="35"/>
  <c r="G165" i="35"/>
  <c r="G163" i="35"/>
  <c r="G149" i="35"/>
  <c r="AK533" i="2"/>
  <c r="D146" i="17" s="1"/>
  <c r="E146" i="17" s="1"/>
  <c r="AK108" i="2"/>
  <c r="G217" i="35"/>
  <c r="AH533" i="2"/>
  <c r="D143" i="17" s="1"/>
  <c r="E143" i="17" s="1"/>
  <c r="AH108" i="2"/>
  <c r="G214" i="35"/>
  <c r="AD108" i="2"/>
  <c r="AD533" i="2"/>
  <c r="D139" i="17" s="1"/>
  <c r="E139" i="17" s="1"/>
  <c r="G210" i="35"/>
  <c r="I156" i="35"/>
  <c r="I183" i="35" s="1"/>
  <c r="G168" i="35"/>
  <c r="G169" i="35"/>
  <c r="G154" i="35"/>
  <c r="H377" i="35"/>
  <c r="M377" i="35"/>
  <c r="O377" i="35"/>
  <c r="AR108" i="2"/>
  <c r="AR533" i="2"/>
  <c r="D153" i="17" s="1"/>
  <c r="E153" i="17" s="1"/>
  <c r="G224" i="35"/>
  <c r="AQ108" i="2"/>
  <c r="AQ533" i="2"/>
  <c r="D152" i="17" s="1"/>
  <c r="E152" i="17" s="1"/>
  <c r="G223" i="35"/>
  <c r="I159" i="35"/>
  <c r="I186" i="35" s="1"/>
  <c r="I157" i="35"/>
  <c r="I184" i="35" s="1"/>
  <c r="AF533" i="2"/>
  <c r="D141" i="17" s="1"/>
  <c r="E141" i="17" s="1"/>
  <c r="AF108" i="2"/>
  <c r="G212" i="35"/>
  <c r="G156" i="35"/>
  <c r="G162" i="35"/>
  <c r="G153" i="35"/>
  <c r="I154" i="35"/>
  <c r="I181" i="35" s="1"/>
  <c r="R377" i="35"/>
  <c r="G377" i="35"/>
  <c r="X231" i="35"/>
  <c r="I532" i="2"/>
  <c r="D128" i="17" s="1"/>
  <c r="G159" i="35"/>
  <c r="J194" i="35"/>
  <c r="K196" i="35"/>
  <c r="M194" i="35"/>
  <c r="K133" i="36"/>
  <c r="M130" i="36"/>
  <c r="L133" i="36"/>
  <c r="I130" i="36"/>
  <c r="I133" i="36"/>
  <c r="J130" i="36"/>
  <c r="J196" i="35"/>
  <c r="K178" i="35"/>
  <c r="L196" i="35"/>
  <c r="M178" i="35"/>
  <c r="J136" i="36"/>
  <c r="K136" i="36"/>
  <c r="L128" i="36"/>
  <c r="L136" i="36"/>
  <c r="M136" i="36"/>
  <c r="I128" i="36"/>
  <c r="K182" i="35"/>
  <c r="L182" i="35"/>
  <c r="J178" i="35"/>
  <c r="I177" i="36"/>
  <c r="J211" i="36"/>
  <c r="J184" i="36"/>
  <c r="M182" i="36"/>
  <c r="M209" i="36"/>
  <c r="M215" i="36"/>
  <c r="M188" i="36"/>
  <c r="M212" i="36"/>
  <c r="M185" i="36"/>
  <c r="K182" i="36"/>
  <c r="K209" i="36"/>
  <c r="K212" i="36"/>
  <c r="K185" i="36"/>
  <c r="I185" i="36"/>
  <c r="L182" i="36"/>
  <c r="J188" i="36"/>
  <c r="J193" i="36"/>
  <c r="J220" i="36"/>
  <c r="K194" i="36"/>
  <c r="L187" i="36"/>
  <c r="L190" i="36"/>
  <c r="M214" i="36"/>
  <c r="M187" i="36"/>
  <c r="L196" i="36"/>
  <c r="L183" i="36"/>
  <c r="M206" i="36"/>
  <c r="M179" i="36"/>
  <c r="I197" i="36"/>
  <c r="I224" i="36"/>
  <c r="I196" i="36"/>
  <c r="J225" i="36"/>
  <c r="J198" i="36"/>
  <c r="M217" i="36"/>
  <c r="M190" i="36"/>
  <c r="J179" i="36"/>
  <c r="J206" i="36"/>
  <c r="L194" i="36"/>
  <c r="K198" i="36"/>
  <c r="K225" i="36"/>
  <c r="K181" i="36"/>
  <c r="K208" i="36"/>
  <c r="M186" i="36"/>
  <c r="M213" i="36"/>
  <c r="L198" i="36"/>
  <c r="J181" i="36"/>
  <c r="J208" i="36"/>
  <c r="L188" i="36"/>
  <c r="I192" i="36"/>
  <c r="J185" i="36"/>
  <c r="J212" i="36"/>
  <c r="J218" i="36"/>
  <c r="J191" i="36"/>
  <c r="L197" i="36"/>
  <c r="L193" i="36"/>
  <c r="M194" i="36"/>
  <c r="M221" i="36"/>
  <c r="J187" i="36"/>
  <c r="J214" i="36"/>
  <c r="M198" i="36"/>
  <c r="J217" i="36"/>
  <c r="J190" i="36"/>
  <c r="L179" i="36"/>
  <c r="M191" i="36"/>
  <c r="K192" i="36"/>
  <c r="L211" i="36"/>
  <c r="L184" i="36"/>
  <c r="K218" i="36"/>
  <c r="K191" i="36"/>
  <c r="M219" i="36"/>
  <c r="M192" i="36"/>
  <c r="M197" i="36"/>
  <c r="M224" i="36"/>
  <c r="M193" i="36"/>
  <c r="I194" i="36"/>
  <c r="I221" i="36"/>
  <c r="J213" i="36"/>
  <c r="J186" i="36"/>
  <c r="M196" i="36"/>
  <c r="I225" i="36"/>
  <c r="I198" i="36"/>
  <c r="K183" i="36"/>
  <c r="K190" i="36"/>
  <c r="I179" i="36"/>
  <c r="I206" i="36"/>
  <c r="M208" i="36"/>
  <c r="M181" i="36"/>
  <c r="L212" i="36"/>
  <c r="L185" i="36"/>
  <c r="E192" i="36"/>
  <c r="J219" i="36"/>
  <c r="J192" i="36"/>
  <c r="I182" i="36"/>
  <c r="L219" i="36"/>
  <c r="L192" i="36"/>
  <c r="J224" i="36"/>
  <c r="J197" i="36"/>
  <c r="K193" i="36"/>
  <c r="J209" i="36"/>
  <c r="J182" i="36"/>
  <c r="I215" i="36"/>
  <c r="I188" i="36"/>
  <c r="M211" i="36"/>
  <c r="M184" i="36"/>
  <c r="L191" i="36"/>
  <c r="J221" i="36"/>
  <c r="J194" i="36"/>
  <c r="K187" i="36"/>
  <c r="K214" i="36"/>
  <c r="J196" i="36"/>
  <c r="I217" i="36"/>
  <c r="K198" i="35"/>
  <c r="J184" i="35"/>
  <c r="M185" i="35"/>
  <c r="K189" i="35"/>
  <c r="K193" i="35"/>
  <c r="M197" i="35"/>
  <c r="L198" i="35"/>
  <c r="K215" i="35"/>
  <c r="K188" i="35"/>
  <c r="K180" i="35"/>
  <c r="L189" i="35"/>
  <c r="J179" i="35"/>
  <c r="L193" i="35"/>
  <c r="J197" i="35"/>
  <c r="J185" i="35"/>
  <c r="L188" i="35"/>
  <c r="K186" i="35"/>
  <c r="L180" i="35"/>
  <c r="M189" i="35"/>
  <c r="M193" i="35"/>
  <c r="J181" i="35"/>
  <c r="K184" i="35"/>
  <c r="M188" i="35"/>
  <c r="L186" i="35"/>
  <c r="M180" i="35"/>
  <c r="K181" i="35"/>
  <c r="M186" i="35"/>
  <c r="J189" i="35"/>
  <c r="J193" i="35"/>
  <c r="L191" i="35"/>
  <c r="M198" i="35"/>
  <c r="L184" i="35"/>
  <c r="J198" i="35"/>
  <c r="L181" i="35"/>
  <c r="J188" i="35"/>
  <c r="M181" i="35"/>
  <c r="L197" i="35"/>
  <c r="K185" i="35"/>
  <c r="J186" i="35"/>
  <c r="L179" i="35"/>
  <c r="K218" i="35"/>
  <c r="K191" i="35"/>
  <c r="M191" i="35"/>
  <c r="K197" i="35"/>
  <c r="M184" i="35"/>
  <c r="J180" i="35"/>
  <c r="K179" i="35"/>
  <c r="J191" i="35"/>
  <c r="L185" i="35"/>
  <c r="M179" i="35"/>
  <c r="N339" i="36" l="1"/>
  <c r="W322" i="35"/>
  <c r="W324" i="35"/>
  <c r="W325" i="35"/>
  <c r="T73" i="32" a="1"/>
  <c r="T73" i="32" s="1"/>
  <c r="T69" i="32" a="1"/>
  <c r="T69" i="32" s="1"/>
  <c r="T70" i="32" a="1"/>
  <c r="T70" i="32" s="1"/>
  <c r="T68" i="32" a="1"/>
  <c r="T68" i="32" s="1"/>
  <c r="T80" i="32" a="1"/>
  <c r="T80" i="32" s="1"/>
  <c r="T67" i="32" a="1"/>
  <c r="T67" i="32" s="1"/>
  <c r="T72" i="32" a="1"/>
  <c r="T72" i="32" s="1"/>
  <c r="T76" i="32" a="1"/>
  <c r="T76" i="32" s="1"/>
  <c r="T71" i="32" a="1"/>
  <c r="T71" i="32" s="1"/>
  <c r="T74" i="32" a="1"/>
  <c r="T74" i="32" s="1"/>
  <c r="T82" i="32" a="1"/>
  <c r="T82" i="32" s="1"/>
  <c r="D78" i="17"/>
  <c r="E78" i="17" s="1"/>
  <c r="O421" i="36"/>
  <c r="Q421" i="36"/>
  <c r="AT529" i="2"/>
  <c r="AT549" i="2" s="1"/>
  <c r="AT206" i="2"/>
  <c r="K337" i="36"/>
  <c r="AT107" i="2"/>
  <c r="K339" i="36"/>
  <c r="AT551" i="5"/>
  <c r="S421" i="36"/>
  <c r="M421" i="36"/>
  <c r="N421" i="36"/>
  <c r="AN329" i="35"/>
  <c r="T420" i="36"/>
  <c r="I421" i="36"/>
  <c r="L421" i="36"/>
  <c r="F421" i="36"/>
  <c r="P421" i="36"/>
  <c r="AT305" i="5"/>
  <c r="AT206" i="5"/>
  <c r="AT548" i="5"/>
  <c r="AT107" i="5"/>
  <c r="U329" i="35"/>
  <c r="W326" i="35" s="1"/>
  <c r="AT503" i="2"/>
  <c r="AT551" i="2"/>
  <c r="AT547" i="2"/>
  <c r="AT503" i="5"/>
  <c r="AT404" i="5"/>
  <c r="AT550" i="5"/>
  <c r="AT532" i="5"/>
  <c r="AT548" i="2"/>
  <c r="AT522" i="5"/>
  <c r="AT547" i="5"/>
  <c r="AT520" i="2"/>
  <c r="AT550" i="2" s="1"/>
  <c r="AT404" i="2"/>
  <c r="I329" i="36"/>
  <c r="R329" i="36"/>
  <c r="D421" i="36"/>
  <c r="T417" i="36"/>
  <c r="Q329" i="36"/>
  <c r="T418" i="36"/>
  <c r="T333" i="36"/>
  <c r="T419" i="36"/>
  <c r="G421" i="36"/>
  <c r="K421" i="36"/>
  <c r="H421" i="36"/>
  <c r="R421" i="36"/>
  <c r="S329" i="36"/>
  <c r="T377" i="36"/>
  <c r="E421" i="36"/>
  <c r="J421" i="36"/>
  <c r="G332" i="36"/>
  <c r="G329" i="36" s="1"/>
  <c r="G304" i="36"/>
  <c r="D304" i="36" s="1"/>
  <c r="F335" i="36"/>
  <c r="F332" i="36"/>
  <c r="F329" i="36" s="1"/>
  <c r="J311" i="35"/>
  <c r="L339" i="36"/>
  <c r="K332" i="36"/>
  <c r="M332" i="36"/>
  <c r="T350" i="36"/>
  <c r="K338" i="36"/>
  <c r="K336" i="36"/>
  <c r="T348" i="36"/>
  <c r="I310" i="36"/>
  <c r="F310" i="36"/>
  <c r="O336" i="36"/>
  <c r="O331" i="36"/>
  <c r="G313" i="36"/>
  <c r="M312" i="36"/>
  <c r="G311" i="36"/>
  <c r="F313" i="36"/>
  <c r="I313" i="36"/>
  <c r="J332" i="36"/>
  <c r="J335" i="36"/>
  <c r="J331" i="36"/>
  <c r="T347" i="36"/>
  <c r="N337" i="36"/>
  <c r="N331" i="36"/>
  <c r="F312" i="36"/>
  <c r="I312" i="36"/>
  <c r="G310" i="36"/>
  <c r="D338" i="36"/>
  <c r="T356" i="36"/>
  <c r="L335" i="36"/>
  <c r="L331" i="36"/>
  <c r="T353" i="36"/>
  <c r="D332" i="36"/>
  <c r="D329" i="36" s="1"/>
  <c r="E336" i="36"/>
  <c r="E332" i="36"/>
  <c r="E329" i="36" s="1"/>
  <c r="T355" i="36"/>
  <c r="M331" i="36"/>
  <c r="M329" i="36" s="1"/>
  <c r="M335" i="36"/>
  <c r="T354" i="36"/>
  <c r="K315" i="36"/>
  <c r="G315" i="36"/>
  <c r="T330" i="36"/>
  <c r="G305" i="36"/>
  <c r="D305" i="36" s="1"/>
  <c r="J305" i="36"/>
  <c r="M339" i="36"/>
  <c r="N332" i="36"/>
  <c r="N335" i="36"/>
  <c r="J339" i="36"/>
  <c r="T351" i="36"/>
  <c r="L332" i="36"/>
  <c r="M310" i="36"/>
  <c r="D339" i="36"/>
  <c r="T357" i="36"/>
  <c r="O332" i="36"/>
  <c r="O337" i="36"/>
  <c r="K331" i="36"/>
  <c r="K335" i="36"/>
  <c r="F308" i="36"/>
  <c r="D308" i="36" s="1"/>
  <c r="K308" i="36"/>
  <c r="D335" i="36"/>
  <c r="G312" i="36"/>
  <c r="I304" i="36"/>
  <c r="F311" i="36"/>
  <c r="I311" i="36"/>
  <c r="G307" i="36"/>
  <c r="D307" i="36" s="1"/>
  <c r="P331" i="36"/>
  <c r="P329" i="36" s="1"/>
  <c r="P336" i="36"/>
  <c r="K311" i="36"/>
  <c r="F315" i="36"/>
  <c r="J315" i="36"/>
  <c r="J311" i="36"/>
  <c r="H331" i="36"/>
  <c r="H337" i="36"/>
  <c r="T349" i="36"/>
  <c r="T75" i="32" a="1"/>
  <c r="T75" i="32" s="1"/>
  <c r="N60" i="32" a="1"/>
  <c r="N60" i="32" s="1"/>
  <c r="I323" i="35"/>
  <c r="F176" i="35"/>
  <c r="D149" i="35"/>
  <c r="D18" i="32" s="1" a="1"/>
  <c r="D18" i="32" s="1"/>
  <c r="D212" i="36"/>
  <c r="D213" i="36"/>
  <c r="AD554" i="5"/>
  <c r="AD555" i="5" s="1"/>
  <c r="D217" i="36"/>
  <c r="D219" i="36"/>
  <c r="D221" i="36"/>
  <c r="D205" i="36"/>
  <c r="L205" i="36"/>
  <c r="AR544" i="2"/>
  <c r="D220" i="36"/>
  <c r="Y554" i="5"/>
  <c r="Y555" i="5" s="1"/>
  <c r="AF544" i="2"/>
  <c r="D210" i="36"/>
  <c r="AM554" i="5"/>
  <c r="AM555" i="5" s="1"/>
  <c r="AM574" i="5" s="1"/>
  <c r="I331" i="35"/>
  <c r="C160" i="17"/>
  <c r="C98" i="17"/>
  <c r="C316" i="17"/>
  <c r="AM524" i="2"/>
  <c r="D117" i="17"/>
  <c r="E117" i="17" s="1"/>
  <c r="C284" i="17"/>
  <c r="C222" i="17"/>
  <c r="U366" i="35"/>
  <c r="AA524" i="2"/>
  <c r="D105" i="17"/>
  <c r="E105" i="17" s="1"/>
  <c r="C99" i="17"/>
  <c r="C315" i="17"/>
  <c r="AD524" i="2"/>
  <c r="D108" i="17"/>
  <c r="E108" i="17" s="1"/>
  <c r="AG524" i="2"/>
  <c r="D111" i="17"/>
  <c r="E111" i="17" s="1"/>
  <c r="Y524" i="2"/>
  <c r="D103" i="17"/>
  <c r="E103" i="17" s="1"/>
  <c r="C254" i="17"/>
  <c r="AS524" i="2"/>
  <c r="D123" i="17"/>
  <c r="E123" i="17" s="1"/>
  <c r="AN524" i="2"/>
  <c r="D118" i="17"/>
  <c r="E118" i="17" s="1"/>
  <c r="C253" i="17"/>
  <c r="C285" i="17"/>
  <c r="C223" i="17"/>
  <c r="D66" i="17"/>
  <c r="U367" i="35"/>
  <c r="D89" i="17"/>
  <c r="E89" i="17" s="1"/>
  <c r="U369" i="35"/>
  <c r="C67" i="17"/>
  <c r="M204" i="35"/>
  <c r="D319" i="17"/>
  <c r="E319" i="17"/>
  <c r="D334" i="17"/>
  <c r="E334" i="17"/>
  <c r="F334" i="17" s="1"/>
  <c r="D326" i="17"/>
  <c r="E326" i="17"/>
  <c r="F326" i="17" s="1"/>
  <c r="M225" i="35"/>
  <c r="E340" i="17"/>
  <c r="F340" i="17" s="1"/>
  <c r="D340" i="17"/>
  <c r="D338" i="17"/>
  <c r="E338" i="17"/>
  <c r="F338" i="17" s="1"/>
  <c r="M220" i="35"/>
  <c r="D335" i="17"/>
  <c r="E335" i="17"/>
  <c r="F335" i="17" s="1"/>
  <c r="D331" i="17"/>
  <c r="E331" i="17"/>
  <c r="F331" i="17" s="1"/>
  <c r="M214" i="35"/>
  <c r="D329" i="17"/>
  <c r="E329" i="17"/>
  <c r="F329" i="17" s="1"/>
  <c r="M210" i="35"/>
  <c r="D325" i="17"/>
  <c r="E325" i="17"/>
  <c r="F325" i="17" s="1"/>
  <c r="D328" i="17"/>
  <c r="E328" i="17"/>
  <c r="F328" i="17" s="1"/>
  <c r="M203" i="35"/>
  <c r="D318" i="17"/>
  <c r="E318" i="17"/>
  <c r="F318" i="17" s="1"/>
  <c r="D323" i="17"/>
  <c r="E323" i="17"/>
  <c r="F323" i="17" s="1"/>
  <c r="D330" i="17"/>
  <c r="E330" i="17"/>
  <c r="F330" i="17" s="1"/>
  <c r="M205" i="35"/>
  <c r="D320" i="17"/>
  <c r="E320" i="17"/>
  <c r="F320" i="17" s="1"/>
  <c r="D322" i="17"/>
  <c r="E322" i="17"/>
  <c r="F322" i="17" s="1"/>
  <c r="M222" i="35"/>
  <c r="D337" i="17"/>
  <c r="E337" i="17"/>
  <c r="F337" i="17" s="1"/>
  <c r="D321" i="17"/>
  <c r="E321" i="17"/>
  <c r="F321" i="17" s="1"/>
  <c r="M221" i="35"/>
  <c r="D336" i="17"/>
  <c r="E336" i="17"/>
  <c r="F336" i="17" s="1"/>
  <c r="D339" i="17"/>
  <c r="E339" i="17"/>
  <c r="F339" i="17" s="1"/>
  <c r="D327" i="17"/>
  <c r="E327" i="17"/>
  <c r="F327" i="17" s="1"/>
  <c r="M209" i="35"/>
  <c r="E324" i="17"/>
  <c r="F324" i="17" s="1"/>
  <c r="D324" i="17"/>
  <c r="M217" i="35"/>
  <c r="E332" i="17"/>
  <c r="F332" i="17" s="1"/>
  <c r="D332" i="17"/>
  <c r="M218" i="35"/>
  <c r="D333" i="17"/>
  <c r="E333" i="17"/>
  <c r="F333" i="17" s="1"/>
  <c r="D293" i="17"/>
  <c r="E293" i="17"/>
  <c r="F293" i="17" s="1"/>
  <c r="L203" i="35"/>
  <c r="D287" i="17"/>
  <c r="E287" i="17"/>
  <c r="F287" i="17" s="1"/>
  <c r="L214" i="35"/>
  <c r="D298" i="17"/>
  <c r="E298" i="17"/>
  <c r="F298" i="17" s="1"/>
  <c r="D309" i="17"/>
  <c r="E309" i="17"/>
  <c r="F309" i="17" s="1"/>
  <c r="D300" i="17"/>
  <c r="E300" i="17"/>
  <c r="F300" i="17" s="1"/>
  <c r="E297" i="17"/>
  <c r="F297" i="17" s="1"/>
  <c r="D297" i="17"/>
  <c r="L218" i="35"/>
  <c r="D302" i="17"/>
  <c r="E302" i="17"/>
  <c r="F302" i="17" s="1"/>
  <c r="L222" i="35"/>
  <c r="D306" i="17"/>
  <c r="E306" i="17"/>
  <c r="F306" i="17" s="1"/>
  <c r="L217" i="35"/>
  <c r="D301" i="17"/>
  <c r="E301" i="17"/>
  <c r="F301" i="17" s="1"/>
  <c r="D304" i="17"/>
  <c r="E304" i="17"/>
  <c r="F304" i="17" s="1"/>
  <c r="L205" i="35"/>
  <c r="E289" i="17"/>
  <c r="F289" i="17" s="1"/>
  <c r="D289" i="17"/>
  <c r="L212" i="35"/>
  <c r="D296" i="17"/>
  <c r="E296" i="17"/>
  <c r="F296" i="17" s="1"/>
  <c r="D291" i="17"/>
  <c r="E291" i="17"/>
  <c r="E310" i="17" s="1"/>
  <c r="D292" i="17"/>
  <c r="E292" i="17"/>
  <c r="F292" i="17" s="1"/>
  <c r="D295" i="17"/>
  <c r="E295" i="17"/>
  <c r="F295" i="17" s="1"/>
  <c r="E305" i="17"/>
  <c r="F305" i="17" s="1"/>
  <c r="D305" i="17"/>
  <c r="L219" i="35"/>
  <c r="D303" i="17"/>
  <c r="E303" i="17"/>
  <c r="F303" i="17" s="1"/>
  <c r="D308" i="17"/>
  <c r="E308" i="17"/>
  <c r="F308" i="17" s="1"/>
  <c r="D290" i="17"/>
  <c r="E290" i="17"/>
  <c r="D310" i="17" s="1"/>
  <c r="L210" i="35"/>
  <c r="D294" i="17"/>
  <c r="E294" i="17"/>
  <c r="F294" i="17" s="1"/>
  <c r="L204" i="35"/>
  <c r="D288" i="17"/>
  <c r="E288" i="17"/>
  <c r="B310" i="17" s="1"/>
  <c r="D299" i="17"/>
  <c r="E299" i="17"/>
  <c r="F299" i="17" s="1"/>
  <c r="L223" i="35"/>
  <c r="D307" i="17"/>
  <c r="E307" i="17"/>
  <c r="F307" i="17" s="1"/>
  <c r="D257" i="17"/>
  <c r="E257" i="17"/>
  <c r="B279" i="17" s="1"/>
  <c r="D276" i="17"/>
  <c r="E276" i="17"/>
  <c r="F276" i="17" s="1"/>
  <c r="D261" i="17"/>
  <c r="E261" i="17"/>
  <c r="F261" i="17" s="1"/>
  <c r="D267" i="17"/>
  <c r="E267" i="17"/>
  <c r="F267" i="17" s="1"/>
  <c r="E278" i="17"/>
  <c r="F278" i="17" s="1"/>
  <c r="D278" i="17"/>
  <c r="D274" i="17"/>
  <c r="E274" i="17"/>
  <c r="F274" i="17" s="1"/>
  <c r="D265" i="17"/>
  <c r="E265" i="17"/>
  <c r="F265" i="17" s="1"/>
  <c r="D258" i="17"/>
  <c r="E258" i="17"/>
  <c r="F258" i="17" s="1"/>
  <c r="D269" i="17"/>
  <c r="E269" i="17"/>
  <c r="F269" i="17" s="1"/>
  <c r="E270" i="17"/>
  <c r="F270" i="17" s="1"/>
  <c r="D270" i="17"/>
  <c r="D273" i="17"/>
  <c r="E273" i="17"/>
  <c r="F273" i="17" s="1"/>
  <c r="D264" i="17"/>
  <c r="E264" i="17"/>
  <c r="F264" i="17" s="1"/>
  <c r="D256" i="17"/>
  <c r="E256" i="17"/>
  <c r="F256" i="17" s="1"/>
  <c r="D260" i="17"/>
  <c r="E260" i="17"/>
  <c r="D259" i="17"/>
  <c r="E259" i="17"/>
  <c r="D266" i="17"/>
  <c r="E266" i="17"/>
  <c r="F266" i="17" s="1"/>
  <c r="D277" i="17"/>
  <c r="E277" i="17"/>
  <c r="F277" i="17" s="1"/>
  <c r="E262" i="17"/>
  <c r="F262" i="17" s="1"/>
  <c r="D262" i="17"/>
  <c r="D272" i="17"/>
  <c r="E272" i="17"/>
  <c r="F272" i="17" s="1"/>
  <c r="D263" i="17"/>
  <c r="E263" i="17"/>
  <c r="F263" i="17" s="1"/>
  <c r="D234" i="17"/>
  <c r="E234" i="17"/>
  <c r="F234" i="17" s="1"/>
  <c r="D226" i="17"/>
  <c r="E226" i="17"/>
  <c r="F226" i="17" s="1"/>
  <c r="D236" i="17"/>
  <c r="E236" i="17"/>
  <c r="F236" i="17" s="1"/>
  <c r="D239" i="17"/>
  <c r="E239" i="17"/>
  <c r="F239" i="17" s="1"/>
  <c r="E235" i="17"/>
  <c r="F235" i="17" s="1"/>
  <c r="D235" i="17"/>
  <c r="J210" i="35"/>
  <c r="D232" i="17"/>
  <c r="E232" i="17"/>
  <c r="F232" i="17" s="1"/>
  <c r="D237" i="17"/>
  <c r="E237" i="17"/>
  <c r="F237" i="17" s="1"/>
  <c r="D244" i="17"/>
  <c r="E244" i="17"/>
  <c r="F244" i="17" s="1"/>
  <c r="D245" i="17"/>
  <c r="E245" i="17"/>
  <c r="F245" i="17" s="1"/>
  <c r="D229" i="17"/>
  <c r="E229" i="17"/>
  <c r="E248" i="17" s="1"/>
  <c r="D230" i="17"/>
  <c r="E230" i="17"/>
  <c r="F230" i="17" s="1"/>
  <c r="D225" i="17"/>
  <c r="E225" i="17"/>
  <c r="A248" i="17" s="1"/>
  <c r="D231" i="17"/>
  <c r="E231" i="17"/>
  <c r="F231" i="17" s="1"/>
  <c r="D238" i="17"/>
  <c r="E238" i="17"/>
  <c r="F238" i="17" s="1"/>
  <c r="D240" i="17"/>
  <c r="E240" i="17"/>
  <c r="F240" i="17" s="1"/>
  <c r="D228" i="17"/>
  <c r="E228" i="17"/>
  <c r="D248" i="17" s="1"/>
  <c r="D241" i="17"/>
  <c r="E241" i="17"/>
  <c r="F241" i="17" s="1"/>
  <c r="D247" i="17"/>
  <c r="E247" i="17"/>
  <c r="F247" i="17" s="1"/>
  <c r="D233" i="17"/>
  <c r="E233" i="17"/>
  <c r="F233" i="17" s="1"/>
  <c r="E243" i="17"/>
  <c r="F243" i="17" s="1"/>
  <c r="D243" i="17"/>
  <c r="D242" i="17"/>
  <c r="E242" i="17"/>
  <c r="F242" i="17" s="1"/>
  <c r="E227" i="17"/>
  <c r="F227" i="17" s="1"/>
  <c r="D227" i="17"/>
  <c r="J224" i="35"/>
  <c r="D246" i="17"/>
  <c r="E246" i="17"/>
  <c r="F246" i="17" s="1"/>
  <c r="E205" i="17"/>
  <c r="F205" i="17" s="1"/>
  <c r="D205" i="17"/>
  <c r="E210" i="17"/>
  <c r="F210" i="17" s="1"/>
  <c r="D210" i="17"/>
  <c r="E209" i="17"/>
  <c r="F209" i="17" s="1"/>
  <c r="D209" i="17"/>
  <c r="E199" i="17"/>
  <c r="F199" i="17" s="1"/>
  <c r="D199" i="17"/>
  <c r="E208" i="17"/>
  <c r="F208" i="17" s="1"/>
  <c r="D208" i="17"/>
  <c r="I223" i="35"/>
  <c r="E214" i="17"/>
  <c r="F214" i="17" s="1"/>
  <c r="D214" i="17"/>
  <c r="E195" i="17"/>
  <c r="F195" i="17" s="1"/>
  <c r="D195" i="17"/>
  <c r="AJ534" i="2"/>
  <c r="D145" i="17"/>
  <c r="E145" i="17" s="1"/>
  <c r="E194" i="17"/>
  <c r="F194" i="17" s="1"/>
  <c r="D194" i="17"/>
  <c r="C191" i="17"/>
  <c r="C129" i="17"/>
  <c r="U527" i="2"/>
  <c r="C192" i="17"/>
  <c r="C130" i="17"/>
  <c r="I224" i="35"/>
  <c r="E215" i="17"/>
  <c r="F215" i="17" s="1"/>
  <c r="D215" i="17"/>
  <c r="AO534" i="2"/>
  <c r="D150" i="17"/>
  <c r="E150" i="17" s="1"/>
  <c r="E206" i="17"/>
  <c r="F206" i="17" s="1"/>
  <c r="D206" i="17"/>
  <c r="E196" i="17"/>
  <c r="F196" i="17" s="1"/>
  <c r="D196" i="17"/>
  <c r="I207" i="35"/>
  <c r="E198" i="17"/>
  <c r="F198" i="17" s="1"/>
  <c r="D198" i="17"/>
  <c r="E207" i="17"/>
  <c r="F207" i="17" s="1"/>
  <c r="D207" i="17"/>
  <c r="E200" i="17"/>
  <c r="F200" i="17" s="1"/>
  <c r="D200" i="17"/>
  <c r="E213" i="17"/>
  <c r="F213" i="17" s="1"/>
  <c r="D213" i="17"/>
  <c r="E216" i="17"/>
  <c r="F216" i="17" s="1"/>
  <c r="D216" i="17"/>
  <c r="I213" i="35"/>
  <c r="E204" i="17"/>
  <c r="F204" i="17" s="1"/>
  <c r="D204" i="17"/>
  <c r="E201" i="17"/>
  <c r="F201" i="17" s="1"/>
  <c r="D201" i="17"/>
  <c r="E203" i="17"/>
  <c r="F203" i="17" s="1"/>
  <c r="D203" i="17"/>
  <c r="E197" i="17"/>
  <c r="F197" i="17" s="1"/>
  <c r="D197" i="17"/>
  <c r="AI534" i="2"/>
  <c r="D144" i="17"/>
  <c r="E144" i="17" s="1"/>
  <c r="E211" i="17"/>
  <c r="F211" i="17" s="1"/>
  <c r="D211" i="17"/>
  <c r="E202" i="17"/>
  <c r="F202" i="17" s="1"/>
  <c r="D202" i="17"/>
  <c r="E212" i="17"/>
  <c r="F212" i="17" s="1"/>
  <c r="D212" i="17"/>
  <c r="AH544" i="2"/>
  <c r="D174" i="17"/>
  <c r="AJ544" i="2"/>
  <c r="D176" i="17"/>
  <c r="AS544" i="2"/>
  <c r="D185" i="17"/>
  <c r="U541" i="2"/>
  <c r="C161" i="17"/>
  <c r="U507" i="5"/>
  <c r="C68" i="17"/>
  <c r="D86" i="17"/>
  <c r="E86" i="17" s="1"/>
  <c r="J309" i="35"/>
  <c r="F309" i="35"/>
  <c r="X336" i="35"/>
  <c r="K336" i="35"/>
  <c r="Q332" i="35"/>
  <c r="Q329" i="35" s="1"/>
  <c r="AG336" i="35"/>
  <c r="AD335" i="35"/>
  <c r="I370" i="35"/>
  <c r="N370" i="35"/>
  <c r="L317" i="35"/>
  <c r="G317" i="35"/>
  <c r="D317" i="35" s="1"/>
  <c r="AE233" i="35"/>
  <c r="L306" i="35"/>
  <c r="I216" i="36"/>
  <c r="E311" i="35"/>
  <c r="AB332" i="35"/>
  <c r="AB329" i="35" s="1"/>
  <c r="F339" i="35"/>
  <c r="M311" i="35"/>
  <c r="M306" i="35"/>
  <c r="E305" i="35"/>
  <c r="M305" i="35"/>
  <c r="D211" i="36"/>
  <c r="E330" i="35"/>
  <c r="I330" i="35"/>
  <c r="E339" i="35"/>
  <c r="Y330" i="35"/>
  <c r="W335" i="35"/>
  <c r="F338" i="35"/>
  <c r="L309" i="35"/>
  <c r="E309" i="35"/>
  <c r="E306" i="35"/>
  <c r="H335" i="35"/>
  <c r="I308" i="35"/>
  <c r="AH330" i="35"/>
  <c r="L308" i="35"/>
  <c r="G336" i="35"/>
  <c r="I305" i="35"/>
  <c r="I304" i="35"/>
  <c r="M314" i="35"/>
  <c r="AH338" i="35"/>
  <c r="N330" i="35"/>
  <c r="E315" i="35"/>
  <c r="F330" i="35"/>
  <c r="AG330" i="35"/>
  <c r="O332" i="35"/>
  <c r="AE330" i="35"/>
  <c r="Z335" i="35"/>
  <c r="J336" i="35"/>
  <c r="M308" i="35"/>
  <c r="U509" i="5"/>
  <c r="J330" i="35"/>
  <c r="AE338" i="35"/>
  <c r="O335" i="35"/>
  <c r="N339" i="35"/>
  <c r="AJ332" i="35"/>
  <c r="AJ329" i="35" s="1"/>
  <c r="AF330" i="35"/>
  <c r="J307" i="35"/>
  <c r="Z330" i="35"/>
  <c r="Z336" i="35"/>
  <c r="O330" i="35"/>
  <c r="D335" i="35"/>
  <c r="N233" i="36"/>
  <c r="E233" i="36" s="1"/>
  <c r="H332" i="35"/>
  <c r="D339" i="35"/>
  <c r="G308" i="35"/>
  <c r="L304" i="35"/>
  <c r="G315" i="35"/>
  <c r="M330" i="35"/>
  <c r="G311" i="35"/>
  <c r="E313" i="35"/>
  <c r="AI339" i="35"/>
  <c r="L330" i="35"/>
  <c r="X337" i="35"/>
  <c r="AA332" i="35"/>
  <c r="E335" i="35"/>
  <c r="E312" i="35"/>
  <c r="E314" i="35"/>
  <c r="D337" i="35"/>
  <c r="K304" i="35"/>
  <c r="E304" i="35"/>
  <c r="D330" i="35"/>
  <c r="F336" i="35"/>
  <c r="J306" i="35"/>
  <c r="D336" i="35"/>
  <c r="J304" i="35"/>
  <c r="I315" i="35"/>
  <c r="I310" i="35"/>
  <c r="K332" i="35"/>
  <c r="J310" i="35"/>
  <c r="J332" i="35"/>
  <c r="L311" i="35"/>
  <c r="X332" i="35"/>
  <c r="AD339" i="35"/>
  <c r="K338" i="35"/>
  <c r="D332" i="35"/>
  <c r="G305" i="35"/>
  <c r="E332" i="35"/>
  <c r="E323" i="35" s="1"/>
  <c r="J305" i="35"/>
  <c r="G310" i="35"/>
  <c r="G304" i="35"/>
  <c r="AH332" i="35"/>
  <c r="F332" i="35"/>
  <c r="AH339" i="35"/>
  <c r="AC338" i="35"/>
  <c r="AG335" i="35"/>
  <c r="AD332" i="35"/>
  <c r="K315" i="35"/>
  <c r="AC336" i="35"/>
  <c r="N337" i="35"/>
  <c r="AC333" i="35"/>
  <c r="AG233" i="35"/>
  <c r="AF338" i="35"/>
  <c r="AF336" i="35"/>
  <c r="M339" i="35"/>
  <c r="O338" i="35"/>
  <c r="H314" i="35"/>
  <c r="N333" i="35"/>
  <c r="F331" i="35"/>
  <c r="AF233" i="35"/>
  <c r="Y331" i="35"/>
  <c r="O339" i="35"/>
  <c r="O333" i="35"/>
  <c r="L339" i="35"/>
  <c r="AG338" i="35"/>
  <c r="M315" i="35"/>
  <c r="AE339" i="35"/>
  <c r="AE333" i="35"/>
  <c r="K314" i="35"/>
  <c r="AE336" i="35"/>
  <c r="M310" i="35"/>
  <c r="T363" i="35"/>
  <c r="Y333" i="35"/>
  <c r="T518" i="2"/>
  <c r="AH337" i="35"/>
  <c r="K311" i="35"/>
  <c r="AH333" i="35"/>
  <c r="U511" i="5"/>
  <c r="J339" i="35"/>
  <c r="H312" i="35"/>
  <c r="O337" i="35"/>
  <c r="AF333" i="35"/>
  <c r="AM360" i="35"/>
  <c r="J333" i="35"/>
  <c r="W331" i="35"/>
  <c r="M312" i="35"/>
  <c r="AH335" i="35"/>
  <c r="AF232" i="35"/>
  <c r="AF297" i="35"/>
  <c r="AF291" i="35"/>
  <c r="AF290" i="35"/>
  <c r="AF292" i="35"/>
  <c r="AF287" i="35"/>
  <c r="AF293" i="35"/>
  <c r="AF296" i="35"/>
  <c r="AF286" i="35"/>
  <c r="AF295" i="35"/>
  <c r="AF282" i="35"/>
  <c r="AF288" i="35"/>
  <c r="AF283" i="35"/>
  <c r="T540" i="2"/>
  <c r="J540" i="2" s="1"/>
  <c r="AF234" i="35" s="1"/>
  <c r="AF285" i="35"/>
  <c r="AF289" i="35"/>
  <c r="AF284" i="35"/>
  <c r="AF294" i="35"/>
  <c r="K306" i="35"/>
  <c r="H313" i="35"/>
  <c r="T361" i="35"/>
  <c r="AM359" i="35"/>
  <c r="M333" i="35"/>
  <c r="AM361" i="35"/>
  <c r="AE292" i="35"/>
  <c r="AE289" i="35"/>
  <c r="AE295" i="35"/>
  <c r="AE294" i="35"/>
  <c r="AE288" i="35"/>
  <c r="AE282" i="35"/>
  <c r="AE232" i="35"/>
  <c r="AE286" i="35"/>
  <c r="AE283" i="35"/>
  <c r="AE290" i="35"/>
  <c r="T539" i="2"/>
  <c r="J539" i="2" s="1"/>
  <c r="AE234" i="35" s="1"/>
  <c r="AE285" i="35"/>
  <c r="AE284" i="35"/>
  <c r="AE296" i="35"/>
  <c r="AE293" i="35"/>
  <c r="AE287" i="35"/>
  <c r="AE297" i="35"/>
  <c r="AE291" i="35"/>
  <c r="AD232" i="36"/>
  <c r="AD284" i="36"/>
  <c r="AD285" i="36"/>
  <c r="AD294" i="36"/>
  <c r="AD296" i="36"/>
  <c r="AD291" i="36"/>
  <c r="AD297" i="36"/>
  <c r="AD290" i="36"/>
  <c r="AD295" i="36"/>
  <c r="AD286" i="36"/>
  <c r="AD283" i="36"/>
  <c r="AD289" i="36"/>
  <c r="AD282" i="36"/>
  <c r="AD293" i="36"/>
  <c r="AD287" i="36"/>
  <c r="T538" i="5"/>
  <c r="AD288" i="36"/>
  <c r="AD292" i="36"/>
  <c r="T362" i="35"/>
  <c r="L337" i="35"/>
  <c r="AD233" i="36"/>
  <c r="U538" i="5"/>
  <c r="AC284" i="36"/>
  <c r="AC287" i="36"/>
  <c r="AC232" i="36"/>
  <c r="AC292" i="36"/>
  <c r="T537" i="5"/>
  <c r="AC293" i="36"/>
  <c r="AC296" i="36"/>
  <c r="AC291" i="36"/>
  <c r="AC282" i="36"/>
  <c r="AC294" i="36"/>
  <c r="AC286" i="36"/>
  <c r="AC285" i="36"/>
  <c r="AC288" i="36"/>
  <c r="AC290" i="36"/>
  <c r="AC283" i="36"/>
  <c r="AC297" i="36"/>
  <c r="AC295" i="36"/>
  <c r="AC289" i="36"/>
  <c r="H310" i="35"/>
  <c r="J312" i="35"/>
  <c r="Y336" i="35"/>
  <c r="U539" i="5"/>
  <c r="AE233" i="36"/>
  <c r="AC233" i="36"/>
  <c r="U537" i="5"/>
  <c r="M313" i="35"/>
  <c r="N338" i="35"/>
  <c r="AF337" i="35"/>
  <c r="AE287" i="36"/>
  <c r="AE289" i="36"/>
  <c r="AE285" i="36"/>
  <c r="AE291" i="36"/>
  <c r="AE284" i="36"/>
  <c r="T539" i="5"/>
  <c r="AE292" i="36"/>
  <c r="AE283" i="36"/>
  <c r="AE288" i="36"/>
  <c r="AE232" i="36"/>
  <c r="AE296" i="36"/>
  <c r="AE282" i="36"/>
  <c r="AE295" i="36"/>
  <c r="AE297" i="36"/>
  <c r="AE290" i="36"/>
  <c r="AE294" i="36"/>
  <c r="AE293" i="36"/>
  <c r="AE286" i="36"/>
  <c r="AC337" i="35"/>
  <c r="Y337" i="35"/>
  <c r="AE337" i="35"/>
  <c r="AF331" i="35"/>
  <c r="L314" i="35"/>
  <c r="K203" i="35"/>
  <c r="F306" i="35"/>
  <c r="O331" i="35"/>
  <c r="J314" i="35"/>
  <c r="O336" i="35"/>
  <c r="K312" i="35"/>
  <c r="N336" i="35"/>
  <c r="N331" i="35"/>
  <c r="M337" i="35"/>
  <c r="K313" i="35"/>
  <c r="M336" i="35"/>
  <c r="T360" i="35"/>
  <c r="U538" i="2"/>
  <c r="AD233" i="35"/>
  <c r="J313" i="35"/>
  <c r="M331" i="35"/>
  <c r="L331" i="35"/>
  <c r="H284" i="35"/>
  <c r="F314" i="35"/>
  <c r="H331" i="35"/>
  <c r="H315" i="35"/>
  <c r="J315" i="35"/>
  <c r="AD290" i="35"/>
  <c r="AD288" i="35"/>
  <c r="AD232" i="35"/>
  <c r="AD289" i="35"/>
  <c r="AD295" i="35"/>
  <c r="AD284" i="35"/>
  <c r="AD287" i="35"/>
  <c r="AD293" i="35"/>
  <c r="AD294" i="35"/>
  <c r="AD296" i="35"/>
  <c r="AD283" i="35"/>
  <c r="AD297" i="35"/>
  <c r="AD282" i="35"/>
  <c r="AD285" i="35"/>
  <c r="AD292" i="35"/>
  <c r="T538" i="2"/>
  <c r="AD291" i="35"/>
  <c r="AD286" i="35"/>
  <c r="H289" i="35"/>
  <c r="H296" i="35"/>
  <c r="H297" i="35"/>
  <c r="H288" i="35"/>
  <c r="H286" i="35"/>
  <c r="H283" i="35"/>
  <c r="H290" i="35"/>
  <c r="H295" i="35"/>
  <c r="H292" i="35"/>
  <c r="H293" i="35"/>
  <c r="H282" i="35"/>
  <c r="H285" i="35"/>
  <c r="H291" i="35"/>
  <c r="L333" i="35"/>
  <c r="H287" i="35"/>
  <c r="H294" i="35"/>
  <c r="T359" i="35"/>
  <c r="J335" i="35"/>
  <c r="AC232" i="35"/>
  <c r="T537" i="2"/>
  <c r="AC295" i="35"/>
  <c r="AC288" i="35"/>
  <c r="AC294" i="35"/>
  <c r="AC287" i="35"/>
  <c r="AC285" i="35"/>
  <c r="AC286" i="35"/>
  <c r="AC282" i="35"/>
  <c r="AC292" i="35"/>
  <c r="AC290" i="35"/>
  <c r="AC284" i="35"/>
  <c r="AC289" i="35"/>
  <c r="AC291" i="35"/>
  <c r="AC283" i="35"/>
  <c r="AC296" i="35"/>
  <c r="AC293" i="35"/>
  <c r="AC297" i="35"/>
  <c r="AC233" i="35"/>
  <c r="U537" i="2"/>
  <c r="J331" i="35"/>
  <c r="H413" i="35"/>
  <c r="Q370" i="35"/>
  <c r="D370" i="35"/>
  <c r="G370" i="35"/>
  <c r="K370" i="35"/>
  <c r="S370" i="35"/>
  <c r="O370" i="35"/>
  <c r="M370" i="35"/>
  <c r="E370" i="35"/>
  <c r="R370" i="35"/>
  <c r="J370" i="35"/>
  <c r="H370" i="35"/>
  <c r="F370" i="35"/>
  <c r="P370" i="35"/>
  <c r="L370" i="35"/>
  <c r="Q325" i="35"/>
  <c r="W332" i="35"/>
  <c r="T509" i="5"/>
  <c r="Y544" i="2"/>
  <c r="AP544" i="2"/>
  <c r="AD544" i="2"/>
  <c r="AA544" i="2"/>
  <c r="AB544" i="2"/>
  <c r="K217" i="35"/>
  <c r="K210" i="35"/>
  <c r="U519" i="5"/>
  <c r="P232" i="36"/>
  <c r="AC330" i="35"/>
  <c r="AA330" i="35"/>
  <c r="T305" i="5"/>
  <c r="K232" i="36" s="1"/>
  <c r="K316" i="35"/>
  <c r="F308" i="35"/>
  <c r="AD331" i="35"/>
  <c r="P332" i="35"/>
  <c r="U507" i="2"/>
  <c r="U305" i="5"/>
  <c r="K233" i="36" s="1"/>
  <c r="AI330" i="35"/>
  <c r="H330" i="35"/>
  <c r="AC331" i="35"/>
  <c r="N332" i="35"/>
  <c r="J308" i="35"/>
  <c r="U521" i="5"/>
  <c r="T503" i="2"/>
  <c r="M232" i="35" s="1"/>
  <c r="P331" i="35"/>
  <c r="AD330" i="35"/>
  <c r="U508" i="2"/>
  <c r="V232" i="35"/>
  <c r="P338" i="35"/>
  <c r="AH331" i="35"/>
  <c r="AG337" i="35"/>
  <c r="AG282" i="35"/>
  <c r="AI331" i="35"/>
  <c r="AG285" i="35"/>
  <c r="K331" i="35"/>
  <c r="U503" i="5"/>
  <c r="M233" i="36" s="1"/>
  <c r="Z233" i="36"/>
  <c r="AE331" i="35"/>
  <c r="P330" i="35"/>
  <c r="G332" i="35"/>
  <c r="G323" i="35" s="1"/>
  <c r="L332" i="35"/>
  <c r="U508" i="5"/>
  <c r="U107" i="5"/>
  <c r="I233" i="36" s="1"/>
  <c r="U510" i="5"/>
  <c r="U404" i="5"/>
  <c r="L233" i="36" s="1"/>
  <c r="U530" i="5"/>
  <c r="U107" i="2"/>
  <c r="I233" i="35" s="1"/>
  <c r="X233" i="35"/>
  <c r="V233" i="36"/>
  <c r="U520" i="5"/>
  <c r="Z332" i="35"/>
  <c r="AM343" i="35"/>
  <c r="AD337" i="35"/>
  <c r="AG332" i="35"/>
  <c r="U503" i="2"/>
  <c r="M233" i="35" s="1"/>
  <c r="P337" i="35"/>
  <c r="T404" i="5"/>
  <c r="L232" i="36" s="1"/>
  <c r="AF339" i="35"/>
  <c r="AI332" i="35"/>
  <c r="Y332" i="35"/>
  <c r="AF335" i="35"/>
  <c r="M332" i="35"/>
  <c r="G294" i="36"/>
  <c r="AG331" i="35"/>
  <c r="W337" i="35"/>
  <c r="AM355" i="35"/>
  <c r="AI338" i="35"/>
  <c r="AI337" i="35"/>
  <c r="Y339" i="35"/>
  <c r="AM357" i="35"/>
  <c r="AG339" i="35"/>
  <c r="G291" i="36"/>
  <c r="U531" i="5"/>
  <c r="AB233" i="36"/>
  <c r="Y232" i="36"/>
  <c r="Y287" i="36"/>
  <c r="Y284" i="36"/>
  <c r="Y283" i="36"/>
  <c r="Y297" i="36"/>
  <c r="Y289" i="36"/>
  <c r="Y292" i="36"/>
  <c r="Y285" i="36"/>
  <c r="Y296" i="36"/>
  <c r="Y288" i="36"/>
  <c r="Y291" i="36"/>
  <c r="Y293" i="36"/>
  <c r="Y295" i="36"/>
  <c r="Y286" i="36"/>
  <c r="Y294" i="36"/>
  <c r="AM349" i="35"/>
  <c r="L315" i="35"/>
  <c r="F315" i="35"/>
  <c r="AH336" i="35"/>
  <c r="AM348" i="35"/>
  <c r="AK331" i="35"/>
  <c r="AK329" i="35" s="1"/>
  <c r="X330" i="35"/>
  <c r="AM342" i="35"/>
  <c r="AD336" i="35"/>
  <c r="V286" i="36"/>
  <c r="V283" i="36"/>
  <c r="V287" i="36"/>
  <c r="V293" i="36"/>
  <c r="V295" i="36"/>
  <c r="V296" i="36"/>
  <c r="V282" i="36"/>
  <c r="T520" i="5"/>
  <c r="V289" i="36"/>
  <c r="V284" i="36"/>
  <c r="V291" i="36"/>
  <c r="G282" i="36"/>
  <c r="X233" i="36"/>
  <c r="U527" i="5"/>
  <c r="AF332" i="35"/>
  <c r="V286" i="35"/>
  <c r="AB292" i="36"/>
  <c r="AB289" i="36"/>
  <c r="AB284" i="36"/>
  <c r="AB232" i="36"/>
  <c r="AB287" i="36"/>
  <c r="AB285" i="36"/>
  <c r="AB291" i="36"/>
  <c r="AB293" i="36"/>
  <c r="AB290" i="36"/>
  <c r="Z289" i="36"/>
  <c r="Z297" i="36"/>
  <c r="Z287" i="36"/>
  <c r="Z284" i="36"/>
  <c r="Z285" i="36"/>
  <c r="Z294" i="36"/>
  <c r="Z296" i="36"/>
  <c r="AI336" i="35"/>
  <c r="G289" i="36"/>
  <c r="S282" i="36"/>
  <c r="S293" i="36"/>
  <c r="S291" i="36"/>
  <c r="S290" i="36"/>
  <c r="S287" i="36"/>
  <c r="S295" i="36"/>
  <c r="T517" i="5"/>
  <c r="S288" i="36"/>
  <c r="S285" i="36"/>
  <c r="AA286" i="36"/>
  <c r="AA292" i="36"/>
  <c r="AA287" i="36"/>
  <c r="T530" i="5"/>
  <c r="AA232" i="36"/>
  <c r="AA283" i="36"/>
  <c r="AA288" i="36"/>
  <c r="AA295" i="36"/>
  <c r="AA282" i="36"/>
  <c r="AA284" i="36"/>
  <c r="AA293" i="36"/>
  <c r="AA297" i="36"/>
  <c r="AC339" i="35"/>
  <c r="O287" i="36"/>
  <c r="O294" i="36"/>
  <c r="T206" i="5"/>
  <c r="J232" i="36" s="1"/>
  <c r="O297" i="36"/>
  <c r="O288" i="36"/>
  <c r="T508" i="5"/>
  <c r="O282" i="36"/>
  <c r="O286" i="36"/>
  <c r="O291" i="36"/>
  <c r="O285" i="36"/>
  <c r="O284" i="36"/>
  <c r="O296" i="36"/>
  <c r="O292" i="36"/>
  <c r="O295" i="36"/>
  <c r="O293" i="36"/>
  <c r="AA337" i="35"/>
  <c r="AA335" i="35"/>
  <c r="AM341" i="35"/>
  <c r="G292" i="36"/>
  <c r="AE332" i="35"/>
  <c r="AC332" i="35"/>
  <c r="AG294" i="35"/>
  <c r="L316" i="35"/>
  <c r="AM344" i="35"/>
  <c r="AA338" i="35"/>
  <c r="U295" i="36"/>
  <c r="U286" i="36"/>
  <c r="U294" i="36"/>
  <c r="U283" i="36"/>
  <c r="U296" i="36"/>
  <c r="U232" i="36"/>
  <c r="U285" i="36"/>
  <c r="U287" i="36"/>
  <c r="U289" i="36"/>
  <c r="U290" i="36"/>
  <c r="U288" i="36"/>
  <c r="U293" i="36"/>
  <c r="U282" i="36"/>
  <c r="U284" i="36"/>
  <c r="Z233" i="35"/>
  <c r="U529" i="2"/>
  <c r="G286" i="36"/>
  <c r="G287" i="36"/>
  <c r="G297" i="36"/>
  <c r="G296" i="36"/>
  <c r="G283" i="36"/>
  <c r="G284" i="36"/>
  <c r="AE335" i="35"/>
  <c r="W336" i="35"/>
  <c r="AM354" i="35"/>
  <c r="N290" i="36"/>
  <c r="T107" i="5"/>
  <c r="I232" i="36" s="1"/>
  <c r="N283" i="36"/>
  <c r="N288" i="36"/>
  <c r="N297" i="36"/>
  <c r="N286" i="36"/>
  <c r="N294" i="36"/>
  <c r="N289" i="36"/>
  <c r="T507" i="5"/>
  <c r="N291" i="36"/>
  <c r="N295" i="36"/>
  <c r="N232" i="36"/>
  <c r="N296" i="36"/>
  <c r="T233" i="36"/>
  <c r="U518" i="5"/>
  <c r="Y335" i="35"/>
  <c r="AM353" i="35"/>
  <c r="T521" i="5"/>
  <c r="AM356" i="35"/>
  <c r="Y338" i="35"/>
  <c r="G290" i="36"/>
  <c r="V291" i="35"/>
  <c r="V290" i="35"/>
  <c r="Q292" i="36"/>
  <c r="Q294" i="36"/>
  <c r="Q285" i="36"/>
  <c r="Q295" i="36"/>
  <c r="Q297" i="36"/>
  <c r="Q284" i="36"/>
  <c r="Q282" i="36"/>
  <c r="T294" i="36"/>
  <c r="T284" i="36"/>
  <c r="T290" i="36"/>
  <c r="T287" i="36"/>
  <c r="T295" i="36"/>
  <c r="T282" i="36"/>
  <c r="T283" i="36"/>
  <c r="T518" i="5"/>
  <c r="T285" i="36"/>
  <c r="T288" i="36"/>
  <c r="T293" i="36"/>
  <c r="T232" i="36"/>
  <c r="T291" i="36"/>
  <c r="T289" i="36"/>
  <c r="X283" i="36"/>
  <c r="X287" i="36"/>
  <c r="X288" i="36"/>
  <c r="X284" i="36"/>
  <c r="X292" i="36"/>
  <c r="X290" i="36"/>
  <c r="T527" i="5"/>
  <c r="X285" i="36"/>
  <c r="X293" i="36"/>
  <c r="X282" i="36"/>
  <c r="AI335" i="35"/>
  <c r="T531" i="5"/>
  <c r="AB288" i="36"/>
  <c r="AB282" i="36"/>
  <c r="AB296" i="36"/>
  <c r="AB294" i="36"/>
  <c r="AB286" i="36"/>
  <c r="AB283" i="36"/>
  <c r="AB297" i="36"/>
  <c r="AB295" i="36"/>
  <c r="T528" i="5"/>
  <c r="Y290" i="36"/>
  <c r="Y282" i="36"/>
  <c r="G288" i="36"/>
  <c r="T510" i="5"/>
  <c r="Q232" i="36"/>
  <c r="Q290" i="36"/>
  <c r="Q286" i="36"/>
  <c r="Q288" i="36"/>
  <c r="Q289" i="36"/>
  <c r="Q287" i="36"/>
  <c r="Q283" i="36"/>
  <c r="Q291" i="36"/>
  <c r="Q293" i="36"/>
  <c r="Q296" i="36"/>
  <c r="Y233" i="36"/>
  <c r="U528" i="5"/>
  <c r="U206" i="5"/>
  <c r="J233" i="36" s="1"/>
  <c r="AC335" i="35"/>
  <c r="AM347" i="35"/>
  <c r="T529" i="5"/>
  <c r="J529" i="5" s="1"/>
  <c r="Z234" i="36" s="1"/>
  <c r="Z290" i="36"/>
  <c r="Z293" i="36"/>
  <c r="Z286" i="36"/>
  <c r="Z283" i="36"/>
  <c r="Z282" i="36"/>
  <c r="Z291" i="36"/>
  <c r="Z288" i="36"/>
  <c r="Z232" i="36"/>
  <c r="Z292" i="36"/>
  <c r="Z295" i="36"/>
  <c r="T292" i="36"/>
  <c r="T286" i="36"/>
  <c r="T296" i="36"/>
  <c r="T297" i="36"/>
  <c r="X295" i="36"/>
  <c r="X289" i="36"/>
  <c r="X232" i="36"/>
  <c r="X286" i="36"/>
  <c r="X294" i="36"/>
  <c r="X296" i="36"/>
  <c r="X297" i="36"/>
  <c r="X291" i="36"/>
  <c r="G285" i="36"/>
  <c r="S232" i="36"/>
  <c r="S294" i="36"/>
  <c r="S297" i="36"/>
  <c r="S283" i="36"/>
  <c r="S289" i="36"/>
  <c r="S284" i="36"/>
  <c r="S296" i="36"/>
  <c r="S292" i="36"/>
  <c r="S286" i="36"/>
  <c r="T519" i="5"/>
  <c r="U292" i="36"/>
  <c r="U297" i="36"/>
  <c r="U291" i="36"/>
  <c r="AA291" i="36"/>
  <c r="AA290" i="36"/>
  <c r="AA294" i="36"/>
  <c r="AA296" i="36"/>
  <c r="AA285" i="36"/>
  <c r="AA289" i="36"/>
  <c r="S233" i="36"/>
  <c r="U517" i="5"/>
  <c r="O289" i="36"/>
  <c r="O283" i="36"/>
  <c r="O232" i="36"/>
  <c r="O290" i="36"/>
  <c r="G293" i="36"/>
  <c r="G295" i="36"/>
  <c r="AM350" i="35"/>
  <c r="AD338" i="35"/>
  <c r="V290" i="36"/>
  <c r="V285" i="36"/>
  <c r="V232" i="36"/>
  <c r="V297" i="36"/>
  <c r="V288" i="36"/>
  <c r="V292" i="36"/>
  <c r="V294" i="36"/>
  <c r="N292" i="36"/>
  <c r="N287" i="36"/>
  <c r="N284" i="36"/>
  <c r="N293" i="36"/>
  <c r="N282" i="36"/>
  <c r="N285" i="36"/>
  <c r="F311" i="35"/>
  <c r="I311" i="35"/>
  <c r="E283" i="35"/>
  <c r="E297" i="35"/>
  <c r="E285" i="35"/>
  <c r="E291" i="35"/>
  <c r="E296" i="35"/>
  <c r="T341" i="35"/>
  <c r="E290" i="35"/>
  <c r="E282" i="35"/>
  <c r="E284" i="35"/>
  <c r="E289" i="35"/>
  <c r="P335" i="35"/>
  <c r="E287" i="35"/>
  <c r="E292" i="35"/>
  <c r="E293" i="35"/>
  <c r="E294" i="35"/>
  <c r="E295" i="35"/>
  <c r="G339" i="35"/>
  <c r="G322" i="35" s="1"/>
  <c r="T357" i="35"/>
  <c r="G294" i="35"/>
  <c r="T345" i="35"/>
  <c r="H339" i="35"/>
  <c r="H337" i="35"/>
  <c r="T343" i="35"/>
  <c r="E286" i="35"/>
  <c r="P339" i="35"/>
  <c r="P322" i="35" s="1"/>
  <c r="V292" i="35"/>
  <c r="F284" i="35"/>
  <c r="F295" i="35"/>
  <c r="F289" i="35"/>
  <c r="F287" i="35"/>
  <c r="K335" i="35"/>
  <c r="F283" i="35"/>
  <c r="F282" i="35"/>
  <c r="T347" i="35"/>
  <c r="F285" i="35"/>
  <c r="F296" i="35"/>
  <c r="F292" i="35"/>
  <c r="F297" i="35"/>
  <c r="F293" i="35"/>
  <c r="E316" i="35"/>
  <c r="I316" i="35"/>
  <c r="X297" i="35"/>
  <c r="X287" i="35"/>
  <c r="X296" i="35"/>
  <c r="X288" i="35"/>
  <c r="X284" i="35"/>
  <c r="X295" i="35"/>
  <c r="X286" i="35"/>
  <c r="X232" i="35"/>
  <c r="X294" i="35"/>
  <c r="X285" i="35"/>
  <c r="X292" i="35"/>
  <c r="T527" i="2"/>
  <c r="X293" i="35"/>
  <c r="X289" i="35"/>
  <c r="X282" i="35"/>
  <c r="X291" i="35"/>
  <c r="X283" i="35"/>
  <c r="X290" i="35"/>
  <c r="T508" i="2"/>
  <c r="O286" i="35"/>
  <c r="O289" i="35"/>
  <c r="O232" i="35"/>
  <c r="O283" i="35"/>
  <c r="O294" i="35"/>
  <c r="O297" i="35"/>
  <c r="O282" i="35"/>
  <c r="O291" i="35"/>
  <c r="O296" i="35"/>
  <c r="O285" i="35"/>
  <c r="O288" i="35"/>
  <c r="O295" i="35"/>
  <c r="O290" i="35"/>
  <c r="O284" i="35"/>
  <c r="O292" i="35"/>
  <c r="O287" i="35"/>
  <c r="T206" i="2"/>
  <c r="J232" i="35" s="1"/>
  <c r="O293" i="35"/>
  <c r="J338" i="35"/>
  <c r="F288" i="35"/>
  <c r="T291" i="35"/>
  <c r="T288" i="35"/>
  <c r="T282" i="35"/>
  <c r="T287" i="35"/>
  <c r="T286" i="35"/>
  <c r="T297" i="35"/>
  <c r="T292" i="35"/>
  <c r="H336" i="35"/>
  <c r="T283" i="35"/>
  <c r="T290" i="35"/>
  <c r="T348" i="35"/>
  <c r="T296" i="35"/>
  <c r="T289" i="35"/>
  <c r="T294" i="35"/>
  <c r="F286" i="35"/>
  <c r="T295" i="35"/>
  <c r="T284" i="35"/>
  <c r="T285" i="35"/>
  <c r="T293" i="35"/>
  <c r="F316" i="35"/>
  <c r="V296" i="35"/>
  <c r="T517" i="2"/>
  <c r="S285" i="35"/>
  <c r="S296" i="35"/>
  <c r="S284" i="35"/>
  <c r="S294" i="35"/>
  <c r="S295" i="35"/>
  <c r="S283" i="35"/>
  <c r="S286" i="35"/>
  <c r="S232" i="35"/>
  <c r="S291" i="35"/>
  <c r="S282" i="35"/>
  <c r="S288" i="35"/>
  <c r="S297" i="35"/>
  <c r="S289" i="35"/>
  <c r="S293" i="35"/>
  <c r="S292" i="35"/>
  <c r="S287" i="35"/>
  <c r="S290" i="35"/>
  <c r="G292" i="35"/>
  <c r="N335" i="35"/>
  <c r="J316" i="35"/>
  <c r="F310" i="35"/>
  <c r="L310" i="35"/>
  <c r="F294" i="35"/>
  <c r="V283" i="35"/>
  <c r="V284" i="35"/>
  <c r="T510" i="2"/>
  <c r="Q284" i="35"/>
  <c r="Q288" i="35"/>
  <c r="Q289" i="35"/>
  <c r="Q286" i="35"/>
  <c r="Q291" i="35"/>
  <c r="Q232" i="35"/>
  <c r="Q297" i="35"/>
  <c r="Q290" i="35"/>
  <c r="Q295" i="35"/>
  <c r="Q287" i="35"/>
  <c r="Q293" i="35"/>
  <c r="T404" i="2"/>
  <c r="L232" i="35" s="1"/>
  <c r="Q285" i="35"/>
  <c r="Q294" i="35"/>
  <c r="Q292" i="35"/>
  <c r="Q283" i="35"/>
  <c r="Q282" i="35"/>
  <c r="Q296" i="35"/>
  <c r="G314" i="35"/>
  <c r="I314" i="35"/>
  <c r="T342" i="35"/>
  <c r="P336" i="35"/>
  <c r="W286" i="35"/>
  <c r="W284" i="35"/>
  <c r="W292" i="35"/>
  <c r="W291" i="35"/>
  <c r="W285" i="35"/>
  <c r="W288" i="35"/>
  <c r="W295" i="35"/>
  <c r="W232" i="35"/>
  <c r="W289" i="35"/>
  <c r="W296" i="35"/>
  <c r="W294" i="35"/>
  <c r="W297" i="35"/>
  <c r="W283" i="35"/>
  <c r="W290" i="35"/>
  <c r="T521" i="2"/>
  <c r="W287" i="35"/>
  <c r="W293" i="35"/>
  <c r="W282" i="35"/>
  <c r="Y232" i="35"/>
  <c r="Y289" i="35"/>
  <c r="Y286" i="35"/>
  <c r="Y295" i="35"/>
  <c r="T528" i="2"/>
  <c r="Y292" i="35"/>
  <c r="Y282" i="35"/>
  <c r="Y291" i="35"/>
  <c r="Y287" i="35"/>
  <c r="Y284" i="35"/>
  <c r="Y297" i="35"/>
  <c r="Y290" i="35"/>
  <c r="Y296" i="35"/>
  <c r="Y294" i="35"/>
  <c r="Y288" i="35"/>
  <c r="Y293" i="35"/>
  <c r="Y283" i="35"/>
  <c r="Y285" i="35"/>
  <c r="P288" i="35"/>
  <c r="P283" i="35"/>
  <c r="P282" i="35"/>
  <c r="P295" i="35"/>
  <c r="P294" i="35"/>
  <c r="P297" i="35"/>
  <c r="P287" i="35"/>
  <c r="P292" i="35"/>
  <c r="P290" i="35"/>
  <c r="P286" i="35"/>
  <c r="P232" i="35"/>
  <c r="P293" i="35"/>
  <c r="P285" i="35"/>
  <c r="P284" i="35"/>
  <c r="T305" i="2"/>
  <c r="K232" i="35" s="1"/>
  <c r="P291" i="35"/>
  <c r="P289" i="35"/>
  <c r="T509" i="2"/>
  <c r="P296" i="35"/>
  <c r="V294" i="35"/>
  <c r="H338" i="35"/>
  <c r="T344" i="35"/>
  <c r="G290" i="35"/>
  <c r="L335" i="35"/>
  <c r="AA232" i="35"/>
  <c r="AA291" i="35"/>
  <c r="AA286" i="35"/>
  <c r="AA284" i="35"/>
  <c r="AA283" i="35"/>
  <c r="AA293" i="35"/>
  <c r="AA287" i="35"/>
  <c r="T530" i="2"/>
  <c r="AA297" i="35"/>
  <c r="AA295" i="35"/>
  <c r="AA288" i="35"/>
  <c r="AA289" i="35"/>
  <c r="AA292" i="35"/>
  <c r="AA290" i="35"/>
  <c r="AA285" i="35"/>
  <c r="AA296" i="35"/>
  <c r="AA294" i="35"/>
  <c r="AA282" i="35"/>
  <c r="M338" i="35"/>
  <c r="F291" i="35"/>
  <c r="G337" i="35"/>
  <c r="G285" i="35"/>
  <c r="L338" i="35"/>
  <c r="F290" i="35"/>
  <c r="J337" i="35"/>
  <c r="E288" i="35"/>
  <c r="V282" i="35"/>
  <c r="V297" i="35"/>
  <c r="G306" i="35"/>
  <c r="I306" i="35"/>
  <c r="G312" i="35"/>
  <c r="I312" i="35"/>
  <c r="L313" i="35"/>
  <c r="F313" i="35"/>
  <c r="T529" i="2"/>
  <c r="Z285" i="35"/>
  <c r="Z286" i="35"/>
  <c r="Z232" i="35"/>
  <c r="Z282" i="35"/>
  <c r="Z284" i="35"/>
  <c r="Z296" i="35"/>
  <c r="Z294" i="35"/>
  <c r="Z288" i="35"/>
  <c r="Z293" i="35"/>
  <c r="Z283" i="35"/>
  <c r="Z291" i="35"/>
  <c r="Z295" i="35"/>
  <c r="Z289" i="35"/>
  <c r="Z287" i="35"/>
  <c r="Z297" i="35"/>
  <c r="Z292" i="35"/>
  <c r="Z290" i="35"/>
  <c r="F312" i="35"/>
  <c r="L312" i="35"/>
  <c r="T351" i="35"/>
  <c r="K339" i="35"/>
  <c r="K322" i="35" s="1"/>
  <c r="L336" i="35"/>
  <c r="T354" i="35"/>
  <c r="E310" i="35"/>
  <c r="K310" i="35"/>
  <c r="V287" i="35"/>
  <c r="G313" i="35"/>
  <c r="I313" i="35"/>
  <c r="G289" i="35"/>
  <c r="G284" i="35"/>
  <c r="G296" i="35"/>
  <c r="G282" i="35"/>
  <c r="G297" i="35"/>
  <c r="G287" i="35"/>
  <c r="G288" i="35"/>
  <c r="T353" i="35"/>
  <c r="G286" i="35"/>
  <c r="G295" i="35"/>
  <c r="G293" i="35"/>
  <c r="F335" i="35"/>
  <c r="G283" i="35"/>
  <c r="S233" i="35"/>
  <c r="U517" i="2"/>
  <c r="F337" i="35"/>
  <c r="T355" i="35"/>
  <c r="T356" i="35"/>
  <c r="T350" i="35"/>
  <c r="K307" i="35"/>
  <c r="G307" i="35"/>
  <c r="D307" i="35" s="1"/>
  <c r="T511" i="2"/>
  <c r="R232" i="35"/>
  <c r="R284" i="35"/>
  <c r="R285" i="35"/>
  <c r="R296" i="35"/>
  <c r="R286" i="35"/>
  <c r="R287" i="35"/>
  <c r="R297" i="35"/>
  <c r="R292" i="35"/>
  <c r="R295" i="35"/>
  <c r="R283" i="35"/>
  <c r="R289" i="35"/>
  <c r="R282" i="35"/>
  <c r="R291" i="35"/>
  <c r="R290" i="35"/>
  <c r="R294" i="35"/>
  <c r="R288" i="35"/>
  <c r="R293" i="35"/>
  <c r="T519" i="2"/>
  <c r="U295" i="35"/>
  <c r="U287" i="35"/>
  <c r="U294" i="35"/>
  <c r="U232" i="35"/>
  <c r="U286" i="35"/>
  <c r="U296" i="35"/>
  <c r="U289" i="35"/>
  <c r="U290" i="35"/>
  <c r="U282" i="35"/>
  <c r="U293" i="35"/>
  <c r="U291" i="35"/>
  <c r="U285" i="35"/>
  <c r="U288" i="35"/>
  <c r="U292" i="35"/>
  <c r="U284" i="35"/>
  <c r="U297" i="35"/>
  <c r="U283" i="35"/>
  <c r="V295" i="35"/>
  <c r="V289" i="35"/>
  <c r="V288" i="35"/>
  <c r="M335" i="35"/>
  <c r="G291" i="35"/>
  <c r="N232" i="35"/>
  <c r="N285" i="35"/>
  <c r="N296" i="35"/>
  <c r="N284" i="35"/>
  <c r="N297" i="35"/>
  <c r="N291" i="35"/>
  <c r="N295" i="35"/>
  <c r="N288" i="35"/>
  <c r="N286" i="35"/>
  <c r="N292" i="35"/>
  <c r="T107" i="2"/>
  <c r="I232" i="35" s="1"/>
  <c r="N287" i="35"/>
  <c r="N282" i="35"/>
  <c r="T507" i="2"/>
  <c r="N290" i="35"/>
  <c r="N293" i="35"/>
  <c r="N289" i="35"/>
  <c r="N283" i="35"/>
  <c r="N294" i="35"/>
  <c r="AB284" i="35"/>
  <c r="AB294" i="35"/>
  <c r="AB297" i="35"/>
  <c r="AB288" i="35"/>
  <c r="AB289" i="35"/>
  <c r="AB285" i="35"/>
  <c r="AB295" i="35"/>
  <c r="AB293" i="35"/>
  <c r="AB286" i="35"/>
  <c r="AB292" i="35"/>
  <c r="AB283" i="35"/>
  <c r="AB296" i="35"/>
  <c r="AB282" i="35"/>
  <c r="T531" i="2"/>
  <c r="AB287" i="35"/>
  <c r="AB291" i="35"/>
  <c r="AB290" i="35"/>
  <c r="AB232" i="35"/>
  <c r="G316" i="35"/>
  <c r="E308" i="35"/>
  <c r="K308" i="35"/>
  <c r="M316" i="35"/>
  <c r="T349" i="35"/>
  <c r="K337" i="35"/>
  <c r="V293" i="35"/>
  <c r="V285" i="35"/>
  <c r="Q233" i="35"/>
  <c r="U510" i="2"/>
  <c r="U404" i="2"/>
  <c r="L233" i="35" s="1"/>
  <c r="U521" i="2"/>
  <c r="W233" i="35"/>
  <c r="U530" i="2"/>
  <c r="AA233" i="35"/>
  <c r="U518" i="2"/>
  <c r="T233" i="35"/>
  <c r="U233" i="35"/>
  <c r="U519" i="2"/>
  <c r="U528" i="2"/>
  <c r="Y233" i="35"/>
  <c r="U520" i="2"/>
  <c r="J520" i="2" s="1"/>
  <c r="V234" i="35" s="1"/>
  <c r="V233" i="35"/>
  <c r="T541" i="2"/>
  <c r="U509" i="2"/>
  <c r="U305" i="2"/>
  <c r="K233" i="35" s="1"/>
  <c r="P233" i="35"/>
  <c r="AG291" i="35"/>
  <c r="U511" i="2"/>
  <c r="R233" i="35"/>
  <c r="U206" i="2"/>
  <c r="J233" i="35" s="1"/>
  <c r="AB233" i="35"/>
  <c r="U531" i="2"/>
  <c r="P410" i="35"/>
  <c r="AG284" i="35"/>
  <c r="L209" i="36"/>
  <c r="U368" i="35"/>
  <c r="AG296" i="35"/>
  <c r="D209" i="36"/>
  <c r="AG232" i="35"/>
  <c r="AG297" i="35"/>
  <c r="AG292" i="35"/>
  <c r="M304" i="35"/>
  <c r="E413" i="35"/>
  <c r="W285" i="36"/>
  <c r="W339" i="35"/>
  <c r="J412" i="35"/>
  <c r="AG293" i="35"/>
  <c r="AG287" i="35"/>
  <c r="AG288" i="35"/>
  <c r="AG286" i="35"/>
  <c r="AG289" i="35"/>
  <c r="AG283" i="35"/>
  <c r="AG295" i="35"/>
  <c r="AG290" i="35"/>
  <c r="W330" i="35"/>
  <c r="AM345" i="35"/>
  <c r="E287" i="36"/>
  <c r="E286" i="36"/>
  <c r="E283" i="36"/>
  <c r="P296" i="36"/>
  <c r="E289" i="36"/>
  <c r="P288" i="36"/>
  <c r="E297" i="36"/>
  <c r="R292" i="36"/>
  <c r="R294" i="36"/>
  <c r="T503" i="5"/>
  <c r="M232" i="36" s="1"/>
  <c r="R289" i="36"/>
  <c r="R296" i="36"/>
  <c r="P295" i="36"/>
  <c r="E288" i="36"/>
  <c r="R291" i="36"/>
  <c r="R293" i="36"/>
  <c r="R288" i="36"/>
  <c r="R290" i="36"/>
  <c r="R282" i="36"/>
  <c r="R286" i="36"/>
  <c r="T511" i="5"/>
  <c r="R284" i="36"/>
  <c r="R285" i="36"/>
  <c r="R295" i="36"/>
  <c r="R287" i="36"/>
  <c r="E284" i="36"/>
  <c r="P297" i="36"/>
  <c r="R283" i="36"/>
  <c r="R297" i="36"/>
  <c r="P283" i="36"/>
  <c r="E293" i="36"/>
  <c r="P290" i="36"/>
  <c r="E294" i="36"/>
  <c r="E295" i="36"/>
  <c r="E290" i="36"/>
  <c r="P287" i="36"/>
  <c r="P291" i="36"/>
  <c r="P289" i="36"/>
  <c r="P294" i="36"/>
  <c r="P286" i="36"/>
  <c r="E292" i="36"/>
  <c r="P284" i="36"/>
  <c r="E291" i="36"/>
  <c r="P292" i="36"/>
  <c r="P285" i="36"/>
  <c r="P282" i="36"/>
  <c r="E285" i="36"/>
  <c r="E296" i="36"/>
  <c r="P293" i="36"/>
  <c r="E282" i="36"/>
  <c r="D214" i="36"/>
  <c r="L214" i="36"/>
  <c r="X544" i="2"/>
  <c r="D163" i="36"/>
  <c r="L218" i="36"/>
  <c r="D218" i="36"/>
  <c r="D216" i="36"/>
  <c r="L224" i="36"/>
  <c r="K219" i="35"/>
  <c r="D208" i="36"/>
  <c r="L225" i="36"/>
  <c r="AK544" i="2"/>
  <c r="X524" i="5"/>
  <c r="E410" i="35"/>
  <c r="D225" i="36"/>
  <c r="L204" i="36"/>
  <c r="L215" i="36"/>
  <c r="P413" i="35"/>
  <c r="AN524" i="5"/>
  <c r="AN554" i="5"/>
  <c r="N410" i="35"/>
  <c r="S412" i="35"/>
  <c r="AB524" i="5"/>
  <c r="O413" i="35"/>
  <c r="D206" i="36"/>
  <c r="L206" i="36"/>
  <c r="M410" i="35"/>
  <c r="AG544" i="2"/>
  <c r="O410" i="35"/>
  <c r="L412" i="35"/>
  <c r="O411" i="35"/>
  <c r="J410" i="35"/>
  <c r="H322" i="35"/>
  <c r="J540" i="5"/>
  <c r="AF234" i="36" s="1"/>
  <c r="G324" i="35"/>
  <c r="W333" i="35"/>
  <c r="D322" i="35" s="1"/>
  <c r="F282" i="36"/>
  <c r="AF285" i="36"/>
  <c r="F292" i="36"/>
  <c r="W284" i="36"/>
  <c r="W286" i="36"/>
  <c r="W289" i="36"/>
  <c r="W283" i="36"/>
  <c r="F288" i="36"/>
  <c r="AF290" i="36"/>
  <c r="AF284" i="36"/>
  <c r="AF294" i="36"/>
  <c r="W295" i="36"/>
  <c r="AF296" i="36"/>
  <c r="AF293" i="36"/>
  <c r="AF291" i="36"/>
  <c r="AF292" i="36"/>
  <c r="AF283" i="36"/>
  <c r="W288" i="36"/>
  <c r="W296" i="36"/>
  <c r="AF287" i="36"/>
  <c r="F291" i="36"/>
  <c r="F294" i="36"/>
  <c r="W294" i="36"/>
  <c r="F283" i="36"/>
  <c r="F296" i="36"/>
  <c r="W282" i="36"/>
  <c r="W290" i="36"/>
  <c r="AF297" i="36"/>
  <c r="AF282" i="36"/>
  <c r="F297" i="36"/>
  <c r="F293" i="36"/>
  <c r="W293" i="36"/>
  <c r="F284" i="36"/>
  <c r="F286" i="36"/>
  <c r="F295" i="36"/>
  <c r="F287" i="36"/>
  <c r="F290" i="36"/>
  <c r="F285" i="36"/>
  <c r="AF286" i="36"/>
  <c r="AF289" i="36"/>
  <c r="W287" i="36"/>
  <c r="F289" i="36"/>
  <c r="W297" i="36"/>
  <c r="W292" i="36"/>
  <c r="W291" i="36"/>
  <c r="AF295" i="36"/>
  <c r="W338" i="35"/>
  <c r="H288" i="36"/>
  <c r="H294" i="36"/>
  <c r="H286" i="36"/>
  <c r="H290" i="36"/>
  <c r="H287" i="36"/>
  <c r="H291" i="36"/>
  <c r="H289" i="36"/>
  <c r="H292" i="36"/>
  <c r="H296" i="36"/>
  <c r="H295" i="36"/>
  <c r="H284" i="36"/>
  <c r="H293" i="36"/>
  <c r="H285" i="36"/>
  <c r="H297" i="36"/>
  <c r="H282" i="36"/>
  <c r="H283" i="36"/>
  <c r="X339" i="35"/>
  <c r="E322" i="35" s="1"/>
  <c r="AM351" i="35"/>
  <c r="X331" i="35"/>
  <c r="E324" i="35" s="1"/>
  <c r="I322" i="35"/>
  <c r="Q322" i="35"/>
  <c r="F187" i="17"/>
  <c r="G63" i="17"/>
  <c r="G187" i="17"/>
  <c r="F63" i="17"/>
  <c r="L220" i="35"/>
  <c r="M17" i="25"/>
  <c r="N16" i="25"/>
  <c r="J16" i="25" s="1"/>
  <c r="M24" i="27"/>
  <c r="N23" i="27"/>
  <c r="K224" i="35"/>
  <c r="AO544" i="2"/>
  <c r="K207" i="35"/>
  <c r="Z544" i="2"/>
  <c r="K220" i="35"/>
  <c r="D412" i="35"/>
  <c r="P411" i="35"/>
  <c r="G412" i="35"/>
  <c r="O412" i="35"/>
  <c r="S411" i="35"/>
  <c r="G411" i="35"/>
  <c r="G410" i="35"/>
  <c r="J203" i="35"/>
  <c r="I209" i="35"/>
  <c r="Q324" i="35"/>
  <c r="F322" i="35"/>
  <c r="I324" i="35"/>
  <c r="H324" i="35"/>
  <c r="S324" i="35"/>
  <c r="J216" i="35"/>
  <c r="AC544" i="2"/>
  <c r="S325" i="35"/>
  <c r="AL524" i="2"/>
  <c r="I411" i="35"/>
  <c r="R412" i="35"/>
  <c r="K410" i="35"/>
  <c r="P412" i="35"/>
  <c r="K412" i="35"/>
  <c r="H411" i="35"/>
  <c r="R413" i="35"/>
  <c r="G413" i="35"/>
  <c r="F411" i="35"/>
  <c r="F410" i="35"/>
  <c r="E411" i="35"/>
  <c r="I410" i="35"/>
  <c r="I413" i="35"/>
  <c r="D411" i="35"/>
  <c r="J413" i="35"/>
  <c r="Q410" i="35"/>
  <c r="K411" i="35"/>
  <c r="R410" i="35"/>
  <c r="N413" i="35"/>
  <c r="S410" i="35"/>
  <c r="J411" i="35"/>
  <c r="R325" i="35"/>
  <c r="Q412" i="35"/>
  <c r="M412" i="35"/>
  <c r="L413" i="35"/>
  <c r="Q411" i="35"/>
  <c r="D410" i="35"/>
  <c r="E412" i="35"/>
  <c r="N412" i="35"/>
  <c r="M411" i="35"/>
  <c r="S413" i="35"/>
  <c r="F412" i="35"/>
  <c r="F413" i="35"/>
  <c r="D413" i="35"/>
  <c r="R411" i="35"/>
  <c r="R322" i="35"/>
  <c r="H410" i="35"/>
  <c r="S322" i="35"/>
  <c r="M413" i="35"/>
  <c r="K413" i="35"/>
  <c r="N411" i="35"/>
  <c r="H412" i="35"/>
  <c r="I412" i="35"/>
  <c r="Q413" i="35"/>
  <c r="L411" i="35"/>
  <c r="L410" i="35"/>
  <c r="F231" i="36"/>
  <c r="R324" i="35"/>
  <c r="AF421" i="35"/>
  <c r="AP534" i="5"/>
  <c r="AG421" i="35"/>
  <c r="AO554" i="5"/>
  <c r="AO534" i="5"/>
  <c r="AE421" i="35"/>
  <c r="V421" i="35"/>
  <c r="AH421" i="35"/>
  <c r="AA421" i="35"/>
  <c r="K186" i="36"/>
  <c r="AB421" i="35"/>
  <c r="AK421" i="35"/>
  <c r="M421" i="35"/>
  <c r="M211" i="35"/>
  <c r="P421" i="35"/>
  <c r="F421" i="35"/>
  <c r="H421" i="35"/>
  <c r="M183" i="36"/>
  <c r="K212" i="35"/>
  <c r="K225" i="35"/>
  <c r="I421" i="35"/>
  <c r="Q421" i="35"/>
  <c r="AJ421" i="35"/>
  <c r="AI421" i="35"/>
  <c r="X421" i="35"/>
  <c r="Z421" i="35"/>
  <c r="AL420" i="35"/>
  <c r="S421" i="35"/>
  <c r="G421" i="35"/>
  <c r="AC421" i="35"/>
  <c r="AL419" i="35"/>
  <c r="AL418" i="35"/>
  <c r="W421" i="35"/>
  <c r="Y421" i="35"/>
  <c r="AD421" i="35"/>
  <c r="AL329" i="35"/>
  <c r="AL417" i="35"/>
  <c r="O421" i="35"/>
  <c r="T420" i="35"/>
  <c r="R421" i="35"/>
  <c r="T417" i="35"/>
  <c r="T418" i="35"/>
  <c r="T419" i="35"/>
  <c r="J214" i="35"/>
  <c r="R329" i="35"/>
  <c r="S329" i="35"/>
  <c r="D421" i="35"/>
  <c r="J421" i="35"/>
  <c r="J220" i="35"/>
  <c r="L421" i="35"/>
  <c r="N421" i="35"/>
  <c r="K421" i="35"/>
  <c r="J225" i="35"/>
  <c r="I216" i="35"/>
  <c r="L215" i="35"/>
  <c r="K223" i="35"/>
  <c r="M213" i="35"/>
  <c r="K211" i="35"/>
  <c r="M208" i="35"/>
  <c r="M224" i="35"/>
  <c r="J221" i="35"/>
  <c r="K209" i="35"/>
  <c r="L225" i="35"/>
  <c r="AM534" i="5"/>
  <c r="L221" i="35"/>
  <c r="M212" i="35"/>
  <c r="L211" i="35"/>
  <c r="K221" i="35"/>
  <c r="K208" i="35"/>
  <c r="K216" i="35"/>
  <c r="J213" i="35"/>
  <c r="D221" i="35"/>
  <c r="J206" i="35"/>
  <c r="K213" i="35"/>
  <c r="M223" i="35"/>
  <c r="L216" i="35"/>
  <c r="AP554" i="5"/>
  <c r="L208" i="35"/>
  <c r="M215" i="35"/>
  <c r="J211" i="35"/>
  <c r="J212" i="35"/>
  <c r="Y534" i="2"/>
  <c r="W544" i="2"/>
  <c r="I220" i="35"/>
  <c r="I205" i="35"/>
  <c r="L206" i="35"/>
  <c r="E421" i="35"/>
  <c r="K206" i="35"/>
  <c r="I221" i="35"/>
  <c r="L224" i="35"/>
  <c r="M207" i="35"/>
  <c r="J222" i="35"/>
  <c r="AL554" i="5"/>
  <c r="AN544" i="2"/>
  <c r="J219" i="35"/>
  <c r="J223" i="35"/>
  <c r="M206" i="35"/>
  <c r="K205" i="35"/>
  <c r="AH534" i="5"/>
  <c r="I203" i="35"/>
  <c r="AM544" i="2"/>
  <c r="K214" i="35"/>
  <c r="J208" i="35"/>
  <c r="J207" i="35"/>
  <c r="J215" i="35"/>
  <c r="D211" i="35"/>
  <c r="F26" i="32" s="1" a="1"/>
  <c r="F26" i="32" s="1"/>
  <c r="J217" i="35"/>
  <c r="I211" i="35"/>
  <c r="J209" i="35"/>
  <c r="AH554" i="5"/>
  <c r="D222" i="35"/>
  <c r="F37" i="32" s="1" a="1"/>
  <c r="F37" i="32" s="1"/>
  <c r="AN554" i="2"/>
  <c r="AN555" i="2" s="1"/>
  <c r="D209" i="35"/>
  <c r="I222" i="35"/>
  <c r="AD514" i="2"/>
  <c r="D203" i="35"/>
  <c r="F18" i="32" s="1" a="1"/>
  <c r="F18" i="32" s="1"/>
  <c r="Y514" i="2"/>
  <c r="I215" i="35"/>
  <c r="Y554" i="2"/>
  <c r="Y555" i="2" s="1"/>
  <c r="AP554" i="2"/>
  <c r="L209" i="35"/>
  <c r="AL534" i="5"/>
  <c r="K215" i="36"/>
  <c r="J205" i="35"/>
  <c r="M216" i="35"/>
  <c r="AO554" i="2"/>
  <c r="L207" i="35"/>
  <c r="AN534" i="2"/>
  <c r="AC534" i="2"/>
  <c r="AC554" i="2"/>
  <c r="AC555" i="2" s="1"/>
  <c r="AJ554" i="5"/>
  <c r="AJ534" i="5"/>
  <c r="S552" i="5"/>
  <c r="Z554" i="5"/>
  <c r="AB554" i="5"/>
  <c r="AB534" i="5"/>
  <c r="AC554" i="5"/>
  <c r="AK554" i="5"/>
  <c r="AC534" i="5"/>
  <c r="AK534" i="5"/>
  <c r="K224" i="36"/>
  <c r="K223" i="36"/>
  <c r="K213" i="36"/>
  <c r="M210" i="36"/>
  <c r="L216" i="36"/>
  <c r="D165" i="36"/>
  <c r="AA554" i="5"/>
  <c r="AA534" i="5"/>
  <c r="AD534" i="5"/>
  <c r="D149" i="36"/>
  <c r="Y534" i="5"/>
  <c r="AF554" i="5"/>
  <c r="AS554" i="5"/>
  <c r="AG534" i="5"/>
  <c r="AG554" i="5"/>
  <c r="AN534" i="5"/>
  <c r="AE554" i="5"/>
  <c r="L213" i="35"/>
  <c r="J218" i="35"/>
  <c r="D215" i="35"/>
  <c r="F30" i="32" s="1" a="1"/>
  <c r="F30" i="32" s="1"/>
  <c r="D220" i="35"/>
  <c r="W524" i="2"/>
  <c r="W534" i="2"/>
  <c r="AI554" i="2"/>
  <c r="AI555" i="2" s="1"/>
  <c r="W554" i="2"/>
  <c r="W555" i="2" s="1"/>
  <c r="AP534" i="2"/>
  <c r="AO524" i="2"/>
  <c r="D216" i="35"/>
  <c r="F31" i="32" s="1" a="1"/>
  <c r="F31" i="32" s="1"/>
  <c r="Z514" i="2"/>
  <c r="AS514" i="2"/>
  <c r="AC514" i="2"/>
  <c r="X514" i="2"/>
  <c r="K204" i="35"/>
  <c r="AJ554" i="2"/>
  <c r="AE554" i="2"/>
  <c r="AE555" i="2" s="1"/>
  <c r="AE534" i="2"/>
  <c r="J210" i="36"/>
  <c r="I186" i="36"/>
  <c r="M189" i="36"/>
  <c r="I213" i="36"/>
  <c r="D205" i="35"/>
  <c r="AJ524" i="2"/>
  <c r="J204" i="35"/>
  <c r="S552" i="2"/>
  <c r="H231" i="35"/>
  <c r="Z524" i="2"/>
  <c r="I206" i="35"/>
  <c r="I208" i="35"/>
  <c r="E231" i="36"/>
  <c r="M219" i="35"/>
  <c r="X524" i="2"/>
  <c r="AB524" i="2"/>
  <c r="F231" i="35"/>
  <c r="AR524" i="2"/>
  <c r="AK524" i="2"/>
  <c r="AH524" i="2"/>
  <c r="AI524" i="2"/>
  <c r="AF524" i="2"/>
  <c r="AQ524" i="2"/>
  <c r="AP524" i="2"/>
  <c r="AC524" i="2"/>
  <c r="AE524" i="2"/>
  <c r="AL514" i="2"/>
  <c r="AN514" i="2"/>
  <c r="AM514" i="2"/>
  <c r="I218" i="35"/>
  <c r="W514" i="2"/>
  <c r="AF514" i="2"/>
  <c r="E231" i="35"/>
  <c r="AI514" i="2"/>
  <c r="AK514" i="2"/>
  <c r="AQ514" i="2"/>
  <c r="AJ514" i="2"/>
  <c r="AR514" i="2"/>
  <c r="AH514" i="2"/>
  <c r="AA514" i="2"/>
  <c r="AE514" i="2"/>
  <c r="AO514" i="2"/>
  <c r="AG514" i="2"/>
  <c r="AB514" i="2"/>
  <c r="M231" i="36"/>
  <c r="AR554" i="5"/>
  <c r="I183" i="36"/>
  <c r="I210" i="36"/>
  <c r="K216" i="36"/>
  <c r="K189" i="36"/>
  <c r="L208" i="36"/>
  <c r="L213" i="36"/>
  <c r="J189" i="36"/>
  <c r="L186" i="36"/>
  <c r="L181" i="36"/>
  <c r="J216" i="36"/>
  <c r="I208" i="36"/>
  <c r="C63" i="17"/>
  <c r="A63" i="17"/>
  <c r="J183" i="36"/>
  <c r="I181" i="36"/>
  <c r="I212" i="35"/>
  <c r="I225" i="35"/>
  <c r="G180" i="36"/>
  <c r="D153" i="36"/>
  <c r="G198" i="36"/>
  <c r="D171" i="36"/>
  <c r="G194" i="36"/>
  <c r="D167" i="36"/>
  <c r="X534" i="5"/>
  <c r="X554" i="5"/>
  <c r="G196" i="36"/>
  <c r="D169" i="36"/>
  <c r="K231" i="36"/>
  <c r="I552" i="5"/>
  <c r="D231" i="36" s="1"/>
  <c r="G178" i="36"/>
  <c r="D151" i="36"/>
  <c r="K204" i="36"/>
  <c r="D204" i="36"/>
  <c r="W554" i="5"/>
  <c r="W534" i="5"/>
  <c r="G184" i="36"/>
  <c r="D157" i="36"/>
  <c r="G179" i="36"/>
  <c r="D152" i="36"/>
  <c r="K203" i="36"/>
  <c r="D203" i="36"/>
  <c r="G197" i="36"/>
  <c r="D170" i="36"/>
  <c r="G188" i="36"/>
  <c r="D161" i="36"/>
  <c r="G231" i="36"/>
  <c r="G182" i="36"/>
  <c r="D155" i="36"/>
  <c r="AQ554" i="5"/>
  <c r="AQ534" i="5"/>
  <c r="AI554" i="5"/>
  <c r="AI534" i="5"/>
  <c r="D150" i="36"/>
  <c r="AL377" i="35"/>
  <c r="D215" i="36"/>
  <c r="D223" i="36"/>
  <c r="G185" i="36"/>
  <c r="D158" i="36"/>
  <c r="D224" i="36"/>
  <c r="G181" i="36"/>
  <c r="D154" i="36"/>
  <c r="G191" i="36"/>
  <c r="D164" i="36"/>
  <c r="G190" i="36"/>
  <c r="G187" i="36"/>
  <c r="D160" i="36"/>
  <c r="G193" i="36"/>
  <c r="D166" i="36"/>
  <c r="G195" i="36"/>
  <c r="D168" i="36"/>
  <c r="G186" i="36"/>
  <c r="D159" i="36"/>
  <c r="G183" i="36"/>
  <c r="D156" i="36"/>
  <c r="G189" i="36"/>
  <c r="D162" i="36"/>
  <c r="M231" i="35"/>
  <c r="L231" i="35"/>
  <c r="K231" i="35"/>
  <c r="G186" i="35"/>
  <c r="D159" i="35"/>
  <c r="D28" i="32" s="1" a="1"/>
  <c r="D28" i="32" s="1"/>
  <c r="D153" i="35"/>
  <c r="D22" i="32" s="1" a="1"/>
  <c r="D22" i="32" s="1"/>
  <c r="G180" i="35"/>
  <c r="AF554" i="2"/>
  <c r="AF534" i="2"/>
  <c r="D223" i="35"/>
  <c r="F38" i="32" s="1" a="1"/>
  <c r="F38" i="32" s="1"/>
  <c r="D219" i="35"/>
  <c r="I219" i="35"/>
  <c r="D151" i="35"/>
  <c r="D20" i="32" s="1" a="1"/>
  <c r="D20" i="32" s="1"/>
  <c r="G178" i="35"/>
  <c r="D213" i="35"/>
  <c r="D217" i="35"/>
  <c r="I217" i="35"/>
  <c r="AS534" i="2"/>
  <c r="AS554" i="2"/>
  <c r="AM554" i="2"/>
  <c r="D30" i="17" s="1"/>
  <c r="AM534" i="2"/>
  <c r="D207" i="35"/>
  <c r="F22" i="32" s="1" a="1"/>
  <c r="F22" i="32" s="1"/>
  <c r="D152" i="35"/>
  <c r="D21" i="32" s="1" a="1"/>
  <c r="D21" i="32" s="1"/>
  <c r="G179" i="35"/>
  <c r="G194" i="35"/>
  <c r="D167" i="35"/>
  <c r="D36" i="32" s="1" a="1"/>
  <c r="D36" i="32" s="1"/>
  <c r="G231" i="35"/>
  <c r="G189" i="35"/>
  <c r="D162" i="35"/>
  <c r="D31" i="32" s="1" a="1"/>
  <c r="D31" i="32" s="1"/>
  <c r="AR534" i="2"/>
  <c r="AR554" i="2"/>
  <c r="AK554" i="2"/>
  <c r="AK534" i="2"/>
  <c r="D163" i="35"/>
  <c r="D32" i="32" s="1" a="1"/>
  <c r="D32" i="32" s="1"/>
  <c r="G190" i="35"/>
  <c r="D225" i="35"/>
  <c r="AA534" i="2"/>
  <c r="AA554" i="2"/>
  <c r="Z554" i="2"/>
  <c r="Z534" i="2"/>
  <c r="D224" i="35"/>
  <c r="F39" i="32" s="1" a="1"/>
  <c r="F39" i="32" s="1"/>
  <c r="AD534" i="2"/>
  <c r="AD554" i="2"/>
  <c r="D21" i="17" s="1"/>
  <c r="G176" i="35"/>
  <c r="D155" i="35"/>
  <c r="D24" i="32" s="1" a="1"/>
  <c r="D24" i="32" s="1"/>
  <c r="G182" i="35"/>
  <c r="D170" i="35"/>
  <c r="D39" i="32" s="1" a="1"/>
  <c r="D39" i="32" s="1"/>
  <c r="G197" i="35"/>
  <c r="D206" i="35"/>
  <c r="F21" i="32" s="1" a="1"/>
  <c r="F21" i="32" s="1"/>
  <c r="D156" i="35"/>
  <c r="D25" i="32" s="1" a="1"/>
  <c r="D25" i="32" s="1"/>
  <c r="G183" i="35"/>
  <c r="G196" i="35"/>
  <c r="D169" i="35"/>
  <c r="D38" i="32" s="1" a="1"/>
  <c r="D38" i="32" s="1"/>
  <c r="D210" i="35"/>
  <c r="I210" i="35"/>
  <c r="D165" i="35"/>
  <c r="D34" i="32" s="1" a="1"/>
  <c r="D34" i="32" s="1"/>
  <c r="G192" i="35"/>
  <c r="D158" i="35"/>
  <c r="D27" i="32" s="1" a="1"/>
  <c r="D27" i="32" s="1"/>
  <c r="G185" i="35"/>
  <c r="G191" i="35"/>
  <c r="D164" i="35"/>
  <c r="D33" i="32" s="1" a="1"/>
  <c r="D33" i="32" s="1"/>
  <c r="D218" i="35"/>
  <c r="F33" i="32" s="1" a="1"/>
  <c r="F33" i="32" s="1"/>
  <c r="T377" i="35"/>
  <c r="AB534" i="2"/>
  <c r="AB554" i="2"/>
  <c r="D171" i="35"/>
  <c r="G198" i="35"/>
  <c r="AL534" i="2"/>
  <c r="AL554" i="2"/>
  <c r="D160" i="35"/>
  <c r="D29" i="32" s="1" a="1"/>
  <c r="D29" i="32" s="1"/>
  <c r="G187" i="35"/>
  <c r="D204" i="35"/>
  <c r="F19" i="32" s="1" a="1"/>
  <c r="F19" i="32" s="1"/>
  <c r="I204" i="35"/>
  <c r="D208" i="35"/>
  <c r="F23" i="32" s="1" a="1"/>
  <c r="F23" i="32" s="1"/>
  <c r="G195" i="35"/>
  <c r="D168" i="35"/>
  <c r="D37" i="32" s="1" a="1"/>
  <c r="D37" i="32" s="1"/>
  <c r="D214" i="35"/>
  <c r="F29" i="32" s="1" a="1"/>
  <c r="F29" i="32" s="1"/>
  <c r="I214" i="35"/>
  <c r="D166" i="35"/>
  <c r="D35" i="32" s="1" a="1"/>
  <c r="D35" i="32" s="1"/>
  <c r="G193" i="35"/>
  <c r="G177" i="35"/>
  <c r="D150" i="35"/>
  <c r="D19" i="32" s="1" a="1"/>
  <c r="D19" i="32" s="1"/>
  <c r="X534" i="2"/>
  <c r="X554" i="2"/>
  <c r="I231" i="35"/>
  <c r="I552" i="2"/>
  <c r="D231" i="35" s="1"/>
  <c r="D157" i="35"/>
  <c r="D26" i="32" s="1" a="1"/>
  <c r="D26" i="32" s="1"/>
  <c r="G184" i="35"/>
  <c r="D212" i="35"/>
  <c r="AQ554" i="2"/>
  <c r="AQ534" i="2"/>
  <c r="G181" i="35"/>
  <c r="D154" i="35"/>
  <c r="D23" i="32" s="1" a="1"/>
  <c r="D23" i="32" s="1"/>
  <c r="AH534" i="2"/>
  <c r="AH554" i="2"/>
  <c r="G188" i="35"/>
  <c r="D161" i="35"/>
  <c r="D30" i="32" s="1" a="1"/>
  <c r="D30" i="32" s="1"/>
  <c r="AG554" i="2"/>
  <c r="AG534" i="2"/>
  <c r="M216" i="36"/>
  <c r="L189" i="36"/>
  <c r="K127" i="36"/>
  <c r="J127" i="36"/>
  <c r="L127" i="36"/>
  <c r="I127" i="36"/>
  <c r="M127" i="36"/>
  <c r="D207" i="36"/>
  <c r="J142" i="36"/>
  <c r="M142" i="36"/>
  <c r="I142" i="36"/>
  <c r="D222" i="36"/>
  <c r="L142" i="36"/>
  <c r="K142" i="36"/>
  <c r="N325" i="35" l="1"/>
  <c r="L325" i="35"/>
  <c r="N323" i="35"/>
  <c r="N322" i="35"/>
  <c r="O325" i="35"/>
  <c r="G325" i="35"/>
  <c r="K325" i="35"/>
  <c r="D324" i="35"/>
  <c r="F24" i="32" a="1"/>
  <c r="F24" i="32" s="1"/>
  <c r="E11" i="32" a="1"/>
  <c r="E11" i="32" s="1"/>
  <c r="F40" i="32" a="1"/>
  <c r="F40" i="32" s="1"/>
  <c r="AT532" i="2"/>
  <c r="J323" i="35"/>
  <c r="L323" i="35"/>
  <c r="K323" i="35"/>
  <c r="H323" i="35"/>
  <c r="P323" i="35"/>
  <c r="F323" i="35"/>
  <c r="D325" i="35"/>
  <c r="M323" i="35"/>
  <c r="M324" i="35"/>
  <c r="O323" i="35"/>
  <c r="AT552" i="2"/>
  <c r="AT552" i="5"/>
  <c r="AT522" i="2"/>
  <c r="D313" i="36"/>
  <c r="T421" i="36"/>
  <c r="D311" i="36"/>
  <c r="J329" i="36"/>
  <c r="D312" i="36"/>
  <c r="T339" i="36"/>
  <c r="T336" i="36"/>
  <c r="D315" i="36"/>
  <c r="O329" i="36"/>
  <c r="T337" i="36"/>
  <c r="T338" i="36"/>
  <c r="K329" i="36"/>
  <c r="H329" i="36"/>
  <c r="T331" i="36"/>
  <c r="D310" i="36"/>
  <c r="T332" i="36"/>
  <c r="L329" i="36"/>
  <c r="N329" i="36"/>
  <c r="T335" i="36"/>
  <c r="I329" i="35"/>
  <c r="I326" i="35" s="1"/>
  <c r="M325" i="35"/>
  <c r="E23" i="17"/>
  <c r="F23" i="17" s="1"/>
  <c r="F27" i="32" a="1"/>
  <c r="F27" i="32" s="1"/>
  <c r="E30" i="17"/>
  <c r="F30" i="17" s="1"/>
  <c r="F34" i="32" a="1"/>
  <c r="F34" i="32" s="1"/>
  <c r="D40" i="32" a="1"/>
  <c r="D40" i="32" s="1"/>
  <c r="S10" i="32" a="1"/>
  <c r="S10" i="32" s="1"/>
  <c r="E16" i="17"/>
  <c r="C37" i="17" s="1"/>
  <c r="F20" i="32" a="1"/>
  <c r="F20" i="32" s="1"/>
  <c r="E28" i="17"/>
  <c r="F28" i="17" s="1"/>
  <c r="F32" i="32" a="1"/>
  <c r="F32" i="32" s="1"/>
  <c r="E24" i="17"/>
  <c r="F24" i="17" s="1"/>
  <c r="F28" i="32" a="1"/>
  <c r="F28" i="32" s="1"/>
  <c r="E21" i="17"/>
  <c r="F21" i="17" s="1"/>
  <c r="F25" i="32" a="1"/>
  <c r="F25" i="32" s="1"/>
  <c r="E31" i="17"/>
  <c r="F31" i="17" s="1"/>
  <c r="F35" i="32" a="1"/>
  <c r="F35" i="32" s="1"/>
  <c r="I325" i="35"/>
  <c r="E32" i="17"/>
  <c r="F32" i="17" s="1"/>
  <c r="F36" i="32" a="1"/>
  <c r="F36" i="32" s="1"/>
  <c r="F325" i="35"/>
  <c r="D341" i="17"/>
  <c r="F257" i="17"/>
  <c r="F229" i="17"/>
  <c r="D309" i="35"/>
  <c r="J527" i="2"/>
  <c r="X234" i="35" s="1"/>
  <c r="F324" i="35"/>
  <c r="L324" i="35"/>
  <c r="J324" i="35"/>
  <c r="M322" i="35"/>
  <c r="L322" i="35"/>
  <c r="J322" i="35"/>
  <c r="C17" i="17"/>
  <c r="C26" i="17"/>
  <c r="C34" i="17"/>
  <c r="C20" i="17"/>
  <c r="C36" i="17"/>
  <c r="D14" i="17"/>
  <c r="D26" i="17"/>
  <c r="Q323" i="35"/>
  <c r="C32" i="17"/>
  <c r="D15" i="17"/>
  <c r="C23" i="17"/>
  <c r="D34" i="17"/>
  <c r="D16" i="17"/>
  <c r="C25" i="17"/>
  <c r="C27" i="17"/>
  <c r="C21" i="17"/>
  <c r="C31" i="17"/>
  <c r="C35" i="17"/>
  <c r="C22" i="17"/>
  <c r="C28" i="17"/>
  <c r="C24" i="17"/>
  <c r="C16" i="17"/>
  <c r="C29" i="17"/>
  <c r="C33" i="17"/>
  <c r="C19" i="17"/>
  <c r="C18" i="17"/>
  <c r="E15" i="17"/>
  <c r="F15" i="17" s="1"/>
  <c r="D35" i="17"/>
  <c r="D17" i="17"/>
  <c r="E27" i="17"/>
  <c r="F27" i="17" s="1"/>
  <c r="E35" i="17"/>
  <c r="F35" i="17" s="1"/>
  <c r="AE555" i="5"/>
  <c r="AE586" i="5" s="1"/>
  <c r="D22" i="17"/>
  <c r="AH555" i="5"/>
  <c r="AH572" i="5" s="1"/>
  <c r="D25" i="17"/>
  <c r="E29" i="17"/>
  <c r="F29" i="17" s="1"/>
  <c r="E25" i="17"/>
  <c r="F25" i="17" s="1"/>
  <c r="D23" i="17"/>
  <c r="D192" i="36"/>
  <c r="C30" i="17"/>
  <c r="AK555" i="5"/>
  <c r="AK584" i="5" s="1"/>
  <c r="D28" i="17"/>
  <c r="AL555" i="5"/>
  <c r="AL582" i="5" s="1"/>
  <c r="D29" i="17"/>
  <c r="D32" i="17"/>
  <c r="E19" i="17"/>
  <c r="F19" i="17" s="1"/>
  <c r="E22" i="17"/>
  <c r="F22" i="17" s="1"/>
  <c r="E26" i="17"/>
  <c r="F26" i="17" s="1"/>
  <c r="AC555" i="5"/>
  <c r="D20" i="17"/>
  <c r="AJ555" i="5"/>
  <c r="AJ583" i="5" s="1"/>
  <c r="D27" i="17"/>
  <c r="E33" i="17"/>
  <c r="F33" i="17" s="1"/>
  <c r="C15" i="17"/>
  <c r="E14" i="17"/>
  <c r="F14" i="17" s="1"/>
  <c r="D36" i="17"/>
  <c r="AG555" i="5"/>
  <c r="AG577" i="5" s="1"/>
  <c r="D24" i="17"/>
  <c r="E36" i="17"/>
  <c r="F36" i="17" s="1"/>
  <c r="AA555" i="5"/>
  <c r="AA583" i="5" s="1"/>
  <c r="D18" i="17"/>
  <c r="E34" i="17"/>
  <c r="F34" i="17" s="1"/>
  <c r="D10" i="17"/>
  <c r="D176" i="36"/>
  <c r="C14" i="17"/>
  <c r="D33" i="17"/>
  <c r="D31" i="17"/>
  <c r="E20" i="17"/>
  <c r="F20" i="17" s="1"/>
  <c r="E18" i="17"/>
  <c r="E37" i="17" s="1"/>
  <c r="AB555" i="5"/>
  <c r="D19" i="17"/>
  <c r="E17" i="17"/>
  <c r="F17" i="17" s="1"/>
  <c r="J509" i="5"/>
  <c r="P234" i="36" s="1"/>
  <c r="J325" i="35"/>
  <c r="O322" i="35"/>
  <c r="E325" i="35"/>
  <c r="D305" i="35"/>
  <c r="Z329" i="35"/>
  <c r="N324" i="35"/>
  <c r="AA329" i="35"/>
  <c r="D311" i="35"/>
  <c r="D304" i="35"/>
  <c r="D329" i="35"/>
  <c r="K329" i="35"/>
  <c r="E329" i="35"/>
  <c r="J528" i="2"/>
  <c r="Y234" i="35" s="1"/>
  <c r="F329" i="35"/>
  <c r="D314" i="35"/>
  <c r="O329" i="35"/>
  <c r="U542" i="2"/>
  <c r="D306" i="35"/>
  <c r="AH329" i="35"/>
  <c r="Y329" i="35"/>
  <c r="J329" i="35"/>
  <c r="U549" i="5"/>
  <c r="T333" i="35"/>
  <c r="J539" i="5"/>
  <c r="AE234" i="36" s="1"/>
  <c r="H232" i="36"/>
  <c r="T542" i="5"/>
  <c r="U542" i="5"/>
  <c r="H233" i="36"/>
  <c r="J538" i="5"/>
  <c r="AD234" i="36" s="1"/>
  <c r="J537" i="5"/>
  <c r="AC234" i="36" s="1"/>
  <c r="AF329" i="35"/>
  <c r="H232" i="35"/>
  <c r="T542" i="2"/>
  <c r="A279" i="17"/>
  <c r="H233" i="35"/>
  <c r="D315" i="35"/>
  <c r="H329" i="35"/>
  <c r="J537" i="2"/>
  <c r="AC234" i="35" s="1"/>
  <c r="J538" i="2"/>
  <c r="AD234" i="35" s="1"/>
  <c r="D282" i="35"/>
  <c r="L329" i="35"/>
  <c r="U370" i="35"/>
  <c r="T365" i="35" s="1"/>
  <c r="T367" i="35" s="1"/>
  <c r="P324" i="35"/>
  <c r="P325" i="35"/>
  <c r="O324" i="35"/>
  <c r="H325" i="35"/>
  <c r="K324" i="35"/>
  <c r="D308" i="35"/>
  <c r="J519" i="5"/>
  <c r="U234" i="36" s="1"/>
  <c r="AD329" i="35"/>
  <c r="N329" i="35"/>
  <c r="U547" i="5"/>
  <c r="AI329" i="35"/>
  <c r="U551" i="5"/>
  <c r="K294" i="36"/>
  <c r="J521" i="5"/>
  <c r="W234" i="36" s="1"/>
  <c r="G329" i="35"/>
  <c r="U512" i="5"/>
  <c r="D232" i="35"/>
  <c r="J517" i="2"/>
  <c r="S234" i="35" s="1"/>
  <c r="J528" i="5"/>
  <c r="Y234" i="36" s="1"/>
  <c r="E232" i="36"/>
  <c r="AC329" i="35"/>
  <c r="AE329" i="35"/>
  <c r="D233" i="36"/>
  <c r="T331" i="35"/>
  <c r="D310" i="35"/>
  <c r="J530" i="5"/>
  <c r="AA234" i="36" s="1"/>
  <c r="AG329" i="35"/>
  <c r="U550" i="5"/>
  <c r="D232" i="36"/>
  <c r="P329" i="35"/>
  <c r="T330" i="35"/>
  <c r="T512" i="5"/>
  <c r="M289" i="35"/>
  <c r="T550" i="5"/>
  <c r="J290" i="35"/>
  <c r="AM338" i="35"/>
  <c r="J508" i="5"/>
  <c r="O234" i="36" s="1"/>
  <c r="J510" i="5"/>
  <c r="Q234" i="36" s="1"/>
  <c r="U522" i="5"/>
  <c r="D233" i="35"/>
  <c r="J520" i="5"/>
  <c r="V234" i="36" s="1"/>
  <c r="M329" i="35"/>
  <c r="AM332" i="35"/>
  <c r="J529" i="2"/>
  <c r="Z234" i="35" s="1"/>
  <c r="F233" i="36"/>
  <c r="J541" i="2"/>
  <c r="AG234" i="35" s="1"/>
  <c r="J531" i="5"/>
  <c r="AB234" i="36" s="1"/>
  <c r="AM336" i="35"/>
  <c r="T551" i="2"/>
  <c r="K287" i="36"/>
  <c r="I290" i="36"/>
  <c r="J289" i="36"/>
  <c r="T522" i="5"/>
  <c r="K285" i="36"/>
  <c r="K295" i="36"/>
  <c r="K296" i="36"/>
  <c r="K291" i="36"/>
  <c r="I288" i="36"/>
  <c r="T532" i="5"/>
  <c r="J293" i="36"/>
  <c r="K282" i="36"/>
  <c r="J531" i="2"/>
  <c r="AB234" i="35" s="1"/>
  <c r="E233" i="35"/>
  <c r="J519" i="2"/>
  <c r="U234" i="35" s="1"/>
  <c r="J521" i="2"/>
  <c r="W234" i="35" s="1"/>
  <c r="I294" i="36"/>
  <c r="I292" i="36"/>
  <c r="T548" i="5"/>
  <c r="K283" i="36"/>
  <c r="AM337" i="35"/>
  <c r="K290" i="36"/>
  <c r="K286" i="36"/>
  <c r="I291" i="36"/>
  <c r="K289" i="36"/>
  <c r="K293" i="36"/>
  <c r="K290" i="35"/>
  <c r="T548" i="2"/>
  <c r="I283" i="36"/>
  <c r="I282" i="36"/>
  <c r="I295" i="36"/>
  <c r="I296" i="36"/>
  <c r="I284" i="36"/>
  <c r="I293" i="36"/>
  <c r="I289" i="36"/>
  <c r="I297" i="36"/>
  <c r="I287" i="36"/>
  <c r="K288" i="36"/>
  <c r="J511" i="2"/>
  <c r="R234" i="35" s="1"/>
  <c r="D312" i="35"/>
  <c r="I286" i="36"/>
  <c r="F232" i="36"/>
  <c r="G232" i="36"/>
  <c r="J288" i="36"/>
  <c r="J527" i="5"/>
  <c r="X234" i="36" s="1"/>
  <c r="U532" i="5"/>
  <c r="J530" i="2"/>
  <c r="AA234" i="35" s="1"/>
  <c r="T550" i="2"/>
  <c r="J286" i="36"/>
  <c r="J284" i="36"/>
  <c r="J292" i="36"/>
  <c r="J287" i="36"/>
  <c r="J285" i="36"/>
  <c r="J296" i="36"/>
  <c r="J283" i="36"/>
  <c r="J291" i="36"/>
  <c r="J290" i="36"/>
  <c r="J282" i="36"/>
  <c r="J295" i="36"/>
  <c r="J297" i="36"/>
  <c r="AM335" i="35"/>
  <c r="J507" i="5"/>
  <c r="N234" i="36" s="1"/>
  <c r="T547" i="5"/>
  <c r="J294" i="36"/>
  <c r="J517" i="5"/>
  <c r="S234" i="36" s="1"/>
  <c r="G233" i="36"/>
  <c r="T549" i="5"/>
  <c r="K292" i="36"/>
  <c r="K284" i="36"/>
  <c r="K297" i="36"/>
  <c r="G233" i="35"/>
  <c r="I285" i="36"/>
  <c r="J518" i="5"/>
  <c r="T234" i="36" s="1"/>
  <c r="U548" i="5"/>
  <c r="D285" i="35"/>
  <c r="K285" i="35"/>
  <c r="K286" i="35"/>
  <c r="I287" i="35"/>
  <c r="I297" i="35"/>
  <c r="I284" i="35"/>
  <c r="D283" i="35"/>
  <c r="I293" i="35"/>
  <c r="D284" i="35"/>
  <c r="I283" i="35"/>
  <c r="I282" i="35"/>
  <c r="D295" i="35"/>
  <c r="T335" i="35"/>
  <c r="I285" i="35"/>
  <c r="I295" i="35"/>
  <c r="D297" i="35"/>
  <c r="I286" i="35"/>
  <c r="D287" i="35"/>
  <c r="D296" i="35"/>
  <c r="I288" i="35"/>
  <c r="I296" i="35"/>
  <c r="D293" i="35"/>
  <c r="L294" i="35"/>
  <c r="L287" i="35"/>
  <c r="L282" i="35"/>
  <c r="L295" i="35"/>
  <c r="L286" i="35"/>
  <c r="T338" i="35"/>
  <c r="L284" i="35"/>
  <c r="L296" i="35"/>
  <c r="L293" i="35"/>
  <c r="L283" i="35"/>
  <c r="L292" i="35"/>
  <c r="L297" i="35"/>
  <c r="L285" i="35"/>
  <c r="L289" i="35"/>
  <c r="M286" i="35"/>
  <c r="U532" i="2"/>
  <c r="K289" i="35"/>
  <c r="D313" i="35"/>
  <c r="L291" i="35"/>
  <c r="U547" i="2"/>
  <c r="D292" i="35"/>
  <c r="I292" i="35"/>
  <c r="J508" i="2"/>
  <c r="O234" i="35" s="1"/>
  <c r="J293" i="35"/>
  <c r="J286" i="35"/>
  <c r="D286" i="35"/>
  <c r="J285" i="35"/>
  <c r="J292" i="35"/>
  <c r="J283" i="35"/>
  <c r="J289" i="35"/>
  <c r="J287" i="35"/>
  <c r="J296" i="35"/>
  <c r="J291" i="35"/>
  <c r="J295" i="35"/>
  <c r="J288" i="35"/>
  <c r="T336" i="35"/>
  <c r="J284" i="35"/>
  <c r="J282" i="35"/>
  <c r="J297" i="35"/>
  <c r="G232" i="35"/>
  <c r="I294" i="35"/>
  <c r="D294" i="35"/>
  <c r="K288" i="35"/>
  <c r="D288" i="35"/>
  <c r="J294" i="35"/>
  <c r="L288" i="35"/>
  <c r="D316" i="35"/>
  <c r="E232" i="35"/>
  <c r="K297" i="35"/>
  <c r="K293" i="35"/>
  <c r="K284" i="35"/>
  <c r="K295" i="35"/>
  <c r="K296" i="35"/>
  <c r="K287" i="35"/>
  <c r="K292" i="35"/>
  <c r="K283" i="35"/>
  <c r="K282" i="35"/>
  <c r="K291" i="35"/>
  <c r="T337" i="35"/>
  <c r="K294" i="35"/>
  <c r="T549" i="2"/>
  <c r="F232" i="35"/>
  <c r="T522" i="2"/>
  <c r="I289" i="35"/>
  <c r="D289" i="35"/>
  <c r="M294" i="35"/>
  <c r="M295" i="35"/>
  <c r="M296" i="35"/>
  <c r="M293" i="35"/>
  <c r="M297" i="35"/>
  <c r="M282" i="35"/>
  <c r="M292" i="35"/>
  <c r="M288" i="35"/>
  <c r="M290" i="35"/>
  <c r="M285" i="35"/>
  <c r="T339" i="35"/>
  <c r="M283" i="35"/>
  <c r="M287" i="35"/>
  <c r="M291" i="35"/>
  <c r="M284" i="35"/>
  <c r="L290" i="35"/>
  <c r="I290" i="35"/>
  <c r="D290" i="35"/>
  <c r="J507" i="2"/>
  <c r="N234" i="35" s="1"/>
  <c r="T512" i="2"/>
  <c r="T547" i="2"/>
  <c r="I291" i="35"/>
  <c r="D291" i="35"/>
  <c r="T532" i="2"/>
  <c r="U549" i="2"/>
  <c r="U512" i="2"/>
  <c r="J509" i="2"/>
  <c r="U551" i="2"/>
  <c r="F233" i="35"/>
  <c r="U550" i="2"/>
  <c r="J510" i="2"/>
  <c r="Q234" i="35" s="1"/>
  <c r="J518" i="2"/>
  <c r="U548" i="2"/>
  <c r="U522" i="2"/>
  <c r="D323" i="35"/>
  <c r="AM339" i="35"/>
  <c r="T551" i="5"/>
  <c r="W329" i="35"/>
  <c r="D326" i="35" s="1"/>
  <c r="AM330" i="35"/>
  <c r="J511" i="5"/>
  <c r="R234" i="36" s="1"/>
  <c r="F288" i="17"/>
  <c r="AN555" i="5"/>
  <c r="AN583" i="5" s="1"/>
  <c r="C310" i="17"/>
  <c r="H187" i="17"/>
  <c r="F61" i="17" s="1"/>
  <c r="E414" i="35"/>
  <c r="S414" i="35"/>
  <c r="AM333" i="35"/>
  <c r="Q326" i="35"/>
  <c r="X329" i="35"/>
  <c r="AM331" i="35"/>
  <c r="M287" i="36"/>
  <c r="M291" i="36"/>
  <c r="M282" i="36"/>
  <c r="M288" i="36"/>
  <c r="M289" i="36"/>
  <c r="M296" i="36"/>
  <c r="M294" i="36"/>
  <c r="M290" i="36"/>
  <c r="M293" i="36"/>
  <c r="M283" i="36"/>
  <c r="M297" i="36"/>
  <c r="M292" i="36"/>
  <c r="M295" i="36"/>
  <c r="M284" i="36"/>
  <c r="M286" i="36"/>
  <c r="M285" i="36"/>
  <c r="L288" i="36"/>
  <c r="L296" i="36"/>
  <c r="D289" i="36"/>
  <c r="D291" i="36"/>
  <c r="D297" i="36"/>
  <c r="D296" i="36"/>
  <c r="L285" i="36"/>
  <c r="D293" i="36"/>
  <c r="D286" i="36"/>
  <c r="D290" i="36"/>
  <c r="L297" i="36"/>
  <c r="L291" i="36"/>
  <c r="L284" i="36"/>
  <c r="L283" i="36"/>
  <c r="L287" i="36"/>
  <c r="L282" i="36"/>
  <c r="L293" i="36"/>
  <c r="L294" i="36"/>
  <c r="D292" i="36"/>
  <c r="D288" i="36"/>
  <c r="D284" i="36"/>
  <c r="D294" i="36"/>
  <c r="L292" i="36"/>
  <c r="D283" i="36"/>
  <c r="D285" i="36"/>
  <c r="D287" i="36"/>
  <c r="L290" i="36"/>
  <c r="L286" i="36"/>
  <c r="D295" i="36"/>
  <c r="L289" i="36"/>
  <c r="L295" i="36"/>
  <c r="D282" i="36"/>
  <c r="S326" i="35"/>
  <c r="H63" i="17"/>
  <c r="F225" i="17"/>
  <c r="J23" i="27"/>
  <c r="L23" i="27"/>
  <c r="O23" i="27"/>
  <c r="K23" i="27"/>
  <c r="P23" i="27" s="1"/>
  <c r="M25" i="27"/>
  <c r="N24" i="27"/>
  <c r="M18" i="25"/>
  <c r="N17" i="25"/>
  <c r="U413" i="35"/>
  <c r="U410" i="35"/>
  <c r="U411" i="35"/>
  <c r="U412" i="35"/>
  <c r="K16" i="27"/>
  <c r="P16" i="27" s="1"/>
  <c r="K17" i="27"/>
  <c r="P17" i="27" s="1"/>
  <c r="K13" i="27"/>
  <c r="P13" i="27" s="1"/>
  <c r="K18" i="27"/>
  <c r="P18" i="27" s="1"/>
  <c r="A310" i="17"/>
  <c r="AO555" i="5"/>
  <c r="AO573" i="5" s="1"/>
  <c r="L414" i="35"/>
  <c r="D414" i="35"/>
  <c r="Q414" i="35"/>
  <c r="H414" i="35"/>
  <c r="R414" i="35"/>
  <c r="G414" i="35"/>
  <c r="N414" i="35"/>
  <c r="M414" i="35"/>
  <c r="I414" i="35"/>
  <c r="F414" i="35"/>
  <c r="K414" i="35"/>
  <c r="P414" i="35"/>
  <c r="R326" i="35"/>
  <c r="O414" i="35"/>
  <c r="J414" i="35"/>
  <c r="A341" i="17"/>
  <c r="F228" i="17"/>
  <c r="AL421" i="35"/>
  <c r="T421" i="35"/>
  <c r="AP555" i="5"/>
  <c r="AP578" i="5" s="1"/>
  <c r="C248" i="17"/>
  <c r="E279" i="17"/>
  <c r="F260" i="17"/>
  <c r="F290" i="17"/>
  <c r="E341" i="17"/>
  <c r="C279" i="17"/>
  <c r="C341" i="17"/>
  <c r="F291" i="17"/>
  <c r="F259" i="17"/>
  <c r="D279" i="17"/>
  <c r="AP555" i="2"/>
  <c r="AM585" i="5"/>
  <c r="AM587" i="5"/>
  <c r="AM586" i="5"/>
  <c r="AM588" i="5"/>
  <c r="AM583" i="5"/>
  <c r="AM576" i="5"/>
  <c r="AM581" i="5"/>
  <c r="AM579" i="5"/>
  <c r="AM580" i="5"/>
  <c r="AM578" i="5"/>
  <c r="AM577" i="5"/>
  <c r="AM575" i="5"/>
  <c r="AM572" i="5"/>
  <c r="AM584" i="5"/>
  <c r="AM573" i="5"/>
  <c r="AM582" i="5"/>
  <c r="AO555" i="2"/>
  <c r="Z555" i="5"/>
  <c r="AF555" i="5"/>
  <c r="AF583" i="5" s="1"/>
  <c r="AS555" i="5"/>
  <c r="AS583" i="5" s="1"/>
  <c r="F319" i="17"/>
  <c r="B341" i="17"/>
  <c r="AJ555" i="2"/>
  <c r="AJ574" i="2" s="1"/>
  <c r="B248" i="17"/>
  <c r="AR555" i="5"/>
  <c r="AR588" i="5" s="1"/>
  <c r="D177" i="36"/>
  <c r="D63" i="17"/>
  <c r="D194" i="36"/>
  <c r="D198" i="36"/>
  <c r="D180" i="36"/>
  <c r="AI555" i="5"/>
  <c r="W555" i="5"/>
  <c r="D188" i="36"/>
  <c r="D197" i="36"/>
  <c r="D185" i="36"/>
  <c r="AQ555" i="5"/>
  <c r="D184" i="36"/>
  <c r="X555" i="5"/>
  <c r="D196" i="36"/>
  <c r="D182" i="36"/>
  <c r="D178" i="36"/>
  <c r="D179" i="36"/>
  <c r="D190" i="36"/>
  <c r="AD583" i="5"/>
  <c r="AD573" i="5"/>
  <c r="AD580" i="5"/>
  <c r="AD579" i="5"/>
  <c r="AD587" i="5"/>
  <c r="AD574" i="5"/>
  <c r="AD585" i="5"/>
  <c r="AD588" i="5"/>
  <c r="AD577" i="5"/>
  <c r="AD572" i="5"/>
  <c r="AD582" i="5"/>
  <c r="AD584" i="5"/>
  <c r="AD581" i="5"/>
  <c r="AD576" i="5"/>
  <c r="AD586" i="5"/>
  <c r="AD578" i="5"/>
  <c r="AD575" i="5"/>
  <c r="D193" i="36"/>
  <c r="D191" i="36"/>
  <c r="D183" i="36"/>
  <c r="D187" i="36"/>
  <c r="D189" i="36"/>
  <c r="D186" i="36"/>
  <c r="D195" i="36"/>
  <c r="D181" i="36"/>
  <c r="D184" i="35"/>
  <c r="E26" i="32" s="1" a="1"/>
  <c r="E26" i="32" s="1"/>
  <c r="D187" i="35"/>
  <c r="E29" i="32" s="1" a="1"/>
  <c r="E29" i="32" s="1"/>
  <c r="D196" i="35"/>
  <c r="E38" i="32" s="1" a="1"/>
  <c r="E38" i="32" s="1"/>
  <c r="D189" i="35"/>
  <c r="E31" i="32" s="1" a="1"/>
  <c r="E31" i="32" s="1"/>
  <c r="D179" i="35"/>
  <c r="E21" i="32" s="1" a="1"/>
  <c r="E21" i="32" s="1"/>
  <c r="D178" i="35"/>
  <c r="E20" i="32" s="1" a="1"/>
  <c r="E20" i="32" s="1"/>
  <c r="AI571" i="2"/>
  <c r="AI572" i="2"/>
  <c r="AI574" i="2"/>
  <c r="AI569" i="2"/>
  <c r="AI568" i="2"/>
  <c r="AI573" i="2"/>
  <c r="AI570" i="2"/>
  <c r="AL555" i="2"/>
  <c r="D185" i="35"/>
  <c r="E27" i="32" s="1" a="1"/>
  <c r="E27" i="32" s="1"/>
  <c r="D182" i="35"/>
  <c r="E24" i="32" s="1" a="1"/>
  <c r="E24" i="32" s="1"/>
  <c r="AA555" i="2"/>
  <c r="AK555" i="2"/>
  <c r="AQ555" i="2"/>
  <c r="D176" i="35"/>
  <c r="E18" i="32" s="1" a="1"/>
  <c r="E18" i="32" s="1"/>
  <c r="AF555" i="2"/>
  <c r="AG555" i="2"/>
  <c r="D177" i="35"/>
  <c r="E19" i="32" s="1" a="1"/>
  <c r="E19" i="32" s="1"/>
  <c r="D192" i="35"/>
  <c r="E34" i="32" s="1" a="1"/>
  <c r="E34" i="32" s="1"/>
  <c r="D183" i="35"/>
  <c r="E25" i="32" s="1" a="1"/>
  <c r="E25" i="32" s="1"/>
  <c r="AN572" i="2"/>
  <c r="AN569" i="2"/>
  <c r="AN574" i="2"/>
  <c r="AN570" i="2"/>
  <c r="AN568" i="2"/>
  <c r="AN573" i="2"/>
  <c r="AN571" i="2"/>
  <c r="AH555" i="2"/>
  <c r="X555" i="2"/>
  <c r="D195" i="35"/>
  <c r="E37" i="32" s="1" a="1"/>
  <c r="E37" i="32" s="1"/>
  <c r="AD555" i="2"/>
  <c r="AM555" i="2"/>
  <c r="D198" i="35"/>
  <c r="E40" i="32" s="1" a="1"/>
  <c r="E40" i="32" s="1"/>
  <c r="Z555" i="2"/>
  <c r="AR555" i="2"/>
  <c r="D194" i="35"/>
  <c r="E36" i="32" s="1" a="1"/>
  <c r="E36" i="32" s="1"/>
  <c r="D180" i="35"/>
  <c r="E22" i="32" s="1" a="1"/>
  <c r="E22" i="32" s="1"/>
  <c r="D193" i="35"/>
  <c r="E35" i="32" s="1" a="1"/>
  <c r="E35" i="32" s="1"/>
  <c r="AB555" i="2"/>
  <c r="D191" i="35"/>
  <c r="E33" i="32" s="1" a="1"/>
  <c r="E33" i="32" s="1"/>
  <c r="AS555" i="2"/>
  <c r="D186" i="35"/>
  <c r="E28" i="32" s="1" a="1"/>
  <c r="E28" i="32" s="1"/>
  <c r="D188" i="35"/>
  <c r="E30" i="32" s="1" a="1"/>
  <c r="E30" i="32" s="1"/>
  <c r="D181" i="35"/>
  <c r="E23" i="32" s="1" a="1"/>
  <c r="E23" i="32" s="1"/>
  <c r="D197" i="35"/>
  <c r="E39" i="32" s="1" a="1"/>
  <c r="E39" i="32" s="1"/>
  <c r="D190" i="35"/>
  <c r="E32" i="32" s="1" a="1"/>
  <c r="E32" i="32" s="1"/>
  <c r="M180" i="36"/>
  <c r="M207" i="36"/>
  <c r="I207" i="36"/>
  <c r="I180" i="36"/>
  <c r="L207" i="36"/>
  <c r="L180" i="36"/>
  <c r="J180" i="36"/>
  <c r="J207" i="36"/>
  <c r="K180" i="36"/>
  <c r="K207" i="36"/>
  <c r="K222" i="36"/>
  <c r="K195" i="36"/>
  <c r="L222" i="36"/>
  <c r="L195" i="36"/>
  <c r="I195" i="36"/>
  <c r="I222" i="36"/>
  <c r="M222" i="36"/>
  <c r="M195" i="36"/>
  <c r="J222" i="36"/>
  <c r="J195" i="36"/>
  <c r="F282" i="17" l="1"/>
  <c r="F220" i="17"/>
  <c r="J11" i="32" a="1"/>
  <c r="J11" i="32" s="1"/>
  <c r="J12" i="32" a="1"/>
  <c r="J12" i="32" s="1"/>
  <c r="F251" i="17"/>
  <c r="F313" i="17"/>
  <c r="U323" i="35"/>
  <c r="V323" i="35"/>
  <c r="X323" i="35" s="1"/>
  <c r="T329" i="35"/>
  <c r="U322" i="35"/>
  <c r="V324" i="35"/>
  <c r="X324" i="35" s="1"/>
  <c r="U324" i="35"/>
  <c r="V322" i="35"/>
  <c r="X322" i="35" s="1"/>
  <c r="V325" i="35"/>
  <c r="X325" i="35" s="1"/>
  <c r="U325" i="35"/>
  <c r="T329" i="36"/>
  <c r="G74" i="32" a="1"/>
  <c r="G74" i="32" s="1"/>
  <c r="G75" i="32" a="1"/>
  <c r="G75" i="32" s="1"/>
  <c r="G71" i="32" a="1"/>
  <c r="G71" i="32" s="1"/>
  <c r="G79" i="32" a="1"/>
  <c r="G79" i="32" s="1"/>
  <c r="G76" i="32" a="1"/>
  <c r="G76" i="32" s="1"/>
  <c r="G77" i="32" a="1"/>
  <c r="G77" i="32" s="1"/>
  <c r="G69" i="32" a="1"/>
  <c r="G69" i="32" s="1"/>
  <c r="G70" i="32" a="1"/>
  <c r="G70" i="32" s="1"/>
  <c r="G82" i="32" a="1"/>
  <c r="G82" i="32" s="1"/>
  <c r="G68" i="32" a="1"/>
  <c r="G68" i="32" s="1"/>
  <c r="G78" i="32" a="1"/>
  <c r="G78" i="32" s="1"/>
  <c r="G80" i="32" a="1"/>
  <c r="G80" i="32" s="1"/>
  <c r="G81" i="32" a="1"/>
  <c r="G81" i="32" s="1"/>
  <c r="G67" i="32" a="1"/>
  <c r="G67" i="32" s="1"/>
  <c r="G73" i="32" a="1"/>
  <c r="G73" i="32" s="1"/>
  <c r="G72" i="32" a="1"/>
  <c r="G72" i="32" s="1"/>
  <c r="H60" i="32" a="1"/>
  <c r="H60" i="32" s="1"/>
  <c r="AK577" i="5"/>
  <c r="AH586" i="5"/>
  <c r="AG572" i="5"/>
  <c r="AK574" i="5"/>
  <c r="AG588" i="5"/>
  <c r="AK587" i="5"/>
  <c r="AK581" i="5"/>
  <c r="AK578" i="5"/>
  <c r="AK575" i="5"/>
  <c r="AG578" i="5"/>
  <c r="AG580" i="5"/>
  <c r="AG583" i="5"/>
  <c r="AK572" i="5"/>
  <c r="AG574" i="5"/>
  <c r="AK580" i="5"/>
  <c r="AK576" i="5"/>
  <c r="AG587" i="5"/>
  <c r="AK583" i="5"/>
  <c r="AE579" i="5"/>
  <c r="AG576" i="5"/>
  <c r="AG585" i="5"/>
  <c r="AG573" i="5"/>
  <c r="AG579" i="5"/>
  <c r="AK582" i="5"/>
  <c r="AG584" i="5"/>
  <c r="AG586" i="5"/>
  <c r="AK588" i="5"/>
  <c r="AH587" i="5"/>
  <c r="AH582" i="5"/>
  <c r="AH584" i="5"/>
  <c r="AH581" i="5"/>
  <c r="AH583" i="5"/>
  <c r="AH576" i="5"/>
  <c r="AH573" i="5"/>
  <c r="AH575" i="5"/>
  <c r="AH577" i="5"/>
  <c r="AH574" i="5"/>
  <c r="AH579" i="5"/>
  <c r="AH588" i="5"/>
  <c r="AE580" i="5"/>
  <c r="AE583" i="5"/>
  <c r="AE578" i="5"/>
  <c r="AE573" i="5"/>
  <c r="AE576" i="5"/>
  <c r="AE584" i="5"/>
  <c r="AE582" i="5"/>
  <c r="AE587" i="5"/>
  <c r="AE585" i="5"/>
  <c r="AE574" i="5"/>
  <c r="AE581" i="5"/>
  <c r="AG582" i="5"/>
  <c r="AG575" i="5"/>
  <c r="AK586" i="5"/>
  <c r="AK585" i="5"/>
  <c r="AK579" i="5"/>
  <c r="AH580" i="5"/>
  <c r="AH578" i="5"/>
  <c r="AG581" i="5"/>
  <c r="AK573" i="5"/>
  <c r="AH585" i="5"/>
  <c r="AE575" i="5"/>
  <c r="AE588" i="5"/>
  <c r="AE577" i="5"/>
  <c r="AE572" i="5"/>
  <c r="AL585" i="5"/>
  <c r="AL577" i="5"/>
  <c r="AJ572" i="5"/>
  <c r="AJ584" i="5"/>
  <c r="AJ582" i="5"/>
  <c r="AL576" i="5"/>
  <c r="AL584" i="5"/>
  <c r="AJ578" i="5"/>
  <c r="AL580" i="5"/>
  <c r="AA572" i="5"/>
  <c r="AA579" i="5"/>
  <c r="AA581" i="5"/>
  <c r="AA586" i="5"/>
  <c r="AA584" i="5"/>
  <c r="AA588" i="5"/>
  <c r="AA582" i="5"/>
  <c r="AA573" i="5"/>
  <c r="AA575" i="5"/>
  <c r="AA576" i="5"/>
  <c r="AA574" i="5"/>
  <c r="AA580" i="5"/>
  <c r="AA577" i="5"/>
  <c r="AA587" i="5"/>
  <c r="AA578" i="5"/>
  <c r="AA585" i="5"/>
  <c r="AL581" i="5"/>
  <c r="AL572" i="5"/>
  <c r="AJ586" i="5"/>
  <c r="AJ587" i="5"/>
  <c r="AJ577" i="5"/>
  <c r="AJ575" i="5"/>
  <c r="AJ579" i="5"/>
  <c r="AL588" i="5"/>
  <c r="AL579" i="5"/>
  <c r="AL583" i="5"/>
  <c r="AL575" i="5"/>
  <c r="AJ588" i="5"/>
  <c r="AJ573" i="5"/>
  <c r="AL578" i="5"/>
  <c r="AL586" i="5"/>
  <c r="AJ574" i="5"/>
  <c r="AJ585" i="5"/>
  <c r="AL573" i="5"/>
  <c r="AL587" i="5"/>
  <c r="AJ581" i="5"/>
  <c r="AJ576" i="5"/>
  <c r="AL574" i="5"/>
  <c r="AJ580" i="5"/>
  <c r="M326" i="35"/>
  <c r="H326" i="35"/>
  <c r="F326" i="35"/>
  <c r="O326" i="35"/>
  <c r="C12" i="17"/>
  <c r="C11" i="17"/>
  <c r="J326" i="35"/>
  <c r="G326" i="35"/>
  <c r="L326" i="35"/>
  <c r="K326" i="35"/>
  <c r="J549" i="5"/>
  <c r="J542" i="5"/>
  <c r="H234" i="36" s="1"/>
  <c r="J551" i="2"/>
  <c r="N326" i="35"/>
  <c r="P326" i="35"/>
  <c r="J547" i="5"/>
  <c r="J550" i="5"/>
  <c r="T368" i="35"/>
  <c r="T366" i="35"/>
  <c r="T369" i="35"/>
  <c r="J551" i="5"/>
  <c r="M234" i="36" s="1"/>
  <c r="J548" i="5"/>
  <c r="J550" i="2"/>
  <c r="J542" i="2"/>
  <c r="J522" i="5"/>
  <c r="T552" i="2"/>
  <c r="I553" i="2" s="1"/>
  <c r="J532" i="2"/>
  <c r="J532" i="5"/>
  <c r="G234" i="36" s="1"/>
  <c r="U552" i="5"/>
  <c r="I554" i="5" s="1"/>
  <c r="T370" i="35"/>
  <c r="J547" i="2"/>
  <c r="J549" i="2"/>
  <c r="D254" i="17" s="1"/>
  <c r="P234" i="35"/>
  <c r="J512" i="2"/>
  <c r="J548" i="2"/>
  <c r="U552" i="2"/>
  <c r="I554" i="2" s="1"/>
  <c r="T234" i="35"/>
  <c r="J522" i="2"/>
  <c r="T552" i="5"/>
  <c r="I553" i="5" s="1"/>
  <c r="F44" i="17"/>
  <c r="AM328" i="35"/>
  <c r="J512" i="5"/>
  <c r="AN580" i="5"/>
  <c r="AN585" i="5"/>
  <c r="AN581" i="5"/>
  <c r="AN577" i="5"/>
  <c r="AN582" i="5"/>
  <c r="AN587" i="5"/>
  <c r="AN575" i="5"/>
  <c r="AN576" i="5"/>
  <c r="AN574" i="5"/>
  <c r="AN586" i="5"/>
  <c r="AN588" i="5"/>
  <c r="AN578" i="5"/>
  <c r="AN572" i="5"/>
  <c r="AN573" i="5"/>
  <c r="AN584" i="5"/>
  <c r="AN579" i="5"/>
  <c r="E326" i="35"/>
  <c r="AM329" i="35"/>
  <c r="AO576" i="5"/>
  <c r="AO577" i="5"/>
  <c r="AO575" i="5"/>
  <c r="AO584" i="5"/>
  <c r="AO586" i="5"/>
  <c r="AO583" i="5"/>
  <c r="AO581" i="5"/>
  <c r="AO585" i="5"/>
  <c r="AO580" i="5"/>
  <c r="AO579" i="5"/>
  <c r="AO588" i="5"/>
  <c r="AO582" i="5"/>
  <c r="AO574" i="5"/>
  <c r="AO578" i="5"/>
  <c r="AO572" i="5"/>
  <c r="AO587" i="5"/>
  <c r="J17" i="25"/>
  <c r="O17" i="25"/>
  <c r="K17" i="25"/>
  <c r="P17" i="25" s="1"/>
  <c r="L17" i="25"/>
  <c r="M19" i="25"/>
  <c r="N18" i="25"/>
  <c r="J24" i="27"/>
  <c r="L24" i="27"/>
  <c r="K24" i="27"/>
  <c r="P24" i="27" s="1"/>
  <c r="O24" i="27"/>
  <c r="M26" i="27"/>
  <c r="N25" i="27"/>
  <c r="J25" i="27" s="1"/>
  <c r="U414" i="35"/>
  <c r="T409" i="35" s="1"/>
  <c r="F18" i="17"/>
  <c r="F16" i="17"/>
  <c r="D37" i="17"/>
  <c r="A37" i="17"/>
  <c r="AP572" i="5"/>
  <c r="AP585" i="5"/>
  <c r="AP584" i="5"/>
  <c r="AP575" i="5"/>
  <c r="AP577" i="5"/>
  <c r="AP588" i="5"/>
  <c r="AP587" i="5"/>
  <c r="AP586" i="5"/>
  <c r="AP576" i="5"/>
  <c r="AP582" i="5"/>
  <c r="AP579" i="5"/>
  <c r="AP580" i="5"/>
  <c r="AP574" i="5"/>
  <c r="AP581" i="5"/>
  <c r="AP583" i="5"/>
  <c r="AP573" i="5"/>
  <c r="AP574" i="2"/>
  <c r="AP573" i="2"/>
  <c r="AP571" i="2"/>
  <c r="AP572" i="2"/>
  <c r="AP568" i="2"/>
  <c r="AP570" i="2"/>
  <c r="AP569" i="2"/>
  <c r="AO571" i="2"/>
  <c r="AO574" i="2"/>
  <c r="AO570" i="2"/>
  <c r="AO572" i="2"/>
  <c r="AO568" i="2"/>
  <c r="AO569" i="2"/>
  <c r="AO573" i="2"/>
  <c r="AS574" i="5"/>
  <c r="AS577" i="5"/>
  <c r="AS584" i="5"/>
  <c r="AS573" i="5"/>
  <c r="AS587" i="5"/>
  <c r="AS579" i="5"/>
  <c r="AS572" i="5"/>
  <c r="AS582" i="5"/>
  <c r="AS578" i="5"/>
  <c r="AS585" i="5"/>
  <c r="AS575" i="5"/>
  <c r="AS586" i="5"/>
  <c r="AS581" i="5"/>
  <c r="AS588" i="5"/>
  <c r="AS580" i="5"/>
  <c r="AS576" i="5"/>
  <c r="AF574" i="5"/>
  <c r="AF572" i="5"/>
  <c r="AF581" i="5"/>
  <c r="AF575" i="5"/>
  <c r="AF587" i="5"/>
  <c r="AF573" i="5"/>
  <c r="AF576" i="5"/>
  <c r="AF584" i="5"/>
  <c r="AF586" i="5"/>
  <c r="AF588" i="5"/>
  <c r="AF579" i="5"/>
  <c r="AF577" i="5"/>
  <c r="AF582" i="5"/>
  <c r="AF585" i="5"/>
  <c r="AF580" i="5"/>
  <c r="AF578" i="5"/>
  <c r="AJ570" i="2"/>
  <c r="AJ568" i="2"/>
  <c r="AJ571" i="2"/>
  <c r="AJ573" i="2"/>
  <c r="AJ569" i="2"/>
  <c r="AJ572" i="2"/>
  <c r="B37" i="17"/>
  <c r="AR585" i="5"/>
  <c r="AR576" i="5"/>
  <c r="AR587" i="5"/>
  <c r="AR578" i="5"/>
  <c r="AR583" i="5"/>
  <c r="AR573" i="5"/>
  <c r="AR584" i="5"/>
  <c r="AR577" i="5"/>
  <c r="AR575" i="5"/>
  <c r="AR580" i="5"/>
  <c r="AR582" i="5"/>
  <c r="AR581" i="5"/>
  <c r="AR579" i="5"/>
  <c r="AR572" i="5"/>
  <c r="AR574" i="5"/>
  <c r="AR586" i="5"/>
  <c r="AQ581" i="5"/>
  <c r="AQ585" i="5"/>
  <c r="AQ572" i="5"/>
  <c r="AQ586" i="5"/>
  <c r="AQ574" i="5"/>
  <c r="AQ583" i="5"/>
  <c r="AQ576" i="5"/>
  <c r="AQ588" i="5"/>
  <c r="AQ580" i="5"/>
  <c r="AQ587" i="5"/>
  <c r="AQ584" i="5"/>
  <c r="AQ579" i="5"/>
  <c r="AQ582" i="5"/>
  <c r="AQ578" i="5"/>
  <c r="AQ575" i="5"/>
  <c r="AQ573" i="5"/>
  <c r="AQ577" i="5"/>
  <c r="AI573" i="5"/>
  <c r="AI577" i="5"/>
  <c r="AI585" i="5"/>
  <c r="AI572" i="5"/>
  <c r="AI587" i="5"/>
  <c r="AI575" i="5"/>
  <c r="AI586" i="5"/>
  <c r="AI584" i="5"/>
  <c r="AI578" i="5"/>
  <c r="AI588" i="5"/>
  <c r="AI582" i="5"/>
  <c r="AI576" i="5"/>
  <c r="AI581" i="5"/>
  <c r="AI574" i="5"/>
  <c r="AI580" i="5"/>
  <c r="AI579" i="5"/>
  <c r="AI583" i="5"/>
  <c r="AM574" i="2"/>
  <c r="AM572" i="2"/>
  <c r="AM569" i="2"/>
  <c r="AM573" i="2"/>
  <c r="AM570" i="2"/>
  <c r="AM571" i="2"/>
  <c r="AM568" i="2"/>
  <c r="AK573" i="2"/>
  <c r="AK571" i="2"/>
  <c r="AK570" i="2"/>
  <c r="AK569" i="2"/>
  <c r="AK574" i="2"/>
  <c r="AK568" i="2"/>
  <c r="AK572" i="2"/>
  <c r="AL572" i="2"/>
  <c r="AL573" i="2"/>
  <c r="AL568" i="2"/>
  <c r="AL574" i="2"/>
  <c r="AL571" i="2"/>
  <c r="AL569" i="2"/>
  <c r="AL570" i="2"/>
  <c r="AH571" i="2"/>
  <c r="AH574" i="2"/>
  <c r="AH570" i="2"/>
  <c r="AH568" i="2"/>
  <c r="AH572" i="2"/>
  <c r="AH573" i="2"/>
  <c r="AH569" i="2"/>
  <c r="AR573" i="2"/>
  <c r="AR571" i="2"/>
  <c r="AR570" i="2"/>
  <c r="AR569" i="2"/>
  <c r="AR572" i="2"/>
  <c r="AR574" i="2"/>
  <c r="AR568" i="2"/>
  <c r="AS571" i="2"/>
  <c r="AS568" i="2"/>
  <c r="AS572" i="2"/>
  <c r="AS573" i="2"/>
  <c r="AS569" i="2"/>
  <c r="AS570" i="2"/>
  <c r="AS574" i="2"/>
  <c r="AQ569" i="2"/>
  <c r="AQ574" i="2"/>
  <c r="AQ573" i="2"/>
  <c r="AQ570" i="2"/>
  <c r="AQ571" i="2"/>
  <c r="AQ568" i="2"/>
  <c r="AQ572" i="2"/>
  <c r="D161" i="17" l="1"/>
  <c r="D99" i="17"/>
  <c r="D192" i="17"/>
  <c r="D223" i="17"/>
  <c r="F9" i="17"/>
  <c r="V326" i="35"/>
  <c r="X326" i="35" s="1"/>
  <c r="T321" i="35" s="1"/>
  <c r="U326" i="35"/>
  <c r="M234" i="35"/>
  <c r="D316" i="17"/>
  <c r="L234" i="35"/>
  <c r="D285" i="17"/>
  <c r="G234" i="35"/>
  <c r="D130" i="17"/>
  <c r="D68" i="17"/>
  <c r="K234" i="36"/>
  <c r="I234" i="36"/>
  <c r="L234" i="36"/>
  <c r="J552" i="5"/>
  <c r="D234" i="36" s="1"/>
  <c r="J234" i="36"/>
  <c r="F234" i="36"/>
  <c r="H234" i="35"/>
  <c r="K234" i="35"/>
  <c r="I234" i="35"/>
  <c r="F234" i="35"/>
  <c r="J552" i="2"/>
  <c r="D234" i="35" s="1"/>
  <c r="J234" i="35"/>
  <c r="E234" i="35"/>
  <c r="E234" i="36"/>
  <c r="J18" i="25"/>
  <c r="K18" i="25"/>
  <c r="P18" i="25" s="1"/>
  <c r="O18" i="25"/>
  <c r="L18" i="25"/>
  <c r="M20" i="25"/>
  <c r="N19" i="25"/>
  <c r="M27" i="27"/>
  <c r="N26" i="27"/>
  <c r="T414" i="35"/>
  <c r="T412" i="35"/>
  <c r="T413" i="35"/>
  <c r="T411" i="35"/>
  <c r="T410" i="35"/>
  <c r="K12" i="32" l="1" a="1"/>
  <c r="K12" i="32" s="1"/>
  <c r="T326" i="35"/>
  <c r="T322" i="35"/>
  <c r="T323" i="35"/>
  <c r="T324" i="35"/>
  <c r="T325" i="35"/>
  <c r="D12" i="17"/>
  <c r="J26" i="27"/>
  <c r="K26" i="27"/>
  <c r="P26" i="27" s="1"/>
  <c r="M28" i="27"/>
  <c r="N27" i="27"/>
  <c r="J19" i="25"/>
  <c r="K19" i="25"/>
  <c r="P19" i="25" s="1"/>
  <c r="L19" i="25"/>
  <c r="O19" i="25"/>
  <c r="M21" i="25"/>
  <c r="N20" i="25"/>
  <c r="B217" i="17"/>
  <c r="A217" i="17"/>
  <c r="E217" i="17"/>
  <c r="D217" i="17"/>
  <c r="C217" i="17"/>
  <c r="F121" i="17"/>
  <c r="F151" i="17"/>
  <c r="F189" i="17" l="1"/>
  <c r="J27" i="27"/>
  <c r="L27" i="27"/>
  <c r="O27" i="27"/>
  <c r="K27" i="27"/>
  <c r="P27" i="27" s="1"/>
  <c r="M29" i="27"/>
  <c r="N28" i="27"/>
  <c r="J20" i="25"/>
  <c r="K20" i="25"/>
  <c r="P20" i="25" s="1"/>
  <c r="L20" i="25"/>
  <c r="O20" i="25"/>
  <c r="M22" i="25"/>
  <c r="N21" i="25"/>
  <c r="F122" i="17"/>
  <c r="F103" i="17"/>
  <c r="F150" i="17"/>
  <c r="F120" i="17"/>
  <c r="F101" i="17"/>
  <c r="F138" i="17"/>
  <c r="F177" i="17"/>
  <c r="F184" i="17"/>
  <c r="F167" i="17"/>
  <c r="F146" i="17"/>
  <c r="F152" i="17"/>
  <c r="F171" i="17"/>
  <c r="F104" i="17"/>
  <c r="F147" i="17"/>
  <c r="F84" i="17"/>
  <c r="F116" i="17"/>
  <c r="F83" i="17"/>
  <c r="F137" i="17"/>
  <c r="F89" i="17"/>
  <c r="F148" i="17"/>
  <c r="F142" i="17"/>
  <c r="F176" i="17"/>
  <c r="F134" i="17"/>
  <c r="F163" i="17"/>
  <c r="F172" i="17"/>
  <c r="F185" i="17"/>
  <c r="F80" i="17"/>
  <c r="F181" i="17"/>
  <c r="F178" i="17"/>
  <c r="F165" i="17"/>
  <c r="F75" i="17"/>
  <c r="F85" i="17"/>
  <c r="B93" i="17"/>
  <c r="F111" i="17"/>
  <c r="F136" i="17"/>
  <c r="F149" i="17"/>
  <c r="F115" i="17"/>
  <c r="F102" i="17"/>
  <c r="F110" i="17"/>
  <c r="F106" i="17"/>
  <c r="F140" i="17"/>
  <c r="F113" i="17"/>
  <c r="F81" i="17"/>
  <c r="F86" i="17"/>
  <c r="F78" i="17"/>
  <c r="F170" i="17"/>
  <c r="F82" i="17"/>
  <c r="F87" i="17"/>
  <c r="F117" i="17"/>
  <c r="F145" i="17"/>
  <c r="F144" i="17"/>
  <c r="F123" i="17"/>
  <c r="F76" i="17"/>
  <c r="F133" i="17"/>
  <c r="F169" i="17"/>
  <c r="F153" i="17"/>
  <c r="F180" i="17"/>
  <c r="F183" i="17"/>
  <c r="F175" i="17"/>
  <c r="F173" i="17"/>
  <c r="F179" i="17"/>
  <c r="F79" i="17"/>
  <c r="F74" i="17"/>
  <c r="F91" i="17"/>
  <c r="F77" i="17"/>
  <c r="F112" i="17"/>
  <c r="F118" i="17"/>
  <c r="F90" i="17"/>
  <c r="F164" i="17"/>
  <c r="F182" i="17"/>
  <c r="C93" i="17"/>
  <c r="F154" i="17"/>
  <c r="F107" i="17"/>
  <c r="F109" i="17"/>
  <c r="F114" i="17"/>
  <c r="F119" i="17"/>
  <c r="F143" i="17"/>
  <c r="F108" i="17"/>
  <c r="F168" i="17"/>
  <c r="F132" i="17"/>
  <c r="F141" i="17"/>
  <c r="F166" i="17"/>
  <c r="F88" i="17"/>
  <c r="F174" i="17"/>
  <c r="F92" i="17"/>
  <c r="F139" i="17"/>
  <c r="J28" i="27" l="1"/>
  <c r="L28" i="27"/>
  <c r="O28" i="27"/>
  <c r="K28" i="27"/>
  <c r="P28" i="27" s="1"/>
  <c r="M30" i="27"/>
  <c r="N29" i="27"/>
  <c r="K21" i="25"/>
  <c r="P21" i="25" s="1"/>
  <c r="O21" i="25"/>
  <c r="L21" i="25"/>
  <c r="J21" i="25"/>
  <c r="M23" i="25"/>
  <c r="N22" i="25"/>
  <c r="D124" i="17"/>
  <c r="A124" i="17"/>
  <c r="C124" i="17"/>
  <c r="A155" i="17"/>
  <c r="B124" i="17"/>
  <c r="D93" i="17"/>
  <c r="F135" i="17"/>
  <c r="D155" i="17"/>
  <c r="E93" i="17"/>
  <c r="E155" i="17"/>
  <c r="A93" i="17"/>
  <c r="F105" i="17"/>
  <c r="E124" i="17"/>
  <c r="F65" i="17" l="1"/>
  <c r="F96" i="17"/>
  <c r="F127" i="17"/>
  <c r="O29" i="27"/>
  <c r="J29" i="27"/>
  <c r="L29" i="27"/>
  <c r="K29" i="27"/>
  <c r="P29" i="27" s="1"/>
  <c r="M31" i="27"/>
  <c r="N30" i="27"/>
  <c r="L22" i="25"/>
  <c r="K22" i="25"/>
  <c r="P22" i="25" s="1"/>
  <c r="J22" i="25"/>
  <c r="O22" i="25"/>
  <c r="M24" i="25"/>
  <c r="N23" i="25"/>
  <c r="J23" i="25" s="1"/>
  <c r="J30" i="27" l="1"/>
  <c r="K30" i="27"/>
  <c r="P30" i="27" s="1"/>
  <c r="M32" i="27"/>
  <c r="N31" i="27"/>
  <c r="M25" i="25"/>
  <c r="N24" i="25"/>
  <c r="M26" i="25" l="1"/>
  <c r="N25" i="25"/>
  <c r="J24" i="25"/>
  <c r="L24" i="25"/>
  <c r="K24" i="25"/>
  <c r="P24" i="25" s="1"/>
  <c r="O24" i="25"/>
  <c r="M33" i="27"/>
  <c r="N32" i="27"/>
  <c r="L31" i="27"/>
  <c r="O31" i="27"/>
  <c r="J31" i="27"/>
  <c r="K31" i="27"/>
  <c r="P31" i="27" s="1"/>
  <c r="N33" i="27" l="1"/>
  <c r="M34" i="27"/>
  <c r="K32" i="27"/>
  <c r="P32" i="27" s="1"/>
  <c r="O32" i="27"/>
  <c r="J32" i="27"/>
  <c r="L32" i="27"/>
  <c r="J25" i="25"/>
  <c r="K25" i="25"/>
  <c r="P25" i="25" s="1"/>
  <c r="O25" i="25"/>
  <c r="L25" i="25"/>
  <c r="N26" i="25"/>
  <c r="M27" i="25"/>
  <c r="M28" i="25" l="1"/>
  <c r="N27" i="25"/>
  <c r="J26" i="25"/>
  <c r="K26" i="25"/>
  <c r="P26" i="25" s="1"/>
  <c r="L26" i="25"/>
  <c r="O26" i="25"/>
  <c r="N34" i="27"/>
  <c r="J34" i="27" s="1"/>
  <c r="M35" i="27"/>
  <c r="J33" i="27"/>
  <c r="N35" i="27" l="1"/>
  <c r="J35" i="27" s="1"/>
  <c r="M36" i="27"/>
  <c r="J27" i="25"/>
  <c r="N28" i="25"/>
  <c r="M29" i="25"/>
  <c r="J28" i="25" l="1"/>
  <c r="K28" i="25"/>
  <c r="P28" i="25" s="1"/>
  <c r="L28" i="25"/>
  <c r="O28" i="25"/>
  <c r="N29" i="25"/>
  <c r="M30" i="25"/>
  <c r="N36" i="27"/>
  <c r="J36" i="27" s="1"/>
  <c r="K25" i="27" s="1"/>
  <c r="P25" i="27" s="1"/>
  <c r="M37" i="27"/>
  <c r="N37" i="27" l="1"/>
  <c r="J37" i="27" s="1"/>
  <c r="M38" i="27"/>
  <c r="N30" i="25"/>
  <c r="M31" i="25"/>
  <c r="J29" i="25"/>
  <c r="K29" i="25"/>
  <c r="P29" i="25" s="1"/>
  <c r="O29" i="25"/>
  <c r="L29" i="25"/>
  <c r="N31" i="25" l="1"/>
  <c r="M32" i="25"/>
  <c r="K30" i="25"/>
  <c r="P30" i="25" s="1"/>
  <c r="J30" i="25"/>
  <c r="L30" i="25"/>
  <c r="O30" i="25"/>
  <c r="M39" i="27"/>
  <c r="N38" i="27"/>
  <c r="N39" i="27" l="1"/>
  <c r="J39" i="27" s="1"/>
  <c r="M40" i="27"/>
  <c r="J38" i="27"/>
  <c r="N32" i="25"/>
  <c r="M33" i="25"/>
  <c r="L31" i="25"/>
  <c r="O31" i="25"/>
  <c r="J31" i="25"/>
  <c r="K31" i="25"/>
  <c r="P31" i="25" s="1"/>
  <c r="K32" i="25" l="1"/>
  <c r="P32" i="25" s="1"/>
  <c r="L32" i="25"/>
  <c r="O32" i="25"/>
  <c r="J32" i="25"/>
  <c r="N33" i="25"/>
  <c r="M34" i="25"/>
  <c r="M41" i="27"/>
  <c r="N40" i="27"/>
  <c r="J40" i="27" s="1"/>
  <c r="K33" i="25" l="1"/>
  <c r="P33" i="25" s="1"/>
  <c r="L33" i="25"/>
  <c r="J33" i="25"/>
  <c r="O33" i="25"/>
  <c r="N34" i="25"/>
  <c r="J34" i="25" s="1"/>
  <c r="M35" i="25"/>
  <c r="M42" i="27"/>
  <c r="N41" i="27"/>
  <c r="L41" i="27" l="1"/>
  <c r="J41" i="27"/>
  <c r="O41" i="27"/>
  <c r="K41" i="27"/>
  <c r="P41" i="27" s="1"/>
  <c r="N35" i="25"/>
  <c r="J35" i="25" s="1"/>
  <c r="M36" i="25"/>
  <c r="M43" i="27"/>
  <c r="N42" i="27"/>
  <c r="J42" i="27" l="1"/>
  <c r="K42" i="27"/>
  <c r="P42" i="27" s="1"/>
  <c r="L42" i="27"/>
  <c r="O42" i="27"/>
  <c r="N43" i="27"/>
  <c r="J43" i="27" s="1"/>
  <c r="M44" i="27"/>
  <c r="N36" i="25"/>
  <c r="J36" i="25" s="1"/>
  <c r="M37" i="25"/>
  <c r="N44" i="27" l="1"/>
  <c r="M45" i="27"/>
  <c r="N37" i="25"/>
  <c r="J37" i="25" s="1"/>
  <c r="M38" i="25"/>
  <c r="N38" i="25" l="1"/>
  <c r="M39" i="25"/>
  <c r="M46" i="27"/>
  <c r="N45" i="27"/>
  <c r="J45" i="27" s="1"/>
  <c r="K44" i="27"/>
  <c r="P44" i="27" s="1"/>
  <c r="O44" i="27"/>
  <c r="L44" i="27"/>
  <c r="J44" i="27"/>
  <c r="M47" i="27" l="1"/>
  <c r="N46" i="27"/>
  <c r="N39" i="25"/>
  <c r="M40" i="25"/>
  <c r="O38" i="25"/>
  <c r="L38" i="25"/>
  <c r="J38" i="25"/>
  <c r="K38" i="25"/>
  <c r="P38" i="25" s="1"/>
  <c r="N40" i="25" l="1"/>
  <c r="J40" i="25" s="1"/>
  <c r="M41" i="25"/>
  <c r="J39" i="25"/>
  <c r="K46" i="27"/>
  <c r="P46" i="27" s="1"/>
  <c r="O46" i="27"/>
  <c r="J46" i="27"/>
  <c r="L46" i="27"/>
  <c r="N47" i="27"/>
  <c r="M48" i="27"/>
  <c r="M49" i="27" l="1"/>
  <c r="N48" i="27"/>
  <c r="J48" i="27" s="1"/>
  <c r="K47" i="27"/>
  <c r="P47" i="27" s="1"/>
  <c r="J47" i="27"/>
  <c r="L47" i="27"/>
  <c r="O47" i="27"/>
  <c r="N41" i="25"/>
  <c r="J41" i="25" s="1"/>
  <c r="M42" i="25"/>
  <c r="N42" i="25" l="1"/>
  <c r="J42" i="25" s="1"/>
  <c r="M43" i="25"/>
  <c r="N49" i="27"/>
  <c r="M50" i="27"/>
  <c r="M51" i="27" l="1"/>
  <c r="N50" i="27"/>
  <c r="J50" i="27" s="1"/>
  <c r="O49" i="27"/>
  <c r="L49" i="27"/>
  <c r="J49" i="27"/>
  <c r="K49" i="27"/>
  <c r="P49" i="27" s="1"/>
  <c r="N43" i="25"/>
  <c r="M44" i="25"/>
  <c r="N44" i="25" l="1"/>
  <c r="M45" i="25"/>
  <c r="J43" i="25"/>
  <c r="K43" i="25"/>
  <c r="P43" i="25" s="1"/>
  <c r="L43" i="25"/>
  <c r="O43" i="25"/>
  <c r="M52" i="27"/>
  <c r="N51" i="27"/>
  <c r="M53" i="27" l="1"/>
  <c r="N52" i="27"/>
  <c r="J52" i="27" s="1"/>
  <c r="L51" i="27"/>
  <c r="K51" i="27"/>
  <c r="P51" i="27" s="1"/>
  <c r="J51" i="27"/>
  <c r="O51" i="27"/>
  <c r="N45" i="25"/>
  <c r="J45" i="25" s="1"/>
  <c r="M46" i="25"/>
  <c r="K44" i="25"/>
  <c r="P44" i="25" s="1"/>
  <c r="O44" i="25"/>
  <c r="L44" i="25"/>
  <c r="J44" i="25"/>
  <c r="N46" i="25" l="1"/>
  <c r="J46" i="25" s="1"/>
  <c r="M47" i="25"/>
  <c r="N53" i="27"/>
  <c r="M54" i="27"/>
  <c r="F70" i="10" l="1"/>
  <c r="M55" i="27"/>
  <c r="N54" i="27"/>
  <c r="J54" i="27" s="1"/>
  <c r="J53" i="27"/>
  <c r="L53" i="27"/>
  <c r="K53" i="27"/>
  <c r="P53" i="27" s="1"/>
  <c r="O53" i="27"/>
  <c r="N47" i="25"/>
  <c r="M48" i="25"/>
  <c r="D106" i="26" l="1"/>
  <c r="D106" i="15"/>
  <c r="N48" i="25"/>
  <c r="J48" i="25" s="1"/>
  <c r="M49" i="25"/>
  <c r="L47" i="25"/>
  <c r="J47" i="25"/>
  <c r="O47" i="25"/>
  <c r="K47" i="25"/>
  <c r="P47" i="25" s="1"/>
  <c r="M56" i="27"/>
  <c r="N55" i="27"/>
  <c r="J55" i="27" s="1"/>
  <c r="F71" i="10"/>
  <c r="D99" i="26" l="1"/>
  <c r="D99" i="15"/>
  <c r="M57" i="27"/>
  <c r="N56" i="27"/>
  <c r="N49" i="25"/>
  <c r="J49" i="25" s="1"/>
  <c r="M50" i="25"/>
  <c r="F72" i="10"/>
  <c r="D101" i="26" l="1"/>
  <c r="D101" i="15"/>
  <c r="N50" i="25"/>
  <c r="M51" i="25"/>
  <c r="J56" i="27"/>
  <c r="N57" i="27"/>
  <c r="M58" i="27"/>
  <c r="F73" i="10"/>
  <c r="N58" i="27" l="1"/>
  <c r="M59" i="27"/>
  <c r="J57" i="27"/>
  <c r="N51" i="25"/>
  <c r="J51" i="25" s="1"/>
  <c r="M52" i="25"/>
  <c r="J50" i="25"/>
  <c r="F74" i="10"/>
  <c r="F75" i="10" s="1"/>
  <c r="D141" i="15" l="1"/>
  <c r="D141" i="26"/>
  <c r="N52" i="25"/>
  <c r="M53" i="25"/>
  <c r="N59" i="27"/>
  <c r="M60" i="27"/>
  <c r="J58" i="27"/>
  <c r="F76" i="10"/>
  <c r="D151" i="26" l="1"/>
  <c r="D151" i="15"/>
  <c r="M61" i="27"/>
  <c r="N60" i="27"/>
  <c r="J60" i="27" s="1"/>
  <c r="J59" i="27"/>
  <c r="N53" i="25"/>
  <c r="J53" i="25" s="1"/>
  <c r="M54" i="25"/>
  <c r="O52" i="25"/>
  <c r="K52" i="25"/>
  <c r="P52" i="25" s="1"/>
  <c r="L52" i="25"/>
  <c r="J52" i="25"/>
  <c r="F77" i="10"/>
  <c r="D219" i="15" l="1"/>
  <c r="D219" i="26"/>
  <c r="N54" i="25"/>
  <c r="J54" i="25" s="1"/>
  <c r="M55" i="25"/>
  <c r="M62" i="27"/>
  <c r="N61" i="27"/>
  <c r="J61" i="27" s="1"/>
  <c r="F78" i="10"/>
  <c r="D346" i="26" l="1"/>
  <c r="D346" i="15"/>
  <c r="M63" i="27"/>
  <c r="N62" i="27"/>
  <c r="N55" i="25"/>
  <c r="M56" i="25"/>
  <c r="F79" i="10"/>
  <c r="D347" i="26" l="1"/>
  <c r="D347" i="15"/>
  <c r="N56" i="25"/>
  <c r="J56" i="25" s="1"/>
  <c r="M57" i="25"/>
  <c r="J55" i="25"/>
  <c r="O62" i="27"/>
  <c r="J62" i="27"/>
  <c r="K62" i="27"/>
  <c r="P62" i="27" s="1"/>
  <c r="L62" i="27"/>
  <c r="N63" i="27"/>
  <c r="J63" i="27" s="1"/>
  <c r="M64" i="27"/>
  <c r="F80" i="10"/>
  <c r="D365" i="15" l="1"/>
  <c r="D365" i="26"/>
  <c r="F81" i="10"/>
  <c r="M65" i="27"/>
  <c r="N64" i="27"/>
  <c r="J64" i="27" s="1"/>
  <c r="N57" i="25"/>
  <c r="M58" i="25"/>
  <c r="D373" i="15" l="1"/>
  <c r="D373" i="26"/>
  <c r="F82" i="10"/>
  <c r="N58" i="25"/>
  <c r="M59" i="25"/>
  <c r="J57" i="25"/>
  <c r="K57" i="25"/>
  <c r="P57" i="25" s="1"/>
  <c r="O57" i="25"/>
  <c r="L57" i="25"/>
  <c r="M66" i="27"/>
  <c r="N65" i="27"/>
  <c r="J65" i="27" s="1"/>
  <c r="D366" i="26" l="1"/>
  <c r="D366" i="15"/>
  <c r="F83" i="10"/>
  <c r="N66" i="27"/>
  <c r="J66" i="27" s="1"/>
  <c r="M67" i="27"/>
  <c r="N59" i="25"/>
  <c r="M60" i="25"/>
  <c r="J58" i="25"/>
  <c r="D367" i="15" l="1"/>
  <c r="D367" i="26"/>
  <c r="F84" i="10"/>
  <c r="N60" i="25"/>
  <c r="M61" i="25"/>
  <c r="J59" i="25"/>
  <c r="M68" i="27"/>
  <c r="N67" i="27"/>
  <c r="J67" i="27" s="1"/>
  <c r="D466" i="26" l="1"/>
  <c r="D466" i="15"/>
  <c r="F85" i="10"/>
  <c r="F86" i="10" s="1"/>
  <c r="N68" i="27"/>
  <c r="J68" i="27" s="1"/>
  <c r="M69" i="27"/>
  <c r="N61" i="25"/>
  <c r="M62" i="25"/>
  <c r="J60" i="25"/>
  <c r="F87" i="10" l="1"/>
  <c r="D152" i="26"/>
  <c r="D152" i="15"/>
  <c r="N62" i="25"/>
  <c r="J62" i="25" s="1"/>
  <c r="M63" i="25"/>
  <c r="K61" i="25"/>
  <c r="P61" i="25" s="1"/>
  <c r="O61" i="25"/>
  <c r="J61" i="25"/>
  <c r="L61" i="25"/>
  <c r="M70" i="27"/>
  <c r="N69" i="27"/>
  <c r="J69" i="27" s="1"/>
  <c r="F88" i="10"/>
  <c r="D356" i="15" l="1"/>
  <c r="D356" i="26"/>
  <c r="D369" i="15"/>
  <c r="D369" i="26"/>
  <c r="M71" i="27"/>
  <c r="N70" i="27"/>
  <c r="J70" i="27" s="1"/>
  <c r="N63" i="25"/>
  <c r="M64" i="25"/>
  <c r="F89" i="10"/>
  <c r="D221" i="26" l="1"/>
  <c r="D221" i="15"/>
  <c r="N64" i="25"/>
  <c r="J64" i="25" s="1"/>
  <c r="M65" i="25"/>
  <c r="L63" i="25"/>
  <c r="K63" i="25"/>
  <c r="P63" i="25" s="1"/>
  <c r="O63" i="25"/>
  <c r="J63" i="25"/>
  <c r="N71" i="27"/>
  <c r="J71" i="27" s="1"/>
  <c r="M72" i="27"/>
  <c r="F90" i="10"/>
  <c r="D220" i="15" l="1"/>
  <c r="D220" i="26"/>
  <c r="M73" i="27"/>
  <c r="N72" i="27"/>
  <c r="N65" i="25"/>
  <c r="J65" i="25" s="1"/>
  <c r="M66" i="25"/>
  <c r="F91" i="10"/>
  <c r="D224" i="15" l="1"/>
  <c r="D224" i="26"/>
  <c r="N66" i="25"/>
  <c r="J66" i="25" s="1"/>
  <c r="M67" i="25"/>
  <c r="J72" i="27"/>
  <c r="K72" i="27"/>
  <c r="P72" i="27" s="1"/>
  <c r="L72" i="27"/>
  <c r="O72" i="27"/>
  <c r="N73" i="27"/>
  <c r="J73" i="27" s="1"/>
  <c r="M74" i="27"/>
  <c r="F92" i="10"/>
  <c r="D226" i="26" l="1"/>
  <c r="D226" i="15"/>
  <c r="N74" i="27"/>
  <c r="J74" i="27" s="1"/>
  <c r="M75" i="27"/>
  <c r="N67" i="25"/>
  <c r="J67" i="25" s="1"/>
  <c r="M68" i="25"/>
  <c r="F93" i="10"/>
  <c r="D216" i="15" l="1"/>
  <c r="D216" i="26"/>
  <c r="F94" i="10"/>
  <c r="F95" i="10" s="1"/>
  <c r="N68" i="25"/>
  <c r="M69" i="25"/>
  <c r="M76" i="27"/>
  <c r="N75" i="27"/>
  <c r="J75" i="27" s="1"/>
  <c r="D327" i="26" l="1"/>
  <c r="D327" i="15"/>
  <c r="F96" i="10"/>
  <c r="M77" i="27"/>
  <c r="N76" i="27"/>
  <c r="N69" i="25"/>
  <c r="J69" i="25" s="1"/>
  <c r="M70" i="25"/>
  <c r="J68" i="25"/>
  <c r="D245" i="15" l="1"/>
  <c r="D245" i="26"/>
  <c r="F97" i="10"/>
  <c r="N70" i="25"/>
  <c r="M71" i="25"/>
  <c r="L76" i="27"/>
  <c r="O76" i="27"/>
  <c r="K76" i="27"/>
  <c r="P76" i="27" s="1"/>
  <c r="J76" i="27"/>
  <c r="M78" i="27"/>
  <c r="N77" i="27"/>
  <c r="J77" i="27" s="1"/>
  <c r="D460" i="15" l="1"/>
  <c r="D460" i="26"/>
  <c r="F98" i="10"/>
  <c r="M79" i="27"/>
  <c r="N78" i="27"/>
  <c r="J78" i="27" s="1"/>
  <c r="N71" i="25"/>
  <c r="J71" i="25" s="1"/>
  <c r="M72" i="25"/>
  <c r="L70" i="25"/>
  <c r="O70" i="25"/>
  <c r="J70" i="25"/>
  <c r="K70" i="25"/>
  <c r="P70" i="25" s="1"/>
  <c r="D458" i="15" l="1"/>
  <c r="D458" i="26"/>
  <c r="F99" i="10"/>
  <c r="N72" i="25"/>
  <c r="M73" i="25"/>
  <c r="M80" i="27"/>
  <c r="N79" i="27"/>
  <c r="J79" i="27" s="1"/>
  <c r="F100" i="10" l="1"/>
  <c r="D479" i="26"/>
  <c r="D479" i="15"/>
  <c r="N80" i="27"/>
  <c r="M81" i="27"/>
  <c r="N73" i="25"/>
  <c r="M74" i="25"/>
  <c r="K72" i="25"/>
  <c r="P72" i="25" s="1"/>
  <c r="J72" i="25"/>
  <c r="L72" i="25"/>
  <c r="O72" i="25"/>
  <c r="F101" i="10"/>
  <c r="D250" i="15" l="1"/>
  <c r="D250" i="26"/>
  <c r="D379" i="15"/>
  <c r="D379" i="26"/>
  <c r="N74" i="25"/>
  <c r="J74" i="25" s="1"/>
  <c r="M75" i="25"/>
  <c r="J73" i="25"/>
  <c r="L73" i="25"/>
  <c r="O73" i="25"/>
  <c r="K73" i="25"/>
  <c r="P73" i="25" s="1"/>
  <c r="M82" i="27"/>
  <c r="N81" i="27"/>
  <c r="L80" i="27"/>
  <c r="J80" i="27"/>
  <c r="O80" i="27"/>
  <c r="K80" i="27"/>
  <c r="P80" i="27" s="1"/>
  <c r="F102" i="10"/>
  <c r="D382" i="15" l="1"/>
  <c r="D382" i="26"/>
  <c r="J81" i="27"/>
  <c r="M83" i="27"/>
  <c r="N82" i="27"/>
  <c r="N75" i="25"/>
  <c r="J75" i="25" s="1"/>
  <c r="M76" i="25"/>
  <c r="F103" i="10"/>
  <c r="D360" i="15" l="1"/>
  <c r="D360" i="26"/>
  <c r="M84" i="27"/>
  <c r="N83" i="27"/>
  <c r="N76" i="25"/>
  <c r="J76" i="25" s="1"/>
  <c r="M77" i="25"/>
  <c r="J82" i="27"/>
  <c r="K82" i="27"/>
  <c r="P82" i="27" s="1"/>
  <c r="L82" i="27"/>
  <c r="O82" i="27"/>
  <c r="F104" i="10"/>
  <c r="D348" i="26" l="1"/>
  <c r="D348" i="15"/>
  <c r="N77" i="25"/>
  <c r="J77" i="25" s="1"/>
  <c r="M78" i="25"/>
  <c r="J83" i="27"/>
  <c r="K83" i="27"/>
  <c r="P83" i="27" s="1"/>
  <c r="L83" i="27"/>
  <c r="O83" i="27"/>
  <c r="N84" i="27"/>
  <c r="J84" i="27" s="1"/>
  <c r="M85" i="27"/>
  <c r="F105" i="10"/>
  <c r="D383" i="15" l="1"/>
  <c r="D383" i="26"/>
  <c r="N78" i="25"/>
  <c r="J78" i="25" s="1"/>
  <c r="M79" i="25"/>
  <c r="M86" i="27"/>
  <c r="N85" i="27"/>
  <c r="F106" i="10"/>
  <c r="D331" i="26" l="1"/>
  <c r="D331" i="15"/>
  <c r="J85" i="27"/>
  <c r="O85" i="27"/>
  <c r="K85" i="27"/>
  <c r="P85" i="27" s="1"/>
  <c r="L85" i="27"/>
  <c r="M87" i="27"/>
  <c r="N86" i="27"/>
  <c r="J86" i="27" s="1"/>
  <c r="N79" i="25"/>
  <c r="J79" i="25" s="1"/>
  <c r="M80" i="25"/>
  <c r="F107" i="10"/>
  <c r="D340" i="26" l="1"/>
  <c r="D340" i="15"/>
  <c r="N80" i="25"/>
  <c r="J80" i="25" s="1"/>
  <c r="M81" i="25"/>
  <c r="M88" i="27"/>
  <c r="N87" i="27"/>
  <c r="F108" i="10"/>
  <c r="D374" i="15" l="1"/>
  <c r="D374" i="26"/>
  <c r="N81" i="25"/>
  <c r="M82" i="25"/>
  <c r="J87" i="27"/>
  <c r="N88" i="27"/>
  <c r="M89" i="27"/>
  <c r="F109" i="10"/>
  <c r="D376" i="15" l="1"/>
  <c r="D376" i="26"/>
  <c r="M90" i="27"/>
  <c r="N89" i="27"/>
  <c r="J88" i="27"/>
  <c r="K88" i="27"/>
  <c r="P88" i="27" s="1"/>
  <c r="O88" i="27"/>
  <c r="L88" i="27"/>
  <c r="N82" i="25"/>
  <c r="M83" i="25"/>
  <c r="K81" i="25"/>
  <c r="P81" i="25" s="1"/>
  <c r="J81" i="25"/>
  <c r="L81" i="25"/>
  <c r="O81" i="25"/>
  <c r="F110" i="10"/>
  <c r="D332" i="26" l="1"/>
  <c r="D332" i="15"/>
  <c r="N83" i="25"/>
  <c r="M84" i="25"/>
  <c r="J82" i="25"/>
  <c r="L89" i="27"/>
  <c r="O89" i="27"/>
  <c r="J89" i="27"/>
  <c r="K89" i="27"/>
  <c r="P89" i="27" s="1"/>
  <c r="N90" i="27"/>
  <c r="M91" i="27"/>
  <c r="F111" i="10"/>
  <c r="D359" i="26" l="1"/>
  <c r="D359" i="15"/>
  <c r="M92" i="27"/>
  <c r="N91" i="27"/>
  <c r="J91" i="27" s="1"/>
  <c r="J90" i="27"/>
  <c r="K90" i="27"/>
  <c r="P90" i="27" s="1"/>
  <c r="L90" i="27"/>
  <c r="O90" i="27"/>
  <c r="N84" i="25"/>
  <c r="M85" i="25"/>
  <c r="K83" i="25"/>
  <c r="P83" i="25" s="1"/>
  <c r="O83" i="25"/>
  <c r="J83" i="25"/>
  <c r="L83" i="25"/>
  <c r="F112" i="10"/>
  <c r="D291" i="15" l="1"/>
  <c r="D291" i="26"/>
  <c r="K84" i="25"/>
  <c r="P84" i="25" s="1"/>
  <c r="J84" i="25"/>
  <c r="L84" i="25"/>
  <c r="O84" i="25"/>
  <c r="N85" i="25"/>
  <c r="J85" i="25" s="1"/>
  <c r="M86" i="25"/>
  <c r="M93" i="27"/>
  <c r="N92" i="27"/>
  <c r="J92" i="27" s="1"/>
  <c r="F113" i="10"/>
  <c r="D289" i="26" l="1"/>
  <c r="D289" i="15"/>
  <c r="N93" i="27"/>
  <c r="J93" i="27" s="1"/>
  <c r="M94" i="27"/>
  <c r="N86" i="25"/>
  <c r="M87" i="25"/>
  <c r="F114" i="10"/>
  <c r="D290" i="26" l="1"/>
  <c r="D290" i="15"/>
  <c r="N87" i="25"/>
  <c r="J87" i="25" s="1"/>
  <c r="M88" i="25"/>
  <c r="J86" i="25"/>
  <c r="K86" i="25"/>
  <c r="P86" i="25" s="1"/>
  <c r="O86" i="25"/>
  <c r="L86" i="25"/>
  <c r="M95" i="27"/>
  <c r="N94" i="27"/>
  <c r="J94" i="27" s="1"/>
  <c r="F115" i="10"/>
  <c r="D284" i="15" l="1"/>
  <c r="D284" i="26"/>
  <c r="F116" i="10"/>
  <c r="M96" i="27"/>
  <c r="N95" i="27"/>
  <c r="N88" i="25"/>
  <c r="M89" i="25"/>
  <c r="D206" i="26" l="1"/>
  <c r="D206" i="15"/>
  <c r="F117" i="10"/>
  <c r="N89" i="25"/>
  <c r="M90" i="25"/>
  <c r="J88" i="25"/>
  <c r="K95" i="27"/>
  <c r="P95" i="27" s="1"/>
  <c r="O95" i="27"/>
  <c r="L95" i="27"/>
  <c r="J95" i="27"/>
  <c r="N96" i="27"/>
  <c r="J96" i="27" s="1"/>
  <c r="M97" i="27"/>
  <c r="D271" i="15" l="1"/>
  <c r="D271" i="26"/>
  <c r="F118" i="10"/>
  <c r="N97" i="27"/>
  <c r="M98" i="27"/>
  <c r="N90" i="25"/>
  <c r="M91" i="25"/>
  <c r="L89" i="25"/>
  <c r="J89" i="25"/>
  <c r="K89" i="25"/>
  <c r="P89" i="25" s="1"/>
  <c r="O89" i="25"/>
  <c r="F119" i="10" l="1"/>
  <c r="D243" i="26"/>
  <c r="D243" i="15"/>
  <c r="N91" i="25"/>
  <c r="M92" i="25"/>
  <c r="J90" i="25"/>
  <c r="N98" i="27"/>
  <c r="M99" i="27"/>
  <c r="J97" i="27"/>
  <c r="F120" i="10"/>
  <c r="D246" i="15" l="1"/>
  <c r="D246" i="26"/>
  <c r="D208" i="15"/>
  <c r="D208" i="26"/>
  <c r="M100" i="27"/>
  <c r="N99" i="27"/>
  <c r="L98" i="27"/>
  <c r="K98" i="27"/>
  <c r="P98" i="27" s="1"/>
  <c r="O98" i="27"/>
  <c r="J98" i="27"/>
  <c r="N92" i="25"/>
  <c r="J92" i="25" s="1"/>
  <c r="M93" i="25"/>
  <c r="J91" i="25"/>
  <c r="O91" i="25"/>
  <c r="K91" i="25"/>
  <c r="P91" i="25" s="1"/>
  <c r="L91" i="25"/>
  <c r="F121" i="10"/>
  <c r="D213" i="26" l="1"/>
  <c r="D213" i="15"/>
  <c r="N93" i="25"/>
  <c r="J93" i="25" s="1"/>
  <c r="M94" i="25"/>
  <c r="J99" i="27"/>
  <c r="K99" i="27"/>
  <c r="P99" i="27" s="1"/>
  <c r="O99" i="27"/>
  <c r="L99" i="27"/>
  <c r="M101" i="27"/>
  <c r="N100" i="27"/>
  <c r="J100" i="27" s="1"/>
  <c r="F122" i="10"/>
  <c r="D214" i="26" l="1"/>
  <c r="D214" i="15"/>
  <c r="M102" i="27"/>
  <c r="N101" i="27"/>
  <c r="N94" i="25"/>
  <c r="M95" i="25"/>
  <c r="F123" i="10"/>
  <c r="D238" i="15" l="1"/>
  <c r="D238" i="26"/>
  <c r="N95" i="25"/>
  <c r="J95" i="25" s="1"/>
  <c r="M96" i="25"/>
  <c r="J94" i="25"/>
  <c r="L101" i="27"/>
  <c r="O101" i="27"/>
  <c r="K101" i="27"/>
  <c r="P101" i="27" s="1"/>
  <c r="J101" i="27"/>
  <c r="M103" i="27"/>
  <c r="N102" i="27"/>
  <c r="F124" i="10"/>
  <c r="D293" i="26" l="1"/>
  <c r="D293" i="15"/>
  <c r="J102" i="27"/>
  <c r="M104" i="27"/>
  <c r="N103" i="27"/>
  <c r="J103" i="27" s="1"/>
  <c r="N96" i="25"/>
  <c r="M97" i="25"/>
  <c r="F125" i="10"/>
  <c r="D299" i="15" l="1"/>
  <c r="D299" i="26"/>
  <c r="N97" i="25"/>
  <c r="J97" i="25" s="1"/>
  <c r="M98" i="25"/>
  <c r="J96" i="25"/>
  <c r="K96" i="25"/>
  <c r="P96" i="25" s="1"/>
  <c r="L96" i="25"/>
  <c r="O96" i="25"/>
  <c r="N104" i="27"/>
  <c r="M105" i="27"/>
  <c r="F126" i="10"/>
  <c r="D309" i="15" l="1"/>
  <c r="D309" i="26"/>
  <c r="F127" i="10"/>
  <c r="M106" i="27"/>
  <c r="N105" i="27"/>
  <c r="J105" i="27" s="1"/>
  <c r="O104" i="27"/>
  <c r="K104" i="27"/>
  <c r="P104" i="27" s="1"/>
  <c r="L104" i="27"/>
  <c r="J104" i="27"/>
  <c r="N98" i="25"/>
  <c r="M99" i="25"/>
  <c r="D314" i="26" l="1"/>
  <c r="D314" i="15"/>
  <c r="F128" i="10"/>
  <c r="N99" i="25"/>
  <c r="M100" i="25"/>
  <c r="J98" i="25"/>
  <c r="L98" i="25"/>
  <c r="O98" i="25"/>
  <c r="K98" i="25"/>
  <c r="P98" i="25" s="1"/>
  <c r="M107" i="27"/>
  <c r="N106" i="27"/>
  <c r="D307" i="15" l="1"/>
  <c r="D307" i="26"/>
  <c r="F129" i="10"/>
  <c r="M108" i="27"/>
  <c r="N107" i="27"/>
  <c r="J106" i="27"/>
  <c r="N100" i="25"/>
  <c r="J100" i="25" s="1"/>
  <c r="M101" i="25"/>
  <c r="O99" i="25"/>
  <c r="J99" i="25"/>
  <c r="K99" i="25"/>
  <c r="P99" i="25" s="1"/>
  <c r="L99" i="25"/>
  <c r="D318" i="26" l="1"/>
  <c r="D318" i="15"/>
  <c r="F130" i="10"/>
  <c r="N101" i="25"/>
  <c r="J101" i="25" s="1"/>
  <c r="M102" i="25"/>
  <c r="J107" i="27"/>
  <c r="M109" i="27"/>
  <c r="N108" i="27"/>
  <c r="J108" i="27" s="1"/>
  <c r="D305" i="26" l="1"/>
  <c r="D305" i="15"/>
  <c r="F131" i="10"/>
  <c r="N109" i="27"/>
  <c r="M110" i="27"/>
  <c r="N102" i="25"/>
  <c r="M103" i="25"/>
  <c r="D326" i="15" l="1"/>
  <c r="D326" i="26"/>
  <c r="F132" i="10"/>
  <c r="N103" i="25"/>
  <c r="M104" i="25"/>
  <c r="J102" i="25"/>
  <c r="K102" i="25"/>
  <c r="P102" i="25" s="1"/>
  <c r="L102" i="25"/>
  <c r="O102" i="25"/>
  <c r="N110" i="27"/>
  <c r="M111" i="27"/>
  <c r="K109" i="27"/>
  <c r="P109" i="27" s="1"/>
  <c r="J109" i="27"/>
  <c r="L109" i="27"/>
  <c r="O109" i="27"/>
  <c r="D7" i="26" l="1"/>
  <c r="D7" i="15"/>
  <c r="F133" i="10"/>
  <c r="O110" i="27"/>
  <c r="K110" i="27"/>
  <c r="P110" i="27" s="1"/>
  <c r="J110" i="27"/>
  <c r="L110" i="27"/>
  <c r="N111" i="27"/>
  <c r="M112" i="27"/>
  <c r="N104" i="25"/>
  <c r="J104" i="25" s="1"/>
  <c r="M105" i="25"/>
  <c r="J103" i="25"/>
  <c r="D58" i="15" l="1"/>
  <c r="D58" i="26"/>
  <c r="F134" i="10"/>
  <c r="N112" i="27"/>
  <c r="M113" i="27"/>
  <c r="O111" i="27"/>
  <c r="K111" i="27"/>
  <c r="P111" i="27" s="1"/>
  <c r="L111" i="27"/>
  <c r="J111" i="27"/>
  <c r="N105" i="25"/>
  <c r="M106" i="25"/>
  <c r="D12" i="26" l="1"/>
  <c r="D12" i="15"/>
  <c r="F135" i="10"/>
  <c r="J105" i="25"/>
  <c r="N106" i="25"/>
  <c r="J106" i="25" s="1"/>
  <c r="M107" i="25"/>
  <c r="N113" i="27"/>
  <c r="M114" i="27"/>
  <c r="J112" i="27"/>
  <c r="K112" i="27"/>
  <c r="P112" i="27" s="1"/>
  <c r="L112" i="27"/>
  <c r="O112" i="27"/>
  <c r="D11" i="26" l="1"/>
  <c r="D11" i="15"/>
  <c r="F136" i="10"/>
  <c r="J113" i="27"/>
  <c r="O113" i="27"/>
  <c r="K113" i="27"/>
  <c r="P113" i="27" s="1"/>
  <c r="L113" i="27"/>
  <c r="N107" i="25"/>
  <c r="J107" i="25" s="1"/>
  <c r="M108" i="25"/>
  <c r="M115" i="27"/>
  <c r="N114" i="27"/>
  <c r="J114" i="27" s="1"/>
  <c r="D39" i="15" l="1"/>
  <c r="D39" i="26"/>
  <c r="F137" i="10"/>
  <c r="M116" i="27"/>
  <c r="N115" i="27"/>
  <c r="J115" i="27" s="1"/>
  <c r="N108" i="25"/>
  <c r="M109" i="25"/>
  <c r="D14" i="26" l="1"/>
  <c r="D14" i="15"/>
  <c r="F138" i="10"/>
  <c r="N109" i="25"/>
  <c r="J109" i="25" s="1"/>
  <c r="M110" i="25"/>
  <c r="J108" i="25"/>
  <c r="N116" i="27"/>
  <c r="J116" i="27" s="1"/>
  <c r="M117" i="27"/>
  <c r="D48" i="15" l="1"/>
  <c r="D48" i="26"/>
  <c r="F139" i="10"/>
  <c r="M118" i="27"/>
  <c r="N117" i="27"/>
  <c r="J117" i="27" s="1"/>
  <c r="N110" i="25"/>
  <c r="M111" i="25"/>
  <c r="D4" i="26" l="1"/>
  <c r="D4" i="15"/>
  <c r="F140" i="10"/>
  <c r="N111" i="25"/>
  <c r="M112" i="25"/>
  <c r="O110" i="25"/>
  <c r="L110" i="25"/>
  <c r="K110" i="25"/>
  <c r="P110" i="25" s="1"/>
  <c r="J110" i="25"/>
  <c r="M119" i="27"/>
  <c r="N118" i="27"/>
  <c r="J118" i="27" s="1"/>
  <c r="D42" i="26" l="1"/>
  <c r="D42" i="15"/>
  <c r="F141" i="10"/>
  <c r="M120" i="27"/>
  <c r="N119" i="27"/>
  <c r="J119" i="27" s="1"/>
  <c r="N112" i="25"/>
  <c r="M113" i="25"/>
  <c r="L111" i="25"/>
  <c r="O111" i="25"/>
  <c r="J111" i="25"/>
  <c r="K111" i="25"/>
  <c r="P111" i="25" s="1"/>
  <c r="D24" i="26" l="1"/>
  <c r="D24" i="15"/>
  <c r="F142" i="10"/>
  <c r="K112" i="25"/>
  <c r="P112" i="25" s="1"/>
  <c r="L112" i="25"/>
  <c r="O112" i="25"/>
  <c r="J112" i="25"/>
  <c r="N113" i="25"/>
  <c r="M114" i="25"/>
  <c r="M121" i="27"/>
  <c r="N120" i="27"/>
  <c r="D49" i="15" l="1"/>
  <c r="D49" i="26"/>
  <c r="F143" i="10"/>
  <c r="L113" i="25"/>
  <c r="K113" i="25"/>
  <c r="P113" i="25" s="1"/>
  <c r="O113" i="25"/>
  <c r="J113" i="25"/>
  <c r="M122" i="27"/>
  <c r="N121" i="27"/>
  <c r="J121" i="27" s="1"/>
  <c r="J120" i="27"/>
  <c r="N114" i="25"/>
  <c r="M115" i="25"/>
  <c r="D33" i="15" l="1"/>
  <c r="D33" i="26"/>
  <c r="F144" i="10"/>
  <c r="M123" i="27"/>
  <c r="N122" i="27"/>
  <c r="J122" i="27" s="1"/>
  <c r="N115" i="25"/>
  <c r="M116" i="25"/>
  <c r="J114" i="25"/>
  <c r="L114" i="25"/>
  <c r="O114" i="25"/>
  <c r="K114" i="25"/>
  <c r="P114" i="25" s="1"/>
  <c r="D26" i="26" l="1"/>
  <c r="D26" i="15"/>
  <c r="F145" i="10"/>
  <c r="J115" i="25"/>
  <c r="N116" i="25"/>
  <c r="J116" i="25" s="1"/>
  <c r="M117" i="25"/>
  <c r="M124" i="27"/>
  <c r="N123" i="27"/>
  <c r="J123" i="27" s="1"/>
  <c r="D47" i="15" l="1"/>
  <c r="D47" i="26"/>
  <c r="F146" i="10"/>
  <c r="N117" i="25"/>
  <c r="J117" i="25" s="1"/>
  <c r="M118" i="25"/>
  <c r="M125" i="27"/>
  <c r="N124" i="27"/>
  <c r="D18" i="15" l="1"/>
  <c r="D18" i="26"/>
  <c r="F147" i="10"/>
  <c r="J124" i="27"/>
  <c r="L124" i="27"/>
  <c r="K124" i="27"/>
  <c r="P124" i="27" s="1"/>
  <c r="O124" i="27"/>
  <c r="N125" i="27"/>
  <c r="J125" i="27" s="1"/>
  <c r="M126" i="27"/>
  <c r="N118" i="25"/>
  <c r="J118" i="25" s="1"/>
  <c r="M119" i="25"/>
  <c r="D56" i="26" l="1"/>
  <c r="D56" i="15"/>
  <c r="F148" i="10"/>
  <c r="M127" i="27"/>
  <c r="N126" i="27"/>
  <c r="J126" i="27" s="1"/>
  <c r="N119" i="25"/>
  <c r="J119" i="25" s="1"/>
  <c r="M120" i="25"/>
  <c r="D40" i="15" l="1"/>
  <c r="D40" i="26"/>
  <c r="F149" i="10"/>
  <c r="N120" i="25"/>
  <c r="J120" i="25" s="1"/>
  <c r="M121" i="25"/>
  <c r="M128" i="27"/>
  <c r="N127" i="27"/>
  <c r="D21" i="26" l="1"/>
  <c r="D21" i="15"/>
  <c r="F150" i="10"/>
  <c r="J127" i="27"/>
  <c r="M129" i="27"/>
  <c r="N128" i="27"/>
  <c r="J128" i="27" s="1"/>
  <c r="N121" i="25"/>
  <c r="M122" i="25"/>
  <c r="D13" i="26" l="1"/>
  <c r="D13" i="15"/>
  <c r="F151" i="10"/>
  <c r="N122" i="25"/>
  <c r="J122" i="25" s="1"/>
  <c r="M123" i="25"/>
  <c r="J121" i="25"/>
  <c r="M130" i="27"/>
  <c r="N129" i="27"/>
  <c r="J129" i="27" s="1"/>
  <c r="D29" i="26" l="1"/>
  <c r="D29" i="15"/>
  <c r="F152" i="10"/>
  <c r="N123" i="25"/>
  <c r="J123" i="25" s="1"/>
  <c r="M124" i="25"/>
  <c r="M131" i="27"/>
  <c r="N130" i="27"/>
  <c r="J130" i="27" s="1"/>
  <c r="D52" i="26" l="1"/>
  <c r="D52" i="15"/>
  <c r="F153" i="10"/>
  <c r="M132" i="27"/>
  <c r="N131" i="27"/>
  <c r="N124" i="25"/>
  <c r="J124" i="25" s="1"/>
  <c r="M125" i="25"/>
  <c r="D55" i="26" l="1"/>
  <c r="D55" i="15"/>
  <c r="F154" i="10"/>
  <c r="N125" i="25"/>
  <c r="M126" i="25"/>
  <c r="J131" i="27"/>
  <c r="K131" i="27"/>
  <c r="P131" i="27" s="1"/>
  <c r="O131" i="27"/>
  <c r="L131" i="27"/>
  <c r="N132" i="27"/>
  <c r="M133" i="27"/>
  <c r="D53" i="26" l="1"/>
  <c r="D53" i="15"/>
  <c r="F155" i="10"/>
  <c r="N133" i="27"/>
  <c r="J133" i="27" s="1"/>
  <c r="M134" i="27"/>
  <c r="K132" i="27"/>
  <c r="P132" i="27" s="1"/>
  <c r="L132" i="27"/>
  <c r="O132" i="27"/>
  <c r="J132" i="27"/>
  <c r="N126" i="25"/>
  <c r="M127" i="25"/>
  <c r="J125" i="25"/>
  <c r="O125" i="25"/>
  <c r="K125" i="25"/>
  <c r="P125" i="25" s="1"/>
  <c r="L125" i="25"/>
  <c r="D28" i="26" l="1"/>
  <c r="D28" i="15"/>
  <c r="F156" i="10"/>
  <c r="N127" i="25"/>
  <c r="J127" i="25" s="1"/>
  <c r="M128" i="25"/>
  <c r="J126" i="25"/>
  <c r="N134" i="27"/>
  <c r="J134" i="27" s="1"/>
  <c r="M135" i="27"/>
  <c r="D325" i="15" l="1"/>
  <c r="D325" i="26"/>
  <c r="F157" i="10"/>
  <c r="M136" i="27"/>
  <c r="N135" i="27"/>
  <c r="N128" i="25"/>
  <c r="J128" i="25" s="1"/>
  <c r="M129" i="25"/>
  <c r="D62" i="26" l="1"/>
  <c r="D62" i="15"/>
  <c r="F158" i="10"/>
  <c r="N129" i="25"/>
  <c r="J129" i="25" s="1"/>
  <c r="M130" i="25"/>
  <c r="K135" i="27"/>
  <c r="P135" i="27" s="1"/>
  <c r="L135" i="27"/>
  <c r="O135" i="27"/>
  <c r="J135" i="27"/>
  <c r="M137" i="27"/>
  <c r="N136" i="27"/>
  <c r="D57" i="26" l="1"/>
  <c r="D57" i="15"/>
  <c r="F159" i="10"/>
  <c r="O136" i="27"/>
  <c r="K136" i="27"/>
  <c r="P136" i="27" s="1"/>
  <c r="J136" i="27"/>
  <c r="L136" i="27"/>
  <c r="M138" i="27"/>
  <c r="N137" i="27"/>
  <c r="J137" i="27" s="1"/>
  <c r="N130" i="25"/>
  <c r="J130" i="25" s="1"/>
  <c r="M131" i="25"/>
  <c r="D269" i="26" l="1"/>
  <c r="D269" i="15"/>
  <c r="F160" i="10"/>
  <c r="N131" i="25"/>
  <c r="J131" i="25" s="1"/>
  <c r="M132" i="25"/>
  <c r="M139" i="27"/>
  <c r="N138" i="27"/>
  <c r="J138" i="27" s="1"/>
  <c r="D270" i="26" l="1"/>
  <c r="D270" i="15"/>
  <c r="F161" i="10"/>
  <c r="M140" i="27"/>
  <c r="N139" i="27"/>
  <c r="J139" i="27" s="1"/>
  <c r="N132" i="25"/>
  <c r="M133" i="25"/>
  <c r="D256" i="26" l="1"/>
  <c r="D256" i="15"/>
  <c r="F162" i="10"/>
  <c r="N133" i="25"/>
  <c r="M134" i="25"/>
  <c r="O132" i="25"/>
  <c r="K132" i="25"/>
  <c r="P132" i="25" s="1"/>
  <c r="J132" i="25"/>
  <c r="L132" i="25"/>
  <c r="N140" i="27"/>
  <c r="J140" i="27" s="1"/>
  <c r="M141" i="27"/>
  <c r="D272" i="26" l="1"/>
  <c r="D272" i="15"/>
  <c r="F163" i="10"/>
  <c r="N134" i="25"/>
  <c r="M135" i="25"/>
  <c r="N141" i="27"/>
  <c r="J141" i="27" s="1"/>
  <c r="M142" i="27"/>
  <c r="L133" i="25"/>
  <c r="K133" i="25"/>
  <c r="P133" i="25" s="1"/>
  <c r="O133" i="25"/>
  <c r="J133" i="25"/>
  <c r="D142" i="15" l="1"/>
  <c r="D142" i="26"/>
  <c r="F164" i="10"/>
  <c r="M143" i="27"/>
  <c r="N142" i="27"/>
  <c r="N135" i="25"/>
  <c r="J135" i="25" s="1"/>
  <c r="M136" i="25"/>
  <c r="O134" i="25"/>
  <c r="J134" i="25"/>
  <c r="L134" i="25"/>
  <c r="K134" i="25"/>
  <c r="P134" i="25" s="1"/>
  <c r="D138" i="15" l="1"/>
  <c r="D138" i="26"/>
  <c r="F165" i="10"/>
  <c r="J142" i="27"/>
  <c r="N136" i="25"/>
  <c r="M137" i="25"/>
  <c r="M144" i="27"/>
  <c r="N143" i="27"/>
  <c r="D262" i="26" l="1"/>
  <c r="D262" i="15"/>
  <c r="F166" i="10"/>
  <c r="N137" i="25"/>
  <c r="M138" i="25"/>
  <c r="J136" i="25"/>
  <c r="K136" i="25"/>
  <c r="P136" i="25" s="1"/>
  <c r="L136" i="25"/>
  <c r="O136" i="25"/>
  <c r="J143" i="27"/>
  <c r="M145" i="27"/>
  <c r="N144" i="27"/>
  <c r="F167" i="10" l="1"/>
  <c r="F168" i="10" s="1"/>
  <c r="D16" i="26"/>
  <c r="D16" i="15"/>
  <c r="M146" i="27"/>
  <c r="N145" i="27"/>
  <c r="N138" i="25"/>
  <c r="J138" i="25" s="1"/>
  <c r="M139" i="25"/>
  <c r="J144" i="27"/>
  <c r="K144" i="27"/>
  <c r="P144" i="27" s="1"/>
  <c r="L144" i="27"/>
  <c r="O144" i="27"/>
  <c r="L137" i="25"/>
  <c r="O137" i="25"/>
  <c r="J137" i="25"/>
  <c r="K137" i="25"/>
  <c r="P137" i="25" s="1"/>
  <c r="D211" i="26" l="1"/>
  <c r="D211" i="15"/>
  <c r="D282" i="26"/>
  <c r="D282" i="15"/>
  <c r="F169" i="10"/>
  <c r="N139" i="25"/>
  <c r="J139" i="25" s="1"/>
  <c r="M140" i="25"/>
  <c r="J145" i="27"/>
  <c r="N146" i="27"/>
  <c r="J146" i="27" s="1"/>
  <c r="M147" i="27"/>
  <c r="D207" i="15" l="1"/>
  <c r="D207" i="26"/>
  <c r="F170" i="10"/>
  <c r="M148" i="27"/>
  <c r="N147" i="27"/>
  <c r="J147" i="27" s="1"/>
  <c r="N140" i="25"/>
  <c r="J140" i="25" s="1"/>
  <c r="M141" i="25"/>
  <c r="N141" i="25" s="1"/>
  <c r="D25" i="26" l="1"/>
  <c r="D25" i="15"/>
  <c r="F171" i="10"/>
  <c r="J141" i="25"/>
  <c r="M142" i="25"/>
  <c r="M149" i="27"/>
  <c r="N148" i="27"/>
  <c r="J148" i="27" s="1"/>
  <c r="D20" i="26" l="1"/>
  <c r="D20" i="15"/>
  <c r="F172" i="10"/>
  <c r="M150" i="27"/>
  <c r="N149" i="27"/>
  <c r="J149" i="27" s="1"/>
  <c r="N142" i="25"/>
  <c r="M143" i="25"/>
  <c r="D164" i="26" l="1"/>
  <c r="D164" i="15"/>
  <c r="F173" i="10"/>
  <c r="N143" i="25"/>
  <c r="M144" i="25"/>
  <c r="J142" i="25"/>
  <c r="N150" i="27"/>
  <c r="J150" i="27" s="1"/>
  <c r="M151" i="27"/>
  <c r="D89" i="26" l="1"/>
  <c r="D89" i="15"/>
  <c r="F174" i="10"/>
  <c r="N144" i="25"/>
  <c r="M145" i="25"/>
  <c r="M152" i="27"/>
  <c r="N151" i="27"/>
  <c r="J151" i="27" s="1"/>
  <c r="J143" i="25"/>
  <c r="D308" i="26" l="1"/>
  <c r="D308" i="15"/>
  <c r="F175" i="10"/>
  <c r="M153" i="27"/>
  <c r="N152" i="27"/>
  <c r="J152" i="27" s="1"/>
  <c r="N145" i="25"/>
  <c r="M146" i="25"/>
  <c r="J144" i="25"/>
  <c r="K144" i="25"/>
  <c r="P144" i="25" s="1"/>
  <c r="O144" i="25"/>
  <c r="L144" i="25"/>
  <c r="D274" i="26" l="1"/>
  <c r="D274" i="15"/>
  <c r="F176" i="10"/>
  <c r="J145" i="25"/>
  <c r="N146" i="25"/>
  <c r="M147" i="25"/>
  <c r="M154" i="27"/>
  <c r="N153" i="27"/>
  <c r="J153" i="27" s="1"/>
  <c r="D352" i="26" l="1"/>
  <c r="D352" i="15"/>
  <c r="F177" i="10"/>
  <c r="N147" i="25"/>
  <c r="J147" i="25" s="1"/>
  <c r="M148" i="25"/>
  <c r="M155" i="27"/>
  <c r="N154" i="27"/>
  <c r="J154" i="27" s="1"/>
  <c r="J146" i="25"/>
  <c r="F178" i="10" l="1"/>
  <c r="F179" i="10" s="1"/>
  <c r="D287" i="15"/>
  <c r="D234" i="15"/>
  <c r="D287" i="26"/>
  <c r="D234" i="26"/>
  <c r="M156" i="27"/>
  <c r="N155" i="27"/>
  <c r="N148" i="25"/>
  <c r="J148" i="25" s="1"/>
  <c r="M149" i="25"/>
  <c r="D199" i="15" l="1"/>
  <c r="D199" i="26"/>
  <c r="D323" i="26"/>
  <c r="D323" i="15"/>
  <c r="F180" i="10"/>
  <c r="J155" i="27"/>
  <c r="N149" i="25"/>
  <c r="J149" i="25" s="1"/>
  <c r="M150" i="25"/>
  <c r="M157" i="27"/>
  <c r="N156" i="27"/>
  <c r="D375" i="15" l="1"/>
  <c r="D375" i="26"/>
  <c r="F181" i="10"/>
  <c r="J156" i="27"/>
  <c r="N150" i="25"/>
  <c r="J150" i="25" s="1"/>
  <c r="M151" i="25"/>
  <c r="M158" i="27"/>
  <c r="N157" i="27"/>
  <c r="D241" i="26" l="1"/>
  <c r="D241" i="15"/>
  <c r="F182" i="10"/>
  <c r="N151" i="25"/>
  <c r="J151" i="25" s="1"/>
  <c r="M152" i="25"/>
  <c r="J157" i="27"/>
  <c r="M159" i="27"/>
  <c r="N158" i="27"/>
  <c r="D281" i="26" l="1"/>
  <c r="D281" i="15"/>
  <c r="F183" i="10"/>
  <c r="J158" i="27"/>
  <c r="N152" i="25"/>
  <c r="J152" i="25" s="1"/>
  <c r="M153" i="25"/>
  <c r="M160" i="27"/>
  <c r="N159" i="27"/>
  <c r="J159" i="27" s="1"/>
  <c r="D38" i="26" l="1"/>
  <c r="D38" i="15"/>
  <c r="F184" i="10"/>
  <c r="N160" i="27"/>
  <c r="M161" i="27"/>
  <c r="N153" i="25"/>
  <c r="M154" i="25"/>
  <c r="D205" i="15" l="1"/>
  <c r="D205" i="26"/>
  <c r="F185" i="10"/>
  <c r="J153" i="25"/>
  <c r="N154" i="25"/>
  <c r="J154" i="25" s="1"/>
  <c r="M155" i="25"/>
  <c r="M162" i="27"/>
  <c r="N161" i="27"/>
  <c r="J161" i="27" s="1"/>
  <c r="J160" i="27"/>
  <c r="D84" i="26" l="1"/>
  <c r="D84" i="15"/>
  <c r="F186" i="10"/>
  <c r="N162" i="27"/>
  <c r="M163" i="27"/>
  <c r="N155" i="25"/>
  <c r="J155" i="25" s="1"/>
  <c r="M156" i="25"/>
  <c r="D189" i="15" l="1"/>
  <c r="D189" i="26"/>
  <c r="F187" i="10"/>
  <c r="F188" i="10" s="1"/>
  <c r="N156" i="25"/>
  <c r="M157" i="25"/>
  <c r="M164" i="27"/>
  <c r="N163" i="27"/>
  <c r="J163" i="27" s="1"/>
  <c r="J162" i="27"/>
  <c r="F189" i="10" l="1"/>
  <c r="F190" i="10" s="1"/>
  <c r="D8" i="15"/>
  <c r="D8" i="26"/>
  <c r="D36" i="15"/>
  <c r="D36" i="26"/>
  <c r="M165" i="27"/>
  <c r="N164" i="27"/>
  <c r="J164" i="27" s="1"/>
  <c r="N157" i="25"/>
  <c r="M158" i="25"/>
  <c r="J156" i="25"/>
  <c r="D188" i="15" l="1"/>
  <c r="D188" i="26"/>
  <c r="D146" i="15"/>
  <c r="D146" i="26"/>
  <c r="F191" i="10"/>
  <c r="J157" i="25"/>
  <c r="L157" i="25"/>
  <c r="K157" i="25"/>
  <c r="P157" i="25" s="1"/>
  <c r="O157" i="25"/>
  <c r="N158" i="25"/>
  <c r="M159" i="25"/>
  <c r="M166" i="27"/>
  <c r="N165" i="27"/>
  <c r="D64" i="26" l="1"/>
  <c r="D64" i="15"/>
  <c r="F192" i="10"/>
  <c r="N159" i="25"/>
  <c r="M160" i="25"/>
  <c r="J165" i="27"/>
  <c r="L165" i="27"/>
  <c r="O165" i="27"/>
  <c r="K165" i="27"/>
  <c r="P165" i="27" s="1"/>
  <c r="J158" i="25"/>
  <c r="M167" i="27"/>
  <c r="N166" i="27"/>
  <c r="D223" i="26" l="1"/>
  <c r="D223" i="15"/>
  <c r="F193" i="10"/>
  <c r="M168" i="27"/>
  <c r="N167" i="27"/>
  <c r="J167" i="27" s="1"/>
  <c r="J166" i="27"/>
  <c r="N160" i="25"/>
  <c r="J160" i="25" s="1"/>
  <c r="M161" i="25"/>
  <c r="J159" i="25"/>
  <c r="D63" i="26" l="1"/>
  <c r="D63" i="15"/>
  <c r="F194" i="10"/>
  <c r="N161" i="25"/>
  <c r="M162" i="25"/>
  <c r="N168" i="27"/>
  <c r="J168" i="27" s="1"/>
  <c r="M169" i="27"/>
  <c r="D244" i="15" l="1"/>
  <c r="D244" i="26"/>
  <c r="F195" i="10"/>
  <c r="N169" i="27"/>
  <c r="J169" i="27" s="1"/>
  <c r="M170" i="27"/>
  <c r="N162" i="25"/>
  <c r="J162" i="25" s="1"/>
  <c r="M163" i="25"/>
  <c r="J161" i="25"/>
  <c r="D43" i="26" l="1"/>
  <c r="D43" i="15"/>
  <c r="F196" i="10"/>
  <c r="N163" i="25"/>
  <c r="J163" i="25" s="1"/>
  <c r="M164" i="25"/>
  <c r="M171" i="27"/>
  <c r="N170" i="27"/>
  <c r="J170" i="27" s="1"/>
  <c r="D69" i="15" l="1"/>
  <c r="D68" i="26"/>
  <c r="D68" i="15"/>
  <c r="D69" i="26"/>
  <c r="F197" i="10"/>
  <c r="M172" i="27"/>
  <c r="N171" i="27"/>
  <c r="J171" i="27" s="1"/>
  <c r="N164" i="25"/>
  <c r="J164" i="25" s="1"/>
  <c r="M165" i="25"/>
  <c r="D65" i="26" l="1"/>
  <c r="D65" i="15"/>
  <c r="F198" i="10"/>
  <c r="N165" i="25"/>
  <c r="J165" i="25" s="1"/>
  <c r="M166" i="25"/>
  <c r="M173" i="27"/>
  <c r="N172" i="27"/>
  <c r="D313" i="15" l="1"/>
  <c r="D313" i="26"/>
  <c r="F199" i="10"/>
  <c r="J172" i="27"/>
  <c r="M174" i="27"/>
  <c r="N173" i="27"/>
  <c r="J173" i="27" s="1"/>
  <c r="N166" i="25"/>
  <c r="M167" i="25"/>
  <c r="D225" i="15" l="1"/>
  <c r="D225" i="26"/>
  <c r="F200" i="10"/>
  <c r="K166" i="25"/>
  <c r="P166" i="25" s="1"/>
  <c r="L166" i="25"/>
  <c r="J166" i="25"/>
  <c r="O166" i="25"/>
  <c r="N167" i="25"/>
  <c r="J167" i="25" s="1"/>
  <c r="M168" i="25"/>
  <c r="M175" i="27"/>
  <c r="N174" i="27"/>
  <c r="D54" i="26" l="1"/>
  <c r="D54" i="15"/>
  <c r="F201" i="10"/>
  <c r="O174" i="27"/>
  <c r="J174" i="27"/>
  <c r="K174" i="27"/>
  <c r="P174" i="27" s="1"/>
  <c r="L174" i="27"/>
  <c r="N168" i="25"/>
  <c r="J168" i="25" s="1"/>
  <c r="M169" i="25"/>
  <c r="M176" i="27"/>
  <c r="N175" i="27"/>
  <c r="J175" i="27" s="1"/>
  <c r="D155" i="26" l="1"/>
  <c r="D155" i="15"/>
  <c r="F202" i="10"/>
  <c r="N169" i="25"/>
  <c r="M170" i="25"/>
  <c r="N176" i="27"/>
  <c r="M177" i="27"/>
  <c r="D9" i="26" l="1"/>
  <c r="D9" i="15"/>
  <c r="F203" i="10"/>
  <c r="M178" i="27"/>
  <c r="N177" i="27"/>
  <c r="J176" i="27"/>
  <c r="N170" i="25"/>
  <c r="M171" i="25"/>
  <c r="J169" i="25"/>
  <c r="O169" i="25"/>
  <c r="K169" i="25"/>
  <c r="P169" i="25" s="1"/>
  <c r="L169" i="25"/>
  <c r="D443" i="15" l="1"/>
  <c r="D443" i="26"/>
  <c r="F204" i="10"/>
  <c r="J170" i="25"/>
  <c r="N171" i="25"/>
  <c r="J171" i="25" s="1"/>
  <c r="M172" i="25"/>
  <c r="J177" i="27"/>
  <c r="M179" i="27"/>
  <c r="N178" i="27"/>
  <c r="D133" i="26" l="1"/>
  <c r="D133" i="15"/>
  <c r="F205" i="10"/>
  <c r="N172" i="25"/>
  <c r="M173" i="25"/>
  <c r="J178" i="27"/>
  <c r="N179" i="27"/>
  <c r="M180" i="27"/>
  <c r="D363" i="26" l="1"/>
  <c r="D363" i="15"/>
  <c r="F206" i="10"/>
  <c r="J179" i="27"/>
  <c r="N180" i="27"/>
  <c r="M181" i="27"/>
  <c r="N173" i="25"/>
  <c r="M174" i="25"/>
  <c r="J172" i="25"/>
  <c r="D391" i="26" l="1"/>
  <c r="D391" i="15"/>
  <c r="F207" i="10"/>
  <c r="J173" i="25"/>
  <c r="J180" i="27"/>
  <c r="N174" i="25"/>
  <c r="J174" i="25" s="1"/>
  <c r="M175" i="25"/>
  <c r="N181" i="27"/>
  <c r="M182" i="27"/>
  <c r="D368" i="15" l="1"/>
  <c r="D368" i="26"/>
  <c r="F208" i="10"/>
  <c r="J181" i="27"/>
  <c r="N182" i="27"/>
  <c r="M183" i="27"/>
  <c r="N175" i="25"/>
  <c r="M176" i="25"/>
  <c r="D285" i="26" l="1"/>
  <c r="D285" i="15"/>
  <c r="F209" i="10"/>
  <c r="J182" i="27"/>
  <c r="N176" i="25"/>
  <c r="J176" i="25" s="1"/>
  <c r="M177" i="25"/>
  <c r="M184" i="27"/>
  <c r="N183" i="27"/>
  <c r="L175" i="25"/>
  <c r="K175" i="25"/>
  <c r="P175" i="25" s="1"/>
  <c r="J175" i="25"/>
  <c r="O175" i="25"/>
  <c r="D278" i="15" l="1"/>
  <c r="D278" i="26"/>
  <c r="F210" i="10"/>
  <c r="J183" i="27"/>
  <c r="N177" i="25"/>
  <c r="M178" i="25"/>
  <c r="M185" i="27"/>
  <c r="N184" i="27"/>
  <c r="D23" i="15" l="1"/>
  <c r="D23" i="26"/>
  <c r="F211" i="10"/>
  <c r="J177" i="25"/>
  <c r="M186" i="27"/>
  <c r="N185" i="27"/>
  <c r="J184" i="27"/>
  <c r="N178" i="25"/>
  <c r="M179" i="25"/>
  <c r="D32" i="15" l="1"/>
  <c r="D32" i="26"/>
  <c r="F212" i="10"/>
  <c r="F214" i="10"/>
  <c r="J185" i="27"/>
  <c r="N179" i="25"/>
  <c r="M180" i="25"/>
  <c r="M187" i="27"/>
  <c r="N186" i="27"/>
  <c r="J178" i="25"/>
  <c r="D139" i="26" l="1"/>
  <c r="D139" i="15"/>
  <c r="F213" i="10"/>
  <c r="M188" i="27"/>
  <c r="N187" i="27"/>
  <c r="J179" i="25"/>
  <c r="J186" i="27"/>
  <c r="N180" i="25"/>
  <c r="M181" i="25"/>
  <c r="D51" i="15" l="1"/>
  <c r="D51" i="26"/>
  <c r="N181" i="25"/>
  <c r="M182" i="25"/>
  <c r="J187" i="27"/>
  <c r="J180" i="25"/>
  <c r="N188" i="27"/>
  <c r="M189" i="27"/>
  <c r="J188" i="27" l="1"/>
  <c r="N189" i="27"/>
  <c r="M190" i="27"/>
  <c r="N182" i="25"/>
  <c r="M183" i="25"/>
  <c r="K181" i="25"/>
  <c r="P181" i="25" s="1"/>
  <c r="J181" i="25"/>
  <c r="L181" i="25"/>
  <c r="O181" i="25"/>
  <c r="N183" i="25" l="1"/>
  <c r="M184" i="25"/>
  <c r="J189" i="27"/>
  <c r="M191" i="27"/>
  <c r="N190" i="27"/>
  <c r="J182" i="25"/>
  <c r="M192" i="27" l="1"/>
  <c r="N191" i="27"/>
  <c r="J190" i="27"/>
  <c r="N184" i="25"/>
  <c r="M185" i="25"/>
  <c r="J183" i="25"/>
  <c r="J184" i="25" l="1"/>
  <c r="N185" i="25"/>
  <c r="M186" i="25"/>
  <c r="J191" i="27"/>
  <c r="N192" i="27"/>
  <c r="M193" i="27"/>
  <c r="O192" i="27" l="1"/>
  <c r="J192" i="27"/>
  <c r="K192" i="27"/>
  <c r="P192" i="27" s="1"/>
  <c r="L192" i="27"/>
  <c r="J185" i="25"/>
  <c r="N186" i="25"/>
  <c r="M187" i="25"/>
  <c r="N193" i="27"/>
  <c r="M194" i="27"/>
  <c r="J193" i="27" l="1"/>
  <c r="N187" i="25"/>
  <c r="M188" i="25"/>
  <c r="M195" i="27"/>
  <c r="N194" i="27"/>
  <c r="J186" i="25"/>
  <c r="J187" i="25" l="1"/>
  <c r="M196" i="27"/>
  <c r="N195" i="27"/>
  <c r="N188" i="25"/>
  <c r="M189" i="25"/>
  <c r="J194" i="27"/>
  <c r="J188" i="25" l="1"/>
  <c r="K195" i="27"/>
  <c r="P195" i="27" s="1"/>
  <c r="L195" i="27"/>
  <c r="O195" i="27"/>
  <c r="J195" i="27"/>
  <c r="N189" i="25"/>
  <c r="M190" i="25"/>
  <c r="N196" i="27"/>
  <c r="M197" i="27"/>
  <c r="M198" i="27" l="1"/>
  <c r="N197" i="27"/>
  <c r="J196" i="27"/>
  <c r="K196" i="27"/>
  <c r="P196" i="27" s="1"/>
  <c r="O196" i="27"/>
  <c r="L196" i="27"/>
  <c r="N190" i="25"/>
  <c r="M191" i="25"/>
  <c r="J189" i="25"/>
  <c r="J190" i="25" l="1"/>
  <c r="K197" i="27"/>
  <c r="P197" i="27" s="1"/>
  <c r="L197" i="27"/>
  <c r="O197" i="27"/>
  <c r="J197" i="27"/>
  <c r="N191" i="25"/>
  <c r="M192" i="25"/>
  <c r="N198" i="27"/>
  <c r="M199" i="27"/>
  <c r="L198" i="27" l="1"/>
  <c r="J198" i="27"/>
  <c r="K198" i="27"/>
  <c r="P198" i="27" s="1"/>
  <c r="O198" i="27"/>
  <c r="N199" i="27"/>
  <c r="M200" i="27"/>
  <c r="N192" i="25"/>
  <c r="M193" i="25"/>
  <c r="J191" i="25"/>
  <c r="J192" i="25" l="1"/>
  <c r="J199" i="27"/>
  <c r="K199" i="27"/>
  <c r="P199" i="27" s="1"/>
  <c r="O199" i="27"/>
  <c r="L199" i="27"/>
  <c r="N193" i="25"/>
  <c r="M194" i="25"/>
  <c r="M201" i="27"/>
  <c r="N200" i="27"/>
  <c r="N201" i="27" l="1"/>
  <c r="M202" i="27"/>
  <c r="N194" i="25"/>
  <c r="M195" i="25"/>
  <c r="J200" i="27"/>
  <c r="L193" i="25"/>
  <c r="K193" i="25"/>
  <c r="P193" i="25" s="1"/>
  <c r="O193" i="25"/>
  <c r="J193" i="25"/>
  <c r="N195" i="25" l="1"/>
  <c r="M196" i="25"/>
  <c r="J194" i="25"/>
  <c r="M203" i="27"/>
  <c r="N202" i="27"/>
  <c r="J201" i="27"/>
  <c r="L202" i="27" l="1"/>
  <c r="O202" i="27"/>
  <c r="K202" i="27"/>
  <c r="P202" i="27" s="1"/>
  <c r="J202" i="27"/>
  <c r="N203" i="27"/>
  <c r="M204" i="27"/>
  <c r="N196" i="25"/>
  <c r="M197" i="25"/>
  <c r="J195" i="25"/>
  <c r="N197" i="25" l="1"/>
  <c r="M198" i="25"/>
  <c r="O196" i="25"/>
  <c r="J196" i="25"/>
  <c r="K196" i="25"/>
  <c r="P196" i="25" s="1"/>
  <c r="L196" i="25"/>
  <c r="M205" i="27"/>
  <c r="N204" i="27"/>
  <c r="K203" i="27"/>
  <c r="P203" i="27" s="1"/>
  <c r="O203" i="27"/>
  <c r="L203" i="27"/>
  <c r="J203" i="27"/>
  <c r="J204" i="27" l="1"/>
  <c r="N198" i="25"/>
  <c r="M199" i="25"/>
  <c r="N205" i="27"/>
  <c r="M206" i="27"/>
  <c r="K197" i="25"/>
  <c r="P197" i="25" s="1"/>
  <c r="J197" i="25"/>
  <c r="O197" i="25"/>
  <c r="L197" i="25"/>
  <c r="N206" i="27" l="1"/>
  <c r="M207" i="27"/>
  <c r="J205" i="27"/>
  <c r="N199" i="25"/>
  <c r="M200" i="25"/>
  <c r="O198" i="25"/>
  <c r="L198" i="25"/>
  <c r="K198" i="25"/>
  <c r="P198" i="25" s="1"/>
  <c r="J198" i="25"/>
  <c r="N200" i="25" l="1"/>
  <c r="M201" i="25"/>
  <c r="M208" i="27"/>
  <c r="N207" i="27"/>
  <c r="K199" i="25"/>
  <c r="P199" i="25" s="1"/>
  <c r="J199" i="25"/>
  <c r="O199" i="25"/>
  <c r="L199" i="25"/>
  <c r="J206" i="27"/>
  <c r="J207" i="27" l="1"/>
  <c r="M209" i="27"/>
  <c r="N208" i="27"/>
  <c r="N201" i="25"/>
  <c r="M202" i="25"/>
  <c r="K200" i="25"/>
  <c r="P200" i="25" s="1"/>
  <c r="J200" i="25"/>
  <c r="O200" i="25"/>
  <c r="L200" i="25"/>
  <c r="J201" i="25" l="1"/>
  <c r="M210" i="27"/>
  <c r="N209" i="27"/>
  <c r="N202" i="25"/>
  <c r="M203" i="25"/>
  <c r="K208" i="27"/>
  <c r="P208" i="27" s="1"/>
  <c r="O208" i="27"/>
  <c r="J208" i="27"/>
  <c r="L208" i="27"/>
  <c r="N203" i="25" l="1"/>
  <c r="M204" i="25"/>
  <c r="N210" i="27"/>
  <c r="M211" i="27"/>
  <c r="J209" i="27"/>
  <c r="J202" i="25"/>
  <c r="N211" i="27" l="1"/>
  <c r="M212" i="27"/>
  <c r="J210" i="27"/>
  <c r="O210" i="27"/>
  <c r="K210" i="27"/>
  <c r="P210" i="27" s="1"/>
  <c r="L210" i="27"/>
  <c r="N204" i="25"/>
  <c r="M205" i="25"/>
  <c r="J203" i="25"/>
  <c r="N205" i="25" l="1"/>
  <c r="M206" i="25"/>
  <c r="L204" i="25"/>
  <c r="K204" i="25"/>
  <c r="P204" i="25" s="1"/>
  <c r="O204" i="25"/>
  <c r="J204" i="25"/>
  <c r="N212" i="27"/>
  <c r="M213" i="27"/>
  <c r="O211" i="27"/>
  <c r="L211" i="27"/>
  <c r="J211" i="27"/>
  <c r="K211" i="27"/>
  <c r="P211" i="27" s="1"/>
  <c r="N213" i="27" l="1"/>
  <c r="M214" i="27"/>
  <c r="J212" i="27"/>
  <c r="N206" i="25"/>
  <c r="M207" i="25"/>
  <c r="J205" i="25"/>
  <c r="N207" i="25" l="1"/>
  <c r="M208" i="25"/>
  <c r="N214" i="27"/>
  <c r="M215" i="27"/>
  <c r="J206" i="25"/>
  <c r="J213" i="27"/>
  <c r="N215" i="27" l="1"/>
  <c r="M216" i="27"/>
  <c r="J214" i="27"/>
  <c r="N208" i="25"/>
  <c r="M209" i="25"/>
  <c r="J207" i="25"/>
  <c r="J208" i="25" l="1"/>
  <c r="M217" i="27"/>
  <c r="N216" i="27"/>
  <c r="N209" i="25"/>
  <c r="M210" i="25"/>
  <c r="J215" i="27"/>
  <c r="J209" i="25" l="1"/>
  <c r="N210" i="25"/>
  <c r="M211" i="25"/>
  <c r="J216" i="27"/>
  <c r="N217" i="27"/>
  <c r="M218" i="27"/>
  <c r="N211" i="25" l="1"/>
  <c r="M212" i="25"/>
  <c r="M219" i="27"/>
  <c r="N218" i="27"/>
  <c r="J210" i="25"/>
  <c r="J217" i="27"/>
  <c r="J218" i="27" l="1"/>
  <c r="O218" i="27"/>
  <c r="K218" i="27"/>
  <c r="P218" i="27" s="1"/>
  <c r="L218" i="27"/>
  <c r="M220" i="27"/>
  <c r="N219" i="27"/>
  <c r="N212" i="25"/>
  <c r="M213" i="25"/>
  <c r="L211" i="25"/>
  <c r="K211" i="25"/>
  <c r="P211" i="25" s="1"/>
  <c r="J211" i="25"/>
  <c r="O211" i="25"/>
  <c r="J219" i="27" l="1"/>
  <c r="N220" i="27"/>
  <c r="M221" i="27"/>
  <c r="N213" i="25"/>
  <c r="M214" i="25"/>
  <c r="J212" i="25"/>
  <c r="O220" i="27" l="1"/>
  <c r="L220" i="27"/>
  <c r="J220" i="27"/>
  <c r="K220" i="27"/>
  <c r="P220" i="27" s="1"/>
  <c r="J213" i="25"/>
  <c r="N221" i="27"/>
  <c r="M222" i="27"/>
  <c r="N214" i="25"/>
  <c r="M215" i="25"/>
  <c r="J214" i="25" l="1"/>
  <c r="M223" i="27"/>
  <c r="N222" i="27"/>
  <c r="N215" i="25"/>
  <c r="M216" i="25"/>
  <c r="O221" i="27"/>
  <c r="K221" i="27"/>
  <c r="P221" i="27" s="1"/>
  <c r="J221" i="27"/>
  <c r="L221" i="27"/>
  <c r="N216" i="25" l="1"/>
  <c r="M217" i="25"/>
  <c r="J215" i="25"/>
  <c r="K222" i="27"/>
  <c r="P222" i="27" s="1"/>
  <c r="O222" i="27"/>
  <c r="J222" i="27"/>
  <c r="L222" i="27"/>
  <c r="M224" i="27"/>
  <c r="N223" i="27"/>
  <c r="L223" i="27" l="1"/>
  <c r="J223" i="27"/>
  <c r="K223" i="27"/>
  <c r="P223" i="27" s="1"/>
  <c r="O223" i="27"/>
  <c r="N224" i="27"/>
  <c r="M225" i="27"/>
  <c r="N217" i="25"/>
  <c r="M218" i="25"/>
  <c r="J216" i="25"/>
  <c r="N218" i="25" l="1"/>
  <c r="M219" i="25"/>
  <c r="N225" i="27"/>
  <c r="M226" i="27"/>
  <c r="K224" i="27"/>
  <c r="P224" i="27" s="1"/>
  <c r="J224" i="27"/>
  <c r="O224" i="27"/>
  <c r="L224" i="27"/>
  <c r="J217" i="25"/>
  <c r="N226" i="27" l="1"/>
  <c r="M227" i="27"/>
  <c r="L225" i="27"/>
  <c r="K225" i="27"/>
  <c r="P225" i="27" s="1"/>
  <c r="O225" i="27"/>
  <c r="J225" i="27"/>
  <c r="N219" i="25"/>
  <c r="M220" i="25"/>
  <c r="J218" i="25"/>
  <c r="K218" i="25"/>
  <c r="P218" i="25" s="1"/>
  <c r="L218" i="25"/>
  <c r="O218" i="25"/>
  <c r="N220" i="25" l="1"/>
  <c r="M221" i="25"/>
  <c r="K219" i="25"/>
  <c r="P219" i="25" s="1"/>
  <c r="J219" i="25"/>
  <c r="O219" i="25"/>
  <c r="L219" i="25"/>
  <c r="N227" i="27"/>
  <c r="M228" i="27"/>
  <c r="L226" i="27"/>
  <c r="K226" i="27"/>
  <c r="P226" i="27" s="1"/>
  <c r="J226" i="27"/>
  <c r="O226" i="27"/>
  <c r="N228" i="27" l="1"/>
  <c r="M229" i="27"/>
  <c r="J227" i="27"/>
  <c r="L227" i="27"/>
  <c r="O227" i="27"/>
  <c r="K227" i="27"/>
  <c r="P227" i="27" s="1"/>
  <c r="N221" i="25"/>
  <c r="M222" i="25"/>
  <c r="L220" i="25"/>
  <c r="K220" i="25"/>
  <c r="P220" i="25" s="1"/>
  <c r="O220" i="25"/>
  <c r="J220" i="25"/>
  <c r="J221" i="25" l="1"/>
  <c r="L221" i="25"/>
  <c r="K221" i="25"/>
  <c r="P221" i="25" s="1"/>
  <c r="O221" i="25"/>
  <c r="M230" i="27"/>
  <c r="N229" i="27"/>
  <c r="N222" i="25"/>
  <c r="M223" i="25"/>
  <c r="J228" i="27"/>
  <c r="O228" i="27"/>
  <c r="L228" i="27"/>
  <c r="K228" i="27"/>
  <c r="P228" i="27" s="1"/>
  <c r="N223" i="25" l="1"/>
  <c r="M224" i="25"/>
  <c r="K222" i="25"/>
  <c r="P222" i="25" s="1"/>
  <c r="L222" i="25"/>
  <c r="O222" i="25"/>
  <c r="J222" i="25"/>
  <c r="K229" i="27"/>
  <c r="P229" i="27" s="1"/>
  <c r="J229" i="27"/>
  <c r="L229" i="27"/>
  <c r="O229" i="27"/>
  <c r="N230" i="27"/>
  <c r="M231" i="27"/>
  <c r="J230" i="27" l="1"/>
  <c r="O230" i="27"/>
  <c r="L230" i="27"/>
  <c r="K230" i="27"/>
  <c r="P230" i="27" s="1"/>
  <c r="N231" i="27"/>
  <c r="M232" i="27"/>
  <c r="N224" i="25"/>
  <c r="M225" i="25"/>
  <c r="L223" i="25"/>
  <c r="O223" i="25"/>
  <c r="K223" i="25"/>
  <c r="P223" i="25" s="1"/>
  <c r="J223" i="25"/>
  <c r="N225" i="25" l="1"/>
  <c r="M226" i="25"/>
  <c r="K224" i="25"/>
  <c r="P224" i="25" s="1"/>
  <c r="J224" i="25"/>
  <c r="O224" i="25"/>
  <c r="L224" i="25"/>
  <c r="N232" i="27"/>
  <c r="M233" i="27"/>
  <c r="O231" i="27"/>
  <c r="L231" i="27"/>
  <c r="J231" i="27"/>
  <c r="K231" i="27"/>
  <c r="P231" i="27" s="1"/>
  <c r="M234" i="27" l="1"/>
  <c r="N233" i="27"/>
  <c r="N226" i="25"/>
  <c r="M227" i="25"/>
  <c r="O232" i="27"/>
  <c r="K232" i="27"/>
  <c r="P232" i="27" s="1"/>
  <c r="J232" i="27"/>
  <c r="L232" i="27"/>
  <c r="L225" i="25"/>
  <c r="O225" i="25"/>
  <c r="K225" i="25"/>
  <c r="P225" i="25" s="1"/>
  <c r="J225" i="25"/>
  <c r="L233" i="27" l="1"/>
  <c r="K233" i="27"/>
  <c r="P233" i="27" s="1"/>
  <c r="O233" i="27"/>
  <c r="J233" i="27"/>
  <c r="N227" i="25"/>
  <c r="M228" i="25"/>
  <c r="O226" i="25"/>
  <c r="K226" i="25"/>
  <c r="P226" i="25" s="1"/>
  <c r="J226" i="25"/>
  <c r="L226" i="25"/>
  <c r="N234" i="27"/>
  <c r="M235" i="27"/>
  <c r="N228" i="25" l="1"/>
  <c r="M229" i="25"/>
  <c r="O234" i="27"/>
  <c r="L234" i="27"/>
  <c r="K234" i="27"/>
  <c r="P234" i="27" s="1"/>
  <c r="J234" i="27"/>
  <c r="L227" i="25"/>
  <c r="O227" i="25"/>
  <c r="J227" i="25"/>
  <c r="K227" i="25"/>
  <c r="P227" i="25" s="1"/>
  <c r="M236" i="27"/>
  <c r="N235" i="27"/>
  <c r="K235" i="27" l="1"/>
  <c r="P235" i="27" s="1"/>
  <c r="J235" i="27"/>
  <c r="O235" i="27"/>
  <c r="L235" i="27"/>
  <c r="N229" i="25"/>
  <c r="M230" i="25"/>
  <c r="N236" i="27"/>
  <c r="M237" i="27"/>
  <c r="J228" i="25"/>
  <c r="K228" i="25"/>
  <c r="P228" i="25" s="1"/>
  <c r="L228" i="25"/>
  <c r="O228" i="25"/>
  <c r="M238" i="27" l="1"/>
  <c r="N237" i="27"/>
  <c r="L229" i="25"/>
  <c r="J229" i="25"/>
  <c r="K229" i="25"/>
  <c r="P229" i="25" s="1"/>
  <c r="O229" i="25"/>
  <c r="L236" i="27"/>
  <c r="J236" i="27"/>
  <c r="O236" i="27"/>
  <c r="K236" i="27"/>
  <c r="P236" i="27" s="1"/>
  <c r="N230" i="25"/>
  <c r="M231" i="25"/>
  <c r="K130" i="27"/>
  <c r="P130" i="27" s="1"/>
  <c r="K71" i="27"/>
  <c r="P71" i="27" s="1"/>
  <c r="K52" i="27"/>
  <c r="P52" i="27" s="1"/>
  <c r="K168" i="27"/>
  <c r="P168" i="27" s="1"/>
  <c r="K60" i="27"/>
  <c r="P60" i="27" s="1"/>
  <c r="K92" i="27"/>
  <c r="P92" i="27" s="1"/>
  <c r="K69" i="27"/>
  <c r="P69" i="27" s="1"/>
  <c r="K75" i="27"/>
  <c r="P75" i="27" s="1"/>
  <c r="K133" i="27"/>
  <c r="P133" i="27" s="1"/>
  <c r="K48" i="27"/>
  <c r="P48" i="27" s="1"/>
  <c r="K35" i="27"/>
  <c r="P35" i="27" s="1"/>
  <c r="K34" i="27"/>
  <c r="P34" i="27" s="1"/>
  <c r="K78" i="27"/>
  <c r="P78" i="27" s="1"/>
  <c r="K115" i="27"/>
  <c r="P115" i="27" s="1"/>
  <c r="K134" i="27"/>
  <c r="P134" i="27" s="1"/>
  <c r="K146" i="27"/>
  <c r="P146" i="27" s="1"/>
  <c r="N231" i="25" l="1"/>
  <c r="M232" i="25"/>
  <c r="O230" i="25"/>
  <c r="J230" i="25"/>
  <c r="L230" i="25"/>
  <c r="K230" i="25"/>
  <c r="P230" i="25" s="1"/>
  <c r="O237" i="27"/>
  <c r="J237" i="27"/>
  <c r="L237" i="27"/>
  <c r="K237" i="27"/>
  <c r="P237" i="27" s="1"/>
  <c r="M239" i="27"/>
  <c r="N238" i="27"/>
  <c r="L25" i="27"/>
  <c r="O25" i="27"/>
  <c r="O16" i="27"/>
  <c r="L30" i="27"/>
  <c r="O18" i="27"/>
  <c r="L16" i="27"/>
  <c r="O26" i="27"/>
  <c r="O30" i="27"/>
  <c r="L13" i="27"/>
  <c r="L18" i="27"/>
  <c r="O13" i="27"/>
  <c r="L26" i="27"/>
  <c r="L17" i="27"/>
  <c r="O17" i="27"/>
  <c r="O130" i="27"/>
  <c r="L130" i="27"/>
  <c r="L71" i="27"/>
  <c r="O71" i="27"/>
  <c r="K74" i="25"/>
  <c r="P74" i="25" s="1"/>
  <c r="O168" i="27"/>
  <c r="L168" i="27"/>
  <c r="L52" i="27"/>
  <c r="O52" i="27"/>
  <c r="K128" i="25"/>
  <c r="P128" i="25" s="1"/>
  <c r="K53" i="25"/>
  <c r="P53" i="25" s="1"/>
  <c r="K100" i="25"/>
  <c r="P100" i="25" s="1"/>
  <c r="L60" i="27"/>
  <c r="O60" i="27"/>
  <c r="O92" i="27"/>
  <c r="L92" i="27"/>
  <c r="L69" i="27"/>
  <c r="O69" i="27"/>
  <c r="K76" i="25"/>
  <c r="P76" i="25" s="1"/>
  <c r="O75" i="27"/>
  <c r="L75" i="27"/>
  <c r="O133" i="27"/>
  <c r="L133" i="27"/>
  <c r="L48" i="27"/>
  <c r="O48" i="27"/>
  <c r="O134" i="27"/>
  <c r="L134" i="27"/>
  <c r="L146" i="27"/>
  <c r="O146" i="27"/>
  <c r="K36" i="25"/>
  <c r="P36" i="25" s="1"/>
  <c r="K35" i="25"/>
  <c r="P35" i="25" s="1"/>
  <c r="K15" i="25"/>
  <c r="P15" i="25" s="1"/>
  <c r="K13" i="25"/>
  <c r="P13" i="25" s="1"/>
  <c r="K42" i="25"/>
  <c r="P42" i="25" s="1"/>
  <c r="K75" i="25"/>
  <c r="P75" i="25" s="1"/>
  <c r="K79" i="25"/>
  <c r="P79" i="25" s="1"/>
  <c r="K116" i="25"/>
  <c r="P116" i="25" s="1"/>
  <c r="K139" i="25"/>
  <c r="P139" i="25" s="1"/>
  <c r="K150" i="25"/>
  <c r="P150" i="25" s="1"/>
  <c r="K168" i="25"/>
  <c r="P168" i="25" s="1"/>
  <c r="L115" i="27"/>
  <c r="O115" i="27"/>
  <c r="O34" i="27"/>
  <c r="L34" i="27"/>
  <c r="L78" i="27"/>
  <c r="O78" i="27"/>
  <c r="L35" i="27"/>
  <c r="O35" i="27"/>
  <c r="L238" i="27" l="1"/>
  <c r="J238" i="27"/>
  <c r="O238" i="27"/>
  <c r="K238" i="27"/>
  <c r="P238" i="27" s="1"/>
  <c r="M240" i="27"/>
  <c r="N239" i="27"/>
  <c r="N232" i="25"/>
  <c r="M233" i="25"/>
  <c r="L231" i="25"/>
  <c r="K231" i="25"/>
  <c r="P231" i="25" s="1"/>
  <c r="J231" i="25"/>
  <c r="O231" i="25"/>
  <c r="O74" i="25"/>
  <c r="L74" i="25"/>
  <c r="O128" i="25"/>
  <c r="L128" i="25"/>
  <c r="O100" i="25"/>
  <c r="L100" i="25"/>
  <c r="O53" i="25"/>
  <c r="L76" i="25"/>
  <c r="O76" i="25"/>
  <c r="O42" i="25"/>
  <c r="L42" i="25"/>
  <c r="O168" i="25"/>
  <c r="L168" i="25"/>
  <c r="L139" i="25"/>
  <c r="O139" i="25"/>
  <c r="O79" i="25"/>
  <c r="L79" i="25"/>
  <c r="O75" i="25"/>
  <c r="L75" i="25"/>
  <c r="L13" i="25"/>
  <c r="O13" i="25"/>
  <c r="L53" i="25"/>
  <c r="O15" i="25"/>
  <c r="L15" i="25"/>
  <c r="L35" i="25"/>
  <c r="O35" i="25"/>
  <c r="O150" i="25"/>
  <c r="L150" i="25"/>
  <c r="O116" i="25"/>
  <c r="L116" i="25"/>
  <c r="O36" i="25"/>
  <c r="L36" i="25"/>
  <c r="J239" i="27" l="1"/>
  <c r="L239" i="27"/>
  <c r="K239" i="27"/>
  <c r="P239" i="27" s="1"/>
  <c r="O239" i="27"/>
  <c r="M241" i="27"/>
  <c r="N240" i="27"/>
  <c r="N233" i="25"/>
  <c r="M234" i="25"/>
  <c r="K232" i="25"/>
  <c r="P232" i="25" s="1"/>
  <c r="J232" i="25"/>
  <c r="L232" i="25"/>
  <c r="O232" i="25"/>
  <c r="N234" i="25" l="1"/>
  <c r="M235" i="25"/>
  <c r="L233" i="25"/>
  <c r="J233" i="25"/>
  <c r="K233" i="25"/>
  <c r="P233" i="25" s="1"/>
  <c r="O233" i="25"/>
  <c r="O240" i="27"/>
  <c r="K240" i="27"/>
  <c r="P240" i="27" s="1"/>
  <c r="J240" i="27"/>
  <c r="L240" i="27"/>
  <c r="M242" i="27"/>
  <c r="N241" i="27"/>
  <c r="K241" i="27" l="1"/>
  <c r="P241" i="27" s="1"/>
  <c r="O241" i="27"/>
  <c r="L241" i="27"/>
  <c r="J241" i="27"/>
  <c r="N242" i="27"/>
  <c r="M243" i="27"/>
  <c r="N235" i="25"/>
  <c r="M236" i="25"/>
  <c r="O234" i="25"/>
  <c r="K234" i="25"/>
  <c r="P234" i="25" s="1"/>
  <c r="J234" i="25"/>
  <c r="L234" i="25"/>
  <c r="N236" i="25" l="1"/>
  <c r="M237" i="25"/>
  <c r="J235" i="25"/>
  <c r="L235" i="25"/>
  <c r="O235" i="25"/>
  <c r="K235" i="25"/>
  <c r="P235" i="25" s="1"/>
  <c r="M244" i="27"/>
  <c r="N243" i="27"/>
  <c r="L242" i="27"/>
  <c r="J242" i="27"/>
  <c r="K242" i="27"/>
  <c r="P242" i="27" s="1"/>
  <c r="O242" i="27"/>
  <c r="K49" i="25"/>
  <c r="P49" i="25" s="1"/>
  <c r="J243" i="27" l="1"/>
  <c r="L243" i="27"/>
  <c r="K243" i="27"/>
  <c r="P243" i="27" s="1"/>
  <c r="O243" i="27"/>
  <c r="N244" i="27"/>
  <c r="M245" i="27"/>
  <c r="N237" i="25"/>
  <c r="M238" i="25"/>
  <c r="K236" i="25"/>
  <c r="P236" i="25" s="1"/>
  <c r="L236" i="25"/>
  <c r="J236" i="25"/>
  <c r="O236" i="25"/>
  <c r="K171" i="25"/>
  <c r="P171" i="25" s="1"/>
  <c r="K51" i="25"/>
  <c r="P51" i="25" s="1"/>
  <c r="K48" i="25"/>
  <c r="P48" i="25" s="1"/>
  <c r="K135" i="25"/>
  <c r="P135" i="25" s="1"/>
  <c r="K127" i="25"/>
  <c r="P127" i="25" s="1"/>
  <c r="K117" i="25"/>
  <c r="P117" i="25" s="1"/>
  <c r="N238" i="25" l="1"/>
  <c r="M239" i="25"/>
  <c r="N245" i="27"/>
  <c r="M246" i="27"/>
  <c r="J237" i="25"/>
  <c r="K237" i="25"/>
  <c r="P237" i="25" s="1"/>
  <c r="L237" i="25"/>
  <c r="O237" i="25"/>
  <c r="L244" i="27"/>
  <c r="K244" i="27"/>
  <c r="P244" i="27" s="1"/>
  <c r="J244" i="27"/>
  <c r="O244" i="27"/>
  <c r="O171" i="25"/>
  <c r="L171" i="25"/>
  <c r="O48" i="25"/>
  <c r="L48" i="25"/>
  <c r="L117" i="25"/>
  <c r="O117" i="25"/>
  <c r="L135" i="25"/>
  <c r="O135" i="25"/>
  <c r="O51" i="25"/>
  <c r="O127" i="25"/>
  <c r="L127" i="25"/>
  <c r="L51" i="25"/>
  <c r="O49" i="25"/>
  <c r="L49" i="25"/>
  <c r="N246" i="27" l="1"/>
  <c r="M247" i="27"/>
  <c r="K245" i="27"/>
  <c r="P245" i="27" s="1"/>
  <c r="O245" i="27"/>
  <c r="L245" i="27"/>
  <c r="J245" i="27"/>
  <c r="N239" i="25"/>
  <c r="M240" i="25"/>
  <c r="J238" i="25"/>
  <c r="O238" i="25"/>
  <c r="K238" i="25"/>
  <c r="P238" i="25" s="1"/>
  <c r="L238" i="25"/>
  <c r="N247" i="27" l="1"/>
  <c r="M248" i="27"/>
  <c r="L246" i="27"/>
  <c r="O246" i="27"/>
  <c r="J246" i="27"/>
  <c r="K246" i="27"/>
  <c r="P246" i="27" s="1"/>
  <c r="N240" i="25"/>
  <c r="M241" i="25"/>
  <c r="L239" i="25"/>
  <c r="J239" i="25"/>
  <c r="K239" i="25"/>
  <c r="P239" i="25" s="1"/>
  <c r="O239" i="25"/>
  <c r="O240" i="25" l="1"/>
  <c r="L240" i="25"/>
  <c r="K240" i="25"/>
  <c r="P240" i="25" s="1"/>
  <c r="J240" i="25"/>
  <c r="M249" i="27"/>
  <c r="N248" i="27"/>
  <c r="O247" i="27"/>
  <c r="K247" i="27"/>
  <c r="P247" i="27" s="1"/>
  <c r="L247" i="27"/>
  <c r="J247" i="27"/>
  <c r="N241" i="25"/>
  <c r="M242" i="25"/>
  <c r="L248" i="27" l="1"/>
  <c r="K248" i="27"/>
  <c r="P248" i="27" s="1"/>
  <c r="O248" i="27"/>
  <c r="J248" i="27"/>
  <c r="N242" i="25"/>
  <c r="M243" i="25"/>
  <c r="O241" i="25"/>
  <c r="L241" i="25"/>
  <c r="J241" i="25"/>
  <c r="K241" i="25"/>
  <c r="P241" i="25" s="1"/>
  <c r="M250" i="27"/>
  <c r="N250" i="27" s="1"/>
  <c r="N249" i="27"/>
  <c r="N243" i="25" l="1"/>
  <c r="M244" i="25"/>
  <c r="K249" i="27"/>
  <c r="P249" i="27" s="1"/>
  <c r="L249" i="27"/>
  <c r="O249" i="27"/>
  <c r="J249" i="27"/>
  <c r="L250" i="27"/>
  <c r="J250" i="27"/>
  <c r="K56" i="27" s="1"/>
  <c r="P56" i="27" s="1"/>
  <c r="O250" i="27"/>
  <c r="K250" i="27"/>
  <c r="P250" i="27" s="1"/>
  <c r="L242" i="25"/>
  <c r="J242" i="25"/>
  <c r="O242" i="25"/>
  <c r="K242" i="25"/>
  <c r="P242" i="25" s="1"/>
  <c r="K22" i="27" l="1"/>
  <c r="P22" i="27" s="1"/>
  <c r="K33" i="27"/>
  <c r="P33" i="27" s="1"/>
  <c r="K81" i="27"/>
  <c r="P81" i="27" s="1"/>
  <c r="K190" i="27"/>
  <c r="P190" i="27" s="1"/>
  <c r="K193" i="27"/>
  <c r="P193" i="27" s="1"/>
  <c r="K207" i="27"/>
  <c r="P207" i="27" s="1"/>
  <c r="K175" i="27"/>
  <c r="P175" i="27" s="1"/>
  <c r="K170" i="27"/>
  <c r="P170" i="27" s="1"/>
  <c r="K158" i="27"/>
  <c r="P158" i="27" s="1"/>
  <c r="K14" i="27"/>
  <c r="P14" i="27" s="1"/>
  <c r="K73" i="27"/>
  <c r="P73" i="27" s="1"/>
  <c r="K40" i="27"/>
  <c r="P40" i="27" s="1"/>
  <c r="K178" i="27"/>
  <c r="P178" i="27" s="1"/>
  <c r="K180" i="27"/>
  <c r="P180" i="27" s="1"/>
  <c r="K187" i="27"/>
  <c r="P187" i="27" s="1"/>
  <c r="K200" i="27"/>
  <c r="P200" i="27" s="1"/>
  <c r="K57" i="27"/>
  <c r="P57" i="27" s="1"/>
  <c r="K204" i="27"/>
  <c r="P204" i="27" s="1"/>
  <c r="K219" i="27"/>
  <c r="P219" i="27" s="1"/>
  <c r="K169" i="27"/>
  <c r="P169" i="27" s="1"/>
  <c r="K59" i="27"/>
  <c r="P59" i="27" s="1"/>
  <c r="K54" i="27"/>
  <c r="P54" i="27" s="1"/>
  <c r="K216" i="27"/>
  <c r="P216" i="27" s="1"/>
  <c r="K217" i="27"/>
  <c r="P217" i="27" s="1"/>
  <c r="K67" i="27"/>
  <c r="P67" i="27" s="1"/>
  <c r="K215" i="27"/>
  <c r="P215" i="27" s="1"/>
  <c r="K176" i="27"/>
  <c r="P176" i="27" s="1"/>
  <c r="K68" i="27"/>
  <c r="P68" i="27" s="1"/>
  <c r="K55" i="27"/>
  <c r="P55" i="27" s="1"/>
  <c r="K212" i="27"/>
  <c r="P212" i="27" s="1"/>
  <c r="K152" i="27"/>
  <c r="P152" i="27" s="1"/>
  <c r="K206" i="27"/>
  <c r="P206" i="27" s="1"/>
  <c r="K213" i="27"/>
  <c r="P213" i="27" s="1"/>
  <c r="K214" i="27"/>
  <c r="P214" i="27" s="1"/>
  <c r="K86" i="27"/>
  <c r="P86" i="27" s="1"/>
  <c r="K87" i="27"/>
  <c r="P87" i="27" s="1"/>
  <c r="K191" i="27"/>
  <c r="P191" i="27" s="1"/>
  <c r="K189" i="27"/>
  <c r="P189" i="27" s="1"/>
  <c r="K125" i="27"/>
  <c r="P125" i="27" s="1"/>
  <c r="K84" i="27"/>
  <c r="P84" i="27" s="1"/>
  <c r="K181" i="27"/>
  <c r="P181" i="27" s="1"/>
  <c r="K120" i="27"/>
  <c r="P120" i="27" s="1"/>
  <c r="K172" i="27"/>
  <c r="P172" i="27" s="1"/>
  <c r="K188" i="27"/>
  <c r="P188" i="27" s="1"/>
  <c r="K145" i="27"/>
  <c r="P145" i="27" s="1"/>
  <c r="K173" i="27"/>
  <c r="P173" i="27" s="1"/>
  <c r="K201" i="27"/>
  <c r="P201" i="27" s="1"/>
  <c r="K194" i="27"/>
  <c r="P194" i="27" s="1"/>
  <c r="K122" i="27"/>
  <c r="P122" i="27" s="1"/>
  <c r="K137" i="27"/>
  <c r="P137" i="27" s="1"/>
  <c r="K117" i="27"/>
  <c r="P117" i="27" s="1"/>
  <c r="K166" i="27"/>
  <c r="P166" i="27" s="1"/>
  <c r="K66" i="27"/>
  <c r="P66" i="27" s="1"/>
  <c r="K97" i="27"/>
  <c r="P97" i="27" s="1"/>
  <c r="K155" i="27"/>
  <c r="P155" i="27" s="1"/>
  <c r="K179" i="27"/>
  <c r="P179" i="27" s="1"/>
  <c r="K65" i="27"/>
  <c r="P65" i="27" s="1"/>
  <c r="K64" i="27"/>
  <c r="P64" i="27" s="1"/>
  <c r="K209" i="27"/>
  <c r="P209" i="27" s="1"/>
  <c r="K205" i="27"/>
  <c r="P205" i="27" s="1"/>
  <c r="K177" i="27"/>
  <c r="P177" i="27" s="1"/>
  <c r="K183" i="27"/>
  <c r="P183" i="27" s="1"/>
  <c r="K185" i="27"/>
  <c r="P185" i="27" s="1"/>
  <c r="K186" i="27"/>
  <c r="P186" i="27" s="1"/>
  <c r="K184" i="27"/>
  <c r="P184" i="27" s="1"/>
  <c r="K58" i="27"/>
  <c r="P58" i="27" s="1"/>
  <c r="K147" i="27"/>
  <c r="P147" i="27" s="1"/>
  <c r="K116" i="27"/>
  <c r="P116" i="27" s="1"/>
  <c r="K107" i="27"/>
  <c r="P107" i="27" s="1"/>
  <c r="K127" i="27"/>
  <c r="P127" i="27" s="1"/>
  <c r="K100" i="27"/>
  <c r="P100" i="27" s="1"/>
  <c r="K182" i="27"/>
  <c r="P182" i="27" s="1"/>
  <c r="K38" i="27"/>
  <c r="P38" i="27" s="1"/>
  <c r="K106" i="27"/>
  <c r="P106" i="27" s="1"/>
  <c r="K161" i="27"/>
  <c r="P161" i="27" s="1"/>
  <c r="K108" i="27"/>
  <c r="P108" i="27" s="1"/>
  <c r="K157" i="27"/>
  <c r="P157" i="27" s="1"/>
  <c r="K159" i="27"/>
  <c r="P159" i="27" s="1"/>
  <c r="K162" i="27"/>
  <c r="P162" i="27" s="1"/>
  <c r="K154" i="27"/>
  <c r="P154" i="27" s="1"/>
  <c r="K102" i="27"/>
  <c r="P102" i="27" s="1"/>
  <c r="K138" i="27"/>
  <c r="P138" i="27" s="1"/>
  <c r="K149" i="27"/>
  <c r="P149" i="27" s="1"/>
  <c r="K163" i="27"/>
  <c r="P163" i="27" s="1"/>
  <c r="K151" i="27"/>
  <c r="P151" i="27" s="1"/>
  <c r="K143" i="27"/>
  <c r="P143" i="27" s="1"/>
  <c r="K10" i="27"/>
  <c r="P10" i="27" s="1"/>
  <c r="L100" i="27" s="1"/>
  <c r="K142" i="27"/>
  <c r="P142" i="27" s="1"/>
  <c r="K96" i="27"/>
  <c r="P96" i="27" s="1"/>
  <c r="K63" i="27"/>
  <c r="P63" i="27" s="1"/>
  <c r="K164" i="27"/>
  <c r="P164" i="27" s="1"/>
  <c r="K160" i="27"/>
  <c r="P160" i="27" s="1"/>
  <c r="K156" i="27"/>
  <c r="P156" i="27" s="1"/>
  <c r="N244" i="25"/>
  <c r="M245" i="25"/>
  <c r="O243" i="25"/>
  <c r="L243" i="25"/>
  <c r="K243" i="25"/>
  <c r="P243" i="25" s="1"/>
  <c r="J243" i="25"/>
  <c r="K150" i="27"/>
  <c r="P150" i="27" s="1"/>
  <c r="K94" i="27"/>
  <c r="P94" i="27" s="1"/>
  <c r="K70" i="27"/>
  <c r="P70" i="27" s="1"/>
  <c r="K118" i="27"/>
  <c r="P118" i="27" s="1"/>
  <c r="K36" i="27"/>
  <c r="P36" i="27" s="1"/>
  <c r="K15" i="27"/>
  <c r="P15" i="27" s="1"/>
  <c r="K93" i="27"/>
  <c r="P93" i="27" s="1"/>
  <c r="K74" i="27"/>
  <c r="P74" i="27" s="1"/>
  <c r="K50" i="27"/>
  <c r="P50" i="27" s="1"/>
  <c r="K148" i="27"/>
  <c r="P148" i="27" s="1"/>
  <c r="K126" i="27"/>
  <c r="P126" i="27" s="1"/>
  <c r="K167" i="27"/>
  <c r="P167" i="27" s="1"/>
  <c r="K45" i="27"/>
  <c r="P45" i="27" s="1"/>
  <c r="K171" i="27"/>
  <c r="P171" i="27" s="1"/>
  <c r="K103" i="27"/>
  <c r="P103" i="27" s="1"/>
  <c r="K119" i="27"/>
  <c r="P119" i="27" s="1"/>
  <c r="K140" i="27"/>
  <c r="P140" i="27" s="1"/>
  <c r="K37" i="27"/>
  <c r="P37" i="27" s="1"/>
  <c r="K128" i="27"/>
  <c r="P128" i="27" s="1"/>
  <c r="K139" i="27"/>
  <c r="P139" i="27" s="1"/>
  <c r="K129" i="27"/>
  <c r="P129" i="27" s="1"/>
  <c r="K105" i="27"/>
  <c r="P105" i="27" s="1"/>
  <c r="K123" i="27"/>
  <c r="P123" i="27" s="1"/>
  <c r="K79" i="27"/>
  <c r="P79" i="27" s="1"/>
  <c r="K141" i="27"/>
  <c r="P141" i="27" s="1"/>
  <c r="K43" i="27"/>
  <c r="P43" i="27" s="1"/>
  <c r="K39" i="27"/>
  <c r="P39" i="27" s="1"/>
  <c r="K12" i="27"/>
  <c r="P12" i="27" s="1"/>
  <c r="K61" i="27"/>
  <c r="P61" i="27" s="1"/>
  <c r="K121" i="27"/>
  <c r="P121" i="27" s="1"/>
  <c r="K153" i="27"/>
  <c r="P153" i="27" s="1"/>
  <c r="K77" i="27"/>
  <c r="P77" i="27" s="1"/>
  <c r="K11" i="27"/>
  <c r="P11" i="27" s="1"/>
  <c r="K91" i="27"/>
  <c r="P91" i="27" s="1"/>
  <c r="K114" i="27"/>
  <c r="P114" i="27" s="1"/>
  <c r="L56" i="27" l="1"/>
  <c r="O56" i="27"/>
  <c r="L207" i="27"/>
  <c r="O207" i="27"/>
  <c r="O193" i="27"/>
  <c r="L193" i="27"/>
  <c r="O190" i="27"/>
  <c r="L190" i="27"/>
  <c r="O81" i="27"/>
  <c r="L81" i="27"/>
  <c r="O33" i="27"/>
  <c r="L33" i="27"/>
  <c r="O22" i="27"/>
  <c r="L22" i="27"/>
  <c r="L170" i="27"/>
  <c r="O170" i="27"/>
  <c r="O175" i="27"/>
  <c r="L175" i="27"/>
  <c r="L73" i="27"/>
  <c r="O73" i="27"/>
  <c r="O14" i="27"/>
  <c r="L14" i="27"/>
  <c r="L158" i="27"/>
  <c r="O158" i="27"/>
  <c r="L200" i="27"/>
  <c r="O200" i="27"/>
  <c r="O187" i="27"/>
  <c r="L187" i="27"/>
  <c r="O180" i="27"/>
  <c r="L180" i="27"/>
  <c r="O178" i="27"/>
  <c r="L178" i="27"/>
  <c r="O40" i="27"/>
  <c r="L40" i="27"/>
  <c r="O204" i="27"/>
  <c r="L204" i="27"/>
  <c r="L57" i="27"/>
  <c r="O57" i="27"/>
  <c r="L169" i="27"/>
  <c r="O169" i="27"/>
  <c r="O219" i="27"/>
  <c r="L219" i="27"/>
  <c r="L54" i="27"/>
  <c r="O54" i="27"/>
  <c r="L59" i="27"/>
  <c r="O59" i="27"/>
  <c r="L217" i="27"/>
  <c r="O217" i="27"/>
  <c r="L216" i="27"/>
  <c r="O216" i="27"/>
  <c r="L215" i="27"/>
  <c r="O215" i="27"/>
  <c r="O67" i="27"/>
  <c r="L67" i="27"/>
  <c r="L68" i="27"/>
  <c r="O68" i="27"/>
  <c r="O176" i="27"/>
  <c r="L176" i="27"/>
  <c r="O212" i="27"/>
  <c r="L212" i="27"/>
  <c r="O55" i="27"/>
  <c r="L55" i="27"/>
  <c r="O206" i="27"/>
  <c r="L206" i="27"/>
  <c r="L152" i="27"/>
  <c r="O152" i="27"/>
  <c r="L214" i="27"/>
  <c r="O214" i="27"/>
  <c r="O213" i="27"/>
  <c r="L213" i="27"/>
  <c r="L87" i="27"/>
  <c r="O87" i="27"/>
  <c r="O86" i="27"/>
  <c r="L86" i="27"/>
  <c r="L189" i="27"/>
  <c r="O189" i="27"/>
  <c r="O191" i="27"/>
  <c r="L191" i="27"/>
  <c r="L84" i="27"/>
  <c r="O84" i="27"/>
  <c r="L125" i="27"/>
  <c r="O125" i="27"/>
  <c r="L120" i="27"/>
  <c r="O120" i="27"/>
  <c r="O181" i="27"/>
  <c r="L181" i="27"/>
  <c r="L188" i="27"/>
  <c r="O188" i="27"/>
  <c r="L172" i="27"/>
  <c r="O172" i="27"/>
  <c r="L173" i="27"/>
  <c r="O173" i="27"/>
  <c r="O145" i="27"/>
  <c r="L145" i="27"/>
  <c r="L122" i="27"/>
  <c r="O122" i="27"/>
  <c r="L194" i="27"/>
  <c r="O194" i="27"/>
  <c r="O201" i="27"/>
  <c r="L201" i="27"/>
  <c r="L117" i="27"/>
  <c r="O117" i="27"/>
  <c r="L137" i="27"/>
  <c r="O137" i="27"/>
  <c r="L66" i="27"/>
  <c r="O66" i="27"/>
  <c r="L166" i="27"/>
  <c r="O166" i="27"/>
  <c r="O179" i="27"/>
  <c r="L179" i="27"/>
  <c r="L155" i="27"/>
  <c r="O155" i="27"/>
  <c r="O97" i="27"/>
  <c r="L97" i="27"/>
  <c r="O64" i="27"/>
  <c r="L64" i="27"/>
  <c r="O65" i="27"/>
  <c r="L65" i="27"/>
  <c r="O205" i="27"/>
  <c r="L205" i="27"/>
  <c r="L209" i="27"/>
  <c r="O209" i="27"/>
  <c r="O183" i="27"/>
  <c r="L183" i="27"/>
  <c r="O177" i="27"/>
  <c r="L177" i="27"/>
  <c r="L186" i="27"/>
  <c r="O186" i="27"/>
  <c r="O185" i="27"/>
  <c r="L185" i="27"/>
  <c r="O58" i="27"/>
  <c r="L58" i="27"/>
  <c r="L184" i="27"/>
  <c r="O184" i="27"/>
  <c r="O116" i="27"/>
  <c r="L116" i="27"/>
  <c r="L147" i="27"/>
  <c r="O147" i="27"/>
  <c r="O127" i="27"/>
  <c r="L127" i="27"/>
  <c r="O107" i="27"/>
  <c r="L107" i="27"/>
  <c r="O182" i="27"/>
  <c r="L182" i="27"/>
  <c r="O100" i="27"/>
  <c r="O108" i="27"/>
  <c r="L108" i="27"/>
  <c r="O161" i="27"/>
  <c r="L161" i="27"/>
  <c r="L106" i="27"/>
  <c r="O106" i="27"/>
  <c r="O38" i="27"/>
  <c r="L38" i="27"/>
  <c r="L157" i="27"/>
  <c r="L159" i="27"/>
  <c r="O159" i="27"/>
  <c r="O157" i="27"/>
  <c r="L154" i="27"/>
  <c r="O154" i="27"/>
  <c r="O162" i="27"/>
  <c r="L162" i="27"/>
  <c r="L138" i="27"/>
  <c r="O138" i="27"/>
  <c r="L102" i="27"/>
  <c r="O102" i="27"/>
  <c r="L163" i="27"/>
  <c r="O163" i="27"/>
  <c r="L149" i="27"/>
  <c r="O149" i="27"/>
  <c r="L143" i="27"/>
  <c r="O143" i="27"/>
  <c r="O151" i="27"/>
  <c r="L151" i="27"/>
  <c r="O142" i="27"/>
  <c r="L142" i="27"/>
  <c r="O10" i="27"/>
  <c r="L10" i="27"/>
  <c r="L164" i="27"/>
  <c r="O164" i="27"/>
  <c r="L63" i="27"/>
  <c r="O63" i="27"/>
  <c r="O96" i="27"/>
  <c r="L96" i="27"/>
  <c r="O156" i="27"/>
  <c r="L156" i="27"/>
  <c r="O160" i="27"/>
  <c r="L160" i="27"/>
  <c r="O91" i="27"/>
  <c r="L91" i="27"/>
  <c r="O153" i="27"/>
  <c r="L153" i="27"/>
  <c r="L123" i="27"/>
  <c r="O123" i="27"/>
  <c r="L103" i="27"/>
  <c r="O103" i="27"/>
  <c r="O93" i="27"/>
  <c r="L93" i="27"/>
  <c r="L121" i="27"/>
  <c r="O121" i="27"/>
  <c r="O105" i="27"/>
  <c r="L105" i="27"/>
  <c r="O171" i="27"/>
  <c r="L171" i="27"/>
  <c r="L15" i="27"/>
  <c r="O15" i="27"/>
  <c r="L11" i="27"/>
  <c r="O11" i="27"/>
  <c r="O61" i="27"/>
  <c r="L61" i="27"/>
  <c r="L129" i="27"/>
  <c r="O129" i="27"/>
  <c r="O45" i="27"/>
  <c r="L45" i="27"/>
  <c r="O36" i="27"/>
  <c r="L36" i="27"/>
  <c r="L12" i="27"/>
  <c r="O12" i="27"/>
  <c r="O139" i="27"/>
  <c r="L139" i="27"/>
  <c r="O167" i="27"/>
  <c r="L167" i="27"/>
  <c r="L118" i="27"/>
  <c r="O118" i="27"/>
  <c r="O128" i="27"/>
  <c r="L128" i="27"/>
  <c r="L126" i="27"/>
  <c r="O126" i="27"/>
  <c r="O70" i="27"/>
  <c r="L70" i="27"/>
  <c r="L43" i="27"/>
  <c r="O43" i="27"/>
  <c r="L37" i="27"/>
  <c r="O37" i="27"/>
  <c r="L148" i="27"/>
  <c r="O148" i="27"/>
  <c r="O94" i="27"/>
  <c r="L94" i="27"/>
  <c r="O114" i="27"/>
  <c r="L114" i="27"/>
  <c r="O141" i="27"/>
  <c r="L141" i="27"/>
  <c r="L140" i="27"/>
  <c r="O140" i="27"/>
  <c r="O50" i="27"/>
  <c r="L50" i="27"/>
  <c r="O150" i="27"/>
  <c r="L150" i="27"/>
  <c r="N245" i="25"/>
  <c r="M246" i="25"/>
  <c r="L39" i="27"/>
  <c r="O39" i="27"/>
  <c r="O77" i="27"/>
  <c r="L77" i="27"/>
  <c r="O79" i="27"/>
  <c r="L79" i="27"/>
  <c r="L119" i="27"/>
  <c r="O119" i="27"/>
  <c r="L74" i="27"/>
  <c r="O74" i="27"/>
  <c r="L244" i="25"/>
  <c r="J244" i="25"/>
  <c r="K244" i="25"/>
  <c r="P244" i="25" s="1"/>
  <c r="O244" i="25"/>
  <c r="N246" i="25" l="1"/>
  <c r="M247" i="25"/>
  <c r="J245" i="25"/>
  <c r="L245" i="25"/>
  <c r="O245" i="25"/>
  <c r="K245" i="25"/>
  <c r="P245" i="25" s="1"/>
  <c r="C44" i="27"/>
  <c r="C83" i="27"/>
  <c r="C192" i="27"/>
  <c r="C113" i="27"/>
  <c r="C29" i="27"/>
  <c r="C66" i="27"/>
  <c r="C255" i="27"/>
  <c r="B163" i="27"/>
  <c r="C229" i="27"/>
  <c r="C79" i="27"/>
  <c r="C78" i="27"/>
  <c r="B73" i="27"/>
  <c r="B148" i="27"/>
  <c r="B18" i="27"/>
  <c r="C135" i="27"/>
  <c r="C145" i="27"/>
  <c r="B133" i="27"/>
  <c r="B90" i="27"/>
  <c r="B26" i="27"/>
  <c r="B16" i="27"/>
  <c r="C202" i="27"/>
  <c r="B166" i="27"/>
  <c r="B194" i="27"/>
  <c r="B242" i="27"/>
  <c r="B54" i="27"/>
  <c r="B122" i="27"/>
  <c r="B164" i="27"/>
  <c r="B83" i="27"/>
  <c r="C61" i="27"/>
  <c r="B130" i="27"/>
  <c r="C70" i="27"/>
  <c r="C51" i="27"/>
  <c r="C22" i="27"/>
  <c r="C244" i="27"/>
  <c r="C179" i="27"/>
  <c r="B14" i="27"/>
  <c r="C132" i="27"/>
  <c r="C188" i="27"/>
  <c r="C102" i="27"/>
  <c r="C212" i="27"/>
  <c r="C46" i="27"/>
  <c r="C64" i="27"/>
  <c r="C88" i="27"/>
  <c r="C12" i="27"/>
  <c r="C28" i="27"/>
  <c r="C38" i="27"/>
  <c r="B210" i="27"/>
  <c r="C55" i="27"/>
  <c r="C207" i="27"/>
  <c r="C16" i="27"/>
  <c r="C92" i="27"/>
  <c r="C139" i="27"/>
  <c r="C116" i="27"/>
  <c r="C156" i="27"/>
  <c r="C37" i="27"/>
  <c r="C60" i="27"/>
  <c r="C117" i="27"/>
  <c r="B61" i="27"/>
  <c r="C52" i="27"/>
  <c r="B76" i="27"/>
  <c r="B251" i="27"/>
  <c r="D251" i="27" s="1"/>
  <c r="I251" i="27" s="1"/>
  <c r="B217" i="27"/>
  <c r="C147" i="27"/>
  <c r="B226" i="27"/>
  <c r="C236" i="27"/>
  <c r="B65" i="27"/>
  <c r="D65" i="27" s="1"/>
  <c r="C11" i="27"/>
  <c r="C224" i="27"/>
  <c r="B32" i="27"/>
  <c r="C80" i="27"/>
  <c r="C68" i="27"/>
  <c r="C114" i="27"/>
  <c r="B169" i="27"/>
  <c r="B246" i="27"/>
  <c r="C210" i="27"/>
  <c r="B190" i="27"/>
  <c r="B96" i="27"/>
  <c r="C241" i="27"/>
  <c r="B27" i="27"/>
  <c r="C174" i="27"/>
  <c r="B15" i="27"/>
  <c r="C169" i="27"/>
  <c r="B104" i="27"/>
  <c r="C104" i="27"/>
  <c r="C56" i="27"/>
  <c r="C198" i="27"/>
  <c r="C240" i="27"/>
  <c r="C213" i="27"/>
  <c r="C161" i="27"/>
  <c r="B224" i="27"/>
  <c r="C180" i="27"/>
  <c r="B183" i="27"/>
  <c r="B12" i="27"/>
  <c r="C95" i="27"/>
  <c r="C246" i="27"/>
  <c r="C199" i="27"/>
  <c r="C141" i="27"/>
  <c r="C98" i="27"/>
  <c r="B196" i="27"/>
  <c r="C234" i="27"/>
  <c r="B81" i="27"/>
  <c r="C121" i="27"/>
  <c r="C14" i="27"/>
  <c r="C187" i="27"/>
  <c r="B64" i="27"/>
  <c r="D64" i="27" s="1"/>
  <c r="C33" i="27"/>
  <c r="B234" i="27"/>
  <c r="C167" i="27"/>
  <c r="B39" i="27"/>
  <c r="C142" i="27"/>
  <c r="C49" i="27"/>
  <c r="B195" i="27"/>
  <c r="C58" i="27"/>
  <c r="B146" i="27"/>
  <c r="C96" i="27"/>
  <c r="B174" i="27"/>
  <c r="B114" i="27"/>
  <c r="B101" i="27"/>
  <c r="B120" i="27"/>
  <c r="B94" i="27"/>
  <c r="C238" i="27"/>
  <c r="B40" i="27"/>
  <c r="C109" i="27"/>
  <c r="C40" i="27"/>
  <c r="C230" i="27"/>
  <c r="B24" i="27"/>
  <c r="B85" i="27"/>
  <c r="B137" i="27"/>
  <c r="B192" i="27"/>
  <c r="C140" i="27"/>
  <c r="B178" i="27"/>
  <c r="B42" i="27"/>
  <c r="C36" i="27"/>
  <c r="B45" i="27"/>
  <c r="B75" i="27"/>
  <c r="B9" i="27"/>
  <c r="C136" i="27"/>
  <c r="C248" i="27"/>
  <c r="B156" i="27"/>
  <c r="C204" i="27"/>
  <c r="B119" i="27"/>
  <c r="C23" i="27"/>
  <c r="B28" i="27"/>
  <c r="C108" i="27"/>
  <c r="C222" i="27"/>
  <c r="B206" i="27"/>
  <c r="B117" i="27"/>
  <c r="B197" i="27"/>
  <c r="B44" i="27"/>
  <c r="B102" i="27"/>
  <c r="B105" i="27"/>
  <c r="B123" i="27"/>
  <c r="C205" i="27"/>
  <c r="C203" i="27"/>
  <c r="B171" i="27"/>
  <c r="C249" i="27"/>
  <c r="C208" i="27"/>
  <c r="C220" i="27"/>
  <c r="C138" i="27"/>
  <c r="C215" i="27"/>
  <c r="B245" i="27"/>
  <c r="C123" i="27"/>
  <c r="C19" i="27"/>
  <c r="B168" i="27"/>
  <c r="C218" i="27"/>
  <c r="B215" i="27"/>
  <c r="B53" i="27"/>
  <c r="C211" i="27"/>
  <c r="C18" i="27"/>
  <c r="C87" i="27"/>
  <c r="C154" i="27"/>
  <c r="B38" i="27"/>
  <c r="D38" i="27" s="1"/>
  <c r="C221" i="27"/>
  <c r="B220" i="27"/>
  <c r="C183" i="27"/>
  <c r="B99" i="27"/>
  <c r="C131" i="27"/>
  <c r="B209" i="27"/>
  <c r="C112" i="27"/>
  <c r="B152" i="27"/>
  <c r="B48" i="27"/>
  <c r="B241" i="27"/>
  <c r="C235" i="27"/>
  <c r="B58" i="27"/>
  <c r="C143" i="27"/>
  <c r="C250" i="27"/>
  <c r="B50" i="27"/>
  <c r="B25" i="27"/>
  <c r="C178" i="27"/>
  <c r="C41" i="27"/>
  <c r="B230" i="27"/>
  <c r="C67" i="27"/>
  <c r="B158" i="27"/>
  <c r="C125" i="27"/>
  <c r="C231" i="27"/>
  <c r="B236" i="27"/>
  <c r="C197" i="27"/>
  <c r="C226" i="27"/>
  <c r="C10" i="27"/>
  <c r="C157" i="27"/>
  <c r="B22" i="27"/>
  <c r="B20" i="27"/>
  <c r="C217" i="27"/>
  <c r="B131" i="27"/>
  <c r="C124" i="27"/>
  <c r="C227" i="27"/>
  <c r="B176" i="27"/>
  <c r="C239" i="27"/>
  <c r="C159" i="27"/>
  <c r="C126" i="27"/>
  <c r="B237" i="27"/>
  <c r="C184" i="27"/>
  <c r="B111" i="27"/>
  <c r="B219" i="27"/>
  <c r="C72" i="27"/>
  <c r="B240" i="27"/>
  <c r="C191" i="27"/>
  <c r="C127" i="27"/>
  <c r="B162" i="27"/>
  <c r="B128" i="27"/>
  <c r="C35" i="27"/>
  <c r="B228" i="27"/>
  <c r="C50" i="27"/>
  <c r="C97" i="27"/>
  <c r="B200" i="27"/>
  <c r="B151" i="27"/>
  <c r="B141" i="27"/>
  <c r="B78" i="27"/>
  <c r="C153" i="27"/>
  <c r="C45" i="27"/>
  <c r="B55" i="27"/>
  <c r="C214" i="27"/>
  <c r="B144" i="27"/>
  <c r="C128" i="27"/>
  <c r="C185" i="27"/>
  <c r="C176" i="27"/>
  <c r="C110" i="27"/>
  <c r="B36" i="27"/>
  <c r="B172" i="27"/>
  <c r="B212" i="27"/>
  <c r="B149" i="27"/>
  <c r="B49" i="27"/>
  <c r="B181" i="27"/>
  <c r="C39" i="27"/>
  <c r="B109" i="27"/>
  <c r="B182" i="27"/>
  <c r="C24" i="27"/>
  <c r="B126" i="27"/>
  <c r="B248" i="27"/>
  <c r="C32" i="27"/>
  <c r="C119" i="27"/>
  <c r="C26" i="27"/>
  <c r="C196" i="27"/>
  <c r="B250" i="27"/>
  <c r="C84" i="27"/>
  <c r="C85" i="27"/>
  <c r="B113" i="27"/>
  <c r="B33" i="27"/>
  <c r="C216" i="27"/>
  <c r="B191" i="27"/>
  <c r="C71" i="27"/>
  <c r="C201" i="27"/>
  <c r="C118" i="27"/>
  <c r="C148" i="27"/>
  <c r="B175" i="27"/>
  <c r="C160" i="27"/>
  <c r="B229" i="27"/>
  <c r="C120" i="27"/>
  <c r="B173" i="27"/>
  <c r="B21" i="27"/>
  <c r="B145" i="27"/>
  <c r="C175" i="27"/>
  <c r="B160" i="27"/>
  <c r="B60" i="27"/>
  <c r="C189" i="27"/>
  <c r="B135" i="27"/>
  <c r="C25" i="27"/>
  <c r="B121" i="27"/>
  <c r="B207" i="27"/>
  <c r="B155" i="27"/>
  <c r="B67" i="27"/>
  <c r="B223" i="27"/>
  <c r="B86" i="27"/>
  <c r="B62" i="27"/>
  <c r="B252" i="27"/>
  <c r="D252" i="27" s="1"/>
  <c r="I252" i="27" s="1"/>
  <c r="B56" i="27"/>
  <c r="B247" i="27"/>
  <c r="B110" i="27"/>
  <c r="C253" i="27"/>
  <c r="B108" i="27"/>
  <c r="C182" i="27"/>
  <c r="B125" i="27"/>
  <c r="B77" i="27"/>
  <c r="B46" i="27"/>
  <c r="B89" i="27"/>
  <c r="C137" i="27"/>
  <c r="B198" i="27"/>
  <c r="B254" i="27"/>
  <c r="D254" i="27" s="1"/>
  <c r="I254" i="27" s="1"/>
  <c r="B13" i="27"/>
  <c r="C43" i="27"/>
  <c r="B43" i="27"/>
  <c r="C30" i="27"/>
  <c r="B82" i="27"/>
  <c r="B255" i="27"/>
  <c r="D255" i="27" s="1"/>
  <c r="I255" i="27" s="1"/>
  <c r="C195" i="27"/>
  <c r="B80" i="27"/>
  <c r="C63" i="27"/>
  <c r="C101" i="27"/>
  <c r="C149" i="27"/>
  <c r="B218" i="27"/>
  <c r="C151" i="27"/>
  <c r="C233" i="27"/>
  <c r="C223" i="27"/>
  <c r="C69" i="27"/>
  <c r="C27" i="27"/>
  <c r="C94" i="27"/>
  <c r="C200" i="27"/>
  <c r="C74" i="27"/>
  <c r="C247" i="27"/>
  <c r="C99" i="27"/>
  <c r="C254" i="27"/>
  <c r="B161" i="27"/>
  <c r="B19" i="27"/>
  <c r="D19" i="27" s="1"/>
  <c r="C166" i="27"/>
  <c r="B35" i="27"/>
  <c r="C152" i="27"/>
  <c r="C31" i="27"/>
  <c r="C173" i="27"/>
  <c r="C107" i="27"/>
  <c r="B239" i="27"/>
  <c r="B143" i="27"/>
  <c r="C155" i="27"/>
  <c r="B159" i="27"/>
  <c r="B186" i="27"/>
  <c r="B184" i="27"/>
  <c r="B97" i="27"/>
  <c r="C133" i="27"/>
  <c r="B112" i="27"/>
  <c r="B231" i="27"/>
  <c r="B203" i="27"/>
  <c r="B139" i="27"/>
  <c r="B93" i="27"/>
  <c r="B79" i="27"/>
  <c r="C163" i="27"/>
  <c r="B179" i="27"/>
  <c r="C251" i="27"/>
  <c r="B188" i="27"/>
  <c r="B189" i="27"/>
  <c r="B227" i="27"/>
  <c r="C62" i="27"/>
  <c r="B72" i="27"/>
  <c r="B238" i="27"/>
  <c r="B253" i="27"/>
  <c r="D253" i="27" s="1"/>
  <c r="I253" i="27" s="1"/>
  <c r="B202" i="27"/>
  <c r="C47" i="27"/>
  <c r="B47" i="27"/>
  <c r="B52" i="27"/>
  <c r="B118" i="27"/>
  <c r="C171" i="27"/>
  <c r="B199" i="27"/>
  <c r="B221" i="27"/>
  <c r="B115" i="27"/>
  <c r="B204" i="27"/>
  <c r="B205" i="27"/>
  <c r="B29" i="27"/>
  <c r="C164" i="27"/>
  <c r="C115" i="27"/>
  <c r="B216" i="27"/>
  <c r="C103" i="27"/>
  <c r="B68" i="27"/>
  <c r="B95" i="27"/>
  <c r="B170" i="27"/>
  <c r="B244" i="27"/>
  <c r="C93" i="27"/>
  <c r="B10" i="27"/>
  <c r="C150" i="27"/>
  <c r="C190" i="27"/>
  <c r="B11" i="27"/>
  <c r="B157" i="27"/>
  <c r="B138" i="27"/>
  <c r="C111" i="27"/>
  <c r="C146" i="27"/>
  <c r="C89" i="27"/>
  <c r="B177" i="27"/>
  <c r="B51" i="27"/>
  <c r="B249" i="27"/>
  <c r="C219" i="27"/>
  <c r="B132" i="27"/>
  <c r="B140" i="27"/>
  <c r="B214" i="27"/>
  <c r="C225" i="27"/>
  <c r="B124" i="27"/>
  <c r="B17" i="27"/>
  <c r="C165" i="27"/>
  <c r="B74" i="27"/>
  <c r="B127" i="27"/>
  <c r="B57" i="27"/>
  <c r="B225" i="27"/>
  <c r="C134" i="27"/>
  <c r="B142" i="27"/>
  <c r="C172" i="27"/>
  <c r="B211" i="27"/>
  <c r="B66" i="27"/>
  <c r="C209" i="27"/>
  <c r="C162" i="27"/>
  <c r="B193" i="27"/>
  <c r="B185" i="27"/>
  <c r="B147" i="27"/>
  <c r="C193" i="27"/>
  <c r="B232" i="27"/>
  <c r="B69" i="27"/>
  <c r="C48" i="27"/>
  <c r="C129" i="27"/>
  <c r="C170" i="27"/>
  <c r="B165" i="27"/>
  <c r="B70" i="27"/>
  <c r="B153" i="27"/>
  <c r="C65" i="27"/>
  <c r="B84" i="27"/>
  <c r="B106" i="27"/>
  <c r="C76" i="27"/>
  <c r="C54" i="27"/>
  <c r="B63" i="27"/>
  <c r="D63" i="27" s="1"/>
  <c r="B116" i="27"/>
  <c r="B88" i="27"/>
  <c r="C13" i="27"/>
  <c r="C57" i="27"/>
  <c r="B134" i="27"/>
  <c r="C100" i="27"/>
  <c r="C106" i="27"/>
  <c r="B150" i="27"/>
  <c r="B31" i="27"/>
  <c r="B92" i="27"/>
  <c r="C15" i="27"/>
  <c r="C77" i="27"/>
  <c r="B34" i="27"/>
  <c r="C105" i="27"/>
  <c r="C177" i="27"/>
  <c r="C243" i="27"/>
  <c r="C144" i="27"/>
  <c r="C82" i="27"/>
  <c r="C86" i="27"/>
  <c r="C73" i="27"/>
  <c r="B98" i="27"/>
  <c r="C21" i="27"/>
  <c r="B222" i="27"/>
  <c r="B208" i="27"/>
  <c r="B187" i="27"/>
  <c r="B243" i="27"/>
  <c r="B103" i="27"/>
  <c r="B233" i="27"/>
  <c r="B59" i="27"/>
  <c r="B129" i="27"/>
  <c r="B23" i="27"/>
  <c r="C34" i="27"/>
  <c r="C42" i="27"/>
  <c r="B235" i="27"/>
  <c r="B30" i="27"/>
  <c r="C245" i="27"/>
  <c r="C59" i="27"/>
  <c r="B107" i="27"/>
  <c r="B87" i="27"/>
  <c r="B180" i="27"/>
  <c r="C90" i="27"/>
  <c r="B201" i="27"/>
  <c r="B167" i="27"/>
  <c r="B91" i="27"/>
  <c r="C252" i="27"/>
  <c r="B100" i="27"/>
  <c r="C232" i="27"/>
  <c r="B41" i="27"/>
  <c r="C168" i="27"/>
  <c r="C91" i="27"/>
  <c r="C206" i="27"/>
  <c r="C242" i="27"/>
  <c r="C75" i="27"/>
  <c r="C122" i="27"/>
  <c r="C186" i="27"/>
  <c r="B37" i="27"/>
  <c r="B136" i="27"/>
  <c r="C228" i="27"/>
  <c r="C53" i="27"/>
  <c r="C17" i="27"/>
  <c r="B154" i="27"/>
  <c r="C158" i="27"/>
  <c r="C81" i="27"/>
  <c r="C237" i="27"/>
  <c r="C20" i="27"/>
  <c r="B71" i="27"/>
  <c r="C194" i="27"/>
  <c r="C181" i="27"/>
  <c r="C9" i="27"/>
  <c r="B213" i="27"/>
  <c r="C130" i="27"/>
  <c r="D61" i="27" l="1"/>
  <c r="D12" i="27"/>
  <c r="I12" i="27" s="1"/>
  <c r="F12" i="27" s="1"/>
  <c r="D44" i="27"/>
  <c r="I44" i="27" s="1"/>
  <c r="F44" i="27" s="1"/>
  <c r="D62" i="27"/>
  <c r="I62" i="27" s="1"/>
  <c r="F62" i="27" s="1"/>
  <c r="D59" i="27"/>
  <c r="I59" i="27" s="1"/>
  <c r="F59" i="27" s="1"/>
  <c r="D57" i="27"/>
  <c r="I57" i="27" s="1"/>
  <c r="D54" i="27"/>
  <c r="I54" i="27" s="1"/>
  <c r="F54" i="27" s="1"/>
  <c r="D53" i="27"/>
  <c r="I53" i="27" s="1"/>
  <c r="F53" i="27" s="1"/>
  <c r="D50" i="27"/>
  <c r="I50" i="27" s="1"/>
  <c r="F50" i="27" s="1"/>
  <c r="D41" i="27"/>
  <c r="I41" i="27" s="1"/>
  <c r="F41" i="27" s="1"/>
  <c r="D43" i="27"/>
  <c r="I43" i="27" s="1"/>
  <c r="F43" i="27" s="1"/>
  <c r="D48" i="27"/>
  <c r="I48" i="27" s="1"/>
  <c r="F48" i="27" s="1"/>
  <c r="D31" i="27"/>
  <c r="I31" i="27" s="1"/>
  <c r="F31" i="27" s="1"/>
  <c r="D47" i="27"/>
  <c r="I47" i="27" s="1"/>
  <c r="F47" i="27" s="1"/>
  <c r="D13" i="27"/>
  <c r="D21" i="27"/>
  <c r="I21" i="27" s="1"/>
  <c r="F21" i="27" s="1"/>
  <c r="D36" i="27"/>
  <c r="I36" i="27" s="1"/>
  <c r="F36" i="27" s="1"/>
  <c r="D24" i="27"/>
  <c r="I24" i="27" s="1"/>
  <c r="F24" i="27" s="1"/>
  <c r="D17" i="27"/>
  <c r="I17" i="27" s="1"/>
  <c r="F17" i="27" s="1"/>
  <c r="D9" i="27"/>
  <c r="I9" i="27" s="1"/>
  <c r="F9" i="27" s="1"/>
  <c r="D71" i="27"/>
  <c r="I71" i="27" s="1"/>
  <c r="D201" i="27"/>
  <c r="I201" i="27" s="1"/>
  <c r="D235" i="27"/>
  <c r="I235" i="27" s="1"/>
  <c r="D243" i="27"/>
  <c r="I243" i="27" s="1"/>
  <c r="D92" i="27"/>
  <c r="I92" i="27" s="1"/>
  <c r="D88" i="27"/>
  <c r="I88" i="27" s="1"/>
  <c r="D153" i="27"/>
  <c r="I153" i="27" s="1"/>
  <c r="D51" i="27"/>
  <c r="I51" i="27" s="1"/>
  <c r="D221" i="27"/>
  <c r="I221" i="27" s="1"/>
  <c r="D179" i="27"/>
  <c r="I179" i="27" s="1"/>
  <c r="D198" i="27"/>
  <c r="I198" i="27" s="1"/>
  <c r="D67" i="27"/>
  <c r="I67" i="27" s="1"/>
  <c r="D160" i="27"/>
  <c r="I160" i="27" s="1"/>
  <c r="D175" i="27"/>
  <c r="I175" i="27" s="1"/>
  <c r="D113" i="27"/>
  <c r="I113" i="27" s="1"/>
  <c r="D248" i="27"/>
  <c r="I248" i="27" s="1"/>
  <c r="D149" i="27"/>
  <c r="I149" i="27" s="1"/>
  <c r="D144" i="27"/>
  <c r="I144" i="27" s="1"/>
  <c r="D200" i="27"/>
  <c r="I200" i="27" s="1"/>
  <c r="D22" i="27"/>
  <c r="I22" i="27" s="1"/>
  <c r="F22" i="27" s="1"/>
  <c r="D158" i="27"/>
  <c r="I158" i="27" s="1"/>
  <c r="D245" i="27"/>
  <c r="I245" i="27" s="1"/>
  <c r="D192" i="27"/>
  <c r="I192" i="27" s="1"/>
  <c r="D136" i="27"/>
  <c r="I136" i="27" s="1"/>
  <c r="D187" i="27"/>
  <c r="I187" i="27" s="1"/>
  <c r="D116" i="27"/>
  <c r="I116" i="27" s="1"/>
  <c r="D70" i="27"/>
  <c r="I70" i="27" s="1"/>
  <c r="D147" i="27"/>
  <c r="I147" i="27" s="1"/>
  <c r="D142" i="27"/>
  <c r="I142" i="27" s="1"/>
  <c r="D124" i="27"/>
  <c r="I124" i="27" s="1"/>
  <c r="D177" i="27"/>
  <c r="I177" i="27" s="1"/>
  <c r="D216" i="27"/>
  <c r="I216" i="27" s="1"/>
  <c r="D199" i="27"/>
  <c r="I199" i="27" s="1"/>
  <c r="D238" i="27"/>
  <c r="I238" i="27" s="1"/>
  <c r="D97" i="27"/>
  <c r="I97" i="27" s="1"/>
  <c r="D110" i="27"/>
  <c r="I110" i="27" s="1"/>
  <c r="D155" i="27"/>
  <c r="I155" i="27" s="1"/>
  <c r="D126" i="27"/>
  <c r="I126" i="27" s="1"/>
  <c r="D212" i="27"/>
  <c r="I212" i="27" s="1"/>
  <c r="D240" i="27"/>
  <c r="I240" i="27" s="1"/>
  <c r="D58" i="27"/>
  <c r="I58" i="27" s="1"/>
  <c r="D99" i="27"/>
  <c r="I99" i="27" s="1"/>
  <c r="D123" i="27"/>
  <c r="I123" i="27" s="1"/>
  <c r="D37" i="27"/>
  <c r="I37" i="27" s="1"/>
  <c r="F37" i="27" s="1"/>
  <c r="D180" i="27"/>
  <c r="I180" i="27" s="1"/>
  <c r="D208" i="27"/>
  <c r="I208" i="27" s="1"/>
  <c r="D150" i="27"/>
  <c r="I150" i="27" s="1"/>
  <c r="D165" i="27"/>
  <c r="I165" i="27" s="1"/>
  <c r="D185" i="27"/>
  <c r="I185" i="27" s="1"/>
  <c r="D10" i="27"/>
  <c r="I10" i="27" s="1"/>
  <c r="F10" i="27" s="1"/>
  <c r="D72" i="27"/>
  <c r="I72" i="27" s="1"/>
  <c r="D79" i="27"/>
  <c r="I79" i="27" s="1"/>
  <c r="D184" i="27"/>
  <c r="I184" i="27" s="1"/>
  <c r="D82" i="27"/>
  <c r="I82" i="27" s="1"/>
  <c r="D89" i="27"/>
  <c r="I89" i="27" s="1"/>
  <c r="D247" i="27"/>
  <c r="I247" i="27" s="1"/>
  <c r="D207" i="27"/>
  <c r="I207" i="27" s="1"/>
  <c r="D145" i="27"/>
  <c r="I145" i="27" s="1"/>
  <c r="D172" i="27"/>
  <c r="I172" i="27" s="1"/>
  <c r="D55" i="27"/>
  <c r="I55" i="27" s="1"/>
  <c r="D176" i="27"/>
  <c r="I176" i="27" s="1"/>
  <c r="D230" i="27"/>
  <c r="I230" i="27" s="1"/>
  <c r="D105" i="27"/>
  <c r="I105" i="27" s="1"/>
  <c r="D28" i="27"/>
  <c r="I28" i="27" s="1"/>
  <c r="F28" i="27" s="1"/>
  <c r="D75" i="27"/>
  <c r="I75" i="27" s="1"/>
  <c r="D87" i="27"/>
  <c r="I87" i="27" s="1"/>
  <c r="D23" i="27"/>
  <c r="I23" i="27" s="1"/>
  <c r="F23" i="27" s="1"/>
  <c r="D222" i="27"/>
  <c r="I222" i="27" s="1"/>
  <c r="D193" i="27"/>
  <c r="I193" i="27" s="1"/>
  <c r="D225" i="27"/>
  <c r="I225" i="27" s="1"/>
  <c r="D214" i="27"/>
  <c r="I214" i="27" s="1"/>
  <c r="D118" i="27"/>
  <c r="I118" i="27" s="1"/>
  <c r="D93" i="27"/>
  <c r="I93" i="27" s="1"/>
  <c r="D186" i="27"/>
  <c r="I186" i="27" s="1"/>
  <c r="D218" i="27"/>
  <c r="I218" i="27" s="1"/>
  <c r="D46" i="27"/>
  <c r="I46" i="27" s="1"/>
  <c r="F46" i="27" s="1"/>
  <c r="D56" i="27"/>
  <c r="I56" i="27" s="1"/>
  <c r="F56" i="27" s="1"/>
  <c r="D121" i="27"/>
  <c r="I121" i="27" s="1"/>
  <c r="D250" i="27"/>
  <c r="I250" i="27" s="1"/>
  <c r="D182" i="27"/>
  <c r="I182" i="27" s="1"/>
  <c r="D228" i="27"/>
  <c r="I228" i="27" s="1"/>
  <c r="D219" i="27"/>
  <c r="I219" i="27" s="1"/>
  <c r="D241" i="27"/>
  <c r="I241" i="27" s="1"/>
  <c r="D220" i="27"/>
  <c r="I220" i="27" s="1"/>
  <c r="D215" i="27"/>
  <c r="I215" i="27" s="1"/>
  <c r="D102" i="27"/>
  <c r="I102" i="27" s="1"/>
  <c r="D45" i="27"/>
  <c r="I45" i="27" s="1"/>
  <c r="F45" i="27" s="1"/>
  <c r="D213" i="27"/>
  <c r="I213" i="27" s="1"/>
  <c r="D100" i="27"/>
  <c r="I100" i="27" s="1"/>
  <c r="D107" i="27"/>
  <c r="I107" i="27" s="1"/>
  <c r="D129" i="27"/>
  <c r="I129" i="27" s="1"/>
  <c r="D140" i="27"/>
  <c r="I140" i="27" s="1"/>
  <c r="D244" i="27"/>
  <c r="I244" i="27" s="1"/>
  <c r="D29" i="27"/>
  <c r="I29" i="27" s="1"/>
  <c r="F29" i="27" s="1"/>
  <c r="D52" i="27"/>
  <c r="I52" i="27" s="1"/>
  <c r="D227" i="27"/>
  <c r="I227" i="27" s="1"/>
  <c r="D139" i="27"/>
  <c r="I139" i="27" s="1"/>
  <c r="D159" i="27"/>
  <c r="I159" i="27" s="1"/>
  <c r="D35" i="27"/>
  <c r="I35" i="27" s="1"/>
  <c r="F35" i="27" s="1"/>
  <c r="D77" i="27"/>
  <c r="I77" i="27" s="1"/>
  <c r="D173" i="27"/>
  <c r="I173" i="27" s="1"/>
  <c r="D109" i="27"/>
  <c r="I109" i="27" s="1"/>
  <c r="D111" i="27"/>
  <c r="I111" i="27" s="1"/>
  <c r="D119" i="27"/>
  <c r="I119" i="27" s="1"/>
  <c r="D154" i="27"/>
  <c r="I154" i="27" s="1"/>
  <c r="D98" i="27"/>
  <c r="I98" i="27" s="1"/>
  <c r="D34" i="27"/>
  <c r="I34" i="27" s="1"/>
  <c r="F34" i="27" s="1"/>
  <c r="D134" i="27"/>
  <c r="I134" i="27" s="1"/>
  <c r="D106" i="27"/>
  <c r="I106" i="27" s="1"/>
  <c r="D127" i="27"/>
  <c r="I127" i="27" s="1"/>
  <c r="D132" i="27"/>
  <c r="I132" i="27" s="1"/>
  <c r="D138" i="27"/>
  <c r="I138" i="27" s="1"/>
  <c r="D170" i="27"/>
  <c r="I170" i="27" s="1"/>
  <c r="D205" i="27"/>
  <c r="I205" i="27" s="1"/>
  <c r="D189" i="27"/>
  <c r="I189" i="27" s="1"/>
  <c r="D203" i="27"/>
  <c r="I203" i="27" s="1"/>
  <c r="D125" i="27"/>
  <c r="I125" i="27" s="1"/>
  <c r="D135" i="27"/>
  <c r="I135" i="27" s="1"/>
  <c r="D191" i="27"/>
  <c r="I191" i="27" s="1"/>
  <c r="D78" i="27"/>
  <c r="I78" i="27" s="1"/>
  <c r="D128" i="27"/>
  <c r="I128" i="27" s="1"/>
  <c r="D131" i="27"/>
  <c r="I131" i="27" s="1"/>
  <c r="D236" i="27"/>
  <c r="I236" i="27" s="1"/>
  <c r="D25" i="27"/>
  <c r="I25" i="27" s="1"/>
  <c r="F25" i="27" s="1"/>
  <c r="D152" i="27"/>
  <c r="I152" i="27" s="1"/>
  <c r="D168" i="27"/>
  <c r="I168" i="27" s="1"/>
  <c r="D197" i="27"/>
  <c r="I197" i="27" s="1"/>
  <c r="D42" i="27"/>
  <c r="I42" i="27" s="1"/>
  <c r="F42" i="27" s="1"/>
  <c r="D91" i="27"/>
  <c r="I91" i="27" s="1"/>
  <c r="D233" i="27"/>
  <c r="I233" i="27" s="1"/>
  <c r="D84" i="27"/>
  <c r="I84" i="27" s="1"/>
  <c r="D69" i="27"/>
  <c r="I69" i="27" s="1"/>
  <c r="D66" i="27"/>
  <c r="I66" i="27" s="1"/>
  <c r="D74" i="27"/>
  <c r="I74" i="27" s="1"/>
  <c r="D157" i="27"/>
  <c r="I157" i="27" s="1"/>
  <c r="D95" i="27"/>
  <c r="I95" i="27" s="1"/>
  <c r="D204" i="27"/>
  <c r="I204" i="27" s="1"/>
  <c r="D188" i="27"/>
  <c r="I188" i="27" s="1"/>
  <c r="D231" i="27"/>
  <c r="I231" i="27" s="1"/>
  <c r="D143" i="27"/>
  <c r="I143" i="27" s="1"/>
  <c r="D86" i="27"/>
  <c r="I86" i="27" s="1"/>
  <c r="D229" i="27"/>
  <c r="I229" i="27" s="1"/>
  <c r="D181" i="27"/>
  <c r="I181" i="27" s="1"/>
  <c r="D141" i="27"/>
  <c r="I141" i="27" s="1"/>
  <c r="D162" i="27"/>
  <c r="I162" i="27" s="1"/>
  <c r="D237" i="27"/>
  <c r="I237" i="27" s="1"/>
  <c r="D171" i="27"/>
  <c r="I171" i="27" s="1"/>
  <c r="D117" i="27"/>
  <c r="I117" i="27" s="1"/>
  <c r="D156" i="27"/>
  <c r="I156" i="27" s="1"/>
  <c r="D178" i="27"/>
  <c r="I178" i="27" s="1"/>
  <c r="D167" i="27"/>
  <c r="I167" i="27" s="1"/>
  <c r="D30" i="27"/>
  <c r="I30" i="27" s="1"/>
  <c r="F30" i="27" s="1"/>
  <c r="D103" i="27"/>
  <c r="I103" i="27" s="1"/>
  <c r="D232" i="27"/>
  <c r="I232" i="27" s="1"/>
  <c r="D211" i="27"/>
  <c r="I211" i="27" s="1"/>
  <c r="D249" i="27"/>
  <c r="I249" i="27" s="1"/>
  <c r="D11" i="27"/>
  <c r="I11" i="27" s="1"/>
  <c r="F11" i="27" s="1"/>
  <c r="D68" i="27"/>
  <c r="I68" i="27" s="1"/>
  <c r="D115" i="27"/>
  <c r="I115" i="27" s="1"/>
  <c r="D202" i="27"/>
  <c r="I202" i="27" s="1"/>
  <c r="D112" i="27"/>
  <c r="I112" i="27" s="1"/>
  <c r="D239" i="27"/>
  <c r="I239" i="27" s="1"/>
  <c r="D161" i="27"/>
  <c r="I161" i="27" s="1"/>
  <c r="D80" i="27"/>
  <c r="I80" i="27" s="1"/>
  <c r="D108" i="27"/>
  <c r="I108" i="27" s="1"/>
  <c r="D223" i="27"/>
  <c r="I223" i="27" s="1"/>
  <c r="D60" i="27"/>
  <c r="I60" i="27" s="1"/>
  <c r="D33" i="27"/>
  <c r="I33" i="27" s="1"/>
  <c r="F33" i="27" s="1"/>
  <c r="D49" i="27"/>
  <c r="I49" i="27" s="1"/>
  <c r="F49" i="27" s="1"/>
  <c r="D151" i="27"/>
  <c r="I151" i="27" s="1"/>
  <c r="D20" i="27"/>
  <c r="D209" i="27"/>
  <c r="I209" i="27" s="1"/>
  <c r="D206" i="27"/>
  <c r="I206" i="27" s="1"/>
  <c r="D40" i="27"/>
  <c r="I40" i="27" s="1"/>
  <c r="F40" i="27" s="1"/>
  <c r="D146" i="27"/>
  <c r="I146" i="27" s="1"/>
  <c r="D224" i="27"/>
  <c r="I224" i="27" s="1"/>
  <c r="D246" i="27"/>
  <c r="I246" i="27" s="1"/>
  <c r="D122" i="27"/>
  <c r="I122" i="27" s="1"/>
  <c r="D90" i="27"/>
  <c r="I90" i="27" s="1"/>
  <c r="D15" i="27"/>
  <c r="D169" i="27"/>
  <c r="I169" i="27" s="1"/>
  <c r="D133" i="27"/>
  <c r="I133" i="27" s="1"/>
  <c r="D137" i="27"/>
  <c r="I137" i="27" s="1"/>
  <c r="D94" i="27"/>
  <c r="I94" i="27" s="1"/>
  <c r="D195" i="27"/>
  <c r="I195" i="27" s="1"/>
  <c r="D226" i="27"/>
  <c r="I226" i="27" s="1"/>
  <c r="D242" i="27"/>
  <c r="I242" i="27" s="1"/>
  <c r="D163" i="27"/>
  <c r="I163" i="27" s="1"/>
  <c r="D85" i="27"/>
  <c r="I85" i="27" s="1"/>
  <c r="D120" i="27"/>
  <c r="I120" i="27" s="1"/>
  <c r="D27" i="27"/>
  <c r="I27" i="27" s="1"/>
  <c r="F27" i="27" s="1"/>
  <c r="D210" i="27"/>
  <c r="I210" i="27" s="1"/>
  <c r="D194" i="27"/>
  <c r="I194" i="27" s="1"/>
  <c r="D101" i="27"/>
  <c r="I101" i="27" s="1"/>
  <c r="D217" i="27"/>
  <c r="I217" i="27" s="1"/>
  <c r="D130" i="27"/>
  <c r="I130" i="27" s="1"/>
  <c r="D166" i="27"/>
  <c r="I166" i="27" s="1"/>
  <c r="D18" i="27"/>
  <c r="I18" i="27" s="1"/>
  <c r="F18" i="27" s="1"/>
  <c r="D114" i="27"/>
  <c r="I114" i="27" s="1"/>
  <c r="D39" i="27"/>
  <c r="I39" i="27" s="1"/>
  <c r="F39" i="27" s="1"/>
  <c r="D81" i="27"/>
  <c r="I81" i="27" s="1"/>
  <c r="D96" i="27"/>
  <c r="I96" i="27" s="1"/>
  <c r="D32" i="27"/>
  <c r="I32" i="27" s="1"/>
  <c r="F32" i="27" s="1"/>
  <c r="D148" i="27"/>
  <c r="I148" i="27" s="1"/>
  <c r="D174" i="27"/>
  <c r="I174" i="27" s="1"/>
  <c r="D183" i="27"/>
  <c r="I183" i="27" s="1"/>
  <c r="D190" i="27"/>
  <c r="I190" i="27" s="1"/>
  <c r="D76" i="27"/>
  <c r="I76" i="27" s="1"/>
  <c r="D14" i="27"/>
  <c r="I14" i="27" s="1"/>
  <c r="F14" i="27" s="1"/>
  <c r="D83" i="27"/>
  <c r="I83" i="27" s="1"/>
  <c r="D16" i="27"/>
  <c r="I16" i="27" s="1"/>
  <c r="F16" i="27" s="1"/>
  <c r="D73" i="27"/>
  <c r="I73" i="27" s="1"/>
  <c r="D234" i="27"/>
  <c r="I234" i="27" s="1"/>
  <c r="D196" i="27"/>
  <c r="I196" i="27" s="1"/>
  <c r="D104" i="27"/>
  <c r="I104" i="27" s="1"/>
  <c r="D164" i="27"/>
  <c r="I164" i="27" s="1"/>
  <c r="D26" i="27"/>
  <c r="I26" i="27" s="1"/>
  <c r="F26" i="27" s="1"/>
  <c r="I64" i="27"/>
  <c r="I65" i="27"/>
  <c r="I61" i="27"/>
  <c r="F61" i="27" s="1"/>
  <c r="I63" i="27"/>
  <c r="I19" i="27"/>
  <c r="F19" i="27" s="1"/>
  <c r="I38" i="27"/>
  <c r="F38" i="27" s="1"/>
  <c r="G53" i="27"/>
  <c r="H53" i="27" s="1"/>
  <c r="E53" i="27"/>
  <c r="G20" i="27"/>
  <c r="H20" i="27" s="1"/>
  <c r="E20" i="27"/>
  <c r="E148" i="27"/>
  <c r="G148" i="27"/>
  <c r="H148" i="27" s="1"/>
  <c r="F148" i="27"/>
  <c r="E97" i="27"/>
  <c r="F97" i="27"/>
  <c r="G97" i="27"/>
  <c r="H97" i="27" s="1"/>
  <c r="G157" i="27"/>
  <c r="H157" i="27" s="1"/>
  <c r="E157" i="27"/>
  <c r="F157" i="27"/>
  <c r="G215" i="27"/>
  <c r="H215" i="27" s="1"/>
  <c r="F215" i="27"/>
  <c r="E215" i="27"/>
  <c r="E108" i="27"/>
  <c r="G108" i="27"/>
  <c r="H108" i="27" s="1"/>
  <c r="F108" i="27"/>
  <c r="F134" i="27"/>
  <c r="E134" i="27"/>
  <c r="G134" i="27"/>
  <c r="H134" i="27" s="1"/>
  <c r="F225" i="27"/>
  <c r="E225" i="27"/>
  <c r="G225" i="27"/>
  <c r="H225" i="27" s="1"/>
  <c r="F89" i="27"/>
  <c r="G89" i="27"/>
  <c r="H89" i="27" s="1"/>
  <c r="E89" i="27"/>
  <c r="E115" i="27"/>
  <c r="G115" i="27"/>
  <c r="H115" i="27" s="1"/>
  <c r="F115" i="27"/>
  <c r="G171" i="27"/>
  <c r="H171" i="27" s="1"/>
  <c r="F171" i="27"/>
  <c r="E171" i="27"/>
  <c r="E31" i="27"/>
  <c r="G31" i="27"/>
  <c r="H31" i="27" s="1"/>
  <c r="E247" i="27"/>
  <c r="G247" i="27"/>
  <c r="H247" i="27" s="1"/>
  <c r="F247" i="27"/>
  <c r="G151" i="27"/>
  <c r="H151" i="27" s="1"/>
  <c r="E151" i="27"/>
  <c r="F151" i="27"/>
  <c r="E118" i="27"/>
  <c r="F118" i="27"/>
  <c r="G118" i="27"/>
  <c r="H118" i="27" s="1"/>
  <c r="F84" i="27"/>
  <c r="E84" i="27"/>
  <c r="G84" i="27"/>
  <c r="H84" i="27" s="1"/>
  <c r="E24" i="27"/>
  <c r="G24" i="27"/>
  <c r="H24" i="27" s="1"/>
  <c r="G50" i="27"/>
  <c r="H50" i="27" s="1"/>
  <c r="E50" i="27"/>
  <c r="E72" i="27"/>
  <c r="G72" i="27"/>
  <c r="H72" i="27" s="1"/>
  <c r="F72" i="27"/>
  <c r="G10" i="27"/>
  <c r="H10" i="27" s="1"/>
  <c r="E10" i="27"/>
  <c r="E235" i="27"/>
  <c r="G235" i="27"/>
  <c r="H235" i="27" s="1"/>
  <c r="F235" i="27"/>
  <c r="F183" i="27"/>
  <c r="G183" i="27"/>
  <c r="H183" i="27" s="1"/>
  <c r="E183" i="27"/>
  <c r="F138" i="27"/>
  <c r="G138" i="27"/>
  <c r="H138" i="27" s="1"/>
  <c r="E138" i="27"/>
  <c r="E49" i="27"/>
  <c r="G49" i="27"/>
  <c r="H49" i="27" s="1"/>
  <c r="E14" i="27"/>
  <c r="G14" i="27"/>
  <c r="H14" i="27" s="1"/>
  <c r="G246" i="27"/>
  <c r="H246" i="27" s="1"/>
  <c r="E246" i="27"/>
  <c r="F246" i="27"/>
  <c r="E240" i="27"/>
  <c r="G240" i="27"/>
  <c r="H240" i="27" s="1"/>
  <c r="F240" i="27"/>
  <c r="F68" i="27"/>
  <c r="E68" i="27"/>
  <c r="G68" i="27"/>
  <c r="H68" i="27" s="1"/>
  <c r="G147" i="27"/>
  <c r="H147" i="27" s="1"/>
  <c r="E147" i="27"/>
  <c r="F147" i="27"/>
  <c r="E37" i="27"/>
  <c r="G37" i="27"/>
  <c r="H37" i="27" s="1"/>
  <c r="F102" i="27"/>
  <c r="E102" i="27"/>
  <c r="G102" i="27"/>
  <c r="H102" i="27" s="1"/>
  <c r="F70" i="27"/>
  <c r="G70" i="27"/>
  <c r="H70" i="27" s="1"/>
  <c r="E70" i="27"/>
  <c r="F135" i="27"/>
  <c r="G135" i="27"/>
  <c r="H135" i="27" s="1"/>
  <c r="E135" i="27"/>
  <c r="G255" i="27"/>
  <c r="H255" i="27" s="1"/>
  <c r="E255" i="27"/>
  <c r="F255" i="27"/>
  <c r="G173" i="27"/>
  <c r="H173" i="27" s="1"/>
  <c r="F173" i="27"/>
  <c r="E173" i="27"/>
  <c r="G85" i="27"/>
  <c r="H85" i="27" s="1"/>
  <c r="E85" i="27"/>
  <c r="F85" i="27"/>
  <c r="E214" i="27"/>
  <c r="F214" i="27"/>
  <c r="G214" i="27"/>
  <c r="H214" i="27" s="1"/>
  <c r="E239" i="27"/>
  <c r="F239" i="27"/>
  <c r="G239" i="27"/>
  <c r="H239" i="27" s="1"/>
  <c r="E152" i="27"/>
  <c r="G152" i="27"/>
  <c r="H152" i="27" s="1"/>
  <c r="F152" i="27"/>
  <c r="F74" i="27"/>
  <c r="E74" i="27"/>
  <c r="G74" i="27"/>
  <c r="H74" i="27" s="1"/>
  <c r="E30" i="27"/>
  <c r="G30" i="27"/>
  <c r="H30" i="27" s="1"/>
  <c r="G201" i="27"/>
  <c r="H201" i="27" s="1"/>
  <c r="F201" i="27"/>
  <c r="E201" i="27"/>
  <c r="G45" i="27"/>
  <c r="H45" i="27" s="1"/>
  <c r="E45" i="27"/>
  <c r="F227" i="27"/>
  <c r="E227" i="27"/>
  <c r="G227" i="27"/>
  <c r="H227" i="27" s="1"/>
  <c r="G226" i="27"/>
  <c r="H226" i="27" s="1"/>
  <c r="F226" i="27"/>
  <c r="E226" i="27"/>
  <c r="G41" i="27"/>
  <c r="H41" i="27" s="1"/>
  <c r="E41" i="27"/>
  <c r="F220" i="27"/>
  <c r="G220" i="27"/>
  <c r="H220" i="27" s="1"/>
  <c r="E220" i="27"/>
  <c r="E23" i="27"/>
  <c r="G23" i="27"/>
  <c r="H23" i="27" s="1"/>
  <c r="F142" i="27"/>
  <c r="G142" i="27"/>
  <c r="H142" i="27" s="1"/>
  <c r="E142" i="27"/>
  <c r="E121" i="27"/>
  <c r="F121" i="27"/>
  <c r="G121" i="27"/>
  <c r="H121" i="27" s="1"/>
  <c r="F95" i="27"/>
  <c r="E95" i="27"/>
  <c r="G95" i="27"/>
  <c r="H95" i="27" s="1"/>
  <c r="F198" i="27"/>
  <c r="E198" i="27"/>
  <c r="G198" i="27"/>
  <c r="H198" i="27" s="1"/>
  <c r="G241" i="27"/>
  <c r="H241" i="27" s="1"/>
  <c r="E241" i="27"/>
  <c r="F241" i="27"/>
  <c r="G80" i="27"/>
  <c r="H80" i="27" s="1"/>
  <c r="E80" i="27"/>
  <c r="F80" i="27"/>
  <c r="G156" i="27"/>
  <c r="H156" i="27" s="1"/>
  <c r="F156" i="27"/>
  <c r="E156" i="27"/>
  <c r="G38" i="27"/>
  <c r="H38" i="27" s="1"/>
  <c r="E38" i="27"/>
  <c r="E188" i="27"/>
  <c r="G188" i="27"/>
  <c r="H188" i="27" s="1"/>
  <c r="F188" i="27"/>
  <c r="E66" i="27"/>
  <c r="F66" i="27"/>
  <c r="G66" i="27"/>
  <c r="H66" i="27" s="1"/>
  <c r="E168" i="27"/>
  <c r="F168" i="27"/>
  <c r="G168" i="27"/>
  <c r="H168" i="27" s="1"/>
  <c r="G42" i="27"/>
  <c r="H42" i="27" s="1"/>
  <c r="E42" i="27"/>
  <c r="E144" i="27"/>
  <c r="F144" i="27"/>
  <c r="G144" i="27"/>
  <c r="H144" i="27" s="1"/>
  <c r="E99" i="27"/>
  <c r="F99" i="27"/>
  <c r="G99" i="27"/>
  <c r="H99" i="27" s="1"/>
  <c r="G137" i="27"/>
  <c r="H137" i="27" s="1"/>
  <c r="F137" i="27"/>
  <c r="E137" i="27"/>
  <c r="E175" i="27"/>
  <c r="F175" i="27"/>
  <c r="G175" i="27"/>
  <c r="H175" i="27" s="1"/>
  <c r="G67" i="27"/>
  <c r="H67" i="27" s="1"/>
  <c r="E67" i="27"/>
  <c r="F67" i="27"/>
  <c r="F211" i="27"/>
  <c r="G211" i="27"/>
  <c r="H211" i="27" s="1"/>
  <c r="E211" i="27"/>
  <c r="E186" i="27"/>
  <c r="G186" i="27"/>
  <c r="H186" i="27" s="1"/>
  <c r="F186" i="27"/>
  <c r="E232" i="27"/>
  <c r="F232" i="27"/>
  <c r="G232" i="27"/>
  <c r="H232" i="27" s="1"/>
  <c r="G177" i="27"/>
  <c r="H177" i="27" s="1"/>
  <c r="F177" i="27"/>
  <c r="E177" i="27"/>
  <c r="E54" i="27"/>
  <c r="G54" i="27"/>
  <c r="H54" i="27" s="1"/>
  <c r="G164" i="27"/>
  <c r="H164" i="27" s="1"/>
  <c r="E164" i="27"/>
  <c r="F164" i="27"/>
  <c r="G62" i="27"/>
  <c r="H62" i="27" s="1"/>
  <c r="E62" i="27"/>
  <c r="G122" i="27"/>
  <c r="H122" i="27" s="1"/>
  <c r="F122" i="27"/>
  <c r="E122" i="27"/>
  <c r="F100" i="27"/>
  <c r="E100" i="27"/>
  <c r="G100" i="27"/>
  <c r="H100" i="27" s="1"/>
  <c r="F200" i="27"/>
  <c r="G200" i="27"/>
  <c r="H200" i="27" s="1"/>
  <c r="E200" i="27"/>
  <c r="G149" i="27"/>
  <c r="H149" i="27" s="1"/>
  <c r="E149" i="27"/>
  <c r="F149" i="27"/>
  <c r="E25" i="27"/>
  <c r="G25" i="27"/>
  <c r="H25" i="27" s="1"/>
  <c r="E71" i="27"/>
  <c r="F71" i="27"/>
  <c r="G71" i="27"/>
  <c r="H71" i="27" s="1"/>
  <c r="F196" i="27"/>
  <c r="G196" i="27"/>
  <c r="H196" i="27" s="1"/>
  <c r="E196" i="27"/>
  <c r="E110" i="27"/>
  <c r="G110" i="27"/>
  <c r="H110" i="27" s="1"/>
  <c r="F110" i="27"/>
  <c r="E153" i="27"/>
  <c r="G153" i="27"/>
  <c r="H153" i="27" s="1"/>
  <c r="F153" i="27"/>
  <c r="E35" i="27"/>
  <c r="G35" i="27"/>
  <c r="H35" i="27" s="1"/>
  <c r="G124" i="27"/>
  <c r="H124" i="27" s="1"/>
  <c r="E124" i="27"/>
  <c r="F124" i="27"/>
  <c r="G197" i="27"/>
  <c r="H197" i="27" s="1"/>
  <c r="E197" i="27"/>
  <c r="F197" i="27"/>
  <c r="G178" i="27"/>
  <c r="H178" i="27" s="1"/>
  <c r="E178" i="27"/>
  <c r="F178" i="27"/>
  <c r="E221" i="27"/>
  <c r="G221" i="27"/>
  <c r="H221" i="27" s="1"/>
  <c r="F221" i="27"/>
  <c r="E218" i="27"/>
  <c r="G218" i="27"/>
  <c r="H218" i="27" s="1"/>
  <c r="F218" i="27"/>
  <c r="G208" i="27"/>
  <c r="H208" i="27" s="1"/>
  <c r="E208" i="27"/>
  <c r="F208" i="27"/>
  <c r="E36" i="27"/>
  <c r="G36" i="27"/>
  <c r="H36" i="27" s="1"/>
  <c r="E230" i="27"/>
  <c r="F230" i="27"/>
  <c r="G230" i="27"/>
  <c r="H230" i="27" s="1"/>
  <c r="G56" i="27"/>
  <c r="H56" i="27" s="1"/>
  <c r="E56" i="27"/>
  <c r="F116" i="27"/>
  <c r="G116" i="27"/>
  <c r="H116" i="27" s="1"/>
  <c r="E116" i="27"/>
  <c r="G28" i="27"/>
  <c r="H28" i="27" s="1"/>
  <c r="E28" i="27"/>
  <c r="F132" i="27"/>
  <c r="G132" i="27"/>
  <c r="H132" i="27" s="1"/>
  <c r="E132" i="27"/>
  <c r="G61" i="27"/>
  <c r="H61" i="27" s="1"/>
  <c r="E61" i="27"/>
  <c r="E202" i="27"/>
  <c r="F202" i="27"/>
  <c r="G202" i="27"/>
  <c r="H202" i="27" s="1"/>
  <c r="E29" i="27"/>
  <c r="G29" i="27"/>
  <c r="H29" i="27" s="1"/>
  <c r="G150" i="27"/>
  <c r="H150" i="27" s="1"/>
  <c r="F150" i="27"/>
  <c r="E150" i="27"/>
  <c r="F163" i="27"/>
  <c r="E163" i="27"/>
  <c r="G163" i="27"/>
  <c r="H163" i="27" s="1"/>
  <c r="G233" i="27"/>
  <c r="H233" i="27" s="1"/>
  <c r="E233" i="27"/>
  <c r="F233" i="27"/>
  <c r="F237" i="27"/>
  <c r="G237" i="27"/>
  <c r="H237" i="27" s="1"/>
  <c r="E237" i="27"/>
  <c r="E130" i="27"/>
  <c r="G130" i="27"/>
  <c r="H130" i="27" s="1"/>
  <c r="F130" i="27"/>
  <c r="G106" i="27"/>
  <c r="H106" i="27" s="1"/>
  <c r="F106" i="27"/>
  <c r="E106" i="27"/>
  <c r="G170" i="27"/>
  <c r="H170" i="27" s="1"/>
  <c r="E170" i="27"/>
  <c r="F170" i="27"/>
  <c r="G93" i="27"/>
  <c r="H93" i="27" s="1"/>
  <c r="E93" i="27"/>
  <c r="F93" i="27"/>
  <c r="E105" i="27"/>
  <c r="G105" i="27"/>
  <c r="H105" i="27" s="1"/>
  <c r="F105" i="27"/>
  <c r="F129" i="27"/>
  <c r="G129" i="27"/>
  <c r="H129" i="27" s="1"/>
  <c r="E129" i="27"/>
  <c r="G9" i="27"/>
  <c r="H9" i="27" s="1"/>
  <c r="E9" i="27"/>
  <c r="E75" i="27"/>
  <c r="F75" i="27"/>
  <c r="G75" i="27"/>
  <c r="H75" i="27" s="1"/>
  <c r="E166" i="27"/>
  <c r="F166" i="27"/>
  <c r="G166" i="27"/>
  <c r="H166" i="27" s="1"/>
  <c r="G120" i="27"/>
  <c r="H120" i="27" s="1"/>
  <c r="F120" i="27"/>
  <c r="E120" i="27"/>
  <c r="G26" i="27"/>
  <c r="H26" i="27" s="1"/>
  <c r="E26" i="27"/>
  <c r="G176" i="27"/>
  <c r="H176" i="27" s="1"/>
  <c r="E176" i="27"/>
  <c r="F176" i="27"/>
  <c r="F184" i="27"/>
  <c r="G184" i="27"/>
  <c r="H184" i="27" s="1"/>
  <c r="E184" i="27"/>
  <c r="G249" i="27"/>
  <c r="H249" i="27" s="1"/>
  <c r="F249" i="27"/>
  <c r="E249" i="27"/>
  <c r="G204" i="27"/>
  <c r="H204" i="27" s="1"/>
  <c r="F204" i="27"/>
  <c r="E204" i="27"/>
  <c r="G40" i="27"/>
  <c r="H40" i="27" s="1"/>
  <c r="E40" i="27"/>
  <c r="G167" i="27"/>
  <c r="H167" i="27" s="1"/>
  <c r="E167" i="27"/>
  <c r="F167" i="27"/>
  <c r="G234" i="27"/>
  <c r="H234" i="27" s="1"/>
  <c r="F234" i="27"/>
  <c r="E234" i="27"/>
  <c r="G104" i="27"/>
  <c r="H104" i="27" s="1"/>
  <c r="E104" i="27"/>
  <c r="F104" i="27"/>
  <c r="F224" i="27"/>
  <c r="G224" i="27"/>
  <c r="H224" i="27" s="1"/>
  <c r="E224" i="27"/>
  <c r="E139" i="27"/>
  <c r="G139" i="27"/>
  <c r="H139" i="27" s="1"/>
  <c r="F139" i="27"/>
  <c r="G12" i="27"/>
  <c r="H12" i="27" s="1"/>
  <c r="E12" i="27"/>
  <c r="G113" i="27"/>
  <c r="H113" i="27" s="1"/>
  <c r="F113" i="27"/>
  <c r="E113" i="27"/>
  <c r="F194" i="27"/>
  <c r="G194" i="27"/>
  <c r="H194" i="27" s="1"/>
  <c r="E194" i="27"/>
  <c r="F206" i="27"/>
  <c r="G206" i="27"/>
  <c r="H206" i="27" s="1"/>
  <c r="E206" i="27"/>
  <c r="F90" i="27"/>
  <c r="E90" i="27"/>
  <c r="G90" i="27"/>
  <c r="H90" i="27" s="1"/>
  <c r="E34" i="27"/>
  <c r="G34" i="27"/>
  <c r="H34" i="27" s="1"/>
  <c r="F243" i="27"/>
  <c r="E243" i="27"/>
  <c r="G243" i="27"/>
  <c r="H243" i="27" s="1"/>
  <c r="F81" i="27"/>
  <c r="E81" i="27"/>
  <c r="G81" i="27"/>
  <c r="H81" i="27" s="1"/>
  <c r="F146" i="27"/>
  <c r="G146" i="27"/>
  <c r="H146" i="27" s="1"/>
  <c r="E146" i="27"/>
  <c r="G158" i="27"/>
  <c r="H158" i="27" s="1"/>
  <c r="E158" i="27"/>
  <c r="F158" i="27"/>
  <c r="E21" i="27"/>
  <c r="G21" i="27"/>
  <c r="H21" i="27" s="1"/>
  <c r="F76" i="27"/>
  <c r="G76" i="27"/>
  <c r="H76" i="27" s="1"/>
  <c r="E76" i="27"/>
  <c r="E162" i="27"/>
  <c r="F162" i="27"/>
  <c r="G162" i="27"/>
  <c r="H162" i="27" s="1"/>
  <c r="G111" i="27"/>
  <c r="H111" i="27" s="1"/>
  <c r="F111" i="27"/>
  <c r="E111" i="27"/>
  <c r="F252" i="27"/>
  <c r="E252" i="27"/>
  <c r="G252" i="27"/>
  <c r="H252" i="27" s="1"/>
  <c r="G59" i="27"/>
  <c r="H59" i="27" s="1"/>
  <c r="E59" i="27"/>
  <c r="E48" i="27"/>
  <c r="G48" i="27"/>
  <c r="H48" i="27" s="1"/>
  <c r="F209" i="27"/>
  <c r="G209" i="27"/>
  <c r="H209" i="27" s="1"/>
  <c r="E209" i="27"/>
  <c r="E155" i="27"/>
  <c r="F155" i="27"/>
  <c r="G155" i="27"/>
  <c r="H155" i="27" s="1"/>
  <c r="F94" i="27"/>
  <c r="G94" i="27"/>
  <c r="H94" i="27" s="1"/>
  <c r="E94" i="27"/>
  <c r="G101" i="27"/>
  <c r="H101" i="27" s="1"/>
  <c r="E101" i="27"/>
  <c r="F101" i="27"/>
  <c r="E43" i="27"/>
  <c r="G43" i="27"/>
  <c r="H43" i="27" s="1"/>
  <c r="G39" i="27"/>
  <c r="H39" i="27" s="1"/>
  <c r="E39" i="27"/>
  <c r="G181" i="27"/>
  <c r="H181" i="27" s="1"/>
  <c r="F181" i="27"/>
  <c r="E181" i="27"/>
  <c r="G17" i="27"/>
  <c r="H17" i="27" s="1"/>
  <c r="E17" i="27"/>
  <c r="F242" i="27"/>
  <c r="G242" i="27"/>
  <c r="H242" i="27" s="1"/>
  <c r="E242" i="27"/>
  <c r="E245" i="27"/>
  <c r="F245" i="27"/>
  <c r="G245" i="27"/>
  <c r="H245" i="27" s="1"/>
  <c r="G73" i="27"/>
  <c r="H73" i="27" s="1"/>
  <c r="F73" i="27"/>
  <c r="E73" i="27"/>
  <c r="G77" i="27"/>
  <c r="H77" i="27" s="1"/>
  <c r="E77" i="27"/>
  <c r="F77" i="27"/>
  <c r="G57" i="27"/>
  <c r="H57" i="27" s="1"/>
  <c r="E57" i="27"/>
  <c r="F57" i="27"/>
  <c r="F219" i="27"/>
  <c r="E219" i="27"/>
  <c r="G219" i="27"/>
  <c r="H219" i="27" s="1"/>
  <c r="E47" i="27"/>
  <c r="G47" i="27"/>
  <c r="H47" i="27" s="1"/>
  <c r="E27" i="27"/>
  <c r="G27" i="27"/>
  <c r="H27" i="27" s="1"/>
  <c r="F63" i="27"/>
  <c r="E63" i="27"/>
  <c r="G63" i="27"/>
  <c r="H63" i="27" s="1"/>
  <c r="I13" i="27"/>
  <c r="F13" i="27" s="1"/>
  <c r="F182" i="27"/>
  <c r="G182" i="27"/>
  <c r="H182" i="27" s="1"/>
  <c r="E182" i="27"/>
  <c r="F189" i="27"/>
  <c r="G189" i="27"/>
  <c r="H189" i="27" s="1"/>
  <c r="E189" i="27"/>
  <c r="G216" i="27"/>
  <c r="H216" i="27" s="1"/>
  <c r="F216" i="27"/>
  <c r="E216" i="27"/>
  <c r="G119" i="27"/>
  <c r="H119" i="27" s="1"/>
  <c r="E119" i="27"/>
  <c r="F119" i="27"/>
  <c r="E185" i="27"/>
  <c r="G185" i="27"/>
  <c r="H185" i="27" s="1"/>
  <c r="F185" i="27"/>
  <c r="E217" i="27"/>
  <c r="G217" i="27"/>
  <c r="H217" i="27" s="1"/>
  <c r="F217" i="27"/>
  <c r="E231" i="27"/>
  <c r="G231" i="27"/>
  <c r="H231" i="27" s="1"/>
  <c r="F231" i="27"/>
  <c r="G112" i="27"/>
  <c r="H112" i="27" s="1"/>
  <c r="E112" i="27"/>
  <c r="F112" i="27"/>
  <c r="G154" i="27"/>
  <c r="H154" i="27" s="1"/>
  <c r="F154" i="27"/>
  <c r="E154" i="27"/>
  <c r="E19" i="27"/>
  <c r="G19" i="27"/>
  <c r="H19" i="27" s="1"/>
  <c r="G109" i="27"/>
  <c r="H109" i="27" s="1"/>
  <c r="F109" i="27"/>
  <c r="E109" i="27"/>
  <c r="G96" i="27"/>
  <c r="H96" i="27" s="1"/>
  <c r="E96" i="27"/>
  <c r="F96" i="27"/>
  <c r="F180" i="27"/>
  <c r="E180" i="27"/>
  <c r="G180" i="27"/>
  <c r="H180" i="27" s="1"/>
  <c r="F210" i="27"/>
  <c r="G210" i="27"/>
  <c r="H210" i="27" s="1"/>
  <c r="E210" i="27"/>
  <c r="G11" i="27"/>
  <c r="H11" i="27" s="1"/>
  <c r="E11" i="27"/>
  <c r="E52" i="27"/>
  <c r="G52" i="27"/>
  <c r="H52" i="27" s="1"/>
  <c r="F52" i="27"/>
  <c r="F92" i="27"/>
  <c r="G92" i="27"/>
  <c r="H92" i="27" s="1"/>
  <c r="E92" i="27"/>
  <c r="E88" i="27"/>
  <c r="F88" i="27"/>
  <c r="G88" i="27"/>
  <c r="H88" i="27" s="1"/>
  <c r="G179" i="27"/>
  <c r="H179" i="27" s="1"/>
  <c r="F179" i="27"/>
  <c r="E179" i="27"/>
  <c r="E78" i="27"/>
  <c r="G78" i="27"/>
  <c r="H78" i="27" s="1"/>
  <c r="F78" i="27"/>
  <c r="E192" i="27"/>
  <c r="G192" i="27"/>
  <c r="H192" i="27" s="1"/>
  <c r="F192" i="27"/>
  <c r="E86" i="27"/>
  <c r="F86" i="27"/>
  <c r="G86" i="27"/>
  <c r="H86" i="27" s="1"/>
  <c r="G65" i="27"/>
  <c r="H65" i="27" s="1"/>
  <c r="E65" i="27"/>
  <c r="F65" i="27"/>
  <c r="G165" i="27"/>
  <c r="H165" i="27" s="1"/>
  <c r="F165" i="27"/>
  <c r="E165" i="27"/>
  <c r="G69" i="27"/>
  <c r="H69" i="27" s="1"/>
  <c r="F69" i="27"/>
  <c r="E69" i="27"/>
  <c r="G160" i="27"/>
  <c r="H160" i="27" s="1"/>
  <c r="E160" i="27"/>
  <c r="F160" i="27"/>
  <c r="G32" i="27"/>
  <c r="H32" i="27" s="1"/>
  <c r="E32" i="27"/>
  <c r="F128" i="27"/>
  <c r="G128" i="27"/>
  <c r="H128" i="27" s="1"/>
  <c r="E128" i="27"/>
  <c r="F127" i="27"/>
  <c r="G127" i="27"/>
  <c r="H127" i="27" s="1"/>
  <c r="E127" i="27"/>
  <c r="F126" i="27"/>
  <c r="G126" i="27"/>
  <c r="H126" i="27" s="1"/>
  <c r="E126" i="27"/>
  <c r="I20" i="27"/>
  <c r="F20" i="27" s="1"/>
  <c r="G125" i="27"/>
  <c r="H125" i="27" s="1"/>
  <c r="E125" i="27"/>
  <c r="F125" i="27"/>
  <c r="F250" i="27"/>
  <c r="E250" i="27"/>
  <c r="G250" i="27"/>
  <c r="H250" i="27" s="1"/>
  <c r="F87" i="27"/>
  <c r="G87" i="27"/>
  <c r="H87" i="27" s="1"/>
  <c r="E87" i="27"/>
  <c r="E123" i="27"/>
  <c r="F123" i="27"/>
  <c r="G123" i="27"/>
  <c r="H123" i="27" s="1"/>
  <c r="E203" i="27"/>
  <c r="G203" i="27"/>
  <c r="H203" i="27" s="1"/>
  <c r="F203" i="27"/>
  <c r="F248" i="27"/>
  <c r="G248" i="27"/>
  <c r="H248" i="27" s="1"/>
  <c r="E248" i="27"/>
  <c r="F140" i="27"/>
  <c r="G140" i="27"/>
  <c r="H140" i="27" s="1"/>
  <c r="E140" i="27"/>
  <c r="E33" i="27"/>
  <c r="G33" i="27"/>
  <c r="H33" i="27" s="1"/>
  <c r="G98" i="27"/>
  <c r="H98" i="27" s="1"/>
  <c r="E98" i="27"/>
  <c r="F98" i="27"/>
  <c r="F169" i="27"/>
  <c r="G169" i="27"/>
  <c r="H169" i="27" s="1"/>
  <c r="E169" i="27"/>
  <c r="E16" i="27"/>
  <c r="G16" i="27"/>
  <c r="H16" i="27" s="1"/>
  <c r="E64" i="27"/>
  <c r="F64" i="27"/>
  <c r="G64" i="27"/>
  <c r="H64" i="27" s="1"/>
  <c r="E244" i="27"/>
  <c r="F244" i="27"/>
  <c r="G244" i="27"/>
  <c r="H244" i="27" s="1"/>
  <c r="F79" i="27"/>
  <c r="E79" i="27"/>
  <c r="G79" i="27"/>
  <c r="H79" i="27" s="1"/>
  <c r="F83" i="27"/>
  <c r="E83" i="27"/>
  <c r="G83" i="27"/>
  <c r="H83" i="27" s="1"/>
  <c r="G15" i="27"/>
  <c r="H15" i="27" s="1"/>
  <c r="E15" i="27"/>
  <c r="G13" i="27"/>
  <c r="H13" i="27" s="1"/>
  <c r="E13" i="27"/>
  <c r="F251" i="27"/>
  <c r="E251" i="27"/>
  <c r="G251" i="27"/>
  <c r="H251" i="27" s="1"/>
  <c r="E228" i="27"/>
  <c r="F228" i="27"/>
  <c r="G228" i="27"/>
  <c r="H228" i="27" s="1"/>
  <c r="E91" i="27"/>
  <c r="F91" i="27"/>
  <c r="G91" i="27"/>
  <c r="H91" i="27" s="1"/>
  <c r="G82" i="27"/>
  <c r="H82" i="27" s="1"/>
  <c r="F82" i="27"/>
  <c r="E82" i="27"/>
  <c r="E193" i="27"/>
  <c r="F193" i="27"/>
  <c r="G193" i="27"/>
  <c r="H193" i="27" s="1"/>
  <c r="F172" i="27"/>
  <c r="G172" i="27"/>
  <c r="H172" i="27" s="1"/>
  <c r="E172" i="27"/>
  <c r="E190" i="27"/>
  <c r="G190" i="27"/>
  <c r="H190" i="27" s="1"/>
  <c r="F190" i="27"/>
  <c r="G103" i="27"/>
  <c r="H103" i="27" s="1"/>
  <c r="E103" i="27"/>
  <c r="F103" i="27"/>
  <c r="F133" i="27"/>
  <c r="E133" i="27"/>
  <c r="G133" i="27"/>
  <c r="H133" i="27" s="1"/>
  <c r="F107" i="27"/>
  <c r="E107" i="27"/>
  <c r="G107" i="27"/>
  <c r="H107" i="27" s="1"/>
  <c r="F254" i="27"/>
  <c r="E254" i="27"/>
  <c r="G254" i="27"/>
  <c r="H254" i="27" s="1"/>
  <c r="E223" i="27"/>
  <c r="F223" i="27"/>
  <c r="G223" i="27"/>
  <c r="H223" i="27" s="1"/>
  <c r="F195" i="27"/>
  <c r="G195" i="27"/>
  <c r="H195" i="27" s="1"/>
  <c r="E195" i="27"/>
  <c r="G253" i="27"/>
  <c r="H253" i="27" s="1"/>
  <c r="E253" i="27"/>
  <c r="F253" i="27"/>
  <c r="E191" i="27"/>
  <c r="G191" i="27"/>
  <c r="H191" i="27" s="1"/>
  <c r="F191" i="27"/>
  <c r="F159" i="27"/>
  <c r="E159" i="27"/>
  <c r="G159" i="27"/>
  <c r="H159" i="27" s="1"/>
  <c r="F143" i="27"/>
  <c r="G143" i="27"/>
  <c r="H143" i="27" s="1"/>
  <c r="E143" i="27"/>
  <c r="G131" i="27"/>
  <c r="H131" i="27" s="1"/>
  <c r="E131" i="27"/>
  <c r="F131" i="27"/>
  <c r="G18" i="27"/>
  <c r="H18" i="27" s="1"/>
  <c r="E18" i="27"/>
  <c r="E205" i="27"/>
  <c r="F205" i="27"/>
  <c r="G205" i="27"/>
  <c r="H205" i="27" s="1"/>
  <c r="G222" i="27"/>
  <c r="H222" i="27" s="1"/>
  <c r="E222" i="27"/>
  <c r="F222" i="27"/>
  <c r="G136" i="27"/>
  <c r="H136" i="27" s="1"/>
  <c r="F136" i="27"/>
  <c r="E136" i="27"/>
  <c r="F238" i="27"/>
  <c r="G238" i="27"/>
  <c r="H238" i="27" s="1"/>
  <c r="E238" i="27"/>
  <c r="E58" i="27"/>
  <c r="F58" i="27"/>
  <c r="G58" i="27"/>
  <c r="H58" i="27" s="1"/>
  <c r="G141" i="27"/>
  <c r="H141" i="27" s="1"/>
  <c r="E141" i="27"/>
  <c r="F141" i="27"/>
  <c r="F161" i="27"/>
  <c r="G161" i="27"/>
  <c r="H161" i="27" s="1"/>
  <c r="E161" i="27"/>
  <c r="I15" i="27"/>
  <c r="F15" i="27" s="1"/>
  <c r="E236" i="27"/>
  <c r="F236" i="27"/>
  <c r="G236" i="27"/>
  <c r="H236" i="27" s="1"/>
  <c r="F117" i="27"/>
  <c r="G117" i="27"/>
  <c r="H117" i="27" s="1"/>
  <c r="E117" i="27"/>
  <c r="G207" i="27"/>
  <c r="H207" i="27" s="1"/>
  <c r="F207" i="27"/>
  <c r="E207" i="27"/>
  <c r="G46" i="27"/>
  <c r="H46" i="27" s="1"/>
  <c r="E46" i="27"/>
  <c r="E22" i="27"/>
  <c r="G22" i="27"/>
  <c r="H22" i="27" s="1"/>
  <c r="F229" i="27"/>
  <c r="G229" i="27"/>
  <c r="H229" i="27" s="1"/>
  <c r="E229" i="27"/>
  <c r="G44" i="27"/>
  <c r="H44" i="27" s="1"/>
  <c r="E44" i="27"/>
  <c r="N247" i="25"/>
  <c r="M248" i="25"/>
  <c r="G187" i="27"/>
  <c r="H187" i="27" s="1"/>
  <c r="F187" i="27"/>
  <c r="E187" i="27"/>
  <c r="F199" i="27"/>
  <c r="G199" i="27"/>
  <c r="H199" i="27" s="1"/>
  <c r="E199" i="27"/>
  <c r="G213" i="27"/>
  <c r="H213" i="27" s="1"/>
  <c r="F213" i="27"/>
  <c r="E213" i="27"/>
  <c r="G174" i="27"/>
  <c r="H174" i="27" s="1"/>
  <c r="F174" i="27"/>
  <c r="E174" i="27"/>
  <c r="E114" i="27"/>
  <c r="G114" i="27"/>
  <c r="H114" i="27" s="1"/>
  <c r="F114" i="27"/>
  <c r="E60" i="27"/>
  <c r="F60" i="27"/>
  <c r="G60" i="27"/>
  <c r="H60" i="27" s="1"/>
  <c r="G55" i="27"/>
  <c r="H55" i="27" s="1"/>
  <c r="E55" i="27"/>
  <c r="F55" i="27"/>
  <c r="G212" i="27"/>
  <c r="H212" i="27" s="1"/>
  <c r="E212" i="27"/>
  <c r="F212" i="27"/>
  <c r="F51" i="27"/>
  <c r="G51" i="27"/>
  <c r="H51" i="27" s="1"/>
  <c r="E51" i="27"/>
  <c r="F145" i="27"/>
  <c r="E145" i="27"/>
  <c r="G145" i="27"/>
  <c r="H145" i="27" s="1"/>
  <c r="L246" i="25"/>
  <c r="K246" i="25"/>
  <c r="P246" i="25" s="1"/>
  <c r="J246" i="25"/>
  <c r="O246" i="25"/>
  <c r="N248" i="25" l="1"/>
  <c r="M249" i="25"/>
  <c r="O247" i="25"/>
  <c r="L247" i="25"/>
  <c r="K247" i="25"/>
  <c r="P247" i="25" s="1"/>
  <c r="J247" i="25"/>
  <c r="N249" i="25" l="1"/>
  <c r="M250" i="25"/>
  <c r="L248" i="25"/>
  <c r="O248" i="25"/>
  <c r="J248" i="25"/>
  <c r="K248" i="25"/>
  <c r="P248" i="25" s="1"/>
  <c r="N250" i="25" l="1"/>
  <c r="M251" i="25"/>
  <c r="N251" i="25" s="1"/>
  <c r="L249" i="25"/>
  <c r="K249" i="25"/>
  <c r="P249" i="25" s="1"/>
  <c r="J249" i="25"/>
  <c r="O249" i="25"/>
  <c r="L251" i="25" l="1"/>
  <c r="O251" i="25"/>
  <c r="K251" i="25"/>
  <c r="P251" i="25" s="1"/>
  <c r="J251" i="25"/>
  <c r="K250" i="25"/>
  <c r="P250" i="25" s="1"/>
  <c r="J250" i="25"/>
  <c r="K93" i="25" s="1"/>
  <c r="P93" i="25" s="1"/>
  <c r="O250" i="25"/>
  <c r="L250" i="25"/>
  <c r="K172" i="25" l="1"/>
  <c r="P172" i="25" s="1"/>
  <c r="K27" i="25"/>
  <c r="P27" i="25" s="1"/>
  <c r="K194" i="25"/>
  <c r="P194" i="25" s="1"/>
  <c r="K208" i="25"/>
  <c r="P208" i="25" s="1"/>
  <c r="K105" i="25"/>
  <c r="P105" i="25" s="1"/>
  <c r="K90" i="25"/>
  <c r="P90" i="25" s="1"/>
  <c r="K103" i="25"/>
  <c r="P103" i="25" s="1"/>
  <c r="K191" i="25"/>
  <c r="P191" i="25" s="1"/>
  <c r="K215" i="25"/>
  <c r="P215" i="25" s="1"/>
  <c r="K82" i="25"/>
  <c r="P82" i="25" s="1"/>
  <c r="K214" i="25"/>
  <c r="P214" i="25" s="1"/>
  <c r="K176" i="25"/>
  <c r="P176" i="25" s="1"/>
  <c r="K206" i="25"/>
  <c r="P206" i="25" s="1"/>
  <c r="K188" i="25"/>
  <c r="P188" i="25" s="1"/>
  <c r="K201" i="25"/>
  <c r="P201" i="25" s="1"/>
  <c r="K205" i="25"/>
  <c r="P205" i="25" s="1"/>
  <c r="K121" i="25"/>
  <c r="P121" i="25" s="1"/>
  <c r="K209" i="25"/>
  <c r="P209" i="25" s="1"/>
  <c r="K177" i="25"/>
  <c r="P177" i="25" s="1"/>
  <c r="K192" i="25"/>
  <c r="P192" i="25" s="1"/>
  <c r="K217" i="25"/>
  <c r="P217" i="25" s="1"/>
  <c r="K179" i="25"/>
  <c r="P179" i="25" s="1"/>
  <c r="K161" i="25"/>
  <c r="P161" i="25" s="1"/>
  <c r="K216" i="25"/>
  <c r="P216" i="25" s="1"/>
  <c r="K207" i="25"/>
  <c r="P207" i="25" s="1"/>
  <c r="K50" i="25"/>
  <c r="P50" i="25" s="1"/>
  <c r="K14" i="25"/>
  <c r="P14" i="25" s="1"/>
  <c r="K58" i="25"/>
  <c r="P58" i="25" s="1"/>
  <c r="K68" i="25"/>
  <c r="P68" i="25" s="1"/>
  <c r="K170" i="25"/>
  <c r="P170" i="25" s="1"/>
  <c r="K55" i="25"/>
  <c r="P55" i="25" s="1"/>
  <c r="K88" i="25"/>
  <c r="P88" i="25" s="1"/>
  <c r="K142" i="25"/>
  <c r="P142" i="25" s="1"/>
  <c r="K160" i="25"/>
  <c r="P160" i="25" s="1"/>
  <c r="K190" i="25"/>
  <c r="P190" i="25" s="1"/>
  <c r="K212" i="25"/>
  <c r="P212" i="25" s="1"/>
  <c r="K40" i="25"/>
  <c r="P40" i="25" s="1"/>
  <c r="K173" i="25"/>
  <c r="P173" i="25" s="1"/>
  <c r="K213" i="25"/>
  <c r="P213" i="25" s="1"/>
  <c r="K182" i="25"/>
  <c r="P182" i="25" s="1"/>
  <c r="K195" i="25"/>
  <c r="P195" i="25" s="1"/>
  <c r="K187" i="25"/>
  <c r="P187" i="25" s="1"/>
  <c r="K87" i="25"/>
  <c r="P87" i="25" s="1"/>
  <c r="K174" i="25"/>
  <c r="P174" i="25" s="1"/>
  <c r="K154" i="25"/>
  <c r="P154" i="25" s="1"/>
  <c r="K60" i="25"/>
  <c r="P60" i="25" s="1"/>
  <c r="K202" i="25"/>
  <c r="P202" i="25" s="1"/>
  <c r="K140" i="25"/>
  <c r="P140" i="25" s="1"/>
  <c r="K203" i="25"/>
  <c r="P203" i="25" s="1"/>
  <c r="K67" i="25"/>
  <c r="P67" i="25" s="1"/>
  <c r="K167" i="25"/>
  <c r="P167" i="25" s="1"/>
  <c r="K180" i="25"/>
  <c r="P180" i="25" s="1"/>
  <c r="K186" i="25"/>
  <c r="P186" i="25" s="1"/>
  <c r="K123" i="25"/>
  <c r="P123" i="25" s="1"/>
  <c r="K156" i="25"/>
  <c r="P156" i="25" s="1"/>
  <c r="K158" i="25"/>
  <c r="P158" i="25" s="1"/>
  <c r="K178" i="25"/>
  <c r="P178" i="25" s="1"/>
  <c r="K189" i="25"/>
  <c r="P189" i="25" s="1"/>
  <c r="K65" i="25"/>
  <c r="P65" i="25" s="1"/>
  <c r="K11" i="25"/>
  <c r="P11" i="25" s="1"/>
  <c r="K94" i="25"/>
  <c r="P94" i="25" s="1"/>
  <c r="K210" i="25"/>
  <c r="P210" i="25" s="1"/>
  <c r="K185" i="25"/>
  <c r="P185" i="25" s="1"/>
  <c r="K39" i="25"/>
  <c r="P39" i="25" s="1"/>
  <c r="K115" i="25"/>
  <c r="P115" i="25" s="1"/>
  <c r="K101" i="25"/>
  <c r="P101" i="25" s="1"/>
  <c r="K109" i="25"/>
  <c r="P109" i="25" s="1"/>
  <c r="K184" i="25"/>
  <c r="P184" i="25" s="1"/>
  <c r="K183" i="25"/>
  <c r="P183" i="25" s="1"/>
  <c r="K59" i="25"/>
  <c r="P59" i="25" s="1"/>
  <c r="K108" i="25"/>
  <c r="P108" i="25" s="1"/>
  <c r="K85" i="25"/>
  <c r="P85" i="25" s="1"/>
  <c r="K126" i="25"/>
  <c r="P126" i="25" s="1"/>
  <c r="K107" i="25"/>
  <c r="P107" i="25" s="1"/>
  <c r="K145" i="25"/>
  <c r="P145" i="25" s="1"/>
  <c r="K147" i="25"/>
  <c r="P147" i="25" s="1"/>
  <c r="K146" i="25"/>
  <c r="P146" i="25" s="1"/>
  <c r="K153" i="25"/>
  <c r="P153" i="25" s="1"/>
  <c r="K143" i="25"/>
  <c r="P143" i="25" s="1"/>
  <c r="K152" i="25"/>
  <c r="P152" i="25" s="1"/>
  <c r="K159" i="25"/>
  <c r="P159" i="25" s="1"/>
  <c r="K148" i="25"/>
  <c r="P148" i="25" s="1"/>
  <c r="K141" i="25"/>
  <c r="P141" i="25" s="1"/>
  <c r="K56" i="25"/>
  <c r="P56" i="25" s="1"/>
  <c r="K23" i="25"/>
  <c r="P23" i="25" s="1"/>
  <c r="K34" i="25"/>
  <c r="P34" i="25" s="1"/>
  <c r="K71" i="25"/>
  <c r="P71" i="25" s="1"/>
  <c r="K45" i="25"/>
  <c r="P45" i="25" s="1"/>
  <c r="K54" i="25"/>
  <c r="P54" i="25" s="1"/>
  <c r="K119" i="25"/>
  <c r="P119" i="25" s="1"/>
  <c r="K78" i="25"/>
  <c r="P78" i="25" s="1"/>
  <c r="K155" i="25"/>
  <c r="P155" i="25" s="1"/>
  <c r="K131" i="25"/>
  <c r="P131" i="25" s="1"/>
  <c r="K122" i="25"/>
  <c r="P122" i="25" s="1"/>
  <c r="K162" i="25"/>
  <c r="P162" i="25" s="1"/>
  <c r="K130" i="25"/>
  <c r="P130" i="25" s="1"/>
  <c r="K118" i="25"/>
  <c r="P118" i="25" s="1"/>
  <c r="K80" i="25"/>
  <c r="P80" i="25" s="1"/>
  <c r="K149" i="25"/>
  <c r="P149" i="25" s="1"/>
  <c r="K124" i="25"/>
  <c r="P124" i="25" s="1"/>
  <c r="K151" i="25"/>
  <c r="P151" i="25" s="1"/>
  <c r="K16" i="25"/>
  <c r="P16" i="25" s="1"/>
  <c r="K163" i="25"/>
  <c r="P163" i="25" s="1"/>
  <c r="K95" i="25"/>
  <c r="P95" i="25" s="1"/>
  <c r="K77" i="25"/>
  <c r="P77" i="25" s="1"/>
  <c r="K165" i="25"/>
  <c r="P165" i="25" s="1"/>
  <c r="K92" i="25"/>
  <c r="P92" i="25" s="1"/>
  <c r="K69" i="25"/>
  <c r="P69" i="25" s="1"/>
  <c r="K66" i="25"/>
  <c r="P66" i="25" s="1"/>
  <c r="K129" i="25"/>
  <c r="P129" i="25" s="1"/>
  <c r="K138" i="25"/>
  <c r="P138" i="25" s="1"/>
  <c r="K37" i="25"/>
  <c r="P37" i="25" s="1"/>
  <c r="K12" i="25"/>
  <c r="P12" i="25" s="1"/>
  <c r="K41" i="25"/>
  <c r="P41" i="25" s="1"/>
  <c r="K120" i="25"/>
  <c r="P120" i="25" s="1"/>
  <c r="K97" i="25"/>
  <c r="P97" i="25" s="1"/>
  <c r="K104" i="25"/>
  <c r="P104" i="25" s="1"/>
  <c r="K64" i="25"/>
  <c r="P64" i="25" s="1"/>
  <c r="K106" i="25"/>
  <c r="P106" i="25" s="1"/>
  <c r="K46" i="25"/>
  <c r="P46" i="25" s="1"/>
  <c r="K164" i="25"/>
  <c r="P164" i="25" s="1"/>
  <c r="K62" i="25"/>
  <c r="P62" i="25" s="1"/>
  <c r="L27" i="25" l="1"/>
  <c r="O27" i="25"/>
  <c r="O172" i="25"/>
  <c r="L172" i="25"/>
  <c r="O194" i="25"/>
  <c r="O208" i="25"/>
  <c r="L208" i="25"/>
  <c r="L194" i="25"/>
  <c r="L103" i="25"/>
  <c r="O103" i="25"/>
  <c r="O90" i="25"/>
  <c r="L90" i="25"/>
  <c r="O105" i="25"/>
  <c r="L105" i="25"/>
  <c r="L215" i="25"/>
  <c r="O215" i="25"/>
  <c r="L191" i="25"/>
  <c r="O191" i="25"/>
  <c r="L176" i="25"/>
  <c r="O176" i="25"/>
  <c r="O214" i="25"/>
  <c r="L214" i="25"/>
  <c r="O82" i="25"/>
  <c r="L82" i="25"/>
  <c r="O205" i="25"/>
  <c r="L205" i="25"/>
  <c r="L201" i="25"/>
  <c r="O201" i="25"/>
  <c r="O188" i="25"/>
  <c r="L188" i="25"/>
  <c r="O55" i="25"/>
  <c r="O206" i="25"/>
  <c r="L206" i="25"/>
  <c r="L209" i="25"/>
  <c r="O209" i="25"/>
  <c r="L121" i="25"/>
  <c r="O121" i="25"/>
  <c r="O192" i="25"/>
  <c r="L192" i="25"/>
  <c r="L177" i="25"/>
  <c r="O177" i="25"/>
  <c r="L179" i="25"/>
  <c r="O179" i="25"/>
  <c r="L217" i="25"/>
  <c r="O217" i="25"/>
  <c r="L216" i="25"/>
  <c r="O216" i="25"/>
  <c r="O161" i="25"/>
  <c r="L161" i="25"/>
  <c r="L50" i="25"/>
  <c r="O50" i="25"/>
  <c r="L207" i="25"/>
  <c r="O207" i="25"/>
  <c r="L58" i="25"/>
  <c r="O58" i="25"/>
  <c r="O14" i="25"/>
  <c r="L14" i="25"/>
  <c r="O170" i="25"/>
  <c r="L170" i="25"/>
  <c r="O68" i="25"/>
  <c r="L68" i="25"/>
  <c r="O88" i="25"/>
  <c r="L88" i="25"/>
  <c r="L55" i="25"/>
  <c r="O160" i="25"/>
  <c r="L160" i="25"/>
  <c r="O142" i="25"/>
  <c r="L142" i="25"/>
  <c r="L212" i="25"/>
  <c r="O212" i="25"/>
  <c r="L190" i="25"/>
  <c r="O190" i="25"/>
  <c r="L173" i="25"/>
  <c r="O173" i="25"/>
  <c r="L40" i="25"/>
  <c r="O40" i="25"/>
  <c r="O182" i="25"/>
  <c r="L182" i="25"/>
  <c r="O213" i="25"/>
  <c r="L213" i="25"/>
  <c r="O187" i="25"/>
  <c r="L187" i="25"/>
  <c r="O195" i="25"/>
  <c r="L195" i="25"/>
  <c r="L174" i="25"/>
  <c r="O174" i="25"/>
  <c r="O87" i="25"/>
  <c r="L87" i="25"/>
  <c r="O60" i="25"/>
  <c r="L60" i="25"/>
  <c r="L154" i="25"/>
  <c r="O154" i="25"/>
  <c r="O140" i="25"/>
  <c r="L140" i="25"/>
  <c r="L202" i="25"/>
  <c r="O202" i="25"/>
  <c r="L203" i="25"/>
  <c r="L167" i="25"/>
  <c r="O167" i="25"/>
  <c r="L67" i="25"/>
  <c r="O67" i="25"/>
  <c r="O203" i="25"/>
  <c r="L123" i="25"/>
  <c r="O123" i="25"/>
  <c r="O186" i="25"/>
  <c r="L186" i="25"/>
  <c r="L180" i="25"/>
  <c r="O180" i="25"/>
  <c r="L11" i="25"/>
  <c r="O11" i="25"/>
  <c r="O65" i="25"/>
  <c r="L65" i="25"/>
  <c r="L189" i="25"/>
  <c r="O189" i="25"/>
  <c r="L178" i="25"/>
  <c r="O178" i="25"/>
  <c r="O158" i="25"/>
  <c r="L158" i="25"/>
  <c r="L156" i="25"/>
  <c r="O156" i="25"/>
  <c r="O210" i="25"/>
  <c r="L210" i="25"/>
  <c r="O94" i="25"/>
  <c r="L94" i="25"/>
  <c r="L39" i="25"/>
  <c r="O39" i="25"/>
  <c r="L185" i="25"/>
  <c r="O185" i="25"/>
  <c r="L101" i="25"/>
  <c r="O101" i="25"/>
  <c r="O115" i="25"/>
  <c r="L115" i="25"/>
  <c r="L184" i="25"/>
  <c r="O184" i="25"/>
  <c r="O109" i="25"/>
  <c r="L109" i="25"/>
  <c r="O59" i="25"/>
  <c r="L59" i="25"/>
  <c r="L183" i="25"/>
  <c r="O183" i="25"/>
  <c r="O108" i="25"/>
  <c r="L85" i="25"/>
  <c r="O85" i="25"/>
  <c r="L108" i="25"/>
  <c r="L107" i="25"/>
  <c r="O107" i="25"/>
  <c r="L126" i="25"/>
  <c r="O126" i="25"/>
  <c r="O147" i="25"/>
  <c r="L147" i="25"/>
  <c r="O145" i="25"/>
  <c r="L145" i="25"/>
  <c r="O153" i="25"/>
  <c r="L153" i="25"/>
  <c r="O146" i="25"/>
  <c r="L146" i="25"/>
  <c r="L152" i="25"/>
  <c r="O152" i="25"/>
  <c r="L143" i="25"/>
  <c r="O143" i="25"/>
  <c r="L148" i="25"/>
  <c r="O148" i="25"/>
  <c r="O159" i="25"/>
  <c r="L159" i="25"/>
  <c r="O62" i="25"/>
  <c r="L62" i="25"/>
  <c r="L41" i="25"/>
  <c r="O41" i="25"/>
  <c r="L165" i="25"/>
  <c r="O165" i="25"/>
  <c r="L80" i="25"/>
  <c r="O80" i="25"/>
  <c r="L119" i="25"/>
  <c r="O119" i="25"/>
  <c r="L164" i="25"/>
  <c r="O164" i="25"/>
  <c r="L12" i="25"/>
  <c r="O12" i="25"/>
  <c r="L77" i="25"/>
  <c r="O77" i="25"/>
  <c r="O118" i="25"/>
  <c r="L118" i="25"/>
  <c r="L54" i="25"/>
  <c r="O54" i="25"/>
  <c r="L46" i="25"/>
  <c r="O46" i="25"/>
  <c r="O37" i="25"/>
  <c r="L37" i="25"/>
  <c r="L95" i="25"/>
  <c r="O95" i="25"/>
  <c r="O130" i="25"/>
  <c r="L130" i="25"/>
  <c r="L45" i="25"/>
  <c r="O45" i="25"/>
  <c r="L106" i="25"/>
  <c r="O106" i="25"/>
  <c r="O138" i="25"/>
  <c r="L138" i="25"/>
  <c r="L163" i="25"/>
  <c r="O163" i="25"/>
  <c r="O162" i="25"/>
  <c r="L162" i="25"/>
  <c r="O71" i="25"/>
  <c r="L71" i="25"/>
  <c r="L64" i="25"/>
  <c r="O64" i="25"/>
  <c r="L129" i="25"/>
  <c r="O129" i="25"/>
  <c r="O16" i="25"/>
  <c r="L16" i="25"/>
  <c r="O122" i="25"/>
  <c r="L122" i="25"/>
  <c r="O34" i="25"/>
  <c r="L34" i="25"/>
  <c r="O104" i="25"/>
  <c r="L104" i="25"/>
  <c r="L66" i="25"/>
  <c r="O66" i="25"/>
  <c r="O151" i="25"/>
  <c r="L151" i="25"/>
  <c r="L131" i="25"/>
  <c r="O131" i="25"/>
  <c r="L23" i="25"/>
  <c r="O23" i="25"/>
  <c r="O93" i="25"/>
  <c r="O97" i="25"/>
  <c r="L97" i="25"/>
  <c r="L69" i="25"/>
  <c r="O69" i="25"/>
  <c r="O124" i="25"/>
  <c r="L124" i="25"/>
  <c r="L155" i="25"/>
  <c r="O155" i="25"/>
  <c r="O56" i="25"/>
  <c r="L56" i="25"/>
  <c r="L93" i="25"/>
  <c r="L120" i="25"/>
  <c r="O120" i="25"/>
  <c r="O92" i="25"/>
  <c r="L92" i="25"/>
  <c r="O149" i="25"/>
  <c r="L149" i="25"/>
  <c r="L78" i="25"/>
  <c r="O78" i="25"/>
  <c r="O141" i="25"/>
  <c r="L141" i="25"/>
  <c r="B10" i="25" l="1"/>
  <c r="C16" i="25"/>
  <c r="C48" i="25"/>
  <c r="C80" i="25"/>
  <c r="F80" i="25" s="1"/>
  <c r="C112" i="25"/>
  <c r="F112" i="25" s="1"/>
  <c r="C144" i="25"/>
  <c r="F144" i="25" s="1"/>
  <c r="C176" i="25"/>
  <c r="F176" i="25" s="1"/>
  <c r="C208" i="25"/>
  <c r="F208" i="25" s="1"/>
  <c r="C240" i="25"/>
  <c r="F240" i="25" s="1"/>
  <c r="C199" i="25"/>
  <c r="F199" i="25" s="1"/>
  <c r="B41" i="25"/>
  <c r="B73" i="25"/>
  <c r="B105" i="25"/>
  <c r="B137" i="25"/>
  <c r="B169" i="25"/>
  <c r="B201" i="25"/>
  <c r="B233" i="25"/>
  <c r="C12" i="25"/>
  <c r="C29" i="25"/>
  <c r="C61" i="25"/>
  <c r="C93" i="25"/>
  <c r="F93" i="25" s="1"/>
  <c r="C125" i="25"/>
  <c r="F125" i="25" s="1"/>
  <c r="C157" i="25"/>
  <c r="F157" i="25" s="1"/>
  <c r="C189" i="25"/>
  <c r="F189" i="25" s="1"/>
  <c r="C221" i="25"/>
  <c r="F221" i="25" s="1"/>
  <c r="C253" i="25"/>
  <c r="F253" i="25" s="1"/>
  <c r="C13" i="25"/>
  <c r="B46" i="25"/>
  <c r="B78" i="25"/>
  <c r="B110" i="25"/>
  <c r="B142" i="25"/>
  <c r="B174" i="25"/>
  <c r="B206" i="25"/>
  <c r="B238" i="25"/>
  <c r="C151" i="25"/>
  <c r="F151" i="25" s="1"/>
  <c r="C38" i="25"/>
  <c r="C70" i="25"/>
  <c r="F70" i="25" s="1"/>
  <c r="C102" i="25"/>
  <c r="F102" i="25" s="1"/>
  <c r="C134" i="25"/>
  <c r="F134" i="25" s="1"/>
  <c r="C166" i="25"/>
  <c r="F166" i="25" s="1"/>
  <c r="C198" i="25"/>
  <c r="F198" i="25" s="1"/>
  <c r="C230" i="25"/>
  <c r="F230" i="25" s="1"/>
  <c r="C219" i="25"/>
  <c r="F219" i="25" s="1"/>
  <c r="B43" i="25"/>
  <c r="B75" i="25"/>
  <c r="B107" i="25"/>
  <c r="B139" i="25"/>
  <c r="B171" i="25"/>
  <c r="B203" i="25"/>
  <c r="B235" i="25"/>
  <c r="C19" i="25"/>
  <c r="C51" i="25"/>
  <c r="C83" i="25"/>
  <c r="F83" i="25" s="1"/>
  <c r="C115" i="25"/>
  <c r="F115" i="25" s="1"/>
  <c r="C155" i="25"/>
  <c r="F155" i="25" s="1"/>
  <c r="B28" i="25"/>
  <c r="B60" i="25"/>
  <c r="B92" i="25"/>
  <c r="B124" i="25"/>
  <c r="B156" i="25"/>
  <c r="B188" i="25"/>
  <c r="B220" i="25"/>
  <c r="B252" i="25"/>
  <c r="D252" i="25" s="1"/>
  <c r="I252" i="25" s="1"/>
  <c r="C20" i="25"/>
  <c r="C52" i="25"/>
  <c r="C84" i="25"/>
  <c r="F84" i="25" s="1"/>
  <c r="C116" i="25"/>
  <c r="F116" i="25" s="1"/>
  <c r="C148" i="25"/>
  <c r="F148" i="25" s="1"/>
  <c r="C180" i="25"/>
  <c r="F180" i="25" s="1"/>
  <c r="C212" i="25"/>
  <c r="F212" i="25" s="1"/>
  <c r="C244" i="25"/>
  <c r="F244" i="25" s="1"/>
  <c r="C235" i="25"/>
  <c r="F235" i="25" s="1"/>
  <c r="B45" i="25"/>
  <c r="B77" i="25"/>
  <c r="B109" i="25"/>
  <c r="B141" i="25"/>
  <c r="B173" i="25"/>
  <c r="B205" i="25"/>
  <c r="B237" i="25"/>
  <c r="B255" i="25"/>
  <c r="D255" i="25" s="1"/>
  <c r="I255" i="25" s="1"/>
  <c r="C33" i="25"/>
  <c r="C65" i="25"/>
  <c r="F65" i="25" s="1"/>
  <c r="C97" i="25"/>
  <c r="F97" i="25" s="1"/>
  <c r="C129" i="25"/>
  <c r="F129" i="25" s="1"/>
  <c r="C161" i="25"/>
  <c r="F161" i="25" s="1"/>
  <c r="C193" i="25"/>
  <c r="F193" i="25" s="1"/>
  <c r="C225" i="25"/>
  <c r="F225" i="25" s="1"/>
  <c r="C11" i="25"/>
  <c r="B18" i="25"/>
  <c r="B50" i="25"/>
  <c r="B82" i="25"/>
  <c r="B114" i="25"/>
  <c r="B146" i="25"/>
  <c r="B178" i="25"/>
  <c r="B210" i="25"/>
  <c r="B242" i="25"/>
  <c r="C195" i="25"/>
  <c r="F195" i="25" s="1"/>
  <c r="C42" i="25"/>
  <c r="C74" i="25"/>
  <c r="F74" i="25" s="1"/>
  <c r="C106" i="25"/>
  <c r="F106" i="25" s="1"/>
  <c r="C138" i="25"/>
  <c r="F138" i="25" s="1"/>
  <c r="C170" i="25"/>
  <c r="F170" i="25" s="1"/>
  <c r="C202" i="25"/>
  <c r="F202" i="25" s="1"/>
  <c r="C234" i="25"/>
  <c r="F234" i="25" s="1"/>
  <c r="C255" i="25"/>
  <c r="F255" i="25" s="1"/>
  <c r="B47" i="25"/>
  <c r="B79" i="25"/>
  <c r="B111" i="25"/>
  <c r="B143" i="25"/>
  <c r="B175" i="25"/>
  <c r="B207" i="25"/>
  <c r="B239" i="25"/>
  <c r="C23" i="25"/>
  <c r="C55" i="25"/>
  <c r="C87" i="25"/>
  <c r="F87" i="25" s="1"/>
  <c r="C119" i="25"/>
  <c r="F119" i="25" s="1"/>
  <c r="C175" i="25"/>
  <c r="F175" i="25" s="1"/>
  <c r="B32" i="25"/>
  <c r="B64" i="25"/>
  <c r="D64" i="25" s="1"/>
  <c r="B96" i="25"/>
  <c r="B128" i="25"/>
  <c r="B160" i="25"/>
  <c r="B192" i="25"/>
  <c r="B224" i="25"/>
  <c r="B256" i="25"/>
  <c r="D256" i="25" s="1"/>
  <c r="I256" i="25" s="1"/>
  <c r="C24" i="25"/>
  <c r="C56" i="25"/>
  <c r="C88" i="25"/>
  <c r="F88" i="25" s="1"/>
  <c r="C120" i="25"/>
  <c r="F120" i="25" s="1"/>
  <c r="C152" i="25"/>
  <c r="F152" i="25" s="1"/>
  <c r="C184" i="25"/>
  <c r="F184" i="25" s="1"/>
  <c r="C216" i="25"/>
  <c r="F216" i="25" s="1"/>
  <c r="C248" i="25"/>
  <c r="F248" i="25" s="1"/>
  <c r="B17" i="25"/>
  <c r="B49" i="25"/>
  <c r="B81" i="25"/>
  <c r="B113" i="25"/>
  <c r="B145" i="25"/>
  <c r="B177" i="25"/>
  <c r="B209" i="25"/>
  <c r="B241" i="25"/>
  <c r="C171" i="25"/>
  <c r="F171" i="25" s="1"/>
  <c r="C37" i="25"/>
  <c r="C69" i="25"/>
  <c r="F69" i="25" s="1"/>
  <c r="C101" i="25"/>
  <c r="F101" i="25" s="1"/>
  <c r="C133" i="25"/>
  <c r="F133" i="25" s="1"/>
  <c r="C165" i="25"/>
  <c r="F165" i="25" s="1"/>
  <c r="C197" i="25"/>
  <c r="F197" i="25" s="1"/>
  <c r="C229" i="25"/>
  <c r="F229" i="25" s="1"/>
  <c r="C15" i="25"/>
  <c r="B22" i="25"/>
  <c r="B54" i="25"/>
  <c r="B86" i="25"/>
  <c r="B118" i="25"/>
  <c r="B150" i="25"/>
  <c r="B182" i="25"/>
  <c r="B214" i="25"/>
  <c r="B246" i="25"/>
  <c r="C239" i="25"/>
  <c r="F239" i="25" s="1"/>
  <c r="C46" i="25"/>
  <c r="C78" i="25"/>
  <c r="F78" i="25" s="1"/>
  <c r="C110" i="25"/>
  <c r="F110" i="25" s="1"/>
  <c r="C142" i="25"/>
  <c r="F142" i="25" s="1"/>
  <c r="C174" i="25"/>
  <c r="F174" i="25" s="1"/>
  <c r="C206" i="25"/>
  <c r="F206" i="25" s="1"/>
  <c r="C238" i="25"/>
  <c r="F238" i="25" s="1"/>
  <c r="B19" i="25"/>
  <c r="B51" i="25"/>
  <c r="B83" i="25"/>
  <c r="B115" i="25"/>
  <c r="B147" i="25"/>
  <c r="B179" i="25"/>
  <c r="B211" i="25"/>
  <c r="B243" i="25"/>
  <c r="C27" i="25"/>
  <c r="C59" i="25"/>
  <c r="C91" i="25"/>
  <c r="F91" i="25" s="1"/>
  <c r="C123" i="25"/>
  <c r="F123" i="25" s="1"/>
  <c r="C183" i="25"/>
  <c r="F183" i="25" s="1"/>
  <c r="B36" i="25"/>
  <c r="B68" i="25"/>
  <c r="D68" i="25" s="1"/>
  <c r="B100" i="25"/>
  <c r="B132" i="25"/>
  <c r="B164" i="25"/>
  <c r="B196" i="25"/>
  <c r="B228" i="25"/>
  <c r="B14" i="25"/>
  <c r="C28" i="25"/>
  <c r="C60" i="25"/>
  <c r="C92" i="25"/>
  <c r="F92" i="25" s="1"/>
  <c r="C124" i="25"/>
  <c r="F124" i="25" s="1"/>
  <c r="C156" i="25"/>
  <c r="F156" i="25" s="1"/>
  <c r="C188" i="25"/>
  <c r="F188" i="25" s="1"/>
  <c r="C220" i="25"/>
  <c r="F220" i="25" s="1"/>
  <c r="C252" i="25"/>
  <c r="F252" i="25" s="1"/>
  <c r="B21" i="25"/>
  <c r="B53" i="25"/>
  <c r="B85" i="25"/>
  <c r="B117" i="25"/>
  <c r="B149" i="25"/>
  <c r="B181" i="25"/>
  <c r="B213" i="25"/>
  <c r="B245" i="25"/>
  <c r="C203" i="25"/>
  <c r="F203" i="25" s="1"/>
  <c r="C41" i="25"/>
  <c r="C73" i="25"/>
  <c r="F73" i="25" s="1"/>
  <c r="C105" i="25"/>
  <c r="F105" i="25" s="1"/>
  <c r="C137" i="25"/>
  <c r="F137" i="25" s="1"/>
  <c r="C169" i="25"/>
  <c r="F169" i="25" s="1"/>
  <c r="C201" i="25"/>
  <c r="F201" i="25" s="1"/>
  <c r="C233" i="25"/>
  <c r="F233" i="25" s="1"/>
  <c r="C254" i="25"/>
  <c r="F254" i="25" s="1"/>
  <c r="B26" i="25"/>
  <c r="B58" i="25"/>
  <c r="B90" i="25"/>
  <c r="B122" i="25"/>
  <c r="B154" i="25"/>
  <c r="B186" i="25"/>
  <c r="B218" i="25"/>
  <c r="B250" i="25"/>
  <c r="C18" i="25"/>
  <c r="C50" i="25"/>
  <c r="C82" i="25"/>
  <c r="F82" i="25" s="1"/>
  <c r="C114" i="25"/>
  <c r="F114" i="25" s="1"/>
  <c r="C146" i="25"/>
  <c r="F146" i="25" s="1"/>
  <c r="C178" i="25"/>
  <c r="F178" i="25" s="1"/>
  <c r="C210" i="25"/>
  <c r="F210" i="25" s="1"/>
  <c r="C242" i="25"/>
  <c r="F242" i="25" s="1"/>
  <c r="B23" i="25"/>
  <c r="B55" i="25"/>
  <c r="B87" i="25"/>
  <c r="B119" i="25"/>
  <c r="B151" i="25"/>
  <c r="B183" i="25"/>
  <c r="B215" i="25"/>
  <c r="B247" i="25"/>
  <c r="C31" i="25"/>
  <c r="C63" i="25"/>
  <c r="C95" i="25"/>
  <c r="F95" i="25" s="1"/>
  <c r="C127" i="25"/>
  <c r="F127" i="25" s="1"/>
  <c r="C215" i="25"/>
  <c r="F215" i="25" s="1"/>
  <c r="B40" i="25"/>
  <c r="B72" i="25"/>
  <c r="B104" i="25"/>
  <c r="B136" i="25"/>
  <c r="B168" i="25"/>
  <c r="B200" i="25"/>
  <c r="B232" i="25"/>
  <c r="C191" i="25"/>
  <c r="F191" i="25" s="1"/>
  <c r="C32" i="25"/>
  <c r="C64" i="25"/>
  <c r="F64" i="25" s="1"/>
  <c r="C96" i="25"/>
  <c r="F96" i="25" s="1"/>
  <c r="C128" i="25"/>
  <c r="F128" i="25" s="1"/>
  <c r="C160" i="25"/>
  <c r="F160" i="25" s="1"/>
  <c r="C192" i="25"/>
  <c r="F192" i="25" s="1"/>
  <c r="C224" i="25"/>
  <c r="F224" i="25" s="1"/>
  <c r="C256" i="25"/>
  <c r="F256" i="25" s="1"/>
  <c r="B25" i="25"/>
  <c r="B57" i="25"/>
  <c r="B89" i="25"/>
  <c r="B121" i="25"/>
  <c r="B153" i="25"/>
  <c r="B185" i="25"/>
  <c r="B217" i="25"/>
  <c r="B249" i="25"/>
  <c r="C227" i="25"/>
  <c r="F227" i="25" s="1"/>
  <c r="C45" i="25"/>
  <c r="C77" i="25"/>
  <c r="F77" i="25" s="1"/>
  <c r="C109" i="25"/>
  <c r="F109" i="25" s="1"/>
  <c r="C141" i="25"/>
  <c r="F141" i="25" s="1"/>
  <c r="C173" i="25"/>
  <c r="F173" i="25" s="1"/>
  <c r="C205" i="25"/>
  <c r="F205" i="25" s="1"/>
  <c r="C237" i="25"/>
  <c r="F237" i="25" s="1"/>
  <c r="B13" i="25"/>
  <c r="B30" i="25"/>
  <c r="B62" i="25"/>
  <c r="B94" i="25"/>
  <c r="B126" i="25"/>
  <c r="B158" i="25"/>
  <c r="B190" i="25"/>
  <c r="B222" i="25"/>
  <c r="B254" i="25"/>
  <c r="D254" i="25" s="1"/>
  <c r="I254" i="25" s="1"/>
  <c r="C22" i="25"/>
  <c r="C54" i="25"/>
  <c r="C86" i="25"/>
  <c r="F86" i="25" s="1"/>
  <c r="C118" i="25"/>
  <c r="F118" i="25" s="1"/>
  <c r="C150" i="25"/>
  <c r="F150" i="25" s="1"/>
  <c r="C182" i="25"/>
  <c r="F182" i="25" s="1"/>
  <c r="C214" i="25"/>
  <c r="F214" i="25" s="1"/>
  <c r="C246" i="25"/>
  <c r="F246" i="25" s="1"/>
  <c r="B27" i="25"/>
  <c r="B59" i="25"/>
  <c r="B91" i="25"/>
  <c r="B123" i="25"/>
  <c r="B155" i="25"/>
  <c r="B187" i="25"/>
  <c r="B219" i="25"/>
  <c r="C163" i="25"/>
  <c r="F163" i="25" s="1"/>
  <c r="C35" i="25"/>
  <c r="C67" i="25"/>
  <c r="F67" i="25" s="1"/>
  <c r="C99" i="25"/>
  <c r="F99" i="25" s="1"/>
  <c r="C131" i="25"/>
  <c r="F131" i="25" s="1"/>
  <c r="C247" i="25"/>
  <c r="F247" i="25" s="1"/>
  <c r="B44" i="25"/>
  <c r="B76" i="25"/>
  <c r="B108" i="25"/>
  <c r="B140" i="25"/>
  <c r="B172" i="25"/>
  <c r="B204" i="25"/>
  <c r="B236" i="25"/>
  <c r="C223" i="25"/>
  <c r="F223" i="25" s="1"/>
  <c r="C36" i="25"/>
  <c r="C68" i="25"/>
  <c r="F68" i="25" s="1"/>
  <c r="C100" i="25"/>
  <c r="F100" i="25" s="1"/>
  <c r="C132" i="25"/>
  <c r="F132" i="25" s="1"/>
  <c r="C164" i="25"/>
  <c r="F164" i="25" s="1"/>
  <c r="C196" i="25"/>
  <c r="F196" i="25" s="1"/>
  <c r="C228" i="25"/>
  <c r="F228" i="25" s="1"/>
  <c r="C14" i="25"/>
  <c r="B29" i="25"/>
  <c r="B61" i="25"/>
  <c r="D61" i="25" s="1"/>
  <c r="B93" i="25"/>
  <c r="B125" i="25"/>
  <c r="B157" i="25"/>
  <c r="B189" i="25"/>
  <c r="B221" i="25"/>
  <c r="B253" i="25"/>
  <c r="D253" i="25" s="1"/>
  <c r="I253" i="25" s="1"/>
  <c r="C17" i="25"/>
  <c r="C49" i="25"/>
  <c r="C81" i="25"/>
  <c r="F81" i="25" s="1"/>
  <c r="C113" i="25"/>
  <c r="F113" i="25" s="1"/>
  <c r="C145" i="25"/>
  <c r="F145" i="25" s="1"/>
  <c r="C177" i="25"/>
  <c r="F177" i="25" s="1"/>
  <c r="C209" i="25"/>
  <c r="F209" i="25" s="1"/>
  <c r="C241" i="25"/>
  <c r="F241" i="25" s="1"/>
  <c r="C167" i="25"/>
  <c r="F167" i="25" s="1"/>
  <c r="B34" i="25"/>
  <c r="B66" i="25"/>
  <c r="D66" i="25" s="1"/>
  <c r="B98" i="25"/>
  <c r="B130" i="25"/>
  <c r="B162" i="25"/>
  <c r="B194" i="25"/>
  <c r="B226" i="25"/>
  <c r="B12" i="25"/>
  <c r="C26" i="25"/>
  <c r="C58" i="25"/>
  <c r="C90" i="25"/>
  <c r="F90" i="25" s="1"/>
  <c r="C122" i="25"/>
  <c r="F122" i="25" s="1"/>
  <c r="C154" i="25"/>
  <c r="F154" i="25" s="1"/>
  <c r="C186" i="25"/>
  <c r="F186" i="25" s="1"/>
  <c r="C218" i="25"/>
  <c r="F218" i="25" s="1"/>
  <c r="B251" i="25"/>
  <c r="B31" i="25"/>
  <c r="B63" i="25"/>
  <c r="B95" i="25"/>
  <c r="B127" i="25"/>
  <c r="B159" i="25"/>
  <c r="B191" i="25"/>
  <c r="B223" i="25"/>
  <c r="C179" i="25"/>
  <c r="F179" i="25" s="1"/>
  <c r="C39" i="25"/>
  <c r="C71" i="25"/>
  <c r="F71" i="25" s="1"/>
  <c r="C103" i="25"/>
  <c r="F103" i="25" s="1"/>
  <c r="C135" i="25"/>
  <c r="F135" i="25" s="1"/>
  <c r="B16" i="25"/>
  <c r="B48" i="25"/>
  <c r="B80" i="25"/>
  <c r="B112" i="25"/>
  <c r="B144" i="25"/>
  <c r="B176" i="25"/>
  <c r="B208" i="25"/>
  <c r="B240" i="25"/>
  <c r="C251" i="25"/>
  <c r="F251" i="25" s="1"/>
  <c r="C40" i="25"/>
  <c r="C72" i="25"/>
  <c r="F72" i="25" s="1"/>
  <c r="C104" i="25"/>
  <c r="F104" i="25" s="1"/>
  <c r="C136" i="25"/>
  <c r="F136" i="25" s="1"/>
  <c r="C168" i="25"/>
  <c r="F168" i="25" s="1"/>
  <c r="C200" i="25"/>
  <c r="F200" i="25" s="1"/>
  <c r="C232" i="25"/>
  <c r="F232" i="25" s="1"/>
  <c r="B33" i="25"/>
  <c r="B65" i="25"/>
  <c r="B97" i="25"/>
  <c r="B129" i="25"/>
  <c r="B161" i="25"/>
  <c r="B193" i="25"/>
  <c r="B225" i="25"/>
  <c r="B11" i="25"/>
  <c r="C21" i="25"/>
  <c r="C53" i="25"/>
  <c r="C85" i="25"/>
  <c r="F85" i="25" s="1"/>
  <c r="C117" i="25"/>
  <c r="F117" i="25" s="1"/>
  <c r="C149" i="25"/>
  <c r="F149" i="25" s="1"/>
  <c r="C181" i="25"/>
  <c r="F181" i="25" s="1"/>
  <c r="C213" i="25"/>
  <c r="F213" i="25" s="1"/>
  <c r="C245" i="25"/>
  <c r="F245" i="25" s="1"/>
  <c r="C207" i="25"/>
  <c r="F207" i="25" s="1"/>
  <c r="B38" i="25"/>
  <c r="B70" i="25"/>
  <c r="B102" i="25"/>
  <c r="B134" i="25"/>
  <c r="B166" i="25"/>
  <c r="B198" i="25"/>
  <c r="B230" i="25"/>
  <c r="C10" i="25"/>
  <c r="C30" i="25"/>
  <c r="C62" i="25"/>
  <c r="C94" i="25"/>
  <c r="F94" i="25" s="1"/>
  <c r="C126" i="25"/>
  <c r="F126" i="25" s="1"/>
  <c r="C158" i="25"/>
  <c r="F158" i="25" s="1"/>
  <c r="C190" i="25"/>
  <c r="F190" i="25" s="1"/>
  <c r="C222" i="25"/>
  <c r="F222" i="25" s="1"/>
  <c r="C159" i="25"/>
  <c r="F159" i="25" s="1"/>
  <c r="B35" i="25"/>
  <c r="B67" i="25"/>
  <c r="D67" i="25" s="1"/>
  <c r="B99" i="25"/>
  <c r="B131" i="25"/>
  <c r="B163" i="25"/>
  <c r="B195" i="25"/>
  <c r="B227" i="25"/>
  <c r="C211" i="25"/>
  <c r="F211" i="25" s="1"/>
  <c r="C43" i="25"/>
  <c r="C75" i="25"/>
  <c r="F75" i="25" s="1"/>
  <c r="C107" i="25"/>
  <c r="F107" i="25" s="1"/>
  <c r="C139" i="25"/>
  <c r="F139" i="25" s="1"/>
  <c r="B20" i="25"/>
  <c r="B52" i="25"/>
  <c r="B84" i="25"/>
  <c r="B116" i="25"/>
  <c r="B148" i="25"/>
  <c r="B180" i="25"/>
  <c r="B212" i="25"/>
  <c r="B244" i="25"/>
  <c r="C44" i="25"/>
  <c r="C76" i="25"/>
  <c r="F76" i="25" s="1"/>
  <c r="C108" i="25"/>
  <c r="F108" i="25" s="1"/>
  <c r="C140" i="25"/>
  <c r="F140" i="25" s="1"/>
  <c r="C172" i="25"/>
  <c r="F172" i="25" s="1"/>
  <c r="C204" i="25"/>
  <c r="F204" i="25" s="1"/>
  <c r="C236" i="25"/>
  <c r="F236" i="25" s="1"/>
  <c r="C147" i="25"/>
  <c r="F147" i="25" s="1"/>
  <c r="B37" i="25"/>
  <c r="B69" i="25"/>
  <c r="B101" i="25"/>
  <c r="B133" i="25"/>
  <c r="B165" i="25"/>
  <c r="B197" i="25"/>
  <c r="B229" i="25"/>
  <c r="B15" i="25"/>
  <c r="C25" i="25"/>
  <c r="C57" i="25"/>
  <c r="C89" i="25"/>
  <c r="F89" i="25" s="1"/>
  <c r="C121" i="25"/>
  <c r="F121" i="25" s="1"/>
  <c r="C153" i="25"/>
  <c r="F153" i="25" s="1"/>
  <c r="C185" i="25"/>
  <c r="F185" i="25" s="1"/>
  <c r="C217" i="25"/>
  <c r="F217" i="25" s="1"/>
  <c r="C249" i="25"/>
  <c r="F249" i="25" s="1"/>
  <c r="C231" i="25"/>
  <c r="F231" i="25" s="1"/>
  <c r="B42" i="25"/>
  <c r="B74" i="25"/>
  <c r="B106" i="25"/>
  <c r="B138" i="25"/>
  <c r="B170" i="25"/>
  <c r="B202" i="25"/>
  <c r="B234" i="25"/>
  <c r="C250" i="25"/>
  <c r="F250" i="25" s="1"/>
  <c r="C34" i="25"/>
  <c r="C66" i="25"/>
  <c r="F66" i="25" s="1"/>
  <c r="C98" i="25"/>
  <c r="F98" i="25" s="1"/>
  <c r="C130" i="25"/>
  <c r="F130" i="25" s="1"/>
  <c r="C162" i="25"/>
  <c r="F162" i="25" s="1"/>
  <c r="C194" i="25"/>
  <c r="F194" i="25" s="1"/>
  <c r="C226" i="25"/>
  <c r="F226" i="25" s="1"/>
  <c r="C187" i="25"/>
  <c r="F187" i="25" s="1"/>
  <c r="B39" i="25"/>
  <c r="B71" i="25"/>
  <c r="B103" i="25"/>
  <c r="B135" i="25"/>
  <c r="B167" i="25"/>
  <c r="B199" i="25"/>
  <c r="B231" i="25"/>
  <c r="C243" i="25"/>
  <c r="F243" i="25" s="1"/>
  <c r="C47" i="25"/>
  <c r="C79" i="25"/>
  <c r="F79" i="25" s="1"/>
  <c r="C111" i="25"/>
  <c r="F111" i="25" s="1"/>
  <c r="C143" i="25"/>
  <c r="F143" i="25" s="1"/>
  <c r="B24" i="25"/>
  <c r="B56" i="25"/>
  <c r="B88" i="25"/>
  <c r="B120" i="25"/>
  <c r="B152" i="25"/>
  <c r="B184" i="25"/>
  <c r="B216" i="25"/>
  <c r="B248" i="25"/>
  <c r="D48" i="25" l="1"/>
  <c r="I48" i="25" s="1"/>
  <c r="D16" i="25"/>
  <c r="I16" i="25" s="1"/>
  <c r="D45" i="25"/>
  <c r="I45" i="25" s="1"/>
  <c r="D38" i="25"/>
  <c r="I38" i="25" s="1"/>
  <c r="D57" i="25"/>
  <c r="I57" i="25" s="1"/>
  <c r="D58" i="25"/>
  <c r="I58" i="25" s="1"/>
  <c r="D62" i="25"/>
  <c r="I62" i="25" s="1"/>
  <c r="D59" i="25"/>
  <c r="I59" i="25" s="1"/>
  <c r="D63" i="25"/>
  <c r="I63" i="25" s="1"/>
  <c r="D49" i="25"/>
  <c r="I49" i="25" s="1"/>
  <c r="D31" i="25"/>
  <c r="I31" i="25" s="1"/>
  <c r="D25" i="25"/>
  <c r="I25" i="25" s="1"/>
  <c r="D17" i="25"/>
  <c r="I17" i="25" s="1"/>
  <c r="D53" i="25"/>
  <c r="I53" i="25" s="1"/>
  <c r="D51" i="25"/>
  <c r="I51" i="25" s="1"/>
  <c r="D54" i="25"/>
  <c r="I54" i="25" s="1"/>
  <c r="D56" i="25"/>
  <c r="I56" i="25" s="1"/>
  <c r="D13" i="25"/>
  <c r="I13" i="25" s="1"/>
  <c r="D46" i="25"/>
  <c r="I46" i="25" s="1"/>
  <c r="D14" i="25"/>
  <c r="I14" i="25" s="1"/>
  <c r="D33" i="25"/>
  <c r="I33" i="25" s="1"/>
  <c r="D35" i="25"/>
  <c r="I35" i="25" s="1"/>
  <c r="D47" i="25"/>
  <c r="I47" i="25" s="1"/>
  <c r="D22" i="25"/>
  <c r="I22" i="25" s="1"/>
  <c r="D41" i="25"/>
  <c r="I41" i="25" s="1"/>
  <c r="D27" i="25"/>
  <c r="I27" i="25" s="1"/>
  <c r="D44" i="25"/>
  <c r="I44" i="25" s="1"/>
  <c r="D29" i="25"/>
  <c r="I29" i="25" s="1"/>
  <c r="D175" i="25"/>
  <c r="I175" i="25" s="1"/>
  <c r="D132" i="25"/>
  <c r="I132" i="25" s="1"/>
  <c r="D40" i="25"/>
  <c r="I40" i="25" s="1"/>
  <c r="D137" i="25"/>
  <c r="I137" i="25" s="1"/>
  <c r="D148" i="25"/>
  <c r="I148" i="25" s="1"/>
  <c r="D133" i="25"/>
  <c r="I133" i="25" s="1"/>
  <c r="D134" i="25"/>
  <c r="I134" i="25" s="1"/>
  <c r="D55" i="25"/>
  <c r="I55" i="25" s="1"/>
  <c r="D195" i="25"/>
  <c r="I195" i="25" s="1"/>
  <c r="D210" i="25"/>
  <c r="I210" i="25" s="1"/>
  <c r="D155" i="25"/>
  <c r="I155" i="25" s="1"/>
  <c r="D108" i="25"/>
  <c r="I108" i="25" s="1"/>
  <c r="D10" i="25"/>
  <c r="I10" i="25" s="1"/>
  <c r="D70" i="25"/>
  <c r="I70" i="25" s="1"/>
  <c r="D164" i="25"/>
  <c r="I164" i="25" s="1"/>
  <c r="D223" i="25"/>
  <c r="I223" i="25" s="1"/>
  <c r="D138" i="25"/>
  <c r="I138" i="25" s="1"/>
  <c r="D145" i="25"/>
  <c r="I145" i="25" s="1"/>
  <c r="D186" i="25"/>
  <c r="I186" i="25" s="1"/>
  <c r="D106" i="25"/>
  <c r="I106" i="25" s="1"/>
  <c r="D239" i="25"/>
  <c r="I239" i="25" s="1"/>
  <c r="D251" i="25"/>
  <c r="I251" i="25" s="1"/>
  <c r="D144" i="25"/>
  <c r="I144" i="25" s="1"/>
  <c r="D215" i="25"/>
  <c r="I215" i="25" s="1"/>
  <c r="D11" i="25"/>
  <c r="I11" i="25" s="1"/>
  <c r="D248" i="25"/>
  <c r="I248" i="25" s="1"/>
  <c r="D100" i="25"/>
  <c r="I100" i="25" s="1"/>
  <c r="D218" i="25"/>
  <c r="I218" i="25" s="1"/>
  <c r="D250" i="25"/>
  <c r="I250" i="25" s="1"/>
  <c r="D158" i="25"/>
  <c r="I158" i="25" s="1"/>
  <c r="D247" i="25"/>
  <c r="I247" i="25" s="1"/>
  <c r="D204" i="25"/>
  <c r="I204" i="25" s="1"/>
  <c r="D141" i="25"/>
  <c r="I141" i="25" s="1"/>
  <c r="D52" i="25"/>
  <c r="I52" i="25" s="1"/>
  <c r="D139" i="25"/>
  <c r="I139" i="25" s="1"/>
  <c r="D142" i="25"/>
  <c r="I142" i="25" s="1"/>
  <c r="D12" i="25"/>
  <c r="I12" i="25" s="1"/>
  <c r="D21" i="25"/>
  <c r="I21" i="25" s="1"/>
  <c r="D71" i="25"/>
  <c r="I71" i="25" s="1"/>
  <c r="D136" i="25"/>
  <c r="I136" i="25" s="1"/>
  <c r="D98" i="25"/>
  <c r="I98" i="25" s="1"/>
  <c r="D219" i="25"/>
  <c r="I219" i="25" s="1"/>
  <c r="D198" i="25"/>
  <c r="I198" i="25" s="1"/>
  <c r="D177" i="25"/>
  <c r="I177" i="25" s="1"/>
  <c r="D39" i="25"/>
  <c r="I39" i="25" s="1"/>
  <c r="D206" i="25"/>
  <c r="I206" i="25" s="1"/>
  <c r="D103" i="25"/>
  <c r="I103" i="25" s="1"/>
  <c r="D153" i="25"/>
  <c r="I153" i="25" s="1"/>
  <c r="D140" i="25"/>
  <c r="I140" i="25" s="1"/>
  <c r="D192" i="25"/>
  <c r="I192" i="25" s="1"/>
  <c r="D65" i="25"/>
  <c r="I65" i="25" s="1"/>
  <c r="D246" i="25"/>
  <c r="I246" i="25" s="1"/>
  <c r="D60" i="25"/>
  <c r="I60" i="25" s="1"/>
  <c r="D83" i="25"/>
  <c r="I83" i="25" s="1"/>
  <c r="D109" i="25"/>
  <c r="I109" i="25" s="1"/>
  <c r="D131" i="25"/>
  <c r="I131" i="25" s="1"/>
  <c r="D126" i="25"/>
  <c r="I126" i="25" s="1"/>
  <c r="D97" i="25"/>
  <c r="I97" i="25" s="1"/>
  <c r="D228" i="25"/>
  <c r="I228" i="25" s="1"/>
  <c r="D111" i="25"/>
  <c r="I111" i="25" s="1"/>
  <c r="D205" i="25"/>
  <c r="I205" i="25" s="1"/>
  <c r="D203" i="25"/>
  <c r="I203" i="25" s="1"/>
  <c r="D191" i="25"/>
  <c r="I191" i="25" s="1"/>
  <c r="D92" i="25"/>
  <c r="I92" i="25" s="1"/>
  <c r="D165" i="25"/>
  <c r="I165" i="25" s="1"/>
  <c r="D157" i="25"/>
  <c r="I157" i="25" s="1"/>
  <c r="D119" i="25"/>
  <c r="I119" i="25" s="1"/>
  <c r="D217" i="25"/>
  <c r="I217" i="25" s="1"/>
  <c r="D146" i="25"/>
  <c r="I146" i="25" s="1"/>
  <c r="D188" i="25"/>
  <c r="I188" i="25" s="1"/>
  <c r="D166" i="25"/>
  <c r="I166" i="25" s="1"/>
  <c r="D76" i="25"/>
  <c r="I76" i="25" s="1"/>
  <c r="D23" i="25"/>
  <c r="I23" i="25" s="1"/>
  <c r="D74" i="25"/>
  <c r="I74" i="25" s="1"/>
  <c r="D162" i="25"/>
  <c r="I162" i="25" s="1"/>
  <c r="D151" i="25"/>
  <c r="I151" i="25" s="1"/>
  <c r="D240" i="25"/>
  <c r="I240" i="25" s="1"/>
  <c r="D190" i="25"/>
  <c r="I190" i="25" s="1"/>
  <c r="D249" i="25"/>
  <c r="I249" i="25" s="1"/>
  <c r="D87" i="25"/>
  <c r="I87" i="25" s="1"/>
  <c r="D208" i="25"/>
  <c r="I208" i="25" s="1"/>
  <c r="D20" i="25"/>
  <c r="I20" i="25" s="1"/>
  <c r="D222" i="25"/>
  <c r="I222" i="25" s="1"/>
  <c r="D72" i="25"/>
  <c r="I72" i="25" s="1"/>
  <c r="D18" i="25"/>
  <c r="I18" i="25" s="1"/>
  <c r="D89" i="25"/>
  <c r="I89" i="25" s="1"/>
  <c r="D128" i="25"/>
  <c r="I128" i="25" s="1"/>
  <c r="D181" i="25"/>
  <c r="I181" i="25" s="1"/>
  <c r="D185" i="25"/>
  <c r="I185" i="25" s="1"/>
  <c r="D107" i="25"/>
  <c r="I107" i="25" s="1"/>
  <c r="D170" i="25"/>
  <c r="I170" i="25" s="1"/>
  <c r="D220" i="25"/>
  <c r="I220" i="25" s="1"/>
  <c r="D30" i="25"/>
  <c r="I30" i="25" s="1"/>
  <c r="D156" i="25"/>
  <c r="I156" i="25" s="1"/>
  <c r="D73" i="25"/>
  <c r="I73" i="25" s="1"/>
  <c r="D19" i="25"/>
  <c r="I19" i="25" s="1"/>
  <c r="D43" i="25"/>
  <c r="I43" i="25" s="1"/>
  <c r="D159" i="25"/>
  <c r="I159" i="25" s="1"/>
  <c r="D209" i="25"/>
  <c r="I209" i="25" s="1"/>
  <c r="D94" i="25"/>
  <c r="I94" i="25" s="1"/>
  <c r="D93" i="25"/>
  <c r="I93" i="25" s="1"/>
  <c r="D88" i="25"/>
  <c r="I88" i="25" s="1"/>
  <c r="D86" i="25"/>
  <c r="I86" i="25" s="1"/>
  <c r="D168" i="25"/>
  <c r="I168" i="25" s="1"/>
  <c r="D129" i="25"/>
  <c r="I129" i="25" s="1"/>
  <c r="D225" i="25"/>
  <c r="I225" i="25" s="1"/>
  <c r="D236" i="25"/>
  <c r="I236" i="25" s="1"/>
  <c r="D182" i="25"/>
  <c r="I182" i="25" s="1"/>
  <c r="D82" i="25"/>
  <c r="I82" i="25" s="1"/>
  <c r="D173" i="25"/>
  <c r="I173" i="25" s="1"/>
  <c r="D207" i="25"/>
  <c r="I207" i="25" s="1"/>
  <c r="D214" i="25"/>
  <c r="I214" i="25" s="1"/>
  <c r="D80" i="25"/>
  <c r="I80" i="25" s="1"/>
  <c r="D34" i="25"/>
  <c r="I34" i="25" s="1"/>
  <c r="D243" i="25"/>
  <c r="I243" i="25" s="1"/>
  <c r="D15" i="25"/>
  <c r="I15" i="25" s="1"/>
  <c r="D130" i="25"/>
  <c r="I130" i="25" s="1"/>
  <c r="D112" i="25"/>
  <c r="I112" i="25" s="1"/>
  <c r="D232" i="25"/>
  <c r="I232" i="25" s="1"/>
  <c r="D169" i="25"/>
  <c r="I169" i="25" s="1"/>
  <c r="D118" i="25"/>
  <c r="I118" i="25" s="1"/>
  <c r="D230" i="25"/>
  <c r="I230" i="25" s="1"/>
  <c r="D199" i="25"/>
  <c r="I199" i="25" s="1"/>
  <c r="D237" i="25"/>
  <c r="I237" i="25" s="1"/>
  <c r="D201" i="25"/>
  <c r="I201" i="25" s="1"/>
  <c r="D202" i="25"/>
  <c r="I202" i="25" s="1"/>
  <c r="D234" i="25"/>
  <c r="I234" i="25" s="1"/>
  <c r="D110" i="25"/>
  <c r="I110" i="25" s="1"/>
  <c r="D115" i="25"/>
  <c r="I115" i="25" s="1"/>
  <c r="D24" i="25"/>
  <c r="I24" i="25" s="1"/>
  <c r="D197" i="25"/>
  <c r="I197" i="25" s="1"/>
  <c r="D152" i="25"/>
  <c r="I152" i="25" s="1"/>
  <c r="D95" i="25"/>
  <c r="I95" i="25" s="1"/>
  <c r="D184" i="25"/>
  <c r="I184" i="25" s="1"/>
  <c r="D102" i="25"/>
  <c r="I102" i="25" s="1"/>
  <c r="D26" i="25"/>
  <c r="I26" i="25" s="1"/>
  <c r="D200" i="25"/>
  <c r="I200" i="25" s="1"/>
  <c r="D105" i="25"/>
  <c r="I105" i="25" s="1"/>
  <c r="D227" i="25"/>
  <c r="I227" i="25" s="1"/>
  <c r="D189" i="25"/>
  <c r="I189" i="25" s="1"/>
  <c r="D121" i="25"/>
  <c r="I121" i="25" s="1"/>
  <c r="D179" i="25"/>
  <c r="I179" i="25" s="1"/>
  <c r="D36" i="25"/>
  <c r="I36" i="25" s="1"/>
  <c r="D120" i="25"/>
  <c r="I120" i="25" s="1"/>
  <c r="D178" i="25"/>
  <c r="I178" i="25" s="1"/>
  <c r="D117" i="25"/>
  <c r="I117" i="25" s="1"/>
  <c r="D85" i="25"/>
  <c r="I85" i="25" s="1"/>
  <c r="D187" i="25"/>
  <c r="I187" i="25" s="1"/>
  <c r="D171" i="25"/>
  <c r="I171" i="25" s="1"/>
  <c r="D196" i="25"/>
  <c r="I196" i="25" s="1"/>
  <c r="D216" i="25"/>
  <c r="I216" i="25" s="1"/>
  <c r="D226" i="25"/>
  <c r="I226" i="25" s="1"/>
  <c r="D84" i="25"/>
  <c r="I84" i="25" s="1"/>
  <c r="D233" i="25"/>
  <c r="I233" i="25" s="1"/>
  <c r="D238" i="25"/>
  <c r="I238" i="25" s="1"/>
  <c r="D77" i="25"/>
  <c r="I77" i="25" s="1"/>
  <c r="D69" i="25"/>
  <c r="I69" i="25" s="1"/>
  <c r="D28" i="25"/>
  <c r="I28" i="25" s="1"/>
  <c r="D174" i="25"/>
  <c r="I174" i="25" s="1"/>
  <c r="D37" i="25"/>
  <c r="I37" i="25" s="1"/>
  <c r="D160" i="25"/>
  <c r="I160" i="25" s="1"/>
  <c r="D124" i="25"/>
  <c r="I124" i="25" s="1"/>
  <c r="D231" i="25"/>
  <c r="I231" i="25" s="1"/>
  <c r="D78" i="25"/>
  <c r="I78" i="25" s="1"/>
  <c r="D147" i="25"/>
  <c r="I147" i="25" s="1"/>
  <c r="D135" i="25"/>
  <c r="I135" i="25" s="1"/>
  <c r="D90" i="25"/>
  <c r="I90" i="25" s="1"/>
  <c r="D229" i="25"/>
  <c r="I229" i="25" s="1"/>
  <c r="D149" i="25"/>
  <c r="I149" i="25" s="1"/>
  <c r="D125" i="25"/>
  <c r="I125" i="25" s="1"/>
  <c r="D123" i="25"/>
  <c r="I123" i="25" s="1"/>
  <c r="D221" i="25"/>
  <c r="I221" i="25" s="1"/>
  <c r="D122" i="25"/>
  <c r="I122" i="25" s="1"/>
  <c r="D116" i="25"/>
  <c r="I116" i="25" s="1"/>
  <c r="D212" i="25"/>
  <c r="I212" i="25" s="1"/>
  <c r="D193" i="25"/>
  <c r="I193" i="25" s="1"/>
  <c r="D161" i="25"/>
  <c r="I161" i="25" s="1"/>
  <c r="D79" i="25"/>
  <c r="I79" i="25" s="1"/>
  <c r="D143" i="25"/>
  <c r="I143" i="25" s="1"/>
  <c r="D213" i="25"/>
  <c r="I213" i="25" s="1"/>
  <c r="D114" i="25"/>
  <c r="I114" i="25" s="1"/>
  <c r="D180" i="25"/>
  <c r="I180" i="25" s="1"/>
  <c r="D176" i="25"/>
  <c r="I176" i="25" s="1"/>
  <c r="D245" i="25"/>
  <c r="I245" i="25" s="1"/>
  <c r="D101" i="25"/>
  <c r="I101" i="25" s="1"/>
  <c r="D81" i="25"/>
  <c r="I81" i="25" s="1"/>
  <c r="D104" i="25"/>
  <c r="I104" i="25" s="1"/>
  <c r="D96" i="25"/>
  <c r="I96" i="25" s="1"/>
  <c r="D154" i="25"/>
  <c r="I154" i="25" s="1"/>
  <c r="D75" i="25"/>
  <c r="I75" i="25" s="1"/>
  <c r="D113" i="25"/>
  <c r="I113" i="25" s="1"/>
  <c r="D194" i="25"/>
  <c r="I194" i="25" s="1"/>
  <c r="D172" i="25"/>
  <c r="I172" i="25" s="1"/>
  <c r="D42" i="25"/>
  <c r="I42" i="25" s="1"/>
  <c r="D224" i="25"/>
  <c r="I224" i="25" s="1"/>
  <c r="D241" i="25"/>
  <c r="I241" i="25" s="1"/>
  <c r="D183" i="25"/>
  <c r="I183" i="25" s="1"/>
  <c r="D91" i="25"/>
  <c r="I91" i="25" s="1"/>
  <c r="D32" i="25"/>
  <c r="I32" i="25" s="1"/>
  <c r="D167" i="25"/>
  <c r="I167" i="25" s="1"/>
  <c r="D211" i="25"/>
  <c r="I211" i="25" s="1"/>
  <c r="D242" i="25"/>
  <c r="I242" i="25" s="1"/>
  <c r="D127" i="25"/>
  <c r="I127" i="25" s="1"/>
  <c r="D163" i="25"/>
  <c r="I163" i="25" s="1"/>
  <c r="D99" i="25"/>
  <c r="I99" i="25" s="1"/>
  <c r="D244" i="25"/>
  <c r="I244" i="25" s="1"/>
  <c r="D50" i="25"/>
  <c r="I50" i="25" s="1"/>
  <c r="D150" i="25"/>
  <c r="I150" i="25" s="1"/>
  <c r="D235" i="25"/>
  <c r="I235" i="25" s="1"/>
  <c r="I68" i="25"/>
  <c r="I67" i="25"/>
  <c r="I66" i="25"/>
  <c r="I64" i="25"/>
  <c r="I61" i="25"/>
  <c r="G42" i="25"/>
  <c r="H42" i="25" s="1"/>
  <c r="E42" i="25"/>
  <c r="G199" i="25"/>
  <c r="H199" i="25" s="1"/>
  <c r="E199" i="25"/>
  <c r="E230" i="25"/>
  <c r="G230" i="25"/>
  <c r="H230" i="25" s="1"/>
  <c r="G130" i="25"/>
  <c r="H130" i="25" s="1"/>
  <c r="E130" i="25"/>
  <c r="E27" i="25"/>
  <c r="G27" i="25"/>
  <c r="H27" i="25" s="1"/>
  <c r="E247" i="25"/>
  <c r="G247" i="25"/>
  <c r="H247" i="25" s="1"/>
  <c r="E33" i="25"/>
  <c r="G33" i="25"/>
  <c r="H33" i="25" s="1"/>
  <c r="G128" i="25"/>
  <c r="H128" i="25" s="1"/>
  <c r="E128" i="25"/>
  <c r="G63" i="25"/>
  <c r="H63" i="25" s="1"/>
  <c r="E63" i="25"/>
  <c r="F63" i="25" s="1"/>
  <c r="G169" i="25"/>
  <c r="H169" i="25" s="1"/>
  <c r="E169" i="25"/>
  <c r="G147" i="25"/>
  <c r="H147" i="25" s="1"/>
  <c r="E147" i="25"/>
  <c r="G151" i="25"/>
  <c r="H151" i="25" s="1"/>
  <c r="E151" i="25"/>
  <c r="E167" i="25"/>
  <c r="G167" i="25"/>
  <c r="H167" i="25" s="1"/>
  <c r="G174" i="25"/>
  <c r="H174" i="25" s="1"/>
  <c r="E174" i="25"/>
  <c r="E109" i="25"/>
  <c r="G109" i="25"/>
  <c r="H109" i="25" s="1"/>
  <c r="E189" i="25"/>
  <c r="G189" i="25"/>
  <c r="H189" i="25" s="1"/>
  <c r="E35" i="25"/>
  <c r="G35" i="25"/>
  <c r="H35" i="25" s="1"/>
  <c r="E113" i="25"/>
  <c r="G113" i="25"/>
  <c r="H113" i="25" s="1"/>
  <c r="G209" i="25"/>
  <c r="H209" i="25" s="1"/>
  <c r="E209" i="25"/>
  <c r="G64" i="25"/>
  <c r="H64" i="25" s="1"/>
  <c r="E64" i="25"/>
  <c r="E136" i="25"/>
  <c r="G136" i="25"/>
  <c r="H136" i="25" s="1"/>
  <c r="E159" i="25"/>
  <c r="G159" i="25"/>
  <c r="H159" i="25" s="1"/>
  <c r="E104" i="25"/>
  <c r="G104" i="25"/>
  <c r="H104" i="25" s="1"/>
  <c r="E146" i="25"/>
  <c r="G146" i="25"/>
  <c r="H146" i="25" s="1"/>
  <c r="E172" i="25"/>
  <c r="G172" i="25"/>
  <c r="H172" i="25" s="1"/>
  <c r="E29" i="25"/>
  <c r="G29" i="25"/>
  <c r="H29" i="25" s="1"/>
  <c r="G108" i="25"/>
  <c r="H108" i="25" s="1"/>
  <c r="E108" i="25"/>
  <c r="E78" i="25"/>
  <c r="G78" i="25"/>
  <c r="H78" i="25" s="1"/>
  <c r="G250" i="25"/>
  <c r="H250" i="25" s="1"/>
  <c r="E250" i="25"/>
  <c r="G224" i="25"/>
  <c r="H224" i="25" s="1"/>
  <c r="E224" i="25"/>
  <c r="G81" i="25"/>
  <c r="H81" i="25" s="1"/>
  <c r="E81" i="25"/>
  <c r="G79" i="25"/>
  <c r="H79" i="25" s="1"/>
  <c r="E79" i="25"/>
  <c r="G214" i="25"/>
  <c r="H214" i="25" s="1"/>
  <c r="E214" i="25"/>
  <c r="E178" i="25"/>
  <c r="G178" i="25"/>
  <c r="H178" i="25" s="1"/>
  <c r="E207" i="25"/>
  <c r="G207" i="25"/>
  <c r="H207" i="25" s="1"/>
  <c r="G30" i="25"/>
  <c r="H30" i="25" s="1"/>
  <c r="E30" i="25"/>
  <c r="G170" i="25"/>
  <c r="H170" i="25" s="1"/>
  <c r="E170" i="25"/>
  <c r="E237" i="25"/>
  <c r="G237" i="25"/>
  <c r="H237" i="25" s="1"/>
  <c r="G77" i="25"/>
  <c r="H77" i="25" s="1"/>
  <c r="E77" i="25"/>
  <c r="E255" i="25"/>
  <c r="G255" i="25"/>
  <c r="H255" i="25" s="1"/>
  <c r="G143" i="25"/>
  <c r="H143" i="25" s="1"/>
  <c r="E143" i="25"/>
  <c r="G90" i="25"/>
  <c r="H90" i="25" s="1"/>
  <c r="E90" i="25"/>
  <c r="G150" i="25"/>
  <c r="H150" i="25" s="1"/>
  <c r="E150" i="25"/>
  <c r="E245" i="25"/>
  <c r="G245" i="25"/>
  <c r="H245" i="25" s="1"/>
  <c r="G91" i="25"/>
  <c r="H91" i="25" s="1"/>
  <c r="E91" i="25"/>
  <c r="G20" i="25"/>
  <c r="H20" i="25" s="1"/>
  <c r="E20" i="25"/>
  <c r="G140" i="25"/>
  <c r="H140" i="25" s="1"/>
  <c r="E140" i="25"/>
  <c r="E23" i="25"/>
  <c r="G23" i="25"/>
  <c r="H23" i="25" s="1"/>
  <c r="G60" i="25"/>
  <c r="H60" i="25" s="1"/>
  <c r="E60" i="25"/>
  <c r="F60" i="25" s="1"/>
  <c r="E197" i="25"/>
  <c r="G197" i="25"/>
  <c r="H197" i="25" s="1"/>
  <c r="E86" i="25"/>
  <c r="G86" i="25"/>
  <c r="H86" i="25" s="1"/>
  <c r="E39" i="25"/>
  <c r="G39" i="25"/>
  <c r="H39" i="25" s="1"/>
  <c r="G148" i="25"/>
  <c r="H148" i="25" s="1"/>
  <c r="E148" i="25"/>
  <c r="E215" i="25"/>
  <c r="G215" i="25"/>
  <c r="H215" i="25" s="1"/>
  <c r="E210" i="25"/>
  <c r="G210" i="25"/>
  <c r="H210" i="25" s="1"/>
  <c r="G196" i="25"/>
  <c r="H196" i="25" s="1"/>
  <c r="E196" i="25"/>
  <c r="G49" i="25"/>
  <c r="H49" i="25" s="1"/>
  <c r="E49" i="25"/>
  <c r="E114" i="25"/>
  <c r="G114" i="25"/>
  <c r="H114" i="25" s="1"/>
  <c r="E105" i="25"/>
  <c r="G105" i="25"/>
  <c r="H105" i="25" s="1"/>
  <c r="E142" i="25"/>
  <c r="G142" i="25"/>
  <c r="H142" i="25" s="1"/>
  <c r="E241" i="25"/>
  <c r="G241" i="25"/>
  <c r="H241" i="25" s="1"/>
  <c r="G160" i="25"/>
  <c r="H160" i="25" s="1"/>
  <c r="E160" i="25"/>
  <c r="G161" i="25"/>
  <c r="H161" i="25" s="1"/>
  <c r="E161" i="25"/>
  <c r="E106" i="25"/>
  <c r="G106" i="25"/>
  <c r="H106" i="25" s="1"/>
  <c r="E117" i="25"/>
  <c r="G117" i="25"/>
  <c r="H117" i="25" s="1"/>
  <c r="G177" i="25"/>
  <c r="H177" i="25" s="1"/>
  <c r="E177" i="25"/>
  <c r="G229" i="25"/>
  <c r="H229" i="25" s="1"/>
  <c r="E229" i="25"/>
  <c r="E19" i="25"/>
  <c r="G19" i="25"/>
  <c r="H19" i="25" s="1"/>
  <c r="G99" i="25"/>
  <c r="H99" i="25" s="1"/>
  <c r="E99" i="25"/>
  <c r="G232" i="25"/>
  <c r="H232" i="25" s="1"/>
  <c r="E232" i="25"/>
  <c r="G234" i="25"/>
  <c r="H234" i="25" s="1"/>
  <c r="E234" i="25"/>
  <c r="E164" i="25"/>
  <c r="G164" i="25"/>
  <c r="H164" i="25" s="1"/>
  <c r="G68" i="25"/>
  <c r="H68" i="25" s="1"/>
  <c r="E68" i="25"/>
  <c r="G187" i="25"/>
  <c r="H187" i="25" s="1"/>
  <c r="E187" i="25"/>
  <c r="E26" i="25"/>
  <c r="G26" i="25"/>
  <c r="H26" i="25" s="1"/>
  <c r="E184" i="25"/>
  <c r="G184" i="25"/>
  <c r="H184" i="25" s="1"/>
  <c r="E213" i="25"/>
  <c r="G213" i="25"/>
  <c r="H213" i="25" s="1"/>
  <c r="E137" i="25"/>
  <c r="G137" i="25"/>
  <c r="H137" i="25" s="1"/>
  <c r="G157" i="25"/>
  <c r="H157" i="25" s="1"/>
  <c r="E157" i="25"/>
  <c r="E70" i="25"/>
  <c r="G70" i="25"/>
  <c r="H70" i="25" s="1"/>
  <c r="G217" i="25"/>
  <c r="H217" i="25" s="1"/>
  <c r="E217" i="25"/>
  <c r="G41" i="25"/>
  <c r="H41" i="25" s="1"/>
  <c r="E41" i="25"/>
  <c r="E181" i="25"/>
  <c r="G181" i="25"/>
  <c r="H181" i="25" s="1"/>
  <c r="G218" i="25"/>
  <c r="H218" i="25" s="1"/>
  <c r="E218" i="25"/>
  <c r="E221" i="25"/>
  <c r="G221" i="25"/>
  <c r="H221" i="25" s="1"/>
  <c r="G98" i="25"/>
  <c r="H98" i="25" s="1"/>
  <c r="E98" i="25"/>
  <c r="G84" i="25"/>
  <c r="H84" i="25" s="1"/>
  <c r="E84" i="25"/>
  <c r="G120" i="25"/>
  <c r="H120" i="25" s="1"/>
  <c r="E120" i="25"/>
  <c r="E216" i="25"/>
  <c r="G216" i="25"/>
  <c r="H216" i="25" s="1"/>
  <c r="G231" i="25"/>
  <c r="H231" i="25" s="1"/>
  <c r="E231" i="25"/>
  <c r="E239" i="25"/>
  <c r="G239" i="25"/>
  <c r="H239" i="25" s="1"/>
  <c r="G118" i="25"/>
  <c r="H118" i="25" s="1"/>
  <c r="E118" i="25"/>
  <c r="E11" i="25"/>
  <c r="G11" i="25"/>
  <c r="H11" i="25" s="1"/>
  <c r="E238" i="25"/>
  <c r="G238" i="25"/>
  <c r="H238" i="25" s="1"/>
  <c r="E45" i="25"/>
  <c r="G45" i="25"/>
  <c r="H45" i="25" s="1"/>
  <c r="E10" i="25"/>
  <c r="G10" i="25"/>
  <c r="H10" i="25" s="1"/>
  <c r="E52" i="25"/>
  <c r="G52" i="25"/>
  <c r="H52" i="25" s="1"/>
  <c r="G129" i="25"/>
  <c r="H129" i="25" s="1"/>
  <c r="E129" i="25"/>
  <c r="E240" i="25"/>
  <c r="G240" i="25"/>
  <c r="H240" i="25" s="1"/>
  <c r="G75" i="25"/>
  <c r="H75" i="25" s="1"/>
  <c r="E75" i="25"/>
  <c r="G55" i="25"/>
  <c r="H55" i="25" s="1"/>
  <c r="E55" i="25"/>
  <c r="F55" i="25" s="1"/>
  <c r="G94" i="25"/>
  <c r="H94" i="25" s="1"/>
  <c r="E94" i="25"/>
  <c r="E204" i="25"/>
  <c r="G204" i="25"/>
  <c r="H204" i="25" s="1"/>
  <c r="E173" i="25"/>
  <c r="G173" i="25"/>
  <c r="H173" i="25" s="1"/>
  <c r="E183" i="25"/>
  <c r="G183" i="25"/>
  <c r="H183" i="25" s="1"/>
  <c r="E16" i="25"/>
  <c r="F16" i="25" s="1"/>
  <c r="G16" i="25"/>
  <c r="H16" i="25" s="1"/>
  <c r="E24" i="25"/>
  <c r="G24" i="25"/>
  <c r="H24" i="25" s="1"/>
  <c r="G44" i="25"/>
  <c r="H44" i="25" s="1"/>
  <c r="E44" i="25"/>
  <c r="G253" i="25"/>
  <c r="H253" i="25" s="1"/>
  <c r="E253" i="25"/>
  <c r="E43" i="25"/>
  <c r="G43" i="25"/>
  <c r="H43" i="25" s="1"/>
  <c r="E72" i="25"/>
  <c r="G72" i="25"/>
  <c r="H72" i="25" s="1"/>
  <c r="G152" i="25"/>
  <c r="H152" i="25" s="1"/>
  <c r="E152" i="25"/>
  <c r="G122" i="25"/>
  <c r="H122" i="25" s="1"/>
  <c r="E122" i="25"/>
  <c r="E171" i="25"/>
  <c r="G171" i="25"/>
  <c r="H171" i="25" s="1"/>
  <c r="G53" i="25"/>
  <c r="H53" i="25" s="1"/>
  <c r="E53" i="25"/>
  <c r="G244" i="25"/>
  <c r="H244" i="25" s="1"/>
  <c r="E244" i="25"/>
  <c r="G208" i="25"/>
  <c r="H208" i="25" s="1"/>
  <c r="E208" i="25"/>
  <c r="G179" i="25"/>
  <c r="H179" i="25" s="1"/>
  <c r="E179" i="25"/>
  <c r="G145" i="25"/>
  <c r="H145" i="25" s="1"/>
  <c r="E145" i="25"/>
  <c r="G191" i="25"/>
  <c r="H191" i="25" s="1"/>
  <c r="E191" i="25"/>
  <c r="E220" i="25"/>
  <c r="G220" i="25"/>
  <c r="H220" i="25" s="1"/>
  <c r="E71" i="25"/>
  <c r="G71" i="25"/>
  <c r="H71" i="25" s="1"/>
  <c r="E222" i="25"/>
  <c r="G222" i="25"/>
  <c r="H222" i="25" s="1"/>
  <c r="G96" i="25"/>
  <c r="H96" i="25" s="1"/>
  <c r="E96" i="25"/>
  <c r="E107" i="25"/>
  <c r="G107" i="25"/>
  <c r="H107" i="25" s="1"/>
  <c r="E37" i="25"/>
  <c r="G37" i="25"/>
  <c r="H37" i="25" s="1"/>
  <c r="E138" i="25"/>
  <c r="G138" i="25"/>
  <c r="H138" i="25" s="1"/>
  <c r="E203" i="25"/>
  <c r="G203" i="25"/>
  <c r="H203" i="25" s="1"/>
  <c r="G186" i="25"/>
  <c r="H186" i="25" s="1"/>
  <c r="E186" i="25"/>
  <c r="E22" i="25"/>
  <c r="G22" i="25"/>
  <c r="H22" i="25" s="1"/>
  <c r="E227" i="25"/>
  <c r="G227" i="25"/>
  <c r="H227" i="25" s="1"/>
  <c r="E165" i="25"/>
  <c r="G165" i="25"/>
  <c r="H165" i="25" s="1"/>
  <c r="E116" i="25"/>
  <c r="G116" i="25"/>
  <c r="H116" i="25" s="1"/>
  <c r="E93" i="25"/>
  <c r="G93" i="25"/>
  <c r="H93" i="25" s="1"/>
  <c r="E21" i="25"/>
  <c r="G21" i="25"/>
  <c r="H21" i="25" s="1"/>
  <c r="E110" i="25"/>
  <c r="G110" i="25"/>
  <c r="H110" i="25" s="1"/>
  <c r="E12" i="25"/>
  <c r="F12" i="25" s="1"/>
  <c r="G12" i="25"/>
  <c r="H12" i="25" s="1"/>
  <c r="E40" i="25"/>
  <c r="G40" i="25"/>
  <c r="H40" i="25" s="1"/>
  <c r="E158" i="25"/>
  <c r="G158" i="25"/>
  <c r="H158" i="25" s="1"/>
  <c r="E131" i="25"/>
  <c r="G131" i="25"/>
  <c r="H131" i="25" s="1"/>
  <c r="E205" i="25"/>
  <c r="G205" i="25"/>
  <c r="H205" i="25" s="1"/>
  <c r="G192" i="25"/>
  <c r="H192" i="25" s="1"/>
  <c r="E192" i="25"/>
  <c r="G58" i="25"/>
  <c r="H58" i="25" s="1"/>
  <c r="E58" i="25"/>
  <c r="E166" i="25"/>
  <c r="G166" i="25"/>
  <c r="H166" i="25" s="1"/>
  <c r="E242" i="25"/>
  <c r="G242" i="25"/>
  <c r="H242" i="25" s="1"/>
  <c r="E256" i="25"/>
  <c r="G256" i="25"/>
  <c r="H256" i="25" s="1"/>
  <c r="G123" i="25"/>
  <c r="H123" i="25" s="1"/>
  <c r="E123" i="25"/>
  <c r="G163" i="25"/>
  <c r="H163" i="25" s="1"/>
  <c r="E163" i="25"/>
  <c r="E127" i="25"/>
  <c r="G127" i="25"/>
  <c r="H127" i="25" s="1"/>
  <c r="E62" i="25"/>
  <c r="G62" i="25"/>
  <c r="H62" i="25" s="1"/>
  <c r="G155" i="25"/>
  <c r="H155" i="25" s="1"/>
  <c r="E155" i="25"/>
  <c r="G252" i="25"/>
  <c r="H252" i="25" s="1"/>
  <c r="E252" i="25"/>
  <c r="G57" i="25"/>
  <c r="H57" i="25" s="1"/>
  <c r="E57" i="25"/>
  <c r="F57" i="25" s="1"/>
  <c r="G102" i="25"/>
  <c r="H102" i="25" s="1"/>
  <c r="E102" i="25"/>
  <c r="E206" i="25"/>
  <c r="G206" i="25"/>
  <c r="H206" i="25" s="1"/>
  <c r="G162" i="25"/>
  <c r="H162" i="25" s="1"/>
  <c r="E162" i="25"/>
  <c r="E34" i="25"/>
  <c r="G34" i="25"/>
  <c r="H34" i="25" s="1"/>
  <c r="G17" i="25"/>
  <c r="H17" i="25" s="1"/>
  <c r="E17" i="25"/>
  <c r="F17" i="25" s="1"/>
  <c r="G144" i="25"/>
  <c r="H144" i="25" s="1"/>
  <c r="E144" i="25"/>
  <c r="E92" i="25"/>
  <c r="G92" i="25"/>
  <c r="H92" i="25" s="1"/>
  <c r="E31" i="25"/>
  <c r="G31" i="25"/>
  <c r="H31" i="25" s="1"/>
  <c r="G168" i="25"/>
  <c r="H168" i="25" s="1"/>
  <c r="E168" i="25"/>
  <c r="G243" i="25"/>
  <c r="H243" i="25" s="1"/>
  <c r="E243" i="25"/>
  <c r="G73" i="25"/>
  <c r="H73" i="25" s="1"/>
  <c r="E73" i="25"/>
  <c r="G212" i="25"/>
  <c r="H212" i="25" s="1"/>
  <c r="E212" i="25"/>
  <c r="G201" i="25"/>
  <c r="H201" i="25" s="1"/>
  <c r="E201" i="25"/>
  <c r="E15" i="25"/>
  <c r="G15" i="25"/>
  <c r="H15" i="25" s="1"/>
  <c r="E248" i="25"/>
  <c r="G248" i="25"/>
  <c r="H248" i="25" s="1"/>
  <c r="E246" i="25"/>
  <c r="G246" i="25"/>
  <c r="H246" i="25" s="1"/>
  <c r="G249" i="25"/>
  <c r="H249" i="25" s="1"/>
  <c r="E249" i="25"/>
  <c r="G200" i="25"/>
  <c r="H200" i="25" s="1"/>
  <c r="E200" i="25"/>
  <c r="G25" i="25"/>
  <c r="H25" i="25" s="1"/>
  <c r="E25" i="25"/>
  <c r="G97" i="25"/>
  <c r="H97" i="25" s="1"/>
  <c r="E97" i="25"/>
  <c r="E112" i="25"/>
  <c r="G112" i="25"/>
  <c r="H112" i="25" s="1"/>
  <c r="G132" i="25"/>
  <c r="H132" i="25" s="1"/>
  <c r="E132" i="25"/>
  <c r="G194" i="25"/>
  <c r="H194" i="25" s="1"/>
  <c r="E194" i="25"/>
  <c r="G59" i="25"/>
  <c r="H59" i="25" s="1"/>
  <c r="E59" i="25"/>
  <c r="E254" i="25"/>
  <c r="G254" i="25"/>
  <c r="H254" i="25" s="1"/>
  <c r="E156" i="25"/>
  <c r="G156" i="25"/>
  <c r="H156" i="25" s="1"/>
  <c r="G211" i="25"/>
  <c r="H211" i="25" s="1"/>
  <c r="E211" i="25"/>
  <c r="G190" i="25"/>
  <c r="H190" i="25" s="1"/>
  <c r="E190" i="25"/>
  <c r="G126" i="25"/>
  <c r="H126" i="25" s="1"/>
  <c r="E126" i="25"/>
  <c r="G54" i="25"/>
  <c r="H54" i="25" s="1"/>
  <c r="E54" i="25"/>
  <c r="F54" i="25" s="1"/>
  <c r="G88" i="25"/>
  <c r="H88" i="25" s="1"/>
  <c r="E88" i="25"/>
  <c r="G61" i="25"/>
  <c r="H61" i="25" s="1"/>
  <c r="E61" i="25"/>
  <c r="F61" i="25" s="1"/>
  <c r="E83" i="25"/>
  <c r="G83" i="25"/>
  <c r="H83" i="25" s="1"/>
  <c r="E226" i="25"/>
  <c r="G226" i="25"/>
  <c r="H226" i="25" s="1"/>
  <c r="E149" i="25"/>
  <c r="G149" i="25"/>
  <c r="H149" i="25" s="1"/>
  <c r="E180" i="25"/>
  <c r="G180" i="25"/>
  <c r="H180" i="25" s="1"/>
  <c r="G14" i="25"/>
  <c r="H14" i="25" s="1"/>
  <c r="E14" i="25"/>
  <c r="E225" i="25"/>
  <c r="G225" i="25"/>
  <c r="H225" i="25" s="1"/>
  <c r="E185" i="25"/>
  <c r="G185" i="25"/>
  <c r="H185" i="25" s="1"/>
  <c r="G195" i="25"/>
  <c r="H195" i="25" s="1"/>
  <c r="E195" i="25"/>
  <c r="G175" i="25"/>
  <c r="H175" i="25" s="1"/>
  <c r="E175" i="25"/>
  <c r="E111" i="25"/>
  <c r="G111" i="25"/>
  <c r="H111" i="25" s="1"/>
  <c r="E119" i="25"/>
  <c r="G119" i="25"/>
  <c r="H119" i="25" s="1"/>
  <c r="G51" i="25"/>
  <c r="H51" i="25" s="1"/>
  <c r="E51" i="25"/>
  <c r="E135" i="25"/>
  <c r="G135" i="25"/>
  <c r="H135" i="25" s="1"/>
  <c r="G46" i="25"/>
  <c r="H46" i="25" s="1"/>
  <c r="E46" i="25"/>
  <c r="E69" i="25"/>
  <c r="G69" i="25"/>
  <c r="H69" i="25" s="1"/>
  <c r="E236" i="25"/>
  <c r="G236" i="25"/>
  <c r="H236" i="25" s="1"/>
  <c r="E32" i="25"/>
  <c r="F32" i="25" s="1"/>
  <c r="G32" i="25"/>
  <c r="H32" i="25" s="1"/>
  <c r="E125" i="25"/>
  <c r="G125" i="25"/>
  <c r="H125" i="25" s="1"/>
  <c r="E48" i="25"/>
  <c r="F48" i="25" s="1"/>
  <c r="G48" i="25"/>
  <c r="H48" i="25" s="1"/>
  <c r="G82" i="25"/>
  <c r="H82" i="25" s="1"/>
  <c r="E82" i="25"/>
  <c r="G74" i="25"/>
  <c r="H74" i="25" s="1"/>
  <c r="E74" i="25"/>
  <c r="E95" i="25"/>
  <c r="G95" i="25"/>
  <c r="H95" i="25" s="1"/>
  <c r="G198" i="25"/>
  <c r="H198" i="25" s="1"/>
  <c r="E198" i="25"/>
  <c r="G223" i="25"/>
  <c r="H223" i="25" s="1"/>
  <c r="E223" i="25"/>
  <c r="G251" i="25"/>
  <c r="H251" i="25" s="1"/>
  <c r="E251" i="25"/>
  <c r="G36" i="25"/>
  <c r="H36" i="25" s="1"/>
  <c r="E36" i="25"/>
  <c r="E18" i="25"/>
  <c r="F18" i="25" s="1"/>
  <c r="G18" i="25"/>
  <c r="H18" i="25" s="1"/>
  <c r="G89" i="25"/>
  <c r="H89" i="25" s="1"/>
  <c r="E89" i="25"/>
  <c r="E202" i="25"/>
  <c r="G202" i="25"/>
  <c r="H202" i="25" s="1"/>
  <c r="G76" i="25"/>
  <c r="H76" i="25" s="1"/>
  <c r="E76" i="25"/>
  <c r="G154" i="25"/>
  <c r="H154" i="25" s="1"/>
  <c r="E154" i="25"/>
  <c r="G133" i="25"/>
  <c r="H133" i="25" s="1"/>
  <c r="E133" i="25"/>
  <c r="E85" i="25"/>
  <c r="G85" i="25"/>
  <c r="H85" i="25" s="1"/>
  <c r="G47" i="25"/>
  <c r="H47" i="25" s="1"/>
  <c r="E47" i="25"/>
  <c r="F47" i="25" s="1"/>
  <c r="G50" i="25"/>
  <c r="H50" i="25" s="1"/>
  <c r="E50" i="25"/>
  <c r="E233" i="25"/>
  <c r="G233" i="25"/>
  <c r="H233" i="25" s="1"/>
  <c r="E219" i="25"/>
  <c r="G219" i="25"/>
  <c r="H219" i="25" s="1"/>
  <c r="E228" i="25"/>
  <c r="G228" i="25"/>
  <c r="H228" i="25" s="1"/>
  <c r="G182" i="25"/>
  <c r="H182" i="25" s="1"/>
  <c r="E182" i="25"/>
  <c r="G66" i="25"/>
  <c r="H66" i="25" s="1"/>
  <c r="E66" i="25"/>
  <c r="E124" i="25"/>
  <c r="G124" i="25"/>
  <c r="H124" i="25" s="1"/>
  <c r="G115" i="25"/>
  <c r="H115" i="25" s="1"/>
  <c r="E115" i="25"/>
  <c r="G56" i="25"/>
  <c r="H56" i="25" s="1"/>
  <c r="E56" i="25"/>
  <c r="F56" i="25" s="1"/>
  <c r="E80" i="25"/>
  <c r="G80" i="25"/>
  <c r="H80" i="25" s="1"/>
  <c r="E153" i="25"/>
  <c r="G153" i="25"/>
  <c r="H153" i="25" s="1"/>
  <c r="E103" i="25"/>
  <c r="G103" i="25"/>
  <c r="H103" i="25" s="1"/>
  <c r="G139" i="25"/>
  <c r="H139" i="25" s="1"/>
  <c r="E139" i="25"/>
  <c r="G141" i="25"/>
  <c r="H141" i="25" s="1"/>
  <c r="E141" i="25"/>
  <c r="E13" i="25"/>
  <c r="F13" i="25" s="1"/>
  <c r="G13" i="25"/>
  <c r="H13" i="25" s="1"/>
  <c r="G134" i="25"/>
  <c r="H134" i="25" s="1"/>
  <c r="E134" i="25"/>
  <c r="E121" i="25"/>
  <c r="G121" i="25"/>
  <c r="H121" i="25" s="1"/>
  <c r="E38" i="25"/>
  <c r="G38" i="25"/>
  <c r="H38" i="25" s="1"/>
  <c r="E28" i="25"/>
  <c r="F28" i="25" s="1"/>
  <c r="G28" i="25"/>
  <c r="H28" i="25" s="1"/>
  <c r="E101" i="25"/>
  <c r="G101" i="25"/>
  <c r="H101" i="25" s="1"/>
  <c r="E87" i="25"/>
  <c r="G87" i="25"/>
  <c r="H87" i="25" s="1"/>
  <c r="G67" i="25"/>
  <c r="H67" i="25" s="1"/>
  <c r="E67" i="25"/>
  <c r="G193" i="25"/>
  <c r="H193" i="25" s="1"/>
  <c r="E193" i="25"/>
  <c r="E188" i="25"/>
  <c r="G188" i="25"/>
  <c r="H188" i="25" s="1"/>
  <c r="G100" i="25"/>
  <c r="H100" i="25" s="1"/>
  <c r="E100" i="25"/>
  <c r="G65" i="25"/>
  <c r="H65" i="25" s="1"/>
  <c r="E65" i="25"/>
  <c r="E235" i="25"/>
  <c r="G235" i="25"/>
  <c r="H235" i="25" s="1"/>
  <c r="E176" i="25"/>
  <c r="G176" i="25"/>
  <c r="H176" i="25" s="1"/>
  <c r="F44" i="25" l="1"/>
  <c r="F41" i="25"/>
  <c r="F50" i="25"/>
  <c r="F14" i="25"/>
  <c r="F37" i="25"/>
  <c r="F38" i="25"/>
  <c r="F25" i="25"/>
  <c r="F15" i="25"/>
  <c r="F11" i="25"/>
  <c r="F26" i="25"/>
  <c r="F33" i="25"/>
  <c r="F29" i="25"/>
  <c r="F10" i="25"/>
  <c r="F19" i="25"/>
  <c r="F39" i="25"/>
  <c r="F30" i="25"/>
  <c r="F22" i="25"/>
  <c r="F51" i="25"/>
  <c r="F59" i="25"/>
  <c r="F62" i="25"/>
  <c r="F40" i="25"/>
  <c r="F43" i="25"/>
  <c r="F23" i="25"/>
  <c r="F58" i="25"/>
  <c r="F53" i="25"/>
  <c r="F36" i="25"/>
  <c r="F21" i="25"/>
  <c r="F24" i="25"/>
  <c r="F45" i="25"/>
  <c r="F46" i="25"/>
  <c r="F20" i="25"/>
  <c r="F49" i="25"/>
  <c r="F31" i="25"/>
  <c r="F34" i="25"/>
  <c r="F52" i="25"/>
  <c r="F35" i="25"/>
  <c r="F27" i="25"/>
  <c r="F42"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<sst xmlns="http://schemas.openxmlformats.org/spreadsheetml/2006/main" count="29301" uniqueCount="4181">
  <si>
    <t>Blitva</t>
  </si>
  <si>
    <t>Blitva, kuvana</t>
  </si>
  <si>
    <t>Brokoli</t>
  </si>
  <si>
    <t>Brokoli, kuvana</t>
  </si>
  <si>
    <t>Kelj</t>
  </si>
  <si>
    <t>Krastavac, oguljen</t>
  </si>
  <si>
    <t>Kupus, crveni</t>
  </si>
  <si>
    <t>Sočivo</t>
  </si>
  <si>
    <t>Beli luk</t>
  </si>
  <si>
    <t>Crni luk</t>
  </si>
  <si>
    <t>Crveni luk</t>
  </si>
  <si>
    <t>Mladi luk</t>
  </si>
  <si>
    <t>Paprika babura (kuvana)</t>
  </si>
  <si>
    <t>Paprika crvena pečena</t>
  </si>
  <si>
    <t>Patlidžan</t>
  </si>
  <si>
    <t>Rotkvica crvena</t>
  </si>
  <si>
    <t>Sojino brašno (mast ekstrahir.)</t>
  </si>
  <si>
    <t>Tikvica, zelena</t>
  </si>
  <si>
    <t>Zelje</t>
  </si>
  <si>
    <t>Zlatna mešavina</t>
  </si>
  <si>
    <t>Mushrooms</t>
  </si>
  <si>
    <t>Bread</t>
  </si>
  <si>
    <t>Paškanat</t>
  </si>
  <si>
    <t>Praziluk</t>
  </si>
  <si>
    <t>Pečurke</t>
  </si>
  <si>
    <t>Ananas</t>
  </si>
  <si>
    <t>Badem (suvi, prženi, bez soli)</t>
  </si>
  <si>
    <t>Banana</t>
  </si>
  <si>
    <t>Breskva</t>
  </si>
  <si>
    <t>Dinja</t>
  </si>
  <si>
    <t>Dunja</t>
  </si>
  <si>
    <t>Grejpfrut</t>
  </si>
  <si>
    <t>Jabuka</t>
  </si>
  <si>
    <t>Jagode</t>
  </si>
  <si>
    <t>Kruška</t>
  </si>
  <si>
    <t>Kupina</t>
  </si>
  <si>
    <t>Limun</t>
  </si>
  <si>
    <t>Limun, oguljen</t>
  </si>
  <si>
    <t>Lubenica</t>
  </si>
  <si>
    <t>Malina</t>
  </si>
  <si>
    <t>Maslina pasterizovana</t>
  </si>
  <si>
    <t>Muskatni oraščić</t>
  </si>
  <si>
    <t>Narandža</t>
  </si>
  <si>
    <t>Nektarina</t>
  </si>
  <si>
    <t>Orah (orasi)</t>
  </si>
  <si>
    <t>Pomorandža</t>
  </si>
  <si>
    <t>Šljiva</t>
  </si>
  <si>
    <t>Smokva</t>
  </si>
  <si>
    <t>Suvo grožđe</t>
  </si>
  <si>
    <t>Trešnja</t>
  </si>
  <si>
    <t>Kajsija</t>
  </si>
  <si>
    <t>Kivi</t>
  </si>
  <si>
    <t>Lešnik</t>
  </si>
  <si>
    <t>Šumsko voće, smrznuto</t>
  </si>
  <si>
    <t>Belance, kokošje</t>
  </si>
  <si>
    <t>Jogurt 3,2% mm</t>
  </si>
  <si>
    <t>Jogurt voćni, nemasni</t>
  </si>
  <si>
    <t>Kajmak, mladi, kravlji</t>
  </si>
  <si>
    <t>Parmezan</t>
  </si>
  <si>
    <t>Sir pizza (pica) Milkop 45% mm</t>
  </si>
  <si>
    <t>Sir, sitni</t>
  </si>
  <si>
    <t>Sir, švapski (sitni)</t>
  </si>
  <si>
    <t>Sir, tost topi (Biser)</t>
  </si>
  <si>
    <t>Sir, trapist, (kačkavalj)</t>
  </si>
  <si>
    <t>Sir, tvrdi, ribanac, Sirela</t>
  </si>
  <si>
    <t>Sirni namaz Biser trougao 35% mm</t>
  </si>
  <si>
    <t>Meal</t>
  </si>
  <si>
    <t>Breakfast</t>
  </si>
  <si>
    <t>Morning snack</t>
  </si>
  <si>
    <t>Lunch</t>
  </si>
  <si>
    <t>Afternoon snack</t>
  </si>
  <si>
    <t>Food_category</t>
  </si>
  <si>
    <t>CHO (g)</t>
  </si>
  <si>
    <t>Protein (g)</t>
  </si>
  <si>
    <t>Fat (g)</t>
  </si>
  <si>
    <t>kcal/meal</t>
  </si>
  <si>
    <t>CHO (g/meal)</t>
  </si>
  <si>
    <t>Protein (g/meal)</t>
  </si>
  <si>
    <t>Fat (g/meal)</t>
  </si>
  <si>
    <t>Fibre (g/meal)</t>
  </si>
  <si>
    <t>Čvarci</t>
  </si>
  <si>
    <t>Jetra svinjska</t>
  </si>
  <si>
    <t>Junetina, suva (sušena)</t>
  </si>
  <si>
    <t>Kare delikates u omotu Carnex</t>
  </si>
  <si>
    <t>Kobasica kranjska</t>
  </si>
  <si>
    <t>Kobasica roštilska</t>
  </si>
  <si>
    <t>Kobasica sremska</t>
  </si>
  <si>
    <t>Kobasica srpska</t>
  </si>
  <si>
    <t>Kobasice svinjske (dimljene)</t>
  </si>
  <si>
    <t>Kobasice svinjske (suve, sušene)</t>
  </si>
  <si>
    <t>Kosti juneće (vrat) kuvano</t>
  </si>
  <si>
    <t>Mortadela</t>
  </si>
  <si>
    <t>Pileća džigarica</t>
  </si>
  <si>
    <t>Pileća pašteta (Podravka)</t>
  </si>
  <si>
    <t>Pileća prsa u omotu</t>
  </si>
  <si>
    <t>Pileći parizer (Poli)</t>
  </si>
  <si>
    <t>Salama Alpska</t>
  </si>
  <si>
    <t>Salama parizer</t>
  </si>
  <si>
    <t>Salama, pileća, pureća</t>
  </si>
  <si>
    <t>Šunka bez masti</t>
  </si>
  <si>
    <t>Šunka dimljena kuvana</t>
  </si>
  <si>
    <t>Šunka dimljena sušena</t>
  </si>
  <si>
    <t>Šunka parizer (Gavrilović)</t>
  </si>
  <si>
    <t>Šunka stišnjena u crevu (Carnex)</t>
  </si>
  <si>
    <t>Šunka za picu (Podravka)</t>
  </si>
  <si>
    <t>Viršle (svinjske)</t>
  </si>
  <si>
    <t>Oslić fileti</t>
  </si>
  <si>
    <t>Oslić fileti (Frikom)</t>
  </si>
  <si>
    <t>Pašteta od tune (tuna)</t>
  </si>
  <si>
    <t>Riblja pašteta</t>
  </si>
  <si>
    <t>Riblji štapići (Frikom)</t>
  </si>
  <si>
    <t>Sardina konzervirana, (samo riba)</t>
  </si>
  <si>
    <t>Sardela konzervirana (u ulju)</t>
  </si>
  <si>
    <t>Som</t>
  </si>
  <si>
    <t>Som (pohovan)</t>
  </si>
  <si>
    <t>Tunjevina, tuna, konzervirana, u salamuri</t>
  </si>
  <si>
    <t>Margarin mlečni Dobro Jutro (obično)</t>
  </si>
  <si>
    <t>Ulje maslinovo</t>
  </si>
  <si>
    <t>Čokolada</t>
  </si>
  <si>
    <t>Čokoladica, bananica čokoladna, Štark</t>
  </si>
  <si>
    <t>Eurokrem blok (Swisslion)</t>
  </si>
  <si>
    <t>Fazon čokoladica</t>
  </si>
  <si>
    <t>Jaffa cakes orange classic, Crvenka</t>
  </si>
  <si>
    <t>Keks Noblice (Banini)</t>
  </si>
  <si>
    <t>Keks, Plazma, Bambi</t>
  </si>
  <si>
    <t>Keks, Wellness integralni keks sa crnom čokoladom, Bambi</t>
  </si>
  <si>
    <t>Kit Kat mliječna čokolada</t>
  </si>
  <si>
    <t>Kompot od ananasa</t>
  </si>
  <si>
    <t>Kompot od bresaka</t>
  </si>
  <si>
    <t>Kompot od krušaka</t>
  </si>
  <si>
    <t>Manchmallow</t>
  </si>
  <si>
    <t>Marmelada od kajsije (Maxi)</t>
  </si>
  <si>
    <t>Med</t>
  </si>
  <si>
    <t>Neskvik (Nestle)</t>
  </si>
  <si>
    <t>Nutella</t>
  </si>
  <si>
    <t>Puding od vanile C</t>
  </si>
  <si>
    <t>Štrudla sa makom</t>
  </si>
  <si>
    <t>Žito, kuvano (sa orasima i šlagom), desert</t>
  </si>
  <si>
    <t>Zlatni Pek biskvit</t>
  </si>
  <si>
    <t>Bonžita (žita miks)</t>
  </si>
  <si>
    <t>Burek sa krompirom</t>
  </si>
  <si>
    <t>Burek sa svinjskim mesom</t>
  </si>
  <si>
    <t>Burek sa pilećim mesom</t>
  </si>
  <si>
    <t>Burek sa sirom</t>
  </si>
  <si>
    <t>Coco pops (Kelloggs)</t>
  </si>
  <si>
    <t>Dansko pecivo (slatko)</t>
  </si>
  <si>
    <t>Djevrek</t>
  </si>
  <si>
    <t>Dvopek, bijelo brašno, Mulino Bianco</t>
  </si>
  <si>
    <t>Hleb, beli</t>
  </si>
  <si>
    <t>Hleb, polubeli</t>
  </si>
  <si>
    <t>Integralni keks Elvita</t>
  </si>
  <si>
    <t>Integralni štapić</t>
  </si>
  <si>
    <t>Karamela lešnik Pionir</t>
  </si>
  <si>
    <t>Keks slani Tak (Jaffa)</t>
  </si>
  <si>
    <t>Kifla od pšeničnog brašna</t>
  </si>
  <si>
    <t>Kifla sa semenkama</t>
  </si>
  <si>
    <t>Kifla integralna</t>
  </si>
  <si>
    <t>Koktel pecivo</t>
  </si>
  <si>
    <t>Kore za pitu</t>
  </si>
  <si>
    <t>Lepinja</t>
  </si>
  <si>
    <t>Paštete sa sirom</t>
  </si>
  <si>
    <t>Pica (mini pica)</t>
  </si>
  <si>
    <t>Pirinač, riža, integralna, smeđa, kuvana</t>
  </si>
  <si>
    <t>Pirinač, riža, integralna, smeđa, sirova</t>
  </si>
  <si>
    <t>Pita sa višnjama</t>
  </si>
  <si>
    <t>Pita sa višnjama i jabukama</t>
  </si>
  <si>
    <t>Podloga za picu (Frikom)</t>
  </si>
  <si>
    <t>Pogačice sa semenkama</t>
  </si>
  <si>
    <t>Pšenica u zrnu (mekane sorte)</t>
  </si>
  <si>
    <t>Pužić (Danubius)</t>
  </si>
  <si>
    <t>Rol (rolnica) sa sirom</t>
  </si>
  <si>
    <t>Rol (rolnica) sa višnjama</t>
  </si>
  <si>
    <t>Rolat sa kremom</t>
  </si>
  <si>
    <t>Susam seme (Baš Baš)</t>
  </si>
  <si>
    <t>Testenina bez jaja</t>
  </si>
  <si>
    <t>Testenina fusili (Danubius)</t>
  </si>
  <si>
    <t>Testenina (makaroni) sa jajima</t>
  </si>
  <si>
    <t>Žito (smrznuto) Maxi-Premia 5% oraha</t>
  </si>
  <si>
    <t>Žužu (lisnato testo)</t>
  </si>
  <si>
    <t>Kečap, Aro (Metro)</t>
  </si>
  <si>
    <t>Kečap, Heinz</t>
  </si>
  <si>
    <t>Kečap, Diamant</t>
  </si>
  <si>
    <t>Kečap, Polimark</t>
  </si>
  <si>
    <t>Kvasac (svež)</t>
  </si>
  <si>
    <t>Majonez lajt (light)</t>
  </si>
  <si>
    <t>Majonez, obični</t>
  </si>
  <si>
    <t>Majonez, Polimark</t>
  </si>
  <si>
    <t>Ren</t>
  </si>
  <si>
    <t>Senf</t>
  </si>
  <si>
    <t>Aleva paprika</t>
  </si>
  <si>
    <t>Bosiljak list, suvi (sušen)</t>
  </si>
  <si>
    <t>Cimet</t>
  </si>
  <si>
    <t>Ružmarin (suvi, sušeni)</t>
  </si>
  <si>
    <t>Coca cola</t>
  </si>
  <si>
    <t>Limunada, napravljena sa vodom</t>
  </si>
  <si>
    <t>Nescafe classic, original, granulirana</t>
  </si>
  <si>
    <t>Sirup od borovnica</t>
  </si>
  <si>
    <t>Sirup od jabuka</t>
  </si>
  <si>
    <t>Sirup od malina</t>
  </si>
  <si>
    <t>Sirup od ribizli (ribiza)</t>
  </si>
  <si>
    <t>Sirup od višnje</t>
  </si>
  <si>
    <t>Sok od grožđa</t>
  </si>
  <si>
    <t>Sok od jabuke</t>
  </si>
  <si>
    <t>Sprite</t>
  </si>
  <si>
    <t>Kakao instant</t>
  </si>
  <si>
    <t>Buhtla sa pekmezom (Podravka)</t>
  </si>
  <si>
    <t>Kiflice sa šunkom</t>
  </si>
  <si>
    <t>Kroasan sa šunkom</t>
  </si>
  <si>
    <t>Pica (pizza) sa kobasicom</t>
  </si>
  <si>
    <t>Pica (pizza) sa sirom</t>
  </si>
  <si>
    <t>Pica (pizza) sa sirom, mesom i povrćem</t>
  </si>
  <si>
    <t>Pogačica sa čvarcima</t>
  </si>
  <si>
    <t>Pomfrit (Frikom)</t>
  </si>
  <si>
    <t>Puž sa sirom</t>
  </si>
  <si>
    <t>Sarma, kuvana</t>
  </si>
  <si>
    <t>Sutlijaš (sutlija, rižin puding)</t>
  </si>
  <si>
    <t>1kcal=4.184kJ</t>
  </si>
  <si>
    <t>kcal</t>
  </si>
  <si>
    <t>kJ</t>
  </si>
  <si>
    <t>Kategorija</t>
  </si>
  <si>
    <t>Povrće</t>
  </si>
  <si>
    <t>Voće</t>
  </si>
  <si>
    <t>Mliječni proizvodi</t>
  </si>
  <si>
    <t>Mliječni proizvod</t>
  </si>
  <si>
    <t>Jaja</t>
  </si>
  <si>
    <t>Meso</t>
  </si>
  <si>
    <t>Meso </t>
  </si>
  <si>
    <t>Riba</t>
  </si>
  <si>
    <t>Masnoće</t>
  </si>
  <si>
    <t>Slatkiši</t>
  </si>
  <si>
    <t>Žitarice</t>
  </si>
  <si>
    <t>Umaci</t>
  </si>
  <si>
    <t>Začini</t>
  </si>
  <si>
    <t>Pića</t>
  </si>
  <si>
    <t>Gotova jela</t>
  </si>
  <si>
    <t>Jela</t>
  </si>
  <si>
    <t>Cvekla</t>
  </si>
  <si>
    <t>Namirnica simplified (100 grama )</t>
  </si>
  <si>
    <t>Pasulj, beli, tetovac</t>
  </si>
  <si>
    <t>Paradajz</t>
  </si>
  <si>
    <t>Mleko punomasno u prahu</t>
  </si>
  <si>
    <t>Kroasan</t>
  </si>
  <si>
    <t>Lisnato testo, smrznuto</t>
  </si>
  <si>
    <t>Pecivo (belo brašno)</t>
  </si>
  <si>
    <t>Pereca</t>
  </si>
  <si>
    <t>Rol viršla</t>
  </si>
  <si>
    <t>Mirođija list, suvi (sušeni)</t>
  </si>
  <si>
    <t>Limun sok 100%, ceđen</t>
  </si>
  <si>
    <t>Paradajz čeri</t>
  </si>
  <si>
    <t>Čokoladno mleko, punomasno</t>
  </si>
  <si>
    <t>Tunjevina, tuna, konzervirana u ulju, oceđena</t>
  </si>
  <si>
    <t>Jetrena pašteta (prosečno)</t>
  </si>
  <si>
    <t>Junetina masna</t>
  </si>
  <si>
    <t>Napolitanke prosečno</t>
  </si>
  <si>
    <t>Čokolada mlečna</t>
  </si>
  <si>
    <t>Čaj kuvan (based on 200 ml)</t>
  </si>
  <si>
    <t>EuroFIR ingredients</t>
  </si>
  <si>
    <t>SAQ food code</t>
  </si>
  <si>
    <t>energy, total metabolisable [ENERC] (kcal)</t>
  </si>
  <si>
    <t>protein, total [PROT] (g)</t>
  </si>
  <si>
    <t>carbohydrate [CHO] (g)</t>
  </si>
  <si>
    <t>fibre, total dietary [FIBT] (g)</t>
  </si>
  <si>
    <t>fat, total [FAT] (g)</t>
  </si>
  <si>
    <t>fatty acids, total saturated [FASAT] (g)</t>
  </si>
  <si>
    <t>sodium [NA] (mg)</t>
  </si>
  <si>
    <t>potassium [K] (mg)</t>
  </si>
  <si>
    <t>calcium [CA] (mg)</t>
  </si>
  <si>
    <t>magnesium [MG] (mg)</t>
  </si>
  <si>
    <t>phosphorus [P] (mg)</t>
  </si>
  <si>
    <t>iron, total [FE] (mg)</t>
  </si>
  <si>
    <t>zinc [ZN] (mg)</t>
  </si>
  <si>
    <t>copper [CU] (mg)</t>
  </si>
  <si>
    <t>vitamin A; retinol equiv from retinol and carotenoid activities [VITA] (ug)</t>
  </si>
  <si>
    <t>Vit B1 (thiamin) [THIA] (mg)</t>
  </si>
  <si>
    <t>Vit B2 (riboflavin) [RIBF] (mg)</t>
  </si>
  <si>
    <t>niacin equivalents, total [NIAEQ] (mg)</t>
  </si>
  <si>
    <t>vitamin B6, total [VITB6] (mg)</t>
  </si>
  <si>
    <t>folate, total [FOL] (ug)</t>
  </si>
  <si>
    <t>vitamin B12 [VITB12] (ug)</t>
  </si>
  <si>
    <t>vitamin C (ascorbic acid) [VITC] (mg)</t>
  </si>
  <si>
    <t>vitamin D [VITD] (ug)</t>
  </si>
  <si>
    <t>Salt table iodised [EuroFir]</t>
  </si>
  <si>
    <t>Sugar [EuroFir]</t>
  </si>
  <si>
    <t>Sugar powder [EuroFir]</t>
  </si>
  <si>
    <t>Vanilla sugar [EuroFir]</t>
  </si>
  <si>
    <t>Apple whole raw [EuroFir]</t>
  </si>
  <si>
    <t>Banana raw [EuroFir]</t>
  </si>
  <si>
    <t>Mandarine Tangerine [EuroFir]</t>
  </si>
  <si>
    <t>Pear raw [EuroFir]</t>
  </si>
  <si>
    <t>Sour cherry raw [EuroFir]</t>
  </si>
  <si>
    <t>Beans white dried [EuroFir]</t>
  </si>
  <si>
    <t>Beetroot boiled [EuroFir]</t>
  </si>
  <si>
    <t>Cabbage white [EuroFir]</t>
  </si>
  <si>
    <t>Carrot [EuroFir]</t>
  </si>
  <si>
    <t>Celery leaves [EuroFir]</t>
  </si>
  <si>
    <t>Celery root raw [EuroFir]</t>
  </si>
  <si>
    <t>Corn sweet yellow canned [EuroFir]</t>
  </si>
  <si>
    <t>Corn yellow [EuroFir]</t>
  </si>
  <si>
    <t>Cucumber raw [EuroFir]</t>
  </si>
  <si>
    <t>Garlic [EuroFir]</t>
  </si>
  <si>
    <t>Kale raw [EuroFir]</t>
  </si>
  <si>
    <t>Lettuce [EuroFir]</t>
  </si>
  <si>
    <t>Onion [EuroFir]</t>
  </si>
  <si>
    <t>Parsley leaf raw [EuroFir]</t>
  </si>
  <si>
    <t>Parsley root [EuroFir]</t>
  </si>
  <si>
    <t>Parsnip raw [EuroFir]</t>
  </si>
  <si>
    <t>Peas green frozen [EuroFir]</t>
  </si>
  <si>
    <t>Pepper pickled [EuroFir]</t>
  </si>
  <si>
    <t>Pickles gherkins [EuroFir]</t>
  </si>
  <si>
    <t>Sauerkraut [EuroFir]</t>
  </si>
  <si>
    <t>Spinach [EuroFir]</t>
  </si>
  <si>
    <t>String beans green raw frozen [EuroFir]</t>
  </si>
  <si>
    <t>Tomato raw [EuroFir]</t>
  </si>
  <si>
    <t>Vegetable mix frozen [EuroFir]</t>
  </si>
  <si>
    <t>Celer koren</t>
  </si>
  <si>
    <t>Peršun koren</t>
  </si>
  <si>
    <t>Potatoes boiled [EuroFir]</t>
  </si>
  <si>
    <t>Milk sour 2.8% mf [EuroFir]</t>
  </si>
  <si>
    <t>Milk sterile 2.8% milk fat [EuroFir]</t>
  </si>
  <si>
    <t>Milk sterile 3.5% milk fat [EuroFir]</t>
  </si>
  <si>
    <t>Yoghurt 2.8% mf [EuroFir]</t>
  </si>
  <si>
    <t>Cheese feta [EuroFir]</t>
  </si>
  <si>
    <t>Cheese kachkaval [EuroFir]</t>
  </si>
  <si>
    <t>Cheese white low fat [EuroFir]</t>
  </si>
  <si>
    <t>Sour cream 12% milk fat [EuroFir]</t>
  </si>
  <si>
    <t>Sour cream 20% milk fat [EuroFir]</t>
  </si>
  <si>
    <t>Egg hen whole raw [EuroFir]</t>
  </si>
  <si>
    <t>Egg yolk hen raw [EuroFir]</t>
  </si>
  <si>
    <t>Beef chuck [EuroFir]</t>
  </si>
  <si>
    <t>Beef lean approx. 8% fat raw [EuroFir]</t>
  </si>
  <si>
    <t>Beef meat average value [EuroFir]</t>
  </si>
  <si>
    <t>Beef minced [EuroFir]</t>
  </si>
  <si>
    <t>Chicken cooked in water [EuroFir]</t>
  </si>
  <si>
    <t>Chicken meat breast without skin boneless [EuroFir]</t>
  </si>
  <si>
    <t>Chicken, cooked in water [EuroFir]</t>
  </si>
  <si>
    <t>Lard swine [EuroFir]</t>
  </si>
  <si>
    <t>Minced meat steak [EuroFir]</t>
  </si>
  <si>
    <t>Mixed minced meat</t>
  </si>
  <si>
    <t>Pork lean meat average values [EuroFir]</t>
  </si>
  <si>
    <t>Pork meat average value raw [EuroFir]</t>
  </si>
  <si>
    <t>Pork mince meat raw [EuroFir]</t>
  </si>
  <si>
    <t>Pork ribs cooked roasted [EuroFir]</t>
  </si>
  <si>
    <t>Pork steak fried [EuroFir]</t>
  </si>
  <si>
    <t>Pork cured bacon raw [EuroFir]</t>
  </si>
  <si>
    <t>Sausage hot dog type chicken [EuroFir]</t>
  </si>
  <si>
    <t>Fried hake [EuroFir]</t>
  </si>
  <si>
    <t>Butter unsalted [EuroFir]</t>
  </si>
  <si>
    <t>Margarine [EuroFir]</t>
  </si>
  <si>
    <t>Tomato juice (conc. 28-30%) [EuroFir]</t>
  </si>
  <si>
    <t>Tomato puree [EuroFir]</t>
  </si>
  <si>
    <t>Oil sunflower refined [EuroFir]</t>
  </si>
  <si>
    <t>Chocolate spread - Nutela [EuroFir]</t>
  </si>
  <si>
    <t>Cocoa powder no sugar added [EuroFir]</t>
  </si>
  <si>
    <t>Cooking chocolate [EuroFir]</t>
  </si>
  <si>
    <t>Pudding chocolate powder [EuroFir]</t>
  </si>
  <si>
    <t>Pudding powder different flavour [EuroFir]</t>
  </si>
  <si>
    <t>Orange juice fresh [EuroFir]</t>
  </si>
  <si>
    <t>Apple vinegar [EuroFir]</t>
  </si>
  <si>
    <t>Baking powder [EuroFir]</t>
  </si>
  <si>
    <t>Bay leaf [EuroFir]</t>
  </si>
  <si>
    <t>Black pepper ground [EuroFir]</t>
  </si>
  <si>
    <t>Vinegar wine [EuroFir]</t>
  </si>
  <si>
    <t>Oregano dried [EuroFir]</t>
  </si>
  <si>
    <t>Paprika red powder [EuroFir]</t>
  </si>
  <si>
    <t>Seasoning Zacin C [EuroFir]</t>
  </si>
  <si>
    <t>Spice mix dry vegetables - Vegeta [EuroFir]</t>
  </si>
  <si>
    <t>Breadcrumbs [EuroFir]</t>
  </si>
  <si>
    <t>Coconut ground [EuroFir]</t>
  </si>
  <si>
    <t>Lentils brown dried [EuroFir]</t>
  </si>
  <si>
    <t>Macaroni spaghetti boiled [EuroFir]</t>
  </si>
  <si>
    <t>Noodles egg dry enriched [EuroFir]</t>
  </si>
  <si>
    <t>Noodles egg raw [EuroFir]</t>
  </si>
  <si>
    <t>Polenta- cornmeal [EuroFir]</t>
  </si>
  <si>
    <t>Poppy seed dried [EuroFir]</t>
  </si>
  <si>
    <t>Rice polished raw [EuroFir]</t>
  </si>
  <si>
    <t>Rice white long-grain cooked [EuroFir]</t>
  </si>
  <si>
    <t>Wheat flour white [EuroFir]</t>
  </si>
  <si>
    <t>Wheat semolina [EuroFir]</t>
  </si>
  <si>
    <t>Bread white [EuroFir]</t>
  </si>
  <si>
    <t>Bread wholemeal wheat [EuroFir]</t>
  </si>
  <si>
    <t>vitamin A [VITA] (ug)</t>
  </si>
  <si>
    <t>vitamin C  [VITC] (mg)</t>
  </si>
  <si>
    <t>niacin equivalents [NIAEQ] (mg)</t>
  </si>
  <si>
    <t>Meal total/child</t>
  </si>
  <si>
    <t>Total g/meal</t>
  </si>
  <si>
    <t>g CHO/meal</t>
  </si>
  <si>
    <t>g protein/meal</t>
  </si>
  <si>
    <t>g fat/meal</t>
  </si>
  <si>
    <t>g fibre/meal</t>
  </si>
  <si>
    <t>g saturated FA/meal</t>
  </si>
  <si>
    <t>sodium mg/meal</t>
  </si>
  <si>
    <t>potassium mg/meal</t>
  </si>
  <si>
    <t>calcium mg/meal</t>
  </si>
  <si>
    <t>magnesium mg/meal</t>
  </si>
  <si>
    <t>phosphorus mg/meal</t>
  </si>
  <si>
    <t>iron, total mg/meal</t>
  </si>
  <si>
    <t>zinc mg/meal</t>
  </si>
  <si>
    <t>copper mg/meal</t>
  </si>
  <si>
    <t>vitamin A ug/meal</t>
  </si>
  <si>
    <t>Vitamin B1 mg/meal</t>
  </si>
  <si>
    <t>Vitamin B2 mg/meal</t>
  </si>
  <si>
    <t>Niacin mg/meal</t>
  </si>
  <si>
    <t>Vitamin B6 mg/meal</t>
  </si>
  <si>
    <t>Vitamin C mg/meal</t>
  </si>
  <si>
    <t>Vitamin D ug/meal</t>
  </si>
  <si>
    <t>Vitamin B12 ug/meal</t>
  </si>
  <si>
    <t>Folate ug/meal</t>
  </si>
  <si>
    <t>% of recommended</t>
  </si>
  <si>
    <t>% wasted</t>
  </si>
  <si>
    <t>CO2/g</t>
  </si>
  <si>
    <t xml:space="preserve">Beans (Haricot) </t>
  </si>
  <si>
    <t>Cabbage (sweet)</t>
  </si>
  <si>
    <t>Carrots</t>
  </si>
  <si>
    <t>Cucumbers</t>
  </si>
  <si>
    <t>Garlic</t>
  </si>
  <si>
    <t>Lettuce</t>
  </si>
  <si>
    <t>Marrow/courgette</t>
  </si>
  <si>
    <t>Onions</t>
  </si>
  <si>
    <t>Peppers (sweet)</t>
  </si>
  <si>
    <t>Potatoes (raw or peeled) white</t>
  </si>
  <si>
    <t>Tomato</t>
  </si>
  <si>
    <t>Leek</t>
  </si>
  <si>
    <t>Radish</t>
  </si>
  <si>
    <t>CO2eq</t>
  </si>
  <si>
    <t>Frozen beans - boranija</t>
  </si>
  <si>
    <t>Frozen mixed diced vegetables</t>
  </si>
  <si>
    <t>Frozen peas</t>
  </si>
  <si>
    <t>Frozen potatoes (chips)</t>
  </si>
  <si>
    <t>Frozen spinach</t>
  </si>
  <si>
    <t>Pickled gherkins</t>
  </si>
  <si>
    <t>Pickled vegetables</t>
  </si>
  <si>
    <t>Potatoes (powdered)</t>
  </si>
  <si>
    <t>Tomatoes (canned)</t>
  </si>
  <si>
    <t>Tomatoes (ketchup or paste)</t>
  </si>
  <si>
    <t>Beetroot (pickled)</t>
  </si>
  <si>
    <t>Cabbage (pickled)</t>
  </si>
  <si>
    <t>Chard</t>
  </si>
  <si>
    <t>Frozen broccoli, cauliflower</t>
  </si>
  <si>
    <t>Celery root</t>
  </si>
  <si>
    <t>Kale</t>
  </si>
  <si>
    <t>Frozen sweetcorn</t>
  </si>
  <si>
    <t>Parsnip</t>
  </si>
  <si>
    <t>Beef</t>
  </si>
  <si>
    <t>Chicken</t>
  </si>
  <si>
    <t>Pork (incl. fresh bacon)</t>
  </si>
  <si>
    <t>Fish</t>
  </si>
  <si>
    <t>Beef products</t>
  </si>
  <si>
    <t>Chicken products</t>
  </si>
  <si>
    <t>Fish fingers/fish burgers</t>
  </si>
  <si>
    <t>Hot dogs - virsla</t>
  </si>
  <si>
    <t>Pork products (ham, sausage, …)</t>
  </si>
  <si>
    <t>Turkey products</t>
  </si>
  <si>
    <t>Meat pastes/paté (tins, tube)</t>
  </si>
  <si>
    <t>Canned tuna</t>
  </si>
  <si>
    <t xml:space="preserve"> </t>
  </si>
  <si>
    <t>Total g wasted/meal</t>
  </si>
  <si>
    <t>Total meal cost (din)</t>
  </si>
  <si>
    <t>Total CO2eq emissions (g)</t>
  </si>
  <si>
    <t>Apples</t>
  </si>
  <si>
    <t>Bananas</t>
  </si>
  <si>
    <t>Grapes</t>
  </si>
  <si>
    <t>Oranges, mandarins</t>
  </si>
  <si>
    <t>Apricots</t>
  </si>
  <si>
    <t>Lemons</t>
  </si>
  <si>
    <t>Nuts</t>
  </si>
  <si>
    <t>Peaches</t>
  </si>
  <si>
    <t>Pears</t>
  </si>
  <si>
    <t>Plums</t>
  </si>
  <si>
    <t>Strawberries</t>
  </si>
  <si>
    <t>Cauliflower</t>
  </si>
  <si>
    <t>Cheese (triangles, hard, soft, …)</t>
  </si>
  <si>
    <t>Egg (70g)</t>
  </si>
  <si>
    <t>Fermented milk</t>
  </si>
  <si>
    <t>Ice Cream</t>
  </si>
  <si>
    <t>Milk (pasteurised)</t>
  </si>
  <si>
    <t>Single cream</t>
  </si>
  <si>
    <t>Yoghurt</t>
  </si>
  <si>
    <t>Chocolate milk</t>
  </si>
  <si>
    <t>Margarine (milk-based spread)</t>
  </si>
  <si>
    <t>Butter</t>
  </si>
  <si>
    <t>Clotted cream</t>
  </si>
  <si>
    <t>Kiwi fruit</t>
  </si>
  <si>
    <t>Pineapple fresh</t>
  </si>
  <si>
    <t>Bread and rolls</t>
  </si>
  <si>
    <t>Chocolate</t>
  </si>
  <si>
    <t>Corn flour</t>
  </si>
  <si>
    <t>Eurocream (chocolate spread)</t>
  </si>
  <si>
    <t>Flour</t>
  </si>
  <si>
    <t>Margarine (vegetable spread)</t>
  </si>
  <si>
    <t>Mayonnaise</t>
  </si>
  <si>
    <t>Milled dry paprika</t>
  </si>
  <si>
    <t>Mixed dry herbs, spices</t>
  </si>
  <si>
    <t>Mustard</t>
  </si>
  <si>
    <t>Pasta</t>
  </si>
  <si>
    <t>Rice</t>
  </si>
  <si>
    <t>Salt</t>
  </si>
  <si>
    <t>Soup cubes</t>
  </si>
  <si>
    <t>Sugar (icing/brown/castor)</t>
  </si>
  <si>
    <t>Vinegar</t>
  </si>
  <si>
    <t>Barley or other cereals, e.g. oats</t>
  </si>
  <si>
    <t>Veg Oil (corn, rape or palm)</t>
  </si>
  <si>
    <t xml:space="preserve">Pastry sheets </t>
  </si>
  <si>
    <t>Tea</t>
  </si>
  <si>
    <t>Honey</t>
  </si>
  <si>
    <t>Yeast</t>
  </si>
  <si>
    <t>Sladoled</t>
  </si>
  <si>
    <t>Olive Oil</t>
  </si>
  <si>
    <t>Frozen cherries</t>
  </si>
  <si>
    <t>Fruit juices</t>
  </si>
  <si>
    <t>Mixed jam - marmalada</t>
  </si>
  <si>
    <t>Apricot jam</t>
  </si>
  <si>
    <t>Canned pineapple</t>
  </si>
  <si>
    <t>Cakes, sweet pastries, biscuits etc</t>
  </si>
  <si>
    <t>Puddings/custards</t>
  </si>
  <si>
    <t>Cream banana (chocolate coated)</t>
  </si>
  <si>
    <t xml:space="preserve">Fruit based pastries </t>
  </si>
  <si>
    <t>Meat based pastries (e.g., pizza, pies, burek..)</t>
  </si>
  <si>
    <t>Veg/cheese based pastries (e.g., pizza, pies, savoury..)</t>
  </si>
  <si>
    <t>Lentils</t>
  </si>
  <si>
    <t>Syrup</t>
  </si>
  <si>
    <t>Slatka pavlaka</t>
  </si>
  <si>
    <t>Ponedeljak</t>
  </si>
  <si>
    <t>Doručak</t>
  </si>
  <si>
    <t>Užina 1</t>
  </si>
  <si>
    <t>Ručak</t>
  </si>
  <si>
    <t>Užina 2</t>
  </si>
  <si>
    <t>Utorak</t>
  </si>
  <si>
    <t>Sreda</t>
  </si>
  <si>
    <t>Četvrtak</t>
  </si>
  <si>
    <t>Petak</t>
  </si>
  <si>
    <t>Sir Edamer, 30% mm</t>
  </si>
  <si>
    <t>Sir Gouda, 48% mm</t>
  </si>
  <si>
    <t>Kore za pitu, integralne, svježe</t>
  </si>
  <si>
    <t>Ajvar, blagi/ljuti</t>
  </si>
  <si>
    <t>Mirođija list, svež</t>
  </si>
  <si>
    <t>Total cost of food wasted (din)</t>
  </si>
  <si>
    <t>Daily recommended 1855kcal</t>
  </si>
  <si>
    <t>Užina 1: 10%  = 185kcal</t>
  </si>
  <si>
    <t>Doručak: 35%  = 649kcal</t>
  </si>
  <si>
    <t>Užina 2: 10%  = 185kcal</t>
  </si>
  <si>
    <t>Karfiol</t>
  </si>
  <si>
    <t>Karfiol, kuvan, baren, oceđen, bez soli</t>
  </si>
  <si>
    <t>Adjusted for plate waste:</t>
  </si>
  <si>
    <t>% of recommended after adjusting for plate waste</t>
  </si>
  <si>
    <t>Daily recommended:</t>
  </si>
  <si>
    <t>Ručak: 30%</t>
  </si>
  <si>
    <t>% of recommended after adjusting for plate waste:</t>
  </si>
  <si>
    <t>Reveal columns under Format menu.</t>
  </si>
  <si>
    <t>Meal total/child after allowing for plate waste:</t>
  </si>
  <si>
    <t>Daily total after allowing for plate waste:</t>
  </si>
  <si>
    <t>Daily total served:</t>
  </si>
  <si>
    <t>Average assuming no plate waste</t>
  </si>
  <si>
    <t>Average after adjusting for plate waste</t>
  </si>
  <si>
    <t>Brašno pšenično (puno zrno)</t>
  </si>
  <si>
    <t>Fishburger panirani (Frikom)</t>
  </si>
  <si>
    <t>Lignje panirani (štapići) Frikom</t>
  </si>
  <si>
    <t>Pašteta sa tunjevinom Argeta</t>
  </si>
  <si>
    <t>Kare dimljeni (meso suvo, sušeno)</t>
  </si>
  <si>
    <t>Pečenica dimljena</t>
  </si>
  <si>
    <t>Kobasica čajna</t>
  </si>
  <si>
    <t>Kobasica kulen</t>
  </si>
  <si>
    <t>Griz pšenična</t>
  </si>
  <si>
    <t>% meal wasted</t>
  </si>
  <si>
    <t>% meal cost wasted</t>
  </si>
  <si>
    <t>Sources of information:</t>
  </si>
  <si>
    <t>Macronutrient contents are from a range of sources, including manufacturers' own analyses.</t>
  </si>
  <si>
    <t>krompir</t>
  </si>
  <si>
    <t>crni luk</t>
  </si>
  <si>
    <t>šargarepa</t>
  </si>
  <si>
    <t>kupus</t>
  </si>
  <si>
    <t>paradajz</t>
  </si>
  <si>
    <t>pasulj</t>
  </si>
  <si>
    <t>paprika</t>
  </si>
  <si>
    <t>150-200</t>
  </si>
  <si>
    <t>120-200</t>
  </si>
  <si>
    <t>600-800</t>
  </si>
  <si>
    <t>150-250</t>
  </si>
  <si>
    <t>Apple peeled raw [EuroFir]</t>
  </si>
  <si>
    <t>Missing food</t>
  </si>
  <si>
    <t>Užina 1 daily totals and weekly average</t>
  </si>
  <si>
    <t>Doručak daily totals and weekly average</t>
  </si>
  <si>
    <t>Ručak daily totals and weekly average</t>
  </si>
  <si>
    <t>Užina 2 daily totals and weekly average</t>
  </si>
  <si>
    <t>Voda</t>
  </si>
  <si>
    <t>Kosta Trifkovic prices in red</t>
  </si>
  <si>
    <t>?</t>
  </si>
  <si>
    <t>Other prices for Ljuba Nenadovic</t>
  </si>
  <si>
    <t>Organic prices</t>
  </si>
  <si>
    <t>Recommended:</t>
  </si>
  <si>
    <t>Dnevno</t>
  </si>
  <si>
    <t>Tiamin</t>
  </si>
  <si>
    <t>Susamovo brašno, punomasno 2,684 mg</t>
  </si>
  <si>
    <t>Laneno seme, sirovo 1,644 mg</t>
  </si>
  <si>
    <t>Soja, zrelo zrno, sirovo 0,874 mg</t>
  </si>
  <si>
    <t>Sočivo, sirovo 0,873 mg</t>
  </si>
  <si>
    <t>Pasulj, Dvadesetica, sirov 0,775 mg</t>
  </si>
  <si>
    <t>Pasulj, šareni, sirov 0,772 mg</t>
  </si>
  <si>
    <t>Pasulj, Pinto, sirov 0,713 mg</t>
  </si>
  <si>
    <t>Pšenično brašno, integralno 0,502 mg</t>
  </si>
  <si>
    <t>Brašno od leblebija, integralno 0,486 mg</t>
  </si>
  <si>
    <t>Pasulj, Azuki, sirov 0,455 mg</t>
  </si>
  <si>
    <t>Pasulj, beli,sirov 0,437 mg</t>
  </si>
  <si>
    <t>Kukuruzni griz, integralni 0,385 mg</t>
  </si>
  <si>
    <t>Sivi orah, osušen 0,383 mg</t>
  </si>
  <si>
    <t>Kukuruzno brašno, integralno 0,246 mg</t>
  </si>
  <si>
    <t>Sočivo, klice, sirove 0,228 mg</t>
  </si>
  <si>
    <t>Kokošije jaje, žumance, sirovo 0,176 mg</t>
  </si>
  <si>
    <t>Kukuruz šećerac, sirov 0,155 mg</t>
  </si>
  <si>
    <t>Šargarepa, sirova 16706 IU</t>
  </si>
  <si>
    <t>Bela repa, list, sirov 11587 IU</t>
  </si>
  <si>
    <t>Spanać, sirov 9377 IU</t>
  </si>
  <si>
    <t>Bundeva, sirova 8513 IU</t>
  </si>
  <si>
    <t>Crvena lisnata salata, sirova 7492 IU</t>
  </si>
  <si>
    <t>Lisnata salata, sirova 7405 IU</t>
  </si>
  <si>
    <t>Blitva, sirova 6116 IU</t>
  </si>
  <si>
    <t>Kiprovina, list, sirov 3598 IU</t>
  </si>
  <si>
    <t>Zelena salata, sirova 3500 IU</t>
  </si>
  <si>
    <t>Crvena babura, sirova 3131 IU</t>
  </si>
  <si>
    <t>Brokoli, glavica, sirova 3000 IU</t>
  </si>
  <si>
    <t>Rukola, sirova 2373 IU</t>
  </si>
  <si>
    <t>Crveni kupus, sirov 1116 IU</t>
  </si>
  <si>
    <t>Grašak, sirov 1087 IU</t>
  </si>
  <si>
    <t>Kelj, sirov 1000 IU</t>
  </si>
  <si>
    <t>Paradajz, crveni, zreo, sirov 833 IU</t>
  </si>
  <si>
    <t>Paprika, sirova 816 IU</t>
  </si>
  <si>
    <t>Vitamin A</t>
  </si>
  <si>
    <t>Prosečan sadržaj Tiamina u 100 g proizvoda</t>
  </si>
  <si>
    <t>Pasulj, žuti, sirov 25,1 g</t>
  </si>
  <si>
    <t>Pasulj, crni, sirov 15,5 g</t>
  </si>
  <si>
    <t>Pasulj, šareni, sirov 12,7 g</t>
  </si>
  <si>
    <t>Sočivo, sirovo 10,7 g</t>
  </si>
  <si>
    <t>Pšenično brašno, integralno 10,7 g</t>
  </si>
  <si>
    <t>Soja, zrelo zrno, sirovo 9,3 g</t>
  </si>
  <si>
    <t>Kikiriki, sirov 8,5 g</t>
  </si>
  <si>
    <t>Kukuruzno brašno, integralno 7,3 g</t>
  </si>
  <si>
    <t>Kukuruzni griz, integralni 7,3 g</t>
  </si>
  <si>
    <t>Paškanat, sirov 4,9 g</t>
  </si>
  <si>
    <t>Bob, sirov 4,2 g</t>
  </si>
  <si>
    <t>Keleraba, sirova 3,6 g</t>
  </si>
  <si>
    <t>Karfiol, list, sirov 3,2 g</t>
  </si>
  <si>
    <t>Bela repa, list, sirov 3,2 g</t>
  </si>
  <si>
    <t>Kruška, Boskova bočica, sirova 3,1 g</t>
  </si>
  <si>
    <t>Kruška, Viljamovka, sirova 3,1 g</t>
  </si>
  <si>
    <t>Vlakna</t>
  </si>
  <si>
    <t>Prosečan sadržaj Vlakne u 100 g proizvoda</t>
  </si>
  <si>
    <t>Prosečan sadržaj Vitamina A u 100 g proizvoda</t>
  </si>
  <si>
    <t>Pasulj, beli, sirov 15,2 g</t>
  </si>
  <si>
    <t>Prosečan sadržaj Vitamina B12 u 100 g proizvoda</t>
  </si>
  <si>
    <t>Beef meat average value 5.00 ug</t>
  </si>
  <si>
    <t>Beef minced 4.40 ug</t>
  </si>
  <si>
    <t>Egg yolk hen raw 3.80 ug</t>
  </si>
  <si>
    <t>Egg hen whole raw 2.00 ug</t>
  </si>
  <si>
    <t>Cocoa powder no sugar added 1.18 ug</t>
  </si>
  <si>
    <t>Fried hake 1.14 ug</t>
  </si>
  <si>
    <t>Pork lean meat average values 1.00 ug</t>
  </si>
  <si>
    <t>Cheese kachkaval 0.90 ug</t>
  </si>
  <si>
    <t>Pork steak fried 0.70 ug</t>
  </si>
  <si>
    <t>Pork meat average value raw 0.60 ug</t>
  </si>
  <si>
    <t>Milk sterile 3.5% milk fat 0.45 ug</t>
  </si>
  <si>
    <t>Milk sterile 2.8% milk fat 0.42 ug</t>
  </si>
  <si>
    <t>Cheese feta 0.40 ug</t>
  </si>
  <si>
    <t>Chicken cooked in water 0.38 ug</t>
  </si>
  <si>
    <t>Cheese white low fat 0.33 ug</t>
  </si>
  <si>
    <t>Sour cream 20% milk fat 0.30 ug</t>
  </si>
  <si>
    <t>Yoghurt 2.8% mf 0.25 ug</t>
  </si>
  <si>
    <t>Vitamin B12</t>
  </si>
  <si>
    <t>Vitamin C</t>
  </si>
  <si>
    <t>Vitamin D</t>
  </si>
  <si>
    <t>Vitamin B6</t>
  </si>
  <si>
    <t>Folate</t>
  </si>
  <si>
    <t>Riboflavin</t>
  </si>
  <si>
    <t>Niacin</t>
  </si>
  <si>
    <t xml:space="preserve">If weekly % recommended quantity for a specific </t>
  </si>
  <si>
    <t>nutrient is less than 80% then sources of those specific</t>
  </si>
  <si>
    <t>overcome nutrient deficiencies.</t>
  </si>
  <si>
    <t>Food item Serbian lat</t>
  </si>
  <si>
    <t>Boranija</t>
  </si>
  <si>
    <t>Krompir crveni</t>
  </si>
  <si>
    <t>Kupus svež</t>
  </si>
  <si>
    <t>Rotkvica</t>
  </si>
  <si>
    <t>Šargarepa sveža</t>
  </si>
  <si>
    <t>Zelen veza</t>
  </si>
  <si>
    <t xml:space="preserve">Paprika kisela </t>
  </si>
  <si>
    <t>Jogurt voćni</t>
  </si>
  <si>
    <t>Pavlaka za kuvanje</t>
  </si>
  <si>
    <t>Proja</t>
  </si>
  <si>
    <t>Grožđe</t>
  </si>
  <si>
    <t>Džem od jagode</t>
  </si>
  <si>
    <t>Šećer u prahu</t>
  </si>
  <si>
    <t>Kifla bela</t>
  </si>
  <si>
    <t>Kroasan sa čokoladom</t>
  </si>
  <si>
    <t>Krofna sa džemom</t>
  </si>
  <si>
    <t>Krofna sa vanil-kremom</t>
  </si>
  <si>
    <t>Pecivo dansko, jagoda, višnja, vanila</t>
  </si>
  <si>
    <t>Pecivo sa kremom</t>
  </si>
  <si>
    <t>Pecivo višnja</t>
  </si>
  <si>
    <t>Pita sa jabukama</t>
  </si>
  <si>
    <t>Puž sa makom</t>
  </si>
  <si>
    <t>Pužić sa vanilom</t>
  </si>
  <si>
    <t>Rolna sa višnjom</t>
  </si>
  <si>
    <t>Rolnica sa eurokremom</t>
  </si>
  <si>
    <t>Štapica sa eurokremom</t>
  </si>
  <si>
    <t>Štrudla sa jabukom</t>
  </si>
  <si>
    <t>Štrudla sa višnjama</t>
  </si>
  <si>
    <t xml:space="preserve">Goveđa kocka za supu </t>
  </si>
  <si>
    <t>Goveđa supa – kesica</t>
  </si>
  <si>
    <t xml:space="preserve">Juneće čorbe kesa  </t>
  </si>
  <si>
    <t>Instant supa goveđa pileća</t>
  </si>
  <si>
    <t>Kocka za supu, juneća</t>
  </si>
  <si>
    <t>Kocka za supu, pileća</t>
  </si>
  <si>
    <t>Paradajiz čorbe kesa</t>
  </si>
  <si>
    <t>Pileće čorbe kesa</t>
  </si>
  <si>
    <t>Posna supa</t>
  </si>
  <si>
    <t>Čaj - hibiskus</t>
  </si>
  <si>
    <t>Čaj - nana filter kesica</t>
  </si>
  <si>
    <t>Čaj - voćni</t>
  </si>
  <si>
    <t>Čaj - voćni-šumsko voće, brusnica- filter kesica</t>
  </si>
  <si>
    <t>Čaj – jabuka sa cimetom</t>
  </si>
  <si>
    <t>Čaj – kamilica filter kesica</t>
  </si>
  <si>
    <t>Čaj – šipurak, filter kesica</t>
  </si>
  <si>
    <t>Cedevita limun</t>
  </si>
  <si>
    <t>Cedevita pomorandža</t>
  </si>
  <si>
    <t>Mleko čokoladno 1,0% mlečne masti</t>
  </si>
  <si>
    <t>Čokoladno mleko 1,5% mlečne masti proteini 7,25g, ugljeni hidrati 25,0g</t>
  </si>
  <si>
    <t>Čokoladno mleko 1,6% mm</t>
  </si>
  <si>
    <t>Čokoladno mleko 2,8% mm</t>
  </si>
  <si>
    <t>Čokoladno mleko 3,2% mm</t>
  </si>
  <si>
    <t>Kafa</t>
  </si>
  <si>
    <t>Koka Kola</t>
  </si>
  <si>
    <t>Milk šejk sa ukusom vanila, keks ili jagoda</t>
  </si>
  <si>
    <t>Milk šejk, 1% mlečne masti</t>
  </si>
  <si>
    <t>Multivitaminska zrnca (9 vitamina) za napitak</t>
  </si>
  <si>
    <t>Sok gazirani od pomorandže (Fanta)</t>
  </si>
  <si>
    <t xml:space="preserve">Sok sirup </t>
  </si>
  <si>
    <t>Sok sirup limun</t>
  </si>
  <si>
    <t>Sok sirup narandža</t>
  </si>
  <si>
    <t>Sok sirup od pomorandže „Swisslion Takovo“</t>
  </si>
  <si>
    <t>Vitaminski napitak u prahu – limun multivita</t>
  </si>
  <si>
    <t>Vitaminski napitak u prahu – narandža multivita</t>
  </si>
  <si>
    <t>Voćni čajevi</t>
  </si>
  <si>
    <t>Voćni jogurt</t>
  </si>
  <si>
    <t>Voćni jogurt sa 1%mm</t>
  </si>
  <si>
    <t>Voćni jogurt sa ukusom jagoda, kajsija, šumsko voće</t>
  </si>
  <si>
    <t>Kafa „Grand“</t>
  </si>
  <si>
    <t>Sok bistri borovnica</t>
  </si>
  <si>
    <t>Sok breskva</t>
  </si>
  <si>
    <t>Sok jabuka</t>
  </si>
  <si>
    <t>Sok jabuka ili breskva</t>
  </si>
  <si>
    <t>Sok jagoda </t>
  </si>
  <si>
    <t>Sok od multivitamin, voćni sadržaj 100%</t>
  </si>
  <si>
    <t>Nutrient quantities given per 100g.</t>
  </si>
  <si>
    <t>Average total daily meal cost (din)</t>
  </si>
  <si>
    <t>Average total daily cost of food wasted (din)</t>
  </si>
  <si>
    <t>Ivo Lola Ribar</t>
  </si>
  <si>
    <t>Miloš Crnjanski</t>
  </si>
  <si>
    <t>Paprika babura</t>
  </si>
  <si>
    <t>Šampinjoni</t>
  </si>
  <si>
    <t>Kobasica zimska</t>
  </si>
  <si>
    <t>Slanina svinjska (Hambuška)</t>
  </si>
  <si>
    <t>Viršla (govedina+svinjetina)</t>
  </si>
  <si>
    <t>Skuša, fileti sa kožom u biljnom ulju, konzervirana</t>
  </si>
  <si>
    <t>Jogurt voćni, Imlek Jogood</t>
  </si>
  <si>
    <t>Brašno pšenično polubelo</t>
  </si>
  <si>
    <t>Ćevapi u lepinji (roštilj)</t>
  </si>
  <si>
    <t>Goveđa (govedja) kocka</t>
  </si>
  <si>
    <t>Kokošija kocka</t>
  </si>
  <si>
    <t>Kikiriki, suvo-pečeni, bez soli</t>
  </si>
  <si>
    <t>Total fresh vegetables/week</t>
  </si>
  <si>
    <t>Total processed vegetables/week</t>
  </si>
  <si>
    <t>Average fresh+processed vegetables/day</t>
  </si>
  <si>
    <t>Total fresh fruit/week</t>
  </si>
  <si>
    <t>Average fresh+processed fruit/day</t>
  </si>
  <si>
    <t>Total fresh+processed fruit/week</t>
  </si>
  <si>
    <t>Parents should give their children another 2 portions (200g) per day</t>
  </si>
  <si>
    <t>Parents should give their children another portion (100g) per day</t>
  </si>
  <si>
    <t>Sweetened dairy products</t>
  </si>
  <si>
    <t>Number of days with fruit</t>
  </si>
  <si>
    <t>Number of days with fish</t>
  </si>
  <si>
    <t>Number of days with žitarice i proizvodi iz žitarica</t>
  </si>
  <si>
    <t>Number of days with vegetables</t>
  </si>
  <si>
    <t>Number of days with meat</t>
  </si>
  <si>
    <t>Number of days with milk and dairy products</t>
  </si>
  <si>
    <t>Number of days with legumes</t>
  </si>
  <si>
    <t>Grašak, smrznuti</t>
  </si>
  <si>
    <t>Number of eggs during the week (whole-egg equivalents)</t>
  </si>
  <si>
    <t xml:space="preserve">nutrients are shown so that menus can be adjusted to </t>
  </si>
  <si>
    <t>Total fresh vegetables/week (g)</t>
  </si>
  <si>
    <t>Total processed vegetables/week (g)</t>
  </si>
  <si>
    <t>Average fresh+processed vegetables/day (g)</t>
  </si>
  <si>
    <t>Average fresh+processed fruit/day (g)</t>
  </si>
  <si>
    <t>Sweetened dairy products on menus</t>
  </si>
  <si>
    <t>After allowing for plate waste, the meals for this day are low in carbohydrates overall.</t>
  </si>
  <si>
    <t>After allowing for plate waste, the meals for this day are low in protein overall.</t>
  </si>
  <si>
    <t>After allowing for plate waste, the meals for this day are low in fat overall.</t>
  </si>
  <si>
    <t>Bundeva (tikva)</t>
  </si>
  <si>
    <t>Izaberite vrstu sastojka:</t>
  </si>
  <si>
    <t>Povrće_prerađeno</t>
  </si>
  <si>
    <t>Meso_prerađeno</t>
  </si>
  <si>
    <t>Mlečni_proizvodi</t>
  </si>
  <si>
    <t>Ulja_maslac_margarin</t>
  </si>
  <si>
    <t>Brašno_testenina_seme_žitarica</t>
  </si>
  <si>
    <t>Pomerite se nadole za više opcije</t>
  </si>
  <si>
    <t>Ostala_gotova_hrana</t>
  </si>
  <si>
    <t>Voća_orasi_sušeno_voće</t>
  </si>
  <si>
    <t>Izaberite sastojak:</t>
  </si>
  <si>
    <t>Količina/ dete (g):</t>
  </si>
  <si>
    <t>Meso_sveže_smrznuto</t>
  </si>
  <si>
    <t>Riba_sveže_smrznuta_konzervirana</t>
  </si>
  <si>
    <t>Umaci_pire_prelivi_začini</t>
  </si>
  <si>
    <t>Slatka_hrana_keks</t>
  </si>
  <si>
    <t>Hleb_i_peciva_slana+slatka_peciva</t>
  </si>
  <si>
    <t>Sveukupno, ovo je nedelja dobro uravnoteženih menija za makronutrijente (energiju, ugljene hidrate, proteine i masti), mada treba povećati sadržaj vlakana po obroku.</t>
  </si>
  <si>
    <t>Carska mešavina, smrznuto</t>
  </si>
  <si>
    <t>Бели лук</t>
  </si>
  <si>
    <t>Блитва</t>
  </si>
  <si>
    <t>Броколи</t>
  </si>
  <si>
    <t>Зелена салата</t>
  </si>
  <si>
    <t>Карфиол</t>
  </si>
  <si>
    <t>Краставац</t>
  </si>
  <si>
    <t>Кромпир</t>
  </si>
  <si>
    <t>Купус</t>
  </si>
  <si>
    <t>Парадајз свеж</t>
  </si>
  <si>
    <t>Пасуљ</t>
  </si>
  <si>
    <t>Пашканат</t>
  </si>
  <si>
    <t>Ротквице</t>
  </si>
  <si>
    <t>Спанаћ</t>
  </si>
  <si>
    <t>Црни лук</t>
  </si>
  <si>
    <t>Црвени лук</t>
  </si>
  <si>
    <t>Шаргарепа</t>
  </si>
  <si>
    <t>Коре за питу</t>
  </si>
  <si>
    <t>Хлеб</t>
  </si>
  <si>
    <t>Земичка</t>
  </si>
  <si>
    <t>Ролница са сиром</t>
  </si>
  <si>
    <t>Кроасан са чоколадом</t>
  </si>
  <si>
    <t>Рол виршла</t>
  </si>
  <si>
    <t>Пита са вишњом</t>
  </si>
  <si>
    <t>Кајмак</t>
  </si>
  <si>
    <t>Крем сир</t>
  </si>
  <si>
    <t>Фета сир, 45%мм</t>
  </si>
  <si>
    <t>Тврди сир качкаваљ, 35%мм</t>
  </si>
  <si>
    <t>Пилећи батак са карабатком</t>
  </si>
  <si>
    <t>Пиле цело грил</t>
  </si>
  <si>
    <t>Пилећи филе</t>
  </si>
  <si>
    <t>Јунеће месо</t>
  </si>
  <si>
    <t>Јунећи бут</t>
  </si>
  <si>
    <t>Свињски бут</t>
  </si>
  <si>
    <t>Пилећа виршла</t>
  </si>
  <si>
    <t>Чајна кобасица</t>
  </si>
  <si>
    <t>Шунка, пица</t>
  </si>
  <si>
    <t>Шунка, стишњена</t>
  </si>
  <si>
    <t>Пилећа прса у омоту</t>
  </si>
  <si>
    <t>Паштета пилећа</t>
  </si>
  <si>
    <t>Паштета туна</t>
  </si>
  <si>
    <t>Мусли</t>
  </si>
  <si>
    <t>Чоколадне пахуљице</t>
  </si>
  <si>
    <t>Чоколада за јело и кување</t>
  </si>
  <si>
    <t>Млечна чоколада</t>
  </si>
  <si>
    <t>Плазма кекс</t>
  </si>
  <si>
    <t>Наполитанке</t>
  </si>
  <si>
    <t>Чај хибискус</t>
  </si>
  <si>
    <t>Јаја</t>
  </si>
  <si>
    <t>Нутела крем</t>
  </si>
  <si>
    <t>Еурокрем</t>
  </si>
  <si>
    <t>Тестенина за супу</t>
  </si>
  <si>
    <t>Орах језгро</t>
  </si>
  <si>
    <t>Пшеница белија</t>
  </si>
  <si>
    <t>Цедевита поморанџа</t>
  </si>
  <si>
    <t>Цедевита лимун</t>
  </si>
  <si>
    <t>Кристал шећер</t>
  </si>
  <si>
    <t>Прашак за пециво</t>
  </si>
  <si>
    <t>Ванил шећер</t>
  </si>
  <si>
    <t>Шећер у праху</t>
  </si>
  <si>
    <t>Пудинг од чоколаде</t>
  </si>
  <si>
    <t>Пудинг од ваниле</t>
  </si>
  <si>
    <t>Воћни надев од кајсије</t>
  </si>
  <si>
    <t>Воћни надев од вишње</t>
  </si>
  <si>
    <t>Пекмез од шљиве</t>
  </si>
  <si>
    <t>Џем од шипурка</t>
  </si>
  <si>
    <t>Пекмез од кајсије</t>
  </si>
  <si>
    <t>Ливадски мед</t>
  </si>
  <si>
    <t>Црвена зачинска паприка</t>
  </si>
  <si>
    <t>Зачин Ц</t>
  </si>
  <si>
    <t>Кухињска со</t>
  </si>
  <si>
    <t>Оригано</t>
  </si>
  <si>
    <t>Уље сунцокретово</t>
  </si>
  <si>
    <t>Сирће алкохолно</t>
  </si>
  <si>
    <t>Пшенично брашно</t>
  </si>
  <si>
    <t>Презле</t>
  </si>
  <si>
    <t>Пшенични гриз</t>
  </si>
  <si>
    <t>Кукурузно брашно</t>
  </si>
  <si>
    <t>Кукурузни гриз</t>
  </si>
  <si>
    <t>Пиринач</t>
  </si>
  <si>
    <t>Јабука</t>
  </si>
  <si>
    <t>Банана</t>
  </si>
  <si>
    <t>Мандарина</t>
  </si>
  <si>
    <t>Наранџа</t>
  </si>
  <si>
    <t>Киви</t>
  </si>
  <si>
    <t>Крушка</t>
  </si>
  <si>
    <t>Грожђе</t>
  </si>
  <si>
    <t>Јагода</t>
  </si>
  <si>
    <t>Кисели купус</t>
  </si>
  <si>
    <t>Грашак</t>
  </si>
  <si>
    <t>Боранија жута</t>
  </si>
  <si>
    <t>Поврће за чорбу</t>
  </si>
  <si>
    <t>Вишња</t>
  </si>
  <si>
    <t>Кисели краставац</t>
  </si>
  <si>
    <t>Цвекла</t>
  </si>
  <si>
    <t>Парадајз пире</t>
  </si>
  <si>
    <t>Кувани парадајз</t>
  </si>
  <si>
    <t>Кечап благи</t>
  </si>
  <si>
    <t>Квасац</t>
  </si>
  <si>
    <t>Филет сома</t>
  </si>
  <si>
    <t>Целер</t>
  </si>
  <si>
    <t>Целер корен</t>
  </si>
  <si>
    <t>Цвекла, кувана, конзервисана</t>
  </si>
  <si>
    <t>Грашак, смрзнути</t>
  </si>
  <si>
    <t>Кељ</t>
  </si>
  <si>
    <t>Краставац кисели</t>
  </si>
  <si>
    <t>Кромпир, млади</t>
  </si>
  <si>
    <t>Кромпир (пире) Минут</t>
  </si>
  <si>
    <t>Купус, црвени</t>
  </si>
  <si>
    <t>Млади лук</t>
  </si>
  <si>
    <t>Паприка црвена печена</t>
  </si>
  <si>
    <t>Паприка кисела</t>
  </si>
  <si>
    <t>Парадајз чери</t>
  </si>
  <si>
    <t>Паштрнак</t>
  </si>
  <si>
    <t>Патлиџан</t>
  </si>
  <si>
    <t>Першун корен</t>
  </si>
  <si>
    <t>Першун лист</t>
  </si>
  <si>
    <t>Празилук</t>
  </si>
  <si>
    <t>Ротквица црвена</t>
  </si>
  <si>
    <t>Печурке</t>
  </si>
  <si>
    <t>Сочиво</t>
  </si>
  <si>
    <t>Сочиво, кувана са соли</t>
  </si>
  <si>
    <t>Сојино брашно (маст екстрахир.)</t>
  </si>
  <si>
    <t>Тиквица, зелена</t>
  </si>
  <si>
    <t>Зеље</t>
  </si>
  <si>
    <t>Златна мешавина</t>
  </si>
  <si>
    <t>Ананас</t>
  </si>
  <si>
    <t>Бадем (суви, пржени, без соли)</t>
  </si>
  <si>
    <t>Бресква</t>
  </si>
  <si>
    <t>Диња</t>
  </si>
  <si>
    <t>Дуња</t>
  </si>
  <si>
    <t>Грејпфрут</t>
  </si>
  <si>
    <t>Јабука, Црвени Делишес</t>
  </si>
  <si>
    <t>Јабука, Гала</t>
  </si>
  <si>
    <t>Јабука, огуљена (без коре)</t>
  </si>
  <si>
    <t>Јабука, Златни Делишес</t>
  </si>
  <si>
    <t>Јагоде</t>
  </si>
  <si>
    <t>Кајсија</t>
  </si>
  <si>
    <t>Кикирики, суво-печени, без соли</t>
  </si>
  <si>
    <t>Купина</t>
  </si>
  <si>
    <t>Лешник</t>
  </si>
  <si>
    <t>Лимун</t>
  </si>
  <si>
    <t>Лимун, огуљен</t>
  </si>
  <si>
    <t>Лубеница</t>
  </si>
  <si>
    <t>Малина</t>
  </si>
  <si>
    <t>Маслина пастеризована</t>
  </si>
  <si>
    <t>Мускатни орашчић</t>
  </si>
  <si>
    <t>Нектарина</t>
  </si>
  <si>
    <t>Орах (ораси)</t>
  </si>
  <si>
    <t>Поморанџа</t>
  </si>
  <si>
    <t>Шљива</t>
  </si>
  <si>
    <t>Смоква</t>
  </si>
  <si>
    <t>Шумско воће, смрзнуто</t>
  </si>
  <si>
    <t>Суво грожђе</t>
  </si>
  <si>
    <t>Трешња</t>
  </si>
  <si>
    <t>Чоколадно млеко, пуномасно</t>
  </si>
  <si>
    <t>Млеко пуномасно у праху</t>
  </si>
  <si>
    <t>Млеко, кравље 2,8% мм</t>
  </si>
  <si>
    <t>Пармезан</t>
  </si>
  <si>
    <t>Павлака за кување</t>
  </si>
  <si>
    <t>Сир Едамер, 30% мм</t>
  </si>
  <si>
    <t>Сир Гоуда, 48% мм</t>
  </si>
  <si>
    <t>Сир, фета, меки (у саламури)</t>
  </si>
  <si>
    <t>Сир, крављи, нискомасно, Моцарела</t>
  </si>
  <si>
    <t>Сир, швапски (ситни)</t>
  </si>
  <si>
    <t>Слатка павлака</t>
  </si>
  <si>
    <t>Беланце, кокошје</t>
  </si>
  <si>
    <t>Јаје кокошје, цело</t>
  </si>
  <si>
    <t>Жуманце кокошје</t>
  </si>
  <si>
    <t>Ћевапи (свињско/говеђе месо), свјежи</t>
  </si>
  <si>
    <t>Чварци</t>
  </si>
  <si>
    <t>Печеница димљена</t>
  </si>
  <si>
    <t>Каре димљени (месо суво, сушено)</t>
  </si>
  <si>
    <t>Јетра свињска</t>
  </si>
  <si>
    <t>Јунетина бут</t>
  </si>
  <si>
    <t>Јунетина масна</t>
  </si>
  <si>
    <t>Јунетина млевена</t>
  </si>
  <si>
    <t>Јунетина средње масна</t>
  </si>
  <si>
    <t>Јунетина, без масти</t>
  </si>
  <si>
    <t>Јунетина, сува (сушена)</t>
  </si>
  <si>
    <t>Кобасица крањска</t>
  </si>
  <si>
    <t>Кобасица кулен</t>
  </si>
  <si>
    <t>Кобасица чајна</t>
  </si>
  <si>
    <t>Кобасица роштилска</t>
  </si>
  <si>
    <t>Кобасица сремска</t>
  </si>
  <si>
    <t>Кобасица српска</t>
  </si>
  <si>
    <t>Кобасице свињске (димљене)</t>
  </si>
  <si>
    <t>Кобасице свињске (суве, сушене)</t>
  </si>
  <si>
    <t>Кобасица зимска</t>
  </si>
  <si>
    <t>Кости јунеће (врат) кувано</t>
  </si>
  <si>
    <t>Млевено, мешано месо</t>
  </si>
  <si>
    <t>Мортадела</t>
  </si>
  <si>
    <t>Пилећи батак без коже</t>
  </si>
  <si>
    <t>Салама Алпска</t>
  </si>
  <si>
    <t>Салама паризер</t>
  </si>
  <si>
    <t>Салама, пилећа, пурећа</t>
  </si>
  <si>
    <t>Сланина (сува, сушена) месната</t>
  </si>
  <si>
    <t>Сланина свињска (Хамбушка)</t>
  </si>
  <si>
    <t>Сланина свињска (сирова, без коже)</t>
  </si>
  <si>
    <t>Шунка без масти</t>
  </si>
  <si>
    <t>Шунка димљена кувана</t>
  </si>
  <si>
    <t>Шунка димљена сушена</t>
  </si>
  <si>
    <t>Сува ребра</t>
  </si>
  <si>
    <t>Свињетина средње масна</t>
  </si>
  <si>
    <t>Свињске пљескавице</t>
  </si>
  <si>
    <t>Свињски филет</t>
  </si>
  <si>
    <t>Свињски врат, суви (сушени), суво месо</t>
  </si>
  <si>
    <t>Свињско млевено месо</t>
  </si>
  <si>
    <t>Виршла (говедина+свињетина)</t>
  </si>
  <si>
    <t>Виршла (пилеће)</t>
  </si>
  <si>
    <t>Виршле (свињске)</t>
  </si>
  <si>
    <t>Фишбургер панирани (Фриком)</t>
  </si>
  <si>
    <t>Ослић филети</t>
  </si>
  <si>
    <t>Фишбургер пљескавица панирани</t>
  </si>
  <si>
    <t>Ослић панирани (филети)</t>
  </si>
  <si>
    <t>Рибљи штапићи панирани</t>
  </si>
  <si>
    <t>Паштета од туне (туна)</t>
  </si>
  <si>
    <t>Рибља паштета</t>
  </si>
  <si>
    <t>Скуша, филети са кожом у биљном уљу, конзервирана</t>
  </si>
  <si>
    <t>Сом</t>
  </si>
  <si>
    <t>Сом (похован)</t>
  </si>
  <si>
    <t>Туњевина, туна, конзервирана у уљу, оцеђена</t>
  </si>
  <si>
    <t>Туњевина, туна, конзервирана, у саламури</t>
  </si>
  <si>
    <t>Маслац, неслани</t>
  </si>
  <si>
    <t>Маст свињска</t>
  </si>
  <si>
    <t>Уље маслиново</t>
  </si>
  <si>
    <t>Чоколада</t>
  </si>
  <si>
    <t>Чоколада млечна</t>
  </si>
  <si>
    <t>Чоколада за кување</t>
  </si>
  <si>
    <t>Чоколадица, бананица чоколадна, Штарк</t>
  </si>
  <si>
    <t>Џем (јагода)</t>
  </si>
  <si>
    <t>Фазон чоколадица</t>
  </si>
  <si>
    <t>Какао прах, незаслађен</t>
  </si>
  <si>
    <t>Кит Кат млијечна чоколада</t>
  </si>
  <si>
    <t>Компот од ананаса</t>
  </si>
  <si>
    <t>Компот од бресака</t>
  </si>
  <si>
    <t>Компот од крушака</t>
  </si>
  <si>
    <t>Манчмаллоw</t>
  </si>
  <si>
    <t>Мед</t>
  </si>
  <si>
    <t>Наполитанке просечно</t>
  </si>
  <si>
    <t>Несквик (Нестле)</t>
  </si>
  <si>
    <t>Пудинг у праху</t>
  </si>
  <si>
    <t>Шећер кристал (Суноко)</t>
  </si>
  <si>
    <t>Сладолед</t>
  </si>
  <si>
    <t>Штрудла са маком</t>
  </si>
  <si>
    <t>Ванилин шећер</t>
  </si>
  <si>
    <t>Жито, кувано (са орасима и шлагом), десерт</t>
  </si>
  <si>
    <t>Златни Пек бисквит</t>
  </si>
  <si>
    <t>Бонжита (жита микс)</t>
  </si>
  <si>
    <t>Бурек са кромпиром</t>
  </si>
  <si>
    <t>Бурек са свињским месом</t>
  </si>
  <si>
    <t>Бурек са пилећим месом</t>
  </si>
  <si>
    <t>Бурек са сиром</t>
  </si>
  <si>
    <t>Ђеврек</t>
  </si>
  <si>
    <t>Гриз пшенична</t>
  </si>
  <si>
    <t>Хлеб, бели</t>
  </si>
  <si>
    <t>Хлеб, интегрални</t>
  </si>
  <si>
    <t>Хлеб, полубели</t>
  </si>
  <si>
    <t>Интегрални штапић</t>
  </si>
  <si>
    <t>Кифла од пшеничног брашна</t>
  </si>
  <si>
    <t>Кифла са семенкама</t>
  </si>
  <si>
    <t>Кифла интегрална</t>
  </si>
  <si>
    <t>Кокосово брашно (зашећерено)</t>
  </si>
  <si>
    <t>Коктел пециво</t>
  </si>
  <si>
    <t>Кроасан</t>
  </si>
  <si>
    <t>Кукурузне пахуљице (цорнфлакес)</t>
  </si>
  <si>
    <t>Лепиња</t>
  </si>
  <si>
    <t>Лиснато тесто, смрзнуто</t>
  </si>
  <si>
    <t>Макарони са јајима</t>
  </si>
  <si>
    <t>Палента</t>
  </si>
  <si>
    <t>Пециво (бело брашно)</t>
  </si>
  <si>
    <t>Переца</t>
  </si>
  <si>
    <t>Пица (мини пица)</t>
  </si>
  <si>
    <t>Пита са вишњама</t>
  </si>
  <si>
    <t>Пита са вишњама и јабукама</t>
  </si>
  <si>
    <t>Погачице са семенкама</t>
  </si>
  <si>
    <t>Брашно пшенично (пуно зрно)</t>
  </si>
  <si>
    <t>Брашно пшенично бело</t>
  </si>
  <si>
    <t>Брашно пшенично полубело</t>
  </si>
  <si>
    <t>Пужић (Данубиус)</t>
  </si>
  <si>
    <t>Резанци</t>
  </si>
  <si>
    <t>Рол (ролница) са сиром</t>
  </si>
  <si>
    <t>Рол (ролница) са вишњама</t>
  </si>
  <si>
    <t>Ролат са кремом</t>
  </si>
  <si>
    <t>Шпагети, тестенина</t>
  </si>
  <si>
    <t>Тестенина без јаја</t>
  </si>
  <si>
    <t>Тестенина (макарони) са јајима</t>
  </si>
  <si>
    <t>Жито (смрзнуто) Маxи-Премиа 5% ораха</t>
  </si>
  <si>
    <t>Жужу (лиснато тесто)</t>
  </si>
  <si>
    <t>Ајвар, упржени, благи/љути</t>
  </si>
  <si>
    <t>Кечап, Хеинз</t>
  </si>
  <si>
    <t>Кечап, Диамант</t>
  </si>
  <si>
    <t>Кечап, Полимарк</t>
  </si>
  <si>
    <t>Квасац (свеж)</t>
  </si>
  <si>
    <t>Мајонез, обични</t>
  </si>
  <si>
    <t>Мајонез, Полимарк</t>
  </si>
  <si>
    <t>Рен</t>
  </si>
  <si>
    <t>Сенф</t>
  </si>
  <si>
    <t>Алева паприка</t>
  </si>
  <si>
    <t>Бибер црни, млевени</t>
  </si>
  <si>
    <t>Босиљак лист, суви (сушен)</t>
  </si>
  <si>
    <t>Цимет</t>
  </si>
  <si>
    <t>Ловор</t>
  </si>
  <si>
    <t>Мирођија лист, суви (сушени)</t>
  </si>
  <si>
    <t>Мирођија лист, свеж</t>
  </si>
  <si>
    <t>Паприка (сува, сушена), млевена</t>
  </si>
  <si>
    <t>Першун лист (свеж)</t>
  </si>
  <si>
    <t>Ружмарин (суви, сушени)</t>
  </si>
  <si>
    <t>Сирће (авераге)</t>
  </si>
  <si>
    <t>Сирће, јабуково</t>
  </si>
  <si>
    <t>Со</t>
  </si>
  <si>
    <t>Зачин Ц (Нестле)</t>
  </si>
  <si>
    <t>Чај куван (басед он 200 мл)</t>
  </si>
  <si>
    <t>Лимун сок 100%, цеђен</t>
  </si>
  <si>
    <t>Лимунада, направљена са водом</t>
  </si>
  <si>
    <t>Сируп од боровница</t>
  </si>
  <si>
    <t>Сируп од јабука</t>
  </si>
  <si>
    <t>Сируп од малина</t>
  </si>
  <si>
    <t>Сируп од рибизли (рибиза)</t>
  </si>
  <si>
    <t>Сируп од вишње</t>
  </si>
  <si>
    <t>Сок од грожђа</t>
  </si>
  <si>
    <t>Сок од јабуке</t>
  </si>
  <si>
    <t>Сок од наранџе (поморанџа) 100%</t>
  </si>
  <si>
    <t>Сприте</t>
  </si>
  <si>
    <t>Какао инстант</t>
  </si>
  <si>
    <t>Вода</t>
  </si>
  <si>
    <t>Ћевапи у лепињи (роштиљ)</t>
  </si>
  <si>
    <t>Говеђа (говеђа) коцка</t>
  </si>
  <si>
    <t>Кифлице са шунком</t>
  </si>
  <si>
    <t>Кокошија коцка</t>
  </si>
  <si>
    <t>Кроасан са шунком</t>
  </si>
  <si>
    <t>Пуж са сиром</t>
  </si>
  <si>
    <t>Сарма, кувана</t>
  </si>
  <si>
    <t>Сутлијаш (сутлија, рижин пудинг)</t>
  </si>
  <si>
    <t>Грашак, смрзнути Фриком</t>
  </si>
  <si>
    <t>Мак (семе)</t>
  </si>
  <si>
    <t>Podloga za picu</t>
  </si>
  <si>
    <t>Подлоге за пицу</t>
  </si>
  <si>
    <t>Паштета са сиром</t>
  </si>
  <si>
    <t>Ролница са вишњама</t>
  </si>
  <si>
    <t>Данско пециво</t>
  </si>
  <si>
    <t>Јогурт воћни 1% мм</t>
  </si>
  <si>
    <t>Čokoladno mleko 1% mm</t>
  </si>
  <si>
    <t>Сирни намаз</t>
  </si>
  <si>
    <t>Сирни намаз 70% мм</t>
  </si>
  <si>
    <t>Милерам 22% мм</t>
  </si>
  <si>
    <t>Mileram 22% mm</t>
  </si>
  <si>
    <t>Сир, ситни нискомасни</t>
  </si>
  <si>
    <t>Сир, фета 45% мм</t>
  </si>
  <si>
    <t>Сир, фета 45%мм</t>
  </si>
  <si>
    <t>Сир фета 45%мм</t>
  </si>
  <si>
    <t>Сир фета 45% мм</t>
  </si>
  <si>
    <t>Фета сир 45% мм</t>
  </si>
  <si>
    <t>Фета сир 45%мм</t>
  </si>
  <si>
    <t>Фета сир, 45% мм</t>
  </si>
  <si>
    <t>Кисела павлака, 20%мм</t>
  </si>
  <si>
    <t>Кисела павлака, 20% мм</t>
  </si>
  <si>
    <t>Кисела павлака, 12% мм</t>
  </si>
  <si>
    <t>Кисела павлака 20%мм</t>
  </si>
  <si>
    <t>Кисела павлака 20% мм</t>
  </si>
  <si>
    <t>Тврди сир качкаваљ, 35% мм</t>
  </si>
  <si>
    <t>Тврди сир качкаваљ 35% мм</t>
  </si>
  <si>
    <t>Тврди сир качкаваљ 35%мм</t>
  </si>
  <si>
    <t>Маслац 82%мм</t>
  </si>
  <si>
    <t>Маслац, 82% мм</t>
  </si>
  <si>
    <t>Маслац, 82%мм</t>
  </si>
  <si>
    <t>Namirnica na latinicom</t>
  </si>
  <si>
    <t>Намирница на ћирилицом</t>
  </si>
  <si>
    <t>Пилећи батак и карабатак</t>
  </si>
  <si>
    <t>Пилећи батак са кожом</t>
  </si>
  <si>
    <t>Пилетина цело</t>
  </si>
  <si>
    <t>Сланина, димљена</t>
  </si>
  <si>
    <t>Сланина димљена</t>
  </si>
  <si>
    <t>Свињска ребра, димљена</t>
  </si>
  <si>
    <t>Свињска буткица димљена</t>
  </si>
  <si>
    <t>Свињска буткица, димљена</t>
  </si>
  <si>
    <t>Виршла, пилеће</t>
  </si>
  <si>
    <t>Шунка пица</t>
  </si>
  <si>
    <t>Шунка за пицу</t>
  </si>
  <si>
    <t>Шунка стишњена у цреву</t>
  </si>
  <si>
    <t>Шунка стишњена</t>
  </si>
  <si>
    <t>Пилећа паштета</t>
  </si>
  <si>
    <t>Пилећа, паштета</t>
  </si>
  <si>
    <t>Паштета, пилећа</t>
  </si>
  <si>
    <t>Паштета, туна</t>
  </si>
  <si>
    <t>Туна паштета</t>
  </si>
  <si>
    <t>Несквик</t>
  </si>
  <si>
    <t>Јаје</t>
  </si>
  <si>
    <t>Нутела</t>
  </si>
  <si>
    <t>Тестенина фусили</t>
  </si>
  <si>
    <t>Тестенина, фусили</t>
  </si>
  <si>
    <t>Шпагете шпагетини</t>
  </si>
  <si>
    <t>Нескафе класик, оригинал</t>
  </si>
  <si>
    <t>Šećer kristal</t>
  </si>
  <si>
    <t>Шећер кристал</t>
  </si>
  <si>
    <t xml:space="preserve">Шећер ванилин </t>
  </si>
  <si>
    <t>Мед ливадски</t>
  </si>
  <si>
    <t>Оригано, суви</t>
  </si>
  <si>
    <t>Пшенична гриз</t>
  </si>
  <si>
    <t>Kukuruzno brašno, celovito</t>
  </si>
  <si>
    <t>Kukuruzni griz</t>
  </si>
  <si>
    <t>Карамела лешник</t>
  </si>
  <si>
    <t>Пиринач интегрална</t>
  </si>
  <si>
    <t>Боранија</t>
  </si>
  <si>
    <t>Боранија, зелена</t>
  </si>
  <si>
    <t>Боранија, жута</t>
  </si>
  <si>
    <t>Боранија зелена</t>
  </si>
  <si>
    <t>Смрзнута мешавина поврћа</t>
  </si>
  <si>
    <t>Кечап, благи</t>
  </si>
  <si>
    <t>Рибљи штапићи</t>
  </si>
  <si>
    <t>Bundeva (tikva) pulpa, kuvana, ocijeđena, soljena</t>
  </si>
  <si>
    <t>Celer list</t>
  </si>
  <si>
    <t>Krastavac svež</t>
  </si>
  <si>
    <t>Krompir (pire)</t>
  </si>
  <si>
    <t>Paprika pasterizovana fileti</t>
  </si>
  <si>
    <t>Paprika žuta, slatka</t>
  </si>
  <si>
    <t>Margarine [EuroFir]+Diamant</t>
  </si>
  <si>
    <t>Hleb, polubeli calculated</t>
  </si>
  <si>
    <t>Week_1_recommendations</t>
  </si>
  <si>
    <t>List for Ingredient lists</t>
  </si>
  <si>
    <t>Spanać svež</t>
  </si>
  <si>
    <t>Брашно пшенично интегрално</t>
  </si>
  <si>
    <t>Пилећа крила</t>
  </si>
  <si>
    <t>Пилеће бело месо</t>
  </si>
  <si>
    <t>Коре за пите и гибанице</t>
  </si>
  <si>
    <t>Бела кифла</t>
  </si>
  <si>
    <t>Кроасан чоколада</t>
  </si>
  <si>
    <t>Кроасан качкаваљ-шунка</t>
  </si>
  <si>
    <t>Плетеница са семенкама</t>
  </si>
  <si>
    <t>Виршла у лиснатом тесту</t>
  </si>
  <si>
    <t>Пица парче</t>
  </si>
  <si>
    <t>Погачице са чварцима</t>
  </si>
  <si>
    <t>Баварска кифла</t>
  </si>
  <si>
    <t>Пуж са маком</t>
  </si>
  <si>
    <t>Коктел мини пице</t>
  </si>
  <si>
    <t>Качкаваљ 45% мм</t>
  </si>
  <si>
    <t>Воћни јогурт</t>
  </si>
  <si>
    <t>Ситан сир са минимум 10% мм</t>
  </si>
  <si>
    <t>Пастеризовано млеко 2,8% мм</t>
  </si>
  <si>
    <t>Свињско месо</t>
  </si>
  <si>
    <t>Мешано млевено месо</t>
  </si>
  <si>
    <t>Ћевапи</t>
  </si>
  <si>
    <t>Димљена свињска ребра</t>
  </si>
  <si>
    <t>Димљена сланина</t>
  </si>
  <si>
    <t>Печеница свињска пршута</t>
  </si>
  <si>
    <t>Суви врат</t>
  </si>
  <si>
    <t>Пица шунка</t>
  </si>
  <si>
    <t>Стишњена шунка</t>
  </si>
  <si>
    <t>Паштета са укусом шунке</t>
  </si>
  <si>
    <t>Крањска кобасица</t>
  </si>
  <si>
    <t>Роштиљ кобасица</t>
  </si>
  <si>
    <t>Посебна кобасица</t>
  </si>
  <si>
    <t>Брашно</t>
  </si>
  <si>
    <t>Пројино брашно</t>
  </si>
  <si>
    <t>Уље</t>
  </si>
  <si>
    <t>Тесто шпагете</t>
  </si>
  <si>
    <t>Био зачин</t>
  </si>
  <si>
    <t>Презла</t>
  </si>
  <si>
    <t>Кафа</t>
  </si>
  <si>
    <t>Корнфлекс</t>
  </si>
  <si>
    <t>Зачин за ћуфте</t>
  </si>
  <si>
    <t>Зачин за сарму</t>
  </si>
  <si>
    <t>Бомбоне</t>
  </si>
  <si>
    <t>Чај Амер</t>
  </si>
  <si>
    <t>Крем бананице</t>
  </si>
  <si>
    <t>Кекс ''Авала''</t>
  </si>
  <si>
    <t>Чајни колутићи</t>
  </si>
  <si>
    <t>Кекс Домаћица</t>
  </si>
  <si>
    <t>Тесто макароне</t>
  </si>
  <si>
    <t>Мармелада кајсија</t>
  </si>
  <si>
    <t>Еуро крем</t>
  </si>
  <si>
    <t>Мармелада мешана</t>
  </si>
  <si>
    <t>Парадаиз пире конзерва</t>
  </si>
  <si>
    <t>Томатино</t>
  </si>
  <si>
    <t>Кукуруз кокичар</t>
  </si>
  <si>
    <t>Ратлук</t>
  </si>
  <si>
    <t>Мешано поврће за супу</t>
  </si>
  <si>
    <t>Конзервирана цвекла</t>
  </si>
  <si>
    <t xml:space="preserve">Смрзнуто поврће царска мешавина </t>
  </si>
  <si>
    <t>Смрзнути грашак</t>
  </si>
  <si>
    <t>Конзервирана шарена саларта</t>
  </si>
  <si>
    <t>Краставчићи конзервирани</t>
  </si>
  <si>
    <t>Сок поморанџа, лимун сируп</t>
  </si>
  <si>
    <t>Чоколада са рижом</t>
  </si>
  <si>
    <t>Сок Кока Кола</t>
  </si>
  <si>
    <t>Сок Фанта</t>
  </si>
  <si>
    <t>Ловоров лист</t>
  </si>
  <si>
    <t>Коцка за супу</t>
  </si>
  <si>
    <t>Сок бресква</t>
  </si>
  <si>
    <t>Сок јабука</t>
  </si>
  <si>
    <t>Спанаћ смрзнути</t>
  </si>
  <si>
    <t>Ослић</t>
  </si>
  <si>
    <t>Сардина у конзерви</t>
  </si>
  <si>
    <t>Туњевина комади у уљу</t>
  </si>
  <si>
    <t>Панирани рибљи штапићи</t>
  </si>
  <si>
    <t>Рибља пљескавица</t>
  </si>
  <si>
    <t>Јабуке</t>
  </si>
  <si>
    <t>Поморанџе</t>
  </si>
  <si>
    <t>Купус свеж</t>
  </si>
  <si>
    <t>Лук црни</t>
  </si>
  <si>
    <t>Лук бели</t>
  </si>
  <si>
    <t>Пециво са вишњама</t>
  </si>
  <si>
    <t>Пица са кобасицом</t>
  </si>
  <si>
    <t>Пица са сиром</t>
  </si>
  <si>
    <t>Пица са сиром, месом и поврћем</t>
  </si>
  <si>
    <t>Плетеница са шунком</t>
  </si>
  <si>
    <t>Ролнице са шунком</t>
  </si>
  <si>
    <t>Сир пица 45% мм</t>
  </si>
  <si>
    <t>Пастеризовано млеко 2,8%мм</t>
  </si>
  <si>
    <t>Крем сир, минимум 45%мм</t>
  </si>
  <si>
    <t>Млевено мешано месо</t>
  </si>
  <si>
    <t>Тост нарезак</t>
  </si>
  <si>
    <t>Шунка паризер</t>
  </si>
  <si>
    <t>Виршла</t>
  </si>
  <si>
    <t>Паштета јетрена</t>
  </si>
  <si>
    <t>Јетрена паштета</t>
  </si>
  <si>
    <t>Паштета, јетрена</t>
  </si>
  <si>
    <t>Роштилска кобасица</t>
  </si>
  <si>
    <t>Сирће</t>
  </si>
  <si>
    <t>Pužić</t>
  </si>
  <si>
    <t>Пудинг ванила, чоколада</t>
  </si>
  <si>
    <t>Пудинг ванила</t>
  </si>
  <si>
    <t>Пудинг чоколада</t>
  </si>
  <si>
    <t>Пудинг, чоколада</t>
  </si>
  <si>
    <t>Пудинг, ванила</t>
  </si>
  <si>
    <t>Кукурузне пахуљице</t>
  </si>
  <si>
    <t>Какао</t>
  </si>
  <si>
    <t>Бананица чоколадне</t>
  </si>
  <si>
    <t>Чоколадна бананица</t>
  </si>
  <si>
    <t>Кекс Авала</t>
  </si>
  <si>
    <t>Чај Милфорд</t>
  </si>
  <si>
    <t>Кечап</t>
  </si>
  <si>
    <t>Мајонез</t>
  </si>
  <si>
    <t>Конзервирана паприка филети</t>
  </si>
  <si>
    <t>Паприка пастеризована филети</t>
  </si>
  <si>
    <t>Паприка жута, слатка</t>
  </si>
  <si>
    <t>Кромпир пире</t>
  </si>
  <si>
    <t>Кромпир инстант</t>
  </si>
  <si>
    <t>Ајвар</t>
  </si>
  <si>
    <t>Spanać smrznuti</t>
  </si>
  <si>
    <t>Спанаћ у брикетима</t>
  </si>
  <si>
    <t>Сардина конзервирана (у уљу)</t>
  </si>
  <si>
    <t>Банане</t>
  </si>
  <si>
    <t>Купус, свеж</t>
  </si>
  <si>
    <t>Ротквица</t>
  </si>
  <si>
    <t>Week_1_organic</t>
  </si>
  <si>
    <t>ABC svježi krem sir, namaz, Belje</t>
  </si>
  <si>
    <t>Džem šipurak Bakina Tajna+EuroFir</t>
  </si>
  <si>
    <t>After allowing for plate waste, the menus for this day are low in energy (kcal) overall.</t>
  </si>
  <si>
    <t>Breakfasts</t>
  </si>
  <si>
    <t>Snack 1</t>
  </si>
  <si>
    <t>Lunches</t>
  </si>
  <si>
    <t>Snack 2</t>
  </si>
  <si>
    <t>After allowing for plate waste, the menus for this meal are low in energy (kcal) overall.</t>
  </si>
  <si>
    <t>After allowing for plate waste, the menus for this meal are low in carbohydrates overall.</t>
  </si>
  <si>
    <t>After allowing for plate waste, the menus for this meal are low in protein overall.</t>
  </si>
  <si>
    <t>After allowing for plate waste, the menus for this meal are low in fat overall.</t>
  </si>
  <si>
    <t>originally 79.0</t>
  </si>
  <si>
    <t>kcal / obrok</t>
  </si>
  <si>
    <t>ugljeni hidrati (g / obrok)</t>
  </si>
  <si>
    <t>belančevina (g / obrok)</t>
  </si>
  <si>
    <t>mast (g / obrok)</t>
  </si>
  <si>
    <t>natrijum [NA] (mg)</t>
  </si>
  <si>
    <t xml:space="preserve">Tost narezak </t>
  </si>
  <si>
    <t>Пшеница у зрну</t>
  </si>
  <si>
    <t>Količina</t>
  </si>
  <si>
    <t>Царска мешавина, смрзнуто</t>
  </si>
  <si>
    <t>Каре деликатес у омоту</t>
  </si>
  <si>
    <t>Кисело млеко кравље, 2,8% мм</t>
  </si>
  <si>
    <t>Помфрит</t>
  </si>
  <si>
    <t>Пилећи паризер</t>
  </si>
  <si>
    <t>Пилетина (цело)</t>
  </si>
  <si>
    <t>Пилетина, бело месо</t>
  </si>
  <si>
    <t>Пилећа прса у овитку</t>
  </si>
  <si>
    <t>Шампињони</t>
  </si>
  <si>
    <t>Тиквица</t>
  </si>
  <si>
    <t>Tikvica</t>
  </si>
  <si>
    <t>Двопек</t>
  </si>
  <si>
    <t>Пица мини</t>
  </si>
  <si>
    <t>Peršun list, svež</t>
  </si>
  <si>
    <t>Кукуруз, шећерац, конзервиран</t>
  </si>
  <si>
    <t>Week_1_conventional</t>
  </si>
  <si>
    <t>Сом, филет</t>
  </si>
  <si>
    <t>Лигње панирани (штапићи)</t>
  </si>
  <si>
    <t>Ослић, филети</t>
  </si>
  <si>
    <t>Сир, тост топи</t>
  </si>
  <si>
    <t>Сир, тврди, рибанац</t>
  </si>
  <si>
    <t>Сир, качкаваљ</t>
  </si>
  <si>
    <t>Коре за питу, интегралне, свеже</t>
  </si>
  <si>
    <t>Шпагети</t>
  </si>
  <si>
    <t>%</t>
  </si>
  <si>
    <t>ugljeni hidrati</t>
  </si>
  <si>
    <t>belančevina</t>
  </si>
  <si>
    <t>mast</t>
  </si>
  <si>
    <t>vlakna</t>
  </si>
  <si>
    <t>masne kiseline, ukupno zasićene</t>
  </si>
  <si>
    <t>natrijum [NA]</t>
  </si>
  <si>
    <t>kalijum [K]</t>
  </si>
  <si>
    <t>kalcijum [CA]</t>
  </si>
  <si>
    <t>magnezijum [MG]</t>
  </si>
  <si>
    <t>fosfor [P]</t>
  </si>
  <si>
    <t>gvožđe, ukupno [FE]</t>
  </si>
  <si>
    <t>cink [ZN]</t>
  </si>
  <si>
    <t>bakar [CU]</t>
  </si>
  <si>
    <t>vitamin A [VITA]</t>
  </si>
  <si>
    <t>vitamin B1 (tiamin) [THIA]</t>
  </si>
  <si>
    <t>vitamin B2 (riboflavin) [RIBF]</t>
  </si>
  <si>
    <t>niacin ekvivalenti [NIAEQ]</t>
  </si>
  <si>
    <t>vitamin B6, total [VITB6]</t>
  </si>
  <si>
    <t>folata, ukupno [FOL]</t>
  </si>
  <si>
    <t>vitamin B12 [VITB12]</t>
  </si>
  <si>
    <t>vitamin C  [VITC]</t>
  </si>
  <si>
    <t>vitamin D [VITD]</t>
  </si>
  <si>
    <t>Užina-1</t>
  </si>
  <si>
    <t>Užina-2</t>
  </si>
  <si>
    <t>Povrće_i_pečurke_sveže_smrznuto</t>
  </si>
  <si>
    <t>Šećerna_piča_čajevi_kafa</t>
  </si>
  <si>
    <t>Voćni_sokovi_voda</t>
  </si>
  <si>
    <t>Prosek</t>
  </si>
  <si>
    <t>Total</t>
  </si>
  <si>
    <t>% total</t>
  </si>
  <si>
    <t>Pasulj, šareni (trešnjevac)</t>
  </si>
  <si>
    <t>Пасуљ, шарени (трешњевац)</t>
  </si>
  <si>
    <t>Свињско бутно месо</t>
  </si>
  <si>
    <t>Свињске шницле</t>
  </si>
  <si>
    <t>Свињска димљена ребра</t>
  </si>
  <si>
    <t>Пљескавице</t>
  </si>
  <si>
    <t>Барена сланина</t>
  </si>
  <si>
    <t>Димњена плећка</t>
  </si>
  <si>
    <t>Свињска пршута</t>
  </si>
  <si>
    <t>Домаћа маст</t>
  </si>
  <si>
    <t>Лигња штапићи</t>
  </si>
  <si>
    <t>Рибље пљескавице</t>
  </si>
  <si>
    <t>Коре за гибаницу</t>
  </si>
  <si>
    <t>Хељдине коре</t>
  </si>
  <si>
    <t>Штрудла са орасима</t>
  </si>
  <si>
    <t>Чупавци</t>
  </si>
  <si>
    <t>Принцес крофне</t>
  </si>
  <si>
    <t>Лења пита</t>
  </si>
  <si>
    <t>Вишње</t>
  </si>
  <si>
    <t>Мешано поврће за ђувеч</t>
  </si>
  <si>
    <t>Пасуљ тетовац</t>
  </si>
  <si>
    <t>Целер свежи</t>
  </si>
  <si>
    <t>Шаргарепа свежа</t>
  </si>
  <si>
    <t>Парадајз свежи</t>
  </si>
  <si>
    <t>Краставац свежи</t>
  </si>
  <si>
    <t>Купус свежи</t>
  </si>
  <si>
    <t>Зелен веза</t>
  </si>
  <si>
    <t>Паприка бабура свежа</t>
  </si>
  <si>
    <t>Кисела цвекла</t>
  </si>
  <si>
    <t>Кисела паприка</t>
  </si>
  <si>
    <t>Мандарине</t>
  </si>
  <si>
    <t>Парадајз пасирани</t>
  </si>
  <si>
    <t>Воћни сок</t>
  </si>
  <si>
    <t>Сунцокретово уље</t>
  </si>
  <si>
    <t>Млеко чоколадно 1,5% мм</t>
  </si>
  <si>
    <t>Чај воћни</t>
  </si>
  <si>
    <t>Чај од хибискуса</t>
  </si>
  <si>
    <t>Зачинско поврће</t>
  </si>
  <si>
    <t>Шећер</t>
  </si>
  <si>
    <t>Пиринач, бели</t>
  </si>
  <si>
    <t>Пиринач, интегрални</t>
  </si>
  <si>
    <t>Какао прах</t>
  </si>
  <si>
    <t>Обланде</t>
  </si>
  <si>
    <t>Шлаг</t>
  </si>
  <si>
    <t>Свежи квасац</t>
  </si>
  <si>
    <t>Крем сир, намаз</t>
  </si>
  <si>
    <t>Мармелада од кајсије</t>
  </si>
  <si>
    <t>Сусам</t>
  </si>
  <si>
    <t>Кисела паприка, филети</t>
  </si>
  <si>
    <t>Бибер у зрну</t>
  </si>
  <si>
    <t>Мирођија, сушена</t>
  </si>
  <si>
    <t>Мирођија</t>
  </si>
  <si>
    <t>Мак млевени</t>
  </si>
  <si>
    <t>Кромпир, помфрит</t>
  </si>
  <si>
    <t>Микс црвеног воћа</t>
  </si>
  <si>
    <t>Спанаћ, свеж</t>
  </si>
  <si>
    <t>Броколи, свеж</t>
  </si>
  <si>
    <t>Корен першуна</t>
  </si>
  <si>
    <t>Лист першуна, свеж</t>
  </si>
  <si>
    <t>Першун, сушени</t>
  </si>
  <si>
    <t>Трапист сир</t>
  </si>
  <si>
    <t>Фета сир</t>
  </si>
  <si>
    <t>Млади кајмак</t>
  </si>
  <si>
    <t>Едамер сир</t>
  </si>
  <si>
    <t>Густин</t>
  </si>
  <si>
    <t>Ораси</t>
  </si>
  <si>
    <t>Мешано поврће за белу чорбу</t>
  </si>
  <si>
    <t>Крављи сир</t>
  </si>
  <si>
    <t>Туршија</t>
  </si>
  <si>
    <t>Млевени кекс</t>
  </si>
  <si>
    <t>Паприка шиља</t>
  </si>
  <si>
    <t>Суве шљиве</t>
  </si>
  <si>
    <t>Димљена плећка</t>
  </si>
  <si>
    <t>Желе</t>
  </si>
  <si>
    <t>Чај дивља трешња</t>
  </si>
  <si>
    <t>Чај шумско воће</t>
  </si>
  <si>
    <t>Леблебија печена</t>
  </si>
  <si>
    <t>Леблебија сирова</t>
  </si>
  <si>
    <t>Бундева</t>
  </si>
  <si>
    <t>Тиквице</t>
  </si>
  <si>
    <t>Маслине</t>
  </si>
  <si>
    <t>Јечам зрно</t>
  </si>
  <si>
    <t>Интегрално брашно</t>
  </si>
  <si>
    <t>Овсено брашно</t>
  </si>
  <si>
    <t>Лазање корице</t>
  </si>
  <si>
    <t>Неутрална павлака за кување</t>
  </si>
  <si>
    <t>Корн флекс</t>
  </si>
  <si>
    <t>Млевена плазма</t>
  </si>
  <si>
    <t>Џем јагода</t>
  </si>
  <si>
    <t>Мешано поврће</t>
  </si>
  <si>
    <t>Свињске димљене буткице</t>
  </si>
  <si>
    <t>Свињска димљена буткица</t>
  </si>
  <si>
    <t>USDA https://www.coolinarika.com/namirnica/slanina/</t>
  </si>
  <si>
    <t>https://www.tablicakalorija.com/meso/prsut-prsuta.html</t>
  </si>
  <si>
    <t>Свињски пршут</t>
  </si>
  <si>
    <t>Свињска маст</t>
  </si>
  <si>
    <t>Сардина конзервирана</t>
  </si>
  <si>
    <t>Лигње штапићи</t>
  </si>
  <si>
    <t>Туњевина</t>
  </si>
  <si>
    <t>Домаћи хлеб</t>
  </si>
  <si>
    <t>Коре за гибанице</t>
  </si>
  <si>
    <t>Хељдина кора</t>
  </si>
  <si>
    <t>https://www.keepitfit.rs/foods/1341/heljdina-palenta</t>
  </si>
  <si>
    <t>http://www.dergez.hr/pekara/proizvodi/cupavci-s-kokosom/</t>
  </si>
  <si>
    <t>https://www.oetker.rs/rs-sr/nasi-proizvodi/smese-za-kolace/princes-krofne</t>
  </si>
  <si>
    <t>https://www.keepitfit.rs/foods/1151/lenja-pita</t>
  </si>
  <si>
    <t>Пасуљ, тетовац</t>
  </si>
  <si>
    <t>Шаргарепа, свежа</t>
  </si>
  <si>
    <t>Краставац свеж</t>
  </si>
  <si>
    <t>Паприка бабура</t>
  </si>
  <si>
    <t>Кисели купус лист</t>
  </si>
  <si>
    <t>Кајсије</t>
  </si>
  <si>
    <t>Пасирани парадајз</t>
  </si>
  <si>
    <t>Млеко, 2,8% мм</t>
  </si>
  <si>
    <t>Млеко 2,8% мм</t>
  </si>
  <si>
    <t>Кисело млеко, 2,8% мм</t>
  </si>
  <si>
    <t>Кисело млеко 2,8% мм</t>
  </si>
  <si>
    <t>Павлака 20% мм</t>
  </si>
  <si>
    <t>Павлака, 20% мм</t>
  </si>
  <si>
    <t>Макароне</t>
  </si>
  <si>
    <t>Шпагете</t>
  </si>
  <si>
    <t>Фида резанци</t>
  </si>
  <si>
    <t>Алкохолно сирће</t>
  </si>
  <si>
    <t>Макарони</t>
  </si>
  <si>
    <t>Резанци чипкаст</t>
  </si>
  <si>
    <t>Резанци фида</t>
  </si>
  <si>
    <t>Кечап, Аро</t>
  </si>
  <si>
    <t>Црвена млевена паприка</t>
  </si>
  <si>
    <t>Бели лук у гранулама</t>
  </si>
  <si>
    <t>http://dijeta.in/kalorije/225/Začini-beli-luk-u-prahu</t>
  </si>
  <si>
    <t>Пиринач, бело зрно, сирово</t>
  </si>
  <si>
    <t>Пиринач, интегрална, сирова</t>
  </si>
  <si>
    <t>Пиринач, бели, сирово</t>
  </si>
  <si>
    <t>Пиринач бели</t>
  </si>
  <si>
    <t>Пиринач интегрални</t>
  </si>
  <si>
    <t>http://mara-sombor.com/sr/proizvodi/oblatne/</t>
  </si>
  <si>
    <t>http://dijeta.in/kalorije/53/Slag-umucen-slag-preliv</t>
  </si>
  <si>
    <t>Стони маргарин</t>
  </si>
  <si>
    <t>Крем сир намаз</t>
  </si>
  <si>
    <t>Свеж квасац</t>
  </si>
  <si>
    <t>Маслац</t>
  </si>
  <si>
    <t>Мармелада, мешано воће</t>
  </si>
  <si>
    <t>Мармелада мешана воћа</t>
  </si>
  <si>
    <t>Мармелада, мешана воћа</t>
  </si>
  <si>
    <t>Мармелада мешано воће</t>
  </si>
  <si>
    <t>Кекс Ноблице</t>
  </si>
  <si>
    <t>Кекс, Златни Пек</t>
  </si>
  <si>
    <t>Кекс, Велнес интегрални кекс са црном чоколадом</t>
  </si>
  <si>
    <t>Кекс Златни Пек</t>
  </si>
  <si>
    <t>Златни Пек</t>
  </si>
  <si>
    <t>Сусам семе</t>
  </si>
  <si>
    <t>Кисела паприка филети</t>
  </si>
  <si>
    <t>Мирођија сушена</t>
  </si>
  <si>
    <t>Мирођија свежа</t>
  </si>
  <si>
    <t>Кромпир помфрит</t>
  </si>
  <si>
    <t>Спанаћ свеж</t>
  </si>
  <si>
    <t>Спанаћ, смрзнути</t>
  </si>
  <si>
    <t>Броколи свеж</t>
  </si>
  <si>
    <t>Лист першуна свеж</t>
  </si>
  <si>
    <t>Першун сушени</t>
  </si>
  <si>
    <t>Сир фета</t>
  </si>
  <si>
    <t>Парадајз сок</t>
  </si>
  <si>
    <t>Мајонез лајт</t>
  </si>
  <si>
    <t>Кекс млевени</t>
  </si>
  <si>
    <t>Кекс, млевени</t>
  </si>
  <si>
    <t>Сува шљива</t>
  </si>
  <si>
    <t>Путер</t>
  </si>
  <si>
    <t>Леблебија, печена</t>
  </si>
  <si>
    <t>Леблебија, сирова</t>
  </si>
  <si>
    <t>Тиква</t>
  </si>
  <si>
    <t>Маслина</t>
  </si>
  <si>
    <t>Овсене пахуљице</t>
  </si>
  <si>
    <t>Интегрална кифла</t>
  </si>
  <si>
    <t>Брашно интегрално</t>
  </si>
  <si>
    <t>Брашно, интегрално</t>
  </si>
  <si>
    <t>Брашно, бело</t>
  </si>
  <si>
    <t>https://www.tablicakalorija.com/zitarice/ovsene-pahuljice.html</t>
  </si>
  <si>
    <t>https://www.coolinarika.com/namirnica/jecam/nutritivna-tablica/</t>
  </si>
  <si>
    <t>Јечам</t>
  </si>
  <si>
    <t>Јечам брашно</t>
  </si>
  <si>
    <t>https://www.oetker.rs/rs-sr/nasi-proizvodi/dodaci-za-kolace/gustin</t>
  </si>
  <si>
    <t>Krompir beli</t>
  </si>
  <si>
    <t>Кромпир бели</t>
  </si>
  <si>
    <t>Кромпир црвени</t>
  </si>
  <si>
    <t>Кромпир, бели</t>
  </si>
  <si>
    <t>Кромпир, црвени</t>
  </si>
  <si>
    <t>Кекс слани</t>
  </si>
  <si>
    <t>https://www.tablicakalorija.com/povrce/leblebija.html</t>
  </si>
  <si>
    <t>Семенке мака</t>
  </si>
  <si>
    <t>Kupus, beli, glavica</t>
  </si>
  <si>
    <t xml:space="preserve">Nedeljna </t>
  </si>
  <si>
    <t>jedinice</t>
  </si>
  <si>
    <t>Coco pops</t>
  </si>
  <si>
    <t>Бухтла са пекмезом</t>
  </si>
  <si>
    <t>https://www.ideaonline.me/#!/products/60001718/keks-cajni-kolutici-800g-soko-stark</t>
  </si>
  <si>
    <t>Цоцо попс</t>
  </si>
  <si>
    <t>https://www.kras.rs/rs/proizvodi/cokolade-i-bombonijere/dorina/dorina-riza</t>
  </si>
  <si>
    <t>https://www.idea.rs/online/#!/products/60000988/pionir-choco-o-clock-zitarice-sa-ukusom-cokolade-200g</t>
  </si>
  <si>
    <t>Чоколадни намаз</t>
  </si>
  <si>
    <t>Еурокрем блок</t>
  </si>
  <si>
    <t>Интегрални кекс</t>
  </si>
  <si>
    <t>Јабука, Грани Смит</t>
  </si>
  <si>
    <t>https://www.podravka.hr/proizvod/mijesana-salata/</t>
  </si>
  <si>
    <t>Fun and Fit Musli klasik</t>
  </si>
  <si>
    <t>Fun and Fit Corn flakes</t>
  </si>
  <si>
    <t xml:space="preserve"> +Plazma mlevena</t>
  </si>
  <si>
    <t xml:space="preserve"> +Choco bites</t>
  </si>
  <si>
    <t>https://www.swisslion-takovo.com/proizvod/kroasan-eurocrem-500g/</t>
  </si>
  <si>
    <t>https://www.tablicakalorija.com/zitarice/kokice.html</t>
  </si>
  <si>
    <t>1 IU is the biological equivalent of 0.3 mcg retinol</t>
  </si>
  <si>
    <t>https://nutritiondata.self.com/facts/cereal-grains-and-pasta/5687/2</t>
  </si>
  <si>
    <t>USDA</t>
  </si>
  <si>
    <t xml:space="preserve"> +Tomatino</t>
  </si>
  <si>
    <t>Мармелада од шипурка</t>
  </si>
  <si>
    <t>Паштета са туњевином</t>
  </si>
  <si>
    <t>https://www.podravka.hr/proizvod/pekmez-od-sljiva/</t>
  </si>
  <si>
    <t>https://fdc.nal.usda.gov/fdc-app.html#/food-details/170930/nutrients</t>
  </si>
  <si>
    <t>Povrće za čorbu</t>
  </si>
  <si>
    <t>Пшеница крупица, гриз</t>
  </si>
  <si>
    <t>https://fdc.nal.usda.gov/fdc-app.html#/food-details/577439/nutrients</t>
  </si>
  <si>
    <t>http://mlekaraleskovac.rs/proizvod/kackavalj-krstas-0450/</t>
  </si>
  <si>
    <t>Сир, трапист, качкаваљ</t>
  </si>
  <si>
    <t>https://www.idea.rs/online/#!/products/60002627/mlekara-subotica-kremsi-sirni-namaz-70-mm-100g</t>
  </si>
  <si>
    <t>Сланина (сува, сушена)</t>
  </si>
  <si>
    <t>Сланина барена</t>
  </si>
  <si>
    <t>https://www.maxi.rs/online/Mleko-mlechni-proizvodi-i-jaja/Sir/Proizvodi-na-meru/Tvrdi-polutvrdi-sirevi/Sir-Kopaonicki-Lazar-35-mm/p/7179071</t>
  </si>
  <si>
    <t>http://www.select.rs/uploads/products/nadev_sumskovoce.jpg</t>
  </si>
  <si>
    <t>Parsnip+carrot</t>
  </si>
  <si>
    <t>https://www.keepitfit.rs/foods/747/zemicka</t>
  </si>
  <si>
    <t>https://www.keepitfit.rs/foods/1292/integralna-kifla</t>
  </si>
  <si>
    <t>Млеко 3,2% мм</t>
  </si>
  <si>
    <t>Млеко, 3,2% мм</t>
  </si>
  <si>
    <t>Млеко, кравље 3,2% мм</t>
  </si>
  <si>
    <t>Смрзнути кромпир</t>
  </si>
  <si>
    <t>Парадајз</t>
  </si>
  <si>
    <t>Свињска плећка</t>
  </si>
  <si>
    <t>Јунећи врат</t>
  </si>
  <si>
    <t>Пилећи филе, бело месо</t>
  </si>
  <si>
    <t>Ослић филет</t>
  </si>
  <si>
    <t>Мармелада шипак</t>
  </si>
  <si>
    <t>Кекс петит бер</t>
  </si>
  <si>
    <t>Димљена месната сланина</t>
  </si>
  <si>
    <t>Пилеће виршле</t>
  </si>
  <si>
    <t>Сува шпиц ребра</t>
  </si>
  <si>
    <t>Качкаваљ сир са 45 % мм</t>
  </si>
  <si>
    <t>Кисела павлака са 20% мм</t>
  </si>
  <si>
    <t>Јаја кокошија</t>
  </si>
  <si>
    <t>Фида танка са јајима</t>
  </si>
  <si>
    <t>Фида са јајима</t>
  </si>
  <si>
    <t>Макароне са јајима</t>
  </si>
  <si>
    <t>Чипкасти резанци</t>
  </si>
  <si>
    <t>Кокосово брашно</t>
  </si>
  <si>
    <t>Брашно пшенично</t>
  </si>
  <si>
    <t>Брашно бело</t>
  </si>
  <si>
    <t>Брашно, пшенично</t>
  </si>
  <si>
    <t>Паризер</t>
  </si>
  <si>
    <t>Сомуни</t>
  </si>
  <si>
    <t>Сомун</t>
  </si>
  <si>
    <t>Кифле беле</t>
  </si>
  <si>
    <t>Кифла бела</t>
  </si>
  <si>
    <t>Паприка</t>
  </si>
  <si>
    <t>Пасуљ градиштанац</t>
  </si>
  <si>
    <t>Чајеви воћни разни</t>
  </si>
  <si>
    <t>Зачин</t>
  </si>
  <si>
    <t>Паприка слатка, млевена, црвена</t>
  </si>
  <si>
    <t>Бибер млевени</t>
  </si>
  <si>
    <t>Бибер, млевени</t>
  </si>
  <si>
    <t>Нана као зачинско биље</t>
  </si>
  <si>
    <t>Смрзнуто лиснато тесто</t>
  </si>
  <si>
    <t>Смрзнуто жу-жу</t>
  </si>
  <si>
    <t>Смрзнуто кифла бела</t>
  </si>
  <si>
    <t>Смрзнуто мини кроасан</t>
  </si>
  <si>
    <t>Смрзнуто кроасан са сиром</t>
  </si>
  <si>
    <t xml:space="preserve">Смрзнуто кроасан са еурокремом  </t>
  </si>
  <si>
    <t xml:space="preserve">Смрзнуто ролована виршла </t>
  </si>
  <si>
    <t>Смрзнуто паштета са сиром</t>
  </si>
  <si>
    <t>Смрзнуто погачица</t>
  </si>
  <si>
    <t>Смрзнуто ролница вишња</t>
  </si>
  <si>
    <t>Смрзнуто пуж сир</t>
  </si>
  <si>
    <t>Смрзнуто пуж мак</t>
  </si>
  <si>
    <t>Сируп поморанџа, лимун</t>
  </si>
  <si>
    <t>Јабуково сирће</t>
  </si>
  <si>
    <t>Џем кајсија</t>
  </si>
  <si>
    <t>Сируп поморанџа</t>
  </si>
  <si>
    <t>Сува свињска ребра</t>
  </si>
  <si>
    <t>Јунећа печеница сува</t>
  </si>
  <si>
    <t>Маргарин</t>
  </si>
  <si>
    <t>Хлеб полубели</t>
  </si>
  <si>
    <t>Карфиол, смрзнути</t>
  </si>
  <si>
    <t>Кукуруз, смрзнути</t>
  </si>
  <si>
    <t>Минут пире</t>
  </si>
  <si>
    <t>Кисео купус листови</t>
  </si>
  <si>
    <t>Орах ољуштени</t>
  </si>
  <si>
    <t>Интегрални пиринач</t>
  </si>
  <si>
    <t>Riba_prerađena_konzervirana</t>
  </si>
  <si>
    <t>Краставац, кисели</t>
  </si>
  <si>
    <t>Tipična količina ostataka hrane (g)</t>
  </si>
  <si>
    <t>Cena namirnice/ detetu (din)</t>
  </si>
  <si>
    <t>Trošak ostataka hrane/  detetu (din)</t>
  </si>
  <si>
    <t>CO2-ekviv emisije proizvodnje hrane (g)</t>
  </si>
  <si>
    <t>Voće_orasi_sušeno_voće</t>
  </si>
  <si>
    <t>Zaslađena_pića_čajevi_kafa</t>
  </si>
  <si>
    <t>Namirnica</t>
  </si>
  <si>
    <t>Partija</t>
  </si>
  <si>
    <t>Вегета</t>
  </si>
  <si>
    <t>Rank</t>
  </si>
  <si>
    <t>rank</t>
  </si>
  <si>
    <t>Correct</t>
  </si>
  <si>
    <t>Jedinica</t>
  </si>
  <si>
    <t>mera</t>
  </si>
  <si>
    <t>Dobavljač</t>
  </si>
  <si>
    <t>Sedmica 2</t>
  </si>
  <si>
    <t>EuroFIR and other ingredients</t>
  </si>
  <si>
    <t>Category</t>
  </si>
  <si>
    <t>Vegetable</t>
  </si>
  <si>
    <t>Fruit</t>
  </si>
  <si>
    <t>Dairy</t>
  </si>
  <si>
    <t>Egg</t>
  </si>
  <si>
    <t>Meat</t>
  </si>
  <si>
    <t>Fats/oils</t>
  </si>
  <si>
    <t>Sweet foods</t>
  </si>
  <si>
    <t>Cereals</t>
  </si>
  <si>
    <t>Sauces, additives</t>
  </si>
  <si>
    <t>Spices</t>
  </si>
  <si>
    <t>Drinks</t>
  </si>
  <si>
    <t>Ready-foods</t>
  </si>
  <si>
    <t>Chard, cooked</t>
  </si>
  <si>
    <t>Broccoli, cooked</t>
  </si>
  <si>
    <t>Pumpkin (pumpkin) pulp, boiled, drained, salted</t>
  </si>
  <si>
    <t>Cauliflower, boiled, boiled, drained, no salt</t>
  </si>
  <si>
    <t>Mashed potatoes)</t>
  </si>
  <si>
    <t>French fries</t>
  </si>
  <si>
    <t>Beetroot pepper (cooked)</t>
  </si>
  <si>
    <t>Peppers red roasted</t>
  </si>
  <si>
    <t>Pepper pasteurized fillets</t>
  </si>
  <si>
    <t>Pepper yellow, sweet</t>
  </si>
  <si>
    <t>Eggplant</t>
  </si>
  <si>
    <t>Radish red</t>
  </si>
  <si>
    <t>Pumpkin, green</t>
  </si>
  <si>
    <t>Cabbage</t>
  </si>
  <si>
    <t>Pineapple</t>
  </si>
  <si>
    <t>Almond (dry, fried, salt free)</t>
  </si>
  <si>
    <t>Raw banana [EuroFir]</t>
  </si>
  <si>
    <t>Peach</t>
  </si>
  <si>
    <t>Melon</t>
  </si>
  <si>
    <t>Grapefruit</t>
  </si>
  <si>
    <t>Apricot</t>
  </si>
  <si>
    <t>Peanuts, dry-baked, salt-free</t>
  </si>
  <si>
    <t>Blackberries</t>
  </si>
  <si>
    <t>Hazelnut</t>
  </si>
  <si>
    <t>Lemon</t>
  </si>
  <si>
    <t>Lemon, peeled</t>
  </si>
  <si>
    <t>Watermelon</t>
  </si>
  <si>
    <t>Raspberries</t>
  </si>
  <si>
    <t>Tangerine Tangerines [EuroFir]</t>
  </si>
  <si>
    <t>Olive pasteurized</t>
  </si>
  <si>
    <t>Nutmeg</t>
  </si>
  <si>
    <t>Orange</t>
  </si>
  <si>
    <t>Nectarine</t>
  </si>
  <si>
    <t>Walnuts</t>
  </si>
  <si>
    <t>Plum</t>
  </si>
  <si>
    <t>Fig</t>
  </si>
  <si>
    <t>Forest fruit, frozen</t>
  </si>
  <si>
    <t>Raisins</t>
  </si>
  <si>
    <t>Cherry</t>
  </si>
  <si>
    <t>ENGLISH</t>
  </si>
  <si>
    <t>Leak</t>
  </si>
  <si>
    <t>Gold blend of vegetables</t>
  </si>
  <si>
    <t>Quince</t>
  </si>
  <si>
    <t>Chocolate milk 1% mm</t>
  </si>
  <si>
    <t>Chocolate milk, whole milk</t>
  </si>
  <si>
    <t>Yogurt 3.2% mm</t>
  </si>
  <si>
    <t>Fruit Yogurt, Imlek Jogood</t>
  </si>
  <si>
    <t>Fruit yogurt, low in fat</t>
  </si>
  <si>
    <t>ABC Fresh Cream Cheese, Spread, Belje</t>
  </si>
  <si>
    <t>Miller 22% mm</t>
  </si>
  <si>
    <t>Whole milk powder</t>
  </si>
  <si>
    <t>Parmesan</t>
  </si>
  <si>
    <t>Sour cream for cooking</t>
  </si>
  <si>
    <t>Cheese pizza (pizza) Milkop 45% mm</t>
  </si>
  <si>
    <t>Cheese, small</t>
  </si>
  <si>
    <t>Cheese, Swiss (small)</t>
  </si>
  <si>
    <t>Cheese, toast melts (Pearl)</t>
  </si>
  <si>
    <t>Cheese, Trappist, (cheese)</t>
  </si>
  <si>
    <t>Cheese, hard, fish, Sirela</t>
  </si>
  <si>
    <t>Cheese spread Pearl triangle 35% mm</t>
  </si>
  <si>
    <t>Cream</t>
  </si>
  <si>
    <t>https://www.maxi.rs/online/Mleko-mlechni-produvodi-i-jaja/Sir/Products-on-merge/True-South-SeaReves/Sir-Kopaonicki-Lazar-35-mm/p/7179071</t>
  </si>
  <si>
    <t>Smoked chicken</t>
  </si>
  <si>
    <t>Pork liver</t>
  </si>
  <si>
    <t>Liver pate (average)</t>
  </si>
  <si>
    <t>Fat beef</t>
  </si>
  <si>
    <t>Beef, dried (dried)</t>
  </si>
  <si>
    <t>Sausage Carniola</t>
  </si>
  <si>
    <t>Sausage kulen</t>
  </si>
  <si>
    <t>Tea sausage</t>
  </si>
  <si>
    <t>Grilled sausage</t>
  </si>
  <si>
    <t>Sausage sausage</t>
  </si>
  <si>
    <t>Sausage Serbian</t>
  </si>
  <si>
    <t>Smoked pork sausages</t>
  </si>
  <si>
    <t>Pork sausages (dried, dried)</t>
  </si>
  <si>
    <t>Winter sausage</t>
  </si>
  <si>
    <t>Chicken liver</t>
  </si>
  <si>
    <t>Chicken pate (Podravka)</t>
  </si>
  <si>
    <t>Chicken breast in a wrap</t>
  </si>
  <si>
    <t>Chicken steamer (Poly)</t>
  </si>
  <si>
    <t>Salami, chicken, turkey</t>
  </si>
  <si>
    <t>Pork Cured Bacon Raw [EuroFir]</t>
  </si>
  <si>
    <t>Pork bacon (Hambushka)</t>
  </si>
  <si>
    <t>Ham without grease</t>
  </si>
  <si>
    <t>Smoked ham cooked</t>
  </si>
  <si>
    <t>Smoked ham smoked</t>
  </si>
  <si>
    <t>Ham Parizer (Gavrilovic)</t>
  </si>
  <si>
    <t>Pizza Ham (Podravka)</t>
  </si>
  <si>
    <t>Pork lean meat average values ​​[EuroFir]</t>
  </si>
  <si>
    <t>Toast sliced</t>
  </si>
  <si>
    <t>Sausage hot dog chicken [EuroFir]</t>
  </si>
  <si>
    <t>Fishburger Breaded (Frikom)</t>
  </si>
  <si>
    <t>Hake fillets</t>
  </si>
  <si>
    <t>Hake fillets (Frikom)</t>
  </si>
  <si>
    <t>Squid breaded (chopsticks) Frikom</t>
  </si>
  <si>
    <t>Argeta tuna pate</t>
  </si>
  <si>
    <t>Tuna pate</t>
  </si>
  <si>
    <t>Fish pate</t>
  </si>
  <si>
    <t>Fish Sticks (Frikom)</t>
  </si>
  <si>
    <t>Canned sardines, (fish only)</t>
  </si>
  <si>
    <t>Canned sardines (in oil)</t>
  </si>
  <si>
    <t>Mackerel, fillets with skin in vegetable oil, preserved</t>
  </si>
  <si>
    <t>Catfish</t>
  </si>
  <si>
    <t>Tuna, tuna, canned in oil, drained</t>
  </si>
  <si>
    <t>Tuna, tuna, preserved, in brine</t>
  </si>
  <si>
    <t>Full cream, young cows</t>
  </si>
  <si>
    <t>Cheese Edamer, 30% mm</t>
  </si>
  <si>
    <t>Cheese Gouda, 48% mm</t>
  </si>
  <si>
    <t>Egg white, hens</t>
  </si>
  <si>
    <t>Fried fats</t>
  </si>
  <si>
    <t>Sausage smoked (meat dry, dried)</t>
  </si>
  <si>
    <t>Sausage delicacies in Carnex wrapper</t>
  </si>
  <si>
    <t>Bones of beef (neck) boiled</t>
  </si>
  <si>
    <t>Salami Alpine</t>
  </si>
  <si>
    <t>Salami parizer</t>
  </si>
  <si>
    <t>Ham pressed in a tube (Carnex)</t>
  </si>
  <si>
    <t>Virsla (beef + pork) hot dog</t>
  </si>
  <si>
    <t>Virsle (pork) hot dog</t>
  </si>
  <si>
    <t>Margarines [EuroFir]</t>
  </si>
  <si>
    <t>Margarine Milk Good Morning (Usually)</t>
  </si>
  <si>
    <t>Margarine [EuroFir] + Diamond</t>
  </si>
  <si>
    <t>Olive oil</t>
  </si>
  <si>
    <t>Milk chocolate</t>
  </si>
  <si>
    <t>https://www.kras.rs/en/products/cokolade-i-bombonijere/dorina/dorina-riza</t>
  </si>
  <si>
    <t>Chocolate bar, chocolate banana, Stark</t>
  </si>
  <si>
    <t>Chocolate spread - Nutella [EuroFir]</t>
  </si>
  <si>
    <t>Strawberry jam</t>
  </si>
  <si>
    <t>Eurocream block (Swisslion)</t>
  </si>
  <si>
    <t>Chocolate bar</t>
  </si>
  <si>
    <t>Jaffa cakes orange classic, Red</t>
  </si>
  <si>
    <t>Caramel Hazelnut Pioneer</t>
  </si>
  <si>
    <t>Elvita integral biscuit</t>
  </si>
  <si>
    <t>Noblice biscuit (Banini)</t>
  </si>
  <si>
    <t>Biscuits, Plasma, Bambi</t>
  </si>
  <si>
    <t>Biscuit, Black chocolate wellness integral biscuit, Bambi</t>
  </si>
  <si>
    <t>Golden Pek biscuit</t>
  </si>
  <si>
    <t>Kit Kat milk chocolate</t>
  </si>
  <si>
    <t>Pineapple compote</t>
  </si>
  <si>
    <t>Peach compote</t>
  </si>
  <si>
    <t>Pear compote</t>
  </si>
  <si>
    <t>https://www.swisslion-takovo.com/product/kroasan-eurocrem-500g/</t>
  </si>
  <si>
    <t>Apricot marmalade (Maxi)</t>
  </si>
  <si>
    <t>Napolitke average</t>
  </si>
  <si>
    <t>Nestle</t>
  </si>
  <si>
    <t>http://mara-sombor.com/en/products/oblatne/</t>
  </si>
  <si>
    <t>https://www.oetker.rs/rs-sr/nasi-products/smese-for-kolace/princes- donuts</t>
  </si>
  <si>
    <t>Vanilla pudding C</t>
  </si>
  <si>
    <t>Pudding powder different flavor [EuroFir]</t>
  </si>
  <si>
    <t>Ice cream</t>
  </si>
  <si>
    <t>Cereal, cooked (with nuts and whipped cream), dessert</t>
  </si>
  <si>
    <t>Bonjita (cereal mix)</t>
  </si>
  <si>
    <t>Pork burek</t>
  </si>
  <si>
    <t>Chicken burek</t>
  </si>
  <si>
    <t>Burek with cheese</t>
  </si>
  <si>
    <t>Danish pastry (sweet)</t>
  </si>
  <si>
    <t>Butter, white flour, Mulino Bianco</t>
  </si>
  <si>
    <t>Bread, half-baked calculated</t>
  </si>
  <si>
    <t>Integral stick</t>
  </si>
  <si>
    <t>Jaffa salty biscuit</t>
  </si>
  <si>
    <t>Wheat flour bun</t>
  </si>
  <si>
    <t>Cocktail pastry</t>
  </si>
  <si>
    <t>Pie crusts</t>
  </si>
  <si>
    <t>Pie crust, integral, fresh</t>
  </si>
  <si>
    <t>https://www.tablicakalorija.com/surfaces/leblebija.html</t>
  </si>
  <si>
    <t>Bun</t>
  </si>
  <si>
    <t>Puff pastry, frozen</t>
  </si>
  <si>
    <t>Fun and Fit Musli classic</t>
  </si>
  <si>
    <t>https://www.tablicakalorija.com/zitarice/ovsene-publjice.html</t>
  </si>
  <si>
    <t>Pate with cheese</t>
  </si>
  <si>
    <t>Pastry (white flour)</t>
  </si>
  <si>
    <t>Rice, rice, integral, brown, cooked</t>
  </si>
  <si>
    <t>Rice, rice, integral, brown, raw</t>
  </si>
  <si>
    <t>Cherry pie</t>
  </si>
  <si>
    <t>Pie with cherries and apples</t>
  </si>
  <si>
    <t>Cakes with seeds</t>
  </si>
  <si>
    <t>Wheat grains (soft varieties)</t>
  </si>
  <si>
    <t>Wheat flour (whole grain)</t>
  </si>
  <si>
    <t>Wheat flour half white</t>
  </si>
  <si>
    <t>Cheese roll</t>
  </si>
  <si>
    <t>Cherry roll</t>
  </si>
  <si>
    <t>Hot dog</t>
  </si>
  <si>
    <t>Cream roll</t>
  </si>
  <si>
    <t>Soya flour (fat extracted.)</t>
  </si>
  <si>
    <t>Sesame seeds (Bash Bash)</t>
  </si>
  <si>
    <t>Pasta without eggs</t>
  </si>
  <si>
    <t>Pasta fusili (Danubius)</t>
  </si>
  <si>
    <t>Cereal (frozen) Maxi-Premia 5% walnuts</t>
  </si>
  <si>
    <t>Juju (puff pastry)</t>
  </si>
  <si>
    <t>Granny's Jam rosehip Secret + EuroFir</t>
  </si>
  <si>
    <t>Burek (pie) with potatoes</t>
  </si>
  <si>
    <t>Dry pastry stick</t>
  </si>
  <si>
    <t>Roll integral</t>
  </si>
  <si>
    <t>Bun with seeds</t>
  </si>
  <si>
    <t>Criossant</t>
  </si>
  <si>
    <t>Pereca (roll)</t>
  </si>
  <si>
    <t>Pizza base (Fricom)</t>
  </si>
  <si>
    <t>Danubius pastry</t>
  </si>
  <si>
    <t>https://www.oetker.rs/en-US/nasi-products/additional-school/gustin</t>
  </si>
  <si>
    <t>Ketchup, Aro (Metro)</t>
  </si>
  <si>
    <t>Ketchup, Heinz</t>
  </si>
  <si>
    <t>Ketchup, Diamond</t>
  </si>
  <si>
    <t>Ketchup, Polymark</t>
  </si>
  <si>
    <t>Yeast (fresh)</t>
  </si>
  <si>
    <t>Mayonnaise light</t>
  </si>
  <si>
    <t>Mayonnaise, plain</t>
  </si>
  <si>
    <t>Mayonnaise, Polymark</t>
  </si>
  <si>
    <t>Tomato Puree [EuroFir]</t>
  </si>
  <si>
    <t>Cayenne pepper</t>
  </si>
  <si>
    <t>http://dijeta.in/kalorije/225/Spice-White-luck-in-spray</t>
  </si>
  <si>
    <t>Basil leaf, dried (dried)</t>
  </si>
  <si>
    <t>Cinnamon</t>
  </si>
  <si>
    <t>Red powder pepper [EuroFir]</t>
  </si>
  <si>
    <t>Rosemary (dried, dried)</t>
  </si>
  <si>
    <t>Spice Mix Dry Vegetables - Vegeta [EuroFir]</t>
  </si>
  <si>
    <t>Seasoning Spice C [EuroFir]</t>
  </si>
  <si>
    <t>Coca Cola</t>
  </si>
  <si>
    <t>Cocoa instant</t>
  </si>
  <si>
    <t>Lemon juice 100%, strained</t>
  </si>
  <si>
    <t>Lemonade, made with water</t>
  </si>
  <si>
    <t>Nescafe classic, original, granular</t>
  </si>
  <si>
    <t>Apple syrup</t>
  </si>
  <si>
    <t>Raspberry syrup</t>
  </si>
  <si>
    <t>Currant syrup (currant)</t>
  </si>
  <si>
    <t>Cherry syrup</t>
  </si>
  <si>
    <t>Grape juice</t>
  </si>
  <si>
    <t>Apple juice</t>
  </si>
  <si>
    <t>Grilled kabobs (grill)</t>
  </si>
  <si>
    <t>Beef (beef) cube</t>
  </si>
  <si>
    <t>Ham buns</t>
  </si>
  <si>
    <t>Chicken cube</t>
  </si>
  <si>
    <t>Croissant with ham</t>
  </si>
  <si>
    <t>Pizza (mini pizza)</t>
  </si>
  <si>
    <t>Pizza with sausage</t>
  </si>
  <si>
    <t>Pizza with cheese</t>
  </si>
  <si>
    <t>Pizza with cheese, meat and vegetables</t>
  </si>
  <si>
    <t>Cheese slug</t>
  </si>
  <si>
    <t>Sarma cooked</t>
  </si>
  <si>
    <t>Sutlijas (Sutlias, Rice Pudding)</t>
  </si>
  <si>
    <t>Strudel with poppy seeds</t>
  </si>
  <si>
    <t>Ajvar, mild / spicy</t>
  </si>
  <si>
    <t>Horseradish sauce</t>
  </si>
  <si>
    <t>Dill leaf, dried (dried)</t>
  </si>
  <si>
    <t>Dill leaf, fresh</t>
  </si>
  <si>
    <t>Tea prepared (based on 200 ml)</t>
  </si>
  <si>
    <t>Blueberry syrup (squash)</t>
  </si>
  <si>
    <t>Roll with jam (Podravka)</t>
  </si>
  <si>
    <t>Bun with pork crackling</t>
  </si>
  <si>
    <t>Сир качкаваљ 45% мм</t>
  </si>
  <si>
    <t>Јогурт Грчки</t>
  </si>
  <si>
    <t>https://www.maxi.rs/online/Mleko-mlechni-proizvodi-i-jaja/Kiselo-mlechni-proizvodi/Grchki-jogurt/Grcki-jogurt-Dukatos-Dukat-400g/p/7203102</t>
  </si>
  <si>
    <t>Млеко, чоколадно</t>
  </si>
  <si>
    <t>Млеко чоколадно</t>
  </si>
  <si>
    <t>Купус кисели</t>
  </si>
  <si>
    <t>Чери парадајз</t>
  </si>
  <si>
    <t>Першун лист, сушени</t>
  </si>
  <si>
    <t>Маслиново уље</t>
  </si>
  <si>
    <t>Бибер</t>
  </si>
  <si>
    <t>Црвена паприка, сушена</t>
  </si>
  <si>
    <t>Паприка црвена, сушена</t>
  </si>
  <si>
    <t>Паприка, црвена, сушена</t>
  </si>
  <si>
    <t>Босиљак, сушени</t>
  </si>
  <si>
    <t>Оригано, сушени</t>
  </si>
  <si>
    <t>Мирођија, млевена</t>
  </si>
  <si>
    <t>Мајонез са јајима</t>
  </si>
  <si>
    <t>Паштета од туњевина</t>
  </si>
  <si>
    <t>7 дејс кејк бар</t>
  </si>
  <si>
    <t>Чоколадно јаје</t>
  </si>
  <si>
    <t>Чоколадна крем табла</t>
  </si>
  <si>
    <t>Воћни сок од мултивитамин</t>
  </si>
  <si>
    <t>Воћни сок поморанџа</t>
  </si>
  <si>
    <t>Воћни сок од јабуке</t>
  </si>
  <si>
    <t>Сирови квасац</t>
  </si>
  <si>
    <t>Лимунтус</t>
  </si>
  <si>
    <t>Чоколада киндер</t>
  </si>
  <si>
    <t>Балзамико сирће</t>
  </si>
  <si>
    <t>Фиде са јајима</t>
  </si>
  <si>
    <t>Босиљак лист, сушени</t>
  </si>
  <si>
    <t>Оригано сушени</t>
  </si>
  <si>
    <t>Мирођија, сушена, млевена</t>
  </si>
  <si>
    <t>Фидe танкe са јајима</t>
  </si>
  <si>
    <t>Смрзнута шаргарепа</t>
  </si>
  <si>
    <t>Мешавина за ђувеч</t>
  </si>
  <si>
    <t>Панирани ослић</t>
  </si>
  <si>
    <t>Кукуруз шећерац</t>
  </si>
  <si>
    <t>Šargarepa smrznuta</t>
  </si>
  <si>
    <t>Кукуруз, шећерац</t>
  </si>
  <si>
    <t>Поврће Беби микс</t>
  </si>
  <si>
    <t>Поврћа Беби микс</t>
  </si>
  <si>
    <t>Поврћа за чорбу</t>
  </si>
  <si>
    <t>Јунеће месо - бут</t>
  </si>
  <si>
    <t>Розбратна</t>
  </si>
  <si>
    <t>Свињско месо - плећка</t>
  </si>
  <si>
    <t>Свињски филе</t>
  </si>
  <si>
    <t>Пилеће месо – груди</t>
  </si>
  <si>
    <t>Пилеће месо – батак са карабатком</t>
  </si>
  <si>
    <t>Ћурећа прса</t>
  </si>
  <si>
    <t>Димљена свињска печеница</t>
  </si>
  <si>
    <t>Димљени свињски врат</t>
  </si>
  <si>
    <t>Говеђа пршута</t>
  </si>
  <si>
    <t>Пилећа прса</t>
  </si>
  <si>
    <t>Пилеће месо - груди</t>
  </si>
  <si>
    <t>Пилеће месо - батак са карабатком</t>
  </si>
  <si>
    <t>Димљена сува буткица</t>
  </si>
  <si>
    <t>https://www.eatthismuch.com/food/nutrition/aceto-balsamico-di-modena-igp,136729/</t>
  </si>
  <si>
    <t>https://everything2.com/title/Nutritional+Information+for+Citric+Acid</t>
  </si>
  <si>
    <t>citric acid</t>
  </si>
  <si>
    <t>Pasulj, gradištanac</t>
  </si>
  <si>
    <t>diluted</t>
  </si>
  <si>
    <t>From photo</t>
  </si>
  <si>
    <t>https://www.stajedem.rs/zlatiborac-govedja-prsuta-naresci-u-zastitnoj-atmosferi-100g</t>
  </si>
  <si>
    <t>563 IU</t>
  </si>
  <si>
    <t>D: 1 IU is the biological equivalent of 0.025 mcg</t>
  </si>
  <si>
    <t>Sedmica_1_unos_hrane</t>
  </si>
  <si>
    <t>Sedmica_1_grafici</t>
  </si>
  <si>
    <t>Sedmica_1_preporuke</t>
  </si>
  <si>
    <t>Sedmica 1 količina namirnica</t>
  </si>
  <si>
    <t>Sedmica_2_unos_hrane</t>
  </si>
  <si>
    <t>Sedmica_2_grafici</t>
  </si>
  <si>
    <t>Sedmica_2_preporuke</t>
  </si>
  <si>
    <t>Sedmica 2 količina namirnica</t>
  </si>
  <si>
    <t>Sedmica_2_uno_hrane</t>
  </si>
  <si>
    <t>Recommendations say no sweetened milk or dairy products, such as chocolate milk and sweetened fruit yogurts</t>
  </si>
  <si>
    <t>https://www.healthline.com/nutrition/9-foods-high-in-vitamin-d#section4</t>
  </si>
  <si>
    <t>https://nutritiondata.self.com/facts/finfish-and-shellfish-products/4036/2</t>
  </si>
  <si>
    <t>https://nutritiondata.self.com/facts/finfish-and-shellfish-products/4145/2</t>
  </si>
  <si>
    <t>https://nutritiondata.self.com/facts/finfish-and-shellfish-products/4149/2</t>
  </si>
  <si>
    <t>Total fresh and processed fruit/week (g)</t>
  </si>
  <si>
    <t>Količina minus Col P/ dete (g):</t>
  </si>
  <si>
    <t>Total eaten (g)/meal</t>
  </si>
  <si>
    <t>Given</t>
  </si>
  <si>
    <t>Eaten</t>
  </si>
  <si>
    <t>Missing</t>
  </si>
  <si>
    <t>Uzina-1</t>
  </si>
  <si>
    <t>Total items</t>
  </si>
  <si>
    <t>Mean total items</t>
  </si>
  <si>
    <t>Per meal</t>
  </si>
  <si>
    <t>Cene +</t>
  </si>
  <si>
    <t>PDV</t>
  </si>
  <si>
    <t xml:space="preserve">calories each day, they have </t>
  </si>
  <si>
    <t xml:space="preserve">carbohydrates, </t>
  </si>
  <si>
    <t>and sufficient</t>
  </si>
  <si>
    <t xml:space="preserve">sufficient </t>
  </si>
  <si>
    <t xml:space="preserve">protein, </t>
  </si>
  <si>
    <t xml:space="preserve">Overall, after subtracting plate waste, the menus for this </t>
  </si>
  <si>
    <t xml:space="preserve">week have </t>
  </si>
  <si>
    <t xml:space="preserve">day have </t>
  </si>
  <si>
    <t xml:space="preserve">calories for the day, they have </t>
  </si>
  <si>
    <t>Празна кифла</t>
  </si>
  <si>
    <t>Погачица са чварцима</t>
  </si>
  <si>
    <t>Сир трапист 45% мм</t>
  </si>
  <si>
    <t>Млевено месо, мешано</t>
  </si>
  <si>
    <t>Пилећа салама</t>
  </si>
  <si>
    <t>Суви свињски врат</t>
  </si>
  <si>
    <t>Сува сланина</t>
  </si>
  <si>
    <t>Пилећи батаци</t>
  </si>
  <si>
    <t>Смрзнути ослић</t>
  </si>
  <si>
    <t>Фефероне</t>
  </si>
  <si>
    <t>Пасуљ, Бели тетовац</t>
  </si>
  <si>
    <t>Смрзнути ђувеч</t>
  </si>
  <si>
    <t>Смрзнута буранија</t>
  </si>
  <si>
    <t>Краставци кисели</t>
  </si>
  <si>
    <t>Краставци свежи</t>
  </si>
  <si>
    <t>Свежа паприка</t>
  </si>
  <si>
    <t>Цвекла кисела</t>
  </si>
  <si>
    <t>Свеж спанаћ</t>
  </si>
  <si>
    <t>Шљиве</t>
  </si>
  <si>
    <t>Мешана зелен</t>
  </si>
  <si>
    <t>Зачин додатак јелима</t>
  </si>
  <si>
    <t>Зачин за шпагете</t>
  </si>
  <si>
    <t>Зачин за гулаш</t>
  </si>
  <si>
    <t>Уље јестиво</t>
  </si>
  <si>
    <t>Сируп сок</t>
  </si>
  <si>
    <t>Парадајиз кувани</t>
  </si>
  <si>
    <t>Резанци за супу</t>
  </si>
  <si>
    <t>Филтер чај</t>
  </si>
  <si>
    <t>Кеса парадајиз чорбе</t>
  </si>
  <si>
    <t>Мешана мармелада</t>
  </si>
  <si>
    <t>Сок</t>
  </si>
  <si>
    <t>Кеса пилеће чорбе</t>
  </si>
  <si>
    <t>Кеса јунеће чорбе</t>
  </si>
  <si>
    <t>Шпагете са јајима</t>
  </si>
  <si>
    <t>Прах шећер</t>
  </si>
  <si>
    <t>Сода бикарбона</t>
  </si>
  <si>
    <t>Сир, трапист 45% мм</t>
  </si>
  <si>
    <t>Млевено месо мешано</t>
  </si>
  <si>
    <t>Салама, пилећа</t>
  </si>
  <si>
    <t>Салама пилећа</t>
  </si>
  <si>
    <t>Роштиљ кобасице</t>
  </si>
  <si>
    <t>Пилећи батак</t>
  </si>
  <si>
    <t>Feferoni</t>
  </si>
  <si>
    <t>Пасуљ Бели тетовац</t>
  </si>
  <si>
    <t>Смрзнута боранија</t>
  </si>
  <si>
    <t>Мак</t>
  </si>
  <si>
    <t>Тарана тестенина</t>
  </si>
  <si>
    <t>Тарана</t>
  </si>
  <si>
    <t>Тестенина спирала</t>
  </si>
  <si>
    <t xml:space="preserve">Overall, after subtracting plate waste, the menus for this day have sufficient calories for the day, they have sufficient carbohydrates, sufficient protein, sufficient fat, and sufficient sadržaj vlakana po obroku. </t>
  </si>
  <si>
    <t>Overall, after subtracting plate waste, the menus for this week have insufficient calories each day, they have insufficient carbohydrates, sufficient protein, insufficient fat, but insufficient sadržaj vlakana po obroku.</t>
  </si>
  <si>
    <t xml:space="preserve">Foods rich in minerals or vitamins are shown below if daily quantities in school meals are below recommended quantities (red cells). </t>
  </si>
  <si>
    <t xml:space="preserve">Ako je dnevni unos nutrijenata u školskim obrocima manji od preporučenih količina (crvena polja), hrana bogata mineralima i vitaminima je prikazana ispod. </t>
  </si>
  <si>
    <t>Nakon što su odvojeni ostataci hrane. jelovnici za ovaj dan imaju dovoljno kalorija, ugljenih hidrata, proteina, masti i potreban sadržaj (ili dovoljnu količinu) vlakana po obroku.</t>
  </si>
  <si>
    <t xml:space="preserve">imaju dovoljno </t>
  </si>
  <si>
    <t xml:space="preserve">ovaj dan </t>
  </si>
  <si>
    <t>Nakon što su odvojeni ostataci hrane, jelovnici za ovu nedelju imaju dovoljno kalorija  svakog dana, imaju nedovoljno ugljenih hidrata, dovoljno proteina, nedovoljno masti, ali i nedovoljnu količinu vlakana po obroku.</t>
  </si>
  <si>
    <t xml:space="preserve">ovu nedelju </t>
  </si>
  <si>
    <t xml:space="preserve">kalorija, </t>
  </si>
  <si>
    <t xml:space="preserve">kalorija svakog dana, </t>
  </si>
  <si>
    <t xml:space="preserve">ugljenih hidrata, </t>
  </si>
  <si>
    <t xml:space="preserve">proteina, </t>
  </si>
  <si>
    <t xml:space="preserve">masti, </t>
  </si>
  <si>
    <t xml:space="preserve">imaju NEDOVOLJNO </t>
  </si>
  <si>
    <t xml:space="preserve">NEMAJU dovoljno </t>
  </si>
  <si>
    <t xml:space="preserve">ali i NEDOVOLJNO </t>
  </si>
  <si>
    <t>količinu vlakana po obroku.</t>
  </si>
  <si>
    <t xml:space="preserve">Nakon što su odvojeni ostaci hrane, jelovnici za </t>
  </si>
  <si>
    <t xml:space="preserve">i dovoljnu </t>
  </si>
  <si>
    <t xml:space="preserve">dovoljno </t>
  </si>
  <si>
    <t>IF(C9=0,"",CONCATENATE(Preporuke!C$86,IF(A9&gt;0,Preporuke!D$87,Preporuke!D$86),IF(A37=0,Preporuke!E$86,Preporuke!E$87),IF(A9&gt;0,Preporuke!F$87,Preporuke!F$86),IF(B37=0,Preporuke!G$86,Preporuke!G$87),Preporuke!H$86,IF(C37=0,(if(b37=1,Preporuke!I$85,Preporuke!I$86),Preporuke!I$87),Preporuke!J$86,IF(D37=0,Preporuke!K$86,Preporuke!K$87),Preporuke!L$86,IF(E37=0,Preporuke!M$86,Preporuke!M$87),Preporuke!N$86))</t>
  </si>
  <si>
    <t>Јогурт 0,9%мм мали</t>
  </si>
  <si>
    <t>Јогурт, 0,9%мм мали</t>
  </si>
  <si>
    <t>Јогурт, 0,9% мм мали</t>
  </si>
  <si>
    <t>Јогурт 0,9% мм мали</t>
  </si>
  <si>
    <t>Јогурт, 2,8% мм мали</t>
  </si>
  <si>
    <t>Јогурт, 2,8%мм мали</t>
  </si>
  <si>
    <t>Јогурт 2,8%мм мали</t>
  </si>
  <si>
    <t>Јогурт 2,8% мм мали</t>
  </si>
  <si>
    <t>Јогурт, 3,2% мм мали</t>
  </si>
  <si>
    <t>Јогурт, 3,2%мм мали</t>
  </si>
  <si>
    <t>Јогурт 3,2% мали</t>
  </si>
  <si>
    <t>Јогурт 3,2%мм мали</t>
  </si>
  <si>
    <t>Јогурт 3,2% мм мали</t>
  </si>
  <si>
    <t>Јогурт 0,9%мм велики</t>
  </si>
  <si>
    <t>Јогурт, 0,9%мм велики</t>
  </si>
  <si>
    <t>Јогурт, 0,9% мм велики</t>
  </si>
  <si>
    <t>Јогурт 0,9% мм велики</t>
  </si>
  <si>
    <t>Јогурт, 2,8% мм велики</t>
  </si>
  <si>
    <t>Јогурт, 2,8%мм велики</t>
  </si>
  <si>
    <t>Јогурт 2,8%мм велики</t>
  </si>
  <si>
    <t>Јогурт 2,8% мм велики</t>
  </si>
  <si>
    <t>Јогурт, 3,2% мм велики</t>
  </si>
  <si>
    <t>Јогурт, 3,2%мм велики</t>
  </si>
  <si>
    <t>Јогурт 3,2% велики</t>
  </si>
  <si>
    <t>Јогурт 3,2%мм велики</t>
  </si>
  <si>
    <t>Јогурт 3,2% мм велики</t>
  </si>
  <si>
    <t>Јогурт воћни</t>
  </si>
  <si>
    <t>Маргарин мали</t>
  </si>
  <si>
    <t>Маргарин велики</t>
  </si>
  <si>
    <t>Маргарин (биљна уља) мали</t>
  </si>
  <si>
    <t>Маргарин намазни млечни мали</t>
  </si>
  <si>
    <t>Маргарин млечни мали</t>
  </si>
  <si>
    <t>Маргарин стони мали</t>
  </si>
  <si>
    <t>Маргарин (биљна уља) велики</t>
  </si>
  <si>
    <t>Маргарин намазни млечни велики</t>
  </si>
  <si>
    <t>Маргарин млечни велики</t>
  </si>
  <si>
    <t>Маргарин стони велики</t>
  </si>
  <si>
    <t>količina (kg,l)</t>
  </si>
  <si>
    <t>Чоко банана </t>
  </si>
  <si>
    <t>Кисели купус главица</t>
  </si>
  <si>
    <t>Салама</t>
  </si>
  <si>
    <t>Хот-дог кифла</t>
  </si>
  <si>
    <t>Штап кифла</t>
  </si>
  <si>
    <t>Плетеница</t>
  </si>
  <si>
    <t>Штрудла са јабукама</t>
  </si>
  <si>
    <t>Пуњене крофне</t>
  </si>
  <si>
    <t>Тесто за супу</t>
  </si>
  <si>
    <t>Житарице Choco o clock</t>
  </si>
  <si>
    <t>Намазни маргарин</t>
  </si>
  <si>
    <t>Квасац, свеж</t>
  </si>
  <si>
    <t>Тврди сир качкаваљ</t>
  </si>
  <si>
    <t>Паштета у цреву</t>
  </si>
  <si>
    <t>Виршле</t>
  </si>
  <si>
    <t>Димљена печеница</t>
  </si>
  <si>
    <t>Брескве</t>
  </si>
  <si>
    <t>Трешње</t>
  </si>
  <si>
    <t>Мешано поврће за чорбу</t>
  </si>
  <si>
    <t>Мешано поврће ђувеч</t>
  </si>
  <si>
    <t>Компот од кајсија</t>
  </si>
  <si>
    <t>Компот бресква</t>
  </si>
  <si>
    <t>Краставци пастеризовани</t>
  </si>
  <si>
    <t>Цвекла пастеризована</t>
  </si>
  <si>
    <t>Млеко кравље 3,2% мм</t>
  </si>
  <si>
    <t>Павлака кисела 20% мм</t>
  </si>
  <si>
    <t>Кисело млеко</t>
  </si>
  <si>
    <t>Топљени сир</t>
  </si>
  <si>
    <t>Свеже млеко 2,8% мм</t>
  </si>
  <si>
    <t>Чоко плазма</t>
  </si>
  <si>
    <t>Милк шејк</t>
  </si>
  <si>
    <t>Сок наранџа</t>
  </si>
  <si>
    <t>Говеђа коцка за супу</t>
  </si>
  <si>
    <t>Пудинг јагода</t>
  </si>
  <si>
    <t>Слатка млевена паприка</t>
  </si>
  <si>
    <t>Додатак за јела</t>
  </si>
  <si>
    <t>Уље сунцокрета</t>
  </si>
  <si>
    <t>Посни маргарин</t>
  </si>
  <si>
    <t>Јафа кекс</t>
  </si>
  <si>
    <t>Ноблице кекс</t>
  </si>
  <si>
    <t>Ловор лист</t>
  </si>
  <si>
    <t>Pancerote</t>
  </si>
  <si>
    <t>https://www.keepitfit.rs/foods/3498/vegeterijanske-pancerote</t>
  </si>
  <si>
    <t>Kрофне пуњене</t>
  </si>
  <si>
    <t>http://www.manja.ba/ponuda/fina-peciva</t>
  </si>
  <si>
    <t>http://mara-sombor.com/sr/proizvodi/strudla-sa-jabukama/</t>
  </si>
  <si>
    <t>Choco o clock</t>
  </si>
  <si>
    <t>https://www.idea.rs/online/#!/products/60007712/pionir-choco-o-clock-300g</t>
  </si>
  <si>
    <t>Квасац свеж</t>
  </si>
  <si>
    <t>Чај од нане</t>
  </si>
  <si>
    <t>Чај од дивље трешње</t>
  </si>
  <si>
    <t>Тврди сир, качкаваљ</t>
  </si>
  <si>
    <t>Павлака, кисела 20% мм</t>
  </si>
  <si>
    <t>Краставци свеж</t>
  </si>
  <si>
    <t>Цвекла, пастеризована</t>
  </si>
  <si>
    <t>Кисели купус рибани</t>
  </si>
  <si>
    <t>Крушке</t>
  </si>
  <si>
    <t>Хлеб бели</t>
  </si>
  <si>
    <t>Кајзерица, бела</t>
  </si>
  <si>
    <t>Француски кроасан</t>
  </si>
  <si>
    <t>Пита са јабуком</t>
  </si>
  <si>
    <t>Пита са бундевом</t>
  </si>
  <si>
    <t>Пита са сиром</t>
  </si>
  <si>
    <t>Пита од хељдиног брашна</t>
  </si>
  <si>
    <t>Паштета са хељдом</t>
  </si>
  <si>
    <t>Пужић</t>
  </si>
  <si>
    <t>Калцона шунка сир</t>
  </si>
  <si>
    <t>Кифла са сусамом</t>
  </si>
  <si>
    <t>Кроасан са какао кремом</t>
  </si>
  <si>
    <t>Ролница ванила-вишња</t>
  </si>
  <si>
    <t>Кифла лан/сусам</t>
  </si>
  <si>
    <t>Кифла бела сендвич</t>
  </si>
  <si>
    <t>Погачица са сиром</t>
  </si>
  <si>
    <t>Млеко, кравље 3,5% мм</t>
  </si>
  <si>
    <t>Воћни јогурт са комадима воћа</t>
  </si>
  <si>
    <t>Свеж крем сир</t>
  </si>
  <si>
    <t>Милерам, 22%мм</t>
  </si>
  <si>
    <t>Ситни сир</t>
  </si>
  <si>
    <t>Млади сир</t>
  </si>
  <si>
    <t>Маслац путер</t>
  </si>
  <si>
    <t>Ћурећи филе</t>
  </si>
  <si>
    <t>Млевено јунеће месо</t>
  </si>
  <si>
    <t>Димњена ребра</t>
  </si>
  <si>
    <t>Димљена буткица</t>
  </si>
  <si>
    <t>Кулен</t>
  </si>
  <si>
    <t>Стишњена шунка у омоту</t>
  </si>
  <si>
    <t>Прашка шунка</t>
  </si>
  <si>
    <t>Паштета кокошија</t>
  </si>
  <si>
    <t>Кокошија паштета</t>
  </si>
  <si>
    <t>Сардина</t>
  </si>
  <si>
    <t>Мусли класик</t>
  </si>
  <si>
    <t>Чај шипак</t>
  </si>
  <si>
    <t>Домаћа тестенина за супу</t>
  </si>
  <si>
    <t>Тесто фусили</t>
  </si>
  <si>
    <t>Коре за лазање</t>
  </si>
  <si>
    <t>Црвена зачинска паприка млевена</t>
  </si>
  <si>
    <t>Јабука ајдаред</t>
  </si>
  <si>
    <t>Пасуљ, градиштанац</t>
  </si>
  <si>
    <t>Кисели купус, у листовима</t>
  </si>
  <si>
    <t>Свеж купус</t>
  </si>
  <si>
    <t>Свежа веза</t>
  </si>
  <si>
    <t>Свеж карфиол</t>
  </si>
  <si>
    <t>Плави патлиџан</t>
  </si>
  <si>
    <t>Свежа паприка, бабура</t>
  </si>
  <si>
    <t>Свеж краставац</t>
  </si>
  <si>
    <t>Свеж парадајз</t>
  </si>
  <si>
    <t>Шаргарепа смрзнута</t>
  </si>
  <si>
    <t>Смрзнут ђувеч</t>
  </si>
  <si>
    <t>Смрзнут спанаћ</t>
  </si>
  <si>
    <t>Смрзнута блитва</t>
  </si>
  <si>
    <t>Смрзнути кукуруз</t>
  </si>
  <si>
    <t>Свеж пекарски квасац</t>
  </si>
  <si>
    <t>ком</t>
  </si>
  <si>
    <t>кг</t>
  </si>
  <si>
    <t>Сир листићи</t>
  </si>
  <si>
    <t>Kajzerica bela</t>
  </si>
  <si>
    <t>Pita sa jabukom</t>
  </si>
  <si>
    <t>Pita sa bundevom</t>
  </si>
  <si>
    <t>Pita sa sirom</t>
  </si>
  <si>
    <t>Pita od heljdinog brašna</t>
  </si>
  <si>
    <t>Pašteta sa heljdom</t>
  </si>
  <si>
    <t>Kalcona šunka sir</t>
  </si>
  <si>
    <t>Kifla sa susamom</t>
  </si>
  <si>
    <t>Кравље млеко 2,8%мм</t>
  </si>
  <si>
    <t>Kroasan sa kakao kremom</t>
  </si>
  <si>
    <t>Пица-маргарита</t>
  </si>
  <si>
    <t>Pica margarita</t>
  </si>
  <si>
    <t>Pogačica sa sirom</t>
  </si>
  <si>
    <t>Воћни јогурт 1%мм</t>
  </si>
  <si>
    <t>Сирни намаз 70%мм</t>
  </si>
  <si>
    <t>Милерам 22%мм</t>
  </si>
  <si>
    <t>Милерам, 22% мм</t>
  </si>
  <si>
    <t>Чоколадно млеко мало</t>
  </si>
  <si>
    <t>Чоколадно млеко 1%мм мало</t>
  </si>
  <si>
    <t>Чоколадно млеко 1% мм мало</t>
  </si>
  <si>
    <t>Чоколадно млеко велико</t>
  </si>
  <si>
    <t>Чоколадно млеко 1%мм велико</t>
  </si>
  <si>
    <t>Чоколадно млеко 1% мм велико</t>
  </si>
  <si>
    <t>Ситни сир велики</t>
  </si>
  <si>
    <t xml:space="preserve">Ситан сир </t>
  </si>
  <si>
    <t>Ситни сир рикота мали</t>
  </si>
  <si>
    <t>Сирни намаз троугао 35% мм</t>
  </si>
  <si>
    <t>Сир топљени троуглови</t>
  </si>
  <si>
    <t>Шунка, прашка</t>
  </si>
  <si>
    <t>Шунка прашка</t>
  </si>
  <si>
    <t>https://www.keepitfit.rs/foods/2397/praska-sunka</t>
  </si>
  <si>
    <t>Паштета, кокошија</t>
  </si>
  <si>
    <t>Чај камилица</t>
  </si>
  <si>
    <t>Чај од камилице</t>
  </si>
  <si>
    <t>Чај нана</t>
  </si>
  <si>
    <t>Тестенина за супу, траке</t>
  </si>
  <si>
    <t>Kore za pitu, lazanje</t>
  </si>
  <si>
    <t>Свежа паприка бабура</t>
  </si>
  <si>
    <t>Шаргарепа, смрзнута</t>
  </si>
  <si>
    <t>Шаргарепа замрзнута</t>
  </si>
  <si>
    <t>Шаргарепа, замрзнута</t>
  </si>
  <si>
    <t>Млеко, чоколадно мало</t>
  </si>
  <si>
    <t>Млеко чоколадно мало</t>
  </si>
  <si>
    <t>Зелена салата ајсберг</t>
  </si>
  <si>
    <t>Zelena salata ajsberg</t>
  </si>
  <si>
    <t>Чоколадно млеко</t>
  </si>
  <si>
    <t>Ingredient lists of 2 Jan 2020</t>
  </si>
  <si>
    <t>Povrće prerađeno</t>
  </si>
  <si>
    <t>Meso sveže smrznuto</t>
  </si>
  <si>
    <t>Meso prerađeno</t>
  </si>
  <si>
    <t>Riba sveže smrznuta</t>
  </si>
  <si>
    <t>Riba prerađena konzervirana</t>
  </si>
  <si>
    <t>Mlečni proizvodi</t>
  </si>
  <si>
    <t>Ulja maslac margarin</t>
  </si>
  <si>
    <t>Brašno testenina seme žitarica</t>
  </si>
  <si>
    <t>Umaci pire prelivi</t>
  </si>
  <si>
    <t>Voća orasi sušeno voće</t>
  </si>
  <si>
    <t>Slatka hrana keks</t>
  </si>
  <si>
    <t>Hleb i peciva</t>
  </si>
  <si>
    <t>Slana peciva</t>
  </si>
  <si>
    <t>Slatka peciva</t>
  </si>
  <si>
    <t>Ostala gotova hrana</t>
  </si>
  <si>
    <t>Zasladjena piča čajevi kafa</t>
  </si>
  <si>
    <t>Voćni sokovi voda</t>
  </si>
  <si>
    <t>Number of days with meat for lunch</t>
  </si>
  <si>
    <t xml:space="preserve">Млевено месо јунеће </t>
  </si>
  <si>
    <t>Пилеће месо-батак, карабатак</t>
  </si>
  <si>
    <t>Рибљи штапићи лигње</t>
  </si>
  <si>
    <t>Шаран</t>
  </si>
  <si>
    <t>Млевено месо свињско</t>
  </si>
  <si>
    <t>Јунетина на коцке</t>
  </si>
  <si>
    <t>Пилеће бело</t>
  </si>
  <si>
    <t>Купус слатки млади</t>
  </si>
  <si>
    <t>Уље - јестиво</t>
  </si>
  <si>
    <t>Со - кухињска</t>
  </si>
  <si>
    <t xml:space="preserve">Мармелада - кајсија </t>
  </si>
  <si>
    <t>Першун лист сушени</t>
  </si>
  <si>
    <t>Гриз</t>
  </si>
  <si>
    <t>Мусли са воћем и житарицама</t>
  </si>
  <si>
    <t>Бурек са месом</t>
  </si>
  <si>
    <t>Павлака – 20% мм</t>
  </si>
  <si>
    <t>Сир трапист – 45% мм</t>
  </si>
  <si>
    <t>Свињска шницла</t>
  </si>
  <si>
    <t>Јунеће шницле</t>
  </si>
  <si>
    <t>Јунећа шницлa</t>
  </si>
  <si>
    <t>USDA (som)</t>
  </si>
  <si>
    <t>Туњевина конзерве</t>
  </si>
  <si>
    <t>Сардине</t>
  </si>
  <si>
    <t>Маст</t>
  </si>
  <si>
    <t>Сланина хамбушка</t>
  </si>
  <si>
    <t>Бели лук грануле</t>
  </si>
  <si>
    <t>Пасуљ Бели градиштанац</t>
  </si>
  <si>
    <t>Помфрит смрзнути</t>
  </si>
  <si>
    <t>Купус, бели, главица</t>
  </si>
  <si>
    <t>Шећер - кристал</t>
  </si>
  <si>
    <t>Кечап - благи</t>
  </si>
  <si>
    <t>Фида за супу</t>
  </si>
  <si>
    <t>Плазма</t>
  </si>
  <si>
    <t>Мали сок</t>
  </si>
  <si>
    <t>Пудинг ванила и чоколада</t>
  </si>
  <si>
    <t>Црвена млевена паприка слатка</t>
  </si>
  <si>
    <t>Кифла са сиром</t>
  </si>
  <si>
    <t>Гриз бели</t>
  </si>
  <si>
    <t>Бананице</t>
  </si>
  <si>
    <t>Пшеница</t>
  </si>
  <si>
    <t>Ким</t>
  </si>
  <si>
    <t>Нана</t>
  </si>
  <si>
    <t>Шампињони маринирани</t>
  </si>
  <si>
    <t>Босиљак</t>
  </si>
  <si>
    <t>Кокос</t>
  </si>
  <si>
    <t>Замрзнуте вишње</t>
  </si>
  <si>
    <t>https://fdc.nal.usda.gov/fdc-app.html#/food-details/543379/nutrients</t>
  </si>
  <si>
    <t>https://fdc.nal.usda.gov/fdc-app.html#/food-details/342623/nutrients</t>
  </si>
  <si>
    <t>Organic -PDV</t>
  </si>
  <si>
    <t>Organic +PDV</t>
  </si>
  <si>
    <t>cena+PDV/kg</t>
  </si>
  <si>
    <t>Unit wt</t>
  </si>
  <si>
    <t>Пилећи батак - карабатак</t>
  </si>
  <si>
    <t>Кифла</t>
  </si>
  <si>
    <t>Пуњено пециво са вишњама</t>
  </si>
  <si>
    <t>Коре за питу и гибаницу</t>
  </si>
  <si>
    <t>Лисната плетеница са шунком</t>
  </si>
  <si>
    <t>, паковање 500гр</t>
  </si>
  <si>
    <t>Ситни колачи</t>
  </si>
  <si>
    <t>Јогурт-воћни</t>
  </si>
  <si>
    <t>Сир бели ситни</t>
  </si>
  <si>
    <t>Намазни сир</t>
  </si>
  <si>
    <t>Трапист 45% мм</t>
  </si>
  <si>
    <t>Суво месо ребра</t>
  </si>
  <si>
    <t>Салама-алпска</t>
  </si>
  <si>
    <t>Свињски паризер</t>
  </si>
  <si>
    <t>Каре деликатес</t>
  </si>
  <si>
    <t>Виршла свињска</t>
  </si>
  <si>
    <t>Паштета у цреву, јетрена</t>
  </si>
  <si>
    <t>Маргарин за мазање</t>
  </si>
  <si>
    <t>Кекс плазма</t>
  </si>
  <si>
    <t>Гриз – пшенични</t>
  </si>
  <si>
    <t>Гриз – кукурузни</t>
  </si>
  <si>
    <t>Чај „Амер“</t>
  </si>
  <si>
    <t>Сок поморнаџа, сируп</t>
  </si>
  <si>
    <t>Сок лимун, сируп</t>
  </si>
  <si>
    <t>Мусли чоко</t>
  </si>
  <si>
    <t>Чоколада кокос</t>
  </si>
  <si>
    <t>Кекс – медено срце</t>
  </si>
  <si>
    <t>Лорбер</t>
  </si>
  <si>
    <t>Коцка за супу, пилећа</t>
  </si>
  <si>
    <t>Коцка за супу, јунећа</t>
  </si>
  <si>
    <t>Чоколада Milka hazelnuts</t>
  </si>
  <si>
    <t>пак</t>
  </si>
  <si>
    <t>Буранија жута</t>
  </si>
  <si>
    <t>Царска мешавина поврће</t>
  </si>
  <si>
    <t>Ослић панирани</t>
  </si>
  <si>
    <t>Туњевина, комади у уљу</t>
  </si>
  <si>
    <t>Млади кромпир</t>
  </si>
  <si>
    <t>Кисели купус - рибани</t>
  </si>
  <si>
    <t>Кисели купус - главица</t>
  </si>
  <si>
    <t>Јабука – Ајдара</t>
  </si>
  <si>
    <t>Јабука – Златни делишес</t>
  </si>
  <si>
    <t>Паприка филет</t>
  </si>
  <si>
    <t>Мешана салата кисела</t>
  </si>
  <si>
    <t>Sva obroka</t>
  </si>
  <si>
    <t>Sva doručka</t>
  </si>
  <si>
    <t>Sve užine 1</t>
  </si>
  <si>
    <t>Sva ručka</t>
  </si>
  <si>
    <t>Sve užine 2</t>
  </si>
  <si>
    <t>Pie chart title:</t>
  </si>
  <si>
    <t>Димљена кобасица</t>
  </si>
  <si>
    <t>Кекс, Плазма</t>
  </si>
  <si>
    <t>Чај шипурак</t>
  </si>
  <si>
    <t>Сок – ђус (наранџа)</t>
  </si>
  <si>
    <t>Кoкa Кoлa</t>
  </si>
  <si>
    <t>Пасуљ Бели</t>
  </si>
  <si>
    <t>Mladi krompir</t>
  </si>
  <si>
    <t>Hleb</t>
  </si>
  <si>
    <t>Sedmica_1_grafici!$c$246:$g$262</t>
  </si>
  <si>
    <t>Sedmica_1_grafici!$h$246:$l$262</t>
  </si>
  <si>
    <t>Ukupno</t>
  </si>
  <si>
    <t>Sedmica_1_grafici!$B$265:$R$269</t>
  </si>
  <si>
    <t>Nedeljna prosečna cena</t>
  </si>
  <si>
    <t>Užina-1 cena</t>
  </si>
  <si>
    <t>Užina-2 cena</t>
  </si>
  <si>
    <t>Dnevna ukupna cena</t>
  </si>
  <si>
    <t>Sedmica_1_grafici!$C$268:$C$272</t>
  </si>
  <si>
    <t>Sedmica_1_grafici!$B$268:$B$272</t>
  </si>
  <si>
    <t>Sedmica_1_grafici!$b$312:$r$316</t>
  </si>
  <si>
    <t>CENE</t>
  </si>
  <si>
    <t>TEŽINE</t>
  </si>
  <si>
    <t>CO2 EMISIJE</t>
  </si>
  <si>
    <t>Užina-2 težine</t>
  </si>
  <si>
    <t>Užina-1 težine</t>
  </si>
  <si>
    <t>Dnevna ukupna težine</t>
  </si>
  <si>
    <t>Nedeljna prosečna težine</t>
  </si>
  <si>
    <t>Nedeljna prosečna CO2 emisije</t>
  </si>
  <si>
    <t>Dnevna ukupna CO2 emisije</t>
  </si>
  <si>
    <t>Užina-1 CO2 emisije</t>
  </si>
  <si>
    <t>Užina-2 CO2 emisije</t>
  </si>
  <si>
    <t>gram</t>
  </si>
  <si>
    <t xml:space="preserve"> -</t>
  </si>
  <si>
    <t>New</t>
  </si>
  <si>
    <t xml:space="preserve">     No          Yes       </t>
  </si>
  <si>
    <t>kcal (2000 kcal/dan)</t>
  </si>
  <si>
    <t>Dnevna količina</t>
  </si>
  <si>
    <t>100% of 2000</t>
  </si>
  <si>
    <t>MPN+EFSA mean</t>
  </si>
  <si>
    <t>MPN</t>
  </si>
  <si>
    <t>EFSA</t>
  </si>
  <si>
    <t>MPN+EFSA rounded</t>
  </si>
  <si>
    <t>55% energy (MPN+EFSA)</t>
  </si>
  <si>
    <t>30% energy (MPN+EFSA)</t>
  </si>
  <si>
    <t>MPNTR</t>
  </si>
  <si>
    <t>MPNTR (15% energy)</t>
  </si>
  <si>
    <t>ugljeni hidrati (g)</t>
  </si>
  <si>
    <t>belančevina (g)</t>
  </si>
  <si>
    <t>mast (g)</t>
  </si>
  <si>
    <t>vlakna (g)</t>
  </si>
  <si>
    <t>masne kiseline, ukupno zasićene (g)</t>
  </si>
  <si>
    <t>kalijum [K] (mg)</t>
  </si>
  <si>
    <t>kalcijum [CA] (mg)</t>
  </si>
  <si>
    <t>magnezijum [MG] (mg)</t>
  </si>
  <si>
    <t>fosfor [P] (mg)</t>
  </si>
  <si>
    <t>gvožđe, ukupno [FE] (mg)</t>
  </si>
  <si>
    <t>cink [ZN] (mg)</t>
  </si>
  <si>
    <t>bakar [CU] (mg)</t>
  </si>
  <si>
    <t>vitamin A [VITA] (µg)</t>
  </si>
  <si>
    <t>vitamin B1 (tiamin) [THIA] (mg)</t>
  </si>
  <si>
    <t>vitamin B2 (riboflavin) [RIBF] (mg)</t>
  </si>
  <si>
    <t>niacin ekvivalenti [NIAEQ] (mg)</t>
  </si>
  <si>
    <t>folata, ukupno [FOL] (µg)</t>
  </si>
  <si>
    <t>vitamin B12 [VITB12] (µg)</t>
  </si>
  <si>
    <t>vitamin D [VITD] (µg)</t>
  </si>
  <si>
    <t>MPN (EFSA=15!)</t>
  </si>
  <si>
    <t>Broj/obrok</t>
  </si>
  <si>
    <t>Realan</t>
  </si>
  <si>
    <t>cena/kg</t>
  </si>
  <si>
    <t>kcal/100g</t>
  </si>
  <si>
    <t>cena/kcal</t>
  </si>
  <si>
    <t>Sedmica</t>
  </si>
  <si>
    <t>Meal group</t>
  </si>
  <si>
    <t>Every meal</t>
  </si>
  <si>
    <t>IF(SUM(AN$11:AN$26)&gt;0,100*AN11/(SUM($AN$11:$AN$26)),0.0001)</t>
  </si>
  <si>
    <t xml:space="preserve">Dnevno ukupno </t>
  </si>
  <si>
    <t>Ponedeljak ukupno</t>
  </si>
  <si>
    <t xml:space="preserve">Utorak ukupno </t>
  </si>
  <si>
    <t xml:space="preserve">Sreda ukupno </t>
  </si>
  <si>
    <t>Četvrtak ukupno</t>
  </si>
  <si>
    <t xml:space="preserve">Petak ukupno </t>
  </si>
  <si>
    <t>Ponedeljak doručak</t>
  </si>
  <si>
    <t xml:space="preserve">Utorak doručak </t>
  </si>
  <si>
    <t xml:space="preserve">Sreda doručak </t>
  </si>
  <si>
    <t>Četvrtak doručak</t>
  </si>
  <si>
    <t>35% of 1855</t>
  </si>
  <si>
    <t xml:space="preserve">Petak doručak </t>
  </si>
  <si>
    <t>Ponedeljak užina 1</t>
  </si>
  <si>
    <t>Sreda užina 1</t>
  </si>
  <si>
    <t>Utorak užina 1</t>
  </si>
  <si>
    <t xml:space="preserve">Četvrtak užina 1 </t>
  </si>
  <si>
    <t>Petak užina 1</t>
  </si>
  <si>
    <t>Ponedeljak ručak</t>
  </si>
  <si>
    <t>Utorak ručak</t>
  </si>
  <si>
    <t>Sreda ručak</t>
  </si>
  <si>
    <t>Četvrtak ručak</t>
  </si>
  <si>
    <t>Petak ručak</t>
  </si>
  <si>
    <t>Ponedeljak užina 2</t>
  </si>
  <si>
    <t>Utorak užina 2</t>
  </si>
  <si>
    <t>Sreda užina 2</t>
  </si>
  <si>
    <t xml:space="preserve">Četvrtak užina 2 </t>
  </si>
  <si>
    <t>Petak užina 2</t>
  </si>
  <si>
    <t>Sedmica 1</t>
  </si>
  <si>
    <t xml:space="preserve">Sedmica </t>
  </si>
  <si>
    <t xml:space="preserve">According to </t>
  </si>
  <si>
    <t>the formula</t>
  </si>
  <si>
    <t>According to</t>
  </si>
  <si>
    <t>meals served</t>
  </si>
  <si>
    <t xml:space="preserve">  Kliknite dole za:</t>
  </si>
  <si>
    <t>C kesa za 4 osobe</t>
  </si>
  <si>
    <t xml:space="preserve"> +EuroFIR</t>
  </si>
  <si>
    <t>Кокошја супа кеса</t>
  </si>
  <si>
    <t>Rye grain/flour [EuroFIR]</t>
  </si>
  <si>
    <t>Millet seeds/flour [EuroFIR]</t>
  </si>
  <si>
    <t>Просо семе</t>
  </si>
  <si>
    <t>Раж брашно</t>
  </si>
  <si>
    <t>Сурутка у праху</t>
  </si>
  <si>
    <t>Konvencijalne</t>
  </si>
  <si>
    <t>Organske</t>
  </si>
  <si>
    <t>Хлеб и пекарски производи</t>
  </si>
  <si>
    <t>Дон Дон</t>
  </si>
  <si>
    <t>, резани, 500гр</t>
  </si>
  <si>
    <t>,  500гр</t>
  </si>
  <si>
    <t>, 60гр</t>
  </si>
  <si>
    <t>Пшеничне  500гр</t>
  </si>
  <si>
    <t xml:space="preserve"> свежа 200гр,Т5М</t>
  </si>
  <si>
    <t>Смрзнуто пециво 96гр</t>
  </si>
  <si>
    <t>Смрзнуто пециво, , 96гр</t>
  </si>
  <si>
    <t>Смрзнуто пециво ,  110гр</t>
  </si>
  <si>
    <t>Смрзнуто пециво ,  280гр</t>
  </si>
  <si>
    <t>Смрзнуто пециво, , 110г</t>
  </si>
  <si>
    <t>Смрзнута , 110гр</t>
  </si>
  <si>
    <t>Смрзнута , 50гр</t>
  </si>
  <si>
    <t>Смрзнути  100 гр</t>
  </si>
  <si>
    <t>Смрзнуто , 100гр</t>
  </si>
  <si>
    <t>Смрзнута , 96 гр</t>
  </si>
  <si>
    <t>Смрзнута , 95 гр</t>
  </si>
  <si>
    <t xml:space="preserve"> Паковано пециво, , 80гр</t>
  </si>
  <si>
    <t>Паковано пециво, , 100 гр</t>
  </si>
  <si>
    <t>Шапица Паковано пециво, , 100гр</t>
  </si>
  <si>
    <t>Паковано пециво,  2*70гр</t>
  </si>
  <si>
    <t>, резана 100гр</t>
  </si>
  <si>
    <t xml:space="preserve"> 2*50гр</t>
  </si>
  <si>
    <t>Остали прехрамбени производи</t>
  </si>
  <si>
    <t>КомерцПродукт</t>
  </si>
  <si>
    <t>Свеже, пак 1л, пет амбалажа</t>
  </si>
  <si>
    <t>л</t>
  </si>
  <si>
    <t xml:space="preserve">, тетра пак, 2дл </t>
  </si>
  <si>
    <t xml:space="preserve"> кравље, чаша 180гр</t>
  </si>
  <si>
    <t>од крављег млека, , чаша 180гр</t>
  </si>
  <si>
    <t>од крављег млека , 1л, пет амбалажа</t>
  </si>
  <si>
    <t>, 1л, пет амбалажа</t>
  </si>
  <si>
    <t>, чаша 125 гр</t>
  </si>
  <si>
    <t>, 1л</t>
  </si>
  <si>
    <t xml:space="preserve"> тетра пак, 2дл</t>
  </si>
  <si>
    <t>Органско, 1л. Тетра пак</t>
  </si>
  <si>
    <t xml:space="preserve"> од крављег млека, пвц чаша, 250гр</t>
  </si>
  <si>
    <t xml:space="preserve"> АБЦ паковање 200гр</t>
  </si>
  <si>
    <t xml:space="preserve"> „Кремси“, пвц чаша 250г</t>
  </si>
  <si>
    <t xml:space="preserve"> 1.класа, пвц чаша 400 гр</t>
  </si>
  <si>
    <t xml:space="preserve"> од крављег млека пак 1кг</t>
  </si>
  <si>
    <t xml:space="preserve"> или одговарајући</t>
  </si>
  <si>
    <t xml:space="preserve"> , паковање 10 комада</t>
  </si>
  <si>
    <t>,, пак 6 ком</t>
  </si>
  <si>
    <t xml:space="preserve"> од крављег млека, 45%мм, пак 10кг,</t>
  </si>
  <si>
    <t>од крављег млека са ,пвц кантица 700гр</t>
  </si>
  <si>
    <t xml:space="preserve"> од крављег млека,  вакум паковање</t>
  </si>
  <si>
    <t>, 1.класа, са 82%мм, пак 250г</t>
  </si>
  <si>
    <t>, 1.класа</t>
  </si>
  <si>
    <t>, свеже, 1.класа</t>
  </si>
  <si>
    <t xml:space="preserve"> свеж, 1.класа</t>
  </si>
  <si>
    <t xml:space="preserve"> без кости, 1.класа</t>
  </si>
  <si>
    <t>, вакум паковање</t>
  </si>
  <si>
    <t>, вакум паковање 500гр, ољуштена</t>
  </si>
  <si>
    <t>, сечена</t>
  </si>
  <si>
    <t xml:space="preserve"> „карнекс“, или одговарајући</t>
  </si>
  <si>
    <t xml:space="preserve"> „аргета“ 95 гр, или одговарајућа</t>
  </si>
  <si>
    <t xml:space="preserve"> „аргета“, 95гр</t>
  </si>
  <si>
    <t xml:space="preserve"> "Јуниор",95гр, односно одговарајуће </t>
  </si>
  <si>
    <t xml:space="preserve"> 100 гр</t>
  </si>
  <si>
    <t xml:space="preserve"> 80гр, у комадима, "Рио-маре",  или одговарајућа  </t>
  </si>
  <si>
    <t>, пак.1кг</t>
  </si>
  <si>
    <t>, пак, 2кг</t>
  </si>
  <si>
    <t>, 72%какао,100g</t>
  </si>
  <si>
    <t>, пак 100гр</t>
  </si>
  <si>
    <t xml:space="preserve"> 75г</t>
  </si>
  <si>
    <t xml:space="preserve">  „Медела“ пак 400гр</t>
  </si>
  <si>
    <t>, пак 800гр</t>
  </si>
  <si>
    <t>, пак 1кг</t>
  </si>
  <si>
    <t xml:space="preserve"> С класе</t>
  </si>
  <si>
    <t xml:space="preserve"> , пак 750г</t>
  </si>
  <si>
    <t xml:space="preserve"> пак, 2,5кг</t>
  </si>
  <si>
    <t>, пак200г</t>
  </si>
  <si>
    <t>, пак 200г</t>
  </si>
  <si>
    <t xml:space="preserve"> барила, пак 500гр</t>
  </si>
  <si>
    <t xml:space="preserve"> Барила, пак 1кг</t>
  </si>
  <si>
    <t xml:space="preserve"> Барила, пак 500гр</t>
  </si>
  <si>
    <t>Тортиља</t>
  </si>
  <si>
    <t>, пак 12 ком</t>
  </si>
  <si>
    <t xml:space="preserve"> за кување, пак 1кг</t>
  </si>
  <si>
    <t xml:space="preserve"> тетрапак 2 дл</t>
  </si>
  <si>
    <t>, пак 25кг</t>
  </si>
  <si>
    <t xml:space="preserve"> пак 12гр</t>
  </si>
  <si>
    <t>, пак 500гр</t>
  </si>
  <si>
    <t xml:space="preserve"> пак 1кг</t>
  </si>
  <si>
    <t xml:space="preserve"> пак 6кг, ПВЦ кантица</t>
  </si>
  <si>
    <t>, пак 6кг, ПВЦ кантица</t>
  </si>
  <si>
    <t xml:space="preserve"> пак 670г, стаклена тегла</t>
  </si>
  <si>
    <t xml:space="preserve"> пак 680г</t>
  </si>
  <si>
    <t>, пак 680г</t>
  </si>
  <si>
    <t>, слатка,  пак 100г,</t>
  </si>
  <si>
    <t xml:space="preserve"> ситна пак, 5кг</t>
  </si>
  <si>
    <t>, додатак јелима, пак 500 гр</t>
  </si>
  <si>
    <t xml:space="preserve"> пак 300г </t>
  </si>
  <si>
    <t xml:space="preserve"> пак 5л</t>
  </si>
  <si>
    <t xml:space="preserve"> пак 1л</t>
  </si>
  <si>
    <t xml:space="preserve"> меко Т-400 пак 25кг</t>
  </si>
  <si>
    <t xml:space="preserve"> пак 500гр</t>
  </si>
  <si>
    <t xml:space="preserve"> паковање 1кг</t>
  </si>
  <si>
    <t>, пак 400гр</t>
  </si>
  <si>
    <t xml:space="preserve"> пак  400 гр</t>
  </si>
  <si>
    <t xml:space="preserve"> , 1.класа, пак 1кг</t>
  </si>
  <si>
    <t>, 1. класа</t>
  </si>
  <si>
    <t xml:space="preserve"> 1. класа</t>
  </si>
  <si>
    <t xml:space="preserve"> корпица, пак 1кг</t>
  </si>
  <si>
    <t>, 1. Класа, црно</t>
  </si>
  <si>
    <t>, 1. класе</t>
  </si>
  <si>
    <t xml:space="preserve">Мешавина за супу-чорбу </t>
  </si>
  <si>
    <t>, пак гајба по 18 ком</t>
  </si>
  <si>
    <t>, пак. 10кг</t>
  </si>
  <si>
    <t xml:space="preserve"> дубоко смрзнут, пак 10кг</t>
  </si>
  <si>
    <t xml:space="preserve"> смрзнута пак 10кг</t>
  </si>
  <si>
    <t xml:space="preserve"> сечена на коцкице, пак 10кг</t>
  </si>
  <si>
    <t>, пак 10кг</t>
  </si>
  <si>
    <t>,пак 1кг</t>
  </si>
  <si>
    <t xml:space="preserve"> смрзнуто пак 1кг</t>
  </si>
  <si>
    <t>, пак 4кг, лименка</t>
  </si>
  <si>
    <t>, пак 4,2кг</t>
  </si>
  <si>
    <t xml:space="preserve"> пак5,5кг, пвц кантица</t>
  </si>
  <si>
    <t xml:space="preserve"> 1л. Тетра пак</t>
  </si>
  <si>
    <t xml:space="preserve"> пак, 1кг ПВЦ кантица</t>
  </si>
  <si>
    <t>, пак 50г</t>
  </si>
  <si>
    <t>, пак. 5кг</t>
  </si>
  <si>
    <t>To be corrected</t>
  </si>
  <si>
    <t>Cedevita multivitamin</t>
  </si>
  <si>
    <t>Djordje Natošević</t>
  </si>
  <si>
    <t xml:space="preserve">  06/11/2017</t>
  </si>
  <si>
    <t xml:space="preserve">  07/11/2017</t>
  </si>
  <si>
    <t xml:space="preserve">  08/11/2017</t>
  </si>
  <si>
    <t xml:space="preserve">  10/11/2017</t>
  </si>
  <si>
    <t>https://www.fatsecret.com/calories-nutrition/generic/bread-buckwheat?portionid=52378&amp;portionamount=100.000</t>
  </si>
  <si>
    <t>Paprika crvena, slatka</t>
  </si>
  <si>
    <t>Pepper red [EuroFIR]</t>
  </si>
  <si>
    <t>Pepper yellow [EuroFIR]</t>
  </si>
  <si>
    <t>Mešavina povrća za čorbu</t>
  </si>
  <si>
    <t>Mešavina povrća za đuveč</t>
  </si>
  <si>
    <t>Second food in red numbers</t>
  </si>
  <si>
    <t>Chard [EuroFIR]</t>
  </si>
  <si>
    <t>Broccoli, raw [EuroFIR]</t>
  </si>
  <si>
    <t>Bundeva (tikva), kuvana+pumpkin, raw [EuroFIR]</t>
  </si>
  <si>
    <t>Beetroot fresh [EuroFir]</t>
  </si>
  <si>
    <t>Hot peppers (not pickled) [EuroFIR]</t>
  </si>
  <si>
    <r>
      <rPr>
        <sz val="11"/>
        <color theme="1"/>
        <rFont val="ArialMT"/>
      </rPr>
      <t xml:space="preserve">Turšija [EuroFIR]+ </t>
    </r>
    <r>
      <rPr>
        <sz val="11"/>
        <color theme="10"/>
        <rFont val="ArialMT"/>
      </rPr>
      <t>https://www.podravka.hr/proizvod/mijesana-salata/</t>
    </r>
  </si>
  <si>
    <t>Krompir (pire) Yumis+potato flour [USDA]</t>
  </si>
  <si>
    <t>https://fdc.nal.usda.gov/fdc-app.html#/food-details/168446/nutrients</t>
  </si>
  <si>
    <t>Pomfrit (Frikom)+EuroFIR</t>
  </si>
  <si>
    <t>Smrznuto povrce za corbu [EuroFir]</t>
  </si>
  <si>
    <t>Paprika babura (kuvana)+pepper yellow [EuroFIR]</t>
  </si>
  <si>
    <t>Paprika crvena pečena+USDA peppers, red, cooked</t>
  </si>
  <si>
    <t>https://fdc.nal.usda.gov/fdc-app.html#/food-details/170110/nutrients</t>
  </si>
  <si>
    <t>Leek, raw [EuroFIR]+USDA</t>
  </si>
  <si>
    <t>https://fddb.info/db/en/food/natural_product_leek_raw/index.html</t>
  </si>
  <si>
    <t>Rotkvica [EuroFIR]</t>
  </si>
  <si>
    <t>Champignon cultivated [EuroFIR]</t>
  </si>
  <si>
    <t>Mushrooms canned [EuroFIR]</t>
  </si>
  <si>
    <t>Spinach fresh [EuroFir]</t>
  </si>
  <si>
    <t>Tikvica [EuroFIR]</t>
  </si>
  <si>
    <t>Zelje [EuroFIR]</t>
  </si>
  <si>
    <t>Zlatna mešavina (Frikom) + frozen zlatna mešavina [EuroFIR]</t>
  </si>
  <si>
    <t>Ananas [EuroFIR]</t>
  </si>
  <si>
    <t>Badem oljusteni suvi [EuroFIR]</t>
  </si>
  <si>
    <t>Breskva [EuroFIR]</t>
  </si>
  <si>
    <t>Dinja [EuroFIR - mean of 3]</t>
  </si>
  <si>
    <t>Dunja [EuroFIR]</t>
  </si>
  <si>
    <t>Grejpfrut [EuroFIR]</t>
  </si>
  <si>
    <t>Grožđe [EuroFIR - mean of black and white]</t>
  </si>
  <si>
    <t>Jagode [EuroFIR]</t>
  </si>
  <si>
    <t>Kajsija [EuroFIR]</t>
  </si>
  <si>
    <t>Kikiriki, suvo-pečeni, bez soli [EuroFIR]</t>
  </si>
  <si>
    <t>Kivi [EuroFIR]</t>
  </si>
  <si>
    <t>Kupine smrznute [EuroFIR]</t>
  </si>
  <si>
    <t>Lešnik suvi [EuroFIR]</t>
  </si>
  <si>
    <t>Limun [EuroFIR]</t>
  </si>
  <si>
    <t>Lubenica [EuroFIR]</t>
  </si>
  <si>
    <t>Maline smrznute [EuroFIR]</t>
  </si>
  <si>
    <t>Maslina zelena marinirana [EuroFIR]</t>
  </si>
  <si>
    <t>Muskatni orah mleveni [EuroFIR]</t>
  </si>
  <si>
    <t>Narandža žuto-narandžasta [EuroFIR]</t>
  </si>
  <si>
    <t>Nektarina [EuroFIR]</t>
  </si>
  <si>
    <t>Orah suvi [EuroFIR]</t>
  </si>
  <si>
    <t>Pomorandža [Narandža žuto-narandžasta, EuroFIR]</t>
  </si>
  <si>
    <t>Šljiva all varieties [EuroFIR]</t>
  </si>
  <si>
    <t>Smokva [EuroFIR]</t>
  </si>
  <si>
    <t>Šumsko voće, smrznuto [EuroFIR mean of several frozen fruits/berries]</t>
  </si>
  <si>
    <t>Borovnice, jagoda, malina, kupina, ribizla crvena, ribizla crna</t>
  </si>
  <si>
    <t>Suvo grožđe [EuroFIR]</t>
  </si>
  <si>
    <t>Šljiva sušena [EuroFIR]</t>
  </si>
  <si>
    <t>Trešnja [EuroFIR]</t>
  </si>
  <si>
    <t>Sour cherry frozen [EuroFir]</t>
  </si>
  <si>
    <t>Čokoladno mleko 1% mm [EuroFIR]</t>
  </si>
  <si>
    <t>Yoghurt 1.5% mm [EuroFir]</t>
  </si>
  <si>
    <t>Yoghurt 2.8% mm [EuroFir]</t>
  </si>
  <si>
    <t>Jogurt 3,2% mm [EuroFIR]</t>
  </si>
  <si>
    <t>Jogurt voćni, Imlek Jogood+EuroFIR micronutrients</t>
  </si>
  <si>
    <t>Jogurt voćni, nemasni [EuroFIR kajsija]</t>
  </si>
  <si>
    <t>Kajmak, mladi, kravlji+kajmak [EuroFIR] micronutrients</t>
  </si>
  <si>
    <t>https://www.imlek.rs/en/products/milkshake#moja-kravica-banana-milkshake-220ml+EuroFIR micronutrients [mean of 3]</t>
  </si>
  <si>
    <t>Mleko punomasno u prahu [EuroFIR]</t>
  </si>
  <si>
    <t>Sir Parmezan [EuroFIR]</t>
  </si>
  <si>
    <t>Pavlaka za kuvanje+mean [EuroFIR pavlaka slatka 10%+30% mm]</t>
  </si>
  <si>
    <t>Sir Edamer [EuroFIR]+Sir Edamer [EuroFIR]</t>
  </si>
  <si>
    <t>Sir gauda punomasna 30% mm [EuroFIR]</t>
  </si>
  <si>
    <t>https://www.maxi.rs/online/Mleko-mlechni-proizvodi-i-jaja/Sir/Proizvodi-na-meru/Tvrdi-polutvrdi-sirevi/Sir-Kopaonicki-Lazar-35-mm/p/7179071+sir tvrdi 33% mm [EuroFIR]</t>
  </si>
  <si>
    <t>Sir masni tvrdi 45% mlecne masti [EuroFIR]</t>
  </si>
  <si>
    <t>Cheese white low fat [EuroFir] Sir mozzarella [EuroFIR]</t>
  </si>
  <si>
    <t>Imlek moja kravica sitan sir 45% mm+average many sir [EuroFIR]</t>
  </si>
  <si>
    <t>Sir, švapski+average many sir [EuroFIR]</t>
  </si>
  <si>
    <t>http://dijeta.in/kalorije/14/Sir-švapski</t>
  </si>
  <si>
    <t>Sir, tost topi (Biser)+Sir topljenitost u listicima [EuroFIR]</t>
  </si>
  <si>
    <t>Topljeni sir za rezanje sa min 46 % SM i min 35 % mm/SM u listićima</t>
  </si>
  <si>
    <t>https://www.maxi.rs/online/Mleko-mlechni-proizvodi-i-jaja/Sir/Proizvodi-na-meru/Tvrdi-polutvrdi-sirevi/Sir-Biser-trapist-Selecta-premium-45-mm/p/7213751+ sir edamer+gauda [EuroFIR]</t>
  </si>
  <si>
    <t>Polutvrdi punomasni sir sa min 45% mm/SM</t>
  </si>
  <si>
    <t>Sir, tvrdi, ribanac, Sirela+sir parmezan [EuroFIR]</t>
  </si>
  <si>
    <t>https://www.idea.rs/online/#!/products/60002627/mlekara-subotica-kremsi-sirni-namaz-70-mm-100g +Sirni namaz 40% mlecne masti u suvoj materiji [EuroFIR]</t>
  </si>
  <si>
    <t>Sirni namaz Biser trougao 35% mm + mean Sirni namaz 30% mm/SM+Sirni namaz 40% mm/SM [EuroFIR]</t>
  </si>
  <si>
    <t>Slatka pavlaka [EuroFIR]+Pavlaka slatka 10% masti/30% mm [EuroFIR]</t>
  </si>
  <si>
    <t>Surutka u prahu [EuroFIR]</t>
  </si>
  <si>
    <t>Jaje kokosije belance [EuroFIR]</t>
  </si>
  <si>
    <t>Pork loin+Pork loin fillet smoked [EuroFIR]</t>
  </si>
  <si>
    <t>Bean dip https://fdc.nal.usda.gov/fdc-app.html#/food-details/339293/nutrients</t>
  </si>
  <si>
    <t>Hummus https://fdc.nal.usda.gov/fdc-app.html#/food-details/339294/nutrients</t>
  </si>
  <si>
    <t>Čaj brusnica</t>
  </si>
  <si>
    <t>Čaj divlja trešna</t>
  </si>
  <si>
    <t>Čaj jagoda</t>
  </si>
  <si>
    <t>Čaj nana</t>
  </si>
  <si>
    <t>Čaj hibiscus</t>
  </si>
  <si>
    <t>Čaj šipak</t>
  </si>
  <si>
    <t>Salad vegetables</t>
  </si>
  <si>
    <t>Beetroot pickled</t>
  </si>
  <si>
    <t>Cucumber</t>
  </si>
  <si>
    <t>Gherkins</t>
  </si>
  <si>
    <t>Red pepper</t>
  </si>
  <si>
    <t>Паприка црвена, слатка</t>
  </si>
  <si>
    <t>Целер лист</t>
  </si>
  <si>
    <t>Краставци</t>
  </si>
  <si>
    <t>Истант пире кромпир</t>
  </si>
  <si>
    <t>Мешано поврће - Ђувеч</t>
  </si>
  <si>
    <t>Мешано поврће за руску салату</t>
  </si>
  <si>
    <t>Паприка филети пастеризовава</t>
  </si>
  <si>
    <t>Пасуљ жути</t>
  </si>
  <si>
    <t>Пасуљ шарени</t>
  </si>
  <si>
    <t>Першун</t>
  </si>
  <si>
    <t>Јабука грин смит</t>
  </si>
  <si>
    <t>Лешници</t>
  </si>
  <si>
    <t>Маслине зелене без коштице</t>
  </si>
  <si>
    <t>Млеко са укусом ванила или јагода</t>
  </si>
  <si>
    <t xml:space="preserve">Сир, Едам, тврди </t>
  </si>
  <si>
    <t>Фета сир са 45% мм</t>
  </si>
  <si>
    <t>Топљени сир троугао 35% мм</t>
  </si>
  <si>
    <t>Јаја А класа</t>
  </si>
  <si>
    <t>Јаја Б класа</t>
  </si>
  <si>
    <t>Јаја Б класе</t>
  </si>
  <si>
    <t>Дрождина</t>
  </si>
  <si>
    <t>Хамбушка сланина</t>
  </si>
  <si>
    <t>Jетрена паштета са шунком</t>
  </si>
  <si>
    <t>Паштета јетрена са шунком</t>
  </si>
  <si>
    <t>Јунеће месо БК</t>
  </si>
  <si>
    <t>Јунеће млевено месо</t>
  </si>
  <si>
    <t>Пилећа џигерица</t>
  </si>
  <si>
    <t>Пилеће груди</t>
  </si>
  <si>
    <t>Пљескавица</t>
  </si>
  <si>
    <t>Прасетина</t>
  </si>
  <si>
    <t>Сремска кобасица</t>
  </si>
  <si>
    <t>Суво месо - буткице</t>
  </si>
  <si>
    <t>Свињска виршла</t>
  </si>
  <si>
    <t>Свињско месо БК</t>
  </si>
  <si>
    <t>Свињски каре</t>
  </si>
  <si>
    <t>Харинга филет у биљном уљу</t>
  </si>
  <si>
    <t>Сардина у биљном уљу</t>
  </si>
  <si>
    <t>Сардина у парадајз сосу</t>
  </si>
  <si>
    <t>Скуша у биљном уљу</t>
  </si>
  <si>
    <t>Филет сом</t>
  </si>
  <si>
    <t>Намазни маргарин велики</t>
  </si>
  <si>
    <t>Уље сунцокрет</t>
  </si>
  <si>
    <t>Чоко банана</t>
  </si>
  <si>
    <t>Милка чоколада</t>
  </si>
  <si>
    <t>Мекани бисквит са желеом</t>
  </si>
  <si>
    <t>Лешник карамеле</t>
  </si>
  <si>
    <t>Млечна чоколадица</t>
  </si>
  <si>
    <t>Наполитанке са лешником</t>
  </si>
  <si>
    <t>Наполитанке са млечним кремом</t>
  </si>
  <si>
    <t>Облатне</t>
  </si>
  <si>
    <t>Пудинг у чаши</t>
  </si>
  <si>
    <t>Бонжита</t>
  </si>
  <si>
    <t>Бонжита аронија</t>
  </si>
  <si>
    <t>Бонжита брусница</t>
  </si>
  <si>
    <t>Гриз - пшенични</t>
  </si>
  <si>
    <t>Хлеб црни</t>
  </si>
  <si>
    <t>Хлеб, црни</t>
  </si>
  <si>
    <t>Слани кекс сир</t>
  </si>
  <si>
    <t>Слани кекс сланина</t>
  </si>
  <si>
    <t>Слани кекс класик</t>
  </si>
  <si>
    <t>Слани кекс пица</t>
  </si>
  <si>
    <t>Корнфлекс класик</t>
  </si>
  <si>
    <t>Мак, млевени</t>
  </si>
  <si>
    <t>Мак - млевени</t>
  </si>
  <si>
    <t>Проја</t>
  </si>
  <si>
    <t>Рол-виршла</t>
  </si>
  <si>
    <t>Тесто за супу - резанци</t>
  </si>
  <si>
    <t>Тесто за супу са јајима</t>
  </si>
  <si>
    <t>Тесто за супу - трака нарецкана</t>
  </si>
  <si>
    <t>Чврстин</t>
  </si>
  <si>
    <t>Намаз од пасуља</t>
  </si>
  <si>
    <t>Намаз од леблебије</t>
  </si>
  <si>
    <t>Намаз од леблебије и сусама</t>
  </si>
  <si>
    <t>Додатак јелима са поврћем</t>
  </si>
  <si>
    <t>Лорберов лист</t>
  </si>
  <si>
    <t>Млевени бибер</t>
  </si>
  <si>
    <t>Со кухињска</t>
  </si>
  <si>
    <t>Чај брусница</t>
  </si>
  <si>
    <t>Чај јагода</t>
  </si>
  <si>
    <t>Газирани сок од поморанџе</t>
  </si>
  <si>
    <t>Мултивитамински напитак са укусом лимуна</t>
  </si>
  <si>
    <t>Мултивитамински напитак</t>
  </si>
  <si>
    <t>Мултивитамински напитак са укусом наранџе</t>
  </si>
  <si>
    <t>Сок бистри боровница</t>
  </si>
  <si>
    <t>Сок бистри јабука</t>
  </si>
  <si>
    <t>Сок бистри наранџа</t>
  </si>
  <si>
    <t>Сок, наранџа</t>
  </si>
  <si>
    <t>Кокошија коцка за супу</t>
  </si>
  <si>
    <t>Пица шапица</t>
  </si>
  <si>
    <t>Штрудла са вишњама</t>
  </si>
  <si>
    <t>Сендвич са сиром</t>
  </si>
  <si>
    <t>cena-PDV/kg</t>
  </si>
  <si>
    <t>Doprinos hrane globalnom zagrevanju: Kumulativna emisija CO2 (g/g) iz kategorije hrane - nedeljni prosek za:</t>
  </si>
  <si>
    <t>Doprinos hrane globalnom zagrevanju: Kumulativna emisija CO2 (g/g) iz kategorije hrane - sva obroka za:</t>
  </si>
  <si>
    <t>Doprinos hrane globalnom zagrevanju: Kumulativna emisija CO2 (g/g) iz kategorije hrane - za užinu 1</t>
  </si>
  <si>
    <t>Doprinos hrane globalnom zagrevanju: Kumulativna emisija CO2 (g/g) iz kategorije hrane - za ručak</t>
  </si>
  <si>
    <t>Doprinos hrane globalnom zagrevanju: Kumulativna emisija CO2 (g/g) iz kategorije hrane - za užinu 2</t>
  </si>
  <si>
    <t>Red=Djordje Natosevic</t>
  </si>
  <si>
    <t>Блитва смрзнута</t>
  </si>
  <si>
    <t>Cabbage red [EuroFir]</t>
  </si>
  <si>
    <t>Fibre USDA</t>
  </si>
  <si>
    <t xml:space="preserve"> +Frikom</t>
  </si>
  <si>
    <t>Kliknite za Sedmica_2_unos_hrane</t>
  </si>
  <si>
    <t>Kliknite za Sedmica_1_unos_hrane</t>
  </si>
  <si>
    <t>Cvarci [EuroFIR]</t>
  </si>
  <si>
    <t>Curetina kuvana (u vodi) [EuroFIR]</t>
  </si>
  <si>
    <t>https://www.building-body.com/tablica-nutritivnih-vrijednosti-mesa-i-mesnih-preradjevina/ + https://www.podravka.hr/proizvod/cevapcici/ + Faširana šnicla (Minced meat steak) [EuroFir]</t>
  </si>
  <si>
    <t>Sardina konzervirana (samo riba)</t>
  </si>
  <si>
    <t>Сардина конзервирана (само риба)</t>
  </si>
  <si>
    <t>Pečenica svinjska (dimljena) EuroFIR</t>
  </si>
  <si>
    <t>Jetrena pašteta [EuroFIR]</t>
  </si>
  <si>
    <t>Jetrena svinjska pasteta SL [EuroFIR]</t>
  </si>
  <si>
    <t>Govedina junetina 8% masnoce [EuroFir]</t>
  </si>
  <si>
    <t>Junetina masna+Govede junece meso prosek [EuroFIR]</t>
  </si>
  <si>
    <t>Kare delikates u omotu Carnex + https://www.stajedem.rs/sunka-stisnjena-u-omotu-delikates-zlatiborac-modern-selection-350g</t>
  </si>
  <si>
    <t>Kobasica svinjska [EuroFIR]</t>
  </si>
  <si>
    <t>Kulen salama [EuroFIR]</t>
  </si>
  <si>
    <t>Sremska kobasica [EuriFIR]</t>
  </si>
  <si>
    <t>Čajna kobasica [EuroFIR]</t>
  </si>
  <si>
    <t>Kranjska kobasica [EuroFIR]</t>
  </si>
  <si>
    <t>Zimska salamaSL [EuroFIR]</t>
  </si>
  <si>
    <t>https://fdc.nal.usda.gov/fdc-app.html#/food-details/336838/nutrients</t>
  </si>
  <si>
    <t>Kobasica srpska [EuroFIR] + https://fdc.nal.usda.gov/fdc-app.html#/food-details/174584/nutrients</t>
  </si>
  <si>
    <t>Junetina, suva (sušena) +https://fdc.nal.usda.gov/fdc-app.html#/food-details/170604/nutrients</t>
  </si>
  <si>
    <t>Kobasice svinjske (suve, sušene) + https://fdc.nal.usda.gov/fdc-app.html#/food-details/174603/nutrients</t>
  </si>
  <si>
    <t>Kobasica roštilska + pork sausage reduced fat https://fdc.nal.usda.gov/fdc-app.html#/food-details/337483/nutrients</t>
  </si>
  <si>
    <t>Mortadela Delikates+Mortadela svinjsko i junece [EuroFIR] + https://fdc.nal.usda.gov/fdc-app.html#/food-details/337477/nutrients</t>
  </si>
  <si>
    <t>Jetra pileca SL [EuroFIR]</t>
  </si>
  <si>
    <t>Pileća pašteta (Podravka) + Pileci namaz [EuroFIR]</t>
  </si>
  <si>
    <t>Pileca prsa u omotu SL [EuroFIR] + https://fdc.nal.usda.gov/fdc-app.html#/food-details/337523/nutrients</t>
  </si>
  <si>
    <t>Chicken meat breast without skin boneless [EuroFir] + Pile belo meso bez kostiju [EUroFIR]</t>
  </si>
  <si>
    <t>Pileći parizer (Poli) + https://www.stajedem.rs/zlatiborac-premium-parizer-pileci-mini-350g</t>
  </si>
  <si>
    <t>Резанци посни</t>
  </si>
  <si>
    <t>Ајвар, благи</t>
  </si>
  <si>
    <t>Ајвар, љути</t>
  </si>
  <si>
    <t>Type</t>
  </si>
  <si>
    <t>мак</t>
  </si>
  <si>
    <t>Griz kukuruzni [EuroFIR]</t>
  </si>
  <si>
    <t>vitamin B2 (riboflavin) (mg)</t>
  </si>
  <si>
    <t>vitamin B6, total (mg)</t>
  </si>
  <si>
    <t>vitamin B12 (µg)</t>
  </si>
  <si>
    <t>vitamin C (mg)</t>
  </si>
  <si>
    <t>vitamin D (µg)</t>
  </si>
  <si>
    <t>vitamin A (µg)</t>
  </si>
  <si>
    <t>Pickles gherkins [EuroFir] + Pickled gherkin (USDA)</t>
  </si>
  <si>
    <t>Oslić fileti+Oslic SL [EuroFIR]</t>
  </si>
  <si>
    <t>Цвекла свежа</t>
  </si>
  <si>
    <t>Kralj Petar I</t>
  </si>
  <si>
    <t>Menu II ponedeljak</t>
  </si>
  <si>
    <t>Čorba od povrća</t>
  </si>
  <si>
    <t>vitamin A</t>
  </si>
  <si>
    <t>vitamin B2 (riboflavin)</t>
  </si>
  <si>
    <t>vitamin B6, total</t>
  </si>
  <si>
    <t>vitamin B12</t>
  </si>
  <si>
    <t>vitamin C</t>
  </si>
  <si>
    <t>vitamin D</t>
  </si>
  <si>
    <t>Makaroni sa jajima [EuroFIR]</t>
  </si>
  <si>
    <t>Faširana šnicla</t>
  </si>
  <si>
    <t>Used for summer lunches</t>
  </si>
  <si>
    <t>Used for winter lunches</t>
  </si>
  <si>
    <t>Garlic [EuroFir]+USDA https://fdc.nal.usda.gov/fdc-app.html#/food-details/342614/nutrients</t>
  </si>
  <si>
    <t>Chard [EuroFIR]+USDA https://fdc.nal.usda.gov/fdc-app.html#/food-details/169991/nutrients</t>
  </si>
  <si>
    <t>String beans green raw frozen [EuroFir]+USDA https://fdc.nal.usda.gov/fdc-app.html#/food-details/342596/nutrients</t>
  </si>
  <si>
    <t>Beetroot boiled [EuroFir]+USDA https://fdc.nal.usda.gov/fdc-app.html#/food-details/342598/nutrients</t>
  </si>
  <si>
    <t>Peas green frozen [EuroFir]+USDA https://fdc.nal.usda.gov/fdc-app.html#/food-details/170016/nutrients</t>
  </si>
  <si>
    <t>Cauliflower [EuroFIR]+USDA (boiled) https://fdc.nal.usda.gov/fdc-app.html#/food-details/170397/nutrients</t>
  </si>
  <si>
    <t>Corn yellow [EuroFir]+USDA https://fdc.nal.usda.gov/fdc-app.html#/food-details/343009/nutrients</t>
  </si>
  <si>
    <t>Tomato raw [EuroFir]+USDA https://fdc.nal.usda.gov/fdc-app.html#/food-details/342502/nutrients</t>
  </si>
  <si>
    <t>Lentils brown dried [EuroFir]+USDA https://fdc.nal.usda.gov/fdc-app.html#/food-details/172420/nutrients</t>
  </si>
  <si>
    <t>Spinach frozen [EuroFir]+USDA https://fdc.nal.usda.gov/fdc-app.html#/food-details/168462/nutrients</t>
  </si>
  <si>
    <t>Apple whole raw [EuroFir]+USDA https://fdc.nal.usda.gov/fdc-app.html#/food-details/341508/nutrients</t>
  </si>
  <si>
    <t>Yoghurt 2.8% mm [EuroFir]+USDA https://fdc.nal.usda.gov/fdc-app.html#/food-details/171284/nutrients</t>
  </si>
  <si>
    <t>Jogurt 3,2% mm [EuroFIR]+USDA https://fdc.nal.usda.gov/fdc-app.html#/food-details/171284/nutrients</t>
  </si>
  <si>
    <t>Sour cream 20% milk fat [EuroFir]+USDA https://fdc.nal.usda.gov/fdc-app.html#/food-details/336550/nutrients</t>
  </si>
  <si>
    <t>Milk sour 2.8% mf [EuroFir]+USDA</t>
  </si>
  <si>
    <t>Cheese white low fat [EuroFir]+PRESIDENT Domaći Mladi sir+USDA https://fdc.nal.usda.gov/fdc-app.html#/food-details/336751/nutrients</t>
  </si>
  <si>
    <t>Cheese feta [EuroFir]+USDA https://fdc.nal.usda.gov/fdc-app.html#/food-details/173420/nutrients</t>
  </si>
  <si>
    <t>Pork lean meat average values [EuroFir]+USDA (mean of several with similar fat%)</t>
  </si>
  <si>
    <t>Pork mince meat raw [EuroFir]+USDA https://fdc.nal.usda.gov/fdc-app.html#/food-details/167902/nutrients</t>
  </si>
  <si>
    <t>Margarin mlečni Dobro Jutro (obično)+EuroFIR Dobro jutro sa mlekom+USDA https://fdc.nal.usda.gov/fdc-app.html#/food-details/343822/nutrients</t>
  </si>
  <si>
    <t>Noodles egg raw [EuroFir]+USDA https://fdc.nal.usda.gov/fdc-app.html#/food-details/169755/nutrients</t>
  </si>
  <si>
    <t>Testenina fusili (Danubius)+Barilla fusilli (USDA)+EuroFIR makarone sa jajima</t>
  </si>
  <si>
    <t>Tomato ketchup [EuroFIR]+USDA https://fdc.nal.usda.gov/fdc-app.html#/food-details/342526/nutrients</t>
  </si>
  <si>
    <t>Majonez [EuroFIR]+USDA https://fdc.nal.usda.gov/fdc-app.html#/food-details/343894/nutrients</t>
  </si>
  <si>
    <t>Tomato puree [EuroFir]+USDA https://fdc.nal.usda.gov/fdc-app.html#/food-details/342521/nutrients</t>
  </si>
  <si>
    <t>Bay leaf [EuroFir]+USDA https://fdc.nal.usda.gov/fdc-app.html#/food-details/170917/nutrients</t>
  </si>
  <si>
    <t>Dill dried (USDA) https://fdc.nal.usda.gov/fdc-app.html#/food-details/171322/nutrients</t>
  </si>
  <si>
    <t>Seasoning Zacin C [EuroFir]+USDA https://fdc.nal.usda.gov/fdc-app.html#/food-details/172243/nutrients</t>
  </si>
  <si>
    <t xml:space="preserve"> 13/11/2017</t>
  </si>
  <si>
    <t xml:space="preserve"> 14/11/2017</t>
  </si>
  <si>
    <t xml:space="preserve"> 15/11/2017</t>
  </si>
  <si>
    <t>Piča i cedevita</t>
  </si>
  <si>
    <t xml:space="preserve"> 16/11/2017</t>
  </si>
  <si>
    <t>Kroasan i čokoladno mleko</t>
  </si>
  <si>
    <t xml:space="preserve"> 17/11/2017</t>
  </si>
  <si>
    <t>Krofna sa džemom od</t>
  </si>
  <si>
    <t>šipka</t>
  </si>
  <si>
    <t>Cedevita</t>
  </si>
  <si>
    <t>Salata od kupusa</t>
  </si>
  <si>
    <t>Čorbast pasulj</t>
  </si>
  <si>
    <t>Kolač sa jabukom</t>
  </si>
  <si>
    <t>Spanać - pire</t>
  </si>
  <si>
    <t>Kupus salata</t>
  </si>
  <si>
    <t>Pečeni pileći file, pirinač</t>
  </si>
  <si>
    <t>Day</t>
  </si>
  <si>
    <t>Do many of your children walk long distances to school?</t>
  </si>
  <si>
    <t>Recommended amounts of kcal and nutrients per meal are based on the MPNTR rulebook and recommendations of European Food Safety Authority.</t>
  </si>
  <si>
    <t>Select food category:</t>
  </si>
  <si>
    <t>Select ingredient:</t>
  </si>
  <si>
    <t>Enter ingredient quantity (gram):</t>
  </si>
  <si>
    <t>Enter how many meals that is for:</t>
  </si>
  <si>
    <t>Quantity for total no. of children (kg)</t>
  </si>
  <si>
    <t>Not bought</t>
  </si>
  <si>
    <t>Total kilo-calories per meal</t>
  </si>
  <si>
    <t>Enter meal description for parents</t>
  </si>
  <si>
    <t>Enter number of children per meal</t>
  </si>
  <si>
    <t>Give the meal courses</t>
  </si>
  <si>
    <t>Monday</t>
  </si>
  <si>
    <t>Tuesday</t>
  </si>
  <si>
    <t>Wednesday</t>
  </si>
  <si>
    <t>Thursday</t>
  </si>
  <si>
    <t>Friday</t>
  </si>
  <si>
    <t>Vegetables_processed</t>
  </si>
  <si>
    <t>Meat_processed</t>
  </si>
  <si>
    <t>Fish_processed_canned</t>
  </si>
  <si>
    <t>Eggs</t>
  </si>
  <si>
    <t>Meat_fresh_frozen</t>
  </si>
  <si>
    <t>Fish_fresh_frozen</t>
  </si>
  <si>
    <t>Oil_butter_margarine</t>
  </si>
  <si>
    <t>Spices_seasonings</t>
  </si>
  <si>
    <t>Fruits_nuts_dried_fruit</t>
  </si>
  <si>
    <t>Sweet_foods_cakes</t>
  </si>
  <si>
    <t>Bread_and_pastries</t>
  </si>
  <si>
    <t>Savoury_pastries</t>
  </si>
  <si>
    <t>Sweet_pastries</t>
  </si>
  <si>
    <t>Other_processed_foods</t>
  </si>
  <si>
    <t>Sweetened_drinks_teas_coffee</t>
  </si>
  <si>
    <t>Fruit_juices_water</t>
  </si>
  <si>
    <t>Dairy_products</t>
  </si>
  <si>
    <t>% of daily energy provided by school meals is according to Ministry's regulations: usually 30% breakfast, 10% snack, 30% lunch, 10% afternoon snack, totalling 80% daily intake. If many children walk some distance to school, 5% more is added to breakfast. If many children only have a snack, 5% more is added to the snack.</t>
  </si>
  <si>
    <t>French fries, frozen</t>
  </si>
  <si>
    <t>Scroll down for more options</t>
  </si>
  <si>
    <t>Beetroot, cooked, pickled</t>
  </si>
  <si>
    <t>Sweetcorn, canned</t>
  </si>
  <si>
    <t>Cabbage heads, pickled</t>
  </si>
  <si>
    <t>Cabbage grated, pickled</t>
  </si>
  <si>
    <t>Peppers pickled</t>
  </si>
  <si>
    <t>Peppers pasteurized fillets</t>
  </si>
  <si>
    <t>Mushrooms marinated</t>
  </si>
  <si>
    <t>Mixed salad, canned</t>
  </si>
  <si>
    <t>Mixed salad pickled</t>
  </si>
  <si>
    <t>Broccoli</t>
  </si>
  <si>
    <t>Celery leaf</t>
  </si>
  <si>
    <t>Onion</t>
  </si>
  <si>
    <t>Red onion</t>
  </si>
  <si>
    <t>Beetroot fresh</t>
  </si>
  <si>
    <t>Pepperoni</t>
  </si>
  <si>
    <t>Cucumber fresh</t>
  </si>
  <si>
    <t>Cabbage white fresh</t>
  </si>
  <si>
    <t>Cabbage red fresh</t>
  </si>
  <si>
    <t>Mixed vegetables for stew</t>
  </si>
  <si>
    <t>Mixed vegetables for Russian salad</t>
  </si>
  <si>
    <t>Mixed vegetables golden</t>
  </si>
  <si>
    <t>Tomatoes</t>
  </si>
  <si>
    <t>Cherry tomatoes</t>
  </si>
  <si>
    <t>Parsley root</t>
  </si>
  <si>
    <t>Parsley leaf, fresh</t>
  </si>
  <si>
    <t>Carrots frozen</t>
  </si>
  <si>
    <t>Carrot fresh</t>
  </si>
  <si>
    <t>Spinach fresh</t>
  </si>
  <si>
    <t>Pumpkin</t>
  </si>
  <si>
    <t>Iceberg lettuce</t>
  </si>
  <si>
    <t>Swiss chard frozen</t>
  </si>
  <si>
    <t>Swiss chard fresh</t>
  </si>
  <si>
    <t>Green (French) beans</t>
  </si>
  <si>
    <t>Onion red</t>
  </si>
  <si>
    <t>Peas frozen</t>
  </si>
  <si>
    <t>Potatoes white</t>
  </si>
  <si>
    <t>Potatoes red</t>
  </si>
  <si>
    <t>Sweetcorn frozen</t>
  </si>
  <si>
    <t>Mixed vegetables Imperial</t>
  </si>
  <si>
    <t>Mixed Vegetables for soup</t>
  </si>
  <si>
    <t>Onions spring</t>
  </si>
  <si>
    <t>Potatoes early</t>
  </si>
  <si>
    <t>Peppers bell</t>
  </si>
  <si>
    <t>Peppers red, sweet</t>
  </si>
  <si>
    <t>Peppers yellow, sweet</t>
  </si>
  <si>
    <t>Beans haricot (yellow)</t>
  </si>
  <si>
    <t>Beans (white)</t>
  </si>
  <si>
    <t>Aubergine</t>
  </si>
  <si>
    <t>Spinach frozen</t>
  </si>
  <si>
    <t>Parsnip and carrot</t>
  </si>
  <si>
    <t>Dock leaves</t>
  </si>
  <si>
    <t>Vegetables_mushrooms_fresh_frozen</t>
  </si>
  <si>
    <t>Flour_pasta_seeds_cereals</t>
  </si>
  <si>
    <t>Sauces_purees_dressings</t>
  </si>
  <si>
    <t>Scroll_down_for_more_options</t>
  </si>
  <si>
    <t>Beans (coloured)</t>
  </si>
  <si>
    <t>Gherkins pickled</t>
  </si>
  <si>
    <t>Beef medium fat</t>
  </si>
  <si>
    <t>Beef, fat free</t>
  </si>
  <si>
    <t>Chicken wings</t>
  </si>
  <si>
    <t>Chicken drumstick with skin</t>
  </si>
  <si>
    <t>Chicken (whole), average</t>
  </si>
  <si>
    <t>Chicken breast (breasts)</t>
  </si>
  <si>
    <t>Medium fat pork</t>
  </si>
  <si>
    <t>Pork shoulder</t>
  </si>
  <si>
    <t>Pork rosary</t>
  </si>
  <si>
    <t>Pork leg (steak)</t>
  </si>
  <si>
    <t>Pork fillet</t>
  </si>
  <si>
    <t>Pork minced meat</t>
  </si>
  <si>
    <t>Turkey breast</t>
  </si>
  <si>
    <t>Beef rump/silverside</t>
  </si>
  <si>
    <t>Beef fatty</t>
  </si>
  <si>
    <t>Beef minced</t>
  </si>
  <si>
    <t>Bones of young beef (neck)</t>
  </si>
  <si>
    <t>Chicken drumstick skinless</t>
  </si>
  <si>
    <t>Pork medium fat</t>
  </si>
  <si>
    <t>Beef prosciutto</t>
  </si>
  <si>
    <t>Liver pate with ham</t>
  </si>
  <si>
    <t>Kare delicacies in a wrap</t>
  </si>
  <si>
    <t>Kare smoked (meat dry, dried)</t>
  </si>
  <si>
    <t>Chicken pate</t>
  </si>
  <si>
    <t>Ham parizer</t>
  </si>
  <si>
    <t>Pork prosciutto</t>
  </si>
  <si>
    <t>Chevaps (pork/beef)</t>
  </si>
  <si>
    <t>Crackling (pork)</t>
  </si>
  <si>
    <t>Drozdins</t>
  </si>
  <si>
    <t>Beef, dried</t>
  </si>
  <si>
    <t>Herbal sausage</t>
  </si>
  <si>
    <t>Sausage Kranjska</t>
  </si>
  <si>
    <t>Sausage for grilling</t>
  </si>
  <si>
    <t>Sausage Sremska</t>
  </si>
  <si>
    <t>Sausage pork, smoked</t>
  </si>
  <si>
    <t>Sausage pork, smoked (dried)</t>
  </si>
  <si>
    <t>Sausage winter, smoked</t>
  </si>
  <si>
    <t>Pork smoked ham</t>
  </si>
  <si>
    <t>Bacon (dried) meaty</t>
  </si>
  <si>
    <t>Bacon cooked</t>
  </si>
  <si>
    <t>Bacon (hambushka)</t>
  </si>
  <si>
    <t>Ham without fat</t>
  </si>
  <si>
    <t>Ham smoked, cooked</t>
  </si>
  <si>
    <t>Ham smoked, dried</t>
  </si>
  <si>
    <t>Ham processed</t>
  </si>
  <si>
    <t>Ham processed in a wrap</t>
  </si>
  <si>
    <t>Ham for pizza</t>
  </si>
  <si>
    <t>Pork ribs dry (smoked)</t>
  </si>
  <si>
    <t>Pork neck, dried meat</t>
  </si>
  <si>
    <t>Toast spread</t>
  </si>
  <si>
    <t>Hot dog (pork)</t>
  </si>
  <si>
    <t>Carp</t>
  </si>
  <si>
    <t>Fishburger breaded</t>
  </si>
  <si>
    <t>Herring fillet in vegetable oil</t>
  </si>
  <si>
    <t>Hake breaded (fillets)</t>
  </si>
  <si>
    <t>Canned sardines (fish only)</t>
  </si>
  <si>
    <t>Mackerel, fillets in vegetable oil</t>
  </si>
  <si>
    <t>Tuna preserved in oil</t>
  </si>
  <si>
    <t>Tuna preserved in brine</t>
  </si>
  <si>
    <t>Tuna paté</t>
  </si>
  <si>
    <t>Fish paté</t>
  </si>
  <si>
    <t>Fish fingers</t>
  </si>
  <si>
    <t>Chicken egg, whole</t>
  </si>
  <si>
    <t>Chicken egg white</t>
  </si>
  <si>
    <t>Chicken egg yolks</t>
  </si>
  <si>
    <t>Yogurt Greek</t>
  </si>
  <si>
    <t>Fruit yogurt</t>
  </si>
  <si>
    <t>Cream cheese spread</t>
  </si>
  <si>
    <t>Milk shake</t>
  </si>
  <si>
    <t>Fresh cheese</t>
  </si>
  <si>
    <t>Cheese, feta, soft (in brine)</t>
  </si>
  <si>
    <t>Cheese, cow, low fat, mozzarella</t>
  </si>
  <si>
    <t>Whey powder</t>
  </si>
  <si>
    <t>Hard cheese</t>
  </si>
  <si>
    <t>Cow's milk 3.2% fat</t>
  </si>
  <si>
    <t>Cow's milk 2.8% fat</t>
  </si>
  <si>
    <t>Parmesan cheese</t>
  </si>
  <si>
    <t>Cheese, Edam, 30% fat</t>
  </si>
  <si>
    <t>Cheese, Gouda, 48% fat</t>
  </si>
  <si>
    <t>Cheese, hard 45% fat</t>
  </si>
  <si>
    <t>Cheese, for pizza, 45% fat</t>
  </si>
  <si>
    <t>Cheese, grated (less than 1 kg)</t>
  </si>
  <si>
    <t>Cheese, grated (at least 1 kg)</t>
  </si>
  <si>
    <t>Cheese, Swiss (grated)</t>
  </si>
  <si>
    <t>Cheese, processed, slices</t>
  </si>
  <si>
    <t>Cheese, hard, grated</t>
  </si>
  <si>
    <t>Cheese, Trapist</t>
  </si>
  <si>
    <t>Cheese spread 70% fat</t>
  </si>
  <si>
    <t>Cheese spread triangles 35% fat</t>
  </si>
  <si>
    <t>Margarine, vegetable oils (at least 500g)</t>
  </si>
  <si>
    <t>Margarine table (less than 500g)</t>
  </si>
  <si>
    <t>Butter, unsalted</t>
  </si>
  <si>
    <t>Pork fat</t>
  </si>
  <si>
    <t>Sunflower oil</t>
  </si>
  <si>
    <t>Margarine, vegetable oil (less than 500g)</t>
  </si>
  <si>
    <t>Margarine, vegetable oil (at least 500g)</t>
  </si>
  <si>
    <t>Margarine from milk (less than 500g)</t>
  </si>
  <si>
    <t>Margarine from milk (at least 500g)</t>
  </si>
  <si>
    <t>Margarine table (at least 500g)</t>
  </si>
  <si>
    <t>Wheat flour white</t>
  </si>
  <si>
    <t>Barley</t>
  </si>
  <si>
    <t>Cornflakes</t>
  </si>
  <si>
    <t>Corn flour, whole</t>
  </si>
  <si>
    <t>Poppy seeds</t>
  </si>
  <si>
    <t>Musli (average)</t>
  </si>
  <si>
    <t>Oats</t>
  </si>
  <si>
    <t>Rice, white grain</t>
  </si>
  <si>
    <t>Rice, integral</t>
  </si>
  <si>
    <t>Noodles lace</t>
  </si>
  <si>
    <t>Sesame seeds</t>
  </si>
  <si>
    <t>Pasta macaroni</t>
  </si>
  <si>
    <t>Pasta spaghetti</t>
  </si>
  <si>
    <t>Pasta tarana</t>
  </si>
  <si>
    <t>Cereal (frozen) 5% walnuts</t>
  </si>
  <si>
    <t>Wheat flour wholemeal</t>
  </si>
  <si>
    <t>Wheat semolina</t>
  </si>
  <si>
    <t>Buckwheat flour/pastry</t>
  </si>
  <si>
    <t>Coconut flour (sweetened)</t>
  </si>
  <si>
    <t>Lasagna sheets</t>
  </si>
  <si>
    <t>Pie pastry</t>
  </si>
  <si>
    <t>Pie pastry, wholemeal, fresh</t>
  </si>
  <si>
    <t>Popcorn</t>
  </si>
  <si>
    <t>Corn semolina</t>
  </si>
  <si>
    <t>Chickpeas</t>
  </si>
  <si>
    <t>Polenta</t>
  </si>
  <si>
    <t>Breadcrumbs</t>
  </si>
  <si>
    <t>Millet seeds/flour</t>
  </si>
  <si>
    <t>Wheat grains</t>
  </si>
  <si>
    <t>Rye grain/flour</t>
  </si>
  <si>
    <t>Soya flour (fat extracted)</t>
  </si>
  <si>
    <t>Pasta fusilli</t>
  </si>
  <si>
    <t>Pasta spirals</t>
  </si>
  <si>
    <t>Puff pastry</t>
  </si>
  <si>
    <t>Ajvar mild</t>
  </si>
  <si>
    <t>Ketchup</t>
  </si>
  <si>
    <t>Ketchup, Aro</t>
  </si>
  <si>
    <t>Tomato juice</t>
  </si>
  <si>
    <t>Baking powder</t>
  </si>
  <si>
    <t>Balsamic vinegar</t>
  </si>
  <si>
    <t>Apple cider vinegar</t>
  </si>
  <si>
    <t>Ajvar spicy</t>
  </si>
  <si>
    <t>Starch thickener</t>
  </si>
  <si>
    <t>Tomatoes cooked</t>
  </si>
  <si>
    <t>Citric acid (Limuntus)</t>
  </si>
  <si>
    <t>Bean spread</t>
  </si>
  <si>
    <t>Houmous</t>
  </si>
  <si>
    <t>Tomato paste, Tomatino</t>
  </si>
  <si>
    <t>Tomato puree</t>
  </si>
  <si>
    <t>Sodium bicarbonate</t>
  </si>
  <si>
    <t>Garlic in granules</t>
  </si>
  <si>
    <t>Ground pepper</t>
  </si>
  <si>
    <t>Basil leaf, dry</t>
  </si>
  <si>
    <t>Oregano, dry</t>
  </si>
  <si>
    <t>Parsley leaf, dry</t>
  </si>
  <si>
    <t>Rosemary, dry</t>
  </si>
  <si>
    <t>Spice C</t>
  </si>
  <si>
    <t>Cumin</t>
  </si>
  <si>
    <t>Bay leaves</t>
  </si>
  <si>
    <t>Dill leaves, dry</t>
  </si>
  <si>
    <t>Dill leaves, fresh</t>
  </si>
  <si>
    <t>Mint leaves dried</t>
  </si>
  <si>
    <t>Sweet pepper (dry), ground</t>
  </si>
  <si>
    <t>Apple</t>
  </si>
  <si>
    <t>Apple, Red Delicious</t>
  </si>
  <si>
    <t>Apple, Gala</t>
  </si>
  <si>
    <t>Apple, Granny Smith</t>
  </si>
  <si>
    <t>Apple, Golden Delicious</t>
  </si>
  <si>
    <t>Pear</t>
  </si>
  <si>
    <t>Prunes</t>
  </si>
  <si>
    <t>Almond (dry, roasted, salt free)</t>
  </si>
  <si>
    <t>Peanuts, roasted, salt-free</t>
  </si>
  <si>
    <t>Hazelnuts</t>
  </si>
  <si>
    <t>Olives pasteurized</t>
  </si>
  <si>
    <t>Oranges</t>
  </si>
  <si>
    <t>Figs</t>
  </si>
  <si>
    <t>Forest fruits, frozen</t>
  </si>
  <si>
    <t>Raisins (dried grapes)</t>
  </si>
  <si>
    <t>Cherries</t>
  </si>
  <si>
    <t>Sour cherries, frozen</t>
  </si>
  <si>
    <t>Chocolate egg</t>
  </si>
  <si>
    <t>Chocolate with rice</t>
  </si>
  <si>
    <t>Chocolate for cooking</t>
  </si>
  <si>
    <t>Chocolate flakes</t>
  </si>
  <si>
    <t>Chocolate spread</t>
  </si>
  <si>
    <t>Euro cream</t>
  </si>
  <si>
    <t>Eurocream block</t>
  </si>
  <si>
    <t>Cocoa powder, unsweetened</t>
  </si>
  <si>
    <t>Caramel hazelnut</t>
  </si>
  <si>
    <t>Noblice biscuit</t>
  </si>
  <si>
    <t>Creamy banana</t>
  </si>
  <si>
    <t>Nesquik</t>
  </si>
  <si>
    <t>Plum jam</t>
  </si>
  <si>
    <t>Cream puffs</t>
  </si>
  <si>
    <t>Chocolate pudding</t>
  </si>
  <si>
    <t>Strawberry pudding</t>
  </si>
  <si>
    <t>Vanilla pudding</t>
  </si>
  <si>
    <t>7 days cake bar</t>
  </si>
  <si>
    <t>Boiled sweets</t>
  </si>
  <si>
    <t>Tea biscuits</t>
  </si>
  <si>
    <t>Chocolate bar (banana)</t>
  </si>
  <si>
    <t>Coconut cakes</t>
  </si>
  <si>
    <t>Rose hip jam</t>
  </si>
  <si>
    <t>Chocolate bar (Fazon)</t>
  </si>
  <si>
    <t>Biscuit wholemeal</t>
  </si>
  <si>
    <t>Biscuit Petit beurre</t>
  </si>
  <si>
    <t>Plasma biscuit</t>
  </si>
  <si>
    <t>Biscuit Wellness wholemeal with chocolate</t>
  </si>
  <si>
    <t>Marshmallow</t>
  </si>
  <si>
    <t>Jam mixed</t>
  </si>
  <si>
    <t>Napolitanke wafers</t>
  </si>
  <si>
    <t>Wafers</t>
  </si>
  <si>
    <t>Pudding powder</t>
  </si>
  <si>
    <t>Turkish delight</t>
  </si>
  <si>
    <t>Sugar granulated</t>
  </si>
  <si>
    <t>Icing sugar</t>
  </si>
  <si>
    <t>Whipping cream</t>
  </si>
  <si>
    <t>Vanilla flavoured sugar</t>
  </si>
  <si>
    <t>Apricot filling</t>
  </si>
  <si>
    <t>Cherry filling</t>
  </si>
  <si>
    <t>Bread, white</t>
  </si>
  <si>
    <t>Bread, half-white</t>
  </si>
  <si>
    <t>Toasted squares</t>
  </si>
  <si>
    <t>Bread, wholemeal</t>
  </si>
  <si>
    <t>Integral bread stick</t>
  </si>
  <si>
    <t>Kaiserica bun white</t>
  </si>
  <si>
    <t>Wholemeal roll</t>
  </si>
  <si>
    <t>Croissant</t>
  </si>
  <si>
    <t>Large bun</t>
  </si>
  <si>
    <t>Pastries (white flour)</t>
  </si>
  <si>
    <t>Pretzel</t>
  </si>
  <si>
    <t>Plaited bun</t>
  </si>
  <si>
    <t>Bread stick</t>
  </si>
  <si>
    <t>Bread roll</t>
  </si>
  <si>
    <t>Burek with potatoes</t>
  </si>
  <si>
    <t>Burek with chicken</t>
  </si>
  <si>
    <t>Burek with pork</t>
  </si>
  <si>
    <t>Savoury biscuits Tak</t>
  </si>
  <si>
    <t>Cocktail pastries</t>
  </si>
  <si>
    <t>Croissant with cheese and ham</t>
  </si>
  <si>
    <t>Buckwheat paté</t>
  </si>
  <si>
    <t>Paté with cheese</t>
  </si>
  <si>
    <t>Pie with buckwheat flour</t>
  </si>
  <si>
    <t>Pizza base</t>
  </si>
  <si>
    <t>Bun with crackling</t>
  </si>
  <si>
    <t>Bun with cheese</t>
  </si>
  <si>
    <t>Spiral bun with cheese</t>
  </si>
  <si>
    <t>Spiral bun small</t>
  </si>
  <si>
    <t>Roll with cheese</t>
  </si>
  <si>
    <t>Croissant with chocolate</t>
  </si>
  <si>
    <t>Apple strudel</t>
  </si>
  <si>
    <t>Cherry strudel</t>
  </si>
  <si>
    <t>Square doughnuts with jam</t>
  </si>
  <si>
    <t>Apple tart</t>
  </si>
  <si>
    <t>Doughnut with jam</t>
  </si>
  <si>
    <t>Ćevapi in a bun</t>
  </si>
  <si>
    <t>Beef cube flavouring</t>
  </si>
  <si>
    <t>Chicken soup packet</t>
  </si>
  <si>
    <t>Beef soup packet</t>
  </si>
  <si>
    <t>Tomato soup packet</t>
  </si>
  <si>
    <t>Chicken soup thick packet</t>
  </si>
  <si>
    <t>Chicken cube flavouring</t>
  </si>
  <si>
    <t>Pizza with salami</t>
  </si>
  <si>
    <t>Sauerkraut cooked</t>
  </si>
  <si>
    <t>Rice pudding</t>
  </si>
  <si>
    <t>Cranberry tea</t>
  </si>
  <si>
    <t>Wild cherry tea</t>
  </si>
  <si>
    <t>Hibiscus tea</t>
  </si>
  <si>
    <t>Strawberry tea</t>
  </si>
  <si>
    <t>Cedevita lemon</t>
  </si>
  <si>
    <t>Instant coffee</t>
  </si>
  <si>
    <t>Mint tea</t>
  </si>
  <si>
    <t>Rosehip tea</t>
  </si>
  <si>
    <t>Sprite/Fanta</t>
  </si>
  <si>
    <t>Blueberry juice</t>
  </si>
  <si>
    <t>Peach juice</t>
  </si>
  <si>
    <t>Water</t>
  </si>
  <si>
    <t>Lemon juice 100%, squeezed</t>
  </si>
  <si>
    <t>Orange juice 100%</t>
  </si>
  <si>
    <t>Mixed Vegetables (Imperial)</t>
  </si>
  <si>
    <t>Mixed Vegetables (Golden)</t>
  </si>
  <si>
    <t>Instant mashed potatoes</t>
  </si>
  <si>
    <t>Sweetcorn (frozen)</t>
  </si>
  <si>
    <t>Mixed vegetables (Golden)</t>
  </si>
  <si>
    <t>Mixed vegetables for soup</t>
  </si>
  <si>
    <t>Mixed vegetables (Imperial)</t>
  </si>
  <si>
    <t>Courgette</t>
  </si>
  <si>
    <t>Cucumber, peeled</t>
  </si>
  <si>
    <t>Potatoes (baked with or without skin, salted)</t>
  </si>
  <si>
    <t>Vegetables for soup</t>
  </si>
  <si>
    <t>Potatoes, young</t>
  </si>
  <si>
    <t>Potatoes  red</t>
  </si>
  <si>
    <t>Spring onions</t>
  </si>
  <si>
    <t>Vegetables+mushrooms fresh_ rozen</t>
  </si>
  <si>
    <t>Apple, peeled (without peel)</t>
  </si>
  <si>
    <t>Mandarin orange</t>
  </si>
  <si>
    <t>Pork loin</t>
  </si>
  <si>
    <t>Sweetcorn, frozen</t>
  </si>
  <si>
    <t>Minced meat beef/pork mixed</t>
  </si>
  <si>
    <t>Chicken breast</t>
  </si>
  <si>
    <t>Chocolate milk 1% fat (less than 1 l)</t>
  </si>
  <si>
    <t>Chocolate milk 1% fat (at least 1 l)</t>
  </si>
  <si>
    <t>Yogurt 0.9% fat (at least 1 l)</t>
  </si>
  <si>
    <t>Yogurt 0.9% fat (less than 1 l)</t>
  </si>
  <si>
    <t>Yogurt 2.8% fat (at least 1 l)</t>
  </si>
  <si>
    <t>Yogurt 2.8% fat (less than 1 l)</t>
  </si>
  <si>
    <t>Yogurt 3.2% fat (at least 1 l)</t>
  </si>
  <si>
    <t>Yogurt 3.2% fat (less than 1 l)</t>
  </si>
  <si>
    <t>Sour milk, 2.8% fat</t>
  </si>
  <si>
    <t>Sour cream, 20% fat</t>
  </si>
  <si>
    <t>Sour cream, 12% fat</t>
  </si>
  <si>
    <t>Mileram 22% fat</t>
  </si>
  <si>
    <t>Fruit yogurt, low-fat</t>
  </si>
  <si>
    <t>Yogurt 2.8% fat (at least 1 liter)</t>
  </si>
  <si>
    <t>Cheese, pizza, 45% fat</t>
  </si>
  <si>
    <t>Cheese, hard 35% fat</t>
  </si>
  <si>
    <t>Cheese, hard 45% mm</t>
  </si>
  <si>
    <t>Vanilla or strawberry flavoured milk</t>
  </si>
  <si>
    <t>Greek yogurt</t>
  </si>
  <si>
    <t>Kare smoked meat (dried)</t>
  </si>
  <si>
    <t>Chicken parizer</t>
  </si>
  <si>
    <t>Pork burger</t>
  </si>
  <si>
    <t>Beef neck</t>
  </si>
  <si>
    <t>Piglet</t>
  </si>
  <si>
    <t>Bacon (raw, without skin)</t>
  </si>
  <si>
    <t>Ham processsed</t>
  </si>
  <si>
    <t>Hake</t>
  </si>
  <si>
    <t>Catfish (fried)</t>
  </si>
  <si>
    <t>Margarine, vegetable oils (less than 500g)</t>
  </si>
  <si>
    <t>Fried squids (fingers)</t>
  </si>
  <si>
    <t>Whipped cream</t>
  </si>
  <si>
    <t>7 day cake bar</t>
  </si>
  <si>
    <t>Cereal bar Bonzita</t>
  </si>
  <si>
    <t>Jaffa cake</t>
  </si>
  <si>
    <t>Apricot compote</t>
  </si>
  <si>
    <t>Apple cake</t>
  </si>
  <si>
    <t>Peach, apricot compote</t>
  </si>
  <si>
    <t>Plasma Biscuit</t>
  </si>
  <si>
    <t>Creamy bananas</t>
  </si>
  <si>
    <t>Coconut cake</t>
  </si>
  <si>
    <t>Fairy cakes</t>
  </si>
  <si>
    <t>Biscuit integral</t>
  </si>
  <si>
    <t>Boiked sweets</t>
  </si>
  <si>
    <t>Wheat, cooked (with nuts and whipped cream)</t>
  </si>
  <si>
    <t>Wheat flour integral</t>
  </si>
  <si>
    <t>Integral roll</t>
  </si>
  <si>
    <t>Cookie salty Tak</t>
  </si>
  <si>
    <t>A bun with seeds</t>
  </si>
  <si>
    <t>Sesame bun</t>
  </si>
  <si>
    <t>Rice, rice, white grain, cooked</t>
  </si>
  <si>
    <t>Rice, integral, brown, cooked</t>
  </si>
  <si>
    <t>Cheese pie</t>
  </si>
  <si>
    <t>Pasta spaghetti uncooked</t>
  </si>
  <si>
    <t>Bun with sesame seeds</t>
  </si>
  <si>
    <t>Wheat semolinas</t>
  </si>
  <si>
    <t>Bun (white flour)</t>
  </si>
  <si>
    <t>Croissant with cocoa cream</t>
  </si>
  <si>
    <t>Croissant with cheese</t>
  </si>
  <si>
    <t>Noodles with egg</t>
  </si>
  <si>
    <t>Noodles without egg</t>
  </si>
  <si>
    <t>Pasta without egg</t>
  </si>
  <si>
    <t>Macaroni with egg</t>
  </si>
  <si>
    <t>Chalcone ham cheese</t>
  </si>
  <si>
    <t>Pumpkin pie</t>
  </si>
  <si>
    <t>Hot dog bun white</t>
  </si>
  <si>
    <t>Hot dog sausage (chicken)</t>
  </si>
  <si>
    <t>Hot dog sausage (beef + pork)</t>
  </si>
  <si>
    <t>Hot dog sausage (pork)</t>
  </si>
  <si>
    <t>Meal supplement/Vegeta</t>
  </si>
  <si>
    <t>Pepper corns</t>
  </si>
  <si>
    <t>Pomegranate tea</t>
  </si>
  <si>
    <t>Margarita pizza</t>
  </si>
  <si>
    <t>Cedevita orange</t>
  </si>
  <si>
    <t>Blueberry syrup (squash) diluted</t>
  </si>
  <si>
    <t>Apple syrup (squash) diluted</t>
  </si>
  <si>
    <t>Raspberry syrup (squash) diluted</t>
  </si>
  <si>
    <t>Orange/lemon syrup (squash) diluted</t>
  </si>
  <si>
    <t>Cherry syrup (squash) diluted</t>
  </si>
  <si>
    <t>Blueberry syrup (squash) undiluted</t>
  </si>
  <si>
    <t>Apple syrup (squash) undiluted</t>
  </si>
  <si>
    <t>Raspberry syrup (squash) undiluted</t>
  </si>
  <si>
    <t>Cherry syrup (squash) undiluted</t>
  </si>
  <si>
    <t>Orange/lemon syrup (squash) undiluted</t>
  </si>
  <si>
    <t>Pizza margarita</t>
  </si>
  <si>
    <t>Blackcurrant syrup (squash) diluted</t>
  </si>
  <si>
    <t>Blackcurrant syrup (squash) undiluted</t>
  </si>
  <si>
    <t>Horseradish</t>
  </si>
  <si>
    <t>Rose hip tea</t>
  </si>
  <si>
    <t xml:space="preserve">Friday        </t>
  </si>
  <si>
    <t xml:space="preserve">Thursday   </t>
  </si>
  <si>
    <t xml:space="preserve">Tuesday    </t>
  </si>
  <si>
    <t xml:space="preserve">Monday     </t>
  </si>
  <si>
    <t>Weekly average</t>
  </si>
  <si>
    <t xml:space="preserve">     All meals  </t>
  </si>
  <si>
    <t xml:space="preserve">Breakfast </t>
  </si>
  <si>
    <t xml:space="preserve">Snack 1   </t>
  </si>
  <si>
    <t xml:space="preserve">Lunch      </t>
  </si>
  <si>
    <t xml:space="preserve">Snack 2   </t>
  </si>
  <si>
    <t>All meals for</t>
  </si>
  <si>
    <t>Breakfast for</t>
  </si>
  <si>
    <t>Snack 1 for</t>
  </si>
  <si>
    <t>Lunch for</t>
  </si>
  <si>
    <t>Snack 2 for</t>
  </si>
  <si>
    <t>Sausage roll</t>
  </si>
  <si>
    <t>Pie of buckwheat flour</t>
  </si>
  <si>
    <t>Sauces_purees_dressings_seasonings</t>
  </si>
  <si>
    <t>Bread_and_savoury+sweet_pastries</t>
  </si>
  <si>
    <t>Snack-1</t>
  </si>
  <si>
    <t>Snack-2</t>
  </si>
  <si>
    <t>COST</t>
  </si>
  <si>
    <t>Daily average cost</t>
  </si>
  <si>
    <t>Daily total cost</t>
  </si>
  <si>
    <t>Breakfast cost</t>
  </si>
  <si>
    <t>Snack-2 cost</t>
  </si>
  <si>
    <t>Lunch cost</t>
  </si>
  <si>
    <t>Snack-1 cost</t>
  </si>
  <si>
    <t>WEIGHT</t>
  </si>
  <si>
    <t>Daily average weight</t>
  </si>
  <si>
    <t>Daily total weight</t>
  </si>
  <si>
    <t>Breakfast weight</t>
  </si>
  <si>
    <t>Snack-1 weight</t>
  </si>
  <si>
    <t>Lunch weight</t>
  </si>
  <si>
    <t>Snack-2 weight</t>
  </si>
  <si>
    <t>CO2 EMISSIONS</t>
  </si>
  <si>
    <t>Weekly average CO2 emissions</t>
  </si>
  <si>
    <t>Daily total CO2 emissions</t>
  </si>
  <si>
    <t>Breakfast CO2 emissions</t>
  </si>
  <si>
    <t>Snack-1 CO2 emissions</t>
  </si>
  <si>
    <t>Lunch CO2 emissions</t>
  </si>
  <si>
    <t>Snack-2 CO2 emissions</t>
  </si>
  <si>
    <t>Fish_fresh_frozen_conserved</t>
  </si>
  <si>
    <t>Oil_butter_margarine.     Flour_pasta_seeds_cereals.     Sauces_purees_dressings_seasonings.     Sweet_foods.     Bread_savoury+sweet_pastries.     Other_processed_foods.     Sweetened_drinks_teas_coffee.    Fruit_juices.</t>
  </si>
  <si>
    <t>Cumulative costs of food categories per meal: average (din)</t>
  </si>
  <si>
    <t xml:space="preserve">   Select                          week:</t>
  </si>
  <si>
    <t xml:space="preserve">   Select                                prices:</t>
  </si>
  <si>
    <t>Daily allowances (weekly average) given to children:% recommended</t>
  </si>
  <si>
    <t>Daily amounts (weekly average) that children eat:% recommended</t>
  </si>
  <si>
    <t>Typical food residue / day (g)</t>
  </si>
  <si>
    <t>CO2 equivalent / day (g)</t>
  </si>
  <si>
    <t>Typical amount of leftover food / day%</t>
  </si>
  <si>
    <t>Cost of food leftovers / day (din)</t>
  </si>
  <si>
    <t>Cost of food leftovers / day%</t>
  </si>
  <si>
    <t>Quantity of all meals / day (g):</t>
  </si>
  <si>
    <t>Total ingredient price / day (din)</t>
  </si>
  <si>
    <t xml:space="preserve">All meals - All days     </t>
  </si>
  <si>
    <t>% type of food by weight (Weekly average: breakfast)</t>
  </si>
  <si>
    <t xml:space="preserve">Breakfast - All days     </t>
  </si>
  <si>
    <t>% by weight of food items (Weekly average: lunch)</t>
  </si>
  <si>
    <t xml:space="preserve">Lunch - All days     </t>
  </si>
  <si>
    <t xml:space="preserve">% kcal daily intake:   </t>
  </si>
  <si>
    <t xml:space="preserve">% meal intake kcal:   </t>
  </si>
  <si>
    <t>Cost of plate waste / day (din) and %</t>
  </si>
  <si>
    <t>Quantity of all meals / day:</t>
  </si>
  <si>
    <t>Typical food plate waste / day (g) and %</t>
  </si>
  <si>
    <t>CO2 equiv. emissions / day</t>
  </si>
  <si>
    <t>Average daily amounts of all meals during the week</t>
  </si>
  <si>
    <t>Average daily amounts of all meals for the week</t>
  </si>
  <si>
    <t>Nutrient contents:</t>
  </si>
  <si>
    <t xml:space="preserve">Total price of ingredients / day  </t>
  </si>
  <si>
    <t>Meal price</t>
  </si>
  <si>
    <t xml:space="preserve">Meal:   </t>
  </si>
  <si>
    <t>% by weight of food items (Weekly average: afternoon snack)</t>
  </si>
  <si>
    <t xml:space="preserve">Snack 2 - All days     </t>
  </si>
  <si>
    <t xml:space="preserve">Snack 1 - All days     </t>
  </si>
  <si>
    <t>% by weight of foods (Daily average: Monday)</t>
  </si>
  <si>
    <t>% by weight of foods (Daily average: Tuesday)</t>
  </si>
  <si>
    <t>% by weight of foods (Daily average: Wednesday)</t>
  </si>
  <si>
    <t>% by weight of foods (Daily average: Thursday)</t>
  </si>
  <si>
    <t>% by weight of foods (Daily average: Friday)</t>
  </si>
  <si>
    <t>Monday - All meals</t>
  </si>
  <si>
    <t>Tuesday - All meals</t>
  </si>
  <si>
    <t>Wednesday - All meals</t>
  </si>
  <si>
    <t>Thursday - All meals</t>
  </si>
  <si>
    <t>Friday - All meals</t>
  </si>
  <si>
    <t>Breakfast - Monday</t>
  </si>
  <si>
    <t>Breakfast - Tuesday</t>
  </si>
  <si>
    <t>Breakfast - Wednesday</t>
  </si>
  <si>
    <t>Breakfast - Thursday</t>
  </si>
  <si>
    <t>Breakfast - Friday</t>
  </si>
  <si>
    <t>% by weight of food items (Breakfast: Monday)</t>
  </si>
  <si>
    <t>% by weight of food items (Breakfast: Tuesday)</t>
  </si>
  <si>
    <t>% by weight of food items (Breakfast: Wednesday)</t>
  </si>
  <si>
    <t>% by weight of food items (Breakfast: Thursday)</t>
  </si>
  <si>
    <t>% by weight of food items (Breakfast: Friday)</t>
  </si>
  <si>
    <t xml:space="preserve">     % by weight of food items (Weekly average: breakfast+snack+lunch)</t>
  </si>
  <si>
    <t>Snack 1 - Monday</t>
  </si>
  <si>
    <t>Snack 1 - Tuesday</t>
  </si>
  <si>
    <t>Snack 1 - Wednesday</t>
  </si>
  <si>
    <t>Snack 1 - Thursday</t>
  </si>
  <si>
    <t>Snack 1 - Friday</t>
  </si>
  <si>
    <t>% by weight of food items (Snack 1: Monday)</t>
  </si>
  <si>
    <t>% by weight of food items (Snack 1: Tuesday)</t>
  </si>
  <si>
    <t>% by weight of food items (Snack 1: Wednesday)</t>
  </si>
  <si>
    <t>% by weight of food items (Snack 1: Thursday)</t>
  </si>
  <si>
    <t>% by weight of food items (Snack 1: Friday)</t>
  </si>
  <si>
    <t>% by weight of food items (Weekly average: morning snack)</t>
  </si>
  <si>
    <t>Lunch - Monday</t>
  </si>
  <si>
    <t>Lunch - Tuesday</t>
  </si>
  <si>
    <t>Lunch - Wednesday</t>
  </si>
  <si>
    <t>Lunch - Thursday</t>
  </si>
  <si>
    <t>Lunch - Friday</t>
  </si>
  <si>
    <t>% by weight of food items (Lunch: Monday)</t>
  </si>
  <si>
    <t>% by weight of food items (Lunch: Tuesday)</t>
  </si>
  <si>
    <t>% by weight of food items (Lunch: Wednesday)</t>
  </si>
  <si>
    <t>% by weight of food items (Lunch: Thursday)</t>
  </si>
  <si>
    <t>% by weight of food items (Lunch: Friday)</t>
  </si>
  <si>
    <t>% by weight of food items (Snack 2: Monday)</t>
  </si>
  <si>
    <t>% by weight of food items (Snack 2: Tuesday)</t>
  </si>
  <si>
    <t>% by weight of food items (Snack 2: Wednesday)</t>
  </si>
  <si>
    <t>% by weight of food items (Snack 2: Thursday)</t>
  </si>
  <si>
    <t>% by weight of food items (Snack 2: Friday)</t>
  </si>
  <si>
    <t>Snack 2 - Monday</t>
  </si>
  <si>
    <t>Snack 2 - Tuesday</t>
  </si>
  <si>
    <t>Snack 2 - Wednesday</t>
  </si>
  <si>
    <t>Snack 2 - Thursday</t>
  </si>
  <si>
    <t>Snack 2 - Friday</t>
  </si>
  <si>
    <t>% CO2 emissions of food items (Weekly average: all meals)</t>
  </si>
  <si>
    <t>% CO2 emissions of food items (Weekly average: breakfast)</t>
  </si>
  <si>
    <t>% CO2 emissions of food items (Weekly average: snack 1)</t>
  </si>
  <si>
    <t>% CO2 emissions of food items (Weekly average: lunch)</t>
  </si>
  <si>
    <t>% CO2 emissions of food items (Weekly average: snack 2)</t>
  </si>
  <si>
    <t>% CO2 emissions of food items (Daily average: Monday)</t>
  </si>
  <si>
    <t>% CO2 emissions of food items (Daily average: Tuesday)</t>
  </si>
  <si>
    <t>% CO2 emissions of food items (Daily average: Wednesday)</t>
  </si>
  <si>
    <t>% CO2 emissions of food items (Daily average: Thursday)</t>
  </si>
  <si>
    <t>% CO2 emissions of food items (Daily average: Friday)</t>
  </si>
  <si>
    <t>% CO2 emissions of food items (Breakfast: Monday)</t>
  </si>
  <si>
    <t>% CO2 emissions of food items (Breakfast: Tuesday)</t>
  </si>
  <si>
    <t>% CO2 emissions of food items (Breakfast: Wednesday)</t>
  </si>
  <si>
    <t>% CO2 emissions of food items (Breakfast: Thursday)</t>
  </si>
  <si>
    <t>% CO2 emissions of food items (Breakfast: Friday)</t>
  </si>
  <si>
    <t>% CO2 emissions of food items (Snack 1: Monday)</t>
  </si>
  <si>
    <t>% CO2 emissions of food items (Snack 1: Tuesday)</t>
  </si>
  <si>
    <t>% CO2 emissions of food items (Snack 1: Wednesday)</t>
  </si>
  <si>
    <t>% CO2 emissions of food items (Snack 1: Thursday)</t>
  </si>
  <si>
    <t>% CO2 emissions of food items (Snack 1: Friday)</t>
  </si>
  <si>
    <t>% CO2 emissions of food items (Lunch: Monday)</t>
  </si>
  <si>
    <t>% CO2 emissions of food items (Lunch: Tuesday)</t>
  </si>
  <si>
    <t>% CO2 emissions of food items (Lunch: Wednesday)</t>
  </si>
  <si>
    <t>% CO2 emissions of food items (Lunch: Thursday)</t>
  </si>
  <si>
    <t>% CO2 emissions of food items (Lunch: Friday)</t>
  </si>
  <si>
    <t>% CO2 emissions of food items (Snack 2: Monday)</t>
  </si>
  <si>
    <t>% CO2 emissions of food items (Snack 2: Tuesday)</t>
  </si>
  <si>
    <t>% CO2 emissions of food items (Snack 2: Wednesday)</t>
  </si>
  <si>
    <t>% CO2 emissions of food items (Snack 2: Thursday)</t>
  </si>
  <si>
    <t>% CO2 emissions of food items (Snack 2: Friday)</t>
  </si>
  <si>
    <t>Meal components % of meal price (Daily average: Monday)</t>
  </si>
  <si>
    <t>Meal components % of meal price (Daily average: Tuesday)</t>
  </si>
  <si>
    <t>Meal components % of meal price (Daily average: Wednesday)</t>
  </si>
  <si>
    <t>Meal components % of meal price (Daily average: Thursday)</t>
  </si>
  <si>
    <t>Meal components % of meal price (Daily average: Friday)</t>
  </si>
  <si>
    <t>Meal components % of meal price (Breakfast: Monday)</t>
  </si>
  <si>
    <t>Meal components % of meal price (Breakfast: Tuesday)</t>
  </si>
  <si>
    <t>Meal components % of meal price (Breakfast: Wednesday)</t>
  </si>
  <si>
    <t>Meal components % of meal price (Breakfast: Thursday)</t>
  </si>
  <si>
    <t>Meal components % of meal price (Breakfast: Friday)</t>
  </si>
  <si>
    <t>Meal components % of meal price (Snack 1: Monday)</t>
  </si>
  <si>
    <t>Meal components % of meal price (Snack 1: Tuesday)</t>
  </si>
  <si>
    <t>Meal components % of meal price (Snack 1: Wednesday)</t>
  </si>
  <si>
    <t>Meal components % of meal price (Snack 1: Thursday)</t>
  </si>
  <si>
    <t>Meal components % of meal price (Snack 1: Friday)</t>
  </si>
  <si>
    <t>Meal components % of meal price (Lunch: Monday)</t>
  </si>
  <si>
    <t>Meal components % of meal price (Lunch: Tuesday)</t>
  </si>
  <si>
    <t>Meal components % of meal price (Lunch: Wednesday)</t>
  </si>
  <si>
    <t>Meal components % of meal price (Lunch: Thursday)</t>
  </si>
  <si>
    <t>Meal components % of meal price (Lunch: Friday)</t>
  </si>
  <si>
    <t>Meal components % of meal price (Snack 2: Monday)</t>
  </si>
  <si>
    <t>Meal components % of meal price (Snack 2: Tuesday)</t>
  </si>
  <si>
    <t>Meal components % of meal price (Snack 2: Wednesday)</t>
  </si>
  <si>
    <t>Meal components % of meal price (Snack 2: Thursday)</t>
  </si>
  <si>
    <t>Meal components % of meal price (Snack 2: Friday)</t>
  </si>
  <si>
    <t xml:space="preserve">    Meal component % of meal price (Weekly average: all meals)</t>
  </si>
  <si>
    <t xml:space="preserve">    Meal component % of meal price (Weekly average: breakfast)</t>
  </si>
  <si>
    <t xml:space="preserve">     Meal component % of meal price (Weekly average: snack 1)</t>
  </si>
  <si>
    <t xml:space="preserve">     Meal component % of meal price (Weekly average: lunch)</t>
  </si>
  <si>
    <t xml:space="preserve">     Meal component % of meal price (Weekly average: snack 2)</t>
  </si>
  <si>
    <t>Week 1</t>
  </si>
  <si>
    <t>Week 2</t>
  </si>
  <si>
    <t>Conventional</t>
  </si>
  <si>
    <t>Organic</t>
  </si>
  <si>
    <t>1. Vegetables_mushrooms_fresh_frozen</t>
  </si>
  <si>
    <t>2. Vegetables_processed</t>
  </si>
  <si>
    <t>3. Fruits_nuts_dried_fruit</t>
  </si>
  <si>
    <t>4. Meat_fresh_frozen</t>
  </si>
  <si>
    <t>5. Meat_processed</t>
  </si>
  <si>
    <t>6. Fish_fresh_frozen_conserved</t>
  </si>
  <si>
    <t>7. Eggs</t>
  </si>
  <si>
    <t>8. Dairy_products</t>
  </si>
  <si>
    <t>Vegetables_mushrooms_fresh_frozen.      Vegetables_processed.      Fruits_nuts_dried_fruit.      Meat_fresh_frozen.      Meat_processed.      Fish_fresh_frozen_conserved.      Eggs.      Dairy_products.</t>
  </si>
  <si>
    <t>9. Oil_butter_margarine</t>
  </si>
  <si>
    <t>10. Flour_pasta_seeds_cereals</t>
  </si>
  <si>
    <t>11. Sauces_purees_dressings_seasonings</t>
  </si>
  <si>
    <t>12. Sweet_foods</t>
  </si>
  <si>
    <t>13. Bread_savoury+sweet_pastries</t>
  </si>
  <si>
    <t>14. Other_processed_foods</t>
  </si>
  <si>
    <t>15. Sweetened_drinks_teas_coffee</t>
  </si>
  <si>
    <t>16. Fruit_juices</t>
  </si>
  <si>
    <t>Average daily quantity of all meals during the week</t>
  </si>
  <si>
    <t>Daily amount given to children</t>
  </si>
  <si>
    <t>Amount given to children for breakfast</t>
  </si>
  <si>
    <t>Amount given to children for snack 1</t>
  </si>
  <si>
    <t>Amount given to children for lunch</t>
  </si>
  <si>
    <t>Amount given to children for snack 2</t>
  </si>
  <si>
    <t>Total given to children on Monday</t>
  </si>
  <si>
    <t>Total given to children on Tuesday</t>
  </si>
  <si>
    <t>Total given to children on Wednesday</t>
  </si>
  <si>
    <t>Total given to children on Thursday</t>
  </si>
  <si>
    <t>Total given to children on Friday</t>
  </si>
  <si>
    <t>Breakfast given to children on Monday</t>
  </si>
  <si>
    <t>Breakfast given to children on Tuesday</t>
  </si>
  <si>
    <t>Breakfast given to children on Wednesday</t>
  </si>
  <si>
    <t>Breakfast given to children on Thursday</t>
  </si>
  <si>
    <t>Breakfast given to children on Friday</t>
  </si>
  <si>
    <t>Snack 1 given to children on Monday</t>
  </si>
  <si>
    <t>Snack 1 given to children on Tuesday</t>
  </si>
  <si>
    <t>Snack 1 given to children on Wednesday</t>
  </si>
  <si>
    <t>Snack 1 given to children on Thursday</t>
  </si>
  <si>
    <t>Snack 1 given to children on Friday</t>
  </si>
  <si>
    <t>Snack 2 given to children on Monday</t>
  </si>
  <si>
    <t>Snack 2 given to children on Tuesday</t>
  </si>
  <si>
    <t>Snack 2 given to children on Wednesday</t>
  </si>
  <si>
    <t>Snack 2 given to children on Thursday</t>
  </si>
  <si>
    <t>Snack 2 given to children on Friday</t>
  </si>
  <si>
    <t>Lunch given to children on Monday</t>
  </si>
  <si>
    <t>Lunch given to children on Tuesday</t>
  </si>
  <si>
    <t>Lunch given to children on Wednesday</t>
  </si>
  <si>
    <t>Lunch given to children on Thursday</t>
  </si>
  <si>
    <t>Lunch given to children on Friday</t>
  </si>
  <si>
    <t>All meals</t>
  </si>
  <si>
    <t>All breakfasts</t>
  </si>
  <si>
    <t>All snack 1s</t>
  </si>
  <si>
    <t>All lunches</t>
  </si>
  <si>
    <t>All snack 2s</t>
  </si>
  <si>
    <t>Daily</t>
  </si>
  <si>
    <t>Daily total given to children: % recommended</t>
  </si>
  <si>
    <t>Total given to children for breakfast: % recommended</t>
  </si>
  <si>
    <t>Total given to children for snack 2: % recommended</t>
  </si>
  <si>
    <t>Total given to children for lunch: % recommended</t>
  </si>
  <si>
    <t>Total given to children for snack 1: % recommended</t>
  </si>
  <si>
    <t>Total given to children on Monday: % recommended</t>
  </si>
  <si>
    <t>Total given to children on Tuesday: % recommended</t>
  </si>
  <si>
    <t>Total given to children on Wednesday: % recommended</t>
  </si>
  <si>
    <t>Total given to children on Thursday: % recommended</t>
  </si>
  <si>
    <t>Total given to children on Friday: % recommended</t>
  </si>
  <si>
    <t>Breakfast given to children on Monday: % recommended</t>
  </si>
  <si>
    <t>Breakfast given to children on Tuesday: % recommended</t>
  </si>
  <si>
    <t>Breakfast given to children on Wednesday: % recommended</t>
  </si>
  <si>
    <t>Breakfast given to children on Thursday: % recommended</t>
  </si>
  <si>
    <t>Breakfast given to children on Friday: % recommended</t>
  </si>
  <si>
    <t>Snack 1 given to children on Monday: % recommended</t>
  </si>
  <si>
    <t>Snack 1 given to children on Tuesday: % recommended</t>
  </si>
  <si>
    <t>Snack 1 given to children on Wednesday: % recommended</t>
  </si>
  <si>
    <t>Snack 1 given to children on Thursday: % recommended</t>
  </si>
  <si>
    <t>Snack 1 given to children on Friday: % recommended</t>
  </si>
  <si>
    <t>Lunch given to children on Monday: % recommended</t>
  </si>
  <si>
    <t>Lunch given to children on Tuesday: % recommended</t>
  </si>
  <si>
    <t>Lunch given to children on Wednesday: % recommended</t>
  </si>
  <si>
    <t>Lunch given to children on Thursday: % recommended</t>
  </si>
  <si>
    <t>Lunch given to children on Friday: % recommended</t>
  </si>
  <si>
    <t>Snack 2 given to children on Monday: % recommended</t>
  </si>
  <si>
    <t>Snack 2 given to children on Tuesday: % recommended</t>
  </si>
  <si>
    <t>Snack 2 given to children on Wednesday: % recommended</t>
  </si>
  <si>
    <t>Snack 2 given to children on Thursday: % recommended</t>
  </si>
  <si>
    <t>Snack 2 given to children on Friday: % recommended</t>
  </si>
  <si>
    <t>Daily total eaten by children: % recommended</t>
  </si>
  <si>
    <t>Breakfast eaten by children: % recommended</t>
  </si>
  <si>
    <t>Snack 1 eaten by children: % recommended</t>
  </si>
  <si>
    <t>Lunch eaten by children: % recommended</t>
  </si>
  <si>
    <t>Snack 2 eaten by children: % recommended</t>
  </si>
  <si>
    <t>Total eaten by children on Monday: % recommended</t>
  </si>
  <si>
    <t>Total eaten by children on Tuesday: % recommended</t>
  </si>
  <si>
    <t>Total eaten by children on Wednesday: % recommended</t>
  </si>
  <si>
    <t>Total eaten by children on Thursday: % recommended</t>
  </si>
  <si>
    <t>Total eaten by children on Friday: % recommended</t>
  </si>
  <si>
    <t>Breakfast eaten by children on Monday: % recommended</t>
  </si>
  <si>
    <t>Breakfast eaten by children on Tuesday: % recommended</t>
  </si>
  <si>
    <t>Breakfast eaten by children on Wednesday: % recommended</t>
  </si>
  <si>
    <t>Breakfast eaten by children on Thursday: % recommended</t>
  </si>
  <si>
    <t>Breakfast eaten by children on Friday: % recommended</t>
  </si>
  <si>
    <t>Snack 1 eaten by children on Monday: % recommended</t>
  </si>
  <si>
    <t>Snack 1 eaten by children on Tuesday: % recommended</t>
  </si>
  <si>
    <t>Snack 1 eaten by children on Wednesday: % recommended</t>
  </si>
  <si>
    <t>Snack 1 eaten by children on Thursday: % recommended</t>
  </si>
  <si>
    <t>Snack 1 eaten by children on Friday: % recommended</t>
  </si>
  <si>
    <t>Lunch eaten by children on Monday: % recommended</t>
  </si>
  <si>
    <t>Lunch eaten by children on Tuesday: % recommended</t>
  </si>
  <si>
    <t>Lunch eaten by children on Wednesday: % recommended</t>
  </si>
  <si>
    <t>Lunch eaten by children on Thursday: % recommended</t>
  </si>
  <si>
    <t>Lunch eaten by children on Friday: % recommended</t>
  </si>
  <si>
    <t>Snack 2 eaten by children on Monday: % recommended</t>
  </si>
  <si>
    <t>Snack 2 eaten by children on Tuesday: % recommended</t>
  </si>
  <si>
    <t>Snack 2 eaten by children on Wednesday: % recommended</t>
  </si>
  <si>
    <t>Snack 2 eaten by children on Thursday: % recommended</t>
  </si>
  <si>
    <t>Snack 2 eaten by children on Friday: % recommended</t>
  </si>
  <si>
    <t>Ingredients: % by weight</t>
  </si>
  <si>
    <t>Ingredients: % CO2 emissions</t>
  </si>
  <si>
    <t>Ingredients: % meal cost</t>
  </si>
  <si>
    <t>Price of ingredients:</t>
  </si>
  <si>
    <t>Meal price figures</t>
  </si>
  <si>
    <t>CO2 emission figures</t>
  </si>
  <si>
    <t>Cumulative costs of food categories per meal: all meals (din)</t>
  </si>
  <si>
    <t>Cumulative costs of food categories per meal: breakfast (din)</t>
  </si>
  <si>
    <t>Cumulative costs of food categories per meal: snack 1 (din)</t>
  </si>
  <si>
    <t>Cumulative costs of food categories per meal: lunch (din)</t>
  </si>
  <si>
    <t>Cumulative costs of food categories per meal: snack 2 (din)</t>
  </si>
  <si>
    <t>Cumulative weight of food categories per meal: average (g)</t>
  </si>
  <si>
    <t>Cumulative weight of food categories per meal: all meals (g)</t>
  </si>
  <si>
    <t>Cumulative weight of food categories per meal: breakfast (g)</t>
  </si>
  <si>
    <t>Cumulative weight of food categories per meal: snack 1 (g)</t>
  </si>
  <si>
    <t>Cumulative weight of food categories per meal: lunch (g)</t>
  </si>
  <si>
    <t>Cumulative weight of food categories per meal: snack 2 (g)</t>
  </si>
  <si>
    <t>Contribution of food to global warming: Cumulative CO2 (g/g) from food categories - for breakfast</t>
  </si>
  <si>
    <t>Food contribution to global warming: Cumulative CO2 emissions (g/g) from food categories - all meals for</t>
  </si>
  <si>
    <t>Food contribution to global warming: Cumulative CO2 (g/g) from food category - weekly average for</t>
  </si>
  <si>
    <t>Food category:</t>
  </si>
  <si>
    <t>dinars</t>
  </si>
  <si>
    <t>kcal / meal</t>
  </si>
  <si>
    <t>carbohydrate</t>
  </si>
  <si>
    <t>protein</t>
  </si>
  <si>
    <t>fat</t>
  </si>
  <si>
    <t>fibre</t>
  </si>
  <si>
    <t>fatty acids, total unsaturated</t>
  </si>
  <si>
    <t>sodium</t>
  </si>
  <si>
    <t>potassium</t>
  </si>
  <si>
    <t>calcium</t>
  </si>
  <si>
    <t>magnesium</t>
  </si>
  <si>
    <t>prosphorus</t>
  </si>
  <si>
    <t>iron, total</t>
  </si>
  <si>
    <t>zinc</t>
  </si>
  <si>
    <t>copper</t>
  </si>
  <si>
    <t>vitamin B1 (thiamine)</t>
  </si>
  <si>
    <t>niacin equivalents</t>
  </si>
  <si>
    <t>folate, total</t>
  </si>
  <si>
    <t>energy (kcal / meal)</t>
  </si>
  <si>
    <t>carbohydrate (g)</t>
  </si>
  <si>
    <t>protein (g)</t>
  </si>
  <si>
    <t>fat (g)</t>
  </si>
  <si>
    <t>fibre (g)</t>
  </si>
  <si>
    <t>fatty acids, total unsaturated (g)</t>
  </si>
  <si>
    <t>sodium (mg)</t>
  </si>
  <si>
    <t>potassium (mg)</t>
  </si>
  <si>
    <t>calcium (mg)</t>
  </si>
  <si>
    <t>magnesium (mg)</t>
  </si>
  <si>
    <t>phosphorus (mg)</t>
  </si>
  <si>
    <t>iron, total (mg)</t>
  </si>
  <si>
    <t>zinc (mg)</t>
  </si>
  <si>
    <t>copper (mg)</t>
  </si>
  <si>
    <t>vitamin B1 (thiamine) (mg)</t>
  </si>
  <si>
    <t>niacin equivalents (mg)</t>
  </si>
  <si>
    <t>folate, total (µg)</t>
  </si>
  <si>
    <t>French beans with chicken</t>
  </si>
  <si>
    <t>and sour cream</t>
  </si>
  <si>
    <t>Cabbage salad</t>
  </si>
  <si>
    <t>Bread, hot dog, yogurt</t>
  </si>
  <si>
    <t>Potato stew</t>
  </si>
  <si>
    <t>Sandwich, yogurt</t>
  </si>
  <si>
    <t>Tomato soup</t>
  </si>
  <si>
    <t>Pasta with minced meat</t>
  </si>
  <si>
    <t>yogurt</t>
  </si>
  <si>
    <t>Lentils with smoked meat</t>
  </si>
  <si>
    <t>Cake with cherries and</t>
  </si>
  <si>
    <t>Cedevita drink</t>
  </si>
  <si>
    <t>Meatballs in sauce</t>
  </si>
  <si>
    <t>Mashed potato</t>
  </si>
  <si>
    <t>Salad</t>
  </si>
  <si>
    <t>Croissant and yogurt</t>
  </si>
  <si>
    <t>Breakfast daily totals and weekly average</t>
  </si>
  <si>
    <t>Snack 1 daily totals and weekly average</t>
  </si>
  <si>
    <t>Lunch daily totals and weekly average</t>
  </si>
  <si>
    <t>Snack 2 daily totals and weekly average</t>
  </si>
  <si>
    <t>Daily totals and weekly average</t>
  </si>
  <si>
    <t>Select week</t>
  </si>
  <si>
    <t>Food item</t>
  </si>
  <si>
    <t>Lot</t>
  </si>
  <si>
    <t>Supplier</t>
  </si>
  <si>
    <t>Unit</t>
  </si>
  <si>
    <t>measure</t>
  </si>
  <si>
    <t>Price</t>
  </si>
  <si>
    <t xml:space="preserve"> + VAT</t>
  </si>
  <si>
    <t>Number of</t>
  </si>
  <si>
    <t>units</t>
  </si>
  <si>
    <t>Weekly</t>
  </si>
  <si>
    <t>quantity (kg/l)</t>
  </si>
  <si>
    <t>Food category</t>
  </si>
  <si>
    <t xml:space="preserve">Weekly </t>
  </si>
  <si>
    <t>Quantity (kg)</t>
  </si>
  <si>
    <t>Including waste</t>
  </si>
  <si>
    <t>Maize bread and yogurt</t>
  </si>
  <si>
    <t>Peas with minced pork</t>
  </si>
  <si>
    <t>Kaiserica bun</t>
  </si>
  <si>
    <t>Milk 2.8% fat</t>
  </si>
  <si>
    <t>Pasta with potato</t>
  </si>
  <si>
    <t>Beetroot salad</t>
  </si>
  <si>
    <t>Monday ukupno</t>
  </si>
  <si>
    <t xml:space="preserve">Tuesday ukupno </t>
  </si>
  <si>
    <t>Wedesday</t>
  </si>
  <si>
    <t xml:space="preserve">Wedesday ukupno </t>
  </si>
  <si>
    <t>Thursday ukupno</t>
  </si>
  <si>
    <t xml:space="preserve">Friday ukupno </t>
  </si>
  <si>
    <t>Breakfast cena</t>
  </si>
  <si>
    <t>Breakfast težine</t>
  </si>
  <si>
    <t>Doprinos hrane globalnom zagrevanju: Kumulativna emisija CO2 (g/g) iz kategorije hrane - za Breakfast</t>
  </si>
  <si>
    <t>Breakfast CO2 emisije</t>
  </si>
  <si>
    <t>Monday Breakfast</t>
  </si>
  <si>
    <t xml:space="preserve">Tuesday Breakfast </t>
  </si>
  <si>
    <t xml:space="preserve">Wedesday Breakfast </t>
  </si>
  <si>
    <t>Thursday Breakfast</t>
  </si>
  <si>
    <t xml:space="preserve">Friday Breakfast </t>
  </si>
  <si>
    <t>Monday Snack 1</t>
  </si>
  <si>
    <t>Tuesday Snack 1</t>
  </si>
  <si>
    <t>Wedesday Snack 1</t>
  </si>
  <si>
    <t xml:space="preserve">Thursday Snack 1 </t>
  </si>
  <si>
    <t>Friday Snack 1</t>
  </si>
  <si>
    <t>Monday Snack 2</t>
  </si>
  <si>
    <t>Tuesday Snack 2</t>
  </si>
  <si>
    <t>Wedesday Snack 2</t>
  </si>
  <si>
    <t xml:space="preserve">Thursday Snack 2 </t>
  </si>
  <si>
    <t>Friday Snack 2</t>
  </si>
  <si>
    <t>Lunch cena</t>
  </si>
  <si>
    <t>Lunch težine</t>
  </si>
  <si>
    <t>Doprinos hrane globalnom zagrevanju: Kumulativna emisija CO2 (g/g) iz kategorije hrane - za Lunch</t>
  </si>
  <si>
    <t>Lunch CO2 emisije</t>
  </si>
  <si>
    <t>Monday Lunch</t>
  </si>
  <si>
    <t>Tuesday Lunch</t>
  </si>
  <si>
    <t>Wedesday Lunch</t>
  </si>
  <si>
    <t>Thursday Lunch</t>
  </si>
  <si>
    <t>Friday Lunch</t>
  </si>
  <si>
    <t>SUMIF(Sedmica_1_unos_hrane!G$11:G$30,"Vegetables_mushrooms_fresh_frozen",Sedmica_1_unos_hrane!T$11:T$30)</t>
  </si>
  <si>
    <t>Konvecialna cena namirnice/ detetu (din)</t>
  </si>
  <si>
    <t>Organska cena namirnice/ detetu (din)</t>
  </si>
  <si>
    <t>Total D-S</t>
  </si>
  <si>
    <t>Total E-S</t>
  </si>
  <si>
    <t>Organic vegetables</t>
  </si>
  <si>
    <t>Total organic</t>
  </si>
  <si>
    <t xml:space="preserve">   Select week:</t>
  </si>
  <si>
    <t>Click for graphics</t>
  </si>
  <si>
    <t>Daily amount after adjusting for plate waste</t>
  </si>
  <si>
    <t>% recommended after adjusting for plate waste</t>
  </si>
  <si>
    <t>Overall recommendations</t>
  </si>
  <si>
    <t>Daily amount eaten as % of recommended amount</t>
  </si>
  <si>
    <t>Daily amount served</t>
  </si>
  <si>
    <t>If the daily intake of nutrients in school meals is less than the recommended amounts (red fields), foods rich in minerals and vitamins are shown below.</t>
  </si>
  <si>
    <t>Total price of all ingredients / day (din)</t>
  </si>
  <si>
    <t>Total price of plate waste/day (din) and %</t>
  </si>
  <si>
    <t>CO2-equivalent emissions / day (g)</t>
  </si>
  <si>
    <t>Typical plate waste / day (g) and %</t>
  </si>
  <si>
    <t>Quantity of the meal / day (g):</t>
  </si>
  <si>
    <t>Daily         amount         eaten</t>
  </si>
  <si>
    <t>If the weekly amount of a particular vitamin or mineral is less than 80% of the recommended amount, then sources rich in these specific micronutrients are shown below so that the menus can be adjusted to overcome micronutrient deficiencies. Amounts of micronutrients given per 100 g of food.</t>
  </si>
  <si>
    <t>Weekly occurrence of individual food categories</t>
  </si>
  <si>
    <t>Recommendations, based on Ministry Rulebook (2018)</t>
  </si>
  <si>
    <t>Number of days with cereals and cereal products</t>
  </si>
  <si>
    <t>5 days per week</t>
  </si>
  <si>
    <t>At least 1-2 days per week</t>
  </si>
  <si>
    <t>Up to 3 times a week</t>
  </si>
  <si>
    <t>1-2 days per week</t>
  </si>
  <si>
    <t>Information for parents</t>
  </si>
  <si>
    <t>Total served per week (g)</t>
  </si>
  <si>
    <t>Total weekly quantity after allowing for plate waste (g)</t>
  </si>
  <si>
    <t>Recommendations for parents</t>
  </si>
  <si>
    <t xml:space="preserve">Breakfast: quantity per day (weekly average) </t>
  </si>
  <si>
    <t>Weight served per day</t>
  </si>
  <si>
    <t>Weight per day after allowing for plate waste</t>
  </si>
  <si>
    <t>% recommended after allowing for plate waste</t>
  </si>
  <si>
    <t xml:space="preserve">Morning snack: quantity per day (weekly average) </t>
  </si>
  <si>
    <t xml:space="preserve">Lunch: quantity per day (weekly average) </t>
  </si>
  <si>
    <t xml:space="preserve">Afternoon snack: quantity per day (weekly average) </t>
  </si>
  <si>
    <t>Monday: quantity per day (daily total for all meals)</t>
  </si>
  <si>
    <t>Tuesday: quantity per day (daily total for all meals)</t>
  </si>
  <si>
    <t>Wednesday: quantity per day (daily total for all meals)</t>
  </si>
  <si>
    <t>Thursday: quantity per day (daily total for all meals)</t>
  </si>
  <si>
    <t>Friday: quantity per day (daily total for all meals)</t>
  </si>
  <si>
    <t>Amount served</t>
  </si>
  <si>
    <t>Amount eaten</t>
  </si>
  <si>
    <t>Recommendations for Friday</t>
  </si>
  <si>
    <t>Recommendations for Thursday</t>
  </si>
  <si>
    <t>Recommendations for Wednesday</t>
  </si>
  <si>
    <t>Recommendations for Tuesday</t>
  </si>
  <si>
    <t>Recommendations for Monday</t>
  </si>
  <si>
    <t>Recommendations for afternoon snacks</t>
  </si>
  <si>
    <t>Recommendations for lunches</t>
  </si>
  <si>
    <t>Recommendations for morning snacks</t>
  </si>
  <si>
    <t>Recommendations for breakfasts</t>
  </si>
  <si>
    <t>Cocoa powder, unsweetened 24.0 g</t>
  </si>
  <si>
    <t>Beans haricot (yellow) 18.4 g</t>
  </si>
  <si>
    <t>Beans (white) 18.4 g</t>
  </si>
  <si>
    <t>Beans (coloured) 18.4 g</t>
  </si>
  <si>
    <t>Lentils 18.0 g</t>
  </si>
  <si>
    <t>Rye grain/flour 18.0 g</t>
  </si>
  <si>
    <t>Chickpeas 17.4 g</t>
  </si>
  <si>
    <t>Barley 17.3 g</t>
  </si>
  <si>
    <t>Popcorn 14.5 g</t>
  </si>
  <si>
    <t>Oats 10.6 g</t>
  </si>
  <si>
    <t>Musli (average) 9.3 g</t>
  </si>
  <si>
    <t>Hazelnuts 8.2 g</t>
  </si>
  <si>
    <t>Peanuts, roasted, salt-free 6.8 g</t>
  </si>
  <si>
    <t>Bread, wholemeal 8.1 g</t>
  </si>
  <si>
    <t>Prunes 7.6 g</t>
  </si>
  <si>
    <t>Corn flour, whole 7.3 g</t>
  </si>
  <si>
    <t>Beans haricot (yellow) 1530.0 g</t>
  </si>
  <si>
    <t>Beans (white) 1530.0 g</t>
  </si>
  <si>
    <t>Beans (coloured) 1530.0 g</t>
  </si>
  <si>
    <t>Cocoa powder, unsweetened 1524.0 g</t>
  </si>
  <si>
    <t>Whole milk powder 1260.0 g</t>
  </si>
  <si>
    <t>Lentils 940.0 g</t>
  </si>
  <si>
    <t>Chickpeas 875.0 g</t>
  </si>
  <si>
    <t>Nesquik 850.0 g</t>
  </si>
  <si>
    <t>Hazelnuts 838.0 g</t>
  </si>
  <si>
    <t>Poppy seeds 832.0 g</t>
  </si>
  <si>
    <t>Parsley leaf, fresh 811.0 g</t>
  </si>
  <si>
    <t>Tomato puree 798.0 g</t>
  </si>
  <si>
    <t>Raisins (dried grapes) 773.0 g</t>
  </si>
  <si>
    <t>Peanuts, roasted, salt-free 746.0 g</t>
  </si>
  <si>
    <t>Almond (dry, roasted, salt free) 687.0 g</t>
  </si>
  <si>
    <t>Parsnip 590.0 g</t>
  </si>
  <si>
    <t>Walnuts 575.0 g</t>
  </si>
  <si>
    <t>Parsley root 562.0 g</t>
  </si>
  <si>
    <t>Too much salt in the menus this week</t>
  </si>
  <si>
    <t>Too much unsaturated fatty acid in the menus this week</t>
  </si>
  <si>
    <t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t>
  </si>
  <si>
    <t xml:space="preserve">Poppy seeds 20.5 mg, </t>
  </si>
  <si>
    <t>Beans haricot (yellow) 1530.0 mg, Beans (white) 1530.0 mg, Beans (coloured) 1530.0 mg, Cocoa powder, unsweetened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t>
  </si>
  <si>
    <t>Poppy seeds 1357.0 mg, Parmesan cheese 1190.0 mg, Cheese, processed, slices 1000.0 mg, Cheese, hard 45% fat 990.0 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t>
  </si>
  <si>
    <t>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t>
  </si>
  <si>
    <t>Cheese, processed, slices 1200.0 mg, Poppy seeds 936.0 mg, Parmesan cheese 855.0 mg, Cheese spread triangles 35% fat 825.0 mg, Cheese spread 70% fat 750.0 mg, Cocoa powder, unsweetened 734.0 mg, Chicken egg yolks 619.0 mg, Cheese, hard 45% fat 610.0 mg, Cheese, hard 35% fat 530.0 mg, Oats 523.0 mg, Cheese, Gouda, 48% fat 520.0 mg, Almond (dry, roasted, salt free) 480.0 mg, Cheese, Trapist 475.0 mg, Cheese, Edam, 30% fat 430.0 mg, Cheese, for pizza, 45% fat 430.0 mg, Pork liver 430.0 mg, Beans haricot (yellow) 425.0 mg, Beans (white) 425.0 mg, Beans (coloured) 425.0 mg, Peanuts, roasted, salt-free 389.0 g</t>
  </si>
  <si>
    <t>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t>
  </si>
  <si>
    <t>Nesquik 7.6 mg, Bones of young beef (neck) 6.9 mg, Cocoa powder 6.8 mg, Poppy seeds 6.8 mg, Pork liver 5.3 mg, Beef minced 5.1 mg, Beef, dried 4.9 mg, Beef rump/silverside 4.8 mg, Beef, fat free 4.8 mg, Pork shoulder 4.6 mg, Pork fillet 4.6 mg, Sausage pork, smoked (dried) 4.2 mg, Cheese, hard 35% fat 4.1 mg, Cheese, Gouda, 48% fat 4.0 mg, Cheese, hard 45% fat 4.0 mg, Cheese, low fat, mozzarella 4.0 mg, Cheese, processed, slices 4.0 mg, Oats 4.0 mg, Lentils 3.9 mg, Bread, white 3.8 g</t>
  </si>
  <si>
    <t xml:space="preserve">Pork liver 6.6 mg, Cocoa powder 3.8 mg, Hazelnuts 1.4 mg, Walnuts 1.380 mg, Almond (dry) 1.170 mg, Poppy seeds 1.0 mg, Lentils 1.0 mg, Chocolate for cooking 0.95 mg, Cheese, hard 35% fat 0.86 mg, Chickpeas 0.85 mg, Peanuts, roasted 0.65 mg, Oats 0.63 mg, Millet seeds/flour 0.60 mg, Wheat flour white 0.50 mg, Barley 0.50 mg, Beans haricot (yellow) 0.47 mg, Beans (white) 0.47 mg, Beans (coloured) 0.47 mg, Dried grapes 0.44 mg, Mushrooms 0.42 g </t>
  </si>
  <si>
    <t>Beans haricot (yellow) 1530.0 mg, Beans (white) 1530.0 mg, Beans (coloured) 1530.0 mg, Cocoa powder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t>
  </si>
  <si>
    <t>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t>
  </si>
  <si>
    <t>Cheese, processed, slices 1200.0 mg, Poppy seeds 936.0 mg, Parmesan cheese 855.0 mg, Cheese spread triangles 35% fat 825.0 mg, Cheese spread 70% fat 750.0 mg, Cocoa powder 734.0 mg, Chicken egg yolks 619.0 mg, Cheese, hard 45% fat 610.0 mg, Cheese, hard 35% fat 530.0 mg, Oats 523.0 mg, Cheese, Gouda, 48% fat 520.0 mg, Almond (dry, roasted, salt free) 480.0 mg, Cheese, Trapist 475.0 mg, Cheese, Edam, 30% fat 430.0 mg, Cheese, for pizza, 45% fat 430.0 mg, Pork liver 430.0 mg, Beans haricot (yellow) 425.0 mg, Beans (white) 425.0 mg, Beans (coloured) 425.0 mg, Peanuts, roasted, salt-free 389.0 g</t>
  </si>
  <si>
    <t>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t>
  </si>
  <si>
    <t xml:space="preserve">Pork liver 310 mg, Cornflakes 1.30 mg, Macaroni with egg 1.13 mg, Pork smoked ham 1.04 mg, Pasta fusilli 1.00 mg, Pork medium fat 0.97 mg, Pork shoulder 0.95 mg, Pork fillet 0.95 mg, Sausage pork, smoked (dried) 0.93 mg, Biscuit Petit beurre 0.90 mg, Plazma biscuit 0.90 mg, Oats 0.76 mg, Mortadela 0.70 mg, Nesquik 0.70 mg, Barley 0.65 mg, Liver pate (average) 0.60 mg, Millet seeds/flour 0.58 mg, Pork leg (steak) 0.51 mg, Chickpeas 0.480 mg </t>
  </si>
  <si>
    <t>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t>
  </si>
  <si>
    <t>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t>
  </si>
  <si>
    <t>Margarine from milk 3.7 mg, Cornflakes 2.1 mg, Biscuit Petit beurre 2.0 mg, Plazma biscuit 2.0 mg, Garlic 1.2 mg, Chicken breast 0.82 mg, Chicken liver 0.80 mg, Walnuts 0.70 mg, Corn flour 0.60 mg, Pork liver 0.59 mg, Pork ribs dry (smoked) 0.59 mg, Pork neck, dried meat 0.59 mg, Hazelnuts 0.54 mg, Chickpeas 0.54 mg, Millet seeds/flour 0.52 mg, Beans haricot (yellow) 0.51 mg, Beans (white) 0.51 mg, Beans (coloured) 0.51 mg</t>
  </si>
  <si>
    <t>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t>
  </si>
  <si>
    <t>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t>
  </si>
  <si>
    <t>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t>
  </si>
  <si>
    <t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t>
  </si>
  <si>
    <t>Parents should give their children another portion (100g) each day</t>
  </si>
  <si>
    <t>Parents should give their children another 2 portions (200g) each day</t>
  </si>
  <si>
    <t>The child is getting enough vegetables this week from eating all his/her school meals.</t>
  </si>
  <si>
    <t>After taking account of plate waste, the child is not getting enough vegetables this week after eating all school meals, and parents should give their children an extra portion of vegetables (50-100g) at home.</t>
  </si>
  <si>
    <t>After taking account of plate waste, the child is not getting enough vegetables this week after eating all school meals, and parents should give their children two extra portions of vegetables (about 100-150g) at home.</t>
  </si>
  <si>
    <t>The child is getting enough fruit this week from eating all his/her school meals.</t>
  </si>
  <si>
    <t>After taking account of plate waste, the child is not getting enough fruit this week from eating school meals, and parents should give their children an extra portion of fruit (about 50g) at home.</t>
  </si>
  <si>
    <t>After taking account of plate waste, the child iss not getting enough fruit this week after eating all school meals, and parents should give their children two extra servings (about 100g) at home.</t>
  </si>
  <si>
    <t>After allowing for plate waste, the menus for this day are lower than recommeded in energy (kcal) overall.</t>
  </si>
  <si>
    <t>After allowing for plate waste, the menus for this day are lower than recommended in carbohydrates overall.</t>
  </si>
  <si>
    <t>After allowing for plate waste, the menus for this day are lower than recommended in protein overall.</t>
  </si>
  <si>
    <t>After allowing for plate waste, the menus for this day are lower than recommended in fat overall.</t>
  </si>
  <si>
    <t>have sufficient</t>
  </si>
  <si>
    <t>but INSUFFICIENT</t>
  </si>
  <si>
    <t xml:space="preserve">INSUFFICIENT </t>
  </si>
  <si>
    <t xml:space="preserve"> fibre in meals.</t>
  </si>
  <si>
    <t xml:space="preserve"> fat, </t>
  </si>
  <si>
    <t>INSUFFICIENT</t>
  </si>
  <si>
    <t>sufficient</t>
  </si>
  <si>
    <t>Micronutrient contents are mainly from the Serbian EuroFir database, which is not comprehensive and has missing values for some micronutrients for some foods. Where EuroFIR micronutrient data are not available, cautious use of USDA nutrient information is added (bearing in mind additive/fortification use in many USA foodstuffs).</t>
  </si>
  <si>
    <t>The meal planner tool is designed for entry of ingredients for up to four meals per day (breakfast, morning snack, lunch, afternoon snack) from Monday to Friday for two weeks.</t>
  </si>
  <si>
    <t>Plate waste % data are from the Strength2Food plate waste study and are for individual foods as far as possible, or means for food categories where individual food data are not available. Inevitably plate wastes will vary from child to child and from meal to meal for the same food ingredient, so plate wastes are only best estimates, but should be realistic.</t>
  </si>
  <si>
    <t>Nutritional quantities are averages of values recommended for boys and girls, usually of age 7-10 years old, and macro- and micronutrient quantities per meal are calulated according to the proportion of daily energy intake recommended for each meal in the Ministry regulations.</t>
  </si>
  <si>
    <t>Nutritional recommendations are from Ministry of Education, Science and Technological Development regulations of 2018 (based on WHO, 2006) and also from EFSA.</t>
  </si>
  <si>
    <t>Food production CO2 emissions come from the Strength2Food environmental impact study using CO2 emission data from Edinburgh University. CO2 emissions are for primary production and processing only, and do not take account of transport emissions, food preparation emissions or waste disposal emissions.</t>
  </si>
  <si>
    <t>Unit food costs for these spreadsheets are based on procurement contract prices for a single school in this trial version of the meal planner. In practice, schools will use their own food contract prices. For fresh vegetables, prices are given for both the current school food contract as well as realistic prices from local growers of organic vegetables. Users can select either conventional or organic prices to see the effect on meal prices of substituting conventional with organic vegetables.</t>
  </si>
  <si>
    <t>Spreadsheet information:</t>
  </si>
  <si>
    <t>Two spreadsheets give meal output information in the form of nutritional contents and recommendations.</t>
  </si>
  <si>
    <t>Two spreadsheets are provided for entering meal ingredient information for two weeks, and a third spreadsheet for entering foods procured and their unit weights and prices.</t>
  </si>
  <si>
    <t>Data entry takes place in spreadsheets "Meal_entry_week_n" (for example "...week_2"), as follows:</t>
  </si>
  <si>
    <t>Column D is provided for schools to give meal descriptions for parents.</t>
  </si>
  <si>
    <t>During ingredient entry for a meal, the cell in Column N for each meal is shaded in red if the meal energy total is less than 80% of the recommended value for that meal.</t>
  </si>
  <si>
    <t>Note that ingredient quantities should be based on the quantity of ingredient as bought, and not the quantity that is served. Thus a serving of, for example, boiled rice or pasta, should be based on the quantity of rice or pasta that goes into the pot for a particular number of servings, rather than the quantity of each serving that is given to the child.</t>
  </si>
  <si>
    <t>Note that cells in columns beyond Column Z are shaded in yellow where information on nutrients, % plate waste, price or CO2 emission data is missing from the databases for a particular food.</t>
  </si>
  <si>
    <t>Total meal quantities for each ingredient are automatically calculated in Column K, based on number of meals provided in Column E and weight of ingredient per serving. An extra 10% is allowed for a probable excess prepared by the kitchen.</t>
  </si>
  <si>
    <t>Nutritional quantities, food plate waste, ingredient cost and CO2 food production emissions are automatically provided for display in other spreadsheets.</t>
  </si>
  <si>
    <t>Instructions for meal entry:</t>
  </si>
  <si>
    <t>Instructions for entering food prices:</t>
  </si>
  <si>
    <t>Note that lunches for two weeks (optimised for recommended macronutrient quantities), and ingredients for some morning snacks are already entered as examples of meals, plus a few odds and ends of foods for test purposes.</t>
  </si>
  <si>
    <t>To change the number of children having a particular meal, just type the number into the first cell in Column E for that meal.</t>
  </si>
  <si>
    <t>This is currently problematic!</t>
  </si>
  <si>
    <t>Information given in "Charts and graphs" and "Recommendations":</t>
  </si>
  <si>
    <r>
      <t xml:space="preserve">Ideally, schools should prepare their procurement documentation using an agreed list of approved foods (present in the meal planner database), typed into the school's procurement documentation list of foods and their quantities using the </t>
    </r>
    <r>
      <rPr>
        <b/>
        <i/>
        <sz val="12"/>
        <color theme="1"/>
        <rFont val="ArialMT"/>
      </rPr>
      <t xml:space="preserve">exact </t>
    </r>
    <r>
      <rPr>
        <sz val="12"/>
        <color theme="1"/>
        <rFont val="ArialMT"/>
      </rPr>
      <t>wording and formatting for each food that is used in the meal planner and with the same column headings as used in the "Ingredient_prices" spreadsheet, though some redundancy in the format for many foods has been built in. If this is not done, the food will not be recognised by the meal planner and a missing food error will occur in "Meal_entry..." spreadsheets.</t>
    </r>
  </si>
  <si>
    <t>In tables of % recommended nutrient quanties, cells are given in shades of red if nutrient contents for a meal are less than 80% of recommended values, or greater than 120% of recommended values for saturated fats and sodium content.</t>
  </si>
  <si>
    <t>Drop down menus are given to select meals for either week 1 or week 2, and to select either conventional or organic food prices. Click buttons are available to select either all meals per day, the weekly mean for a particular meal type or individual meals each day.</t>
  </si>
  <si>
    <t>A drop down menu allows week 1 or week 2 to be selected.</t>
  </si>
  <si>
    <t xml:space="preserve">Recommendations on meal quality and how to overcome any meal nutrient and food category deficiencies, according to Ministry regulations, are given in the spreadsheet "Recommendations". Recommendations are given for both schools and parents. In particular, parents are given recommendations on how to make up any school meal deficiencies by giving their children extra portions of vegetables or fruit outside school. Recommendation summaries for macronutrients are given for each day and meal type. </t>
  </si>
  <si>
    <t>Information given in "Quantities of food items":</t>
  </si>
  <si>
    <t>Price+VAT/kg selected</t>
  </si>
  <si>
    <t>Price+VAT/kg Conventional</t>
  </si>
  <si>
    <t>Price+VAT/kg Organic</t>
  </si>
  <si>
    <t>Meal_entry_week_1</t>
  </si>
  <si>
    <t>Meal_entry_week_2</t>
  </si>
  <si>
    <t>Foods for this school</t>
  </si>
  <si>
    <t>A third spreadsheet gives details of food quantities and their costs for all meals each week.</t>
  </si>
  <si>
    <t>Several, normally hidden, spreadsheets contain ingredient lists, reference data to calculate nutritional contents, plate wastes and CO2 emissions, and texts for recommendations. Other normally hidden spreadsheets provide calculations used for charts, tables, recommendations and weekly food quantities. Columns not needed by the user are also hidden in several spreadsheets. Access to the nutritional database is password protected to ensure the terms of the EuroFIR licence agreement are not infringed.</t>
  </si>
  <si>
    <t>At the top of the spreadsheet, the school is asked to click a "Yes" button if many of its children walk long distances to school. The default is "No".</t>
  </si>
  <si>
    <t>% of daily energy provided by school meals is according to Ministry regulations: usually 30% breakfast, 10% snack, 30% lunch, 10% afternoon snack, totalling 80% daily intake (2000 kcal). If many children walk some distance to school (school selects the "Yes" button), 5% more is added to breakfast. If many children have only a snack and no other meal in school, 5% more is added to the snack, as Serbian nutritionists consider that if the morning snack is the only meal a child has in school, it should contain more than the usual 10% daily calories.</t>
  </si>
  <si>
    <t>Day of the meal and relevant meal (breakfast, snack 1, lunch or snack 2) are already labelled in the spreadsheets (Columns B and C).</t>
  </si>
  <si>
    <t>The number of children having a particular meal is entered in Column E in the first cell for that meal, and remaining cells for that meal are automatically populated. Column E allows weekly quantities for each food to be calculated in the spreadsheet "Quantities of food items".</t>
  </si>
  <si>
    <t>Column F is for the school to enter a summary of the courses in the meal.</t>
  </si>
  <si>
    <t>To enter individual foods, first select the ingredient category (Column G) from the drop down menu.</t>
  </si>
  <si>
    <t>Then select the specific ingredient within that food category from the drop down menu in Column H. Note that processed foods have separate categories for each food.</t>
  </si>
  <si>
    <t>If the exact food item cannot be found, choose the one that looks nutritionally closest to it. However, during ingredient entry for a meal, if a food is selected that is not procured by the school, the cell in Column L turns red against that food. Nutritional information will still be provided for that food, but no cost for that ingredient will be included in the total meal price.</t>
  </si>
  <si>
    <t>Note that, although "Meal_entry ..." spreadsheets also provide at the end of each meal, day of meals and weekly averages at the bottom of each meal, day, and week, respectively, these are also provided in spreadsheets "Charts and graphs" and "Recommendations".</t>
  </si>
  <si>
    <t>g / g food</t>
  </si>
  <si>
    <t>These meal ingredients may be modified either by changing food categories and ingredients already entered or by copying (for example) cells in Columns G to I, row 78 and pasting them into cells in those columns that already contain food categories, ingredients and quantities.</t>
  </si>
  <si>
    <t>Once schools agree to do this, columns in the school's food procurement list can be directly copy-pasted into Columns G to L of the spreadsheet "Ingredient_prices" (Columns shaded in brown at the top). At the end of the procurement process, when schools have the contract prices for each food, these would be entered by copy-pasting into Columns N to R of the spreadsheet "Ingredient_prices" (Columns shaded in grey at the top).</t>
  </si>
  <si>
    <t>The meal planner will extract the relevant information for each food when calculating meal prices, selecting either conventional or organic prices depending on the option selected by the user in the spreadsheet "Charts and graphs".</t>
  </si>
  <si>
    <t xml:space="preserve">The spreadsheet "Charts and graphs" gives actual and % recommended quantities of 23 macro- and micronutrients for every meal entered. These are available in tabular and bar chart format, together with cumulative bar chart totals for ingredient quantities, costs and CO2 emissions for each of 16 food categories (vegetables, fruit, meat, etc). The % contribution of each of these food categories to the meal total are also available as pie charts. </t>
  </si>
  <si>
    <t>If weekly averages for micronutrients are less than 80% of recommended quantities for the daily and weekly averages and meal type, cells in the nutrient tables are shaded in red, and a list of foods rich in those deficient micronutrients is provided adjacent to the relevant micronutrient, so that the school may adjust the menu to overcome the micronutrient deficiency, or parents may supplement their child's meals at home with foods rich in those deficient micronutrients.</t>
  </si>
  <si>
    <t>Each food used in the week's menus is listed in decreasing rank quantity, lot by lot, with the supplier for each lot identified. Quantities are given in both absolute weights as well as number of delivery units. For fresh foods (vegetables, fruit, meat, fish) quantities take account of food preparation waste (such as potato peelings). The cost of each food for the week is also given, rounded up to the nearest unit quantity. This information will allow the school to inform its suppliers how much of each food is required each week, and to help the school to manage its food budget.</t>
  </si>
  <si>
    <t>IF($C$65=0,"",IF(E70&lt;80,VLOOKUP(B70,'Recommendation texts'!$B:$AV,2,FALSE),""))</t>
  </si>
  <si>
    <t>After allowing for plate waste, the menus for this meal are lower than recommeded in energy (kcal) overall.</t>
  </si>
  <si>
    <t>After allowing for plate waste, the menus for this meal are lower than recommeded in carbohydrates overall.</t>
  </si>
  <si>
    <t>After allowing for plate waste, the menus for this meal are lower than recommeded in protein overall.</t>
  </si>
  <si>
    <t>After allowing for plate waste, the menus for this meal are lower than recommeded in fat overall.</t>
  </si>
  <si>
    <t>This meal planner tool is designed to provide primary schools (but is also relevant for other institutions providing meals) information on the nutritional value of their meals, their costs, and their carbon dioxide emission footprints, using a nutritional database for nearly 500 typical Serbian foods and using information provided by the school on the foods it buys and their cost (including VAT), and in the case of vegetables for both conventional and organic produce. The meal planner gives detailed tabular and graphical output for 23 macro- and micronutrients, recommendations for the school and parents on meal composition and quality in relation to Ministry guidelines, and weekly totals of all food ingredients to help schools plan food deliveries.</t>
  </si>
  <si>
    <t>КОНКУРСНА ДОКУМЕНТАЦИЈА (PROCUREMENT DOCUMENTATION)</t>
  </si>
  <si>
    <t>УГОВОР (CONTRACT)</t>
  </si>
  <si>
    <t>Food description</t>
  </si>
  <si>
    <t>Unit measure</t>
  </si>
  <si>
    <t>Unit quantity (g or ml)</t>
  </si>
  <si>
    <t>Annual quantity (kg or l)</t>
  </si>
  <si>
    <t>Unit price without VAT</t>
  </si>
  <si>
    <t>Unit price with VAT</t>
  </si>
  <si>
    <t>Total price without VAT</t>
  </si>
  <si>
    <t>Total price with VAT</t>
  </si>
  <si>
    <t>Rate of VAT</t>
  </si>
  <si>
    <t>ПАРТИЈА 1</t>
  </si>
  <si>
    <t>ПАРТИЈА 2</t>
  </si>
  <si>
    <t>Item number</t>
  </si>
  <si>
    <t>Background information:</t>
  </si>
  <si>
    <t>Then enter the quantity of the ingredient used for the meal in Column I. This can be either the quantity per serving or quantity for a particular number of servings; for example quantity for 10 servings. The number of servings would then be entered into column J in place of the default number of 1.</t>
  </si>
  <si>
    <t>e.g. A frequent problem with foods in the documentation list is a space " " at the end of the food name. This will cause the food to be not recognised by the Meal Planner.</t>
  </si>
  <si>
    <t>After entry of ingredients and quantities for all meals for the week is completed, the user should click the button "Meal entry completed" (top left-hand corner) to be taken automatically to outputs in "Charts and graphs". Alternatively, the user may select to go directly to other output spreadsheets.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</si>
</sst>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
    <numFmt numFmtId="166" formatCode="0.0"/>
    <numFmt numFmtId="167" formatCode="0.0%"/>
    <numFmt numFmtId="168" formatCode="0.0000000000"/>
  </numFmts>
  <fonts count="125">
    <font>
      <sz val="11"/>
      <color theme="1"/>
      <name val="ArialMT"/>
      <family val="2"/>
    </font>
    <font>
      <sz val="11"/>
      <color rgb="FF000000"/>
      <name val="Arial"/>
      <family val="2"/>
    </font>
    <font>
      <sz val="11"/>
      <color rgb="FF222222"/>
      <name val="Arial"/>
      <family val="2"/>
    </font>
    <font>
      <sz val="11"/>
      <color rgb="FFFF0000"/>
      <name val="Arial"/>
      <family val="2"/>
    </font>
    <font>
      <sz val="11"/>
      <color rgb="FF000000"/>
      <name val="ArialMT"/>
      <family val="2"/>
    </font>
    <font>
      <sz val="11"/>
      <color rgb="FF000000"/>
      <name val="Calibri"/>
      <family val="2"/>
      <scheme val="minor"/>
    </font>
    <font>
      <sz val="11"/>
      <name val="Arial"/>
      <family val="2"/>
    </font>
    <font>
      <sz val="11"/>
      <color rgb="FF0070C0"/>
      <name val="ArialMT"/>
      <family val="2"/>
    </font>
    <font>
      <sz val="11"/>
      <color rgb="FFC00000"/>
      <name val="ArialMT"/>
      <family val="2"/>
    </font>
    <font>
      <sz val="11"/>
      <color theme="2" tint="-0.499984740745262"/>
      <name val="ArialMT"/>
      <family val="2"/>
    </font>
    <font>
      <sz val="11"/>
      <color theme="7" tint="-0.249977111117893"/>
      <name val="ArialMT"/>
      <family val="2"/>
    </font>
    <font>
      <sz val="11"/>
      <color theme="4" tint="-0.249977111117893"/>
      <name val="ArialMT"/>
      <family val="2"/>
    </font>
    <font>
      <i/>
      <sz val="11"/>
      <color theme="1"/>
      <name val="ArialMT"/>
    </font>
    <font>
      <sz val="11"/>
      <color theme="1"/>
      <name val="Arial"/>
      <family val="2"/>
    </font>
    <font>
      <sz val="10"/>
      <color theme="1"/>
      <name val="ArialMT"/>
      <family val="2"/>
    </font>
    <font>
      <b/>
      <sz val="11"/>
      <color theme="1"/>
      <name val="ArialMT"/>
    </font>
    <font>
      <sz val="11"/>
      <name val="Calibri"/>
      <family val="2"/>
      <scheme val="minor"/>
    </font>
    <font>
      <sz val="11"/>
      <color theme="1"/>
      <name val="Calibri"/>
      <family val="2"/>
      <scheme val="minor"/>
    </font>
    <font>
      <sz val="11"/>
      <color theme="0"/>
      <name val="ArialMT"/>
      <family val="2"/>
    </font>
    <font>
      <sz val="11"/>
      <color theme="5" tint="-0.249977111117893"/>
      <name val="ArialMT"/>
      <family val="2"/>
    </font>
    <font>
      <b/>
      <sz val="11"/>
      <color rgb="FFC00000"/>
      <name val="ArialMT"/>
    </font>
    <font>
      <sz val="11"/>
      <color theme="9" tint="-0.249977111117893"/>
      <name val="ArialMT"/>
      <family val="2"/>
    </font>
    <font>
      <sz val="11"/>
      <color theme="1"/>
      <name val="ArialMT"/>
    </font>
    <font>
      <sz val="10"/>
      <color rgb="FF000000"/>
      <name val="ArialMT"/>
      <family val="2"/>
    </font>
    <font>
      <sz val="14"/>
      <color theme="1"/>
      <name val="ArialMT"/>
      <family val="2"/>
    </font>
    <font>
      <sz val="11"/>
      <color theme="1"/>
      <name val="ArialMT"/>
      <family val="2"/>
    </font>
    <font>
      <sz val="11"/>
      <color rgb="FFC00000"/>
      <name val="Arial"/>
      <family val="2"/>
    </font>
    <font>
      <b/>
      <i/>
      <sz val="11"/>
      <color rgb="FFC00000"/>
      <name val="ArialMT"/>
    </font>
    <font>
      <b/>
      <i/>
      <sz val="11"/>
      <color rgb="FFC00000"/>
      <name val="Arial"/>
      <family val="2"/>
    </font>
    <font>
      <b/>
      <i/>
      <sz val="11"/>
      <color rgb="FFC00000"/>
      <name val="ArialMT"/>
      <family val="2"/>
    </font>
    <font>
      <b/>
      <sz val="14"/>
      <color theme="1"/>
      <name val="ArialMT"/>
    </font>
    <font>
      <sz val="11"/>
      <color theme="0"/>
      <name val="ArialMT"/>
    </font>
    <font>
      <b/>
      <sz val="11"/>
      <color theme="0"/>
      <name val="ArialMT"/>
    </font>
    <font>
      <b/>
      <sz val="14"/>
      <color theme="0"/>
      <name val="ArialMT"/>
    </font>
    <font>
      <sz val="10"/>
      <color theme="0"/>
      <name val="ArialMT"/>
    </font>
    <font>
      <b/>
      <sz val="12"/>
      <color theme="1"/>
      <name val="ArialMT"/>
    </font>
    <font>
      <b/>
      <sz val="12"/>
      <color rgb="FFC00000"/>
      <name val="ArialMT"/>
    </font>
    <font>
      <sz val="11"/>
      <color theme="4" tint="-0.249977111117893"/>
      <name val="Arial"/>
      <family val="2"/>
    </font>
    <font>
      <sz val="12"/>
      <color theme="0"/>
      <name val="ArialMT"/>
      <family val="2"/>
    </font>
    <font>
      <b/>
      <sz val="11"/>
      <color theme="8" tint="-0.249977111117893"/>
      <name val="ArialMT"/>
    </font>
    <font>
      <b/>
      <sz val="11"/>
      <color theme="9" tint="-0.249977111117893"/>
      <name val="ArialMT"/>
      <family val="2"/>
    </font>
    <font>
      <b/>
      <sz val="11"/>
      <color theme="9" tint="-0.249977111117893"/>
      <name val="ArialMT"/>
    </font>
    <font>
      <b/>
      <sz val="11"/>
      <color theme="9" tint="-0.249977111117893"/>
      <name val="Arial"/>
      <family val="2"/>
    </font>
    <font>
      <sz val="14"/>
      <color theme="0"/>
      <name val="ArialMT"/>
      <family val="2"/>
    </font>
    <font>
      <sz val="12"/>
      <color theme="1"/>
      <name val="ArialMT"/>
      <family val="2"/>
    </font>
    <font>
      <sz val="15"/>
      <color theme="0"/>
      <name val="ArialMT"/>
      <family val="2"/>
    </font>
    <font>
      <u/>
      <sz val="11"/>
      <color theme="10"/>
      <name val="ArialMT"/>
      <family val="2"/>
    </font>
    <font>
      <i/>
      <sz val="11"/>
      <color rgb="FFFF0000"/>
      <name val="Arial"/>
      <family val="2"/>
    </font>
    <font>
      <b/>
      <sz val="10"/>
      <color theme="1"/>
      <name val="Times New Roman"/>
      <family val="1"/>
    </font>
    <font>
      <sz val="10"/>
      <color theme="1"/>
      <name val="Times New Roman"/>
      <family val="1"/>
    </font>
    <font>
      <sz val="11"/>
      <color theme="1"/>
      <name val="Times New Roman"/>
      <family val="1"/>
    </font>
    <font>
      <u/>
      <sz val="12"/>
      <color theme="10"/>
      <name val="ArialMT"/>
      <family val="2"/>
    </font>
    <font>
      <i/>
      <sz val="11"/>
      <color rgb="FFC00000"/>
      <name val="Calibri"/>
      <family val="2"/>
      <scheme val="minor"/>
    </font>
    <font>
      <sz val="10"/>
      <color rgb="FF000000"/>
      <name val="Arial"/>
      <family val="2"/>
    </font>
    <font>
      <sz val="11"/>
      <color rgb="FFFF0000"/>
      <name val="ArialMT"/>
      <family val="2"/>
    </font>
    <font>
      <sz val="12"/>
      <color theme="1"/>
      <name val="ArialMT"/>
    </font>
    <font>
      <sz val="16"/>
      <color theme="1"/>
      <name val="ArialMT"/>
    </font>
    <font>
      <sz val="16"/>
      <color theme="0"/>
      <name val="ArialMT"/>
      <family val="2"/>
    </font>
    <font>
      <b/>
      <sz val="16"/>
      <color theme="0"/>
      <name val="ArialMT"/>
    </font>
    <font>
      <i/>
      <sz val="11"/>
      <color rgb="FFFF0000"/>
      <name val="ArialMT"/>
    </font>
    <font>
      <sz val="11"/>
      <color theme="7" tint="0.59999389629810485"/>
      <name val="ArialMT"/>
      <family val="2"/>
    </font>
    <font>
      <sz val="10"/>
      <color theme="1"/>
      <name val="ArialMT"/>
    </font>
    <font>
      <sz val="11"/>
      <color theme="1" tint="0.34998626667073579"/>
      <name val="ArialMT"/>
      <family val="2"/>
    </font>
    <font>
      <sz val="11"/>
      <color theme="8" tint="-0.249977111117893"/>
      <name val="ArialMT"/>
      <family val="2"/>
    </font>
    <font>
      <u/>
      <sz val="11"/>
      <color theme="1"/>
      <name val="ArialMT"/>
      <family val="2"/>
    </font>
    <font>
      <i/>
      <sz val="11"/>
      <color rgb="FFFF0000"/>
      <name val="Calibri"/>
      <family val="2"/>
      <scheme val="minor"/>
    </font>
    <font>
      <b/>
      <sz val="12"/>
      <color theme="9" tint="-0.249977111117893"/>
      <name val="ArialMT"/>
    </font>
    <font>
      <sz val="13"/>
      <color theme="1"/>
      <name val="ArialMT"/>
      <family val="2"/>
    </font>
    <font>
      <sz val="11"/>
      <color rgb="FFC00000"/>
      <name val="ArialMT"/>
    </font>
    <font>
      <sz val="12"/>
      <color theme="0"/>
      <name val="ArialMT"/>
    </font>
    <font>
      <sz val="14"/>
      <color theme="0"/>
      <name val="ArialMT"/>
    </font>
    <font>
      <sz val="12"/>
      <color rgb="FFC00000"/>
      <name val="ArialMT"/>
      <family val="2"/>
    </font>
    <font>
      <sz val="9"/>
      <color theme="7" tint="-0.249977111117893"/>
      <name val="ArialMT"/>
      <family val="2"/>
    </font>
    <font>
      <sz val="9"/>
      <color theme="7" tint="0.59999389629810485"/>
      <name val="ArialMT"/>
      <family val="2"/>
    </font>
    <font>
      <sz val="9"/>
      <color theme="7"/>
      <name val="ArialMT"/>
      <family val="2"/>
    </font>
    <font>
      <sz val="11"/>
      <color theme="7"/>
      <name val="ArialMT"/>
      <family val="2"/>
    </font>
    <font>
      <sz val="9"/>
      <color theme="9" tint="-0.249977111117893"/>
      <name val="ArialMT"/>
      <family val="2"/>
    </font>
    <font>
      <sz val="9"/>
      <color theme="5" tint="-0.249977111117893"/>
      <name val="ArialMT"/>
      <family val="2"/>
    </font>
    <font>
      <sz val="9"/>
      <color theme="1" tint="0.34998626667073579"/>
      <name val="ArialMT"/>
      <family val="2"/>
    </font>
    <font>
      <sz val="9"/>
      <color theme="8" tint="-0.249977111117893"/>
      <name val="ArialMT"/>
      <family val="2"/>
    </font>
    <font>
      <sz val="9"/>
      <color rgb="FF9750C3"/>
      <name val="ArialMT"/>
      <family val="2"/>
    </font>
    <font>
      <sz val="11"/>
      <color rgb="FF9750C3"/>
      <name val="ArialMT"/>
      <family val="2"/>
    </font>
    <font>
      <b/>
      <sz val="11"/>
      <color theme="1"/>
      <name val="Arial"/>
      <family val="2"/>
    </font>
    <font>
      <b/>
      <sz val="11"/>
      <color theme="0"/>
      <name val="Arial"/>
      <family val="2"/>
    </font>
    <font>
      <sz val="11"/>
      <color theme="1"/>
      <name val="Calibri"/>
      <family val="2"/>
      <charset val="204"/>
      <scheme val="minor"/>
    </font>
    <font>
      <i/>
      <sz val="11"/>
      <color rgb="FF0070C0"/>
      <name val="ArialMT"/>
    </font>
    <font>
      <sz val="11"/>
      <color rgb="FF000000"/>
      <name val="Times New Roman"/>
      <family val="1"/>
    </font>
    <font>
      <b/>
      <sz val="16"/>
      <color theme="1"/>
      <name val="ArialMT"/>
    </font>
    <font>
      <b/>
      <sz val="11"/>
      <color theme="9" tint="-0.499984740745262"/>
      <name val="ArialMT"/>
    </font>
    <font>
      <b/>
      <sz val="13"/>
      <color theme="9" tint="-0.249977111117893"/>
      <name val="ArialMT"/>
    </font>
    <font>
      <b/>
      <sz val="13"/>
      <color theme="1"/>
      <name val="ArialMT"/>
    </font>
    <font>
      <sz val="14"/>
      <color theme="1"/>
      <name val="ArialMT"/>
    </font>
    <font>
      <sz val="11"/>
      <color rgb="FF808080"/>
      <name val="ArialMT"/>
    </font>
    <font>
      <b/>
      <sz val="11"/>
      <color rgb="FF808080"/>
      <name val="ArialMT"/>
    </font>
    <font>
      <sz val="10"/>
      <color rgb="FF808080"/>
      <name val="ArialMT"/>
    </font>
    <font>
      <b/>
      <sz val="10"/>
      <color theme="1"/>
      <name val="ArialMT"/>
    </font>
    <font>
      <sz val="11"/>
      <color rgb="FF000000"/>
      <name val="ArialMT"/>
    </font>
    <font>
      <sz val="11"/>
      <color rgb="FF558233"/>
      <name val="ArialMT"/>
    </font>
    <font>
      <sz val="11"/>
      <color theme="4" tint="-0.249977111117893"/>
      <name val="ArialMT"/>
    </font>
    <font>
      <sz val="11"/>
      <color theme="7" tint="0.39997558519241921"/>
      <name val="ArialMT"/>
      <family val="2"/>
    </font>
    <font>
      <i/>
      <sz val="11"/>
      <color rgb="FFC00000"/>
      <name val="ArialMT"/>
    </font>
    <font>
      <b/>
      <sz val="11"/>
      <color theme="1"/>
      <name val="ArialMT"/>
      <family val="2"/>
    </font>
    <font>
      <sz val="12"/>
      <color theme="1"/>
      <name val="Times New Roman"/>
      <family val="1"/>
    </font>
    <font>
      <sz val="11"/>
      <color theme="10"/>
      <name val="ArialMT"/>
    </font>
    <font>
      <i/>
      <sz val="11"/>
      <color theme="5" tint="-0.249977111117893"/>
      <name val="ArialMT"/>
    </font>
    <font>
      <sz val="8"/>
      <color theme="9" tint="0.39997558519241921"/>
      <name val="Arial"/>
      <family val="2"/>
    </font>
    <font>
      <b/>
      <sz val="8"/>
      <color theme="9" tint="0.39997558519241921"/>
      <name val="Arial"/>
      <family val="2"/>
    </font>
    <font>
      <sz val="10"/>
      <color rgb="FFC00000"/>
      <name val="Arial"/>
      <family val="2"/>
    </font>
    <font>
      <sz val="10"/>
      <color theme="1"/>
      <name val="Arial"/>
      <family val="2"/>
    </font>
    <font>
      <b/>
      <sz val="11"/>
      <color rgb="FFFF0000"/>
      <name val="Arial"/>
      <family val="2"/>
    </font>
    <font>
      <b/>
      <i/>
      <sz val="11"/>
      <color rgb="FFFF0000"/>
      <name val="Arial"/>
      <family val="2"/>
    </font>
    <font>
      <sz val="11"/>
      <color rgb="FF997300"/>
      <name val="ArialMT"/>
      <family val="2"/>
    </font>
    <font>
      <b/>
      <sz val="16"/>
      <color theme="7" tint="-0.249977111117893"/>
      <name val="ArialMT"/>
    </font>
    <font>
      <sz val="8"/>
      <name val="ArialMT"/>
      <family val="2"/>
    </font>
    <font>
      <sz val="8"/>
      <color theme="1"/>
      <name val="Arial"/>
      <family val="2"/>
    </font>
    <font>
      <sz val="13"/>
      <color theme="1"/>
      <name val="ArialMT"/>
    </font>
    <font>
      <sz val="13"/>
      <color theme="0"/>
      <name val="ArialMT"/>
    </font>
    <font>
      <sz val="15"/>
      <color rgb="FFFFFFFF"/>
      <name val="ArialMT"/>
      <family val="2"/>
    </font>
    <font>
      <b/>
      <i/>
      <sz val="11"/>
      <color rgb="FFFF0000"/>
      <name val="ArialMT"/>
    </font>
    <font>
      <b/>
      <i/>
      <sz val="12"/>
      <color theme="1"/>
      <name val="ArialMT"/>
    </font>
    <font>
      <b/>
      <sz val="10"/>
      <color theme="1"/>
      <name val="Arial"/>
      <family val="2"/>
    </font>
    <font>
      <b/>
      <sz val="11"/>
      <color rgb="FFC00000"/>
      <name val="Arial"/>
      <family val="2"/>
    </font>
    <font>
      <i/>
      <sz val="12"/>
      <color theme="1"/>
      <name val="Times New Roman"/>
      <family val="1"/>
    </font>
    <font>
      <sz val="12"/>
      <color rgb="FF000000"/>
      <name val="Times New Roman"/>
      <family val="1"/>
    </font>
    <font>
      <sz val="11"/>
      <color rgb="FF44546A"/>
      <name val="Arial"/>
      <family val="2"/>
    </font>
  </fonts>
  <fills count="64">
    <fill>
      <patternFill patternType="none"/>
    </fill>
    <fill>
      <patternFill patternType="gray125"/>
    </fill>
    <fill>
      <patternFill patternType="solid">
        <fgColor theme="7" tint="0.39997558519241921"/>
        <bgColor indexed="64"/>
      </patternFill>
    </fill>
    <fill>
      <patternFill patternType="solid">
        <fgColor theme="9"/>
        <bgColor indexed="64"/>
      </patternFill>
    </fill>
    <fill>
      <patternFill patternType="solid">
        <fgColor theme="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bgColor indexed="64"/>
      </patternFill>
    </fill>
    <fill>
      <patternFill patternType="solid">
        <fgColor rgb="FF9751C3"/>
        <bgColor indexed="64"/>
      </patternFill>
    </fill>
    <fill>
      <patternFill patternType="solid">
        <fgColor rgb="FFCEA3E2"/>
        <bgColor indexed="64"/>
      </patternFill>
    </fill>
    <fill>
      <patternFill patternType="solid">
        <fgColor rgb="FFF0F80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70AD47"/>
        <bgColor rgb="FF000000"/>
      </patternFill>
    </fill>
    <fill>
      <patternFill patternType="solid">
        <fgColor rgb="FFFFD966"/>
        <bgColor rgb="FF000000"/>
      </patternFill>
    </fill>
    <fill>
      <patternFill patternType="solid">
        <fgColor rgb="FFED7D31"/>
        <bgColor rgb="FF000000"/>
      </patternFill>
    </fill>
    <fill>
      <patternFill patternType="solid">
        <fgColor rgb="FF808080"/>
        <bgColor rgb="FF000000"/>
      </patternFill>
    </fill>
    <fill>
      <patternFill patternType="solid">
        <fgColor rgb="FF5B9BD5"/>
        <bgColor rgb="FF000000"/>
      </patternFill>
    </fill>
    <fill>
      <patternFill patternType="solid">
        <fgColor rgb="FF9751C3"/>
        <bgColor rgb="FF000000"/>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theme="8" tint="-0.249977111117893"/>
        <bgColor indexed="64"/>
      </patternFill>
    </fill>
    <fill>
      <patternFill patternType="solid">
        <fgColor rgb="FFC00000"/>
        <bgColor indexed="64"/>
      </patternFill>
    </fill>
    <fill>
      <patternFill patternType="solid">
        <fgColor theme="6" tint="0.59999389629810485"/>
        <bgColor indexed="64"/>
      </patternFill>
    </fill>
    <fill>
      <patternFill patternType="solid">
        <fgColor rgb="FFFED966"/>
        <bgColor indexed="64"/>
      </patternFill>
    </fill>
    <fill>
      <patternFill patternType="solid">
        <fgColor rgb="FFCEA3E1"/>
        <bgColor indexed="64"/>
      </patternFill>
    </fill>
    <fill>
      <patternFill patternType="solid">
        <fgColor theme="1" tint="0.499984740745262"/>
        <bgColor indexed="64"/>
      </patternFill>
    </fill>
    <fill>
      <patternFill patternType="solid">
        <fgColor rgb="FF9750C3"/>
        <bgColor indexed="64"/>
      </patternFill>
    </fill>
    <fill>
      <patternFill patternType="solid">
        <fgColor rgb="FF92D050"/>
        <bgColor indexed="64"/>
      </patternFill>
    </fill>
    <fill>
      <patternFill patternType="solid">
        <fgColor rgb="FFEDC964"/>
        <bgColor indexed="64"/>
      </patternFill>
    </fill>
    <fill>
      <patternFill patternType="solid">
        <fgColor rgb="FF9851C3"/>
        <bgColor indexed="64"/>
      </patternFill>
    </fill>
    <fill>
      <patternFill patternType="solid">
        <fgColor rgb="FF008200"/>
        <bgColor indexed="64"/>
      </patternFill>
    </fill>
    <fill>
      <patternFill patternType="solid">
        <fgColor rgb="FF00A000"/>
        <bgColor indexed="64"/>
      </patternFill>
    </fill>
    <fill>
      <patternFill patternType="solid">
        <fgColor rgb="FF00B500"/>
        <bgColor indexed="64"/>
      </patternFill>
    </fill>
    <fill>
      <patternFill patternType="solid">
        <fgColor rgb="FF00C709"/>
        <bgColor indexed="64"/>
      </patternFill>
    </fill>
    <fill>
      <patternFill patternType="solid">
        <fgColor rgb="FF00D407"/>
        <bgColor indexed="64"/>
      </patternFill>
    </fill>
    <fill>
      <patternFill patternType="solid">
        <fgColor rgb="FFEDC965"/>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808081"/>
        <bgColor indexed="64"/>
      </patternFill>
    </fill>
    <fill>
      <patternFill patternType="solid">
        <fgColor rgb="FF9850C3"/>
        <bgColor indexed="64"/>
      </patternFill>
    </fill>
    <fill>
      <patternFill patternType="solid">
        <fgColor rgb="FFFFFFFF"/>
        <bgColor indexed="64"/>
      </patternFill>
    </fill>
    <fill>
      <patternFill patternType="solid">
        <fgColor rgb="FF5A9DD5"/>
        <bgColor indexed="64"/>
      </patternFill>
    </fill>
    <fill>
      <patternFill patternType="solid">
        <fgColor theme="8" tint="-0.249977111117893"/>
        <bgColor rgb="FF000000"/>
      </patternFill>
    </fill>
    <fill>
      <patternFill patternType="solid">
        <fgColor rgb="FF595A59"/>
        <bgColor indexed="64"/>
      </patternFill>
    </fill>
    <fill>
      <patternFill patternType="solid">
        <fgColor rgb="FF595A59"/>
        <bgColor rgb="FF000000"/>
      </patternFill>
    </fill>
    <fill>
      <patternFill patternType="solid">
        <fgColor theme="5" tint="-0.249977111117893"/>
        <bgColor rgb="FF000000"/>
      </patternFill>
    </fill>
    <fill>
      <patternFill patternType="solid">
        <fgColor theme="9" tint="-0.249977111117893"/>
        <bgColor rgb="FF000000"/>
      </patternFill>
    </fill>
  </fills>
  <borders count="55">
    <border>
      <left/>
      <right/>
      <top/>
      <bottom/>
      <diagonal/>
    </border>
    <border>
      <left/>
      <right style="thin">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theme="1"/>
      </bottom>
      <diagonal/>
    </border>
    <border>
      <left/>
      <right style="thin">
        <color theme="1"/>
      </right>
      <top/>
      <bottom/>
      <diagonal/>
    </border>
    <border>
      <left/>
      <right style="thin">
        <color theme="1"/>
      </right>
      <top/>
      <bottom style="thin">
        <color theme="1"/>
      </bottom>
      <diagonal/>
    </border>
    <border>
      <left/>
      <right/>
      <top/>
      <bottom style="medium">
        <color theme="1"/>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theme="1"/>
      </top>
      <bottom/>
      <diagonal/>
    </border>
    <border>
      <left/>
      <right/>
      <top style="medium">
        <color theme="1"/>
      </top>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25" fillId="0" borderId="0" applyFont="0" applyFill="0" applyBorder="0" applyAlignment="0" applyProtection="0"/>
    <xf numFmtId="0" fontId="46" fillId="0" borderId="0" applyNumberFormat="0" applyFill="0" applyBorder="0" applyAlignment="0" applyProtection="0"/>
    <xf numFmtId="0" fontId="84" fillId="0" borderId="0"/>
  </cellStyleXfs>
  <cellXfs count="1508">
    <xf numFmtId="0" fontId="0" fillId="0" borderId="0" xfId="0"/>
    <xf numFmtId="0" fontId="1" fillId="0" borderId="0" xfId="0" applyFont="1"/>
    <xf numFmtId="0" fontId="0" fillId="0" borderId="0" xfId="0" applyAlignment="1">
      <alignment wrapText="1"/>
    </xf>
    <xf numFmtId="164" fontId="0" fillId="0" borderId="0" xfId="0" applyNumberFormat="1"/>
    <xf numFmtId="165" fontId="0" fillId="0" borderId="0" xfId="0" applyNumberFormat="1"/>
    <xf numFmtId="2" fontId="0" fillId="0" borderId="0" xfId="0" applyNumberFormat="1"/>
    <xf numFmtId="0" fontId="2" fillId="0" borderId="0" xfId="0" applyFont="1"/>
    <xf numFmtId="0" fontId="1" fillId="0" borderId="0" xfId="0" applyFont="1" applyAlignment="1">
      <alignment horizontal="left" vertical="top"/>
    </xf>
    <xf numFmtId="49" fontId="1" fillId="0" borderId="0" xfId="0" applyNumberFormat="1" applyFont="1"/>
    <xf numFmtId="0" fontId="1" fillId="0" borderId="1" xfId="0" applyFont="1" applyBorder="1"/>
    <xf numFmtId="166" fontId="3" fillId="0" borderId="0" xfId="0" applyNumberFormat="1" applyFont="1"/>
    <xf numFmtId="0" fontId="4" fillId="0" borderId="0" xfId="0" applyFont="1"/>
    <xf numFmtId="0" fontId="5" fillId="0" borderId="0" xfId="0" applyFont="1"/>
    <xf numFmtId="0" fontId="1" fillId="0" borderId="0" xfId="0" applyFont="1" applyAlignment="1">
      <alignment horizontal="right"/>
    </xf>
    <xf numFmtId="1" fontId="6" fillId="0" borderId="0" xfId="0" applyNumberFormat="1" applyFont="1"/>
    <xf numFmtId="166" fontId="1" fillId="0" borderId="0" xfId="0" applyNumberFormat="1" applyFont="1"/>
    <xf numFmtId="1" fontId="1" fillId="0" borderId="0" xfId="0" applyNumberFormat="1" applyFont="1"/>
    <xf numFmtId="1" fontId="3" fillId="0" borderId="0" xfId="0" applyNumberFormat="1" applyFont="1"/>
    <xf numFmtId="0" fontId="3" fillId="0" borderId="0" xfId="0" applyFont="1"/>
    <xf numFmtId="166" fontId="1" fillId="0" borderId="0" xfId="0" applyNumberFormat="1" applyFont="1" applyAlignment="1">
      <alignment horizontal="right"/>
    </xf>
    <xf numFmtId="0" fontId="6" fillId="0" borderId="0" xfId="0" applyFont="1"/>
    <xf numFmtId="3" fontId="1" fillId="0" borderId="0" xfId="0" applyNumberFormat="1" applyFont="1"/>
    <xf numFmtId="166" fontId="0" fillId="0" borderId="0" xfId="0" applyNumberFormat="1"/>
    <xf numFmtId="1" fontId="0" fillId="0" borderId="0" xfId="0" applyNumberFormat="1"/>
    <xf numFmtId="0" fontId="1" fillId="0" borderId="2" xfId="0" applyFont="1" applyBorder="1"/>
    <xf numFmtId="0" fontId="0" fillId="0" borderId="3" xfId="0" applyBorder="1"/>
    <xf numFmtId="0" fontId="0" fillId="0" borderId="4" xfId="0" applyBorder="1"/>
    <xf numFmtId="0" fontId="7" fillId="0" borderId="0" xfId="0" applyFont="1"/>
    <xf numFmtId="165" fontId="7" fillId="0" borderId="3" xfId="0" applyNumberFormat="1" applyFont="1" applyBorder="1"/>
    <xf numFmtId="165" fontId="7" fillId="0" borderId="0" xfId="0" applyNumberFormat="1" applyFont="1"/>
    <xf numFmtId="164" fontId="7" fillId="0" borderId="3" xfId="0" applyNumberFormat="1" applyFont="1" applyBorder="1"/>
    <xf numFmtId="164" fontId="7" fillId="0" borderId="0" xfId="0" applyNumberFormat="1" applyFont="1"/>
    <xf numFmtId="164" fontId="7" fillId="0" borderId="4" xfId="0" applyNumberFormat="1" applyFont="1" applyBorder="1"/>
    <xf numFmtId="165" fontId="0" fillId="0" borderId="3" xfId="0" applyNumberFormat="1" applyBorder="1"/>
    <xf numFmtId="165" fontId="8" fillId="0" borderId="0" xfId="0" applyNumberFormat="1" applyFont="1"/>
    <xf numFmtId="164" fontId="0" fillId="0" borderId="3" xfId="0" applyNumberFormat="1" applyBorder="1"/>
    <xf numFmtId="164" fontId="0" fillId="0" borderId="4" xfId="0" applyNumberFormat="1" applyBorder="1"/>
    <xf numFmtId="164" fontId="8" fillId="0" borderId="0" xfId="0" applyNumberFormat="1" applyFont="1"/>
    <xf numFmtId="0" fontId="9" fillId="0" borderId="0" xfId="0" applyFont="1"/>
    <xf numFmtId="165" fontId="9" fillId="0" borderId="3" xfId="0" applyNumberFormat="1" applyFont="1" applyBorder="1"/>
    <xf numFmtId="165" fontId="9" fillId="0" borderId="0" xfId="0" applyNumberFormat="1" applyFont="1"/>
    <xf numFmtId="164" fontId="9" fillId="0" borderId="3" xfId="0" applyNumberFormat="1" applyFont="1" applyBorder="1"/>
    <xf numFmtId="164" fontId="9" fillId="0" borderId="0" xfId="0" applyNumberFormat="1" applyFont="1"/>
    <xf numFmtId="164" fontId="10" fillId="0" borderId="0" xfId="0" applyNumberFormat="1" applyFont="1"/>
    <xf numFmtId="164" fontId="9" fillId="0" borderId="4" xfId="0" applyNumberFormat="1" applyFont="1" applyBorder="1"/>
    <xf numFmtId="165" fontId="10" fillId="0" borderId="0" xfId="0" applyNumberFormat="1" applyFont="1"/>
    <xf numFmtId="164" fontId="10" fillId="0" borderId="4" xfId="0" applyNumberFormat="1" applyFont="1" applyBorder="1"/>
    <xf numFmtId="0" fontId="11" fillId="0" borderId="0" xfId="0" applyFont="1"/>
    <xf numFmtId="165" fontId="11" fillId="0" borderId="3" xfId="0" applyNumberFormat="1" applyFont="1" applyBorder="1"/>
    <xf numFmtId="165" fontId="11" fillId="0" borderId="0" xfId="0" applyNumberFormat="1" applyFont="1"/>
    <xf numFmtId="165" fontId="11" fillId="0" borderId="4" xfId="0" applyNumberFormat="1" applyFont="1" applyBorder="1"/>
    <xf numFmtId="165" fontId="9" fillId="0" borderId="4" xfId="0" applyNumberFormat="1" applyFont="1" applyBorder="1"/>
    <xf numFmtId="0" fontId="0" fillId="0" borderId="0" xfId="0" applyBorder="1"/>
    <xf numFmtId="0" fontId="1" fillId="0" borderId="0" xfId="0" applyFont="1" applyBorder="1"/>
    <xf numFmtId="2" fontId="1" fillId="0" borderId="0" xfId="0" applyNumberFormat="1" applyFont="1"/>
    <xf numFmtId="2" fontId="11" fillId="0" borderId="0" xfId="0" applyNumberFormat="1" applyFont="1"/>
    <xf numFmtId="1" fontId="11" fillId="0" borderId="3" xfId="0" applyNumberFormat="1" applyFont="1" applyBorder="1"/>
    <xf numFmtId="1" fontId="0" fillId="0" borderId="3" xfId="0" applyNumberFormat="1" applyBorder="1"/>
    <xf numFmtId="164" fontId="8" fillId="0" borderId="4" xfId="0" applyNumberFormat="1" applyFont="1" applyBorder="1"/>
    <xf numFmtId="165" fontId="7" fillId="0" borderId="4" xfId="0" applyNumberFormat="1" applyFont="1" applyBorder="1"/>
    <xf numFmtId="165" fontId="0" fillId="0" borderId="4" xfId="0" applyNumberFormat="1" applyBorder="1"/>
    <xf numFmtId="0" fontId="7" fillId="0" borderId="1" xfId="0" applyFont="1" applyBorder="1"/>
    <xf numFmtId="165" fontId="7" fillId="0" borderId="1" xfId="0" applyNumberFormat="1" applyFont="1" applyBorder="1"/>
    <xf numFmtId="164" fontId="7" fillId="0" borderId="1" xfId="0" applyNumberFormat="1" applyFont="1" applyBorder="1"/>
    <xf numFmtId="0" fontId="11" fillId="0" borderId="1" xfId="0" applyFont="1" applyBorder="1"/>
    <xf numFmtId="165" fontId="11" fillId="0" borderId="1" xfId="0" applyNumberFormat="1" applyFont="1" applyBorder="1"/>
    <xf numFmtId="0" fontId="0" fillId="0" borderId="1" xfId="0" applyBorder="1"/>
    <xf numFmtId="165" fontId="0" fillId="0" borderId="1" xfId="0" applyNumberFormat="1" applyBorder="1"/>
    <xf numFmtId="164" fontId="8" fillId="0" borderId="1" xfId="0" applyNumberFormat="1" applyFont="1" applyBorder="1"/>
    <xf numFmtId="164" fontId="0" fillId="0" borderId="1" xfId="0" applyNumberFormat="1" applyBorder="1"/>
    <xf numFmtId="164" fontId="10" fillId="0" borderId="1" xfId="0" applyNumberFormat="1" applyFont="1" applyBorder="1"/>
    <xf numFmtId="0" fontId="9" fillId="0" borderId="1" xfId="0" applyFont="1" applyBorder="1"/>
    <xf numFmtId="165" fontId="9" fillId="0" borderId="1" xfId="0" applyNumberFormat="1" applyFont="1" applyBorder="1"/>
    <xf numFmtId="164" fontId="9" fillId="0" borderId="1" xfId="0" applyNumberFormat="1" applyFont="1" applyBorder="1"/>
    <xf numFmtId="165" fontId="8" fillId="0" borderId="1" xfId="0" applyNumberFormat="1" applyFont="1" applyBorder="1"/>
    <xf numFmtId="165" fontId="10" fillId="0" borderId="1" xfId="0" applyNumberFormat="1" applyFont="1" applyBorder="1"/>
    <xf numFmtId="166" fontId="11" fillId="0" borderId="0" xfId="0" applyNumberFormat="1" applyFont="1"/>
    <xf numFmtId="1" fontId="11" fillId="0" borderId="0" xfId="0" applyNumberFormat="1" applyFont="1"/>
    <xf numFmtId="164" fontId="8" fillId="0" borderId="3" xfId="0" applyNumberFormat="1" applyFont="1" applyBorder="1"/>
    <xf numFmtId="165" fontId="12" fillId="0" borderId="0" xfId="0" applyNumberFormat="1" applyFont="1"/>
    <xf numFmtId="165" fontId="10" fillId="0" borderId="4" xfId="0" applyNumberFormat="1" applyFont="1" applyBorder="1"/>
    <xf numFmtId="0" fontId="0" fillId="0" borderId="0" xfId="0" applyAlignment="1"/>
    <xf numFmtId="0" fontId="13" fillId="0" borderId="0" xfId="0" applyFont="1"/>
    <xf numFmtId="0" fontId="14" fillId="0" borderId="0" xfId="0" applyFont="1"/>
    <xf numFmtId="0" fontId="15" fillId="0" borderId="0" xfId="0" applyFont="1" applyAlignment="1">
      <alignment wrapText="1"/>
    </xf>
    <xf numFmtId="0" fontId="15" fillId="0" borderId="0" xfId="0" applyFont="1"/>
    <xf numFmtId="0" fontId="14" fillId="2" borderId="0" xfId="0" applyFont="1" applyFill="1"/>
    <xf numFmtId="1" fontId="14" fillId="2" borderId="0" xfId="0" applyNumberFormat="1" applyFont="1" applyFill="1"/>
    <xf numFmtId="2" fontId="14" fillId="2" borderId="0" xfId="0" applyNumberFormat="1" applyFont="1" applyFill="1"/>
    <xf numFmtId="0" fontId="14" fillId="2" borderId="0" xfId="0" applyFont="1" applyFill="1" applyAlignment="1">
      <alignment wrapText="1"/>
    </xf>
    <xf numFmtId="0" fontId="0" fillId="2" borderId="0" xfId="0" applyFill="1" applyAlignment="1">
      <alignment horizontal="right"/>
    </xf>
    <xf numFmtId="0" fontId="0" fillId="2" borderId="0" xfId="0" applyFill="1" applyAlignment="1">
      <alignment horizontal="right" wrapText="1"/>
    </xf>
    <xf numFmtId="0" fontId="0" fillId="2" borderId="0" xfId="0" applyFill="1"/>
    <xf numFmtId="0" fontId="0" fillId="3" borderId="0" xfId="0" applyFill="1"/>
    <xf numFmtId="0" fontId="15" fillId="3" borderId="0" xfId="0" applyFont="1" applyFill="1" applyAlignment="1">
      <alignment wrapText="1"/>
    </xf>
    <xf numFmtId="0" fontId="0" fillId="3" borderId="0" xfId="0" applyFill="1" applyAlignment="1">
      <alignment wrapText="1"/>
    </xf>
    <xf numFmtId="166" fontId="0" fillId="0" borderId="8" xfId="0" applyNumberFormat="1" applyBorder="1"/>
    <xf numFmtId="2" fontId="0" fillId="0" borderId="0" xfId="0" applyNumberFormat="1" applyBorder="1"/>
    <xf numFmtId="2" fontId="0" fillId="0" borderId="0" xfId="0" applyNumberFormat="1" applyBorder="1" applyAlignment="1">
      <alignment horizontal="center"/>
    </xf>
    <xf numFmtId="0" fontId="0" fillId="0" borderId="0" xfId="0" applyAlignment="1">
      <alignment horizontal="center" vertical="center"/>
    </xf>
    <xf numFmtId="0" fontId="0" fillId="0" borderId="0" xfId="0" applyFill="1" applyBorder="1"/>
    <xf numFmtId="2" fontId="0" fillId="0" borderId="0" xfId="0" applyNumberFormat="1" applyAlignment="1">
      <alignment horizontal="center" vertical="center"/>
    </xf>
    <xf numFmtId="0" fontId="0" fillId="0" borderId="0" xfId="0" applyBorder="1" applyAlignment="1">
      <alignment horizontal="center"/>
    </xf>
    <xf numFmtId="0" fontId="0" fillId="0" borderId="8" xfId="0" applyBorder="1"/>
    <xf numFmtId="166" fontId="0" fillId="0" borderId="0" xfId="0" applyNumberFormat="1" applyFill="1" applyBorder="1"/>
    <xf numFmtId="0" fontId="0" fillId="13" borderId="0" xfId="0" applyFill="1"/>
    <xf numFmtId="0" fontId="0" fillId="0" borderId="2" xfId="0" applyBorder="1"/>
    <xf numFmtId="166" fontId="0" fillId="0" borderId="9" xfId="0" applyNumberFormat="1" applyBorder="1"/>
    <xf numFmtId="166" fontId="0" fillId="0" borderId="10" xfId="0" applyNumberFormat="1" applyBorder="1"/>
    <xf numFmtId="166" fontId="4" fillId="0" borderId="0" xfId="0" applyNumberFormat="1" applyFont="1"/>
    <xf numFmtId="0" fontId="2" fillId="0" borderId="2" xfId="0" applyFont="1" applyBorder="1"/>
    <xf numFmtId="0" fontId="15" fillId="9" borderId="0" xfId="0" applyFont="1" applyFill="1"/>
    <xf numFmtId="0" fontId="0" fillId="0" borderId="0" xfId="0" applyBorder="1" applyAlignment="1">
      <alignment wrapText="1"/>
    </xf>
    <xf numFmtId="0" fontId="14" fillId="2" borderId="0" xfId="0" applyFont="1" applyFill="1" applyBorder="1" applyAlignment="1">
      <alignment wrapText="1"/>
    </xf>
    <xf numFmtId="0" fontId="0" fillId="0" borderId="1" xfId="0" applyBorder="1" applyAlignment="1">
      <alignment wrapText="1"/>
    </xf>
    <xf numFmtId="0" fontId="0" fillId="3" borderId="1" xfId="0" applyFill="1" applyBorder="1" applyAlignment="1">
      <alignment wrapText="1"/>
    </xf>
    <xf numFmtId="2" fontId="0" fillId="0" borderId="1" xfId="0" applyNumberFormat="1" applyBorder="1"/>
    <xf numFmtId="0" fontId="14" fillId="2" borderId="1" xfId="0" applyFont="1" applyFill="1" applyBorder="1" applyAlignment="1">
      <alignment wrapText="1"/>
    </xf>
    <xf numFmtId="166" fontId="0" fillId="0" borderId="1" xfId="0" applyNumberFormat="1" applyBorder="1"/>
    <xf numFmtId="166" fontId="0" fillId="0" borderId="0" xfId="0" applyNumberFormat="1" applyBorder="1"/>
    <xf numFmtId="0" fontId="0" fillId="0" borderId="0" xfId="0" applyFill="1" applyBorder="1" applyAlignment="1">
      <alignment wrapText="1"/>
    </xf>
    <xf numFmtId="0" fontId="0" fillId="0" borderId="0" xfId="0" applyFill="1" applyBorder="1" applyAlignment="1"/>
    <xf numFmtId="0" fontId="18" fillId="3" borderId="0" xfId="0" applyFont="1" applyFill="1" applyAlignment="1">
      <alignment wrapText="1"/>
    </xf>
    <xf numFmtId="0" fontId="18" fillId="3" borderId="0" xfId="0" applyFont="1" applyFill="1" applyAlignment="1">
      <alignment horizontal="right" wrapText="1"/>
    </xf>
    <xf numFmtId="0" fontId="18" fillId="7" borderId="0" xfId="0" applyFont="1" applyFill="1" applyAlignment="1">
      <alignment wrapText="1"/>
    </xf>
    <xf numFmtId="0" fontId="18" fillId="7" borderId="0" xfId="0" applyFont="1" applyFill="1" applyAlignment="1">
      <alignment horizontal="right" wrapText="1"/>
    </xf>
    <xf numFmtId="0" fontId="18" fillId="9" borderId="0" xfId="0" applyFont="1" applyFill="1" applyAlignment="1">
      <alignment wrapText="1"/>
    </xf>
    <xf numFmtId="0" fontId="18" fillId="9" borderId="0" xfId="0" applyFont="1" applyFill="1" applyAlignment="1">
      <alignment horizontal="right" wrapText="1"/>
    </xf>
    <xf numFmtId="0" fontId="18" fillId="12" borderId="0" xfId="0" applyFont="1" applyFill="1" applyAlignment="1">
      <alignment wrapText="1"/>
    </xf>
    <xf numFmtId="0" fontId="18" fillId="12" borderId="0" xfId="0" applyFont="1" applyFill="1" applyAlignment="1">
      <alignment horizontal="right" wrapText="1"/>
    </xf>
    <xf numFmtId="0" fontId="18" fillId="13" borderId="2" xfId="0" applyFont="1" applyFill="1" applyBorder="1" applyAlignment="1">
      <alignment wrapText="1"/>
    </xf>
    <xf numFmtId="0" fontId="18" fillId="13" borderId="2" xfId="0" applyFont="1" applyFill="1" applyBorder="1" applyAlignment="1">
      <alignment horizontal="right" wrapText="1"/>
    </xf>
    <xf numFmtId="2" fontId="0" fillId="0" borderId="2" xfId="0" applyNumberFormat="1" applyBorder="1"/>
    <xf numFmtId="2" fontId="0" fillId="0" borderId="10" xfId="0" applyNumberFormat="1" applyBorder="1"/>
    <xf numFmtId="0" fontId="0" fillId="0" borderId="6" xfId="0" applyBorder="1"/>
    <xf numFmtId="165" fontId="19" fillId="0" borderId="0" xfId="0" applyNumberFormat="1" applyFont="1"/>
    <xf numFmtId="2" fontId="15" fillId="0" borderId="0" xfId="0" applyNumberFormat="1" applyFont="1" applyBorder="1"/>
    <xf numFmtId="2" fontId="15" fillId="0" borderId="1" xfId="0" applyNumberFormat="1" applyFont="1" applyBorder="1"/>
    <xf numFmtId="0" fontId="0" fillId="0" borderId="11" xfId="0" applyBorder="1"/>
    <xf numFmtId="166" fontId="0" fillId="0" borderId="6" xfId="0" applyNumberFormat="1" applyBorder="1"/>
    <xf numFmtId="166" fontId="0" fillId="0" borderId="11" xfId="0" applyNumberFormat="1" applyBorder="1"/>
    <xf numFmtId="0" fontId="15" fillId="2" borderId="0" xfId="0" applyFont="1" applyFill="1"/>
    <xf numFmtId="165" fontId="21" fillId="0" borderId="0" xfId="0" applyNumberFormat="1" applyFont="1"/>
    <xf numFmtId="0" fontId="1" fillId="16" borderId="3" xfId="0" applyFont="1" applyFill="1" applyBorder="1"/>
    <xf numFmtId="0" fontId="13" fillId="0" borderId="0" xfId="0" applyFont="1" applyAlignment="1">
      <alignment horizontal="right"/>
    </xf>
    <xf numFmtId="0" fontId="0" fillId="17" borderId="0" xfId="0" applyFill="1" applyAlignment="1">
      <alignment horizontal="center" vertical="center"/>
    </xf>
    <xf numFmtId="2" fontId="15" fillId="0" borderId="0" xfId="0" applyNumberFormat="1" applyFont="1"/>
    <xf numFmtId="0" fontId="4" fillId="18" borderId="0" xfId="0" applyFont="1" applyFill="1" applyAlignment="1">
      <alignment wrapText="1"/>
    </xf>
    <xf numFmtId="0" fontId="23" fillId="19" borderId="0" xfId="0" applyFont="1" applyFill="1" applyAlignment="1">
      <alignment wrapText="1"/>
    </xf>
    <xf numFmtId="0" fontId="4" fillId="0" borderId="6" xfId="0" applyFont="1" applyBorder="1"/>
    <xf numFmtId="0" fontId="12" fillId="17" borderId="0" xfId="0" applyFont="1" applyFill="1" applyAlignment="1">
      <alignment horizontal="center" vertical="center"/>
    </xf>
    <xf numFmtId="165" fontId="19" fillId="24" borderId="0" xfId="0" applyNumberFormat="1" applyFont="1" applyFill="1"/>
    <xf numFmtId="0" fontId="22" fillId="26" borderId="0" xfId="0" applyFont="1" applyFill="1"/>
    <xf numFmtId="0" fontId="15" fillId="26" borderId="0" xfId="0" applyFont="1" applyFill="1"/>
    <xf numFmtId="0" fontId="22" fillId="27" borderId="0" xfId="0" applyFont="1" applyFill="1"/>
    <xf numFmtId="0" fontId="15" fillId="27" borderId="0" xfId="0" applyFont="1" applyFill="1"/>
    <xf numFmtId="0" fontId="22" fillId="9" borderId="0" xfId="0" applyFont="1" applyFill="1"/>
    <xf numFmtId="0" fontId="22" fillId="9" borderId="6" xfId="0" applyFont="1" applyFill="1" applyBorder="1"/>
    <xf numFmtId="0" fontId="15" fillId="9" borderId="6" xfId="0" applyFont="1" applyFill="1" applyBorder="1"/>
    <xf numFmtId="0" fontId="22" fillId="9" borderId="6" xfId="0" applyFont="1" applyFill="1" applyBorder="1" applyAlignment="1">
      <alignment horizontal="right" wrapText="1"/>
    </xf>
    <xf numFmtId="166" fontId="22" fillId="9" borderId="6" xfId="0" applyNumberFormat="1" applyFont="1" applyFill="1" applyBorder="1"/>
    <xf numFmtId="0" fontId="22" fillId="27" borderId="6" xfId="0" applyFont="1" applyFill="1" applyBorder="1"/>
    <xf numFmtId="0" fontId="15" fillId="27" borderId="6" xfId="0" applyFont="1" applyFill="1" applyBorder="1"/>
    <xf numFmtId="0" fontId="22" fillId="27" borderId="6" xfId="0" applyFont="1" applyFill="1" applyBorder="1" applyAlignment="1">
      <alignment horizontal="right" wrapText="1"/>
    </xf>
    <xf numFmtId="166" fontId="22" fillId="27" borderId="6" xfId="0" applyNumberFormat="1" applyFont="1" applyFill="1" applyBorder="1"/>
    <xf numFmtId="0" fontId="22" fillId="26" borderId="6" xfId="0" applyFont="1" applyFill="1" applyBorder="1"/>
    <xf numFmtId="0" fontId="15" fillId="26" borderId="6" xfId="0" applyFont="1" applyFill="1" applyBorder="1"/>
    <xf numFmtId="0" fontId="22" fillId="26" borderId="6" xfId="0" applyFont="1" applyFill="1" applyBorder="1" applyAlignment="1">
      <alignment horizontal="right" wrapText="1"/>
    </xf>
    <xf numFmtId="166" fontId="22" fillId="26" borderId="6" xfId="0" applyNumberFormat="1" applyFont="1" applyFill="1" applyBorder="1"/>
    <xf numFmtId="0" fontId="22" fillId="25" borderId="6" xfId="0" applyFont="1" applyFill="1" applyBorder="1"/>
    <xf numFmtId="0" fontId="15" fillId="25" borderId="6" xfId="0" applyFont="1" applyFill="1" applyBorder="1"/>
    <xf numFmtId="0" fontId="22" fillId="25" borderId="6" xfId="0" applyFont="1" applyFill="1" applyBorder="1" applyAlignment="1">
      <alignment horizontal="right" wrapText="1"/>
    </xf>
    <xf numFmtId="166" fontId="22" fillId="25" borderId="6" xfId="0" applyNumberFormat="1" applyFont="1" applyFill="1" applyBorder="1"/>
    <xf numFmtId="165" fontId="19" fillId="24" borderId="0" xfId="0" applyNumberFormat="1" applyFont="1" applyFill="1" applyBorder="1"/>
    <xf numFmtId="0" fontId="15" fillId="0" borderId="0" xfId="0" applyFont="1" applyAlignment="1">
      <alignment horizontal="right" wrapText="1"/>
    </xf>
    <xf numFmtId="2" fontId="20" fillId="0" borderId="0" xfId="0" applyNumberFormat="1" applyFont="1"/>
    <xf numFmtId="0" fontId="15" fillId="0" borderId="0" xfId="0" applyFont="1" applyAlignment="1">
      <alignment horizontal="right"/>
    </xf>
    <xf numFmtId="0" fontId="14" fillId="0" borderId="0" xfId="0" applyFont="1" applyAlignment="1">
      <alignment wrapText="1"/>
    </xf>
    <xf numFmtId="0" fontId="8" fillId="0" borderId="0" xfId="0" applyFont="1"/>
    <xf numFmtId="0" fontId="27" fillId="0" borderId="0" xfId="0" applyFont="1"/>
    <xf numFmtId="0" fontId="27" fillId="0" borderId="0" xfId="0" applyFont="1" applyAlignment="1">
      <alignment horizontal="center" vertical="center"/>
    </xf>
    <xf numFmtId="2" fontId="28" fillId="0" borderId="0" xfId="0" applyNumberFormat="1" applyFont="1" applyAlignment="1">
      <alignment horizontal="center" vertical="center"/>
    </xf>
    <xf numFmtId="2" fontId="29" fillId="0" borderId="0" xfId="0" applyNumberFormat="1" applyFont="1" applyAlignment="1">
      <alignment horizontal="center" vertical="center"/>
    </xf>
    <xf numFmtId="2" fontId="27" fillId="0" borderId="0" xfId="0" applyNumberFormat="1" applyFont="1" applyAlignment="1">
      <alignment horizontal="right"/>
    </xf>
    <xf numFmtId="2" fontId="27" fillId="0" borderId="0" xfId="0" applyNumberFormat="1" applyFont="1" applyAlignment="1">
      <alignment horizontal="center" vertical="center"/>
    </xf>
    <xf numFmtId="0" fontId="0" fillId="25" borderId="2" xfId="0" applyFill="1" applyBorder="1"/>
    <xf numFmtId="0" fontId="15" fillId="25" borderId="2" xfId="0" applyFont="1" applyFill="1" applyBorder="1"/>
    <xf numFmtId="0" fontId="0" fillId="25" borderId="2" xfId="0" applyFill="1" applyBorder="1" applyAlignment="1">
      <alignment wrapText="1"/>
    </xf>
    <xf numFmtId="2" fontId="14" fillId="25" borderId="13" xfId="0" applyNumberFormat="1" applyFont="1" applyFill="1" applyBorder="1"/>
    <xf numFmtId="0" fontId="14" fillId="25" borderId="13" xfId="0" applyFont="1" applyFill="1" applyBorder="1" applyAlignment="1">
      <alignment wrapText="1"/>
    </xf>
    <xf numFmtId="0" fontId="14" fillId="25" borderId="12" xfId="0" applyFont="1" applyFill="1" applyBorder="1" applyAlignment="1">
      <alignment wrapText="1"/>
    </xf>
    <xf numFmtId="0" fontId="0" fillId="26" borderId="2" xfId="0" applyFill="1" applyBorder="1" applyAlignment="1">
      <alignment wrapText="1"/>
    </xf>
    <xf numFmtId="2" fontId="14" fillId="26" borderId="13" xfId="0" applyNumberFormat="1" applyFont="1" applyFill="1" applyBorder="1"/>
    <xf numFmtId="0" fontId="14" fillId="26" borderId="13" xfId="0" applyFont="1" applyFill="1" applyBorder="1" applyAlignment="1">
      <alignment wrapText="1"/>
    </xf>
    <xf numFmtId="0" fontId="14" fillId="26" borderId="12" xfId="0" applyFont="1" applyFill="1" applyBorder="1" applyAlignment="1">
      <alignment wrapText="1"/>
    </xf>
    <xf numFmtId="0" fontId="0" fillId="27" borderId="2" xfId="0" applyFill="1" applyBorder="1" applyAlignment="1">
      <alignment wrapText="1"/>
    </xf>
    <xf numFmtId="2" fontId="14" fillId="27" borderId="13" xfId="0" applyNumberFormat="1" applyFont="1" applyFill="1" applyBorder="1"/>
    <xf numFmtId="0" fontId="14" fillId="27" borderId="13" xfId="0" applyFont="1" applyFill="1" applyBorder="1" applyAlignment="1">
      <alignment wrapText="1"/>
    </xf>
    <xf numFmtId="0" fontId="14" fillId="27" borderId="12" xfId="0" applyFont="1" applyFill="1" applyBorder="1" applyAlignment="1">
      <alignment wrapText="1"/>
    </xf>
    <xf numFmtId="0" fontId="0" fillId="9" borderId="2" xfId="0" applyFill="1" applyBorder="1" applyAlignment="1">
      <alignment wrapText="1"/>
    </xf>
    <xf numFmtId="2" fontId="14" fillId="9" borderId="13" xfId="0" applyNumberFormat="1" applyFont="1" applyFill="1" applyBorder="1"/>
    <xf numFmtId="0" fontId="14" fillId="9" borderId="13" xfId="0" applyFont="1" applyFill="1" applyBorder="1" applyAlignment="1">
      <alignment wrapText="1"/>
    </xf>
    <xf numFmtId="0" fontId="14" fillId="9" borderId="12" xfId="0" applyFont="1" applyFill="1" applyBorder="1" applyAlignment="1">
      <alignment wrapText="1"/>
    </xf>
    <xf numFmtId="0" fontId="0" fillId="0" borderId="1" xfId="0" applyBorder="1" applyAlignment="1">
      <alignment horizontal="right"/>
    </xf>
    <xf numFmtId="166" fontId="22" fillId="25" borderId="11" xfId="0" applyNumberFormat="1" applyFont="1" applyFill="1" applyBorder="1"/>
    <xf numFmtId="166" fontId="22" fillId="26" borderId="11" xfId="0" applyNumberFormat="1" applyFont="1" applyFill="1" applyBorder="1"/>
    <xf numFmtId="166" fontId="22" fillId="27" borderId="11" xfId="0" applyNumberFormat="1" applyFont="1" applyFill="1" applyBorder="1"/>
    <xf numFmtId="166" fontId="22" fillId="9" borderId="11" xfId="0" applyNumberFormat="1" applyFont="1" applyFill="1" applyBorder="1"/>
    <xf numFmtId="0" fontId="14" fillId="27" borderId="15" xfId="0" applyFont="1" applyFill="1" applyBorder="1" applyAlignment="1">
      <alignment wrapText="1"/>
    </xf>
    <xf numFmtId="0" fontId="14" fillId="25" borderId="10" xfId="0" applyFont="1" applyFill="1" applyBorder="1" applyAlignment="1">
      <alignment wrapText="1"/>
    </xf>
    <xf numFmtId="0" fontId="14" fillId="26" borderId="10" xfId="0" applyFont="1" applyFill="1" applyBorder="1" applyAlignment="1">
      <alignment wrapText="1"/>
    </xf>
    <xf numFmtId="0" fontId="14" fillId="25" borderId="15" xfId="0" applyFont="1" applyFill="1" applyBorder="1" applyAlignment="1">
      <alignment wrapText="1"/>
    </xf>
    <xf numFmtId="2" fontId="0" fillId="0" borderId="15" xfId="0" applyNumberFormat="1" applyBorder="1"/>
    <xf numFmtId="0" fontId="14" fillId="9" borderId="10" xfId="0" applyFont="1" applyFill="1" applyBorder="1" applyAlignment="1">
      <alignment wrapText="1"/>
    </xf>
    <xf numFmtId="0" fontId="22" fillId="9" borderId="0" xfId="0" applyFont="1" applyFill="1" applyBorder="1"/>
    <xf numFmtId="0" fontId="0" fillId="0" borderId="0" xfId="0" applyFill="1"/>
    <xf numFmtId="0" fontId="31" fillId="28" borderId="2" xfId="0" applyFont="1" applyFill="1" applyBorder="1"/>
    <xf numFmtId="0" fontId="32" fillId="28" borderId="2" xfId="0" applyFont="1" applyFill="1" applyBorder="1"/>
    <xf numFmtId="2" fontId="34" fillId="28" borderId="13" xfId="0" applyNumberFormat="1" applyFont="1" applyFill="1" applyBorder="1"/>
    <xf numFmtId="0" fontId="34" fillId="28" borderId="13" xfId="0" applyFont="1" applyFill="1" applyBorder="1" applyAlignment="1">
      <alignment wrapText="1"/>
    </xf>
    <xf numFmtId="0" fontId="34" fillId="28" borderId="12" xfId="0" applyFont="1" applyFill="1" applyBorder="1" applyAlignment="1">
      <alignment wrapText="1"/>
    </xf>
    <xf numFmtId="0" fontId="34" fillId="28" borderId="15" xfId="0" applyFont="1" applyFill="1" applyBorder="1" applyAlignment="1">
      <alignment wrapText="1"/>
    </xf>
    <xf numFmtId="0" fontId="34" fillId="28" borderId="10" xfId="0" applyFont="1" applyFill="1" applyBorder="1" applyAlignment="1">
      <alignment wrapText="1"/>
    </xf>
    <xf numFmtId="0" fontId="22" fillId="28" borderId="6" xfId="0" applyFont="1" applyFill="1" applyBorder="1"/>
    <xf numFmtId="0" fontId="15" fillId="28" borderId="6" xfId="0" applyFont="1" applyFill="1" applyBorder="1"/>
    <xf numFmtId="0" fontId="22" fillId="28" borderId="6" xfId="0" applyFont="1" applyFill="1" applyBorder="1" applyAlignment="1">
      <alignment horizontal="right" wrapText="1"/>
    </xf>
    <xf numFmtId="166" fontId="22" fillId="28" borderId="6" xfId="0" applyNumberFormat="1" applyFont="1" applyFill="1" applyBorder="1"/>
    <xf numFmtId="166" fontId="22" fillId="28" borderId="11" xfId="0" applyNumberFormat="1" applyFont="1" applyFill="1" applyBorder="1"/>
    <xf numFmtId="2" fontId="0" fillId="0" borderId="9" xfId="0" applyNumberFormat="1" applyBorder="1"/>
    <xf numFmtId="0" fontId="0" fillId="0" borderId="0" xfId="0" applyAlignment="1">
      <alignment vertical="center"/>
    </xf>
    <xf numFmtId="0" fontId="9" fillId="0" borderId="0" xfId="0" applyFont="1" applyBorder="1"/>
    <xf numFmtId="0" fontId="7" fillId="0" borderId="0" xfId="0" applyFont="1" applyBorder="1"/>
    <xf numFmtId="0" fontId="11" fillId="0" borderId="0" xfId="0" applyFont="1" applyBorder="1"/>
    <xf numFmtId="165" fontId="11" fillId="0" borderId="0" xfId="0" applyNumberFormat="1" applyFont="1" applyBorder="1"/>
    <xf numFmtId="164" fontId="0" fillId="0" borderId="0" xfId="0" applyNumberFormat="1" applyBorder="1"/>
    <xf numFmtId="165" fontId="19" fillId="24" borderId="1" xfId="0" applyNumberFormat="1" applyFont="1" applyFill="1" applyBorder="1"/>
    <xf numFmtId="164" fontId="9" fillId="0" borderId="0" xfId="0" applyNumberFormat="1" applyFont="1" applyBorder="1"/>
    <xf numFmtId="165" fontId="19" fillId="24" borderId="4" xfId="0" applyNumberFormat="1" applyFont="1" applyFill="1" applyBorder="1"/>
    <xf numFmtId="164" fontId="7" fillId="0" borderId="0" xfId="0" applyNumberFormat="1" applyFont="1" applyBorder="1"/>
    <xf numFmtId="164" fontId="8" fillId="0" borderId="0" xfId="0" applyNumberFormat="1" applyFont="1" applyBorder="1"/>
    <xf numFmtId="0" fontId="0" fillId="0" borderId="13" xfId="0" applyBorder="1"/>
    <xf numFmtId="0" fontId="15" fillId="0" borderId="13" xfId="0" applyFont="1" applyBorder="1"/>
    <xf numFmtId="0" fontId="0" fillId="0" borderId="12" xfId="0" applyBorder="1"/>
    <xf numFmtId="2" fontId="0" fillId="0" borderId="13" xfId="0" applyNumberFormat="1" applyBorder="1"/>
    <xf numFmtId="2" fontId="0" fillId="0" borderId="12" xfId="0" applyNumberFormat="1" applyBorder="1"/>
    <xf numFmtId="0" fontId="0" fillId="0" borderId="0" xfId="0" applyAlignment="1">
      <alignment horizontal="right" wrapText="1"/>
    </xf>
    <xf numFmtId="0" fontId="0" fillId="0" borderId="0" xfId="0" applyAlignment="1">
      <alignment horizontal="right"/>
    </xf>
    <xf numFmtId="0" fontId="0" fillId="0" borderId="0" xfId="0" applyAlignment="1">
      <alignment horizontal="left"/>
    </xf>
    <xf numFmtId="0" fontId="13" fillId="0" borderId="0" xfId="0" applyFont="1" applyAlignment="1">
      <alignment vertical="center"/>
    </xf>
    <xf numFmtId="0" fontId="0" fillId="0" borderId="0" xfId="0" applyAlignment="1">
      <alignment horizontal="left" vertical="center"/>
    </xf>
    <xf numFmtId="0" fontId="13" fillId="0" borderId="0" xfId="0" applyFont="1" applyAlignment="1">
      <alignment horizontal="left" vertical="center"/>
    </xf>
    <xf numFmtId="166" fontId="8" fillId="0" borderId="0" xfId="0" applyNumberFormat="1" applyFont="1"/>
    <xf numFmtId="0" fontId="35" fillId="0" borderId="0" xfId="0" applyFont="1" applyAlignment="1">
      <alignment horizontal="right" wrapText="1"/>
    </xf>
    <xf numFmtId="2" fontId="36" fillId="0" borderId="0" xfId="0" applyNumberFormat="1" applyFont="1"/>
    <xf numFmtId="0" fontId="35" fillId="0" borderId="0" xfId="0" applyFont="1" applyAlignment="1">
      <alignment horizontal="right"/>
    </xf>
    <xf numFmtId="2" fontId="36" fillId="0" borderId="0" xfId="0" applyNumberFormat="1" applyFont="1" applyAlignment="1">
      <alignment wrapText="1"/>
    </xf>
    <xf numFmtId="2" fontId="0" fillId="0" borderId="16" xfId="0" applyNumberFormat="1" applyBorder="1"/>
    <xf numFmtId="2" fontId="0" fillId="0" borderId="17" xfId="0" applyNumberFormat="1" applyBorder="1"/>
    <xf numFmtId="0" fontId="0" fillId="0" borderId="18" xfId="0" applyBorder="1"/>
    <xf numFmtId="0" fontId="31" fillId="28" borderId="19" xfId="0" applyFont="1" applyFill="1" applyBorder="1" applyAlignment="1">
      <alignment wrapText="1"/>
    </xf>
    <xf numFmtId="0" fontId="31" fillId="28" borderId="20" xfId="0" applyFont="1" applyFill="1" applyBorder="1" applyAlignment="1">
      <alignment wrapText="1"/>
    </xf>
    <xf numFmtId="166" fontId="0" fillId="0" borderId="15" xfId="0" applyNumberFormat="1" applyBorder="1"/>
    <xf numFmtId="2" fontId="36" fillId="0" borderId="17" xfId="0" applyNumberFormat="1" applyFont="1" applyBorder="1"/>
    <xf numFmtId="2" fontId="36" fillId="0" borderId="10" xfId="0" applyNumberFormat="1" applyFont="1" applyBorder="1"/>
    <xf numFmtId="0" fontId="0" fillId="0" borderId="0" xfId="0" applyBorder="1" applyAlignment="1">
      <alignment horizontal="left"/>
    </xf>
    <xf numFmtId="0" fontId="0" fillId="2" borderId="0" xfId="0" applyFill="1" applyBorder="1"/>
    <xf numFmtId="0" fontId="0" fillId="37" borderId="0" xfId="0" applyFill="1" applyBorder="1"/>
    <xf numFmtId="0" fontId="0" fillId="13" borderId="0" xfId="0" applyFill="1" applyBorder="1"/>
    <xf numFmtId="0" fontId="0" fillId="36" borderId="0" xfId="0" applyFill="1" applyBorder="1"/>
    <xf numFmtId="0" fontId="0" fillId="30" borderId="0" xfId="0" applyFill="1" applyBorder="1"/>
    <xf numFmtId="0" fontId="28" fillId="0" borderId="0" xfId="0" applyFont="1" applyAlignment="1">
      <alignment horizontal="center" vertical="center"/>
    </xf>
    <xf numFmtId="0" fontId="0" fillId="35" borderId="3" xfId="0" applyFill="1" applyBorder="1" applyAlignment="1"/>
    <xf numFmtId="166" fontId="0" fillId="35" borderId="3" xfId="0" applyNumberFormat="1" applyFill="1" applyBorder="1"/>
    <xf numFmtId="0" fontId="0" fillId="0" borderId="1" xfId="0" applyFill="1" applyBorder="1" applyAlignment="1"/>
    <xf numFmtId="0" fontId="0" fillId="35" borderId="0" xfId="0" applyFill="1" applyBorder="1"/>
    <xf numFmtId="0" fontId="0" fillId="35" borderId="2" xfId="0" applyFill="1" applyBorder="1"/>
    <xf numFmtId="166" fontId="0" fillId="35" borderId="0" xfId="0" applyNumberFormat="1" applyFill="1" applyBorder="1"/>
    <xf numFmtId="0" fontId="0" fillId="0" borderId="10" xfId="0" applyBorder="1"/>
    <xf numFmtId="2" fontId="39" fillId="0" borderId="0" xfId="0" applyNumberFormat="1" applyFont="1"/>
    <xf numFmtId="0" fontId="39" fillId="0" borderId="0" xfId="0" applyFont="1"/>
    <xf numFmtId="0" fontId="39" fillId="0" borderId="0" xfId="0" applyFont="1" applyAlignment="1">
      <alignment horizontal="center" vertical="center"/>
    </xf>
    <xf numFmtId="0" fontId="31" fillId="28" borderId="0" xfId="0" applyFont="1" applyFill="1" applyBorder="1" applyAlignment="1">
      <alignment wrapText="1"/>
    </xf>
    <xf numFmtId="2" fontId="36" fillId="0" borderId="0" xfId="0" applyNumberFormat="1" applyFont="1" applyBorder="1"/>
    <xf numFmtId="1" fontId="8" fillId="0" borderId="0" xfId="0" applyNumberFormat="1" applyFont="1"/>
    <xf numFmtId="0" fontId="15" fillId="0" borderId="0" xfId="0" applyFont="1" applyBorder="1"/>
    <xf numFmtId="0" fontId="15" fillId="0" borderId="2" xfId="0" applyFont="1" applyBorder="1"/>
    <xf numFmtId="0" fontId="15" fillId="0" borderId="1" xfId="0" applyFont="1" applyBorder="1" applyAlignment="1">
      <alignment horizontal="left"/>
    </xf>
    <xf numFmtId="0" fontId="13" fillId="0" borderId="0" xfId="0" applyFont="1" applyFill="1" applyBorder="1"/>
    <xf numFmtId="0" fontId="18" fillId="0" borderId="0" xfId="0" applyFont="1"/>
    <xf numFmtId="0" fontId="0" fillId="0" borderId="0" xfId="0" applyFont="1"/>
    <xf numFmtId="1" fontId="0" fillId="0" borderId="0" xfId="0" applyNumberFormat="1" applyBorder="1"/>
    <xf numFmtId="0" fontId="22" fillId="0" borderId="0" xfId="0" applyFont="1" applyFill="1" applyBorder="1" applyAlignment="1">
      <alignment horizontal="left"/>
    </xf>
    <xf numFmtId="0" fontId="0" fillId="31" borderId="0" xfId="0" applyFill="1" applyBorder="1" applyAlignment="1">
      <alignment horizontal="right" wrapText="1"/>
    </xf>
    <xf numFmtId="0" fontId="0" fillId="31" borderId="0" xfId="0" applyFill="1" applyBorder="1" applyAlignment="1"/>
    <xf numFmtId="0" fontId="0" fillId="31" borderId="2" xfId="0" applyFill="1" applyBorder="1" applyAlignment="1"/>
    <xf numFmtId="0" fontId="0" fillId="31" borderId="0" xfId="0" applyFill="1"/>
    <xf numFmtId="0" fontId="0" fillId="0" borderId="28" xfId="0" applyBorder="1"/>
    <xf numFmtId="0" fontId="0" fillId="0" borderId="9" xfId="0" applyBorder="1"/>
    <xf numFmtId="166" fontId="0" fillId="0" borderId="17" xfId="0" applyNumberFormat="1" applyBorder="1"/>
    <xf numFmtId="0" fontId="0" fillId="30" borderId="0" xfId="0" applyFill="1"/>
    <xf numFmtId="0" fontId="0" fillId="30" borderId="2" xfId="0" applyFill="1" applyBorder="1"/>
    <xf numFmtId="166" fontId="0" fillId="0" borderId="31" xfId="0" applyNumberFormat="1" applyBorder="1"/>
    <xf numFmtId="0" fontId="0" fillId="36" borderId="0" xfId="0" applyFill="1"/>
    <xf numFmtId="0" fontId="0" fillId="36" borderId="2" xfId="0" applyFill="1" applyBorder="1"/>
    <xf numFmtId="0" fontId="0" fillId="37" borderId="0" xfId="0" applyFill="1"/>
    <xf numFmtId="0" fontId="0" fillId="37" borderId="2" xfId="0" applyFill="1" applyBorder="1"/>
    <xf numFmtId="0" fontId="0" fillId="13" borderId="2" xfId="0" applyFill="1" applyBorder="1"/>
    <xf numFmtId="166" fontId="0" fillId="0" borderId="28" xfId="0" applyNumberFormat="1" applyBorder="1"/>
    <xf numFmtId="0" fontId="0" fillId="35" borderId="0" xfId="0" applyFill="1"/>
    <xf numFmtId="0" fontId="0" fillId="35" borderId="0" xfId="0" applyFill="1" applyBorder="1" applyAlignment="1">
      <alignment wrapText="1"/>
    </xf>
    <xf numFmtId="166" fontId="24" fillId="35" borderId="0" xfId="0" applyNumberFormat="1" applyFont="1" applyFill="1" applyBorder="1" applyAlignment="1">
      <alignment vertical="center"/>
    </xf>
    <xf numFmtId="0" fontId="24" fillId="0" borderId="0" xfId="0" applyFont="1" applyFill="1" applyBorder="1" applyAlignment="1">
      <alignment vertical="center"/>
    </xf>
    <xf numFmtId="0" fontId="0" fillId="38" borderId="0" xfId="0" applyFill="1"/>
    <xf numFmtId="0" fontId="24" fillId="35" borderId="2" xfId="0" applyFont="1" applyFill="1" applyBorder="1" applyAlignment="1">
      <alignment vertical="center"/>
    </xf>
    <xf numFmtId="0" fontId="24" fillId="35" borderId="10" xfId="0" applyFont="1" applyFill="1" applyBorder="1" applyAlignment="1">
      <alignment vertical="center"/>
    </xf>
    <xf numFmtId="0" fontId="43" fillId="38" borderId="2" xfId="0" applyFont="1" applyFill="1" applyBorder="1" applyAlignment="1">
      <alignment horizontal="left" wrapText="1"/>
    </xf>
    <xf numFmtId="166" fontId="18" fillId="38" borderId="0" xfId="0" applyNumberFormat="1" applyFont="1" applyFill="1" applyBorder="1" applyAlignment="1">
      <alignment wrapText="1"/>
    </xf>
    <xf numFmtId="0" fontId="18" fillId="38" borderId="10" xfId="0" applyFont="1" applyFill="1" applyBorder="1" applyAlignment="1">
      <alignment wrapText="1"/>
    </xf>
    <xf numFmtId="0" fontId="0" fillId="38" borderId="2" xfId="0" applyFill="1" applyBorder="1" applyAlignment="1">
      <alignment wrapText="1"/>
    </xf>
    <xf numFmtId="0" fontId="0" fillId="38" borderId="0" xfId="0" applyFill="1" applyAlignment="1">
      <alignment wrapText="1"/>
    </xf>
    <xf numFmtId="167" fontId="0" fillId="0" borderId="0" xfId="1" applyNumberFormat="1" applyFont="1" applyBorder="1"/>
    <xf numFmtId="165" fontId="19" fillId="24" borderId="3" xfId="0" applyNumberFormat="1" applyFont="1" applyFill="1" applyBorder="1"/>
    <xf numFmtId="0" fontId="24" fillId="35" borderId="0" xfId="0" applyFont="1" applyFill="1" applyAlignment="1">
      <alignment vertical="center"/>
    </xf>
    <xf numFmtId="0" fontId="0" fillId="31" borderId="0" xfId="0" applyFill="1" applyAlignment="1">
      <alignment wrapText="1"/>
    </xf>
    <xf numFmtId="0" fontId="46" fillId="0" borderId="0" xfId="2"/>
    <xf numFmtId="0" fontId="47" fillId="0" borderId="0" xfId="0" applyFont="1"/>
    <xf numFmtId="0" fontId="24" fillId="0" borderId="0" xfId="0" applyFont="1"/>
    <xf numFmtId="0" fontId="35" fillId="0" borderId="0" xfId="0" applyFont="1" applyAlignment="1">
      <alignment vertical="center" wrapText="1"/>
    </xf>
    <xf numFmtId="0" fontId="35" fillId="0" borderId="0" xfId="0" applyFont="1" applyAlignment="1">
      <alignment horizontal="center" vertical="center" wrapText="1"/>
    </xf>
    <xf numFmtId="0" fontId="46" fillId="0" borderId="1" xfId="2" applyBorder="1"/>
    <xf numFmtId="0" fontId="0" fillId="17" borderId="0" xfId="0" applyFill="1"/>
    <xf numFmtId="0" fontId="48" fillId="17" borderId="0" xfId="0" applyFont="1" applyFill="1" applyBorder="1" applyAlignment="1">
      <alignment horizontal="center" vertical="center" wrapText="1"/>
    </xf>
    <xf numFmtId="0" fontId="49" fillId="17" borderId="0" xfId="0" applyFont="1" applyFill="1" applyBorder="1" applyAlignment="1">
      <alignment horizontal="center" vertical="center" wrapText="1"/>
    </xf>
    <xf numFmtId="0" fontId="49" fillId="17" borderId="0" xfId="0" applyFont="1" applyFill="1" applyBorder="1" applyAlignment="1">
      <alignment horizontal="center" vertical="center"/>
    </xf>
    <xf numFmtId="0" fontId="0" fillId="17" borderId="0" xfId="0" applyFill="1" applyBorder="1"/>
    <xf numFmtId="0" fontId="1" fillId="0" borderId="6" xfId="0" applyFont="1" applyBorder="1"/>
    <xf numFmtId="166" fontId="3" fillId="0" borderId="2" xfId="0" applyNumberFormat="1" applyFont="1" applyBorder="1"/>
    <xf numFmtId="2" fontId="0" fillId="0" borderId="0" xfId="0" applyNumberFormat="1" applyAlignment="1">
      <alignment horizontal="center"/>
    </xf>
    <xf numFmtId="2" fontId="1" fillId="0" borderId="0" xfId="0" applyNumberFormat="1" applyFont="1" applyAlignment="1">
      <alignment horizontal="center"/>
    </xf>
    <xf numFmtId="0" fontId="50" fillId="17" borderId="0" xfId="0" applyFont="1" applyFill="1" applyBorder="1" applyAlignment="1">
      <alignment horizontal="center" vertical="center" wrapText="1"/>
    </xf>
    <xf numFmtId="0" fontId="11" fillId="0" borderId="2" xfId="0" applyFont="1" applyBorder="1"/>
    <xf numFmtId="165" fontId="11" fillId="0" borderId="2" xfId="0" applyNumberFormat="1" applyFont="1" applyBorder="1"/>
    <xf numFmtId="165" fontId="19" fillId="24" borderId="2" xfId="0" applyNumberFormat="1" applyFont="1" applyFill="1" applyBorder="1"/>
    <xf numFmtId="165" fontId="19" fillId="0" borderId="2" xfId="0" applyNumberFormat="1" applyFont="1" applyBorder="1"/>
    <xf numFmtId="1" fontId="11" fillId="0" borderId="2" xfId="0" applyNumberFormat="1" applyFont="1" applyBorder="1"/>
    <xf numFmtId="2" fontId="16" fillId="0" borderId="2" xfId="0" applyNumberFormat="1" applyFont="1" applyBorder="1"/>
    <xf numFmtId="0" fontId="1" fillId="0" borderId="0" xfId="0" applyFont="1" applyFill="1"/>
    <xf numFmtId="0" fontId="33" fillId="35" borderId="1" xfId="0" applyFont="1" applyFill="1" applyBorder="1" applyAlignment="1">
      <alignment horizontal="center" vertical="center" wrapText="1"/>
    </xf>
    <xf numFmtId="0" fontId="0" fillId="33" borderId="3" xfId="0" applyFill="1" applyBorder="1" applyAlignment="1"/>
    <xf numFmtId="0" fontId="0" fillId="33" borderId="2" xfId="0" applyFill="1" applyBorder="1"/>
    <xf numFmtId="0" fontId="0" fillId="33" borderId="0" xfId="0" applyFill="1"/>
    <xf numFmtId="166" fontId="0" fillId="33" borderId="3" xfId="0" applyNumberFormat="1" applyFill="1" applyBorder="1"/>
    <xf numFmtId="0" fontId="30" fillId="33" borderId="1" xfId="0" applyFont="1" applyFill="1" applyBorder="1" applyAlignment="1">
      <alignment horizontal="center" vertical="center" wrapText="1"/>
    </xf>
    <xf numFmtId="0" fontId="0" fillId="2" borderId="3" xfId="0" applyFill="1" applyBorder="1" applyAlignment="1"/>
    <xf numFmtId="0" fontId="0" fillId="2" borderId="2" xfId="0" applyFill="1" applyBorder="1"/>
    <xf numFmtId="166" fontId="0" fillId="2" borderId="3" xfId="0" applyNumberFormat="1" applyFill="1" applyBorder="1"/>
    <xf numFmtId="0" fontId="30" fillId="2" borderId="1" xfId="0" applyFont="1" applyFill="1" applyBorder="1" applyAlignment="1">
      <alignment horizontal="center" vertical="center" wrapText="1"/>
    </xf>
    <xf numFmtId="0" fontId="0" fillId="34" borderId="3" xfId="0" applyFill="1" applyBorder="1" applyAlignment="1"/>
    <xf numFmtId="0" fontId="0" fillId="34" borderId="2" xfId="0" applyFill="1" applyBorder="1"/>
    <xf numFmtId="0" fontId="0" fillId="34" borderId="0" xfId="0" applyFill="1"/>
    <xf numFmtId="166" fontId="0" fillId="34" borderId="3" xfId="0" applyNumberFormat="1" applyFill="1" applyBorder="1"/>
    <xf numFmtId="0" fontId="30" fillId="34" borderId="1" xfId="0" applyFont="1" applyFill="1" applyBorder="1" applyAlignment="1">
      <alignment horizontal="center" vertical="center" wrapText="1"/>
    </xf>
    <xf numFmtId="166" fontId="54" fillId="0" borderId="8" xfId="0" applyNumberFormat="1" applyFont="1" applyBorder="1"/>
    <xf numFmtId="0" fontId="54" fillId="0" borderId="0" xfId="0" applyFont="1"/>
    <xf numFmtId="0" fontId="0" fillId="35" borderId="3" xfId="0" applyFill="1" applyBorder="1" applyAlignment="1">
      <alignment wrapText="1"/>
    </xf>
    <xf numFmtId="0" fontId="0" fillId="35" borderId="2" xfId="0" applyFill="1" applyBorder="1" applyAlignment="1">
      <alignment wrapText="1"/>
    </xf>
    <xf numFmtId="0" fontId="0" fillId="35" borderId="0" xfId="0" applyFill="1" applyAlignment="1">
      <alignment wrapText="1"/>
    </xf>
    <xf numFmtId="0" fontId="56" fillId="33" borderId="17" xfId="0" applyFont="1" applyFill="1" applyBorder="1" applyAlignment="1">
      <alignment horizontal="left" vertical="center"/>
    </xf>
    <xf numFmtId="0" fontId="56" fillId="2" borderId="17" xfId="0" applyFont="1" applyFill="1" applyBorder="1" applyAlignment="1">
      <alignment horizontal="left" vertical="center"/>
    </xf>
    <xf numFmtId="0" fontId="56" fillId="34" borderId="17" xfId="0" applyFont="1" applyFill="1" applyBorder="1" applyAlignment="1">
      <alignment horizontal="left" vertical="center"/>
    </xf>
    <xf numFmtId="0" fontId="57" fillId="38" borderId="2" xfId="0" applyFont="1" applyFill="1" applyBorder="1" applyAlignment="1">
      <alignment horizontal="left" vertical="center" wrapText="1"/>
    </xf>
    <xf numFmtId="0" fontId="18" fillId="38" borderId="2" xfId="0" applyFont="1" applyFill="1" applyBorder="1" applyAlignment="1">
      <alignment horizontal="left" wrapText="1"/>
    </xf>
    <xf numFmtId="0" fontId="57" fillId="35" borderId="17" xfId="0" applyFont="1" applyFill="1" applyBorder="1" applyAlignment="1">
      <alignment horizontal="left" vertical="center"/>
    </xf>
    <xf numFmtId="0" fontId="44" fillId="0" borderId="29" xfId="0" applyFont="1" applyFill="1" applyBorder="1" applyAlignment="1"/>
    <xf numFmtId="0" fontId="44" fillId="0" borderId="26" xfId="0" applyFont="1" applyBorder="1" applyAlignment="1">
      <alignment horizontal="center" wrapText="1"/>
    </xf>
    <xf numFmtId="0" fontId="46" fillId="0" borderId="0" xfId="2" applyAlignment="1">
      <alignment horizontal="center" vertical="center"/>
    </xf>
    <xf numFmtId="165" fontId="59" fillId="0" borderId="0" xfId="0" applyNumberFormat="1" applyFont="1"/>
    <xf numFmtId="0" fontId="0" fillId="0" borderId="0" xfId="0" applyFill="1" applyAlignment="1">
      <alignment horizontal="left" vertical="center"/>
    </xf>
    <xf numFmtId="0" fontId="0" fillId="0" borderId="0" xfId="0" applyFill="1"/>
    <xf numFmtId="0" fontId="0" fillId="0" borderId="0" xfId="0"/>
    <xf numFmtId="0" fontId="0" fillId="0" borderId="0" xfId="0"/>
    <xf numFmtId="0" fontId="0" fillId="0" borderId="2" xfId="0" applyFill="1" applyBorder="1"/>
    <xf numFmtId="1" fontId="14" fillId="13" borderId="0" xfId="0" applyNumberFormat="1" applyFont="1" applyFill="1"/>
    <xf numFmtId="2" fontId="0" fillId="2" borderId="0" xfId="0" applyNumberFormat="1" applyFill="1"/>
    <xf numFmtId="0" fontId="15" fillId="2" borderId="0" xfId="0" applyFont="1" applyFill="1" applyBorder="1"/>
    <xf numFmtId="0" fontId="0" fillId="2" borderId="0" xfId="0" applyFill="1" applyBorder="1" applyAlignment="1">
      <alignment horizontal="right" wrapText="1"/>
    </xf>
    <xf numFmtId="0" fontId="0" fillId="2" borderId="0" xfId="0" applyFill="1" applyBorder="1" applyAlignment="1">
      <alignment horizontal="right"/>
    </xf>
    <xf numFmtId="0" fontId="0" fillId="41" borderId="0" xfId="0" applyFill="1" applyAlignment="1">
      <alignment horizontal="right"/>
    </xf>
    <xf numFmtId="0" fontId="0" fillId="41" borderId="6" xfId="0" applyFill="1" applyBorder="1" applyAlignment="1">
      <alignment horizontal="right"/>
    </xf>
    <xf numFmtId="0" fontId="30" fillId="8" borderId="0" xfId="0" applyFont="1" applyFill="1" applyBorder="1" applyAlignment="1">
      <alignment horizontal="center"/>
    </xf>
    <xf numFmtId="0" fontId="0" fillId="8" borderId="0" xfId="0" applyFill="1" applyBorder="1"/>
    <xf numFmtId="0" fontId="0" fillId="8" borderId="0" xfId="0" applyFill="1"/>
    <xf numFmtId="0" fontId="31" fillId="28" borderId="18" xfId="0" applyFont="1" applyFill="1" applyBorder="1" applyAlignment="1">
      <alignment wrapText="1"/>
    </xf>
    <xf numFmtId="2" fontId="36" fillId="0" borderId="2" xfId="0" applyNumberFormat="1" applyFont="1" applyBorder="1"/>
    <xf numFmtId="0" fontId="1" fillId="0" borderId="0" xfId="0" applyFont="1" applyFill="1" applyBorder="1"/>
    <xf numFmtId="0" fontId="46" fillId="0" borderId="0" xfId="2" applyFill="1" applyBorder="1"/>
    <xf numFmtId="0" fontId="46" fillId="0" borderId="0" xfId="2" applyBorder="1"/>
    <xf numFmtId="0" fontId="1" fillId="0" borderId="28" xfId="0" applyFont="1" applyBorder="1"/>
    <xf numFmtId="0" fontId="64" fillId="0" borderId="0" xfId="2" applyFont="1" applyFill="1"/>
    <xf numFmtId="0" fontId="0" fillId="0" borderId="0" xfId="0"/>
    <xf numFmtId="0" fontId="49" fillId="17" borderId="0" xfId="0" applyFont="1" applyFill="1" applyBorder="1" applyAlignment="1">
      <alignment horizontal="left" vertical="center"/>
    </xf>
    <xf numFmtId="0" fontId="36" fillId="0" borderId="25" xfId="0" applyFont="1" applyFill="1" applyBorder="1" applyAlignment="1"/>
    <xf numFmtId="166" fontId="41" fillId="0" borderId="17" xfId="0" applyNumberFormat="1" applyFont="1" applyBorder="1"/>
    <xf numFmtId="166" fontId="20" fillId="0" borderId="17" xfId="0" applyNumberFormat="1" applyFont="1" applyBorder="1"/>
    <xf numFmtId="0" fontId="59" fillId="0" borderId="0" xfId="0" applyFont="1"/>
    <xf numFmtId="0" fontId="46" fillId="0" borderId="0" xfId="2" applyFill="1"/>
    <xf numFmtId="0" fontId="22" fillId="0" borderId="0" xfId="0" applyFont="1"/>
    <xf numFmtId="2" fontId="22" fillId="0" borderId="0" xfId="0" applyNumberFormat="1" applyFont="1"/>
    <xf numFmtId="1" fontId="22" fillId="0" borderId="0" xfId="0" applyNumberFormat="1" applyFont="1"/>
    <xf numFmtId="0" fontId="32" fillId="3" borderId="0" xfId="0" applyFont="1" applyFill="1" applyAlignment="1">
      <alignment wrapText="1"/>
    </xf>
    <xf numFmtId="1" fontId="14" fillId="40" borderId="0" xfId="0" applyNumberFormat="1" applyFont="1" applyFill="1" applyAlignment="1">
      <alignment horizontal="right"/>
    </xf>
    <xf numFmtId="1" fontId="0" fillId="40" borderId="0" xfId="0" applyNumberFormat="1" applyFill="1" applyBorder="1" applyAlignment="1">
      <alignment horizontal="right"/>
    </xf>
    <xf numFmtId="0" fontId="6" fillId="0" borderId="0" xfId="0" applyFont="1" applyAlignment="1">
      <alignment vertical="center"/>
    </xf>
    <xf numFmtId="0" fontId="22" fillId="0" borderId="0" xfId="0" applyFont="1" applyFill="1" applyAlignment="1">
      <alignment horizontal="center" wrapText="1"/>
    </xf>
    <xf numFmtId="0" fontId="32" fillId="3" borderId="0" xfId="0" applyFont="1" applyFill="1" applyAlignment="1">
      <alignment horizontal="center" wrapText="1"/>
    </xf>
    <xf numFmtId="1" fontId="31" fillId="13" borderId="0" xfId="0" applyNumberFormat="1" applyFont="1" applyFill="1" applyAlignment="1">
      <alignment horizontal="center"/>
    </xf>
    <xf numFmtId="1" fontId="14" fillId="40" borderId="0" xfId="0" applyNumberFormat="1" applyFont="1" applyFill="1" applyAlignment="1">
      <alignment horizontal="center"/>
    </xf>
    <xf numFmtId="1" fontId="0" fillId="40" borderId="0" xfId="0" applyNumberFormat="1" applyFill="1" applyBorder="1" applyAlignment="1">
      <alignment horizontal="center"/>
    </xf>
    <xf numFmtId="0" fontId="0" fillId="25" borderId="2" xfId="0" applyFill="1" applyBorder="1" applyAlignment="1">
      <alignment horizontal="center" wrapText="1"/>
    </xf>
    <xf numFmtId="2" fontId="0" fillId="0" borderId="2" xfId="0" applyNumberFormat="1" applyBorder="1" applyAlignment="1">
      <alignment horizontal="center"/>
    </xf>
    <xf numFmtId="2" fontId="20"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wrapText="1"/>
    </xf>
    <xf numFmtId="0" fontId="22" fillId="25" borderId="6" xfId="0" applyFont="1" applyFill="1" applyBorder="1" applyAlignment="1">
      <alignment horizontal="center"/>
    </xf>
    <xf numFmtId="0" fontId="0" fillId="26" borderId="2" xfId="0" applyFill="1" applyBorder="1" applyAlignment="1">
      <alignment horizontal="center" wrapText="1"/>
    </xf>
    <xf numFmtId="0" fontId="22" fillId="26" borderId="6" xfId="0" applyFont="1" applyFill="1" applyBorder="1" applyAlignment="1">
      <alignment horizontal="center"/>
    </xf>
    <xf numFmtId="0" fontId="0" fillId="27" borderId="2" xfId="0" applyFill="1" applyBorder="1" applyAlignment="1">
      <alignment horizontal="center" wrapText="1"/>
    </xf>
    <xf numFmtId="0" fontId="22" fillId="27" borderId="6" xfId="0" applyFont="1" applyFill="1" applyBorder="1" applyAlignment="1">
      <alignment horizontal="center"/>
    </xf>
    <xf numFmtId="0" fontId="0" fillId="9" borderId="2" xfId="0" applyFill="1" applyBorder="1" applyAlignment="1">
      <alignment horizontal="center" wrapText="1"/>
    </xf>
    <xf numFmtId="0" fontId="22" fillId="9" borderId="0" xfId="0" applyFont="1" applyFill="1" applyBorder="1" applyAlignment="1">
      <alignment horizontal="center"/>
    </xf>
    <xf numFmtId="0" fontId="31" fillId="28" borderId="0" xfId="0" applyFont="1" applyFill="1" applyBorder="1" applyAlignment="1">
      <alignment horizontal="center" wrapText="1"/>
    </xf>
    <xf numFmtId="2" fontId="36" fillId="0" borderId="0" xfId="0" applyNumberFormat="1" applyFont="1" applyBorder="1" applyAlignment="1">
      <alignment horizontal="center"/>
    </xf>
    <xf numFmtId="0" fontId="22" fillId="28" borderId="6" xfId="0" applyFont="1" applyFill="1" applyBorder="1" applyAlignment="1">
      <alignment horizontal="center"/>
    </xf>
    <xf numFmtId="0" fontId="0" fillId="0" borderId="13" xfId="0" applyBorder="1" applyAlignment="1">
      <alignment horizontal="center"/>
    </xf>
    <xf numFmtId="1" fontId="0" fillId="0" borderId="0" xfId="0" applyNumberFormat="1" applyAlignment="1">
      <alignment horizontal="center"/>
    </xf>
    <xf numFmtId="0" fontId="0" fillId="0" borderId="0" xfId="0"/>
    <xf numFmtId="0" fontId="11" fillId="0" borderId="0" xfId="0" applyFont="1" applyProtection="1">
      <protection hidden="1"/>
    </xf>
    <xf numFmtId="0" fontId="22" fillId="3" borderId="0" xfId="0" applyFont="1" applyFill="1" applyAlignment="1">
      <alignment horizontal="center" wrapText="1"/>
    </xf>
    <xf numFmtId="0" fontId="0" fillId="25" borderId="0" xfId="0" applyFill="1" applyBorder="1"/>
    <xf numFmtId="0" fontId="0" fillId="0" borderId="37" xfId="0" applyBorder="1"/>
    <xf numFmtId="0" fontId="0" fillId="25" borderId="6" xfId="0" applyFill="1" applyBorder="1"/>
    <xf numFmtId="0" fontId="0" fillId="13" borderId="6" xfId="0" applyFill="1" applyBorder="1"/>
    <xf numFmtId="0" fontId="0" fillId="0" borderId="0" xfId="0"/>
    <xf numFmtId="0" fontId="0" fillId="0" borderId="0" xfId="0"/>
    <xf numFmtId="0" fontId="0" fillId="29" borderId="0" xfId="0" applyFill="1"/>
    <xf numFmtId="0" fontId="0" fillId="0" borderId="38" xfId="0" applyBorder="1"/>
    <xf numFmtId="1" fontId="44" fillId="0" borderId="0" xfId="0" applyNumberFormat="1" applyFont="1" applyFill="1" applyAlignment="1">
      <alignment horizontal="center"/>
    </xf>
    <xf numFmtId="0" fontId="44" fillId="0" borderId="0" xfId="0" applyFont="1" applyFill="1"/>
    <xf numFmtId="2" fontId="44" fillId="0" borderId="0" xfId="0" applyNumberFormat="1" applyFont="1" applyAlignment="1">
      <alignment horizontal="center"/>
    </xf>
    <xf numFmtId="2" fontId="44" fillId="0" borderId="0" xfId="0" applyNumberFormat="1" applyFont="1" applyAlignment="1">
      <alignment horizontal="center" vertical="center"/>
    </xf>
    <xf numFmtId="0" fontId="44" fillId="0" borderId="0" xfId="0" applyFont="1" applyFill="1" applyAlignment="1">
      <alignment horizontal="center"/>
    </xf>
    <xf numFmtId="0" fontId="44" fillId="0" borderId="0" xfId="0" applyFont="1" applyFill="1" applyAlignment="1">
      <alignment horizontal="left"/>
    </xf>
    <xf numFmtId="0" fontId="44" fillId="0" borderId="38" xfId="0" applyFont="1" applyFill="1" applyBorder="1"/>
    <xf numFmtId="0" fontId="44" fillId="0" borderId="41" xfId="0" applyFont="1" applyFill="1" applyBorder="1"/>
    <xf numFmtId="2" fontId="44" fillId="0" borderId="41" xfId="0" applyNumberFormat="1" applyFont="1" applyBorder="1" applyAlignment="1">
      <alignment horizontal="center"/>
    </xf>
    <xf numFmtId="2" fontId="44" fillId="0" borderId="41" xfId="0" applyNumberFormat="1" applyFont="1" applyBorder="1" applyAlignment="1">
      <alignment horizontal="center" vertical="center"/>
    </xf>
    <xf numFmtId="0" fontId="44" fillId="0" borderId="41" xfId="0" applyFont="1" applyFill="1" applyBorder="1" applyAlignment="1">
      <alignment horizontal="center"/>
    </xf>
    <xf numFmtId="0" fontId="0" fillId="29" borderId="0" xfId="0" applyFill="1" applyAlignment="1">
      <alignment wrapText="1"/>
    </xf>
    <xf numFmtId="0" fontId="0" fillId="0" borderId="41" xfId="0" applyBorder="1"/>
    <xf numFmtId="0" fontId="0" fillId="0" borderId="41" xfId="0" applyBorder="1" applyAlignment="1">
      <alignment horizontal="left"/>
    </xf>
    <xf numFmtId="2" fontId="22" fillId="0" borderId="41" xfId="0" applyNumberFormat="1" applyFont="1" applyBorder="1"/>
    <xf numFmtId="2" fontId="22" fillId="0" borderId="0" xfId="0" applyNumberFormat="1" applyFont="1" applyFill="1"/>
    <xf numFmtId="2" fontId="44" fillId="0" borderId="0" xfId="0" applyNumberFormat="1" applyFont="1" applyFill="1" applyAlignment="1">
      <alignment horizontal="center"/>
    </xf>
    <xf numFmtId="0" fontId="44" fillId="0" borderId="38" xfId="0" applyFont="1" applyFill="1" applyBorder="1" applyAlignment="1">
      <alignment horizontal="center"/>
    </xf>
    <xf numFmtId="0" fontId="15" fillId="29" borderId="0" xfId="0" applyFont="1" applyFill="1"/>
    <xf numFmtId="0" fontId="0" fillId="0" borderId="0" xfId="0"/>
    <xf numFmtId="0" fontId="0" fillId="0" borderId="0" xfId="0"/>
    <xf numFmtId="165" fontId="21" fillId="24" borderId="0" xfId="0" applyNumberFormat="1" applyFont="1" applyFill="1"/>
    <xf numFmtId="0" fontId="44" fillId="8" borderId="0" xfId="0" applyFont="1" applyFill="1" applyBorder="1"/>
    <xf numFmtId="0" fontId="8" fillId="38" borderId="0" xfId="0" applyFont="1" applyFill="1"/>
    <xf numFmtId="0" fontId="8" fillId="38" borderId="0" xfId="0" applyFont="1" applyFill="1" applyAlignment="1">
      <alignment horizontal="center"/>
    </xf>
    <xf numFmtId="0" fontId="8" fillId="38" borderId="38" xfId="0" applyFont="1" applyFill="1" applyBorder="1"/>
    <xf numFmtId="0" fontId="0" fillId="38" borderId="39" xfId="0" applyFont="1" applyFill="1" applyBorder="1"/>
    <xf numFmtId="0" fontId="0" fillId="38" borderId="40" xfId="0" applyFont="1" applyFill="1" applyBorder="1"/>
    <xf numFmtId="0" fontId="30" fillId="0" borderId="0" xfId="0" applyFont="1" applyFill="1"/>
    <xf numFmtId="0" fontId="0" fillId="0" borderId="0" xfId="0" applyFill="1"/>
    <xf numFmtId="0" fontId="0" fillId="0" borderId="0" xfId="0"/>
    <xf numFmtId="0" fontId="0" fillId="0" borderId="0" xfId="0" applyAlignment="1">
      <alignment horizontal="right"/>
    </xf>
    <xf numFmtId="0" fontId="0" fillId="0" borderId="0" xfId="0" applyBorder="1" applyAlignment="1">
      <alignment horizontal="right"/>
    </xf>
    <xf numFmtId="167" fontId="68" fillId="0" borderId="28" xfId="1" applyNumberFormat="1" applyFont="1" applyBorder="1"/>
    <xf numFmtId="0" fontId="46" fillId="0" borderId="9" xfId="2" applyBorder="1"/>
    <xf numFmtId="167" fontId="20" fillId="0" borderId="2" xfId="1" applyNumberFormat="1" applyFont="1" applyBorder="1"/>
    <xf numFmtId="167" fontId="20" fillId="0" borderId="28" xfId="1" applyNumberFormat="1" applyFont="1" applyBorder="1"/>
    <xf numFmtId="0" fontId="64" fillId="0" borderId="2" xfId="2" applyFont="1" applyFill="1" applyBorder="1"/>
    <xf numFmtId="0" fontId="31" fillId="35" borderId="6" xfId="0" applyFont="1" applyFill="1" applyBorder="1" applyAlignment="1">
      <alignment horizontal="right" wrapText="1"/>
    </xf>
    <xf numFmtId="0" fontId="69" fillId="35" borderId="6" xfId="0" applyFont="1" applyFill="1" applyBorder="1" applyAlignment="1">
      <alignment horizontal="center" wrapText="1"/>
    </xf>
    <xf numFmtId="0" fontId="0" fillId="0" borderId="0" xfId="0" applyBorder="1"/>
    <xf numFmtId="0" fontId="18" fillId="3" borderId="0" xfId="0" applyFont="1" applyFill="1"/>
    <xf numFmtId="0" fontId="0" fillId="0" borderId="0" xfId="0"/>
    <xf numFmtId="0" fontId="24" fillId="0" borderId="2" xfId="0" applyFont="1" applyBorder="1" applyAlignment="1">
      <alignment vertical="center"/>
    </xf>
    <xf numFmtId="0" fontId="0" fillId="0" borderId="0" xfId="0" applyAlignment="1">
      <alignment horizontal="left"/>
    </xf>
    <xf numFmtId="0" fontId="0" fillId="0" borderId="0" xfId="0" applyBorder="1"/>
    <xf numFmtId="0" fontId="0" fillId="0" borderId="2" xfId="0" applyBorder="1"/>
    <xf numFmtId="0" fontId="24" fillId="0" borderId="0" xfId="0" applyFont="1" applyBorder="1" applyAlignment="1">
      <alignment vertical="center"/>
    </xf>
    <xf numFmtId="0" fontId="0" fillId="0" borderId="28" xfId="0" applyBorder="1"/>
    <xf numFmtId="0" fontId="67" fillId="8" borderId="0" xfId="0" applyFont="1" applyFill="1" applyAlignment="1">
      <alignment vertical="top"/>
    </xf>
    <xf numFmtId="166" fontId="20" fillId="0" borderId="16" xfId="0" applyNumberFormat="1" applyFont="1" applyBorder="1"/>
    <xf numFmtId="0" fontId="41" fillId="0" borderId="2" xfId="0" applyFont="1" applyBorder="1"/>
    <xf numFmtId="0" fontId="0" fillId="0" borderId="0" xfId="0"/>
    <xf numFmtId="0" fontId="57" fillId="35" borderId="17" xfId="0" applyFont="1" applyFill="1" applyBorder="1" applyAlignment="1">
      <alignment horizontal="left" vertical="center" wrapText="1"/>
    </xf>
    <xf numFmtId="166" fontId="0" fillId="13" borderId="0" xfId="0" applyNumberFormat="1" applyFill="1" applyBorder="1" applyAlignment="1">
      <alignment vertical="center"/>
    </xf>
    <xf numFmtId="166" fontId="0" fillId="0" borderId="32" xfId="0" applyNumberFormat="1" applyBorder="1" applyAlignment="1">
      <alignment vertical="center"/>
    </xf>
    <xf numFmtId="166" fontId="0" fillId="0" borderId="6" xfId="0" applyNumberFormat="1" applyBorder="1" applyAlignment="1">
      <alignment vertical="center"/>
    </xf>
    <xf numFmtId="166" fontId="0" fillId="0" borderId="11" xfId="0" applyNumberFormat="1" applyBorder="1" applyAlignment="1">
      <alignment vertical="center"/>
    </xf>
    <xf numFmtId="0" fontId="0" fillId="13" borderId="0" xfId="0" applyFill="1" applyAlignment="1">
      <alignment vertical="center"/>
    </xf>
    <xf numFmtId="166" fontId="0" fillId="0" borderId="0" xfId="0" applyNumberFormat="1" applyBorder="1" applyAlignment="1">
      <alignment vertical="center"/>
    </xf>
    <xf numFmtId="166" fontId="0" fillId="0" borderId="1" xfId="0" applyNumberFormat="1" applyBorder="1" applyAlignment="1">
      <alignment vertical="center"/>
    </xf>
    <xf numFmtId="166" fontId="0" fillId="37" borderId="0" xfId="0" applyNumberFormat="1" applyFill="1" applyBorder="1" applyAlignment="1">
      <alignment vertical="center"/>
    </xf>
    <xf numFmtId="0" fontId="0" fillId="37" borderId="0" xfId="0" applyFill="1" applyAlignment="1">
      <alignment vertical="center"/>
    </xf>
    <xf numFmtId="166" fontId="0" fillId="36" borderId="0" xfId="0" applyNumberFormat="1" applyFill="1" applyBorder="1" applyAlignment="1">
      <alignment vertical="center"/>
    </xf>
    <xf numFmtId="0" fontId="0" fillId="36" borderId="0" xfId="0" applyFill="1" applyAlignment="1">
      <alignment vertical="center"/>
    </xf>
    <xf numFmtId="166" fontId="0" fillId="30" borderId="0" xfId="0" applyNumberFormat="1" applyFill="1" applyBorder="1" applyAlignment="1">
      <alignment vertical="center"/>
    </xf>
    <xf numFmtId="0" fontId="0" fillId="30" borderId="0" xfId="0" applyFill="1" applyAlignment="1">
      <alignment vertical="center"/>
    </xf>
    <xf numFmtId="166" fontId="0" fillId="31" borderId="0" xfId="0" applyNumberFormat="1" applyFill="1" applyAlignment="1">
      <alignment vertical="center"/>
    </xf>
    <xf numFmtId="166" fontId="0" fillId="0" borderId="0" xfId="0" applyNumberFormat="1" applyAlignment="1">
      <alignment vertical="center"/>
    </xf>
    <xf numFmtId="0" fontId="0" fillId="31" borderId="0" xfId="0" applyFill="1" applyAlignment="1">
      <alignment vertical="center"/>
    </xf>
    <xf numFmtId="166" fontId="0" fillId="35" borderId="3" xfId="0" applyNumberFormat="1" applyFill="1" applyBorder="1" applyAlignment="1">
      <alignment vertical="center"/>
    </xf>
    <xf numFmtId="0" fontId="0" fillId="35" borderId="0" xfId="0" applyFill="1" applyAlignment="1">
      <alignment vertical="center"/>
    </xf>
    <xf numFmtId="166" fontId="0" fillId="34" borderId="3" xfId="0" applyNumberFormat="1" applyFill="1" applyBorder="1" applyAlignment="1">
      <alignment vertical="center"/>
    </xf>
    <xf numFmtId="0" fontId="0" fillId="34" borderId="0" xfId="0" applyFill="1" applyAlignment="1">
      <alignment vertical="center"/>
    </xf>
    <xf numFmtId="166" fontId="0" fillId="2" borderId="3" xfId="0" applyNumberFormat="1" applyFill="1" applyBorder="1" applyAlignment="1">
      <alignment vertical="center"/>
    </xf>
    <xf numFmtId="0" fontId="0" fillId="0" borderId="0" xfId="0" applyFill="1" applyBorder="1" applyAlignment="1">
      <alignment vertical="center"/>
    </xf>
    <xf numFmtId="0" fontId="0" fillId="2" borderId="0" xfId="0" applyFill="1" applyAlignment="1">
      <alignment vertical="center"/>
    </xf>
    <xf numFmtId="166" fontId="0" fillId="33" borderId="3" xfId="0" applyNumberFormat="1" applyFill="1" applyBorder="1" applyAlignment="1">
      <alignment vertical="center"/>
    </xf>
    <xf numFmtId="0" fontId="0" fillId="33" borderId="0" xfId="0" applyFill="1" applyAlignment="1">
      <alignment vertical="center"/>
    </xf>
    <xf numFmtId="166" fontId="0" fillId="35" borderId="0" xfId="0" applyNumberFormat="1" applyFill="1" applyBorder="1" applyAlignment="1">
      <alignment vertical="center"/>
    </xf>
    <xf numFmtId="0" fontId="0" fillId="0" borderId="1" xfId="0" applyBorder="1" applyAlignment="1">
      <alignment vertical="center"/>
    </xf>
    <xf numFmtId="0" fontId="0" fillId="0" borderId="1" xfId="0" applyBorder="1" applyAlignment="1">
      <alignment horizontal="right" vertical="center"/>
    </xf>
    <xf numFmtId="1" fontId="0" fillId="0" borderId="1" xfId="0" applyNumberFormat="1" applyBorder="1" applyAlignment="1">
      <alignment vertical="center"/>
    </xf>
    <xf numFmtId="0" fontId="0" fillId="0" borderId="11" xfId="0" applyBorder="1" applyAlignment="1">
      <alignment vertical="center"/>
    </xf>
    <xf numFmtId="166" fontId="18" fillId="38" borderId="3" xfId="0" applyNumberFormat="1" applyFont="1" applyFill="1" applyBorder="1" applyAlignment="1">
      <alignment vertical="center"/>
    </xf>
    <xf numFmtId="0" fontId="0" fillId="0" borderId="24" xfId="0" applyBorder="1" applyAlignment="1">
      <alignment horizontal="left" vertical="center"/>
    </xf>
    <xf numFmtId="0" fontId="0" fillId="38" borderId="0" xfId="0" applyFill="1" applyAlignment="1">
      <alignment vertical="center"/>
    </xf>
    <xf numFmtId="0" fontId="15" fillId="0" borderId="24" xfId="0" applyFont="1" applyBorder="1" applyAlignment="1">
      <alignment horizontal="left" vertical="center"/>
    </xf>
    <xf numFmtId="166" fontId="15" fillId="0" borderId="0" xfId="0" applyNumberFormat="1" applyFont="1" applyBorder="1" applyAlignment="1">
      <alignment vertical="center"/>
    </xf>
    <xf numFmtId="0" fontId="15" fillId="0" borderId="25" xfId="0" applyFont="1" applyBorder="1" applyAlignment="1">
      <alignment horizontal="left" vertical="center"/>
    </xf>
    <xf numFmtId="0" fontId="0" fillId="0" borderId="10" xfId="0" applyBorder="1" applyAlignment="1">
      <alignment vertical="center"/>
    </xf>
    <xf numFmtId="0" fontId="20" fillId="0" borderId="2" xfId="0" applyFont="1" applyBorder="1"/>
    <xf numFmtId="0" fontId="0" fillId="0" borderId="13" xfId="0" applyFill="1" applyBorder="1" applyAlignment="1">
      <alignment horizontal="right"/>
    </xf>
    <xf numFmtId="0" fontId="0" fillId="0" borderId="0" xfId="0" applyFill="1" applyBorder="1" applyAlignment="1">
      <alignment horizontal="right"/>
    </xf>
    <xf numFmtId="1" fontId="0" fillId="0" borderId="2" xfId="0" applyNumberFormat="1" applyBorder="1"/>
    <xf numFmtId="166" fontId="22" fillId="0" borderId="0" xfId="0" applyNumberFormat="1" applyFont="1" applyFill="1" applyBorder="1" applyAlignment="1">
      <alignment horizontal="left"/>
    </xf>
    <xf numFmtId="1" fontId="22" fillId="0" borderId="0" xfId="0" applyNumberFormat="1" applyFont="1" applyFill="1" applyBorder="1" applyAlignment="1">
      <alignment horizontal="left"/>
    </xf>
    <xf numFmtId="166" fontId="22" fillId="0" borderId="2" xfId="0" applyNumberFormat="1" applyFont="1" applyFill="1" applyBorder="1" applyAlignment="1">
      <alignment horizontal="left"/>
    </xf>
    <xf numFmtId="165" fontId="22" fillId="0" borderId="0" xfId="0" applyNumberFormat="1" applyFont="1" applyFill="1" applyBorder="1" applyAlignment="1">
      <alignment horizontal="left"/>
    </xf>
    <xf numFmtId="2" fontId="0" fillId="0" borderId="0" xfId="0" applyNumberFormat="1" applyBorder="1" applyAlignment="1">
      <alignment vertical="center"/>
    </xf>
    <xf numFmtId="0" fontId="0" fillId="0" borderId="6" xfId="0" applyBorder="1" applyAlignment="1">
      <alignment vertical="center"/>
    </xf>
    <xf numFmtId="0" fontId="8" fillId="38" borderId="39" xfId="0" applyFont="1" applyFill="1" applyBorder="1"/>
    <xf numFmtId="166" fontId="71" fillId="38" borderId="0" xfId="0" applyNumberFormat="1" applyFont="1" applyFill="1" applyAlignment="1">
      <alignment horizontal="left"/>
    </xf>
    <xf numFmtId="2" fontId="0" fillId="0" borderId="1" xfId="0" applyNumberFormat="1" applyBorder="1" applyAlignment="1">
      <alignment vertical="center"/>
    </xf>
    <xf numFmtId="166" fontId="0" fillId="0" borderId="17" xfId="0" applyNumberFormat="1" applyBorder="1" applyAlignment="1">
      <alignment vertical="center"/>
    </xf>
    <xf numFmtId="1" fontId="72" fillId="35" borderId="0" xfId="0" applyNumberFormat="1" applyFont="1" applyFill="1" applyBorder="1" applyAlignment="1">
      <alignment horizontal="center"/>
    </xf>
    <xf numFmtId="1" fontId="10" fillId="35" borderId="0" xfId="0" applyNumberFormat="1" applyFont="1" applyFill="1" applyBorder="1" applyAlignment="1">
      <alignment horizontal="left"/>
    </xf>
    <xf numFmtId="1" fontId="73" fillId="33" borderId="0" xfId="0" applyNumberFormat="1" applyFont="1" applyFill="1" applyBorder="1" applyAlignment="1">
      <alignment horizontal="center"/>
    </xf>
    <xf numFmtId="1" fontId="60" fillId="33" borderId="0" xfId="0" applyNumberFormat="1" applyFont="1" applyFill="1" applyBorder="1" applyAlignment="1">
      <alignment horizontal="left"/>
    </xf>
    <xf numFmtId="1" fontId="73" fillId="2" borderId="0" xfId="0" applyNumberFormat="1" applyFont="1" applyFill="1" applyBorder="1" applyAlignment="1">
      <alignment horizontal="center"/>
    </xf>
    <xf numFmtId="1" fontId="60" fillId="2" borderId="0" xfId="0" applyNumberFormat="1" applyFont="1" applyFill="1" applyBorder="1" applyAlignment="1">
      <alignment horizontal="left"/>
    </xf>
    <xf numFmtId="1" fontId="74" fillId="34" borderId="0" xfId="0" applyNumberFormat="1" applyFont="1" applyFill="1" applyBorder="1" applyAlignment="1">
      <alignment horizontal="center"/>
    </xf>
    <xf numFmtId="1" fontId="75" fillId="34" borderId="0" xfId="0" applyNumberFormat="1" applyFont="1" applyFill="1" applyBorder="1" applyAlignment="1">
      <alignment horizontal="left"/>
    </xf>
    <xf numFmtId="1" fontId="76" fillId="31" borderId="0" xfId="0" applyNumberFormat="1" applyFont="1" applyFill="1" applyBorder="1" applyAlignment="1">
      <alignment horizontal="center"/>
    </xf>
    <xf numFmtId="1" fontId="21" fillId="31" borderId="0" xfId="0" applyNumberFormat="1" applyFont="1" applyFill="1" applyBorder="1" applyAlignment="1">
      <alignment horizontal="left"/>
    </xf>
    <xf numFmtId="1" fontId="77" fillId="30" borderId="0" xfId="0" applyNumberFormat="1" applyFont="1" applyFill="1" applyBorder="1" applyAlignment="1">
      <alignment horizontal="center"/>
    </xf>
    <xf numFmtId="1" fontId="19" fillId="30" borderId="0" xfId="0" applyNumberFormat="1" applyFont="1" applyFill="1" applyBorder="1" applyAlignment="1">
      <alignment horizontal="left"/>
    </xf>
    <xf numFmtId="1" fontId="78" fillId="36" borderId="0" xfId="0" applyNumberFormat="1" applyFont="1" applyFill="1" applyBorder="1" applyAlignment="1">
      <alignment horizontal="center"/>
    </xf>
    <xf numFmtId="1" fontId="62" fillId="36" borderId="0" xfId="0" applyNumberFormat="1" applyFont="1" applyFill="1" applyBorder="1" applyAlignment="1">
      <alignment horizontal="left"/>
    </xf>
    <xf numFmtId="1" fontId="79" fillId="37" borderId="0" xfId="0" applyNumberFormat="1" applyFont="1" applyFill="1" applyBorder="1" applyAlignment="1">
      <alignment horizontal="center"/>
    </xf>
    <xf numFmtId="1" fontId="63" fillId="37" borderId="0" xfId="0" applyNumberFormat="1" applyFont="1" applyFill="1" applyBorder="1" applyAlignment="1">
      <alignment horizontal="left"/>
    </xf>
    <xf numFmtId="1" fontId="80" fillId="43" borderId="0" xfId="0" applyNumberFormat="1" applyFont="1" applyFill="1" applyBorder="1" applyAlignment="1">
      <alignment horizontal="center"/>
    </xf>
    <xf numFmtId="1" fontId="81" fillId="43" borderId="0" xfId="0" applyNumberFormat="1" applyFont="1" applyFill="1" applyBorder="1" applyAlignment="1">
      <alignment horizontal="left"/>
    </xf>
    <xf numFmtId="0" fontId="81" fillId="13" borderId="0" xfId="0" applyFont="1" applyFill="1" applyBorder="1"/>
    <xf numFmtId="0" fontId="63" fillId="37" borderId="0" xfId="0" applyFont="1" applyFill="1" applyBorder="1"/>
    <xf numFmtId="0" fontId="62" fillId="36" borderId="0" xfId="0" applyFont="1" applyFill="1" applyBorder="1"/>
    <xf numFmtId="0" fontId="19" fillId="30" borderId="0" xfId="0" applyFont="1" applyFill="1" applyBorder="1"/>
    <xf numFmtId="0" fontId="21" fillId="31" borderId="0" xfId="0" applyFont="1" applyFill="1" applyBorder="1" applyAlignment="1"/>
    <xf numFmtId="0" fontId="0" fillId="7" borderId="0" xfId="0" applyFill="1" applyAlignment="1">
      <alignment vertical="center"/>
    </xf>
    <xf numFmtId="0" fontId="44" fillId="0" borderId="0" xfId="0" applyFont="1" applyAlignment="1">
      <alignment vertical="center"/>
    </xf>
    <xf numFmtId="0" fontId="15" fillId="0" borderId="0" xfId="0" applyFont="1" applyAlignment="1">
      <alignment vertical="center"/>
    </xf>
    <xf numFmtId="0" fontId="15" fillId="0" borderId="36" xfId="0" applyFont="1" applyBorder="1" applyAlignment="1">
      <alignment vertical="center"/>
    </xf>
    <xf numFmtId="0" fontId="0" fillId="0" borderId="0" xfId="0" applyAlignment="1">
      <alignment horizontal="center" vertical="center" wrapText="1"/>
    </xf>
    <xf numFmtId="165" fontId="15" fillId="0" borderId="0" xfId="0" applyNumberFormat="1" applyFont="1" applyAlignment="1">
      <alignment vertical="center"/>
    </xf>
    <xf numFmtId="1" fontId="32" fillId="4" borderId="0" xfId="0" applyNumberFormat="1" applyFont="1" applyFill="1" applyAlignment="1">
      <alignment horizontal="center" vertical="center"/>
    </xf>
    <xf numFmtId="1" fontId="31" fillId="7" borderId="0" xfId="0" applyNumberFormat="1" applyFont="1" applyFill="1" applyAlignment="1">
      <alignment horizontal="center" vertical="center"/>
    </xf>
    <xf numFmtId="165" fontId="15" fillId="7" borderId="0" xfId="0" applyNumberFormat="1" applyFont="1" applyFill="1" applyAlignment="1">
      <alignment vertical="center"/>
    </xf>
    <xf numFmtId="2" fontId="0" fillId="0" borderId="0" xfId="0" applyNumberFormat="1" applyAlignment="1">
      <alignment vertical="center"/>
    </xf>
    <xf numFmtId="0" fontId="15" fillId="0" borderId="36" xfId="0" applyFont="1" applyBorder="1" applyAlignment="1" applyProtection="1">
      <alignment vertical="center"/>
      <protection locked="0"/>
    </xf>
    <xf numFmtId="0" fontId="15" fillId="0" borderId="0" xfId="0" applyFont="1" applyAlignment="1" applyProtection="1">
      <alignment vertical="center"/>
      <protection locked="0"/>
    </xf>
    <xf numFmtId="165" fontId="15" fillId="7" borderId="0" xfId="0" applyNumberFormat="1" applyFont="1" applyFill="1" applyBorder="1" applyAlignment="1">
      <alignment vertical="center"/>
    </xf>
    <xf numFmtId="0" fontId="0" fillId="9" borderId="0" xfId="0" applyFill="1" applyAlignment="1">
      <alignment vertical="center"/>
    </xf>
    <xf numFmtId="1" fontId="31" fillId="9" borderId="0" xfId="0" applyNumberFormat="1" applyFont="1" applyFill="1" applyAlignment="1">
      <alignment horizontal="center" vertical="center"/>
    </xf>
    <xf numFmtId="165" fontId="15" fillId="9" borderId="0" xfId="0" applyNumberFormat="1" applyFont="1" applyFill="1" applyAlignment="1">
      <alignment vertical="center"/>
    </xf>
    <xf numFmtId="0" fontId="22" fillId="3" borderId="0" xfId="0" applyFont="1" applyFill="1" applyAlignment="1">
      <alignment horizontal="center" vertical="center" wrapText="1"/>
    </xf>
    <xf numFmtId="1" fontId="32" fillId="3" borderId="0" xfId="0" applyNumberFormat="1" applyFont="1" applyFill="1" applyAlignment="1">
      <alignment horizontal="center" vertical="center"/>
    </xf>
    <xf numFmtId="165" fontId="15" fillId="3" borderId="0" xfId="0" applyNumberFormat="1" applyFont="1" applyFill="1" applyAlignment="1">
      <alignment vertical="center"/>
    </xf>
    <xf numFmtId="0" fontId="14" fillId="2" borderId="0" xfId="0" applyFont="1" applyFill="1" applyAlignment="1">
      <alignment vertical="center"/>
    </xf>
    <xf numFmtId="0" fontId="15" fillId="2" borderId="0" xfId="0" applyFont="1" applyFill="1" applyAlignment="1">
      <alignment vertical="center"/>
    </xf>
    <xf numFmtId="1" fontId="14" fillId="2" borderId="0" xfId="0" applyNumberFormat="1" applyFont="1" applyFill="1" applyAlignment="1">
      <alignment vertical="center"/>
    </xf>
    <xf numFmtId="1" fontId="34" fillId="40" borderId="0" xfId="0" applyNumberFormat="1" applyFont="1" applyFill="1" applyAlignment="1">
      <alignment horizontal="center" vertical="center"/>
    </xf>
    <xf numFmtId="1" fontId="34" fillId="3" borderId="0" xfId="0" applyNumberFormat="1" applyFont="1" applyFill="1" applyAlignment="1">
      <alignment horizontal="center" vertical="center"/>
    </xf>
    <xf numFmtId="1" fontId="14" fillId="3" borderId="0" xfId="0" applyNumberFormat="1" applyFont="1" applyFill="1" applyAlignment="1">
      <alignment vertical="center"/>
    </xf>
    <xf numFmtId="2" fontId="14" fillId="2" borderId="0" xfId="0" applyNumberFormat="1" applyFont="1" applyFill="1" applyAlignment="1">
      <alignment vertical="center"/>
    </xf>
    <xf numFmtId="0" fontId="14" fillId="2" borderId="0" xfId="0" applyFont="1" applyFill="1" applyAlignment="1">
      <alignment vertical="center" wrapText="1"/>
    </xf>
    <xf numFmtId="0" fontId="14" fillId="2" borderId="1" xfId="0" applyFont="1" applyFill="1" applyBorder="1" applyAlignment="1">
      <alignment vertical="center" wrapText="1"/>
    </xf>
    <xf numFmtId="0" fontId="14" fillId="2" borderId="0" xfId="0" applyFont="1" applyFill="1" applyBorder="1" applyAlignment="1">
      <alignment vertical="center" wrapText="1"/>
    </xf>
    <xf numFmtId="0" fontId="14" fillId="0" borderId="0" xfId="0" applyFont="1" applyAlignment="1">
      <alignment vertical="center"/>
    </xf>
    <xf numFmtId="1" fontId="31" fillId="40" borderId="0" xfId="0" applyNumberFormat="1" applyFont="1" applyFill="1" applyAlignment="1">
      <alignment horizontal="center" vertical="center"/>
    </xf>
    <xf numFmtId="1" fontId="31" fillId="3" borderId="0" xfId="0" applyNumberFormat="1" applyFont="1" applyFill="1" applyAlignment="1">
      <alignment horizontal="center" vertical="center"/>
    </xf>
    <xf numFmtId="0" fontId="0" fillId="6" borderId="0" xfId="0" applyFill="1" applyAlignment="1">
      <alignment horizontal="right" vertical="center"/>
    </xf>
    <xf numFmtId="0" fontId="0" fillId="3" borderId="0" xfId="0" applyFill="1" applyAlignment="1">
      <alignment vertical="center"/>
    </xf>
    <xf numFmtId="0" fontId="15" fillId="3" borderId="0" xfId="0" applyFont="1" applyFill="1" applyAlignment="1">
      <alignment vertical="center"/>
    </xf>
    <xf numFmtId="0" fontId="4" fillId="6" borderId="0" xfId="0" applyFont="1" applyFill="1" applyAlignment="1">
      <alignment vertical="center" wrapText="1"/>
    </xf>
    <xf numFmtId="0" fontId="0" fillId="3" borderId="0" xfId="0" applyFill="1" applyAlignment="1">
      <alignment horizontal="right" vertical="center" wrapText="1"/>
    </xf>
    <xf numFmtId="1" fontId="31" fillId="3" borderId="0" xfId="0" applyNumberFormat="1" applyFont="1" applyFill="1" applyAlignment="1">
      <alignment horizontal="right" vertical="center"/>
    </xf>
    <xf numFmtId="0" fontId="4" fillId="18" borderId="0" xfId="0" applyFont="1" applyFill="1" applyAlignment="1">
      <alignment vertical="center"/>
    </xf>
    <xf numFmtId="0" fontId="0" fillId="3" borderId="1" xfId="0" applyFill="1" applyBorder="1" applyAlignment="1">
      <alignment vertical="center"/>
    </xf>
    <xf numFmtId="0" fontId="18" fillId="3" borderId="0" xfId="0" applyFont="1" applyFill="1" applyAlignment="1">
      <alignment vertical="center"/>
    </xf>
    <xf numFmtId="165" fontId="15" fillId="3" borderId="0" xfId="0" applyNumberFormat="1" applyFont="1" applyFill="1" applyBorder="1" applyAlignment="1">
      <alignment vertical="center"/>
    </xf>
    <xf numFmtId="1" fontId="31" fillId="40" borderId="0" xfId="0" applyNumberFormat="1" applyFont="1" applyFill="1" applyBorder="1" applyAlignment="1">
      <alignment horizontal="center" vertical="center"/>
    </xf>
    <xf numFmtId="1" fontId="31" fillId="3" borderId="0" xfId="0" applyNumberFormat="1" applyFont="1" applyFill="1" applyBorder="1" applyAlignment="1">
      <alignment horizontal="center" vertical="center"/>
    </xf>
    <xf numFmtId="0" fontId="0" fillId="6" borderId="6" xfId="0" applyFill="1" applyBorder="1" applyAlignment="1">
      <alignment horizontal="right" vertical="center"/>
    </xf>
    <xf numFmtId="0" fontId="0" fillId="6" borderId="0" xfId="0" applyFill="1" applyBorder="1" applyAlignment="1">
      <alignment horizontal="right" vertical="center"/>
    </xf>
    <xf numFmtId="0" fontId="15" fillId="7" borderId="0" xfId="0" applyFont="1" applyFill="1" applyAlignment="1">
      <alignment vertical="center"/>
    </xf>
    <xf numFmtId="0" fontId="4" fillId="8" borderId="0" xfId="0" applyFont="1" applyFill="1" applyAlignment="1">
      <alignment vertical="center" wrapText="1"/>
    </xf>
    <xf numFmtId="0" fontId="0" fillId="7" borderId="0" xfId="0" applyFill="1" applyAlignment="1">
      <alignment horizontal="right" vertical="center" wrapText="1"/>
    </xf>
    <xf numFmtId="1" fontId="31" fillId="7" borderId="0" xfId="0" applyNumberFormat="1" applyFont="1" applyFill="1" applyAlignment="1">
      <alignment horizontal="right" vertical="center"/>
    </xf>
    <xf numFmtId="0" fontId="4" fillId="20" borderId="0" xfId="0" applyFont="1" applyFill="1" applyAlignment="1">
      <alignment vertical="center"/>
    </xf>
    <xf numFmtId="0" fontId="0" fillId="7" borderId="1" xfId="0" applyFill="1" applyBorder="1" applyAlignment="1">
      <alignment vertical="center"/>
    </xf>
    <xf numFmtId="0" fontId="18" fillId="7" borderId="0" xfId="0" applyFont="1" applyFill="1" applyAlignment="1">
      <alignment vertical="center"/>
    </xf>
    <xf numFmtId="1" fontId="14" fillId="7" borderId="0" xfId="0" applyNumberFormat="1" applyFont="1" applyFill="1" applyAlignment="1">
      <alignment vertical="center"/>
    </xf>
    <xf numFmtId="0" fontId="0" fillId="8" borderId="0" xfId="0" applyFill="1" applyAlignment="1">
      <alignment horizontal="right" vertical="center"/>
    </xf>
    <xf numFmtId="0" fontId="0" fillId="8" borderId="6" xfId="0" applyFill="1" applyBorder="1" applyAlignment="1">
      <alignment horizontal="right" vertical="center"/>
    </xf>
    <xf numFmtId="0" fontId="0" fillId="8" borderId="0" xfId="0" applyFill="1" applyBorder="1" applyAlignment="1">
      <alignment horizontal="right" vertical="center"/>
    </xf>
    <xf numFmtId="0" fontId="15" fillId="9" borderId="0" xfId="0" applyFont="1" applyFill="1" applyAlignment="1">
      <alignment vertical="center"/>
    </xf>
    <xf numFmtId="0" fontId="4" fillId="10" borderId="0" xfId="0" applyFont="1" applyFill="1" applyAlignment="1">
      <alignment vertical="center" wrapText="1"/>
    </xf>
    <xf numFmtId="0" fontId="0" fillId="9" borderId="0" xfId="0" applyFill="1" applyAlignment="1">
      <alignment horizontal="right" vertical="center" wrapText="1"/>
    </xf>
    <xf numFmtId="1" fontId="31" fillId="9" borderId="0" xfId="0" applyNumberFormat="1" applyFont="1" applyFill="1" applyAlignment="1">
      <alignment horizontal="right" vertical="center"/>
    </xf>
    <xf numFmtId="0" fontId="4" fillId="21" borderId="0" xfId="0" applyFont="1" applyFill="1" applyAlignment="1">
      <alignment vertical="center"/>
    </xf>
    <xf numFmtId="0" fontId="0" fillId="9" borderId="1" xfId="0" applyFill="1" applyBorder="1" applyAlignment="1">
      <alignment vertical="center"/>
    </xf>
    <xf numFmtId="0" fontId="18" fillId="42" borderId="0" xfId="0" applyFont="1" applyFill="1" applyAlignment="1">
      <alignment vertical="center"/>
    </xf>
    <xf numFmtId="1" fontId="14" fillId="9" borderId="0" xfId="0" applyNumberFormat="1" applyFont="1" applyFill="1" applyAlignment="1">
      <alignment vertical="center"/>
    </xf>
    <xf numFmtId="0" fontId="0" fillId="10" borderId="0" xfId="0" applyFill="1" applyAlignment="1">
      <alignment horizontal="right" vertical="center"/>
    </xf>
    <xf numFmtId="165" fontId="15" fillId="9" borderId="0" xfId="0" applyNumberFormat="1" applyFont="1" applyFill="1" applyBorder="1" applyAlignment="1">
      <alignment vertical="center"/>
    </xf>
    <xf numFmtId="0" fontId="0" fillId="10" borderId="6" xfId="0" applyFill="1" applyBorder="1" applyAlignment="1">
      <alignment horizontal="right" vertical="center"/>
    </xf>
    <xf numFmtId="0" fontId="0" fillId="10" borderId="0" xfId="0" applyFill="1" applyBorder="1" applyAlignment="1">
      <alignment horizontal="right" vertical="center"/>
    </xf>
    <xf numFmtId="0" fontId="0" fillId="12" borderId="0" xfId="0" applyFill="1" applyAlignment="1">
      <alignment vertical="center"/>
    </xf>
    <xf numFmtId="0" fontId="15" fillId="12" borderId="0" xfId="0" applyFont="1" applyFill="1" applyAlignment="1">
      <alignment vertical="center"/>
    </xf>
    <xf numFmtId="0" fontId="0" fillId="11" borderId="0" xfId="0" applyFill="1" applyAlignment="1">
      <alignment vertical="center"/>
    </xf>
    <xf numFmtId="0" fontId="0" fillId="12" borderId="0" xfId="0" applyFill="1" applyAlignment="1">
      <alignment vertical="center" wrapText="1"/>
    </xf>
    <xf numFmtId="1" fontId="31" fillId="12" borderId="0" xfId="0" applyNumberFormat="1" applyFont="1" applyFill="1" applyAlignment="1">
      <alignment horizontal="right" vertical="center"/>
    </xf>
    <xf numFmtId="1" fontId="31" fillId="12" borderId="0" xfId="0" applyNumberFormat="1" applyFont="1" applyFill="1" applyAlignment="1">
      <alignment horizontal="center" vertical="center"/>
    </xf>
    <xf numFmtId="2" fontId="0" fillId="12" borderId="0" xfId="0" applyNumberFormat="1" applyFill="1" applyAlignment="1">
      <alignment vertical="center"/>
    </xf>
    <xf numFmtId="2" fontId="4" fillId="22" borderId="0" xfId="0" applyNumberFormat="1" applyFont="1" applyFill="1" applyAlignment="1">
      <alignment vertical="center"/>
    </xf>
    <xf numFmtId="2" fontId="0" fillId="12" borderId="1" xfId="0" applyNumberFormat="1" applyFill="1" applyBorder="1" applyAlignment="1">
      <alignment vertical="center"/>
    </xf>
    <xf numFmtId="0" fontId="18" fillId="12" borderId="0" xfId="0" applyFont="1" applyFill="1" applyAlignment="1">
      <alignment vertical="center"/>
    </xf>
    <xf numFmtId="165" fontId="15" fillId="12" borderId="0" xfId="0" applyNumberFormat="1" applyFont="1" applyFill="1" applyAlignment="1">
      <alignment vertical="center"/>
    </xf>
    <xf numFmtId="1" fontId="14" fillId="12" borderId="0" xfId="0" applyNumberFormat="1" applyFont="1" applyFill="1" applyAlignment="1">
      <alignment vertical="center"/>
    </xf>
    <xf numFmtId="0" fontId="0" fillId="11" borderId="0" xfId="0" applyFill="1" applyAlignment="1">
      <alignment horizontal="right" vertical="center"/>
    </xf>
    <xf numFmtId="0" fontId="0" fillId="12" borderId="0" xfId="0" applyFill="1" applyAlignment="1">
      <alignment horizontal="right" vertical="center" wrapText="1"/>
    </xf>
    <xf numFmtId="0" fontId="4" fillId="22" borderId="0" xfId="0" applyFont="1" applyFill="1" applyAlignment="1">
      <alignment vertical="center"/>
    </xf>
    <xf numFmtId="0" fontId="0" fillId="12" borderId="1" xfId="0" applyFill="1" applyBorder="1" applyAlignment="1">
      <alignment vertical="center"/>
    </xf>
    <xf numFmtId="165" fontId="15" fillId="12" borderId="0" xfId="0" applyNumberFormat="1" applyFont="1" applyFill="1" applyBorder="1" applyAlignment="1">
      <alignment vertical="center"/>
    </xf>
    <xf numFmtId="0" fontId="0" fillId="11" borderId="6" xfId="0" applyFill="1" applyBorder="1" applyAlignment="1">
      <alignment horizontal="right" vertical="center"/>
    </xf>
    <xf numFmtId="0" fontId="0" fillId="11" borderId="0" xfId="0" applyFill="1" applyBorder="1" applyAlignment="1">
      <alignment horizontal="right" vertical="center"/>
    </xf>
    <xf numFmtId="0" fontId="15" fillId="13" borderId="0" xfId="0" applyFont="1" applyFill="1" applyAlignment="1">
      <alignment vertical="center"/>
    </xf>
    <xf numFmtId="0" fontId="0" fillId="14" borderId="0" xfId="0" applyFill="1" applyAlignment="1">
      <alignment vertical="center"/>
    </xf>
    <xf numFmtId="0" fontId="0" fillId="13" borderId="0" xfId="0" applyFill="1" applyAlignment="1">
      <alignment vertical="center" wrapText="1"/>
    </xf>
    <xf numFmtId="1" fontId="31" fillId="13" borderId="0" xfId="0" applyNumberFormat="1" applyFont="1" applyFill="1" applyAlignment="1">
      <alignment horizontal="right" vertical="center"/>
    </xf>
    <xf numFmtId="1" fontId="31" fillId="13" borderId="0" xfId="0" applyNumberFormat="1" applyFont="1" applyFill="1" applyAlignment="1">
      <alignment horizontal="center" vertical="center"/>
    </xf>
    <xf numFmtId="0" fontId="4" fillId="23" borderId="0" xfId="0" applyFont="1" applyFill="1" applyAlignment="1">
      <alignment vertical="center"/>
    </xf>
    <xf numFmtId="0" fontId="0" fillId="13" borderId="1" xfId="0" applyFill="1" applyBorder="1" applyAlignment="1">
      <alignment vertical="center"/>
    </xf>
    <xf numFmtId="0" fontId="18" fillId="13" borderId="0" xfId="0" applyFont="1" applyFill="1" applyAlignment="1">
      <alignment vertical="center"/>
    </xf>
    <xf numFmtId="165" fontId="15" fillId="13" borderId="0" xfId="0" applyNumberFormat="1" applyFont="1" applyFill="1" applyAlignment="1">
      <alignment vertical="center"/>
    </xf>
    <xf numFmtId="1" fontId="14" fillId="13" borderId="0" xfId="0" applyNumberFormat="1" applyFont="1" applyFill="1" applyAlignment="1">
      <alignment vertical="center"/>
    </xf>
    <xf numFmtId="0" fontId="0" fillId="41" borderId="0" xfId="0" applyFill="1" applyAlignment="1">
      <alignment horizontal="right" vertical="center"/>
    </xf>
    <xf numFmtId="0" fontId="0" fillId="13" borderId="0" xfId="0" applyFill="1" applyAlignment="1">
      <alignment horizontal="right" vertical="center" wrapText="1"/>
    </xf>
    <xf numFmtId="165" fontId="15" fillId="13" borderId="0" xfId="0" applyNumberFormat="1" applyFont="1" applyFill="1" applyBorder="1" applyAlignment="1">
      <alignment vertical="center"/>
    </xf>
    <xf numFmtId="0" fontId="30" fillId="38" borderId="0" xfId="0" applyFont="1" applyFill="1"/>
    <xf numFmtId="0" fontId="44" fillId="38" borderId="0" xfId="0" applyFont="1" applyFill="1"/>
    <xf numFmtId="0" fontId="0" fillId="2" borderId="0" xfId="0" applyFill="1" applyAlignment="1">
      <alignment horizontal="right" vertical="center" wrapText="1"/>
    </xf>
    <xf numFmtId="0" fontId="0" fillId="0" borderId="0" xfId="0"/>
    <xf numFmtId="0" fontId="1" fillId="0" borderId="0" xfId="0" applyFont="1" applyAlignment="1">
      <alignment vertical="center"/>
    </xf>
    <xf numFmtId="0" fontId="0" fillId="38" borderId="0" xfId="0" applyFont="1" applyFill="1" applyBorder="1"/>
    <xf numFmtId="0" fontId="8" fillId="38" borderId="0" xfId="0" applyFont="1" applyFill="1" applyBorder="1"/>
    <xf numFmtId="1" fontId="15" fillId="0" borderId="0" xfId="0" applyNumberFormat="1" applyFont="1"/>
    <xf numFmtId="0" fontId="15" fillId="3" borderId="0" xfId="0" applyFont="1" applyFill="1"/>
    <xf numFmtId="0" fontId="15" fillId="7" borderId="0" xfId="0" applyFont="1" applyFill="1"/>
    <xf numFmtId="0" fontId="0" fillId="7" borderId="0" xfId="0" applyFill="1"/>
    <xf numFmtId="0" fontId="0" fillId="9" borderId="0" xfId="0" applyFill="1"/>
    <xf numFmtId="0" fontId="15" fillId="12" borderId="0" xfId="0" applyFont="1" applyFill="1"/>
    <xf numFmtId="0" fontId="0" fillId="12" borderId="0" xfId="0" applyFill="1"/>
    <xf numFmtId="0" fontId="15" fillId="13" borderId="0" xfId="0" applyFont="1" applyFill="1"/>
    <xf numFmtId="0" fontId="13" fillId="0" borderId="0" xfId="0" applyFont="1" applyBorder="1" applyAlignment="1">
      <alignment vertical="center"/>
    </xf>
    <xf numFmtId="0" fontId="15" fillId="0" borderId="36" xfId="0" applyFont="1" applyBorder="1"/>
    <xf numFmtId="0" fontId="0" fillId="29" borderId="0" xfId="0" applyFont="1" applyFill="1"/>
    <xf numFmtId="2" fontId="0" fillId="29" borderId="0" xfId="0" applyNumberFormat="1" applyFont="1" applyFill="1"/>
    <xf numFmtId="0" fontId="0" fillId="29" borderId="0" xfId="0" applyFont="1" applyFill="1" applyBorder="1"/>
    <xf numFmtId="0" fontId="0" fillId="29" borderId="0" xfId="0" applyFont="1" applyFill="1" applyAlignment="1">
      <alignment horizontal="center"/>
    </xf>
    <xf numFmtId="1" fontId="0" fillId="29" borderId="0" xfId="0" applyNumberFormat="1" applyFont="1" applyFill="1" applyAlignment="1">
      <alignment horizontal="center"/>
    </xf>
    <xf numFmtId="0" fontId="0" fillId="29" borderId="38" xfId="0" applyFont="1" applyFill="1" applyBorder="1"/>
    <xf numFmtId="2" fontId="0" fillId="29" borderId="38" xfId="0" applyNumberFormat="1" applyFont="1" applyFill="1" applyBorder="1"/>
    <xf numFmtId="0" fontId="49" fillId="17" borderId="0" xfId="0" applyFont="1" applyFill="1" applyAlignment="1">
      <alignment horizontal="center" vertical="center" wrapText="1"/>
    </xf>
    <xf numFmtId="0" fontId="49" fillId="17" borderId="0" xfId="0" applyFont="1" applyFill="1" applyAlignment="1">
      <alignment horizontal="center" vertical="center"/>
    </xf>
    <xf numFmtId="0" fontId="13" fillId="0" borderId="0" xfId="0" applyFont="1" applyBorder="1"/>
    <xf numFmtId="1" fontId="1" fillId="0" borderId="2" xfId="0" applyNumberFormat="1" applyFont="1" applyBorder="1"/>
    <xf numFmtId="0" fontId="4" fillId="0" borderId="2" xfId="0" applyFont="1" applyBorder="1"/>
    <xf numFmtId="0" fontId="1" fillId="0" borderId="0" xfId="0" applyFont="1" applyAlignment="1">
      <alignment horizontal="right" vertical="top"/>
    </xf>
    <xf numFmtId="0" fontId="82" fillId="0" borderId="0" xfId="0" applyFont="1" applyAlignment="1">
      <alignment vertical="center" wrapText="1"/>
    </xf>
    <xf numFmtId="0" fontId="82" fillId="3" borderId="0" xfId="0" applyFont="1" applyFill="1" applyAlignment="1">
      <alignment wrapText="1"/>
    </xf>
    <xf numFmtId="0" fontId="82" fillId="0" borderId="0" xfId="0" applyFont="1" applyAlignment="1">
      <alignment vertical="center"/>
    </xf>
    <xf numFmtId="0" fontId="82" fillId="2" borderId="0" xfId="0" applyFont="1" applyFill="1" applyAlignment="1">
      <alignment vertical="center"/>
    </xf>
    <xf numFmtId="0" fontId="82" fillId="3" borderId="0" xfId="0" applyFont="1" applyFill="1" applyAlignment="1">
      <alignment vertical="center"/>
    </xf>
    <xf numFmtId="0" fontId="82" fillId="0" borderId="0" xfId="0" applyFont="1"/>
    <xf numFmtId="0" fontId="82" fillId="7" borderId="0" xfId="0" applyFont="1" applyFill="1" applyAlignment="1">
      <alignment vertical="center"/>
    </xf>
    <xf numFmtId="0" fontId="82" fillId="9" borderId="0" xfId="0" applyFont="1" applyFill="1" applyAlignment="1">
      <alignment vertical="center"/>
    </xf>
    <xf numFmtId="0" fontId="82" fillId="12" borderId="0" xfId="0" applyFont="1" applyFill="1" applyAlignment="1">
      <alignment vertical="center"/>
    </xf>
    <xf numFmtId="0" fontId="13" fillId="2" borderId="0" xfId="0" applyFont="1" applyFill="1" applyAlignment="1">
      <alignment vertical="center"/>
    </xf>
    <xf numFmtId="0" fontId="82" fillId="13" borderId="0" xfId="0" applyFont="1" applyFill="1" applyAlignment="1">
      <alignment vertical="center"/>
    </xf>
    <xf numFmtId="0" fontId="82" fillId="2" borderId="0" xfId="0" applyFont="1" applyFill="1"/>
    <xf numFmtId="0" fontId="82" fillId="13" borderId="0" xfId="0" applyFont="1" applyFill="1"/>
    <xf numFmtId="0" fontId="82" fillId="2" borderId="0" xfId="0" applyFont="1" applyFill="1" applyBorder="1"/>
    <xf numFmtId="0" fontId="82" fillId="25" borderId="2" xfId="0" applyFont="1" applyFill="1" applyBorder="1"/>
    <xf numFmtId="0" fontId="82" fillId="25" borderId="6" xfId="0" applyFont="1" applyFill="1" applyBorder="1"/>
    <xf numFmtId="0" fontId="82" fillId="26" borderId="0" xfId="0" applyFont="1" applyFill="1"/>
    <xf numFmtId="0" fontId="82" fillId="26" borderId="6" xfId="0" applyFont="1" applyFill="1" applyBorder="1"/>
    <xf numFmtId="0" fontId="82" fillId="27" borderId="0" xfId="0" applyFont="1" applyFill="1"/>
    <xf numFmtId="0" fontId="82" fillId="27" borderId="6" xfId="0" applyFont="1" applyFill="1" applyBorder="1"/>
    <xf numFmtId="0" fontId="82" fillId="9" borderId="0" xfId="0" applyFont="1" applyFill="1"/>
    <xf numFmtId="0" fontId="82" fillId="9" borderId="6" xfId="0" applyFont="1" applyFill="1" applyBorder="1"/>
    <xf numFmtId="0" fontId="83" fillId="28" borderId="2" xfId="0" applyFont="1" applyFill="1" applyBorder="1"/>
    <xf numFmtId="0" fontId="82" fillId="28" borderId="6" xfId="0" applyFont="1" applyFill="1" applyBorder="1"/>
    <xf numFmtId="0" fontId="82" fillId="0" borderId="13" xfId="0" applyFont="1" applyBorder="1"/>
    <xf numFmtId="0" fontId="82" fillId="0" borderId="0" xfId="0" applyFont="1" applyBorder="1"/>
    <xf numFmtId="164" fontId="85" fillId="0" borderId="4" xfId="0" applyNumberFormat="1" applyFont="1" applyBorder="1"/>
    <xf numFmtId="0" fontId="13" fillId="0" borderId="0" xfId="0" applyFont="1" applyAlignment="1">
      <alignment wrapText="1"/>
    </xf>
    <xf numFmtId="0" fontId="13" fillId="0" borderId="0" xfId="0" applyFont="1" applyAlignment="1"/>
    <xf numFmtId="0" fontId="82" fillId="8" borderId="33" xfId="0" applyFont="1" applyFill="1" applyBorder="1" applyAlignment="1">
      <alignment horizontal="center" vertical="center" wrapText="1"/>
    </xf>
    <xf numFmtId="0" fontId="82" fillId="8" borderId="27" xfId="0" applyFont="1" applyFill="1" applyBorder="1" applyAlignment="1">
      <alignment horizontal="center" vertical="center" wrapText="1"/>
    </xf>
    <xf numFmtId="0" fontId="6" fillId="0" borderId="0" xfId="0" applyFont="1" applyAlignment="1">
      <alignment horizontal="left" vertical="center"/>
    </xf>
    <xf numFmtId="0" fontId="16" fillId="4" borderId="2" xfId="0" applyFont="1" applyFill="1" applyBorder="1"/>
    <xf numFmtId="0" fontId="0" fillId="44" borderId="0" xfId="0" applyFill="1"/>
    <xf numFmtId="0" fontId="0" fillId="44" borderId="0" xfId="0" applyFill="1" applyAlignment="1">
      <alignment horizontal="center"/>
    </xf>
    <xf numFmtId="0" fontId="22" fillId="17" borderId="0" xfId="0" applyFont="1" applyFill="1" applyAlignment="1">
      <alignment horizontal="center"/>
    </xf>
    <xf numFmtId="0" fontId="15" fillId="17" borderId="0" xfId="0" applyFont="1" applyFill="1" applyAlignment="1">
      <alignment horizontal="center"/>
    </xf>
    <xf numFmtId="0" fontId="0" fillId="44" borderId="0" xfId="0" applyFill="1" applyAlignment="1">
      <alignment horizontal="center" vertical="center"/>
    </xf>
    <xf numFmtId="0" fontId="14" fillId="44" borderId="0" xfId="0" applyFont="1" applyFill="1" applyAlignment="1">
      <alignment horizontal="center" vertical="center"/>
    </xf>
    <xf numFmtId="2" fontId="0" fillId="44" borderId="0" xfId="0" applyNumberFormat="1" applyFill="1"/>
    <xf numFmtId="0" fontId="1" fillId="44" borderId="0" xfId="0" applyFont="1" applyFill="1"/>
    <xf numFmtId="0" fontId="53" fillId="44" borderId="0" xfId="0" applyFont="1" applyFill="1"/>
    <xf numFmtId="2" fontId="0" fillId="44" borderId="0" xfId="0" applyNumberFormat="1" applyFill="1" applyAlignment="1">
      <alignment horizontal="center" vertical="center"/>
    </xf>
    <xf numFmtId="0" fontId="86" fillId="0" borderId="0" xfId="0" applyFont="1" applyAlignment="1">
      <alignment vertical="center"/>
    </xf>
    <xf numFmtId="0" fontId="0" fillId="0" borderId="0" xfId="0"/>
    <xf numFmtId="0" fontId="0" fillId="53" borderId="0" xfId="0" applyFill="1" applyBorder="1"/>
    <xf numFmtId="0" fontId="0" fillId="0" borderId="0" xfId="0" applyFill="1"/>
    <xf numFmtId="0" fontId="0" fillId="0" borderId="0" xfId="0" applyFill="1"/>
    <xf numFmtId="0" fontId="0" fillId="53" borderId="0" xfId="0" applyFill="1" applyProtection="1">
      <protection locked="0"/>
    </xf>
    <xf numFmtId="0" fontId="0" fillId="0" borderId="0" xfId="0" applyFill="1" applyProtection="1">
      <protection locked="0"/>
    </xf>
    <xf numFmtId="0" fontId="0" fillId="0" borderId="0" xfId="0" applyProtection="1">
      <protection locked="0"/>
    </xf>
    <xf numFmtId="0" fontId="30" fillId="0" borderId="24" xfId="0" applyFont="1" applyBorder="1" applyAlignment="1" applyProtection="1">
      <alignment horizontal="center" vertical="center"/>
      <protection locked="0"/>
    </xf>
    <xf numFmtId="166" fontId="0" fillId="53" borderId="3" xfId="0" applyNumberFormat="1" applyFill="1" applyBorder="1" applyProtection="1">
      <protection locked="0"/>
    </xf>
    <xf numFmtId="0" fontId="0" fillId="53" borderId="0" xfId="0" applyFill="1" applyAlignment="1" applyProtection="1">
      <protection locked="0"/>
    </xf>
    <xf numFmtId="0" fontId="0" fillId="0" borderId="0" xfId="0" applyAlignment="1" applyProtection="1">
      <alignment horizontal="center"/>
      <protection locked="0"/>
    </xf>
    <xf numFmtId="0" fontId="0" fillId="53" borderId="0" xfId="0" applyFill="1" applyBorder="1" applyAlignment="1" applyProtection="1">
      <alignment wrapText="1"/>
      <protection locked="0"/>
    </xf>
    <xf numFmtId="0" fontId="0" fillId="0" borderId="0" xfId="0" applyBorder="1" applyAlignment="1" applyProtection="1">
      <alignment horizontal="left" vertical="center"/>
      <protection locked="0"/>
    </xf>
    <xf numFmtId="0" fontId="11" fillId="53" borderId="0" xfId="0" applyFont="1" applyFill="1" applyAlignment="1" applyProtection="1">
      <protection locked="0"/>
    </xf>
    <xf numFmtId="0" fontId="0" fillId="53" borderId="0" xfId="0" applyFill="1" applyBorder="1" applyAlignment="1" applyProtection="1">
      <alignment horizontal="left" vertical="center"/>
      <protection locked="0"/>
    </xf>
    <xf numFmtId="166" fontId="0" fillId="53" borderId="0" xfId="0" applyNumberFormat="1" applyFill="1" applyBorder="1" applyProtection="1">
      <protection locked="0"/>
    </xf>
    <xf numFmtId="0" fontId="0" fillId="0" borderId="0" xfId="0" applyFill="1" applyAlignment="1" applyProtection="1">
      <protection locked="0"/>
    </xf>
    <xf numFmtId="0" fontId="0" fillId="0" borderId="0" xfId="0" applyFill="1" applyAlignment="1" applyProtection="1">
      <alignment horizontal="right" vertical="center"/>
      <protection locked="0"/>
    </xf>
    <xf numFmtId="0" fontId="0" fillId="0" borderId="0" xfId="0" applyFill="1" applyBorder="1" applyAlignment="1" applyProtection="1">
      <alignment wrapText="1"/>
      <protection locked="0"/>
    </xf>
    <xf numFmtId="0" fontId="0" fillId="0" borderId="1" xfId="0" applyFill="1" applyBorder="1" applyAlignment="1" applyProtection="1">
      <alignment vertical="center"/>
    </xf>
    <xf numFmtId="166" fontId="0" fillId="0" borderId="1" xfId="0" applyNumberFormat="1" applyBorder="1" applyAlignment="1" applyProtection="1">
      <alignment vertical="center"/>
    </xf>
    <xf numFmtId="0" fontId="0" fillId="0" borderId="1" xfId="0" applyBorder="1" applyAlignment="1" applyProtection="1">
      <alignment vertical="center" wrapText="1"/>
    </xf>
    <xf numFmtId="0" fontId="13" fillId="0" borderId="1" xfId="0" applyFont="1" applyBorder="1" applyAlignment="1" applyProtection="1">
      <alignment vertical="center" wrapText="1"/>
    </xf>
    <xf numFmtId="0" fontId="0" fillId="0" borderId="2" xfId="0" applyBorder="1" applyAlignment="1" applyProtection="1">
      <alignment horizontal="left" vertical="center"/>
    </xf>
    <xf numFmtId="166" fontId="0" fillId="0" borderId="0" xfId="0" applyNumberFormat="1" applyAlignment="1" applyProtection="1">
      <alignment horizontal="left" vertical="center"/>
    </xf>
    <xf numFmtId="0" fontId="0" fillId="53" borderId="0" xfId="0" applyFill="1" applyProtection="1"/>
    <xf numFmtId="0" fontId="11" fillId="53" borderId="0" xfId="0" applyFont="1" applyFill="1" applyAlignment="1" applyProtection="1">
      <alignment horizontal="center"/>
    </xf>
    <xf numFmtId="0" fontId="11" fillId="53" borderId="0" xfId="0" applyFont="1" applyFill="1" applyProtection="1"/>
    <xf numFmtId="0" fontId="0" fillId="53" borderId="0" xfId="0" applyFill="1" applyAlignment="1" applyProtection="1"/>
    <xf numFmtId="166" fontId="0" fillId="53" borderId="0" xfId="0" applyNumberFormat="1" applyFill="1" applyBorder="1" applyProtection="1"/>
    <xf numFmtId="0" fontId="0" fillId="53" borderId="0" xfId="0" applyFill="1" applyBorder="1" applyAlignment="1" applyProtection="1">
      <alignment wrapText="1"/>
    </xf>
    <xf numFmtId="0" fontId="11" fillId="53" borderId="0" xfId="0" applyFont="1" applyFill="1" applyAlignment="1" applyProtection="1"/>
    <xf numFmtId="0" fontId="0" fillId="0" borderId="0" xfId="0" applyFill="1" applyProtection="1"/>
    <xf numFmtId="2" fontId="0" fillId="0" borderId="0" xfId="0" applyNumberFormat="1" applyFill="1" applyProtection="1"/>
    <xf numFmtId="0" fontId="0" fillId="53" borderId="0" xfId="0" applyFont="1" applyFill="1" applyAlignment="1" applyProtection="1">
      <alignment horizontal="right" vertical="center"/>
    </xf>
    <xf numFmtId="0" fontId="0" fillId="0" borderId="0" xfId="0" applyProtection="1"/>
    <xf numFmtId="0" fontId="0" fillId="53" borderId="3" xfId="0" applyFill="1" applyBorder="1" applyAlignment="1" applyProtection="1"/>
    <xf numFmtId="166" fontId="0" fillId="53" borderId="3" xfId="0" applyNumberFormat="1" applyFill="1" applyBorder="1" applyProtection="1"/>
    <xf numFmtId="0" fontId="22" fillId="0" borderId="34" xfId="0" applyFont="1" applyFill="1" applyBorder="1" applyAlignment="1" applyProtection="1">
      <alignment vertical="center"/>
    </xf>
    <xf numFmtId="0" fontId="22" fillId="0" borderId="42" xfId="0" applyFont="1" applyFill="1" applyBorder="1" applyAlignment="1" applyProtection="1">
      <alignment vertical="center"/>
    </xf>
    <xf numFmtId="0" fontId="41" fillId="0" borderId="42" xfId="0" applyFont="1" applyFill="1" applyBorder="1" applyAlignment="1" applyProtection="1">
      <alignment vertical="center"/>
    </xf>
    <xf numFmtId="0" fontId="88" fillId="0" borderId="34" xfId="0" applyFont="1" applyFill="1" applyBorder="1" applyAlignment="1" applyProtection="1">
      <alignment vertical="center"/>
    </xf>
    <xf numFmtId="0" fontId="88" fillId="0" borderId="42" xfId="0" applyFont="1" applyFill="1" applyBorder="1" applyAlignment="1" applyProtection="1">
      <alignment vertical="center"/>
    </xf>
    <xf numFmtId="0" fontId="88" fillId="0" borderId="35" xfId="0" applyFont="1" applyFill="1" applyBorder="1" applyAlignment="1" applyProtection="1">
      <alignment vertical="center"/>
    </xf>
    <xf numFmtId="0" fontId="22" fillId="0" borderId="0" xfId="0" applyFont="1" applyFill="1" applyBorder="1" applyAlignment="1" applyProtection="1">
      <alignment horizontal="left" vertical="center"/>
    </xf>
    <xf numFmtId="0" fontId="0" fillId="53" borderId="0" xfId="0" applyFill="1" applyBorder="1" applyAlignment="1" applyProtection="1">
      <alignment horizontal="right" wrapText="1"/>
    </xf>
    <xf numFmtId="0" fontId="58" fillId="53" borderId="0" xfId="0" applyFont="1" applyFill="1" applyBorder="1" applyAlignment="1" applyProtection="1">
      <alignment horizontal="left" vertical="top" wrapText="1"/>
    </xf>
    <xf numFmtId="0" fontId="38" fillId="53" borderId="0" xfId="0" applyFont="1" applyFill="1" applyBorder="1" applyAlignment="1" applyProtection="1">
      <alignment horizontal="center" wrapText="1"/>
    </xf>
    <xf numFmtId="0" fontId="0" fillId="53" borderId="0" xfId="0" applyFill="1" applyAlignment="1" applyProtection="1">
      <alignment horizontal="center"/>
    </xf>
    <xf numFmtId="166" fontId="30" fillId="0" borderId="24" xfId="0" applyNumberFormat="1" applyFont="1" applyBorder="1" applyAlignment="1" applyProtection="1">
      <alignment horizontal="center" vertical="center"/>
    </xf>
    <xf numFmtId="0" fontId="0" fillId="0" borderId="0" xfId="0" applyFill="1" applyProtection="1"/>
    <xf numFmtId="0" fontId="30" fillId="0" borderId="23" xfId="0" applyFont="1" applyFill="1" applyBorder="1" applyAlignment="1" applyProtection="1">
      <alignment horizontal="center" vertical="center"/>
    </xf>
    <xf numFmtId="0" fontId="30" fillId="0" borderId="25" xfId="0" applyFont="1" applyFill="1" applyBorder="1" applyAlignment="1" applyProtection="1">
      <alignment horizontal="center" vertical="center"/>
    </xf>
    <xf numFmtId="2" fontId="30" fillId="0" borderId="23" xfId="1" applyNumberFormat="1" applyFont="1" applyBorder="1" applyAlignment="1" applyProtection="1">
      <alignment horizontal="center" vertical="center"/>
    </xf>
    <xf numFmtId="2" fontId="30" fillId="0" borderId="25" xfId="1" applyNumberFormat="1" applyFont="1" applyBorder="1" applyAlignment="1" applyProtection="1">
      <alignment horizontal="center" vertical="center"/>
    </xf>
    <xf numFmtId="167" fontId="30" fillId="0" borderId="10" xfId="1" applyNumberFormat="1" applyFont="1" applyBorder="1" applyAlignment="1" applyProtection="1">
      <alignment horizontal="center" vertical="center"/>
    </xf>
    <xf numFmtId="2" fontId="0" fillId="53" borderId="0" xfId="0" applyNumberFormat="1" applyFill="1" applyProtection="1"/>
    <xf numFmtId="0" fontId="0" fillId="29" borderId="0" xfId="0" applyFill="1" applyBorder="1" applyProtection="1"/>
    <xf numFmtId="0" fontId="0" fillId="29" borderId="0" xfId="0" applyFill="1" applyProtection="1"/>
    <xf numFmtId="0" fontId="35" fillId="0" borderId="23" xfId="0" applyFont="1" applyFill="1" applyBorder="1" applyAlignment="1" applyProtection="1">
      <alignment horizontal="center" vertical="center"/>
    </xf>
    <xf numFmtId="0" fontId="31" fillId="29" borderId="0" xfId="0" applyFont="1" applyFill="1" applyProtection="1"/>
    <xf numFmtId="0" fontId="51" fillId="29" borderId="0" xfId="2" applyFont="1" applyFill="1" applyBorder="1" applyAlignment="1" applyProtection="1">
      <alignment horizontal="left"/>
    </xf>
    <xf numFmtId="0" fontId="43" fillId="47" borderId="24" xfId="0" applyFont="1" applyFill="1" applyBorder="1" applyAlignment="1" applyProtection="1">
      <alignment horizontal="right" vertical="center"/>
    </xf>
    <xf numFmtId="0" fontId="43" fillId="48" borderId="24" xfId="0" applyFont="1" applyFill="1" applyBorder="1" applyAlignment="1" applyProtection="1">
      <alignment horizontal="right" vertical="center"/>
    </xf>
    <xf numFmtId="0" fontId="43" fillId="49" borderId="24" xfId="0" applyFont="1" applyFill="1" applyBorder="1" applyAlignment="1" applyProtection="1">
      <alignment horizontal="right" vertical="center"/>
    </xf>
    <xf numFmtId="0" fontId="43" fillId="50" borderId="24" xfId="0" applyFont="1" applyFill="1" applyBorder="1" applyAlignment="1" applyProtection="1">
      <alignment horizontal="right" vertical="center"/>
    </xf>
    <xf numFmtId="0" fontId="43" fillId="51" borderId="24" xfId="0" applyFont="1" applyFill="1" applyBorder="1" applyAlignment="1" applyProtection="1">
      <alignment horizontal="right" vertical="center"/>
    </xf>
    <xf numFmtId="0" fontId="0" fillId="29" borderId="0" xfId="0" applyFill="1" applyAlignment="1" applyProtection="1">
      <alignment vertical="center"/>
    </xf>
    <xf numFmtId="0" fontId="0" fillId="0" borderId="0" xfId="0" applyAlignment="1" applyProtection="1">
      <alignment vertical="center"/>
    </xf>
    <xf numFmtId="0" fontId="0" fillId="0" borderId="0" xfId="0" applyFill="1" applyAlignment="1" applyProtection="1">
      <alignment vertical="center"/>
    </xf>
    <xf numFmtId="0" fontId="43" fillId="7" borderId="24" xfId="0" applyFont="1" applyFill="1" applyBorder="1" applyAlignment="1" applyProtection="1">
      <alignment horizontal="right" vertical="center"/>
    </xf>
    <xf numFmtId="0" fontId="43" fillId="36" borderId="24" xfId="0" applyFont="1" applyFill="1" applyBorder="1" applyAlignment="1" applyProtection="1">
      <alignment horizontal="right" vertical="center"/>
    </xf>
    <xf numFmtId="0" fontId="43" fillId="12" borderId="24" xfId="0" applyFont="1" applyFill="1" applyBorder="1" applyAlignment="1" applyProtection="1">
      <alignment horizontal="right" vertical="center"/>
    </xf>
    <xf numFmtId="0" fontId="43" fillId="46" borderId="25" xfId="0" applyFont="1" applyFill="1" applyBorder="1" applyAlignment="1" applyProtection="1">
      <alignment horizontal="right" vertical="center"/>
    </xf>
    <xf numFmtId="0" fontId="0" fillId="29" borderId="0" xfId="0" applyFill="1" applyBorder="1" applyAlignment="1" applyProtection="1">
      <alignment vertical="center"/>
    </xf>
    <xf numFmtId="0" fontId="0" fillId="29" borderId="0" xfId="0" applyFill="1" applyBorder="1" applyAlignment="1" applyProtection="1">
      <alignment horizontal="right" wrapText="1"/>
    </xf>
    <xf numFmtId="0" fontId="38" fillId="29" borderId="0" xfId="0" applyFont="1" applyFill="1" applyBorder="1" applyAlignment="1" applyProtection="1">
      <alignment horizontal="center" wrapText="1"/>
    </xf>
    <xf numFmtId="0" fontId="0" fillId="29" borderId="0" xfId="0" applyFill="1" applyAlignment="1" applyProtection="1">
      <alignment horizontal="center"/>
    </xf>
    <xf numFmtId="0" fontId="44" fillId="0" borderId="2" xfId="0" applyFont="1" applyBorder="1" applyAlignment="1" applyProtection="1">
      <alignment horizontal="left" vertical="center"/>
    </xf>
    <xf numFmtId="166" fontId="44" fillId="0" borderId="0" xfId="0" applyNumberFormat="1" applyFont="1" applyAlignment="1" applyProtection="1">
      <alignment horizontal="left" vertical="center"/>
    </xf>
    <xf numFmtId="0" fontId="30" fillId="0" borderId="9" xfId="2" applyFont="1" applyBorder="1" applyAlignment="1" applyProtection="1">
      <alignment horizontal="center" vertical="center"/>
    </xf>
    <xf numFmtId="0" fontId="13" fillId="2" borderId="0" xfId="0" applyFont="1" applyFill="1"/>
    <xf numFmtId="0" fontId="0" fillId="2" borderId="0" xfId="0" applyFill="1" applyAlignment="1">
      <alignment horizontal="center"/>
    </xf>
    <xf numFmtId="0" fontId="0" fillId="2" borderId="0" xfId="0" applyFont="1" applyFill="1" applyAlignment="1">
      <alignment horizontal="center" vertical="center"/>
    </xf>
    <xf numFmtId="0" fontId="24" fillId="2" borderId="0" xfId="0" applyFont="1" applyFill="1" applyAlignment="1">
      <alignment horizontal="right" vertical="center"/>
    </xf>
    <xf numFmtId="0" fontId="91" fillId="2" borderId="0" xfId="0" applyFont="1" applyFill="1" applyBorder="1" applyAlignment="1">
      <alignment horizontal="left" vertical="center"/>
    </xf>
    <xf numFmtId="0" fontId="24" fillId="2" borderId="0" xfId="0" applyFont="1" applyFill="1" applyBorder="1" applyAlignment="1">
      <alignment horizontal="left" vertical="center" wrapText="1"/>
    </xf>
    <xf numFmtId="0" fontId="24" fillId="0" borderId="0" xfId="0" applyFont="1" applyAlignment="1">
      <alignment horizontal="center" vertical="center"/>
    </xf>
    <xf numFmtId="0" fontId="0" fillId="0" borderId="0" xfId="0" applyBorder="1" applyAlignment="1" applyProtection="1">
      <alignment horizontal="left" vertical="center"/>
      <protection locked="0"/>
    </xf>
    <xf numFmtId="0" fontId="0" fillId="0" borderId="0" xfId="0" applyFill="1" applyProtection="1">
      <protection locked="0"/>
    </xf>
    <xf numFmtId="0" fontId="0" fillId="0" borderId="0" xfId="0" applyFill="1" applyProtection="1"/>
    <xf numFmtId="1" fontId="32" fillId="7" borderId="0" xfId="0" applyNumberFormat="1" applyFont="1" applyFill="1" applyAlignment="1">
      <alignment horizontal="center" vertical="center"/>
    </xf>
    <xf numFmtId="1" fontId="34" fillId="7" borderId="0" xfId="0" applyNumberFormat="1" applyFont="1" applyFill="1" applyAlignment="1">
      <alignment horizontal="center" vertical="center"/>
    </xf>
    <xf numFmtId="1" fontId="31" fillId="7" borderId="0" xfId="0" applyNumberFormat="1" applyFont="1" applyFill="1" applyBorder="1" applyAlignment="1">
      <alignment horizontal="center" vertical="center"/>
    </xf>
    <xf numFmtId="1" fontId="92" fillId="55" borderId="0" xfId="0" applyNumberFormat="1" applyFont="1" applyFill="1" applyAlignment="1">
      <alignment horizontal="right" vertical="center"/>
    </xf>
    <xf numFmtId="1" fontId="93" fillId="55" borderId="0" xfId="0" applyNumberFormat="1" applyFont="1" applyFill="1" applyAlignment="1">
      <alignment horizontal="center" vertical="center"/>
    </xf>
    <xf numFmtId="1" fontId="94" fillId="55" borderId="0" xfId="0" applyNumberFormat="1" applyFont="1" applyFill="1" applyAlignment="1">
      <alignment horizontal="center" vertical="center"/>
    </xf>
    <xf numFmtId="1" fontId="92" fillId="55" borderId="0" xfId="0" applyNumberFormat="1" applyFont="1" applyFill="1" applyAlignment="1">
      <alignment horizontal="center" vertical="center"/>
    </xf>
    <xf numFmtId="1" fontId="92" fillId="55" borderId="0" xfId="0" applyNumberFormat="1" applyFont="1" applyFill="1" applyBorder="1" applyAlignment="1">
      <alignment horizontal="center" vertical="center"/>
    </xf>
    <xf numFmtId="1" fontId="32" fillId="12" borderId="0" xfId="0" applyNumberFormat="1" applyFont="1" applyFill="1" applyAlignment="1">
      <alignment horizontal="center" vertical="center"/>
    </xf>
    <xf numFmtId="1" fontId="34" fillId="12" borderId="0" xfId="0" applyNumberFormat="1" applyFont="1" applyFill="1" applyAlignment="1">
      <alignment horizontal="center" vertical="center"/>
    </xf>
    <xf numFmtId="1" fontId="15" fillId="56" borderId="0" xfId="0" applyNumberFormat="1" applyFont="1" applyFill="1" applyAlignment="1">
      <alignment horizontal="center" vertical="center"/>
    </xf>
    <xf numFmtId="1" fontId="61" fillId="56" borderId="0" xfId="0" applyNumberFormat="1" applyFont="1" applyFill="1" applyAlignment="1">
      <alignment horizontal="center" vertical="center"/>
    </xf>
    <xf numFmtId="1" fontId="22" fillId="56" borderId="0" xfId="0" applyNumberFormat="1" applyFont="1" applyFill="1" applyAlignment="1">
      <alignment horizontal="right" vertical="center"/>
    </xf>
    <xf numFmtId="1" fontId="61" fillId="56" borderId="0" xfId="0" applyNumberFormat="1" applyFont="1" applyFill="1" applyAlignment="1">
      <alignment horizontal="center"/>
    </xf>
    <xf numFmtId="1" fontId="22" fillId="56" borderId="0" xfId="0" applyNumberFormat="1" applyFont="1" applyFill="1" applyBorder="1" applyAlignment="1">
      <alignment horizontal="center"/>
    </xf>
    <xf numFmtId="0" fontId="22" fillId="2" borderId="0" xfId="0" applyFont="1" applyFill="1" applyAlignment="1">
      <alignment horizontal="center" wrapText="1"/>
    </xf>
    <xf numFmtId="0" fontId="22" fillId="2" borderId="0" xfId="0" applyFont="1" applyFill="1" applyAlignment="1">
      <alignment horizontal="center" vertical="center" wrapText="1"/>
    </xf>
    <xf numFmtId="0" fontId="0" fillId="2" borderId="0" xfId="0" applyFill="1" applyAlignment="1">
      <alignment horizontal="center" vertical="center"/>
    </xf>
    <xf numFmtId="0" fontId="0" fillId="2" borderId="0" xfId="0" applyFill="1" applyAlignment="1">
      <alignment wrapText="1"/>
    </xf>
    <xf numFmtId="0" fontId="0" fillId="2" borderId="1" xfId="0" applyFill="1" applyBorder="1"/>
    <xf numFmtId="0" fontId="0" fillId="2" borderId="1" xfId="0" applyFill="1" applyBorder="1" applyAlignment="1">
      <alignment vertical="center"/>
    </xf>
    <xf numFmtId="166" fontId="15" fillId="0" borderId="0" xfId="0" applyNumberFormat="1" applyFont="1" applyFill="1" applyAlignment="1">
      <alignment horizontal="center" vertical="center"/>
    </xf>
    <xf numFmtId="1" fontId="0" fillId="0" borderId="0" xfId="0" applyNumberFormat="1" applyFill="1" applyAlignment="1" applyProtection="1">
      <alignment horizontal="left"/>
      <protection locked="0"/>
    </xf>
    <xf numFmtId="0" fontId="0" fillId="0" borderId="0" xfId="0" applyAlignment="1" applyProtection="1">
      <alignment horizontal="left"/>
      <protection locked="0"/>
    </xf>
    <xf numFmtId="2" fontId="0" fillId="0" borderId="0" xfId="0" applyNumberFormat="1" applyFill="1" applyAlignment="1" applyProtection="1">
      <alignment horizontal="left"/>
      <protection locked="0"/>
    </xf>
    <xf numFmtId="166" fontId="0" fillId="0" borderId="0" xfId="0" applyNumberFormat="1" applyFill="1" applyBorder="1" applyProtection="1">
      <protection locked="0"/>
    </xf>
    <xf numFmtId="0" fontId="58" fillId="29" borderId="0" xfId="0" applyFont="1" applyFill="1" applyBorder="1" applyAlignment="1" applyProtection="1">
      <alignment horizontal="center" vertical="top" wrapText="1"/>
    </xf>
    <xf numFmtId="166" fontId="0" fillId="0" borderId="24" xfId="0" applyNumberFormat="1" applyFill="1" applyBorder="1" applyAlignment="1" applyProtection="1">
      <alignment vertical="center"/>
    </xf>
    <xf numFmtId="166" fontId="0" fillId="0" borderId="24" xfId="0" applyNumberFormat="1" applyBorder="1" applyAlignment="1" applyProtection="1">
      <alignment vertical="center"/>
    </xf>
    <xf numFmtId="0" fontId="58" fillId="29" borderId="0" xfId="0" applyFont="1" applyFill="1" applyBorder="1" applyAlignment="1" applyProtection="1">
      <alignment horizontal="right" vertical="top" wrapText="1"/>
    </xf>
    <xf numFmtId="0" fontId="0" fillId="53" borderId="0" xfId="0" applyFill="1" applyProtection="1">
      <protection locked="0"/>
    </xf>
    <xf numFmtId="0" fontId="44" fillId="0" borderId="25" xfId="0" applyFont="1" applyFill="1" applyBorder="1" applyAlignment="1"/>
    <xf numFmtId="166" fontId="22" fillId="53" borderId="3" xfId="0" applyNumberFormat="1" applyFont="1" applyFill="1" applyBorder="1" applyProtection="1"/>
    <xf numFmtId="166" fontId="22" fillId="0" borderId="3" xfId="0" applyNumberFormat="1" applyFont="1" applyFill="1" applyBorder="1" applyProtection="1"/>
    <xf numFmtId="0" fontId="22" fillId="34" borderId="44" xfId="0" applyFont="1" applyFill="1" applyBorder="1" applyAlignment="1" applyProtection="1">
      <alignment horizontal="center" vertical="center" wrapText="1"/>
    </xf>
    <xf numFmtId="0" fontId="22" fillId="32" borderId="23" xfId="0" applyFont="1" applyFill="1" applyBorder="1" applyAlignment="1" applyProtection="1">
      <alignment horizontal="center" vertical="center" wrapText="1"/>
    </xf>
    <xf numFmtId="0" fontId="22" fillId="33" borderId="23" xfId="0" applyFont="1" applyFill="1" applyBorder="1" applyAlignment="1" applyProtection="1">
      <alignment horizontal="center" vertical="center" wrapText="1"/>
    </xf>
    <xf numFmtId="0" fontId="22" fillId="2" borderId="23" xfId="0" applyFont="1" applyFill="1" applyBorder="1" applyAlignment="1" applyProtection="1">
      <alignment horizontal="center" vertical="center" wrapText="1"/>
    </xf>
    <xf numFmtId="0" fontId="22" fillId="52" borderId="45" xfId="0" applyFont="1" applyFill="1" applyBorder="1" applyAlignment="1" applyProtection="1">
      <alignment horizontal="center" vertical="center" wrapText="1"/>
    </xf>
    <xf numFmtId="0" fontId="22" fillId="34" borderId="48" xfId="0" applyFont="1" applyFill="1" applyBorder="1" applyAlignment="1" applyProtection="1">
      <alignment horizontal="center" vertical="center" wrapText="1"/>
    </xf>
    <xf numFmtId="0" fontId="22" fillId="32" borderId="44" xfId="0" applyFont="1" applyFill="1" applyBorder="1" applyAlignment="1" applyProtection="1">
      <alignment horizontal="center" vertical="center" wrapText="1"/>
    </xf>
    <xf numFmtId="0" fontId="22" fillId="32" borderId="45" xfId="0" applyFont="1" applyFill="1" applyBorder="1" applyAlignment="1" applyProtection="1">
      <alignment horizontal="center" vertical="center" wrapText="1"/>
    </xf>
    <xf numFmtId="0" fontId="22" fillId="33" borderId="44" xfId="0" applyFont="1" applyFill="1" applyBorder="1" applyAlignment="1" applyProtection="1">
      <alignment horizontal="center" vertical="center" wrapText="1"/>
    </xf>
    <xf numFmtId="0" fontId="22" fillId="33" borderId="4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22" fillId="2" borderId="45" xfId="0" applyFont="1" applyFill="1" applyBorder="1" applyAlignment="1" applyProtection="1">
      <alignment horizontal="center" vertical="center" wrapText="1"/>
    </xf>
    <xf numFmtId="0" fontId="22" fillId="52" borderId="48"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4" fillId="32" borderId="1" xfId="0" applyFont="1" applyFill="1" applyBorder="1" applyAlignment="1" applyProtection="1">
      <alignment horizontal="right" vertical="center"/>
    </xf>
    <xf numFmtId="0" fontId="24" fillId="33" borderId="1" xfId="0" applyFont="1" applyFill="1" applyBorder="1" applyAlignment="1" applyProtection="1">
      <alignment horizontal="right" vertical="center"/>
    </xf>
    <xf numFmtId="0" fontId="68" fillId="0" borderId="0" xfId="0" applyFont="1" applyAlignment="1"/>
    <xf numFmtId="0" fontId="68" fillId="0" borderId="0" xfId="0" applyFont="1"/>
    <xf numFmtId="1" fontId="68" fillId="0" borderId="0" xfId="0" applyNumberFormat="1" applyFont="1" applyFill="1" applyAlignment="1" applyProtection="1">
      <alignment horizontal="left"/>
      <protection locked="0"/>
    </xf>
    <xf numFmtId="0" fontId="68" fillId="0" borderId="0" xfId="0" applyFont="1" applyAlignment="1" applyProtection="1">
      <alignment horizontal="center"/>
      <protection locked="0"/>
    </xf>
    <xf numFmtId="0" fontId="68" fillId="0" borderId="0" xfId="0" applyFont="1" applyAlignment="1" applyProtection="1">
      <alignment horizontal="left"/>
      <protection locked="0"/>
    </xf>
    <xf numFmtId="2" fontId="68" fillId="0" borderId="0" xfId="0" applyNumberFormat="1" applyFont="1" applyFill="1" applyAlignment="1" applyProtection="1">
      <alignment horizontal="left"/>
      <protection locked="0"/>
    </xf>
    <xf numFmtId="0" fontId="68" fillId="0" borderId="0" xfId="0" applyFont="1" applyFill="1" applyProtection="1"/>
    <xf numFmtId="166" fontId="68" fillId="0" borderId="0" xfId="0" applyNumberFormat="1" applyFont="1" applyFill="1" applyBorder="1" applyProtection="1"/>
    <xf numFmtId="0" fontId="68" fillId="0" borderId="0" xfId="0" applyFont="1" applyFill="1" applyBorder="1" applyAlignment="1" applyProtection="1">
      <alignment wrapText="1"/>
    </xf>
    <xf numFmtId="0" fontId="68" fillId="0" borderId="0" xfId="0" applyFont="1" applyFill="1" applyAlignment="1" applyProtection="1"/>
    <xf numFmtId="166" fontId="68" fillId="53" borderId="0" xfId="0" applyNumberFormat="1" applyFont="1" applyFill="1" applyBorder="1" applyProtection="1"/>
    <xf numFmtId="0" fontId="68" fillId="0" borderId="0" xfId="0" applyFont="1" applyFill="1" applyBorder="1" applyAlignment="1" applyProtection="1">
      <alignment horizontal="center"/>
    </xf>
    <xf numFmtId="0" fontId="68" fillId="53" borderId="0" xfId="0" applyFont="1" applyFill="1" applyProtection="1"/>
    <xf numFmtId="2" fontId="68" fillId="0" borderId="0" xfId="0" applyNumberFormat="1" applyFont="1" applyFill="1" applyBorder="1" applyProtection="1"/>
    <xf numFmtId="0" fontId="68" fillId="53" borderId="3" xfId="0" applyFont="1" applyFill="1" applyBorder="1" applyAlignment="1" applyProtection="1"/>
    <xf numFmtId="166" fontId="68" fillId="53" borderId="3" xfId="0" applyNumberFormat="1" applyFont="1" applyFill="1" applyBorder="1" applyProtection="1"/>
    <xf numFmtId="0" fontId="68" fillId="0" borderId="0" xfId="0" applyFont="1" applyFill="1" applyBorder="1" applyAlignment="1" applyProtection="1">
      <alignment horizontal="center" vertical="center" wrapText="1"/>
    </xf>
    <xf numFmtId="167" fontId="68" fillId="0" borderId="0" xfId="1" applyNumberFormat="1" applyFont="1" applyFill="1" applyBorder="1" applyProtection="1"/>
    <xf numFmtId="0" fontId="68" fillId="53" borderId="3" xfId="0" applyFont="1" applyFill="1" applyBorder="1" applyAlignment="1" applyProtection="1">
      <alignment wrapText="1"/>
    </xf>
    <xf numFmtId="166" fontId="68" fillId="53" borderId="3" xfId="0" applyNumberFormat="1" applyFont="1" applyFill="1" applyBorder="1" applyAlignment="1" applyProtection="1">
      <alignment horizontal="left"/>
    </xf>
    <xf numFmtId="166" fontId="68" fillId="53" borderId="0" xfId="0" applyNumberFormat="1" applyFont="1" applyFill="1" applyAlignment="1" applyProtection="1"/>
    <xf numFmtId="0" fontId="68" fillId="53" borderId="0" xfId="0" applyFont="1" applyFill="1" applyBorder="1" applyProtection="1"/>
    <xf numFmtId="0" fontId="68" fillId="53" borderId="0" xfId="0" applyFont="1" applyFill="1" applyBorder="1"/>
    <xf numFmtId="0" fontId="22" fillId="0" borderId="0" xfId="0" applyFont="1" applyFill="1" applyProtection="1"/>
    <xf numFmtId="0" fontId="22" fillId="0" borderId="21" xfId="0" applyFont="1" applyFill="1" applyBorder="1" applyAlignment="1" applyProtection="1">
      <alignment horizontal="center"/>
    </xf>
    <xf numFmtId="0" fontId="22" fillId="0" borderId="14" xfId="0" applyFont="1" applyFill="1" applyBorder="1" applyAlignment="1" applyProtection="1">
      <alignment horizontal="center"/>
    </xf>
    <xf numFmtId="0" fontId="22" fillId="0" borderId="22" xfId="0" applyFont="1" applyFill="1" applyBorder="1" applyAlignment="1" applyProtection="1">
      <alignment horizontal="center"/>
    </xf>
    <xf numFmtId="0" fontId="22" fillId="0" borderId="34" xfId="0" applyFont="1" applyFill="1" applyBorder="1" applyAlignment="1" applyProtection="1">
      <alignment horizontal="center"/>
    </xf>
    <xf numFmtId="0" fontId="22" fillId="0" borderId="42" xfId="0" applyFont="1" applyFill="1" applyBorder="1" applyAlignment="1" applyProtection="1"/>
    <xf numFmtId="166" fontId="22" fillId="0" borderId="0" xfId="0" applyNumberFormat="1" applyFont="1" applyFill="1" applyBorder="1" applyProtection="1"/>
    <xf numFmtId="166" fontId="22" fillId="0" borderId="4" xfId="0" applyNumberFormat="1" applyFont="1" applyFill="1" applyBorder="1" applyProtection="1"/>
    <xf numFmtId="2" fontId="22" fillId="0" borderId="3" xfId="0" applyNumberFormat="1" applyFont="1" applyFill="1" applyBorder="1" applyProtection="1"/>
    <xf numFmtId="2" fontId="22" fillId="0" borderId="0" xfId="0" applyNumberFormat="1" applyFont="1" applyFill="1" applyBorder="1" applyProtection="1"/>
    <xf numFmtId="2" fontId="22" fillId="0" borderId="4" xfId="0" applyNumberFormat="1" applyFont="1" applyFill="1" applyBorder="1" applyProtection="1"/>
    <xf numFmtId="0" fontId="22" fillId="0" borderId="42" xfId="0" applyFont="1" applyFill="1" applyBorder="1" applyAlignment="1" applyProtection="1">
      <alignment wrapText="1"/>
    </xf>
    <xf numFmtId="0" fontId="22" fillId="0" borderId="3" xfId="0" applyFont="1" applyFill="1" applyBorder="1" applyAlignment="1" applyProtection="1"/>
    <xf numFmtId="0" fontId="22" fillId="0" borderId="35" xfId="0" applyFont="1" applyFill="1" applyBorder="1" applyAlignment="1" applyProtection="1">
      <alignment wrapText="1"/>
    </xf>
    <xf numFmtId="166" fontId="22" fillId="0" borderId="5" xfId="0" applyNumberFormat="1" applyFont="1" applyFill="1" applyBorder="1" applyProtection="1"/>
    <xf numFmtId="166" fontId="22" fillId="0" borderId="6" xfId="0" applyNumberFormat="1" applyFont="1" applyFill="1" applyBorder="1" applyProtection="1"/>
    <xf numFmtId="166" fontId="22" fillId="0" borderId="7" xfId="0" applyNumberFormat="1" applyFont="1" applyFill="1" applyBorder="1" applyProtection="1"/>
    <xf numFmtId="2" fontId="22" fillId="0" borderId="5" xfId="0" applyNumberFormat="1" applyFont="1" applyFill="1" applyBorder="1" applyProtection="1"/>
    <xf numFmtId="2" fontId="22" fillId="0" borderId="6" xfId="0" applyNumberFormat="1" applyFont="1" applyFill="1" applyBorder="1" applyProtection="1"/>
    <xf numFmtId="2" fontId="22" fillId="0" borderId="7" xfId="0" applyNumberFormat="1" applyFont="1" applyFill="1" applyBorder="1" applyProtection="1"/>
    <xf numFmtId="166" fontId="22" fillId="0" borderId="21" xfId="0" applyNumberFormat="1" applyFont="1" applyFill="1" applyBorder="1" applyProtection="1"/>
    <xf numFmtId="166" fontId="22" fillId="0" borderId="14" xfId="0" applyNumberFormat="1" applyFont="1" applyFill="1" applyBorder="1" applyProtection="1"/>
    <xf numFmtId="166" fontId="22" fillId="0" borderId="22" xfId="0" applyNumberFormat="1" applyFont="1" applyFill="1" applyBorder="1" applyProtection="1"/>
    <xf numFmtId="167" fontId="22" fillId="0" borderId="5" xfId="1" applyNumberFormat="1" applyFont="1" applyFill="1" applyBorder="1" applyProtection="1"/>
    <xf numFmtId="167" fontId="22" fillId="0" borderId="6" xfId="1" applyNumberFormat="1" applyFont="1" applyFill="1" applyBorder="1" applyProtection="1"/>
    <xf numFmtId="167" fontId="22" fillId="0" borderId="7" xfId="1" applyNumberFormat="1" applyFont="1" applyFill="1" applyBorder="1" applyProtection="1"/>
    <xf numFmtId="0" fontId="22" fillId="0" borderId="0" xfId="0" applyFont="1" applyFill="1" applyBorder="1" applyAlignment="1" applyProtection="1">
      <alignment wrapText="1"/>
    </xf>
    <xf numFmtId="0" fontId="32" fillId="38" borderId="34" xfId="0" applyFont="1" applyFill="1" applyBorder="1" applyAlignment="1" applyProtection="1">
      <alignment vertical="center" wrapText="1"/>
    </xf>
    <xf numFmtId="2" fontId="22" fillId="0" borderId="16" xfId="0" applyNumberFormat="1" applyFont="1" applyFill="1" applyBorder="1" applyProtection="1"/>
    <xf numFmtId="2" fontId="22" fillId="0" borderId="46" xfId="0" applyNumberFormat="1" applyFont="1" applyFill="1" applyBorder="1" applyProtection="1"/>
    <xf numFmtId="2" fontId="22" fillId="0" borderId="32" xfId="0" applyNumberFormat="1" applyFont="1" applyFill="1" applyBorder="1" applyProtection="1"/>
    <xf numFmtId="2" fontId="22" fillId="0" borderId="47" xfId="0" applyNumberFormat="1" applyFont="1" applyFill="1" applyBorder="1" applyProtection="1"/>
    <xf numFmtId="0" fontId="22" fillId="0" borderId="0" xfId="0" applyFont="1" applyFill="1" applyBorder="1" applyProtection="1"/>
    <xf numFmtId="0" fontId="22" fillId="0" borderId="43" xfId="0" applyFont="1" applyBorder="1" applyAlignment="1" applyProtection="1">
      <alignment vertical="center"/>
    </xf>
    <xf numFmtId="0" fontId="22" fillId="0" borderId="42" xfId="0" applyFont="1" applyBorder="1" applyAlignment="1" applyProtection="1">
      <alignment vertical="center"/>
    </xf>
    <xf numFmtId="2" fontId="22" fillId="0" borderId="3" xfId="0" applyNumberFormat="1" applyFont="1" applyBorder="1" applyAlignment="1" applyProtection="1">
      <alignment vertical="center"/>
    </xf>
    <xf numFmtId="2" fontId="22" fillId="0" borderId="42" xfId="0" applyNumberFormat="1" applyFont="1" applyBorder="1" applyAlignment="1" applyProtection="1">
      <alignment vertical="center"/>
    </xf>
    <xf numFmtId="0" fontId="22" fillId="0" borderId="3" xfId="0" applyFont="1" applyFill="1" applyBorder="1" applyAlignment="1" applyProtection="1">
      <alignment wrapText="1"/>
    </xf>
    <xf numFmtId="0" fontId="96" fillId="0" borderId="42" xfId="0" applyFont="1" applyBorder="1" applyAlignment="1" applyProtection="1">
      <alignment vertical="center"/>
    </xf>
    <xf numFmtId="0" fontId="22" fillId="0" borderId="35" xfId="0" applyFont="1" applyBorder="1" applyAlignment="1" applyProtection="1">
      <alignment vertical="center"/>
    </xf>
    <xf numFmtId="2" fontId="22" fillId="0" borderId="5" xfId="0" applyNumberFormat="1" applyFont="1" applyBorder="1" applyAlignment="1" applyProtection="1">
      <alignment vertical="center"/>
    </xf>
    <xf numFmtId="2" fontId="22" fillId="0" borderId="35" xfId="0" applyNumberFormat="1" applyFont="1" applyBorder="1" applyAlignment="1" applyProtection="1">
      <alignment vertical="center"/>
    </xf>
    <xf numFmtId="2" fontId="22" fillId="0" borderId="0" xfId="0" applyNumberFormat="1" applyFont="1" applyBorder="1" applyAlignment="1" applyProtection="1">
      <alignment vertical="center"/>
    </xf>
    <xf numFmtId="0" fontId="22" fillId="0" borderId="0" xfId="0" applyFont="1" applyFill="1" applyBorder="1" applyAlignment="1" applyProtection="1">
      <alignment vertical="center"/>
    </xf>
    <xf numFmtId="0" fontId="22" fillId="0" borderId="0" xfId="0" applyFont="1" applyFill="1" applyAlignment="1" applyProtection="1">
      <alignment horizontal="left"/>
    </xf>
    <xf numFmtId="166" fontId="22" fillId="0" borderId="3" xfId="0" applyNumberFormat="1" applyFont="1" applyFill="1" applyBorder="1" applyAlignment="1" applyProtection="1">
      <alignment horizontal="left"/>
    </xf>
    <xf numFmtId="0" fontId="15"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xf>
    <xf numFmtId="0" fontId="22" fillId="0" borderId="0" xfId="0" applyFont="1" applyBorder="1" applyAlignment="1" applyProtection="1">
      <alignment vertical="center"/>
    </xf>
    <xf numFmtId="0" fontId="97" fillId="0" borderId="0" xfId="0" applyFont="1" applyFill="1" applyAlignment="1" applyProtection="1">
      <alignment horizontal="center"/>
    </xf>
    <xf numFmtId="166" fontId="22" fillId="0" borderId="0" xfId="0" applyNumberFormat="1" applyFont="1" applyFill="1" applyAlignment="1" applyProtection="1"/>
    <xf numFmtId="0" fontId="22" fillId="0" borderId="0" xfId="0" applyFont="1" applyFill="1" applyBorder="1" applyAlignment="1" applyProtection="1">
      <alignment horizontal="left"/>
    </xf>
    <xf numFmtId="0" fontId="22" fillId="0" borderId="0" xfId="0" applyFont="1" applyProtection="1"/>
    <xf numFmtId="2" fontId="22" fillId="0" borderId="21" xfId="0" applyNumberFormat="1" applyFont="1" applyBorder="1" applyAlignment="1" applyProtection="1">
      <alignment vertical="center"/>
    </xf>
    <xf numFmtId="2" fontId="22" fillId="0" borderId="14" xfId="0" applyNumberFormat="1" applyFont="1" applyBorder="1" applyAlignment="1" applyProtection="1">
      <alignment vertical="center"/>
    </xf>
    <xf numFmtId="2" fontId="22" fillId="0" borderId="22" xfId="0" applyNumberFormat="1" applyFont="1" applyBorder="1" applyAlignment="1" applyProtection="1">
      <alignment vertical="center"/>
    </xf>
    <xf numFmtId="2" fontId="22" fillId="0" borderId="21" xfId="0" applyNumberFormat="1" applyFont="1" applyFill="1" applyBorder="1" applyProtection="1"/>
    <xf numFmtId="2" fontId="22" fillId="0" borderId="14" xfId="0" applyNumberFormat="1" applyFont="1" applyFill="1" applyBorder="1" applyProtection="1"/>
    <xf numFmtId="2" fontId="22" fillId="0" borderId="22" xfId="0" applyNumberFormat="1" applyFont="1" applyFill="1" applyBorder="1" applyProtection="1"/>
    <xf numFmtId="2" fontId="22" fillId="0" borderId="4" xfId="0" applyNumberFormat="1" applyFont="1" applyBorder="1" applyAlignment="1" applyProtection="1">
      <alignment vertical="center"/>
    </xf>
    <xf numFmtId="2" fontId="22" fillId="0" borderId="6" xfId="0" applyNumberFormat="1" applyFont="1" applyBorder="1" applyAlignment="1" applyProtection="1">
      <alignment vertical="center"/>
    </xf>
    <xf numFmtId="2" fontId="22" fillId="0" borderId="7" xfId="0" applyNumberFormat="1" applyFont="1" applyBorder="1" applyAlignment="1" applyProtection="1">
      <alignment vertical="center"/>
    </xf>
    <xf numFmtId="0" fontId="68" fillId="0" borderId="0" xfId="0" applyFont="1" applyBorder="1"/>
    <xf numFmtId="166" fontId="0" fillId="0" borderId="25" xfId="0" applyNumberFormat="1" applyFill="1" applyBorder="1" applyAlignment="1" applyProtection="1">
      <alignment vertical="center"/>
    </xf>
    <xf numFmtId="166" fontId="0" fillId="0" borderId="25" xfId="0" applyNumberFormat="1" applyBorder="1" applyAlignment="1" applyProtection="1">
      <alignment vertical="center"/>
    </xf>
    <xf numFmtId="166" fontId="0" fillId="0" borderId="10" xfId="0" applyNumberFormat="1" applyBorder="1" applyAlignment="1" applyProtection="1">
      <alignment vertical="center"/>
    </xf>
    <xf numFmtId="0" fontId="0" fillId="0" borderId="10" xfId="0" applyBorder="1" applyAlignment="1" applyProtection="1">
      <alignment vertical="center" wrapText="1"/>
    </xf>
    <xf numFmtId="0" fontId="30" fillId="53" borderId="0" xfId="0" applyFont="1" applyFill="1" applyBorder="1" applyAlignment="1" applyProtection="1">
      <alignment horizontal="left" vertical="center"/>
    </xf>
    <xf numFmtId="0" fontId="30" fillId="53" borderId="0" xfId="0" applyFont="1" applyFill="1" applyBorder="1" applyAlignment="1" applyProtection="1">
      <alignment horizontal="center" vertical="center"/>
    </xf>
    <xf numFmtId="166" fontId="0" fillId="0" borderId="2" xfId="0" applyNumberFormat="1" applyBorder="1"/>
    <xf numFmtId="166" fontId="0" fillId="0" borderId="2" xfId="0" applyNumberFormat="1" applyBorder="1" applyAlignment="1">
      <alignment vertical="center"/>
    </xf>
    <xf numFmtId="2" fontId="0" fillId="0" borderId="28" xfId="0" applyNumberFormat="1" applyBorder="1"/>
    <xf numFmtId="2" fontId="0" fillId="0" borderId="6" xfId="0" applyNumberFormat="1" applyBorder="1"/>
    <xf numFmtId="168" fontId="0" fillId="0" borderId="9" xfId="0" applyNumberFormat="1" applyBorder="1"/>
    <xf numFmtId="168" fontId="0" fillId="0" borderId="1" xfId="0" applyNumberFormat="1" applyBorder="1"/>
    <xf numFmtId="0" fontId="0" fillId="4" borderId="0" xfId="0" applyFill="1" applyBorder="1" applyAlignment="1" applyProtection="1">
      <alignment horizontal="left" vertical="center"/>
      <protection locked="0"/>
    </xf>
    <xf numFmtId="0" fontId="0" fillId="53" borderId="0" xfId="0" applyFill="1" applyAlignment="1" applyProtection="1"/>
    <xf numFmtId="0" fontId="57" fillId="36" borderId="0" xfId="0" applyFont="1" applyFill="1" applyAlignment="1">
      <alignment horizontal="left" vertical="center"/>
    </xf>
    <xf numFmtId="0" fontId="57" fillId="30" borderId="0" xfId="0" applyFont="1" applyFill="1" applyAlignment="1">
      <alignment horizontal="left" vertical="center"/>
    </xf>
    <xf numFmtId="0" fontId="57" fillId="31" borderId="0" xfId="0" applyFont="1" applyFill="1" applyAlignment="1">
      <alignment horizontal="left" vertical="center" wrapText="1"/>
    </xf>
    <xf numFmtId="0" fontId="57" fillId="13" borderId="0" xfId="0" applyFont="1" applyFill="1" applyAlignment="1">
      <alignment horizontal="left" vertical="center"/>
    </xf>
    <xf numFmtId="0" fontId="57" fillId="37" borderId="0" xfId="0" applyFont="1" applyFill="1" applyAlignment="1">
      <alignment horizontal="left" vertical="center"/>
    </xf>
    <xf numFmtId="0" fontId="57" fillId="13" borderId="0" xfId="0" applyFont="1" applyFill="1" applyBorder="1" applyAlignment="1">
      <alignment horizontal="left" vertical="center" wrapText="1"/>
    </xf>
    <xf numFmtId="0" fontId="45" fillId="31" borderId="0" xfId="0" applyFont="1" applyFill="1" applyBorder="1" applyAlignment="1">
      <alignment horizontal="center" vertical="center" wrapText="1"/>
    </xf>
    <xf numFmtId="0" fontId="45" fillId="30" borderId="0" xfId="0" applyFont="1" applyFill="1" applyBorder="1" applyAlignment="1">
      <alignment horizontal="center" vertical="center" wrapText="1"/>
    </xf>
    <xf numFmtId="0" fontId="45" fillId="37" borderId="0" xfId="0" applyFont="1" applyFill="1" applyBorder="1" applyAlignment="1">
      <alignment horizontal="center" vertical="center" wrapText="1"/>
    </xf>
    <xf numFmtId="0" fontId="45" fillId="13" borderId="0" xfId="0" applyFont="1" applyFill="1" applyBorder="1" applyAlignment="1">
      <alignment horizontal="center" vertical="center" wrapText="1"/>
    </xf>
    <xf numFmtId="0" fontId="57" fillId="36" borderId="0" xfId="0" applyFont="1" applyFill="1" applyBorder="1" applyAlignment="1">
      <alignment horizontal="left" vertical="center" wrapText="1"/>
    </xf>
    <xf numFmtId="0" fontId="57" fillId="37" borderId="0" xfId="0" applyFont="1" applyFill="1" applyBorder="1" applyAlignment="1">
      <alignment horizontal="left" vertical="center" wrapText="1"/>
    </xf>
    <xf numFmtId="0" fontId="57" fillId="31" borderId="0" xfId="0" applyFont="1" applyFill="1" applyBorder="1" applyAlignment="1">
      <alignment horizontal="left" vertical="center" wrapText="1"/>
    </xf>
    <xf numFmtId="0" fontId="57" fillId="30" borderId="0" xfId="0" applyFont="1" applyFill="1" applyBorder="1" applyAlignment="1">
      <alignment horizontal="left" vertical="center" wrapText="1"/>
    </xf>
    <xf numFmtId="166" fontId="22" fillId="53" borderId="0" xfId="0" applyNumberFormat="1" applyFont="1" applyFill="1" applyBorder="1" applyProtection="1"/>
    <xf numFmtId="0" fontId="22" fillId="0" borderId="0" xfId="0" applyFont="1" applyAlignment="1"/>
    <xf numFmtId="1" fontId="22" fillId="0" borderId="0" xfId="0" applyNumberFormat="1" applyFont="1" applyFill="1" applyAlignment="1" applyProtection="1">
      <alignment horizontal="left"/>
      <protection locked="0"/>
    </xf>
    <xf numFmtId="0" fontId="22" fillId="0" borderId="0" xfId="0" applyFont="1" applyAlignment="1" applyProtection="1">
      <alignment horizontal="center"/>
      <protection locked="0"/>
    </xf>
    <xf numFmtId="0" fontId="22" fillId="0" borderId="0" xfId="0" applyFont="1" applyAlignment="1" applyProtection="1">
      <alignment horizontal="left"/>
      <protection locked="0"/>
    </xf>
    <xf numFmtId="2" fontId="22" fillId="0" borderId="0" xfId="0" applyNumberFormat="1" applyFont="1" applyFill="1" applyAlignment="1" applyProtection="1">
      <alignment horizontal="left"/>
      <protection locked="0"/>
    </xf>
    <xf numFmtId="0" fontId="98" fillId="0" borderId="0" xfId="0" applyFont="1" applyFill="1" applyProtection="1"/>
    <xf numFmtId="0" fontId="98" fillId="0" borderId="0" xfId="0" applyFont="1" applyFill="1" applyAlignment="1" applyProtection="1"/>
    <xf numFmtId="0" fontId="22" fillId="0" borderId="0" xfId="0" applyFont="1" applyFill="1" applyAlignment="1" applyProtection="1"/>
    <xf numFmtId="0" fontId="22" fillId="0" borderId="0" xfId="0" applyFont="1" applyFill="1" applyBorder="1" applyAlignment="1" applyProtection="1">
      <alignment horizontal="center" wrapText="1"/>
    </xf>
    <xf numFmtId="0" fontId="22" fillId="0" borderId="0" xfId="0" applyFont="1" applyFill="1" applyAlignment="1" applyProtection="1">
      <alignment horizontal="center"/>
    </xf>
    <xf numFmtId="0" fontId="22" fillId="0" borderId="31" xfId="0" applyFont="1" applyFill="1" applyBorder="1" applyAlignment="1" applyProtection="1">
      <alignment horizontal="center"/>
    </xf>
    <xf numFmtId="0" fontId="22" fillId="0" borderId="28" xfId="0" applyFont="1" applyFill="1" applyBorder="1" applyAlignment="1" applyProtection="1">
      <alignment horizontal="center"/>
    </xf>
    <xf numFmtId="0" fontId="22" fillId="0" borderId="9" xfId="0" applyFont="1" applyFill="1" applyBorder="1" applyAlignment="1" applyProtection="1">
      <alignment horizontal="center"/>
    </xf>
    <xf numFmtId="0" fontId="22" fillId="0" borderId="0" xfId="0" applyFont="1" applyFill="1" applyBorder="1" applyAlignment="1" applyProtection="1">
      <alignment horizontal="center"/>
    </xf>
    <xf numFmtId="0" fontId="22" fillId="0" borderId="0" xfId="0" applyFont="1" applyFill="1" applyAlignment="1" applyProtection="1">
      <alignment horizontal="center" vertical="center"/>
    </xf>
    <xf numFmtId="0" fontId="22" fillId="0" borderId="2" xfId="0" applyFont="1" applyFill="1" applyBorder="1" applyAlignment="1" applyProtection="1">
      <alignment wrapText="1"/>
    </xf>
    <xf numFmtId="0" fontId="22" fillId="0" borderId="16" xfId="0" applyFont="1" applyFill="1" applyBorder="1" applyProtection="1"/>
    <xf numFmtId="0" fontId="22" fillId="0" borderId="1" xfId="0" applyFont="1" applyFill="1" applyBorder="1" applyProtection="1"/>
    <xf numFmtId="0" fontId="22" fillId="0" borderId="17" xfId="0" applyFont="1" applyFill="1" applyBorder="1" applyAlignment="1" applyProtection="1"/>
    <xf numFmtId="0" fontId="22" fillId="0" borderId="2" xfId="0" applyFont="1" applyFill="1" applyBorder="1" applyAlignment="1" applyProtection="1"/>
    <xf numFmtId="0" fontId="22" fillId="0" borderId="10" xfId="0" applyFont="1" applyFill="1" applyBorder="1" applyAlignment="1" applyProtection="1"/>
    <xf numFmtId="0" fontId="22" fillId="0" borderId="17" xfId="0" applyFont="1" applyFill="1" applyBorder="1" applyProtection="1"/>
    <xf numFmtId="0" fontId="22" fillId="0" borderId="2" xfId="0" applyFont="1" applyFill="1" applyBorder="1" applyProtection="1"/>
    <xf numFmtId="0" fontId="22" fillId="0" borderId="10" xfId="0" applyFont="1" applyFill="1" applyBorder="1" applyProtection="1"/>
    <xf numFmtId="0" fontId="22" fillId="0" borderId="2" xfId="0" applyFont="1" applyFill="1" applyBorder="1" applyAlignment="1" applyProtection="1">
      <alignment horizontal="center"/>
    </xf>
    <xf numFmtId="0" fontId="22" fillId="0" borderId="0" xfId="0" applyFont="1" applyFill="1" applyBorder="1" applyAlignment="1" applyProtection="1">
      <alignment vertical="center" wrapText="1"/>
    </xf>
    <xf numFmtId="0" fontId="22" fillId="0" borderId="31" xfId="0" applyFont="1" applyFill="1" applyBorder="1" applyProtection="1"/>
    <xf numFmtId="0" fontId="22" fillId="0" borderId="28" xfId="0" applyFont="1" applyFill="1" applyBorder="1" applyProtection="1"/>
    <xf numFmtId="0" fontId="22" fillId="0" borderId="9" xfId="0" applyFont="1" applyFill="1" applyBorder="1" applyProtection="1"/>
    <xf numFmtId="0" fontId="22" fillId="0" borderId="0" xfId="0" applyFont="1" applyFill="1" applyBorder="1" applyAlignment="1" applyProtection="1"/>
    <xf numFmtId="0" fontId="22" fillId="0" borderId="1" xfId="0" applyFont="1" applyFill="1" applyBorder="1" applyAlignment="1" applyProtection="1"/>
    <xf numFmtId="0" fontId="22" fillId="0" borderId="16" xfId="0" applyFont="1" applyFill="1" applyBorder="1" applyAlignment="1" applyProtection="1"/>
    <xf numFmtId="166" fontId="22" fillId="0" borderId="1" xfId="0" applyNumberFormat="1" applyFont="1" applyFill="1" applyBorder="1" applyProtection="1"/>
    <xf numFmtId="2" fontId="22" fillId="0" borderId="0" xfId="0" applyNumberFormat="1" applyFont="1" applyFill="1" applyBorder="1" applyAlignment="1" applyProtection="1">
      <alignment horizontal="center"/>
    </xf>
    <xf numFmtId="2" fontId="22" fillId="0" borderId="1" xfId="0" applyNumberFormat="1" applyFont="1" applyFill="1" applyBorder="1" applyAlignment="1" applyProtection="1">
      <alignment horizontal="center"/>
    </xf>
    <xf numFmtId="2" fontId="22" fillId="0" borderId="1" xfId="0" applyNumberFormat="1" applyFont="1" applyFill="1" applyBorder="1" applyProtection="1"/>
    <xf numFmtId="2" fontId="22" fillId="0" borderId="0" xfId="0" applyNumberFormat="1" applyFont="1" applyFill="1" applyBorder="1" applyAlignment="1" applyProtection="1"/>
    <xf numFmtId="2" fontId="22" fillId="0" borderId="1" xfId="0" applyNumberFormat="1" applyFont="1" applyFill="1" applyBorder="1" applyAlignment="1" applyProtection="1"/>
    <xf numFmtId="2" fontId="22" fillId="0" borderId="16" xfId="0" applyNumberFormat="1" applyFont="1" applyFill="1" applyBorder="1" applyAlignment="1" applyProtection="1"/>
    <xf numFmtId="0" fontId="22" fillId="0" borderId="3" xfId="0" applyFont="1" applyFill="1" applyBorder="1" applyAlignment="1" applyProtection="1">
      <alignment vertical="center"/>
    </xf>
    <xf numFmtId="0" fontId="22" fillId="0" borderId="3" xfId="0" applyFont="1" applyFill="1" applyBorder="1" applyAlignment="1" applyProtection="1">
      <alignment vertical="center" wrapText="1"/>
    </xf>
    <xf numFmtId="0" fontId="22" fillId="0" borderId="5" xfId="0" applyFont="1" applyFill="1" applyBorder="1" applyAlignment="1" applyProtection="1">
      <alignment vertical="center" wrapText="1"/>
    </xf>
    <xf numFmtId="2" fontId="22" fillId="0" borderId="17" xfId="0" applyNumberFormat="1" applyFont="1" applyFill="1" applyBorder="1" applyAlignment="1" applyProtection="1">
      <alignment horizontal="center"/>
    </xf>
    <xf numFmtId="2" fontId="22" fillId="0" borderId="2" xfId="0" applyNumberFormat="1" applyFont="1" applyFill="1" applyBorder="1" applyAlignment="1" applyProtection="1">
      <alignment horizontal="center"/>
    </xf>
    <xf numFmtId="2" fontId="22" fillId="0" borderId="10" xfId="0" applyNumberFormat="1" applyFont="1" applyFill="1" applyBorder="1" applyAlignment="1" applyProtection="1">
      <alignment horizontal="center"/>
    </xf>
    <xf numFmtId="2" fontId="22" fillId="0" borderId="17" xfId="0" applyNumberFormat="1" applyFont="1" applyFill="1" applyBorder="1" applyProtection="1"/>
    <xf numFmtId="2" fontId="22" fillId="0" borderId="2" xfId="0" applyNumberFormat="1" applyFont="1" applyFill="1" applyBorder="1" applyProtection="1"/>
    <xf numFmtId="2" fontId="22" fillId="0" borderId="10" xfId="0" applyNumberFormat="1" applyFont="1" applyFill="1" applyBorder="1" applyProtection="1"/>
    <xf numFmtId="2" fontId="22" fillId="0" borderId="2" xfId="0" applyNumberFormat="1" applyFont="1" applyFill="1" applyBorder="1" applyAlignment="1" applyProtection="1"/>
    <xf numFmtId="2" fontId="22" fillId="0" borderId="10" xfId="0" applyNumberFormat="1" applyFont="1" applyFill="1" applyBorder="1" applyAlignment="1" applyProtection="1"/>
    <xf numFmtId="2" fontId="22" fillId="0" borderId="17" xfId="0" applyNumberFormat="1" applyFont="1" applyFill="1" applyBorder="1" applyAlignment="1" applyProtection="1"/>
    <xf numFmtId="1" fontId="22" fillId="0" borderId="0" xfId="0" applyNumberFormat="1" applyFont="1" applyFill="1" applyAlignment="1" applyProtection="1">
      <alignment horizontal="center"/>
    </xf>
    <xf numFmtId="1" fontId="22" fillId="0" borderId="0" xfId="0" applyNumberFormat="1" applyFont="1" applyFill="1" applyBorder="1" applyProtection="1"/>
    <xf numFmtId="1" fontId="22" fillId="0" borderId="0" xfId="0" applyNumberFormat="1" applyFont="1" applyFill="1" applyBorder="1" applyAlignment="1" applyProtection="1"/>
    <xf numFmtId="0" fontId="22" fillId="53" borderId="3" xfId="0" applyFont="1" applyFill="1" applyBorder="1" applyAlignment="1" applyProtection="1"/>
    <xf numFmtId="0" fontId="22" fillId="0" borderId="35" xfId="0" applyFont="1" applyFill="1" applyBorder="1" applyAlignment="1" applyProtection="1"/>
    <xf numFmtId="167" fontId="22" fillId="0" borderId="0" xfId="1" applyNumberFormat="1" applyFont="1" applyFill="1" applyBorder="1" applyProtection="1"/>
    <xf numFmtId="0" fontId="22" fillId="53" borderId="3" xfId="0" applyFont="1" applyFill="1" applyBorder="1" applyAlignment="1" applyProtection="1">
      <alignment wrapText="1"/>
    </xf>
    <xf numFmtId="166" fontId="22" fillId="53" borderId="3" xfId="0" applyNumberFormat="1" applyFont="1" applyFill="1" applyBorder="1" applyAlignment="1" applyProtection="1">
      <alignment horizontal="left"/>
    </xf>
    <xf numFmtId="0" fontId="22" fillId="53" borderId="0" xfId="0" applyFont="1" applyFill="1" applyProtection="1"/>
    <xf numFmtId="166" fontId="22" fillId="53" borderId="0" xfId="0" applyNumberFormat="1" applyFont="1" applyFill="1" applyAlignment="1" applyProtection="1"/>
    <xf numFmtId="0" fontId="22" fillId="53" borderId="0" xfId="0" applyFont="1" applyFill="1" applyBorder="1" applyProtection="1"/>
    <xf numFmtId="0" fontId="96" fillId="0" borderId="0" xfId="0" applyFont="1" applyFill="1" applyProtection="1"/>
    <xf numFmtId="0" fontId="22" fillId="0" borderId="1" xfId="0" applyFont="1" applyBorder="1" applyProtection="1"/>
    <xf numFmtId="2" fontId="22" fillId="0" borderId="0" xfId="0" applyNumberFormat="1" applyFont="1" applyBorder="1" applyProtection="1"/>
    <xf numFmtId="2" fontId="22" fillId="0" borderId="1" xfId="0" applyNumberFormat="1" applyFont="1" applyBorder="1" applyProtection="1"/>
    <xf numFmtId="0" fontId="22" fillId="0" borderId="0" xfId="0" applyFont="1" applyBorder="1"/>
    <xf numFmtId="2" fontId="22" fillId="0" borderId="0" xfId="0" applyNumberFormat="1" applyFont="1" applyProtection="1"/>
    <xf numFmtId="2" fontId="22" fillId="0" borderId="0" xfId="0" applyNumberFormat="1" applyFont="1" applyFill="1" applyProtection="1"/>
    <xf numFmtId="0" fontId="22" fillId="0" borderId="2" xfId="0" applyFont="1" applyFill="1" applyBorder="1" applyAlignment="1" applyProtection="1">
      <alignment vertical="center"/>
    </xf>
    <xf numFmtId="2" fontId="22" fillId="0" borderId="2" xfId="0" applyNumberFormat="1" applyFont="1" applyBorder="1" applyProtection="1"/>
    <xf numFmtId="0" fontId="22" fillId="54" borderId="37" xfId="0" applyFont="1" applyFill="1" applyBorder="1" applyProtection="1"/>
    <xf numFmtId="0" fontId="22" fillId="54" borderId="2" xfId="0" applyFont="1" applyFill="1" applyBorder="1" applyProtection="1"/>
    <xf numFmtId="2" fontId="22" fillId="0" borderId="10" xfId="0" applyNumberFormat="1" applyFont="1" applyBorder="1" applyProtection="1"/>
    <xf numFmtId="0" fontId="22" fillId="0" borderId="0" xfId="0" applyFont="1" applyBorder="1" applyProtection="1"/>
    <xf numFmtId="0" fontId="22" fillId="0" borderId="26" xfId="0" applyFont="1" applyFill="1" applyBorder="1" applyAlignment="1" applyProtection="1">
      <alignment horizontal="center"/>
    </xf>
    <xf numFmtId="0" fontId="22" fillId="0" borderId="36" xfId="0" applyFont="1" applyFill="1" applyBorder="1" applyAlignment="1" applyProtection="1">
      <alignment horizontal="center"/>
    </xf>
    <xf numFmtId="0" fontId="22" fillId="53" borderId="0" xfId="0" applyFont="1" applyFill="1" applyBorder="1"/>
    <xf numFmtId="0" fontId="22" fillId="0" borderId="0" xfId="0" applyFont="1" applyFill="1" applyBorder="1"/>
    <xf numFmtId="0" fontId="22" fillId="34" borderId="49" xfId="0" applyFont="1" applyFill="1" applyBorder="1" applyAlignment="1" applyProtection="1">
      <alignment horizontal="center" vertical="center" wrapText="1"/>
    </xf>
    <xf numFmtId="0" fontId="22" fillId="32" borderId="50" xfId="0" applyFont="1" applyFill="1" applyBorder="1" applyAlignment="1" applyProtection="1">
      <alignment horizontal="center" vertical="center" wrapText="1"/>
    </xf>
    <xf numFmtId="0" fontId="22" fillId="33" borderId="50" xfId="0" applyFont="1" applyFill="1" applyBorder="1" applyAlignment="1" applyProtection="1">
      <alignment horizontal="center" vertical="center" wrapText="1"/>
    </xf>
    <xf numFmtId="0" fontId="22" fillId="2" borderId="50" xfId="0" applyFont="1" applyFill="1" applyBorder="1" applyAlignment="1" applyProtection="1">
      <alignment horizontal="center" vertical="center" wrapText="1"/>
    </xf>
    <xf numFmtId="0" fontId="22" fillId="52" borderId="51" xfId="0" applyFont="1" applyFill="1" applyBorder="1" applyAlignment="1" applyProtection="1">
      <alignment horizontal="center" vertical="center" wrapText="1"/>
    </xf>
    <xf numFmtId="0" fontId="22" fillId="34" borderId="34"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51" xfId="0" applyFont="1" applyFill="1" applyBorder="1" applyAlignment="1" applyProtection="1">
      <alignment horizontal="center" vertical="center" wrapText="1"/>
    </xf>
    <xf numFmtId="0" fontId="22" fillId="33" borderId="49" xfId="0" applyFont="1" applyFill="1" applyBorder="1" applyAlignment="1" applyProtection="1">
      <alignment horizontal="center" vertical="center" wrapText="1"/>
    </xf>
    <xf numFmtId="0" fontId="22" fillId="33" borderId="5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2" borderId="51" xfId="0" applyFont="1" applyFill="1" applyBorder="1" applyAlignment="1" applyProtection="1">
      <alignment horizontal="center" vertical="center" wrapText="1"/>
    </xf>
    <xf numFmtId="0" fontId="22" fillId="52" borderId="34" xfId="0" applyFont="1" applyFill="1" applyBorder="1" applyAlignment="1" applyProtection="1">
      <alignment horizontal="center" vertical="center" wrapText="1"/>
    </xf>
    <xf numFmtId="0" fontId="22" fillId="0" borderId="0" xfId="0" applyFont="1" applyFill="1"/>
    <xf numFmtId="0" fontId="22" fillId="0" borderId="5" xfId="0" applyFont="1" applyFill="1" applyBorder="1" applyAlignment="1" applyProtection="1">
      <alignment wrapText="1"/>
    </xf>
    <xf numFmtId="0" fontId="22" fillId="2" borderId="0" xfId="0" applyFont="1" applyFill="1" applyAlignment="1">
      <alignment vertical="center"/>
    </xf>
    <xf numFmtId="0" fontId="22" fillId="0" borderId="0" xfId="0" applyFont="1" applyFill="1" applyAlignment="1">
      <alignment vertical="center"/>
    </xf>
    <xf numFmtId="0" fontId="22" fillId="0" borderId="0" xfId="0" applyFont="1" applyFill="1" applyBorder="1" applyAlignment="1" applyProtection="1">
      <alignment horizontal="right" vertical="center" wrapText="1"/>
    </xf>
    <xf numFmtId="2" fontId="22" fillId="0" borderId="0" xfId="0" applyNumberFormat="1" applyFont="1" applyAlignment="1"/>
    <xf numFmtId="0" fontId="22" fillId="0" borderId="0" xfId="0" applyFont="1" applyAlignment="1">
      <alignment vertical="center"/>
    </xf>
    <xf numFmtId="0" fontId="22" fillId="2" borderId="0" xfId="0" applyFont="1" applyFill="1" applyBorder="1" applyAlignment="1">
      <alignment vertical="center"/>
    </xf>
    <xf numFmtId="0" fontId="22" fillId="0" borderId="0" xfId="0" applyFont="1" applyFill="1" applyBorder="1" applyAlignment="1">
      <alignment vertical="center"/>
    </xf>
    <xf numFmtId="0" fontId="22" fillId="0" borderId="0" xfId="0" applyFont="1" applyBorder="1" applyAlignment="1">
      <alignment vertical="center"/>
    </xf>
    <xf numFmtId="166" fontId="0" fillId="38" borderId="0" xfId="0" applyNumberFormat="1" applyFill="1" applyBorder="1"/>
    <xf numFmtId="0" fontId="0" fillId="38" borderId="0" xfId="0" applyFill="1" applyBorder="1"/>
    <xf numFmtId="0" fontId="0" fillId="38" borderId="28" xfId="0" applyFill="1" applyBorder="1"/>
    <xf numFmtId="0" fontId="18" fillId="0" borderId="0" xfId="0" applyFont="1" applyBorder="1"/>
    <xf numFmtId="166" fontId="18" fillId="38" borderId="3" xfId="0" applyNumberFormat="1" applyFont="1" applyFill="1" applyBorder="1"/>
    <xf numFmtId="166" fontId="0" fillId="0" borderId="16" xfId="0" applyNumberFormat="1" applyBorder="1" applyAlignment="1">
      <alignment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wrapText="1"/>
    </xf>
    <xf numFmtId="0" fontId="0" fillId="0" borderId="17" xfId="0" applyBorder="1" applyAlignment="1" applyProtection="1">
      <alignment horizontal="center" vertical="center" wrapText="1"/>
    </xf>
    <xf numFmtId="0" fontId="46" fillId="2" borderId="0" xfId="2" applyFill="1" applyAlignment="1">
      <alignment horizontal="center" vertical="center"/>
    </xf>
    <xf numFmtId="0" fontId="99" fillId="2" borderId="0" xfId="0" applyFont="1" applyFill="1" applyAlignment="1">
      <alignment horizontal="center" vertical="center"/>
    </xf>
    <xf numFmtId="0" fontId="0" fillId="0" borderId="2" xfId="0" applyBorder="1" applyAlignment="1" applyProtection="1">
      <alignment horizontal="center" vertical="center"/>
    </xf>
    <xf numFmtId="166" fontId="0" fillId="0" borderId="0" xfId="0" applyNumberFormat="1" applyAlignment="1" applyProtection="1">
      <alignment horizontal="center" vertical="center"/>
    </xf>
    <xf numFmtId="166" fontId="100" fillId="0" borderId="0" xfId="0" applyNumberFormat="1" applyFont="1"/>
    <xf numFmtId="0" fontId="16" fillId="4" borderId="0" xfId="0" applyFont="1" applyFill="1"/>
    <xf numFmtId="0" fontId="16" fillId="0" borderId="0" xfId="0" applyFont="1" applyAlignment="1">
      <alignment horizontal="center" vertical="center"/>
    </xf>
    <xf numFmtId="166" fontId="0" fillId="15" borderId="0" xfId="0" applyNumberFormat="1" applyFill="1"/>
    <xf numFmtId="166" fontId="27" fillId="0" borderId="0" xfId="0" applyNumberFormat="1" applyFont="1"/>
    <xf numFmtId="2" fontId="22" fillId="0" borderId="0" xfId="0" applyNumberFormat="1" applyFont="1" applyBorder="1"/>
    <xf numFmtId="0" fontId="0" fillId="29" borderId="0" xfId="0" applyFill="1" applyBorder="1"/>
    <xf numFmtId="0" fontId="24" fillId="34" borderId="1" xfId="0" applyFont="1" applyFill="1" applyBorder="1" applyAlignment="1" applyProtection="1">
      <alignment horizontal="right" vertical="center"/>
    </xf>
    <xf numFmtId="0" fontId="24" fillId="2" borderId="1" xfId="0" applyFont="1" applyFill="1" applyBorder="1" applyAlignment="1" applyProtection="1">
      <alignment horizontal="right" vertical="center"/>
    </xf>
    <xf numFmtId="0" fontId="24" fillId="45" borderId="10" xfId="0" applyFont="1" applyFill="1" applyBorder="1" applyAlignment="1" applyProtection="1">
      <alignment horizontal="right" vertical="center"/>
    </xf>
    <xf numFmtId="0" fontId="50" fillId="0" borderId="0" xfId="0" applyFont="1" applyAlignment="1">
      <alignment vertical="center"/>
    </xf>
    <xf numFmtId="0" fontId="101" fillId="0" borderId="0" xfId="0" applyFont="1" applyAlignment="1">
      <alignment vertical="center"/>
    </xf>
    <xf numFmtId="166" fontId="59" fillId="0" borderId="10" xfId="0" applyNumberFormat="1" applyFont="1" applyBorder="1"/>
    <xf numFmtId="0" fontId="0" fillId="53" borderId="0" xfId="0" applyFill="1" applyProtection="1">
      <protection locked="0"/>
    </xf>
    <xf numFmtId="0" fontId="0" fillId="53" borderId="0" xfId="0" applyFill="1" applyProtection="1"/>
    <xf numFmtId="0" fontId="0" fillId="0" borderId="0" xfId="0" applyAlignment="1">
      <alignment horizontal="left" vertical="center"/>
    </xf>
    <xf numFmtId="2" fontId="0" fillId="29" borderId="0" xfId="0" applyNumberFormat="1" applyFont="1" applyFill="1" applyAlignment="1">
      <alignment horizontal="left"/>
    </xf>
    <xf numFmtId="0" fontId="0" fillId="53" borderId="0" xfId="0" applyFill="1" applyProtection="1"/>
    <xf numFmtId="0" fontId="0" fillId="0" borderId="0" xfId="0" applyAlignment="1">
      <alignment horizontal="left" vertical="center"/>
    </xf>
    <xf numFmtId="0" fontId="26" fillId="0" borderId="0" xfId="0" applyFont="1"/>
    <xf numFmtId="0" fontId="103" fillId="0" borderId="0" xfId="2" applyFont="1"/>
    <xf numFmtId="165" fontId="8" fillId="0" borderId="3" xfId="0" applyNumberFormat="1" applyFont="1" applyBorder="1"/>
    <xf numFmtId="165" fontId="1" fillId="0" borderId="0" xfId="0" applyNumberFormat="1" applyFont="1"/>
    <xf numFmtId="164" fontId="22" fillId="0" borderId="4" xfId="0" applyNumberFormat="1" applyFont="1" applyBorder="1"/>
    <xf numFmtId="165" fontId="0" fillId="4" borderId="0" xfId="0" applyNumberFormat="1" applyFill="1"/>
    <xf numFmtId="165" fontId="104" fillId="0" borderId="0" xfId="0" applyNumberFormat="1" applyFont="1"/>
    <xf numFmtId="0" fontId="25" fillId="0" borderId="0" xfId="2" applyFont="1" applyFill="1"/>
    <xf numFmtId="0" fontId="25" fillId="0" borderId="0" xfId="2" applyFont="1"/>
    <xf numFmtId="165" fontId="8" fillId="0" borderId="4" xfId="0" applyNumberFormat="1" applyFont="1" applyBorder="1"/>
    <xf numFmtId="0" fontId="25" fillId="0" borderId="0" xfId="2" applyFont="1" applyBorder="1"/>
    <xf numFmtId="0" fontId="13" fillId="0" borderId="2" xfId="0" applyFont="1" applyBorder="1"/>
    <xf numFmtId="2" fontId="13" fillId="0" borderId="2" xfId="0" applyNumberFormat="1" applyFont="1" applyBorder="1"/>
    <xf numFmtId="165" fontId="54" fillId="0" borderId="0" xfId="0" applyNumberFormat="1" applyFont="1"/>
    <xf numFmtId="0" fontId="17" fillId="0" borderId="0" xfId="0" applyFont="1"/>
    <xf numFmtId="0" fontId="1" fillId="0" borderId="0" xfId="0" applyFont="1" applyAlignment="1">
      <alignment horizontal="left"/>
    </xf>
    <xf numFmtId="2" fontId="22" fillId="0" borderId="1" xfId="0" applyNumberFormat="1" applyFont="1" applyBorder="1"/>
    <xf numFmtId="0" fontId="40" fillId="0" borderId="0" xfId="0" applyFont="1"/>
    <xf numFmtId="2" fontId="16" fillId="0" borderId="0" xfId="0" applyNumberFormat="1" applyFont="1"/>
    <xf numFmtId="0" fontId="16" fillId="4" borderId="0" xfId="0" applyFont="1" applyFill="1" applyAlignment="1">
      <alignment horizontal="center" vertical="center"/>
    </xf>
    <xf numFmtId="2" fontId="41" fillId="0" borderId="0" xfId="0" applyNumberFormat="1" applyFont="1" applyAlignment="1">
      <alignment horizontal="center" vertical="center"/>
    </xf>
    <xf numFmtId="0" fontId="0" fillId="4" borderId="0" xfId="0" applyFill="1" applyAlignment="1">
      <alignment horizontal="center" vertical="center"/>
    </xf>
    <xf numFmtId="0" fontId="16" fillId="4" borderId="0" xfId="0" applyFont="1" applyFill="1" applyAlignment="1">
      <alignment horizontal="center"/>
    </xf>
    <xf numFmtId="0" fontId="41" fillId="0" borderId="0" xfId="0" applyFont="1" applyAlignment="1">
      <alignment horizontal="center" vertical="center"/>
    </xf>
    <xf numFmtId="2" fontId="40" fillId="0" borderId="0" xfId="0" applyNumberFormat="1" applyFont="1" applyAlignment="1">
      <alignment horizontal="center" vertical="center"/>
    </xf>
    <xf numFmtId="0" fontId="65" fillId="4" borderId="0" xfId="0" applyFont="1" applyFill="1" applyAlignment="1">
      <alignment horizontal="right"/>
    </xf>
    <xf numFmtId="2" fontId="17" fillId="0" borderId="0" xfId="0" applyNumberFormat="1" applyFont="1"/>
    <xf numFmtId="2" fontId="16" fillId="0" borderId="0" xfId="0" applyNumberFormat="1" applyFont="1" applyAlignment="1">
      <alignment horizontal="center"/>
    </xf>
    <xf numFmtId="0" fontId="17" fillId="4" borderId="0" xfId="0" applyFont="1" applyFill="1" applyAlignment="1" applyProtection="1">
      <alignment horizontal="center"/>
      <protection locked="0"/>
    </xf>
    <xf numFmtId="0" fontId="17" fillId="4" borderId="0" xfId="0" applyFont="1" applyFill="1" applyAlignment="1">
      <alignment horizontal="center"/>
    </xf>
    <xf numFmtId="166" fontId="40" fillId="0" borderId="0" xfId="0" applyNumberFormat="1" applyFont="1"/>
    <xf numFmtId="0" fontId="40" fillId="0" borderId="0" xfId="0" applyFont="1" applyAlignment="1">
      <alignment horizontal="center" vertical="center"/>
    </xf>
    <xf numFmtId="166" fontId="41" fillId="0" borderId="0" xfId="0" applyNumberFormat="1" applyFont="1"/>
    <xf numFmtId="0" fontId="42" fillId="0" borderId="0" xfId="0" applyFont="1" applyAlignment="1">
      <alignment horizontal="center" vertical="center"/>
    </xf>
    <xf numFmtId="0" fontId="17" fillId="4" borderId="0" xfId="0" applyFont="1" applyFill="1"/>
    <xf numFmtId="0" fontId="16" fillId="0" borderId="0" xfId="0" applyFont="1" applyAlignment="1">
      <alignment horizontal="center"/>
    </xf>
    <xf numFmtId="0" fontId="0" fillId="4" borderId="0" xfId="0" applyFill="1" applyAlignment="1">
      <alignment horizontal="center"/>
    </xf>
    <xf numFmtId="0" fontId="41" fillId="0" borderId="0" xfId="0" applyFont="1"/>
    <xf numFmtId="0" fontId="59" fillId="4" borderId="0" xfId="0" applyFont="1" applyFill="1" applyAlignment="1">
      <alignment horizontal="right"/>
    </xf>
    <xf numFmtId="0" fontId="16" fillId="0" borderId="2" xfId="0" applyFont="1" applyBorder="1" applyAlignment="1">
      <alignment horizontal="center"/>
    </xf>
    <xf numFmtId="2" fontId="17" fillId="4" borderId="0" xfId="0" applyNumberFormat="1" applyFont="1" applyFill="1" applyAlignment="1">
      <alignment horizontal="center"/>
    </xf>
    <xf numFmtId="0" fontId="65" fillId="0" borderId="0" xfId="0" applyFont="1"/>
    <xf numFmtId="1" fontId="52" fillId="4" borderId="0" xfId="0" applyNumberFormat="1" applyFont="1" applyFill="1" applyAlignment="1">
      <alignment horizontal="right"/>
    </xf>
    <xf numFmtId="0" fontId="17" fillId="0" borderId="0" xfId="0" applyFont="1" applyAlignment="1">
      <alignment horizontal="center"/>
    </xf>
    <xf numFmtId="0" fontId="16" fillId="5" borderId="0" xfId="0" applyFont="1" applyFill="1" applyAlignment="1">
      <alignment horizontal="center"/>
    </xf>
    <xf numFmtId="2" fontId="41" fillId="0" borderId="0" xfId="0" applyNumberFormat="1" applyFont="1" applyAlignment="1">
      <alignment horizontal="right"/>
    </xf>
    <xf numFmtId="166" fontId="59" fillId="0" borderId="0" xfId="0" applyNumberFormat="1" applyFont="1"/>
    <xf numFmtId="0" fontId="52" fillId="0" borderId="0" xfId="0" applyFont="1" applyAlignment="1">
      <alignment horizontal="right"/>
    </xf>
    <xf numFmtId="0" fontId="65" fillId="0" borderId="0" xfId="0" applyFont="1" applyAlignment="1">
      <alignment horizontal="right" vertical="center"/>
    </xf>
    <xf numFmtId="0" fontId="65" fillId="0" borderId="0" xfId="0" applyFont="1" applyAlignment="1">
      <alignment horizontal="right"/>
    </xf>
    <xf numFmtId="0" fontId="16" fillId="4" borderId="0" xfId="0" applyFont="1" applyFill="1" applyAlignment="1">
      <alignment horizontal="left"/>
    </xf>
    <xf numFmtId="0" fontId="52" fillId="0" borderId="0" xfId="0" applyFont="1"/>
    <xf numFmtId="0" fontId="13" fillId="0" borderId="0" xfId="0" applyFont="1" applyAlignment="1">
      <alignment horizontal="left"/>
    </xf>
    <xf numFmtId="0" fontId="48" fillId="17" borderId="0" xfId="0" applyFont="1" applyFill="1" applyAlignment="1">
      <alignment horizontal="center" vertical="center" wrapText="1"/>
    </xf>
    <xf numFmtId="0" fontId="50" fillId="17" borderId="0" xfId="0" applyFont="1" applyFill="1" applyAlignment="1">
      <alignment horizontal="center" vertical="center" wrapText="1"/>
    </xf>
    <xf numFmtId="0" fontId="13" fillId="0" borderId="0" xfId="0" applyFont="1" applyAlignment="1">
      <alignment horizontal="left" vertical="center" wrapText="1"/>
    </xf>
    <xf numFmtId="0" fontId="22" fillId="53" borderId="0" xfId="0" applyFont="1" applyFill="1"/>
    <xf numFmtId="0" fontId="22" fillId="0" borderId="1" xfId="0" applyFont="1" applyBorder="1"/>
    <xf numFmtId="0" fontId="105" fillId="17" borderId="0" xfId="0" applyFont="1" applyFill="1" applyAlignment="1">
      <alignment horizontal="left"/>
    </xf>
    <xf numFmtId="0" fontId="106" fillId="17" borderId="0" xfId="0" applyFont="1" applyFill="1" applyBorder="1" applyAlignment="1">
      <alignment horizontal="left" vertical="center"/>
    </xf>
    <xf numFmtId="0" fontId="105" fillId="17" borderId="0" xfId="0" applyFont="1" applyFill="1" applyBorder="1" applyAlignment="1">
      <alignment horizontal="left" vertical="center"/>
    </xf>
    <xf numFmtId="0" fontId="105" fillId="17" borderId="0" xfId="0" applyFont="1" applyFill="1" applyBorder="1" applyAlignment="1">
      <alignment horizontal="left"/>
    </xf>
    <xf numFmtId="2" fontId="20" fillId="0" borderId="17" xfId="0" applyNumberFormat="1" applyFont="1" applyBorder="1"/>
    <xf numFmtId="0" fontId="0" fillId="17" borderId="0" xfId="0" applyFont="1" applyFill="1"/>
    <xf numFmtId="0" fontId="0" fillId="17" borderId="0" xfId="0" applyFont="1" applyFill="1" applyBorder="1"/>
    <xf numFmtId="0" fontId="26" fillId="0" borderId="0" xfId="0" applyFont="1" applyBorder="1"/>
    <xf numFmtId="0" fontId="8" fillId="0" borderId="0" xfId="0" applyFont="1" applyAlignment="1">
      <alignment horizontal="center"/>
    </xf>
    <xf numFmtId="0" fontId="26" fillId="0" borderId="2" xfId="0" applyFont="1" applyBorder="1"/>
    <xf numFmtId="0" fontId="8" fillId="0" borderId="0" xfId="0" applyFont="1" applyAlignment="1">
      <alignment horizontal="right"/>
    </xf>
    <xf numFmtId="0" fontId="26" fillId="0" borderId="0" xfId="0" applyFont="1" applyFill="1"/>
    <xf numFmtId="0" fontId="17" fillId="0" borderId="2" xfId="0" applyFont="1" applyBorder="1"/>
    <xf numFmtId="0" fontId="0" fillId="0" borderId="0" xfId="0" applyBorder="1" applyAlignment="1">
      <alignment horizontal="center" vertical="center"/>
    </xf>
    <xf numFmtId="1" fontId="1" fillId="0" borderId="0" xfId="0" applyNumberFormat="1" applyFont="1" applyBorder="1"/>
    <xf numFmtId="0" fontId="30" fillId="0" borderId="0" xfId="0" applyFont="1" applyAlignment="1" applyProtection="1">
      <alignment horizontal="center" vertical="center"/>
    </xf>
    <xf numFmtId="0" fontId="11" fillId="53" borderId="0" xfId="0" applyFont="1" applyFill="1" applyAlignment="1" applyProtection="1">
      <alignment horizontal="left"/>
    </xf>
    <xf numFmtId="0" fontId="0" fillId="53" borderId="0" xfId="0" applyFill="1" applyAlignment="1" applyProtection="1">
      <alignment vertical="center"/>
    </xf>
    <xf numFmtId="0" fontId="0" fillId="53" borderId="0" xfId="0" applyFill="1" applyProtection="1">
      <protection locked="0"/>
    </xf>
    <xf numFmtId="0" fontId="0" fillId="0" borderId="0" xfId="0" applyFill="1" applyProtection="1"/>
    <xf numFmtId="0" fontId="0" fillId="0" borderId="1" xfId="0" applyBorder="1" applyAlignment="1" applyProtection="1">
      <alignment vertical="center"/>
    </xf>
    <xf numFmtId="0" fontId="0" fillId="0" borderId="0" xfId="0" applyFill="1" applyProtection="1">
      <protection locked="0"/>
    </xf>
    <xf numFmtId="0" fontId="0" fillId="0" borderId="6" xfId="0" applyBorder="1" applyAlignment="1">
      <alignment horizontal="left" vertical="center"/>
    </xf>
    <xf numFmtId="166" fontId="13" fillId="0" borderId="0" xfId="0" applyNumberFormat="1" applyFont="1"/>
    <xf numFmtId="0" fontId="37" fillId="0" borderId="0" xfId="0" applyFont="1"/>
    <xf numFmtId="0" fontId="0" fillId="53" borderId="0" xfId="0" applyFill="1" applyAlignment="1" applyProtection="1">
      <alignment horizontal="right" vertical="center"/>
      <protection locked="0"/>
    </xf>
    <xf numFmtId="0" fontId="11" fillId="53" borderId="0" xfId="0" applyFont="1" applyFill="1" applyAlignment="1" applyProtection="1">
      <alignment vertical="center"/>
    </xf>
    <xf numFmtId="0" fontId="11" fillId="53" borderId="1" xfId="0" applyFont="1" applyFill="1" applyBorder="1" applyAlignment="1" applyProtection="1">
      <alignment vertical="center"/>
    </xf>
    <xf numFmtId="0" fontId="11" fillId="53" borderId="1" xfId="0" applyFont="1" applyFill="1" applyBorder="1" applyAlignment="1" applyProtection="1">
      <alignment vertical="center" wrapText="1"/>
    </xf>
    <xf numFmtId="0" fontId="37" fillId="53" borderId="1" xfId="0" applyFont="1" applyFill="1" applyBorder="1" applyAlignment="1" applyProtection="1">
      <alignment vertical="center" wrapText="1"/>
    </xf>
    <xf numFmtId="0" fontId="11" fillId="53" borderId="10" xfId="0" applyFont="1" applyFill="1" applyBorder="1" applyAlignment="1" applyProtection="1">
      <alignment vertical="center" wrapText="1"/>
    </xf>
    <xf numFmtId="166" fontId="15" fillId="0" borderId="0" xfId="0" applyNumberFormat="1" applyFont="1" applyAlignment="1">
      <alignment horizontal="center" vertical="center"/>
    </xf>
    <xf numFmtId="0" fontId="108" fillId="17" borderId="0" xfId="0" applyFont="1" applyFill="1" applyBorder="1"/>
    <xf numFmtId="49" fontId="22" fillId="0" borderId="0" xfId="0" applyNumberFormat="1" applyFont="1"/>
    <xf numFmtId="0" fontId="0" fillId="0" borderId="0" xfId="0" applyAlignment="1">
      <alignment horizontal="left" vertical="center"/>
    </xf>
    <xf numFmtId="0" fontId="109" fillId="0" borderId="0" xfId="0" applyFont="1"/>
    <xf numFmtId="0" fontId="110" fillId="0" borderId="0" xfId="0" applyFont="1"/>
    <xf numFmtId="165" fontId="8" fillId="4" borderId="0" xfId="0" applyNumberFormat="1" applyFont="1" applyFill="1"/>
    <xf numFmtId="165" fontId="19" fillId="0" borderId="3" xfId="0" applyNumberFormat="1" applyFont="1" applyBorder="1"/>
    <xf numFmtId="165" fontId="54" fillId="4" borderId="0" xfId="0" applyNumberFormat="1" applyFont="1" applyFill="1"/>
    <xf numFmtId="164" fontId="54" fillId="0" borderId="0" xfId="0" applyNumberFormat="1" applyFont="1"/>
    <xf numFmtId="165" fontId="10" fillId="4" borderId="0" xfId="0" applyNumberFormat="1" applyFont="1" applyFill="1"/>
    <xf numFmtId="0" fontId="110" fillId="0" borderId="2" xfId="0" applyFont="1" applyBorder="1"/>
    <xf numFmtId="165" fontId="111" fillId="4" borderId="0" xfId="0" applyNumberFormat="1" applyFont="1" applyFill="1"/>
    <xf numFmtId="164" fontId="111" fillId="0" borderId="0" xfId="0" applyNumberFormat="1" applyFont="1"/>
    <xf numFmtId="165" fontId="111" fillId="0" borderId="0" xfId="0" applyNumberFormat="1" applyFont="1"/>
    <xf numFmtId="0" fontId="13" fillId="4" borderId="0" xfId="0" applyFont="1" applyFill="1"/>
    <xf numFmtId="0" fontId="109" fillId="0" borderId="2" xfId="0" applyFont="1" applyBorder="1"/>
    <xf numFmtId="0" fontId="30" fillId="0" borderId="0" xfId="0" applyFont="1" applyFill="1" applyBorder="1" applyAlignment="1">
      <alignment horizontal="center" vertical="center"/>
    </xf>
    <xf numFmtId="0" fontId="30" fillId="0" borderId="36" xfId="0" applyFont="1" applyBorder="1" applyAlignment="1">
      <alignment horizontal="center" vertical="center"/>
    </xf>
    <xf numFmtId="0" fontId="30" fillId="0" borderId="36" xfId="0" applyFont="1" applyFill="1" applyBorder="1" applyAlignment="1">
      <alignment horizontal="center" vertical="center"/>
    </xf>
    <xf numFmtId="0" fontId="44" fillId="0" borderId="0" xfId="0" applyFont="1" applyAlignment="1">
      <alignment horizontal="left"/>
    </xf>
    <xf numFmtId="0" fontId="30" fillId="0" borderId="0" xfId="0" applyFont="1" applyFill="1" applyBorder="1" applyAlignment="1">
      <alignment horizontal="center" vertical="center"/>
    </xf>
    <xf numFmtId="0" fontId="30" fillId="8" borderId="0" xfId="0" applyFont="1" applyFill="1" applyBorder="1" applyAlignment="1">
      <alignment horizontal="center" vertical="center"/>
    </xf>
    <xf numFmtId="0" fontId="112" fillId="35" borderId="6" xfId="0" applyFont="1" applyFill="1" applyBorder="1" applyAlignment="1">
      <alignment horizontal="center" vertical="center" wrapText="1"/>
    </xf>
    <xf numFmtId="166" fontId="0" fillId="0" borderId="31" xfId="0" applyNumberFormat="1" applyBorder="1" applyAlignment="1">
      <alignment vertical="center"/>
    </xf>
    <xf numFmtId="166" fontId="0" fillId="0" borderId="28" xfId="0" applyNumberFormat="1" applyBorder="1" applyAlignment="1">
      <alignment vertical="center"/>
    </xf>
    <xf numFmtId="166" fontId="15" fillId="0" borderId="16" xfId="0" applyNumberFormat="1" applyFont="1" applyBorder="1" applyAlignment="1">
      <alignment vertical="center"/>
    </xf>
    <xf numFmtId="166" fontId="41" fillId="0" borderId="17" xfId="0" applyNumberFormat="1" applyFont="1" applyBorder="1" applyAlignment="1">
      <alignment vertical="center"/>
    </xf>
    <xf numFmtId="0" fontId="66" fillId="0" borderId="30" xfId="0" applyFont="1" applyFill="1" applyBorder="1" applyAlignment="1">
      <alignment vertical="center"/>
    </xf>
    <xf numFmtId="0" fontId="36" fillId="0" borderId="23" xfId="0" applyFont="1" applyFill="1" applyBorder="1" applyAlignment="1">
      <alignment vertical="center"/>
    </xf>
    <xf numFmtId="166" fontId="20" fillId="0" borderId="16" xfId="0" applyNumberFormat="1" applyFont="1" applyBorder="1" applyAlignment="1">
      <alignment vertical="center"/>
    </xf>
    <xf numFmtId="2" fontId="20" fillId="0" borderId="16" xfId="0" applyNumberFormat="1" applyFont="1" applyBorder="1" applyAlignment="1">
      <alignment vertical="center"/>
    </xf>
    <xf numFmtId="166" fontId="20" fillId="0" borderId="17" xfId="0" applyNumberFormat="1" applyFont="1" applyBorder="1" applyAlignment="1">
      <alignment vertical="center"/>
    </xf>
    <xf numFmtId="167" fontId="20" fillId="0" borderId="2" xfId="1" applyNumberFormat="1" applyFont="1" applyBorder="1" applyAlignment="1">
      <alignment vertical="center"/>
    </xf>
    <xf numFmtId="0" fontId="22" fillId="0" borderId="0" xfId="0" applyFont="1" applyAlignment="1">
      <alignment horizontal="center"/>
    </xf>
    <xf numFmtId="0" fontId="1" fillId="0" borderId="52" xfId="0" applyFont="1" applyFill="1" applyBorder="1"/>
    <xf numFmtId="0" fontId="0" fillId="0" borderId="0" xfId="0" applyFont="1" applyFill="1"/>
    <xf numFmtId="0" fontId="13" fillId="0" borderId="0" xfId="0" applyFont="1" applyFill="1"/>
    <xf numFmtId="0" fontId="3" fillId="0" borderId="0" xfId="0" applyFont="1" applyFill="1"/>
    <xf numFmtId="0" fontId="54" fillId="0" borderId="0" xfId="0" applyFont="1" applyFill="1"/>
    <xf numFmtId="0" fontId="0" fillId="0" borderId="0" xfId="0" applyFont="1" applyFill="1" applyBorder="1"/>
    <xf numFmtId="0" fontId="22" fillId="0" borderId="0" xfId="0" applyFont="1" applyFill="1" applyBorder="1" applyAlignment="1"/>
    <xf numFmtId="0" fontId="22" fillId="0" borderId="2" xfId="0" applyFont="1" applyFill="1" applyBorder="1" applyAlignment="1"/>
    <xf numFmtId="0" fontId="0" fillId="0" borderId="2" xfId="0" applyFont="1" applyFill="1" applyBorder="1"/>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horizontal="left" vertical="center"/>
    </xf>
    <xf numFmtId="0" fontId="0" fillId="0" borderId="6" xfId="0" applyBorder="1" applyAlignment="1">
      <alignment horizontal="left" vertical="center"/>
    </xf>
    <xf numFmtId="0" fontId="0" fillId="0" borderId="2" xfId="0" applyBorder="1" applyAlignment="1">
      <alignment horizontal="left" vertical="center"/>
    </xf>
    <xf numFmtId="1" fontId="3" fillId="0" borderId="2" xfId="0" applyNumberFormat="1" applyFont="1" applyBorder="1"/>
    <xf numFmtId="0" fontId="0" fillId="0" borderId="0" xfId="0" applyFill="1" applyProtection="1"/>
    <xf numFmtId="0" fontId="0" fillId="0" borderId="0" xfId="0" applyFill="1" applyProtection="1">
      <protection locked="0"/>
    </xf>
    <xf numFmtId="0" fontId="35" fillId="0" borderId="9" xfId="0" applyFont="1" applyFill="1" applyBorder="1" applyAlignment="1" applyProtection="1">
      <alignment horizontal="left" vertical="center"/>
    </xf>
    <xf numFmtId="0" fontId="96" fillId="0" borderId="21" xfId="0" applyFont="1" applyBorder="1" applyAlignment="1">
      <alignment horizontal="center"/>
    </xf>
    <xf numFmtId="0" fontId="22" fillId="0" borderId="17" xfId="0" applyFont="1" applyFill="1" applyBorder="1" applyAlignment="1" applyProtection="1">
      <alignment horizontal="center"/>
    </xf>
    <xf numFmtId="0" fontId="22" fillId="0" borderId="10" xfId="0" applyFont="1" applyFill="1" applyBorder="1" applyAlignment="1" applyProtection="1">
      <alignment horizontal="center"/>
    </xf>
    <xf numFmtId="0" fontId="22" fillId="0" borderId="2" xfId="0" applyFont="1" applyBorder="1"/>
    <xf numFmtId="0" fontId="22" fillId="0" borderId="23" xfId="0" applyFont="1" applyFill="1" applyBorder="1" applyAlignment="1" applyProtection="1">
      <alignment horizontal="center"/>
    </xf>
    <xf numFmtId="0" fontId="0" fillId="0" borderId="0" xfId="0" applyAlignment="1">
      <alignment horizontal="left" vertical="center"/>
    </xf>
    <xf numFmtId="0" fontId="0" fillId="0" borderId="1" xfId="0" applyBorder="1" applyAlignment="1" applyProtection="1">
      <alignment vertical="center"/>
    </xf>
    <xf numFmtId="0" fontId="0" fillId="0" borderId="0" xfId="0" applyAlignment="1">
      <alignment horizontal="left" vertical="center"/>
    </xf>
    <xf numFmtId="0" fontId="22" fillId="0" borderId="53" xfId="0" applyFont="1" applyFill="1" applyBorder="1" applyAlignment="1"/>
    <xf numFmtId="0" fontId="0" fillId="0" borderId="28" xfId="0" applyFont="1" applyFill="1" applyBorder="1"/>
    <xf numFmtId="0" fontId="3" fillId="0" borderId="2" xfId="0" applyFont="1" applyFill="1" applyBorder="1"/>
    <xf numFmtId="0" fontId="1" fillId="0" borderId="28" xfId="0" applyFont="1" applyFill="1" applyBorder="1"/>
    <xf numFmtId="0" fontId="114" fillId="17" borderId="0" xfId="0" applyFont="1" applyFill="1" applyBorder="1" applyAlignment="1">
      <alignment horizontal="left" vertical="center"/>
    </xf>
    <xf numFmtId="0" fontId="0" fillId="0" borderId="41" xfId="0" applyBorder="1" applyAlignment="1">
      <alignment horizontal="center"/>
    </xf>
    <xf numFmtId="0" fontId="0" fillId="0" borderId="1" xfId="0" applyBorder="1" applyAlignment="1" applyProtection="1">
      <alignment vertical="center"/>
    </xf>
    <xf numFmtId="0" fontId="0" fillId="0" borderId="6" xfId="0" applyBorder="1" applyAlignment="1">
      <alignment vertical="center"/>
    </xf>
    <xf numFmtId="0" fontId="70" fillId="35" borderId="6" xfId="0" applyFont="1" applyFill="1" applyBorder="1" applyAlignment="1">
      <alignment horizontal="left" wrapText="1"/>
    </xf>
    <xf numFmtId="0" fontId="0" fillId="42" borderId="0" xfId="0" applyFill="1" applyAlignment="1">
      <alignment vertical="center"/>
    </xf>
    <xf numFmtId="0" fontId="0" fillId="58" borderId="0" xfId="0" applyFill="1" applyAlignment="1">
      <alignment vertical="center"/>
    </xf>
    <xf numFmtId="0" fontId="0" fillId="46" borderId="0" xfId="0" applyFill="1" applyAlignment="1">
      <alignment vertical="center"/>
    </xf>
    <xf numFmtId="0" fontId="0" fillId="0" borderId="32" xfId="0" applyBorder="1"/>
    <xf numFmtId="2" fontId="22" fillId="0" borderId="2" xfId="0" applyNumberFormat="1" applyFont="1" applyBorder="1"/>
    <xf numFmtId="0" fontId="38" fillId="35" borderId="0" xfId="0" applyFont="1" applyFill="1" applyBorder="1" applyAlignment="1">
      <alignment horizontal="center" wrapText="1"/>
    </xf>
    <xf numFmtId="0" fontId="38" fillId="35" borderId="10" xfId="0" applyFont="1" applyFill="1" applyBorder="1" applyAlignment="1">
      <alignment horizontal="left" wrapText="1"/>
    </xf>
    <xf numFmtId="0" fontId="70" fillId="35" borderId="6" xfId="0" applyFont="1" applyFill="1" applyBorder="1" applyAlignment="1">
      <alignment horizontal="center" wrapText="1"/>
    </xf>
    <xf numFmtId="0" fontId="0" fillId="0" borderId="9" xfId="0" applyFill="1" applyBorder="1" applyAlignment="1" applyProtection="1">
      <alignment vertical="center"/>
    </xf>
    <xf numFmtId="0" fontId="0" fillId="0" borderId="11" xfId="0" applyBorder="1" applyAlignment="1" applyProtection="1">
      <alignment vertical="center" wrapText="1"/>
    </xf>
    <xf numFmtId="0" fontId="58" fillId="35" borderId="12" xfId="0" applyFont="1" applyFill="1" applyBorder="1" applyAlignment="1">
      <alignment horizontal="center" vertical="center" wrapText="1"/>
    </xf>
    <xf numFmtId="0" fontId="38" fillId="35" borderId="13" xfId="0" applyFont="1" applyFill="1" applyBorder="1" applyAlignment="1">
      <alignment horizontal="left" wrapText="1"/>
    </xf>
    <xf numFmtId="0" fontId="0" fillId="0" borderId="0" xfId="0" applyAlignment="1">
      <alignment horizontal="left" vertical="center"/>
    </xf>
    <xf numFmtId="0" fontId="0" fillId="0" borderId="2" xfId="0" applyBorder="1" applyAlignment="1">
      <alignment horizontal="left" vertical="center"/>
    </xf>
    <xf numFmtId="0" fontId="115" fillId="33" borderId="0" xfId="0" applyFont="1" applyFill="1" applyBorder="1" applyAlignment="1">
      <alignment horizontal="left" wrapText="1"/>
    </xf>
    <xf numFmtId="0" fontId="55" fillId="33" borderId="0" xfId="0" applyFont="1" applyFill="1" applyBorder="1" applyAlignment="1">
      <alignment horizontal="center" wrapText="1"/>
    </xf>
    <xf numFmtId="0" fontId="55" fillId="33" borderId="10" xfId="0" applyFont="1" applyFill="1" applyBorder="1" applyAlignment="1">
      <alignment horizontal="left" wrapText="1"/>
    </xf>
    <xf numFmtId="0" fontId="115" fillId="2" borderId="0" xfId="0" applyFont="1" applyFill="1" applyBorder="1" applyAlignment="1">
      <alignment horizontal="left" wrapText="1"/>
    </xf>
    <xf numFmtId="0" fontId="55" fillId="2" borderId="0" xfId="0" applyFont="1" applyFill="1" applyBorder="1" applyAlignment="1">
      <alignment horizontal="center" wrapText="1"/>
    </xf>
    <xf numFmtId="0" fontId="55" fillId="2" borderId="10" xfId="0" applyFont="1" applyFill="1" applyBorder="1" applyAlignment="1">
      <alignment horizontal="left" wrapText="1"/>
    </xf>
    <xf numFmtId="0" fontId="115" fillId="34" borderId="0" xfId="0" applyFont="1" applyFill="1" applyBorder="1" applyAlignment="1">
      <alignment horizontal="left" wrapText="1"/>
    </xf>
    <xf numFmtId="0" fontId="55" fillId="34" borderId="0" xfId="0" applyFont="1" applyFill="1" applyBorder="1" applyAlignment="1">
      <alignment horizontal="center" wrapText="1"/>
    </xf>
    <xf numFmtId="0" fontId="55" fillId="34" borderId="10" xfId="0" applyFont="1" applyFill="1" applyBorder="1" applyAlignment="1">
      <alignment horizontal="left" wrapText="1"/>
    </xf>
    <xf numFmtId="0" fontId="116" fillId="35" borderId="0" xfId="0" applyFont="1" applyFill="1" applyBorder="1" applyAlignment="1">
      <alignment horizontal="left" wrapText="1"/>
    </xf>
    <xf numFmtId="0" fontId="69" fillId="35" borderId="0" xfId="0" applyFont="1" applyFill="1" applyBorder="1" applyAlignment="1">
      <alignment horizontal="center" wrapText="1"/>
    </xf>
    <xf numFmtId="0" fontId="69" fillId="35" borderId="10" xfId="0" applyFont="1" applyFill="1" applyBorder="1" applyAlignment="1">
      <alignment horizontal="left" wrapText="1"/>
    </xf>
    <xf numFmtId="0" fontId="117" fillId="59" borderId="0" xfId="0" applyFont="1" applyFill="1" applyAlignment="1">
      <alignment horizontal="center" vertical="center" wrapText="1"/>
    </xf>
    <xf numFmtId="0" fontId="45" fillId="60" borderId="0" xfId="0" applyFont="1" applyFill="1" applyBorder="1" applyAlignment="1">
      <alignment horizontal="center" vertical="center" wrapText="1"/>
    </xf>
    <xf numFmtId="0" fontId="117" fillId="61" borderId="0" xfId="0" applyFont="1" applyFill="1" applyAlignment="1">
      <alignment horizontal="center" vertical="center" wrapText="1"/>
    </xf>
    <xf numFmtId="0" fontId="117" fillId="62" borderId="0" xfId="0" applyFont="1" applyFill="1" applyAlignment="1">
      <alignment horizontal="center" vertical="center" wrapText="1"/>
    </xf>
    <xf numFmtId="0" fontId="117" fillId="63" borderId="0" xfId="0" applyFont="1" applyFill="1" applyAlignment="1">
      <alignment horizontal="center" vertical="center" wrapText="1"/>
    </xf>
    <xf numFmtId="0" fontId="38" fillId="31" borderId="0" xfId="0" applyFont="1" applyFill="1" applyBorder="1" applyAlignment="1">
      <alignment horizontal="center" wrapText="1"/>
    </xf>
    <xf numFmtId="0" fontId="38" fillId="30" borderId="0" xfId="0" applyFont="1" applyFill="1" applyBorder="1" applyAlignment="1">
      <alignment horizontal="center" wrapText="1"/>
    </xf>
    <xf numFmtId="0" fontId="38" fillId="36" borderId="0" xfId="0" applyFont="1" applyFill="1" applyBorder="1" applyAlignment="1">
      <alignment horizontal="center" vertical="center" wrapText="1"/>
    </xf>
    <xf numFmtId="0" fontId="38" fillId="37" borderId="0" xfId="0" applyFont="1" applyFill="1" applyBorder="1" applyAlignment="1">
      <alignment horizontal="center" vertical="center" wrapText="1"/>
    </xf>
    <xf numFmtId="0" fontId="38" fillId="13" borderId="0" xfId="0" applyFont="1" applyFill="1" applyBorder="1" applyAlignment="1">
      <alignment horizontal="center" vertical="center" wrapText="1"/>
    </xf>
    <xf numFmtId="0" fontId="110" fillId="0" borderId="0" xfId="0" applyFont="1" applyBorder="1"/>
    <xf numFmtId="0" fontId="109" fillId="0" borderId="0" xfId="0" applyFont="1" applyBorder="1"/>
    <xf numFmtId="0" fontId="47" fillId="0" borderId="2" xfId="0" applyFont="1" applyBorder="1"/>
    <xf numFmtId="165" fontId="9" fillId="0" borderId="0" xfId="0" applyNumberFormat="1" applyFont="1" applyBorder="1"/>
    <xf numFmtId="164" fontId="22" fillId="0" borderId="0" xfId="0" applyNumberFormat="1" applyFont="1" applyBorder="1"/>
    <xf numFmtId="165" fontId="0" fillId="0" borderId="0" xfId="0" applyNumberFormat="1" applyBorder="1"/>
    <xf numFmtId="164" fontId="85" fillId="0" borderId="0" xfId="0" applyNumberFormat="1" applyFont="1" applyBorder="1"/>
    <xf numFmtId="165" fontId="8" fillId="0" borderId="0" xfId="0" applyNumberFormat="1" applyFont="1" applyBorder="1"/>
    <xf numFmtId="164" fontId="10" fillId="0" borderId="0" xfId="0" applyNumberFormat="1" applyFont="1" applyBorder="1"/>
    <xf numFmtId="165" fontId="0" fillId="4" borderId="4" xfId="0" applyNumberFormat="1" applyFill="1" applyBorder="1"/>
    <xf numFmtId="165" fontId="21" fillId="24" borderId="1" xfId="0" applyNumberFormat="1" applyFont="1" applyFill="1" applyBorder="1"/>
    <xf numFmtId="165" fontId="10" fillId="4" borderId="1" xfId="0" applyNumberFormat="1" applyFont="1" applyFill="1" applyBorder="1"/>
    <xf numFmtId="165" fontId="21" fillId="24" borderId="4" xfId="0" applyNumberFormat="1" applyFont="1" applyFill="1" applyBorder="1"/>
    <xf numFmtId="165" fontId="8" fillId="4" borderId="4" xfId="0" applyNumberFormat="1" applyFont="1" applyFill="1" applyBorder="1"/>
    <xf numFmtId="165" fontId="0" fillId="4" borderId="3" xfId="0" applyNumberFormat="1" applyFill="1" applyBorder="1"/>
    <xf numFmtId="165" fontId="19" fillId="0" borderId="0" xfId="0" applyNumberFormat="1" applyFont="1" applyBorder="1"/>
    <xf numFmtId="165" fontId="8" fillId="4" borderId="1" xfId="0" applyNumberFormat="1" applyFont="1" applyFill="1" applyBorder="1"/>
    <xf numFmtId="0" fontId="118" fillId="0" borderId="0" xfId="0" applyFont="1"/>
    <xf numFmtId="0" fontId="44" fillId="0" borderId="0" xfId="0" applyFont="1"/>
    <xf numFmtId="0" fontId="44" fillId="0" borderId="0" xfId="0" applyFont="1" applyAlignment="1">
      <alignment wrapText="1"/>
    </xf>
    <xf numFmtId="0" fontId="44" fillId="24" borderId="0" xfId="0" applyFont="1" applyFill="1"/>
    <xf numFmtId="0" fontId="44" fillId="24" borderId="0" xfId="0" applyFont="1" applyFill="1" applyAlignment="1">
      <alignment wrapText="1"/>
    </xf>
    <xf numFmtId="0" fontId="44" fillId="0" borderId="0" xfId="0" applyFont="1" applyFill="1" applyAlignment="1">
      <alignment wrapText="1"/>
    </xf>
    <xf numFmtId="0" fontId="67" fillId="38" borderId="0" xfId="0" applyFont="1" applyFill="1" applyAlignment="1">
      <alignment vertical="top"/>
    </xf>
    <xf numFmtId="0" fontId="38" fillId="0" borderId="0" xfId="0" applyFont="1" applyFill="1" applyAlignment="1">
      <alignment vertical="center"/>
    </xf>
    <xf numFmtId="0" fontId="44" fillId="38" borderId="0" xfId="0" applyFont="1" applyFill="1" applyAlignment="1">
      <alignment horizontal="center"/>
    </xf>
    <xf numFmtId="0" fontId="67" fillId="29" borderId="0" xfId="0" applyFont="1" applyFill="1" applyAlignment="1" applyProtection="1">
      <alignment vertical="top"/>
    </xf>
    <xf numFmtId="0" fontId="30" fillId="0" borderId="0" xfId="0" applyFont="1" applyBorder="1" applyAlignment="1">
      <alignment horizontal="center" vertical="center"/>
    </xf>
    <xf numFmtId="1" fontId="14" fillId="2" borderId="0" xfId="0" applyNumberFormat="1" applyFont="1" applyFill="1" applyBorder="1"/>
    <xf numFmtId="0" fontId="0" fillId="41" borderId="0" xfId="0" applyFill="1" applyBorder="1" applyAlignment="1">
      <alignment horizontal="right"/>
    </xf>
    <xf numFmtId="0" fontId="15" fillId="13" borderId="0" xfId="0" applyFont="1" applyFill="1" applyBorder="1"/>
    <xf numFmtId="0" fontId="82" fillId="13" borderId="0" xfId="0" applyFont="1" applyFill="1" applyBorder="1"/>
    <xf numFmtId="0" fontId="0" fillId="13" borderId="0" xfId="0" applyFill="1" applyBorder="1" applyAlignment="1">
      <alignment horizontal="right" wrapText="1"/>
    </xf>
    <xf numFmtId="1" fontId="14" fillId="13" borderId="0" xfId="0" applyNumberFormat="1" applyFont="1" applyFill="1" applyBorder="1"/>
    <xf numFmtId="1" fontId="0" fillId="13" borderId="0" xfId="0" applyNumberFormat="1" applyFill="1" applyBorder="1" applyAlignment="1">
      <alignment horizontal="center"/>
    </xf>
    <xf numFmtId="1" fontId="0" fillId="13" borderId="0" xfId="0" applyNumberFormat="1" applyFill="1" applyBorder="1" applyAlignment="1">
      <alignment horizontal="right"/>
    </xf>
    <xf numFmtId="166" fontId="0" fillId="13" borderId="0" xfId="0" applyNumberFormat="1" applyFill="1" applyBorder="1"/>
    <xf numFmtId="0" fontId="120" fillId="8" borderId="27" xfId="0" applyFont="1" applyFill="1" applyBorder="1" applyAlignment="1">
      <alignment horizontal="center" vertical="center" wrapText="1"/>
    </xf>
    <xf numFmtId="0" fontId="82" fillId="39" borderId="54" xfId="0" applyFont="1" applyFill="1" applyBorder="1" applyAlignment="1">
      <alignment horizontal="center" vertical="center" wrapText="1"/>
    </xf>
    <xf numFmtId="0" fontId="121" fillId="25" borderId="54" xfId="0" applyFont="1" applyFill="1" applyBorder="1" applyAlignment="1">
      <alignment horizontal="center" vertical="center" wrapText="1"/>
    </xf>
    <xf numFmtId="0" fontId="102" fillId="0" borderId="54" xfId="0" applyFont="1" applyBorder="1" applyAlignment="1">
      <alignment vertical="center"/>
    </xf>
    <xf numFmtId="0" fontId="107" fillId="0" borderId="54" xfId="0" applyFont="1" applyBorder="1" applyAlignment="1">
      <alignment horizontal="center" vertical="center" wrapText="1"/>
    </xf>
    <xf numFmtId="2" fontId="49" fillId="0" borderId="54" xfId="0" applyNumberFormat="1" applyFont="1" applyBorder="1" applyAlignment="1">
      <alignment horizontal="center" vertical="center" wrapText="1"/>
    </xf>
    <xf numFmtId="0" fontId="49" fillId="0" borderId="54" xfId="0" applyFont="1" applyBorder="1" applyAlignment="1">
      <alignment horizontal="center" vertical="center" wrapText="1"/>
    </xf>
    <xf numFmtId="2" fontId="102" fillId="0" borderId="54" xfId="0" applyNumberFormat="1" applyFont="1" applyBorder="1" applyAlignment="1">
      <alignment horizontal="right" vertical="center"/>
    </xf>
    <xf numFmtId="0" fontId="0" fillId="0" borderId="54" xfId="0" applyBorder="1" applyAlignment="1">
      <alignment horizontal="left" vertical="center"/>
    </xf>
    <xf numFmtId="0" fontId="26" fillId="0" borderId="54" xfId="0" applyFont="1" applyBorder="1"/>
    <xf numFmtId="2" fontId="102" fillId="0" borderId="54" xfId="0" applyNumberFormat="1" applyFont="1" applyBorder="1" applyAlignment="1">
      <alignment vertical="center"/>
    </xf>
    <xf numFmtId="2" fontId="102" fillId="0" borderId="54" xfId="0" applyNumberFormat="1" applyFont="1" applyBorder="1" applyAlignment="1">
      <alignment horizontal="center" vertical="center" wrapText="1"/>
    </xf>
    <xf numFmtId="0" fontId="102" fillId="0" borderId="54" xfId="0" applyFont="1" applyBorder="1" applyAlignment="1">
      <alignment horizontal="center" vertical="center" wrapText="1"/>
    </xf>
    <xf numFmtId="0" fontId="102" fillId="0" borderId="54" xfId="0" applyFont="1" applyBorder="1" applyAlignment="1">
      <alignment horizontal="right" vertical="center"/>
    </xf>
    <xf numFmtId="0" fontId="102" fillId="0" borderId="54" xfId="0" applyFont="1" applyBorder="1" applyAlignment="1">
      <alignment horizontal="left" vertical="center"/>
    </xf>
    <xf numFmtId="0" fontId="102" fillId="0" borderId="54" xfId="0" applyFont="1" applyBorder="1" applyAlignment="1">
      <alignment horizontal="left"/>
    </xf>
    <xf numFmtId="2" fontId="102" fillId="0" borderId="54" xfId="0" applyNumberFormat="1" applyFont="1" applyBorder="1" applyAlignment="1">
      <alignment horizontal="left" vertical="center" wrapText="1"/>
    </xf>
    <xf numFmtId="0" fontId="122" fillId="0" borderId="54" xfId="0" applyFont="1" applyBorder="1" applyAlignment="1">
      <alignment horizontal="left"/>
    </xf>
    <xf numFmtId="0" fontId="102" fillId="0" borderId="0" xfId="0" applyFont="1" applyAlignment="1">
      <alignment vertical="center"/>
    </xf>
    <xf numFmtId="0" fontId="123"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center" vertical="center"/>
    </xf>
    <xf numFmtId="0" fontId="102" fillId="57" borderId="0" xfId="0" applyFont="1" applyFill="1" applyAlignment="1">
      <alignment vertical="center"/>
    </xf>
    <xf numFmtId="0" fontId="102" fillId="57" borderId="0" xfId="0" applyFont="1" applyFill="1" applyAlignment="1">
      <alignment horizontal="center" vertical="center"/>
    </xf>
    <xf numFmtId="0" fontId="102" fillId="24" borderId="0" xfId="0" applyFont="1" applyFill="1" applyAlignment="1">
      <alignment vertical="center"/>
    </xf>
    <xf numFmtId="3" fontId="102" fillId="57" borderId="0" xfId="0" applyNumberFormat="1" applyFont="1" applyFill="1" applyAlignment="1">
      <alignment vertical="center"/>
    </xf>
    <xf numFmtId="3" fontId="102" fillId="0" borderId="0" xfId="0" applyNumberFormat="1" applyFont="1" applyAlignment="1">
      <alignment vertical="center"/>
    </xf>
    <xf numFmtId="0" fontId="1" fillId="0" borderId="0" xfId="0" applyFont="1" applyBorder="1" applyAlignment="1">
      <alignment horizontal="right" vertical="center" wrapText="1"/>
    </xf>
    <xf numFmtId="0" fontId="124" fillId="0" borderId="0" xfId="0" applyFont="1" applyBorder="1" applyAlignment="1">
      <alignment horizontal="left" vertical="center" wrapText="1"/>
    </xf>
    <xf numFmtId="0" fontId="13" fillId="0" borderId="0" xfId="0" applyFont="1" applyBorder="1" applyAlignment="1">
      <alignment horizontal="right" vertical="center" wrapText="1"/>
    </xf>
    <xf numFmtId="0" fontId="0" fillId="0" borderId="0" xfId="0" applyFont="1" applyAlignment="1">
      <alignment horizontal="left" vertical="center"/>
    </xf>
    <xf numFmtId="0" fontId="0" fillId="0" borderId="0" xfId="0" applyFont="1" applyAlignment="1">
      <alignment vertical="center"/>
    </xf>
    <xf numFmtId="0" fontId="123" fillId="0" borderId="0" xfId="0" applyFont="1" applyAlignment="1">
      <alignment horizontal="center" vertical="center"/>
    </xf>
    <xf numFmtId="0" fontId="44" fillId="0" borderId="36" xfId="0" applyFont="1" applyBorder="1" applyAlignment="1">
      <alignment horizontal="center" wrapText="1"/>
    </xf>
    <xf numFmtId="0" fontId="30" fillId="8" borderId="6" xfId="0" applyFont="1" applyFill="1" applyBorder="1" applyAlignment="1">
      <alignment horizontal="center" vertical="center"/>
    </xf>
    <xf numFmtId="0" fontId="35" fillId="8" borderId="6" xfId="0" applyFont="1" applyFill="1" applyBorder="1" applyAlignment="1">
      <alignment horizontal="center" vertical="center"/>
    </xf>
    <xf numFmtId="0" fontId="30" fillId="39" borderId="0" xfId="0" applyFont="1" applyFill="1" applyBorder="1" applyAlignment="1">
      <alignment horizontal="center" vertical="center" wrapText="1"/>
    </xf>
    <xf numFmtId="0" fontId="35" fillId="39" borderId="0" xfId="0" applyFont="1" applyFill="1" applyBorder="1" applyAlignment="1">
      <alignment horizontal="center" vertical="center" wrapText="1"/>
    </xf>
    <xf numFmtId="0" fontId="91" fillId="0" borderId="0" xfId="0" applyFont="1" applyFill="1" applyAlignment="1">
      <alignment vertical="top" wrapText="1"/>
    </xf>
    <xf numFmtId="0" fontId="24" fillId="0" borderId="0" xfId="0" applyFont="1" applyFill="1" applyBorder="1" applyAlignment="1">
      <alignment horizontal="left" vertical="center" wrapText="1"/>
    </xf>
    <xf numFmtId="0" fontId="24" fillId="0" borderId="0" xfId="0" applyFont="1" applyFill="1" applyAlignment="1">
      <alignment horizontal="right" vertical="center"/>
    </xf>
    <xf numFmtId="0" fontId="91" fillId="0" borderId="0" xfId="0" applyFont="1" applyFill="1" applyBorder="1" applyAlignment="1">
      <alignment horizontal="left" vertical="center"/>
    </xf>
    <xf numFmtId="0" fontId="24" fillId="0" borderId="0" xfId="0" applyFont="1" applyAlignment="1">
      <alignment horizontal="center" vertical="center"/>
    </xf>
    <xf numFmtId="0" fontId="30" fillId="25" borderId="2" xfId="0" applyFont="1" applyFill="1" applyBorder="1" applyAlignment="1">
      <alignment horizontal="center" vertical="center"/>
    </xf>
    <xf numFmtId="0" fontId="30" fillId="26" borderId="14" xfId="0" applyFont="1" applyFill="1" applyBorder="1" applyAlignment="1">
      <alignment horizontal="center" vertical="center" wrapText="1"/>
    </xf>
    <xf numFmtId="0" fontId="30" fillId="27" borderId="14" xfId="0" applyFont="1" applyFill="1" applyBorder="1" applyAlignment="1">
      <alignment horizontal="center" vertical="center" wrapText="1"/>
    </xf>
    <xf numFmtId="0" fontId="30" fillId="9" borderId="14" xfId="0" applyFont="1" applyFill="1" applyBorder="1" applyAlignment="1">
      <alignment horizontal="center" vertical="center" wrapText="1"/>
    </xf>
    <xf numFmtId="0" fontId="33" fillId="28" borderId="2" xfId="0" applyFont="1" applyFill="1" applyBorder="1" applyAlignment="1">
      <alignment horizontal="center" vertical="center"/>
    </xf>
    <xf numFmtId="0" fontId="15" fillId="0" borderId="0" xfId="0" applyFont="1" applyBorder="1" applyAlignment="1">
      <alignment horizontal="right"/>
    </xf>
    <xf numFmtId="0" fontId="15" fillId="0" borderId="1" xfId="0" applyFont="1" applyBorder="1" applyAlignment="1">
      <alignment horizontal="right"/>
    </xf>
    <xf numFmtId="0" fontId="0" fillId="53" borderId="0" xfId="0" applyFill="1" applyBorder="1" applyAlignment="1" applyProtection="1">
      <alignment horizontal="right" vertical="center"/>
      <protection locked="0"/>
    </xf>
    <xf numFmtId="0" fontId="0" fillId="53" borderId="0" xfId="0" applyFill="1" applyBorder="1" applyAlignment="1" applyProtection="1">
      <alignment horizontal="right" vertical="center" wrapText="1"/>
      <protection locked="0"/>
    </xf>
    <xf numFmtId="0" fontId="0" fillId="0" borderId="0" xfId="0" applyFill="1" applyProtection="1"/>
    <xf numFmtId="0" fontId="0" fillId="0" borderId="0" xfId="0" applyFill="1" applyBorder="1" applyProtection="1"/>
    <xf numFmtId="0" fontId="0" fillId="53" borderId="0" xfId="0" applyFont="1" applyFill="1" applyAlignment="1" applyProtection="1">
      <alignment horizontal="center" vertical="center"/>
      <protection locked="0"/>
    </xf>
    <xf numFmtId="0" fontId="0" fillId="53" borderId="0" xfId="0" applyFill="1" applyBorder="1" applyAlignment="1" applyProtection="1">
      <alignment horizontal="center" vertical="center" wrapText="1"/>
      <protection locked="0"/>
    </xf>
    <xf numFmtId="0" fontId="90" fillId="0" borderId="0" xfId="0" applyFont="1" applyFill="1" applyBorder="1" applyAlignment="1" applyProtection="1">
      <alignment vertical="center" wrapText="1"/>
      <protection locked="0"/>
    </xf>
    <xf numFmtId="0" fontId="90" fillId="0" borderId="1" xfId="0" applyFont="1" applyFill="1" applyBorder="1" applyAlignment="1" applyProtection="1">
      <alignment vertical="center" wrapText="1"/>
      <protection locked="0"/>
    </xf>
    <xf numFmtId="0" fontId="90" fillId="0" borderId="0" xfId="0" applyFont="1" applyFill="1" applyBorder="1" applyAlignment="1" applyProtection="1">
      <alignment vertical="center"/>
      <protection locked="0"/>
    </xf>
    <xf numFmtId="0" fontId="90" fillId="0" borderId="1" xfId="0" applyFont="1" applyFill="1" applyBorder="1" applyAlignment="1" applyProtection="1">
      <alignment vertical="center"/>
      <protection locked="0"/>
    </xf>
    <xf numFmtId="0" fontId="89" fillId="0" borderId="0" xfId="0" applyFont="1" applyFill="1" applyBorder="1" applyAlignment="1" applyProtection="1">
      <alignment vertical="center"/>
    </xf>
    <xf numFmtId="0" fontId="89" fillId="0" borderId="1" xfId="0" applyFont="1" applyFill="1" applyBorder="1" applyAlignment="1" applyProtection="1">
      <alignment vertical="center"/>
    </xf>
    <xf numFmtId="0" fontId="87" fillId="0" borderId="24" xfId="0" applyFont="1" applyFill="1" applyBorder="1" applyAlignment="1" applyProtection="1">
      <alignment vertical="center" wrapText="1"/>
    </xf>
    <xf numFmtId="0" fontId="87" fillId="0" borderId="25" xfId="0" applyFont="1" applyFill="1" applyBorder="1" applyAlignment="1" applyProtection="1">
      <alignment vertical="center" wrapText="1"/>
    </xf>
    <xf numFmtId="0" fontId="95" fillId="0" borderId="24" xfId="0" applyFont="1" applyFill="1" applyBorder="1" applyAlignment="1" applyProtection="1">
      <alignment vertical="center" textRotation="90" wrapText="1"/>
    </xf>
    <xf numFmtId="0" fontId="95" fillId="0" borderId="25" xfId="0" applyFont="1" applyFill="1" applyBorder="1" applyAlignment="1" applyProtection="1">
      <alignment vertical="center" textRotation="90" wrapText="1"/>
    </xf>
    <xf numFmtId="0" fontId="30" fillId="0" borderId="2"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166" fontId="30" fillId="0" borderId="24" xfId="1" applyNumberFormat="1" applyFont="1" applyBorder="1" applyAlignment="1" applyProtection="1">
      <alignment horizontal="center" vertical="center"/>
    </xf>
    <xf numFmtId="0" fontId="30" fillId="0" borderId="0" xfId="0" applyFont="1" applyFill="1" applyAlignment="1" applyProtection="1">
      <alignment horizontal="center" vertical="top"/>
    </xf>
    <xf numFmtId="0" fontId="30" fillId="0" borderId="0" xfId="0" applyFont="1" applyFill="1" applyBorder="1" applyAlignment="1" applyProtection="1">
      <alignment horizontal="center" vertical="top"/>
    </xf>
    <xf numFmtId="0" fontId="30" fillId="0" borderId="0" xfId="0" applyFont="1" applyFill="1" applyBorder="1" applyAlignment="1" applyProtection="1">
      <alignment horizontal="center" vertical="top" wrapText="1"/>
    </xf>
    <xf numFmtId="0" fontId="0" fillId="53" borderId="0" xfId="0" applyFill="1" applyProtection="1">
      <protection locked="0"/>
    </xf>
    <xf numFmtId="0" fontId="0" fillId="0" borderId="16" xfId="0" applyFill="1" applyBorder="1" applyProtection="1"/>
    <xf numFmtId="0" fontId="0" fillId="0" borderId="2" xfId="0" applyBorder="1" applyAlignment="1" applyProtection="1">
      <alignment vertical="center"/>
    </xf>
    <xf numFmtId="0" fontId="0" fillId="0" borderId="10" xfId="0" applyBorder="1" applyAlignment="1" applyProtection="1">
      <alignment vertical="center"/>
    </xf>
    <xf numFmtId="0" fontId="0" fillId="0" borderId="0" xfId="0" applyBorder="1" applyAlignment="1" applyProtection="1">
      <alignment vertical="center"/>
    </xf>
    <xf numFmtId="0" fontId="0" fillId="0" borderId="1" xfId="0" applyBorder="1" applyAlignment="1" applyProtection="1">
      <alignment vertical="center"/>
    </xf>
    <xf numFmtId="0" fontId="0" fillId="0" borderId="0" xfId="0" applyFill="1" applyProtection="1">
      <protection locked="0"/>
    </xf>
    <xf numFmtId="0" fontId="0" fillId="0" borderId="0" xfId="0" applyFill="1" applyBorder="1" applyAlignment="1" applyProtection="1">
      <alignment horizontal="right" vertical="center"/>
      <protection locked="0"/>
    </xf>
    <xf numFmtId="0" fontId="0" fillId="0" borderId="0" xfId="0" applyFont="1" applyFill="1" applyAlignment="1" applyProtection="1">
      <alignment horizontal="center" vertical="center"/>
      <protection locked="0"/>
    </xf>
    <xf numFmtId="0" fontId="0" fillId="0" borderId="0" xfId="0" applyFill="1" applyBorder="1" applyAlignment="1" applyProtection="1">
      <alignment horizontal="right" vertical="center" wrapText="1"/>
      <protection locked="0"/>
    </xf>
    <xf numFmtId="0" fontId="0" fillId="0" borderId="0" xfId="0" applyFill="1" applyBorder="1" applyAlignment="1" applyProtection="1">
      <alignment horizontal="center" vertical="center" wrapText="1"/>
      <protection locked="0"/>
    </xf>
    <xf numFmtId="0" fontId="0" fillId="0" borderId="28" xfId="0" applyBorder="1" applyAlignment="1" applyProtection="1">
      <alignment vertical="center"/>
    </xf>
    <xf numFmtId="0" fontId="0" fillId="0" borderId="9" xfId="0" applyBorder="1" applyAlignment="1" applyProtection="1">
      <alignment vertical="center"/>
    </xf>
    <xf numFmtId="0" fontId="55" fillId="0" borderId="24" xfId="0" applyFont="1" applyFill="1" applyBorder="1" applyAlignment="1" applyProtection="1">
      <alignment horizontal="center" vertical="center" wrapText="1"/>
    </xf>
    <xf numFmtId="0" fontId="55" fillId="0" borderId="25"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wrapText="1"/>
    </xf>
    <xf numFmtId="0" fontId="30" fillId="0" borderId="16" xfId="0" applyFont="1" applyFill="1" applyBorder="1" applyAlignment="1" applyProtection="1">
      <alignment horizontal="center"/>
    </xf>
    <xf numFmtId="0" fontId="30" fillId="0" borderId="0" xfId="0" applyFont="1" applyFill="1" applyBorder="1" applyAlignment="1" applyProtection="1">
      <alignment horizontal="center"/>
    </xf>
    <xf numFmtId="0" fontId="30" fillId="4" borderId="16" xfId="0" applyFont="1" applyFill="1" applyBorder="1" applyAlignment="1" applyProtection="1">
      <alignment horizontal="center" vertical="top"/>
    </xf>
    <xf numFmtId="0" fontId="30" fillId="4" borderId="0" xfId="0" applyFont="1" applyFill="1" applyBorder="1" applyAlignment="1" applyProtection="1">
      <alignment horizontal="center" vertical="top"/>
    </xf>
    <xf numFmtId="0" fontId="30" fillId="0" borderId="31" xfId="0" applyFont="1" applyFill="1" applyBorder="1" applyAlignment="1" applyProtection="1">
      <alignment horizontal="right" vertical="center"/>
    </xf>
    <xf numFmtId="0" fontId="30" fillId="0" borderId="28" xfId="0" applyFont="1" applyFill="1" applyBorder="1" applyAlignment="1" applyProtection="1">
      <alignment horizontal="right" vertical="center"/>
    </xf>
    <xf numFmtId="0" fontId="30" fillId="0" borderId="9"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0" borderId="2" xfId="0" applyFont="1" applyFill="1" applyBorder="1" applyAlignment="1" applyProtection="1">
      <alignment horizontal="right" vertical="center"/>
    </xf>
    <xf numFmtId="0" fontId="30" fillId="0" borderId="10" xfId="0" applyFont="1" applyFill="1" applyBorder="1" applyAlignment="1" applyProtection="1">
      <alignment horizontal="right" vertical="center"/>
    </xf>
    <xf numFmtId="0" fontId="30" fillId="0" borderId="0" xfId="0" applyFont="1" applyFill="1" applyAlignment="1" applyProtection="1">
      <alignment horizontal="right" vertical="center"/>
    </xf>
    <xf numFmtId="0" fontId="33" fillId="53" borderId="0" xfId="0" applyFont="1" applyFill="1" applyBorder="1" applyAlignment="1" applyProtection="1">
      <alignment horizontal="center" vertical="center" wrapText="1"/>
    </xf>
    <xf numFmtId="0" fontId="30" fillId="0" borderId="1" xfId="0" applyFont="1" applyFill="1" applyBorder="1" applyAlignment="1" applyProtection="1">
      <alignment horizontal="right" vertical="center" wrapText="1" indent="1"/>
    </xf>
    <xf numFmtId="0" fontId="30"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167" fontId="30" fillId="0" borderId="24" xfId="1" applyNumberFormat="1" applyFont="1" applyBorder="1" applyAlignment="1" applyProtection="1">
      <alignment horizontal="center" vertical="center"/>
    </xf>
    <xf numFmtId="0" fontId="30" fillId="0" borderId="0" xfId="0" applyFont="1" applyFill="1" applyBorder="1" applyAlignment="1" applyProtection="1">
      <alignment horizontal="right" vertical="center" wrapText="1" indent="1"/>
    </xf>
    <xf numFmtId="0" fontId="4" fillId="0" borderId="0" xfId="0" applyFont="1" applyBorder="1" applyAlignment="1" applyProtection="1">
      <alignment vertical="center"/>
    </xf>
    <xf numFmtId="0" fontId="4" fillId="0" borderId="1" xfId="0" applyFont="1" applyBorder="1" applyAlignment="1" applyProtection="1">
      <alignment vertical="center"/>
    </xf>
    <xf numFmtId="0" fontId="57" fillId="35" borderId="2" xfId="0" applyFont="1" applyFill="1" applyBorder="1" applyAlignment="1">
      <alignment horizontal="left" vertical="center" wrapText="1"/>
    </xf>
    <xf numFmtId="0" fontId="0" fillId="0" borderId="0" xfId="0" applyAlignment="1">
      <alignment horizontal="right" vertical="center"/>
    </xf>
    <xf numFmtId="0" fontId="0" fillId="0" borderId="16" xfId="0" applyBorder="1" applyAlignment="1">
      <alignment vertical="center"/>
    </xf>
    <xf numFmtId="0" fontId="0" fillId="0" borderId="0"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51" fillId="8" borderId="0" xfId="2" applyFont="1" applyFill="1" applyBorder="1" applyAlignment="1">
      <alignment horizontal="left"/>
    </xf>
    <xf numFmtId="0" fontId="0" fillId="0" borderId="6" xfId="0" applyBorder="1" applyAlignment="1">
      <alignment horizontal="right" vertical="center"/>
    </xf>
    <xf numFmtId="0" fontId="0" fillId="0" borderId="16" xfId="0" applyBorder="1" applyAlignment="1">
      <alignment horizontal="left" vertical="center"/>
    </xf>
    <xf numFmtId="0" fontId="0" fillId="0" borderId="0" xfId="0" applyAlignment="1">
      <alignment horizontal="left" vertical="center"/>
    </xf>
    <xf numFmtId="0" fontId="0" fillId="0" borderId="0" xfId="0" applyBorder="1" applyAlignment="1">
      <alignment horizontal="left" vertical="center"/>
    </xf>
    <xf numFmtId="0" fontId="0" fillId="0" borderId="32" xfId="0" applyBorder="1" applyAlignment="1">
      <alignment horizontal="left" vertical="center"/>
    </xf>
    <xf numFmtId="0" fontId="0" fillId="0" borderId="6" xfId="0" applyBorder="1" applyAlignment="1">
      <alignment horizontal="left" vertical="center"/>
    </xf>
    <xf numFmtId="0" fontId="0" fillId="0" borderId="31" xfId="0" applyBorder="1" applyAlignment="1">
      <alignment vertical="center"/>
    </xf>
    <xf numFmtId="0" fontId="0" fillId="0" borderId="28" xfId="0" applyBorder="1" applyAlignment="1">
      <alignment vertical="center"/>
    </xf>
    <xf numFmtId="0" fontId="18" fillId="8" borderId="0" xfId="0" applyFont="1" applyFill="1" applyBorder="1"/>
    <xf numFmtId="0" fontId="24" fillId="8" borderId="0" xfId="0" applyFont="1" applyFill="1" applyAlignment="1">
      <alignment vertical="top"/>
    </xf>
    <xf numFmtId="0" fontId="57" fillId="35" borderId="17" xfId="0" applyFont="1" applyFill="1" applyBorder="1" applyAlignment="1">
      <alignment horizontal="left" vertical="center" wrapText="1"/>
    </xf>
    <xf numFmtId="0" fontId="24" fillId="24" borderId="21" xfId="0" applyFont="1" applyFill="1" applyBorder="1" applyAlignment="1">
      <alignment horizontal="left" vertical="center"/>
    </xf>
    <xf numFmtId="0" fontId="24" fillId="24" borderId="22" xfId="0" applyFont="1" applyFill="1" applyBorder="1" applyAlignment="1">
      <alignment horizontal="left" vertical="center"/>
    </xf>
    <xf numFmtId="0" fontId="24" fillId="24" borderId="5" xfId="0" applyFont="1" applyFill="1" applyBorder="1" applyAlignment="1">
      <alignment horizontal="left" vertical="center"/>
    </xf>
    <xf numFmtId="0" fontId="24" fillId="24" borderId="7" xfId="0" applyFont="1" applyFill="1" applyBorder="1" applyAlignment="1">
      <alignment horizontal="left" vertical="center"/>
    </xf>
    <xf numFmtId="0" fontId="24" fillId="0" borderId="16" xfId="0" applyFont="1" applyBorder="1" applyAlignment="1">
      <alignment vertical="center" wrapText="1"/>
    </xf>
    <xf numFmtId="0" fontId="24" fillId="0" borderId="0" xfId="0" applyFont="1" applyBorder="1" applyAlignment="1">
      <alignment vertical="center" wrapText="1"/>
    </xf>
    <xf numFmtId="0" fontId="70" fillId="35" borderId="6" xfId="0" applyFont="1" applyFill="1" applyBorder="1" applyAlignment="1">
      <alignment horizontal="left" vertical="center" wrapText="1"/>
    </xf>
    <xf numFmtId="0" fontId="0" fillId="0" borderId="17" xfId="0" applyBorder="1" applyAlignment="1">
      <alignment horizontal="left" vertical="center"/>
    </xf>
    <xf numFmtId="0" fontId="0" fillId="0" borderId="2" xfId="0" applyBorder="1" applyAlignment="1">
      <alignment horizontal="left" vertical="center"/>
    </xf>
    <xf numFmtId="0" fontId="0" fillId="0" borderId="28" xfId="0" applyBorder="1" applyAlignment="1">
      <alignment horizontal="left" vertical="center"/>
    </xf>
    <xf numFmtId="0" fontId="67" fillId="0" borderId="0" xfId="0" applyFont="1" applyFill="1" applyAlignment="1">
      <alignment vertical="top"/>
    </xf>
  </cellXfs>
  <cellStyles count="4">
    <cellStyle name="Hyperlink" xfId="2" builtinId="8"/>
    <cellStyle name="Normal" xfId="0" builtinId="0" customBuiltin="1"/>
    <cellStyle name="Normal 2" xfId="3" xr:uid="{B8F8B983-E455-6548-ADD3-0E713F1E0E65}"/>
    <cellStyle name="Per cent" xfId="1" builtinId="5"/>
  </cellStyles>
  <dxfs count="23">
    <dxf>
      <fill>
        <patternFill>
          <bgColor rgb="FFFB7A7F"/>
        </patternFill>
      </fill>
    </dxf>
    <dxf>
      <fill>
        <patternFill>
          <bgColor theme="7"/>
        </patternFill>
      </fill>
    </dxf>
    <dxf>
      <fill>
        <patternFill>
          <bgColor theme="7" tint="0.79998168889431442"/>
        </patternFill>
      </fill>
    </dxf>
    <dxf>
      <fill>
        <patternFill>
          <bgColor theme="7" tint="0.59996337778862885"/>
        </patternFill>
      </fill>
    </dxf>
    <dxf>
      <fill>
        <patternFill>
          <bgColor theme="7" tint="0.39994506668294322"/>
        </patternFill>
      </fill>
    </dxf>
    <dxf>
      <fill>
        <patternFill>
          <bgColor rgb="FFEDC965"/>
        </patternFill>
      </fill>
    </dxf>
    <dxf>
      <font>
        <b val="0"/>
        <i val="0"/>
        <color theme="0"/>
      </font>
      <fill>
        <patternFill>
          <bgColor rgb="FF008200"/>
        </patternFill>
      </fill>
    </dxf>
    <dxf>
      <font>
        <b val="0"/>
        <i val="0"/>
        <color theme="0"/>
      </font>
      <fill>
        <patternFill>
          <bgColor theme="5"/>
        </patternFill>
      </fill>
    </dxf>
    <dxf>
      <font>
        <b val="0"/>
        <i val="0"/>
        <color theme="0"/>
      </font>
      <fill>
        <patternFill>
          <bgColor theme="1" tint="0.34998626667073579"/>
        </patternFill>
      </fill>
    </dxf>
    <dxf>
      <font>
        <b val="0"/>
        <i val="0"/>
        <color theme="0"/>
      </font>
      <fill>
        <patternFill>
          <bgColor rgb="FF4593D6"/>
        </patternFill>
      </fill>
    </dxf>
    <dxf>
      <font>
        <b val="0"/>
        <i val="0"/>
        <color theme="0"/>
      </font>
      <fill>
        <patternFill>
          <bgColor rgb="FF9751C2"/>
        </patternFill>
      </fill>
    </dxf>
    <dxf>
      <fill>
        <patternFill>
          <bgColor theme="7"/>
        </patternFill>
      </fill>
    </dxf>
    <dxf>
      <fill>
        <patternFill>
          <bgColor theme="7" tint="0.79998168889431442"/>
        </patternFill>
      </fill>
    </dxf>
    <dxf>
      <fill>
        <patternFill>
          <bgColor theme="7" tint="0.59996337778862885"/>
        </patternFill>
      </fill>
    </dxf>
    <dxf>
      <fill>
        <patternFill>
          <bgColor theme="7" tint="0.39994506668294322"/>
        </patternFill>
      </fill>
    </dxf>
    <dxf>
      <fill>
        <patternFill>
          <bgColor rgb="FFEDC965"/>
        </patternFill>
      </fill>
    </dxf>
    <dxf>
      <font>
        <b val="0"/>
        <i val="0"/>
        <color theme="0"/>
      </font>
      <fill>
        <patternFill>
          <bgColor rgb="FF008200"/>
        </patternFill>
      </fill>
    </dxf>
    <dxf>
      <font>
        <b val="0"/>
        <i val="0"/>
        <color theme="0"/>
      </font>
      <fill>
        <patternFill>
          <bgColor theme="5"/>
        </patternFill>
      </fill>
    </dxf>
    <dxf>
      <font>
        <b val="0"/>
        <i val="0"/>
        <color theme="0"/>
      </font>
      <fill>
        <patternFill>
          <bgColor theme="1" tint="0.34998626667073579"/>
        </patternFill>
      </fill>
    </dxf>
    <dxf>
      <font>
        <b val="0"/>
        <i val="0"/>
        <color theme="0"/>
      </font>
      <fill>
        <patternFill>
          <bgColor rgb="FF4593D6"/>
        </patternFill>
      </fill>
    </dxf>
    <dxf>
      <font>
        <b val="0"/>
        <i val="0"/>
        <color theme="0"/>
      </font>
      <fill>
        <patternFill>
          <bgColor rgb="FF9751C2"/>
        </patternFill>
      </fill>
    </dxf>
    <dxf>
      <fill>
        <patternFill>
          <bgColor theme="9" tint="0.59996337778862885"/>
        </patternFill>
      </fill>
    </dxf>
    <dxf>
      <font>
        <b val="0"/>
        <i val="0"/>
      </font>
      <fill>
        <patternFill>
          <bgColor theme="7" tint="0.59996337778862885"/>
        </patternFill>
      </fill>
    </dxf>
  </dxfs>
  <tableStyles count="0" defaultTableStyle="TableStyleMedium2" defaultPivotStyle="PivotStyleLight16"/>
  <colors>
    <mruColors>
      <color rgb="FF9751C3"/>
      <color rgb="FF595A59"/>
      <color rgb="FF636363"/>
      <color rgb="FF72C5F4"/>
      <color rgb="FFB7B7B7"/>
      <color rgb="FF997300"/>
      <color rgb="FF9E480D"/>
      <color rgb="FF77CFB4"/>
      <color rgb="FFF8787D"/>
      <color rgb="FFD3E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1442025629149E-2"/>
          <c:y val="1.9435064287850096E-2"/>
          <c:w val="0.90052989997871891"/>
          <c:h val="0.55539081032592441"/>
        </c:manualLayout>
      </c:layout>
      <c:barChart>
        <c:barDir val="col"/>
        <c:grouping val="clustered"/>
        <c:varyColors val="0"/>
        <c:ser>
          <c:idx val="0"/>
          <c:order val="0"/>
          <c:spPr>
            <a:solidFill>
              <a:schemeClr val="accent4">
                <a:lumMod val="75000"/>
              </a:schemeClr>
            </a:solidFill>
            <a:ln>
              <a:noFill/>
            </a:ln>
            <a:effectLst/>
          </c:spPr>
          <c:invertIfNegative val="0"/>
          <c:cat>
            <c:strRef>
              <c:f>'Charts and graphs'!$A$18:$A$40</c:f>
              <c:strCache>
                <c:ptCount val="23"/>
                <c:pt idx="0">
                  <c:v>kcal / meal</c:v>
                </c:pt>
                <c:pt idx="1">
                  <c:v>carbohydrate</c:v>
                </c:pt>
                <c:pt idx="2">
                  <c:v>protein</c:v>
                </c:pt>
                <c:pt idx="3">
                  <c:v>fat</c:v>
                </c:pt>
                <c:pt idx="4">
                  <c:v>fibre</c:v>
                </c:pt>
                <c:pt idx="5">
                  <c:v>fatty acids, total unsaturated</c:v>
                </c:pt>
                <c:pt idx="6">
                  <c:v>sodium</c:v>
                </c:pt>
                <c:pt idx="7">
                  <c:v>potassium</c:v>
                </c:pt>
                <c:pt idx="8">
                  <c:v>calcium</c:v>
                </c:pt>
                <c:pt idx="9">
                  <c:v>magnesium</c:v>
                </c:pt>
                <c:pt idx="10">
                  <c:v>prosphorus</c:v>
                </c:pt>
                <c:pt idx="11">
                  <c:v>iron, total</c:v>
                </c:pt>
                <c:pt idx="12">
                  <c:v>zinc</c:v>
                </c:pt>
                <c:pt idx="13">
                  <c:v>copper</c:v>
                </c:pt>
                <c:pt idx="14">
                  <c:v>vitamin A</c:v>
                </c:pt>
                <c:pt idx="15">
                  <c:v>vitamin B1 (thiamine)</c:v>
                </c:pt>
                <c:pt idx="16">
                  <c:v>vitamin B2 (riboflavin)</c:v>
                </c:pt>
                <c:pt idx="17">
                  <c:v>niacin equivalents</c:v>
                </c:pt>
                <c:pt idx="18">
                  <c:v>vitamin B6, total</c:v>
                </c:pt>
                <c:pt idx="19">
                  <c:v>folate, total</c:v>
                </c:pt>
                <c:pt idx="20">
                  <c:v>vitamin B12</c:v>
                </c:pt>
                <c:pt idx="21">
                  <c:v>vitamin C</c:v>
                </c:pt>
                <c:pt idx="22">
                  <c:v>vitamin D</c:v>
                </c:pt>
              </c:strCache>
            </c:strRef>
          </c:cat>
          <c:val>
            <c:numRef>
              <c:f>'Charts and graphs'!$F$18:$F$40</c:f>
              <c:numCache>
                <c:formatCode>0.0</c:formatCode>
                <c:ptCount val="23"/>
                <c:pt idx="0">
                  <c:v>102.55386221703024</c:v>
                </c:pt>
                <c:pt idx="1">
                  <c:v>96.267566429604614</c:v>
                </c:pt>
                <c:pt idx="2">
                  <c:v>89.501302290134618</c:v>
                </c:pt>
                <c:pt idx="3">
                  <c:v>115.33877335493024</c:v>
                </c:pt>
                <c:pt idx="4">
                  <c:v>165.29430783136533</c:v>
                </c:pt>
                <c:pt idx="5">
                  <c:v>66.451321325932611</c:v>
                </c:pt>
                <c:pt idx="6">
                  <c:v>103.77492561378909</c:v>
                </c:pt>
                <c:pt idx="7">
                  <c:v>170.28704180450907</c:v>
                </c:pt>
                <c:pt idx="8">
                  <c:v>75.247392499792568</c:v>
                </c:pt>
                <c:pt idx="9">
                  <c:v>143.69803088625079</c:v>
                </c:pt>
                <c:pt idx="10">
                  <c:v>149.12503528629654</c:v>
                </c:pt>
                <c:pt idx="11">
                  <c:v>107.43684927811016</c:v>
                </c:pt>
                <c:pt idx="12">
                  <c:v>173.29193411975652</c:v>
                </c:pt>
                <c:pt idx="13">
                  <c:v>168.79363448661331</c:v>
                </c:pt>
                <c:pt idx="14">
                  <c:v>141.4293970057968</c:v>
                </c:pt>
                <c:pt idx="15">
                  <c:v>136.72602498679811</c:v>
                </c:pt>
                <c:pt idx="16">
                  <c:v>105.74059107579205</c:v>
                </c:pt>
                <c:pt idx="17">
                  <c:v>157.22028671739548</c:v>
                </c:pt>
                <c:pt idx="18">
                  <c:v>260.24936236644749</c:v>
                </c:pt>
                <c:pt idx="19">
                  <c:v>173.49276570144235</c:v>
                </c:pt>
                <c:pt idx="20">
                  <c:v>74.469880804208955</c:v>
                </c:pt>
                <c:pt idx="21">
                  <c:v>120.73696735291796</c:v>
                </c:pt>
                <c:pt idx="22">
                  <c:v>56.10246817294118</c:v>
                </c:pt>
              </c:numCache>
            </c:numRef>
          </c:val>
          <c:extLst>
            <c:ext xmlns:c16="http://schemas.microsoft.com/office/drawing/2014/chart" uri="{C3380CC4-5D6E-409C-BE32-E72D297353CC}">
              <c16:uniqueId val="{00000000-5B1A-234C-B453-F80DDEA083FB}"/>
            </c:ext>
          </c:extLst>
        </c:ser>
        <c:dLbls>
          <c:showLegendKey val="0"/>
          <c:showVal val="0"/>
          <c:showCatName val="0"/>
          <c:showSerName val="0"/>
          <c:showPercent val="0"/>
          <c:showBubbleSize val="0"/>
        </c:dLbls>
        <c:gapWidth val="70"/>
        <c:axId val="478269551"/>
        <c:axId val="478271231"/>
      </c:barChart>
      <c:catAx>
        <c:axId val="478269551"/>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GB" sz="1400"/>
                  <a:t>Nutrients</a:t>
                </a:r>
              </a:p>
            </c:rich>
          </c:tx>
          <c:layout>
            <c:manualLayout>
              <c:xMode val="edge"/>
              <c:yMode val="edge"/>
              <c:x val="0.37990017598155229"/>
              <c:y val="0.9360389945403230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478271231"/>
        <c:crosses val="autoZero"/>
        <c:auto val="1"/>
        <c:lblAlgn val="ctr"/>
        <c:lblOffset val="0"/>
        <c:noMultiLvlLbl val="0"/>
      </c:catAx>
      <c:valAx>
        <c:axId val="478271231"/>
        <c:scaling>
          <c:orientation val="minMax"/>
          <c:max val="225"/>
          <c:min val="-1.0000000000000004E-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GB" sz="1400"/>
                  <a:t>%</a:t>
                </a:r>
              </a:p>
            </c:rich>
          </c:tx>
          <c:layout>
            <c:manualLayout>
              <c:xMode val="edge"/>
              <c:yMode val="edge"/>
              <c:x val="3.1190300117088809E-3"/>
              <c:y val="0.27081710355825778"/>
            </c:manualLayout>
          </c:layout>
          <c:overlay val="0"/>
          <c:spPr>
            <a:noFill/>
            <a:ln>
              <a:noFill/>
            </a:ln>
            <a:effectLst/>
          </c:spPr>
          <c:txPr>
            <a:bodyPr rot="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478269551"/>
        <c:crosses val="autoZero"/>
        <c:crossBetween val="between"/>
        <c:majorUnit val="25"/>
      </c:valAx>
      <c:spPr>
        <a:solidFill>
          <a:schemeClr val="bg1"/>
        </a:solid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Arial" panose="020B0604020202020204" pitchFamily="34" charset="0"/>
                <a:ea typeface="+mn-ea"/>
                <a:cs typeface="Arial" panose="020B0604020202020204" pitchFamily="34" charset="0"/>
              </a:defRPr>
            </a:pPr>
            <a:r>
              <a:rPr lang="en-GB"/>
              <a:t>% vrsta namirnice (Ponedeljak: doručak+užina+ručak)</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RS"/>
        </a:p>
      </c:txPr>
    </c:title>
    <c:autoTitleDeleted val="0"/>
    <c:plotArea>
      <c:layout/>
      <c:pieChart>
        <c:varyColors val="1"/>
        <c:ser>
          <c:idx val="0"/>
          <c:order val="0"/>
          <c:dPt>
            <c:idx val="0"/>
            <c:bubble3D val="0"/>
            <c:spPr>
              <a:solidFill>
                <a:srgbClr val="00B050"/>
              </a:solidFill>
              <a:ln w="19050">
                <a:noFill/>
              </a:ln>
              <a:effectLst/>
            </c:spPr>
            <c:extLst>
              <c:ext xmlns:c16="http://schemas.microsoft.com/office/drawing/2014/chart" uri="{C3380CC4-5D6E-409C-BE32-E72D297353CC}">
                <c16:uniqueId val="{00000001-12D0-9C42-9F48-0F7CFCF8E834}"/>
              </c:ext>
            </c:extLst>
          </c:dPt>
          <c:dPt>
            <c:idx val="1"/>
            <c:bubble3D val="0"/>
            <c:spPr>
              <a:solidFill>
                <a:srgbClr val="00E66F"/>
              </a:solidFill>
              <a:ln w="19050">
                <a:noFill/>
              </a:ln>
              <a:effectLst/>
            </c:spPr>
            <c:extLst>
              <c:ext xmlns:c16="http://schemas.microsoft.com/office/drawing/2014/chart" uri="{C3380CC4-5D6E-409C-BE32-E72D297353CC}">
                <c16:uniqueId val="{00000003-12D0-9C42-9F48-0F7CFCF8E834}"/>
              </c:ext>
            </c:extLst>
          </c:dPt>
          <c:dPt>
            <c:idx val="2"/>
            <c:bubble3D val="0"/>
            <c:spPr>
              <a:solidFill>
                <a:srgbClr val="FFC002"/>
              </a:solidFill>
              <a:ln w="19050">
                <a:noFill/>
              </a:ln>
              <a:effectLst/>
            </c:spPr>
            <c:extLst>
              <c:ext xmlns:c16="http://schemas.microsoft.com/office/drawing/2014/chart" uri="{C3380CC4-5D6E-409C-BE32-E72D297353CC}">
                <c16:uniqueId val="{00000005-12D0-9C42-9F48-0F7CFCF8E834}"/>
              </c:ext>
            </c:extLst>
          </c:dPt>
          <c:dPt>
            <c:idx val="3"/>
            <c:bubble3D val="0"/>
            <c:spPr>
              <a:solidFill>
                <a:srgbClr val="0170C0"/>
              </a:solidFill>
              <a:ln w="19050">
                <a:noFill/>
              </a:ln>
              <a:effectLst/>
            </c:spPr>
            <c:extLst>
              <c:ext xmlns:c16="http://schemas.microsoft.com/office/drawing/2014/chart" uri="{C3380CC4-5D6E-409C-BE32-E72D297353CC}">
                <c16:uniqueId val="{00000007-12D0-9C42-9F48-0F7CFCF8E834}"/>
              </c:ext>
            </c:extLst>
          </c:dPt>
          <c:dPt>
            <c:idx val="4"/>
            <c:bubble3D val="0"/>
            <c:spPr>
              <a:solidFill>
                <a:srgbClr val="8B6AE2"/>
              </a:solidFill>
              <a:ln w="19050">
                <a:noFill/>
              </a:ln>
              <a:effectLst/>
            </c:spPr>
            <c:extLst>
              <c:ext xmlns:c16="http://schemas.microsoft.com/office/drawing/2014/chart" uri="{C3380CC4-5D6E-409C-BE32-E72D297353CC}">
                <c16:uniqueId val="{00000009-12D0-9C42-9F48-0F7CFCF8E834}"/>
              </c:ext>
            </c:extLst>
          </c:dPt>
          <c:dPt>
            <c:idx val="5"/>
            <c:bubble3D val="0"/>
            <c:spPr>
              <a:solidFill>
                <a:srgbClr val="72C5F2"/>
              </a:solidFill>
              <a:ln w="19050">
                <a:noFill/>
              </a:ln>
              <a:effectLst/>
            </c:spPr>
            <c:extLst>
              <c:ext xmlns:c16="http://schemas.microsoft.com/office/drawing/2014/chart" uri="{C3380CC4-5D6E-409C-BE32-E72D297353CC}">
                <c16:uniqueId val="{0000000B-12D0-9C42-9F48-0F7CFCF8E834}"/>
              </c:ext>
            </c:extLst>
          </c:dPt>
          <c:dPt>
            <c:idx val="6"/>
            <c:bubble3D val="0"/>
            <c:spPr>
              <a:solidFill>
                <a:srgbClr val="D2E700"/>
              </a:solidFill>
              <a:ln w="19050">
                <a:noFill/>
              </a:ln>
              <a:effectLst/>
            </c:spPr>
            <c:extLst>
              <c:ext xmlns:c16="http://schemas.microsoft.com/office/drawing/2014/chart" uri="{C3380CC4-5D6E-409C-BE32-E72D297353CC}">
                <c16:uniqueId val="{0000000D-12D0-9C42-9F48-0F7CFCF8E834}"/>
              </c:ext>
            </c:extLst>
          </c:dPt>
          <c:dPt>
            <c:idx val="7"/>
            <c:bubble3D val="0"/>
            <c:spPr>
              <a:solidFill>
                <a:srgbClr val="92D050"/>
              </a:solidFill>
              <a:ln w="19050">
                <a:noFill/>
              </a:ln>
              <a:effectLst/>
            </c:spPr>
            <c:extLst>
              <c:ext xmlns:c16="http://schemas.microsoft.com/office/drawing/2014/chart" uri="{C3380CC4-5D6E-409C-BE32-E72D297353CC}">
                <c16:uniqueId val="{0000000F-12D0-9C42-9F48-0F7CFCF8E834}"/>
              </c:ext>
            </c:extLst>
          </c:dPt>
          <c:dPt>
            <c:idx val="8"/>
            <c:bubble3D val="0"/>
            <c:spPr>
              <a:solidFill>
                <a:srgbClr val="9E480D"/>
              </a:solidFill>
              <a:ln w="19050">
                <a:noFill/>
              </a:ln>
              <a:effectLst/>
            </c:spPr>
            <c:extLst>
              <c:ext xmlns:c16="http://schemas.microsoft.com/office/drawing/2014/chart" uri="{C3380CC4-5D6E-409C-BE32-E72D297353CC}">
                <c16:uniqueId val="{00000011-12D0-9C42-9F48-0F7CFCF8E834}"/>
              </c:ext>
            </c:extLst>
          </c:dPt>
          <c:dPt>
            <c:idx val="9"/>
            <c:bubble3D val="0"/>
            <c:spPr>
              <a:solidFill>
                <a:srgbClr val="636363"/>
              </a:solidFill>
              <a:ln w="19050">
                <a:noFill/>
              </a:ln>
              <a:effectLst/>
            </c:spPr>
            <c:extLst>
              <c:ext xmlns:c16="http://schemas.microsoft.com/office/drawing/2014/chart" uri="{C3380CC4-5D6E-409C-BE32-E72D297353CC}">
                <c16:uniqueId val="{00000013-12D0-9C42-9F48-0F7CFCF8E834}"/>
              </c:ext>
            </c:extLst>
          </c:dPt>
          <c:dPt>
            <c:idx val="10"/>
            <c:bubble3D val="0"/>
            <c:spPr>
              <a:solidFill>
                <a:srgbClr val="997300"/>
              </a:solidFill>
              <a:ln w="19050">
                <a:noFill/>
              </a:ln>
              <a:effectLst/>
            </c:spPr>
            <c:extLst>
              <c:ext xmlns:c16="http://schemas.microsoft.com/office/drawing/2014/chart" uri="{C3380CC4-5D6E-409C-BE32-E72D297353CC}">
                <c16:uniqueId val="{00000015-12D0-9C42-9F48-0F7CFCF8E834}"/>
              </c:ext>
            </c:extLst>
          </c:dPt>
          <c:dPt>
            <c:idx val="11"/>
            <c:bubble3D val="0"/>
            <c:spPr>
              <a:solidFill>
                <a:srgbClr val="F8787D"/>
              </a:solidFill>
              <a:ln w="19050">
                <a:noFill/>
              </a:ln>
              <a:effectLst/>
            </c:spPr>
            <c:extLst>
              <c:ext xmlns:c16="http://schemas.microsoft.com/office/drawing/2014/chart" uri="{C3380CC4-5D6E-409C-BE32-E72D297353CC}">
                <c16:uniqueId val="{00000017-12D0-9C42-9F48-0F7CFCF8E834}"/>
              </c:ext>
            </c:extLst>
          </c:dPt>
          <c:dPt>
            <c:idx val="12"/>
            <c:bubble3D val="0"/>
            <c:spPr>
              <a:solidFill>
                <a:srgbClr val="C00000"/>
              </a:solidFill>
              <a:ln w="19050">
                <a:noFill/>
              </a:ln>
              <a:effectLst/>
            </c:spPr>
            <c:extLst>
              <c:ext xmlns:c16="http://schemas.microsoft.com/office/drawing/2014/chart" uri="{C3380CC4-5D6E-409C-BE32-E72D297353CC}">
                <c16:uniqueId val="{00000019-12D0-9C42-9F48-0F7CFCF8E834}"/>
              </c:ext>
            </c:extLst>
          </c:dPt>
          <c:dPt>
            <c:idx val="13"/>
            <c:bubble3D val="0"/>
            <c:spPr>
              <a:solidFill>
                <a:srgbClr val="FF9A53"/>
              </a:solidFill>
              <a:ln w="19050">
                <a:noFill/>
              </a:ln>
              <a:effectLst/>
            </c:spPr>
            <c:extLst>
              <c:ext xmlns:c16="http://schemas.microsoft.com/office/drawing/2014/chart" uri="{C3380CC4-5D6E-409C-BE32-E72D297353CC}">
                <c16:uniqueId val="{0000001B-12D0-9C42-9F48-0F7CFCF8E834}"/>
              </c:ext>
            </c:extLst>
          </c:dPt>
          <c:dPt>
            <c:idx val="14"/>
            <c:bubble3D val="0"/>
            <c:spPr>
              <a:solidFill>
                <a:srgbClr val="C29A83"/>
              </a:solidFill>
              <a:ln w="19050">
                <a:noFill/>
              </a:ln>
              <a:effectLst/>
            </c:spPr>
            <c:extLst>
              <c:ext xmlns:c16="http://schemas.microsoft.com/office/drawing/2014/chart" uri="{C3380CC4-5D6E-409C-BE32-E72D297353CC}">
                <c16:uniqueId val="{0000001D-12D0-9C42-9F48-0F7CFCF8E834}"/>
              </c:ext>
            </c:extLst>
          </c:dPt>
          <c:dPt>
            <c:idx val="15"/>
            <c:bubble3D val="0"/>
            <c:spPr>
              <a:solidFill>
                <a:srgbClr val="77D1B4"/>
              </a:solidFill>
              <a:ln w="19050">
                <a:noFill/>
              </a:ln>
              <a:effectLst/>
            </c:spPr>
            <c:extLst>
              <c:ext xmlns:c16="http://schemas.microsoft.com/office/drawing/2014/chart" uri="{C3380CC4-5D6E-409C-BE32-E72D297353CC}">
                <c16:uniqueId val="{0000001F-12D0-9C42-9F48-0F7CFCF8E834}"/>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Sheet3!$B$87:$B$102</c:f>
              <c:strCache>
                <c:ptCount val="16"/>
                <c:pt idx="0">
                  <c:v>Povrće_i_pečurke_sveže_smrznuto</c:v>
                </c:pt>
                <c:pt idx="1">
                  <c:v>Povrće_prerađeno</c:v>
                </c:pt>
                <c:pt idx="2">
                  <c:v>Voća_orasi_sušeno_voće</c:v>
                </c:pt>
                <c:pt idx="3">
                  <c:v>Meso_sveže_smrznuto</c:v>
                </c:pt>
                <c:pt idx="4">
                  <c:v>Meso_prerađeno</c:v>
                </c:pt>
                <c:pt idx="5">
                  <c:v>Riba_sveže_smrznuta_konzervirana</c:v>
                </c:pt>
                <c:pt idx="6">
                  <c:v>Jaja</c:v>
                </c:pt>
                <c:pt idx="7">
                  <c:v>Mlečni_proizvodi</c:v>
                </c:pt>
                <c:pt idx="8">
                  <c:v>Ulja_maslac_margarin</c:v>
                </c:pt>
                <c:pt idx="9">
                  <c:v>Brašno_testenina_seme_žitarica</c:v>
                </c:pt>
                <c:pt idx="10">
                  <c:v>Umaci_pire_prelivi_začini</c:v>
                </c:pt>
                <c:pt idx="11">
                  <c:v>Slatka_hrana_keks</c:v>
                </c:pt>
                <c:pt idx="12">
                  <c:v>Hleb_i_peciva_slana+slatka_peciva</c:v>
                </c:pt>
                <c:pt idx="13">
                  <c:v>Ostala_gotova_hrana</c:v>
                </c:pt>
                <c:pt idx="14">
                  <c:v>Šećerna_piča_čajevi_kafa</c:v>
                </c:pt>
                <c:pt idx="15">
                  <c:v>Voćni_sokovi_voda</c:v>
                </c:pt>
              </c:strCache>
            </c:strRef>
          </c:cat>
          <c:val>
            <c:numRef>
              <c:f>Sheet3!$H$87:$H$102</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0-12D0-9C42-9F48-0F7CFCF8E83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a:solidFill>
                  <a:schemeClr val="accent1">
                    <a:lumMod val="75000"/>
                  </a:schemeClr>
                </a:solidFill>
              </a:rPr>
              <a:t> </a:t>
            </a:r>
          </a:p>
        </c:rich>
      </c:tx>
      <c:layout>
        <c:manualLayout>
          <c:xMode val="edge"/>
          <c:yMode val="edge"/>
          <c:x val="0.95214844824180545"/>
          <c:y val="2.0218086836154003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RS"/>
        </a:p>
      </c:txPr>
    </c:title>
    <c:autoTitleDeleted val="0"/>
    <c:plotArea>
      <c:layout>
        <c:manualLayout>
          <c:layoutTarget val="inner"/>
          <c:xMode val="edge"/>
          <c:yMode val="edge"/>
          <c:x val="0.17051249929693052"/>
          <c:y val="0.16199110653822948"/>
          <c:w val="0.63695810387702334"/>
          <c:h val="0.73268150165049173"/>
        </c:manualLayout>
      </c:layout>
      <c:pieChart>
        <c:varyColors val="1"/>
        <c:ser>
          <c:idx val="0"/>
          <c:order val="0"/>
          <c:tx>
            <c:strRef>
              <c:f>'Charts and graphs'!$O$15</c:f>
              <c:strCache>
                <c:ptCount val="1"/>
                <c:pt idx="0">
                  <c:v>Lunch eaten by children: % recommended</c:v>
                </c:pt>
              </c:strCache>
            </c:strRef>
          </c:tx>
          <c:spPr>
            <a:ln>
              <a:noFill/>
            </a:ln>
          </c:spPr>
          <c:dPt>
            <c:idx val="0"/>
            <c:bubble3D val="0"/>
            <c:spPr>
              <a:solidFill>
                <a:srgbClr val="00B050"/>
              </a:solidFill>
              <a:ln w="19050">
                <a:noFill/>
              </a:ln>
              <a:effectLst/>
            </c:spPr>
            <c:extLst>
              <c:ext xmlns:c16="http://schemas.microsoft.com/office/drawing/2014/chart" uri="{C3380CC4-5D6E-409C-BE32-E72D297353CC}">
                <c16:uniqueId val="{00000001-FD6E-B641-8BFB-57E9276E2A7C}"/>
              </c:ext>
            </c:extLst>
          </c:dPt>
          <c:dPt>
            <c:idx val="1"/>
            <c:bubble3D val="0"/>
            <c:spPr>
              <a:solidFill>
                <a:srgbClr val="00E56E"/>
              </a:solidFill>
              <a:ln w="19050">
                <a:noFill/>
              </a:ln>
              <a:effectLst/>
            </c:spPr>
            <c:extLst>
              <c:ext xmlns:c16="http://schemas.microsoft.com/office/drawing/2014/chart" uri="{C3380CC4-5D6E-409C-BE32-E72D297353CC}">
                <c16:uniqueId val="{00000003-FD6E-B641-8BFB-57E9276E2A7C}"/>
              </c:ext>
            </c:extLst>
          </c:dPt>
          <c:dPt>
            <c:idx val="2"/>
            <c:bubble3D val="0"/>
            <c:spPr>
              <a:solidFill>
                <a:schemeClr val="accent4"/>
              </a:solidFill>
              <a:ln w="19050">
                <a:noFill/>
              </a:ln>
              <a:effectLst/>
            </c:spPr>
            <c:extLst>
              <c:ext xmlns:c16="http://schemas.microsoft.com/office/drawing/2014/chart" uri="{C3380CC4-5D6E-409C-BE32-E72D297353CC}">
                <c16:uniqueId val="{00000005-FD6E-B641-8BFB-57E9276E2A7C}"/>
              </c:ext>
            </c:extLst>
          </c:dPt>
          <c:dPt>
            <c:idx val="3"/>
            <c:bubble3D val="0"/>
            <c:spPr>
              <a:solidFill>
                <a:srgbClr val="0070C0"/>
              </a:solidFill>
              <a:ln w="19050">
                <a:noFill/>
              </a:ln>
              <a:effectLst/>
            </c:spPr>
            <c:extLst>
              <c:ext xmlns:c16="http://schemas.microsoft.com/office/drawing/2014/chart" uri="{C3380CC4-5D6E-409C-BE32-E72D297353CC}">
                <c16:uniqueId val="{00000007-FD6E-B641-8BFB-57E9276E2A7C}"/>
              </c:ext>
            </c:extLst>
          </c:dPt>
          <c:dPt>
            <c:idx val="4"/>
            <c:bubble3D val="0"/>
            <c:spPr>
              <a:solidFill>
                <a:srgbClr val="8A6AE6"/>
              </a:solidFill>
              <a:ln w="19050">
                <a:noFill/>
              </a:ln>
              <a:effectLst/>
            </c:spPr>
            <c:extLst>
              <c:ext xmlns:c16="http://schemas.microsoft.com/office/drawing/2014/chart" uri="{C3380CC4-5D6E-409C-BE32-E72D297353CC}">
                <c16:uniqueId val="{00000009-FD6E-B641-8BFB-57E9276E2A7C}"/>
              </c:ext>
            </c:extLst>
          </c:dPt>
          <c:dPt>
            <c:idx val="5"/>
            <c:bubble3D val="0"/>
            <c:spPr>
              <a:solidFill>
                <a:srgbClr val="72C5F4"/>
              </a:solidFill>
              <a:ln w="19050">
                <a:noFill/>
              </a:ln>
              <a:effectLst/>
            </c:spPr>
            <c:extLst>
              <c:ext xmlns:c16="http://schemas.microsoft.com/office/drawing/2014/chart" uri="{C3380CC4-5D6E-409C-BE32-E72D297353CC}">
                <c16:uniqueId val="{0000000B-FD6E-B641-8BFB-57E9276E2A7C}"/>
              </c:ext>
            </c:extLst>
          </c:dPt>
          <c:dPt>
            <c:idx val="6"/>
            <c:bubble3D val="0"/>
            <c:spPr>
              <a:solidFill>
                <a:srgbClr val="D3EA00"/>
              </a:solidFill>
              <a:ln w="19050">
                <a:noFill/>
              </a:ln>
              <a:effectLst/>
            </c:spPr>
            <c:extLst>
              <c:ext xmlns:c16="http://schemas.microsoft.com/office/drawing/2014/chart" uri="{C3380CC4-5D6E-409C-BE32-E72D297353CC}">
                <c16:uniqueId val="{0000000D-FD6E-B641-8BFB-57E9276E2A7C}"/>
              </c:ext>
            </c:extLst>
          </c:dPt>
          <c:dPt>
            <c:idx val="7"/>
            <c:bubble3D val="0"/>
            <c:spPr>
              <a:solidFill>
                <a:srgbClr val="92D050"/>
              </a:solidFill>
              <a:ln w="19050">
                <a:noFill/>
              </a:ln>
              <a:effectLst/>
            </c:spPr>
            <c:extLst>
              <c:ext xmlns:c16="http://schemas.microsoft.com/office/drawing/2014/chart" uri="{C3380CC4-5D6E-409C-BE32-E72D297353CC}">
                <c16:uniqueId val="{0000000F-FD6E-B641-8BFB-57E9276E2A7C}"/>
              </c:ext>
            </c:extLst>
          </c:dPt>
          <c:dPt>
            <c:idx val="8"/>
            <c:bubble3D val="0"/>
            <c:spPr>
              <a:solidFill>
                <a:srgbClr val="9E480D"/>
              </a:solidFill>
              <a:ln w="19050">
                <a:noFill/>
              </a:ln>
              <a:effectLst/>
            </c:spPr>
            <c:extLst>
              <c:ext xmlns:c16="http://schemas.microsoft.com/office/drawing/2014/chart" uri="{C3380CC4-5D6E-409C-BE32-E72D297353CC}">
                <c16:uniqueId val="{00000011-FD6E-B641-8BFB-57E9276E2A7C}"/>
              </c:ext>
            </c:extLst>
          </c:dPt>
          <c:dPt>
            <c:idx val="9"/>
            <c:bubble3D val="0"/>
            <c:spPr>
              <a:solidFill>
                <a:srgbClr val="636363"/>
              </a:solidFill>
              <a:ln w="19050">
                <a:noFill/>
              </a:ln>
              <a:effectLst/>
            </c:spPr>
            <c:extLst>
              <c:ext xmlns:c16="http://schemas.microsoft.com/office/drawing/2014/chart" uri="{C3380CC4-5D6E-409C-BE32-E72D297353CC}">
                <c16:uniqueId val="{00000013-FD6E-B641-8BFB-57E9276E2A7C}"/>
              </c:ext>
            </c:extLst>
          </c:dPt>
          <c:dPt>
            <c:idx val="10"/>
            <c:bubble3D val="0"/>
            <c:spPr>
              <a:solidFill>
                <a:srgbClr val="997300"/>
              </a:solidFill>
              <a:ln w="19050">
                <a:noFill/>
              </a:ln>
              <a:effectLst/>
            </c:spPr>
            <c:extLst>
              <c:ext xmlns:c16="http://schemas.microsoft.com/office/drawing/2014/chart" uri="{C3380CC4-5D6E-409C-BE32-E72D297353CC}">
                <c16:uniqueId val="{00000015-FD6E-B641-8BFB-57E9276E2A7C}"/>
              </c:ext>
            </c:extLst>
          </c:dPt>
          <c:dPt>
            <c:idx val="11"/>
            <c:bubble3D val="0"/>
            <c:spPr>
              <a:solidFill>
                <a:srgbClr val="F8787D"/>
              </a:solidFill>
              <a:ln w="19050">
                <a:noFill/>
              </a:ln>
              <a:effectLst/>
            </c:spPr>
            <c:extLst>
              <c:ext xmlns:c16="http://schemas.microsoft.com/office/drawing/2014/chart" uri="{C3380CC4-5D6E-409C-BE32-E72D297353CC}">
                <c16:uniqueId val="{00000017-FD6E-B641-8BFB-57E9276E2A7C}"/>
              </c:ext>
            </c:extLst>
          </c:dPt>
          <c:dPt>
            <c:idx val="12"/>
            <c:bubble3D val="0"/>
            <c:spPr>
              <a:solidFill>
                <a:srgbClr val="C00000"/>
              </a:solidFill>
              <a:ln w="19050">
                <a:noFill/>
              </a:ln>
              <a:effectLst/>
            </c:spPr>
            <c:extLst>
              <c:ext xmlns:c16="http://schemas.microsoft.com/office/drawing/2014/chart" uri="{C3380CC4-5D6E-409C-BE32-E72D297353CC}">
                <c16:uniqueId val="{00000019-FD6E-B641-8BFB-57E9276E2A7C}"/>
              </c:ext>
            </c:extLst>
          </c:dPt>
          <c:dPt>
            <c:idx val="13"/>
            <c:bubble3D val="0"/>
            <c:spPr>
              <a:solidFill>
                <a:schemeClr val="accent2">
                  <a:lumMod val="80000"/>
                  <a:lumOff val="20000"/>
                </a:schemeClr>
              </a:solidFill>
              <a:ln w="19050">
                <a:noFill/>
              </a:ln>
              <a:effectLst/>
            </c:spPr>
            <c:extLst>
              <c:ext xmlns:c16="http://schemas.microsoft.com/office/drawing/2014/chart" uri="{C3380CC4-5D6E-409C-BE32-E72D297353CC}">
                <c16:uniqueId val="{0000001B-FD6E-B641-8BFB-57E9276E2A7C}"/>
              </c:ext>
            </c:extLst>
          </c:dPt>
          <c:dPt>
            <c:idx val="14"/>
            <c:bubble3D val="0"/>
            <c:spPr>
              <a:solidFill>
                <a:srgbClr val="B7B7B7"/>
              </a:solidFill>
              <a:ln w="19050">
                <a:noFill/>
              </a:ln>
              <a:effectLst/>
            </c:spPr>
            <c:extLst>
              <c:ext xmlns:c16="http://schemas.microsoft.com/office/drawing/2014/chart" uri="{C3380CC4-5D6E-409C-BE32-E72D297353CC}">
                <c16:uniqueId val="{0000001D-FD6E-B641-8BFB-57E9276E2A7C}"/>
              </c:ext>
            </c:extLst>
          </c:dPt>
          <c:dPt>
            <c:idx val="15"/>
            <c:bubble3D val="0"/>
            <c:spPr>
              <a:solidFill>
                <a:srgbClr val="77CFB4"/>
              </a:solidFill>
              <a:ln w="19050">
                <a:noFill/>
              </a:ln>
              <a:effectLst/>
            </c:spPr>
            <c:extLst>
              <c:ext xmlns:c16="http://schemas.microsoft.com/office/drawing/2014/chart" uri="{C3380CC4-5D6E-409C-BE32-E72D297353CC}">
                <c16:uniqueId val="{0000001F-FD6E-B641-8BFB-57E9276E2A7C}"/>
              </c:ext>
            </c:extLst>
          </c:dPt>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 and graphs'!$R$67:$R$82</c:f>
              <c:strCache>
                <c:ptCount val="16"/>
                <c:pt idx="0">
                  <c:v>1. Vegetables_mushrooms_fresh_frozen</c:v>
                </c:pt>
                <c:pt idx="1">
                  <c:v>2. Vegetables_processed</c:v>
                </c:pt>
                <c:pt idx="2">
                  <c:v>3. Fruits_nuts_dried_fruit</c:v>
                </c:pt>
                <c:pt idx="3">
                  <c:v>4. Meat_fresh_frozen</c:v>
                </c:pt>
                <c:pt idx="4">
                  <c:v>5. Meat_processed</c:v>
                </c:pt>
                <c:pt idx="5">
                  <c:v>6. Fish_fresh_frozen_conserved</c:v>
                </c:pt>
                <c:pt idx="6">
                  <c:v>7. Eggs</c:v>
                </c:pt>
                <c:pt idx="7">
                  <c:v>8. Dairy_products</c:v>
                </c:pt>
                <c:pt idx="8">
                  <c:v>9. Oil_butter_margarine</c:v>
                </c:pt>
                <c:pt idx="9">
                  <c:v>10. Flour_pasta_seeds_cereals</c:v>
                </c:pt>
                <c:pt idx="10">
                  <c:v>11. Sauces_purees_dressings_seasonings</c:v>
                </c:pt>
                <c:pt idx="11">
                  <c:v>12. Sweet_foods</c:v>
                </c:pt>
                <c:pt idx="12">
                  <c:v>13. Bread_savoury+sweet_pastries</c:v>
                </c:pt>
                <c:pt idx="13">
                  <c:v>14. Other_processed_foods</c:v>
                </c:pt>
                <c:pt idx="14">
                  <c:v>15. Sweetened_drinks_teas_coffee</c:v>
                </c:pt>
                <c:pt idx="15">
                  <c:v>16. Fruit_juices</c:v>
                </c:pt>
              </c:strCache>
            </c:strRef>
          </c:cat>
          <c:val>
            <c:numRef>
              <c:f>'Charts and graphs'!$L$67:$L$82</c:f>
              <c:numCache>
                <c:formatCode>0.0</c:formatCode>
                <c:ptCount val="16"/>
                <c:pt idx="0">
                  <c:v>33.078032671650647</c:v>
                </c:pt>
                <c:pt idx="1">
                  <c:v>2.1966596129485767</c:v>
                </c:pt>
                <c:pt idx="2">
                  <c:v>22.698816000468625</c:v>
                </c:pt>
                <c:pt idx="3">
                  <c:v>5.4916490323714413</c:v>
                </c:pt>
                <c:pt idx="4">
                  <c:v>1.0983298064742884</c:v>
                </c:pt>
                <c:pt idx="5">
                  <c:v>0</c:v>
                </c:pt>
                <c:pt idx="6">
                  <c:v>2.3797145806942912</c:v>
                </c:pt>
                <c:pt idx="7">
                  <c:v>5.6014820130188703</c:v>
                </c:pt>
                <c:pt idx="8">
                  <c:v>3.6537771562044656</c:v>
                </c:pt>
                <c:pt idx="9">
                  <c:v>8.3473065292045909</c:v>
                </c:pt>
                <c:pt idx="10">
                  <c:v>1.7031434199061297</c:v>
                </c:pt>
                <c:pt idx="11">
                  <c:v>0.75418646711234461</c:v>
                </c:pt>
                <c:pt idx="12">
                  <c:v>12.996902709945743</c:v>
                </c:pt>
                <c:pt idx="13">
                  <c:v>0</c:v>
                </c:pt>
                <c:pt idx="14">
                  <c:v>0</c:v>
                </c:pt>
                <c:pt idx="15">
                  <c:v>0</c:v>
                </c:pt>
              </c:numCache>
            </c:numRef>
          </c:val>
          <c:extLst>
            <c:ext xmlns:c16="http://schemas.microsoft.com/office/drawing/2014/chart" uri="{C3380CC4-5D6E-409C-BE32-E72D297353CC}">
              <c16:uniqueId val="{00000020-FD6E-B641-8BFB-57E9276E2A7C}"/>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b="1"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0478395061729E-2"/>
          <c:y val="2.6693367510413329E-2"/>
          <c:w val="0.90052989997871891"/>
          <c:h val="0.55850288369112477"/>
        </c:manualLayout>
      </c:layout>
      <c:barChart>
        <c:barDir val="col"/>
        <c:grouping val="clustered"/>
        <c:varyColors val="0"/>
        <c:ser>
          <c:idx val="0"/>
          <c:order val="0"/>
          <c:spPr>
            <a:solidFill>
              <a:srgbClr val="AFABAB"/>
            </a:solidFill>
            <a:ln>
              <a:noFill/>
            </a:ln>
            <a:effectLst/>
          </c:spPr>
          <c:invertIfNegative val="0"/>
          <c:cat>
            <c:strRef>
              <c:f>'Charts and graphs'!$A$18:$A$40</c:f>
              <c:strCache>
                <c:ptCount val="23"/>
                <c:pt idx="0">
                  <c:v>kcal / meal</c:v>
                </c:pt>
                <c:pt idx="1">
                  <c:v>carbohydrate</c:v>
                </c:pt>
                <c:pt idx="2">
                  <c:v>protein</c:v>
                </c:pt>
                <c:pt idx="3">
                  <c:v>fat</c:v>
                </c:pt>
                <c:pt idx="4">
                  <c:v>fibre</c:v>
                </c:pt>
                <c:pt idx="5">
                  <c:v>fatty acids, total unsaturated</c:v>
                </c:pt>
                <c:pt idx="6">
                  <c:v>sodium</c:v>
                </c:pt>
                <c:pt idx="7">
                  <c:v>potassium</c:v>
                </c:pt>
                <c:pt idx="8">
                  <c:v>calcium</c:v>
                </c:pt>
                <c:pt idx="9">
                  <c:v>magnesium</c:v>
                </c:pt>
                <c:pt idx="10">
                  <c:v>prosphorus</c:v>
                </c:pt>
                <c:pt idx="11">
                  <c:v>iron, total</c:v>
                </c:pt>
                <c:pt idx="12">
                  <c:v>zinc</c:v>
                </c:pt>
                <c:pt idx="13">
                  <c:v>copper</c:v>
                </c:pt>
                <c:pt idx="14">
                  <c:v>vitamin A</c:v>
                </c:pt>
                <c:pt idx="15">
                  <c:v>vitamin B1 (thiamine)</c:v>
                </c:pt>
                <c:pt idx="16">
                  <c:v>vitamin B2 (riboflavin)</c:v>
                </c:pt>
                <c:pt idx="17">
                  <c:v>niacin equivalents</c:v>
                </c:pt>
                <c:pt idx="18">
                  <c:v>vitamin B6, total</c:v>
                </c:pt>
                <c:pt idx="19">
                  <c:v>folate, total</c:v>
                </c:pt>
                <c:pt idx="20">
                  <c:v>vitamin B12</c:v>
                </c:pt>
                <c:pt idx="21">
                  <c:v>vitamin C</c:v>
                </c:pt>
                <c:pt idx="22">
                  <c:v>vitamin D</c:v>
                </c:pt>
              </c:strCache>
            </c:strRef>
          </c:cat>
          <c:val>
            <c:numRef>
              <c:f>'Charts and graphs'!$E$18:$E$40</c:f>
              <c:numCache>
                <c:formatCode>0.0</c:formatCode>
                <c:ptCount val="23"/>
                <c:pt idx="0">
                  <c:v>141.3938723426028</c:v>
                </c:pt>
                <c:pt idx="1">
                  <c:v>133.75338067968988</c:v>
                </c:pt>
                <c:pt idx="2">
                  <c:v>124.69097894322493</c:v>
                </c:pt>
                <c:pt idx="3">
                  <c:v>155.44987751353577</c:v>
                </c:pt>
                <c:pt idx="4">
                  <c:v>233.6819273145704</c:v>
                </c:pt>
                <c:pt idx="5">
                  <c:v>89.444378830489228</c:v>
                </c:pt>
                <c:pt idx="6">
                  <c:v>153.57387406585838</c:v>
                </c:pt>
                <c:pt idx="7">
                  <c:v>240.6319424928684</c:v>
                </c:pt>
                <c:pt idx="8">
                  <c:v>112.92246230237113</c:v>
                </c:pt>
                <c:pt idx="9">
                  <c:v>200.40546395589098</c:v>
                </c:pt>
                <c:pt idx="10">
                  <c:v>199.81109163770483</c:v>
                </c:pt>
                <c:pt idx="11">
                  <c:v>154.93566779636009</c:v>
                </c:pt>
                <c:pt idx="12">
                  <c:v>256.99674487924881</c:v>
                </c:pt>
                <c:pt idx="13">
                  <c:v>241.10627753225938</c:v>
                </c:pt>
                <c:pt idx="14">
                  <c:v>211.78153145584298</c:v>
                </c:pt>
                <c:pt idx="15">
                  <c:v>197.58411185485215</c:v>
                </c:pt>
                <c:pt idx="16">
                  <c:v>149.17755986824264</c:v>
                </c:pt>
                <c:pt idx="17">
                  <c:v>219.97018535474785</c:v>
                </c:pt>
                <c:pt idx="18">
                  <c:v>353.96214005603019</c:v>
                </c:pt>
                <c:pt idx="19">
                  <c:v>267.5633159737589</c:v>
                </c:pt>
                <c:pt idx="20">
                  <c:v>92.230358800238321</c:v>
                </c:pt>
                <c:pt idx="21">
                  <c:v>207.48062938502727</c:v>
                </c:pt>
                <c:pt idx="22">
                  <c:v>72.940050272627616</c:v>
                </c:pt>
              </c:numCache>
            </c:numRef>
          </c:val>
          <c:extLst>
            <c:ext xmlns:c16="http://schemas.microsoft.com/office/drawing/2014/chart" uri="{C3380CC4-5D6E-409C-BE32-E72D297353CC}">
              <c16:uniqueId val="{00000000-B905-844B-AF06-DB0298F7DF35}"/>
            </c:ext>
          </c:extLst>
        </c:ser>
        <c:dLbls>
          <c:showLegendKey val="0"/>
          <c:showVal val="0"/>
          <c:showCatName val="0"/>
          <c:showSerName val="0"/>
          <c:showPercent val="0"/>
          <c:showBubbleSize val="0"/>
        </c:dLbls>
        <c:gapWidth val="70"/>
        <c:axId val="478269551"/>
        <c:axId val="478271231"/>
      </c:barChart>
      <c:catAx>
        <c:axId val="478269551"/>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GB" sz="1400"/>
                  <a:t>Nutrients</a:t>
                </a:r>
              </a:p>
            </c:rich>
          </c:tx>
          <c:layout>
            <c:manualLayout>
              <c:xMode val="edge"/>
              <c:yMode val="edge"/>
              <c:x val="0.40724895526057031"/>
              <c:y val="0.9402572256836275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478271231"/>
        <c:crosses val="autoZero"/>
        <c:auto val="1"/>
        <c:lblAlgn val="ctr"/>
        <c:lblOffset val="0"/>
        <c:noMultiLvlLbl val="0"/>
      </c:catAx>
      <c:valAx>
        <c:axId val="478271231"/>
        <c:scaling>
          <c:orientation val="minMax"/>
          <c:max val="225"/>
          <c:min val="-1.0000000000000004E-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GB" sz="1400"/>
                  <a:t>%</a:t>
                </a:r>
              </a:p>
            </c:rich>
          </c:tx>
          <c:layout>
            <c:manualLayout>
              <c:xMode val="edge"/>
              <c:yMode val="edge"/>
              <c:x val="1.1624681482437181E-3"/>
              <c:y val="0.28104513251633018"/>
            </c:manualLayout>
          </c:layout>
          <c:overlay val="0"/>
          <c:spPr>
            <a:noFill/>
            <a:ln>
              <a:noFill/>
            </a:ln>
            <a:effectLst/>
          </c:spPr>
          <c:txPr>
            <a:bodyPr rot="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478269551"/>
        <c:crosses val="autoZero"/>
        <c:crossBetween val="between"/>
        <c:majorUnit val="25"/>
      </c:valAx>
      <c:spPr>
        <a:solidFill>
          <a:schemeClr val="bg1"/>
        </a:solid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r>
              <a:rPr lang="en-US">
                <a:solidFill>
                  <a:schemeClr val="accent1">
                    <a:lumMod val="75000"/>
                  </a:schemeClr>
                </a:solidFill>
              </a:rPr>
              <a:t>o</a:t>
            </a:r>
          </a:p>
        </c:rich>
      </c:tx>
      <c:layout>
        <c:manualLayout>
          <c:xMode val="edge"/>
          <c:yMode val="edge"/>
          <c:x val="0.95214844824180545"/>
          <c:y val="2.0218086836154003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accent1">
                  <a:lumMod val="75000"/>
                </a:schemeClr>
              </a:solidFill>
              <a:latin typeface="Arial" panose="020B0604020202020204" pitchFamily="34" charset="0"/>
              <a:ea typeface="+mn-ea"/>
              <a:cs typeface="Arial" panose="020B0604020202020204" pitchFamily="34" charset="0"/>
            </a:defRPr>
          </a:pPr>
          <a:endParaRPr lang="en-RS"/>
        </a:p>
      </c:txPr>
    </c:title>
    <c:autoTitleDeleted val="0"/>
    <c:plotArea>
      <c:layout>
        <c:manualLayout>
          <c:layoutTarget val="inner"/>
          <c:xMode val="edge"/>
          <c:yMode val="edge"/>
          <c:x val="0.17559129070699045"/>
          <c:y val="0.15042545290707174"/>
          <c:w val="0.62957901044226461"/>
          <c:h val="0.74078812514544023"/>
        </c:manualLayout>
      </c:layout>
      <c:pieChart>
        <c:varyColors val="1"/>
        <c:ser>
          <c:idx val="0"/>
          <c:order val="0"/>
          <c:tx>
            <c:strRef>
              <c:f>'Charts and graphs'!$O$15</c:f>
              <c:strCache>
                <c:ptCount val="1"/>
                <c:pt idx="0">
                  <c:v>Lunch eaten by children: % recommended</c:v>
                </c:pt>
              </c:strCache>
            </c:strRef>
          </c:tx>
          <c:spPr>
            <a:ln>
              <a:noFill/>
            </a:ln>
          </c:spPr>
          <c:dPt>
            <c:idx val="0"/>
            <c:bubble3D val="0"/>
            <c:spPr>
              <a:solidFill>
                <a:srgbClr val="00AE4F"/>
              </a:solidFill>
              <a:ln w="19050">
                <a:noFill/>
              </a:ln>
              <a:effectLst/>
            </c:spPr>
            <c:extLst>
              <c:ext xmlns:c16="http://schemas.microsoft.com/office/drawing/2014/chart" uri="{C3380CC4-5D6E-409C-BE32-E72D297353CC}">
                <c16:uniqueId val="{00000001-7F0E-C74D-BA9F-847D1B4DEE72}"/>
              </c:ext>
            </c:extLst>
          </c:dPt>
          <c:dPt>
            <c:idx val="1"/>
            <c:bubble3D val="0"/>
            <c:spPr>
              <a:solidFill>
                <a:srgbClr val="00E56E"/>
              </a:solidFill>
              <a:ln w="19050">
                <a:noFill/>
              </a:ln>
              <a:effectLst/>
            </c:spPr>
            <c:extLst>
              <c:ext xmlns:c16="http://schemas.microsoft.com/office/drawing/2014/chart" uri="{C3380CC4-5D6E-409C-BE32-E72D297353CC}">
                <c16:uniqueId val="{00000003-7F0E-C74D-BA9F-847D1B4DEE72}"/>
              </c:ext>
            </c:extLst>
          </c:dPt>
          <c:dPt>
            <c:idx val="2"/>
            <c:bubble3D val="0"/>
            <c:spPr>
              <a:solidFill>
                <a:schemeClr val="accent4"/>
              </a:solidFill>
              <a:ln w="19050">
                <a:noFill/>
              </a:ln>
              <a:effectLst/>
            </c:spPr>
            <c:extLst>
              <c:ext xmlns:c16="http://schemas.microsoft.com/office/drawing/2014/chart" uri="{C3380CC4-5D6E-409C-BE32-E72D297353CC}">
                <c16:uniqueId val="{00000005-7F0E-C74D-BA9F-847D1B4DEE72}"/>
              </c:ext>
            </c:extLst>
          </c:dPt>
          <c:dPt>
            <c:idx val="3"/>
            <c:bubble3D val="0"/>
            <c:spPr>
              <a:solidFill>
                <a:srgbClr val="0070C0"/>
              </a:solidFill>
              <a:ln w="19050">
                <a:noFill/>
              </a:ln>
              <a:effectLst/>
            </c:spPr>
            <c:extLst>
              <c:ext xmlns:c16="http://schemas.microsoft.com/office/drawing/2014/chart" uri="{C3380CC4-5D6E-409C-BE32-E72D297353CC}">
                <c16:uniqueId val="{00000007-7F0E-C74D-BA9F-847D1B4DEE72}"/>
              </c:ext>
            </c:extLst>
          </c:dPt>
          <c:dPt>
            <c:idx val="4"/>
            <c:bubble3D val="0"/>
            <c:spPr>
              <a:solidFill>
                <a:srgbClr val="8A6AE5"/>
              </a:solidFill>
              <a:ln w="19050">
                <a:noFill/>
              </a:ln>
              <a:effectLst/>
            </c:spPr>
            <c:extLst>
              <c:ext xmlns:c16="http://schemas.microsoft.com/office/drawing/2014/chart" uri="{C3380CC4-5D6E-409C-BE32-E72D297353CC}">
                <c16:uniqueId val="{00000009-7F0E-C74D-BA9F-847D1B4DEE72}"/>
              </c:ext>
            </c:extLst>
          </c:dPt>
          <c:dPt>
            <c:idx val="5"/>
            <c:bubble3D val="0"/>
            <c:spPr>
              <a:solidFill>
                <a:srgbClr val="72C5F4"/>
              </a:solidFill>
              <a:ln w="19050">
                <a:noFill/>
              </a:ln>
              <a:effectLst/>
            </c:spPr>
            <c:extLst>
              <c:ext xmlns:c16="http://schemas.microsoft.com/office/drawing/2014/chart" uri="{C3380CC4-5D6E-409C-BE32-E72D297353CC}">
                <c16:uniqueId val="{0000000B-7F0E-C74D-BA9F-847D1B4DEE72}"/>
              </c:ext>
            </c:extLst>
          </c:dPt>
          <c:dPt>
            <c:idx val="6"/>
            <c:bubble3D val="0"/>
            <c:spPr>
              <a:solidFill>
                <a:srgbClr val="D3EA00"/>
              </a:solidFill>
              <a:ln w="19050">
                <a:noFill/>
              </a:ln>
              <a:effectLst/>
            </c:spPr>
            <c:extLst>
              <c:ext xmlns:c16="http://schemas.microsoft.com/office/drawing/2014/chart" uri="{C3380CC4-5D6E-409C-BE32-E72D297353CC}">
                <c16:uniqueId val="{0000000D-7F0E-C74D-BA9F-847D1B4DEE72}"/>
              </c:ext>
            </c:extLst>
          </c:dPt>
          <c:dPt>
            <c:idx val="7"/>
            <c:bubble3D val="0"/>
            <c:spPr>
              <a:solidFill>
                <a:srgbClr val="91D050"/>
              </a:solidFill>
              <a:ln w="19050">
                <a:noFill/>
              </a:ln>
              <a:effectLst/>
            </c:spPr>
            <c:extLst>
              <c:ext xmlns:c16="http://schemas.microsoft.com/office/drawing/2014/chart" uri="{C3380CC4-5D6E-409C-BE32-E72D297353CC}">
                <c16:uniqueId val="{0000000F-7F0E-C74D-BA9F-847D1B4DEE72}"/>
              </c:ext>
            </c:extLst>
          </c:dPt>
          <c:dPt>
            <c:idx val="8"/>
            <c:bubble3D val="0"/>
            <c:spPr>
              <a:solidFill>
                <a:srgbClr val="9E480D"/>
              </a:solidFill>
              <a:ln w="19050">
                <a:noFill/>
              </a:ln>
              <a:effectLst/>
            </c:spPr>
            <c:extLst>
              <c:ext xmlns:c16="http://schemas.microsoft.com/office/drawing/2014/chart" uri="{C3380CC4-5D6E-409C-BE32-E72D297353CC}">
                <c16:uniqueId val="{00000011-7F0E-C74D-BA9F-847D1B4DEE72}"/>
              </c:ext>
            </c:extLst>
          </c:dPt>
          <c:dPt>
            <c:idx val="9"/>
            <c:bubble3D val="0"/>
            <c:spPr>
              <a:solidFill>
                <a:srgbClr val="636363"/>
              </a:solidFill>
              <a:ln w="19050">
                <a:noFill/>
              </a:ln>
              <a:effectLst/>
            </c:spPr>
            <c:extLst>
              <c:ext xmlns:c16="http://schemas.microsoft.com/office/drawing/2014/chart" uri="{C3380CC4-5D6E-409C-BE32-E72D297353CC}">
                <c16:uniqueId val="{00000013-7F0E-C74D-BA9F-847D1B4DEE72}"/>
              </c:ext>
            </c:extLst>
          </c:dPt>
          <c:dPt>
            <c:idx val="10"/>
            <c:bubble3D val="0"/>
            <c:spPr>
              <a:solidFill>
                <a:srgbClr val="997300"/>
              </a:solidFill>
              <a:ln w="19050">
                <a:noFill/>
              </a:ln>
              <a:effectLst/>
            </c:spPr>
            <c:extLst>
              <c:ext xmlns:c16="http://schemas.microsoft.com/office/drawing/2014/chart" uri="{C3380CC4-5D6E-409C-BE32-E72D297353CC}">
                <c16:uniqueId val="{00000015-7F0E-C74D-BA9F-847D1B4DEE72}"/>
              </c:ext>
            </c:extLst>
          </c:dPt>
          <c:dPt>
            <c:idx val="11"/>
            <c:bubble3D val="0"/>
            <c:spPr>
              <a:solidFill>
                <a:srgbClr val="F8787D"/>
              </a:solidFill>
              <a:ln w="19050">
                <a:noFill/>
              </a:ln>
              <a:effectLst/>
            </c:spPr>
            <c:extLst>
              <c:ext xmlns:c16="http://schemas.microsoft.com/office/drawing/2014/chart" uri="{C3380CC4-5D6E-409C-BE32-E72D297353CC}">
                <c16:uniqueId val="{00000017-7F0E-C74D-BA9F-847D1B4DEE72}"/>
              </c:ext>
            </c:extLst>
          </c:dPt>
          <c:dPt>
            <c:idx val="12"/>
            <c:bubble3D val="0"/>
            <c:spPr>
              <a:solidFill>
                <a:srgbClr val="C00000"/>
              </a:solidFill>
              <a:ln w="19050">
                <a:noFill/>
              </a:ln>
              <a:effectLst/>
            </c:spPr>
            <c:extLst>
              <c:ext xmlns:c16="http://schemas.microsoft.com/office/drawing/2014/chart" uri="{C3380CC4-5D6E-409C-BE32-E72D297353CC}">
                <c16:uniqueId val="{00000019-7F0E-C74D-BA9F-847D1B4DEE72}"/>
              </c:ext>
            </c:extLst>
          </c:dPt>
          <c:dPt>
            <c:idx val="13"/>
            <c:bubble3D val="0"/>
            <c:spPr>
              <a:solidFill>
                <a:srgbClr val="F3975A"/>
              </a:solidFill>
              <a:ln w="19050">
                <a:noFill/>
              </a:ln>
              <a:effectLst/>
            </c:spPr>
            <c:extLst>
              <c:ext xmlns:c16="http://schemas.microsoft.com/office/drawing/2014/chart" uri="{C3380CC4-5D6E-409C-BE32-E72D297353CC}">
                <c16:uniqueId val="{0000001B-7F0E-C74D-BA9F-847D1B4DEE72}"/>
              </c:ext>
            </c:extLst>
          </c:dPt>
          <c:dPt>
            <c:idx val="14"/>
            <c:bubble3D val="0"/>
            <c:spPr>
              <a:solidFill>
                <a:srgbClr val="B7B7B7"/>
              </a:solidFill>
              <a:ln w="19050">
                <a:noFill/>
              </a:ln>
              <a:effectLst/>
            </c:spPr>
            <c:extLst>
              <c:ext xmlns:c16="http://schemas.microsoft.com/office/drawing/2014/chart" uri="{C3380CC4-5D6E-409C-BE32-E72D297353CC}">
                <c16:uniqueId val="{0000001D-7F0E-C74D-BA9F-847D1B4DEE72}"/>
              </c:ext>
            </c:extLst>
          </c:dPt>
          <c:dPt>
            <c:idx val="15"/>
            <c:bubble3D val="0"/>
            <c:spPr>
              <a:solidFill>
                <a:srgbClr val="78D1B5"/>
              </a:solidFill>
              <a:ln w="19050">
                <a:noFill/>
              </a:ln>
              <a:effectLst/>
            </c:spPr>
            <c:extLst>
              <c:ext xmlns:c16="http://schemas.microsoft.com/office/drawing/2014/chart" uri="{C3380CC4-5D6E-409C-BE32-E72D297353CC}">
                <c16:uniqueId val="{0000001F-7F0E-C74D-BA9F-847D1B4DEE72}"/>
              </c:ext>
            </c:extLst>
          </c:dPt>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 and graphs'!$R$67:$R$82</c:f>
              <c:strCache>
                <c:ptCount val="16"/>
                <c:pt idx="0">
                  <c:v>1. Vegetables_mushrooms_fresh_frozen</c:v>
                </c:pt>
                <c:pt idx="1">
                  <c:v>2. Vegetables_processed</c:v>
                </c:pt>
                <c:pt idx="2">
                  <c:v>3. Fruits_nuts_dried_fruit</c:v>
                </c:pt>
                <c:pt idx="3">
                  <c:v>4. Meat_fresh_frozen</c:v>
                </c:pt>
                <c:pt idx="4">
                  <c:v>5. Meat_processed</c:v>
                </c:pt>
                <c:pt idx="5">
                  <c:v>6. Fish_fresh_frozen_conserved</c:v>
                </c:pt>
                <c:pt idx="6">
                  <c:v>7. Eggs</c:v>
                </c:pt>
                <c:pt idx="7">
                  <c:v>8. Dairy_products</c:v>
                </c:pt>
                <c:pt idx="8">
                  <c:v>9. Oil_butter_margarine</c:v>
                </c:pt>
                <c:pt idx="9">
                  <c:v>10. Flour_pasta_seeds_cereals</c:v>
                </c:pt>
                <c:pt idx="10">
                  <c:v>11. Sauces_purees_dressings_seasonings</c:v>
                </c:pt>
                <c:pt idx="11">
                  <c:v>12. Sweet_foods</c:v>
                </c:pt>
                <c:pt idx="12">
                  <c:v>13. Bread_savoury+sweet_pastries</c:v>
                </c:pt>
                <c:pt idx="13">
                  <c:v>14. Other_processed_foods</c:v>
                </c:pt>
                <c:pt idx="14">
                  <c:v>15. Sweetened_drinks_teas_coffee</c:v>
                </c:pt>
                <c:pt idx="15">
                  <c:v>16. Fruit_juices</c:v>
                </c:pt>
              </c:strCache>
            </c:strRef>
          </c:cat>
          <c:val>
            <c:numRef>
              <c:f>'Charts and graphs'!$T$67:$T$82</c:f>
              <c:numCache>
                <c:formatCode>0.0</c:formatCode>
                <c:ptCount val="16"/>
                <c:pt idx="0">
                  <c:v>15.411277705587127</c:v>
                </c:pt>
                <c:pt idx="1">
                  <c:v>1.9550739484319106</c:v>
                </c:pt>
                <c:pt idx="2">
                  <c:v>5.429403277624453</c:v>
                </c:pt>
                <c:pt idx="3">
                  <c:v>21.740014999490256</c:v>
                </c:pt>
                <c:pt idx="4">
                  <c:v>5.5230839043201474</c:v>
                </c:pt>
                <c:pt idx="5">
                  <c:v>0</c:v>
                </c:pt>
                <c:pt idx="6">
                  <c:v>4.0241938771890169</c:v>
                </c:pt>
                <c:pt idx="7">
                  <c:v>7.9298613962543474</c:v>
                </c:pt>
                <c:pt idx="8">
                  <c:v>9.6135466422195517</c:v>
                </c:pt>
                <c:pt idx="9">
                  <c:v>14.489134493243409</c:v>
                </c:pt>
                <c:pt idx="10">
                  <c:v>2.0128748951031548</c:v>
                </c:pt>
                <c:pt idx="11">
                  <c:v>0.15941998821171874</c:v>
                </c:pt>
                <c:pt idx="12">
                  <c:v>11.712114872324914</c:v>
                </c:pt>
                <c:pt idx="13">
                  <c:v>0</c:v>
                </c:pt>
                <c:pt idx="14">
                  <c:v>0</c:v>
                </c:pt>
                <c:pt idx="15">
                  <c:v>0</c:v>
                </c:pt>
              </c:numCache>
            </c:numRef>
          </c:val>
          <c:extLst>
            <c:ext xmlns:c16="http://schemas.microsoft.com/office/drawing/2014/chart" uri="{C3380CC4-5D6E-409C-BE32-E72D297353CC}">
              <c16:uniqueId val="{00000020-7F0E-C74D-BA9F-847D1B4DEE72}"/>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b="1"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bg1"/>
                </a:solidFill>
                <a:latin typeface="Arial" panose="020B0604020202020204" pitchFamily="34" charset="0"/>
                <a:ea typeface="+mn-ea"/>
                <a:cs typeface="Arial" panose="020B0604020202020204" pitchFamily="34" charset="0"/>
              </a:defRPr>
            </a:pPr>
            <a:r>
              <a:rPr lang="en-US">
                <a:solidFill>
                  <a:schemeClr val="bg1"/>
                </a:solidFill>
              </a:rPr>
              <a:t>o</a:t>
            </a:r>
          </a:p>
        </c:rich>
      </c:tx>
      <c:layout>
        <c:manualLayout>
          <c:xMode val="edge"/>
          <c:yMode val="edge"/>
          <c:x val="0.93444062728755073"/>
          <c:y val="2.2583494224494665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bg1"/>
              </a:solidFill>
              <a:latin typeface="Arial" panose="020B0604020202020204" pitchFamily="34" charset="0"/>
              <a:ea typeface="+mn-ea"/>
              <a:cs typeface="Arial" panose="020B0604020202020204" pitchFamily="34" charset="0"/>
            </a:defRPr>
          </a:pPr>
          <a:endParaRPr lang="en-RS"/>
        </a:p>
      </c:txPr>
    </c:title>
    <c:autoTitleDeleted val="0"/>
    <c:plotArea>
      <c:layout>
        <c:manualLayout>
          <c:layoutTarget val="inner"/>
          <c:xMode val="edge"/>
          <c:yMode val="edge"/>
          <c:x val="0.1349943151018683"/>
          <c:y val="0.12776004239500402"/>
          <c:w val="0.64054022022456247"/>
          <c:h val="0.77006917792221874"/>
        </c:manualLayout>
      </c:layout>
      <c:pieChart>
        <c:varyColors val="1"/>
        <c:ser>
          <c:idx val="0"/>
          <c:order val="0"/>
          <c:tx>
            <c:strRef>
              <c:f>'Charts and graphs'!$O$15</c:f>
              <c:strCache>
                <c:ptCount val="1"/>
                <c:pt idx="0">
                  <c:v>Lunch eaten by children: % recommended</c:v>
                </c:pt>
              </c:strCache>
            </c:strRef>
          </c:tx>
          <c:spPr>
            <a:ln>
              <a:noFill/>
            </a:ln>
          </c:spPr>
          <c:dPt>
            <c:idx val="0"/>
            <c:bubble3D val="0"/>
            <c:spPr>
              <a:solidFill>
                <a:srgbClr val="00B050"/>
              </a:solidFill>
              <a:ln w="19050">
                <a:noFill/>
              </a:ln>
              <a:effectLst/>
            </c:spPr>
            <c:extLst>
              <c:ext xmlns:c16="http://schemas.microsoft.com/office/drawing/2014/chart" uri="{C3380CC4-5D6E-409C-BE32-E72D297353CC}">
                <c16:uniqueId val="{00000001-BED7-9440-8AD8-C4B436B79D2A}"/>
              </c:ext>
            </c:extLst>
          </c:dPt>
          <c:dPt>
            <c:idx val="1"/>
            <c:bubble3D val="0"/>
            <c:spPr>
              <a:solidFill>
                <a:srgbClr val="00E56E"/>
              </a:solidFill>
              <a:ln w="19050">
                <a:noFill/>
              </a:ln>
              <a:effectLst/>
            </c:spPr>
            <c:extLst>
              <c:ext xmlns:c16="http://schemas.microsoft.com/office/drawing/2014/chart" uri="{C3380CC4-5D6E-409C-BE32-E72D297353CC}">
                <c16:uniqueId val="{00000003-BED7-9440-8AD8-C4B436B79D2A}"/>
              </c:ext>
            </c:extLst>
          </c:dPt>
          <c:dPt>
            <c:idx val="2"/>
            <c:bubble3D val="0"/>
            <c:spPr>
              <a:solidFill>
                <a:schemeClr val="accent4"/>
              </a:solidFill>
              <a:ln w="19050">
                <a:noFill/>
              </a:ln>
              <a:effectLst/>
            </c:spPr>
            <c:extLst>
              <c:ext xmlns:c16="http://schemas.microsoft.com/office/drawing/2014/chart" uri="{C3380CC4-5D6E-409C-BE32-E72D297353CC}">
                <c16:uniqueId val="{00000005-BED7-9440-8AD8-C4B436B79D2A}"/>
              </c:ext>
            </c:extLst>
          </c:dPt>
          <c:dPt>
            <c:idx val="3"/>
            <c:bubble3D val="0"/>
            <c:spPr>
              <a:solidFill>
                <a:srgbClr val="0170C0"/>
              </a:solidFill>
              <a:ln w="19050">
                <a:noFill/>
              </a:ln>
              <a:effectLst/>
            </c:spPr>
            <c:extLst>
              <c:ext xmlns:c16="http://schemas.microsoft.com/office/drawing/2014/chart" uri="{C3380CC4-5D6E-409C-BE32-E72D297353CC}">
                <c16:uniqueId val="{00000007-BED7-9440-8AD8-C4B436B79D2A}"/>
              </c:ext>
            </c:extLst>
          </c:dPt>
          <c:dPt>
            <c:idx val="4"/>
            <c:bubble3D val="0"/>
            <c:spPr>
              <a:solidFill>
                <a:srgbClr val="9950C2"/>
              </a:solidFill>
              <a:ln w="19050">
                <a:noFill/>
              </a:ln>
              <a:effectLst/>
            </c:spPr>
            <c:extLst>
              <c:ext xmlns:c16="http://schemas.microsoft.com/office/drawing/2014/chart" uri="{C3380CC4-5D6E-409C-BE32-E72D297353CC}">
                <c16:uniqueId val="{00000009-BED7-9440-8AD8-C4B436B79D2A}"/>
              </c:ext>
            </c:extLst>
          </c:dPt>
          <c:dPt>
            <c:idx val="5"/>
            <c:bubble3D val="0"/>
            <c:spPr>
              <a:solidFill>
                <a:srgbClr val="72C5F4"/>
              </a:solidFill>
              <a:ln w="19050">
                <a:noFill/>
              </a:ln>
              <a:effectLst/>
            </c:spPr>
            <c:extLst>
              <c:ext xmlns:c16="http://schemas.microsoft.com/office/drawing/2014/chart" uri="{C3380CC4-5D6E-409C-BE32-E72D297353CC}">
                <c16:uniqueId val="{0000000B-BED7-9440-8AD8-C4B436B79D2A}"/>
              </c:ext>
            </c:extLst>
          </c:dPt>
          <c:dPt>
            <c:idx val="6"/>
            <c:bubble3D val="0"/>
            <c:spPr>
              <a:solidFill>
                <a:srgbClr val="D3EA00"/>
              </a:solidFill>
              <a:ln w="19050">
                <a:noFill/>
              </a:ln>
              <a:effectLst/>
            </c:spPr>
            <c:extLst>
              <c:ext xmlns:c16="http://schemas.microsoft.com/office/drawing/2014/chart" uri="{C3380CC4-5D6E-409C-BE32-E72D297353CC}">
                <c16:uniqueId val="{0000000D-BED7-9440-8AD8-C4B436B79D2A}"/>
              </c:ext>
            </c:extLst>
          </c:dPt>
          <c:dPt>
            <c:idx val="7"/>
            <c:bubble3D val="0"/>
            <c:spPr>
              <a:solidFill>
                <a:srgbClr val="92D050"/>
              </a:solidFill>
              <a:ln w="19050">
                <a:noFill/>
              </a:ln>
              <a:effectLst/>
            </c:spPr>
            <c:extLst>
              <c:ext xmlns:c16="http://schemas.microsoft.com/office/drawing/2014/chart" uri="{C3380CC4-5D6E-409C-BE32-E72D297353CC}">
                <c16:uniqueId val="{0000000F-BED7-9440-8AD8-C4B436B79D2A}"/>
              </c:ext>
            </c:extLst>
          </c:dPt>
          <c:dPt>
            <c:idx val="8"/>
            <c:bubble3D val="0"/>
            <c:spPr>
              <a:solidFill>
                <a:srgbClr val="9E480D"/>
              </a:solidFill>
              <a:ln w="19050">
                <a:noFill/>
              </a:ln>
              <a:effectLst/>
            </c:spPr>
            <c:extLst>
              <c:ext xmlns:c16="http://schemas.microsoft.com/office/drawing/2014/chart" uri="{C3380CC4-5D6E-409C-BE32-E72D297353CC}">
                <c16:uniqueId val="{00000011-BED7-9440-8AD8-C4B436B79D2A}"/>
              </c:ext>
            </c:extLst>
          </c:dPt>
          <c:dPt>
            <c:idx val="9"/>
            <c:bubble3D val="0"/>
            <c:spPr>
              <a:solidFill>
                <a:srgbClr val="636363"/>
              </a:solidFill>
              <a:ln w="19050">
                <a:noFill/>
              </a:ln>
              <a:effectLst/>
            </c:spPr>
            <c:extLst>
              <c:ext xmlns:c16="http://schemas.microsoft.com/office/drawing/2014/chart" uri="{C3380CC4-5D6E-409C-BE32-E72D297353CC}">
                <c16:uniqueId val="{00000013-BED7-9440-8AD8-C4B436B79D2A}"/>
              </c:ext>
            </c:extLst>
          </c:dPt>
          <c:dPt>
            <c:idx val="10"/>
            <c:bubble3D val="0"/>
            <c:spPr>
              <a:solidFill>
                <a:srgbClr val="997300"/>
              </a:solidFill>
              <a:ln w="19050">
                <a:noFill/>
              </a:ln>
              <a:effectLst/>
            </c:spPr>
            <c:extLst>
              <c:ext xmlns:c16="http://schemas.microsoft.com/office/drawing/2014/chart" uri="{C3380CC4-5D6E-409C-BE32-E72D297353CC}">
                <c16:uniqueId val="{00000015-BED7-9440-8AD8-C4B436B79D2A}"/>
              </c:ext>
            </c:extLst>
          </c:dPt>
          <c:dPt>
            <c:idx val="11"/>
            <c:bubble3D val="0"/>
            <c:spPr>
              <a:solidFill>
                <a:srgbClr val="F8787D"/>
              </a:solidFill>
              <a:ln w="19050">
                <a:noFill/>
              </a:ln>
              <a:effectLst/>
            </c:spPr>
            <c:extLst>
              <c:ext xmlns:c16="http://schemas.microsoft.com/office/drawing/2014/chart" uri="{C3380CC4-5D6E-409C-BE32-E72D297353CC}">
                <c16:uniqueId val="{00000017-BED7-9440-8AD8-C4B436B79D2A}"/>
              </c:ext>
            </c:extLst>
          </c:dPt>
          <c:dPt>
            <c:idx val="12"/>
            <c:bubble3D val="0"/>
            <c:spPr>
              <a:solidFill>
                <a:srgbClr val="C00000"/>
              </a:solidFill>
              <a:ln w="19050">
                <a:noFill/>
              </a:ln>
              <a:effectLst/>
            </c:spPr>
            <c:extLst>
              <c:ext xmlns:c16="http://schemas.microsoft.com/office/drawing/2014/chart" uri="{C3380CC4-5D6E-409C-BE32-E72D297353CC}">
                <c16:uniqueId val="{00000019-BED7-9440-8AD8-C4B436B79D2A}"/>
              </c:ext>
            </c:extLst>
          </c:dPt>
          <c:dPt>
            <c:idx val="13"/>
            <c:bubble3D val="0"/>
            <c:spPr>
              <a:solidFill>
                <a:srgbClr val="F3975A"/>
              </a:solidFill>
              <a:ln w="19050">
                <a:noFill/>
              </a:ln>
              <a:effectLst/>
            </c:spPr>
            <c:extLst>
              <c:ext xmlns:c16="http://schemas.microsoft.com/office/drawing/2014/chart" uri="{C3380CC4-5D6E-409C-BE32-E72D297353CC}">
                <c16:uniqueId val="{0000001B-BED7-9440-8AD8-C4B436B79D2A}"/>
              </c:ext>
            </c:extLst>
          </c:dPt>
          <c:dPt>
            <c:idx val="14"/>
            <c:bubble3D val="0"/>
            <c:spPr>
              <a:solidFill>
                <a:srgbClr val="B7B7B7"/>
              </a:solidFill>
              <a:ln w="19050">
                <a:noFill/>
              </a:ln>
              <a:effectLst/>
            </c:spPr>
            <c:extLst>
              <c:ext xmlns:c16="http://schemas.microsoft.com/office/drawing/2014/chart" uri="{C3380CC4-5D6E-409C-BE32-E72D297353CC}">
                <c16:uniqueId val="{0000001D-BED7-9440-8AD8-C4B436B79D2A}"/>
              </c:ext>
            </c:extLst>
          </c:dPt>
          <c:dPt>
            <c:idx val="15"/>
            <c:bubble3D val="0"/>
            <c:spPr>
              <a:solidFill>
                <a:srgbClr val="78D1B5"/>
              </a:solidFill>
              <a:ln w="19050">
                <a:noFill/>
              </a:ln>
              <a:effectLst/>
            </c:spPr>
            <c:extLst>
              <c:ext xmlns:c16="http://schemas.microsoft.com/office/drawing/2014/chart" uri="{C3380CC4-5D6E-409C-BE32-E72D297353CC}">
                <c16:uniqueId val="{0000001F-BED7-9440-8AD8-C4B436B79D2A}"/>
              </c:ext>
            </c:extLst>
          </c:dPt>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'Charts and graphs'!$R$21:$R$36</c:f>
              <c:numCache>
                <c:formatCode>General</c:formatCode>
                <c:ptCount val="16"/>
              </c:numCache>
            </c:numRef>
          </c:cat>
          <c:val>
            <c:numRef>
              <c:f>'Charts and graphs'!$G$67:$G$82</c:f>
              <c:numCache>
                <c:formatCode>0.0</c:formatCode>
                <c:ptCount val="16"/>
                <c:pt idx="0">
                  <c:v>37.50149683695458</c:v>
                </c:pt>
                <c:pt idx="1">
                  <c:v>1.2874975966529876</c:v>
                </c:pt>
                <c:pt idx="2">
                  <c:v>8.7308430773030725</c:v>
                </c:pt>
                <c:pt idx="3">
                  <c:v>16.272539068808594</c:v>
                </c:pt>
                <c:pt idx="4">
                  <c:v>3.1748520281102079</c:v>
                </c:pt>
                <c:pt idx="5">
                  <c:v>0</c:v>
                </c:pt>
                <c:pt idx="6">
                  <c:v>3.3901123060017904</c:v>
                </c:pt>
                <c:pt idx="7">
                  <c:v>8.0143392853677344</c:v>
                </c:pt>
                <c:pt idx="8">
                  <c:v>4.7132897339896322</c:v>
                </c:pt>
                <c:pt idx="9">
                  <c:v>7.7780916045233051</c:v>
                </c:pt>
                <c:pt idx="10">
                  <c:v>1.9954530518421729</c:v>
                </c:pt>
                <c:pt idx="11">
                  <c:v>0.41513750632079771</c:v>
                </c:pt>
                <c:pt idx="12">
                  <c:v>6.7263479041251211</c:v>
                </c:pt>
                <c:pt idx="13">
                  <c:v>0</c:v>
                </c:pt>
                <c:pt idx="14">
                  <c:v>0</c:v>
                </c:pt>
                <c:pt idx="15">
                  <c:v>0</c:v>
                </c:pt>
              </c:numCache>
            </c:numRef>
          </c:val>
          <c:extLst>
            <c:ext xmlns:c16="http://schemas.microsoft.com/office/drawing/2014/chart" uri="{C3380CC4-5D6E-409C-BE32-E72D297353CC}">
              <c16:uniqueId val="{00000020-BED7-9440-8AD8-C4B436B79D2A}"/>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b="1"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and graphs'!$D$106</c:f>
          <c:strCache>
            <c:ptCount val="1"/>
            <c:pt idx="0">
              <c:v>Cumulative costs of food categories per meal: average (din)</c:v>
            </c:pt>
          </c:strCache>
        </c:strRef>
      </c:tx>
      <c:layout>
        <c:manualLayout>
          <c:xMode val="edge"/>
          <c:yMode val="edge"/>
          <c:x val="0.1852045290372436"/>
          <c:y val="3.1718128411756842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RS"/>
        </a:p>
      </c:txPr>
    </c:title>
    <c:autoTitleDeleted val="0"/>
    <c:plotArea>
      <c:layout/>
      <c:barChart>
        <c:barDir val="bar"/>
        <c:grouping val="stacked"/>
        <c:varyColors val="0"/>
        <c:ser>
          <c:idx val="0"/>
          <c:order val="0"/>
          <c:tx>
            <c:strRef>
              <c:f>Sheet1!$D$87</c:f>
              <c:strCache>
                <c:ptCount val="1"/>
                <c:pt idx="0">
                  <c:v>Cumulative costs of food categories per meal: average (din)</c:v>
                </c:pt>
              </c:strCache>
            </c:strRef>
          </c:tx>
          <c:spPr>
            <a:solidFill>
              <a:srgbClr val="00B05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Sheet1!$D$322:$D$326</c:f>
              <c:numCache>
                <c:formatCode>0.00</c:formatCode>
                <c:ptCount val="5"/>
                <c:pt idx="0">
                  <c:v>0</c:v>
                </c:pt>
                <c:pt idx="1">
                  <c:v>26.717660850392583</c:v>
                </c:pt>
                <c:pt idx="2">
                  <c:v>0</c:v>
                </c:pt>
                <c:pt idx="3">
                  <c:v>0</c:v>
                </c:pt>
                <c:pt idx="4">
                  <c:v>26.36443298541975</c:v>
                </c:pt>
              </c:numCache>
            </c:numRef>
          </c:val>
          <c:extLst>
            <c:ext xmlns:c16="http://schemas.microsoft.com/office/drawing/2014/chart" uri="{C3380CC4-5D6E-409C-BE32-E72D297353CC}">
              <c16:uniqueId val="{00000000-CCEF-D745-B194-7907F4E2C23A}"/>
            </c:ext>
          </c:extLst>
        </c:ser>
        <c:ser>
          <c:idx val="1"/>
          <c:order val="1"/>
          <c:spPr>
            <a:solidFill>
              <a:srgbClr val="00E56E"/>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Sheet1!$E$322:$E$326</c:f>
              <c:numCache>
                <c:formatCode>0.00</c:formatCode>
                <c:ptCount val="5"/>
                <c:pt idx="0">
                  <c:v>0</c:v>
                </c:pt>
                <c:pt idx="1">
                  <c:v>1.0121979756040489</c:v>
                </c:pt>
                <c:pt idx="2">
                  <c:v>0</c:v>
                </c:pt>
                <c:pt idx="3">
                  <c:v>0</c:v>
                </c:pt>
                <c:pt idx="4">
                  <c:v>0.90514104686076347</c:v>
                </c:pt>
              </c:numCache>
            </c:numRef>
          </c:val>
          <c:extLst>
            <c:ext xmlns:c16="http://schemas.microsoft.com/office/drawing/2014/chart" uri="{C3380CC4-5D6E-409C-BE32-E72D297353CC}">
              <c16:uniqueId val="{00000001-CCEF-D745-B194-7907F4E2C23A}"/>
            </c:ext>
          </c:extLst>
        </c:ser>
        <c:ser>
          <c:idx val="2"/>
          <c:order val="2"/>
          <c:spPr>
            <a:solidFill>
              <a:schemeClr val="accent4"/>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Sheet1!$F$322:$F$326</c:f>
              <c:numCache>
                <c:formatCode>0.00</c:formatCode>
                <c:ptCount val="5"/>
                <c:pt idx="0">
                  <c:v>0</c:v>
                </c:pt>
                <c:pt idx="1">
                  <c:v>7.1279857440285124</c:v>
                </c:pt>
                <c:pt idx="2">
                  <c:v>0</c:v>
                </c:pt>
                <c:pt idx="3">
                  <c:v>0</c:v>
                </c:pt>
                <c:pt idx="4">
                  <c:v>6.1379877240245531</c:v>
                </c:pt>
              </c:numCache>
            </c:numRef>
          </c:val>
          <c:extLst>
            <c:ext xmlns:c16="http://schemas.microsoft.com/office/drawing/2014/chart" uri="{C3380CC4-5D6E-409C-BE32-E72D297353CC}">
              <c16:uniqueId val="{00000002-CCEF-D745-B194-7907F4E2C23A}"/>
            </c:ext>
          </c:extLst>
        </c:ser>
        <c:ser>
          <c:idx val="3"/>
          <c:order val="3"/>
          <c:spPr>
            <a:solidFill>
              <a:srgbClr val="0070C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Sheet1!$G$322:$G$326</c:f>
              <c:numCache>
                <c:formatCode>0.00</c:formatCode>
                <c:ptCount val="5"/>
                <c:pt idx="0">
                  <c:v>0</c:v>
                </c:pt>
                <c:pt idx="1">
                  <c:v>12.099975800048401</c:v>
                </c:pt>
                <c:pt idx="2">
                  <c:v>0</c:v>
                </c:pt>
                <c:pt idx="3">
                  <c:v>0</c:v>
                </c:pt>
                <c:pt idx="4">
                  <c:v>11.439977120045761</c:v>
                </c:pt>
              </c:numCache>
            </c:numRef>
          </c:val>
          <c:extLst>
            <c:ext xmlns:c16="http://schemas.microsoft.com/office/drawing/2014/chart" uri="{C3380CC4-5D6E-409C-BE32-E72D297353CC}">
              <c16:uniqueId val="{00000003-CCEF-D745-B194-7907F4E2C23A}"/>
            </c:ext>
          </c:extLst>
        </c:ser>
        <c:ser>
          <c:idx val="4"/>
          <c:order val="4"/>
          <c:spPr>
            <a:solidFill>
              <a:srgbClr val="8A6AE5"/>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Sheet1!$H$322:$H$326</c:f>
              <c:numCache>
                <c:formatCode>0.00</c:formatCode>
                <c:ptCount val="5"/>
                <c:pt idx="0">
                  <c:v>0</c:v>
                </c:pt>
                <c:pt idx="1">
                  <c:v>3.7199925600148807</c:v>
                </c:pt>
                <c:pt idx="2">
                  <c:v>1.1999976000048</c:v>
                </c:pt>
                <c:pt idx="3">
                  <c:v>0</c:v>
                </c:pt>
                <c:pt idx="4">
                  <c:v>3.4319931360137286</c:v>
                </c:pt>
              </c:numCache>
            </c:numRef>
          </c:val>
          <c:extLst>
            <c:ext xmlns:c16="http://schemas.microsoft.com/office/drawing/2014/chart" uri="{C3380CC4-5D6E-409C-BE32-E72D297353CC}">
              <c16:uniqueId val="{00000004-CCEF-D745-B194-7907F4E2C23A}"/>
            </c:ext>
          </c:extLst>
        </c:ser>
        <c:ser>
          <c:idx val="5"/>
          <c:order val="5"/>
          <c:spPr>
            <a:solidFill>
              <a:schemeClr val="accent6"/>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Sheet1!$I$322:$I$326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5-CCEF-D745-B194-7907F4E2C23A}"/>
            </c:ext>
          </c:extLst>
        </c:ser>
        <c:ser>
          <c:idx val="6"/>
          <c:order val="6"/>
          <c:spPr>
            <a:solidFill>
              <a:srgbClr val="D3EA0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Sheet1!$J$322:$J$326</c:f>
              <c:numCache>
                <c:formatCode>0.00</c:formatCode>
                <c:ptCount val="5"/>
                <c:pt idx="0">
                  <c:v>0</c:v>
                </c:pt>
                <c:pt idx="1">
                  <c:v>3.8499923000154004</c:v>
                </c:pt>
                <c:pt idx="2">
                  <c:v>0.37766591133484406</c:v>
                </c:pt>
                <c:pt idx="3">
                  <c:v>0</c:v>
                </c:pt>
                <c:pt idx="4">
                  <c:v>2.7609944780110443</c:v>
                </c:pt>
              </c:numCache>
            </c:numRef>
          </c:val>
          <c:extLst>
            <c:ext xmlns:c16="http://schemas.microsoft.com/office/drawing/2014/chart" uri="{C3380CC4-5D6E-409C-BE32-E72D297353CC}">
              <c16:uniqueId val="{00000006-CCEF-D745-B194-7907F4E2C23A}"/>
            </c:ext>
          </c:extLst>
        </c:ser>
        <c:ser>
          <c:idx val="7"/>
          <c:order val="7"/>
          <c:spPr>
            <a:solidFill>
              <a:srgbClr val="92D05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Sheet1!$K$322:$K$326</c:f>
              <c:numCache>
                <c:formatCode>0.00</c:formatCode>
                <c:ptCount val="5"/>
                <c:pt idx="0">
                  <c:v>0</c:v>
                </c:pt>
                <c:pt idx="1">
                  <c:v>4.3715341140746293</c:v>
                </c:pt>
                <c:pt idx="2">
                  <c:v>9.6754473157720362</c:v>
                </c:pt>
                <c:pt idx="3">
                  <c:v>0</c:v>
                </c:pt>
                <c:pt idx="4">
                  <c:v>15.309716047234573</c:v>
                </c:pt>
              </c:numCache>
            </c:numRef>
          </c:val>
          <c:extLst>
            <c:ext xmlns:c16="http://schemas.microsoft.com/office/drawing/2014/chart" uri="{C3380CC4-5D6E-409C-BE32-E72D297353CC}">
              <c16:uniqueId val="{00000007-CCEF-D745-B194-7907F4E2C23A}"/>
            </c:ext>
          </c:extLst>
        </c:ser>
        <c:ser>
          <c:idx val="8"/>
          <c:order val="8"/>
          <c:spPr>
            <a:solidFill>
              <a:srgbClr val="9E480D"/>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Sheet1!$L$322:$L$326</c:f>
              <c:numCache>
                <c:formatCode>0.00</c:formatCode>
                <c:ptCount val="5"/>
                <c:pt idx="0">
                  <c:v>0</c:v>
                </c:pt>
                <c:pt idx="1">
                  <c:v>2.2849154301691397</c:v>
                </c:pt>
                <c:pt idx="2">
                  <c:v>1.1373977252045495</c:v>
                </c:pt>
                <c:pt idx="3">
                  <c:v>0</c:v>
                </c:pt>
                <c:pt idx="4">
                  <c:v>4.4509510980978035</c:v>
                </c:pt>
              </c:numCache>
            </c:numRef>
          </c:val>
          <c:extLst>
            <c:ext xmlns:c16="http://schemas.microsoft.com/office/drawing/2014/chart" uri="{C3380CC4-5D6E-409C-BE32-E72D297353CC}">
              <c16:uniqueId val="{00000008-CCEF-D745-B194-7907F4E2C23A}"/>
            </c:ext>
          </c:extLst>
        </c:ser>
        <c:ser>
          <c:idx val="9"/>
          <c:order val="9"/>
          <c:spPr>
            <a:solidFill>
              <a:srgbClr val="636363"/>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Sheet1!$M$322:$M$326</c:f>
              <c:numCache>
                <c:formatCode>0.00</c:formatCode>
                <c:ptCount val="5"/>
                <c:pt idx="0">
                  <c:v>0</c:v>
                </c:pt>
                <c:pt idx="1">
                  <c:v>5.1831096337807328</c:v>
                </c:pt>
                <c:pt idx="2">
                  <c:v>0.58682682634634742</c:v>
                </c:pt>
                <c:pt idx="3">
                  <c:v>0</c:v>
                </c:pt>
                <c:pt idx="4">
                  <c:v>6.0550078899842212</c:v>
                </c:pt>
              </c:numCache>
            </c:numRef>
          </c:val>
          <c:extLst>
            <c:ext xmlns:c16="http://schemas.microsoft.com/office/drawing/2014/chart" uri="{C3380CC4-5D6E-409C-BE32-E72D297353CC}">
              <c16:uniqueId val="{00000009-CCEF-D745-B194-7907F4E2C23A}"/>
            </c:ext>
          </c:extLst>
        </c:ser>
        <c:ser>
          <c:idx val="10"/>
          <c:order val="10"/>
          <c:spPr>
            <a:solidFill>
              <a:srgbClr val="99730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Sheet1!$N$322:$N$326</c:f>
              <c:numCache>
                <c:formatCode>0.00</c:formatCode>
                <c:ptCount val="5"/>
                <c:pt idx="0">
                  <c:v>0</c:v>
                </c:pt>
                <c:pt idx="1">
                  <c:v>2.7937078671297209</c:v>
                </c:pt>
                <c:pt idx="2">
                  <c:v>0.65135869728260554</c:v>
                </c:pt>
                <c:pt idx="3">
                  <c:v>0</c:v>
                </c:pt>
                <c:pt idx="4">
                  <c:v>2.0542090552182533</c:v>
                </c:pt>
              </c:numCache>
            </c:numRef>
          </c:val>
          <c:extLst>
            <c:ext xmlns:c16="http://schemas.microsoft.com/office/drawing/2014/chart" uri="{C3380CC4-5D6E-409C-BE32-E72D297353CC}">
              <c16:uniqueId val="{0000000A-CCEF-D745-B194-7907F4E2C23A}"/>
            </c:ext>
          </c:extLst>
        </c:ser>
        <c:ser>
          <c:idx val="11"/>
          <c:order val="11"/>
          <c:spPr>
            <a:solidFill>
              <a:srgbClr val="F8787D"/>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Sheet1!$O$322:$O$326</c:f>
              <c:numCache>
                <c:formatCode>0.00</c:formatCode>
                <c:ptCount val="5"/>
                <c:pt idx="0">
                  <c:v>0</c:v>
                </c:pt>
                <c:pt idx="1">
                  <c:v>0</c:v>
                </c:pt>
                <c:pt idx="2">
                  <c:v>3.514869911436648</c:v>
                </c:pt>
                <c:pt idx="3">
                  <c:v>0</c:v>
                </c:pt>
                <c:pt idx="4">
                  <c:v>3.8067213277338157</c:v>
                </c:pt>
              </c:numCache>
            </c:numRef>
          </c:val>
          <c:extLst>
            <c:ext xmlns:c16="http://schemas.microsoft.com/office/drawing/2014/chart" uri="{C3380CC4-5D6E-409C-BE32-E72D297353CC}">
              <c16:uniqueId val="{0000000B-CCEF-D745-B194-7907F4E2C23A}"/>
            </c:ext>
          </c:extLst>
        </c:ser>
        <c:ser>
          <c:idx val="12"/>
          <c:order val="12"/>
          <c:spPr>
            <a:solidFill>
              <a:srgbClr val="C00000"/>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Sheet1!$P$322:$P$326</c:f>
              <c:numCache>
                <c:formatCode>0.00</c:formatCode>
                <c:ptCount val="5"/>
                <c:pt idx="0">
                  <c:v>0</c:v>
                </c:pt>
                <c:pt idx="1">
                  <c:v>5.2799894400211205</c:v>
                </c:pt>
                <c:pt idx="2">
                  <c:v>5.3373726585880163</c:v>
                </c:pt>
                <c:pt idx="3">
                  <c:v>0</c:v>
                </c:pt>
                <c:pt idx="4">
                  <c:v>10.066153201026932</c:v>
                </c:pt>
              </c:numCache>
            </c:numRef>
          </c:val>
          <c:extLst>
            <c:ext xmlns:c16="http://schemas.microsoft.com/office/drawing/2014/chart" uri="{C3380CC4-5D6E-409C-BE32-E72D297353CC}">
              <c16:uniqueId val="{0000000C-CCEF-D745-B194-7907F4E2C23A}"/>
            </c:ext>
          </c:extLst>
        </c:ser>
        <c:ser>
          <c:idx val="13"/>
          <c:order val="13"/>
          <c:spPr>
            <a:solidFill>
              <a:schemeClr val="accent2">
                <a:lumMod val="80000"/>
                <a:lumOff val="20000"/>
              </a:schemeClr>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Sheet1!$Q$322:$Q$326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D-CCEF-D745-B194-7907F4E2C23A}"/>
            </c:ext>
          </c:extLst>
        </c:ser>
        <c:ser>
          <c:idx val="14"/>
          <c:order val="14"/>
          <c:spPr>
            <a:solidFill>
              <a:schemeClr val="accent3">
                <a:lumMod val="80000"/>
                <a:lumOff val="20000"/>
              </a:schemeClr>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Sheet1!$R$322:$R$326</c:f>
              <c:numCache>
                <c:formatCode>0.00</c:formatCode>
                <c:ptCount val="5"/>
                <c:pt idx="0">
                  <c:v>0</c:v>
                </c:pt>
                <c:pt idx="1">
                  <c:v>0</c:v>
                </c:pt>
                <c:pt idx="2">
                  <c:v>5.6399887200225605</c:v>
                </c:pt>
                <c:pt idx="3">
                  <c:v>0</c:v>
                </c:pt>
                <c:pt idx="4">
                  <c:v>5.6399887200225605</c:v>
                </c:pt>
              </c:numCache>
            </c:numRef>
          </c:val>
          <c:extLst>
            <c:ext xmlns:c16="http://schemas.microsoft.com/office/drawing/2014/chart" uri="{C3380CC4-5D6E-409C-BE32-E72D297353CC}">
              <c16:uniqueId val="{0000000E-CCEF-D745-B194-7907F4E2C23A}"/>
            </c:ext>
          </c:extLst>
        </c:ser>
        <c:ser>
          <c:idx val="15"/>
          <c:order val="15"/>
          <c:spPr>
            <a:solidFill>
              <a:srgbClr val="78D1B5"/>
            </a:solidFill>
            <a:ln>
              <a:noFill/>
            </a:ln>
            <a:effectLst/>
          </c:spPr>
          <c:invertIfNegative val="0"/>
          <c:cat>
            <c:strRef>
              <c:f>Sheet1!$B$322:$B$326</c:f>
              <c:strCache>
                <c:ptCount val="5"/>
                <c:pt idx="0">
                  <c:v>Snack-2</c:v>
                </c:pt>
                <c:pt idx="1">
                  <c:v>Lunch</c:v>
                </c:pt>
                <c:pt idx="2">
                  <c:v>Snack-1</c:v>
                </c:pt>
                <c:pt idx="3">
                  <c:v>Breakfast</c:v>
                </c:pt>
                <c:pt idx="4">
                  <c:v>Total</c:v>
                </c:pt>
              </c:strCache>
            </c:strRef>
          </c:cat>
          <c:val>
            <c:numRef>
              <c:f>Sheet1!$S$322:$S$326</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F-CCEF-D745-B194-7907F4E2C23A}"/>
            </c:ext>
          </c:extLst>
        </c:ser>
        <c:ser>
          <c:idx val="16"/>
          <c:order val="16"/>
          <c:spPr>
            <a:solidFill>
              <a:schemeClr val="bg1">
                <a:alpha val="20000"/>
              </a:schemeClr>
            </a:solidFill>
            <a:ln>
              <a:noFill/>
            </a:ln>
            <a:effectLst/>
          </c:spPr>
          <c:invertIfNegative val="0"/>
          <c:val>
            <c:numRef>
              <c:f>Sheet1!$T$322:$T$326</c:f>
              <c:numCache>
                <c:formatCode>0.00</c:formatCode>
                <c:ptCount val="5"/>
                <c:pt idx="0">
                  <c:v>108.42327382969376</c:v>
                </c:pt>
                <c:pt idx="1">
                  <c:v>33.982212114414565</c:v>
                </c:pt>
                <c:pt idx="2">
                  <c:v>80.30234846370135</c:v>
                </c:pt>
                <c:pt idx="3">
                  <c:v>108.42327382969376</c:v>
                </c:pt>
                <c:pt idx="4">
                  <c:v>10</c:v>
                </c:pt>
              </c:numCache>
            </c:numRef>
          </c:val>
          <c:extLst>
            <c:ext xmlns:c16="http://schemas.microsoft.com/office/drawing/2014/chart" uri="{C3380CC4-5D6E-409C-BE32-E72D297353CC}">
              <c16:uniqueId val="{00000010-CCEF-D745-B194-7907F4E2C23A}"/>
            </c:ext>
          </c:extLst>
        </c:ser>
        <c:dLbls>
          <c:showLegendKey val="0"/>
          <c:showVal val="0"/>
          <c:showCatName val="0"/>
          <c:showSerName val="0"/>
          <c:showPercent val="0"/>
          <c:showBubbleSize val="0"/>
        </c:dLbls>
        <c:gapWidth val="60"/>
        <c:overlap val="100"/>
        <c:axId val="940066479"/>
        <c:axId val="768799967"/>
      </c:barChart>
      <c:catAx>
        <c:axId val="940066479"/>
        <c:scaling>
          <c:orientation val="minMax"/>
        </c:scaling>
        <c:delete val="0"/>
        <c:axPos val="l"/>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768799967"/>
        <c:crossesAt val="0"/>
        <c:auto val="1"/>
        <c:lblAlgn val="ctr"/>
        <c:lblOffset val="0"/>
        <c:noMultiLvlLbl val="0"/>
      </c:catAx>
      <c:valAx>
        <c:axId val="7687999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940066479"/>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and graphs'!$H$106</c:f>
          <c:strCache>
            <c:ptCount val="1"/>
            <c:pt idx="0">
              <c:v>Cumulative weight of food categories per meal: average (g)</c:v>
            </c:pt>
          </c:strCache>
        </c:strRef>
      </c:tx>
      <c:layout>
        <c:manualLayout>
          <c:xMode val="edge"/>
          <c:yMode val="edge"/>
          <c:x val="0.16757643097643099"/>
          <c:y val="3.1683995448054107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RS"/>
        </a:p>
      </c:txPr>
    </c:title>
    <c:autoTitleDeleted val="0"/>
    <c:plotArea>
      <c:layout/>
      <c:barChart>
        <c:barDir val="bar"/>
        <c:grouping val="stacked"/>
        <c:varyColors val="0"/>
        <c:ser>
          <c:idx val="0"/>
          <c:order val="0"/>
          <c:tx>
            <c:strRef>
              <c:f>Sheet1!$H$87</c:f>
              <c:strCache>
                <c:ptCount val="1"/>
                <c:pt idx="0">
                  <c:v>Cumulative weight of food categories per meal: average (g)</c:v>
                </c:pt>
              </c:strCache>
            </c:strRef>
          </c:tx>
          <c:spPr>
            <a:solidFill>
              <a:srgbClr val="00B05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Sheet1!$D$366:$D$370</c:f>
              <c:numCache>
                <c:formatCode>0.00</c:formatCode>
                <c:ptCount val="5"/>
                <c:pt idx="0">
                  <c:v>0</c:v>
                </c:pt>
                <c:pt idx="1">
                  <c:v>180.69963860072281</c:v>
                </c:pt>
                <c:pt idx="2">
                  <c:v>0</c:v>
                </c:pt>
                <c:pt idx="3">
                  <c:v>0</c:v>
                </c:pt>
                <c:pt idx="4">
                  <c:v>180.69963860072281</c:v>
                </c:pt>
              </c:numCache>
            </c:numRef>
          </c:val>
          <c:extLst>
            <c:ext xmlns:c16="http://schemas.microsoft.com/office/drawing/2014/chart" uri="{C3380CC4-5D6E-409C-BE32-E72D297353CC}">
              <c16:uniqueId val="{00000000-2187-B84E-B7D9-F479312809F3}"/>
            </c:ext>
          </c:extLst>
        </c:ser>
        <c:ser>
          <c:idx val="1"/>
          <c:order val="1"/>
          <c:spPr>
            <a:solidFill>
              <a:srgbClr val="00E56E"/>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Sheet1!$E$366:$E$370</c:f>
              <c:numCache>
                <c:formatCode>0.00</c:formatCode>
                <c:ptCount val="5"/>
                <c:pt idx="0">
                  <c:v>0</c:v>
                </c:pt>
                <c:pt idx="1">
                  <c:v>11.999976000048001</c:v>
                </c:pt>
                <c:pt idx="2">
                  <c:v>0</c:v>
                </c:pt>
                <c:pt idx="3">
                  <c:v>0</c:v>
                </c:pt>
                <c:pt idx="4">
                  <c:v>11.999976000048001</c:v>
                </c:pt>
              </c:numCache>
            </c:numRef>
          </c:val>
          <c:extLst>
            <c:ext xmlns:c16="http://schemas.microsoft.com/office/drawing/2014/chart" uri="{C3380CC4-5D6E-409C-BE32-E72D297353CC}">
              <c16:uniqueId val="{00000001-2187-B84E-B7D9-F479312809F3}"/>
            </c:ext>
          </c:extLst>
        </c:ser>
        <c:ser>
          <c:idx val="2"/>
          <c:order val="2"/>
          <c:spPr>
            <a:solidFill>
              <a:schemeClr val="accent4"/>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Sheet1!$F$366:$F$370</c:f>
              <c:numCache>
                <c:formatCode>0.00</c:formatCode>
                <c:ptCount val="5"/>
                <c:pt idx="0">
                  <c:v>0</c:v>
                </c:pt>
                <c:pt idx="1">
                  <c:v>123.999752000496</c:v>
                </c:pt>
                <c:pt idx="2">
                  <c:v>0</c:v>
                </c:pt>
                <c:pt idx="3">
                  <c:v>0</c:v>
                </c:pt>
                <c:pt idx="4">
                  <c:v>123.999752000496</c:v>
                </c:pt>
              </c:numCache>
            </c:numRef>
          </c:val>
          <c:extLst>
            <c:ext xmlns:c16="http://schemas.microsoft.com/office/drawing/2014/chart" uri="{C3380CC4-5D6E-409C-BE32-E72D297353CC}">
              <c16:uniqueId val="{00000002-2187-B84E-B7D9-F479312809F3}"/>
            </c:ext>
          </c:extLst>
        </c:ser>
        <c:ser>
          <c:idx val="3"/>
          <c:order val="3"/>
          <c:spPr>
            <a:solidFill>
              <a:srgbClr val="0070C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Sheet1!$G$366:$G$370</c:f>
              <c:numCache>
                <c:formatCode>0.00</c:formatCode>
                <c:ptCount val="5"/>
                <c:pt idx="0">
                  <c:v>0</c:v>
                </c:pt>
                <c:pt idx="1">
                  <c:v>29.999940000120002</c:v>
                </c:pt>
                <c:pt idx="2">
                  <c:v>0</c:v>
                </c:pt>
                <c:pt idx="3">
                  <c:v>0</c:v>
                </c:pt>
                <c:pt idx="4">
                  <c:v>29.999940000120002</c:v>
                </c:pt>
              </c:numCache>
            </c:numRef>
          </c:val>
          <c:extLst>
            <c:ext xmlns:c16="http://schemas.microsoft.com/office/drawing/2014/chart" uri="{C3380CC4-5D6E-409C-BE32-E72D297353CC}">
              <c16:uniqueId val="{00000003-2187-B84E-B7D9-F479312809F3}"/>
            </c:ext>
          </c:extLst>
        </c:ser>
        <c:ser>
          <c:idx val="4"/>
          <c:order val="4"/>
          <c:spPr>
            <a:solidFill>
              <a:srgbClr val="8A6AE5"/>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Sheet1!$H$366:$H$370</c:f>
              <c:numCache>
                <c:formatCode>0.00</c:formatCode>
                <c:ptCount val="5"/>
                <c:pt idx="0">
                  <c:v>0</c:v>
                </c:pt>
                <c:pt idx="1">
                  <c:v>5.9999880000240005</c:v>
                </c:pt>
                <c:pt idx="2">
                  <c:v>3.9999920000160003</c:v>
                </c:pt>
                <c:pt idx="3">
                  <c:v>0</c:v>
                </c:pt>
                <c:pt idx="4">
                  <c:v>9.9999800000400008</c:v>
                </c:pt>
              </c:numCache>
            </c:numRef>
          </c:val>
          <c:extLst>
            <c:ext xmlns:c16="http://schemas.microsoft.com/office/drawing/2014/chart" uri="{C3380CC4-5D6E-409C-BE32-E72D297353CC}">
              <c16:uniqueId val="{00000004-2187-B84E-B7D9-F479312809F3}"/>
            </c:ext>
          </c:extLst>
        </c:ser>
        <c:ser>
          <c:idx val="5"/>
          <c:order val="5"/>
          <c:spPr>
            <a:solidFill>
              <a:schemeClr val="accent6"/>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Sheet1!$I$366:$I$370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5-2187-B84E-B7D9-F479312809F3}"/>
            </c:ext>
          </c:extLst>
        </c:ser>
        <c:ser>
          <c:idx val="6"/>
          <c:order val="6"/>
          <c:spPr>
            <a:solidFill>
              <a:srgbClr val="D3EA0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Sheet1!$J$366:$J$370</c:f>
              <c:numCache>
                <c:formatCode>0.00</c:formatCode>
                <c:ptCount val="5"/>
                <c:pt idx="0">
                  <c:v>0</c:v>
                </c:pt>
                <c:pt idx="1">
                  <c:v>12.999974000052001</c:v>
                </c:pt>
                <c:pt idx="2">
                  <c:v>2.0599958800082403</c:v>
                </c:pt>
                <c:pt idx="3">
                  <c:v>0</c:v>
                </c:pt>
                <c:pt idx="4">
                  <c:v>15.05996988006024</c:v>
                </c:pt>
              </c:numCache>
            </c:numRef>
          </c:val>
          <c:extLst>
            <c:ext xmlns:c16="http://schemas.microsoft.com/office/drawing/2014/chart" uri="{C3380CC4-5D6E-409C-BE32-E72D297353CC}">
              <c16:uniqueId val="{00000006-2187-B84E-B7D9-F479312809F3}"/>
            </c:ext>
          </c:extLst>
        </c:ser>
        <c:ser>
          <c:idx val="7"/>
          <c:order val="7"/>
          <c:spPr>
            <a:solidFill>
              <a:srgbClr val="92D05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Sheet1!$K$366:$K$370</c:f>
              <c:numCache>
                <c:formatCode>0.00</c:formatCode>
                <c:ptCount val="5"/>
                <c:pt idx="0">
                  <c:v>0</c:v>
                </c:pt>
                <c:pt idx="1">
                  <c:v>30.599938800122402</c:v>
                </c:pt>
                <c:pt idx="2">
                  <c:v>68.3998632002736</c:v>
                </c:pt>
                <c:pt idx="3">
                  <c:v>0</c:v>
                </c:pt>
                <c:pt idx="4">
                  <c:v>98.999802000396002</c:v>
                </c:pt>
              </c:numCache>
            </c:numRef>
          </c:val>
          <c:extLst>
            <c:ext xmlns:c16="http://schemas.microsoft.com/office/drawing/2014/chart" uri="{C3380CC4-5D6E-409C-BE32-E72D297353CC}">
              <c16:uniqueId val="{00000007-2187-B84E-B7D9-F479312809F3}"/>
            </c:ext>
          </c:extLst>
        </c:ser>
        <c:ser>
          <c:idx val="8"/>
          <c:order val="8"/>
          <c:spPr>
            <a:solidFill>
              <a:srgbClr val="9E480D"/>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Sheet1!$L$366:$L$370</c:f>
              <c:numCache>
                <c:formatCode>0.00</c:formatCode>
                <c:ptCount val="5"/>
                <c:pt idx="0">
                  <c:v>0</c:v>
                </c:pt>
                <c:pt idx="1">
                  <c:v>19.959960080079842</c:v>
                </c:pt>
                <c:pt idx="2">
                  <c:v>9.3999812000376011</c:v>
                </c:pt>
                <c:pt idx="3">
                  <c:v>0</c:v>
                </c:pt>
                <c:pt idx="4">
                  <c:v>29.359941280117443</c:v>
                </c:pt>
              </c:numCache>
            </c:numRef>
          </c:val>
          <c:extLst>
            <c:ext xmlns:c16="http://schemas.microsoft.com/office/drawing/2014/chart" uri="{C3380CC4-5D6E-409C-BE32-E72D297353CC}">
              <c16:uniqueId val="{00000008-2187-B84E-B7D9-F479312809F3}"/>
            </c:ext>
          </c:extLst>
        </c:ser>
        <c:ser>
          <c:idx val="9"/>
          <c:order val="9"/>
          <c:spPr>
            <a:solidFill>
              <a:srgbClr val="636363"/>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Sheet1!$M$366:$M$370</c:f>
              <c:numCache>
                <c:formatCode>0.00</c:formatCode>
                <c:ptCount val="5"/>
                <c:pt idx="0">
                  <c:v>0</c:v>
                </c:pt>
                <c:pt idx="1">
                  <c:v>45.599908800182405</c:v>
                </c:pt>
                <c:pt idx="2">
                  <c:v>12.399975200049601</c:v>
                </c:pt>
                <c:pt idx="3">
                  <c:v>0</c:v>
                </c:pt>
                <c:pt idx="4">
                  <c:v>57.999884000232008</c:v>
                </c:pt>
              </c:numCache>
            </c:numRef>
          </c:val>
          <c:extLst>
            <c:ext xmlns:c16="http://schemas.microsoft.com/office/drawing/2014/chart" uri="{C3380CC4-5D6E-409C-BE32-E72D297353CC}">
              <c16:uniqueId val="{00000009-2187-B84E-B7D9-F479312809F3}"/>
            </c:ext>
          </c:extLst>
        </c:ser>
        <c:ser>
          <c:idx val="10"/>
          <c:order val="10"/>
          <c:spPr>
            <a:solidFill>
              <a:srgbClr val="99730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Sheet1!$N$366:$N$370</c:f>
              <c:numCache>
                <c:formatCode>0.00</c:formatCode>
                <c:ptCount val="5"/>
                <c:pt idx="0">
                  <c:v>0</c:v>
                </c:pt>
                <c:pt idx="1">
                  <c:v>9.3039813920372154</c:v>
                </c:pt>
                <c:pt idx="2">
                  <c:v>4.4599910800178408</c:v>
                </c:pt>
                <c:pt idx="3">
                  <c:v>0</c:v>
                </c:pt>
                <c:pt idx="4">
                  <c:v>13.763972472055055</c:v>
                </c:pt>
              </c:numCache>
            </c:numRef>
          </c:val>
          <c:extLst>
            <c:ext xmlns:c16="http://schemas.microsoft.com/office/drawing/2014/chart" uri="{C3380CC4-5D6E-409C-BE32-E72D297353CC}">
              <c16:uniqueId val="{0000000A-2187-B84E-B7D9-F479312809F3}"/>
            </c:ext>
          </c:extLst>
        </c:ser>
        <c:ser>
          <c:idx val="11"/>
          <c:order val="11"/>
          <c:spPr>
            <a:solidFill>
              <a:srgbClr val="F8787D"/>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Sheet1!$O$366:$O$370</c:f>
              <c:numCache>
                <c:formatCode>0.00</c:formatCode>
                <c:ptCount val="5"/>
                <c:pt idx="0">
                  <c:v>0</c:v>
                </c:pt>
                <c:pt idx="1">
                  <c:v>4.1199917600164806</c:v>
                </c:pt>
                <c:pt idx="2">
                  <c:v>7.5999848000304002</c:v>
                </c:pt>
                <c:pt idx="3">
                  <c:v>0</c:v>
                </c:pt>
                <c:pt idx="4">
                  <c:v>11.719976560046881</c:v>
                </c:pt>
              </c:numCache>
            </c:numRef>
          </c:val>
          <c:extLst>
            <c:ext xmlns:c16="http://schemas.microsoft.com/office/drawing/2014/chart" uri="{C3380CC4-5D6E-409C-BE32-E72D297353CC}">
              <c16:uniqueId val="{0000000B-2187-B84E-B7D9-F479312809F3}"/>
            </c:ext>
          </c:extLst>
        </c:ser>
        <c:ser>
          <c:idx val="12"/>
          <c:order val="12"/>
          <c:spPr>
            <a:solidFill>
              <a:srgbClr val="C00000"/>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Sheet1!$P$366:$P$370</c:f>
              <c:numCache>
                <c:formatCode>0.00</c:formatCode>
                <c:ptCount val="5"/>
                <c:pt idx="0">
                  <c:v>0</c:v>
                </c:pt>
                <c:pt idx="1">
                  <c:v>70.999858000284007</c:v>
                </c:pt>
                <c:pt idx="2">
                  <c:v>35.999928000144003</c:v>
                </c:pt>
                <c:pt idx="3">
                  <c:v>0</c:v>
                </c:pt>
                <c:pt idx="4">
                  <c:v>106.999786000428</c:v>
                </c:pt>
              </c:numCache>
            </c:numRef>
          </c:val>
          <c:extLst>
            <c:ext xmlns:c16="http://schemas.microsoft.com/office/drawing/2014/chart" uri="{C3380CC4-5D6E-409C-BE32-E72D297353CC}">
              <c16:uniqueId val="{0000000C-2187-B84E-B7D9-F479312809F3}"/>
            </c:ext>
          </c:extLst>
        </c:ser>
        <c:ser>
          <c:idx val="13"/>
          <c:order val="13"/>
          <c:spPr>
            <a:solidFill>
              <a:schemeClr val="accent2">
                <a:lumMod val="80000"/>
                <a:lumOff val="20000"/>
              </a:schemeClr>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Sheet1!$Q$366:$Q$370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D-2187-B84E-B7D9-F479312809F3}"/>
            </c:ext>
          </c:extLst>
        </c:ser>
        <c:ser>
          <c:idx val="14"/>
          <c:order val="14"/>
          <c:spPr>
            <a:solidFill>
              <a:schemeClr val="accent3">
                <a:lumMod val="80000"/>
                <a:lumOff val="20000"/>
              </a:schemeClr>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Sheet1!$R$366:$R$370</c:f>
              <c:numCache>
                <c:formatCode>0.00</c:formatCode>
                <c:ptCount val="5"/>
                <c:pt idx="0">
                  <c:v>0</c:v>
                </c:pt>
                <c:pt idx="1">
                  <c:v>0</c:v>
                </c:pt>
                <c:pt idx="2">
                  <c:v>9.9999800000400008</c:v>
                </c:pt>
                <c:pt idx="3">
                  <c:v>0</c:v>
                </c:pt>
                <c:pt idx="4">
                  <c:v>9.9999800000400008</c:v>
                </c:pt>
              </c:numCache>
            </c:numRef>
          </c:val>
          <c:extLst>
            <c:ext xmlns:c16="http://schemas.microsoft.com/office/drawing/2014/chart" uri="{C3380CC4-5D6E-409C-BE32-E72D297353CC}">
              <c16:uniqueId val="{0000000E-2187-B84E-B7D9-F479312809F3}"/>
            </c:ext>
          </c:extLst>
        </c:ser>
        <c:ser>
          <c:idx val="15"/>
          <c:order val="15"/>
          <c:spPr>
            <a:solidFill>
              <a:srgbClr val="78D1B5"/>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Sheet1!$S$366:$S$370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F-2187-B84E-B7D9-F479312809F3}"/>
            </c:ext>
          </c:extLst>
        </c:ser>
        <c:ser>
          <c:idx val="16"/>
          <c:order val="16"/>
          <c:spPr>
            <a:solidFill>
              <a:schemeClr val="bg1">
                <a:alpha val="20000"/>
              </a:schemeClr>
            </a:solidFill>
            <a:ln>
              <a:noFill/>
            </a:ln>
            <a:effectLst/>
          </c:spPr>
          <c:invertIfNegative val="0"/>
          <c:cat>
            <c:strRef>
              <c:f>Sheet1!$B$366:$B$370</c:f>
              <c:strCache>
                <c:ptCount val="5"/>
                <c:pt idx="0">
                  <c:v>Snack-2</c:v>
                </c:pt>
                <c:pt idx="1">
                  <c:v>Lunch</c:v>
                </c:pt>
                <c:pt idx="2">
                  <c:v>Snack-1</c:v>
                </c:pt>
                <c:pt idx="3">
                  <c:v>Breakfast</c:v>
                </c:pt>
                <c:pt idx="4">
                  <c:v>Total</c:v>
                </c:pt>
              </c:strCache>
            </c:strRef>
          </c:cat>
          <c:val>
            <c:numRef>
              <c:f>Sheet1!$T$366:$T$370</c:f>
              <c:numCache>
                <c:formatCode>0.00</c:formatCode>
                <c:ptCount val="5"/>
                <c:pt idx="0">
                  <c:v>720.60259879480236</c:v>
                </c:pt>
                <c:pt idx="1">
                  <c:v>174.31969136061718</c:v>
                </c:pt>
                <c:pt idx="2">
                  <c:v>566.28290743418506</c:v>
                </c:pt>
                <c:pt idx="3">
                  <c:v>720.60259879480236</c:v>
                </c:pt>
                <c:pt idx="4">
                  <c:v>20</c:v>
                </c:pt>
              </c:numCache>
            </c:numRef>
          </c:val>
          <c:extLst>
            <c:ext xmlns:c16="http://schemas.microsoft.com/office/drawing/2014/chart" uri="{C3380CC4-5D6E-409C-BE32-E72D297353CC}">
              <c16:uniqueId val="{00000010-2187-B84E-B7D9-F479312809F3}"/>
            </c:ext>
          </c:extLst>
        </c:ser>
        <c:dLbls>
          <c:showLegendKey val="0"/>
          <c:showVal val="0"/>
          <c:showCatName val="0"/>
          <c:showSerName val="0"/>
          <c:showPercent val="0"/>
          <c:showBubbleSize val="0"/>
        </c:dLbls>
        <c:gapWidth val="60"/>
        <c:overlap val="100"/>
        <c:axId val="940066479"/>
        <c:axId val="768799967"/>
      </c:barChart>
      <c:catAx>
        <c:axId val="940066479"/>
        <c:scaling>
          <c:orientation val="minMax"/>
        </c:scaling>
        <c:delete val="0"/>
        <c:axPos val="l"/>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768799967"/>
        <c:crossesAt val="0"/>
        <c:auto val="1"/>
        <c:lblAlgn val="ctr"/>
        <c:lblOffset val="20"/>
        <c:noMultiLvlLbl val="0"/>
      </c:catAx>
      <c:valAx>
        <c:axId val="7687999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940066479"/>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 and graphs'!$N$106</c:f>
          <c:strCache>
            <c:ptCount val="1"/>
            <c:pt idx="0">
              <c:v>Food contribution to global warming: Cumulative CO2 (g/g) from food category - weekly average for</c:v>
            </c:pt>
          </c:strCache>
        </c:strRef>
      </c:tx>
      <c:layout>
        <c:manualLayout>
          <c:xMode val="edge"/>
          <c:yMode val="edge"/>
          <c:x val="0.1454173252149797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RS"/>
        </a:p>
      </c:txPr>
    </c:title>
    <c:autoTitleDeleted val="0"/>
    <c:plotArea>
      <c:layout>
        <c:manualLayout>
          <c:layoutTarget val="inner"/>
          <c:xMode val="edge"/>
          <c:yMode val="edge"/>
          <c:x val="0.17073471736218232"/>
          <c:y val="0.16856467007475071"/>
          <c:w val="0.77272528650289396"/>
          <c:h val="0.70853113360284392"/>
        </c:manualLayout>
      </c:layout>
      <c:barChart>
        <c:barDir val="bar"/>
        <c:grouping val="stacked"/>
        <c:varyColors val="0"/>
        <c:ser>
          <c:idx val="0"/>
          <c:order val="0"/>
          <c:tx>
            <c:strRef>
              <c:f>Sheet1!$N$87</c:f>
              <c:strCache>
                <c:ptCount val="1"/>
                <c:pt idx="0">
                  <c:v>Food contribution to global warming: Cumulative CO2 (g/g) from food category - weekly average for</c:v>
                </c:pt>
              </c:strCache>
            </c:strRef>
          </c:tx>
          <c:spPr>
            <a:solidFill>
              <a:srgbClr val="00B05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Sheet1!$D$410:$D$414</c:f>
              <c:numCache>
                <c:formatCode>0.00</c:formatCode>
                <c:ptCount val="5"/>
                <c:pt idx="0">
                  <c:v>0</c:v>
                </c:pt>
                <c:pt idx="1">
                  <c:v>151.34769730460539</c:v>
                </c:pt>
                <c:pt idx="2">
                  <c:v>0</c:v>
                </c:pt>
                <c:pt idx="3">
                  <c:v>0</c:v>
                </c:pt>
                <c:pt idx="4">
                  <c:v>151.34769730460539</c:v>
                </c:pt>
              </c:numCache>
            </c:numRef>
          </c:val>
          <c:extLst>
            <c:ext xmlns:c16="http://schemas.microsoft.com/office/drawing/2014/chart" uri="{C3380CC4-5D6E-409C-BE32-E72D297353CC}">
              <c16:uniqueId val="{00000000-A80E-E244-BFB9-AC7C8ACCC943}"/>
            </c:ext>
          </c:extLst>
        </c:ser>
        <c:ser>
          <c:idx val="1"/>
          <c:order val="1"/>
          <c:spPr>
            <a:solidFill>
              <a:srgbClr val="00E56E"/>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Sheet1!$E$410:$E$414</c:f>
              <c:numCache>
                <c:formatCode>0.00</c:formatCode>
                <c:ptCount val="5"/>
                <c:pt idx="0">
                  <c:v>0</c:v>
                </c:pt>
                <c:pt idx="1">
                  <c:v>19.199961600076801</c:v>
                </c:pt>
                <c:pt idx="2">
                  <c:v>0</c:v>
                </c:pt>
                <c:pt idx="3">
                  <c:v>0</c:v>
                </c:pt>
                <c:pt idx="4">
                  <c:v>19.199961600076801</c:v>
                </c:pt>
              </c:numCache>
            </c:numRef>
          </c:val>
          <c:extLst>
            <c:ext xmlns:c16="http://schemas.microsoft.com/office/drawing/2014/chart" uri="{C3380CC4-5D6E-409C-BE32-E72D297353CC}">
              <c16:uniqueId val="{00000001-A80E-E244-BFB9-AC7C8ACCC943}"/>
            </c:ext>
          </c:extLst>
        </c:ser>
        <c:ser>
          <c:idx val="2"/>
          <c:order val="2"/>
          <c:spPr>
            <a:solidFill>
              <a:schemeClr val="accent4"/>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Sheet1!$F$410:$F$414</c:f>
              <c:numCache>
                <c:formatCode>0.00</c:formatCode>
                <c:ptCount val="5"/>
                <c:pt idx="0">
                  <c:v>0</c:v>
                </c:pt>
                <c:pt idx="1">
                  <c:v>53.319893360213285</c:v>
                </c:pt>
                <c:pt idx="2">
                  <c:v>0</c:v>
                </c:pt>
                <c:pt idx="3">
                  <c:v>0</c:v>
                </c:pt>
                <c:pt idx="4">
                  <c:v>53.319893360213285</c:v>
                </c:pt>
              </c:numCache>
            </c:numRef>
          </c:val>
          <c:extLst>
            <c:ext xmlns:c16="http://schemas.microsoft.com/office/drawing/2014/chart" uri="{C3380CC4-5D6E-409C-BE32-E72D297353CC}">
              <c16:uniqueId val="{00000002-A80E-E244-BFB9-AC7C8ACCC943}"/>
            </c:ext>
          </c:extLst>
        </c:ser>
        <c:ser>
          <c:idx val="3"/>
          <c:order val="3"/>
          <c:spPr>
            <a:solidFill>
              <a:srgbClr val="0070C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Sheet1!$G$410:$G$414</c:f>
              <c:numCache>
                <c:formatCode>0.00</c:formatCode>
                <c:ptCount val="5"/>
                <c:pt idx="0">
                  <c:v>0</c:v>
                </c:pt>
                <c:pt idx="1">
                  <c:v>213.49957300085401</c:v>
                </c:pt>
                <c:pt idx="2">
                  <c:v>0</c:v>
                </c:pt>
                <c:pt idx="3">
                  <c:v>0</c:v>
                </c:pt>
                <c:pt idx="4">
                  <c:v>213.49957300085401</c:v>
                </c:pt>
              </c:numCache>
            </c:numRef>
          </c:val>
          <c:extLst>
            <c:ext xmlns:c16="http://schemas.microsoft.com/office/drawing/2014/chart" uri="{C3380CC4-5D6E-409C-BE32-E72D297353CC}">
              <c16:uniqueId val="{00000003-A80E-E244-BFB9-AC7C8ACCC943}"/>
            </c:ext>
          </c:extLst>
        </c:ser>
        <c:ser>
          <c:idx val="4"/>
          <c:order val="4"/>
          <c:spPr>
            <a:solidFill>
              <a:srgbClr val="8A6AE5"/>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Sheet1!$H$410:$H$414</c:f>
              <c:numCache>
                <c:formatCode>0.00</c:formatCode>
                <c:ptCount val="5"/>
                <c:pt idx="0">
                  <c:v>0</c:v>
                </c:pt>
                <c:pt idx="1">
                  <c:v>54.239891520216965</c:v>
                </c:pt>
                <c:pt idx="2">
                  <c:v>19.599960800078403</c:v>
                </c:pt>
                <c:pt idx="3">
                  <c:v>0</c:v>
                </c:pt>
                <c:pt idx="4">
                  <c:v>73.839852320295364</c:v>
                </c:pt>
              </c:numCache>
            </c:numRef>
          </c:val>
          <c:extLst>
            <c:ext xmlns:c16="http://schemas.microsoft.com/office/drawing/2014/chart" uri="{C3380CC4-5D6E-409C-BE32-E72D297353CC}">
              <c16:uniqueId val="{00000004-A80E-E244-BFB9-AC7C8ACCC943}"/>
            </c:ext>
          </c:extLst>
        </c:ser>
        <c:ser>
          <c:idx val="5"/>
          <c:order val="5"/>
          <c:spPr>
            <a:solidFill>
              <a:schemeClr val="accent6"/>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Sheet1!$I$410:$I$414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5-A80E-E244-BFB9-AC7C8ACCC943}"/>
            </c:ext>
          </c:extLst>
        </c:ser>
        <c:ser>
          <c:idx val="6"/>
          <c:order val="6"/>
          <c:spPr>
            <a:solidFill>
              <a:srgbClr val="D3EA0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Sheet1!$J$410:$J$414</c:f>
              <c:numCache>
                <c:formatCode>0.00</c:formatCode>
                <c:ptCount val="5"/>
                <c:pt idx="0">
                  <c:v>0</c:v>
                </c:pt>
                <c:pt idx="1">
                  <c:v>39.519920960158089</c:v>
                </c:pt>
                <c:pt idx="2">
                  <c:v>6.2623874752250499</c:v>
                </c:pt>
                <c:pt idx="3">
                  <c:v>0</c:v>
                </c:pt>
                <c:pt idx="4">
                  <c:v>45.782308435383136</c:v>
                </c:pt>
              </c:numCache>
            </c:numRef>
          </c:val>
          <c:extLst>
            <c:ext xmlns:c16="http://schemas.microsoft.com/office/drawing/2014/chart" uri="{C3380CC4-5D6E-409C-BE32-E72D297353CC}">
              <c16:uniqueId val="{00000006-A80E-E244-BFB9-AC7C8ACCC943}"/>
            </c:ext>
          </c:extLst>
        </c:ser>
        <c:ser>
          <c:idx val="7"/>
          <c:order val="7"/>
          <c:spPr>
            <a:solidFill>
              <a:srgbClr val="92D05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Sheet1!$K$410:$K$414</c:f>
              <c:numCache>
                <c:formatCode>0.00</c:formatCode>
                <c:ptCount val="5"/>
                <c:pt idx="0">
                  <c:v>0</c:v>
                </c:pt>
                <c:pt idx="1">
                  <c:v>77.875844248311509</c:v>
                </c:pt>
                <c:pt idx="2">
                  <c:v>147.59170481659035</c:v>
                </c:pt>
                <c:pt idx="3">
                  <c:v>0</c:v>
                </c:pt>
                <c:pt idx="4">
                  <c:v>225.46754906490185</c:v>
                </c:pt>
              </c:numCache>
            </c:numRef>
          </c:val>
          <c:extLst>
            <c:ext xmlns:c16="http://schemas.microsoft.com/office/drawing/2014/chart" uri="{C3380CC4-5D6E-409C-BE32-E72D297353CC}">
              <c16:uniqueId val="{00000007-A80E-E244-BFB9-AC7C8ACCC943}"/>
            </c:ext>
          </c:extLst>
        </c:ser>
        <c:ser>
          <c:idx val="8"/>
          <c:order val="8"/>
          <c:spPr>
            <a:solidFill>
              <a:srgbClr val="9E480D"/>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Sheet1!$L$410:$L$414</c:f>
              <c:numCache>
                <c:formatCode>0.00</c:formatCode>
                <c:ptCount val="5"/>
                <c:pt idx="0">
                  <c:v>0</c:v>
                </c:pt>
                <c:pt idx="1">
                  <c:v>94.410611178777643</c:v>
                </c:pt>
                <c:pt idx="2">
                  <c:v>44.461911076177856</c:v>
                </c:pt>
                <c:pt idx="3">
                  <c:v>0</c:v>
                </c:pt>
                <c:pt idx="4">
                  <c:v>138.8725222549555</c:v>
                </c:pt>
              </c:numCache>
            </c:numRef>
          </c:val>
          <c:extLst>
            <c:ext xmlns:c16="http://schemas.microsoft.com/office/drawing/2014/chart" uri="{C3380CC4-5D6E-409C-BE32-E72D297353CC}">
              <c16:uniqueId val="{00000008-A80E-E244-BFB9-AC7C8ACCC943}"/>
            </c:ext>
          </c:extLst>
        </c:ser>
        <c:ser>
          <c:idx val="9"/>
          <c:order val="9"/>
          <c:spPr>
            <a:solidFill>
              <a:srgbClr val="636363"/>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Sheet1!$M$410:$M$414</c:f>
              <c:numCache>
                <c:formatCode>0.00</c:formatCode>
                <c:ptCount val="5"/>
                <c:pt idx="0">
                  <c:v>0</c:v>
                </c:pt>
                <c:pt idx="1">
                  <c:v>142.29171541656919</c:v>
                </c:pt>
                <c:pt idx="2">
                  <c:v>24.827950344099314</c:v>
                </c:pt>
                <c:pt idx="3">
                  <c:v>0</c:v>
                </c:pt>
                <c:pt idx="4">
                  <c:v>167.11966576066851</c:v>
                </c:pt>
              </c:numCache>
            </c:numRef>
          </c:val>
          <c:extLst>
            <c:ext xmlns:c16="http://schemas.microsoft.com/office/drawing/2014/chart" uri="{C3380CC4-5D6E-409C-BE32-E72D297353CC}">
              <c16:uniqueId val="{00000009-A80E-E244-BFB9-AC7C8ACCC943}"/>
            </c:ext>
          </c:extLst>
        </c:ser>
        <c:ser>
          <c:idx val="10"/>
          <c:order val="10"/>
          <c:spPr>
            <a:solidFill>
              <a:srgbClr val="99730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Sheet1!$N$410:$N$414</c:f>
              <c:numCache>
                <c:formatCode>0.00</c:formatCode>
                <c:ptCount val="5"/>
                <c:pt idx="0">
                  <c:v>0</c:v>
                </c:pt>
                <c:pt idx="1">
                  <c:v>19.767600464799074</c:v>
                </c:pt>
                <c:pt idx="2">
                  <c:v>7.0079859840280321</c:v>
                </c:pt>
                <c:pt idx="3">
                  <c:v>0</c:v>
                </c:pt>
                <c:pt idx="4">
                  <c:v>26.775586448827106</c:v>
                </c:pt>
              </c:numCache>
            </c:numRef>
          </c:val>
          <c:extLst>
            <c:ext xmlns:c16="http://schemas.microsoft.com/office/drawing/2014/chart" uri="{C3380CC4-5D6E-409C-BE32-E72D297353CC}">
              <c16:uniqueId val="{0000000A-A80E-E244-BFB9-AC7C8ACCC943}"/>
            </c:ext>
          </c:extLst>
        </c:ser>
        <c:ser>
          <c:idx val="11"/>
          <c:order val="11"/>
          <c:spPr>
            <a:solidFill>
              <a:srgbClr val="F8787D"/>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Sheet1!$O$410:$O$414</c:f>
              <c:numCache>
                <c:formatCode>0.00</c:formatCode>
                <c:ptCount val="5"/>
                <c:pt idx="0">
                  <c:v>0</c:v>
                </c:pt>
                <c:pt idx="1">
                  <c:v>1.5655968688062627</c:v>
                </c:pt>
                <c:pt idx="2">
                  <c:v>2.8879942240115519</c:v>
                </c:pt>
                <c:pt idx="3">
                  <c:v>0</c:v>
                </c:pt>
                <c:pt idx="4">
                  <c:v>4.4535910928178151</c:v>
                </c:pt>
              </c:numCache>
            </c:numRef>
          </c:val>
          <c:extLst>
            <c:ext xmlns:c16="http://schemas.microsoft.com/office/drawing/2014/chart" uri="{C3380CC4-5D6E-409C-BE32-E72D297353CC}">
              <c16:uniqueId val="{0000000B-A80E-E244-BFB9-AC7C8ACCC943}"/>
            </c:ext>
          </c:extLst>
        </c:ser>
        <c:ser>
          <c:idx val="12"/>
          <c:order val="12"/>
          <c:spPr>
            <a:solidFill>
              <a:srgbClr val="C00000"/>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Sheet1!$P$410:$P$414</c:f>
              <c:numCache>
                <c:formatCode>0.00</c:formatCode>
                <c:ptCount val="5"/>
                <c:pt idx="0">
                  <c:v>0</c:v>
                </c:pt>
                <c:pt idx="1">
                  <c:v>115.0197699604601</c:v>
                </c:pt>
                <c:pt idx="2">
                  <c:v>58.319883360233291</c:v>
                </c:pt>
                <c:pt idx="3">
                  <c:v>0</c:v>
                </c:pt>
                <c:pt idx="4">
                  <c:v>173.3396533206934</c:v>
                </c:pt>
              </c:numCache>
            </c:numRef>
          </c:val>
          <c:extLst>
            <c:ext xmlns:c16="http://schemas.microsoft.com/office/drawing/2014/chart" uri="{C3380CC4-5D6E-409C-BE32-E72D297353CC}">
              <c16:uniqueId val="{0000000C-A80E-E244-BFB9-AC7C8ACCC943}"/>
            </c:ext>
          </c:extLst>
        </c:ser>
        <c:ser>
          <c:idx val="13"/>
          <c:order val="13"/>
          <c:spPr>
            <a:solidFill>
              <a:schemeClr val="accent2">
                <a:lumMod val="80000"/>
                <a:lumOff val="20000"/>
              </a:schemeClr>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Sheet1!$Q$410:$Q$414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D-A80E-E244-BFB9-AC7C8ACCC943}"/>
            </c:ext>
          </c:extLst>
        </c:ser>
        <c:ser>
          <c:idx val="14"/>
          <c:order val="14"/>
          <c:spPr>
            <a:solidFill>
              <a:schemeClr val="accent3">
                <a:lumMod val="80000"/>
                <a:lumOff val="20000"/>
              </a:schemeClr>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Sheet1!$R$410:$R$414</c:f>
              <c:numCache>
                <c:formatCode>0.00</c:formatCode>
                <c:ptCount val="5"/>
                <c:pt idx="0">
                  <c:v>0</c:v>
                </c:pt>
                <c:pt idx="1">
                  <c:v>0</c:v>
                </c:pt>
                <c:pt idx="2">
                  <c:v>11.999976000048001</c:v>
                </c:pt>
                <c:pt idx="3">
                  <c:v>0</c:v>
                </c:pt>
                <c:pt idx="4">
                  <c:v>11.999976000048001</c:v>
                </c:pt>
              </c:numCache>
            </c:numRef>
          </c:val>
          <c:extLst>
            <c:ext xmlns:c16="http://schemas.microsoft.com/office/drawing/2014/chart" uri="{C3380CC4-5D6E-409C-BE32-E72D297353CC}">
              <c16:uniqueId val="{0000000E-A80E-E244-BFB9-AC7C8ACCC943}"/>
            </c:ext>
          </c:extLst>
        </c:ser>
        <c:ser>
          <c:idx val="15"/>
          <c:order val="15"/>
          <c:spPr>
            <a:solidFill>
              <a:srgbClr val="78D1B5"/>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Sheet1!$S$410:$S$414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F-A80E-E244-BFB9-AC7C8ACCC943}"/>
            </c:ext>
          </c:extLst>
        </c:ser>
        <c:ser>
          <c:idx val="16"/>
          <c:order val="16"/>
          <c:spPr>
            <a:solidFill>
              <a:schemeClr val="bg1">
                <a:alpha val="20000"/>
              </a:schemeClr>
            </a:solidFill>
            <a:ln>
              <a:noFill/>
            </a:ln>
            <a:effectLst/>
          </c:spPr>
          <c:invertIfNegative val="0"/>
          <c:cat>
            <c:strRef>
              <c:f>Sheet1!$B$410:$B$414</c:f>
              <c:strCache>
                <c:ptCount val="5"/>
                <c:pt idx="0">
                  <c:v>Snack-2</c:v>
                </c:pt>
                <c:pt idx="1">
                  <c:v>Lunch</c:v>
                </c:pt>
                <c:pt idx="2">
                  <c:v>Snack-1</c:v>
                </c:pt>
                <c:pt idx="3">
                  <c:v>Breakfast</c:v>
                </c:pt>
                <c:pt idx="4">
                  <c:v>Total</c:v>
                </c:pt>
              </c:strCache>
            </c:strRef>
          </c:cat>
          <c:val>
            <c:numRef>
              <c:f>Sheet1!$T$410:$T$414</c:f>
              <c:numCache>
                <c:formatCode>0.00</c:formatCode>
                <c:ptCount val="5"/>
                <c:pt idx="0">
                  <c:v>1325.0178299643401</c:v>
                </c:pt>
                <c:pt idx="1">
                  <c:v>342.95975408049173</c:v>
                </c:pt>
                <c:pt idx="2">
                  <c:v>1002.0580758838482</c:v>
                </c:pt>
                <c:pt idx="3">
                  <c:v>1325.0178299643401</c:v>
                </c:pt>
                <c:pt idx="4">
                  <c:v>20</c:v>
                </c:pt>
              </c:numCache>
            </c:numRef>
          </c:val>
          <c:extLst>
            <c:ext xmlns:c16="http://schemas.microsoft.com/office/drawing/2014/chart" uri="{C3380CC4-5D6E-409C-BE32-E72D297353CC}">
              <c16:uniqueId val="{00000010-A80E-E244-BFB9-AC7C8ACCC943}"/>
            </c:ext>
          </c:extLst>
        </c:ser>
        <c:dLbls>
          <c:showLegendKey val="0"/>
          <c:showVal val="0"/>
          <c:showCatName val="0"/>
          <c:showSerName val="0"/>
          <c:showPercent val="0"/>
          <c:showBubbleSize val="0"/>
        </c:dLbls>
        <c:gapWidth val="60"/>
        <c:overlap val="100"/>
        <c:axId val="940066479"/>
        <c:axId val="768799967"/>
      </c:barChart>
      <c:catAx>
        <c:axId val="940066479"/>
        <c:scaling>
          <c:orientation val="minMax"/>
        </c:scaling>
        <c:delete val="0"/>
        <c:axPos val="l"/>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768799967"/>
        <c:crosses val="autoZero"/>
        <c:auto val="1"/>
        <c:lblAlgn val="ctr"/>
        <c:lblOffset val="20"/>
        <c:noMultiLvlLbl val="0"/>
      </c:catAx>
      <c:valAx>
        <c:axId val="76879996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crossAx val="940066479"/>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Arial" panose="020B0604020202020204" pitchFamily="34" charset="0"/>
                <a:ea typeface="+mn-ea"/>
                <a:cs typeface="Arial" panose="020B0604020202020204" pitchFamily="34" charset="0"/>
              </a:defRPr>
            </a:pPr>
            <a:r>
              <a:rPr lang="en-GB"/>
              <a:t>% vrsta namirnice (Ponedeljak: doručak+užina+ručak)</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R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C32-6145-8D82-E53C453B4B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C32-6145-8D82-E53C453B4B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C32-6145-8D82-E53C453B4B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C32-6145-8D82-E53C453B4B9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C32-6145-8D82-E53C453B4B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C32-6145-8D82-E53C453B4B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C32-6145-8D82-E53C453B4B9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C32-6145-8D82-E53C453B4B9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C32-6145-8D82-E53C453B4B9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C32-6145-8D82-E53C453B4B9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C32-6145-8D82-E53C453B4B9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C32-6145-8D82-E53C453B4B9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C32-6145-8D82-E53C453B4B9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C32-6145-8D82-E53C453B4B9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BD25-B544-826C-2335C7125BF6}"/>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BD25-B544-826C-2335C7125BF6}"/>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Sheet3!$B$2:$B$17</c:f>
              <c:strCache>
                <c:ptCount val="16"/>
                <c:pt idx="0">
                  <c:v>Povrće_i_pečurke_sveže_smrznuto</c:v>
                </c:pt>
                <c:pt idx="1">
                  <c:v>Povrće_prerađeno</c:v>
                </c:pt>
                <c:pt idx="2">
                  <c:v>Voća_orasi_sušeno_voće</c:v>
                </c:pt>
                <c:pt idx="3">
                  <c:v>Meso_sveže_smrznuto</c:v>
                </c:pt>
                <c:pt idx="4">
                  <c:v>Meso_prerađeno</c:v>
                </c:pt>
                <c:pt idx="5">
                  <c:v>Riba_sveže_smrznuta_konzervirana</c:v>
                </c:pt>
                <c:pt idx="6">
                  <c:v>Jaja</c:v>
                </c:pt>
                <c:pt idx="7">
                  <c:v>Mlečni_proizvodi</c:v>
                </c:pt>
                <c:pt idx="8">
                  <c:v>Ulja_maslac_margarin</c:v>
                </c:pt>
                <c:pt idx="9">
                  <c:v>Brašno_testenina_seme_žitarica</c:v>
                </c:pt>
                <c:pt idx="10">
                  <c:v>Umaci_pire_prelivi_začini</c:v>
                </c:pt>
                <c:pt idx="11">
                  <c:v>Slatka_hrana_keks</c:v>
                </c:pt>
                <c:pt idx="12">
                  <c:v>Hleb_i_peciva_slana+slatka_peciva</c:v>
                </c:pt>
                <c:pt idx="13">
                  <c:v>Ostala_gotova_hrana</c:v>
                </c:pt>
                <c:pt idx="14">
                  <c:v>Šećerna_piča_čajevi_kafa</c:v>
                </c:pt>
                <c:pt idx="15">
                  <c:v>Voćni_sokovi_voda</c:v>
                </c:pt>
              </c:strCache>
            </c:strRef>
          </c:cat>
          <c:val>
            <c:numRef>
              <c:f>Sheet3!$H$2:$H$17</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C-FC32-6145-8D82-E53C453B4B9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R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i="0">
          <a:solidFill>
            <a:schemeClr val="tx1"/>
          </a:solidFill>
          <a:latin typeface="Arial" panose="020B0604020202020204" pitchFamily="34" charset="0"/>
          <a:cs typeface="Arial" panose="020B0604020202020204" pitchFamily="34" charset="0"/>
        </a:defRPr>
      </a:pPr>
      <a:endParaRPr lang="en-R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L$3"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L$3"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B$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B$8"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AF$33"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Ingredient lists'!A1"/><Relationship Id="rId7" Type="http://schemas.openxmlformats.org/officeDocument/2006/relationships/image" Target="../media/image1.png"/><Relationship Id="rId2" Type="http://schemas.openxmlformats.org/officeDocument/2006/relationships/hyperlink" Target="#Ingredient_prices!A4"/><Relationship Id="rId1" Type="http://schemas.openxmlformats.org/officeDocument/2006/relationships/hyperlink" Target="#'Charts and graphs'!A9"/><Relationship Id="rId6" Type="http://schemas.openxmlformats.org/officeDocument/2006/relationships/hyperlink" Target="#'Quantities of food items'!A9"/><Relationship Id="rId5" Type="http://schemas.openxmlformats.org/officeDocument/2006/relationships/hyperlink" Target="#Meal_entry_week_1!A10"/><Relationship Id="rId4" Type="http://schemas.openxmlformats.org/officeDocument/2006/relationships/hyperlink" Target="#Recommendations!A8"/></Relationships>
</file>

<file path=xl/drawings/_rels/drawing10.xml.rels><?xml version="1.0" encoding="UTF-8" standalone="yes"?>
<Relationships xmlns="http://schemas.openxmlformats.org/package/2006/relationships"><Relationship Id="rId1" Type="http://schemas.openxmlformats.org/officeDocument/2006/relationships/hyperlink" Target="#Sedmica_2_grafici!A9"/></Relationships>
</file>

<file path=xl/drawings/_rels/drawing11.xml.rels><?xml version="1.0" encoding="UTF-8" standalone="yes"?>
<Relationships xmlns="http://schemas.openxmlformats.org/package/2006/relationships"><Relationship Id="rId8" Type="http://schemas.openxmlformats.org/officeDocument/2006/relationships/hyperlink" Target="#Week_1_conventi_recommendations!A8"/><Relationship Id="rId13" Type="http://schemas.openxmlformats.org/officeDocument/2006/relationships/hyperlink" Target="#Recommendations!A61"/><Relationship Id="rId18" Type="http://schemas.openxmlformats.org/officeDocument/2006/relationships/image" Target="../media/image1.png"/><Relationship Id="rId3" Type="http://schemas.openxmlformats.org/officeDocument/2006/relationships/hyperlink" Target="#Recommendations!A247"/><Relationship Id="rId7" Type="http://schemas.openxmlformats.org/officeDocument/2006/relationships/hyperlink" Target="#Sedmica_1_preporuke!A8"/><Relationship Id="rId12" Type="http://schemas.openxmlformats.org/officeDocument/2006/relationships/hyperlink" Target="#Recommendations!A185"/><Relationship Id="rId17" Type="http://schemas.openxmlformats.org/officeDocument/2006/relationships/hyperlink" Target="#Meal_entry_week_1!A10"/><Relationship Id="rId2" Type="http://schemas.openxmlformats.org/officeDocument/2006/relationships/hyperlink" Target="#Recommendations!A216"/><Relationship Id="rId16" Type="http://schemas.openxmlformats.org/officeDocument/2006/relationships/hyperlink" Target="#'Quantities of food items'!A9"/><Relationship Id="rId1" Type="http://schemas.openxmlformats.org/officeDocument/2006/relationships/hyperlink" Target="#Recommendations!A8"/><Relationship Id="rId6" Type="http://schemas.openxmlformats.org/officeDocument/2006/relationships/hyperlink" Target="#Recommendations!A340"/><Relationship Id="rId11" Type="http://schemas.openxmlformats.org/officeDocument/2006/relationships/hyperlink" Target="#Recommendations!A154"/><Relationship Id="rId5" Type="http://schemas.openxmlformats.org/officeDocument/2006/relationships/hyperlink" Target="#Recommendations!A309"/><Relationship Id="rId15" Type="http://schemas.openxmlformats.org/officeDocument/2006/relationships/hyperlink" Target="#Week_2_organic_recommendations!A8"/><Relationship Id="rId10" Type="http://schemas.openxmlformats.org/officeDocument/2006/relationships/hyperlink" Target="#Recommendations!A123"/><Relationship Id="rId19" Type="http://schemas.openxmlformats.org/officeDocument/2006/relationships/hyperlink" Target="#Meal_entry_week_2!A10"/><Relationship Id="rId4" Type="http://schemas.openxmlformats.org/officeDocument/2006/relationships/hyperlink" Target="#Recommendations!A278"/><Relationship Id="rId9" Type="http://schemas.openxmlformats.org/officeDocument/2006/relationships/hyperlink" Target="#Recommendations!A92"/><Relationship Id="rId14" Type="http://schemas.openxmlformats.org/officeDocument/2006/relationships/hyperlink" Target="#'Charts and graphs'!A9"/></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hyperlink" Target="#Meal_entry_week_2!A10"/><Relationship Id="rId2" Type="http://schemas.openxmlformats.org/officeDocument/2006/relationships/hyperlink" Target="#Ingredient_prices!A4"/><Relationship Id="rId1" Type="http://schemas.openxmlformats.org/officeDocument/2006/relationships/hyperlink" Target="#'Quantities of food items'!A10"/><Relationship Id="rId6" Type="http://schemas.openxmlformats.org/officeDocument/2006/relationships/hyperlink" Target="#Meal_entry_week_1!A10"/><Relationship Id="rId5" Type="http://schemas.openxmlformats.org/officeDocument/2006/relationships/hyperlink" Target="#'Charts and graphs'!A9"/><Relationship Id="rId4" Type="http://schemas.openxmlformats.org/officeDocument/2006/relationships/hyperlink" Target="#Recommendations!A8"/></Relationships>
</file>

<file path=xl/drawings/_rels/drawing13.xml.rels><?xml version="1.0" encoding="UTF-8" standalone="yes"?>
<Relationships xmlns="http://schemas.openxmlformats.org/package/2006/relationships"><Relationship Id="rId3" Type="http://schemas.openxmlformats.org/officeDocument/2006/relationships/hyperlink" Target="#Sedmica_2_grafici!A8"/><Relationship Id="rId7" Type="http://schemas.openxmlformats.org/officeDocument/2006/relationships/image" Target="../media/image1.png"/><Relationship Id="rId2" Type="http://schemas.openxmlformats.org/officeDocument/2006/relationships/hyperlink" Target="#Sedmica_2_unos_hrane!A3"/><Relationship Id="rId1" Type="http://schemas.openxmlformats.org/officeDocument/2006/relationships/hyperlink" Target="#'Sedmica 2 koli&#269;ina namirnica'!A9"/><Relationship Id="rId6" Type="http://schemas.openxmlformats.org/officeDocument/2006/relationships/hyperlink" Target="#Cene_sastojaka!A4"/><Relationship Id="rId5" Type="http://schemas.openxmlformats.org/officeDocument/2006/relationships/hyperlink" Target="#Sedmica_2_detaljne_analize!A2"/><Relationship Id="rId4" Type="http://schemas.openxmlformats.org/officeDocument/2006/relationships/hyperlink" Target="#Sedmica_2_preporuke!A8"/></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hyperlink" Target="#'Ingredient lists'!A1"/><Relationship Id="rId7" Type="http://schemas.openxmlformats.org/officeDocument/2006/relationships/hyperlink" Target="#Meal_entry_week_2!A10"/><Relationship Id="rId2" Type="http://schemas.openxmlformats.org/officeDocument/2006/relationships/hyperlink" Target="#Cene_sastojaka!A4"/><Relationship Id="rId1" Type="http://schemas.openxmlformats.org/officeDocument/2006/relationships/hyperlink" Target="#'Charts and graphs'!A9"/><Relationship Id="rId6" Type="http://schemas.openxmlformats.org/officeDocument/2006/relationships/image" Target="../media/image1.png"/><Relationship Id="rId5" Type="http://schemas.openxmlformats.org/officeDocument/2006/relationships/hyperlink" Target="#'Quantities of food items'!A9"/><Relationship Id="rId4" Type="http://schemas.openxmlformats.org/officeDocument/2006/relationships/hyperlink" Target="#Recommendations!A8"/></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8.xml"/><Relationship Id="rId2" Type="http://schemas.openxmlformats.org/officeDocument/2006/relationships/hyperlink" Target="#'Charts and graphs'!A87"/><Relationship Id="rId1" Type="http://schemas.openxmlformats.org/officeDocument/2006/relationships/hyperlink" Target="#Sedmica_1_preporuke!A8"/><Relationship Id="rId6" Type="http://schemas.openxmlformats.org/officeDocument/2006/relationships/chart" Target="../charts/chart4.xml"/><Relationship Id="rId11" Type="http://schemas.openxmlformats.org/officeDocument/2006/relationships/chart" Target="../charts/chart7.xml"/><Relationship Id="rId5" Type="http://schemas.openxmlformats.org/officeDocument/2006/relationships/chart" Target="../charts/chart3.xml"/><Relationship Id="rId10" Type="http://schemas.openxmlformats.org/officeDocument/2006/relationships/chart" Target="../charts/chart6.xml"/><Relationship Id="rId4" Type="http://schemas.openxmlformats.org/officeDocument/2006/relationships/chart" Target="../charts/chart2.xml"/><Relationship Id="rId9" Type="http://schemas.openxmlformats.org/officeDocument/2006/relationships/hyperlink" Target="#'Charts and graphs'!A9"/></Relationships>
</file>

<file path=xl/drawings/_rels/drawing9.xml.rels><?xml version="1.0" encoding="UTF-8" standalone="yes"?>
<Relationships xmlns="http://schemas.openxmlformats.org/package/2006/relationships"><Relationship Id="rId1" Type="http://schemas.openxmlformats.org/officeDocument/2006/relationships/hyperlink" Target="#Sedmica_2_grafici!A9"/></Relationships>
</file>

<file path=xl/drawings/drawing1.xml><?xml version="1.0" encoding="utf-8"?>
<xdr:wsDr xmlns:xdr="http://schemas.openxmlformats.org/drawingml/2006/spreadsheetDrawing" xmlns:a="http://schemas.openxmlformats.org/drawingml/2006/main">
  <xdr:twoCellAnchor>
    <xdr:from>
      <xdr:col>1</xdr:col>
      <xdr:colOff>165100</xdr:colOff>
      <xdr:row>0</xdr:row>
      <xdr:rowOff>63500</xdr:rowOff>
    </xdr:from>
    <xdr:to>
      <xdr:col>4</xdr:col>
      <xdr:colOff>15600</xdr:colOff>
      <xdr:row>0</xdr:row>
      <xdr:rowOff>581900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948267" y="63500"/>
          <a:ext cx="2538666" cy="518400"/>
          <a:chOff x="965200" y="63500"/>
          <a:chExt cx="2606400" cy="518400"/>
        </a:xfrm>
      </xdr:grpSpPr>
      <xdr:sp macro="" textlink="">
        <xdr:nvSpPr>
          <xdr:cNvPr id="10" name="Rounded Rectangle 9">
            <a:extLst>
              <a:ext uri="{FF2B5EF4-FFF2-40B4-BE49-F238E27FC236}">
                <a16:creationId xmlns:a16="http://schemas.microsoft.com/office/drawing/2014/main" id="{00000000-0008-0000-0200-00000A000000}"/>
              </a:ext>
            </a:extLst>
          </xdr:cNvPr>
          <xdr:cNvSpPr/>
        </xdr:nvSpPr>
        <xdr:spPr>
          <a:xfrm>
            <a:off x="965200" y="63500"/>
            <a:ext cx="2606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1041400" y="139700"/>
            <a:ext cx="2469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0" i="0">
                <a:solidFill>
                  <a:schemeClr val="tx1"/>
                </a:solidFill>
                <a:latin typeface="Arial" panose="020B0604020202020204" pitchFamily="34" charset="0"/>
                <a:cs typeface="Arial" panose="020B0604020202020204" pitchFamily="34" charset="0"/>
              </a:rPr>
              <a:t>Meal entry completed</a:t>
            </a:r>
          </a:p>
        </xdr:txBody>
      </xdr:sp>
    </xdr:grpSp>
    <xdr:clientData/>
  </xdr:twoCellAnchor>
  <xdr:twoCellAnchor>
    <xdr:from>
      <xdr:col>7</xdr:col>
      <xdr:colOff>469900</xdr:colOff>
      <xdr:row>0</xdr:row>
      <xdr:rowOff>63500</xdr:rowOff>
    </xdr:from>
    <xdr:to>
      <xdr:col>7</xdr:col>
      <xdr:colOff>3022300</xdr:colOff>
      <xdr:row>0</xdr:row>
      <xdr:rowOff>581900</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254067" y="63500"/>
          <a:ext cx="2552400" cy="518400"/>
          <a:chOff x="3073400" y="63500"/>
          <a:chExt cx="2552400" cy="518400"/>
        </a:xfrm>
      </xdr:grpSpPr>
      <xdr:sp macro="" textlink="">
        <xdr:nvSpPr>
          <xdr:cNvPr id="13" name="Rounded Rectangle 12">
            <a:extLst>
              <a:ext uri="{FF2B5EF4-FFF2-40B4-BE49-F238E27FC236}">
                <a16:creationId xmlns:a16="http://schemas.microsoft.com/office/drawing/2014/main" id="{00000000-0008-0000-0200-00000D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0" i="0">
                <a:solidFill>
                  <a:schemeClr val="tx1"/>
                </a:solidFill>
                <a:latin typeface="Arial" panose="020B0604020202020204" pitchFamily="34" charset="0"/>
                <a:cs typeface="Arial" panose="020B0604020202020204" pitchFamily="34" charset="0"/>
              </a:rPr>
              <a:t>Click for Ingredient prices</a:t>
            </a:r>
          </a:p>
        </xdr:txBody>
      </xdr:sp>
    </xdr:grpSp>
    <xdr:clientData/>
  </xdr:twoCellAnchor>
  <xdr:twoCellAnchor>
    <xdr:from>
      <xdr:col>6</xdr:col>
      <xdr:colOff>25400</xdr:colOff>
      <xdr:row>0</xdr:row>
      <xdr:rowOff>63500</xdr:rowOff>
    </xdr:from>
    <xdr:to>
      <xdr:col>7</xdr:col>
      <xdr:colOff>241000</xdr:colOff>
      <xdr:row>0</xdr:row>
      <xdr:rowOff>581900</xdr:rowOff>
    </xdr:to>
    <xdr:grpSp>
      <xdr:nvGrpSpPr>
        <xdr:cNvPr id="15" name="Group 14">
          <a:hlinkClick xmlns:r="http://schemas.openxmlformats.org/officeDocument/2006/relationships" r:id="rId3"/>
          <a:extLst>
            <a:ext uri="{FF2B5EF4-FFF2-40B4-BE49-F238E27FC236}">
              <a16:creationId xmlns:a16="http://schemas.microsoft.com/office/drawing/2014/main" id="{00000000-0008-0000-0200-00000F000000}"/>
            </a:ext>
          </a:extLst>
        </xdr:cNvPr>
        <xdr:cNvGrpSpPr/>
      </xdr:nvGrpSpPr>
      <xdr:grpSpPr>
        <a:xfrm>
          <a:off x="6417733" y="63500"/>
          <a:ext cx="2607434" cy="518400"/>
          <a:chOff x="3073400" y="63500"/>
          <a:chExt cx="2552400" cy="518400"/>
        </a:xfrm>
      </xdr:grpSpPr>
      <xdr:sp macro="" textlink="">
        <xdr:nvSpPr>
          <xdr:cNvPr id="16" name="Rounded Rectangle 15">
            <a:extLst>
              <a:ext uri="{FF2B5EF4-FFF2-40B4-BE49-F238E27FC236}">
                <a16:creationId xmlns:a16="http://schemas.microsoft.com/office/drawing/2014/main" id="{00000000-0008-0000-0200-000010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17" name="Rounded Rectangle 16">
            <a:hlinkClick xmlns:r="http://schemas.openxmlformats.org/officeDocument/2006/relationships" r:id="rId4"/>
            <a:extLst>
              <a:ext uri="{FF2B5EF4-FFF2-40B4-BE49-F238E27FC236}">
                <a16:creationId xmlns:a16="http://schemas.microsoft.com/office/drawing/2014/main" id="{00000000-0008-0000-0200-000011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0" i="0">
                <a:solidFill>
                  <a:schemeClr val="tx1"/>
                </a:solidFill>
                <a:latin typeface="Arial" panose="020B0604020202020204" pitchFamily="34" charset="0"/>
                <a:cs typeface="Arial" panose="020B0604020202020204" pitchFamily="34" charset="0"/>
              </a:rPr>
              <a:t>Click for Recommendations</a:t>
            </a:r>
          </a:p>
        </xdr:txBody>
      </xdr:sp>
    </xdr:grpSp>
    <xdr:clientData/>
  </xdr:twoCellAnchor>
  <xdr:twoCellAnchor>
    <xdr:from>
      <xdr:col>0</xdr:col>
      <xdr:colOff>25400</xdr:colOff>
      <xdr:row>503</xdr:row>
      <xdr:rowOff>0</xdr:rowOff>
    </xdr:from>
    <xdr:to>
      <xdr:col>1</xdr:col>
      <xdr:colOff>102000</xdr:colOff>
      <xdr:row>504</xdr:row>
      <xdr:rowOff>57900</xdr:rowOff>
    </xdr:to>
    <xdr:sp macro="" textlink="">
      <xdr:nvSpPr>
        <xdr:cNvPr id="18" name="Rounded Rectangle 17">
          <a:hlinkClick xmlns:r="http://schemas.openxmlformats.org/officeDocument/2006/relationships" r:id="rId5"/>
          <a:extLst>
            <a:ext uri="{FF2B5EF4-FFF2-40B4-BE49-F238E27FC236}">
              <a16:creationId xmlns:a16="http://schemas.microsoft.com/office/drawing/2014/main" id="{00000000-0008-0000-0200-000012000000}"/>
            </a:ext>
          </a:extLst>
        </xdr:cNvPr>
        <xdr:cNvSpPr/>
      </xdr:nvSpPr>
      <xdr:spPr>
        <a:xfrm>
          <a:off x="25400" y="105981500"/>
          <a:ext cx="864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215900</xdr:colOff>
      <xdr:row>0</xdr:row>
      <xdr:rowOff>63500</xdr:rowOff>
    </xdr:from>
    <xdr:to>
      <xdr:col>5</xdr:col>
      <xdr:colOff>1765000</xdr:colOff>
      <xdr:row>0</xdr:row>
      <xdr:rowOff>581900</xdr:rowOff>
    </xdr:to>
    <xdr:grpSp>
      <xdr:nvGrpSpPr>
        <xdr:cNvPr id="23" name="Group 22">
          <a:hlinkClick xmlns:r="http://schemas.openxmlformats.org/officeDocument/2006/relationships" r:id="rId3"/>
          <a:extLst>
            <a:ext uri="{FF2B5EF4-FFF2-40B4-BE49-F238E27FC236}">
              <a16:creationId xmlns:a16="http://schemas.microsoft.com/office/drawing/2014/main" id="{00000000-0008-0000-0200-000017000000}"/>
            </a:ext>
          </a:extLst>
        </xdr:cNvPr>
        <xdr:cNvGrpSpPr/>
      </xdr:nvGrpSpPr>
      <xdr:grpSpPr>
        <a:xfrm>
          <a:off x="3687233" y="63500"/>
          <a:ext cx="2554517" cy="518400"/>
          <a:chOff x="3073400" y="63500"/>
          <a:chExt cx="2552400" cy="518400"/>
        </a:xfrm>
      </xdr:grpSpPr>
      <xdr:sp macro="" textlink="">
        <xdr:nvSpPr>
          <xdr:cNvPr id="24" name="Rounded Rectangle 23">
            <a:extLst>
              <a:ext uri="{FF2B5EF4-FFF2-40B4-BE49-F238E27FC236}">
                <a16:creationId xmlns:a16="http://schemas.microsoft.com/office/drawing/2014/main" id="{00000000-0008-0000-0200-000018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25" name="Rounded Rectangle 24">
            <a:hlinkClick xmlns:r="http://schemas.openxmlformats.org/officeDocument/2006/relationships" r:id="rId6"/>
            <a:extLst>
              <a:ext uri="{FF2B5EF4-FFF2-40B4-BE49-F238E27FC236}">
                <a16:creationId xmlns:a16="http://schemas.microsoft.com/office/drawing/2014/main" id="{00000000-0008-0000-0200-000019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lang="en-GB" sz="1400" b="0" i="0">
                <a:solidFill>
                  <a:schemeClr val="tx1"/>
                </a:solidFill>
                <a:latin typeface="Arial" panose="020B0604020202020204" pitchFamily="34" charset="0"/>
                <a:cs typeface="Arial" panose="020B0604020202020204" pitchFamily="34" charset="0"/>
              </a:rPr>
              <a:t>Click for Ingredient quantities</a:t>
            </a:r>
          </a:p>
        </xdr:txBody>
      </xdr:sp>
    </xdr:grpSp>
    <xdr:clientData/>
  </xdr:twoCellAnchor>
  <xdr:twoCellAnchor editAs="oneCell">
    <xdr:from>
      <xdr:col>0</xdr:col>
      <xdr:colOff>0</xdr:colOff>
      <xdr:row>0</xdr:row>
      <xdr:rowOff>0</xdr:rowOff>
    </xdr:from>
    <xdr:to>
      <xdr:col>1</xdr:col>
      <xdr:colOff>0</xdr:colOff>
      <xdr:row>3</xdr:row>
      <xdr:rowOff>101600</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089" t="8904" r="11726" b="7991"/>
        <a:stretch/>
      </xdr:blipFill>
      <xdr:spPr bwMode="auto">
        <a:xfrm>
          <a:off x="0" y="0"/>
          <a:ext cx="787400" cy="1066800"/>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6</xdr:col>
          <xdr:colOff>25400</xdr:colOff>
          <xdr:row>2</xdr:row>
          <xdr:rowOff>127000</xdr:rowOff>
        </xdr:from>
        <xdr:to>
          <xdr:col>6</xdr:col>
          <xdr:colOff>711200</xdr:colOff>
          <xdr:row>3</xdr:row>
          <xdr:rowOff>114300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2</xdr:row>
          <xdr:rowOff>127000</xdr:rowOff>
        </xdr:from>
        <xdr:to>
          <xdr:col>6</xdr:col>
          <xdr:colOff>1562100</xdr:colOff>
          <xdr:row>3</xdr:row>
          <xdr:rowOff>127000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1473200</xdr:colOff>
      <xdr:row>1</xdr:row>
      <xdr:rowOff>25400</xdr:rowOff>
    </xdr:from>
    <xdr:to>
      <xdr:col>7</xdr:col>
      <xdr:colOff>400</xdr:colOff>
      <xdr:row>4</xdr:row>
      <xdr:rowOff>76200</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8039100" y="647700"/>
          <a:ext cx="864000" cy="6477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25400</xdr:colOff>
      <xdr:row>450</xdr:row>
      <xdr:rowOff>127000</xdr:rowOff>
    </xdr:from>
    <xdr:to>
      <xdr:col>1</xdr:col>
      <xdr:colOff>102000</xdr:colOff>
      <xdr:row>452</xdr:row>
      <xdr:rowOff>918</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200-000021000000}"/>
            </a:ext>
          </a:extLst>
        </xdr:cNvPr>
        <xdr:cNvSpPr/>
      </xdr:nvSpPr>
      <xdr:spPr>
        <a:xfrm>
          <a:off x="25400" y="956183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404</xdr:row>
      <xdr:rowOff>114300</xdr:rowOff>
    </xdr:from>
    <xdr:to>
      <xdr:col>1</xdr:col>
      <xdr:colOff>102000</xdr:colOff>
      <xdr:row>405</xdr:row>
      <xdr:rowOff>178718</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200-000023000000}"/>
            </a:ext>
          </a:extLst>
        </xdr:cNvPr>
        <xdr:cNvSpPr/>
      </xdr:nvSpPr>
      <xdr:spPr>
        <a:xfrm>
          <a:off x="25400" y="858774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351</xdr:row>
      <xdr:rowOff>127000</xdr:rowOff>
    </xdr:from>
    <xdr:to>
      <xdr:col>1</xdr:col>
      <xdr:colOff>102000</xdr:colOff>
      <xdr:row>353</xdr:row>
      <xdr:rowOff>918</xdr:rowOff>
    </xdr:to>
    <xdr:sp macro="" textlink="">
      <xdr:nvSpPr>
        <xdr:cNvPr id="37" name="Rounded Rectangle 36">
          <a:hlinkClick xmlns:r="http://schemas.openxmlformats.org/officeDocument/2006/relationships" r:id="rId5"/>
          <a:extLst>
            <a:ext uri="{FF2B5EF4-FFF2-40B4-BE49-F238E27FC236}">
              <a16:creationId xmlns:a16="http://schemas.microsoft.com/office/drawing/2014/main" id="{00000000-0008-0000-0200-000025000000}"/>
            </a:ext>
          </a:extLst>
        </xdr:cNvPr>
        <xdr:cNvSpPr/>
      </xdr:nvSpPr>
      <xdr:spPr>
        <a:xfrm>
          <a:off x="25400" y="748411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305</xdr:row>
      <xdr:rowOff>127000</xdr:rowOff>
    </xdr:from>
    <xdr:to>
      <xdr:col>1</xdr:col>
      <xdr:colOff>102000</xdr:colOff>
      <xdr:row>307</xdr:row>
      <xdr:rowOff>918</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200-000027000000}"/>
            </a:ext>
          </a:extLst>
        </xdr:cNvPr>
        <xdr:cNvSpPr/>
      </xdr:nvSpPr>
      <xdr:spPr>
        <a:xfrm>
          <a:off x="25400" y="651129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252</xdr:row>
      <xdr:rowOff>127000</xdr:rowOff>
    </xdr:from>
    <xdr:to>
      <xdr:col>1</xdr:col>
      <xdr:colOff>102000</xdr:colOff>
      <xdr:row>253</xdr:row>
      <xdr:rowOff>191418</xdr:rowOff>
    </xdr:to>
    <xdr:sp macro="" textlink="">
      <xdr:nvSpPr>
        <xdr:cNvPr id="40" name="Rounded Rectangle 39">
          <a:hlinkClick xmlns:r="http://schemas.openxmlformats.org/officeDocument/2006/relationships" r:id="rId5"/>
          <a:extLst>
            <a:ext uri="{FF2B5EF4-FFF2-40B4-BE49-F238E27FC236}">
              <a16:creationId xmlns:a16="http://schemas.microsoft.com/office/drawing/2014/main" id="{00000000-0008-0000-0200-000028000000}"/>
            </a:ext>
          </a:extLst>
        </xdr:cNvPr>
        <xdr:cNvSpPr/>
      </xdr:nvSpPr>
      <xdr:spPr>
        <a:xfrm>
          <a:off x="25400" y="540385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206</xdr:row>
      <xdr:rowOff>127000</xdr:rowOff>
    </xdr:from>
    <xdr:to>
      <xdr:col>1</xdr:col>
      <xdr:colOff>102000</xdr:colOff>
      <xdr:row>207</xdr:row>
      <xdr:rowOff>191418</xdr:rowOff>
    </xdr:to>
    <xdr:sp macro="" textlink="">
      <xdr:nvSpPr>
        <xdr:cNvPr id="41" name="Rounded Rectangle 40">
          <a:hlinkClick xmlns:r="http://schemas.openxmlformats.org/officeDocument/2006/relationships" r:id="rId5"/>
          <a:extLst>
            <a:ext uri="{FF2B5EF4-FFF2-40B4-BE49-F238E27FC236}">
              <a16:creationId xmlns:a16="http://schemas.microsoft.com/office/drawing/2014/main" id="{00000000-0008-0000-0200-000029000000}"/>
            </a:ext>
          </a:extLst>
        </xdr:cNvPr>
        <xdr:cNvSpPr/>
      </xdr:nvSpPr>
      <xdr:spPr>
        <a:xfrm>
          <a:off x="25400" y="442849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153</xdr:row>
      <xdr:rowOff>127000</xdr:rowOff>
    </xdr:from>
    <xdr:to>
      <xdr:col>1</xdr:col>
      <xdr:colOff>102000</xdr:colOff>
      <xdr:row>154</xdr:row>
      <xdr:rowOff>191418</xdr:rowOff>
    </xdr:to>
    <xdr:sp macro="" textlink="">
      <xdr:nvSpPr>
        <xdr:cNvPr id="42" name="Rounded Rectangle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25400" y="332105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107</xdr:row>
      <xdr:rowOff>127000</xdr:rowOff>
    </xdr:from>
    <xdr:to>
      <xdr:col>1</xdr:col>
      <xdr:colOff>102000</xdr:colOff>
      <xdr:row>108</xdr:row>
      <xdr:rowOff>191418</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200-00002B000000}"/>
            </a:ext>
          </a:extLst>
        </xdr:cNvPr>
        <xdr:cNvSpPr/>
      </xdr:nvSpPr>
      <xdr:spPr>
        <a:xfrm>
          <a:off x="25400" y="234569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54</xdr:row>
      <xdr:rowOff>127000</xdr:rowOff>
    </xdr:from>
    <xdr:to>
      <xdr:col>1</xdr:col>
      <xdr:colOff>102000</xdr:colOff>
      <xdr:row>55</xdr:row>
      <xdr:rowOff>191418</xdr:rowOff>
    </xdr:to>
    <xdr:sp macro="" textlink="">
      <xdr:nvSpPr>
        <xdr:cNvPr id="44" name="Rounded Rectangle 43">
          <a:hlinkClick xmlns:r="http://schemas.openxmlformats.org/officeDocument/2006/relationships" r:id="rId5"/>
          <a:extLst>
            <a:ext uri="{FF2B5EF4-FFF2-40B4-BE49-F238E27FC236}">
              <a16:creationId xmlns:a16="http://schemas.microsoft.com/office/drawing/2014/main" id="{00000000-0008-0000-0200-00002C000000}"/>
            </a:ext>
          </a:extLst>
        </xdr:cNvPr>
        <xdr:cNvSpPr/>
      </xdr:nvSpPr>
      <xdr:spPr>
        <a:xfrm>
          <a:off x="25400" y="123825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149</xdr:row>
      <xdr:rowOff>546100</xdr:rowOff>
    </xdr:from>
    <xdr:to>
      <xdr:col>20</xdr:col>
      <xdr:colOff>292100</xdr:colOff>
      <xdr:row>150</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16484600" y="27711400"/>
          <a:ext cx="4559300" cy="0"/>
        </a:xfrm>
        <a:prstGeom prst="rect">
          <a:avLst/>
        </a:prstGeom>
        <a:solidFill>
          <a:srgbClr val="FFE5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171</xdr:row>
      <xdr:rowOff>25400</xdr:rowOff>
    </xdr:from>
    <xdr:to>
      <xdr:col>1</xdr:col>
      <xdr:colOff>827999</xdr:colOff>
      <xdr:row>172</xdr:row>
      <xdr:rowOff>102518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65100" y="314833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225</xdr:row>
      <xdr:rowOff>25400</xdr:rowOff>
    </xdr:from>
    <xdr:to>
      <xdr:col>1</xdr:col>
      <xdr:colOff>827999</xdr:colOff>
      <xdr:row>226</xdr:row>
      <xdr:rowOff>89818</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65100" y="428625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198</xdr:row>
      <xdr:rowOff>25400</xdr:rowOff>
    </xdr:from>
    <xdr:to>
      <xdr:col>1</xdr:col>
      <xdr:colOff>827999</xdr:colOff>
      <xdr:row>199</xdr:row>
      <xdr:rowOff>89818</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165100" y="371729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256</xdr:row>
      <xdr:rowOff>101600</xdr:rowOff>
    </xdr:from>
    <xdr:to>
      <xdr:col>1</xdr:col>
      <xdr:colOff>827999</xdr:colOff>
      <xdr:row>257</xdr:row>
      <xdr:rowOff>166018</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65100" y="49237900"/>
          <a:ext cx="827999" cy="2676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278</xdr:row>
      <xdr:rowOff>88900</xdr:rowOff>
    </xdr:from>
    <xdr:to>
      <xdr:col>1</xdr:col>
      <xdr:colOff>853399</xdr:colOff>
      <xdr:row>279</xdr:row>
      <xdr:rowOff>153318</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90500" y="539115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299</xdr:row>
      <xdr:rowOff>88900</xdr:rowOff>
    </xdr:from>
    <xdr:to>
      <xdr:col>1</xdr:col>
      <xdr:colOff>853399</xdr:colOff>
      <xdr:row>300</xdr:row>
      <xdr:rowOff>178718</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a:xfrm>
          <a:off x="190500" y="58394600"/>
          <a:ext cx="827999" cy="2803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326</xdr:row>
      <xdr:rowOff>0</xdr:rowOff>
    </xdr:from>
    <xdr:to>
      <xdr:col>1</xdr:col>
      <xdr:colOff>827999</xdr:colOff>
      <xdr:row>327</xdr:row>
      <xdr:rowOff>23800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a:xfrm>
          <a:off x="165100" y="638683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363</xdr:row>
      <xdr:rowOff>0</xdr:rowOff>
    </xdr:from>
    <xdr:to>
      <xdr:col>1</xdr:col>
      <xdr:colOff>827999</xdr:colOff>
      <xdr:row>364</xdr:row>
      <xdr:rowOff>23800</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600-00000A000000}"/>
            </a:ext>
          </a:extLst>
        </xdr:cNvPr>
        <xdr:cNvSpPr/>
      </xdr:nvSpPr>
      <xdr:spPr>
        <a:xfrm>
          <a:off x="165100" y="70446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407</xdr:row>
      <xdr:rowOff>0</xdr:rowOff>
    </xdr:from>
    <xdr:to>
      <xdr:col>1</xdr:col>
      <xdr:colOff>827999</xdr:colOff>
      <xdr:row>408</xdr:row>
      <xdr:rowOff>23800</xdr:rowOff>
    </xdr:to>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600-00000B000000}"/>
            </a:ext>
          </a:extLst>
        </xdr:cNvPr>
        <xdr:cNvSpPr/>
      </xdr:nvSpPr>
      <xdr:spPr>
        <a:xfrm>
          <a:off x="165100" y="782701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451</xdr:row>
      <xdr:rowOff>12700</xdr:rowOff>
    </xdr:from>
    <xdr:to>
      <xdr:col>1</xdr:col>
      <xdr:colOff>827999</xdr:colOff>
      <xdr:row>452</xdr:row>
      <xdr:rowOff>36500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65100" y="86131400"/>
          <a:ext cx="827999" cy="2143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12700</xdr:colOff>
      <xdr:row>86</xdr:row>
      <xdr:rowOff>36711</xdr:rowOff>
    </xdr:from>
    <xdr:to>
      <xdr:col>1</xdr:col>
      <xdr:colOff>840699</xdr:colOff>
      <xdr:row>87</xdr:row>
      <xdr:rowOff>114917</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600-00000D000000}"/>
            </a:ext>
          </a:extLst>
        </xdr:cNvPr>
        <xdr:cNvSpPr/>
      </xdr:nvSpPr>
      <xdr:spPr>
        <a:xfrm>
          <a:off x="177800" y="15327511"/>
          <a:ext cx="827999" cy="268706"/>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225</xdr:row>
      <xdr:rowOff>25400</xdr:rowOff>
    </xdr:from>
    <xdr:to>
      <xdr:col>1</xdr:col>
      <xdr:colOff>827999</xdr:colOff>
      <xdr:row>226</xdr:row>
      <xdr:rowOff>89818</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139700" y="459359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225</xdr:row>
      <xdr:rowOff>25400</xdr:rowOff>
    </xdr:from>
    <xdr:to>
      <xdr:col>1</xdr:col>
      <xdr:colOff>827999</xdr:colOff>
      <xdr:row>226</xdr:row>
      <xdr:rowOff>89818</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600-00000F000000}"/>
            </a:ext>
          </a:extLst>
        </xdr:cNvPr>
        <xdr:cNvSpPr/>
      </xdr:nvSpPr>
      <xdr:spPr>
        <a:xfrm>
          <a:off x="139700" y="459359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0</xdr:colOff>
      <xdr:row>149</xdr:row>
      <xdr:rowOff>546100</xdr:rowOff>
    </xdr:from>
    <xdr:to>
      <xdr:col>20</xdr:col>
      <xdr:colOff>292100</xdr:colOff>
      <xdr:row>150</xdr:row>
      <xdr:rowOff>0</xdr:rowOff>
    </xdr:to>
    <xdr:sp macro="" textlink="">
      <xdr:nvSpPr>
        <xdr:cNvPr id="16" name="Rectangle 15">
          <a:extLst>
            <a:ext uri="{FF2B5EF4-FFF2-40B4-BE49-F238E27FC236}">
              <a16:creationId xmlns:a16="http://schemas.microsoft.com/office/drawing/2014/main" id="{00000000-0008-0000-0600-000010000000}"/>
            </a:ext>
          </a:extLst>
        </xdr:cNvPr>
        <xdr:cNvSpPr/>
      </xdr:nvSpPr>
      <xdr:spPr>
        <a:xfrm>
          <a:off x="17322800" y="30124400"/>
          <a:ext cx="4889500" cy="0"/>
        </a:xfrm>
        <a:prstGeom prst="rect">
          <a:avLst/>
        </a:prstGeom>
        <a:solidFill>
          <a:srgbClr val="FFE5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198</xdr:row>
      <xdr:rowOff>25400</xdr:rowOff>
    </xdr:from>
    <xdr:to>
      <xdr:col>1</xdr:col>
      <xdr:colOff>827999</xdr:colOff>
      <xdr:row>199</xdr:row>
      <xdr:rowOff>89818</xdr:rowOff>
    </xdr:to>
    <xdr:sp macro="" textlink="">
      <xdr:nvSpPr>
        <xdr:cNvPr id="17" name="Rounded Rectangle 16">
          <a:hlinkClick xmlns:r="http://schemas.openxmlformats.org/officeDocument/2006/relationships" r:id="rId1"/>
          <a:extLst>
            <a:ext uri="{FF2B5EF4-FFF2-40B4-BE49-F238E27FC236}">
              <a16:creationId xmlns:a16="http://schemas.microsoft.com/office/drawing/2014/main" id="{00000000-0008-0000-0600-000011000000}"/>
            </a:ext>
          </a:extLst>
        </xdr:cNvPr>
        <xdr:cNvSpPr/>
      </xdr:nvSpPr>
      <xdr:spPr>
        <a:xfrm>
          <a:off x="139700" y="401320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171</xdr:row>
      <xdr:rowOff>25400</xdr:rowOff>
    </xdr:from>
    <xdr:to>
      <xdr:col>1</xdr:col>
      <xdr:colOff>827999</xdr:colOff>
      <xdr:row>172</xdr:row>
      <xdr:rowOff>102518</xdr:rowOff>
    </xdr:to>
    <xdr:sp macro="" textlink="">
      <xdr:nvSpPr>
        <xdr:cNvPr id="18" name="Rounded Rectangle 17">
          <a:hlinkClick xmlns:r="http://schemas.openxmlformats.org/officeDocument/2006/relationships" r:id="rId1"/>
          <a:extLst>
            <a:ext uri="{FF2B5EF4-FFF2-40B4-BE49-F238E27FC236}">
              <a16:creationId xmlns:a16="http://schemas.microsoft.com/office/drawing/2014/main" id="{00000000-0008-0000-0600-000012000000}"/>
            </a:ext>
          </a:extLst>
        </xdr:cNvPr>
        <xdr:cNvSpPr/>
      </xdr:nvSpPr>
      <xdr:spPr>
        <a:xfrm>
          <a:off x="139700" y="34163000"/>
          <a:ext cx="827999" cy="2676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256</xdr:row>
      <xdr:rowOff>101600</xdr:rowOff>
    </xdr:from>
    <xdr:to>
      <xdr:col>1</xdr:col>
      <xdr:colOff>827999</xdr:colOff>
      <xdr:row>257</xdr:row>
      <xdr:rowOff>166018</xdr:rowOff>
    </xdr:to>
    <xdr:sp macro="" textlink="">
      <xdr:nvSpPr>
        <xdr:cNvPr id="19" name="Rounded Rectangle 18">
          <a:hlinkClick xmlns:r="http://schemas.openxmlformats.org/officeDocument/2006/relationships" r:id="rId1"/>
          <a:extLst>
            <a:ext uri="{FF2B5EF4-FFF2-40B4-BE49-F238E27FC236}">
              <a16:creationId xmlns:a16="http://schemas.microsoft.com/office/drawing/2014/main" id="{00000000-0008-0000-0600-000013000000}"/>
            </a:ext>
          </a:extLst>
        </xdr:cNvPr>
        <xdr:cNvSpPr/>
      </xdr:nvSpPr>
      <xdr:spPr>
        <a:xfrm>
          <a:off x="139700" y="52590700"/>
          <a:ext cx="827999" cy="2676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278</xdr:row>
      <xdr:rowOff>88900</xdr:rowOff>
    </xdr:from>
    <xdr:to>
      <xdr:col>1</xdr:col>
      <xdr:colOff>853399</xdr:colOff>
      <xdr:row>279</xdr:row>
      <xdr:rowOff>153318</xdr:rowOff>
    </xdr:to>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600-000014000000}"/>
            </a:ext>
          </a:extLst>
        </xdr:cNvPr>
        <xdr:cNvSpPr/>
      </xdr:nvSpPr>
      <xdr:spPr>
        <a:xfrm>
          <a:off x="165100" y="572643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299</xdr:row>
      <xdr:rowOff>88900</xdr:rowOff>
    </xdr:from>
    <xdr:to>
      <xdr:col>1</xdr:col>
      <xdr:colOff>853399</xdr:colOff>
      <xdr:row>300</xdr:row>
      <xdr:rowOff>178718</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600-000015000000}"/>
            </a:ext>
          </a:extLst>
        </xdr:cNvPr>
        <xdr:cNvSpPr/>
      </xdr:nvSpPr>
      <xdr:spPr>
        <a:xfrm>
          <a:off x="165100" y="61747400"/>
          <a:ext cx="827999" cy="2803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326</xdr:row>
      <xdr:rowOff>0</xdr:rowOff>
    </xdr:from>
    <xdr:to>
      <xdr:col>1</xdr:col>
      <xdr:colOff>827999</xdr:colOff>
      <xdr:row>327</xdr:row>
      <xdr:rowOff>23800</xdr:rowOff>
    </xdr:to>
    <xdr:sp macro="" textlink="">
      <xdr:nvSpPr>
        <xdr:cNvPr id="22" name="Rounded Rectangle 21">
          <a:hlinkClick xmlns:r="http://schemas.openxmlformats.org/officeDocument/2006/relationships" r:id="rId1"/>
          <a:extLst>
            <a:ext uri="{FF2B5EF4-FFF2-40B4-BE49-F238E27FC236}">
              <a16:creationId xmlns:a16="http://schemas.microsoft.com/office/drawing/2014/main" id="{00000000-0008-0000-0600-000016000000}"/>
            </a:ext>
          </a:extLst>
        </xdr:cNvPr>
        <xdr:cNvSpPr/>
      </xdr:nvSpPr>
      <xdr:spPr>
        <a:xfrm>
          <a:off x="139700" y="672211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363</xdr:row>
      <xdr:rowOff>0</xdr:rowOff>
    </xdr:from>
    <xdr:to>
      <xdr:col>1</xdr:col>
      <xdr:colOff>827999</xdr:colOff>
      <xdr:row>364</xdr:row>
      <xdr:rowOff>23800</xdr:rowOff>
    </xdr:to>
    <xdr:sp macro="" textlink="">
      <xdr:nvSpPr>
        <xdr:cNvPr id="23" name="Rounded Rectangle 22">
          <a:hlinkClick xmlns:r="http://schemas.openxmlformats.org/officeDocument/2006/relationships" r:id="rId1"/>
          <a:extLst>
            <a:ext uri="{FF2B5EF4-FFF2-40B4-BE49-F238E27FC236}">
              <a16:creationId xmlns:a16="http://schemas.microsoft.com/office/drawing/2014/main" id="{00000000-0008-0000-0600-000017000000}"/>
            </a:ext>
          </a:extLst>
        </xdr:cNvPr>
        <xdr:cNvSpPr/>
      </xdr:nvSpPr>
      <xdr:spPr>
        <a:xfrm>
          <a:off x="139700" y="737997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407</xdr:row>
      <xdr:rowOff>0</xdr:rowOff>
    </xdr:from>
    <xdr:to>
      <xdr:col>1</xdr:col>
      <xdr:colOff>827999</xdr:colOff>
      <xdr:row>408</xdr:row>
      <xdr:rowOff>23800</xdr:rowOff>
    </xdr:to>
    <xdr:sp macro="" textlink="">
      <xdr:nvSpPr>
        <xdr:cNvPr id="24" name="Rounded Rectangle 23">
          <a:hlinkClick xmlns:r="http://schemas.openxmlformats.org/officeDocument/2006/relationships" r:id="rId1"/>
          <a:extLst>
            <a:ext uri="{FF2B5EF4-FFF2-40B4-BE49-F238E27FC236}">
              <a16:creationId xmlns:a16="http://schemas.microsoft.com/office/drawing/2014/main" id="{00000000-0008-0000-0600-000018000000}"/>
            </a:ext>
          </a:extLst>
        </xdr:cNvPr>
        <xdr:cNvSpPr/>
      </xdr:nvSpPr>
      <xdr:spPr>
        <a:xfrm>
          <a:off x="139700" y="81622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451</xdr:row>
      <xdr:rowOff>12700</xdr:rowOff>
    </xdr:from>
    <xdr:to>
      <xdr:col>1</xdr:col>
      <xdr:colOff>827999</xdr:colOff>
      <xdr:row>452</xdr:row>
      <xdr:rowOff>36500</xdr:rowOff>
    </xdr:to>
    <xdr:sp macro="" textlink="">
      <xdr:nvSpPr>
        <xdr:cNvPr id="25" name="Rounded Rectangle 24">
          <a:hlinkClick xmlns:r="http://schemas.openxmlformats.org/officeDocument/2006/relationships" r:id="rId1"/>
          <a:extLst>
            <a:ext uri="{FF2B5EF4-FFF2-40B4-BE49-F238E27FC236}">
              <a16:creationId xmlns:a16="http://schemas.microsoft.com/office/drawing/2014/main" id="{00000000-0008-0000-0600-000019000000}"/>
            </a:ext>
          </a:extLst>
        </xdr:cNvPr>
        <xdr:cNvSpPr/>
      </xdr:nvSpPr>
      <xdr:spPr>
        <a:xfrm>
          <a:off x="139700" y="89484200"/>
          <a:ext cx="827999" cy="2143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139700</xdr:colOff>
      <xdr:row>0</xdr:row>
      <xdr:rowOff>12700</xdr:rowOff>
    </xdr:from>
    <xdr:to>
      <xdr:col>1</xdr:col>
      <xdr:colOff>711200</xdr:colOff>
      <xdr:row>6</xdr:row>
      <xdr:rowOff>3400</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139700" y="12700"/>
          <a:ext cx="723900" cy="1400400"/>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317500</xdr:colOff>
      <xdr:row>0</xdr:row>
      <xdr:rowOff>25399</xdr:rowOff>
    </xdr:from>
    <xdr:to>
      <xdr:col>4</xdr:col>
      <xdr:colOff>706100</xdr:colOff>
      <xdr:row>0</xdr:row>
      <xdr:rowOff>273799</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700-00000D000000}"/>
            </a:ext>
          </a:extLst>
        </xdr:cNvPr>
        <xdr:cNvSpPr/>
      </xdr:nvSpPr>
      <xdr:spPr>
        <a:xfrm>
          <a:off x="3454400" y="25399"/>
          <a:ext cx="2700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ctr"/>
          <a:r>
            <a:rPr lang="en-GB" sz="1300" b="0" i="0">
              <a:solidFill>
                <a:schemeClr val="tx1"/>
              </a:solidFill>
              <a:latin typeface="Arial" panose="020B0604020202020204" pitchFamily="34" charset="0"/>
              <a:cs typeface="Arial" panose="020B0604020202020204" pitchFamily="34" charset="0"/>
            </a:rPr>
            <a:t>weekly AVERAGE for ALL MEALS</a:t>
          </a:r>
        </a:p>
      </xdr:txBody>
    </xdr:sp>
    <xdr:clientData/>
  </xdr:twoCellAnchor>
  <xdr:twoCellAnchor>
    <xdr:from>
      <xdr:col>4</xdr:col>
      <xdr:colOff>927100</xdr:colOff>
      <xdr:row>0</xdr:row>
      <xdr:rowOff>25400</xdr:rowOff>
    </xdr:from>
    <xdr:to>
      <xdr:col>5</xdr:col>
      <xdr:colOff>1584200</xdr:colOff>
      <xdr:row>0</xdr:row>
      <xdr:rowOff>273800</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700-00000E000000}"/>
            </a:ext>
          </a:extLst>
        </xdr:cNvPr>
        <xdr:cNvSpPr/>
      </xdr:nvSpPr>
      <xdr:spPr>
        <a:xfrm>
          <a:off x="6375400" y="25400"/>
          <a:ext cx="2016000" cy="248400"/>
        </a:xfrm>
        <a:prstGeom prst="roundRect">
          <a:avLst>
            <a:gd name="adj" fmla="val 32901"/>
          </a:avLst>
        </a:prstGeom>
        <a:solidFill>
          <a:schemeClr val="accent6">
            <a:lumMod val="20000"/>
            <a:lumOff val="80000"/>
          </a:schemeClr>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meals for MONDAY</a:t>
          </a:r>
        </a:p>
      </xdr:txBody>
    </xdr:sp>
    <xdr:clientData/>
  </xdr:twoCellAnchor>
  <xdr:twoCellAnchor>
    <xdr:from>
      <xdr:col>4</xdr:col>
      <xdr:colOff>939800</xdr:colOff>
      <xdr:row>1</xdr:row>
      <xdr:rowOff>12700</xdr:rowOff>
    </xdr:from>
    <xdr:to>
      <xdr:col>5</xdr:col>
      <xdr:colOff>1596900</xdr:colOff>
      <xdr:row>2</xdr:row>
      <xdr:rowOff>70600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700-00000F000000}"/>
            </a:ext>
          </a:extLst>
        </xdr:cNvPr>
        <xdr:cNvSpPr/>
      </xdr:nvSpPr>
      <xdr:spPr>
        <a:xfrm>
          <a:off x="6388100" y="304800"/>
          <a:ext cx="2016000" cy="248400"/>
        </a:xfrm>
        <a:prstGeom prst="roundRect">
          <a:avLst>
            <a:gd name="adj" fmla="val 32901"/>
          </a:avLst>
        </a:prstGeom>
        <a:solidFill>
          <a:schemeClr val="accent2">
            <a:lumMod val="20000"/>
            <a:lumOff val="80000"/>
          </a:schemeClr>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54000" tIns="61200" rtlCol="0" anchor="ctr"/>
        <a:lstStyle/>
        <a:p>
          <a:pPr algn="l"/>
          <a:r>
            <a:rPr lang="en-GB" sz="1300" b="0" i="0">
              <a:solidFill>
                <a:schemeClr val="tx1"/>
              </a:solidFill>
              <a:latin typeface="Arial" panose="020B0604020202020204" pitchFamily="34" charset="0"/>
              <a:cs typeface="Arial" panose="020B0604020202020204" pitchFamily="34" charset="0"/>
            </a:rPr>
            <a:t>meals for TUESDAY</a:t>
          </a:r>
        </a:p>
      </xdr:txBody>
    </xdr:sp>
    <xdr:clientData/>
  </xdr:twoCellAnchor>
  <xdr:twoCellAnchor>
    <xdr:from>
      <xdr:col>4</xdr:col>
      <xdr:colOff>939800</xdr:colOff>
      <xdr:row>2</xdr:row>
      <xdr:rowOff>101600</xdr:rowOff>
    </xdr:from>
    <xdr:to>
      <xdr:col>5</xdr:col>
      <xdr:colOff>1596900</xdr:colOff>
      <xdr:row>3</xdr:row>
      <xdr:rowOff>70600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700-000010000000}"/>
            </a:ext>
          </a:extLst>
        </xdr:cNvPr>
        <xdr:cNvSpPr/>
      </xdr:nvSpPr>
      <xdr:spPr>
        <a:xfrm>
          <a:off x="6388100" y="584200"/>
          <a:ext cx="2016000" cy="248400"/>
        </a:xfrm>
        <a:prstGeom prst="roundRect">
          <a:avLst>
            <a:gd name="adj" fmla="val 32901"/>
          </a:avLst>
        </a:prstGeom>
        <a:solidFill>
          <a:schemeClr val="bg2"/>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54000" tIns="61200" rtlCol="0" anchor="ctr"/>
        <a:lstStyle/>
        <a:p>
          <a:pPr algn="l"/>
          <a:r>
            <a:rPr lang="en-GB" sz="1300" b="0" i="0">
              <a:solidFill>
                <a:schemeClr val="tx1"/>
              </a:solidFill>
              <a:latin typeface="Arial" panose="020B0604020202020204" pitchFamily="34" charset="0"/>
              <a:cs typeface="Arial" panose="020B0604020202020204" pitchFamily="34" charset="0"/>
            </a:rPr>
            <a:t>meals for WEDNESDAY</a:t>
          </a:r>
        </a:p>
      </xdr:txBody>
    </xdr:sp>
    <xdr:clientData/>
  </xdr:twoCellAnchor>
  <xdr:twoCellAnchor>
    <xdr:from>
      <xdr:col>4</xdr:col>
      <xdr:colOff>939800</xdr:colOff>
      <xdr:row>3</xdr:row>
      <xdr:rowOff>101599</xdr:rowOff>
    </xdr:from>
    <xdr:to>
      <xdr:col>5</xdr:col>
      <xdr:colOff>1596900</xdr:colOff>
      <xdr:row>4</xdr:row>
      <xdr:rowOff>235699</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700-000011000000}"/>
            </a:ext>
          </a:extLst>
        </xdr:cNvPr>
        <xdr:cNvSpPr/>
      </xdr:nvSpPr>
      <xdr:spPr>
        <a:xfrm>
          <a:off x="6388100" y="863599"/>
          <a:ext cx="2016000" cy="248400"/>
        </a:xfrm>
        <a:prstGeom prst="roundRect">
          <a:avLst>
            <a:gd name="adj" fmla="val 32901"/>
          </a:avLst>
        </a:prstGeom>
        <a:solidFill>
          <a:schemeClr val="accent5">
            <a:lumMod val="20000"/>
            <a:lumOff val="80000"/>
          </a:schemeClr>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54000" tIns="61200" rtlCol="0" anchor="ctr"/>
        <a:lstStyle/>
        <a:p>
          <a:pPr algn="l"/>
          <a:r>
            <a:rPr lang="en-GB" sz="1300" b="0" i="0">
              <a:solidFill>
                <a:schemeClr val="tx1"/>
              </a:solidFill>
              <a:latin typeface="Arial" panose="020B0604020202020204" pitchFamily="34" charset="0"/>
              <a:cs typeface="Arial" panose="020B0604020202020204" pitchFamily="34" charset="0"/>
            </a:rPr>
            <a:t>meals for THURSDAY</a:t>
          </a:r>
        </a:p>
      </xdr:txBody>
    </xdr:sp>
    <xdr:clientData/>
  </xdr:twoCellAnchor>
  <xdr:twoCellAnchor>
    <xdr:from>
      <xdr:col>4</xdr:col>
      <xdr:colOff>952500</xdr:colOff>
      <xdr:row>4</xdr:row>
      <xdr:rowOff>266700</xdr:rowOff>
    </xdr:from>
    <xdr:to>
      <xdr:col>5</xdr:col>
      <xdr:colOff>1609600</xdr:colOff>
      <xdr:row>5</xdr:row>
      <xdr:rowOff>235700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700-000012000000}"/>
            </a:ext>
          </a:extLst>
        </xdr:cNvPr>
        <xdr:cNvSpPr/>
      </xdr:nvSpPr>
      <xdr:spPr>
        <a:xfrm>
          <a:off x="6400800" y="1143000"/>
          <a:ext cx="2016000" cy="248400"/>
        </a:xfrm>
        <a:prstGeom prst="roundRect">
          <a:avLst>
            <a:gd name="adj" fmla="val 32901"/>
          </a:avLst>
        </a:prstGeom>
        <a:solidFill>
          <a:srgbClr val="E7D1FE"/>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54000" tIns="61200" rtlCol="0" anchor="ctr"/>
        <a:lstStyle/>
        <a:p>
          <a:pPr algn="l"/>
          <a:r>
            <a:rPr lang="en-GB" sz="1300" b="0" i="0">
              <a:solidFill>
                <a:schemeClr val="tx1"/>
              </a:solidFill>
              <a:latin typeface="Arial" panose="020B0604020202020204" pitchFamily="34" charset="0"/>
              <a:cs typeface="Arial" panose="020B0604020202020204" pitchFamily="34" charset="0"/>
            </a:rPr>
            <a:t>meals for FRIDAY</a:t>
          </a:r>
        </a:p>
      </xdr:txBody>
    </xdr:sp>
    <xdr:clientData/>
  </xdr:twoCellAnchor>
  <xdr:twoCellAnchor>
    <xdr:from>
      <xdr:col>1</xdr:col>
      <xdr:colOff>0</xdr:colOff>
      <xdr:row>92</xdr:row>
      <xdr:rowOff>25400</xdr:rowOff>
    </xdr:from>
    <xdr:to>
      <xdr:col>1</xdr:col>
      <xdr:colOff>827999</xdr:colOff>
      <xdr:row>93</xdr:row>
      <xdr:rowOff>89818</xdr:rowOff>
    </xdr:to>
    <xdr:sp macro="" textlink="">
      <xdr:nvSpPr>
        <xdr:cNvPr id="19" name="Rounded Rectangle 18">
          <a:hlinkClick xmlns:r="http://schemas.openxmlformats.org/officeDocument/2006/relationships" r:id="rId1"/>
          <a:extLst>
            <a:ext uri="{FF2B5EF4-FFF2-40B4-BE49-F238E27FC236}">
              <a16:creationId xmlns:a16="http://schemas.microsoft.com/office/drawing/2014/main" id="{00000000-0008-0000-0700-000013000000}"/>
            </a:ext>
          </a:extLst>
        </xdr:cNvPr>
        <xdr:cNvSpPr/>
      </xdr:nvSpPr>
      <xdr:spPr>
        <a:xfrm>
          <a:off x="254000" y="193675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123</xdr:row>
      <xdr:rowOff>25400</xdr:rowOff>
    </xdr:from>
    <xdr:to>
      <xdr:col>1</xdr:col>
      <xdr:colOff>827999</xdr:colOff>
      <xdr:row>124</xdr:row>
      <xdr:rowOff>89818</xdr:rowOff>
    </xdr:to>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700-000014000000}"/>
            </a:ext>
          </a:extLst>
        </xdr:cNvPr>
        <xdr:cNvSpPr/>
      </xdr:nvSpPr>
      <xdr:spPr>
        <a:xfrm>
          <a:off x="254000" y="255016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154</xdr:row>
      <xdr:rowOff>25400</xdr:rowOff>
    </xdr:from>
    <xdr:to>
      <xdr:col>1</xdr:col>
      <xdr:colOff>827999</xdr:colOff>
      <xdr:row>155</xdr:row>
      <xdr:rowOff>89818</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700-000015000000}"/>
            </a:ext>
          </a:extLst>
        </xdr:cNvPr>
        <xdr:cNvSpPr/>
      </xdr:nvSpPr>
      <xdr:spPr>
        <a:xfrm>
          <a:off x="254000" y="316230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185</xdr:row>
      <xdr:rowOff>25400</xdr:rowOff>
    </xdr:from>
    <xdr:to>
      <xdr:col>1</xdr:col>
      <xdr:colOff>827999</xdr:colOff>
      <xdr:row>186</xdr:row>
      <xdr:rowOff>89818</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700-000016000000}"/>
            </a:ext>
          </a:extLst>
        </xdr:cNvPr>
        <xdr:cNvSpPr/>
      </xdr:nvSpPr>
      <xdr:spPr>
        <a:xfrm>
          <a:off x="254000" y="377444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247</xdr:row>
      <xdr:rowOff>23090</xdr:rowOff>
    </xdr:from>
    <xdr:to>
      <xdr:col>1</xdr:col>
      <xdr:colOff>827999</xdr:colOff>
      <xdr:row>248</xdr:row>
      <xdr:rowOff>87508</xdr:rowOff>
    </xdr:to>
    <xdr:sp macro="" textlink="">
      <xdr:nvSpPr>
        <xdr:cNvPr id="23" name="Rounded Rectangle 22">
          <a:hlinkClick xmlns:r="http://schemas.openxmlformats.org/officeDocument/2006/relationships" r:id="rId8"/>
          <a:extLst>
            <a:ext uri="{FF2B5EF4-FFF2-40B4-BE49-F238E27FC236}">
              <a16:creationId xmlns:a16="http://schemas.microsoft.com/office/drawing/2014/main" id="{00000000-0008-0000-0700-000017000000}"/>
            </a:ext>
          </a:extLst>
        </xdr:cNvPr>
        <xdr:cNvSpPr/>
      </xdr:nvSpPr>
      <xdr:spPr>
        <a:xfrm>
          <a:off x="254000" y="506706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216</xdr:row>
      <xdr:rowOff>23090</xdr:rowOff>
    </xdr:from>
    <xdr:to>
      <xdr:col>1</xdr:col>
      <xdr:colOff>827999</xdr:colOff>
      <xdr:row>217</xdr:row>
      <xdr:rowOff>87508</xdr:rowOff>
    </xdr:to>
    <xdr:sp macro="" textlink="">
      <xdr:nvSpPr>
        <xdr:cNvPr id="24" name="Rounded Rectangle 23">
          <a:hlinkClick xmlns:r="http://schemas.openxmlformats.org/officeDocument/2006/relationships" r:id="rId1"/>
          <a:extLst>
            <a:ext uri="{FF2B5EF4-FFF2-40B4-BE49-F238E27FC236}">
              <a16:creationId xmlns:a16="http://schemas.microsoft.com/office/drawing/2014/main" id="{00000000-0008-0000-0700-000018000000}"/>
            </a:ext>
          </a:extLst>
        </xdr:cNvPr>
        <xdr:cNvSpPr/>
      </xdr:nvSpPr>
      <xdr:spPr>
        <a:xfrm>
          <a:off x="254000" y="502769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278</xdr:row>
      <xdr:rowOff>23090</xdr:rowOff>
    </xdr:from>
    <xdr:to>
      <xdr:col>1</xdr:col>
      <xdr:colOff>827999</xdr:colOff>
      <xdr:row>279</xdr:row>
      <xdr:rowOff>87508</xdr:rowOff>
    </xdr:to>
    <xdr:sp macro="" textlink="">
      <xdr:nvSpPr>
        <xdr:cNvPr id="25" name="Rounded Rectangle 24">
          <a:hlinkClick xmlns:r="http://schemas.openxmlformats.org/officeDocument/2006/relationships" r:id="rId8"/>
          <a:extLst>
            <a:ext uri="{FF2B5EF4-FFF2-40B4-BE49-F238E27FC236}">
              <a16:creationId xmlns:a16="http://schemas.microsoft.com/office/drawing/2014/main" id="{00000000-0008-0000-0700-000019000000}"/>
            </a:ext>
          </a:extLst>
        </xdr:cNvPr>
        <xdr:cNvSpPr/>
      </xdr:nvSpPr>
      <xdr:spPr>
        <a:xfrm>
          <a:off x="254000" y="440285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23090</xdr:rowOff>
    </xdr:from>
    <xdr:to>
      <xdr:col>1</xdr:col>
      <xdr:colOff>827999</xdr:colOff>
      <xdr:row>310</xdr:row>
      <xdr:rowOff>87508</xdr:rowOff>
    </xdr:to>
    <xdr:sp macro="" textlink="">
      <xdr:nvSpPr>
        <xdr:cNvPr id="26" name="Rounded Rectangle 25">
          <a:hlinkClick xmlns:r="http://schemas.openxmlformats.org/officeDocument/2006/relationships" r:id="rId8"/>
          <a:extLst>
            <a:ext uri="{FF2B5EF4-FFF2-40B4-BE49-F238E27FC236}">
              <a16:creationId xmlns:a16="http://schemas.microsoft.com/office/drawing/2014/main" id="{00000000-0008-0000-0700-00001A000000}"/>
            </a:ext>
          </a:extLst>
        </xdr:cNvPr>
        <xdr:cNvSpPr/>
      </xdr:nvSpPr>
      <xdr:spPr>
        <a:xfrm>
          <a:off x="254000" y="565253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2</xdr:col>
      <xdr:colOff>330200</xdr:colOff>
      <xdr:row>1</xdr:row>
      <xdr:rowOff>12700</xdr:rowOff>
    </xdr:from>
    <xdr:to>
      <xdr:col>4</xdr:col>
      <xdr:colOff>718800</xdr:colOff>
      <xdr:row>2</xdr:row>
      <xdr:rowOff>70600</xdr:rowOff>
    </xdr:to>
    <xdr:sp macro="" textlink="">
      <xdr:nvSpPr>
        <xdr:cNvPr id="28" name="Rounded Rectangle 27">
          <a:hlinkClick xmlns:r="http://schemas.openxmlformats.org/officeDocument/2006/relationships" r:id="rId9"/>
          <a:extLst>
            <a:ext uri="{FF2B5EF4-FFF2-40B4-BE49-F238E27FC236}">
              <a16:creationId xmlns:a16="http://schemas.microsoft.com/office/drawing/2014/main" id="{00000000-0008-0000-0700-00001C000000}"/>
            </a:ext>
          </a:extLst>
        </xdr:cNvPr>
        <xdr:cNvSpPr/>
      </xdr:nvSpPr>
      <xdr:spPr>
        <a:xfrm>
          <a:off x="3467100" y="304800"/>
          <a:ext cx="2700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ctr"/>
          <a:r>
            <a:rPr lang="en-GB" sz="1300" b="0" i="0">
              <a:solidFill>
                <a:schemeClr val="tx1"/>
              </a:solidFill>
              <a:latin typeface="Arial" panose="020B0604020202020204" pitchFamily="34" charset="0"/>
              <a:cs typeface="Arial" panose="020B0604020202020204" pitchFamily="34" charset="0"/>
            </a:rPr>
            <a:t> weekly AVERAGE for BREAKFAST</a:t>
          </a:r>
        </a:p>
      </xdr:txBody>
    </xdr:sp>
    <xdr:clientData/>
  </xdr:twoCellAnchor>
  <xdr:twoCellAnchor>
    <xdr:from>
      <xdr:col>2</xdr:col>
      <xdr:colOff>330200</xdr:colOff>
      <xdr:row>2</xdr:row>
      <xdr:rowOff>101600</xdr:rowOff>
    </xdr:from>
    <xdr:to>
      <xdr:col>4</xdr:col>
      <xdr:colOff>718800</xdr:colOff>
      <xdr:row>3</xdr:row>
      <xdr:rowOff>70600</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700-00001D000000}"/>
            </a:ext>
          </a:extLst>
        </xdr:cNvPr>
        <xdr:cNvSpPr/>
      </xdr:nvSpPr>
      <xdr:spPr>
        <a:xfrm>
          <a:off x="3467100" y="584200"/>
          <a:ext cx="2700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ctr"/>
          <a:r>
            <a:rPr lang="en-GB" sz="1300" b="0" i="0">
              <a:solidFill>
                <a:schemeClr val="tx1"/>
              </a:solidFill>
              <a:latin typeface="Arial" panose="020B0604020202020204" pitchFamily="34" charset="0"/>
              <a:cs typeface="Arial" panose="020B0604020202020204" pitchFamily="34" charset="0"/>
            </a:rPr>
            <a:t>weekly</a:t>
          </a:r>
          <a:r>
            <a:rPr lang="en-GB" sz="1300" b="0" i="0" baseline="0">
              <a:solidFill>
                <a:schemeClr val="tx1"/>
              </a:solidFill>
              <a:latin typeface="Arial" panose="020B0604020202020204" pitchFamily="34" charset="0"/>
              <a:cs typeface="Arial" panose="020B0604020202020204" pitchFamily="34" charset="0"/>
            </a:rPr>
            <a:t> AVERAGE for SNACK 1</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330200</xdr:colOff>
      <xdr:row>3</xdr:row>
      <xdr:rowOff>101600</xdr:rowOff>
    </xdr:from>
    <xdr:to>
      <xdr:col>4</xdr:col>
      <xdr:colOff>718800</xdr:colOff>
      <xdr:row>4</xdr:row>
      <xdr:rowOff>235700</xdr:rowOff>
    </xdr:to>
    <xdr:sp macro="" textlink="">
      <xdr:nvSpPr>
        <xdr:cNvPr id="30" name="Rounded Rectangle 29">
          <a:hlinkClick xmlns:r="http://schemas.openxmlformats.org/officeDocument/2006/relationships" r:id="rId11"/>
          <a:extLst>
            <a:ext uri="{FF2B5EF4-FFF2-40B4-BE49-F238E27FC236}">
              <a16:creationId xmlns:a16="http://schemas.microsoft.com/office/drawing/2014/main" id="{00000000-0008-0000-0700-00001E000000}"/>
            </a:ext>
          </a:extLst>
        </xdr:cNvPr>
        <xdr:cNvSpPr/>
      </xdr:nvSpPr>
      <xdr:spPr>
        <a:xfrm>
          <a:off x="3467100" y="863600"/>
          <a:ext cx="2700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ctr"/>
          <a:r>
            <a:rPr lang="en-GB" sz="1300" b="0" i="0">
              <a:solidFill>
                <a:schemeClr val="tx1"/>
              </a:solidFill>
              <a:latin typeface="Arial" panose="020B0604020202020204" pitchFamily="34" charset="0"/>
              <a:cs typeface="Arial" panose="020B0604020202020204" pitchFamily="34" charset="0"/>
            </a:rPr>
            <a:t>weekly AVERAGE for LUNCH</a:t>
          </a:r>
        </a:p>
      </xdr:txBody>
    </xdr:sp>
    <xdr:clientData/>
  </xdr:twoCellAnchor>
  <xdr:twoCellAnchor>
    <xdr:from>
      <xdr:col>2</xdr:col>
      <xdr:colOff>330200</xdr:colOff>
      <xdr:row>4</xdr:row>
      <xdr:rowOff>266700</xdr:rowOff>
    </xdr:from>
    <xdr:to>
      <xdr:col>4</xdr:col>
      <xdr:colOff>718800</xdr:colOff>
      <xdr:row>5</xdr:row>
      <xdr:rowOff>235700</xdr:rowOff>
    </xdr:to>
    <xdr:sp macro="" textlink="">
      <xdr:nvSpPr>
        <xdr:cNvPr id="31" name="Rounded Rectangle 30">
          <a:hlinkClick xmlns:r="http://schemas.openxmlformats.org/officeDocument/2006/relationships" r:id="rId12"/>
          <a:extLst>
            <a:ext uri="{FF2B5EF4-FFF2-40B4-BE49-F238E27FC236}">
              <a16:creationId xmlns:a16="http://schemas.microsoft.com/office/drawing/2014/main" id="{00000000-0008-0000-0700-00001F000000}"/>
            </a:ext>
          </a:extLst>
        </xdr:cNvPr>
        <xdr:cNvSpPr/>
      </xdr:nvSpPr>
      <xdr:spPr>
        <a:xfrm>
          <a:off x="3467100" y="1143000"/>
          <a:ext cx="2700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ctr"/>
          <a:r>
            <a:rPr lang="en-GB" sz="1300" b="0" i="0">
              <a:solidFill>
                <a:schemeClr val="tx1"/>
              </a:solidFill>
              <a:latin typeface="Arial" panose="020B0604020202020204" pitchFamily="34" charset="0"/>
              <a:cs typeface="Arial" panose="020B0604020202020204" pitchFamily="34" charset="0"/>
            </a:rPr>
            <a:t>weekly AVERAGE for SNACK 2</a:t>
          </a:r>
        </a:p>
      </xdr:txBody>
    </xdr:sp>
    <xdr:clientData/>
  </xdr:twoCellAnchor>
  <xdr:twoCellAnchor>
    <xdr:from>
      <xdr:col>1</xdr:col>
      <xdr:colOff>0</xdr:colOff>
      <xdr:row>340</xdr:row>
      <xdr:rowOff>25400</xdr:rowOff>
    </xdr:from>
    <xdr:to>
      <xdr:col>1</xdr:col>
      <xdr:colOff>827999</xdr:colOff>
      <xdr:row>341</xdr:row>
      <xdr:rowOff>89818</xdr:rowOff>
    </xdr:to>
    <xdr:sp macro="" textlink="">
      <xdr:nvSpPr>
        <xdr:cNvPr id="32" name="Rounded Rectangle 31">
          <a:hlinkClick xmlns:r="http://schemas.openxmlformats.org/officeDocument/2006/relationships" r:id="rId1"/>
          <a:extLst>
            <a:ext uri="{FF2B5EF4-FFF2-40B4-BE49-F238E27FC236}">
              <a16:creationId xmlns:a16="http://schemas.microsoft.com/office/drawing/2014/main" id="{00000000-0008-0000-0700-000020000000}"/>
            </a:ext>
          </a:extLst>
        </xdr:cNvPr>
        <xdr:cNvSpPr/>
      </xdr:nvSpPr>
      <xdr:spPr>
        <a:xfrm>
          <a:off x="254000" y="691388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61</xdr:row>
      <xdr:rowOff>38100</xdr:rowOff>
    </xdr:from>
    <xdr:to>
      <xdr:col>1</xdr:col>
      <xdr:colOff>827999</xdr:colOff>
      <xdr:row>62</xdr:row>
      <xdr:rowOff>89818</xdr:rowOff>
    </xdr:to>
    <xdr:sp macro="" textlink="">
      <xdr:nvSpPr>
        <xdr:cNvPr id="33" name="Rounded Rectangle 32">
          <a:hlinkClick xmlns:r="http://schemas.openxmlformats.org/officeDocument/2006/relationships" r:id="rId1"/>
          <a:extLst>
            <a:ext uri="{FF2B5EF4-FFF2-40B4-BE49-F238E27FC236}">
              <a16:creationId xmlns:a16="http://schemas.microsoft.com/office/drawing/2014/main" id="{00000000-0008-0000-0700-000021000000}"/>
            </a:ext>
          </a:extLst>
        </xdr:cNvPr>
        <xdr:cNvSpPr/>
      </xdr:nvSpPr>
      <xdr:spPr>
        <a:xfrm>
          <a:off x="254000" y="133604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5</xdr:col>
      <xdr:colOff>1828800</xdr:colOff>
      <xdr:row>0</xdr:row>
      <xdr:rowOff>25400</xdr:rowOff>
    </xdr:from>
    <xdr:to>
      <xdr:col>5</xdr:col>
      <xdr:colOff>4712400</xdr:colOff>
      <xdr:row>0</xdr:row>
      <xdr:rowOff>273391</xdr:rowOff>
    </xdr:to>
    <xdr:sp macro="" textlink="">
      <xdr:nvSpPr>
        <xdr:cNvPr id="34" name="Rounded Rectangle 33">
          <a:hlinkClick xmlns:r="http://schemas.openxmlformats.org/officeDocument/2006/relationships" r:id="rId13"/>
          <a:extLst>
            <a:ext uri="{FF2B5EF4-FFF2-40B4-BE49-F238E27FC236}">
              <a16:creationId xmlns:a16="http://schemas.microsoft.com/office/drawing/2014/main" id="{00000000-0008-0000-0700-000022000000}"/>
            </a:ext>
          </a:extLst>
        </xdr:cNvPr>
        <xdr:cNvSpPr/>
      </xdr:nvSpPr>
      <xdr:spPr>
        <a:xfrm>
          <a:off x="8636000" y="25400"/>
          <a:ext cx="2883600" cy="247991"/>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nchorCtr="1"/>
        <a:lstStyle/>
        <a:p>
          <a:pPr algn="ctr"/>
          <a:r>
            <a:rPr lang="en-GB" sz="1300" b="0" i="0">
              <a:solidFill>
                <a:schemeClr val="tx1"/>
              </a:solidFill>
              <a:latin typeface="Arial" panose="020B0604020202020204" pitchFamily="34" charset="0"/>
              <a:cs typeface="Arial" panose="020B0604020202020204" pitchFamily="34" charset="0"/>
            </a:rPr>
            <a:t>RECOMMENDATIONS</a:t>
          </a:r>
          <a:r>
            <a:rPr lang="en-GB" sz="1300" b="0" i="0" baseline="0">
              <a:solidFill>
                <a:schemeClr val="tx1"/>
              </a:solidFill>
              <a:latin typeface="Arial" panose="020B0604020202020204" pitchFamily="34" charset="0"/>
              <a:cs typeface="Arial" panose="020B0604020202020204" pitchFamily="34" charset="0"/>
            </a:rPr>
            <a:t> for PARENTS</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1858642</xdr:colOff>
      <xdr:row>4</xdr:row>
      <xdr:rowOff>269345</xdr:rowOff>
    </xdr:from>
    <xdr:to>
      <xdr:col>5</xdr:col>
      <xdr:colOff>4742242</xdr:colOff>
      <xdr:row>5</xdr:row>
      <xdr:rowOff>238345</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0700-000024000000}"/>
            </a:ext>
          </a:extLst>
        </xdr:cNvPr>
        <xdr:cNvSpPr/>
      </xdr:nvSpPr>
      <xdr:spPr>
        <a:xfrm>
          <a:off x="8665842" y="1145645"/>
          <a:ext cx="28836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nchorCtr="1"/>
        <a:lstStyle/>
        <a:p>
          <a:pPr algn="ctr"/>
          <a:r>
            <a:rPr lang="en-GB" sz="1400" b="0" i="0">
              <a:solidFill>
                <a:schemeClr val="tx1"/>
              </a:solidFill>
              <a:latin typeface="Arial" panose="020B0604020202020204" pitchFamily="34" charset="0"/>
              <a:cs typeface="Arial" panose="020B0604020202020204" pitchFamily="34" charset="0"/>
            </a:rPr>
            <a:t>CHARTS and GRAPHS</a:t>
          </a:r>
        </a:p>
      </xdr:txBody>
    </xdr:sp>
    <xdr:clientData/>
  </xdr:twoCellAnchor>
  <xdr:twoCellAnchor>
    <xdr:from>
      <xdr:col>1</xdr:col>
      <xdr:colOff>0</xdr:colOff>
      <xdr:row>247</xdr:row>
      <xdr:rowOff>23090</xdr:rowOff>
    </xdr:from>
    <xdr:to>
      <xdr:col>1</xdr:col>
      <xdr:colOff>827999</xdr:colOff>
      <xdr:row>248</xdr:row>
      <xdr:rowOff>87508</xdr:rowOff>
    </xdr:to>
    <xdr:sp macro="" textlink="">
      <xdr:nvSpPr>
        <xdr:cNvPr id="54" name="Rounded Rectangle 53">
          <a:hlinkClick xmlns:r="http://schemas.openxmlformats.org/officeDocument/2006/relationships" r:id="rId15"/>
          <a:extLst>
            <a:ext uri="{FF2B5EF4-FFF2-40B4-BE49-F238E27FC236}">
              <a16:creationId xmlns:a16="http://schemas.microsoft.com/office/drawing/2014/main" id="{00000000-0008-0000-0700-000036000000}"/>
            </a:ext>
          </a:extLst>
        </xdr:cNvPr>
        <xdr:cNvSpPr/>
      </xdr:nvSpPr>
      <xdr:spPr>
        <a:xfrm>
          <a:off x="241300" y="506833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247</xdr:row>
      <xdr:rowOff>25400</xdr:rowOff>
    </xdr:from>
    <xdr:to>
      <xdr:col>1</xdr:col>
      <xdr:colOff>827999</xdr:colOff>
      <xdr:row>248</xdr:row>
      <xdr:rowOff>89819</xdr:rowOff>
    </xdr:to>
    <xdr:sp macro="" textlink="">
      <xdr:nvSpPr>
        <xdr:cNvPr id="55" name="Rounded Rectangle 54">
          <a:hlinkClick xmlns:r="http://schemas.openxmlformats.org/officeDocument/2006/relationships" r:id="rId1"/>
          <a:extLst>
            <a:ext uri="{FF2B5EF4-FFF2-40B4-BE49-F238E27FC236}">
              <a16:creationId xmlns:a16="http://schemas.microsoft.com/office/drawing/2014/main" id="{00000000-0008-0000-0700-000037000000}"/>
            </a:ext>
          </a:extLst>
        </xdr:cNvPr>
        <xdr:cNvSpPr/>
      </xdr:nvSpPr>
      <xdr:spPr>
        <a:xfrm>
          <a:off x="241300" y="50685700"/>
          <a:ext cx="827999" cy="242219"/>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278</xdr:row>
      <xdr:rowOff>23090</xdr:rowOff>
    </xdr:from>
    <xdr:to>
      <xdr:col>1</xdr:col>
      <xdr:colOff>827999</xdr:colOff>
      <xdr:row>279</xdr:row>
      <xdr:rowOff>87509</xdr:rowOff>
    </xdr:to>
    <xdr:sp macro="" textlink="">
      <xdr:nvSpPr>
        <xdr:cNvPr id="57" name="Rounded Rectangle 56">
          <a:hlinkClick xmlns:r="http://schemas.openxmlformats.org/officeDocument/2006/relationships" r:id="rId15"/>
          <a:extLst>
            <a:ext uri="{FF2B5EF4-FFF2-40B4-BE49-F238E27FC236}">
              <a16:creationId xmlns:a16="http://schemas.microsoft.com/office/drawing/2014/main" id="{00000000-0008-0000-0700-000039000000}"/>
            </a:ext>
          </a:extLst>
        </xdr:cNvPr>
        <xdr:cNvSpPr/>
      </xdr:nvSpPr>
      <xdr:spPr>
        <a:xfrm>
          <a:off x="241300" y="56931790"/>
          <a:ext cx="827999" cy="242219"/>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278</xdr:row>
      <xdr:rowOff>23090</xdr:rowOff>
    </xdr:from>
    <xdr:to>
      <xdr:col>1</xdr:col>
      <xdr:colOff>827999</xdr:colOff>
      <xdr:row>279</xdr:row>
      <xdr:rowOff>87508</xdr:rowOff>
    </xdr:to>
    <xdr:sp macro="" textlink="">
      <xdr:nvSpPr>
        <xdr:cNvPr id="58" name="Rounded Rectangle 57">
          <a:hlinkClick xmlns:r="http://schemas.openxmlformats.org/officeDocument/2006/relationships" r:id="rId15"/>
          <a:extLst>
            <a:ext uri="{FF2B5EF4-FFF2-40B4-BE49-F238E27FC236}">
              <a16:creationId xmlns:a16="http://schemas.microsoft.com/office/drawing/2014/main" id="{00000000-0008-0000-0700-00003A000000}"/>
            </a:ext>
          </a:extLst>
        </xdr:cNvPr>
        <xdr:cNvSpPr/>
      </xdr:nvSpPr>
      <xdr:spPr>
        <a:xfrm>
          <a:off x="241300" y="569317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278</xdr:row>
      <xdr:rowOff>25400</xdr:rowOff>
    </xdr:from>
    <xdr:to>
      <xdr:col>1</xdr:col>
      <xdr:colOff>827999</xdr:colOff>
      <xdr:row>279</xdr:row>
      <xdr:rowOff>89819</xdr:rowOff>
    </xdr:to>
    <xdr:sp macro="" textlink="">
      <xdr:nvSpPr>
        <xdr:cNvPr id="59" name="Rounded Rectangle 58">
          <a:hlinkClick xmlns:r="http://schemas.openxmlformats.org/officeDocument/2006/relationships" r:id="rId1"/>
          <a:extLst>
            <a:ext uri="{FF2B5EF4-FFF2-40B4-BE49-F238E27FC236}">
              <a16:creationId xmlns:a16="http://schemas.microsoft.com/office/drawing/2014/main" id="{00000000-0008-0000-0700-00003B000000}"/>
            </a:ext>
          </a:extLst>
        </xdr:cNvPr>
        <xdr:cNvSpPr/>
      </xdr:nvSpPr>
      <xdr:spPr>
        <a:xfrm>
          <a:off x="241300" y="56934100"/>
          <a:ext cx="827999" cy="242219"/>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23090</xdr:rowOff>
    </xdr:from>
    <xdr:to>
      <xdr:col>1</xdr:col>
      <xdr:colOff>827999</xdr:colOff>
      <xdr:row>310</xdr:row>
      <xdr:rowOff>87508</xdr:rowOff>
    </xdr:to>
    <xdr:sp macro="" textlink="">
      <xdr:nvSpPr>
        <xdr:cNvPr id="61" name="Rounded Rectangle 60">
          <a:hlinkClick xmlns:r="http://schemas.openxmlformats.org/officeDocument/2006/relationships" r:id="rId15"/>
          <a:extLst>
            <a:ext uri="{FF2B5EF4-FFF2-40B4-BE49-F238E27FC236}">
              <a16:creationId xmlns:a16="http://schemas.microsoft.com/office/drawing/2014/main" id="{00000000-0008-0000-0700-00003D000000}"/>
            </a:ext>
          </a:extLst>
        </xdr:cNvPr>
        <xdr:cNvSpPr/>
      </xdr:nvSpPr>
      <xdr:spPr>
        <a:xfrm>
          <a:off x="241300" y="631801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23090</xdr:rowOff>
    </xdr:from>
    <xdr:to>
      <xdr:col>1</xdr:col>
      <xdr:colOff>827999</xdr:colOff>
      <xdr:row>310</xdr:row>
      <xdr:rowOff>87509</xdr:rowOff>
    </xdr:to>
    <xdr:sp macro="" textlink="">
      <xdr:nvSpPr>
        <xdr:cNvPr id="62" name="Rounded Rectangle 61">
          <a:hlinkClick xmlns:r="http://schemas.openxmlformats.org/officeDocument/2006/relationships" r:id="rId15"/>
          <a:extLst>
            <a:ext uri="{FF2B5EF4-FFF2-40B4-BE49-F238E27FC236}">
              <a16:creationId xmlns:a16="http://schemas.microsoft.com/office/drawing/2014/main" id="{00000000-0008-0000-0700-00003E000000}"/>
            </a:ext>
          </a:extLst>
        </xdr:cNvPr>
        <xdr:cNvSpPr/>
      </xdr:nvSpPr>
      <xdr:spPr>
        <a:xfrm>
          <a:off x="241300" y="63180190"/>
          <a:ext cx="827999" cy="242219"/>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23090</xdr:rowOff>
    </xdr:from>
    <xdr:to>
      <xdr:col>1</xdr:col>
      <xdr:colOff>827999</xdr:colOff>
      <xdr:row>310</xdr:row>
      <xdr:rowOff>87508</xdr:rowOff>
    </xdr:to>
    <xdr:sp macro="" textlink="">
      <xdr:nvSpPr>
        <xdr:cNvPr id="63" name="Rounded Rectangle 62">
          <a:hlinkClick xmlns:r="http://schemas.openxmlformats.org/officeDocument/2006/relationships" r:id="rId15"/>
          <a:extLst>
            <a:ext uri="{FF2B5EF4-FFF2-40B4-BE49-F238E27FC236}">
              <a16:creationId xmlns:a16="http://schemas.microsoft.com/office/drawing/2014/main" id="{00000000-0008-0000-0700-00003F000000}"/>
            </a:ext>
          </a:extLst>
        </xdr:cNvPr>
        <xdr:cNvSpPr/>
      </xdr:nvSpPr>
      <xdr:spPr>
        <a:xfrm>
          <a:off x="241300" y="631801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25400</xdr:rowOff>
    </xdr:from>
    <xdr:to>
      <xdr:col>1</xdr:col>
      <xdr:colOff>827999</xdr:colOff>
      <xdr:row>310</xdr:row>
      <xdr:rowOff>89819</xdr:rowOff>
    </xdr:to>
    <xdr:sp macro="" textlink="">
      <xdr:nvSpPr>
        <xdr:cNvPr id="64" name="Rounded Rectangle 63">
          <a:hlinkClick xmlns:r="http://schemas.openxmlformats.org/officeDocument/2006/relationships" r:id="rId15"/>
          <a:extLst>
            <a:ext uri="{FF2B5EF4-FFF2-40B4-BE49-F238E27FC236}">
              <a16:creationId xmlns:a16="http://schemas.microsoft.com/office/drawing/2014/main" id="{00000000-0008-0000-0700-000040000000}"/>
            </a:ext>
          </a:extLst>
        </xdr:cNvPr>
        <xdr:cNvSpPr/>
      </xdr:nvSpPr>
      <xdr:spPr>
        <a:xfrm>
          <a:off x="241300" y="63182500"/>
          <a:ext cx="827999" cy="242219"/>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309</xdr:row>
      <xdr:rowOff>23090</xdr:rowOff>
    </xdr:from>
    <xdr:to>
      <xdr:col>1</xdr:col>
      <xdr:colOff>827999</xdr:colOff>
      <xdr:row>310</xdr:row>
      <xdr:rowOff>87508</xdr:rowOff>
    </xdr:to>
    <xdr:sp macro="" textlink="">
      <xdr:nvSpPr>
        <xdr:cNvPr id="65" name="Rounded Rectangle 64">
          <a:hlinkClick xmlns:r="http://schemas.openxmlformats.org/officeDocument/2006/relationships" r:id="rId1"/>
          <a:extLst>
            <a:ext uri="{FF2B5EF4-FFF2-40B4-BE49-F238E27FC236}">
              <a16:creationId xmlns:a16="http://schemas.microsoft.com/office/drawing/2014/main" id="{00000000-0008-0000-0700-000041000000}"/>
            </a:ext>
          </a:extLst>
        </xdr:cNvPr>
        <xdr:cNvSpPr/>
      </xdr:nvSpPr>
      <xdr:spPr>
        <a:xfrm>
          <a:off x="241300" y="6318019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5</xdr:col>
      <xdr:colOff>1841500</xdr:colOff>
      <xdr:row>1</xdr:row>
      <xdr:rowOff>12699</xdr:rowOff>
    </xdr:from>
    <xdr:to>
      <xdr:col>5</xdr:col>
      <xdr:colOff>4725100</xdr:colOff>
      <xdr:row>2</xdr:row>
      <xdr:rowOff>70599</xdr:rowOff>
    </xdr:to>
    <xdr:sp macro="" textlink="">
      <xdr:nvSpPr>
        <xdr:cNvPr id="67" name="Rounded Rectangle 66">
          <a:hlinkClick xmlns:r="http://schemas.openxmlformats.org/officeDocument/2006/relationships" r:id="rId16"/>
          <a:extLst>
            <a:ext uri="{FF2B5EF4-FFF2-40B4-BE49-F238E27FC236}">
              <a16:creationId xmlns:a16="http://schemas.microsoft.com/office/drawing/2014/main" id="{00000000-0008-0000-0700-000043000000}"/>
            </a:ext>
          </a:extLst>
        </xdr:cNvPr>
        <xdr:cNvSpPr/>
      </xdr:nvSpPr>
      <xdr:spPr>
        <a:xfrm>
          <a:off x="8648700" y="304799"/>
          <a:ext cx="28836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nchorCtr="1"/>
        <a:lstStyle/>
        <a:p>
          <a:pPr algn="ctr"/>
          <a:r>
            <a:rPr lang="en-GB" sz="1300" b="0" i="0">
              <a:solidFill>
                <a:schemeClr val="tx1"/>
              </a:solidFill>
              <a:latin typeface="Arial" panose="020B0604020202020204" pitchFamily="34" charset="0"/>
              <a:cs typeface="Arial" panose="020B0604020202020204" pitchFamily="34" charset="0"/>
            </a:rPr>
            <a:t>QUANTITIES of FOOD ITEMS</a:t>
          </a:r>
        </a:p>
      </xdr:txBody>
    </xdr:sp>
    <xdr:clientData/>
  </xdr:twoCellAnchor>
  <xdr:twoCellAnchor>
    <xdr:from>
      <xdr:col>5</xdr:col>
      <xdr:colOff>1854200</xdr:colOff>
      <xdr:row>2</xdr:row>
      <xdr:rowOff>101599</xdr:rowOff>
    </xdr:from>
    <xdr:to>
      <xdr:col>5</xdr:col>
      <xdr:colOff>4737800</xdr:colOff>
      <xdr:row>3</xdr:row>
      <xdr:rowOff>70599</xdr:rowOff>
    </xdr:to>
    <xdr:sp macro="" textlink="">
      <xdr:nvSpPr>
        <xdr:cNvPr id="68" name="Rounded Rectangle 67">
          <a:hlinkClick xmlns:r="http://schemas.openxmlformats.org/officeDocument/2006/relationships" r:id="rId17"/>
          <a:extLst>
            <a:ext uri="{FF2B5EF4-FFF2-40B4-BE49-F238E27FC236}">
              <a16:creationId xmlns:a16="http://schemas.microsoft.com/office/drawing/2014/main" id="{00000000-0008-0000-0700-000044000000}"/>
            </a:ext>
          </a:extLst>
        </xdr:cNvPr>
        <xdr:cNvSpPr/>
      </xdr:nvSpPr>
      <xdr:spPr>
        <a:xfrm>
          <a:off x="8661400" y="584199"/>
          <a:ext cx="28836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nchorCtr="1"/>
        <a:lstStyle/>
        <a:p>
          <a:pPr algn="ctr"/>
          <a:r>
            <a:rPr lang="en-GB" sz="1300" b="0" i="0">
              <a:solidFill>
                <a:schemeClr val="tx1"/>
              </a:solidFill>
              <a:latin typeface="Arial" panose="020B0604020202020204" pitchFamily="34" charset="0"/>
              <a:cs typeface="Arial" panose="020B0604020202020204" pitchFamily="34" charset="0"/>
            </a:rPr>
            <a:t>MEAL ENTRY WEEK 1</a:t>
          </a:r>
        </a:p>
      </xdr:txBody>
    </xdr:sp>
    <xdr:clientData/>
  </xdr:twoCellAnchor>
  <xdr:twoCellAnchor editAs="oneCell">
    <xdr:from>
      <xdr:col>0</xdr:col>
      <xdr:colOff>12700</xdr:colOff>
      <xdr:row>0</xdr:row>
      <xdr:rowOff>177800</xdr:rowOff>
    </xdr:from>
    <xdr:to>
      <xdr:col>1</xdr:col>
      <xdr:colOff>647700</xdr:colOff>
      <xdr:row>5</xdr:row>
      <xdr:rowOff>88900</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0089" t="8904" r="11726" b="7991"/>
        <a:stretch/>
      </xdr:blipFill>
      <xdr:spPr bwMode="auto">
        <a:xfrm>
          <a:off x="12700" y="177800"/>
          <a:ext cx="787400" cy="1066800"/>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1</xdr:col>
          <xdr:colOff>774700</xdr:colOff>
          <xdr:row>2</xdr:row>
          <xdr:rowOff>0</xdr:rowOff>
        </xdr:from>
        <xdr:to>
          <xdr:col>1</xdr:col>
          <xdr:colOff>2946400</xdr:colOff>
          <xdr:row>3</xdr:row>
          <xdr:rowOff>12700</xdr:rowOff>
        </xdr:to>
        <xdr:sp macro="" textlink="">
          <xdr:nvSpPr>
            <xdr:cNvPr id="60417" name="Option Button 1" hidden="1">
              <a:extLst>
                <a:ext uri="{63B3BB69-23CF-44E3-9099-C40C66FF867C}">
                  <a14:compatExt spid="_x0000_s60417"/>
                </a:ext>
                <a:ext uri="{FF2B5EF4-FFF2-40B4-BE49-F238E27FC236}">
                  <a16:creationId xmlns:a16="http://schemas.microsoft.com/office/drawing/2014/main" id="{00000000-0008-0000-07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787400</xdr:colOff>
          <xdr:row>4</xdr:row>
          <xdr:rowOff>0</xdr:rowOff>
        </xdr:from>
        <xdr:to>
          <xdr:col>1</xdr:col>
          <xdr:colOff>2959100</xdr:colOff>
          <xdr:row>5</xdr:row>
          <xdr:rowOff>12700</xdr:rowOff>
        </xdr:to>
        <xdr:sp macro="" textlink="">
          <xdr:nvSpPr>
            <xdr:cNvPr id="60418" name="Option Button 2" hidden="1">
              <a:extLst>
                <a:ext uri="{63B3BB69-23CF-44E3-9099-C40C66FF867C}">
                  <a14:compatExt spid="_x0000_s60418"/>
                </a:ext>
                <a:ext uri="{FF2B5EF4-FFF2-40B4-BE49-F238E27FC236}">
                  <a16:creationId xmlns:a16="http://schemas.microsoft.com/office/drawing/2014/main" id="{00000000-0008-0000-07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185</xdr:row>
      <xdr:rowOff>25400</xdr:rowOff>
    </xdr:from>
    <xdr:to>
      <xdr:col>1</xdr:col>
      <xdr:colOff>827999</xdr:colOff>
      <xdr:row>186</xdr:row>
      <xdr:rowOff>89818</xdr:rowOff>
    </xdr:to>
    <xdr:sp macro="" textlink="">
      <xdr:nvSpPr>
        <xdr:cNvPr id="47" name="Rounded Rectangle 46">
          <a:hlinkClick xmlns:r="http://schemas.openxmlformats.org/officeDocument/2006/relationships" r:id="rId1"/>
          <a:extLst>
            <a:ext uri="{FF2B5EF4-FFF2-40B4-BE49-F238E27FC236}">
              <a16:creationId xmlns:a16="http://schemas.microsoft.com/office/drawing/2014/main" id="{00000000-0008-0000-0700-00002F000000}"/>
            </a:ext>
          </a:extLst>
        </xdr:cNvPr>
        <xdr:cNvSpPr/>
      </xdr:nvSpPr>
      <xdr:spPr>
        <a:xfrm>
          <a:off x="152400" y="31927800"/>
          <a:ext cx="827999"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5</xdr:col>
      <xdr:colOff>1854200</xdr:colOff>
      <xdr:row>3</xdr:row>
      <xdr:rowOff>101600</xdr:rowOff>
    </xdr:from>
    <xdr:to>
      <xdr:col>5</xdr:col>
      <xdr:colOff>4737800</xdr:colOff>
      <xdr:row>4</xdr:row>
      <xdr:rowOff>235700</xdr:rowOff>
    </xdr:to>
    <xdr:sp macro="" textlink="">
      <xdr:nvSpPr>
        <xdr:cNvPr id="48" name="Rounded Rectangle 47">
          <a:hlinkClick xmlns:r="http://schemas.openxmlformats.org/officeDocument/2006/relationships" r:id="rId19"/>
          <a:extLst>
            <a:ext uri="{FF2B5EF4-FFF2-40B4-BE49-F238E27FC236}">
              <a16:creationId xmlns:a16="http://schemas.microsoft.com/office/drawing/2014/main" id="{00000000-0008-0000-0700-000030000000}"/>
            </a:ext>
          </a:extLst>
        </xdr:cNvPr>
        <xdr:cNvSpPr/>
      </xdr:nvSpPr>
      <xdr:spPr>
        <a:xfrm>
          <a:off x="8661400" y="863600"/>
          <a:ext cx="28836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nchorCtr="1"/>
        <a:lstStyle/>
        <a:p>
          <a:pPr algn="ctr"/>
          <a:r>
            <a:rPr lang="en-GB" sz="1300" b="0" i="0">
              <a:solidFill>
                <a:schemeClr val="tx1"/>
              </a:solidFill>
              <a:latin typeface="Arial" panose="020B0604020202020204" pitchFamily="34" charset="0"/>
              <a:cs typeface="Arial" panose="020B0604020202020204" pitchFamily="34" charset="0"/>
            </a:rPr>
            <a:t>MEAL ENTRY WEEK 2</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215900</xdr:colOff>
      <xdr:row>46</xdr:row>
      <xdr:rowOff>63500</xdr:rowOff>
    </xdr:from>
    <xdr:to>
      <xdr:col>0</xdr:col>
      <xdr:colOff>1295900</xdr:colOff>
      <xdr:row>47</xdr:row>
      <xdr:rowOff>102518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15900" y="9525000"/>
          <a:ext cx="1080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8</xdr:col>
      <xdr:colOff>368300</xdr:colOff>
      <xdr:row>2</xdr:row>
      <xdr:rowOff>88900</xdr:rowOff>
    </xdr:from>
    <xdr:to>
      <xdr:col>8</xdr:col>
      <xdr:colOff>3732400</xdr:colOff>
      <xdr:row>4</xdr:row>
      <xdr:rowOff>19900</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0134600" y="482600"/>
          <a:ext cx="3364100" cy="400900"/>
          <a:chOff x="7213600" y="419100"/>
          <a:chExt cx="3376800" cy="464400"/>
        </a:xfrm>
      </xdr:grpSpPr>
      <xdr:sp macro="" textlink="">
        <xdr:nvSpPr>
          <xdr:cNvPr id="9" name="Rounded Rectangle 8">
            <a:extLst>
              <a:ext uri="{FF2B5EF4-FFF2-40B4-BE49-F238E27FC236}">
                <a16:creationId xmlns:a16="http://schemas.microsoft.com/office/drawing/2014/main" id="{00000000-0008-0000-0800-000009000000}"/>
              </a:ext>
            </a:extLst>
          </xdr:cNvPr>
          <xdr:cNvSpPr/>
        </xdr:nvSpPr>
        <xdr:spPr>
          <a:xfrm>
            <a:off x="7213600" y="419100"/>
            <a:ext cx="3376800" cy="4644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ounded Rectangle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7277100" y="482600"/>
            <a:ext cx="3240000" cy="327600"/>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INGREDIENT PRICES</a:t>
            </a:r>
          </a:p>
        </xdr:txBody>
      </xdr:sp>
    </xdr:grpSp>
    <xdr:clientData/>
  </xdr:twoCellAnchor>
  <xdr:twoCellAnchor editAs="oneCell">
    <xdr:from>
      <xdr:col>0</xdr:col>
      <xdr:colOff>101600</xdr:colOff>
      <xdr:row>1</xdr:row>
      <xdr:rowOff>50800</xdr:rowOff>
    </xdr:from>
    <xdr:to>
      <xdr:col>0</xdr:col>
      <xdr:colOff>889000</xdr:colOff>
      <xdr:row>5</xdr:row>
      <xdr:rowOff>228600</xdr:rowOff>
    </xdr:to>
    <xdr:pic>
      <xdr:nvPicPr>
        <xdr:cNvPr id="11" name="Picture 10">
          <a:extLst>
            <a:ext uri="{FF2B5EF4-FFF2-40B4-BE49-F238E27FC236}">
              <a16:creationId xmlns:a16="http://schemas.microsoft.com/office/drawing/2014/main" id="{00000000-0008-0000-0800-00000B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089" t="8904" r="11726" b="7991"/>
        <a:stretch/>
      </xdr:blipFill>
      <xdr:spPr bwMode="auto">
        <a:xfrm>
          <a:off x="101600" y="152400"/>
          <a:ext cx="787400" cy="1066800"/>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1</xdr:col>
          <xdr:colOff>457200</xdr:colOff>
          <xdr:row>2</xdr:row>
          <xdr:rowOff>177800</xdr:rowOff>
        </xdr:from>
        <xdr:to>
          <xdr:col>1</xdr:col>
          <xdr:colOff>2768600</xdr:colOff>
          <xdr:row>4</xdr:row>
          <xdr:rowOff>0</xdr:rowOff>
        </xdr:to>
        <xdr:sp macro="" textlink="">
          <xdr:nvSpPr>
            <xdr:cNvPr id="62465" name="Option Button 1" hidden="1">
              <a:extLst>
                <a:ext uri="{63B3BB69-23CF-44E3-9099-C40C66FF867C}">
                  <a14:compatExt spid="_x0000_s62465"/>
                </a:ext>
                <a:ext uri="{FF2B5EF4-FFF2-40B4-BE49-F238E27FC236}">
                  <a16:creationId xmlns:a16="http://schemas.microsoft.com/office/drawing/2014/main" id="{00000000-0008-0000-08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5</xdr:row>
          <xdr:rowOff>0</xdr:rowOff>
        </xdr:from>
        <xdr:to>
          <xdr:col>1</xdr:col>
          <xdr:colOff>2768600</xdr:colOff>
          <xdr:row>6</xdr:row>
          <xdr:rowOff>25400</xdr:rowOff>
        </xdr:to>
        <xdr:sp macro="" textlink="">
          <xdr:nvSpPr>
            <xdr:cNvPr id="62466" name="Option Button 2" hidden="1">
              <a:extLst>
                <a:ext uri="{63B3BB69-23CF-44E3-9099-C40C66FF867C}">
                  <a14:compatExt spid="_x0000_s62466"/>
                </a:ext>
                <a:ext uri="{FF2B5EF4-FFF2-40B4-BE49-F238E27FC236}">
                  <a16:creationId xmlns:a16="http://schemas.microsoft.com/office/drawing/2014/main" id="{00000000-0008-0000-08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418861</xdr:colOff>
      <xdr:row>5</xdr:row>
      <xdr:rowOff>4017</xdr:rowOff>
    </xdr:from>
    <xdr:to>
      <xdr:col>7</xdr:col>
      <xdr:colOff>1250261</xdr:colOff>
      <xdr:row>5</xdr:row>
      <xdr:rowOff>248817</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800-000010000000}"/>
            </a:ext>
          </a:extLst>
        </xdr:cNvPr>
        <xdr:cNvSpPr/>
      </xdr:nvSpPr>
      <xdr:spPr>
        <a:xfrm>
          <a:off x="5727461" y="994617"/>
          <a:ext cx="3600000" cy="244800"/>
        </a:xfrm>
        <a:prstGeom prst="roundRect">
          <a:avLst>
            <a:gd name="adj" fmla="val 32901"/>
          </a:avLst>
        </a:prstGeom>
        <a:solidFill>
          <a:schemeClr val="bg1"/>
        </a:solidFill>
        <a:ln w="254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RECOMMENDATIONS</a:t>
          </a:r>
        </a:p>
      </xdr:txBody>
    </xdr:sp>
    <xdr:clientData/>
  </xdr:twoCellAnchor>
  <xdr:twoCellAnchor>
    <xdr:from>
      <xdr:col>3</xdr:col>
      <xdr:colOff>419100</xdr:colOff>
      <xdr:row>3</xdr:row>
      <xdr:rowOff>127000</xdr:rowOff>
    </xdr:from>
    <xdr:to>
      <xdr:col>7</xdr:col>
      <xdr:colOff>1250500</xdr:colOff>
      <xdr:row>4</xdr:row>
      <xdr:rowOff>92400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800-000011000000}"/>
            </a:ext>
          </a:extLst>
        </xdr:cNvPr>
        <xdr:cNvSpPr/>
      </xdr:nvSpPr>
      <xdr:spPr>
        <a:xfrm>
          <a:off x="5727700" y="711200"/>
          <a:ext cx="3600000" cy="244800"/>
        </a:xfrm>
        <a:prstGeom prst="roundRect">
          <a:avLst>
            <a:gd name="adj" fmla="val 32901"/>
          </a:avLst>
        </a:prstGeom>
        <a:solidFill>
          <a:schemeClr val="bg1"/>
        </a:solidFill>
        <a:ln w="254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GRAPHS and CHARTS</a:t>
          </a:r>
        </a:p>
      </xdr:txBody>
    </xdr:sp>
    <xdr:clientData/>
  </xdr:twoCellAnchor>
  <xdr:twoCellAnchor>
    <xdr:from>
      <xdr:col>3</xdr:col>
      <xdr:colOff>406400</xdr:colOff>
      <xdr:row>1</xdr:row>
      <xdr:rowOff>50800</xdr:rowOff>
    </xdr:from>
    <xdr:to>
      <xdr:col>7</xdr:col>
      <xdr:colOff>1237800</xdr:colOff>
      <xdr:row>2</xdr:row>
      <xdr:rowOff>3500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800-000012000000}"/>
            </a:ext>
          </a:extLst>
        </xdr:cNvPr>
        <xdr:cNvSpPr/>
      </xdr:nvSpPr>
      <xdr:spPr>
        <a:xfrm>
          <a:off x="5715000" y="152400"/>
          <a:ext cx="3600000" cy="244800"/>
        </a:xfrm>
        <a:prstGeom prst="roundRect">
          <a:avLst>
            <a:gd name="adj" fmla="val 32901"/>
          </a:avLst>
        </a:prstGeom>
        <a:solidFill>
          <a:schemeClr val="bg1"/>
        </a:solidFill>
        <a:ln w="254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MEAL ENTRY WEEK 1</a:t>
          </a:r>
        </a:p>
      </xdr:txBody>
    </xdr:sp>
    <xdr:clientData/>
  </xdr:twoCellAnchor>
  <xdr:twoCellAnchor>
    <xdr:from>
      <xdr:col>3</xdr:col>
      <xdr:colOff>406400</xdr:colOff>
      <xdr:row>2</xdr:row>
      <xdr:rowOff>38100</xdr:rowOff>
    </xdr:from>
    <xdr:to>
      <xdr:col>7</xdr:col>
      <xdr:colOff>1237800</xdr:colOff>
      <xdr:row>3</xdr:row>
      <xdr:rowOff>92400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800-000013000000}"/>
            </a:ext>
          </a:extLst>
        </xdr:cNvPr>
        <xdr:cNvSpPr/>
      </xdr:nvSpPr>
      <xdr:spPr>
        <a:xfrm>
          <a:off x="5715000" y="431800"/>
          <a:ext cx="3600000" cy="244800"/>
        </a:xfrm>
        <a:prstGeom prst="roundRect">
          <a:avLst>
            <a:gd name="adj" fmla="val 32901"/>
          </a:avLst>
        </a:prstGeom>
        <a:solidFill>
          <a:schemeClr val="bg1"/>
        </a:solidFill>
        <a:ln w="254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MEAL ENTRY WEEK 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215900</xdr:colOff>
      <xdr:row>42</xdr:row>
      <xdr:rowOff>190500</xdr:rowOff>
    </xdr:from>
    <xdr:to>
      <xdr:col>0</xdr:col>
      <xdr:colOff>1295900</xdr:colOff>
      <xdr:row>44</xdr:row>
      <xdr:rowOff>26318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15900" y="8915400"/>
          <a:ext cx="1080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Na</a:t>
          </a:r>
          <a:r>
            <a:rPr lang="sr-Latn-RS" sz="1300" b="0" i="0" baseline="0">
              <a:solidFill>
                <a:schemeClr val="tx1"/>
              </a:solidFill>
              <a:latin typeface="Arial" panose="020B0604020202020204" pitchFamily="34" charset="0"/>
              <a:cs typeface="Arial" panose="020B0604020202020204" pitchFamily="34" charset="0"/>
            </a:rPr>
            <a:t> vrh</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50800</xdr:colOff>
      <xdr:row>0</xdr:row>
      <xdr:rowOff>228600</xdr:rowOff>
    </xdr:from>
    <xdr:to>
      <xdr:col>4</xdr:col>
      <xdr:colOff>307800</xdr:colOff>
      <xdr:row>1</xdr:row>
      <xdr:rowOff>163100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a:xfrm>
          <a:off x="4368800" y="228600"/>
          <a:ext cx="1933400" cy="213900"/>
        </a:xfrm>
        <a:prstGeom prst="roundRect">
          <a:avLst>
            <a:gd name="adj" fmla="val 32901"/>
          </a:avLst>
        </a:prstGeom>
        <a:solidFill>
          <a:schemeClr val="bg1"/>
        </a:solid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Sedmica_2_unos_hrane</a:t>
          </a:r>
        </a:p>
      </xdr:txBody>
    </xdr:sp>
    <xdr:clientData/>
  </xdr:twoCellAnchor>
  <xdr:twoCellAnchor>
    <xdr:from>
      <xdr:col>2</xdr:col>
      <xdr:colOff>63500</xdr:colOff>
      <xdr:row>1</xdr:row>
      <xdr:rowOff>165100</xdr:rowOff>
    </xdr:from>
    <xdr:to>
      <xdr:col>4</xdr:col>
      <xdr:colOff>320500</xdr:colOff>
      <xdr:row>2</xdr:row>
      <xdr:rowOff>163100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900-00000E000000}"/>
            </a:ext>
          </a:extLst>
        </xdr:cNvPr>
        <xdr:cNvSpPr/>
      </xdr:nvSpPr>
      <xdr:spPr>
        <a:xfrm>
          <a:off x="4381500" y="444500"/>
          <a:ext cx="1933400" cy="213900"/>
        </a:xfrm>
        <a:prstGeom prst="roundRect">
          <a:avLst>
            <a:gd name="adj" fmla="val 32901"/>
          </a:avLst>
        </a:prstGeom>
        <a:solidFill>
          <a:schemeClr val="bg1"/>
        </a:solid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Sedmica_2_grafici</a:t>
          </a:r>
        </a:p>
      </xdr:txBody>
    </xdr:sp>
    <xdr:clientData/>
  </xdr:twoCellAnchor>
  <xdr:twoCellAnchor>
    <xdr:from>
      <xdr:col>2</xdr:col>
      <xdr:colOff>63500</xdr:colOff>
      <xdr:row>2</xdr:row>
      <xdr:rowOff>165100</xdr:rowOff>
    </xdr:from>
    <xdr:to>
      <xdr:col>4</xdr:col>
      <xdr:colOff>320500</xdr:colOff>
      <xdr:row>3</xdr:row>
      <xdr:rowOff>163100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900-00000F000000}"/>
            </a:ext>
          </a:extLst>
        </xdr:cNvPr>
        <xdr:cNvSpPr/>
      </xdr:nvSpPr>
      <xdr:spPr>
        <a:xfrm>
          <a:off x="4381500" y="660400"/>
          <a:ext cx="1933400" cy="213900"/>
        </a:xfrm>
        <a:prstGeom prst="roundRect">
          <a:avLst>
            <a:gd name="adj" fmla="val 32901"/>
          </a:avLst>
        </a:prstGeom>
        <a:solidFill>
          <a:schemeClr val="bg1"/>
        </a:solid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Sedmica_2_preporuke</a:t>
          </a:r>
        </a:p>
      </xdr:txBody>
    </xdr:sp>
    <xdr:clientData/>
  </xdr:twoCellAnchor>
  <xdr:twoCellAnchor>
    <xdr:from>
      <xdr:col>2</xdr:col>
      <xdr:colOff>63500</xdr:colOff>
      <xdr:row>3</xdr:row>
      <xdr:rowOff>165100</xdr:rowOff>
    </xdr:from>
    <xdr:to>
      <xdr:col>4</xdr:col>
      <xdr:colOff>320500</xdr:colOff>
      <xdr:row>4</xdr:row>
      <xdr:rowOff>163100</xdr:rowOff>
    </xdr:to>
    <xdr:sp macro="" textlink="">
      <xdr:nvSpPr>
        <xdr:cNvPr id="16" name="Rounded Rectangle 15">
          <a:hlinkClick xmlns:r="http://schemas.openxmlformats.org/officeDocument/2006/relationships" r:id="rId1"/>
          <a:extLst>
            <a:ext uri="{FF2B5EF4-FFF2-40B4-BE49-F238E27FC236}">
              <a16:creationId xmlns:a16="http://schemas.microsoft.com/office/drawing/2014/main" id="{00000000-0008-0000-0900-000010000000}"/>
            </a:ext>
          </a:extLst>
        </xdr:cNvPr>
        <xdr:cNvSpPr/>
      </xdr:nvSpPr>
      <xdr:spPr>
        <a:xfrm>
          <a:off x="4381500" y="876300"/>
          <a:ext cx="1933400" cy="213900"/>
        </a:xfrm>
        <a:prstGeom prst="roundRect">
          <a:avLst>
            <a:gd name="adj" fmla="val 32901"/>
          </a:avLst>
        </a:prstGeom>
        <a:solidFill>
          <a:schemeClr val="bg1"/>
        </a:solid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Sedmica</a:t>
          </a:r>
          <a:r>
            <a:rPr lang="en-GB" sz="1300" b="0" i="0" baseline="0">
              <a:solidFill>
                <a:schemeClr val="tx1"/>
              </a:solidFill>
              <a:latin typeface="Arial" panose="020B0604020202020204" pitchFamily="34" charset="0"/>
              <a:cs typeface="Arial" panose="020B0604020202020204" pitchFamily="34" charset="0"/>
            </a:rPr>
            <a:t> 2 količina namirnica</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63500</xdr:colOff>
      <xdr:row>4</xdr:row>
      <xdr:rowOff>165100</xdr:rowOff>
    </xdr:from>
    <xdr:to>
      <xdr:col>4</xdr:col>
      <xdr:colOff>320500</xdr:colOff>
      <xdr:row>5</xdr:row>
      <xdr:rowOff>163100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900-000011000000}"/>
            </a:ext>
          </a:extLst>
        </xdr:cNvPr>
        <xdr:cNvSpPr/>
      </xdr:nvSpPr>
      <xdr:spPr>
        <a:xfrm>
          <a:off x="15379700" y="1155700"/>
          <a:ext cx="1908000" cy="252000"/>
        </a:xfrm>
        <a:prstGeom prst="roundRect">
          <a:avLst>
            <a:gd name="adj" fmla="val 32901"/>
          </a:avLst>
        </a:prstGeom>
        <a:solidFill>
          <a:schemeClr val="bg1"/>
        </a:solid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54000" tIns="61200" rtlCol="0" anchor="ctr"/>
        <a:lstStyle/>
        <a:p>
          <a:pPr algn="l"/>
          <a:r>
            <a:rPr lang="en-GB" sz="1300" b="0" i="0">
              <a:solidFill>
                <a:schemeClr val="tx1"/>
              </a:solidFill>
              <a:latin typeface="Arial" panose="020B0604020202020204" pitchFamily="34" charset="0"/>
              <a:cs typeface="Arial" panose="020B0604020202020204" pitchFamily="34" charset="0"/>
            </a:rPr>
            <a:t>Sedmica</a:t>
          </a:r>
          <a:r>
            <a:rPr lang="en-GB" sz="1300" b="0" i="0" baseline="0">
              <a:solidFill>
                <a:schemeClr val="tx1"/>
              </a:solidFill>
              <a:latin typeface="Arial" panose="020B0604020202020204" pitchFamily="34" charset="0"/>
              <a:cs typeface="Arial" panose="020B0604020202020204" pitchFamily="34" charset="0"/>
            </a:rPr>
            <a:t>_2_detaljne_analize</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8</xdr:col>
      <xdr:colOff>393700</xdr:colOff>
      <xdr:row>2</xdr:row>
      <xdr:rowOff>165100</xdr:rowOff>
    </xdr:from>
    <xdr:to>
      <xdr:col>8</xdr:col>
      <xdr:colOff>3757800</xdr:colOff>
      <xdr:row>4</xdr:row>
      <xdr:rowOff>170600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10160000" y="647700"/>
          <a:ext cx="3364100" cy="399200"/>
          <a:chOff x="7213600" y="419100"/>
          <a:chExt cx="3376800" cy="464400"/>
        </a:xfrm>
      </xdr:grpSpPr>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7213600" y="419100"/>
            <a:ext cx="3376800" cy="4644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Rounded Rectangle 19">
            <a:hlinkClick xmlns:r="http://schemas.openxmlformats.org/officeDocument/2006/relationships" r:id="rId6"/>
            <a:extLst>
              <a:ext uri="{FF2B5EF4-FFF2-40B4-BE49-F238E27FC236}">
                <a16:creationId xmlns:a16="http://schemas.microsoft.com/office/drawing/2014/main" id="{00000000-0008-0000-0900-000014000000}"/>
              </a:ext>
            </a:extLst>
          </xdr:cNvPr>
          <xdr:cNvSpPr/>
        </xdr:nvSpPr>
        <xdr:spPr>
          <a:xfrm>
            <a:off x="7277100" y="482600"/>
            <a:ext cx="3240000" cy="327600"/>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Kliknite za CENE SASTOJAKA</a:t>
            </a:r>
          </a:p>
        </xdr:txBody>
      </xdr:sp>
    </xdr:grpSp>
    <xdr:clientData/>
  </xdr:twoCellAnchor>
  <xdr:twoCellAnchor editAs="oneCell">
    <xdr:from>
      <xdr:col>0</xdr:col>
      <xdr:colOff>0</xdr:colOff>
      <xdr:row>1</xdr:row>
      <xdr:rowOff>50800</xdr:rowOff>
    </xdr:from>
    <xdr:to>
      <xdr:col>0</xdr:col>
      <xdr:colOff>787400</xdr:colOff>
      <xdr:row>6</xdr:row>
      <xdr:rowOff>38100</xdr:rowOff>
    </xdr:to>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089" t="8904" r="11726" b="7991"/>
        <a:stretch/>
      </xdr:blipFill>
      <xdr:spPr bwMode="auto">
        <a:xfrm>
          <a:off x="0" y="317500"/>
          <a:ext cx="787400" cy="1066800"/>
        </a:xfrm>
        <a:prstGeom prst="rect">
          <a:avLst/>
        </a:prstGeom>
        <a:solidFill>
          <a:schemeClr val="bg1"/>
        </a:solid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1</xdr:row>
      <xdr:rowOff>0</xdr:rowOff>
    </xdr:from>
    <xdr:to>
      <xdr:col>17</xdr:col>
      <xdr:colOff>107950</xdr:colOff>
      <xdr:row>42</xdr:row>
      <xdr:rowOff>50800</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102</xdr:row>
      <xdr:rowOff>88900</xdr:rowOff>
    </xdr:from>
    <xdr:to>
      <xdr:col>8</xdr:col>
      <xdr:colOff>476250</xdr:colOff>
      <xdr:row>143</xdr:row>
      <xdr:rowOff>139700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165100</xdr:colOff>
      <xdr:row>0</xdr:row>
      <xdr:rowOff>63500</xdr:rowOff>
    </xdr:from>
    <xdr:to>
      <xdr:col>4</xdr:col>
      <xdr:colOff>12400</xdr:colOff>
      <xdr:row>0</xdr:row>
      <xdr:rowOff>581900</xdr:rowOff>
    </xdr:to>
    <xdr:sp macro="" textlink="">
      <xdr:nvSpPr>
        <xdr:cNvPr id="9" name="Rounded Rectangle 8">
          <a:extLst>
            <a:ext uri="{FF2B5EF4-FFF2-40B4-BE49-F238E27FC236}">
              <a16:creationId xmlns:a16="http://schemas.microsoft.com/office/drawing/2014/main" id="{00000000-0008-0000-0300-000009000000}"/>
            </a:ext>
          </a:extLst>
        </xdr:cNvPr>
        <xdr:cNvSpPr/>
      </xdr:nvSpPr>
      <xdr:spPr>
        <a:xfrm>
          <a:off x="990600" y="63500"/>
          <a:ext cx="26032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241300</xdr:colOff>
      <xdr:row>0</xdr:row>
      <xdr:rowOff>139700</xdr:rowOff>
    </xdr:from>
    <xdr:to>
      <xdr:col>3</xdr:col>
      <xdr:colOff>1044000</xdr:colOff>
      <xdr:row>0</xdr:row>
      <xdr:rowOff>524900</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1066800" y="139700"/>
          <a:ext cx="24664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0" i="0">
              <a:solidFill>
                <a:schemeClr val="tx1"/>
              </a:solidFill>
              <a:latin typeface="Arial" panose="020B0604020202020204" pitchFamily="34" charset="0"/>
              <a:cs typeface="Arial" panose="020B0604020202020204" pitchFamily="34" charset="0"/>
            </a:rPr>
            <a:t>Meal entry completed</a:t>
          </a:r>
        </a:p>
      </xdr:txBody>
    </xdr:sp>
    <xdr:clientData/>
  </xdr:twoCellAnchor>
  <xdr:twoCellAnchor>
    <xdr:from>
      <xdr:col>7</xdr:col>
      <xdr:colOff>457200</xdr:colOff>
      <xdr:row>0</xdr:row>
      <xdr:rowOff>63500</xdr:rowOff>
    </xdr:from>
    <xdr:to>
      <xdr:col>7</xdr:col>
      <xdr:colOff>3009600</xdr:colOff>
      <xdr:row>0</xdr:row>
      <xdr:rowOff>581900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9241367" y="63500"/>
          <a:ext cx="2552400" cy="518400"/>
          <a:chOff x="3073400" y="63500"/>
          <a:chExt cx="2552400" cy="518400"/>
        </a:xfrm>
      </xdr:grpSpPr>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21" name="Rounded Rectangle 20">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0" i="0">
                <a:solidFill>
                  <a:schemeClr val="tx1"/>
                </a:solidFill>
                <a:latin typeface="Arial" panose="020B0604020202020204" pitchFamily="34" charset="0"/>
                <a:cs typeface="Arial" panose="020B0604020202020204" pitchFamily="34" charset="0"/>
              </a:rPr>
              <a:t>Click for Ingredient_prices</a:t>
            </a:r>
          </a:p>
        </xdr:txBody>
      </xdr:sp>
    </xdr:grpSp>
    <xdr:clientData/>
  </xdr:twoCellAnchor>
  <xdr:twoCellAnchor>
    <xdr:from>
      <xdr:col>6</xdr:col>
      <xdr:colOff>38100</xdr:colOff>
      <xdr:row>0</xdr:row>
      <xdr:rowOff>63500</xdr:rowOff>
    </xdr:from>
    <xdr:to>
      <xdr:col>7</xdr:col>
      <xdr:colOff>241000</xdr:colOff>
      <xdr:row>0</xdr:row>
      <xdr:rowOff>581900</xdr:rowOff>
    </xdr:to>
    <xdr:grpSp>
      <xdr:nvGrpSpPr>
        <xdr:cNvPr id="23" name="Group 22">
          <a:hlinkClick xmlns:r="http://schemas.openxmlformats.org/officeDocument/2006/relationships" r:id="rId3"/>
          <a:extLst>
            <a:ext uri="{FF2B5EF4-FFF2-40B4-BE49-F238E27FC236}">
              <a16:creationId xmlns:a16="http://schemas.microsoft.com/office/drawing/2014/main" id="{00000000-0008-0000-0300-000017000000}"/>
            </a:ext>
          </a:extLst>
        </xdr:cNvPr>
        <xdr:cNvGrpSpPr/>
      </xdr:nvGrpSpPr>
      <xdr:grpSpPr>
        <a:xfrm>
          <a:off x="6430433" y="63500"/>
          <a:ext cx="2594734" cy="518400"/>
          <a:chOff x="3073400" y="63500"/>
          <a:chExt cx="2552400" cy="518400"/>
        </a:xfrm>
      </xdr:grpSpPr>
      <xdr:sp macro="" textlink="">
        <xdr:nvSpPr>
          <xdr:cNvPr id="24" name="Rounded Rectangle 23">
            <a:extLst>
              <a:ext uri="{FF2B5EF4-FFF2-40B4-BE49-F238E27FC236}">
                <a16:creationId xmlns:a16="http://schemas.microsoft.com/office/drawing/2014/main" id="{00000000-0008-0000-0300-000018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25" name="Rounded Rectangle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0" i="0">
                <a:solidFill>
                  <a:schemeClr val="tx1"/>
                </a:solidFill>
                <a:latin typeface="Arial" panose="020B0604020202020204" pitchFamily="34" charset="0"/>
                <a:cs typeface="Arial" panose="020B0604020202020204" pitchFamily="34" charset="0"/>
              </a:rPr>
              <a:t>Click for Recommendations</a:t>
            </a:r>
          </a:p>
        </xdr:txBody>
      </xdr:sp>
    </xdr:grpSp>
    <xdr:clientData/>
  </xdr:twoCellAnchor>
  <xdr:twoCellAnchor>
    <xdr:from>
      <xdr:col>4</xdr:col>
      <xdr:colOff>215900</xdr:colOff>
      <xdr:row>0</xdr:row>
      <xdr:rowOff>63500</xdr:rowOff>
    </xdr:from>
    <xdr:to>
      <xdr:col>5</xdr:col>
      <xdr:colOff>1777700</xdr:colOff>
      <xdr:row>0</xdr:row>
      <xdr:rowOff>581900</xdr:rowOff>
    </xdr:to>
    <xdr:grpSp>
      <xdr:nvGrpSpPr>
        <xdr:cNvPr id="16" name="Group 15">
          <a:hlinkClick xmlns:r="http://schemas.openxmlformats.org/officeDocument/2006/relationships" r:id="rId3"/>
          <a:extLst>
            <a:ext uri="{FF2B5EF4-FFF2-40B4-BE49-F238E27FC236}">
              <a16:creationId xmlns:a16="http://schemas.microsoft.com/office/drawing/2014/main" id="{00000000-0008-0000-0300-000010000000}"/>
            </a:ext>
          </a:extLst>
        </xdr:cNvPr>
        <xdr:cNvGrpSpPr/>
      </xdr:nvGrpSpPr>
      <xdr:grpSpPr>
        <a:xfrm>
          <a:off x="3687233" y="63500"/>
          <a:ext cx="2567217" cy="518400"/>
          <a:chOff x="3073400" y="63500"/>
          <a:chExt cx="2552400" cy="518400"/>
        </a:xfrm>
      </xdr:grpSpPr>
      <xdr:sp macro="" textlink="">
        <xdr:nvSpPr>
          <xdr:cNvPr id="17" name="Rounded Rectangle 16">
            <a:extLst>
              <a:ext uri="{FF2B5EF4-FFF2-40B4-BE49-F238E27FC236}">
                <a16:creationId xmlns:a16="http://schemas.microsoft.com/office/drawing/2014/main" id="{00000000-0008-0000-0300-000011000000}"/>
              </a:ext>
            </a:extLst>
          </xdr:cNvPr>
          <xdr:cNvSpPr/>
        </xdr:nvSpPr>
        <xdr:spPr>
          <a:xfrm>
            <a:off x="3073400" y="63500"/>
            <a:ext cx="2552400" cy="518400"/>
          </a:xfrm>
          <a:prstGeom prst="roundRect">
            <a:avLst>
              <a:gd name="adj" fmla="val 32901"/>
            </a:avLst>
          </a:prstGeom>
          <a:solidFill>
            <a:schemeClr val="bg1"/>
          </a:solidFill>
          <a:ln w="317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0" i="0">
              <a:solidFill>
                <a:schemeClr val="tx1"/>
              </a:solidFill>
              <a:latin typeface="Arial" panose="020B0604020202020204" pitchFamily="34" charset="0"/>
              <a:cs typeface="Arial" panose="020B0604020202020204" pitchFamily="34" charset="0"/>
            </a:endParaRPr>
          </a:p>
        </xdr:txBody>
      </xdr:sp>
      <xdr:sp macro="" textlink="">
        <xdr:nvSpPr>
          <xdr:cNvPr id="18" name="Rounded Rectangle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3149600" y="139700"/>
            <a:ext cx="2415600" cy="3852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lang="en-GB" sz="1400" b="0" i="0">
                <a:solidFill>
                  <a:schemeClr val="tx1"/>
                </a:solidFill>
                <a:latin typeface="Arial" panose="020B0604020202020204" pitchFamily="34" charset="0"/>
                <a:cs typeface="Arial" panose="020B0604020202020204" pitchFamily="34" charset="0"/>
              </a:rPr>
              <a:t>Click for Ingredient quantities</a:t>
            </a:r>
          </a:p>
        </xdr:txBody>
      </xdr:sp>
    </xdr:grpSp>
    <xdr:clientData/>
  </xdr:twoCellAnchor>
  <xdr:twoCellAnchor editAs="oneCell">
    <xdr:from>
      <xdr:col>0</xdr:col>
      <xdr:colOff>0</xdr:colOff>
      <xdr:row>0</xdr:row>
      <xdr:rowOff>0</xdr:rowOff>
    </xdr:from>
    <xdr:to>
      <xdr:col>1</xdr:col>
      <xdr:colOff>0</xdr:colOff>
      <xdr:row>3</xdr:row>
      <xdr:rowOff>101600</xdr:rowOff>
    </xdr:to>
    <xdr:pic>
      <xdr:nvPicPr>
        <xdr:cNvPr id="26" name="Picture 25">
          <a:extLst>
            <a:ext uri="{FF2B5EF4-FFF2-40B4-BE49-F238E27FC236}">
              <a16:creationId xmlns:a16="http://schemas.microsoft.com/office/drawing/2014/main" id="{00000000-0008-0000-0300-00001A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089" t="8904" r="11726" b="7991"/>
        <a:stretch/>
      </xdr:blipFill>
      <xdr:spPr bwMode="auto">
        <a:xfrm>
          <a:off x="0" y="0"/>
          <a:ext cx="787400" cy="1066800"/>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6</xdr:col>
          <xdr:colOff>25400</xdr:colOff>
          <xdr:row>2</xdr:row>
          <xdr:rowOff>127000</xdr:rowOff>
        </xdr:from>
        <xdr:to>
          <xdr:col>6</xdr:col>
          <xdr:colOff>711200</xdr:colOff>
          <xdr:row>3</xdr:row>
          <xdr:rowOff>114300</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2</xdr:row>
          <xdr:rowOff>127000</xdr:rowOff>
        </xdr:from>
        <xdr:to>
          <xdr:col>6</xdr:col>
          <xdr:colOff>1562100</xdr:colOff>
          <xdr:row>3</xdr:row>
          <xdr:rowOff>127000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1473200</xdr:colOff>
      <xdr:row>1</xdr:row>
      <xdr:rowOff>25400</xdr:rowOff>
    </xdr:from>
    <xdr:to>
      <xdr:col>7</xdr:col>
      <xdr:colOff>400</xdr:colOff>
      <xdr:row>4</xdr:row>
      <xdr:rowOff>76200</xdr:rowOff>
    </xdr:to>
    <xdr:sp macro="" textlink="">
      <xdr:nvSpPr>
        <xdr:cNvPr id="33" name="Rectangle 32">
          <a:extLst>
            <a:ext uri="{FF2B5EF4-FFF2-40B4-BE49-F238E27FC236}">
              <a16:creationId xmlns:a16="http://schemas.microsoft.com/office/drawing/2014/main" id="{00000000-0008-0000-0300-000021000000}"/>
            </a:ext>
          </a:extLst>
        </xdr:cNvPr>
        <xdr:cNvSpPr/>
      </xdr:nvSpPr>
      <xdr:spPr>
        <a:xfrm>
          <a:off x="8039100" y="647700"/>
          <a:ext cx="864000" cy="6477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6</xdr:col>
          <xdr:colOff>25400</xdr:colOff>
          <xdr:row>2</xdr:row>
          <xdr:rowOff>127000</xdr:rowOff>
        </xdr:from>
        <xdr:to>
          <xdr:col>6</xdr:col>
          <xdr:colOff>711200</xdr:colOff>
          <xdr:row>3</xdr:row>
          <xdr:rowOff>114300</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2</xdr:row>
          <xdr:rowOff>127000</xdr:rowOff>
        </xdr:from>
        <xdr:to>
          <xdr:col>6</xdr:col>
          <xdr:colOff>1562100</xdr:colOff>
          <xdr:row>3</xdr:row>
          <xdr:rowOff>127000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1473200</xdr:colOff>
      <xdr:row>1</xdr:row>
      <xdr:rowOff>25400</xdr:rowOff>
    </xdr:from>
    <xdr:to>
      <xdr:col>7</xdr:col>
      <xdr:colOff>400</xdr:colOff>
      <xdr:row>4</xdr:row>
      <xdr:rowOff>76200</xdr:rowOff>
    </xdr:to>
    <xdr:sp macro="" textlink="">
      <xdr:nvSpPr>
        <xdr:cNvPr id="54" name="Rectangle 53">
          <a:extLst>
            <a:ext uri="{FF2B5EF4-FFF2-40B4-BE49-F238E27FC236}">
              <a16:creationId xmlns:a16="http://schemas.microsoft.com/office/drawing/2014/main" id="{00000000-0008-0000-0300-000036000000}"/>
            </a:ext>
          </a:extLst>
        </xdr:cNvPr>
        <xdr:cNvSpPr/>
      </xdr:nvSpPr>
      <xdr:spPr>
        <a:xfrm>
          <a:off x="7874000" y="647700"/>
          <a:ext cx="914800" cy="6477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25400</xdr:colOff>
      <xdr:row>450</xdr:row>
      <xdr:rowOff>127000</xdr:rowOff>
    </xdr:from>
    <xdr:to>
      <xdr:col>1</xdr:col>
      <xdr:colOff>102000</xdr:colOff>
      <xdr:row>452</xdr:row>
      <xdr:rowOff>918</xdr:rowOff>
    </xdr:to>
    <xdr:sp macro="" textlink="">
      <xdr:nvSpPr>
        <xdr:cNvPr id="55" name="Rounded Rectangle 54">
          <a:hlinkClick xmlns:r="http://schemas.openxmlformats.org/officeDocument/2006/relationships" r:id="rId7"/>
          <a:extLst>
            <a:ext uri="{FF2B5EF4-FFF2-40B4-BE49-F238E27FC236}">
              <a16:creationId xmlns:a16="http://schemas.microsoft.com/office/drawing/2014/main" id="{00000000-0008-0000-0300-000037000000}"/>
            </a:ext>
          </a:extLst>
        </xdr:cNvPr>
        <xdr:cNvSpPr/>
      </xdr:nvSpPr>
      <xdr:spPr>
        <a:xfrm>
          <a:off x="25400" y="951103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404</xdr:row>
      <xdr:rowOff>114300</xdr:rowOff>
    </xdr:from>
    <xdr:to>
      <xdr:col>1</xdr:col>
      <xdr:colOff>102000</xdr:colOff>
      <xdr:row>405</xdr:row>
      <xdr:rowOff>178718</xdr:rowOff>
    </xdr:to>
    <xdr:sp macro="" textlink="">
      <xdr:nvSpPr>
        <xdr:cNvPr id="56" name="Rounded Rectangle 55">
          <a:hlinkClick xmlns:r="http://schemas.openxmlformats.org/officeDocument/2006/relationships" r:id="rId7"/>
          <a:extLst>
            <a:ext uri="{FF2B5EF4-FFF2-40B4-BE49-F238E27FC236}">
              <a16:creationId xmlns:a16="http://schemas.microsoft.com/office/drawing/2014/main" id="{00000000-0008-0000-0300-000038000000}"/>
            </a:ext>
          </a:extLst>
        </xdr:cNvPr>
        <xdr:cNvSpPr/>
      </xdr:nvSpPr>
      <xdr:spPr>
        <a:xfrm>
          <a:off x="25400" y="854202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351</xdr:row>
      <xdr:rowOff>127000</xdr:rowOff>
    </xdr:from>
    <xdr:to>
      <xdr:col>1</xdr:col>
      <xdr:colOff>102000</xdr:colOff>
      <xdr:row>353</xdr:row>
      <xdr:rowOff>918</xdr:rowOff>
    </xdr:to>
    <xdr:sp macro="" textlink="">
      <xdr:nvSpPr>
        <xdr:cNvPr id="57" name="Rounded Rectangle 56">
          <a:hlinkClick xmlns:r="http://schemas.openxmlformats.org/officeDocument/2006/relationships" r:id="rId7"/>
          <a:extLst>
            <a:ext uri="{FF2B5EF4-FFF2-40B4-BE49-F238E27FC236}">
              <a16:creationId xmlns:a16="http://schemas.microsoft.com/office/drawing/2014/main" id="{00000000-0008-0000-0300-000039000000}"/>
            </a:ext>
          </a:extLst>
        </xdr:cNvPr>
        <xdr:cNvSpPr/>
      </xdr:nvSpPr>
      <xdr:spPr>
        <a:xfrm>
          <a:off x="25400" y="744347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305</xdr:row>
      <xdr:rowOff>127000</xdr:rowOff>
    </xdr:from>
    <xdr:to>
      <xdr:col>1</xdr:col>
      <xdr:colOff>102000</xdr:colOff>
      <xdr:row>307</xdr:row>
      <xdr:rowOff>918</xdr:rowOff>
    </xdr:to>
    <xdr:sp macro="" textlink="">
      <xdr:nvSpPr>
        <xdr:cNvPr id="58" name="Rounded Rectangle 57">
          <a:hlinkClick xmlns:r="http://schemas.openxmlformats.org/officeDocument/2006/relationships" r:id="rId7"/>
          <a:extLst>
            <a:ext uri="{FF2B5EF4-FFF2-40B4-BE49-F238E27FC236}">
              <a16:creationId xmlns:a16="http://schemas.microsoft.com/office/drawing/2014/main" id="{00000000-0008-0000-0300-00003A000000}"/>
            </a:ext>
          </a:extLst>
        </xdr:cNvPr>
        <xdr:cNvSpPr/>
      </xdr:nvSpPr>
      <xdr:spPr>
        <a:xfrm>
          <a:off x="25400" y="647573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252</xdr:row>
      <xdr:rowOff>127000</xdr:rowOff>
    </xdr:from>
    <xdr:to>
      <xdr:col>1</xdr:col>
      <xdr:colOff>102000</xdr:colOff>
      <xdr:row>253</xdr:row>
      <xdr:rowOff>191418</xdr:rowOff>
    </xdr:to>
    <xdr:sp macro="" textlink="">
      <xdr:nvSpPr>
        <xdr:cNvPr id="59" name="Rounded Rectangle 58">
          <a:hlinkClick xmlns:r="http://schemas.openxmlformats.org/officeDocument/2006/relationships" r:id="rId7"/>
          <a:extLst>
            <a:ext uri="{FF2B5EF4-FFF2-40B4-BE49-F238E27FC236}">
              <a16:creationId xmlns:a16="http://schemas.microsoft.com/office/drawing/2014/main" id="{00000000-0008-0000-0300-00003B000000}"/>
            </a:ext>
          </a:extLst>
        </xdr:cNvPr>
        <xdr:cNvSpPr/>
      </xdr:nvSpPr>
      <xdr:spPr>
        <a:xfrm>
          <a:off x="25400" y="537337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206</xdr:row>
      <xdr:rowOff>127000</xdr:rowOff>
    </xdr:from>
    <xdr:to>
      <xdr:col>1</xdr:col>
      <xdr:colOff>102000</xdr:colOff>
      <xdr:row>207</xdr:row>
      <xdr:rowOff>191418</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25400" y="440309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153</xdr:row>
      <xdr:rowOff>127000</xdr:rowOff>
    </xdr:from>
    <xdr:to>
      <xdr:col>1</xdr:col>
      <xdr:colOff>102000</xdr:colOff>
      <xdr:row>154</xdr:row>
      <xdr:rowOff>191418</xdr:rowOff>
    </xdr:to>
    <xdr:sp macro="" textlink="">
      <xdr:nvSpPr>
        <xdr:cNvPr id="61" name="Rounded Rectangle 60">
          <a:hlinkClick xmlns:r="http://schemas.openxmlformats.org/officeDocument/2006/relationships" r:id="rId7"/>
          <a:extLst>
            <a:ext uri="{FF2B5EF4-FFF2-40B4-BE49-F238E27FC236}">
              <a16:creationId xmlns:a16="http://schemas.microsoft.com/office/drawing/2014/main" id="{00000000-0008-0000-0300-00003D000000}"/>
            </a:ext>
          </a:extLst>
        </xdr:cNvPr>
        <xdr:cNvSpPr/>
      </xdr:nvSpPr>
      <xdr:spPr>
        <a:xfrm>
          <a:off x="25400" y="330073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107</xdr:row>
      <xdr:rowOff>127000</xdr:rowOff>
    </xdr:from>
    <xdr:to>
      <xdr:col>1</xdr:col>
      <xdr:colOff>102000</xdr:colOff>
      <xdr:row>108</xdr:row>
      <xdr:rowOff>191418</xdr:rowOff>
    </xdr:to>
    <xdr:sp macro="" textlink="">
      <xdr:nvSpPr>
        <xdr:cNvPr id="62" name="Rounded Rectangle 61">
          <a:hlinkClick xmlns:r="http://schemas.openxmlformats.org/officeDocument/2006/relationships" r:id="rId7"/>
          <a:extLst>
            <a:ext uri="{FF2B5EF4-FFF2-40B4-BE49-F238E27FC236}">
              <a16:creationId xmlns:a16="http://schemas.microsoft.com/office/drawing/2014/main" id="{00000000-0008-0000-0300-00003E000000}"/>
            </a:ext>
          </a:extLst>
        </xdr:cNvPr>
        <xdr:cNvSpPr/>
      </xdr:nvSpPr>
      <xdr:spPr>
        <a:xfrm>
          <a:off x="25400" y="233045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54</xdr:row>
      <xdr:rowOff>127000</xdr:rowOff>
    </xdr:from>
    <xdr:to>
      <xdr:col>1</xdr:col>
      <xdr:colOff>102000</xdr:colOff>
      <xdr:row>55</xdr:row>
      <xdr:rowOff>191418</xdr:rowOff>
    </xdr:to>
    <xdr:sp macro="" textlink="">
      <xdr:nvSpPr>
        <xdr:cNvPr id="63" name="Rounded Rectangle 62">
          <a:hlinkClick xmlns:r="http://schemas.openxmlformats.org/officeDocument/2006/relationships" r:id="rId7"/>
          <a:extLst>
            <a:ext uri="{FF2B5EF4-FFF2-40B4-BE49-F238E27FC236}">
              <a16:creationId xmlns:a16="http://schemas.microsoft.com/office/drawing/2014/main" id="{00000000-0008-0000-0300-00003F000000}"/>
            </a:ext>
          </a:extLst>
        </xdr:cNvPr>
        <xdr:cNvSpPr/>
      </xdr:nvSpPr>
      <xdr:spPr>
        <a:xfrm>
          <a:off x="25400" y="12344400"/>
          <a:ext cx="864000" cy="2422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25400</xdr:colOff>
      <xdr:row>502</xdr:row>
      <xdr:rowOff>127000</xdr:rowOff>
    </xdr:from>
    <xdr:to>
      <xdr:col>1</xdr:col>
      <xdr:colOff>102000</xdr:colOff>
      <xdr:row>504</xdr:row>
      <xdr:rowOff>7100</xdr:rowOff>
    </xdr:to>
    <xdr:sp macro="" textlink="">
      <xdr:nvSpPr>
        <xdr:cNvPr id="64" name="Rounded Rectangle 63">
          <a:hlinkClick xmlns:r="http://schemas.openxmlformats.org/officeDocument/2006/relationships" r:id="rId7"/>
          <a:extLst>
            <a:ext uri="{FF2B5EF4-FFF2-40B4-BE49-F238E27FC236}">
              <a16:creationId xmlns:a16="http://schemas.microsoft.com/office/drawing/2014/main" id="{00000000-0008-0000-0300-000040000000}"/>
            </a:ext>
          </a:extLst>
        </xdr:cNvPr>
        <xdr:cNvSpPr/>
      </xdr:nvSpPr>
      <xdr:spPr>
        <a:xfrm>
          <a:off x="25400" y="105981500"/>
          <a:ext cx="864000" cy="248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chemeClr val="tx1"/>
              </a:solidFill>
              <a:latin typeface="Arial" panose="020B0604020202020204" pitchFamily="34" charset="0"/>
              <a:cs typeface="Arial" panose="020B0604020202020204" pitchFamily="34" charset="0"/>
            </a:rPr>
            <a:t>To</a:t>
          </a:r>
          <a:r>
            <a:rPr lang="sr-Latn-RS" sz="1300" b="0" i="0" baseline="0">
              <a:solidFill>
                <a:schemeClr val="tx1"/>
              </a:solidFill>
              <a:latin typeface="Arial" panose="020B0604020202020204" pitchFamily="34" charset="0"/>
              <a:cs typeface="Arial" panose="020B0604020202020204" pitchFamily="34" charset="0"/>
            </a:rPr>
            <a:t> the top</a:t>
          </a:r>
          <a:endParaRPr lang="en-GB" sz="1300" b="0" i="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863598</xdr:colOff>
      <xdr:row>61</xdr:row>
      <xdr:rowOff>165099</xdr:rowOff>
    </xdr:from>
    <xdr:to>
      <xdr:col>11</xdr:col>
      <xdr:colOff>330497</xdr:colOff>
      <xdr:row>85</xdr:row>
      <xdr:rowOff>12700</xdr:rowOff>
    </xdr:to>
    <xdr:sp macro="" textlink="">
      <xdr:nvSpPr>
        <xdr:cNvPr id="115" name="Rectangle 114">
          <a:extLst>
            <a:ext uri="{FF2B5EF4-FFF2-40B4-BE49-F238E27FC236}">
              <a16:creationId xmlns:a16="http://schemas.microsoft.com/office/drawing/2014/main" id="{00000000-0008-0000-0400-000073000000}"/>
            </a:ext>
          </a:extLst>
        </xdr:cNvPr>
        <xdr:cNvSpPr/>
      </xdr:nvSpPr>
      <xdr:spPr>
        <a:xfrm flipH="1">
          <a:off x="11353798" y="9055099"/>
          <a:ext cx="546399" cy="45339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165100</xdr:colOff>
      <xdr:row>13</xdr:row>
      <xdr:rowOff>114300</xdr:rowOff>
    </xdr:from>
    <xdr:to>
      <xdr:col>11</xdr:col>
      <xdr:colOff>914400</xdr:colOff>
      <xdr:row>14</xdr:row>
      <xdr:rowOff>203200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flipH="1">
          <a:off x="5994400" y="2755900"/>
          <a:ext cx="6502400" cy="355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457196</xdr:colOff>
      <xdr:row>61</xdr:row>
      <xdr:rowOff>88900</xdr:rowOff>
    </xdr:from>
    <xdr:to>
      <xdr:col>7</xdr:col>
      <xdr:colOff>698500</xdr:colOff>
      <xdr:row>84</xdr:row>
      <xdr:rowOff>139700</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flipH="1">
          <a:off x="6502396" y="8978900"/>
          <a:ext cx="1409704" cy="4559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4</xdr:col>
          <xdr:colOff>114300</xdr:colOff>
          <xdr:row>2</xdr:row>
          <xdr:rowOff>0</xdr:rowOff>
        </xdr:from>
        <xdr:to>
          <xdr:col>4</xdr:col>
          <xdr:colOff>1193800</xdr:colOff>
          <xdr:row>3</xdr:row>
          <xdr:rowOff>12700</xdr:rowOff>
        </xdr:to>
        <xdr:sp macro="" textlink="">
          <xdr:nvSpPr>
            <xdr:cNvPr id="46081" name="Option Button 1" hidden="1">
              <a:extLst>
                <a:ext uri="{63B3BB69-23CF-44E3-9099-C40C66FF867C}">
                  <a14:compatExt spid="_x0000_s46081"/>
                </a:ext>
                <a:ext uri="{FF2B5EF4-FFF2-40B4-BE49-F238E27FC236}">
                  <a16:creationId xmlns:a16="http://schemas.microsoft.com/office/drawing/2014/main" id="{00000000-0008-0000-04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xdr:row>
          <xdr:rowOff>0</xdr:rowOff>
        </xdr:from>
        <xdr:to>
          <xdr:col>4</xdr:col>
          <xdr:colOff>1193800</xdr:colOff>
          <xdr:row>4</xdr:row>
          <xdr:rowOff>12700</xdr:rowOff>
        </xdr:to>
        <xdr:sp macro="" textlink="">
          <xdr:nvSpPr>
            <xdr:cNvPr id="46082" name="Option Button 2" descr="Doručak&#10;" hidden="1">
              <a:extLst>
                <a:ext uri="{63B3BB69-23CF-44E3-9099-C40C66FF867C}">
                  <a14:compatExt spid="_x0000_s46082"/>
                </a:ext>
                <a:ext uri="{FF2B5EF4-FFF2-40B4-BE49-F238E27FC236}">
                  <a16:creationId xmlns:a16="http://schemas.microsoft.com/office/drawing/2014/main" id="{00000000-0008-0000-04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0</xdr:rowOff>
        </xdr:from>
        <xdr:to>
          <xdr:col>4</xdr:col>
          <xdr:colOff>1193800</xdr:colOff>
          <xdr:row>4</xdr:row>
          <xdr:rowOff>241300</xdr:rowOff>
        </xdr:to>
        <xdr:sp macro="" textlink="">
          <xdr:nvSpPr>
            <xdr:cNvPr id="46083" name="Option Button 3" descr="Užina 1" hidden="1">
              <a:extLst>
                <a:ext uri="{63B3BB69-23CF-44E3-9099-C40C66FF867C}">
                  <a14:compatExt spid="_x0000_s46083"/>
                </a:ext>
                <a:ext uri="{FF2B5EF4-FFF2-40B4-BE49-F238E27FC236}">
                  <a16:creationId xmlns:a16="http://schemas.microsoft.com/office/drawing/2014/main" id="{00000000-0008-0000-04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241300</xdr:rowOff>
        </xdr:from>
        <xdr:to>
          <xdr:col>4</xdr:col>
          <xdr:colOff>1193800</xdr:colOff>
          <xdr:row>6</xdr:row>
          <xdr:rowOff>0</xdr:rowOff>
        </xdr:to>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4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215900</xdr:rowOff>
        </xdr:from>
        <xdr:to>
          <xdr:col>4</xdr:col>
          <xdr:colOff>1193800</xdr:colOff>
          <xdr:row>7</xdr:row>
          <xdr:rowOff>0</xdr:rowOff>
        </xdr:to>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4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2</xdr:row>
          <xdr:rowOff>12700</xdr:rowOff>
        </xdr:from>
        <xdr:to>
          <xdr:col>5</xdr:col>
          <xdr:colOff>1130300</xdr:colOff>
          <xdr:row>3</xdr:row>
          <xdr:rowOff>0</xdr:rowOff>
        </xdr:to>
        <xdr:sp macro="" textlink="">
          <xdr:nvSpPr>
            <xdr:cNvPr id="46086" name="Option Button 6" hidden="1">
              <a:extLst>
                <a:ext uri="{63B3BB69-23CF-44E3-9099-C40C66FF867C}">
                  <a14:compatExt spid="_x0000_s46086"/>
                </a:ext>
                <a:ext uri="{FF2B5EF4-FFF2-40B4-BE49-F238E27FC236}">
                  <a16:creationId xmlns:a16="http://schemas.microsoft.com/office/drawing/2014/main" id="{00000000-0008-0000-04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2</xdr:row>
          <xdr:rowOff>190500</xdr:rowOff>
        </xdr:from>
        <xdr:to>
          <xdr:col>6</xdr:col>
          <xdr:colOff>0</xdr:colOff>
          <xdr:row>4</xdr:row>
          <xdr:rowOff>25400</xdr:rowOff>
        </xdr:to>
        <xdr:sp macro="" textlink="">
          <xdr:nvSpPr>
            <xdr:cNvPr id="46087" name="Option Button 7" descr="Doručak&#10;" hidden="1">
              <a:extLst>
                <a:ext uri="{63B3BB69-23CF-44E3-9099-C40C66FF867C}">
                  <a14:compatExt spid="_x0000_s46087"/>
                </a:ext>
                <a:ext uri="{FF2B5EF4-FFF2-40B4-BE49-F238E27FC236}">
                  <a16:creationId xmlns:a16="http://schemas.microsoft.com/office/drawing/2014/main" id="{00000000-0008-0000-04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4</xdr:row>
          <xdr:rowOff>12700</xdr:rowOff>
        </xdr:from>
        <xdr:to>
          <xdr:col>6</xdr:col>
          <xdr:colOff>38100</xdr:colOff>
          <xdr:row>4</xdr:row>
          <xdr:rowOff>228600</xdr:rowOff>
        </xdr:to>
        <xdr:sp macro="" textlink="">
          <xdr:nvSpPr>
            <xdr:cNvPr id="46088" name="Option Button 8" descr="Užina 1" hidden="1">
              <a:extLst>
                <a:ext uri="{63B3BB69-23CF-44E3-9099-C40C66FF867C}">
                  <a14:compatExt spid="_x0000_s46088"/>
                </a:ext>
                <a:ext uri="{FF2B5EF4-FFF2-40B4-BE49-F238E27FC236}">
                  <a16:creationId xmlns:a16="http://schemas.microsoft.com/office/drawing/2014/main" id="{00000000-0008-0000-04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5</xdr:row>
          <xdr:rowOff>0</xdr:rowOff>
        </xdr:from>
        <xdr:to>
          <xdr:col>6</xdr:col>
          <xdr:colOff>38100</xdr:colOff>
          <xdr:row>5</xdr:row>
          <xdr:rowOff>215900</xdr:rowOff>
        </xdr:to>
        <xdr:sp macro="" textlink="">
          <xdr:nvSpPr>
            <xdr:cNvPr id="46089" name="Option Button 9" hidden="1">
              <a:extLst>
                <a:ext uri="{63B3BB69-23CF-44E3-9099-C40C66FF867C}">
                  <a14:compatExt spid="_x0000_s46089"/>
                </a:ext>
                <a:ext uri="{FF2B5EF4-FFF2-40B4-BE49-F238E27FC236}">
                  <a16:creationId xmlns:a16="http://schemas.microsoft.com/office/drawing/2014/main" id="{00000000-0008-0000-04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0</xdr:rowOff>
        </xdr:from>
        <xdr:to>
          <xdr:col>6</xdr:col>
          <xdr:colOff>0</xdr:colOff>
          <xdr:row>6</xdr:row>
          <xdr:rowOff>215900</xdr:rowOff>
        </xdr:to>
        <xdr:sp macro="" textlink="">
          <xdr:nvSpPr>
            <xdr:cNvPr id="46090" name="Option Button 10" hidden="1">
              <a:extLst>
                <a:ext uri="{63B3BB69-23CF-44E3-9099-C40C66FF867C}">
                  <a14:compatExt spid="_x0000_s46090"/>
                </a:ext>
                <a:ext uri="{FF2B5EF4-FFF2-40B4-BE49-F238E27FC236}">
                  <a16:creationId xmlns:a16="http://schemas.microsoft.com/office/drawing/2014/main" id="{00000000-0008-0000-04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2</xdr:row>
          <xdr:rowOff>0</xdr:rowOff>
        </xdr:from>
        <xdr:to>
          <xdr:col>6</xdr:col>
          <xdr:colOff>1130300</xdr:colOff>
          <xdr:row>2</xdr:row>
          <xdr:rowOff>215900</xdr:rowOff>
        </xdr:to>
        <xdr:sp macro="" textlink="">
          <xdr:nvSpPr>
            <xdr:cNvPr id="46091" name="Option Button 11" hidden="1">
              <a:extLst>
                <a:ext uri="{63B3BB69-23CF-44E3-9099-C40C66FF867C}">
                  <a14:compatExt spid="_x0000_s46091"/>
                </a:ext>
                <a:ext uri="{FF2B5EF4-FFF2-40B4-BE49-F238E27FC236}">
                  <a16:creationId xmlns:a16="http://schemas.microsoft.com/office/drawing/2014/main" id="{00000000-0008-0000-04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3</xdr:row>
          <xdr:rowOff>0</xdr:rowOff>
        </xdr:from>
        <xdr:to>
          <xdr:col>6</xdr:col>
          <xdr:colOff>1143000</xdr:colOff>
          <xdr:row>3</xdr:row>
          <xdr:rowOff>215900</xdr:rowOff>
        </xdr:to>
        <xdr:sp macro="" textlink="">
          <xdr:nvSpPr>
            <xdr:cNvPr id="46092" name="Option Button 12" descr="Doručak&#10;" hidden="1">
              <a:extLst>
                <a:ext uri="{63B3BB69-23CF-44E3-9099-C40C66FF867C}">
                  <a14:compatExt spid="_x0000_s46092"/>
                </a:ext>
                <a:ext uri="{FF2B5EF4-FFF2-40B4-BE49-F238E27FC236}">
                  <a16:creationId xmlns:a16="http://schemas.microsoft.com/office/drawing/2014/main" id="{00000000-0008-0000-04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4</xdr:row>
          <xdr:rowOff>12700</xdr:rowOff>
        </xdr:from>
        <xdr:to>
          <xdr:col>6</xdr:col>
          <xdr:colOff>1130300</xdr:colOff>
          <xdr:row>4</xdr:row>
          <xdr:rowOff>228600</xdr:rowOff>
        </xdr:to>
        <xdr:sp macro="" textlink="">
          <xdr:nvSpPr>
            <xdr:cNvPr id="46093" name="Option Button 13" descr="Užina 1" hidden="1">
              <a:extLst>
                <a:ext uri="{63B3BB69-23CF-44E3-9099-C40C66FF867C}">
                  <a14:compatExt spid="_x0000_s46093"/>
                </a:ext>
                <a:ext uri="{FF2B5EF4-FFF2-40B4-BE49-F238E27FC236}">
                  <a16:creationId xmlns:a16="http://schemas.microsoft.com/office/drawing/2014/main" id="{00000000-0008-0000-04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5</xdr:row>
          <xdr:rowOff>0</xdr:rowOff>
        </xdr:from>
        <xdr:to>
          <xdr:col>6</xdr:col>
          <xdr:colOff>1143000</xdr:colOff>
          <xdr:row>5</xdr:row>
          <xdr:rowOff>215900</xdr:rowOff>
        </xdr:to>
        <xdr:sp macro="" textlink="">
          <xdr:nvSpPr>
            <xdr:cNvPr id="46094" name="Option Button 14" hidden="1">
              <a:extLst>
                <a:ext uri="{63B3BB69-23CF-44E3-9099-C40C66FF867C}">
                  <a14:compatExt spid="_x0000_s46094"/>
                </a:ext>
                <a:ext uri="{FF2B5EF4-FFF2-40B4-BE49-F238E27FC236}">
                  <a16:creationId xmlns:a16="http://schemas.microsoft.com/office/drawing/2014/main" id="{00000000-0008-0000-04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6</xdr:row>
          <xdr:rowOff>0</xdr:rowOff>
        </xdr:from>
        <xdr:to>
          <xdr:col>6</xdr:col>
          <xdr:colOff>1130300</xdr:colOff>
          <xdr:row>6</xdr:row>
          <xdr:rowOff>215900</xdr:rowOff>
        </xdr:to>
        <xdr:sp macro="" textlink="">
          <xdr:nvSpPr>
            <xdr:cNvPr id="46095" name="Option Button 15" hidden="1">
              <a:extLst>
                <a:ext uri="{63B3BB69-23CF-44E3-9099-C40C66FF867C}">
                  <a14:compatExt spid="_x0000_s46095"/>
                </a:ext>
                <a:ext uri="{FF2B5EF4-FFF2-40B4-BE49-F238E27FC236}">
                  <a16:creationId xmlns:a16="http://schemas.microsoft.com/office/drawing/2014/main" id="{00000000-0008-0000-04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1143000</xdr:colOff>
          <xdr:row>2</xdr:row>
          <xdr:rowOff>0</xdr:rowOff>
        </xdr:from>
        <xdr:to>
          <xdr:col>7</xdr:col>
          <xdr:colOff>1143000</xdr:colOff>
          <xdr:row>2</xdr:row>
          <xdr:rowOff>215900</xdr:rowOff>
        </xdr:to>
        <xdr:sp macro="" textlink="">
          <xdr:nvSpPr>
            <xdr:cNvPr id="46096" name="Option Button 16" hidden="1">
              <a:extLst>
                <a:ext uri="{63B3BB69-23CF-44E3-9099-C40C66FF867C}">
                  <a14:compatExt spid="_x0000_s46096"/>
                </a:ext>
                <a:ext uri="{FF2B5EF4-FFF2-40B4-BE49-F238E27FC236}">
                  <a16:creationId xmlns:a16="http://schemas.microsoft.com/office/drawing/2014/main" id="{00000000-0008-0000-04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1143000</xdr:colOff>
          <xdr:row>3</xdr:row>
          <xdr:rowOff>0</xdr:rowOff>
        </xdr:from>
        <xdr:to>
          <xdr:col>7</xdr:col>
          <xdr:colOff>1143000</xdr:colOff>
          <xdr:row>3</xdr:row>
          <xdr:rowOff>215900</xdr:rowOff>
        </xdr:to>
        <xdr:sp macro="" textlink="">
          <xdr:nvSpPr>
            <xdr:cNvPr id="46097" name="Option Button 17" descr="Doručak&#10;" hidden="1">
              <a:extLst>
                <a:ext uri="{63B3BB69-23CF-44E3-9099-C40C66FF867C}">
                  <a14:compatExt spid="_x0000_s46097"/>
                </a:ext>
                <a:ext uri="{FF2B5EF4-FFF2-40B4-BE49-F238E27FC236}">
                  <a16:creationId xmlns:a16="http://schemas.microsoft.com/office/drawing/2014/main" id="{00000000-0008-0000-04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1143000</xdr:colOff>
          <xdr:row>4</xdr:row>
          <xdr:rowOff>12700</xdr:rowOff>
        </xdr:from>
        <xdr:to>
          <xdr:col>7</xdr:col>
          <xdr:colOff>1130300</xdr:colOff>
          <xdr:row>4</xdr:row>
          <xdr:rowOff>228600</xdr:rowOff>
        </xdr:to>
        <xdr:sp macro="" textlink="">
          <xdr:nvSpPr>
            <xdr:cNvPr id="46098" name="Option Button 18" descr="Užina 1" hidden="1">
              <a:extLst>
                <a:ext uri="{63B3BB69-23CF-44E3-9099-C40C66FF867C}">
                  <a14:compatExt spid="_x0000_s46098"/>
                </a:ext>
                <a:ext uri="{FF2B5EF4-FFF2-40B4-BE49-F238E27FC236}">
                  <a16:creationId xmlns:a16="http://schemas.microsoft.com/office/drawing/2014/main" id="{00000000-0008-0000-04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1143000</xdr:colOff>
          <xdr:row>5</xdr:row>
          <xdr:rowOff>0</xdr:rowOff>
        </xdr:from>
        <xdr:to>
          <xdr:col>7</xdr:col>
          <xdr:colOff>1130300</xdr:colOff>
          <xdr:row>5</xdr:row>
          <xdr:rowOff>215900</xdr:rowOff>
        </xdr:to>
        <xdr:sp macro="" textlink="">
          <xdr:nvSpPr>
            <xdr:cNvPr id="46099" name="Option Button 19" hidden="1">
              <a:extLst>
                <a:ext uri="{63B3BB69-23CF-44E3-9099-C40C66FF867C}">
                  <a14:compatExt spid="_x0000_s46099"/>
                </a:ext>
                <a:ext uri="{FF2B5EF4-FFF2-40B4-BE49-F238E27FC236}">
                  <a16:creationId xmlns:a16="http://schemas.microsoft.com/office/drawing/2014/main" id="{00000000-0008-0000-04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1143000</xdr:colOff>
          <xdr:row>6</xdr:row>
          <xdr:rowOff>12700</xdr:rowOff>
        </xdr:from>
        <xdr:to>
          <xdr:col>7</xdr:col>
          <xdr:colOff>1130300</xdr:colOff>
          <xdr:row>7</xdr:row>
          <xdr:rowOff>0</xdr:rowOff>
        </xdr:to>
        <xdr:sp macro="" textlink="">
          <xdr:nvSpPr>
            <xdr:cNvPr id="46100" name="Option Button 20" hidden="1">
              <a:extLst>
                <a:ext uri="{63B3BB69-23CF-44E3-9099-C40C66FF867C}">
                  <a14:compatExt spid="_x0000_s46100"/>
                </a:ext>
                <a:ext uri="{FF2B5EF4-FFF2-40B4-BE49-F238E27FC236}">
                  <a16:creationId xmlns:a16="http://schemas.microsoft.com/office/drawing/2014/main" id="{00000000-0008-0000-04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1143000</xdr:colOff>
          <xdr:row>2</xdr:row>
          <xdr:rowOff>0</xdr:rowOff>
        </xdr:from>
        <xdr:to>
          <xdr:col>8</xdr:col>
          <xdr:colOff>1155700</xdr:colOff>
          <xdr:row>2</xdr:row>
          <xdr:rowOff>215900</xdr:rowOff>
        </xdr:to>
        <xdr:sp macro="" textlink="">
          <xdr:nvSpPr>
            <xdr:cNvPr id="46101" name="Option Button 21" hidden="1">
              <a:extLst>
                <a:ext uri="{63B3BB69-23CF-44E3-9099-C40C66FF867C}">
                  <a14:compatExt spid="_x0000_s46101"/>
                </a:ext>
                <a:ext uri="{FF2B5EF4-FFF2-40B4-BE49-F238E27FC236}">
                  <a16:creationId xmlns:a16="http://schemas.microsoft.com/office/drawing/2014/main" id="{00000000-0008-0000-04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1143000</xdr:colOff>
          <xdr:row>3</xdr:row>
          <xdr:rowOff>12700</xdr:rowOff>
        </xdr:from>
        <xdr:to>
          <xdr:col>8</xdr:col>
          <xdr:colOff>1130300</xdr:colOff>
          <xdr:row>4</xdr:row>
          <xdr:rowOff>0</xdr:rowOff>
        </xdr:to>
        <xdr:sp macro="" textlink="">
          <xdr:nvSpPr>
            <xdr:cNvPr id="46102" name="Option Button 22" descr="Doručak&#10;" hidden="1">
              <a:extLst>
                <a:ext uri="{63B3BB69-23CF-44E3-9099-C40C66FF867C}">
                  <a14:compatExt spid="_x0000_s46102"/>
                </a:ext>
                <a:ext uri="{FF2B5EF4-FFF2-40B4-BE49-F238E27FC236}">
                  <a16:creationId xmlns:a16="http://schemas.microsoft.com/office/drawing/2014/main" id="{00000000-0008-0000-04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1143000</xdr:colOff>
          <xdr:row>4</xdr:row>
          <xdr:rowOff>12700</xdr:rowOff>
        </xdr:from>
        <xdr:to>
          <xdr:col>8</xdr:col>
          <xdr:colOff>1117600</xdr:colOff>
          <xdr:row>4</xdr:row>
          <xdr:rowOff>228600</xdr:rowOff>
        </xdr:to>
        <xdr:sp macro="" textlink="">
          <xdr:nvSpPr>
            <xdr:cNvPr id="46103" name="Option Button 23" descr="Užina 1" hidden="1">
              <a:extLst>
                <a:ext uri="{63B3BB69-23CF-44E3-9099-C40C66FF867C}">
                  <a14:compatExt spid="_x0000_s46103"/>
                </a:ext>
                <a:ext uri="{FF2B5EF4-FFF2-40B4-BE49-F238E27FC236}">
                  <a16:creationId xmlns:a16="http://schemas.microsoft.com/office/drawing/2014/main" id="{00000000-0008-0000-04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1143000</xdr:colOff>
          <xdr:row>5</xdr:row>
          <xdr:rowOff>0</xdr:rowOff>
        </xdr:from>
        <xdr:to>
          <xdr:col>8</xdr:col>
          <xdr:colOff>1155700</xdr:colOff>
          <xdr:row>5</xdr:row>
          <xdr:rowOff>215900</xdr:rowOff>
        </xdr:to>
        <xdr:sp macro="" textlink="">
          <xdr:nvSpPr>
            <xdr:cNvPr id="46104" name="Option Button 24" hidden="1">
              <a:extLst>
                <a:ext uri="{63B3BB69-23CF-44E3-9099-C40C66FF867C}">
                  <a14:compatExt spid="_x0000_s46104"/>
                </a:ext>
                <a:ext uri="{FF2B5EF4-FFF2-40B4-BE49-F238E27FC236}">
                  <a16:creationId xmlns:a16="http://schemas.microsoft.com/office/drawing/2014/main" id="{00000000-0008-0000-04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1143000</xdr:colOff>
          <xdr:row>6</xdr:row>
          <xdr:rowOff>0</xdr:rowOff>
        </xdr:from>
        <xdr:to>
          <xdr:col>8</xdr:col>
          <xdr:colOff>1130300</xdr:colOff>
          <xdr:row>6</xdr:row>
          <xdr:rowOff>215900</xdr:rowOff>
        </xdr:to>
        <xdr:sp macro="" textlink="">
          <xdr:nvSpPr>
            <xdr:cNvPr id="46105" name="Option Button 25" hidden="1">
              <a:extLst>
                <a:ext uri="{63B3BB69-23CF-44E3-9099-C40C66FF867C}">
                  <a14:compatExt spid="_x0000_s46105"/>
                </a:ext>
                <a:ext uri="{FF2B5EF4-FFF2-40B4-BE49-F238E27FC236}">
                  <a16:creationId xmlns:a16="http://schemas.microsoft.com/office/drawing/2014/main" id="{00000000-0008-0000-04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2</xdr:row>
          <xdr:rowOff>0</xdr:rowOff>
        </xdr:from>
        <xdr:to>
          <xdr:col>9</xdr:col>
          <xdr:colOff>1155700</xdr:colOff>
          <xdr:row>2</xdr:row>
          <xdr:rowOff>215900</xdr:rowOff>
        </xdr:to>
        <xdr:sp macro="" textlink="">
          <xdr:nvSpPr>
            <xdr:cNvPr id="46106" name="Option Button 26" hidden="1">
              <a:extLst>
                <a:ext uri="{63B3BB69-23CF-44E3-9099-C40C66FF867C}">
                  <a14:compatExt spid="_x0000_s46106"/>
                </a:ext>
                <a:ext uri="{FF2B5EF4-FFF2-40B4-BE49-F238E27FC236}">
                  <a16:creationId xmlns:a16="http://schemas.microsoft.com/office/drawing/2014/main" id="{00000000-0008-0000-04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3</xdr:row>
          <xdr:rowOff>12700</xdr:rowOff>
        </xdr:from>
        <xdr:to>
          <xdr:col>9</xdr:col>
          <xdr:colOff>1092200</xdr:colOff>
          <xdr:row>4</xdr:row>
          <xdr:rowOff>0</xdr:rowOff>
        </xdr:to>
        <xdr:sp macro="" textlink="">
          <xdr:nvSpPr>
            <xdr:cNvPr id="46107" name="Option Button 27" descr="Doručak&#10;" hidden="1">
              <a:extLst>
                <a:ext uri="{63B3BB69-23CF-44E3-9099-C40C66FF867C}">
                  <a14:compatExt spid="_x0000_s46107"/>
                </a:ext>
                <a:ext uri="{FF2B5EF4-FFF2-40B4-BE49-F238E27FC236}">
                  <a16:creationId xmlns:a16="http://schemas.microsoft.com/office/drawing/2014/main" id="{00000000-0008-0000-04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4</xdr:row>
          <xdr:rowOff>12700</xdr:rowOff>
        </xdr:from>
        <xdr:to>
          <xdr:col>9</xdr:col>
          <xdr:colOff>1092200</xdr:colOff>
          <xdr:row>4</xdr:row>
          <xdr:rowOff>228600</xdr:rowOff>
        </xdr:to>
        <xdr:sp macro="" textlink="">
          <xdr:nvSpPr>
            <xdr:cNvPr id="46108" name="Option Button 28" descr="Užina 1" hidden="1">
              <a:extLst>
                <a:ext uri="{63B3BB69-23CF-44E3-9099-C40C66FF867C}">
                  <a14:compatExt spid="_x0000_s46108"/>
                </a:ext>
                <a:ext uri="{FF2B5EF4-FFF2-40B4-BE49-F238E27FC236}">
                  <a16:creationId xmlns:a16="http://schemas.microsoft.com/office/drawing/2014/main" id="{00000000-0008-0000-04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5</xdr:row>
          <xdr:rowOff>0</xdr:rowOff>
        </xdr:from>
        <xdr:to>
          <xdr:col>9</xdr:col>
          <xdr:colOff>1104900</xdr:colOff>
          <xdr:row>5</xdr:row>
          <xdr:rowOff>215900</xdr:rowOff>
        </xdr:to>
        <xdr:sp macro="" textlink="">
          <xdr:nvSpPr>
            <xdr:cNvPr id="46109" name="Option Button 29" hidden="1">
              <a:extLst>
                <a:ext uri="{63B3BB69-23CF-44E3-9099-C40C66FF867C}">
                  <a14:compatExt spid="_x0000_s46109"/>
                </a:ext>
                <a:ext uri="{FF2B5EF4-FFF2-40B4-BE49-F238E27FC236}">
                  <a16:creationId xmlns:a16="http://schemas.microsoft.com/office/drawing/2014/main" id="{00000000-0008-0000-04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6</xdr:row>
          <xdr:rowOff>0</xdr:rowOff>
        </xdr:from>
        <xdr:to>
          <xdr:col>9</xdr:col>
          <xdr:colOff>1104900</xdr:colOff>
          <xdr:row>6</xdr:row>
          <xdr:rowOff>215900</xdr:rowOff>
        </xdr:to>
        <xdr:sp macro="" textlink="">
          <xdr:nvSpPr>
            <xdr:cNvPr id="46110" name="Option Button 30" hidden="1">
              <a:extLst>
                <a:ext uri="{63B3BB69-23CF-44E3-9099-C40C66FF867C}">
                  <a14:compatExt spid="_x0000_s46110"/>
                </a:ext>
                <a:ext uri="{FF2B5EF4-FFF2-40B4-BE49-F238E27FC236}">
                  <a16:creationId xmlns:a16="http://schemas.microsoft.com/office/drawing/2014/main" id="{00000000-0008-0000-04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88900</xdr:colOff>
      <xdr:row>2</xdr:row>
      <xdr:rowOff>0</xdr:rowOff>
    </xdr:from>
    <xdr:to>
      <xdr:col>12</xdr:col>
      <xdr:colOff>395700</xdr:colOff>
      <xdr:row>3</xdr:row>
      <xdr:rowOff>138600</xdr:rowOff>
    </xdr:to>
    <xdr:grpSp>
      <xdr:nvGrpSpPr>
        <xdr:cNvPr id="39" name="Group 38">
          <a:extLst>
            <a:ext uri="{FF2B5EF4-FFF2-40B4-BE49-F238E27FC236}">
              <a16:creationId xmlns:a16="http://schemas.microsoft.com/office/drawing/2014/main" id="{00000000-0008-0000-0400-000027000000}"/>
            </a:ext>
          </a:extLst>
        </xdr:cNvPr>
        <xdr:cNvGrpSpPr/>
      </xdr:nvGrpSpPr>
      <xdr:grpSpPr>
        <a:xfrm>
          <a:off x="10591800" y="368300"/>
          <a:ext cx="2440400" cy="367200"/>
          <a:chOff x="9664700" y="546100"/>
          <a:chExt cx="2491200" cy="451700"/>
        </a:xfrm>
      </xdr:grpSpPr>
      <xdr:sp macro="" textlink="">
        <xdr:nvSpPr>
          <xdr:cNvPr id="40" name="Rounded Rectangle 39">
            <a:extLst>
              <a:ext uri="{FF2B5EF4-FFF2-40B4-BE49-F238E27FC236}">
                <a16:creationId xmlns:a16="http://schemas.microsoft.com/office/drawing/2014/main" id="{00000000-0008-0000-0400-000028000000}"/>
              </a:ext>
            </a:extLst>
          </xdr:cNvPr>
          <xdr:cNvSpPr/>
        </xdr:nvSpPr>
        <xdr:spPr>
          <a:xfrm>
            <a:off x="9664700" y="546100"/>
            <a:ext cx="2491200" cy="4517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1" name="Rounded Rectangle 40">
            <a:hlinkClick xmlns:r="http://schemas.openxmlformats.org/officeDocument/2006/relationships" r:id="rId1"/>
            <a:extLst>
              <a:ext uri="{FF2B5EF4-FFF2-40B4-BE49-F238E27FC236}">
                <a16:creationId xmlns:a16="http://schemas.microsoft.com/office/drawing/2014/main" id="{00000000-0008-0000-0400-000029000000}"/>
              </a:ext>
            </a:extLst>
          </xdr:cNvPr>
          <xdr:cNvSpPr/>
        </xdr:nvSpPr>
        <xdr:spPr>
          <a:xfrm>
            <a:off x="9725811" y="607863"/>
            <a:ext cx="2354400" cy="318641"/>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RECOMMENDATIONS</a:t>
            </a:r>
          </a:p>
        </xdr:txBody>
      </xdr:sp>
    </xdr:grpSp>
    <xdr:clientData/>
  </xdr:twoCellAnchor>
  <xdr:twoCellAnchor>
    <xdr:from>
      <xdr:col>1</xdr:col>
      <xdr:colOff>25398</xdr:colOff>
      <xdr:row>61</xdr:row>
      <xdr:rowOff>138561</xdr:rowOff>
    </xdr:from>
    <xdr:to>
      <xdr:col>5</xdr:col>
      <xdr:colOff>1166089</xdr:colOff>
      <xdr:row>85</xdr:row>
      <xdr:rowOff>165100</xdr:rowOff>
    </xdr:to>
    <xdr:sp macro="" textlink="">
      <xdr:nvSpPr>
        <xdr:cNvPr id="57" name="Rectangle 56">
          <a:extLst>
            <a:ext uri="{FF2B5EF4-FFF2-40B4-BE49-F238E27FC236}">
              <a16:creationId xmlns:a16="http://schemas.microsoft.com/office/drawing/2014/main" id="{00000000-0008-0000-0400-000039000000}"/>
            </a:ext>
          </a:extLst>
        </xdr:cNvPr>
        <xdr:cNvSpPr/>
      </xdr:nvSpPr>
      <xdr:spPr>
        <a:xfrm flipH="1">
          <a:off x="165098" y="9028561"/>
          <a:ext cx="5877791" cy="47128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444500</xdr:colOff>
      <xdr:row>11</xdr:row>
      <xdr:rowOff>190500</xdr:rowOff>
    </xdr:from>
    <xdr:to>
      <xdr:col>20</xdr:col>
      <xdr:colOff>215900</xdr:colOff>
      <xdr:row>40</xdr:row>
      <xdr:rowOff>25400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21196300" y="2362200"/>
          <a:ext cx="939800" cy="60960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114300</xdr:colOff>
      <xdr:row>29</xdr:row>
      <xdr:rowOff>25400</xdr:rowOff>
    </xdr:from>
    <xdr:to>
      <xdr:col>11</xdr:col>
      <xdr:colOff>1092200</xdr:colOff>
      <xdr:row>29</xdr:row>
      <xdr:rowOff>152400</xdr:rowOff>
    </xdr:to>
    <xdr:sp macro="" textlink="">
      <xdr:nvSpPr>
        <xdr:cNvPr id="65" name="Rectangle 64">
          <a:extLst>
            <a:ext uri="{FF2B5EF4-FFF2-40B4-BE49-F238E27FC236}">
              <a16:creationId xmlns:a16="http://schemas.microsoft.com/office/drawing/2014/main" id="{00000000-0008-0000-0400-000041000000}"/>
            </a:ext>
          </a:extLst>
        </xdr:cNvPr>
        <xdr:cNvSpPr/>
      </xdr:nvSpPr>
      <xdr:spPr>
        <a:xfrm>
          <a:off x="6159500" y="6223000"/>
          <a:ext cx="6692900" cy="1270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990600</xdr:colOff>
      <xdr:row>40</xdr:row>
      <xdr:rowOff>38100</xdr:rowOff>
    </xdr:from>
    <xdr:to>
      <xdr:col>17</xdr:col>
      <xdr:colOff>203200</xdr:colOff>
      <xdr:row>41</xdr:row>
      <xdr:rowOff>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12560300" y="8470900"/>
          <a:ext cx="5537200" cy="2159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444500</xdr:colOff>
      <xdr:row>35</xdr:row>
      <xdr:rowOff>88900</xdr:rowOff>
    </xdr:from>
    <xdr:to>
      <xdr:col>20</xdr:col>
      <xdr:colOff>215900</xdr:colOff>
      <xdr:row>87</xdr:row>
      <xdr:rowOff>101600</xdr:rowOff>
    </xdr:to>
    <xdr:sp macro="" textlink="">
      <xdr:nvSpPr>
        <xdr:cNvPr id="68" name="Rectangle 67">
          <a:extLst>
            <a:ext uri="{FF2B5EF4-FFF2-40B4-BE49-F238E27FC236}">
              <a16:creationId xmlns:a16="http://schemas.microsoft.com/office/drawing/2014/main" id="{00000000-0008-0000-0400-000044000000}"/>
            </a:ext>
          </a:extLst>
        </xdr:cNvPr>
        <xdr:cNvSpPr/>
      </xdr:nvSpPr>
      <xdr:spPr>
        <a:xfrm>
          <a:off x="21094700" y="7505700"/>
          <a:ext cx="939800" cy="65278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60</xdr:row>
      <xdr:rowOff>12700</xdr:rowOff>
    </xdr:from>
    <xdr:to>
      <xdr:col>1</xdr:col>
      <xdr:colOff>22500</xdr:colOff>
      <xdr:row>105</xdr:row>
      <xdr:rowOff>165100</xdr:rowOff>
    </xdr:to>
    <xdr:sp macro="" textlink="">
      <xdr:nvSpPr>
        <xdr:cNvPr id="69" name="Rectangle 68">
          <a:extLst>
            <a:ext uri="{FF2B5EF4-FFF2-40B4-BE49-F238E27FC236}">
              <a16:creationId xmlns:a16="http://schemas.microsoft.com/office/drawing/2014/main" id="{00000000-0008-0000-0400-000045000000}"/>
            </a:ext>
          </a:extLst>
        </xdr:cNvPr>
        <xdr:cNvSpPr/>
      </xdr:nvSpPr>
      <xdr:spPr>
        <a:xfrm flipH="1">
          <a:off x="0" y="8699500"/>
          <a:ext cx="136800" cy="86868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820890</xdr:colOff>
      <xdr:row>62</xdr:row>
      <xdr:rowOff>12700</xdr:rowOff>
    </xdr:from>
    <xdr:to>
      <xdr:col>5</xdr:col>
      <xdr:colOff>1148781</xdr:colOff>
      <xdr:row>64</xdr:row>
      <xdr:rowOff>263</xdr:rowOff>
    </xdr:to>
    <xdr:sp macro="" textlink="">
      <xdr:nvSpPr>
        <xdr:cNvPr id="70" name="Rectangle 69">
          <a:extLst>
            <a:ext uri="{FF2B5EF4-FFF2-40B4-BE49-F238E27FC236}">
              <a16:creationId xmlns:a16="http://schemas.microsoft.com/office/drawing/2014/main" id="{00000000-0008-0000-0400-000046000000}"/>
            </a:ext>
          </a:extLst>
        </xdr:cNvPr>
        <xdr:cNvSpPr/>
      </xdr:nvSpPr>
      <xdr:spPr>
        <a:xfrm flipH="1">
          <a:off x="5697690" y="9067800"/>
          <a:ext cx="327891" cy="3431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835895</xdr:colOff>
      <xdr:row>62</xdr:row>
      <xdr:rowOff>24261</xdr:rowOff>
    </xdr:from>
    <xdr:to>
      <xdr:col>5</xdr:col>
      <xdr:colOff>1163786</xdr:colOff>
      <xdr:row>64</xdr:row>
      <xdr:rowOff>110589</xdr:rowOff>
    </xdr:to>
    <xdr:sp macro="" textlink="">
      <xdr:nvSpPr>
        <xdr:cNvPr id="71" name="Rectangle 70">
          <a:extLst>
            <a:ext uri="{FF2B5EF4-FFF2-40B4-BE49-F238E27FC236}">
              <a16:creationId xmlns:a16="http://schemas.microsoft.com/office/drawing/2014/main" id="{00000000-0008-0000-0400-000047000000}"/>
            </a:ext>
          </a:extLst>
        </xdr:cNvPr>
        <xdr:cNvSpPr/>
      </xdr:nvSpPr>
      <xdr:spPr>
        <a:xfrm flipH="1">
          <a:off x="5712695" y="9079361"/>
          <a:ext cx="327891" cy="4292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368300</xdr:colOff>
      <xdr:row>60</xdr:row>
      <xdr:rowOff>0</xdr:rowOff>
    </xdr:from>
    <xdr:to>
      <xdr:col>6</xdr:col>
      <xdr:colOff>476300</xdr:colOff>
      <xdr:row>86</xdr:row>
      <xdr:rowOff>8700</xdr:rowOff>
    </xdr:to>
    <xdr:sp macro="" textlink="">
      <xdr:nvSpPr>
        <xdr:cNvPr id="75" name="Rectangle 74">
          <a:extLst>
            <a:ext uri="{FF2B5EF4-FFF2-40B4-BE49-F238E27FC236}">
              <a16:creationId xmlns:a16="http://schemas.microsoft.com/office/drawing/2014/main" id="{00000000-0008-0000-0400-00004B000000}"/>
            </a:ext>
          </a:extLst>
        </xdr:cNvPr>
        <xdr:cNvSpPr/>
      </xdr:nvSpPr>
      <xdr:spPr>
        <a:xfrm flipH="1">
          <a:off x="6413500" y="8686800"/>
          <a:ext cx="108000" cy="50760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1028700</xdr:colOff>
      <xdr:row>60</xdr:row>
      <xdr:rowOff>12700</xdr:rowOff>
    </xdr:from>
    <xdr:to>
      <xdr:col>6</xdr:col>
      <xdr:colOff>190500</xdr:colOff>
      <xdr:row>61</xdr:row>
      <xdr:rowOff>174600</xdr:rowOff>
    </xdr:to>
    <xdr:sp macro="" textlink="">
      <xdr:nvSpPr>
        <xdr:cNvPr id="80" name="Rectangle 79">
          <a:extLst>
            <a:ext uri="{FF2B5EF4-FFF2-40B4-BE49-F238E27FC236}">
              <a16:creationId xmlns:a16="http://schemas.microsoft.com/office/drawing/2014/main" id="{00000000-0008-0000-0400-000050000000}"/>
            </a:ext>
          </a:extLst>
        </xdr:cNvPr>
        <xdr:cNvSpPr/>
      </xdr:nvSpPr>
      <xdr:spPr>
        <a:xfrm flipH="1">
          <a:off x="5905500" y="8699500"/>
          <a:ext cx="330200" cy="3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1028700</xdr:colOff>
      <xdr:row>60</xdr:row>
      <xdr:rowOff>12700</xdr:rowOff>
    </xdr:from>
    <xdr:to>
      <xdr:col>6</xdr:col>
      <xdr:colOff>190500</xdr:colOff>
      <xdr:row>61</xdr:row>
      <xdr:rowOff>174600</xdr:rowOff>
    </xdr:to>
    <xdr:sp macro="" textlink="">
      <xdr:nvSpPr>
        <xdr:cNvPr id="81" name="Rectangle 80">
          <a:extLst>
            <a:ext uri="{FF2B5EF4-FFF2-40B4-BE49-F238E27FC236}">
              <a16:creationId xmlns:a16="http://schemas.microsoft.com/office/drawing/2014/main" id="{00000000-0008-0000-0400-000051000000}"/>
            </a:ext>
          </a:extLst>
        </xdr:cNvPr>
        <xdr:cNvSpPr/>
      </xdr:nvSpPr>
      <xdr:spPr>
        <a:xfrm flipH="1">
          <a:off x="5905500" y="8699500"/>
          <a:ext cx="330200" cy="3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927099</xdr:colOff>
      <xdr:row>59</xdr:row>
      <xdr:rowOff>182619</xdr:rowOff>
    </xdr:from>
    <xdr:to>
      <xdr:col>12</xdr:col>
      <xdr:colOff>25699</xdr:colOff>
      <xdr:row>87</xdr:row>
      <xdr:rowOff>149119</xdr:rowOff>
    </xdr:to>
    <xdr:sp macro="" textlink="">
      <xdr:nvSpPr>
        <xdr:cNvPr id="82" name="Rectangle 81">
          <a:extLst>
            <a:ext uri="{FF2B5EF4-FFF2-40B4-BE49-F238E27FC236}">
              <a16:creationId xmlns:a16="http://schemas.microsoft.com/office/drawing/2014/main" id="{00000000-0008-0000-0400-000052000000}"/>
            </a:ext>
          </a:extLst>
        </xdr:cNvPr>
        <xdr:cNvSpPr/>
      </xdr:nvSpPr>
      <xdr:spPr>
        <a:xfrm flipH="1">
          <a:off x="12509499" y="12057119"/>
          <a:ext cx="152700" cy="53640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444500</xdr:colOff>
      <xdr:row>13</xdr:row>
      <xdr:rowOff>127000</xdr:rowOff>
    </xdr:from>
    <xdr:to>
      <xdr:col>10</xdr:col>
      <xdr:colOff>507300</xdr:colOff>
      <xdr:row>15</xdr:row>
      <xdr:rowOff>67500</xdr:rowOff>
    </xdr:to>
    <xdr:grpSp>
      <xdr:nvGrpSpPr>
        <xdr:cNvPr id="84" name="Group 83">
          <a:extLst>
            <a:ext uri="{FF2B5EF4-FFF2-40B4-BE49-F238E27FC236}">
              <a16:creationId xmlns:a16="http://schemas.microsoft.com/office/drawing/2014/main" id="{00000000-0008-0000-0400-000054000000}"/>
            </a:ext>
          </a:extLst>
        </xdr:cNvPr>
        <xdr:cNvGrpSpPr/>
      </xdr:nvGrpSpPr>
      <xdr:grpSpPr>
        <a:xfrm>
          <a:off x="7442200" y="2794000"/>
          <a:ext cx="3568000" cy="499300"/>
          <a:chOff x="7696200" y="2895600"/>
          <a:chExt cx="3517200" cy="410400"/>
        </a:xfrm>
        <a:solidFill>
          <a:schemeClr val="accent5">
            <a:lumMod val="20000"/>
            <a:lumOff val="80000"/>
          </a:schemeClr>
        </a:solidFill>
      </xdr:grpSpPr>
      <xdr:sp macro="" textlink="">
        <xdr:nvSpPr>
          <xdr:cNvPr id="85" name="Rounded Rectangle 84">
            <a:extLst>
              <a:ext uri="{FF2B5EF4-FFF2-40B4-BE49-F238E27FC236}">
                <a16:creationId xmlns:a16="http://schemas.microsoft.com/office/drawing/2014/main" id="{00000000-0008-0000-0400-000055000000}"/>
              </a:ext>
            </a:extLst>
          </xdr:cNvPr>
          <xdr:cNvSpPr/>
        </xdr:nvSpPr>
        <xdr:spPr>
          <a:xfrm>
            <a:off x="7696200" y="2895600"/>
            <a:ext cx="3517200" cy="410400"/>
          </a:xfrm>
          <a:prstGeom prst="roundRect">
            <a:avLst>
              <a:gd name="adj" fmla="val 37180"/>
            </a:avLst>
          </a:prstGeom>
          <a:grp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6" name="Rounded Rectangle 85">
            <a:hlinkClick xmlns:r="http://schemas.openxmlformats.org/officeDocument/2006/relationships" r:id="rId2"/>
            <a:extLst>
              <a:ext uri="{FF2B5EF4-FFF2-40B4-BE49-F238E27FC236}">
                <a16:creationId xmlns:a16="http://schemas.microsoft.com/office/drawing/2014/main" id="{00000000-0008-0000-0400-000056000000}"/>
              </a:ext>
            </a:extLst>
          </xdr:cNvPr>
          <xdr:cNvSpPr/>
        </xdr:nvSpPr>
        <xdr:spPr>
          <a:xfrm>
            <a:off x="7755309" y="2951716"/>
            <a:ext cx="3381288" cy="289507"/>
          </a:xfrm>
          <a:prstGeom prst="roundRect">
            <a:avLst>
              <a:gd name="adj" fmla="val 32901"/>
            </a:avLst>
          </a:prstGeom>
          <a:grp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Click for MORE CHARTS</a:t>
            </a:r>
          </a:p>
        </xdr:txBody>
      </xdr:sp>
    </xdr:grpSp>
    <xdr:clientData/>
  </xdr:twoCellAnchor>
  <xdr:twoCellAnchor>
    <xdr:from>
      <xdr:col>11</xdr:col>
      <xdr:colOff>1041400</xdr:colOff>
      <xdr:row>17</xdr:row>
      <xdr:rowOff>50799</xdr:rowOff>
    </xdr:from>
    <xdr:to>
      <xdr:col>17</xdr:col>
      <xdr:colOff>1229200</xdr:colOff>
      <xdr:row>40</xdr:row>
      <xdr:rowOff>0</xdr:rowOff>
    </xdr:to>
    <xdr:graphicFrame macro="">
      <xdr:nvGraphicFramePr>
        <xdr:cNvPr id="105" name="Chart 104">
          <a:extLst>
            <a:ext uri="{FF2B5EF4-FFF2-40B4-BE49-F238E27FC236}">
              <a16:creationId xmlns:a16="http://schemas.microsoft.com/office/drawing/2014/main" id="{00000000-0008-0000-04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406670</xdr:colOff>
      <xdr:row>60</xdr:row>
      <xdr:rowOff>12700</xdr:rowOff>
    </xdr:from>
    <xdr:to>
      <xdr:col>11</xdr:col>
      <xdr:colOff>520700</xdr:colOff>
      <xdr:row>86</xdr:row>
      <xdr:rowOff>46001</xdr:rowOff>
    </xdr:to>
    <xdr:graphicFrame macro="">
      <xdr:nvGraphicFramePr>
        <xdr:cNvPr id="106" name="Chart 105">
          <a:extLst>
            <a:ext uri="{FF2B5EF4-FFF2-40B4-BE49-F238E27FC236}">
              <a16:creationId xmlns:a16="http://schemas.microsoft.com/office/drawing/2014/main" id="{00000000-0008-0000-0400-00006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153682</xdr:colOff>
      <xdr:row>17</xdr:row>
      <xdr:rowOff>29753</xdr:rowOff>
    </xdr:from>
    <xdr:to>
      <xdr:col>11</xdr:col>
      <xdr:colOff>909382</xdr:colOff>
      <xdr:row>39</xdr:row>
      <xdr:rowOff>181753</xdr:rowOff>
    </xdr:to>
    <xdr:graphicFrame macro="">
      <xdr:nvGraphicFramePr>
        <xdr:cNvPr id="107" name="Chart 106">
          <a:extLst>
            <a:ext uri="{FF2B5EF4-FFF2-40B4-BE49-F238E27FC236}">
              <a16:creationId xmlns:a16="http://schemas.microsoft.com/office/drawing/2014/main" id="{00000000-0008-0000-04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698796</xdr:colOff>
      <xdr:row>60</xdr:row>
      <xdr:rowOff>84015</xdr:rowOff>
    </xdr:from>
    <xdr:to>
      <xdr:col>17</xdr:col>
      <xdr:colOff>315436</xdr:colOff>
      <xdr:row>86</xdr:row>
      <xdr:rowOff>66040</xdr:rowOff>
    </xdr:to>
    <xdr:graphicFrame macro="">
      <xdr:nvGraphicFramePr>
        <xdr:cNvPr id="108" name="Chart 107">
          <a:extLst>
            <a:ext uri="{FF2B5EF4-FFF2-40B4-BE49-F238E27FC236}">
              <a16:creationId xmlns:a16="http://schemas.microsoft.com/office/drawing/2014/main" id="{00000000-0008-0000-0400-00006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63500</xdr:colOff>
      <xdr:row>60</xdr:row>
      <xdr:rowOff>119805</xdr:rowOff>
    </xdr:from>
    <xdr:to>
      <xdr:col>6</xdr:col>
      <xdr:colOff>186800</xdr:colOff>
      <xdr:row>86</xdr:row>
      <xdr:rowOff>101830</xdr:rowOff>
    </xdr:to>
    <xdr:graphicFrame macro="">
      <xdr:nvGraphicFramePr>
        <xdr:cNvPr id="109" name="Chart 108">
          <a:extLst>
            <a:ext uri="{FF2B5EF4-FFF2-40B4-BE49-F238E27FC236}">
              <a16:creationId xmlns:a16="http://schemas.microsoft.com/office/drawing/2014/main" id="{00000000-0008-0000-04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8</xdr:row>
      <xdr:rowOff>76200</xdr:rowOff>
    </xdr:from>
    <xdr:to>
      <xdr:col>6</xdr:col>
      <xdr:colOff>165100</xdr:colOff>
      <xdr:row>40</xdr:row>
      <xdr:rowOff>255700</xdr:rowOff>
    </xdr:to>
    <xdr:sp macro="" textlink="">
      <xdr:nvSpPr>
        <xdr:cNvPr id="67" name="Rectangle 66">
          <a:extLst>
            <a:ext uri="{FF2B5EF4-FFF2-40B4-BE49-F238E27FC236}">
              <a16:creationId xmlns:a16="http://schemas.microsoft.com/office/drawing/2014/main" id="{00000000-0008-0000-0400-000043000000}"/>
            </a:ext>
          </a:extLst>
        </xdr:cNvPr>
        <xdr:cNvSpPr/>
      </xdr:nvSpPr>
      <xdr:spPr>
        <a:xfrm flipH="1">
          <a:off x="6045200" y="1689100"/>
          <a:ext cx="165100" cy="69994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914400</xdr:colOff>
      <xdr:row>8</xdr:row>
      <xdr:rowOff>38100</xdr:rowOff>
    </xdr:from>
    <xdr:to>
      <xdr:col>12</xdr:col>
      <xdr:colOff>25900</xdr:colOff>
      <xdr:row>40</xdr:row>
      <xdr:rowOff>16000</xdr:rowOff>
    </xdr:to>
    <xdr:sp macro="" textlink="">
      <xdr:nvSpPr>
        <xdr:cNvPr id="76" name="Rectangle 75">
          <a:extLst>
            <a:ext uri="{FF2B5EF4-FFF2-40B4-BE49-F238E27FC236}">
              <a16:creationId xmlns:a16="http://schemas.microsoft.com/office/drawing/2014/main" id="{00000000-0008-0000-0400-00004C000000}"/>
            </a:ext>
          </a:extLst>
        </xdr:cNvPr>
        <xdr:cNvSpPr/>
      </xdr:nvSpPr>
      <xdr:spPr>
        <a:xfrm flipH="1">
          <a:off x="12611100" y="1651000"/>
          <a:ext cx="165600" cy="67978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12698</xdr:colOff>
      <xdr:row>1</xdr:row>
      <xdr:rowOff>88899</xdr:rowOff>
    </xdr:from>
    <xdr:to>
      <xdr:col>1</xdr:col>
      <xdr:colOff>918782</xdr:colOff>
      <xdr:row>6</xdr:row>
      <xdr:rowOff>122699</xdr:rowOff>
    </xdr:to>
    <xdr:pic>
      <xdr:nvPicPr>
        <xdr:cNvPr id="120" name="Picture 119">
          <a:extLst>
            <a:ext uri="{FF2B5EF4-FFF2-40B4-BE49-F238E27FC236}">
              <a16:creationId xmlns:a16="http://schemas.microsoft.com/office/drawing/2014/main" id="{00000000-0008-0000-0400-000078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089" t="8904" r="11726" b="7991"/>
        <a:stretch/>
      </xdr:blipFill>
      <xdr:spPr bwMode="auto">
        <a:xfrm>
          <a:off x="126998" y="203199"/>
          <a:ext cx="906084" cy="1227600"/>
        </a:xfrm>
        <a:prstGeom prst="rect">
          <a:avLst/>
        </a:prstGeom>
        <a:solidFill>
          <a:schemeClr val="bg1"/>
        </a:solidFill>
        <a:ln>
          <a:noFill/>
        </a:ln>
      </xdr:spPr>
    </xdr:pic>
    <xdr:clientData/>
  </xdr:twoCellAnchor>
  <xdr:twoCellAnchor>
    <xdr:from>
      <xdr:col>1</xdr:col>
      <xdr:colOff>0</xdr:colOff>
      <xdr:row>86</xdr:row>
      <xdr:rowOff>12700</xdr:rowOff>
    </xdr:from>
    <xdr:to>
      <xdr:col>1</xdr:col>
      <xdr:colOff>827999</xdr:colOff>
      <xdr:row>87</xdr:row>
      <xdr:rowOff>65300</xdr:rowOff>
    </xdr:to>
    <xdr:sp macro="" textlink="">
      <xdr:nvSpPr>
        <xdr:cNvPr id="123" name="Rounded Rectangle 122">
          <a:hlinkClick xmlns:r="http://schemas.openxmlformats.org/officeDocument/2006/relationships" r:id="rId9"/>
          <a:extLst>
            <a:ext uri="{FF2B5EF4-FFF2-40B4-BE49-F238E27FC236}">
              <a16:creationId xmlns:a16="http://schemas.microsoft.com/office/drawing/2014/main" id="{00000000-0008-0000-0400-00007B000000}"/>
            </a:ext>
          </a:extLst>
        </xdr:cNvPr>
        <xdr:cNvSpPr/>
      </xdr:nvSpPr>
      <xdr:spPr>
        <a:xfrm>
          <a:off x="139700" y="13766800"/>
          <a:ext cx="827999" cy="2304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977900</xdr:colOff>
      <xdr:row>0</xdr:row>
      <xdr:rowOff>79375</xdr:rowOff>
    </xdr:from>
    <xdr:to>
      <xdr:col>3</xdr:col>
      <xdr:colOff>1004600</xdr:colOff>
      <xdr:row>3</xdr:row>
      <xdr:rowOff>46377</xdr:rowOff>
    </xdr:to>
    <xdr:sp macro="" textlink="">
      <xdr:nvSpPr>
        <xdr:cNvPr id="9" name="Rounded Rectangle 8">
          <a:extLst>
            <a:ext uri="{FF2B5EF4-FFF2-40B4-BE49-F238E27FC236}">
              <a16:creationId xmlns:a16="http://schemas.microsoft.com/office/drawing/2014/main" id="{00000000-0008-0000-0400-000009000000}"/>
            </a:ext>
          </a:extLst>
        </xdr:cNvPr>
        <xdr:cNvSpPr/>
      </xdr:nvSpPr>
      <xdr:spPr>
        <a:xfrm>
          <a:off x="1092200" y="79375"/>
          <a:ext cx="2350800" cy="563902"/>
        </a:xfrm>
        <a:prstGeom prst="roundRect">
          <a:avLst>
            <a:gd name="adj" fmla="val 10443"/>
          </a:avLst>
        </a:prstGeom>
        <a:noFill/>
        <a:ln w="1016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977900</xdr:colOff>
      <xdr:row>4</xdr:row>
      <xdr:rowOff>203200</xdr:rowOff>
    </xdr:from>
    <xdr:to>
      <xdr:col>4</xdr:col>
      <xdr:colOff>11045</xdr:colOff>
      <xdr:row>7</xdr:row>
      <xdr:rowOff>63500</xdr:rowOff>
    </xdr:to>
    <xdr:sp macro="" textlink="">
      <xdr:nvSpPr>
        <xdr:cNvPr id="116" name="Rounded Rectangle 115">
          <a:extLst>
            <a:ext uri="{FF2B5EF4-FFF2-40B4-BE49-F238E27FC236}">
              <a16:creationId xmlns:a16="http://schemas.microsoft.com/office/drawing/2014/main" id="{00000000-0008-0000-0400-000074000000}"/>
            </a:ext>
          </a:extLst>
        </xdr:cNvPr>
        <xdr:cNvSpPr/>
      </xdr:nvSpPr>
      <xdr:spPr>
        <a:xfrm>
          <a:off x="1092200" y="1028700"/>
          <a:ext cx="2373245" cy="571500"/>
        </a:xfrm>
        <a:prstGeom prst="roundRect">
          <a:avLst>
            <a:gd name="adj" fmla="val 10443"/>
          </a:avLst>
        </a:prstGeom>
        <a:noFill/>
        <a:ln w="1016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12700</xdr:colOff>
      <xdr:row>58</xdr:row>
      <xdr:rowOff>189110</xdr:rowOff>
    </xdr:from>
    <xdr:to>
      <xdr:col>1</xdr:col>
      <xdr:colOff>840699</xdr:colOff>
      <xdr:row>60</xdr:row>
      <xdr:rowOff>29410</xdr:rowOff>
    </xdr:to>
    <xdr:sp macro="" textlink="">
      <xdr:nvSpPr>
        <xdr:cNvPr id="113" name="Rounded Rectangle 112">
          <a:hlinkClick xmlns:r="http://schemas.openxmlformats.org/officeDocument/2006/relationships" r:id="rId9"/>
          <a:extLst>
            <a:ext uri="{FF2B5EF4-FFF2-40B4-BE49-F238E27FC236}">
              <a16:creationId xmlns:a16="http://schemas.microsoft.com/office/drawing/2014/main" id="{00000000-0008-0000-0400-000071000000}"/>
            </a:ext>
          </a:extLst>
        </xdr:cNvPr>
        <xdr:cNvSpPr/>
      </xdr:nvSpPr>
      <xdr:spPr>
        <a:xfrm>
          <a:off x="127000" y="11898510"/>
          <a:ext cx="827999" cy="2340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9161</xdr:colOff>
      <xdr:row>41</xdr:row>
      <xdr:rowOff>92103</xdr:rowOff>
    </xdr:from>
    <xdr:to>
      <xdr:col>6</xdr:col>
      <xdr:colOff>246861</xdr:colOff>
      <xdr:row>56</xdr:row>
      <xdr:rowOff>185781</xdr:rowOff>
    </xdr:to>
    <xdr:graphicFrame macro="">
      <xdr:nvGraphicFramePr>
        <xdr:cNvPr id="114" name="Chart 113">
          <a:extLst>
            <a:ext uri="{FF2B5EF4-FFF2-40B4-BE49-F238E27FC236}">
              <a16:creationId xmlns:a16="http://schemas.microsoft.com/office/drawing/2014/main" id="{00000000-0008-0000-0400-00007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194867</xdr:colOff>
      <xdr:row>41</xdr:row>
      <xdr:rowOff>92103</xdr:rowOff>
    </xdr:from>
    <xdr:to>
      <xdr:col>11</xdr:col>
      <xdr:colOff>381767</xdr:colOff>
      <xdr:row>57</xdr:row>
      <xdr:rowOff>2336</xdr:rowOff>
    </xdr:to>
    <xdr:graphicFrame macro="">
      <xdr:nvGraphicFramePr>
        <xdr:cNvPr id="117" name="Chart 116">
          <a:extLst>
            <a:ext uri="{FF2B5EF4-FFF2-40B4-BE49-F238E27FC236}">
              <a16:creationId xmlns:a16="http://schemas.microsoft.com/office/drawing/2014/main" id="{00000000-0008-0000-04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834181</xdr:colOff>
      <xdr:row>57</xdr:row>
      <xdr:rowOff>39411</xdr:rowOff>
    </xdr:from>
    <xdr:to>
      <xdr:col>3</xdr:col>
      <xdr:colOff>978181</xdr:colOff>
      <xdr:row>57</xdr:row>
      <xdr:rowOff>183411</xdr:rowOff>
    </xdr:to>
    <xdr:sp macro="" textlink="">
      <xdr:nvSpPr>
        <xdr:cNvPr id="118" name="Rectangle 117">
          <a:extLst>
            <a:ext uri="{FF2B5EF4-FFF2-40B4-BE49-F238E27FC236}">
              <a16:creationId xmlns:a16="http://schemas.microsoft.com/office/drawing/2014/main" id="{00000000-0008-0000-0400-000076000000}"/>
            </a:ext>
          </a:extLst>
        </xdr:cNvPr>
        <xdr:cNvSpPr>
          <a:spLocks/>
        </xdr:cNvSpPr>
      </xdr:nvSpPr>
      <xdr:spPr>
        <a:xfrm>
          <a:off x="3272581" y="11520211"/>
          <a:ext cx="144000" cy="14400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71269</xdr:colOff>
      <xdr:row>57</xdr:row>
      <xdr:rowOff>52111</xdr:rowOff>
    </xdr:from>
    <xdr:to>
      <xdr:col>6</xdr:col>
      <xdr:colOff>215269</xdr:colOff>
      <xdr:row>57</xdr:row>
      <xdr:rowOff>196111</xdr:rowOff>
    </xdr:to>
    <xdr:sp macro="" textlink="">
      <xdr:nvSpPr>
        <xdr:cNvPr id="119" name="Rectangle 118">
          <a:extLst>
            <a:ext uri="{FF2B5EF4-FFF2-40B4-BE49-F238E27FC236}">
              <a16:creationId xmlns:a16="http://schemas.microsoft.com/office/drawing/2014/main" id="{00000000-0008-0000-0400-000077000000}"/>
            </a:ext>
          </a:extLst>
        </xdr:cNvPr>
        <xdr:cNvSpPr>
          <a:spLocks/>
        </xdr:cNvSpPr>
      </xdr:nvSpPr>
      <xdr:spPr>
        <a:xfrm>
          <a:off x="5900569" y="11532911"/>
          <a:ext cx="144000" cy="144000"/>
        </a:xfrm>
        <a:prstGeom prst="rect">
          <a:avLst/>
        </a:prstGeom>
        <a:solidFill>
          <a:srgbClr val="00E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590532</xdr:colOff>
      <xdr:row>57</xdr:row>
      <xdr:rowOff>39411</xdr:rowOff>
    </xdr:from>
    <xdr:to>
      <xdr:col>7</xdr:col>
      <xdr:colOff>734532</xdr:colOff>
      <xdr:row>57</xdr:row>
      <xdr:rowOff>183411</xdr:rowOff>
    </xdr:to>
    <xdr:sp macro="" textlink="">
      <xdr:nvSpPr>
        <xdr:cNvPr id="121" name="Rectangle 120">
          <a:extLst>
            <a:ext uri="{FF2B5EF4-FFF2-40B4-BE49-F238E27FC236}">
              <a16:creationId xmlns:a16="http://schemas.microsoft.com/office/drawing/2014/main" id="{00000000-0008-0000-0400-000079000000}"/>
            </a:ext>
          </a:extLst>
        </xdr:cNvPr>
        <xdr:cNvSpPr>
          <a:spLocks/>
        </xdr:cNvSpPr>
      </xdr:nvSpPr>
      <xdr:spPr>
        <a:xfrm>
          <a:off x="7588232" y="11520211"/>
          <a:ext cx="144000" cy="144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1078276</xdr:colOff>
      <xdr:row>57</xdr:row>
      <xdr:rowOff>39411</xdr:rowOff>
    </xdr:from>
    <xdr:to>
      <xdr:col>9</xdr:col>
      <xdr:colOff>53876</xdr:colOff>
      <xdr:row>57</xdr:row>
      <xdr:rowOff>183411</xdr:rowOff>
    </xdr:to>
    <xdr:sp macro="" textlink="">
      <xdr:nvSpPr>
        <xdr:cNvPr id="122" name="Rectangle 121">
          <a:extLst>
            <a:ext uri="{FF2B5EF4-FFF2-40B4-BE49-F238E27FC236}">
              <a16:creationId xmlns:a16="http://schemas.microsoft.com/office/drawing/2014/main" id="{00000000-0008-0000-0400-00007A000000}"/>
            </a:ext>
          </a:extLst>
        </xdr:cNvPr>
        <xdr:cNvSpPr>
          <a:spLocks/>
        </xdr:cNvSpPr>
      </xdr:nvSpPr>
      <xdr:spPr>
        <a:xfrm>
          <a:off x="9244376" y="11520211"/>
          <a:ext cx="144000" cy="14400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10</xdr:col>
      <xdr:colOff>175294</xdr:colOff>
      <xdr:row>57</xdr:row>
      <xdr:rowOff>39411</xdr:rowOff>
    </xdr:from>
    <xdr:to>
      <xdr:col>10</xdr:col>
      <xdr:colOff>319294</xdr:colOff>
      <xdr:row>57</xdr:row>
      <xdr:rowOff>183411</xdr:rowOff>
    </xdr:to>
    <xdr:sp macro="" textlink="">
      <xdr:nvSpPr>
        <xdr:cNvPr id="124" name="Rectangle 123">
          <a:extLst>
            <a:ext uri="{FF2B5EF4-FFF2-40B4-BE49-F238E27FC236}">
              <a16:creationId xmlns:a16="http://schemas.microsoft.com/office/drawing/2014/main" id="{00000000-0008-0000-0400-00007C000000}"/>
            </a:ext>
          </a:extLst>
        </xdr:cNvPr>
        <xdr:cNvSpPr>
          <a:spLocks/>
        </xdr:cNvSpPr>
      </xdr:nvSpPr>
      <xdr:spPr>
        <a:xfrm>
          <a:off x="10678194" y="11520211"/>
          <a:ext cx="144000" cy="144000"/>
        </a:xfrm>
        <a:prstGeom prst="rect">
          <a:avLst/>
        </a:prstGeom>
        <a:solidFill>
          <a:srgbClr val="8A6AE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398174</xdr:colOff>
      <xdr:row>57</xdr:row>
      <xdr:rowOff>39411</xdr:rowOff>
    </xdr:from>
    <xdr:to>
      <xdr:col>11</xdr:col>
      <xdr:colOff>542174</xdr:colOff>
      <xdr:row>57</xdr:row>
      <xdr:rowOff>183411</xdr:rowOff>
    </xdr:to>
    <xdr:sp macro="" textlink="">
      <xdr:nvSpPr>
        <xdr:cNvPr id="125" name="Rectangle 124">
          <a:extLst>
            <a:ext uri="{FF2B5EF4-FFF2-40B4-BE49-F238E27FC236}">
              <a16:creationId xmlns:a16="http://schemas.microsoft.com/office/drawing/2014/main" id="{00000000-0008-0000-0400-00007D000000}"/>
            </a:ext>
          </a:extLst>
        </xdr:cNvPr>
        <xdr:cNvSpPr>
          <a:spLocks/>
        </xdr:cNvSpPr>
      </xdr:nvSpPr>
      <xdr:spPr>
        <a:xfrm>
          <a:off x="11980574" y="11520211"/>
          <a:ext cx="144000" cy="144000"/>
        </a:xfrm>
        <a:prstGeom prst="rect">
          <a:avLst/>
        </a:prstGeom>
        <a:solidFill>
          <a:srgbClr val="72C5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426913</xdr:colOff>
      <xdr:row>57</xdr:row>
      <xdr:rowOff>39408</xdr:rowOff>
    </xdr:from>
    <xdr:to>
      <xdr:col>13</xdr:col>
      <xdr:colOff>570913</xdr:colOff>
      <xdr:row>57</xdr:row>
      <xdr:rowOff>183408</xdr:rowOff>
    </xdr:to>
    <xdr:sp macro="" textlink="">
      <xdr:nvSpPr>
        <xdr:cNvPr id="126" name="Rectangle 125">
          <a:extLst>
            <a:ext uri="{FF2B5EF4-FFF2-40B4-BE49-F238E27FC236}">
              <a16:creationId xmlns:a16="http://schemas.microsoft.com/office/drawing/2014/main" id="{00000000-0008-0000-0400-00007E000000}"/>
            </a:ext>
          </a:extLst>
        </xdr:cNvPr>
        <xdr:cNvSpPr>
          <a:spLocks/>
        </xdr:cNvSpPr>
      </xdr:nvSpPr>
      <xdr:spPr>
        <a:xfrm>
          <a:off x="14117513" y="11520208"/>
          <a:ext cx="144000" cy="144000"/>
        </a:xfrm>
        <a:prstGeom prst="rect">
          <a:avLst/>
        </a:prstGeom>
        <a:solidFill>
          <a:srgbClr val="D2E9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13</xdr:col>
      <xdr:colOff>1017724</xdr:colOff>
      <xdr:row>57</xdr:row>
      <xdr:rowOff>39419</xdr:rowOff>
    </xdr:from>
    <xdr:to>
      <xdr:col>14</xdr:col>
      <xdr:colOff>107624</xdr:colOff>
      <xdr:row>57</xdr:row>
      <xdr:rowOff>183419</xdr:rowOff>
    </xdr:to>
    <xdr:sp macro="" textlink="">
      <xdr:nvSpPr>
        <xdr:cNvPr id="127" name="Rectangle 126">
          <a:extLst>
            <a:ext uri="{FF2B5EF4-FFF2-40B4-BE49-F238E27FC236}">
              <a16:creationId xmlns:a16="http://schemas.microsoft.com/office/drawing/2014/main" id="{00000000-0008-0000-0400-00007F000000}"/>
            </a:ext>
          </a:extLst>
        </xdr:cNvPr>
        <xdr:cNvSpPr>
          <a:spLocks/>
        </xdr:cNvSpPr>
      </xdr:nvSpPr>
      <xdr:spPr>
        <a:xfrm>
          <a:off x="14708324" y="11520219"/>
          <a:ext cx="144000" cy="14400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21167</xdr:colOff>
      <xdr:row>58</xdr:row>
      <xdr:rowOff>30187</xdr:rowOff>
    </xdr:from>
    <xdr:to>
      <xdr:col>3</xdr:col>
      <xdr:colOff>165167</xdr:colOff>
      <xdr:row>58</xdr:row>
      <xdr:rowOff>174187</xdr:rowOff>
    </xdr:to>
    <xdr:sp macro="" textlink="">
      <xdr:nvSpPr>
        <xdr:cNvPr id="128" name="Rectangle 127">
          <a:extLst>
            <a:ext uri="{FF2B5EF4-FFF2-40B4-BE49-F238E27FC236}">
              <a16:creationId xmlns:a16="http://schemas.microsoft.com/office/drawing/2014/main" id="{00000000-0008-0000-0400-000080000000}"/>
            </a:ext>
          </a:extLst>
        </xdr:cNvPr>
        <xdr:cNvSpPr>
          <a:spLocks/>
        </xdr:cNvSpPr>
      </xdr:nvSpPr>
      <xdr:spPr>
        <a:xfrm>
          <a:off x="2459567" y="11714187"/>
          <a:ext cx="144000" cy="144000"/>
        </a:xfrm>
        <a:prstGeom prst="rect">
          <a:avLst/>
        </a:prstGeom>
        <a:solidFill>
          <a:srgbClr val="9E48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557478</xdr:colOff>
      <xdr:row>58</xdr:row>
      <xdr:rowOff>32525</xdr:rowOff>
    </xdr:from>
    <xdr:to>
      <xdr:col>4</xdr:col>
      <xdr:colOff>701478</xdr:colOff>
      <xdr:row>58</xdr:row>
      <xdr:rowOff>176525</xdr:rowOff>
    </xdr:to>
    <xdr:sp macro="" textlink="">
      <xdr:nvSpPr>
        <xdr:cNvPr id="129" name="Rectangle 128">
          <a:extLst>
            <a:ext uri="{FF2B5EF4-FFF2-40B4-BE49-F238E27FC236}">
              <a16:creationId xmlns:a16="http://schemas.microsoft.com/office/drawing/2014/main" id="{00000000-0008-0000-0400-000081000000}"/>
            </a:ext>
          </a:extLst>
        </xdr:cNvPr>
        <xdr:cNvSpPr>
          <a:spLocks/>
        </xdr:cNvSpPr>
      </xdr:nvSpPr>
      <xdr:spPr>
        <a:xfrm>
          <a:off x="4011878" y="11716525"/>
          <a:ext cx="144000" cy="144000"/>
        </a:xfrm>
        <a:prstGeom prst="rect">
          <a:avLst/>
        </a:prstGeom>
        <a:solidFill>
          <a:srgbClr val="6363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135259</xdr:colOff>
      <xdr:row>58</xdr:row>
      <xdr:rowOff>32664</xdr:rowOff>
    </xdr:from>
    <xdr:to>
      <xdr:col>6</xdr:col>
      <xdr:colOff>279259</xdr:colOff>
      <xdr:row>58</xdr:row>
      <xdr:rowOff>176664</xdr:rowOff>
    </xdr:to>
    <xdr:sp macro="" textlink="">
      <xdr:nvSpPr>
        <xdr:cNvPr id="130" name="Rectangle 129">
          <a:extLst>
            <a:ext uri="{FF2B5EF4-FFF2-40B4-BE49-F238E27FC236}">
              <a16:creationId xmlns:a16="http://schemas.microsoft.com/office/drawing/2014/main" id="{00000000-0008-0000-0400-000082000000}"/>
            </a:ext>
          </a:extLst>
        </xdr:cNvPr>
        <xdr:cNvSpPr>
          <a:spLocks/>
        </xdr:cNvSpPr>
      </xdr:nvSpPr>
      <xdr:spPr>
        <a:xfrm>
          <a:off x="5964559" y="11716664"/>
          <a:ext cx="144000" cy="144000"/>
        </a:xfrm>
        <a:prstGeom prst="rect">
          <a:avLst/>
        </a:prstGeom>
        <a:solidFill>
          <a:srgbClr val="997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464239</xdr:colOff>
      <xdr:row>58</xdr:row>
      <xdr:rowOff>34956</xdr:rowOff>
    </xdr:from>
    <xdr:to>
      <xdr:col>8</xdr:col>
      <xdr:colOff>608239</xdr:colOff>
      <xdr:row>58</xdr:row>
      <xdr:rowOff>178956</xdr:rowOff>
    </xdr:to>
    <xdr:sp macro="" textlink="">
      <xdr:nvSpPr>
        <xdr:cNvPr id="131" name="Rectangle 130">
          <a:extLst>
            <a:ext uri="{FF2B5EF4-FFF2-40B4-BE49-F238E27FC236}">
              <a16:creationId xmlns:a16="http://schemas.microsoft.com/office/drawing/2014/main" id="{00000000-0008-0000-0400-000083000000}"/>
            </a:ext>
          </a:extLst>
        </xdr:cNvPr>
        <xdr:cNvSpPr>
          <a:spLocks/>
        </xdr:cNvSpPr>
      </xdr:nvSpPr>
      <xdr:spPr>
        <a:xfrm>
          <a:off x="8630339" y="11718956"/>
          <a:ext cx="144000" cy="144000"/>
        </a:xfrm>
        <a:prstGeom prst="rect">
          <a:avLst/>
        </a:prstGeom>
        <a:solidFill>
          <a:srgbClr val="F878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9</xdr:col>
      <xdr:colOff>320840</xdr:colOff>
      <xdr:row>58</xdr:row>
      <xdr:rowOff>33577</xdr:rowOff>
    </xdr:from>
    <xdr:to>
      <xdr:col>9</xdr:col>
      <xdr:colOff>464840</xdr:colOff>
      <xdr:row>58</xdr:row>
      <xdr:rowOff>177577</xdr:rowOff>
    </xdr:to>
    <xdr:sp macro="" textlink="">
      <xdr:nvSpPr>
        <xdr:cNvPr id="132" name="Rectangle 131">
          <a:extLst>
            <a:ext uri="{FF2B5EF4-FFF2-40B4-BE49-F238E27FC236}">
              <a16:creationId xmlns:a16="http://schemas.microsoft.com/office/drawing/2014/main" id="{00000000-0008-0000-0400-000084000000}"/>
            </a:ext>
          </a:extLst>
        </xdr:cNvPr>
        <xdr:cNvSpPr>
          <a:spLocks/>
        </xdr:cNvSpPr>
      </xdr:nvSpPr>
      <xdr:spPr>
        <a:xfrm>
          <a:off x="9655340" y="11717577"/>
          <a:ext cx="144000" cy="144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269125</xdr:colOff>
      <xdr:row>58</xdr:row>
      <xdr:rowOff>33577</xdr:rowOff>
    </xdr:from>
    <xdr:to>
      <xdr:col>11</xdr:col>
      <xdr:colOff>413125</xdr:colOff>
      <xdr:row>58</xdr:row>
      <xdr:rowOff>177577</xdr:rowOff>
    </xdr:to>
    <xdr:sp macro="" textlink="">
      <xdr:nvSpPr>
        <xdr:cNvPr id="133" name="Rectangle 132">
          <a:extLst>
            <a:ext uri="{FF2B5EF4-FFF2-40B4-BE49-F238E27FC236}">
              <a16:creationId xmlns:a16="http://schemas.microsoft.com/office/drawing/2014/main" id="{00000000-0008-0000-0400-000085000000}"/>
            </a:ext>
          </a:extLst>
        </xdr:cNvPr>
        <xdr:cNvSpPr>
          <a:spLocks/>
        </xdr:cNvSpPr>
      </xdr:nvSpPr>
      <xdr:spPr>
        <a:xfrm>
          <a:off x="11851525" y="11717577"/>
          <a:ext cx="144000" cy="144000"/>
        </a:xfrm>
        <a:prstGeom prst="rect">
          <a:avLst/>
        </a:prstGeom>
        <a:solidFill>
          <a:srgbClr val="F297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12</xdr:col>
      <xdr:colOff>955695</xdr:colOff>
      <xdr:row>58</xdr:row>
      <xdr:rowOff>33573</xdr:rowOff>
    </xdr:from>
    <xdr:to>
      <xdr:col>13</xdr:col>
      <xdr:colOff>45595</xdr:colOff>
      <xdr:row>58</xdr:row>
      <xdr:rowOff>177573</xdr:rowOff>
    </xdr:to>
    <xdr:sp macro="" textlink="">
      <xdr:nvSpPr>
        <xdr:cNvPr id="134" name="Rectangle 133">
          <a:extLst>
            <a:ext uri="{FF2B5EF4-FFF2-40B4-BE49-F238E27FC236}">
              <a16:creationId xmlns:a16="http://schemas.microsoft.com/office/drawing/2014/main" id="{00000000-0008-0000-0400-000086000000}"/>
            </a:ext>
          </a:extLst>
        </xdr:cNvPr>
        <xdr:cNvSpPr>
          <a:spLocks/>
        </xdr:cNvSpPr>
      </xdr:nvSpPr>
      <xdr:spPr>
        <a:xfrm>
          <a:off x="13592195" y="11717573"/>
          <a:ext cx="144000" cy="144000"/>
        </a:xfrm>
        <a:prstGeom prst="rect">
          <a:avLst/>
        </a:prstGeom>
        <a:solidFill>
          <a:srgbClr val="B7B7B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14</xdr:col>
      <xdr:colOff>1001124</xdr:colOff>
      <xdr:row>58</xdr:row>
      <xdr:rowOff>33579</xdr:rowOff>
    </xdr:from>
    <xdr:to>
      <xdr:col>15</xdr:col>
      <xdr:colOff>91024</xdr:colOff>
      <xdr:row>58</xdr:row>
      <xdr:rowOff>177579</xdr:rowOff>
    </xdr:to>
    <xdr:sp macro="" textlink="">
      <xdr:nvSpPr>
        <xdr:cNvPr id="135" name="Rectangle 134">
          <a:extLst>
            <a:ext uri="{FF2B5EF4-FFF2-40B4-BE49-F238E27FC236}">
              <a16:creationId xmlns:a16="http://schemas.microsoft.com/office/drawing/2014/main" id="{00000000-0008-0000-0400-000087000000}"/>
            </a:ext>
          </a:extLst>
        </xdr:cNvPr>
        <xdr:cNvSpPr>
          <a:spLocks/>
        </xdr:cNvSpPr>
      </xdr:nvSpPr>
      <xdr:spPr>
        <a:xfrm>
          <a:off x="15745824" y="11717579"/>
          <a:ext cx="144000" cy="144000"/>
        </a:xfrm>
        <a:prstGeom prst="rect">
          <a:avLst/>
        </a:prstGeom>
        <a:solidFill>
          <a:srgbClr val="78D1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11</xdr:col>
      <xdr:colOff>939800</xdr:colOff>
      <xdr:row>41</xdr:row>
      <xdr:rowOff>96838</xdr:rowOff>
    </xdr:from>
    <xdr:to>
      <xdr:col>12</xdr:col>
      <xdr:colOff>27600</xdr:colOff>
      <xdr:row>57</xdr:row>
      <xdr:rowOff>538</xdr:rowOff>
    </xdr:to>
    <xdr:sp macro="" textlink="">
      <xdr:nvSpPr>
        <xdr:cNvPr id="136" name="Rectangle 135">
          <a:extLst>
            <a:ext uri="{FF2B5EF4-FFF2-40B4-BE49-F238E27FC236}">
              <a16:creationId xmlns:a16="http://schemas.microsoft.com/office/drawing/2014/main" id="{00000000-0008-0000-0400-000088000000}"/>
            </a:ext>
          </a:extLst>
        </xdr:cNvPr>
        <xdr:cNvSpPr/>
      </xdr:nvSpPr>
      <xdr:spPr>
        <a:xfrm flipH="1">
          <a:off x="12522200" y="19108738"/>
          <a:ext cx="141900" cy="2799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40</xdr:row>
      <xdr:rowOff>12700</xdr:rowOff>
    </xdr:from>
    <xdr:to>
      <xdr:col>1</xdr:col>
      <xdr:colOff>827999</xdr:colOff>
      <xdr:row>41</xdr:row>
      <xdr:rowOff>97900</xdr:rowOff>
    </xdr:to>
    <xdr:sp macro="" textlink="">
      <xdr:nvSpPr>
        <xdr:cNvPr id="137" name="Rounded Rectangle 136">
          <a:hlinkClick xmlns:r="http://schemas.openxmlformats.org/officeDocument/2006/relationships" r:id="rId9"/>
          <a:extLst>
            <a:ext uri="{FF2B5EF4-FFF2-40B4-BE49-F238E27FC236}">
              <a16:creationId xmlns:a16="http://schemas.microsoft.com/office/drawing/2014/main" id="{00000000-0008-0000-0400-000089000000}"/>
            </a:ext>
          </a:extLst>
        </xdr:cNvPr>
        <xdr:cNvSpPr/>
      </xdr:nvSpPr>
      <xdr:spPr>
        <a:xfrm>
          <a:off x="114300" y="8445500"/>
          <a:ext cx="827999" cy="237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To the top</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11</xdr:col>
      <xdr:colOff>351309</xdr:colOff>
      <xdr:row>41</xdr:row>
      <xdr:rowOff>92103</xdr:rowOff>
    </xdr:from>
    <xdr:to>
      <xdr:col>16</xdr:col>
      <xdr:colOff>1049609</xdr:colOff>
      <xdr:row>57</xdr:row>
      <xdr:rowOff>2336</xdr:rowOff>
    </xdr:to>
    <xdr:graphicFrame macro="">
      <xdr:nvGraphicFramePr>
        <xdr:cNvPr id="138" name="Chart 137">
          <a:extLst>
            <a:ext uri="{FF2B5EF4-FFF2-40B4-BE49-F238E27FC236}">
              <a16:creationId xmlns:a16="http://schemas.microsoft.com/office/drawing/2014/main" id="{00000000-0008-0000-04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469900</xdr:colOff>
      <xdr:row>2</xdr:row>
      <xdr:rowOff>0</xdr:rowOff>
    </xdr:from>
    <xdr:to>
      <xdr:col>14</xdr:col>
      <xdr:colOff>802100</xdr:colOff>
      <xdr:row>3</xdr:row>
      <xdr:rowOff>138600</xdr:rowOff>
    </xdr:to>
    <xdr:grpSp>
      <xdr:nvGrpSpPr>
        <xdr:cNvPr id="139" name="Group 138">
          <a:extLst>
            <a:ext uri="{FF2B5EF4-FFF2-40B4-BE49-F238E27FC236}">
              <a16:creationId xmlns:a16="http://schemas.microsoft.com/office/drawing/2014/main" id="{00000000-0008-0000-0400-00008B000000}"/>
            </a:ext>
          </a:extLst>
        </xdr:cNvPr>
        <xdr:cNvGrpSpPr/>
      </xdr:nvGrpSpPr>
      <xdr:grpSpPr>
        <a:xfrm>
          <a:off x="13106400" y="368300"/>
          <a:ext cx="2440400" cy="367200"/>
          <a:chOff x="9664700" y="546100"/>
          <a:chExt cx="2491200" cy="451700"/>
        </a:xfrm>
      </xdr:grpSpPr>
      <xdr:sp macro="" textlink="">
        <xdr:nvSpPr>
          <xdr:cNvPr id="140" name="Rounded Rectangle 139">
            <a:extLst>
              <a:ext uri="{FF2B5EF4-FFF2-40B4-BE49-F238E27FC236}">
                <a16:creationId xmlns:a16="http://schemas.microsoft.com/office/drawing/2014/main" id="{00000000-0008-0000-0400-00008C000000}"/>
              </a:ext>
            </a:extLst>
          </xdr:cNvPr>
          <xdr:cNvSpPr/>
        </xdr:nvSpPr>
        <xdr:spPr>
          <a:xfrm>
            <a:off x="9664700" y="546100"/>
            <a:ext cx="2491200" cy="4517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1" name="Rounded Rectangle 140">
            <a:hlinkClick xmlns:r="http://schemas.openxmlformats.org/officeDocument/2006/relationships" r:id="rId1"/>
            <a:extLst>
              <a:ext uri="{FF2B5EF4-FFF2-40B4-BE49-F238E27FC236}">
                <a16:creationId xmlns:a16="http://schemas.microsoft.com/office/drawing/2014/main" id="{00000000-0008-0000-0400-00008D000000}"/>
              </a:ext>
            </a:extLst>
          </xdr:cNvPr>
          <xdr:cNvSpPr/>
        </xdr:nvSpPr>
        <xdr:spPr>
          <a:xfrm>
            <a:off x="9725811" y="607863"/>
            <a:ext cx="2354400" cy="318641"/>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MEAL ENTRY WEEK 1</a:t>
            </a:r>
          </a:p>
        </xdr:txBody>
      </xdr:sp>
    </xdr:grpSp>
    <xdr:clientData/>
  </xdr:twoCellAnchor>
  <xdr:twoCellAnchor>
    <xdr:from>
      <xdr:col>12</xdr:col>
      <xdr:colOff>482600</xdr:colOff>
      <xdr:row>4</xdr:row>
      <xdr:rowOff>101600</xdr:rowOff>
    </xdr:from>
    <xdr:to>
      <xdr:col>14</xdr:col>
      <xdr:colOff>814800</xdr:colOff>
      <xdr:row>5</xdr:row>
      <xdr:rowOff>214800</xdr:rowOff>
    </xdr:to>
    <xdr:grpSp>
      <xdr:nvGrpSpPr>
        <xdr:cNvPr id="142" name="Group 141">
          <a:extLst>
            <a:ext uri="{FF2B5EF4-FFF2-40B4-BE49-F238E27FC236}">
              <a16:creationId xmlns:a16="http://schemas.microsoft.com/office/drawing/2014/main" id="{00000000-0008-0000-0400-00008E000000}"/>
            </a:ext>
          </a:extLst>
        </xdr:cNvPr>
        <xdr:cNvGrpSpPr/>
      </xdr:nvGrpSpPr>
      <xdr:grpSpPr>
        <a:xfrm>
          <a:off x="13119100" y="927100"/>
          <a:ext cx="2440400" cy="367200"/>
          <a:chOff x="9664700" y="546100"/>
          <a:chExt cx="2491200" cy="451700"/>
        </a:xfrm>
      </xdr:grpSpPr>
      <xdr:sp macro="" textlink="">
        <xdr:nvSpPr>
          <xdr:cNvPr id="143" name="Rounded Rectangle 142">
            <a:extLst>
              <a:ext uri="{FF2B5EF4-FFF2-40B4-BE49-F238E27FC236}">
                <a16:creationId xmlns:a16="http://schemas.microsoft.com/office/drawing/2014/main" id="{00000000-0008-0000-0400-00008F000000}"/>
              </a:ext>
            </a:extLst>
          </xdr:cNvPr>
          <xdr:cNvSpPr/>
        </xdr:nvSpPr>
        <xdr:spPr>
          <a:xfrm>
            <a:off x="9664700" y="546100"/>
            <a:ext cx="2491200" cy="4517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4" name="Rounded Rectangle 143">
            <a:hlinkClick xmlns:r="http://schemas.openxmlformats.org/officeDocument/2006/relationships" r:id="rId1"/>
            <a:extLst>
              <a:ext uri="{FF2B5EF4-FFF2-40B4-BE49-F238E27FC236}">
                <a16:creationId xmlns:a16="http://schemas.microsoft.com/office/drawing/2014/main" id="{00000000-0008-0000-0400-000090000000}"/>
              </a:ext>
            </a:extLst>
          </xdr:cNvPr>
          <xdr:cNvSpPr/>
        </xdr:nvSpPr>
        <xdr:spPr>
          <a:xfrm>
            <a:off x="9725811" y="607863"/>
            <a:ext cx="2354400" cy="318641"/>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MEAL ENTRY WEEK 2</a:t>
            </a:r>
          </a:p>
        </xdr:txBody>
      </xdr:sp>
    </xdr:grpSp>
    <xdr:clientData/>
  </xdr:twoCellAnchor>
  <xdr:twoCellAnchor>
    <xdr:from>
      <xdr:col>10</xdr:col>
      <xdr:colOff>88900</xdr:colOff>
      <xdr:row>4</xdr:row>
      <xdr:rowOff>101600</xdr:rowOff>
    </xdr:from>
    <xdr:to>
      <xdr:col>12</xdr:col>
      <xdr:colOff>395700</xdr:colOff>
      <xdr:row>5</xdr:row>
      <xdr:rowOff>214800</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10591800" y="927100"/>
          <a:ext cx="2440400" cy="367200"/>
          <a:chOff x="9664700" y="546100"/>
          <a:chExt cx="2491200" cy="451700"/>
        </a:xfrm>
      </xdr:grpSpPr>
      <xdr:sp macro="" textlink="">
        <xdr:nvSpPr>
          <xdr:cNvPr id="146" name="Rounded Rectangle 145">
            <a:extLst>
              <a:ext uri="{FF2B5EF4-FFF2-40B4-BE49-F238E27FC236}">
                <a16:creationId xmlns:a16="http://schemas.microsoft.com/office/drawing/2014/main" id="{00000000-0008-0000-0400-000092000000}"/>
              </a:ext>
            </a:extLst>
          </xdr:cNvPr>
          <xdr:cNvSpPr/>
        </xdr:nvSpPr>
        <xdr:spPr>
          <a:xfrm>
            <a:off x="9664700" y="546100"/>
            <a:ext cx="2491200" cy="4517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7" name="Rounded Rectangle 146">
            <a:hlinkClick xmlns:r="http://schemas.openxmlformats.org/officeDocument/2006/relationships" r:id="rId1"/>
            <a:extLst>
              <a:ext uri="{FF2B5EF4-FFF2-40B4-BE49-F238E27FC236}">
                <a16:creationId xmlns:a16="http://schemas.microsoft.com/office/drawing/2014/main" id="{00000000-0008-0000-0400-000093000000}"/>
              </a:ext>
            </a:extLst>
          </xdr:cNvPr>
          <xdr:cNvSpPr/>
        </xdr:nvSpPr>
        <xdr:spPr>
          <a:xfrm>
            <a:off x="9725811" y="607863"/>
            <a:ext cx="2354400" cy="318641"/>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WEEKLY FOOD QUANTITIES</a:t>
            </a:r>
          </a:p>
        </xdr:txBody>
      </xdr:sp>
    </xdr:grpSp>
    <xdr:clientData/>
  </xdr:twoCellAnchor>
  <xdr:twoCellAnchor>
    <xdr:from>
      <xdr:col>14</xdr:col>
      <xdr:colOff>876300</xdr:colOff>
      <xdr:row>3</xdr:row>
      <xdr:rowOff>38100</xdr:rowOff>
    </xdr:from>
    <xdr:to>
      <xdr:col>17</xdr:col>
      <xdr:colOff>154400</xdr:colOff>
      <xdr:row>4</xdr:row>
      <xdr:rowOff>176700</xdr:rowOff>
    </xdr:to>
    <xdr:grpSp>
      <xdr:nvGrpSpPr>
        <xdr:cNvPr id="148" name="Group 147">
          <a:extLst>
            <a:ext uri="{FF2B5EF4-FFF2-40B4-BE49-F238E27FC236}">
              <a16:creationId xmlns:a16="http://schemas.microsoft.com/office/drawing/2014/main" id="{00000000-0008-0000-0400-000094000000}"/>
            </a:ext>
          </a:extLst>
        </xdr:cNvPr>
        <xdr:cNvGrpSpPr/>
      </xdr:nvGrpSpPr>
      <xdr:grpSpPr>
        <a:xfrm>
          <a:off x="15621000" y="635000"/>
          <a:ext cx="2440400" cy="367200"/>
          <a:chOff x="9664700" y="546100"/>
          <a:chExt cx="2491200" cy="451700"/>
        </a:xfrm>
      </xdr:grpSpPr>
      <xdr:sp macro="" textlink="">
        <xdr:nvSpPr>
          <xdr:cNvPr id="149" name="Rounded Rectangle 148">
            <a:extLst>
              <a:ext uri="{FF2B5EF4-FFF2-40B4-BE49-F238E27FC236}">
                <a16:creationId xmlns:a16="http://schemas.microsoft.com/office/drawing/2014/main" id="{00000000-0008-0000-0400-000095000000}"/>
              </a:ext>
            </a:extLst>
          </xdr:cNvPr>
          <xdr:cNvSpPr/>
        </xdr:nvSpPr>
        <xdr:spPr>
          <a:xfrm>
            <a:off x="9664700" y="546100"/>
            <a:ext cx="2491200" cy="451700"/>
          </a:xfrm>
          <a:prstGeom prst="roundRect">
            <a:avLst>
              <a:gd name="adj" fmla="val 37180"/>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0" name="Rounded Rectangle 149">
            <a:hlinkClick xmlns:r="http://schemas.openxmlformats.org/officeDocument/2006/relationships" r:id="rId1"/>
            <a:extLst>
              <a:ext uri="{FF2B5EF4-FFF2-40B4-BE49-F238E27FC236}">
                <a16:creationId xmlns:a16="http://schemas.microsoft.com/office/drawing/2014/main" id="{00000000-0008-0000-0400-000096000000}"/>
              </a:ext>
            </a:extLst>
          </xdr:cNvPr>
          <xdr:cNvSpPr/>
        </xdr:nvSpPr>
        <xdr:spPr>
          <a:xfrm>
            <a:off x="9725811" y="607863"/>
            <a:ext cx="2354400" cy="318641"/>
          </a:xfrm>
          <a:prstGeom prst="roundRect">
            <a:avLst>
              <a:gd name="adj" fmla="val 32901"/>
            </a:avLst>
          </a:prstGeom>
          <a:solidFill>
            <a:schemeClr val="bg1"/>
          </a:solidFill>
          <a:ln w="1270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61200" rtlCol="0" anchor="ctr"/>
          <a:lstStyle/>
          <a:p>
            <a:pPr algn="ctr"/>
            <a:r>
              <a:rPr lang="en-GB" sz="1300" b="0" i="0">
                <a:solidFill>
                  <a:schemeClr val="tx1"/>
                </a:solidFill>
                <a:latin typeface="Arial" panose="020B0604020202020204" pitchFamily="34" charset="0"/>
                <a:cs typeface="Arial" panose="020B0604020202020204" pitchFamily="34" charset="0"/>
              </a:rPr>
              <a:t>INGREDIENT PRICES</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0.07574</cdr:x>
      <cdr:y>0.32669</cdr:y>
    </cdr:from>
    <cdr:to>
      <cdr:x>0.98218</cdr:x>
      <cdr:y>0.32741</cdr:y>
    </cdr:to>
    <cdr:cxnSp macro="">
      <cdr:nvCxnSpPr>
        <cdr:cNvPr id="2" name="Straight Connector 1">
          <a:extLst xmlns:a="http://schemas.openxmlformats.org/drawingml/2006/main">
            <a:ext uri="{FF2B5EF4-FFF2-40B4-BE49-F238E27FC236}">
              <a16:creationId xmlns:a16="http://schemas.microsoft.com/office/drawing/2014/main" id="{627101F7-A7E0-684A-91F3-A7AEFB408B88}"/>
            </a:ext>
          </a:extLst>
        </cdr:cNvPr>
        <cdr:cNvCxnSpPr/>
      </cdr:nvCxnSpPr>
      <cdr:spPr>
        <a:xfrm xmlns:a="http://schemas.openxmlformats.org/drawingml/2006/main">
          <a:off x="491635" y="1638847"/>
          <a:ext cx="5883521" cy="361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0.90656</cdr:x>
      <cdr:y>0.20687</cdr:y>
    </cdr:from>
    <cdr:to>
      <cdr:x>0.93215</cdr:x>
      <cdr:y>0.83795</cdr:y>
    </cdr:to>
    <cdr:grpSp>
      <cdr:nvGrpSpPr>
        <cdr:cNvPr id="18" name="Group 17">
          <a:extLst xmlns:a="http://schemas.openxmlformats.org/drawingml/2006/main">
            <a:ext uri="{FF2B5EF4-FFF2-40B4-BE49-F238E27FC236}">
              <a16:creationId xmlns:a16="http://schemas.microsoft.com/office/drawing/2014/main" id="{FABF9676-CEE5-6A44-BFA3-B53921769AE0}"/>
            </a:ext>
          </a:extLst>
        </cdr:cNvPr>
        <cdr:cNvGrpSpPr/>
      </cdr:nvGrpSpPr>
      <cdr:grpSpPr>
        <a:xfrm xmlns:a="http://schemas.openxmlformats.org/drawingml/2006/main">
          <a:off x="5318905" y="1044652"/>
          <a:ext cx="150140" cy="3186829"/>
          <a:chOff x="5533322" y="914312"/>
          <a:chExt cx="162000" cy="3364267"/>
        </a:xfrm>
      </cdr:grpSpPr>
      <cdr:sp macro="" textlink="">
        <cdr:nvSpPr>
          <cdr:cNvPr id="2" name="Rectangle 1">
            <a:extLst xmlns:a="http://schemas.openxmlformats.org/drawingml/2006/main">
              <a:ext uri="{FF2B5EF4-FFF2-40B4-BE49-F238E27FC236}">
                <a16:creationId xmlns:a16="http://schemas.microsoft.com/office/drawing/2014/main" id="{D3D4FC12-A188-FE4C-B278-85003C6519DC}"/>
              </a:ext>
            </a:extLst>
          </cdr:cNvPr>
          <cdr:cNvSpPr>
            <a:spLocks xmlns:a="http://schemas.openxmlformats.org/drawingml/2006/main"/>
          </cdr:cNvSpPr>
        </cdr:nvSpPr>
        <cdr:spPr>
          <a:xfrm xmlns:a="http://schemas.openxmlformats.org/drawingml/2006/main">
            <a:off x="5533322" y="914312"/>
            <a:ext cx="162000" cy="160851"/>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3" name="Rectangle 2">
            <a:extLst xmlns:a="http://schemas.openxmlformats.org/drawingml/2006/main">
              <a:ext uri="{FF2B5EF4-FFF2-40B4-BE49-F238E27FC236}">
                <a16:creationId xmlns:a16="http://schemas.microsoft.com/office/drawing/2014/main" id="{66943C15-195F-7544-B33C-CFD643B5B3C2}"/>
              </a:ext>
            </a:extLst>
          </cdr:cNvPr>
          <cdr:cNvSpPr>
            <a:spLocks xmlns:a="http://schemas.openxmlformats.org/drawingml/2006/main"/>
          </cdr:cNvSpPr>
        </cdr:nvSpPr>
        <cdr:spPr>
          <a:xfrm xmlns:a="http://schemas.openxmlformats.org/drawingml/2006/main">
            <a:off x="5533322" y="1127874"/>
            <a:ext cx="162000" cy="160850"/>
          </a:xfrm>
          <a:prstGeom xmlns:a="http://schemas.openxmlformats.org/drawingml/2006/main" prst="rect">
            <a:avLst/>
          </a:prstGeom>
          <a:solidFill xmlns:a="http://schemas.openxmlformats.org/drawingml/2006/main">
            <a:srgbClr val="00E56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4" name="Rectangle 3">
            <a:extLst xmlns:a="http://schemas.openxmlformats.org/drawingml/2006/main">
              <a:ext uri="{FF2B5EF4-FFF2-40B4-BE49-F238E27FC236}">
                <a16:creationId xmlns:a16="http://schemas.microsoft.com/office/drawing/2014/main" id="{C3A0FDD9-0604-B647-82EA-50908E20796A}"/>
              </a:ext>
            </a:extLst>
          </cdr:cNvPr>
          <cdr:cNvSpPr>
            <a:spLocks xmlns:a="http://schemas.openxmlformats.org/drawingml/2006/main"/>
          </cdr:cNvSpPr>
        </cdr:nvSpPr>
        <cdr:spPr>
          <a:xfrm xmlns:a="http://schemas.openxmlformats.org/drawingml/2006/main">
            <a:off x="5533322" y="1341435"/>
            <a:ext cx="162000" cy="160850"/>
          </a:xfrm>
          <a:prstGeom xmlns:a="http://schemas.openxmlformats.org/drawingml/2006/main" prst="rect">
            <a:avLst/>
          </a:prstGeom>
          <a:solidFill xmlns:a="http://schemas.openxmlformats.org/drawingml/2006/main">
            <a:schemeClr val="accent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5" name="Rectangle 4">
            <a:extLst xmlns:a="http://schemas.openxmlformats.org/drawingml/2006/main">
              <a:ext uri="{FF2B5EF4-FFF2-40B4-BE49-F238E27FC236}">
                <a16:creationId xmlns:a16="http://schemas.microsoft.com/office/drawing/2014/main" id="{A673CD1C-F331-714B-94CD-B598CE8DB6EA}"/>
              </a:ext>
            </a:extLst>
          </cdr:cNvPr>
          <cdr:cNvSpPr>
            <a:spLocks xmlns:a="http://schemas.openxmlformats.org/drawingml/2006/main"/>
          </cdr:cNvSpPr>
        </cdr:nvSpPr>
        <cdr:spPr>
          <a:xfrm xmlns:a="http://schemas.openxmlformats.org/drawingml/2006/main">
            <a:off x="5533322" y="1554996"/>
            <a:ext cx="162000" cy="160851"/>
          </a:xfrm>
          <a:prstGeom xmlns:a="http://schemas.openxmlformats.org/drawingml/2006/main" prst="rect">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6" name="Rectangle 5">
            <a:extLst xmlns:a="http://schemas.openxmlformats.org/drawingml/2006/main">
              <a:ext uri="{FF2B5EF4-FFF2-40B4-BE49-F238E27FC236}">
                <a16:creationId xmlns:a16="http://schemas.microsoft.com/office/drawing/2014/main" id="{3DA2CAA9-8E1F-6C4A-B36B-DDE51561D63C}"/>
              </a:ext>
            </a:extLst>
          </cdr:cNvPr>
          <cdr:cNvSpPr>
            <a:spLocks xmlns:a="http://schemas.openxmlformats.org/drawingml/2006/main"/>
          </cdr:cNvSpPr>
        </cdr:nvSpPr>
        <cdr:spPr>
          <a:xfrm xmlns:a="http://schemas.openxmlformats.org/drawingml/2006/main">
            <a:off x="5533322" y="1768558"/>
            <a:ext cx="162000" cy="160850"/>
          </a:xfrm>
          <a:prstGeom xmlns:a="http://schemas.openxmlformats.org/drawingml/2006/main" prst="rect">
            <a:avLst/>
          </a:prstGeom>
          <a:solidFill xmlns:a="http://schemas.openxmlformats.org/drawingml/2006/main">
            <a:srgbClr val="8A6AE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 name="Rectangle 6">
            <a:extLst xmlns:a="http://schemas.openxmlformats.org/drawingml/2006/main">
              <a:ext uri="{FF2B5EF4-FFF2-40B4-BE49-F238E27FC236}">
                <a16:creationId xmlns:a16="http://schemas.microsoft.com/office/drawing/2014/main" id="{BC121E63-5706-1F40-A872-AF09C4663688}"/>
              </a:ext>
            </a:extLst>
          </cdr:cNvPr>
          <cdr:cNvSpPr>
            <a:spLocks xmlns:a="http://schemas.openxmlformats.org/drawingml/2006/main"/>
          </cdr:cNvSpPr>
        </cdr:nvSpPr>
        <cdr:spPr>
          <a:xfrm xmlns:a="http://schemas.openxmlformats.org/drawingml/2006/main">
            <a:off x="5533322" y="1982119"/>
            <a:ext cx="162000" cy="160850"/>
          </a:xfrm>
          <a:prstGeom xmlns:a="http://schemas.openxmlformats.org/drawingml/2006/main" prst="rect">
            <a:avLst/>
          </a:prstGeom>
          <a:solidFill xmlns:a="http://schemas.openxmlformats.org/drawingml/2006/main">
            <a:srgbClr val="72C5F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 name="Rectangle 7">
            <a:extLst xmlns:a="http://schemas.openxmlformats.org/drawingml/2006/main">
              <a:ext uri="{FF2B5EF4-FFF2-40B4-BE49-F238E27FC236}">
                <a16:creationId xmlns:a16="http://schemas.microsoft.com/office/drawing/2014/main" id="{9105A1D1-3244-3B43-828C-54A309DB2D6A}"/>
              </a:ext>
            </a:extLst>
          </cdr:cNvPr>
          <cdr:cNvSpPr>
            <a:spLocks xmlns:a="http://schemas.openxmlformats.org/drawingml/2006/main"/>
          </cdr:cNvSpPr>
        </cdr:nvSpPr>
        <cdr:spPr>
          <a:xfrm xmlns:a="http://schemas.openxmlformats.org/drawingml/2006/main">
            <a:off x="5533322" y="2195680"/>
            <a:ext cx="162000" cy="160851"/>
          </a:xfrm>
          <a:prstGeom xmlns:a="http://schemas.openxmlformats.org/drawingml/2006/main" prst="rect">
            <a:avLst/>
          </a:prstGeom>
          <a:solidFill xmlns:a="http://schemas.openxmlformats.org/drawingml/2006/main">
            <a:srgbClr val="D2E90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9" name="Rectangle 8">
            <a:extLst xmlns:a="http://schemas.openxmlformats.org/drawingml/2006/main">
              <a:ext uri="{FF2B5EF4-FFF2-40B4-BE49-F238E27FC236}">
                <a16:creationId xmlns:a16="http://schemas.microsoft.com/office/drawing/2014/main" id="{8353A52C-3D1D-4441-AE0A-FA550666F7FE}"/>
              </a:ext>
            </a:extLst>
          </cdr:cNvPr>
          <cdr:cNvSpPr>
            <a:spLocks xmlns:a="http://schemas.openxmlformats.org/drawingml/2006/main"/>
          </cdr:cNvSpPr>
        </cdr:nvSpPr>
        <cdr:spPr>
          <a:xfrm xmlns:a="http://schemas.openxmlformats.org/drawingml/2006/main">
            <a:off x="5533322" y="2409242"/>
            <a:ext cx="162000" cy="160851"/>
          </a:xfrm>
          <a:prstGeom xmlns:a="http://schemas.openxmlformats.org/drawingml/2006/main" prst="rect">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0" name="Rectangle 9">
            <a:extLst xmlns:a="http://schemas.openxmlformats.org/drawingml/2006/main">
              <a:ext uri="{FF2B5EF4-FFF2-40B4-BE49-F238E27FC236}">
                <a16:creationId xmlns:a16="http://schemas.microsoft.com/office/drawing/2014/main" id="{CA32C7DF-7A7D-3049-885A-C7C7AD952A66}"/>
              </a:ext>
            </a:extLst>
          </cdr:cNvPr>
          <cdr:cNvSpPr>
            <a:spLocks xmlns:a="http://schemas.openxmlformats.org/drawingml/2006/main"/>
          </cdr:cNvSpPr>
        </cdr:nvSpPr>
        <cdr:spPr>
          <a:xfrm xmlns:a="http://schemas.openxmlformats.org/drawingml/2006/main">
            <a:off x="5533322" y="2622804"/>
            <a:ext cx="162000" cy="160850"/>
          </a:xfrm>
          <a:prstGeom xmlns:a="http://schemas.openxmlformats.org/drawingml/2006/main" prst="rect">
            <a:avLst/>
          </a:prstGeom>
          <a:solidFill xmlns:a="http://schemas.openxmlformats.org/drawingml/2006/main">
            <a:srgbClr val="9E480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1" name="Rectangle 10">
            <a:extLst xmlns:a="http://schemas.openxmlformats.org/drawingml/2006/main">
              <a:ext uri="{FF2B5EF4-FFF2-40B4-BE49-F238E27FC236}">
                <a16:creationId xmlns:a16="http://schemas.microsoft.com/office/drawing/2014/main" id="{99BFC855-F257-7E40-B87D-711DD98FA36F}"/>
              </a:ext>
            </a:extLst>
          </cdr:cNvPr>
          <cdr:cNvSpPr>
            <a:spLocks xmlns:a="http://schemas.openxmlformats.org/drawingml/2006/main"/>
          </cdr:cNvSpPr>
        </cdr:nvSpPr>
        <cdr:spPr>
          <a:xfrm xmlns:a="http://schemas.openxmlformats.org/drawingml/2006/main">
            <a:off x="5533322" y="2836365"/>
            <a:ext cx="162000" cy="160850"/>
          </a:xfrm>
          <a:prstGeom xmlns:a="http://schemas.openxmlformats.org/drawingml/2006/main" prst="rect">
            <a:avLst/>
          </a:prstGeom>
          <a:solidFill xmlns:a="http://schemas.openxmlformats.org/drawingml/2006/main">
            <a:srgbClr val="63636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2" name="Rectangle 11">
            <a:extLst xmlns:a="http://schemas.openxmlformats.org/drawingml/2006/main">
              <a:ext uri="{FF2B5EF4-FFF2-40B4-BE49-F238E27FC236}">
                <a16:creationId xmlns:a16="http://schemas.microsoft.com/office/drawing/2014/main" id="{41A4FE39-F4C1-E043-920A-2D391042B666}"/>
              </a:ext>
            </a:extLst>
          </cdr:cNvPr>
          <cdr:cNvSpPr>
            <a:spLocks xmlns:a="http://schemas.openxmlformats.org/drawingml/2006/main"/>
          </cdr:cNvSpPr>
        </cdr:nvSpPr>
        <cdr:spPr>
          <a:xfrm xmlns:a="http://schemas.openxmlformats.org/drawingml/2006/main">
            <a:off x="5533322" y="3049926"/>
            <a:ext cx="162000" cy="160851"/>
          </a:xfrm>
          <a:prstGeom xmlns:a="http://schemas.openxmlformats.org/drawingml/2006/main" prst="rect">
            <a:avLst/>
          </a:prstGeom>
          <a:solidFill xmlns:a="http://schemas.openxmlformats.org/drawingml/2006/main">
            <a:srgbClr val="9973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3" name="Rectangle 12">
            <a:extLst xmlns:a="http://schemas.openxmlformats.org/drawingml/2006/main">
              <a:ext uri="{FF2B5EF4-FFF2-40B4-BE49-F238E27FC236}">
                <a16:creationId xmlns:a16="http://schemas.microsoft.com/office/drawing/2014/main" id="{272A6F59-5C93-5944-A661-314B7CEE6F9D}"/>
              </a:ext>
            </a:extLst>
          </cdr:cNvPr>
          <cdr:cNvSpPr>
            <a:spLocks xmlns:a="http://schemas.openxmlformats.org/drawingml/2006/main"/>
          </cdr:cNvSpPr>
        </cdr:nvSpPr>
        <cdr:spPr>
          <a:xfrm xmlns:a="http://schemas.openxmlformats.org/drawingml/2006/main">
            <a:off x="5533322" y="3263488"/>
            <a:ext cx="162000" cy="160850"/>
          </a:xfrm>
          <a:prstGeom xmlns:a="http://schemas.openxmlformats.org/drawingml/2006/main" prst="rect">
            <a:avLst/>
          </a:prstGeom>
          <a:solidFill xmlns:a="http://schemas.openxmlformats.org/drawingml/2006/main">
            <a:srgbClr val="F8787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4" name="Rectangle 13">
            <a:extLst xmlns:a="http://schemas.openxmlformats.org/drawingml/2006/main">
              <a:ext uri="{FF2B5EF4-FFF2-40B4-BE49-F238E27FC236}">
                <a16:creationId xmlns:a16="http://schemas.microsoft.com/office/drawing/2014/main" id="{5D9E11A8-CADF-2344-AD02-C9D056D0DAEF}"/>
              </a:ext>
            </a:extLst>
          </cdr:cNvPr>
          <cdr:cNvSpPr>
            <a:spLocks xmlns:a="http://schemas.openxmlformats.org/drawingml/2006/main"/>
          </cdr:cNvSpPr>
        </cdr:nvSpPr>
        <cdr:spPr>
          <a:xfrm xmlns:a="http://schemas.openxmlformats.org/drawingml/2006/main">
            <a:off x="5533322" y="3477049"/>
            <a:ext cx="162000" cy="160850"/>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5" name="Rectangle 14">
            <a:extLst xmlns:a="http://schemas.openxmlformats.org/drawingml/2006/main">
              <a:ext uri="{FF2B5EF4-FFF2-40B4-BE49-F238E27FC236}">
                <a16:creationId xmlns:a16="http://schemas.microsoft.com/office/drawing/2014/main" id="{290F8354-21B5-4648-B738-8D5F85FA88DF}"/>
              </a:ext>
            </a:extLst>
          </cdr:cNvPr>
          <cdr:cNvSpPr>
            <a:spLocks xmlns:a="http://schemas.openxmlformats.org/drawingml/2006/main"/>
          </cdr:cNvSpPr>
        </cdr:nvSpPr>
        <cdr:spPr>
          <a:xfrm xmlns:a="http://schemas.openxmlformats.org/drawingml/2006/main">
            <a:off x="5533322" y="3690610"/>
            <a:ext cx="162000" cy="160851"/>
          </a:xfrm>
          <a:prstGeom xmlns:a="http://schemas.openxmlformats.org/drawingml/2006/main" prst="rect">
            <a:avLst/>
          </a:prstGeom>
          <a:solidFill xmlns:a="http://schemas.openxmlformats.org/drawingml/2006/main">
            <a:srgbClr val="F2975A"/>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6" name="Rectangle 15">
            <a:extLst xmlns:a="http://schemas.openxmlformats.org/drawingml/2006/main">
              <a:ext uri="{FF2B5EF4-FFF2-40B4-BE49-F238E27FC236}">
                <a16:creationId xmlns:a16="http://schemas.microsoft.com/office/drawing/2014/main" id="{32A4BDA0-5677-E743-B4C9-E6DE09951CD0}"/>
              </a:ext>
            </a:extLst>
          </cdr:cNvPr>
          <cdr:cNvSpPr>
            <a:spLocks xmlns:a="http://schemas.openxmlformats.org/drawingml/2006/main"/>
          </cdr:cNvSpPr>
        </cdr:nvSpPr>
        <cdr:spPr>
          <a:xfrm xmlns:a="http://schemas.openxmlformats.org/drawingml/2006/main">
            <a:off x="5533322" y="3904172"/>
            <a:ext cx="162000" cy="160851"/>
          </a:xfrm>
          <a:prstGeom xmlns:a="http://schemas.openxmlformats.org/drawingml/2006/main" prst="rect">
            <a:avLst/>
          </a:prstGeom>
          <a:solidFill xmlns:a="http://schemas.openxmlformats.org/drawingml/2006/main">
            <a:srgbClr val="B7B7B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7" name="Rectangle 16">
            <a:extLst xmlns:a="http://schemas.openxmlformats.org/drawingml/2006/main">
              <a:ext uri="{FF2B5EF4-FFF2-40B4-BE49-F238E27FC236}">
                <a16:creationId xmlns:a16="http://schemas.microsoft.com/office/drawing/2014/main" id="{84F5FD50-7D78-1B47-9D30-78F65EC3613F}"/>
              </a:ext>
            </a:extLst>
          </cdr:cNvPr>
          <cdr:cNvSpPr>
            <a:spLocks xmlns:a="http://schemas.openxmlformats.org/drawingml/2006/main"/>
          </cdr:cNvSpPr>
        </cdr:nvSpPr>
        <cdr:spPr>
          <a:xfrm xmlns:a="http://schemas.openxmlformats.org/drawingml/2006/main">
            <a:off x="5533322" y="4117729"/>
            <a:ext cx="162000" cy="160850"/>
          </a:xfrm>
          <a:prstGeom xmlns:a="http://schemas.openxmlformats.org/drawingml/2006/main" prst="rect">
            <a:avLst/>
          </a:prstGeom>
          <a:solidFill xmlns:a="http://schemas.openxmlformats.org/drawingml/2006/main">
            <a:srgbClr val="78D1B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0.92274</cdr:x>
      <cdr:y>0.19421</cdr:y>
    </cdr:from>
    <cdr:to>
      <cdr:x>0.98683</cdr:x>
      <cdr:y>0.8957</cdr:y>
    </cdr:to>
    <cdr:sp macro="" textlink="">
      <cdr:nvSpPr>
        <cdr:cNvPr id="19" name="TextBox 1">
          <a:extLst xmlns:a="http://schemas.openxmlformats.org/drawingml/2006/main">
            <a:ext uri="{FF2B5EF4-FFF2-40B4-BE49-F238E27FC236}">
              <a16:creationId xmlns:a16="http://schemas.microsoft.com/office/drawing/2014/main" id="{FA09BD2F-AF7C-3747-9E1A-2F25868A94A9}"/>
            </a:ext>
          </a:extLst>
        </cdr:cNvPr>
        <cdr:cNvSpPr txBox="1"/>
      </cdr:nvSpPr>
      <cdr:spPr>
        <a:xfrm xmlns:a="http://schemas.openxmlformats.org/drawingml/2006/main">
          <a:off x="5413813" y="990600"/>
          <a:ext cx="376028" cy="357800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80" b="0" i="0">
              <a:latin typeface="Arial" panose="020B0604020202020204" pitchFamily="34" charset="0"/>
              <a:cs typeface="Arial" panose="020B0604020202020204" pitchFamily="34" charset="0"/>
            </a:rPr>
            <a:t>1</a:t>
          </a:r>
        </a:p>
        <a:p xmlns:a="http://schemas.openxmlformats.org/drawingml/2006/main">
          <a:pPr algn="ctr"/>
          <a:r>
            <a:rPr lang="en-GB" sz="1380" b="0" i="0">
              <a:latin typeface="Arial" panose="020B0604020202020204" pitchFamily="34" charset="0"/>
              <a:cs typeface="Arial" panose="020B0604020202020204" pitchFamily="34" charset="0"/>
            </a:rPr>
            <a:t>2</a:t>
          </a:r>
        </a:p>
        <a:p xmlns:a="http://schemas.openxmlformats.org/drawingml/2006/main">
          <a:pPr algn="ctr"/>
          <a:r>
            <a:rPr lang="en-GB" sz="1380" b="0" i="0">
              <a:latin typeface="Arial" panose="020B0604020202020204" pitchFamily="34" charset="0"/>
              <a:cs typeface="Arial" panose="020B0604020202020204" pitchFamily="34" charset="0"/>
            </a:rPr>
            <a:t>3</a:t>
          </a:r>
        </a:p>
        <a:p xmlns:a="http://schemas.openxmlformats.org/drawingml/2006/main">
          <a:pPr algn="ctr"/>
          <a:r>
            <a:rPr lang="en-GB" sz="1380" b="0" i="0">
              <a:latin typeface="Arial" panose="020B0604020202020204" pitchFamily="34" charset="0"/>
              <a:cs typeface="Arial" panose="020B0604020202020204" pitchFamily="34" charset="0"/>
            </a:rPr>
            <a:t>4</a:t>
          </a:r>
        </a:p>
        <a:p xmlns:a="http://schemas.openxmlformats.org/drawingml/2006/main">
          <a:pPr algn="ctr"/>
          <a:r>
            <a:rPr lang="en-GB" sz="1380" b="0" i="0">
              <a:latin typeface="Arial" panose="020B0604020202020204" pitchFamily="34" charset="0"/>
              <a:cs typeface="Arial" panose="020B0604020202020204" pitchFamily="34" charset="0"/>
            </a:rPr>
            <a:t>5</a:t>
          </a:r>
        </a:p>
        <a:p xmlns:a="http://schemas.openxmlformats.org/drawingml/2006/main">
          <a:pPr algn="ctr"/>
          <a:r>
            <a:rPr lang="en-GB" sz="1380" b="0" i="0">
              <a:latin typeface="Arial" panose="020B0604020202020204" pitchFamily="34" charset="0"/>
              <a:cs typeface="Arial" panose="020B0604020202020204" pitchFamily="34" charset="0"/>
            </a:rPr>
            <a:t>6</a:t>
          </a:r>
        </a:p>
        <a:p xmlns:a="http://schemas.openxmlformats.org/drawingml/2006/main">
          <a:pPr algn="ctr"/>
          <a:r>
            <a:rPr lang="en-GB" sz="1380" b="0" i="0">
              <a:latin typeface="Arial" panose="020B0604020202020204" pitchFamily="34" charset="0"/>
              <a:cs typeface="Arial" panose="020B0604020202020204" pitchFamily="34" charset="0"/>
            </a:rPr>
            <a:t>7</a:t>
          </a:r>
        </a:p>
        <a:p xmlns:a="http://schemas.openxmlformats.org/drawingml/2006/main">
          <a:pPr algn="ctr"/>
          <a:r>
            <a:rPr lang="en-GB" sz="1380" b="0" i="0">
              <a:latin typeface="Arial" panose="020B0604020202020204" pitchFamily="34" charset="0"/>
              <a:cs typeface="Arial" panose="020B0604020202020204" pitchFamily="34" charset="0"/>
            </a:rPr>
            <a:t>8</a:t>
          </a:r>
        </a:p>
        <a:p xmlns:a="http://schemas.openxmlformats.org/drawingml/2006/main">
          <a:pPr algn="ctr"/>
          <a:r>
            <a:rPr lang="en-GB" sz="1380" b="0" i="0">
              <a:latin typeface="Arial" panose="020B0604020202020204" pitchFamily="34" charset="0"/>
              <a:cs typeface="Arial" panose="020B0604020202020204" pitchFamily="34" charset="0"/>
            </a:rPr>
            <a:t>9</a:t>
          </a:r>
        </a:p>
        <a:p xmlns:a="http://schemas.openxmlformats.org/drawingml/2006/main">
          <a:pPr algn="ctr"/>
          <a:r>
            <a:rPr lang="en-GB" sz="1380" b="0" i="0">
              <a:latin typeface="Arial" panose="020B0604020202020204" pitchFamily="34" charset="0"/>
              <a:cs typeface="Arial" panose="020B0604020202020204" pitchFamily="34" charset="0"/>
            </a:rPr>
            <a:t>10</a:t>
          </a:r>
        </a:p>
        <a:p xmlns:a="http://schemas.openxmlformats.org/drawingml/2006/main">
          <a:pPr algn="ctr"/>
          <a:r>
            <a:rPr lang="en-GB" sz="1380" b="0" i="0">
              <a:latin typeface="Arial" panose="020B0604020202020204" pitchFamily="34" charset="0"/>
              <a:cs typeface="Arial" panose="020B0604020202020204" pitchFamily="34" charset="0"/>
            </a:rPr>
            <a:t>11</a:t>
          </a:r>
        </a:p>
        <a:p xmlns:a="http://schemas.openxmlformats.org/drawingml/2006/main">
          <a:pPr algn="ctr"/>
          <a:r>
            <a:rPr lang="en-GB" sz="1380" b="0" i="0">
              <a:latin typeface="Arial" panose="020B0604020202020204" pitchFamily="34" charset="0"/>
              <a:cs typeface="Arial" panose="020B0604020202020204" pitchFamily="34" charset="0"/>
            </a:rPr>
            <a:t>12</a:t>
          </a:r>
        </a:p>
        <a:p xmlns:a="http://schemas.openxmlformats.org/drawingml/2006/main">
          <a:pPr algn="ctr"/>
          <a:r>
            <a:rPr lang="en-GB" sz="1380" b="0" i="0">
              <a:latin typeface="Arial" panose="020B0604020202020204" pitchFamily="34" charset="0"/>
              <a:cs typeface="Arial" panose="020B0604020202020204" pitchFamily="34" charset="0"/>
            </a:rPr>
            <a:t>13</a:t>
          </a:r>
        </a:p>
        <a:p xmlns:a="http://schemas.openxmlformats.org/drawingml/2006/main">
          <a:pPr algn="ctr"/>
          <a:r>
            <a:rPr lang="en-GB" sz="1380" b="0" i="0">
              <a:latin typeface="Arial" panose="020B0604020202020204" pitchFamily="34" charset="0"/>
              <a:cs typeface="Arial" panose="020B0604020202020204" pitchFamily="34" charset="0"/>
            </a:rPr>
            <a:t>14</a:t>
          </a:r>
        </a:p>
        <a:p xmlns:a="http://schemas.openxmlformats.org/drawingml/2006/main">
          <a:pPr algn="ctr"/>
          <a:r>
            <a:rPr lang="en-GB" sz="1380" b="0" i="0">
              <a:latin typeface="Arial" panose="020B0604020202020204" pitchFamily="34" charset="0"/>
              <a:cs typeface="Arial" panose="020B0604020202020204" pitchFamily="34" charset="0"/>
            </a:rPr>
            <a:t>15</a:t>
          </a:r>
        </a:p>
        <a:p xmlns:a="http://schemas.openxmlformats.org/drawingml/2006/main">
          <a:pPr algn="ctr"/>
          <a:r>
            <a:rPr lang="en-GB" sz="1380" b="0" i="0">
              <a:latin typeface="Arial" panose="020B0604020202020204" pitchFamily="34" charset="0"/>
              <a:cs typeface="Arial" panose="020B0604020202020204" pitchFamily="34" charset="0"/>
            </a:rPr>
            <a:t>16</a:t>
          </a:r>
        </a:p>
      </cdr:txBody>
    </cdr:sp>
  </cdr:relSizeAnchor>
</c:userShapes>
</file>

<file path=xl/drawings/drawing6.xml><?xml version="1.0" encoding="utf-8"?>
<c:userShapes xmlns:c="http://schemas.openxmlformats.org/drawingml/2006/chart">
  <cdr:relSizeAnchor xmlns:cdr="http://schemas.openxmlformats.org/drawingml/2006/chartDrawing">
    <cdr:from>
      <cdr:x>0.0777</cdr:x>
      <cdr:y>0.33682</cdr:y>
    </cdr:from>
    <cdr:to>
      <cdr:x>0.98414</cdr:x>
      <cdr:y>0.33754</cdr:y>
    </cdr:to>
    <cdr:cxnSp macro="">
      <cdr:nvCxnSpPr>
        <cdr:cNvPr id="2" name="Straight Connector 1">
          <a:extLst xmlns:a="http://schemas.openxmlformats.org/drawingml/2006/main">
            <a:ext uri="{FF2B5EF4-FFF2-40B4-BE49-F238E27FC236}">
              <a16:creationId xmlns:a16="http://schemas.microsoft.com/office/drawing/2014/main" id="{627101F7-A7E0-684A-91F3-A7AEFB408B88}"/>
            </a:ext>
          </a:extLst>
        </cdr:cNvPr>
        <cdr:cNvCxnSpPr/>
      </cdr:nvCxnSpPr>
      <cdr:spPr>
        <a:xfrm xmlns:a="http://schemas.openxmlformats.org/drawingml/2006/main">
          <a:off x="503498" y="1681944"/>
          <a:ext cx="5873731" cy="359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0.91136</cdr:x>
      <cdr:y>0.19943</cdr:y>
    </cdr:from>
    <cdr:to>
      <cdr:x>0.93695</cdr:x>
      <cdr:y>0.83051</cdr:y>
    </cdr:to>
    <cdr:grpSp>
      <cdr:nvGrpSpPr>
        <cdr:cNvPr id="18" name="Group 17">
          <a:extLst xmlns:a="http://schemas.openxmlformats.org/drawingml/2006/main">
            <a:ext uri="{FF2B5EF4-FFF2-40B4-BE49-F238E27FC236}">
              <a16:creationId xmlns:a16="http://schemas.microsoft.com/office/drawing/2014/main" id="{FABF9676-CEE5-6A44-BFA3-B53921769AE0}"/>
            </a:ext>
          </a:extLst>
        </cdr:cNvPr>
        <cdr:cNvGrpSpPr/>
      </cdr:nvGrpSpPr>
      <cdr:grpSpPr>
        <a:xfrm xmlns:a="http://schemas.openxmlformats.org/drawingml/2006/main">
          <a:off x="5414608" y="996856"/>
          <a:ext cx="152037" cy="3154469"/>
          <a:chOff x="5533322" y="914312"/>
          <a:chExt cx="162000" cy="3364267"/>
        </a:xfrm>
      </cdr:grpSpPr>
      <cdr:sp macro="" textlink="">
        <cdr:nvSpPr>
          <cdr:cNvPr id="2" name="Rectangle 1">
            <a:extLst xmlns:a="http://schemas.openxmlformats.org/drawingml/2006/main">
              <a:ext uri="{FF2B5EF4-FFF2-40B4-BE49-F238E27FC236}">
                <a16:creationId xmlns:a16="http://schemas.microsoft.com/office/drawing/2014/main" id="{D3D4FC12-A188-FE4C-B278-85003C6519DC}"/>
              </a:ext>
            </a:extLst>
          </cdr:cNvPr>
          <cdr:cNvSpPr>
            <a:spLocks xmlns:a="http://schemas.openxmlformats.org/drawingml/2006/main"/>
          </cdr:cNvSpPr>
        </cdr:nvSpPr>
        <cdr:spPr>
          <a:xfrm xmlns:a="http://schemas.openxmlformats.org/drawingml/2006/main">
            <a:off x="5533322" y="914312"/>
            <a:ext cx="162000" cy="160851"/>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3" name="Rectangle 2">
            <a:extLst xmlns:a="http://schemas.openxmlformats.org/drawingml/2006/main">
              <a:ext uri="{FF2B5EF4-FFF2-40B4-BE49-F238E27FC236}">
                <a16:creationId xmlns:a16="http://schemas.microsoft.com/office/drawing/2014/main" id="{66943C15-195F-7544-B33C-CFD643B5B3C2}"/>
              </a:ext>
            </a:extLst>
          </cdr:cNvPr>
          <cdr:cNvSpPr>
            <a:spLocks xmlns:a="http://schemas.openxmlformats.org/drawingml/2006/main"/>
          </cdr:cNvSpPr>
        </cdr:nvSpPr>
        <cdr:spPr>
          <a:xfrm xmlns:a="http://schemas.openxmlformats.org/drawingml/2006/main">
            <a:off x="5533322" y="1127874"/>
            <a:ext cx="162000" cy="160850"/>
          </a:xfrm>
          <a:prstGeom xmlns:a="http://schemas.openxmlformats.org/drawingml/2006/main" prst="rect">
            <a:avLst/>
          </a:prstGeom>
          <a:solidFill xmlns:a="http://schemas.openxmlformats.org/drawingml/2006/main">
            <a:srgbClr val="00E56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4" name="Rectangle 3">
            <a:extLst xmlns:a="http://schemas.openxmlformats.org/drawingml/2006/main">
              <a:ext uri="{FF2B5EF4-FFF2-40B4-BE49-F238E27FC236}">
                <a16:creationId xmlns:a16="http://schemas.microsoft.com/office/drawing/2014/main" id="{C3A0FDD9-0604-B647-82EA-50908E20796A}"/>
              </a:ext>
            </a:extLst>
          </cdr:cNvPr>
          <cdr:cNvSpPr>
            <a:spLocks xmlns:a="http://schemas.openxmlformats.org/drawingml/2006/main"/>
          </cdr:cNvSpPr>
        </cdr:nvSpPr>
        <cdr:spPr>
          <a:xfrm xmlns:a="http://schemas.openxmlformats.org/drawingml/2006/main">
            <a:off x="5533322" y="1341435"/>
            <a:ext cx="162000" cy="160850"/>
          </a:xfrm>
          <a:prstGeom xmlns:a="http://schemas.openxmlformats.org/drawingml/2006/main" prst="rect">
            <a:avLst/>
          </a:prstGeom>
          <a:solidFill xmlns:a="http://schemas.openxmlformats.org/drawingml/2006/main">
            <a:schemeClr val="accent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5" name="Rectangle 4">
            <a:extLst xmlns:a="http://schemas.openxmlformats.org/drawingml/2006/main">
              <a:ext uri="{FF2B5EF4-FFF2-40B4-BE49-F238E27FC236}">
                <a16:creationId xmlns:a16="http://schemas.microsoft.com/office/drawing/2014/main" id="{A673CD1C-F331-714B-94CD-B598CE8DB6EA}"/>
              </a:ext>
            </a:extLst>
          </cdr:cNvPr>
          <cdr:cNvSpPr>
            <a:spLocks xmlns:a="http://schemas.openxmlformats.org/drawingml/2006/main"/>
          </cdr:cNvSpPr>
        </cdr:nvSpPr>
        <cdr:spPr>
          <a:xfrm xmlns:a="http://schemas.openxmlformats.org/drawingml/2006/main">
            <a:off x="5533322" y="1554996"/>
            <a:ext cx="162000" cy="160851"/>
          </a:xfrm>
          <a:prstGeom xmlns:a="http://schemas.openxmlformats.org/drawingml/2006/main" prst="rect">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6" name="Rectangle 5">
            <a:extLst xmlns:a="http://schemas.openxmlformats.org/drawingml/2006/main">
              <a:ext uri="{FF2B5EF4-FFF2-40B4-BE49-F238E27FC236}">
                <a16:creationId xmlns:a16="http://schemas.microsoft.com/office/drawing/2014/main" id="{3DA2CAA9-8E1F-6C4A-B36B-DDE51561D63C}"/>
              </a:ext>
            </a:extLst>
          </cdr:cNvPr>
          <cdr:cNvSpPr>
            <a:spLocks xmlns:a="http://schemas.openxmlformats.org/drawingml/2006/main"/>
          </cdr:cNvSpPr>
        </cdr:nvSpPr>
        <cdr:spPr>
          <a:xfrm xmlns:a="http://schemas.openxmlformats.org/drawingml/2006/main">
            <a:off x="5533322" y="1768558"/>
            <a:ext cx="162000" cy="160850"/>
          </a:xfrm>
          <a:prstGeom xmlns:a="http://schemas.openxmlformats.org/drawingml/2006/main" prst="rect">
            <a:avLst/>
          </a:prstGeom>
          <a:solidFill xmlns:a="http://schemas.openxmlformats.org/drawingml/2006/main">
            <a:srgbClr val="8A6AE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 name="Rectangle 6">
            <a:extLst xmlns:a="http://schemas.openxmlformats.org/drawingml/2006/main">
              <a:ext uri="{FF2B5EF4-FFF2-40B4-BE49-F238E27FC236}">
                <a16:creationId xmlns:a16="http://schemas.microsoft.com/office/drawing/2014/main" id="{BC121E63-5706-1F40-A872-AF09C4663688}"/>
              </a:ext>
            </a:extLst>
          </cdr:cNvPr>
          <cdr:cNvSpPr>
            <a:spLocks xmlns:a="http://schemas.openxmlformats.org/drawingml/2006/main"/>
          </cdr:cNvSpPr>
        </cdr:nvSpPr>
        <cdr:spPr>
          <a:xfrm xmlns:a="http://schemas.openxmlformats.org/drawingml/2006/main">
            <a:off x="5533322" y="1982119"/>
            <a:ext cx="162000" cy="160850"/>
          </a:xfrm>
          <a:prstGeom xmlns:a="http://schemas.openxmlformats.org/drawingml/2006/main" prst="rect">
            <a:avLst/>
          </a:prstGeom>
          <a:solidFill xmlns:a="http://schemas.openxmlformats.org/drawingml/2006/main">
            <a:srgbClr val="72C5F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 name="Rectangle 7">
            <a:extLst xmlns:a="http://schemas.openxmlformats.org/drawingml/2006/main">
              <a:ext uri="{FF2B5EF4-FFF2-40B4-BE49-F238E27FC236}">
                <a16:creationId xmlns:a16="http://schemas.microsoft.com/office/drawing/2014/main" id="{9105A1D1-3244-3B43-828C-54A309DB2D6A}"/>
              </a:ext>
            </a:extLst>
          </cdr:cNvPr>
          <cdr:cNvSpPr>
            <a:spLocks xmlns:a="http://schemas.openxmlformats.org/drawingml/2006/main"/>
          </cdr:cNvSpPr>
        </cdr:nvSpPr>
        <cdr:spPr>
          <a:xfrm xmlns:a="http://schemas.openxmlformats.org/drawingml/2006/main">
            <a:off x="5533322" y="2195680"/>
            <a:ext cx="162000" cy="160851"/>
          </a:xfrm>
          <a:prstGeom xmlns:a="http://schemas.openxmlformats.org/drawingml/2006/main" prst="rect">
            <a:avLst/>
          </a:prstGeom>
          <a:solidFill xmlns:a="http://schemas.openxmlformats.org/drawingml/2006/main">
            <a:srgbClr val="D2E90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9" name="Rectangle 8">
            <a:extLst xmlns:a="http://schemas.openxmlformats.org/drawingml/2006/main">
              <a:ext uri="{FF2B5EF4-FFF2-40B4-BE49-F238E27FC236}">
                <a16:creationId xmlns:a16="http://schemas.microsoft.com/office/drawing/2014/main" id="{8353A52C-3D1D-4441-AE0A-FA550666F7FE}"/>
              </a:ext>
            </a:extLst>
          </cdr:cNvPr>
          <cdr:cNvSpPr>
            <a:spLocks xmlns:a="http://schemas.openxmlformats.org/drawingml/2006/main"/>
          </cdr:cNvSpPr>
        </cdr:nvSpPr>
        <cdr:spPr>
          <a:xfrm xmlns:a="http://schemas.openxmlformats.org/drawingml/2006/main">
            <a:off x="5533322" y="2409242"/>
            <a:ext cx="162000" cy="160851"/>
          </a:xfrm>
          <a:prstGeom xmlns:a="http://schemas.openxmlformats.org/drawingml/2006/main" prst="rect">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0" name="Rectangle 9">
            <a:extLst xmlns:a="http://schemas.openxmlformats.org/drawingml/2006/main">
              <a:ext uri="{FF2B5EF4-FFF2-40B4-BE49-F238E27FC236}">
                <a16:creationId xmlns:a16="http://schemas.microsoft.com/office/drawing/2014/main" id="{CA32C7DF-7A7D-3049-885A-C7C7AD952A66}"/>
              </a:ext>
            </a:extLst>
          </cdr:cNvPr>
          <cdr:cNvSpPr>
            <a:spLocks xmlns:a="http://schemas.openxmlformats.org/drawingml/2006/main"/>
          </cdr:cNvSpPr>
        </cdr:nvSpPr>
        <cdr:spPr>
          <a:xfrm xmlns:a="http://schemas.openxmlformats.org/drawingml/2006/main">
            <a:off x="5533322" y="2622804"/>
            <a:ext cx="162000" cy="160850"/>
          </a:xfrm>
          <a:prstGeom xmlns:a="http://schemas.openxmlformats.org/drawingml/2006/main" prst="rect">
            <a:avLst/>
          </a:prstGeom>
          <a:solidFill xmlns:a="http://schemas.openxmlformats.org/drawingml/2006/main">
            <a:srgbClr val="9E480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1" name="Rectangle 10">
            <a:extLst xmlns:a="http://schemas.openxmlformats.org/drawingml/2006/main">
              <a:ext uri="{FF2B5EF4-FFF2-40B4-BE49-F238E27FC236}">
                <a16:creationId xmlns:a16="http://schemas.microsoft.com/office/drawing/2014/main" id="{99BFC855-F257-7E40-B87D-711DD98FA36F}"/>
              </a:ext>
            </a:extLst>
          </cdr:cNvPr>
          <cdr:cNvSpPr>
            <a:spLocks xmlns:a="http://schemas.openxmlformats.org/drawingml/2006/main"/>
          </cdr:cNvSpPr>
        </cdr:nvSpPr>
        <cdr:spPr>
          <a:xfrm xmlns:a="http://schemas.openxmlformats.org/drawingml/2006/main">
            <a:off x="5533322" y="2836365"/>
            <a:ext cx="162000" cy="160850"/>
          </a:xfrm>
          <a:prstGeom xmlns:a="http://schemas.openxmlformats.org/drawingml/2006/main" prst="rect">
            <a:avLst/>
          </a:prstGeom>
          <a:solidFill xmlns:a="http://schemas.openxmlformats.org/drawingml/2006/main">
            <a:srgbClr val="63636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2" name="Rectangle 11">
            <a:extLst xmlns:a="http://schemas.openxmlformats.org/drawingml/2006/main">
              <a:ext uri="{FF2B5EF4-FFF2-40B4-BE49-F238E27FC236}">
                <a16:creationId xmlns:a16="http://schemas.microsoft.com/office/drawing/2014/main" id="{41A4FE39-F4C1-E043-920A-2D391042B666}"/>
              </a:ext>
            </a:extLst>
          </cdr:cNvPr>
          <cdr:cNvSpPr>
            <a:spLocks xmlns:a="http://schemas.openxmlformats.org/drawingml/2006/main"/>
          </cdr:cNvSpPr>
        </cdr:nvSpPr>
        <cdr:spPr>
          <a:xfrm xmlns:a="http://schemas.openxmlformats.org/drawingml/2006/main">
            <a:off x="5533322" y="3049926"/>
            <a:ext cx="162000" cy="160851"/>
          </a:xfrm>
          <a:prstGeom xmlns:a="http://schemas.openxmlformats.org/drawingml/2006/main" prst="rect">
            <a:avLst/>
          </a:prstGeom>
          <a:solidFill xmlns:a="http://schemas.openxmlformats.org/drawingml/2006/main">
            <a:srgbClr val="9973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3" name="Rectangle 12">
            <a:extLst xmlns:a="http://schemas.openxmlformats.org/drawingml/2006/main">
              <a:ext uri="{FF2B5EF4-FFF2-40B4-BE49-F238E27FC236}">
                <a16:creationId xmlns:a16="http://schemas.microsoft.com/office/drawing/2014/main" id="{272A6F59-5C93-5944-A661-314B7CEE6F9D}"/>
              </a:ext>
            </a:extLst>
          </cdr:cNvPr>
          <cdr:cNvSpPr>
            <a:spLocks xmlns:a="http://schemas.openxmlformats.org/drawingml/2006/main"/>
          </cdr:cNvSpPr>
        </cdr:nvSpPr>
        <cdr:spPr>
          <a:xfrm xmlns:a="http://schemas.openxmlformats.org/drawingml/2006/main">
            <a:off x="5533322" y="3263488"/>
            <a:ext cx="162000" cy="160850"/>
          </a:xfrm>
          <a:prstGeom xmlns:a="http://schemas.openxmlformats.org/drawingml/2006/main" prst="rect">
            <a:avLst/>
          </a:prstGeom>
          <a:solidFill xmlns:a="http://schemas.openxmlformats.org/drawingml/2006/main">
            <a:srgbClr val="F8787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4" name="Rectangle 13">
            <a:extLst xmlns:a="http://schemas.openxmlformats.org/drawingml/2006/main">
              <a:ext uri="{FF2B5EF4-FFF2-40B4-BE49-F238E27FC236}">
                <a16:creationId xmlns:a16="http://schemas.microsoft.com/office/drawing/2014/main" id="{5D9E11A8-CADF-2344-AD02-C9D056D0DAEF}"/>
              </a:ext>
            </a:extLst>
          </cdr:cNvPr>
          <cdr:cNvSpPr>
            <a:spLocks xmlns:a="http://schemas.openxmlformats.org/drawingml/2006/main"/>
          </cdr:cNvSpPr>
        </cdr:nvSpPr>
        <cdr:spPr>
          <a:xfrm xmlns:a="http://schemas.openxmlformats.org/drawingml/2006/main">
            <a:off x="5533322" y="3477049"/>
            <a:ext cx="162000" cy="160850"/>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5" name="Rectangle 14">
            <a:extLst xmlns:a="http://schemas.openxmlformats.org/drawingml/2006/main">
              <a:ext uri="{FF2B5EF4-FFF2-40B4-BE49-F238E27FC236}">
                <a16:creationId xmlns:a16="http://schemas.microsoft.com/office/drawing/2014/main" id="{290F8354-21B5-4648-B738-8D5F85FA88DF}"/>
              </a:ext>
            </a:extLst>
          </cdr:cNvPr>
          <cdr:cNvSpPr>
            <a:spLocks xmlns:a="http://schemas.openxmlformats.org/drawingml/2006/main"/>
          </cdr:cNvSpPr>
        </cdr:nvSpPr>
        <cdr:spPr>
          <a:xfrm xmlns:a="http://schemas.openxmlformats.org/drawingml/2006/main">
            <a:off x="5533322" y="3690610"/>
            <a:ext cx="162000" cy="160851"/>
          </a:xfrm>
          <a:prstGeom xmlns:a="http://schemas.openxmlformats.org/drawingml/2006/main" prst="rect">
            <a:avLst/>
          </a:prstGeom>
          <a:solidFill xmlns:a="http://schemas.openxmlformats.org/drawingml/2006/main">
            <a:srgbClr val="F2975A"/>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6" name="Rectangle 15">
            <a:extLst xmlns:a="http://schemas.openxmlformats.org/drawingml/2006/main">
              <a:ext uri="{FF2B5EF4-FFF2-40B4-BE49-F238E27FC236}">
                <a16:creationId xmlns:a16="http://schemas.microsoft.com/office/drawing/2014/main" id="{32A4BDA0-5677-E743-B4C9-E6DE09951CD0}"/>
              </a:ext>
            </a:extLst>
          </cdr:cNvPr>
          <cdr:cNvSpPr>
            <a:spLocks xmlns:a="http://schemas.openxmlformats.org/drawingml/2006/main"/>
          </cdr:cNvSpPr>
        </cdr:nvSpPr>
        <cdr:spPr>
          <a:xfrm xmlns:a="http://schemas.openxmlformats.org/drawingml/2006/main">
            <a:off x="5533322" y="3904172"/>
            <a:ext cx="162000" cy="160851"/>
          </a:xfrm>
          <a:prstGeom xmlns:a="http://schemas.openxmlformats.org/drawingml/2006/main" prst="rect">
            <a:avLst/>
          </a:prstGeom>
          <a:solidFill xmlns:a="http://schemas.openxmlformats.org/drawingml/2006/main">
            <a:srgbClr val="B7B7B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7" name="Rectangle 16">
            <a:extLst xmlns:a="http://schemas.openxmlformats.org/drawingml/2006/main">
              <a:ext uri="{FF2B5EF4-FFF2-40B4-BE49-F238E27FC236}">
                <a16:creationId xmlns:a16="http://schemas.microsoft.com/office/drawing/2014/main" id="{84F5FD50-7D78-1B47-9D30-78F65EC3613F}"/>
              </a:ext>
            </a:extLst>
          </cdr:cNvPr>
          <cdr:cNvSpPr>
            <a:spLocks xmlns:a="http://schemas.openxmlformats.org/drawingml/2006/main"/>
          </cdr:cNvSpPr>
        </cdr:nvSpPr>
        <cdr:spPr>
          <a:xfrm xmlns:a="http://schemas.openxmlformats.org/drawingml/2006/main">
            <a:off x="5533322" y="4117729"/>
            <a:ext cx="162000" cy="160850"/>
          </a:xfrm>
          <a:prstGeom xmlns:a="http://schemas.openxmlformats.org/drawingml/2006/main" prst="rect">
            <a:avLst/>
          </a:prstGeom>
          <a:solidFill xmlns:a="http://schemas.openxmlformats.org/drawingml/2006/main">
            <a:srgbClr val="78D1B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userShapes>
</file>

<file path=xl/drawings/drawing8.xml><?xml version="1.0" encoding="utf-8"?>
<c:userShapes xmlns:c="http://schemas.openxmlformats.org/drawingml/2006/chart">
  <cdr:relSizeAnchor xmlns:cdr="http://schemas.openxmlformats.org/drawingml/2006/chartDrawing">
    <cdr:from>
      <cdr:x>0.89748</cdr:x>
      <cdr:y>0.18935</cdr:y>
    </cdr:from>
    <cdr:to>
      <cdr:x>0.92307</cdr:x>
      <cdr:y>0.82389</cdr:y>
    </cdr:to>
    <cdr:grpSp>
      <cdr:nvGrpSpPr>
        <cdr:cNvPr id="18" name="Group 17">
          <a:extLst xmlns:a="http://schemas.openxmlformats.org/drawingml/2006/main">
            <a:ext uri="{FF2B5EF4-FFF2-40B4-BE49-F238E27FC236}">
              <a16:creationId xmlns:a16="http://schemas.microsoft.com/office/drawing/2014/main" id="{FABF9676-CEE5-6A44-BFA3-B53921769AE0}"/>
            </a:ext>
          </a:extLst>
        </cdr:cNvPr>
        <cdr:cNvGrpSpPr/>
      </cdr:nvGrpSpPr>
      <cdr:grpSpPr>
        <a:xfrm xmlns:a="http://schemas.openxmlformats.org/drawingml/2006/main">
          <a:off x="5239757" y="946471"/>
          <a:ext cx="149403" cy="3171764"/>
          <a:chOff x="5533322" y="914312"/>
          <a:chExt cx="162000" cy="3364267"/>
        </a:xfrm>
      </cdr:grpSpPr>
      <cdr:sp macro="" textlink="">
        <cdr:nvSpPr>
          <cdr:cNvPr id="2" name="Rectangle 1">
            <a:extLst xmlns:a="http://schemas.openxmlformats.org/drawingml/2006/main">
              <a:ext uri="{FF2B5EF4-FFF2-40B4-BE49-F238E27FC236}">
                <a16:creationId xmlns:a16="http://schemas.microsoft.com/office/drawing/2014/main" id="{D3D4FC12-A188-FE4C-B278-85003C6519DC}"/>
              </a:ext>
            </a:extLst>
          </cdr:cNvPr>
          <cdr:cNvSpPr>
            <a:spLocks xmlns:a="http://schemas.openxmlformats.org/drawingml/2006/main"/>
          </cdr:cNvSpPr>
        </cdr:nvSpPr>
        <cdr:spPr>
          <a:xfrm xmlns:a="http://schemas.openxmlformats.org/drawingml/2006/main">
            <a:off x="5533322" y="914312"/>
            <a:ext cx="162000" cy="160851"/>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3" name="Rectangle 2">
            <a:extLst xmlns:a="http://schemas.openxmlformats.org/drawingml/2006/main">
              <a:ext uri="{FF2B5EF4-FFF2-40B4-BE49-F238E27FC236}">
                <a16:creationId xmlns:a16="http://schemas.microsoft.com/office/drawing/2014/main" id="{66943C15-195F-7544-B33C-CFD643B5B3C2}"/>
              </a:ext>
            </a:extLst>
          </cdr:cNvPr>
          <cdr:cNvSpPr>
            <a:spLocks xmlns:a="http://schemas.openxmlformats.org/drawingml/2006/main"/>
          </cdr:cNvSpPr>
        </cdr:nvSpPr>
        <cdr:spPr>
          <a:xfrm xmlns:a="http://schemas.openxmlformats.org/drawingml/2006/main">
            <a:off x="5533322" y="1127874"/>
            <a:ext cx="162000" cy="160850"/>
          </a:xfrm>
          <a:prstGeom xmlns:a="http://schemas.openxmlformats.org/drawingml/2006/main" prst="rect">
            <a:avLst/>
          </a:prstGeom>
          <a:solidFill xmlns:a="http://schemas.openxmlformats.org/drawingml/2006/main">
            <a:srgbClr val="00E56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4" name="Rectangle 3">
            <a:extLst xmlns:a="http://schemas.openxmlformats.org/drawingml/2006/main">
              <a:ext uri="{FF2B5EF4-FFF2-40B4-BE49-F238E27FC236}">
                <a16:creationId xmlns:a16="http://schemas.microsoft.com/office/drawing/2014/main" id="{C3A0FDD9-0604-B647-82EA-50908E20796A}"/>
              </a:ext>
            </a:extLst>
          </cdr:cNvPr>
          <cdr:cNvSpPr>
            <a:spLocks xmlns:a="http://schemas.openxmlformats.org/drawingml/2006/main"/>
          </cdr:cNvSpPr>
        </cdr:nvSpPr>
        <cdr:spPr>
          <a:xfrm xmlns:a="http://schemas.openxmlformats.org/drawingml/2006/main">
            <a:off x="5533322" y="1341435"/>
            <a:ext cx="162000" cy="160850"/>
          </a:xfrm>
          <a:prstGeom xmlns:a="http://schemas.openxmlformats.org/drawingml/2006/main" prst="rect">
            <a:avLst/>
          </a:prstGeom>
          <a:solidFill xmlns:a="http://schemas.openxmlformats.org/drawingml/2006/main">
            <a:schemeClr val="accent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5" name="Rectangle 4">
            <a:extLst xmlns:a="http://schemas.openxmlformats.org/drawingml/2006/main">
              <a:ext uri="{FF2B5EF4-FFF2-40B4-BE49-F238E27FC236}">
                <a16:creationId xmlns:a16="http://schemas.microsoft.com/office/drawing/2014/main" id="{A673CD1C-F331-714B-94CD-B598CE8DB6EA}"/>
              </a:ext>
            </a:extLst>
          </cdr:cNvPr>
          <cdr:cNvSpPr>
            <a:spLocks xmlns:a="http://schemas.openxmlformats.org/drawingml/2006/main"/>
          </cdr:cNvSpPr>
        </cdr:nvSpPr>
        <cdr:spPr>
          <a:xfrm xmlns:a="http://schemas.openxmlformats.org/drawingml/2006/main">
            <a:off x="5533322" y="1554996"/>
            <a:ext cx="162000" cy="160851"/>
          </a:xfrm>
          <a:prstGeom xmlns:a="http://schemas.openxmlformats.org/drawingml/2006/main" prst="rect">
            <a:avLst/>
          </a:prstGeom>
          <a:solidFill xmlns:a="http://schemas.openxmlformats.org/drawingml/2006/main">
            <a:srgbClr val="0070C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6" name="Rectangle 5">
            <a:extLst xmlns:a="http://schemas.openxmlformats.org/drawingml/2006/main">
              <a:ext uri="{FF2B5EF4-FFF2-40B4-BE49-F238E27FC236}">
                <a16:creationId xmlns:a16="http://schemas.microsoft.com/office/drawing/2014/main" id="{3DA2CAA9-8E1F-6C4A-B36B-DDE51561D63C}"/>
              </a:ext>
            </a:extLst>
          </cdr:cNvPr>
          <cdr:cNvSpPr>
            <a:spLocks xmlns:a="http://schemas.openxmlformats.org/drawingml/2006/main"/>
          </cdr:cNvSpPr>
        </cdr:nvSpPr>
        <cdr:spPr>
          <a:xfrm xmlns:a="http://schemas.openxmlformats.org/drawingml/2006/main">
            <a:off x="5533322" y="1768558"/>
            <a:ext cx="162000" cy="160850"/>
          </a:xfrm>
          <a:prstGeom xmlns:a="http://schemas.openxmlformats.org/drawingml/2006/main" prst="rect">
            <a:avLst/>
          </a:prstGeom>
          <a:solidFill xmlns:a="http://schemas.openxmlformats.org/drawingml/2006/main">
            <a:srgbClr val="8A6AE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 name="Rectangle 6">
            <a:extLst xmlns:a="http://schemas.openxmlformats.org/drawingml/2006/main">
              <a:ext uri="{FF2B5EF4-FFF2-40B4-BE49-F238E27FC236}">
                <a16:creationId xmlns:a16="http://schemas.microsoft.com/office/drawing/2014/main" id="{BC121E63-5706-1F40-A872-AF09C4663688}"/>
              </a:ext>
            </a:extLst>
          </cdr:cNvPr>
          <cdr:cNvSpPr>
            <a:spLocks xmlns:a="http://schemas.openxmlformats.org/drawingml/2006/main"/>
          </cdr:cNvSpPr>
        </cdr:nvSpPr>
        <cdr:spPr>
          <a:xfrm xmlns:a="http://schemas.openxmlformats.org/drawingml/2006/main">
            <a:off x="5533322" y="1982119"/>
            <a:ext cx="162000" cy="160850"/>
          </a:xfrm>
          <a:prstGeom xmlns:a="http://schemas.openxmlformats.org/drawingml/2006/main" prst="rect">
            <a:avLst/>
          </a:prstGeom>
          <a:solidFill xmlns:a="http://schemas.openxmlformats.org/drawingml/2006/main">
            <a:srgbClr val="72C5F4"/>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 name="Rectangle 7">
            <a:extLst xmlns:a="http://schemas.openxmlformats.org/drawingml/2006/main">
              <a:ext uri="{FF2B5EF4-FFF2-40B4-BE49-F238E27FC236}">
                <a16:creationId xmlns:a16="http://schemas.microsoft.com/office/drawing/2014/main" id="{9105A1D1-3244-3B43-828C-54A309DB2D6A}"/>
              </a:ext>
            </a:extLst>
          </cdr:cNvPr>
          <cdr:cNvSpPr>
            <a:spLocks xmlns:a="http://schemas.openxmlformats.org/drawingml/2006/main"/>
          </cdr:cNvSpPr>
        </cdr:nvSpPr>
        <cdr:spPr>
          <a:xfrm xmlns:a="http://schemas.openxmlformats.org/drawingml/2006/main">
            <a:off x="5533322" y="2195680"/>
            <a:ext cx="162000" cy="160851"/>
          </a:xfrm>
          <a:prstGeom xmlns:a="http://schemas.openxmlformats.org/drawingml/2006/main" prst="rect">
            <a:avLst/>
          </a:prstGeom>
          <a:solidFill xmlns:a="http://schemas.openxmlformats.org/drawingml/2006/main">
            <a:srgbClr val="D2E90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9" name="Rectangle 8">
            <a:extLst xmlns:a="http://schemas.openxmlformats.org/drawingml/2006/main">
              <a:ext uri="{FF2B5EF4-FFF2-40B4-BE49-F238E27FC236}">
                <a16:creationId xmlns:a16="http://schemas.microsoft.com/office/drawing/2014/main" id="{8353A52C-3D1D-4441-AE0A-FA550666F7FE}"/>
              </a:ext>
            </a:extLst>
          </cdr:cNvPr>
          <cdr:cNvSpPr>
            <a:spLocks xmlns:a="http://schemas.openxmlformats.org/drawingml/2006/main"/>
          </cdr:cNvSpPr>
        </cdr:nvSpPr>
        <cdr:spPr>
          <a:xfrm xmlns:a="http://schemas.openxmlformats.org/drawingml/2006/main">
            <a:off x="5533322" y="2409242"/>
            <a:ext cx="162000" cy="160851"/>
          </a:xfrm>
          <a:prstGeom xmlns:a="http://schemas.openxmlformats.org/drawingml/2006/main" prst="rect">
            <a:avLst/>
          </a:prstGeom>
          <a:solidFill xmlns:a="http://schemas.openxmlformats.org/drawingml/2006/main">
            <a:srgbClr val="92D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0" name="Rectangle 9">
            <a:extLst xmlns:a="http://schemas.openxmlformats.org/drawingml/2006/main">
              <a:ext uri="{FF2B5EF4-FFF2-40B4-BE49-F238E27FC236}">
                <a16:creationId xmlns:a16="http://schemas.microsoft.com/office/drawing/2014/main" id="{CA32C7DF-7A7D-3049-885A-C7C7AD952A66}"/>
              </a:ext>
            </a:extLst>
          </cdr:cNvPr>
          <cdr:cNvSpPr>
            <a:spLocks xmlns:a="http://schemas.openxmlformats.org/drawingml/2006/main"/>
          </cdr:cNvSpPr>
        </cdr:nvSpPr>
        <cdr:spPr>
          <a:xfrm xmlns:a="http://schemas.openxmlformats.org/drawingml/2006/main">
            <a:off x="5533322" y="2622804"/>
            <a:ext cx="162000" cy="160850"/>
          </a:xfrm>
          <a:prstGeom xmlns:a="http://schemas.openxmlformats.org/drawingml/2006/main" prst="rect">
            <a:avLst/>
          </a:prstGeom>
          <a:solidFill xmlns:a="http://schemas.openxmlformats.org/drawingml/2006/main">
            <a:srgbClr val="9E480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1" name="Rectangle 10">
            <a:extLst xmlns:a="http://schemas.openxmlformats.org/drawingml/2006/main">
              <a:ext uri="{FF2B5EF4-FFF2-40B4-BE49-F238E27FC236}">
                <a16:creationId xmlns:a16="http://schemas.microsoft.com/office/drawing/2014/main" id="{99BFC855-F257-7E40-B87D-711DD98FA36F}"/>
              </a:ext>
            </a:extLst>
          </cdr:cNvPr>
          <cdr:cNvSpPr>
            <a:spLocks xmlns:a="http://schemas.openxmlformats.org/drawingml/2006/main"/>
          </cdr:cNvSpPr>
        </cdr:nvSpPr>
        <cdr:spPr>
          <a:xfrm xmlns:a="http://schemas.openxmlformats.org/drawingml/2006/main">
            <a:off x="5533322" y="2836365"/>
            <a:ext cx="162000" cy="160850"/>
          </a:xfrm>
          <a:prstGeom xmlns:a="http://schemas.openxmlformats.org/drawingml/2006/main" prst="rect">
            <a:avLst/>
          </a:prstGeom>
          <a:solidFill xmlns:a="http://schemas.openxmlformats.org/drawingml/2006/main">
            <a:srgbClr val="63636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2" name="Rectangle 11">
            <a:extLst xmlns:a="http://schemas.openxmlformats.org/drawingml/2006/main">
              <a:ext uri="{FF2B5EF4-FFF2-40B4-BE49-F238E27FC236}">
                <a16:creationId xmlns:a16="http://schemas.microsoft.com/office/drawing/2014/main" id="{41A4FE39-F4C1-E043-920A-2D391042B666}"/>
              </a:ext>
            </a:extLst>
          </cdr:cNvPr>
          <cdr:cNvSpPr>
            <a:spLocks xmlns:a="http://schemas.openxmlformats.org/drawingml/2006/main"/>
          </cdr:cNvSpPr>
        </cdr:nvSpPr>
        <cdr:spPr>
          <a:xfrm xmlns:a="http://schemas.openxmlformats.org/drawingml/2006/main">
            <a:off x="5533322" y="3049926"/>
            <a:ext cx="162000" cy="160851"/>
          </a:xfrm>
          <a:prstGeom xmlns:a="http://schemas.openxmlformats.org/drawingml/2006/main" prst="rect">
            <a:avLst/>
          </a:prstGeom>
          <a:solidFill xmlns:a="http://schemas.openxmlformats.org/drawingml/2006/main">
            <a:srgbClr val="9973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3" name="Rectangle 12">
            <a:extLst xmlns:a="http://schemas.openxmlformats.org/drawingml/2006/main">
              <a:ext uri="{FF2B5EF4-FFF2-40B4-BE49-F238E27FC236}">
                <a16:creationId xmlns:a16="http://schemas.microsoft.com/office/drawing/2014/main" id="{272A6F59-5C93-5944-A661-314B7CEE6F9D}"/>
              </a:ext>
            </a:extLst>
          </cdr:cNvPr>
          <cdr:cNvSpPr>
            <a:spLocks xmlns:a="http://schemas.openxmlformats.org/drawingml/2006/main"/>
          </cdr:cNvSpPr>
        </cdr:nvSpPr>
        <cdr:spPr>
          <a:xfrm xmlns:a="http://schemas.openxmlformats.org/drawingml/2006/main">
            <a:off x="5533322" y="3263488"/>
            <a:ext cx="162000" cy="160850"/>
          </a:xfrm>
          <a:prstGeom xmlns:a="http://schemas.openxmlformats.org/drawingml/2006/main" prst="rect">
            <a:avLst/>
          </a:prstGeom>
          <a:solidFill xmlns:a="http://schemas.openxmlformats.org/drawingml/2006/main">
            <a:srgbClr val="F8787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4" name="Rectangle 13">
            <a:extLst xmlns:a="http://schemas.openxmlformats.org/drawingml/2006/main">
              <a:ext uri="{FF2B5EF4-FFF2-40B4-BE49-F238E27FC236}">
                <a16:creationId xmlns:a16="http://schemas.microsoft.com/office/drawing/2014/main" id="{5D9E11A8-CADF-2344-AD02-C9D056D0DAEF}"/>
              </a:ext>
            </a:extLst>
          </cdr:cNvPr>
          <cdr:cNvSpPr>
            <a:spLocks xmlns:a="http://schemas.openxmlformats.org/drawingml/2006/main"/>
          </cdr:cNvSpPr>
        </cdr:nvSpPr>
        <cdr:spPr>
          <a:xfrm xmlns:a="http://schemas.openxmlformats.org/drawingml/2006/main">
            <a:off x="5533322" y="3477049"/>
            <a:ext cx="162000" cy="160850"/>
          </a:xfrm>
          <a:prstGeom xmlns:a="http://schemas.openxmlformats.org/drawingml/2006/main" prst="rect">
            <a:avLst/>
          </a:prstGeom>
          <a:solidFill xmlns:a="http://schemas.openxmlformats.org/drawingml/2006/main">
            <a:srgbClr val="C0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5" name="Rectangle 14">
            <a:extLst xmlns:a="http://schemas.openxmlformats.org/drawingml/2006/main">
              <a:ext uri="{FF2B5EF4-FFF2-40B4-BE49-F238E27FC236}">
                <a16:creationId xmlns:a16="http://schemas.microsoft.com/office/drawing/2014/main" id="{290F8354-21B5-4648-B738-8D5F85FA88DF}"/>
              </a:ext>
            </a:extLst>
          </cdr:cNvPr>
          <cdr:cNvSpPr>
            <a:spLocks xmlns:a="http://schemas.openxmlformats.org/drawingml/2006/main"/>
          </cdr:cNvSpPr>
        </cdr:nvSpPr>
        <cdr:spPr>
          <a:xfrm xmlns:a="http://schemas.openxmlformats.org/drawingml/2006/main">
            <a:off x="5533322" y="3690610"/>
            <a:ext cx="162000" cy="160851"/>
          </a:xfrm>
          <a:prstGeom xmlns:a="http://schemas.openxmlformats.org/drawingml/2006/main" prst="rect">
            <a:avLst/>
          </a:prstGeom>
          <a:solidFill xmlns:a="http://schemas.openxmlformats.org/drawingml/2006/main">
            <a:srgbClr val="F2975A"/>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6" name="Rectangle 15">
            <a:extLst xmlns:a="http://schemas.openxmlformats.org/drawingml/2006/main">
              <a:ext uri="{FF2B5EF4-FFF2-40B4-BE49-F238E27FC236}">
                <a16:creationId xmlns:a16="http://schemas.microsoft.com/office/drawing/2014/main" id="{32A4BDA0-5677-E743-B4C9-E6DE09951CD0}"/>
              </a:ext>
            </a:extLst>
          </cdr:cNvPr>
          <cdr:cNvSpPr>
            <a:spLocks xmlns:a="http://schemas.openxmlformats.org/drawingml/2006/main"/>
          </cdr:cNvSpPr>
        </cdr:nvSpPr>
        <cdr:spPr>
          <a:xfrm xmlns:a="http://schemas.openxmlformats.org/drawingml/2006/main">
            <a:off x="5533322" y="3904172"/>
            <a:ext cx="162000" cy="160851"/>
          </a:xfrm>
          <a:prstGeom xmlns:a="http://schemas.openxmlformats.org/drawingml/2006/main" prst="rect">
            <a:avLst/>
          </a:prstGeom>
          <a:solidFill xmlns:a="http://schemas.openxmlformats.org/drawingml/2006/main">
            <a:srgbClr val="B7B7B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17" name="Rectangle 16">
            <a:extLst xmlns:a="http://schemas.openxmlformats.org/drawingml/2006/main">
              <a:ext uri="{FF2B5EF4-FFF2-40B4-BE49-F238E27FC236}">
                <a16:creationId xmlns:a16="http://schemas.microsoft.com/office/drawing/2014/main" id="{84F5FD50-7D78-1B47-9D30-78F65EC3613F}"/>
              </a:ext>
            </a:extLst>
          </cdr:cNvPr>
          <cdr:cNvSpPr>
            <a:spLocks xmlns:a="http://schemas.openxmlformats.org/drawingml/2006/main"/>
          </cdr:cNvSpPr>
        </cdr:nvSpPr>
        <cdr:spPr>
          <a:xfrm xmlns:a="http://schemas.openxmlformats.org/drawingml/2006/main">
            <a:off x="5533322" y="4117729"/>
            <a:ext cx="162000" cy="160850"/>
          </a:xfrm>
          <a:prstGeom xmlns:a="http://schemas.openxmlformats.org/drawingml/2006/main" prst="rect">
            <a:avLst/>
          </a:prstGeom>
          <a:solidFill xmlns:a="http://schemas.openxmlformats.org/drawingml/2006/main">
            <a:srgbClr val="78D1B5"/>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horzOverflow="clip"/>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0.91427</cdr:x>
      <cdr:y>0.17452</cdr:y>
    </cdr:from>
    <cdr:to>
      <cdr:x>0.98117</cdr:x>
      <cdr:y>0.88313</cdr:y>
    </cdr:to>
    <cdr:sp macro="" textlink="">
      <cdr:nvSpPr>
        <cdr:cNvPr id="19" name="TextBox 18">
          <a:extLst xmlns:a="http://schemas.openxmlformats.org/drawingml/2006/main">
            <a:ext uri="{FF2B5EF4-FFF2-40B4-BE49-F238E27FC236}">
              <a16:creationId xmlns:a16="http://schemas.microsoft.com/office/drawing/2014/main" id="{66888574-0161-DB47-BD2A-1D2D783A087F}"/>
            </a:ext>
          </a:extLst>
        </cdr:cNvPr>
        <cdr:cNvSpPr txBox="1"/>
      </cdr:nvSpPr>
      <cdr:spPr>
        <a:xfrm xmlns:a="http://schemas.openxmlformats.org/drawingml/2006/main">
          <a:off x="5606320" y="881184"/>
          <a:ext cx="410233" cy="35780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380" b="0" i="0">
              <a:latin typeface="Arial" panose="020B0604020202020204" pitchFamily="34" charset="0"/>
              <a:cs typeface="Arial" panose="020B0604020202020204" pitchFamily="34" charset="0"/>
            </a:rPr>
            <a:t>1</a:t>
          </a:r>
        </a:p>
        <a:p xmlns:a="http://schemas.openxmlformats.org/drawingml/2006/main">
          <a:pPr algn="ctr"/>
          <a:r>
            <a:rPr lang="en-GB" sz="1380" b="0" i="0">
              <a:latin typeface="Arial" panose="020B0604020202020204" pitchFamily="34" charset="0"/>
              <a:cs typeface="Arial" panose="020B0604020202020204" pitchFamily="34" charset="0"/>
            </a:rPr>
            <a:t>2</a:t>
          </a:r>
        </a:p>
        <a:p xmlns:a="http://schemas.openxmlformats.org/drawingml/2006/main">
          <a:pPr algn="ctr"/>
          <a:r>
            <a:rPr lang="en-GB" sz="1380" b="0" i="0">
              <a:latin typeface="Arial" panose="020B0604020202020204" pitchFamily="34" charset="0"/>
              <a:cs typeface="Arial" panose="020B0604020202020204" pitchFamily="34" charset="0"/>
            </a:rPr>
            <a:t>3</a:t>
          </a:r>
        </a:p>
        <a:p xmlns:a="http://schemas.openxmlformats.org/drawingml/2006/main">
          <a:pPr algn="ctr"/>
          <a:r>
            <a:rPr lang="en-GB" sz="1380" b="0" i="0">
              <a:latin typeface="Arial" panose="020B0604020202020204" pitchFamily="34" charset="0"/>
              <a:cs typeface="Arial" panose="020B0604020202020204" pitchFamily="34" charset="0"/>
            </a:rPr>
            <a:t>4</a:t>
          </a:r>
        </a:p>
        <a:p xmlns:a="http://schemas.openxmlformats.org/drawingml/2006/main">
          <a:pPr algn="ctr"/>
          <a:r>
            <a:rPr lang="en-GB" sz="1380" b="0" i="0">
              <a:latin typeface="Arial" panose="020B0604020202020204" pitchFamily="34" charset="0"/>
              <a:cs typeface="Arial" panose="020B0604020202020204" pitchFamily="34" charset="0"/>
            </a:rPr>
            <a:t>5</a:t>
          </a:r>
        </a:p>
        <a:p xmlns:a="http://schemas.openxmlformats.org/drawingml/2006/main">
          <a:pPr algn="ctr"/>
          <a:r>
            <a:rPr lang="en-GB" sz="1380" b="0" i="0">
              <a:latin typeface="Arial" panose="020B0604020202020204" pitchFamily="34" charset="0"/>
              <a:cs typeface="Arial" panose="020B0604020202020204" pitchFamily="34" charset="0"/>
            </a:rPr>
            <a:t>6</a:t>
          </a:r>
        </a:p>
        <a:p xmlns:a="http://schemas.openxmlformats.org/drawingml/2006/main">
          <a:pPr algn="ctr"/>
          <a:r>
            <a:rPr lang="en-GB" sz="1380" b="0" i="0">
              <a:latin typeface="Arial" panose="020B0604020202020204" pitchFamily="34" charset="0"/>
              <a:cs typeface="Arial" panose="020B0604020202020204" pitchFamily="34" charset="0"/>
            </a:rPr>
            <a:t>7</a:t>
          </a:r>
        </a:p>
        <a:p xmlns:a="http://schemas.openxmlformats.org/drawingml/2006/main">
          <a:pPr algn="ctr"/>
          <a:r>
            <a:rPr lang="en-GB" sz="1380" b="0" i="0">
              <a:latin typeface="Arial" panose="020B0604020202020204" pitchFamily="34" charset="0"/>
              <a:cs typeface="Arial" panose="020B0604020202020204" pitchFamily="34" charset="0"/>
            </a:rPr>
            <a:t>8</a:t>
          </a:r>
        </a:p>
        <a:p xmlns:a="http://schemas.openxmlformats.org/drawingml/2006/main">
          <a:pPr algn="ctr"/>
          <a:r>
            <a:rPr lang="en-GB" sz="1380" b="0" i="0">
              <a:latin typeface="Arial" panose="020B0604020202020204" pitchFamily="34" charset="0"/>
              <a:cs typeface="Arial" panose="020B0604020202020204" pitchFamily="34" charset="0"/>
            </a:rPr>
            <a:t>9</a:t>
          </a:r>
        </a:p>
        <a:p xmlns:a="http://schemas.openxmlformats.org/drawingml/2006/main">
          <a:pPr algn="ctr"/>
          <a:r>
            <a:rPr lang="en-GB" sz="1380" b="0" i="0">
              <a:latin typeface="Arial" panose="020B0604020202020204" pitchFamily="34" charset="0"/>
              <a:cs typeface="Arial" panose="020B0604020202020204" pitchFamily="34" charset="0"/>
            </a:rPr>
            <a:t>10</a:t>
          </a:r>
        </a:p>
        <a:p xmlns:a="http://schemas.openxmlformats.org/drawingml/2006/main">
          <a:pPr algn="ctr"/>
          <a:r>
            <a:rPr lang="en-GB" sz="1380" b="0" i="0">
              <a:latin typeface="Arial" panose="020B0604020202020204" pitchFamily="34" charset="0"/>
              <a:cs typeface="Arial" panose="020B0604020202020204" pitchFamily="34" charset="0"/>
            </a:rPr>
            <a:t>11</a:t>
          </a:r>
        </a:p>
        <a:p xmlns:a="http://schemas.openxmlformats.org/drawingml/2006/main">
          <a:pPr algn="ctr"/>
          <a:r>
            <a:rPr lang="en-GB" sz="1380" b="0" i="0">
              <a:latin typeface="Arial" panose="020B0604020202020204" pitchFamily="34" charset="0"/>
              <a:cs typeface="Arial" panose="020B0604020202020204" pitchFamily="34" charset="0"/>
            </a:rPr>
            <a:t>12</a:t>
          </a:r>
        </a:p>
        <a:p xmlns:a="http://schemas.openxmlformats.org/drawingml/2006/main">
          <a:pPr algn="ctr"/>
          <a:r>
            <a:rPr lang="en-GB" sz="1380" b="0" i="0">
              <a:latin typeface="Arial" panose="020B0604020202020204" pitchFamily="34" charset="0"/>
              <a:cs typeface="Arial" panose="020B0604020202020204" pitchFamily="34" charset="0"/>
            </a:rPr>
            <a:t>13</a:t>
          </a:r>
        </a:p>
        <a:p xmlns:a="http://schemas.openxmlformats.org/drawingml/2006/main">
          <a:pPr algn="ctr"/>
          <a:r>
            <a:rPr lang="en-GB" sz="1380" b="0" i="0">
              <a:latin typeface="Arial" panose="020B0604020202020204" pitchFamily="34" charset="0"/>
              <a:cs typeface="Arial" panose="020B0604020202020204" pitchFamily="34" charset="0"/>
            </a:rPr>
            <a:t>14</a:t>
          </a:r>
        </a:p>
        <a:p xmlns:a="http://schemas.openxmlformats.org/drawingml/2006/main">
          <a:pPr algn="ctr"/>
          <a:r>
            <a:rPr lang="en-GB" sz="1380" b="0" i="0">
              <a:latin typeface="Arial" panose="020B0604020202020204" pitchFamily="34" charset="0"/>
              <a:cs typeface="Arial" panose="020B0604020202020204" pitchFamily="34" charset="0"/>
            </a:rPr>
            <a:t>15</a:t>
          </a:r>
        </a:p>
        <a:p xmlns:a="http://schemas.openxmlformats.org/drawingml/2006/main">
          <a:pPr algn="ctr"/>
          <a:r>
            <a:rPr lang="en-GB" sz="1380" b="0" i="0">
              <a:latin typeface="Arial" panose="020B0604020202020204" pitchFamily="34" charset="0"/>
              <a:cs typeface="Arial" panose="020B0604020202020204" pitchFamily="34" charset="0"/>
            </a:rPr>
            <a:t>16</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171</xdr:row>
      <xdr:rowOff>25400</xdr:rowOff>
    </xdr:from>
    <xdr:to>
      <xdr:col>1</xdr:col>
      <xdr:colOff>827999</xdr:colOff>
      <xdr:row>172</xdr:row>
      <xdr:rowOff>102518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39700" y="34163000"/>
          <a:ext cx="827999" cy="2676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225</xdr:row>
      <xdr:rowOff>25400</xdr:rowOff>
    </xdr:from>
    <xdr:to>
      <xdr:col>1</xdr:col>
      <xdr:colOff>827999</xdr:colOff>
      <xdr:row>226</xdr:row>
      <xdr:rowOff>89818</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139700" y="459359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198</xdr:row>
      <xdr:rowOff>25400</xdr:rowOff>
    </xdr:from>
    <xdr:to>
      <xdr:col>1</xdr:col>
      <xdr:colOff>827999</xdr:colOff>
      <xdr:row>199</xdr:row>
      <xdr:rowOff>89818</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139700" y="401320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256</xdr:row>
      <xdr:rowOff>101600</xdr:rowOff>
    </xdr:from>
    <xdr:to>
      <xdr:col>1</xdr:col>
      <xdr:colOff>827999</xdr:colOff>
      <xdr:row>257</xdr:row>
      <xdr:rowOff>166018</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500-000007000000}"/>
            </a:ext>
          </a:extLst>
        </xdr:cNvPr>
        <xdr:cNvSpPr/>
      </xdr:nvSpPr>
      <xdr:spPr>
        <a:xfrm>
          <a:off x="139700" y="53225700"/>
          <a:ext cx="827999" cy="2676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278</xdr:row>
      <xdr:rowOff>88900</xdr:rowOff>
    </xdr:from>
    <xdr:to>
      <xdr:col>1</xdr:col>
      <xdr:colOff>853399</xdr:colOff>
      <xdr:row>279</xdr:row>
      <xdr:rowOff>153318</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65100" y="57899300"/>
          <a:ext cx="827999" cy="2549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25400</xdr:colOff>
      <xdr:row>299</xdr:row>
      <xdr:rowOff>88900</xdr:rowOff>
    </xdr:from>
    <xdr:to>
      <xdr:col>1</xdr:col>
      <xdr:colOff>853399</xdr:colOff>
      <xdr:row>300</xdr:row>
      <xdr:rowOff>178718</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165100" y="62382400"/>
          <a:ext cx="827999" cy="280318"/>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326</xdr:row>
      <xdr:rowOff>0</xdr:rowOff>
    </xdr:from>
    <xdr:to>
      <xdr:col>1</xdr:col>
      <xdr:colOff>827999</xdr:colOff>
      <xdr:row>327</xdr:row>
      <xdr:rowOff>23800</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a:off x="139700" y="678561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363</xdr:row>
      <xdr:rowOff>0</xdr:rowOff>
    </xdr:from>
    <xdr:to>
      <xdr:col>1</xdr:col>
      <xdr:colOff>827999</xdr:colOff>
      <xdr:row>364</xdr:row>
      <xdr:rowOff>23800</xdr:rowOff>
    </xdr:to>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500-00000B000000}"/>
            </a:ext>
          </a:extLst>
        </xdr:cNvPr>
        <xdr:cNvSpPr/>
      </xdr:nvSpPr>
      <xdr:spPr>
        <a:xfrm>
          <a:off x="139700" y="744347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407</xdr:row>
      <xdr:rowOff>0</xdr:rowOff>
    </xdr:from>
    <xdr:to>
      <xdr:col>1</xdr:col>
      <xdr:colOff>827999</xdr:colOff>
      <xdr:row>408</xdr:row>
      <xdr:rowOff>23800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500-00000C000000}"/>
            </a:ext>
          </a:extLst>
        </xdr:cNvPr>
        <xdr:cNvSpPr/>
      </xdr:nvSpPr>
      <xdr:spPr>
        <a:xfrm>
          <a:off x="139700" y="82257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451</xdr:row>
      <xdr:rowOff>12700</xdr:rowOff>
    </xdr:from>
    <xdr:to>
      <xdr:col>1</xdr:col>
      <xdr:colOff>827999</xdr:colOff>
      <xdr:row>452</xdr:row>
      <xdr:rowOff>36500</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500-00000D000000}"/>
            </a:ext>
          </a:extLst>
        </xdr:cNvPr>
        <xdr:cNvSpPr/>
      </xdr:nvSpPr>
      <xdr:spPr>
        <a:xfrm>
          <a:off x="139700" y="90119200"/>
          <a:ext cx="827999" cy="2143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12700</xdr:colOff>
      <xdr:row>86</xdr:row>
      <xdr:rowOff>36711</xdr:rowOff>
    </xdr:from>
    <xdr:to>
      <xdr:col>1</xdr:col>
      <xdr:colOff>840699</xdr:colOff>
      <xdr:row>87</xdr:row>
      <xdr:rowOff>114917</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152400" y="17257911"/>
          <a:ext cx="827999" cy="268706"/>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370</xdr:row>
      <xdr:rowOff>0</xdr:rowOff>
    </xdr:from>
    <xdr:to>
      <xdr:col>1</xdr:col>
      <xdr:colOff>827999</xdr:colOff>
      <xdr:row>371</xdr:row>
      <xdr:rowOff>23800</xdr:rowOff>
    </xdr:to>
    <xdr:sp macro="" textlink="">
      <xdr:nvSpPr>
        <xdr:cNvPr id="17" name="Rounded Rectangle 16">
          <a:hlinkClick xmlns:r="http://schemas.openxmlformats.org/officeDocument/2006/relationships" r:id="rId1"/>
          <a:extLst>
            <a:ext uri="{FF2B5EF4-FFF2-40B4-BE49-F238E27FC236}">
              <a16:creationId xmlns:a16="http://schemas.microsoft.com/office/drawing/2014/main" id="{00000000-0008-0000-0500-000011000000}"/>
            </a:ext>
          </a:extLst>
        </xdr:cNvPr>
        <xdr:cNvSpPr/>
      </xdr:nvSpPr>
      <xdr:spPr>
        <a:xfrm>
          <a:off x="165100" y="62191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20</xdr:col>
      <xdr:colOff>0</xdr:colOff>
      <xdr:row>370</xdr:row>
      <xdr:rowOff>0</xdr:rowOff>
    </xdr:from>
    <xdr:to>
      <xdr:col>20</xdr:col>
      <xdr:colOff>827999</xdr:colOff>
      <xdr:row>371</xdr:row>
      <xdr:rowOff>23800</xdr:rowOff>
    </xdr:to>
    <xdr:sp macro="" textlink="">
      <xdr:nvSpPr>
        <xdr:cNvPr id="19" name="Rounded Rectangle 18">
          <a:hlinkClick xmlns:r="http://schemas.openxmlformats.org/officeDocument/2006/relationships" r:id="rId1"/>
          <a:extLst>
            <a:ext uri="{FF2B5EF4-FFF2-40B4-BE49-F238E27FC236}">
              <a16:creationId xmlns:a16="http://schemas.microsoft.com/office/drawing/2014/main" id="{00000000-0008-0000-0500-000013000000}"/>
            </a:ext>
          </a:extLst>
        </xdr:cNvPr>
        <xdr:cNvSpPr/>
      </xdr:nvSpPr>
      <xdr:spPr>
        <a:xfrm>
          <a:off x="165100" y="62191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20</xdr:col>
      <xdr:colOff>0</xdr:colOff>
      <xdr:row>414</xdr:row>
      <xdr:rowOff>0</xdr:rowOff>
    </xdr:from>
    <xdr:to>
      <xdr:col>20</xdr:col>
      <xdr:colOff>827999</xdr:colOff>
      <xdr:row>415</xdr:row>
      <xdr:rowOff>23800</xdr:rowOff>
    </xdr:to>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165100" y="621919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twoCellAnchor>
    <xdr:from>
      <xdr:col>20</xdr:col>
      <xdr:colOff>0</xdr:colOff>
      <xdr:row>370</xdr:row>
      <xdr:rowOff>0</xdr:rowOff>
    </xdr:from>
    <xdr:to>
      <xdr:col>20</xdr:col>
      <xdr:colOff>827999</xdr:colOff>
      <xdr:row>371</xdr:row>
      <xdr:rowOff>23800</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500-000015000000}"/>
            </a:ext>
          </a:extLst>
        </xdr:cNvPr>
        <xdr:cNvSpPr/>
      </xdr:nvSpPr>
      <xdr:spPr>
        <a:xfrm>
          <a:off x="165100" y="70015100"/>
          <a:ext cx="827999" cy="201600"/>
        </a:xfrm>
        <a:prstGeom prst="roundRect">
          <a:avLst>
            <a:gd name="adj" fmla="val 32901"/>
          </a:avLst>
        </a:prstGeom>
        <a:solidFill>
          <a:schemeClr val="bg1"/>
        </a:solidFill>
        <a:ln w="19050"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tIns="46800" rtlCol="0" anchor="ctr" anchorCtr="1"/>
        <a:lstStyle/>
        <a:p>
          <a:pPr algn="ctr"/>
          <a:r>
            <a:rPr lang="sr-Latn-RS" sz="1300" b="0" i="0">
              <a:solidFill>
                <a:srgbClr val="C00000"/>
              </a:solidFill>
              <a:latin typeface="Arial" panose="020B0604020202020204" pitchFamily="34" charset="0"/>
              <a:cs typeface="Arial" panose="020B0604020202020204" pitchFamily="34" charset="0"/>
            </a:rPr>
            <a:t>Na</a:t>
          </a:r>
          <a:r>
            <a:rPr lang="sr-Latn-RS" sz="1300" b="0" i="0" baseline="0">
              <a:solidFill>
                <a:srgbClr val="C00000"/>
              </a:solidFill>
              <a:latin typeface="Arial" panose="020B0604020202020204" pitchFamily="34" charset="0"/>
              <a:cs typeface="Arial" panose="020B0604020202020204" pitchFamily="34" charset="0"/>
            </a:rPr>
            <a:t> vrh</a:t>
          </a:r>
          <a:endParaRPr lang="en-GB" sz="1300" b="0" i="0">
            <a:solidFill>
              <a:srgbClr val="C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6" Type="http://schemas.openxmlformats.org/officeDocument/2006/relationships/hyperlink" Target="http://www.select.rs/uploads/products/nadev_sumskovoce.jpg" TargetMode="External"/><Relationship Id="rId21" Type="http://schemas.openxmlformats.org/officeDocument/2006/relationships/hyperlink" Target="https://fdc.nal.usda.gov/fdc-app.html" TargetMode="External"/><Relationship Id="rId42" Type="http://schemas.openxmlformats.org/officeDocument/2006/relationships/hyperlink" Target="https://www.idea.rs/online/" TargetMode="External"/><Relationship Id="rId47" Type="http://schemas.openxmlformats.org/officeDocument/2006/relationships/hyperlink" Target="https://www.podravka.hr/proizvod/pekmez-od-sljiva/" TargetMode="External"/><Relationship Id="rId63" Type="http://schemas.openxmlformats.org/officeDocument/2006/relationships/hyperlink" Target="https://www.healthline.com/nutrition/9-foods-high-in-vitamin-d" TargetMode="External"/><Relationship Id="rId68" Type="http://schemas.openxmlformats.org/officeDocument/2006/relationships/hyperlink" Target="https://www.keepitfit.rs/foods/3498/vegeterijanske-pancerote" TargetMode="External"/><Relationship Id="rId84" Type="http://schemas.openxmlformats.org/officeDocument/2006/relationships/hyperlink" Target="http://dijeta.in/kalorije/14/Sir-&#353;vapski" TargetMode="External"/><Relationship Id="rId16" Type="http://schemas.openxmlformats.org/officeDocument/2006/relationships/hyperlink" Target="https://www.tablicakalorija.com/zitarice/kokice.html" TargetMode="External"/><Relationship Id="rId11" Type="http://schemas.openxmlformats.org/officeDocument/2006/relationships/hyperlink" Target="https://www.oetker.rs/rs-sr/nasi-proizvodi/dodaci-za-kolace/gustin" TargetMode="External"/><Relationship Id="rId32" Type="http://schemas.openxmlformats.org/officeDocument/2006/relationships/hyperlink" Target="http://www.dergez.hr/pekara/proizvodi/cupavci-s-kokosom/" TargetMode="External"/><Relationship Id="rId37" Type="http://schemas.openxmlformats.org/officeDocument/2006/relationships/hyperlink" Target="https://www.tablicakalorija.com/zitarice/ovsene-pahuljice.html" TargetMode="External"/><Relationship Id="rId53" Type="http://schemas.openxmlformats.org/officeDocument/2006/relationships/hyperlink" Target="https://www.podravka.hr/proizvod/mijesana-salata/" TargetMode="External"/><Relationship Id="rId58" Type="http://schemas.openxmlformats.org/officeDocument/2006/relationships/hyperlink" Target="https://www.keepitfit.rs/foods/1292/integralna-kifla" TargetMode="External"/><Relationship Id="rId74" Type="http://schemas.openxmlformats.org/officeDocument/2006/relationships/hyperlink" Target="https://nutritiondata.self.com/facts/finfish-and-shellfish-products/4036/2" TargetMode="External"/><Relationship Id="rId79" Type="http://schemas.openxmlformats.org/officeDocument/2006/relationships/hyperlink" Target="https://fdc.nal.usda.gov/fdc-app.html" TargetMode="External"/><Relationship Id="rId5" Type="http://schemas.openxmlformats.org/officeDocument/2006/relationships/hyperlink" Target="https://www.oetker.rs/rs-sr/nasi-proizvodi/smese-za-kolace/princes-krofne" TargetMode="External"/><Relationship Id="rId19" Type="http://schemas.openxmlformats.org/officeDocument/2006/relationships/hyperlink" Target="https://www.podravka.hr/proizvod/pekmez-od-sljiva/" TargetMode="External"/><Relationship Id="rId14" Type="http://schemas.openxmlformats.org/officeDocument/2006/relationships/hyperlink" Target="https://www.idea.rs/online/" TargetMode="External"/><Relationship Id="rId22" Type="http://schemas.openxmlformats.org/officeDocument/2006/relationships/hyperlink" Target="https://www.idea.rs/online/" TargetMode="External"/><Relationship Id="rId27" Type="http://schemas.openxmlformats.org/officeDocument/2006/relationships/hyperlink" Target="https://www.keepitfit.rs/foods/747/zemicka" TargetMode="External"/><Relationship Id="rId30" Type="http://schemas.openxmlformats.org/officeDocument/2006/relationships/hyperlink" Target="https://www.tablicakalorija.com/meso/prsut-prsuta.html" TargetMode="External"/><Relationship Id="rId35" Type="http://schemas.openxmlformats.org/officeDocument/2006/relationships/hyperlink" Target="http://dijeta.in/kalorije/225/Za&#269;ini-beli-luk-u-prahu" TargetMode="External"/><Relationship Id="rId43" Type="http://schemas.openxmlformats.org/officeDocument/2006/relationships/hyperlink" Target="https://www.podravka.hr/proizvod/mijesana-salata/" TargetMode="External"/><Relationship Id="rId48" Type="http://schemas.openxmlformats.org/officeDocument/2006/relationships/hyperlink" Target="https://www.podravka.hr/proizvod/pekmez-od-sljiva/" TargetMode="External"/><Relationship Id="rId56" Type="http://schemas.openxmlformats.org/officeDocument/2006/relationships/hyperlink" Target="http://www.select.rs/uploads/products/nadev_sumskovoce.jpg" TargetMode="External"/><Relationship Id="rId64" Type="http://schemas.openxmlformats.org/officeDocument/2006/relationships/hyperlink" Target="https://www.healthline.com/nutrition/9-foods-high-in-vitamin-d" TargetMode="External"/><Relationship Id="rId69" Type="http://schemas.openxmlformats.org/officeDocument/2006/relationships/hyperlink" Target="http://www.manja.ba/ponuda/fina-peciva" TargetMode="External"/><Relationship Id="rId77" Type="http://schemas.openxmlformats.org/officeDocument/2006/relationships/hyperlink" Target="https://fddb.info/db/en/food/natural_product_leek_raw/index.html" TargetMode="External"/><Relationship Id="rId8" Type="http://schemas.openxmlformats.org/officeDocument/2006/relationships/hyperlink" Target="http://dijeta.in/kalorije/53/Slag-umucen-slag-preliv" TargetMode="External"/><Relationship Id="rId51" Type="http://schemas.openxmlformats.org/officeDocument/2006/relationships/hyperlink" Target="http://mlekaraleskovac.rs/proizvod/kackavalj-krstas-0450/" TargetMode="External"/><Relationship Id="rId72" Type="http://schemas.openxmlformats.org/officeDocument/2006/relationships/hyperlink" Target="https://www.imlek.rs/en/products/milkshake" TargetMode="External"/><Relationship Id="rId80" Type="http://schemas.openxmlformats.org/officeDocument/2006/relationships/hyperlink" Target="https://www.podravka.hr/proizvod/mijesana-salata/" TargetMode="External"/><Relationship Id="rId85" Type="http://schemas.openxmlformats.org/officeDocument/2006/relationships/hyperlink" Target="https://www.maxi.rs/online/Mleko-mlechni-proizvodi-i-jaja/Sir/Proizvodi-na-meru/Tvrdi-polutvrdi-sirevi/Sir-Biser-trapist-Selecta-premium-45-mm/p/7213751+%20sir%20edamer+gauda%20%5bEuroFIR%5d" TargetMode="External"/><Relationship Id="rId3" Type="http://schemas.openxmlformats.org/officeDocument/2006/relationships/hyperlink" Target="https://www.keepitfit.rs/foods/1341/heljdina-palenta" TargetMode="External"/><Relationship Id="rId12" Type="http://schemas.openxmlformats.org/officeDocument/2006/relationships/hyperlink" Target="https://www.tablicakalorija.com/povrce/leblebija.html" TargetMode="External"/><Relationship Id="rId17" Type="http://schemas.openxmlformats.org/officeDocument/2006/relationships/hyperlink" Target="https://nutritiondata.self.com/facts/cereal-grains-and-pasta/5687/2" TargetMode="External"/><Relationship Id="rId25" Type="http://schemas.openxmlformats.org/officeDocument/2006/relationships/hyperlink" Target="http://www.select.rs/uploads/products/nadev_sumskovoce.jpg" TargetMode="External"/><Relationship Id="rId33" Type="http://schemas.openxmlformats.org/officeDocument/2006/relationships/hyperlink" Target="https://www.oetker.rs/rs-sr/nasi-proizvodi/smese-za-kolace/princes-krofne" TargetMode="External"/><Relationship Id="rId38" Type="http://schemas.openxmlformats.org/officeDocument/2006/relationships/hyperlink" Target="https://www.coolinarika.com/namirnica/jecam/nutritivna-tablica/" TargetMode="External"/><Relationship Id="rId46" Type="http://schemas.openxmlformats.org/officeDocument/2006/relationships/hyperlink" Target="https://nutritiondata.self.com/facts/cereal-grains-and-pasta/5687/2" TargetMode="External"/><Relationship Id="rId59" Type="http://schemas.openxmlformats.org/officeDocument/2006/relationships/hyperlink" Target="https://www.maxi.rs/online/Mleko-mlechni-proizvodi-i-jaja/Kiselo-mlechni-proizvodi/Grchki-jogurt/Grcki-jogurt-Dukatos-Dukat-400g/p/7203102" TargetMode="External"/><Relationship Id="rId67" Type="http://schemas.openxmlformats.org/officeDocument/2006/relationships/hyperlink" Target="https://nutritiondata.self.com/facts/finfish-and-shellfish-products/4149/2" TargetMode="External"/><Relationship Id="rId20" Type="http://schemas.openxmlformats.org/officeDocument/2006/relationships/hyperlink" Target="https://fdc.nal.usda.gov/fdc-app.html" TargetMode="External"/><Relationship Id="rId41" Type="http://schemas.openxmlformats.org/officeDocument/2006/relationships/hyperlink" Target="https://www.ideaonline.me/" TargetMode="External"/><Relationship Id="rId54" Type="http://schemas.openxmlformats.org/officeDocument/2006/relationships/hyperlink" Target="https://www.maxi.rs/online/Mleko-mlechni-proizvodi-i-jaja/Sir/Proizvodi-na-meru/Tvrdi-polutvrdi-sirevi/Sir-Kopaonicki-Lazar-35-mm/p/7179071" TargetMode="External"/><Relationship Id="rId62" Type="http://schemas.openxmlformats.org/officeDocument/2006/relationships/hyperlink" Target="https://www.stajedem.rs/zlatiborac-govedja-prsuta-naresci-u-zastitnoj-atmosferi-100g" TargetMode="External"/><Relationship Id="rId70" Type="http://schemas.openxmlformats.org/officeDocument/2006/relationships/hyperlink" Target="http://mara-sombor.com/sr/proizvodi/strudla-sa-jabukama/" TargetMode="External"/><Relationship Id="rId75" Type="http://schemas.openxmlformats.org/officeDocument/2006/relationships/hyperlink" Target="https://fdc.nal.usda.gov/fdc-app.html" TargetMode="External"/><Relationship Id="rId83" Type="http://schemas.openxmlformats.org/officeDocument/2006/relationships/hyperlink" Target="http://mara-sombor.com/sr/proizvodi/strudla-sa-jabukama/" TargetMode="External"/><Relationship Id="rId1" Type="http://schemas.openxmlformats.org/officeDocument/2006/relationships/hyperlink" Target="https://www.coolinarika.com/namirnica/slanina/" TargetMode="External"/><Relationship Id="rId6" Type="http://schemas.openxmlformats.org/officeDocument/2006/relationships/hyperlink" Target="https://www.keepitfit.rs/foods/1151/lenja-pita" TargetMode="External"/><Relationship Id="rId15" Type="http://schemas.openxmlformats.org/officeDocument/2006/relationships/hyperlink" Target="https://www.swisslion-takovo.com/proizvod/kroasan-eurocrem-500g/" TargetMode="External"/><Relationship Id="rId23" Type="http://schemas.openxmlformats.org/officeDocument/2006/relationships/hyperlink" Target="https://www.podravka.hr/proizvod/mijesana-salata/" TargetMode="External"/><Relationship Id="rId28" Type="http://schemas.openxmlformats.org/officeDocument/2006/relationships/hyperlink" Target="https://www.keepitfit.rs/foods/1292/integralna-kifla" TargetMode="External"/><Relationship Id="rId36" Type="http://schemas.openxmlformats.org/officeDocument/2006/relationships/hyperlink" Target="http://dijeta.in/kalorije/53/Slag-umucen-slag-preliv" TargetMode="External"/><Relationship Id="rId49" Type="http://schemas.openxmlformats.org/officeDocument/2006/relationships/hyperlink" Target="https://fdc.nal.usda.gov/fdc-app.html" TargetMode="External"/><Relationship Id="rId57" Type="http://schemas.openxmlformats.org/officeDocument/2006/relationships/hyperlink" Target="https://www.keepitfit.rs/foods/747/zemicka" TargetMode="External"/><Relationship Id="rId10" Type="http://schemas.openxmlformats.org/officeDocument/2006/relationships/hyperlink" Target="https://www.coolinarika.com/namirnica/jecam/nutritivna-tablica/" TargetMode="External"/><Relationship Id="rId31" Type="http://schemas.openxmlformats.org/officeDocument/2006/relationships/hyperlink" Target="https://www.keepitfit.rs/foods/1341/heljdina-palenta" TargetMode="External"/><Relationship Id="rId44" Type="http://schemas.openxmlformats.org/officeDocument/2006/relationships/hyperlink" Target="https://www.swisslion-takovo.com/proizvod/kroasan-eurocrem-500g/" TargetMode="External"/><Relationship Id="rId52" Type="http://schemas.openxmlformats.org/officeDocument/2006/relationships/hyperlink" Target="https://www.idea.rs/online/" TargetMode="External"/><Relationship Id="rId60" Type="http://schemas.openxmlformats.org/officeDocument/2006/relationships/hyperlink" Target="https://www.eatthismuch.com/food/nutrition/aceto-balsamico-di-modena-igp,136729/" TargetMode="External"/><Relationship Id="rId65" Type="http://schemas.openxmlformats.org/officeDocument/2006/relationships/hyperlink" Target="https://nutritiondata.self.com/facts/finfish-and-shellfish-products/4036/2" TargetMode="External"/><Relationship Id="rId73" Type="http://schemas.openxmlformats.org/officeDocument/2006/relationships/hyperlink" Target="https://www.keepitfit.rs/foods/2397/praska-sunka" TargetMode="External"/><Relationship Id="rId78" Type="http://schemas.openxmlformats.org/officeDocument/2006/relationships/hyperlink" Target="https://fdc.nal.usda.gov/fdc-app.html" TargetMode="External"/><Relationship Id="rId81" Type="http://schemas.openxmlformats.org/officeDocument/2006/relationships/hyperlink" Target="https://fdc.nal.usda.gov/fdc-app.html" TargetMode="External"/><Relationship Id="rId86" Type="http://schemas.openxmlformats.org/officeDocument/2006/relationships/hyperlink" Target="https://www.building-body.com/tablica-nutritivnih-vrijednosti-mesa-i-mesnih-preradjevina/%20+%20Fa&#353;irana%20&#353;nicla%20(Minced%20meat%20steak)%20%5bEuroFir%5d" TargetMode="External"/><Relationship Id="rId4" Type="http://schemas.openxmlformats.org/officeDocument/2006/relationships/hyperlink" Target="http://www.dergez.hr/pekara/proizvodi/cupavci-s-kokosom/" TargetMode="External"/><Relationship Id="rId9" Type="http://schemas.openxmlformats.org/officeDocument/2006/relationships/hyperlink" Target="https://www.tablicakalorija.com/zitarice/ovsene-pahuljice.html" TargetMode="External"/><Relationship Id="rId13" Type="http://schemas.openxmlformats.org/officeDocument/2006/relationships/hyperlink" Target="https://www.ideaonline.me/" TargetMode="External"/><Relationship Id="rId18" Type="http://schemas.openxmlformats.org/officeDocument/2006/relationships/hyperlink" Target="https://www.podravka.hr/proizvod/pekmez-od-sljiva/" TargetMode="External"/><Relationship Id="rId39" Type="http://schemas.openxmlformats.org/officeDocument/2006/relationships/hyperlink" Target="https://www.oetker.rs/rs-sr/nasi-proizvodi/dodaci-za-kolace/gustin" TargetMode="External"/><Relationship Id="rId34" Type="http://schemas.openxmlformats.org/officeDocument/2006/relationships/hyperlink" Target="https://www.keepitfit.rs/foods/1151/lenja-pita" TargetMode="External"/><Relationship Id="rId50" Type="http://schemas.openxmlformats.org/officeDocument/2006/relationships/hyperlink" Target="https://fdc.nal.usda.gov/fdc-app.html" TargetMode="External"/><Relationship Id="rId55" Type="http://schemas.openxmlformats.org/officeDocument/2006/relationships/hyperlink" Target="http://www.select.rs/uploads/products/nadev_sumskovoce.jpg" TargetMode="External"/><Relationship Id="rId76" Type="http://schemas.openxmlformats.org/officeDocument/2006/relationships/hyperlink" Target="https://www.fatsecret.com/calories-nutrition/generic/bread-buckwheat?portionid=52378&amp;portionamount=100.000" TargetMode="External"/><Relationship Id="rId7" Type="http://schemas.openxmlformats.org/officeDocument/2006/relationships/hyperlink" Target="http://dijeta.in/kalorije/225/Za&#269;ini-beli-luk-u-prahu" TargetMode="External"/><Relationship Id="rId71" Type="http://schemas.openxmlformats.org/officeDocument/2006/relationships/hyperlink" Target="https://www.idea.rs/online/" TargetMode="External"/><Relationship Id="rId2" Type="http://schemas.openxmlformats.org/officeDocument/2006/relationships/hyperlink" Target="https://www.tablicakalorija.com/meso/prsut-prsuta.html" TargetMode="External"/><Relationship Id="rId29" Type="http://schemas.openxmlformats.org/officeDocument/2006/relationships/hyperlink" Target="https://www.coolinarika.com/namirnica/slanina/" TargetMode="External"/><Relationship Id="rId24" Type="http://schemas.openxmlformats.org/officeDocument/2006/relationships/hyperlink" Target="https://www.maxi.rs/online/Mleko-mlechni-proizvodi-i-jaja/Sir/Proizvodi-na-meru/Tvrdi-polutvrdi-sirevi/Sir-Kopaonicki-Lazar-35-mm/p/7179071+sir%20tvrdi%2033%25%20mm%20%5bEuroFIR%5d" TargetMode="External"/><Relationship Id="rId40" Type="http://schemas.openxmlformats.org/officeDocument/2006/relationships/hyperlink" Target="https://www.tablicakalorija.com/povrce/leblebija.html" TargetMode="External"/><Relationship Id="rId45" Type="http://schemas.openxmlformats.org/officeDocument/2006/relationships/hyperlink" Target="https://www.tablicakalorija.com/zitarice/kokice.html" TargetMode="External"/><Relationship Id="rId66" Type="http://schemas.openxmlformats.org/officeDocument/2006/relationships/hyperlink" Target="https://nutritiondata.self.com/facts/finfish-and-shellfish-products/4145/2" TargetMode="External"/><Relationship Id="rId61" Type="http://schemas.openxmlformats.org/officeDocument/2006/relationships/hyperlink" Target="https://everything2.com/title/Nutritional+Information+for+Citric+Acid" TargetMode="External"/><Relationship Id="rId82" Type="http://schemas.openxmlformats.org/officeDocument/2006/relationships/hyperlink" Target="https://fdc.nal.usda.gov/fdc-app.html"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 Type="http://schemas.openxmlformats.org/officeDocument/2006/relationships/ctrlProp" Target="../ctrlProps/ctrlProp7.x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2" Type="http://schemas.openxmlformats.org/officeDocument/2006/relationships/vmlDrawing" Target="../drawings/vmlDrawing3.v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1" Type="http://schemas.openxmlformats.org/officeDocument/2006/relationships/drawing" Target="../drawings/drawing3.xml"/><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4.vml"/><Relationship Id="rId1" Type="http://schemas.openxmlformats.org/officeDocument/2006/relationships/drawing" Target="../drawings/drawing11.xml"/><Relationship Id="rId4" Type="http://schemas.openxmlformats.org/officeDocument/2006/relationships/ctrlProp" Target="../ctrlProps/ctrlProp3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5.vml"/><Relationship Id="rId1" Type="http://schemas.openxmlformats.org/officeDocument/2006/relationships/drawing" Target="../drawings/drawing12.xml"/><Relationship Id="rId4" Type="http://schemas.openxmlformats.org/officeDocument/2006/relationships/ctrlProp" Target="../ctrlProps/ctrlProp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BD41-DBC3-494C-8523-056EE17DC99C}">
  <dimension ref="B1:B63"/>
  <sheetViews>
    <sheetView tabSelected="1" zoomScaleNormal="100" workbookViewId="0">
      <pane ySplit="1" topLeftCell="A2" activePane="bottomLeft" state="frozen"/>
      <selection pane="bottomLeft" activeCell="C1" sqref="C1:C1048576"/>
    </sheetView>
  </sheetViews>
  <sheetFormatPr baseColWidth="10" defaultRowHeight="16"/>
  <cols>
    <col min="1" max="1" width="2.1640625" style="1352" customWidth="1"/>
    <col min="2" max="2" width="152.6640625" style="1352" customWidth="1"/>
    <col min="3" max="16384" width="10.83203125" style="1352"/>
  </cols>
  <sheetData>
    <row r="1" spans="2:2" ht="11" customHeight="1"/>
    <row r="2" spans="2:2">
      <c r="B2" s="1354" t="s">
        <v>4177</v>
      </c>
    </row>
    <row r="3" spans="2:2" ht="85">
      <c r="B3" s="1353" t="s">
        <v>4162</v>
      </c>
    </row>
    <row r="4" spans="2:2" ht="34">
      <c r="B4" s="1353" t="s">
        <v>4105</v>
      </c>
    </row>
    <row r="6" spans="2:2">
      <c r="B6" s="1354" t="s">
        <v>564</v>
      </c>
    </row>
    <row r="7" spans="2:2">
      <c r="B7" s="1352" t="s">
        <v>4108</v>
      </c>
    </row>
    <row r="8" spans="2:2" ht="34">
      <c r="B8" s="1353" t="s">
        <v>4107</v>
      </c>
    </row>
    <row r="9" spans="2:2">
      <c r="B9" s="1352" t="s">
        <v>565</v>
      </c>
    </row>
    <row r="10" spans="2:2" ht="51">
      <c r="B10" s="1353" t="s">
        <v>4104</v>
      </c>
    </row>
    <row r="11" spans="2:2" ht="51">
      <c r="B11" s="1353" t="s">
        <v>4106</v>
      </c>
    </row>
    <row r="12" spans="2:2" ht="34">
      <c r="B12" s="1353" t="s">
        <v>4109</v>
      </c>
    </row>
    <row r="13" spans="2:2" ht="51">
      <c r="B13" s="1353" t="s">
        <v>4110</v>
      </c>
    </row>
    <row r="14" spans="2:2">
      <c r="B14" s="1353"/>
    </row>
    <row r="15" spans="2:2" ht="17">
      <c r="B15" s="1355" t="s">
        <v>4111</v>
      </c>
    </row>
    <row r="16" spans="2:2" ht="34">
      <c r="B16" s="1353" t="s">
        <v>4113</v>
      </c>
    </row>
    <row r="17" spans="2:2" ht="17">
      <c r="B17" s="1353" t="s">
        <v>4112</v>
      </c>
    </row>
    <row r="18" spans="2:2" ht="17">
      <c r="B18" s="1353" t="s">
        <v>4139</v>
      </c>
    </row>
    <row r="19" spans="2:2" ht="68">
      <c r="B19" s="1353" t="s">
        <v>4140</v>
      </c>
    </row>
    <row r="21" spans="2:2">
      <c r="B21" s="1354" t="s">
        <v>4121</v>
      </c>
    </row>
    <row r="22" spans="2:2">
      <c r="B22" s="1352" t="s">
        <v>4114</v>
      </c>
    </row>
    <row r="23" spans="2:2" ht="17">
      <c r="B23" s="1353" t="s">
        <v>4141</v>
      </c>
    </row>
    <row r="24" spans="2:2" ht="68">
      <c r="B24" s="1353" t="s">
        <v>4142</v>
      </c>
    </row>
    <row r="25" spans="2:2">
      <c r="B25" s="1352" t="s">
        <v>4143</v>
      </c>
    </row>
    <row r="26" spans="2:2">
      <c r="B26" s="1352" t="s">
        <v>4115</v>
      </c>
    </row>
    <row r="27" spans="2:2" ht="34">
      <c r="B27" s="1353" t="s">
        <v>4144</v>
      </c>
    </row>
    <row r="28" spans="2:2">
      <c r="B28" s="1352" t="s">
        <v>4145</v>
      </c>
    </row>
    <row r="29" spans="2:2">
      <c r="B29" s="1352" t="s">
        <v>4146</v>
      </c>
    </row>
    <row r="30" spans="2:2">
      <c r="B30" s="1352" t="s">
        <v>4147</v>
      </c>
    </row>
    <row r="31" spans="2:2" ht="51">
      <c r="B31" s="1353" t="s">
        <v>4148</v>
      </c>
    </row>
    <row r="32" spans="2:2" ht="34">
      <c r="B32" s="1353" t="s">
        <v>4178</v>
      </c>
    </row>
    <row r="33" spans="2:2" ht="51">
      <c r="B33" s="1353" t="s">
        <v>4117</v>
      </c>
    </row>
    <row r="34" spans="2:2">
      <c r="B34" s="1352" t="s">
        <v>4116</v>
      </c>
    </row>
    <row r="35" spans="2:2" ht="34">
      <c r="B35" s="1353" t="s">
        <v>4119</v>
      </c>
    </row>
    <row r="36" spans="2:2">
      <c r="B36" s="1352" t="s">
        <v>4120</v>
      </c>
    </row>
    <row r="37" spans="2:2" ht="34">
      <c r="B37" s="1353" t="s">
        <v>4180</v>
      </c>
    </row>
    <row r="39" spans="2:2" ht="34">
      <c r="B39" s="1353" t="s">
        <v>4151</v>
      </c>
    </row>
    <row r="40" spans="2:2">
      <c r="B40" s="1352" t="s">
        <v>4124</v>
      </c>
    </row>
    <row r="41" spans="2:2" ht="34">
      <c r="B41" s="1353" t="s">
        <v>4118</v>
      </c>
    </row>
    <row r="42" spans="2:2" ht="34">
      <c r="B42" s="1353" t="s">
        <v>4149</v>
      </c>
    </row>
    <row r="43" spans="2:2" ht="34">
      <c r="B43" s="1353" t="s">
        <v>4123</v>
      </c>
    </row>
    <row r="45" spans="2:2">
      <c r="B45" s="1354" t="s">
        <v>4122</v>
      </c>
    </row>
    <row r="46" spans="2:2">
      <c r="B46" s="1352" t="s">
        <v>4125</v>
      </c>
    </row>
    <row r="47" spans="2:2" ht="68">
      <c r="B47" s="1353" t="s">
        <v>4127</v>
      </c>
    </row>
    <row r="48" spans="2:2" ht="16" customHeight="1">
      <c r="B48" s="1353" t="s">
        <v>4179</v>
      </c>
    </row>
    <row r="49" spans="2:2" ht="51">
      <c r="B49" s="1353" t="s">
        <v>4152</v>
      </c>
    </row>
    <row r="50" spans="2:2" ht="34">
      <c r="B50" s="1353" t="s">
        <v>4153</v>
      </c>
    </row>
    <row r="52" spans="2:2">
      <c r="B52" s="1354" t="s">
        <v>4126</v>
      </c>
    </row>
    <row r="53" spans="2:2" s="447" customFormat="1" ht="51">
      <c r="B53" s="1356" t="s">
        <v>4154</v>
      </c>
    </row>
    <row r="54" spans="2:2" ht="34">
      <c r="B54" s="1353" t="s">
        <v>4128</v>
      </c>
    </row>
    <row r="55" spans="2:2" ht="34">
      <c r="B55" s="1353" t="s">
        <v>4129</v>
      </c>
    </row>
    <row r="56" spans="2:2">
      <c r="B56" s="749"/>
    </row>
    <row r="57" spans="2:2" ht="68">
      <c r="B57" s="1353" t="s">
        <v>4131</v>
      </c>
    </row>
    <row r="58" spans="2:2" ht="17">
      <c r="B58" s="1353" t="s">
        <v>4130</v>
      </c>
    </row>
    <row r="59" spans="2:2" ht="51">
      <c r="B59" s="1353" t="s">
        <v>4155</v>
      </c>
    </row>
    <row r="61" spans="2:2">
      <c r="B61" s="1354" t="s">
        <v>4132</v>
      </c>
    </row>
    <row r="62" spans="2:2">
      <c r="B62" s="1352" t="s">
        <v>4130</v>
      </c>
    </row>
    <row r="63" spans="2:2" ht="68">
      <c r="B63" s="1353" t="s">
        <v>4156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8871-B891-E74F-A550-6A4172D01769}">
  <dimension ref="A1:S398"/>
  <sheetViews>
    <sheetView workbookViewId="0">
      <pane ySplit="8" topLeftCell="A19" activePane="bottomLeft" state="frozen"/>
      <selection pane="bottomLeft" activeCell="I49" sqref="I49"/>
    </sheetView>
  </sheetViews>
  <sheetFormatPr baseColWidth="10" defaultRowHeight="16"/>
  <cols>
    <col min="1" max="1" width="20.1640625" style="469" customWidth="1"/>
    <col min="2" max="2" width="36.5" style="447" customWidth="1"/>
    <col min="3" max="3" width="13" style="450" customWidth="1"/>
    <col min="4" max="4" width="10.5" style="447" customWidth="1"/>
    <col min="5" max="5" width="8.33203125" style="447" customWidth="1"/>
    <col min="6" max="6" width="10.1640625" style="447" customWidth="1"/>
    <col min="7" max="7" width="7.33203125" style="447" customWidth="1"/>
    <col min="8" max="8" width="22.1640625" style="447" customWidth="1"/>
    <col min="9" max="9" width="156.1640625" style="472" customWidth="1"/>
    <col min="10" max="10" width="7.83203125" style="692" customWidth="1"/>
    <col min="11" max="12" width="5.5" style="692" customWidth="1"/>
    <col min="13" max="13" width="29.5" style="692" customWidth="1"/>
    <col min="14" max="14" width="8.1640625" style="693" customWidth="1"/>
    <col min="15" max="15" width="8.83203125" style="692" customWidth="1"/>
    <col min="16" max="16" width="6.33203125" style="694" customWidth="1"/>
    <col min="17" max="17" width="10.83203125" style="692"/>
    <col min="18" max="16384" width="10.83203125" style="443"/>
  </cols>
  <sheetData>
    <row r="1" spans="1:19" ht="23" customHeight="1">
      <c r="B1" s="474" t="s">
        <v>1744</v>
      </c>
      <c r="C1" s="1507" t="s">
        <v>2603</v>
      </c>
      <c r="D1" s="1507"/>
      <c r="E1" s="1507"/>
      <c r="F1" s="1507"/>
      <c r="G1" s="1507"/>
      <c r="H1" s="1507"/>
      <c r="I1" s="680"/>
    </row>
    <row r="2" spans="1:19" s="466" customFormat="1" ht="15" customHeight="1">
      <c r="A2" s="469"/>
      <c r="B2" s="675"/>
      <c r="C2" s="1507"/>
      <c r="D2" s="1507"/>
      <c r="E2" s="1507"/>
      <c r="F2" s="1507"/>
      <c r="G2" s="1507"/>
      <c r="H2" s="1507"/>
      <c r="I2" s="680"/>
      <c r="J2" s="692"/>
      <c r="K2" s="692"/>
      <c r="L2" s="692"/>
      <c r="M2" s="692"/>
      <c r="N2" s="693"/>
      <c r="O2" s="692"/>
      <c r="P2" s="694"/>
      <c r="Q2" s="692"/>
    </row>
    <row r="3" spans="1:19" s="466" customFormat="1" ht="22" customHeight="1">
      <c r="A3" s="469"/>
      <c r="B3" s="474"/>
      <c r="C3" s="1507"/>
      <c r="D3" s="1507"/>
      <c r="E3" s="1507"/>
      <c r="F3" s="1507"/>
      <c r="G3" s="1507"/>
      <c r="H3" s="1507"/>
      <c r="I3" s="680"/>
      <c r="J3" s="692"/>
      <c r="K3" s="692"/>
      <c r="L3" s="692"/>
      <c r="M3" s="692"/>
      <c r="N3" s="693"/>
      <c r="O3" s="692"/>
      <c r="P3" s="694"/>
      <c r="Q3" s="692"/>
    </row>
    <row r="4" spans="1:19" s="466" customFormat="1" ht="9" customHeight="1">
      <c r="A4" s="469"/>
      <c r="B4" s="675"/>
      <c r="C4" s="1507"/>
      <c r="D4" s="1507"/>
      <c r="E4" s="1507"/>
      <c r="F4" s="1507"/>
      <c r="G4" s="1507"/>
      <c r="H4" s="1507"/>
      <c r="I4" s="680"/>
      <c r="J4" s="692"/>
      <c r="K4" s="692"/>
      <c r="L4" s="692"/>
      <c r="M4" s="692"/>
      <c r="N4" s="693"/>
      <c r="O4" s="692"/>
      <c r="P4" s="694"/>
      <c r="Q4" s="692"/>
    </row>
    <row r="5" spans="1:19" s="466" customFormat="1" ht="22" customHeight="1">
      <c r="A5" s="469"/>
      <c r="B5" s="474"/>
      <c r="C5" s="1507"/>
      <c r="D5" s="1507"/>
      <c r="E5" s="1507"/>
      <c r="F5" s="1507"/>
      <c r="G5" s="1507"/>
      <c r="H5" s="1507"/>
      <c r="I5" s="680"/>
      <c r="J5" s="692"/>
      <c r="K5" s="692"/>
      <c r="L5" s="692"/>
      <c r="M5" s="692"/>
      <c r="N5" s="693"/>
      <c r="O5" s="692"/>
      <c r="P5" s="694"/>
      <c r="Q5" s="692"/>
    </row>
    <row r="6" spans="1:19" s="466" customFormat="1" ht="17" customHeight="1">
      <c r="A6" s="469"/>
      <c r="B6" s="675"/>
      <c r="C6" s="1507"/>
      <c r="D6" s="1507"/>
      <c r="E6" s="1507"/>
      <c r="F6" s="1507"/>
      <c r="G6" s="1507"/>
      <c r="H6" s="1507"/>
      <c r="I6" s="680"/>
      <c r="J6" s="692"/>
      <c r="K6" s="692"/>
      <c r="L6" s="692"/>
      <c r="M6" s="692"/>
      <c r="N6" s="693"/>
      <c r="O6" s="692"/>
      <c r="P6" s="694"/>
      <c r="Q6" s="692"/>
    </row>
    <row r="7" spans="1:19">
      <c r="B7" s="676"/>
      <c r="C7" s="448" t="s">
        <v>1623</v>
      </c>
      <c r="D7" s="449" t="s">
        <v>1377</v>
      </c>
      <c r="E7" s="449" t="s">
        <v>1741</v>
      </c>
      <c r="F7" s="449" t="s">
        <v>2095</v>
      </c>
      <c r="I7" s="680"/>
      <c r="K7" s="692" t="s">
        <v>1736</v>
      </c>
      <c r="N7" s="693" t="s">
        <v>1623</v>
      </c>
      <c r="O7" s="692" t="s">
        <v>1740</v>
      </c>
    </row>
    <row r="8" spans="1:19" ht="20" customHeight="1" thickBot="1">
      <c r="B8" s="453" t="s">
        <v>1735</v>
      </c>
      <c r="C8" s="454" t="s">
        <v>2214</v>
      </c>
      <c r="D8" s="455" t="s">
        <v>1624</v>
      </c>
      <c r="E8" s="455" t="s">
        <v>1742</v>
      </c>
      <c r="F8" s="455" t="s">
        <v>2096</v>
      </c>
      <c r="G8" s="456" t="s">
        <v>1736</v>
      </c>
      <c r="H8" s="456" t="s">
        <v>1743</v>
      </c>
      <c r="I8" s="681" t="str">
        <f>IF(LEFT(Ingredient_prices!G4,1)="П","Партија ","Partija ")</f>
        <v xml:space="preserve">Партија </v>
      </c>
      <c r="J8" s="695" t="s">
        <v>1736</v>
      </c>
      <c r="K8" s="695" t="s">
        <v>1739</v>
      </c>
      <c r="L8" s="692" t="s">
        <v>1738</v>
      </c>
      <c r="M8" s="692" t="s">
        <v>1735</v>
      </c>
      <c r="N8" s="693" t="s">
        <v>1377</v>
      </c>
      <c r="O8" s="692" t="s">
        <v>1739</v>
      </c>
    </row>
    <row r="9" spans="1:19">
      <c r="A9" s="470">
        <v>1</v>
      </c>
      <c r="B9" s="451" t="str">
        <f t="shared" ref="B9:B72" si="0">_xlfn.IFNA(VLOOKUP($A9,$L:$N,2,FALSE),"")</f>
        <v>Bread, white</v>
      </c>
      <c r="C9" s="462">
        <f t="shared" ref="C9:C72" si="1">_xlfn.IFNA(VLOOKUP($A9,$L:$N,3,FALSE)-0.0001,"")</f>
        <v>30.799900000000001</v>
      </c>
      <c r="D9" s="446">
        <f>IF(B9="Jaje kokošje, celo",IF(C9=INT(C9),C9,C9+1),IF(B9=""," ",_xlfn.IFNA(INT(C9*1000/(VLOOKUP($B9,Ingredient_prices!$E:$J,6,FALSE)))+1,"nije nabavljen")))</f>
        <v>62</v>
      </c>
      <c r="E9" s="446" t="str">
        <f>IF(C9="","",VLOOKUP($B9,Ingredient_prices!$E:$K,7,FALSE))</f>
        <v>ком</v>
      </c>
      <c r="F9" s="462">
        <f>IF(C9="","",_xlfn.IFNA((VLOOKUP($B9,Ingredient_prices!$E:$P,11,FALSE)*I9),""))</f>
        <v>620</v>
      </c>
      <c r="G9" s="450" t="str">
        <f>IF(C9="","",_xlfn.IFNA(MID(VLOOKUP($B9,Ingredient_prices!$E:$F,2,FALSE),9,2),""))</f>
        <v>1</v>
      </c>
      <c r="H9" s="447" t="str">
        <f>_xlfn.IFNA(VLOOKUP(CONCATENATE($I$8,$G9),Ingredient_prices!$G:$N,8,FALSE),"")</f>
        <v>Дон Дон</v>
      </c>
      <c r="I9" s="548">
        <f t="shared" ref="I9:I40" si="2">IFERROR(IF(MOD(D9,1)&gt;0.5,1+D9-MOD(D9,1),D9-MOD(D9,1)),"")</f>
        <v>62</v>
      </c>
      <c r="J9" s="695" t="str">
        <f>IF(N9="","",MID(Ingredient_prices!F4,9,2))</f>
        <v/>
      </c>
      <c r="K9" s="692" t="str">
        <f t="shared" ref="K9:K12" si="3">IF(N9="","",COUNTIFS(J$9:J$255,J9,N$9:N$255,"&gt;"&amp;N9)+1)</f>
        <v/>
      </c>
      <c r="L9" s="692" t="str">
        <f>IF(N9="","",COUNTIF($P$9:$P$255,"&lt;"&amp;P9)+COUNTIF($P$9:P9,P9))</f>
        <v/>
      </c>
      <c r="M9" s="692" t="str">
        <f>IF(Ingredient_prices!E4=M8,"",Ingredient_prices!E4)</f>
        <v/>
      </c>
      <c r="N9" s="693" t="str">
        <f>_xlfn.IFNA(VLOOKUP($M9,Sedmica_2_količina_sva_sastojak!$C:$G,4,FALSE),"")</f>
        <v/>
      </c>
      <c r="O9" s="696" t="str">
        <f>IF(N9="","",COUNTIF($P$9:$P$255,"&lt;"&amp;P9)+COUNTIF($P$9:P9,P9))</f>
        <v/>
      </c>
      <c r="P9" s="694" t="str">
        <f t="shared" ref="P9:P10" si="4">IF(K9="","",VALUE(CONCATENATE(J9,K9)))</f>
        <v/>
      </c>
    </row>
    <row r="10" spans="1:19">
      <c r="A10" s="470">
        <v>2</v>
      </c>
      <c r="B10" s="451" t="str">
        <f t="shared" si="0"/>
        <v>Bread, half-white</v>
      </c>
      <c r="C10" s="462">
        <f t="shared" si="1"/>
        <v>8.2499000000000002</v>
      </c>
      <c r="D10" s="446">
        <f>IF(B10="Jaje kokošje, celo",IF(C10=INT(C10),C10,C10+1),IF(B10=""," ",_xlfn.IFNA(INT(C10*1000/(VLOOKUP($B10,Ingredient_prices!$E:$J,6,FALSE)))+1,"nije nabavljen")))</f>
        <v>17</v>
      </c>
      <c r="E10" s="446" t="str">
        <f>IF(C10="","",VLOOKUP($B10,Ingredient_prices!$E:$K,7,FALSE))</f>
        <v>ком</v>
      </c>
      <c r="F10" s="462">
        <f>IF(C10="","",_xlfn.IFNA((VLOOKUP($B10,Ingredient_prices!$E:$P,11,FALSE)*I10),""))</f>
        <v>170</v>
      </c>
      <c r="G10" s="450" t="str">
        <f>IF(C10="","",_xlfn.IFNA(MID(VLOOKUP($B10,Ingredient_prices!$E:$F,2,FALSE),9,2),""))</f>
        <v>1</v>
      </c>
      <c r="H10" s="447" t="str">
        <f>_xlfn.IFNA(VLOOKUP(CONCATENATE($I$8,$G10),Ingredient_prices!$G:$N,8,FALSE),"")</f>
        <v>Дон Дон</v>
      </c>
      <c r="I10" s="548">
        <f t="shared" si="2"/>
        <v>17</v>
      </c>
      <c r="J10" s="695" t="str">
        <f>IF(N10="","",MID(Ingredient_prices!F5,9,2))</f>
        <v>1</v>
      </c>
      <c r="K10" s="692">
        <f t="shared" si="3"/>
        <v>1</v>
      </c>
      <c r="L10" s="692">
        <f>IF(N10="","",COUNTIF($P$9:$P$255,"&lt;"&amp;P10)+COUNTIF($P$9:P10,P10))</f>
        <v>1</v>
      </c>
      <c r="M10" s="692" t="str">
        <f>IF(Ingredient_prices!E5=M9,"",Ingredient_prices!E5)</f>
        <v>Bread, white</v>
      </c>
      <c r="N10" s="693">
        <f>_xlfn.IFNA(VLOOKUP($M10,Sedmica_2_količina_sva_sastojak!$C:$E,3,FALSE),"")</f>
        <v>30.8</v>
      </c>
      <c r="O10" s="696">
        <f>IF(N10="","",COUNTIF($P$9:$P$255,"&lt;"&amp;P10)+COUNTIF($P$9:P10,P10))</f>
        <v>1</v>
      </c>
      <c r="P10" s="694">
        <f t="shared" si="4"/>
        <v>11</v>
      </c>
      <c r="S10" s="498"/>
    </row>
    <row r="11" spans="1:19">
      <c r="A11" s="470">
        <v>3</v>
      </c>
      <c r="B11" s="451" t="str">
        <f t="shared" si="0"/>
        <v>Croissant</v>
      </c>
      <c r="C11" s="462">
        <f t="shared" si="1"/>
        <v>7.6999000000000004</v>
      </c>
      <c r="D11" s="446">
        <f>IF(B11="Jaje kokošje, celo",IF(C11=INT(C11),C11,C11+1),IF(B11=""," ",_xlfn.IFNA(INT(C11*1000/(VLOOKUP($B11,Ingredient_prices!$E:$J,6,FALSE)))+1,"nije nabavljen")))</f>
        <v>81</v>
      </c>
      <c r="E11" s="446" t="str">
        <f>IF(C11="","",VLOOKUP($B11,Ingredient_prices!$E:$K,7,FALSE))</f>
        <v>ком</v>
      </c>
      <c r="F11" s="462">
        <f>IF(C11="","",_xlfn.IFNA((VLOOKUP($B11,Ingredient_prices!$E:$P,11,FALSE)*I11),""))</f>
        <v>810</v>
      </c>
      <c r="G11" s="450" t="str">
        <f>IF(C11="","",_xlfn.IFNA(MID(VLOOKUP($B11,Ingredient_prices!$E:$F,2,FALSE),9,2),""))</f>
        <v>1</v>
      </c>
      <c r="H11" s="447" t="str">
        <f>_xlfn.IFNA(VLOOKUP(CONCATENATE($I$8,$G11),Ingredient_prices!$G:$N,8,FALSE),"")</f>
        <v>Дон Дон</v>
      </c>
      <c r="I11" s="548">
        <f t="shared" si="2"/>
        <v>81</v>
      </c>
      <c r="J11" s="695" t="str">
        <f>IF(N11="","",MID(Ingredient_prices!F6,9,2))</f>
        <v>1</v>
      </c>
      <c r="K11" s="692">
        <f t="shared" si="3"/>
        <v>2</v>
      </c>
      <c r="L11" s="692">
        <f>IF(N11="","",COUNTIF($P$9:$P$255,"&lt;"&amp;P11)+COUNTIF($P$9:P11,P11))</f>
        <v>2</v>
      </c>
      <c r="M11" s="692" t="str">
        <f>IF(Ingredient_prices!E6=M10,"",Ingredient_prices!E6)</f>
        <v>Bread, half-white</v>
      </c>
      <c r="N11" s="693">
        <f>_xlfn.IFNA(VLOOKUP($M11,Sedmica_2_količina_sva_sastojak!$C:$E,3,FALSE),"")</f>
        <v>8.25</v>
      </c>
      <c r="O11" s="696">
        <f>IF(N11="","",COUNTIF($P$9:$P$255,"&lt;"&amp;P11)+COUNTIF($P$9:P11,P11))</f>
        <v>2</v>
      </c>
      <c r="P11" s="694">
        <f t="shared" ref="P11:P12" si="5">IF(K11="","",VALUE(CONCATENATE(J11,K11)))</f>
        <v>12</v>
      </c>
    </row>
    <row r="12" spans="1:19">
      <c r="A12" s="470">
        <v>4</v>
      </c>
      <c r="B12" s="451" t="str">
        <f t="shared" si="0"/>
        <v>Kaiserica bun white</v>
      </c>
      <c r="C12" s="462">
        <f t="shared" si="1"/>
        <v>6.5998999999999999</v>
      </c>
      <c r="D12" s="446">
        <f>IF(B12="Jaje kokošje, celo",IF(C12=INT(C12),C12,C12+1),IF(B12=""," ",_xlfn.IFNA(INT(C12*1000/(VLOOKUP($B12,Ingredient_prices!$E:$J,6,FALSE)))+1,"nije nabavljen")))</f>
        <v>110</v>
      </c>
      <c r="E12" s="446" t="str">
        <f>IF(C12="","",VLOOKUP($B12,Ingredient_prices!$E:$K,7,FALSE))</f>
        <v>ком</v>
      </c>
      <c r="F12" s="462">
        <f>IF(C12="","",_xlfn.IFNA((VLOOKUP($B12,Ingredient_prices!$E:$P,11,FALSE)*I12),""))</f>
        <v>1100</v>
      </c>
      <c r="G12" s="450" t="str">
        <f>IF(C12="","",_xlfn.IFNA(MID(VLOOKUP($B12,Ingredient_prices!$E:$F,2,FALSE),9,2),""))</f>
        <v>1</v>
      </c>
      <c r="H12" s="447" t="str">
        <f>_xlfn.IFNA(VLOOKUP(CONCATENATE($I$8,$G12),Ingredient_prices!$G:$N,8,FALSE),"")</f>
        <v>Дон Дон</v>
      </c>
      <c r="I12" s="548">
        <f t="shared" si="2"/>
        <v>110</v>
      </c>
      <c r="J12" s="695" t="str">
        <f>IF(N12="","",MID(Ingredient_prices!F7,9,2))</f>
        <v>1</v>
      </c>
      <c r="K12" s="692">
        <f t="shared" si="3"/>
        <v>4</v>
      </c>
      <c r="L12" s="692">
        <f>IF(N12="","",COUNTIF($P$9:$P$255,"&lt;"&amp;P12)+COUNTIF($P$9:P12,P12))</f>
        <v>4</v>
      </c>
      <c r="M12" s="692" t="str">
        <f>IF(Ingredient_prices!E7=M11,"",Ingredient_prices!E7)</f>
        <v>Kaiserica bun white</v>
      </c>
      <c r="N12" s="693">
        <f>_xlfn.IFNA(VLOOKUP($M12,Sedmica_2_količina_sva_sastojak!$C:$E,3,FALSE),"")</f>
        <v>6.6</v>
      </c>
      <c r="O12" s="696">
        <f>IF(N12="","",COUNTIF($P$9:$P$255,"&lt;"&amp;P12)+COUNTIF($P$9:P12,P12))</f>
        <v>4</v>
      </c>
      <c r="P12" s="694">
        <f t="shared" si="5"/>
        <v>14</v>
      </c>
    </row>
    <row r="13" spans="1:19">
      <c r="A13" s="470">
        <v>5</v>
      </c>
      <c r="B13" s="451" t="str">
        <f t="shared" si="0"/>
        <v>Pizza base</v>
      </c>
      <c r="C13" s="462">
        <f t="shared" si="1"/>
        <v>5.4999000000000011</v>
      </c>
      <c r="D13" s="446">
        <f>IF(B13="Jaje kokošje, celo",IF(C13=INT(C13),C13,C13+1),IF(B13=""," ",_xlfn.IFNA(INT(C13*1000/(VLOOKUP($B13,Ingredient_prices!$E:$J,6,FALSE)))+1,"nije nabavljen")))</f>
        <v>28</v>
      </c>
      <c r="E13" s="446" t="str">
        <f>IF(C13="","",VLOOKUP($B13,Ingredient_prices!$E:$K,7,FALSE))</f>
        <v>ком</v>
      </c>
      <c r="F13" s="462">
        <f>IF(C13="","",_xlfn.IFNA((VLOOKUP($B13,Ingredient_prices!$E:$P,11,FALSE)*I13),""))</f>
        <v>280</v>
      </c>
      <c r="G13" s="450" t="str">
        <f>IF(C13="","",_xlfn.IFNA(MID(VLOOKUP($B13,Ingredient_prices!$E:$F,2,FALSE),9,2),""))</f>
        <v>1</v>
      </c>
      <c r="H13" s="447" t="str">
        <f>_xlfn.IFNA(VLOOKUP(CONCATENATE($I$8,$G13),Ingredient_prices!$G:$N,8,FALSE),"")</f>
        <v>Дон Дон</v>
      </c>
      <c r="I13" s="548">
        <f t="shared" si="2"/>
        <v>28</v>
      </c>
      <c r="J13" s="695" t="str">
        <f>IF(N13="","",MID(Ingredient_prices!F8,9,2))</f>
        <v/>
      </c>
      <c r="K13" s="692" t="str">
        <f t="shared" ref="K13:K76" si="6">IF(N13="","",COUNTIFS(J$9:J$255,J13,N$9:N$255,"&gt;"&amp;N13)+1)</f>
        <v/>
      </c>
      <c r="L13" s="692" t="str">
        <f>IF(N13="","",COUNTIF($P$9:$P$255,"&lt;"&amp;P13)+COUNTIF($P$9:P13,P13))</f>
        <v/>
      </c>
      <c r="M13" s="692" t="str">
        <f>IF(Ingredient_prices!E8=M12,"",Ingredient_prices!E8)</f>
        <v>Pie pastry</v>
      </c>
      <c r="N13" s="693" t="str">
        <f>_xlfn.IFNA(VLOOKUP($M13,Sedmica_2_količina_sva_sastojak!$C:$E,3,FALSE),"")</f>
        <v/>
      </c>
      <c r="O13" s="696" t="str">
        <f>IF(N13="","",COUNTIF($P$9:$P$255,"&lt;"&amp;P13)+COUNTIF($P$9:P13,P13))</f>
        <v/>
      </c>
      <c r="P13" s="694" t="str">
        <f t="shared" ref="P13:P76" si="7">IF(K13="","",VALUE(CONCATENATE(J13,K13)))</f>
        <v/>
      </c>
    </row>
    <row r="14" spans="1:19">
      <c r="A14" s="470">
        <v>6</v>
      </c>
      <c r="B14" s="451" t="str">
        <f t="shared" si="0"/>
        <v>Chicken egg, whole</v>
      </c>
      <c r="C14" s="462">
        <f t="shared" si="1"/>
        <v>138.04990000000004</v>
      </c>
      <c r="D14" s="446">
        <f>IF(B14="Jaje kokošje, celo",IF(C14=INT(C14),C14,C14+1),IF(B14=""," ",_xlfn.IFNA(INT(C14*1000/(VLOOKUP($B14,Ingredient_prices!$E:$J,6,FALSE)))+1,"nije nabavljen")))</f>
        <v>2301</v>
      </c>
      <c r="E14" s="446" t="str">
        <f>IF(C14="","",VLOOKUP($B14,Ingredient_prices!$E:$K,7,FALSE))</f>
        <v>ком</v>
      </c>
      <c r="F14" s="462">
        <f>IF(C14="","",_xlfn.IFNA((VLOOKUP($B14,Ingredient_prices!$E:$P,11,FALSE)*I14),""))</f>
        <v>23010</v>
      </c>
      <c r="G14" s="450" t="str">
        <f>IF(C14="","",_xlfn.IFNA(MID(VLOOKUP($B14,Ingredient_prices!$E:$F,2,FALSE),9,2),""))</f>
        <v>2</v>
      </c>
      <c r="H14" s="447" t="str">
        <f>_xlfn.IFNA(VLOOKUP(CONCATENATE($I$8,$G14),Ingredient_prices!$G:$N,8,FALSE),"")</f>
        <v>КомерцПродукт</v>
      </c>
      <c r="I14" s="548">
        <f t="shared" si="2"/>
        <v>2301</v>
      </c>
      <c r="J14" s="695" t="str">
        <f>IF(N14="","",MID(Ingredient_prices!F9,9,2))</f>
        <v>1</v>
      </c>
      <c r="K14" s="692">
        <f t="shared" si="6"/>
        <v>5</v>
      </c>
      <c r="L14" s="692">
        <f>IF(N14="","",COUNTIF($P$9:$P$255,"&lt;"&amp;P14)+COUNTIF($P$9:P14,P14))</f>
        <v>5</v>
      </c>
      <c r="M14" s="692" t="str">
        <f>IF(Ingredient_prices!E9=M13,"",Ingredient_prices!E9)</f>
        <v>Pizza base</v>
      </c>
      <c r="N14" s="693">
        <f>_xlfn.IFNA(VLOOKUP($M14,Sedmica_2_količina_sva_sastojak!$C:$E,3,FALSE),"")</f>
        <v>5.5000000000000009</v>
      </c>
      <c r="O14" s="696">
        <f>IF(N14="","",COUNTIF($P$9:$P$255,"&lt;"&amp;P14)+COUNTIF($P$9:P14,P14))</f>
        <v>5</v>
      </c>
      <c r="P14" s="694">
        <f t="shared" si="7"/>
        <v>15</v>
      </c>
    </row>
    <row r="15" spans="1:19">
      <c r="A15" s="470">
        <v>7</v>
      </c>
      <c r="B15" s="451" t="str">
        <f t="shared" si="0"/>
        <v>Apple</v>
      </c>
      <c r="C15" s="462">
        <f t="shared" si="1"/>
        <v>68.1999</v>
      </c>
      <c r="D15" s="446">
        <f>IF(B15="Jaje kokošje, celo",IF(C15=INT(C15),C15,C15+1),IF(B15=""," ",_xlfn.IFNA(INT(C15*1000/(VLOOKUP($B15,Ingredient_prices!$E:$J,6,FALSE)))+1,"nije nabavljen")))</f>
        <v>69</v>
      </c>
      <c r="E15" s="446" t="str">
        <f>IF(C15="","",VLOOKUP($B15,Ingredient_prices!$E:$K,7,FALSE))</f>
        <v>кг</v>
      </c>
      <c r="F15" s="462">
        <f>IF(C15="","",_xlfn.IFNA((VLOOKUP($B15,Ingredient_prices!$E:$P,11,FALSE)*I15),""))</f>
        <v>690</v>
      </c>
      <c r="G15" s="450" t="str">
        <f>IF(C15="","",_xlfn.IFNA(MID(VLOOKUP($B15,Ingredient_prices!$E:$F,2,FALSE),9,2),""))</f>
        <v>2</v>
      </c>
      <c r="H15" s="447" t="str">
        <f>_xlfn.IFNA(VLOOKUP(CONCATENATE($I$8,$G15),Ingredient_prices!$G:$N,8,FALSE),"")</f>
        <v>КомерцПродукт</v>
      </c>
      <c r="I15" s="548">
        <f t="shared" si="2"/>
        <v>69</v>
      </c>
      <c r="J15" s="695" t="str">
        <f>IF(N15="","",MID(Ingredient_prices!F10,9,2))</f>
        <v>1</v>
      </c>
      <c r="K15" s="692">
        <f t="shared" si="6"/>
        <v>3</v>
      </c>
      <c r="L15" s="692">
        <f>IF(N15="","",COUNTIF($P$9:$P$255,"&lt;"&amp;P15)+COUNTIF($P$9:P15,P15))</f>
        <v>3</v>
      </c>
      <c r="M15" s="692" t="str">
        <f>IF(Ingredient_prices!E10=M14,"",Ingredient_prices!E10)</f>
        <v>Croissant</v>
      </c>
      <c r="N15" s="693">
        <f>_xlfn.IFNA(VLOOKUP($M15,Sedmica_2_količina_sva_sastojak!$C:$E,3,FALSE),"")</f>
        <v>7.7</v>
      </c>
      <c r="O15" s="696">
        <f>IF(N15="","",COUNTIF($P$9:$P$255,"&lt;"&amp;P15)+COUNTIF($P$9:P15,P15))</f>
        <v>3</v>
      </c>
      <c r="P15" s="694">
        <f t="shared" si="7"/>
        <v>13</v>
      </c>
    </row>
    <row r="16" spans="1:19">
      <c r="A16" s="470">
        <v>8</v>
      </c>
      <c r="B16" s="451" t="str">
        <f t="shared" si="0"/>
        <v>Cabbage white fresh</v>
      </c>
      <c r="C16" s="462">
        <f t="shared" si="1"/>
        <v>26.399900000000002</v>
      </c>
      <c r="D16" s="446">
        <f>IF(B16="Jaje kokošje, celo",IF(C16=INT(C16),C16,C16+1),IF(B16=""," ",_xlfn.IFNA(INT(C16*1000/(VLOOKUP($B16,Ingredient_prices!$E:$J,6,FALSE)))+1,"nije nabavljen")))</f>
        <v>27</v>
      </c>
      <c r="E16" s="446" t="str">
        <f>IF(C16="","",VLOOKUP($B16,Ingredient_prices!$E:$K,7,FALSE))</f>
        <v>кг</v>
      </c>
      <c r="F16" s="462">
        <f>IF(C16="","",_xlfn.IFNA((VLOOKUP($B16,Ingredient_prices!$E:$P,11,FALSE)*I16),""))</f>
        <v>270</v>
      </c>
      <c r="G16" s="450" t="str">
        <f>IF(C16="","",_xlfn.IFNA(MID(VLOOKUP($B16,Ingredient_prices!$E:$F,2,FALSE),9,2),""))</f>
        <v>2</v>
      </c>
      <c r="H16" s="447" t="str">
        <f>_xlfn.IFNA(VLOOKUP(CONCATENATE($I$8,$G16),Ingredient_prices!$G:$N,8,FALSE),"")</f>
        <v>КомерцПродукт</v>
      </c>
      <c r="I16" s="548">
        <f t="shared" si="2"/>
        <v>27</v>
      </c>
      <c r="J16" s="695" t="str">
        <f>IF(N16="","",MID(Ingredient_prices!F11,9,2))</f>
        <v/>
      </c>
      <c r="K16" s="692" t="str">
        <f t="shared" si="6"/>
        <v/>
      </c>
      <c r="L16" s="692" t="str">
        <f>IF(N16="","",COUNTIF($P$9:$P$255,"&lt;"&amp;P16)+COUNTIF($P$9:P16,P16))</f>
        <v/>
      </c>
      <c r="M16" s="692" t="str">
        <f>IF(Ingredient_prices!E11=M15,"",Ingredient_prices!E11)</f>
        <v>Cheese roll</v>
      </c>
      <c r="N16" s="693" t="str">
        <f>_xlfn.IFNA(VLOOKUP($M16,Sedmica_2_količina_sva_sastojak!$C:$E,3,FALSE),"")</f>
        <v/>
      </c>
      <c r="O16" s="696" t="str">
        <f>IF(N16="","",COUNTIF($P$9:$P$255,"&lt;"&amp;P16)+COUNTIF($P$9:P16,P16))</f>
        <v/>
      </c>
      <c r="P16" s="694" t="str">
        <f t="shared" si="7"/>
        <v/>
      </c>
    </row>
    <row r="17" spans="1:16">
      <c r="A17" s="470">
        <v>9</v>
      </c>
      <c r="B17" s="451" t="str">
        <f t="shared" si="0"/>
        <v>Cow's milk 2.8% fat</v>
      </c>
      <c r="C17" s="462">
        <f t="shared" si="1"/>
        <v>21.339900000000004</v>
      </c>
      <c r="D17" s="446">
        <f>IF(B17="Jaje kokošje, celo",IF(C17=INT(C17),C17,C17+1),IF(B17=""," ",_xlfn.IFNA(INT(C17*1000/(VLOOKUP($B17,Ingredient_prices!$E:$J,6,FALSE)))+1,"nije nabavljen")))</f>
        <v>22</v>
      </c>
      <c r="E17" s="446" t="str">
        <f>IF(C17="","",VLOOKUP($B17,Ingredient_prices!$E:$K,7,FALSE))</f>
        <v>л</v>
      </c>
      <c r="F17" s="462">
        <f>IF(C17="","",_xlfn.IFNA((VLOOKUP($B17,Ingredient_prices!$E:$P,11,FALSE)*I17),""))</f>
        <v>220</v>
      </c>
      <c r="G17" s="450" t="str">
        <f>IF(C17="","",_xlfn.IFNA(MID(VLOOKUP($B17,Ingredient_prices!$E:$F,2,FALSE),9,2),""))</f>
        <v>2</v>
      </c>
      <c r="H17" s="447" t="str">
        <f>_xlfn.IFNA(VLOOKUP(CONCATENATE($I$8,$G17),Ingredient_prices!$G:$N,8,FALSE),"")</f>
        <v>КомерцПродукт</v>
      </c>
      <c r="I17" s="548">
        <f t="shared" si="2"/>
        <v>22</v>
      </c>
      <c r="J17" s="695" t="str">
        <f>IF(N17="","",MID(Ingredient_prices!F12,9,2))</f>
        <v/>
      </c>
      <c r="K17" s="692" t="str">
        <f t="shared" si="6"/>
        <v/>
      </c>
      <c r="L17" s="692" t="str">
        <f>IF(N17="","",COUNTIF($P$9:$P$255,"&lt;"&amp;P17)+COUNTIF($P$9:P17,P17))</f>
        <v/>
      </c>
      <c r="M17" s="692" t="str">
        <f>IF(Ingredient_prices!E12=M16,"",Ingredient_prices!E12)</f>
        <v>Croissant with chocolate</v>
      </c>
      <c r="N17" s="693" t="str">
        <f>_xlfn.IFNA(VLOOKUP($M17,Sedmica_2_količina_sva_sastojak!$C:$E,3,FALSE),"")</f>
        <v/>
      </c>
      <c r="O17" s="696" t="str">
        <f>IF(N17="","",COUNTIF($P$9:$P$255,"&lt;"&amp;P17)+COUNTIF($P$9:P17,P17))</f>
        <v/>
      </c>
      <c r="P17" s="694" t="str">
        <f t="shared" si="7"/>
        <v/>
      </c>
    </row>
    <row r="18" spans="1:16">
      <c r="A18" s="470">
        <v>10</v>
      </c>
      <c r="B18" s="451" t="str">
        <f t="shared" si="0"/>
        <v>Cow's milk 2.8% fat</v>
      </c>
      <c r="C18" s="462">
        <f t="shared" si="1"/>
        <v>21.339900000000004</v>
      </c>
      <c r="D18" s="446">
        <f>IF(B18="Jaje kokošje, celo",IF(C18=INT(C18),C18,C18+1),IF(B18=""," ",_xlfn.IFNA(INT(C18*1000/(VLOOKUP($B18,Ingredient_prices!$E:$J,6,FALSE)))+1,"nije nabavljen")))</f>
        <v>22</v>
      </c>
      <c r="E18" s="446" t="str">
        <f>IF(C18="","",VLOOKUP($B18,Ingredient_prices!$E:$K,7,FALSE))</f>
        <v>л</v>
      </c>
      <c r="F18" s="462">
        <f>IF(C18="","",_xlfn.IFNA((VLOOKUP($B18,Ingredient_prices!$E:$P,11,FALSE)*I18),""))</f>
        <v>220</v>
      </c>
      <c r="G18" s="450" t="str">
        <f>IF(C18="","",_xlfn.IFNA(MID(VLOOKUP($B18,Ingredient_prices!$E:$F,2,FALSE),9,2),""))</f>
        <v>2</v>
      </c>
      <c r="H18" s="447" t="str">
        <f>_xlfn.IFNA(VLOOKUP(CONCATENATE($I$8,$G18),Ingredient_prices!$G:$N,8,FALSE),"")</f>
        <v>КомерцПродукт</v>
      </c>
      <c r="I18" s="548">
        <f t="shared" si="2"/>
        <v>22</v>
      </c>
      <c r="J18" s="695" t="str">
        <f>IF(N18="","",MID(Ingredient_prices!F13,9,2))</f>
        <v/>
      </c>
      <c r="K18" s="692" t="str">
        <f t="shared" si="6"/>
        <v/>
      </c>
      <c r="L18" s="692" t="str">
        <f>IF(N18="","",COUNTIF($P$9:$P$255,"&lt;"&amp;P18)+COUNTIF($P$9:P18,P18))</f>
        <v/>
      </c>
      <c r="M18" s="692" t="str">
        <f>IF(Ingredient_prices!E13=M17,"",Ingredient_prices!E13)</f>
        <v>Cherry pie</v>
      </c>
      <c r="N18" s="693" t="str">
        <f>_xlfn.IFNA(VLOOKUP($M18,Sedmica_2_količina_sva_sastojak!$C:$E,3,FALSE),"")</f>
        <v/>
      </c>
      <c r="O18" s="696" t="str">
        <f>IF(N18="","",COUNTIF($P$9:$P$255,"&lt;"&amp;P18)+COUNTIF($P$9:P18,P18))</f>
        <v/>
      </c>
      <c r="P18" s="694" t="str">
        <f t="shared" si="7"/>
        <v/>
      </c>
    </row>
    <row r="19" spans="1:16">
      <c r="A19" s="470">
        <v>11</v>
      </c>
      <c r="B19" s="451" t="str">
        <f t="shared" si="0"/>
        <v>Potatoes white</v>
      </c>
      <c r="C19" s="462">
        <f t="shared" si="1"/>
        <v>17.599900000000002</v>
      </c>
      <c r="D19" s="446">
        <f>IF(B19="Jaje kokošje, celo",IF(C19=INT(C19),C19,C19+1),IF(B19=""," ",_xlfn.IFNA(INT(C19*1000/(VLOOKUP($B19,Ingredient_prices!$E:$J,6,FALSE)))+1,"nije nabavljen")))</f>
        <v>18</v>
      </c>
      <c r="E19" s="446" t="str">
        <f>IF(C19="","",VLOOKUP($B19,Ingredient_prices!$E:$K,7,FALSE))</f>
        <v>ком</v>
      </c>
      <c r="F19" s="462">
        <f>IF(C19="","",_xlfn.IFNA((VLOOKUP($B19,Ingredient_prices!$E:$P,11,FALSE)*I19),""))</f>
        <v>180</v>
      </c>
      <c r="G19" s="450" t="str">
        <f>IF(C19="","",_xlfn.IFNA(MID(VLOOKUP($B19,Ingredient_prices!$E:$F,2,FALSE),9,2),""))</f>
        <v>2</v>
      </c>
      <c r="H19" s="447" t="str">
        <f>_xlfn.IFNA(VLOOKUP(CONCATENATE($I$8,$G19),Ingredient_prices!$G:$N,8,FALSE),"")</f>
        <v>КомерцПродукт</v>
      </c>
      <c r="I19" s="548">
        <f t="shared" si="2"/>
        <v>18</v>
      </c>
      <c r="J19" s="695" t="str">
        <f>IF(N19="","",MID(Ingredient_prices!F14,9,2))</f>
        <v/>
      </c>
      <c r="K19" s="692" t="str">
        <f t="shared" si="6"/>
        <v/>
      </c>
      <c r="L19" s="692" t="str">
        <f>IF(N19="","",COUNTIF($P$9:$P$255,"&lt;"&amp;P19)+COUNTIF($P$9:P19,P19))</f>
        <v/>
      </c>
      <c r="M19" s="692" t="str">
        <f>IF(Ingredient_prices!E14=M18,"",Ingredient_prices!E14)</f>
        <v>Apple tart</v>
      </c>
      <c r="N19" s="693" t="str">
        <f>_xlfn.IFNA(VLOOKUP($M19,Sedmica_2_količina_sva_sastojak!$C:$E,3,FALSE),"")</f>
        <v/>
      </c>
      <c r="O19" s="696" t="str">
        <f>IF(N19="","",COUNTIF($P$9:$P$255,"&lt;"&amp;P19)+COUNTIF($P$9:P19,P19))</f>
        <v/>
      </c>
      <c r="P19" s="694" t="str">
        <f t="shared" si="7"/>
        <v/>
      </c>
    </row>
    <row r="20" spans="1:16">
      <c r="A20" s="470">
        <v>12</v>
      </c>
      <c r="B20" s="451" t="str">
        <f t="shared" si="0"/>
        <v>Spinach frozen</v>
      </c>
      <c r="C20" s="462">
        <f t="shared" si="1"/>
        <v>16.4999</v>
      </c>
      <c r="D20" s="446">
        <f>IF(B20="Jaje kokošje, celo",IF(C20=INT(C20),C20,C20+1),IF(B20=""," ",_xlfn.IFNA(INT(C20*1000/(VLOOKUP($B20,Ingredient_prices!$E:$J,6,FALSE)))+1,"nije nabavljen")))</f>
        <v>17</v>
      </c>
      <c r="E20" s="446" t="str">
        <f>IF(C20="","",VLOOKUP($B20,Ingredient_prices!$E:$K,7,FALSE))</f>
        <v>кг</v>
      </c>
      <c r="F20" s="462">
        <f>IF(C20="","",_xlfn.IFNA((VLOOKUP($B20,Ingredient_prices!$E:$P,11,FALSE)*I20),""))</f>
        <v>170</v>
      </c>
      <c r="G20" s="450" t="str">
        <f>IF(C20="","",_xlfn.IFNA(MID(VLOOKUP($B20,Ingredient_prices!$E:$F,2,FALSE),9,2),""))</f>
        <v>2</v>
      </c>
      <c r="H20" s="447" t="str">
        <f>_xlfn.IFNA(VLOOKUP(CONCATENATE($I$8,$G20),Ingredient_prices!$G:$N,8,FALSE),"")</f>
        <v>КомерцПродукт</v>
      </c>
      <c r="I20" s="548">
        <f t="shared" si="2"/>
        <v>17</v>
      </c>
      <c r="J20" s="695" t="str">
        <f>IF(N20="","",MID(Ingredient_prices!F15,9,2))</f>
        <v/>
      </c>
      <c r="K20" s="692" t="str">
        <f t="shared" si="6"/>
        <v/>
      </c>
      <c r="L20" s="692" t="str">
        <f>IF(N20="","",COUNTIF($P$9:$P$255,"&lt;"&amp;P20)+COUNTIF($P$9:P20,P20))</f>
        <v/>
      </c>
      <c r="M20" s="692" t="str">
        <f>IF(Ingredient_prices!E15=M19,"",Ingredient_prices!E15)</f>
        <v>Pumpkin pie</v>
      </c>
      <c r="N20" s="693" t="str">
        <f>_xlfn.IFNA(VLOOKUP($M20,Sedmica_2_količina_sva_sastojak!$C:$E,3,FALSE),"")</f>
        <v/>
      </c>
      <c r="O20" s="696" t="str">
        <f>IF(N20="","",COUNTIF($P$9:$P$255,"&lt;"&amp;P20)+COUNTIF($P$9:P20,P20))</f>
        <v/>
      </c>
      <c r="P20" s="694" t="str">
        <f t="shared" si="7"/>
        <v/>
      </c>
    </row>
    <row r="21" spans="1:16">
      <c r="A21" s="470">
        <v>13</v>
      </c>
      <c r="B21" s="451" t="str">
        <f t="shared" si="0"/>
        <v>Sunflower oil</v>
      </c>
      <c r="C21" s="462">
        <f t="shared" si="1"/>
        <v>13.947900000000001</v>
      </c>
      <c r="D21" s="446">
        <f>IF(B21="Jaje kokošje, celo",IF(C21=INT(C21),C21,C21+1),IF(B21=""," ",_xlfn.IFNA(INT(C21*1000/(VLOOKUP($B21,Ingredient_prices!$E:$J,6,FALSE)))+1,"nije nabavljen")))</f>
        <v>3</v>
      </c>
      <c r="E21" s="446" t="str">
        <f>IF(C21="","",VLOOKUP($B21,Ingredient_prices!$E:$K,7,FALSE))</f>
        <v>ком</v>
      </c>
      <c r="F21" s="462">
        <f>IF(C21="","",_xlfn.IFNA((VLOOKUP($B21,Ingredient_prices!$E:$P,11,FALSE)*I21),""))</f>
        <v>30</v>
      </c>
      <c r="G21" s="450" t="str">
        <f>IF(C21="","",_xlfn.IFNA(MID(VLOOKUP($B21,Ingredient_prices!$E:$F,2,FALSE),9,2),""))</f>
        <v>2</v>
      </c>
      <c r="H21" s="447" t="str">
        <f>_xlfn.IFNA(VLOOKUP(CONCATENATE($I$8,$G21),Ingredient_prices!$G:$N,8,FALSE),"")</f>
        <v>КомерцПродукт</v>
      </c>
      <c r="I21" s="548">
        <f t="shared" si="2"/>
        <v>3</v>
      </c>
      <c r="J21" s="695" t="str">
        <f>IF(N21="","",MID(Ingredient_prices!F16,9,2))</f>
        <v/>
      </c>
      <c r="K21" s="692" t="str">
        <f t="shared" si="6"/>
        <v/>
      </c>
      <c r="L21" s="692" t="str">
        <f>IF(N21="","",COUNTIF($P$9:$P$255,"&lt;"&amp;P21)+COUNTIF($P$9:P21,P21))</f>
        <v/>
      </c>
      <c r="M21" s="692" t="str">
        <f>IF(Ingredient_prices!E16=M20,"",Ingredient_prices!E16)</f>
        <v>Burek with cheese</v>
      </c>
      <c r="N21" s="693" t="str">
        <f>_xlfn.IFNA(VLOOKUP($M21,Sedmica_2_količina_sva_sastojak!$C:$E,3,FALSE),"")</f>
        <v/>
      </c>
      <c r="O21" s="696" t="str">
        <f>IF(N21="","",COUNTIF($P$9:$P$255,"&lt;"&amp;P21)+COUNTIF($P$9:P21,P21))</f>
        <v/>
      </c>
      <c r="P21" s="694" t="str">
        <f t="shared" si="7"/>
        <v/>
      </c>
    </row>
    <row r="22" spans="1:16">
      <c r="A22" s="470">
        <v>14</v>
      </c>
      <c r="B22" s="451" t="str">
        <f t="shared" si="0"/>
        <v>Pasta macaroni</v>
      </c>
      <c r="C22" s="462">
        <f t="shared" si="1"/>
        <v>13.1999</v>
      </c>
      <c r="D22" s="446">
        <f>IF(B22="Jaje kokošje, celo",IF(C22=INT(C22),C22,C22+1),IF(B22=""," ",_xlfn.IFNA(INT(C22*1000/(VLOOKUP($B22,Ingredient_prices!$E:$J,6,FALSE)))+1,"nije nabavljen")))</f>
        <v>14</v>
      </c>
      <c r="E22" s="446" t="str">
        <f>IF(C22="","",VLOOKUP($B22,Ingredient_prices!$E:$K,7,FALSE))</f>
        <v>кг</v>
      </c>
      <c r="F22" s="462">
        <f>IF(C22="","",_xlfn.IFNA((VLOOKUP($B22,Ingredient_prices!$E:$P,11,FALSE)*I22),""))</f>
        <v>280</v>
      </c>
      <c r="G22" s="450" t="str">
        <f>IF(C22="","",_xlfn.IFNA(MID(VLOOKUP($B22,Ingredient_prices!$E:$F,2,FALSE),9,2),""))</f>
        <v>2</v>
      </c>
      <c r="H22" s="447" t="str">
        <f>_xlfn.IFNA(VLOOKUP(CONCATENATE($I$8,$G22),Ingredient_prices!$G:$N,8,FALSE),"")</f>
        <v>КомерцПродукт</v>
      </c>
      <c r="I22" s="548">
        <f t="shared" si="2"/>
        <v>14</v>
      </c>
      <c r="J22" s="695" t="str">
        <f>IF(N22="","",MID(Ingredient_prices!F17,9,2))</f>
        <v/>
      </c>
      <c r="K22" s="692" t="str">
        <f t="shared" si="6"/>
        <v/>
      </c>
      <c r="L22" s="692" t="str">
        <f>IF(N22="","",COUNTIF($P$9:$P$255,"&lt;"&amp;P22)+COUNTIF($P$9:P22,P22))</f>
        <v/>
      </c>
      <c r="M22" s="692" t="str">
        <f>IF(Ingredient_prices!E17=M21,"",Ingredient_prices!E17)</f>
        <v>Sausage roll</v>
      </c>
      <c r="N22" s="693" t="str">
        <f>_xlfn.IFNA(VLOOKUP($M22,Sedmica_2_količina_sva_sastojak!$C:$E,3,FALSE),"")</f>
        <v/>
      </c>
      <c r="O22" s="696" t="str">
        <f>IF(N22="","",COUNTIF($P$9:$P$255,"&lt;"&amp;P22)+COUNTIF($P$9:P22,P22))</f>
        <v/>
      </c>
      <c r="P22" s="694" t="str">
        <f t="shared" si="7"/>
        <v/>
      </c>
    </row>
    <row r="23" spans="1:16">
      <c r="A23" s="470">
        <v>15</v>
      </c>
      <c r="B23" s="451" t="str">
        <f t="shared" si="0"/>
        <v>Carrot fresh</v>
      </c>
      <c r="C23" s="462">
        <f t="shared" si="1"/>
        <v>11.769899999999998</v>
      </c>
      <c r="D23" s="446">
        <f>IF(B23="Jaje kokošje, celo",IF(C23=INT(C23),C23,C23+1),IF(B23=""," ",_xlfn.IFNA(INT(C23*1000/(VLOOKUP($B23,Ingredient_prices!$E:$J,6,FALSE)))+1,"nije nabavljen")))</f>
        <v>12</v>
      </c>
      <c r="E23" s="446" t="str">
        <f>IF(C23="","",VLOOKUP($B23,Ingredient_prices!$E:$K,7,FALSE))</f>
        <v>кг</v>
      </c>
      <c r="F23" s="462">
        <f>IF(C23="","",_xlfn.IFNA((VLOOKUP($B23,Ingredient_prices!$E:$P,11,FALSE)*I23),""))</f>
        <v>120</v>
      </c>
      <c r="G23" s="450" t="str">
        <f>IF(C23="","",_xlfn.IFNA(MID(VLOOKUP($B23,Ingredient_prices!$E:$F,2,FALSE),9,2),""))</f>
        <v>2</v>
      </c>
      <c r="H23" s="447" t="str">
        <f>_xlfn.IFNA(VLOOKUP(CONCATENATE($I$8,$G23),Ingredient_prices!$G:$N,8,FALSE),"")</f>
        <v>КомерцПродукт</v>
      </c>
      <c r="I23" s="548">
        <f t="shared" si="2"/>
        <v>12</v>
      </c>
      <c r="J23" s="695" t="str">
        <f>IF(N23="","",MID(Ingredient_prices!F18,9,2))</f>
        <v/>
      </c>
      <c r="K23" s="692" t="str">
        <f t="shared" si="6"/>
        <v/>
      </c>
      <c r="L23" s="692" t="str">
        <f>IF(N23="","",COUNTIF($P$9:$P$255,"&lt;"&amp;P23)+COUNTIF($P$9:P23,P23))</f>
        <v/>
      </c>
      <c r="M23" s="692" t="str">
        <f>IF(Ingredient_prices!E18=M22,"",Ingredient_prices!E18)</f>
        <v>Pie with buckwheat flour</v>
      </c>
      <c r="N23" s="693" t="str">
        <f>_xlfn.IFNA(VLOOKUP($M23,Sedmica_2_količina_sva_sastojak!$C:$E,3,FALSE),"")</f>
        <v/>
      </c>
      <c r="O23" s="696" t="str">
        <f>IF(N23="","",COUNTIF($P$9:$P$255,"&lt;"&amp;P23)+COUNTIF($P$9:P23,P23))</f>
        <v/>
      </c>
      <c r="P23" s="694" t="str">
        <f t="shared" si="7"/>
        <v/>
      </c>
    </row>
    <row r="24" spans="1:16">
      <c r="A24" s="470">
        <v>16</v>
      </c>
      <c r="B24" s="451" t="str">
        <f t="shared" si="0"/>
        <v>Wheat flour white</v>
      </c>
      <c r="C24" s="462">
        <f t="shared" si="1"/>
        <v>11.549899999999999</v>
      </c>
      <c r="D24" s="446">
        <f>IF(B24="Jaje kokošje, celo",IF(C24=INT(C24),C24,C24+1),IF(B24=""," ",_xlfn.IFNA(INT(C24*1000/(VLOOKUP($B24,Ingredient_prices!$E:$J,6,FALSE)))+1,"nije nabavljen")))</f>
        <v>1</v>
      </c>
      <c r="E24" s="446" t="str">
        <f>IF(C24="","",VLOOKUP($B24,Ingredient_prices!$E:$K,7,FALSE))</f>
        <v>ком</v>
      </c>
      <c r="F24" s="462">
        <f>IF(C24="","",_xlfn.IFNA((VLOOKUP($B24,Ingredient_prices!$E:$P,11,FALSE)*I24),""))</f>
        <v>10</v>
      </c>
      <c r="G24" s="450" t="str">
        <f>IF(C24="","",_xlfn.IFNA(MID(VLOOKUP($B24,Ingredient_prices!$E:$F,2,FALSE),9,2),""))</f>
        <v>2</v>
      </c>
      <c r="H24" s="447" t="str">
        <f>_xlfn.IFNA(VLOOKUP(CONCATENATE($I$8,$G24),Ingredient_prices!$G:$N,8,FALSE),"")</f>
        <v>КомерцПродукт</v>
      </c>
      <c r="I24" s="548">
        <f t="shared" si="2"/>
        <v>1</v>
      </c>
      <c r="J24" s="695" t="str">
        <f>IF(N24="","",MID(Ingredient_prices!F19,9,2))</f>
        <v/>
      </c>
      <c r="K24" s="692" t="str">
        <f t="shared" si="6"/>
        <v/>
      </c>
      <c r="L24" s="692" t="str">
        <f>IF(N24="","",COUNTIF($P$9:$P$255,"&lt;"&amp;P24)+COUNTIF($P$9:P24,P24))</f>
        <v/>
      </c>
      <c r="M24" s="692" t="str">
        <f>IF(Ingredient_prices!E19=M23,"",Ingredient_prices!E19)</f>
        <v>Buckwheat paté</v>
      </c>
      <c r="N24" s="693" t="str">
        <f>_xlfn.IFNA(VLOOKUP($M24,Sedmica_2_količina_sva_sastojak!$C:$E,3,FALSE),"")</f>
        <v/>
      </c>
      <c r="O24" s="696" t="str">
        <f>IF(N24="","",COUNTIF($P$9:$P$255,"&lt;"&amp;P24)+COUNTIF($P$9:P24,P24))</f>
        <v/>
      </c>
      <c r="P24" s="694" t="str">
        <f t="shared" si="7"/>
        <v/>
      </c>
    </row>
    <row r="25" spans="1:16">
      <c r="A25" s="470">
        <v>17</v>
      </c>
      <c r="B25" s="451" t="str">
        <f t="shared" si="0"/>
        <v>Yogurt 2.8% fat (less than 1 l)</v>
      </c>
      <c r="C25" s="462">
        <f t="shared" si="1"/>
        <v>10.999900000000002</v>
      </c>
      <c r="D25" s="446">
        <f>IF(B25="Jaje kokošje, celo",IF(C25=INT(C25),C25,C25+1),IF(B25=""," ",_xlfn.IFNA(INT(C25*1000/(VLOOKUP($B25,Ingredient_prices!$E:$J,6,FALSE)))+1,"nije nabavljen")))</f>
        <v>62</v>
      </c>
      <c r="E25" s="446" t="str">
        <f>IF(C25="","",VLOOKUP($B25,Ingredient_prices!$E:$K,7,FALSE))</f>
        <v>ком</v>
      </c>
      <c r="F25" s="462">
        <f>IF(C25="","",_xlfn.IFNA((VLOOKUP($B25,Ingredient_prices!$E:$P,11,FALSE)*I25),""))</f>
        <v>620</v>
      </c>
      <c r="G25" s="450" t="str">
        <f>IF(C25="","",_xlfn.IFNA(MID(VLOOKUP($B25,Ingredient_prices!$E:$F,2,FALSE),9,2),""))</f>
        <v>2</v>
      </c>
      <c r="H25" s="447" t="str">
        <f>_xlfn.IFNA(VLOOKUP(CONCATENATE($I$8,$G25),Ingredient_prices!$G:$N,8,FALSE),"")</f>
        <v>КомерцПродукт</v>
      </c>
      <c r="I25" s="548">
        <f t="shared" si="2"/>
        <v>62</v>
      </c>
      <c r="J25" s="695" t="str">
        <f>IF(N25="","",MID(Ingredient_prices!F20,9,2))</f>
        <v/>
      </c>
      <c r="K25" s="692" t="str">
        <f t="shared" si="6"/>
        <v/>
      </c>
      <c r="L25" s="692" t="str">
        <f>IF(N25="","",COUNTIF($P$9:$P$255,"&lt;"&amp;P25)+COUNTIF($P$9:P25,P25))</f>
        <v/>
      </c>
      <c r="M25" s="692" t="str">
        <f>IF(Ingredient_prices!E20=M24,"",Ingredient_prices!E20)</f>
        <v>Spiral bun small</v>
      </c>
      <c r="N25" s="693" t="str">
        <f>_xlfn.IFNA(VLOOKUP($M25,Sedmica_2_količina_sva_sastojak!$C:$E,3,FALSE),"")</f>
        <v/>
      </c>
      <c r="O25" s="696" t="str">
        <f>IF(N25="","",COUNTIF($P$9:$P$255,"&lt;"&amp;P25)+COUNTIF($P$9:P25,P25))</f>
        <v/>
      </c>
      <c r="P25" s="694" t="str">
        <f t="shared" si="7"/>
        <v/>
      </c>
    </row>
    <row r="26" spans="1:16">
      <c r="A26" s="470">
        <v>18</v>
      </c>
      <c r="B26" s="451" t="str">
        <f t="shared" si="0"/>
        <v>Chocolate milk 1% fat (at least 1 l)</v>
      </c>
      <c r="C26" s="462">
        <f t="shared" si="1"/>
        <v>10.999900000000002</v>
      </c>
      <c r="D26" s="446">
        <f>IF(B26="Jaje kokošje, celo",IF(C26=INT(C26),C26,C26+1),IF(B26=""," ",_xlfn.IFNA(INT(C26*1000/(VLOOKUP($B26,Ingredient_prices!$E:$J,6,FALSE)))+1,"nije nabavljen")))</f>
        <v>11</v>
      </c>
      <c r="E26" s="446" t="str">
        <f>IF(C26="","",VLOOKUP($B26,Ingredient_prices!$E:$K,7,FALSE))</f>
        <v>л</v>
      </c>
      <c r="F26" s="462">
        <f>IF(C26="","",_xlfn.IFNA((VLOOKUP($B26,Ingredient_prices!$E:$P,11,FALSE)*I26),""))</f>
        <v>110</v>
      </c>
      <c r="G26" s="450" t="str">
        <f>IF(C26="","",_xlfn.IFNA(MID(VLOOKUP($B26,Ingredient_prices!$E:$F,2,FALSE),9,2),""))</f>
        <v>2</v>
      </c>
      <c r="H26" s="447" t="str">
        <f>_xlfn.IFNA(VLOOKUP(CONCATENATE($I$8,$G26),Ingredient_prices!$G:$N,8,FALSE),"")</f>
        <v>КомерцПродукт</v>
      </c>
      <c r="I26" s="548">
        <f t="shared" si="2"/>
        <v>11</v>
      </c>
      <c r="J26" s="695" t="str">
        <f>IF(N26="","",MID(Ingredient_prices!F21,9,2))</f>
        <v/>
      </c>
      <c r="K26" s="692" t="str">
        <f t="shared" si="6"/>
        <v/>
      </c>
      <c r="L26" s="692" t="str">
        <f>IF(N26="","",COUNTIF($P$9:$P$255,"&lt;"&amp;P26)+COUNTIF($P$9:P26,P26))</f>
        <v/>
      </c>
      <c r="M26" s="692" t="str">
        <f>IF(Ingredient_prices!E21=M25,"",Ingredient_prices!E21)</f>
        <v>Danish pastry (sweet)</v>
      </c>
      <c r="N26" s="693" t="str">
        <f>_xlfn.IFNA(VLOOKUP($M26,Sedmica_2_količina_sva_sastojak!$C:$E,3,FALSE),"")</f>
        <v/>
      </c>
      <c r="O26" s="696" t="str">
        <f>IF(N26="","",COUNTIF($P$9:$P$255,"&lt;"&amp;P26)+COUNTIF($P$9:P26,P26))</f>
        <v/>
      </c>
      <c r="P26" s="694" t="str">
        <f t="shared" si="7"/>
        <v/>
      </c>
    </row>
    <row r="27" spans="1:16">
      <c r="A27" s="470">
        <v>19</v>
      </c>
      <c r="B27" s="451" t="str">
        <f t="shared" si="0"/>
        <v>Pork minced meat</v>
      </c>
      <c r="C27" s="462">
        <f t="shared" si="1"/>
        <v>10.999900000000002</v>
      </c>
      <c r="D27" s="446">
        <f>IF(B27="Jaje kokošje, celo",IF(C27=INT(C27),C27,C27+1),IF(B27=""," ",_xlfn.IFNA(INT(C27*1000/(VLOOKUP($B27,Ingredient_prices!$E:$J,6,FALSE)))+1,"nije nabavljen")))</f>
        <v>11</v>
      </c>
      <c r="E27" s="446" t="str">
        <f>IF(C27="","",VLOOKUP($B27,Ingredient_prices!$E:$K,7,FALSE))</f>
        <v>кг</v>
      </c>
      <c r="F27" s="462">
        <f>IF(C27="","",_xlfn.IFNA((VLOOKUP($B27,Ingredient_prices!$E:$P,11,FALSE)*I27),""))</f>
        <v>110</v>
      </c>
      <c r="G27" s="450" t="str">
        <f>IF(C27="","",_xlfn.IFNA(MID(VLOOKUP($B27,Ingredient_prices!$E:$F,2,FALSE),9,2),""))</f>
        <v>2</v>
      </c>
      <c r="H27" s="447" t="str">
        <f>_xlfn.IFNA(VLOOKUP(CONCATENATE($I$8,$G27),Ingredient_prices!$G:$N,8,FALSE),"")</f>
        <v>КомерцПродукт</v>
      </c>
      <c r="I27" s="548">
        <f t="shared" si="2"/>
        <v>11</v>
      </c>
      <c r="J27" s="695" t="str">
        <f>IF(N27="","",MID(Ingredient_prices!F22,9,2))</f>
        <v/>
      </c>
      <c r="K27" s="692" t="str">
        <f t="shared" si="6"/>
        <v/>
      </c>
      <c r="L27" s="692" t="str">
        <f>IF(N27="","",COUNTIF($P$9:$P$255,"&lt;"&amp;P27)+COUNTIF($P$9:P27,P27))</f>
        <v/>
      </c>
      <c r="M27" s="692" t="str">
        <f>IF(Ingredient_prices!E22=M26,"",Ingredient_prices!E22)</f>
        <v>Chalcone ham cheese</v>
      </c>
      <c r="N27" s="693" t="str">
        <f>_xlfn.IFNA(VLOOKUP($M27,Sedmica_2_količina_sva_sastojak!$C:$E,3,FALSE),"")</f>
        <v/>
      </c>
      <c r="O27" s="696" t="str">
        <f>IF(N27="","",COUNTIF($P$9:$P$255,"&lt;"&amp;P27)+COUNTIF($P$9:P27,P27))</f>
        <v/>
      </c>
      <c r="P27" s="694" t="str">
        <f t="shared" si="7"/>
        <v/>
      </c>
    </row>
    <row r="28" spans="1:16">
      <c r="A28" s="470">
        <v>20</v>
      </c>
      <c r="B28" s="451" t="str">
        <f t="shared" si="0"/>
        <v>Peas frozen</v>
      </c>
      <c r="C28" s="462">
        <f t="shared" si="1"/>
        <v>8.7999000000000009</v>
      </c>
      <c r="D28" s="446">
        <f>IF(B28="Jaje kokošje, celo",IF(C28=INT(C28),C28,C28+1),IF(B28=""," ",_xlfn.IFNA(INT(C28*1000/(VLOOKUP($B28,Ingredient_prices!$E:$J,6,FALSE)))+1,"nije nabavljen")))</f>
        <v>9</v>
      </c>
      <c r="E28" s="446" t="str">
        <f>IF(C28="","",VLOOKUP($B28,Ingredient_prices!$E:$K,7,FALSE))</f>
        <v>кг</v>
      </c>
      <c r="F28" s="462">
        <f>IF(C28="","",_xlfn.IFNA((VLOOKUP($B28,Ingredient_prices!$E:$P,11,FALSE)*I28),""))</f>
        <v>90</v>
      </c>
      <c r="G28" s="450" t="str">
        <f>IF(C28="","",_xlfn.IFNA(MID(VLOOKUP($B28,Ingredient_prices!$E:$F,2,FALSE),9,2),""))</f>
        <v>2</v>
      </c>
      <c r="H28" s="447" t="str">
        <f>_xlfn.IFNA(VLOOKUP(CONCATENATE($I$8,$G28),Ingredient_prices!$G:$N,8,FALSE),"")</f>
        <v>КомерцПродукт</v>
      </c>
      <c r="I28" s="548">
        <f t="shared" si="2"/>
        <v>9</v>
      </c>
      <c r="J28" s="695" t="str">
        <f>IF(N28="","",MID(Ingredient_prices!F23,9,2))</f>
        <v/>
      </c>
      <c r="K28" s="692" t="str">
        <f t="shared" si="6"/>
        <v/>
      </c>
      <c r="L28" s="692" t="str">
        <f>IF(N28="","",COUNTIF($P$9:$P$255,"&lt;"&amp;P28)+COUNTIF($P$9:P28,P28))</f>
        <v/>
      </c>
      <c r="M28" s="692" t="str">
        <f>IF(Ingredient_prices!E23=M27,"",Ingredient_prices!E23)</f>
        <v>Sesame bun</v>
      </c>
      <c r="N28" s="693" t="str">
        <f>_xlfn.IFNA(VLOOKUP($M28,Sedmica_2_količina_sva_sastojak!$C:$E,3,FALSE),"")</f>
        <v/>
      </c>
      <c r="O28" s="696" t="str">
        <f>IF(N28="","",COUNTIF($P$9:$P$255,"&lt;"&amp;P28)+COUNTIF($P$9:P28,P28))</f>
        <v/>
      </c>
      <c r="P28" s="694" t="str">
        <f t="shared" si="7"/>
        <v/>
      </c>
    </row>
    <row r="29" spans="1:16">
      <c r="A29" s="470">
        <v>21</v>
      </c>
      <c r="B29" s="451" t="str">
        <f t="shared" si="0"/>
        <v>Beetroot, cooked, pickled</v>
      </c>
      <c r="C29" s="462">
        <f t="shared" si="1"/>
        <v>6.5998999999999999</v>
      </c>
      <c r="D29" s="446">
        <f>IF(B29="Jaje kokošje, celo",IF(C29=INT(C29),C29,C29+1),IF(B29=""," ",_xlfn.IFNA(INT(C29*1000/(VLOOKUP($B29,Ingredient_prices!$E:$J,6,FALSE)))+1,"nije nabavljen")))</f>
        <v>2</v>
      </c>
      <c r="E29" s="446" t="str">
        <f>IF(C29="","",VLOOKUP($B29,Ingredient_prices!$E:$K,7,FALSE))</f>
        <v>ком</v>
      </c>
      <c r="F29" s="462">
        <f>IF(C29="","",_xlfn.IFNA((VLOOKUP($B29,Ingredient_prices!$E:$P,11,FALSE)*I29),""))</f>
        <v>40</v>
      </c>
      <c r="G29" s="450" t="str">
        <f>IF(C29="","",_xlfn.IFNA(MID(VLOOKUP($B29,Ingredient_prices!$E:$F,2,FALSE),9,2),""))</f>
        <v>2</v>
      </c>
      <c r="H29" s="447" t="str">
        <f>_xlfn.IFNA(VLOOKUP(CONCATENATE($I$8,$G29),Ingredient_prices!$G:$N,8,FALSE),"")</f>
        <v>КомерцПродукт</v>
      </c>
      <c r="I29" s="548">
        <f t="shared" si="2"/>
        <v>2</v>
      </c>
      <c r="J29" s="695" t="str">
        <f>IF(N29="","",MID(Ingredient_prices!F24,9,2))</f>
        <v/>
      </c>
      <c r="K29" s="692" t="str">
        <f t="shared" si="6"/>
        <v/>
      </c>
      <c r="L29" s="692" t="str">
        <f>IF(N29="","",COUNTIF($P$9:$P$255,"&lt;"&amp;P29)+COUNTIF($P$9:P29,P29))</f>
        <v/>
      </c>
      <c r="M29" s="692" t="str">
        <f>IF(Ingredient_prices!E24=M28,"",Ingredient_prices!E24)</f>
        <v>Croissant with cocoa cream</v>
      </c>
      <c r="N29" s="693" t="str">
        <f>_xlfn.IFNA(VLOOKUP($M29,Sedmica_2_količina_sva_sastojak!$C:$E,3,FALSE),"")</f>
        <v/>
      </c>
      <c r="O29" s="696" t="str">
        <f>IF(N29="","",COUNTIF($P$9:$P$255,"&lt;"&amp;P29)+COUNTIF($P$9:P29,P29))</f>
        <v/>
      </c>
      <c r="P29" s="694" t="str">
        <f t="shared" si="7"/>
        <v/>
      </c>
    </row>
    <row r="30" spans="1:16">
      <c r="A30" s="470">
        <v>22</v>
      </c>
      <c r="B30" s="451" t="str">
        <f t="shared" si="0"/>
        <v>Onion</v>
      </c>
      <c r="C30" s="462">
        <f t="shared" si="1"/>
        <v>5.7199000000000009</v>
      </c>
      <c r="D30" s="446">
        <f>IF(B30="Jaje kokošje, celo",IF(C30=INT(C30),C30,C30+1),IF(B30=""," ",_xlfn.IFNA(INT(C30*1000/(VLOOKUP($B30,Ingredient_prices!$E:$J,6,FALSE)))+1,"nije nabavljen")))</f>
        <v>6</v>
      </c>
      <c r="E30" s="446" t="str">
        <f>IF(C30="","",VLOOKUP($B30,Ingredient_prices!$E:$K,7,FALSE))</f>
        <v>кг</v>
      </c>
      <c r="F30" s="462">
        <f>IF(C30="","",_xlfn.IFNA((VLOOKUP($B30,Ingredient_prices!$E:$P,11,FALSE)*I30),""))</f>
        <v>60</v>
      </c>
      <c r="G30" s="450" t="str">
        <f>IF(C30="","",_xlfn.IFNA(MID(VLOOKUP($B30,Ingredient_prices!$E:$F,2,FALSE),9,2),""))</f>
        <v>2</v>
      </c>
      <c r="H30" s="447" t="str">
        <f>_xlfn.IFNA(VLOOKUP(CONCATENATE($I$8,$G30),Ingredient_prices!$G:$N,8,FALSE),"")</f>
        <v>КомерцПродукт</v>
      </c>
      <c r="I30" s="548">
        <f t="shared" si="2"/>
        <v>6</v>
      </c>
      <c r="J30" s="695" t="str">
        <f>IF(N30="","",MID(Ingredient_prices!F25,9,2))</f>
        <v/>
      </c>
      <c r="K30" s="692" t="str">
        <f t="shared" si="6"/>
        <v/>
      </c>
      <c r="L30" s="692" t="str">
        <f>IF(N30="","",COUNTIF($P$9:$P$255,"&lt;"&amp;P30)+COUNTIF($P$9:P30,P30))</f>
        <v/>
      </c>
      <c r="M30" s="692" t="str">
        <f>IF(Ingredient_prices!E25=M29,"",Ingredient_prices!E25)</f>
        <v>Cherry roll</v>
      </c>
      <c r="N30" s="693" t="str">
        <f>_xlfn.IFNA(VLOOKUP($M30,Sedmica_2_količina_sva_sastojak!$C:$E,3,FALSE),"")</f>
        <v/>
      </c>
      <c r="O30" s="696" t="str">
        <f>IF(N30="","",COUNTIF($P$9:$P$255,"&lt;"&amp;P30)+COUNTIF($P$9:P30,P30))</f>
        <v/>
      </c>
      <c r="P30" s="694" t="str">
        <f t="shared" si="7"/>
        <v/>
      </c>
    </row>
    <row r="31" spans="1:16">
      <c r="A31" s="470">
        <v>23</v>
      </c>
      <c r="B31" s="451" t="str">
        <f t="shared" si="0"/>
        <v>Cow's milk 3.2% fat</v>
      </c>
      <c r="C31" s="462">
        <f t="shared" si="1"/>
        <v>5.4999000000000011</v>
      </c>
      <c r="D31" s="446">
        <f>IF(B31="Jaje kokošje, celo",IF(C31=INT(C31),C31,C31+1),IF(B31=""," ",_xlfn.IFNA(INT(C31*1000/(VLOOKUP($B31,Ingredient_prices!$E:$J,6,FALSE)))+1,"nije nabavljen")))</f>
        <v>28</v>
      </c>
      <c r="E31" s="446" t="str">
        <f>IF(C31="","",VLOOKUP($B31,Ingredient_prices!$E:$K,7,FALSE))</f>
        <v>ком</v>
      </c>
      <c r="F31" s="462">
        <f>IF(C31="","",_xlfn.IFNA((VLOOKUP($B31,Ingredient_prices!$E:$P,11,FALSE)*I31),""))</f>
        <v>280</v>
      </c>
      <c r="G31" s="450" t="str">
        <f>IF(C31="","",_xlfn.IFNA(MID(VLOOKUP($B31,Ingredient_prices!$E:$F,2,FALSE),9,2),""))</f>
        <v>2</v>
      </c>
      <c r="H31" s="447" t="str">
        <f>_xlfn.IFNA(VLOOKUP(CONCATENATE($I$8,$G31),Ingredient_prices!$G:$N,8,FALSE),"")</f>
        <v>КомерцПродукт</v>
      </c>
      <c r="I31" s="548">
        <f t="shared" si="2"/>
        <v>28</v>
      </c>
      <c r="J31" s="695" t="str">
        <f>IF(N31="","",MID(Ingredient_prices!F26,9,2))</f>
        <v/>
      </c>
      <c r="K31" s="692" t="str">
        <f t="shared" si="6"/>
        <v/>
      </c>
      <c r="L31" s="692" t="str">
        <f>IF(N31="","",COUNTIF($P$9:$P$255,"&lt;"&amp;P31)+COUNTIF($P$9:P31,P31))</f>
        <v/>
      </c>
      <c r="M31" s="692" t="str">
        <f>IF(Ingredient_prices!E26=M30,"",Ingredient_prices!E26)</f>
        <v>Pizza margarita</v>
      </c>
      <c r="N31" s="693" t="str">
        <f>_xlfn.IFNA(VLOOKUP($M31,Sedmica_2_količina_sva_sastojak!$C:$E,3,FALSE),"")</f>
        <v/>
      </c>
      <c r="O31" s="696" t="str">
        <f>IF(N31="","",COUNTIF($P$9:$P$255,"&lt;"&amp;P31)+COUNTIF($P$9:P31,P31))</f>
        <v/>
      </c>
      <c r="P31" s="694" t="str">
        <f t="shared" si="7"/>
        <v/>
      </c>
    </row>
    <row r="32" spans="1:16">
      <c r="A32" s="470">
        <v>24</v>
      </c>
      <c r="B32" s="451" t="str">
        <f t="shared" si="0"/>
        <v>Chicken breast</v>
      </c>
      <c r="C32" s="462">
        <f t="shared" si="1"/>
        <v>5.4999000000000011</v>
      </c>
      <c r="D32" s="446">
        <f>IF(B32="Jaje kokošje, celo",IF(C32=INT(C32),C32,C32+1),IF(B32=""," ",_xlfn.IFNA(INT(C32*1000/(VLOOKUP($B32,Ingredient_prices!$E:$J,6,FALSE)))+1,"nije nabavljen")))</f>
        <v>6</v>
      </c>
      <c r="E32" s="446" t="str">
        <f>IF(C32="","",VLOOKUP($B32,Ingredient_prices!$E:$K,7,FALSE))</f>
        <v>кг</v>
      </c>
      <c r="F32" s="462">
        <f>IF(C32="","",_xlfn.IFNA((VLOOKUP($B32,Ingredient_prices!$E:$P,11,FALSE)*I32),""))</f>
        <v>60</v>
      </c>
      <c r="G32" s="450" t="str">
        <f>IF(C32="","",_xlfn.IFNA(MID(VLOOKUP($B32,Ingredient_prices!$E:$F,2,FALSE),9,2),""))</f>
        <v>2</v>
      </c>
      <c r="H32" s="447" t="str">
        <f>_xlfn.IFNA(VLOOKUP(CONCATENATE($I$8,$G32),Ingredient_prices!$G:$N,8,FALSE),"")</f>
        <v>КомерцПродукт</v>
      </c>
      <c r="I32" s="548">
        <f t="shared" si="2"/>
        <v>6</v>
      </c>
      <c r="J32" s="695" t="str">
        <f>IF(N32="","",MID(Ingredient_prices!F27,9,2))</f>
        <v/>
      </c>
      <c r="K32" s="692" t="str">
        <f t="shared" si="6"/>
        <v/>
      </c>
      <c r="L32" s="692" t="str">
        <f>IF(N32="","",COUNTIF($P$9:$P$255,"&lt;"&amp;P32)+COUNTIF($P$9:P32,P32))</f>
        <v/>
      </c>
      <c r="M32" s="692" t="str">
        <f>IF(Ingredient_prices!E27=M31,"",Ingredient_prices!E27)</f>
        <v>Sesame bun</v>
      </c>
      <c r="N32" s="693" t="str">
        <f>_xlfn.IFNA(VLOOKUP($M32,Sedmica_2_količina_sva_sastojak!$C:$E,3,FALSE),"")</f>
        <v/>
      </c>
      <c r="O32" s="696" t="str">
        <f>IF(N32="","",COUNTIF($P$9:$P$255,"&lt;"&amp;P32)+COUNTIF($P$9:P32,P32))</f>
        <v/>
      </c>
      <c r="P32" s="694" t="str">
        <f t="shared" si="7"/>
        <v/>
      </c>
    </row>
    <row r="33" spans="1:16">
      <c r="A33" s="470">
        <v>25</v>
      </c>
      <c r="B33" s="451" t="str">
        <f t="shared" si="0"/>
        <v>Rice, white grain</v>
      </c>
      <c r="C33" s="462">
        <f t="shared" si="1"/>
        <v>5.4999000000000011</v>
      </c>
      <c r="D33" s="446">
        <f>IF(B33="Jaje kokošje, celo",IF(C33=INT(C33),C33,C33+1),IF(B33=""," ",_xlfn.IFNA(INT(C33*1000/(VLOOKUP($B33,Ingredient_prices!$E:$J,6,FALSE)))+1,"nije nabavljen")))</f>
        <v>6</v>
      </c>
      <c r="E33" s="446" t="str">
        <f>IF(C33="","",VLOOKUP($B33,Ingredient_prices!$E:$K,7,FALSE))</f>
        <v>ком</v>
      </c>
      <c r="F33" s="462">
        <f>IF(C33="","",_xlfn.IFNA((VLOOKUP($B33,Ingredient_prices!$E:$P,11,FALSE)*I33),""))</f>
        <v>60</v>
      </c>
      <c r="G33" s="450" t="str">
        <f>IF(C33="","",_xlfn.IFNA(MID(VLOOKUP($B33,Ingredient_prices!$E:$F,2,FALSE),9,2),""))</f>
        <v>2</v>
      </c>
      <c r="H33" s="447" t="str">
        <f>_xlfn.IFNA(VLOOKUP(CONCATENATE($I$8,$G33),Ingredient_prices!$G:$N,8,FALSE),"")</f>
        <v>КомерцПродукт</v>
      </c>
      <c r="I33" s="548">
        <f t="shared" si="2"/>
        <v>6</v>
      </c>
      <c r="J33" s="695" t="str">
        <f>IF(N33="","",MID(Ingredient_prices!F28,9,2))</f>
        <v/>
      </c>
      <c r="K33" s="692" t="str">
        <f t="shared" si="6"/>
        <v/>
      </c>
      <c r="L33" s="692" t="str">
        <f>IF(N33="","",COUNTIF($P$9:$P$255,"&lt;"&amp;P33)+COUNTIF($P$9:P33,P33))</f>
        <v/>
      </c>
      <c r="M33" s="692" t="str">
        <f>IF(Ingredient_prices!E28=M32,"",Ingredient_prices!E28)</f>
        <v>Bread roll</v>
      </c>
      <c r="N33" s="693" t="str">
        <f>_xlfn.IFNA(VLOOKUP($M33,Sedmica_2_količina_sva_sastojak!$C:$E,3,FALSE),"")</f>
        <v/>
      </c>
      <c r="O33" s="696" t="str">
        <f>IF(N33="","",COUNTIF($P$9:$P$255,"&lt;"&amp;P33)+COUNTIF($P$9:P33,P33))</f>
        <v/>
      </c>
      <c r="P33" s="694" t="str">
        <f t="shared" si="7"/>
        <v/>
      </c>
    </row>
    <row r="34" spans="1:16">
      <c r="A34" s="470">
        <v>26</v>
      </c>
      <c r="B34" s="451" t="str">
        <f t="shared" si="0"/>
        <v>Beans haricot (yellow)</v>
      </c>
      <c r="C34" s="462">
        <f t="shared" si="1"/>
        <v>5.4999000000000011</v>
      </c>
      <c r="D34" s="446">
        <f>IF(B34="Jaje kokošje, celo",IF(C34=INT(C34),C34,C34+1),IF(B34=""," ",_xlfn.IFNA(INT(C34*1000/(VLOOKUP($B34,Ingredient_prices!$E:$J,6,FALSE)))+1,"nije nabavljen")))</f>
        <v>6</v>
      </c>
      <c r="E34" s="446" t="str">
        <f>IF(C34="","",VLOOKUP($B34,Ingredient_prices!$E:$K,7,FALSE))</f>
        <v>кг</v>
      </c>
      <c r="F34" s="462">
        <f>IF(C34="","",_xlfn.IFNA((VLOOKUP($B34,Ingredient_prices!$E:$P,11,FALSE)*I34),""))</f>
        <v>60</v>
      </c>
      <c r="G34" s="450" t="str">
        <f>IF(C34="","",_xlfn.IFNA(MID(VLOOKUP($B34,Ingredient_prices!$E:$F,2,FALSE),9,2),""))</f>
        <v>2</v>
      </c>
      <c r="H34" s="447" t="str">
        <f>_xlfn.IFNA(VLOOKUP(CONCATENATE($I$8,$G34),Ingredient_prices!$G:$N,8,FALSE),"")</f>
        <v>КомерцПродукт</v>
      </c>
      <c r="I34" s="548">
        <f t="shared" si="2"/>
        <v>6</v>
      </c>
      <c r="J34" s="695" t="str">
        <f>IF(N34="","",MID(Ingredient_prices!F29,9,2))</f>
        <v/>
      </c>
      <c r="K34" s="692" t="str">
        <f t="shared" si="6"/>
        <v/>
      </c>
      <c r="L34" s="692" t="str">
        <f>IF(N34="","",COUNTIF($P$9:$P$255,"&lt;"&amp;P34)+COUNTIF($P$9:P34,P34))</f>
        <v/>
      </c>
      <c r="M34" s="692" t="str">
        <f>IF(Ingredient_prices!E29=M33,"",Ingredient_prices!E29)</f>
        <v>Bun with cheese</v>
      </c>
      <c r="N34" s="693" t="str">
        <f>_xlfn.IFNA(VLOOKUP($M34,Sedmica_2_količina_sva_sastojak!$C:$E,3,FALSE),"")</f>
        <v/>
      </c>
      <c r="O34" s="696" t="str">
        <f>IF(N34="","",COUNTIF($P$9:$P$255,"&lt;"&amp;P34)+COUNTIF($P$9:P34,P34))</f>
        <v/>
      </c>
      <c r="P34" s="694" t="str">
        <f t="shared" si="7"/>
        <v/>
      </c>
    </row>
    <row r="35" spans="1:16">
      <c r="A35" s="470">
        <v>27</v>
      </c>
      <c r="B35" s="451" t="str">
        <f t="shared" si="0"/>
        <v>Pork neck, dried meat</v>
      </c>
      <c r="C35" s="462">
        <f t="shared" si="1"/>
        <v>3.2998999999999996</v>
      </c>
      <c r="D35" s="446">
        <f>IF(B35="Jaje kokošje, celo",IF(C35=INT(C35),C35,C35+1),IF(B35=""," ",_xlfn.IFNA(INT(C35*1000/(VLOOKUP($B35,Ingredient_prices!$E:$J,6,FALSE)))+1,"nije nabavljen")))</f>
        <v>4</v>
      </c>
      <c r="E35" s="446" t="str">
        <f>IF(C35="","",VLOOKUP($B35,Ingredient_prices!$E:$K,7,FALSE))</f>
        <v>кг</v>
      </c>
      <c r="F35" s="462">
        <f>IF(C35="","",_xlfn.IFNA((VLOOKUP($B35,Ingredient_prices!$E:$P,11,FALSE)*I35),""))</f>
        <v>80</v>
      </c>
      <c r="G35" s="450" t="str">
        <f>IF(C35="","",_xlfn.IFNA(MID(VLOOKUP($B35,Ingredient_prices!$E:$F,2,FALSE),9,2),""))</f>
        <v>2</v>
      </c>
      <c r="H35" s="447" t="str">
        <f>_xlfn.IFNA(VLOOKUP(CONCATENATE($I$8,$G35),Ingredient_prices!$G:$N,8,FALSE),"")</f>
        <v>КомерцПродукт</v>
      </c>
      <c r="I35" s="548">
        <f t="shared" si="2"/>
        <v>4</v>
      </c>
      <c r="J35" s="695" t="str">
        <f>IF(N35="","",MID(Ingredient_prices!F30,9,2))</f>
        <v/>
      </c>
      <c r="K35" s="692" t="str">
        <f t="shared" si="6"/>
        <v/>
      </c>
      <c r="L35" s="692" t="str">
        <f>IF(N35="","",COUNTIF($P$9:$P$255,"&lt;"&amp;P35)+COUNTIF($P$9:P35,P35))</f>
        <v/>
      </c>
      <c r="M35" s="692" t="str">
        <f>IF(Ingredient_prices!E30=M34,"",Ingredient_prices!E30)</f>
        <v/>
      </c>
      <c r="N35" s="693" t="str">
        <f>_xlfn.IFNA(VLOOKUP($M35,Sedmica_2_količina_sva_sastojak!$C:$E,3,FALSE),"")</f>
        <v/>
      </c>
      <c r="O35" s="696" t="str">
        <f>IF(N35="","",COUNTIF($P$9:$P$255,"&lt;"&amp;P35)+COUNTIF($P$9:P35,P35))</f>
        <v/>
      </c>
      <c r="P35" s="694" t="str">
        <f t="shared" si="7"/>
        <v/>
      </c>
    </row>
    <row r="36" spans="1:16">
      <c r="A36" s="470">
        <v>28</v>
      </c>
      <c r="B36" s="451" t="str">
        <f t="shared" si="0"/>
        <v>Fresh cheese</v>
      </c>
      <c r="C36" s="462">
        <f t="shared" si="1"/>
        <v>2.7499000000000002</v>
      </c>
      <c r="D36" s="446">
        <f>IF(B36="Jaje kokošje, celo",IF(C36=INT(C36),C36,C36+1),IF(B36=""," ",_xlfn.IFNA(INT(C36*1000/(VLOOKUP($B36,Ingredient_prices!$E:$J,6,FALSE)))+1,"nije nabavljen")))</f>
        <v>6</v>
      </c>
      <c r="E36" s="446" t="str">
        <f>IF(C36="","",VLOOKUP($B36,Ingredient_prices!$E:$K,7,FALSE))</f>
        <v>ком</v>
      </c>
      <c r="F36" s="462">
        <f>IF(C36="","",_xlfn.IFNA((VLOOKUP($B36,Ingredient_prices!$E:$P,11,FALSE)*I36),""))</f>
        <v>120</v>
      </c>
      <c r="G36" s="450" t="str">
        <f>IF(C36="","",_xlfn.IFNA(MID(VLOOKUP($B36,Ingredient_prices!$E:$F,2,FALSE),9,2),""))</f>
        <v>2</v>
      </c>
      <c r="H36" s="447" t="str">
        <f>_xlfn.IFNA(VLOOKUP(CONCATENATE($I$8,$G36),Ingredient_prices!$G:$N,8,FALSE),"")</f>
        <v>КомерцПродукт</v>
      </c>
      <c r="I36" s="548">
        <f t="shared" si="2"/>
        <v>6</v>
      </c>
      <c r="J36" s="695" t="str">
        <f>IF(N36="","",MID(Ingredient_prices!F31,9,2))</f>
        <v>2</v>
      </c>
      <c r="K36" s="692">
        <f t="shared" si="6"/>
        <v>4</v>
      </c>
      <c r="L36" s="692">
        <f>IF(N36="","",COUNTIF($P$9:$P$255,"&lt;"&amp;P36)+COUNTIF($P$9:P36,P36))</f>
        <v>9</v>
      </c>
      <c r="M36" s="692" t="str">
        <f>IF(Ingredient_prices!E31=M35,"",Ingredient_prices!E31)</f>
        <v>Cow's milk 2.8% fat</v>
      </c>
      <c r="N36" s="693">
        <f>_xlfn.IFNA(VLOOKUP($M36,Sedmica_2_količina_sva_sastojak!$C:$E,3,FALSE),"")</f>
        <v>21.340000000000003</v>
      </c>
      <c r="O36" s="696">
        <f>IF(N36="","",COUNTIF($P$9:$P$255,"&lt;"&amp;P36)+COUNTIF($P$9:P36,P36))</f>
        <v>9</v>
      </c>
      <c r="P36" s="694">
        <f t="shared" si="7"/>
        <v>24</v>
      </c>
    </row>
    <row r="37" spans="1:16">
      <c r="A37" s="470">
        <v>29</v>
      </c>
      <c r="B37" s="451" t="str">
        <f t="shared" si="0"/>
        <v>Euro cream</v>
      </c>
      <c r="C37" s="462">
        <f t="shared" si="1"/>
        <v>2.7499000000000002</v>
      </c>
      <c r="D37" s="446">
        <f>IF(B37="Jaje kokošje, celo",IF(C37=INT(C37),C37,C37+1),IF(B37=""," ",_xlfn.IFNA(INT(C37*1000/(VLOOKUP($B37,Ingredient_prices!$E:$J,6,FALSE)))+1,"nije nabavljen")))</f>
        <v>2</v>
      </c>
      <c r="E37" s="446" t="str">
        <f>IF(C37="","",VLOOKUP($B37,Ingredient_prices!$E:$K,7,FALSE))</f>
        <v>ком</v>
      </c>
      <c r="F37" s="462">
        <f>IF(C37="","",_xlfn.IFNA((VLOOKUP($B37,Ingredient_prices!$E:$P,11,FALSE)*I37),""))</f>
        <v>40</v>
      </c>
      <c r="G37" s="450" t="str">
        <f>IF(C37="","",_xlfn.IFNA(MID(VLOOKUP($B37,Ingredient_prices!$E:$F,2,FALSE),9,2),""))</f>
        <v>2</v>
      </c>
      <c r="H37" s="447" t="str">
        <f>_xlfn.IFNA(VLOOKUP(CONCATENATE($I$8,$G37),Ingredient_prices!$G:$N,8,FALSE),"")</f>
        <v>КомерцПродукт</v>
      </c>
      <c r="I37" s="548">
        <f t="shared" si="2"/>
        <v>2</v>
      </c>
      <c r="J37" s="695" t="str">
        <f>IF(N37="","",MID(Ingredient_prices!F32,9,2))</f>
        <v>2</v>
      </c>
      <c r="K37" s="692">
        <f t="shared" si="6"/>
        <v>18</v>
      </c>
      <c r="L37" s="692">
        <f>IF(N37="","",COUNTIF($P$9:$P$255,"&lt;"&amp;P37)+COUNTIF($P$9:P37,P37))</f>
        <v>23</v>
      </c>
      <c r="M37" s="692" t="str">
        <f>IF(Ingredient_prices!E32=M36,"",Ingredient_prices!E32)</f>
        <v>Cow's milk 3.2% fat</v>
      </c>
      <c r="N37" s="693">
        <f>_xlfn.IFNA(VLOOKUP($M37,Sedmica_2_količina_sva_sastojak!$C:$E,3,FALSE),"")</f>
        <v>5.5000000000000009</v>
      </c>
      <c r="O37" s="696">
        <f>IF(N37="","",COUNTIF($P$9:$P$255,"&lt;"&amp;P37)+COUNTIF($P$9:P37,P37))</f>
        <v>23</v>
      </c>
      <c r="P37" s="694">
        <f t="shared" si="7"/>
        <v>218</v>
      </c>
    </row>
    <row r="38" spans="1:16">
      <c r="A38" s="470">
        <v>30</v>
      </c>
      <c r="B38" s="451" t="str">
        <f t="shared" si="0"/>
        <v>Cedevita orange</v>
      </c>
      <c r="C38" s="462">
        <f t="shared" si="1"/>
        <v>2.7499000000000002</v>
      </c>
      <c r="D38" s="446">
        <f>IF(B38="Jaje kokošje, celo",IF(C38=INT(C38),C38,C38+1),IF(B38=""," ",_xlfn.IFNA(INT(C38*1000/(VLOOKUP($B38,Ingredient_prices!$E:$J,6,FALSE)))+1,"nije nabavljen")))</f>
        <v>3</v>
      </c>
      <c r="E38" s="446" t="str">
        <f>IF(C38="","",VLOOKUP($B38,Ingredient_prices!$E:$K,7,FALSE))</f>
        <v>ком</v>
      </c>
      <c r="F38" s="462">
        <f>IF(C38="","",_xlfn.IFNA((VLOOKUP($B38,Ingredient_prices!$E:$P,11,FALSE)*I38),""))</f>
        <v>60</v>
      </c>
      <c r="G38" s="450" t="str">
        <f>IF(C38="","",_xlfn.IFNA(MID(VLOOKUP($B38,Ingredient_prices!$E:$F,2,FALSE),9,2),""))</f>
        <v>2</v>
      </c>
      <c r="H38" s="447" t="str">
        <f>_xlfn.IFNA(VLOOKUP(CONCATENATE($I$8,$G38),Ingredient_prices!$G:$N,8,FALSE),"")</f>
        <v>КомерцПродукт</v>
      </c>
      <c r="I38" s="548">
        <f t="shared" si="2"/>
        <v>3</v>
      </c>
      <c r="J38" s="695" t="str">
        <f>IF(N38="","",MID(Ingredient_prices!F33,9,2))</f>
        <v/>
      </c>
      <c r="K38" s="692" t="str">
        <f t="shared" si="6"/>
        <v/>
      </c>
      <c r="L38" s="692" t="str">
        <f>IF(N38="","",COUNTIF($P$9:$P$255,"&lt;"&amp;P38)+COUNTIF($P$9:P38,P38))</f>
        <v/>
      </c>
      <c r="M38" s="692" t="str">
        <f>IF(Ingredient_prices!E33=M37,"",Ingredient_prices!E33)</f>
        <v>Sour milk, 2.8% fat</v>
      </c>
      <c r="N38" s="693" t="str">
        <f>_xlfn.IFNA(VLOOKUP($M38,Sedmica_2_količina_sva_sastojak!$C:$E,3,FALSE),"")</f>
        <v/>
      </c>
      <c r="O38" s="696" t="str">
        <f>IF(N38="","",COUNTIF($P$9:$P$255,"&lt;"&amp;P38)+COUNTIF($P$9:P38,P38))</f>
        <v/>
      </c>
      <c r="P38" s="694" t="str">
        <f t="shared" si="7"/>
        <v/>
      </c>
    </row>
    <row r="39" spans="1:16">
      <c r="A39" s="470">
        <v>31</v>
      </c>
      <c r="B39" s="451" t="str">
        <f t="shared" si="0"/>
        <v>Cedevita lemon</v>
      </c>
      <c r="C39" s="462">
        <f t="shared" si="1"/>
        <v>2.7499000000000002</v>
      </c>
      <c r="D39" s="446">
        <f>IF(B39="Jaje kokošje, celo",IF(C39=INT(C39),C39,C39+1),IF(B39=""," ",_xlfn.IFNA(INT(C39*1000/(VLOOKUP($B39,Ingredient_prices!$E:$J,6,FALSE)))+1,"nije nabavljen")))</f>
        <v>3</v>
      </c>
      <c r="E39" s="446" t="str">
        <f>IF(C39="","",VLOOKUP($B39,Ingredient_prices!$E:$K,7,FALSE))</f>
        <v>ком</v>
      </c>
      <c r="F39" s="462">
        <f>IF(C39="","",_xlfn.IFNA((VLOOKUP($B39,Ingredient_prices!$E:$P,11,FALSE)*I39),""))</f>
        <v>60</v>
      </c>
      <c r="G39" s="450" t="str">
        <f>IF(C39="","",_xlfn.IFNA(MID(VLOOKUP($B39,Ingredient_prices!$E:$F,2,FALSE),9,2),""))</f>
        <v>2</v>
      </c>
      <c r="H39" s="447" t="str">
        <f>_xlfn.IFNA(VLOOKUP(CONCATENATE($I$8,$G39),Ingredient_prices!$G:$N,8,FALSE),"")</f>
        <v>КомерцПродукт</v>
      </c>
      <c r="I39" s="548">
        <f t="shared" si="2"/>
        <v>3</v>
      </c>
      <c r="J39" s="695" t="str">
        <f>IF(N39="","",MID(Ingredient_prices!F34,9,2))</f>
        <v>2</v>
      </c>
      <c r="K39" s="692">
        <f t="shared" si="6"/>
        <v>12</v>
      </c>
      <c r="L39" s="692">
        <f>IF(N39="","",COUNTIF($P$9:$P$255,"&lt;"&amp;P39)+COUNTIF($P$9:P39,P39))</f>
        <v>17</v>
      </c>
      <c r="M39" s="692" t="str">
        <f>IF(Ingredient_prices!E34=M38,"",Ingredient_prices!E34)</f>
        <v>Yogurt 2.8% fat (less than 1 l)</v>
      </c>
      <c r="N39" s="693">
        <f>_xlfn.IFNA(VLOOKUP($M39,Sedmica_2_količina_sva_sastojak!$C:$E,3,FALSE),"")</f>
        <v>11.000000000000002</v>
      </c>
      <c r="O39" s="696">
        <f>IF(N39="","",COUNTIF($P$9:$P$255,"&lt;"&amp;P39)+COUNTIF($P$9:P39,P39))</f>
        <v>17</v>
      </c>
      <c r="P39" s="694">
        <f t="shared" si="7"/>
        <v>212</v>
      </c>
    </row>
    <row r="40" spans="1:16">
      <c r="A40" s="470">
        <v>32</v>
      </c>
      <c r="B40" s="451" t="str">
        <f t="shared" si="0"/>
        <v>Sugar granulated</v>
      </c>
      <c r="C40" s="462">
        <f t="shared" si="1"/>
        <v>2.4199000000000002</v>
      </c>
      <c r="D40" s="446">
        <f>IF(B40="Jaje kokošje, celo",IF(C40=INT(C40),C40,C40+1),IF(B40=""," ",_xlfn.IFNA(INT(C40*1000/(VLOOKUP($B40,Ingredient_prices!$E:$J,6,FALSE)))+1,"nije nabavljen")))</f>
        <v>1</v>
      </c>
      <c r="E40" s="446" t="str">
        <f>IF(C40="","",VLOOKUP($B40,Ingredient_prices!$E:$K,7,FALSE))</f>
        <v>ком</v>
      </c>
      <c r="F40" s="462">
        <f>IF(C40="","",_xlfn.IFNA((VLOOKUP($B40,Ingredient_prices!$E:$P,11,FALSE)*I40),""))</f>
        <v>10</v>
      </c>
      <c r="G40" s="450" t="str">
        <f>IF(C40="","",_xlfn.IFNA(MID(VLOOKUP($B40,Ingredient_prices!$E:$F,2,FALSE),9,2),""))</f>
        <v>2</v>
      </c>
      <c r="H40" s="447" t="str">
        <f>_xlfn.IFNA(VLOOKUP(CONCATENATE($I$8,$G40),Ingredient_prices!$G:$N,8,FALSE),"")</f>
        <v>КомерцПродукт</v>
      </c>
      <c r="I40" s="548">
        <f t="shared" si="2"/>
        <v>1</v>
      </c>
      <c r="J40" s="695" t="str">
        <f>IF(N40="","",MID(Ingredient_prices!F35,9,2))</f>
        <v/>
      </c>
      <c r="K40" s="692" t="str">
        <f t="shared" si="6"/>
        <v/>
      </c>
      <c r="L40" s="692" t="str">
        <f>IF(N40="","",COUNTIF($P$9:$P$255,"&lt;"&amp;P40)+COUNTIF($P$9:P40,P40))</f>
        <v/>
      </c>
      <c r="M40" s="692" t="str">
        <f>IF(Ingredient_prices!E35=M39,"",Ingredient_prices!E35)</f>
        <v>Yogurt 3.2% fat (at least 1 l)</v>
      </c>
      <c r="N40" s="693" t="str">
        <f>_xlfn.IFNA(VLOOKUP($M40,Sedmica_2_količina_sva_sastojak!$C:$E,3,FALSE),"")</f>
        <v/>
      </c>
      <c r="O40" s="696" t="str">
        <f>IF(N40="","",COUNTIF($P$9:$P$255,"&lt;"&amp;P40)+COUNTIF($P$9:P40,P40))</f>
        <v/>
      </c>
      <c r="P40" s="694" t="str">
        <f t="shared" si="7"/>
        <v/>
      </c>
    </row>
    <row r="41" spans="1:16">
      <c r="A41" s="470">
        <v>33</v>
      </c>
      <c r="B41" s="451" t="str">
        <f t="shared" si="0"/>
        <v>Cheese, hard 35% fat</v>
      </c>
      <c r="C41" s="462">
        <f t="shared" si="1"/>
        <v>2.1999</v>
      </c>
      <c r="D41" s="446">
        <f>IF(B41="Jaje kokošje, celo",IF(C41=INT(C41),C41,C41+1),IF(B41=""," ",_xlfn.IFNA(INT(C41*1000/(VLOOKUP($B41,Ingredient_prices!$E:$J,6,FALSE)))+1,"nije nabavljen")))</f>
        <v>3</v>
      </c>
      <c r="E41" s="446" t="str">
        <f>IF(C41="","",VLOOKUP($B41,Ingredient_prices!$E:$K,7,FALSE))</f>
        <v>кг</v>
      </c>
      <c r="F41" s="462">
        <f>IF(C41="","",_xlfn.IFNA((VLOOKUP($B41,Ingredient_prices!$E:$P,11,FALSE)*I41),""))</f>
        <v>60</v>
      </c>
      <c r="G41" s="450" t="str">
        <f>IF(C41="","",_xlfn.IFNA(MID(VLOOKUP($B41,Ingredient_prices!$E:$F,2,FALSE),9,2),""))</f>
        <v>2</v>
      </c>
      <c r="H41" s="447" t="str">
        <f>_xlfn.IFNA(VLOOKUP(CONCATENATE($I$8,$G41),Ingredient_prices!$G:$N,8,FALSE),"")</f>
        <v>КомерцПродукт</v>
      </c>
      <c r="I41" s="548">
        <f>IFERROR(IF(MOD(D41,1)&gt;0.5,1+D41-MOD(D41,1),D41-MOD(D41,1)),"")</f>
        <v>3</v>
      </c>
      <c r="J41" s="695" t="str">
        <f>IF(N41="","",MID(Ingredient_prices!F36,9,2))</f>
        <v/>
      </c>
      <c r="K41" s="692" t="str">
        <f t="shared" si="6"/>
        <v/>
      </c>
      <c r="L41" s="692" t="str">
        <f>IF(N41="","",COUNTIF($P$9:$P$255,"&lt;"&amp;P41)+COUNTIF($P$9:P41,P41))</f>
        <v/>
      </c>
      <c r="M41" s="692" t="str">
        <f>IF(Ingredient_prices!E36=M40,"",Ingredient_prices!E36)</f>
        <v>Fruit yogurt, low-fat</v>
      </c>
      <c r="N41" s="693" t="str">
        <f>_xlfn.IFNA(VLOOKUP($M41,Sedmica_2_količina_sva_sastojak!$C:$E,3,FALSE),"")</f>
        <v/>
      </c>
      <c r="O41" s="696" t="str">
        <f>IF(N41="","",COUNTIF($P$9:$P$255,"&lt;"&amp;P41)+COUNTIF($P$9:P41,P41))</f>
        <v/>
      </c>
      <c r="P41" s="694" t="str">
        <f t="shared" si="7"/>
        <v/>
      </c>
    </row>
    <row r="42" spans="1:16">
      <c r="A42" s="470">
        <v>34</v>
      </c>
      <c r="B42" s="451" t="str">
        <f t="shared" si="0"/>
        <v>Ham for pizza</v>
      </c>
      <c r="C42" s="462">
        <f t="shared" si="1"/>
        <v>2.1999</v>
      </c>
      <c r="D42" s="446">
        <f>IF(B42="Jaje kokošje, celo",IF(C42=INT(C42),C42,C42+1),IF(B42=""," ",_xlfn.IFNA(INT(C42*1000/(VLOOKUP($B42,Ingredient_prices!$E:$J,6,FALSE)))+1,"nije nabavljen")))</f>
        <v>3</v>
      </c>
      <c r="E42" s="446" t="str">
        <f>IF(C42="","",VLOOKUP($B42,Ingredient_prices!$E:$K,7,FALSE))</f>
        <v>кг</v>
      </c>
      <c r="F42" s="462">
        <f>IF(C42="","",_xlfn.IFNA((VLOOKUP($B42,Ingredient_prices!$E:$P,11,FALSE)*I42),""))</f>
        <v>60</v>
      </c>
      <c r="G42" s="450" t="str">
        <f>IF(C42="","",_xlfn.IFNA(MID(VLOOKUP($B42,Ingredient_prices!$E:$F,2,FALSE),9,2),""))</f>
        <v>2</v>
      </c>
      <c r="H42" s="447" t="str">
        <f>_xlfn.IFNA(VLOOKUP(CONCATENATE($I$8,$G42),Ingredient_prices!$G:$N,8,FALSE),"")</f>
        <v>КомерцПродукт</v>
      </c>
      <c r="I42" s="548">
        <f t="shared" ref="I42:I105" si="8">IFERROR(IF(MOD(D42,1)&gt;0.5,1+D42-MOD(D42,1),D42-MOD(D42,1)),"")</f>
        <v>3</v>
      </c>
      <c r="J42" s="695" t="str">
        <f>IF(N42="","",MID(Ingredient_prices!F37,9,2))</f>
        <v/>
      </c>
      <c r="K42" s="692" t="str">
        <f t="shared" si="6"/>
        <v/>
      </c>
      <c r="L42" s="692" t="str">
        <f>IF(N42="","",COUNTIF($P$9:$P$255,"&lt;"&amp;P42)+COUNTIF($P$9:P42,P42))</f>
        <v/>
      </c>
      <c r="M42" s="692" t="str">
        <f>IF(Ingredient_prices!E37=M41,"",Ingredient_prices!E37)</f>
        <v>Fruit yogurt</v>
      </c>
      <c r="N42" s="693" t="str">
        <f>_xlfn.IFNA(VLOOKUP($M42,Sedmica_2_količina_sva_sastojak!$C:$E,3,FALSE),"")</f>
        <v/>
      </c>
      <c r="O42" s="696" t="str">
        <f>IF(N42="","",COUNTIF($P$9:$P$255,"&lt;"&amp;P42)+COUNTIF($P$9:P42,P42))</f>
        <v/>
      </c>
      <c r="P42" s="694" t="str">
        <f t="shared" si="7"/>
        <v/>
      </c>
    </row>
    <row r="43" spans="1:16">
      <c r="A43" s="470">
        <v>35</v>
      </c>
      <c r="B43" s="451" t="str">
        <f t="shared" si="0"/>
        <v>Cauliflower</v>
      </c>
      <c r="C43" s="462">
        <f t="shared" si="1"/>
        <v>2.1999</v>
      </c>
      <c r="D43" s="446">
        <f>IF(B43="Jaje kokošje, celo",IF(C43=INT(C43),C43,C43+1),IF(B43=""," ",_xlfn.IFNA(INT(C43*1000/(VLOOKUP($B43,Ingredient_prices!$E:$J,6,FALSE)))+1,"nije nabavljen")))</f>
        <v>3</v>
      </c>
      <c r="E43" s="446" t="str">
        <f>IF(C43="","",VLOOKUP($B43,Ingredient_prices!$E:$K,7,FALSE))</f>
        <v>кг</v>
      </c>
      <c r="F43" s="462">
        <f>IF(C43="","",_xlfn.IFNA((VLOOKUP($B43,Ingredient_prices!$E:$P,11,FALSE)*I43),""))</f>
        <v>30</v>
      </c>
      <c r="G43" s="450" t="str">
        <f>IF(C43="","",_xlfn.IFNA(MID(VLOOKUP($B43,Ingredient_prices!$E:$F,2,FALSE),9,2),""))</f>
        <v>2</v>
      </c>
      <c r="H43" s="447" t="str">
        <f>_xlfn.IFNA(VLOOKUP(CONCATENATE($I$8,$G43),Ingredient_prices!$G:$N,8,FALSE),"")</f>
        <v>КомерцПродукт</v>
      </c>
      <c r="I43" s="548">
        <f t="shared" si="8"/>
        <v>3</v>
      </c>
      <c r="J43" s="695" t="str">
        <f>IF(N43="","",MID(Ingredient_prices!F38,9,2))</f>
        <v>2</v>
      </c>
      <c r="K43" s="692">
        <f t="shared" si="6"/>
        <v>12</v>
      </c>
      <c r="L43" s="692">
        <f>IF(N43="","",COUNTIF($P$9:$P$255,"&lt;"&amp;P43)+COUNTIF($P$9:P43,P43))</f>
        <v>18</v>
      </c>
      <c r="M43" s="692" t="str">
        <f>IF(Ingredient_prices!E38=M42,"",Ingredient_prices!E38)</f>
        <v>Chocolate milk 1% fat (at least 1 l)</v>
      </c>
      <c r="N43" s="693">
        <f>_xlfn.IFNA(VLOOKUP($M43,Sedmica_2_količina_sva_sastojak!$C:$E,3,FALSE),"")</f>
        <v>11.000000000000002</v>
      </c>
      <c r="O43" s="696">
        <f>IF(N43="","",COUNTIF($P$9:$P$255,"&lt;"&amp;P43)+COUNTIF($P$9:P43,P43))</f>
        <v>18</v>
      </c>
      <c r="P43" s="694">
        <f t="shared" si="7"/>
        <v>212</v>
      </c>
    </row>
    <row r="44" spans="1:16">
      <c r="A44" s="470">
        <v>36</v>
      </c>
      <c r="B44" s="451" t="str">
        <f t="shared" si="0"/>
        <v>Tomato puree</v>
      </c>
      <c r="C44" s="462">
        <f t="shared" si="1"/>
        <v>2.1999</v>
      </c>
      <c r="D44" s="446">
        <f>IF(B44="Jaje kokošje, celo",IF(C44=INT(C44),C44,C44+1),IF(B44=""," ",_xlfn.IFNA(INT(C44*1000/(VLOOKUP($B44,Ingredient_prices!$E:$J,6,FALSE)))+1,"nije nabavljen")))</f>
        <v>1</v>
      </c>
      <c r="E44" s="446" t="str">
        <f>IF(C44="","",VLOOKUP($B44,Ingredient_prices!$E:$K,7,FALSE))</f>
        <v>ком</v>
      </c>
      <c r="F44" s="462">
        <f>IF(C44="","",_xlfn.IFNA((VLOOKUP($B44,Ingredient_prices!$E:$P,11,FALSE)*I44),""))</f>
        <v>20</v>
      </c>
      <c r="G44" s="450" t="str">
        <f>IF(C44="","",_xlfn.IFNA(MID(VLOOKUP($B44,Ingredient_prices!$E:$F,2,FALSE),9,2),""))</f>
        <v>2</v>
      </c>
      <c r="H44" s="447" t="str">
        <f>_xlfn.IFNA(VLOOKUP(CONCATENATE($I$8,$G44),Ingredient_prices!$G:$N,8,FALSE),"")</f>
        <v>КомерцПродукт</v>
      </c>
      <c r="I44" s="548">
        <f t="shared" si="8"/>
        <v>1</v>
      </c>
      <c r="J44" s="695" t="str">
        <f>IF(N44="","",MID(Ingredient_prices!F39,9,2))</f>
        <v/>
      </c>
      <c r="K44" s="692" t="str">
        <f t="shared" si="6"/>
        <v/>
      </c>
      <c r="L44" s="692" t="str">
        <f>IF(N44="","",COUNTIF($P$9:$P$255,"&lt;"&amp;P44)+COUNTIF($P$9:P44,P44))</f>
        <v/>
      </c>
      <c r="M44" s="692" t="str">
        <f>IF(Ingredient_prices!E39=M43,"",Ingredient_prices!E39)</f>
        <v>Chocolate milk 1% fat (less than 1 l)</v>
      </c>
      <c r="N44" s="693" t="str">
        <f>_xlfn.IFNA(VLOOKUP($M44,Sedmica_2_količina_sva_sastojak!$C:$E,3,FALSE),"")</f>
        <v/>
      </c>
      <c r="O44" s="696" t="str">
        <f>IF(N44="","",COUNTIF($P$9:$P$255,"&lt;"&amp;P44)+COUNTIF($P$9:P44,P44))</f>
        <v/>
      </c>
      <c r="P44" s="694" t="str">
        <f t="shared" si="7"/>
        <v/>
      </c>
    </row>
    <row r="45" spans="1:16">
      <c r="A45" s="470">
        <v>37</v>
      </c>
      <c r="B45" s="451" t="str">
        <f t="shared" si="0"/>
        <v>Ketchup</v>
      </c>
      <c r="C45" s="462">
        <f t="shared" si="1"/>
        <v>2.1999</v>
      </c>
      <c r="D45" s="446">
        <f>IF(B45="Jaje kokošje, celo",IF(C45=INT(C45),C45,C45+1),IF(B45=""," ",_xlfn.IFNA(INT(C45*1000/(VLOOKUP($B45,Ingredient_prices!$E:$J,6,FALSE)))+1,"nije nabavljen")))</f>
        <v>3</v>
      </c>
      <c r="E45" s="446" t="str">
        <f>IF(C45="","",VLOOKUP($B45,Ingredient_prices!$E:$K,7,FALSE))</f>
        <v>ком</v>
      </c>
      <c r="F45" s="462">
        <f>IF(C45="","",_xlfn.IFNA((VLOOKUP($B45,Ingredient_prices!$E:$P,11,FALSE)*I45),""))</f>
        <v>60</v>
      </c>
      <c r="G45" s="450" t="str">
        <f>IF(C45="","",_xlfn.IFNA(MID(VLOOKUP($B45,Ingredient_prices!$E:$F,2,FALSE),9,2),""))</f>
        <v>2</v>
      </c>
      <c r="H45" s="447" t="str">
        <f>_xlfn.IFNA(VLOOKUP(CONCATENATE($I$8,$G45),Ingredient_prices!$G:$N,8,FALSE),"")</f>
        <v>КомерцПродукт</v>
      </c>
      <c r="I45" s="548">
        <f t="shared" si="8"/>
        <v>3</v>
      </c>
      <c r="J45" s="695" t="str">
        <f>IF(N45="","",MID(Ingredient_prices!F40,9,2))</f>
        <v>2</v>
      </c>
      <c r="K45" s="692">
        <f t="shared" si="6"/>
        <v>4</v>
      </c>
      <c r="L45" s="692">
        <f>IF(N45="","",COUNTIF($P$9:$P$255,"&lt;"&amp;P45)+COUNTIF($P$9:P45,P45))</f>
        <v>10</v>
      </c>
      <c r="M45" s="692" t="str">
        <f>IF(Ingredient_prices!E40=M44,"",Ingredient_prices!E40)</f>
        <v>Cow's milk 2.8% fat</v>
      </c>
      <c r="N45" s="693">
        <f>_xlfn.IFNA(VLOOKUP($M45,Sedmica_2_količina_sva_sastojak!$C:$E,3,FALSE),"")</f>
        <v>21.340000000000003</v>
      </c>
      <c r="O45" s="696">
        <f>IF(N45="","",COUNTIF($P$9:$P$255,"&lt;"&amp;P45)+COUNTIF($P$9:P45,P45))</f>
        <v>10</v>
      </c>
      <c r="P45" s="694">
        <f t="shared" si="7"/>
        <v>24</v>
      </c>
    </row>
    <row r="46" spans="1:16">
      <c r="A46" s="470">
        <v>38</v>
      </c>
      <c r="B46" s="451" t="str">
        <f t="shared" si="0"/>
        <v>Margarine from milk (less than 500g)</v>
      </c>
      <c r="C46" s="462">
        <f t="shared" si="1"/>
        <v>2.1999</v>
      </c>
      <c r="D46" s="446">
        <f>IF(B46="Jaje kokošje, celo",IF(C46=INT(C46),C46,C46+1),IF(B46=""," ",_xlfn.IFNA(INT(C46*1000/(VLOOKUP($B46,Ingredient_prices!$E:$J,6,FALSE)))+1,"nije nabavljen")))</f>
        <v>3</v>
      </c>
      <c r="E46" s="446" t="str">
        <f>IF(C46="","",VLOOKUP($B46,Ingredient_prices!$E:$K,7,FALSE))</f>
        <v>кг</v>
      </c>
      <c r="F46" s="462">
        <f>IF(C46="","",_xlfn.IFNA((VLOOKUP($B46,Ingredient_prices!$E:$P,11,FALSE)*I46),""))</f>
        <v>60</v>
      </c>
      <c r="G46" s="450" t="str">
        <f>IF(C46="","",_xlfn.IFNA(MID(VLOOKUP($B46,Ingredient_prices!$E:$F,2,FALSE),9,2),""))</f>
        <v>2</v>
      </c>
      <c r="H46" s="447" t="str">
        <f>_xlfn.IFNA(VLOOKUP(CONCATENATE($I$8,$G46),Ingredient_prices!$G:$N,8,FALSE),"")</f>
        <v>КомерцПродукт</v>
      </c>
      <c r="I46" s="548">
        <f t="shared" si="8"/>
        <v>3</v>
      </c>
      <c r="J46" s="695" t="str">
        <f>IF(N46="","",MID(Ingredient_prices!F41,9,2))</f>
        <v/>
      </c>
      <c r="K46" s="692" t="str">
        <f t="shared" si="6"/>
        <v/>
      </c>
      <c r="L46" s="692" t="str">
        <f>IF(N46="","",COUNTIF($P$9:$P$255,"&lt;"&amp;P46)+COUNTIF($P$9:P46,P46))</f>
        <v/>
      </c>
      <c r="M46" s="692" t="str">
        <f>IF(Ingredient_prices!E41=M45,"",Ingredient_prices!E41)</f>
        <v>Clotted cream</v>
      </c>
      <c r="N46" s="693" t="str">
        <f>_xlfn.IFNA(VLOOKUP($M46,Sedmica_2_količina_sva_sastojak!$C:$E,3,FALSE),"")</f>
        <v/>
      </c>
      <c r="O46" s="696" t="str">
        <f>IF(N46="","",COUNTIF($P$9:$P$255,"&lt;"&amp;P46)+COUNTIF($P$9:P46,P46))</f>
        <v/>
      </c>
      <c r="P46" s="694" t="str">
        <f t="shared" si="7"/>
        <v/>
      </c>
    </row>
    <row r="47" spans="1:16">
      <c r="A47" s="470">
        <v>39</v>
      </c>
      <c r="B47" s="451" t="str">
        <f t="shared" si="0"/>
        <v>Corn flour, whole</v>
      </c>
      <c r="C47" s="462">
        <f t="shared" si="1"/>
        <v>1.6498999999999999</v>
      </c>
      <c r="D47" s="446">
        <f>IF(B47="Jaje kokošje, celo",IF(C47=INT(C47),C47,C47+1),IF(B47=""," ",_xlfn.IFNA(INT(C47*1000/(VLOOKUP($B47,Ingredient_prices!$E:$J,6,FALSE)))+1,"nije nabavljen")))</f>
        <v>5</v>
      </c>
      <c r="E47" s="446" t="str">
        <f>IF(C47="","",VLOOKUP($B47,Ingredient_prices!$E:$K,7,FALSE))</f>
        <v>ком</v>
      </c>
      <c r="F47" s="462">
        <f>IF(C47="","",_xlfn.IFNA((VLOOKUP($B47,Ingredient_prices!$E:$P,11,FALSE)*I47),""))</f>
        <v>50</v>
      </c>
      <c r="G47" s="450" t="str">
        <f>IF(C47="","",_xlfn.IFNA(MID(VLOOKUP($B47,Ingredient_prices!$E:$F,2,FALSE),9,2),""))</f>
        <v>2</v>
      </c>
      <c r="H47" s="447" t="str">
        <f>_xlfn.IFNA(VLOOKUP(CONCATENATE($I$8,$G47),Ingredient_prices!$G:$N,8,FALSE),"")</f>
        <v>КомерцПродукт</v>
      </c>
      <c r="I47" s="548">
        <f t="shared" si="8"/>
        <v>5</v>
      </c>
      <c r="J47" s="695" t="str">
        <f>IF(N47="","",MID(Ingredient_prices!F42,9,2))</f>
        <v/>
      </c>
      <c r="K47" s="692" t="str">
        <f t="shared" si="6"/>
        <v/>
      </c>
      <c r="L47" s="692" t="str">
        <f>IF(N47="","",COUNTIF($P$9:$P$255,"&lt;"&amp;P47)+COUNTIF($P$9:P47,P47))</f>
        <v/>
      </c>
      <c r="M47" s="692" t="str">
        <f>IF(Ingredient_prices!E42=M46,"",Ingredient_prices!E42)</f>
        <v>Cream cheese spread</v>
      </c>
      <c r="N47" s="693" t="str">
        <f>_xlfn.IFNA(VLOOKUP($M47,Sedmica_2_količina_sva_sastojak!$C:$E,3,FALSE),"")</f>
        <v/>
      </c>
      <c r="O47" s="696" t="str">
        <f>IF(N47="","",COUNTIF($P$9:$P$255,"&lt;"&amp;P47)+COUNTIF($P$9:P47,P47))</f>
        <v/>
      </c>
      <c r="P47" s="694" t="str">
        <f t="shared" si="7"/>
        <v/>
      </c>
    </row>
    <row r="48" spans="1:16">
      <c r="A48" s="470">
        <v>40</v>
      </c>
      <c r="B48" s="451" t="str">
        <f t="shared" si="0"/>
        <v>Sweetcorn frozen</v>
      </c>
      <c r="C48" s="462">
        <f t="shared" si="1"/>
        <v>1.6498999999999999</v>
      </c>
      <c r="D48" s="446">
        <f>IF(B48="Jaje kokošje, celo",IF(C48=INT(C48),C48,C48+1),IF(B48=""," ",_xlfn.IFNA(INT(C48*1000/(VLOOKUP($B48,Ingredient_prices!$E:$J,6,FALSE)))+1,"nije nabavljen")))</f>
        <v>2</v>
      </c>
      <c r="E48" s="446" t="str">
        <f>IF(C48="","",VLOOKUP($B48,Ingredient_prices!$E:$K,7,FALSE))</f>
        <v>кг</v>
      </c>
      <c r="F48" s="462">
        <f>IF(C48="","",_xlfn.IFNA((VLOOKUP($B48,Ingredient_prices!$E:$P,11,FALSE)*I48),""))</f>
        <v>20</v>
      </c>
      <c r="G48" s="450" t="str">
        <f>IF(C48="","",_xlfn.IFNA(MID(VLOOKUP($B48,Ingredient_prices!$E:$F,2,FALSE),9,2),""))</f>
        <v>2</v>
      </c>
      <c r="H48" s="447" t="str">
        <f>_xlfn.IFNA(VLOOKUP(CONCATENATE($I$8,$G48),Ingredient_prices!$G:$N,8,FALSE),"")</f>
        <v>КомерцПродукт</v>
      </c>
      <c r="I48" s="548">
        <f t="shared" si="8"/>
        <v>2</v>
      </c>
      <c r="J48" s="695" t="str">
        <f>IF(N48="","",MID(Ingredient_prices!F43,9,2))</f>
        <v/>
      </c>
      <c r="K48" s="692" t="str">
        <f t="shared" si="6"/>
        <v/>
      </c>
      <c r="L48" s="692" t="str">
        <f>IF(N48="","",COUNTIF($P$9:$P$255,"&lt;"&amp;P48)+COUNTIF($P$9:P48,P48))</f>
        <v/>
      </c>
      <c r="M48" s="692" t="str">
        <f>IF(Ingredient_prices!E43=M47,"",Ingredient_prices!E43)</f>
        <v>Cheese spread 70% fat</v>
      </c>
      <c r="N48" s="693" t="str">
        <f>_xlfn.IFNA(VLOOKUP($M48,Sedmica_2_količina_sva_sastojak!$C:$E,3,FALSE),"")</f>
        <v/>
      </c>
      <c r="O48" s="696" t="str">
        <f>IF(N48="","",COUNTIF($P$9:$P$255,"&lt;"&amp;P48)+COUNTIF($P$9:P48,P48))</f>
        <v/>
      </c>
      <c r="P48" s="694" t="str">
        <f t="shared" si="7"/>
        <v/>
      </c>
    </row>
    <row r="49" spans="1:17">
      <c r="A49" s="470">
        <v>41</v>
      </c>
      <c r="B49" s="451" t="str">
        <f t="shared" si="0"/>
        <v>Vinegar</v>
      </c>
      <c r="C49" s="462">
        <f t="shared" si="1"/>
        <v>1.5399</v>
      </c>
      <c r="D49" s="446">
        <f>IF(B49="Jaje kokošje, celo",IF(C49=INT(C49),C49,C49+1),IF(B49=""," ",_xlfn.IFNA(INT(C49*1000/(VLOOKUP($B49,Ingredient_prices!$E:$J,6,FALSE)))+1,"nije nabavljen")))</f>
        <v>2</v>
      </c>
      <c r="E49" s="446" t="str">
        <f>IF(C49="","",VLOOKUP($B49,Ingredient_prices!$E:$K,7,FALSE))</f>
        <v>л</v>
      </c>
      <c r="F49" s="462">
        <f>IF(C49="","",_xlfn.IFNA((VLOOKUP($B49,Ingredient_prices!$E:$P,11,FALSE)*I49),""))</f>
        <v>40</v>
      </c>
      <c r="G49" s="450" t="str">
        <f>IF(C49="","",_xlfn.IFNA(MID(VLOOKUP($B49,Ingredient_prices!$E:$F,2,FALSE),9,2),""))</f>
        <v>2</v>
      </c>
      <c r="H49" s="447" t="str">
        <f>_xlfn.IFNA(VLOOKUP(CONCATENATE($I$8,$G49),Ingredient_prices!$G:$N,8,FALSE),"")</f>
        <v>КомерцПродукт</v>
      </c>
      <c r="I49" s="548">
        <f t="shared" si="8"/>
        <v>2</v>
      </c>
      <c r="J49" s="695" t="str">
        <f>IF(N49="","",MID(Ingredient_prices!F44,9,2))</f>
        <v/>
      </c>
      <c r="K49" s="692" t="str">
        <f t="shared" si="6"/>
        <v/>
      </c>
      <c r="L49" s="692" t="str">
        <f>IF(N49="","",COUNTIF($P$9:$P$255,"&lt;"&amp;P49)+COUNTIF($P$9:P49,P49))</f>
        <v/>
      </c>
      <c r="M49" s="692" t="str">
        <f>IF(Ingredient_prices!E44=M48,"",Ingredient_prices!E44)</f>
        <v>Mileram 22% fat</v>
      </c>
      <c r="N49" s="693" t="str">
        <f>_xlfn.IFNA(VLOOKUP($M49,Sedmica_2_količina_sva_sastojak!$C:$E,3,FALSE),"")</f>
        <v/>
      </c>
      <c r="O49" s="696" t="str">
        <f>IF(N49="","",COUNTIF($P$9:$P$255,"&lt;"&amp;P49)+COUNTIF($P$9:P49,P49))</f>
        <v/>
      </c>
      <c r="P49" s="694" t="str">
        <f t="shared" si="7"/>
        <v/>
      </c>
    </row>
    <row r="50" spans="1:17">
      <c r="A50" s="470">
        <v>42</v>
      </c>
      <c r="B50" s="451" t="str">
        <f t="shared" si="0"/>
        <v>Mixed vegetables for soup</v>
      </c>
      <c r="C50" s="462">
        <f t="shared" si="1"/>
        <v>1.3199000000000001</v>
      </c>
      <c r="D50" s="446">
        <f>IF(B50="Jaje kokošje, celo",IF(C50=INT(C50),C50,C50+1),IF(B50=""," ",_xlfn.IFNA(INT(C50*1000/(VLOOKUP($B50,Ingredient_prices!$E:$J,6,FALSE)))+1,"nije nabavljen")))</f>
        <v>2</v>
      </c>
      <c r="E50" s="446" t="str">
        <f>IF(C50="","",VLOOKUP($B50,Ingredient_prices!$E:$K,7,FALSE))</f>
        <v>кг</v>
      </c>
      <c r="F50" s="462">
        <f>IF(C50="","",_xlfn.IFNA((VLOOKUP($B50,Ingredient_prices!$E:$P,11,FALSE)*I50),""))</f>
        <v>20</v>
      </c>
      <c r="G50" s="450" t="str">
        <f>IF(C50="","",_xlfn.IFNA(MID(VLOOKUP($B50,Ingredient_prices!$E:$F,2,FALSE),9,2),""))</f>
        <v>2</v>
      </c>
      <c r="H50" s="447" t="str">
        <f>_xlfn.IFNA(VLOOKUP(CONCATENATE($I$8,$G50),Ingredient_prices!$G:$N,8,FALSE),"")</f>
        <v>КомерцПродукт</v>
      </c>
      <c r="I50" s="548">
        <f t="shared" si="8"/>
        <v>2</v>
      </c>
      <c r="J50" s="695" t="str">
        <f>IF(N50="","",MID(Ingredient_prices!F45,9,2))</f>
        <v>2</v>
      </c>
      <c r="K50" s="692">
        <f t="shared" si="6"/>
        <v>42</v>
      </c>
      <c r="L50" s="692">
        <f>IF(N50="","",COUNTIF($P$9:$P$255,"&lt;"&amp;P50)+COUNTIF($P$9:P50,P50))</f>
        <v>47</v>
      </c>
      <c r="M50" s="692" t="str">
        <f>IF(Ingredient_prices!E45=M49,"",Ingredient_prices!E45)</f>
        <v>Cheese, grated (at least 1 kg)</v>
      </c>
      <c r="N50" s="693">
        <f>_xlfn.IFNA(VLOOKUP($M50,Sedmica_2_količina_sva_sastojak!$C:$E,3,FALSE),"")</f>
        <v>0.66</v>
      </c>
      <c r="O50" s="696">
        <f>IF(N50="","",COUNTIF($P$9:$P$255,"&lt;"&amp;P50)+COUNTIF($P$9:P50,P50))</f>
        <v>47</v>
      </c>
      <c r="P50" s="694">
        <f t="shared" si="7"/>
        <v>242</v>
      </c>
    </row>
    <row r="51" spans="1:17">
      <c r="A51" s="470">
        <v>43</v>
      </c>
      <c r="B51" s="451" t="str">
        <f t="shared" si="0"/>
        <v>Rose hip jam</v>
      </c>
      <c r="C51" s="462">
        <f t="shared" si="1"/>
        <v>1.0999000000000001</v>
      </c>
      <c r="D51" s="446">
        <f>IF(B51="Jaje kokošje, celo",IF(C51=INT(C51),C51,C51+1),IF(B51=""," ",_xlfn.IFNA(INT(C51*1000/(VLOOKUP($B51,Ingredient_prices!$E:$J,6,FALSE)))+1,"nije nabavljen")))</f>
        <v>2</v>
      </c>
      <c r="E51" s="446" t="str">
        <f>IF(C51="","",VLOOKUP($B51,Ingredient_prices!$E:$K,7,FALSE))</f>
        <v>ком</v>
      </c>
      <c r="F51" s="462">
        <f>IF(C51="","",_xlfn.IFNA((VLOOKUP($B51,Ingredient_prices!$E:$P,11,FALSE)*I51),""))</f>
        <v>40</v>
      </c>
      <c r="G51" s="450" t="str">
        <f>IF(C51="","",_xlfn.IFNA(MID(VLOOKUP($B51,Ingredient_prices!$E:$F,2,FALSE),9,2),""))</f>
        <v>2</v>
      </c>
      <c r="H51" s="447" t="str">
        <f>_xlfn.IFNA(VLOOKUP(CONCATENATE($I$8,$G51),Ingredient_prices!$G:$N,8,FALSE),"")</f>
        <v>КомерцПродукт</v>
      </c>
      <c r="I51" s="548">
        <f t="shared" si="8"/>
        <v>2</v>
      </c>
      <c r="J51" s="695" t="str">
        <f>IF(N51="","",MID(Ingredient_prices!F46,9,2))</f>
        <v/>
      </c>
      <c r="K51" s="692" t="str">
        <f t="shared" si="6"/>
        <v/>
      </c>
      <c r="L51" s="692" t="str">
        <f>IF(N51="","",COUNTIF($P$9:$P$255,"&lt;"&amp;P51)+COUNTIF($P$9:P51,P51))</f>
        <v/>
      </c>
      <c r="M51" s="692" t="str">
        <f>IF(Ingredient_prices!E46=M50,"",Ingredient_prices!E46)</f>
        <v>Cheese, grated (less than 1 kg)</v>
      </c>
      <c r="N51" s="693" t="str">
        <f>_xlfn.IFNA(VLOOKUP($M51,Sedmica_2_količina_sva_sastojak!$C:$E,3,FALSE),"")</f>
        <v/>
      </c>
      <c r="O51" s="696" t="str">
        <f>IF(N51="","",COUNTIF($P$9:$P$255,"&lt;"&amp;P51)+COUNTIF($P$9:P51,P51))</f>
        <v/>
      </c>
      <c r="P51" s="694" t="str">
        <f t="shared" si="7"/>
        <v/>
      </c>
    </row>
    <row r="52" spans="1:17">
      <c r="A52" s="470">
        <v>44</v>
      </c>
      <c r="B52" s="451" t="str">
        <f t="shared" si="0"/>
        <v>Mayonnaise, plain</v>
      </c>
      <c r="C52" s="462">
        <f t="shared" si="1"/>
        <v>1.0999000000000001</v>
      </c>
      <c r="D52" s="446">
        <f>IF(B52="Jaje kokošje, celo",IF(C52=INT(C52),C52,C52+1),IF(B52=""," ",_xlfn.IFNA(INT(C52*1000/(VLOOKUP($B52,Ingredient_prices!$E:$J,6,FALSE)))+1,"nije nabavljen")))</f>
        <v>4</v>
      </c>
      <c r="E52" s="446" t="str">
        <f>IF(C52="","",VLOOKUP($B52,Ingredient_prices!$E:$K,7,FALSE))</f>
        <v>л</v>
      </c>
      <c r="F52" s="462">
        <f>IF(C52="","",_xlfn.IFNA((VLOOKUP($B52,Ingredient_prices!$E:$P,11,FALSE)*I52),""))</f>
        <v>80</v>
      </c>
      <c r="G52" s="450" t="str">
        <f>IF(C52="","",_xlfn.IFNA(MID(VLOOKUP($B52,Ingredient_prices!$E:$F,2,FALSE),9,2),""))</f>
        <v>2</v>
      </c>
      <c r="H52" s="447" t="str">
        <f>_xlfn.IFNA(VLOOKUP(CONCATENATE($I$8,$G52),Ingredient_prices!$G:$N,8,FALSE),"")</f>
        <v>КомерцПродукт</v>
      </c>
      <c r="I52" s="548">
        <f t="shared" si="8"/>
        <v>4</v>
      </c>
      <c r="J52" s="695" t="str">
        <f>IF(N52="","",MID(Ingredient_prices!F47,9,2))</f>
        <v/>
      </c>
      <c r="K52" s="692" t="str">
        <f t="shared" si="6"/>
        <v/>
      </c>
      <c r="L52" s="692" t="str">
        <f>IF(N52="","",COUNTIF($P$9:$P$255,"&lt;"&amp;P52)+COUNTIF($P$9:P52,P52))</f>
        <v/>
      </c>
      <c r="M52" s="692" t="str">
        <f>IF(Ingredient_prices!E47=M51,"",Ingredient_prices!E47)</f>
        <v>Cheese, processed, slices</v>
      </c>
      <c r="N52" s="693" t="str">
        <f>_xlfn.IFNA(VLOOKUP($M52,Sedmica_2_količina_sva_sastojak!$C:$E,3,FALSE),"")</f>
        <v/>
      </c>
      <c r="O52" s="696" t="str">
        <f>IF(N52="","",COUNTIF($P$9:$P$255,"&lt;"&amp;P52)+COUNTIF($P$9:P52,P52))</f>
        <v/>
      </c>
      <c r="P52" s="694" t="str">
        <f t="shared" si="7"/>
        <v/>
      </c>
    </row>
    <row r="53" spans="1:17">
      <c r="A53" s="470">
        <v>45</v>
      </c>
      <c r="B53" s="451" t="str">
        <f t="shared" si="0"/>
        <v>Lentils</v>
      </c>
      <c r="C53" s="462">
        <f t="shared" si="1"/>
        <v>1.0999000000000001</v>
      </c>
      <c r="D53" s="446">
        <f>IF(B53="Jaje kokošje, celo",IF(C53=INT(C53),C53,C53+1),IF(B53=""," ",_xlfn.IFNA(INT(C53*1000/(VLOOKUP($B53,Ingredient_prices!$E:$J,6,FALSE)))+1,"nije nabavljen")))</f>
        <v>2</v>
      </c>
      <c r="E53" s="446" t="str">
        <f>IF(C53="","",VLOOKUP($B53,Ingredient_prices!$E:$K,7,FALSE))</f>
        <v>кг</v>
      </c>
      <c r="F53" s="462">
        <f>IF(C53="","",_xlfn.IFNA((VLOOKUP($B53,Ingredient_prices!$E:$P,11,FALSE)*I53),""))</f>
        <v>40</v>
      </c>
      <c r="G53" s="450" t="str">
        <f>IF(C53="","",_xlfn.IFNA(MID(VLOOKUP($B53,Ingredient_prices!$E:$F,2,FALSE),9,2),""))</f>
        <v>2</v>
      </c>
      <c r="H53" s="447" t="str">
        <f>_xlfn.IFNA(VLOOKUP(CONCATENATE($I$8,$G53),Ingredient_prices!$G:$N,8,FALSE),"")</f>
        <v>КомерцПродукт</v>
      </c>
      <c r="I53" s="548">
        <f t="shared" si="8"/>
        <v>2</v>
      </c>
      <c r="J53" s="695" t="str">
        <f>IF(N53="","",MID(Ingredient_prices!F48,9,2))</f>
        <v/>
      </c>
      <c r="K53" s="692" t="str">
        <f t="shared" si="6"/>
        <v/>
      </c>
      <c r="L53" s="692" t="str">
        <f>IF(N53="","",COUNTIF($P$9:$P$255,"&lt;"&amp;P53)+COUNTIF($P$9:P53,P53))</f>
        <v/>
      </c>
      <c r="M53" s="692" t="str">
        <f>IF(Ingredient_prices!E48=M52,"",Ingredient_prices!E48)</f>
        <v>Cheese spread triangles 35% fat</v>
      </c>
      <c r="N53" s="693" t="str">
        <f>_xlfn.IFNA(VLOOKUP($M53,Sedmica_2_količina_sva_sastojak!$C:$E,3,FALSE),"")</f>
        <v/>
      </c>
      <c r="O53" s="696" t="str">
        <f>IF(N53="","",COUNTIF($P$9:$P$255,"&lt;"&amp;P53)+COUNTIF($P$9:P53,P53))</f>
        <v/>
      </c>
      <c r="P53" s="694" t="str">
        <f t="shared" si="7"/>
        <v/>
      </c>
    </row>
    <row r="54" spans="1:17">
      <c r="A54" s="470">
        <v>46</v>
      </c>
      <c r="B54" s="451" t="str">
        <f t="shared" si="0"/>
        <v>Parsnip and carrot</v>
      </c>
      <c r="C54" s="462">
        <f t="shared" si="1"/>
        <v>0.76990000000000014</v>
      </c>
      <c r="D54" s="446">
        <f>IF(B54="Jaje kokošje, celo",IF(C54=INT(C54),C54,C54+1),IF(B54=""," ",_xlfn.IFNA(INT(C54*1000/(VLOOKUP($B54,Ingredient_prices!$E:$J,6,FALSE)))+1,"nije nabavljen")))</f>
        <v>3</v>
      </c>
      <c r="E54" s="446" t="str">
        <f>IF(C54="","",VLOOKUP($B54,Ingredient_prices!$E:$K,7,FALSE))</f>
        <v>ком</v>
      </c>
      <c r="F54" s="462">
        <f>IF(C54="","",_xlfn.IFNA((VLOOKUP($B54,Ingredient_prices!$E:$P,11,FALSE)*I54),""))</f>
        <v>30</v>
      </c>
      <c r="G54" s="450" t="str">
        <f>IF(C54="","",_xlfn.IFNA(MID(VLOOKUP($B54,Ingredient_prices!$E:$F,2,FALSE),9,2),""))</f>
        <v>2</v>
      </c>
      <c r="H54" s="447" t="str">
        <f>_xlfn.IFNA(VLOOKUP(CONCATENATE($I$8,$G54),Ingredient_prices!$G:$N,8,FALSE),"")</f>
        <v>КомерцПродукт</v>
      </c>
      <c r="I54" s="548">
        <f t="shared" si="8"/>
        <v>3</v>
      </c>
      <c r="J54" s="695" t="str">
        <f>IF(N54="","",MID(Ingredient_prices!F49,9,2))</f>
        <v/>
      </c>
      <c r="K54" s="692" t="str">
        <f t="shared" si="6"/>
        <v/>
      </c>
      <c r="L54" s="692" t="str">
        <f>IF(N54="","",COUNTIF($P$9:$P$255,"&lt;"&amp;P54)+COUNTIF($P$9:P54,P54))</f>
        <v/>
      </c>
      <c r="M54" s="692" t="str">
        <f>IF(Ingredient_prices!E49=M53,"",Ingredient_prices!E49)</f>
        <v>Cheese, feta, soft (in brine)</v>
      </c>
      <c r="N54" s="693" t="str">
        <f>_xlfn.IFNA(VLOOKUP($M54,Sedmica_2_količina_sva_sastojak!$C:$E,3,FALSE),"")</f>
        <v/>
      </c>
      <c r="O54" s="696" t="str">
        <f>IF(N54="","",COUNTIF($P$9:$P$255,"&lt;"&amp;P54)+COUNTIF($P$9:P54,P54))</f>
        <v/>
      </c>
      <c r="P54" s="694" t="str">
        <f t="shared" si="7"/>
        <v/>
      </c>
    </row>
    <row r="55" spans="1:17" s="445" customFormat="1">
      <c r="A55" s="470">
        <v>47</v>
      </c>
      <c r="B55" s="451" t="str">
        <f t="shared" si="0"/>
        <v>Cheese, grated (at least 1 kg)</v>
      </c>
      <c r="C55" s="462">
        <f t="shared" si="1"/>
        <v>0.65990000000000004</v>
      </c>
      <c r="D55" s="446">
        <f>IF(B55="Jaje kokošje, celo",IF(C55=INT(C55),C55,C55+1),IF(B55=""," ",_xlfn.IFNA(INT(C55*1000/(VLOOKUP($B55,Ingredient_prices!$E:$J,6,FALSE)))+1,"nije nabavljen")))</f>
        <v>1</v>
      </c>
      <c r="E55" s="446" t="str">
        <f>IF(C55="","",VLOOKUP($B55,Ingredient_prices!$E:$K,7,FALSE))</f>
        <v>ком</v>
      </c>
      <c r="F55" s="462">
        <f>IF(C55="","",_xlfn.IFNA((VLOOKUP($B55,Ingredient_prices!$E:$P,11,FALSE)*I55),""))</f>
        <v>20</v>
      </c>
      <c r="G55" s="450" t="str">
        <f>IF(C55="","",_xlfn.IFNA(MID(VLOOKUP($B55,Ingredient_prices!$E:$F,2,FALSE),9,2),""))</f>
        <v>2</v>
      </c>
      <c r="H55" s="447" t="str">
        <f>_xlfn.IFNA(VLOOKUP(CONCATENATE($I$8,$G55),Ingredient_prices!$G:$N,8,FALSE),"")</f>
        <v>КомерцПродукт</v>
      </c>
      <c r="I55" s="548">
        <f t="shared" si="8"/>
        <v>1</v>
      </c>
      <c r="J55" s="695" t="str">
        <f>IF(N55="","",MID(Ingredient_prices!F50,9,2))</f>
        <v/>
      </c>
      <c r="K55" s="692" t="str">
        <f t="shared" si="6"/>
        <v/>
      </c>
      <c r="L55" s="692" t="str">
        <f>IF(N55="","",COUNTIF($P$9:$P$255,"&lt;"&amp;P55)+COUNTIF($P$9:P55,P55))</f>
        <v/>
      </c>
      <c r="M55" s="692" t="str">
        <f>IF(Ingredient_prices!E50=M54,"",Ingredient_prices!E50)</f>
        <v>Sour cream, 20% fat</v>
      </c>
      <c r="N55" s="693" t="str">
        <f>_xlfn.IFNA(VLOOKUP($M55,Sedmica_2_količina_sva_sastojak!$C:$E,3,FALSE),"")</f>
        <v/>
      </c>
      <c r="O55" s="696" t="str">
        <f>IF(N55="","",COUNTIF($P$9:$P$255,"&lt;"&amp;P55)+COUNTIF($P$9:P55,P55))</f>
        <v/>
      </c>
      <c r="P55" s="694" t="str">
        <f t="shared" si="7"/>
        <v/>
      </c>
      <c r="Q55" s="692"/>
    </row>
    <row r="56" spans="1:17">
      <c r="A56" s="470">
        <v>48</v>
      </c>
      <c r="B56" s="451" t="str">
        <f t="shared" si="0"/>
        <v>Yeast (fresh)</v>
      </c>
      <c r="C56" s="462">
        <f t="shared" si="1"/>
        <v>0.25289999999999996</v>
      </c>
      <c r="D56" s="446">
        <f>IF(B56="Jaje kokošje, celo",IF(C56=INT(C56),C56,C56+1),IF(B56=""," ",_xlfn.IFNA(INT(C56*1000/(VLOOKUP($B56,Ingredient_prices!$E:$J,6,FALSE)))+1,"nije nabavljen")))</f>
        <v>6</v>
      </c>
      <c r="E56" s="446" t="str">
        <f>IF(C56="","",VLOOKUP($B56,Ingredient_prices!$E:$K,7,FALSE))</f>
        <v>ком</v>
      </c>
      <c r="F56" s="462">
        <f>IF(C56="","",_xlfn.IFNA((VLOOKUP($B56,Ingredient_prices!$E:$P,11,FALSE)*I56),""))</f>
        <v>120</v>
      </c>
      <c r="G56" s="450" t="str">
        <f>IF(C56="","",_xlfn.IFNA(MID(VLOOKUP($B56,Ingredient_prices!$E:$F,2,FALSE),9,2),""))</f>
        <v>2</v>
      </c>
      <c r="H56" s="447" t="str">
        <f>_xlfn.IFNA(VLOOKUP(CONCATENATE($I$8,$G56),Ingredient_prices!$G:$N,8,FALSE),"")</f>
        <v>КомерцПродукт</v>
      </c>
      <c r="I56" s="548">
        <f t="shared" si="8"/>
        <v>6</v>
      </c>
      <c r="J56" s="695" t="str">
        <f>IF(N56="","",MID(Ingredient_prices!F51,9,2))</f>
        <v>2</v>
      </c>
      <c r="K56" s="692">
        <f t="shared" si="6"/>
        <v>28</v>
      </c>
      <c r="L56" s="692">
        <f>IF(N56="","",COUNTIF($P$9:$P$255,"&lt;"&amp;P56)+COUNTIF($P$9:P56,P56))</f>
        <v>33</v>
      </c>
      <c r="M56" s="692" t="str">
        <f>IF(Ingredient_prices!E51=M55,"",Ingredient_prices!E51)</f>
        <v>Cheese, hard 35% fat</v>
      </c>
      <c r="N56" s="693">
        <f>_xlfn.IFNA(VLOOKUP($M56,Sedmica_2_količina_sva_sastojak!$C:$E,3,FALSE),"")</f>
        <v>2.2000000000000002</v>
      </c>
      <c r="O56" s="696">
        <f>IF(N56="","",COUNTIF($P$9:$P$255,"&lt;"&amp;P56)+COUNTIF($P$9:P56,P56))</f>
        <v>33</v>
      </c>
      <c r="P56" s="694">
        <f t="shared" si="7"/>
        <v>228</v>
      </c>
    </row>
    <row r="57" spans="1:17">
      <c r="A57" s="470">
        <v>49</v>
      </c>
      <c r="B57" s="451" t="str">
        <f t="shared" si="0"/>
        <v>Icing sugar</v>
      </c>
      <c r="C57" s="462">
        <f t="shared" si="1"/>
        <v>0.17590000000000003</v>
      </c>
      <c r="D57" s="446">
        <f>IF(B57="Jaje kokošje, celo",IF(C57=INT(C57),C57,C57+1),IF(B57=""," ",_xlfn.IFNA(INT(C57*1000/(VLOOKUP($B57,Ingredient_prices!$E:$J,6,FALSE)))+1,"nije nabavljen")))</f>
        <v>1</v>
      </c>
      <c r="E57" s="446" t="str">
        <f>IF(C57="","",VLOOKUP($B57,Ingredient_prices!$E:$K,7,FALSE))</f>
        <v>ком</v>
      </c>
      <c r="F57" s="462">
        <f>IF(C57="","",_xlfn.IFNA((VLOOKUP($B57,Ingredient_prices!$E:$P,11,FALSE)*I57),""))</f>
        <v>10</v>
      </c>
      <c r="G57" s="450" t="str">
        <f>IF(C57="","",_xlfn.IFNA(MID(VLOOKUP($B57,Ingredient_prices!$E:$F,2,FALSE),9,2),""))</f>
        <v>2</v>
      </c>
      <c r="H57" s="447" t="str">
        <f>_xlfn.IFNA(VLOOKUP(CONCATENATE($I$8,$G57),Ingredient_prices!$G:$N,8,FALSE),"")</f>
        <v>КомерцПродукт</v>
      </c>
      <c r="I57" s="548">
        <f t="shared" si="8"/>
        <v>1</v>
      </c>
      <c r="J57" s="695" t="str">
        <f>IF(N57="","",MID(Ingredient_prices!F52,9,2))</f>
        <v>2</v>
      </c>
      <c r="K57" s="692">
        <f t="shared" si="6"/>
        <v>23</v>
      </c>
      <c r="L57" s="692">
        <f>IF(N57="","",COUNTIF($P$9:$P$255,"&lt;"&amp;P57)+COUNTIF($P$9:P57,P57))</f>
        <v>28</v>
      </c>
      <c r="M57" s="692" t="str">
        <f>IF(Ingredient_prices!E52=M56,"",Ingredient_prices!E52)</f>
        <v>Fresh cheese</v>
      </c>
      <c r="N57" s="693">
        <f>_xlfn.IFNA(VLOOKUP($M57,Sedmica_2_količina_sva_sastojak!$C:$E,3,FALSE),"")</f>
        <v>2.7500000000000004</v>
      </c>
      <c r="O57" s="696">
        <f>IF(N57="","",COUNTIF($P$9:$P$255,"&lt;"&amp;P57)+COUNTIF($P$9:P57,P57))</f>
        <v>28</v>
      </c>
      <c r="P57" s="694">
        <f t="shared" si="7"/>
        <v>223</v>
      </c>
    </row>
    <row r="58" spans="1:17">
      <c r="A58" s="470">
        <v>50</v>
      </c>
      <c r="B58" s="451" t="str">
        <f t="shared" si="0"/>
        <v>Salt</v>
      </c>
      <c r="C58" s="462">
        <f t="shared" si="1"/>
        <v>0.17480000000000001</v>
      </c>
      <c r="D58" s="446">
        <f>IF(B58="Jaje kokošje, celo",IF(C58=INT(C58),C58,C58+1),IF(B58=""," ",_xlfn.IFNA(INT(C58*1000/(VLOOKUP($B58,Ingredient_prices!$E:$J,6,FALSE)))+1,"nije nabavljen")))</f>
        <v>1</v>
      </c>
      <c r="E58" s="446" t="str">
        <f>IF(C58="","",VLOOKUP($B58,Ingredient_prices!$E:$K,7,FALSE))</f>
        <v>ком</v>
      </c>
      <c r="F58" s="462">
        <f>IF(C58="","",_xlfn.IFNA((VLOOKUP($B58,Ingredient_prices!$E:$P,11,FALSE)*I58),""))</f>
        <v>20</v>
      </c>
      <c r="G58" s="450" t="str">
        <f>IF(C58="","",_xlfn.IFNA(MID(VLOOKUP($B58,Ingredient_prices!$E:$F,2,FALSE),9,2),""))</f>
        <v>2</v>
      </c>
      <c r="H58" s="447" t="str">
        <f>_xlfn.IFNA(VLOOKUP(CONCATENATE($I$8,$G58),Ingredient_prices!$G:$N,8,FALSE),"")</f>
        <v>КомерцПродукт</v>
      </c>
      <c r="I58" s="548">
        <f t="shared" si="8"/>
        <v>1</v>
      </c>
      <c r="J58" s="695" t="str">
        <f>IF(N58="","",MID(Ingredient_prices!F53,9,2))</f>
        <v/>
      </c>
      <c r="K58" s="692" t="str">
        <f t="shared" si="6"/>
        <v/>
      </c>
      <c r="L58" s="692" t="str">
        <f>IF(N58="","",COUNTIF($P$9:$P$255,"&lt;"&amp;P58)+COUNTIF($P$9:P58,P58))</f>
        <v/>
      </c>
      <c r="M58" s="692" t="str">
        <f>IF(Ingredient_prices!E53=M57,"",Ingredient_prices!E53)</f>
        <v>Butter, unsalted</v>
      </c>
      <c r="N58" s="693" t="str">
        <f>_xlfn.IFNA(VLOOKUP($M58,Sedmica_2_količina_sva_sastojak!$C:$E,3,FALSE),"")</f>
        <v/>
      </c>
      <c r="O58" s="696" t="str">
        <f>IF(N58="","",COUNTIF($P$9:$P$255,"&lt;"&amp;P58)+COUNTIF($P$9:P58,P58))</f>
        <v/>
      </c>
      <c r="P58" s="694" t="str">
        <f t="shared" si="7"/>
        <v/>
      </c>
    </row>
    <row r="59" spans="1:17">
      <c r="A59" s="470">
        <v>51</v>
      </c>
      <c r="B59" s="451" t="str">
        <f t="shared" si="0"/>
        <v>Spice C</v>
      </c>
      <c r="C59" s="462">
        <f t="shared" si="1"/>
        <v>6.59E-2</v>
      </c>
      <c r="D59" s="446">
        <f>IF(B59="Jaje kokošje, celo",IF(C59=INT(C59),C59,C59+1),IF(B59=""," ",_xlfn.IFNA(INT(C59*1000/(VLOOKUP($B59,Ingredient_prices!$E:$J,6,FALSE)))+1,"nije nabavljen")))</f>
        <v>1</v>
      </c>
      <c r="E59" s="446" t="str">
        <f>IF(C59="","",VLOOKUP($B59,Ingredient_prices!$E:$K,7,FALSE))</f>
        <v>ком</v>
      </c>
      <c r="F59" s="462">
        <f>IF(C59="","",_xlfn.IFNA((VLOOKUP($B59,Ingredient_prices!$E:$P,11,FALSE)*I59),""))</f>
        <v>20</v>
      </c>
      <c r="G59" s="450" t="str">
        <f>IF(C59="","",_xlfn.IFNA(MID(VLOOKUP($B59,Ingredient_prices!$E:$F,2,FALSE),9,2),""))</f>
        <v>2</v>
      </c>
      <c r="H59" s="447" t="str">
        <f>_xlfn.IFNA(VLOOKUP(CONCATENATE($I$8,$G59),Ingredient_prices!$G:$N,8,FALSE),"")</f>
        <v>КомерцПродукт</v>
      </c>
      <c r="I59" s="548">
        <f t="shared" si="8"/>
        <v>1</v>
      </c>
      <c r="J59" s="695" t="str">
        <f>IF(N59="","",MID(Ingredient_prices!F54,9,2))</f>
        <v/>
      </c>
      <c r="K59" s="692" t="str">
        <f t="shared" si="6"/>
        <v/>
      </c>
      <c r="L59" s="692" t="str">
        <f>IF(N59="","",COUNTIF($P$9:$P$255,"&lt;"&amp;P59)+COUNTIF($P$9:P59,P59))</f>
        <v/>
      </c>
      <c r="M59" s="692" t="str">
        <f>IF(Ingredient_prices!E54=M58,"",Ingredient_prices!E54)</f>
        <v>Chicken drumstick with skin</v>
      </c>
      <c r="N59" s="693" t="str">
        <f>_xlfn.IFNA(VLOOKUP($M59,Sedmica_2_količina_sva_sastojak!$C:$E,3,FALSE),"")</f>
        <v/>
      </c>
      <c r="O59" s="696" t="str">
        <f>IF(N59="","",COUNTIF($P$9:$P$255,"&lt;"&amp;P59)+COUNTIF($P$9:P59,P59))</f>
        <v/>
      </c>
      <c r="P59" s="694" t="str">
        <f t="shared" si="7"/>
        <v/>
      </c>
    </row>
    <row r="60" spans="1:17">
      <c r="A60" s="470">
        <v>52</v>
      </c>
      <c r="B60" s="451" t="str">
        <f t="shared" si="0"/>
        <v>Garlic</v>
      </c>
      <c r="C60" s="462">
        <f t="shared" si="1"/>
        <v>5.4900000000000004E-2</v>
      </c>
      <c r="D60" s="446">
        <f>IF(B60="Jaje kokošje, celo",IF(C60=INT(C60),C60,C60+1),IF(B60=""," ",_xlfn.IFNA(INT(C60*1000/(VLOOKUP($B60,Ingredient_prices!$E:$J,6,FALSE)))+1,"nije nabavljen")))</f>
        <v>1</v>
      </c>
      <c r="E60" s="446" t="str">
        <f>IF(C60="","",VLOOKUP($B60,Ingredient_prices!$E:$K,7,FALSE))</f>
        <v>кг</v>
      </c>
      <c r="F60" s="462">
        <f>IF(C60="","",_xlfn.IFNA((VLOOKUP($B60,Ingredient_prices!$E:$P,11,FALSE)*I60),""))</f>
        <v>10</v>
      </c>
      <c r="G60" s="450" t="str">
        <f>IF(C60="","",_xlfn.IFNA(MID(VLOOKUP($B60,Ingredient_prices!$E:$F,2,FALSE),9,2),""))</f>
        <v>2</v>
      </c>
      <c r="H60" s="447" t="str">
        <f>_xlfn.IFNA(VLOOKUP(CONCATENATE($I$8,$G60),Ingredient_prices!$G:$N,8,FALSE),"")</f>
        <v>КомерцПродукт</v>
      </c>
      <c r="I60" s="548">
        <f t="shared" si="8"/>
        <v>1</v>
      </c>
      <c r="J60" s="695" t="str">
        <f>IF(N60="","",MID(Ingredient_prices!F55,9,2))</f>
        <v/>
      </c>
      <c r="K60" s="692" t="str">
        <f t="shared" si="6"/>
        <v/>
      </c>
      <c r="L60" s="692" t="str">
        <f>IF(N60="","",COUNTIF($P$9:$P$255,"&lt;"&amp;P60)+COUNTIF($P$9:P60,P60))</f>
        <v/>
      </c>
      <c r="M60" s="692" t="str">
        <f>IF(Ingredient_prices!E55=M59,"",Ingredient_prices!E55)</f>
        <v>Chicken (whole), average</v>
      </c>
      <c r="N60" s="693" t="str">
        <f>_xlfn.IFNA(VLOOKUP($M60,Sedmica_2_količina_sva_sastojak!$C:$E,3,FALSE),"")</f>
        <v/>
      </c>
      <c r="O60" s="696" t="str">
        <f>IF(N60="","",COUNTIF($P$9:$P$255,"&lt;"&amp;P60)+COUNTIF($P$9:P60,P60))</f>
        <v/>
      </c>
      <c r="P60" s="694" t="str">
        <f t="shared" si="7"/>
        <v/>
      </c>
    </row>
    <row r="61" spans="1:17">
      <c r="A61" s="470">
        <v>53</v>
      </c>
      <c r="B61" s="451" t="str">
        <f t="shared" si="0"/>
        <v>Baking powder</v>
      </c>
      <c r="C61" s="462">
        <f t="shared" si="1"/>
        <v>3.6200000000000003E-2</v>
      </c>
      <c r="D61" s="446">
        <f>IF(B61="Jaje kokošje, celo",IF(C61=INT(C61),C61,C61+1),IF(B61=""," ",_xlfn.IFNA(INT(C61*1000/(VLOOKUP($B61,Ingredient_prices!$E:$J,6,FALSE)))+1,"nije nabavljen")))</f>
        <v>4</v>
      </c>
      <c r="E61" s="446" t="str">
        <f>IF(C61="","",VLOOKUP($B61,Ingredient_prices!$E:$K,7,FALSE))</f>
        <v>ком</v>
      </c>
      <c r="F61" s="462">
        <f>IF(C61="","",_xlfn.IFNA((VLOOKUP($B61,Ingredient_prices!$E:$P,11,FALSE)*I61),""))</f>
        <v>80</v>
      </c>
      <c r="G61" s="450" t="str">
        <f>IF(C61="","",_xlfn.IFNA(MID(VLOOKUP($B61,Ingredient_prices!$E:$F,2,FALSE),9,2),""))</f>
        <v>2</v>
      </c>
      <c r="H61" s="447" t="str">
        <f>_xlfn.IFNA(VLOOKUP(CONCATENATE($I$8,$G61),Ingredient_prices!$G:$N,8,FALSE),"")</f>
        <v>КомерцПродукт</v>
      </c>
      <c r="I61" s="548">
        <f t="shared" si="8"/>
        <v>4</v>
      </c>
      <c r="J61" s="695" t="str">
        <f>IF(N61="","",MID(Ingredient_prices!F56,9,2))</f>
        <v>2</v>
      </c>
      <c r="K61" s="692">
        <f t="shared" si="6"/>
        <v>18</v>
      </c>
      <c r="L61" s="692">
        <f>IF(N61="","",COUNTIF($P$9:$P$255,"&lt;"&amp;P61)+COUNTIF($P$9:P61,P61))</f>
        <v>24</v>
      </c>
      <c r="M61" s="692" t="str">
        <f>IF(Ingredient_prices!E56=M60,"",Ingredient_prices!E56)</f>
        <v>Chicken breast</v>
      </c>
      <c r="N61" s="693">
        <f>_xlfn.IFNA(VLOOKUP($M61,Sedmica_2_količina_sva_sastojak!$C:$E,3,FALSE),"")</f>
        <v>5.5000000000000009</v>
      </c>
      <c r="O61" s="696">
        <f>IF(N61="","",COUNTIF($P$9:$P$255,"&lt;"&amp;P61)+COUNTIF($P$9:P61,P61))</f>
        <v>24</v>
      </c>
      <c r="P61" s="694">
        <f t="shared" si="7"/>
        <v>218</v>
      </c>
    </row>
    <row r="62" spans="1:17">
      <c r="A62" s="470">
        <v>54</v>
      </c>
      <c r="B62" s="451" t="str">
        <f t="shared" si="0"/>
        <v/>
      </c>
      <c r="C62" s="462" t="str">
        <f t="shared" si="1"/>
        <v/>
      </c>
      <c r="D62" s="446" t="str">
        <f>IF(B62="Jaje kokošje, celo",IF(C62=INT(C62),C62,C62+1),IF(B62=""," ",_xlfn.IFNA(INT(C62*1000/(VLOOKUP($B62,Ingredient_prices!$E:$J,6,FALSE)))+1,"nije nabavljen")))</f>
        <v xml:space="preserve"> </v>
      </c>
      <c r="E62" s="446" t="str">
        <f>IF(C62="","",VLOOKUP($B62,Ingredient_prices!$E:$K,7,FALSE))</f>
        <v/>
      </c>
      <c r="F62" s="462" t="str">
        <f>IF(C62="","",_xlfn.IFNA((VLOOKUP($B62,Ingredient_prices!$E:$P,11,FALSE)*I62),""))</f>
        <v/>
      </c>
      <c r="G62" s="450" t="str">
        <f>IF(C62="","",_xlfn.IFNA(MID(VLOOKUP($B62,Ingredient_prices!$E:$F,2,FALSE),9,2),""))</f>
        <v/>
      </c>
      <c r="H62" s="447" t="str">
        <f>_xlfn.IFNA(VLOOKUP(CONCATENATE($I$8,$G62),Ingredient_prices!$G:$N,8,FALSE),"")</f>
        <v/>
      </c>
      <c r="I62" s="548" t="str">
        <f t="shared" si="8"/>
        <v/>
      </c>
      <c r="J62" s="695" t="str">
        <f>IF(N62="","",MID(Ingredient_prices!F57,9,2))</f>
        <v/>
      </c>
      <c r="K62" s="692" t="str">
        <f t="shared" si="6"/>
        <v/>
      </c>
      <c r="L62" s="692" t="str">
        <f>IF(N62="","",COUNTIF($P$9:$P$255,"&lt;"&amp;P62)+COUNTIF($P$9:P62,P62))</f>
        <v/>
      </c>
      <c r="M62" s="692" t="str">
        <f>IF(Ingredient_prices!E57=M61,"",Ingredient_prices!E57)</f>
        <v>Turkey breast</v>
      </c>
      <c r="N62" s="693" t="str">
        <f>_xlfn.IFNA(VLOOKUP($M62,Sedmica_2_količina_sva_sastojak!$C:$E,3,FALSE),"")</f>
        <v/>
      </c>
      <c r="O62" s="696" t="str">
        <f>IF(N62="","",COUNTIF($P$9:$P$255,"&lt;"&amp;P62)+COUNTIF($P$9:P62,P62))</f>
        <v/>
      </c>
      <c r="P62" s="694" t="str">
        <f t="shared" si="7"/>
        <v/>
      </c>
    </row>
    <row r="63" spans="1:17">
      <c r="A63" s="470">
        <v>55</v>
      </c>
      <c r="B63" s="451" t="str">
        <f t="shared" si="0"/>
        <v/>
      </c>
      <c r="C63" s="462" t="str">
        <f t="shared" si="1"/>
        <v/>
      </c>
      <c r="D63" s="446" t="str">
        <f>IF(B63="Jaje kokošje, celo",IF(C63=INT(C63),C63,C63+1),IF(B63=""," ",_xlfn.IFNA(INT(C63*1000/(VLOOKUP($B63,Ingredient_prices!$E:$J,6,FALSE)))+1,"nije nabavljen")))</f>
        <v xml:space="preserve"> </v>
      </c>
      <c r="E63" s="446" t="str">
        <f>IF(C63="","",VLOOKUP($B63,Ingredient_prices!$E:$K,7,FALSE))</f>
        <v/>
      </c>
      <c r="F63" s="462" t="str">
        <f>IF(C63="","",_xlfn.IFNA((VLOOKUP($B63,Ingredient_prices!$E:$P,11,FALSE)*I63),""))</f>
        <v/>
      </c>
      <c r="G63" s="450" t="str">
        <f>IF(C63="","",_xlfn.IFNA(MID(VLOOKUP($B63,Ingredient_prices!$E:$F,2,FALSE),9,2),""))</f>
        <v/>
      </c>
      <c r="H63" s="447" t="str">
        <f>_xlfn.IFNA(VLOOKUP(CONCATENATE($I$8,$G63),Ingredient_prices!$G:$N,8,FALSE),"")</f>
        <v/>
      </c>
      <c r="I63" s="548" t="str">
        <f t="shared" si="8"/>
        <v/>
      </c>
      <c r="J63" s="695" t="str">
        <f>IF(N63="","",MID(Ingredient_prices!F58,9,2))</f>
        <v/>
      </c>
      <c r="K63" s="692" t="str">
        <f t="shared" si="6"/>
        <v/>
      </c>
      <c r="L63" s="692" t="str">
        <f>IF(N63="","",COUNTIF($P$9:$P$255,"&lt;"&amp;P63)+COUNTIF($P$9:P63,P63))</f>
        <v/>
      </c>
      <c r="M63" s="692" t="str">
        <f>IF(Ingredient_prices!E58=M62,"",Ingredient_prices!E58)</f>
        <v>Beef minced</v>
      </c>
      <c r="N63" s="693" t="str">
        <f>_xlfn.IFNA(VLOOKUP($M63,Sedmica_2_količina_sva_sastojak!$C:$E,3,FALSE),"")</f>
        <v/>
      </c>
      <c r="O63" s="696" t="str">
        <f>IF(N63="","",COUNTIF($P$9:$P$255,"&lt;"&amp;P63)+COUNTIF($P$9:P63,P63))</f>
        <v/>
      </c>
      <c r="P63" s="694" t="str">
        <f t="shared" si="7"/>
        <v/>
      </c>
    </row>
    <row r="64" spans="1:17">
      <c r="A64" s="470">
        <v>56</v>
      </c>
      <c r="B64" s="451" t="str">
        <f t="shared" si="0"/>
        <v/>
      </c>
      <c r="C64" s="462" t="str">
        <f t="shared" si="1"/>
        <v/>
      </c>
      <c r="D64" s="446" t="str">
        <f>IF(B64="Jaje kokošje, celo",IF(C64=INT(C64),C64,C64+1),IF(B64=""," ",_xlfn.IFNA(INT(C64*1000/(VLOOKUP($B64,Ingredient_prices!$E:$J,6,FALSE)))+1,"nije nabavljen")))</f>
        <v xml:space="preserve"> </v>
      </c>
      <c r="E64" s="446" t="str">
        <f>IF(C64="","",VLOOKUP($B64,Ingredient_prices!$E:$K,7,FALSE))</f>
        <v/>
      </c>
      <c r="F64" s="462" t="str">
        <f>IF(C64="","",_xlfn.IFNA((VLOOKUP($B64,Ingredient_prices!$E:$P,11,FALSE)*I64),""))</f>
        <v/>
      </c>
      <c r="G64" s="450" t="str">
        <f>IF(C64="","",_xlfn.IFNA(MID(VLOOKUP($B64,Ingredient_prices!$E:$F,2,FALSE),9,2),""))</f>
        <v/>
      </c>
      <c r="H64" s="447" t="str">
        <f>_xlfn.IFNA(VLOOKUP(CONCATENATE($I$8,$G64),Ingredient_prices!$G:$N,8,FALSE),"")</f>
        <v/>
      </c>
      <c r="I64" s="548" t="str">
        <f t="shared" si="8"/>
        <v/>
      </c>
      <c r="J64" s="695" t="str">
        <f>IF(N64="","",MID(Ingredient_prices!F59,9,2))</f>
        <v/>
      </c>
      <c r="K64" s="692" t="str">
        <f t="shared" si="6"/>
        <v/>
      </c>
      <c r="L64" s="692" t="str">
        <f>IF(N64="","",COUNTIF($P$9:$P$255,"&lt;"&amp;P64)+COUNTIF($P$9:P64,P64))</f>
        <v/>
      </c>
      <c r="M64" s="692" t="str">
        <f>IF(Ingredient_prices!E59=M63,"",Ingredient_prices!E59)</f>
        <v>Beef rump/silverside</v>
      </c>
      <c r="N64" s="693" t="str">
        <f>_xlfn.IFNA(VLOOKUP($M64,Sedmica_2_količina_sva_sastojak!$C:$E,3,FALSE),"")</f>
        <v/>
      </c>
      <c r="O64" s="696" t="str">
        <f>IF(N64="","",COUNTIF($P$9:$P$255,"&lt;"&amp;P64)+COUNTIF($P$9:P64,P64))</f>
        <v/>
      </c>
      <c r="P64" s="694" t="str">
        <f t="shared" si="7"/>
        <v/>
      </c>
    </row>
    <row r="65" spans="1:17">
      <c r="A65" s="470">
        <v>57</v>
      </c>
      <c r="B65" s="451" t="str">
        <f t="shared" si="0"/>
        <v/>
      </c>
      <c r="C65" s="462" t="str">
        <f t="shared" si="1"/>
        <v/>
      </c>
      <c r="D65" s="446" t="str">
        <f>IF(B65="Jaje kokošje, celo",IF(C65=INT(C65),C65,C65+1),IF(B65=""," ",_xlfn.IFNA(INT(C65*1000/(VLOOKUP($B65,Ingredient_prices!$E:$J,6,FALSE)))+1,"nije nabavljen")))</f>
        <v xml:space="preserve"> </v>
      </c>
      <c r="E65" s="446" t="str">
        <f>IF(C65="","",VLOOKUP($B65,Ingredient_prices!$E:$K,7,FALSE))</f>
        <v/>
      </c>
      <c r="F65" s="462" t="str">
        <f>IF(C65="","",_xlfn.IFNA((VLOOKUP($B65,Ingredient_prices!$E:$P,11,FALSE)*I65),""))</f>
        <v/>
      </c>
      <c r="G65" s="450" t="str">
        <f>IF(C65="","",_xlfn.IFNA(MID(VLOOKUP($B65,Ingredient_prices!$E:$F,2,FALSE),9,2),""))</f>
        <v/>
      </c>
      <c r="H65" s="447" t="str">
        <f>_xlfn.IFNA(VLOOKUP(CONCATENATE($I$8,$G65),Ingredient_prices!$G:$N,8,FALSE),"")</f>
        <v/>
      </c>
      <c r="I65" s="548" t="str">
        <f t="shared" si="8"/>
        <v/>
      </c>
      <c r="J65" s="695" t="str">
        <f>IF(N65="","",MID(Ingredient_prices!F60,9,2))</f>
        <v/>
      </c>
      <c r="K65" s="692" t="str">
        <f t="shared" si="6"/>
        <v/>
      </c>
      <c r="L65" s="692" t="str">
        <f>IF(N65="","",COUNTIF($P$9:$P$255,"&lt;"&amp;P65)+COUNTIF($P$9:P65,P65))</f>
        <v/>
      </c>
      <c r="M65" s="692" t="str">
        <f>IF(Ingredient_prices!E60=M64,"",Ingredient_prices!E60)</f>
        <v>Pork leg (steak)</v>
      </c>
      <c r="N65" s="693" t="str">
        <f>_xlfn.IFNA(VLOOKUP($M65,Sedmica_2_količina_sva_sastojak!$C:$E,3,FALSE),"")</f>
        <v/>
      </c>
      <c r="O65" s="696" t="str">
        <f>IF(N65="","",COUNTIF($P$9:$P$255,"&lt;"&amp;P65)+COUNTIF($P$9:P65,P65))</f>
        <v/>
      </c>
      <c r="P65" s="694" t="str">
        <f t="shared" si="7"/>
        <v/>
      </c>
    </row>
    <row r="66" spans="1:17">
      <c r="A66" s="470">
        <v>58</v>
      </c>
      <c r="B66" s="451" t="str">
        <f t="shared" si="0"/>
        <v/>
      </c>
      <c r="C66" s="462" t="str">
        <f t="shared" si="1"/>
        <v/>
      </c>
      <c r="D66" s="446" t="str">
        <f>IF(B66="Jaje kokošje, celo",IF(C66=INT(C66),C66,C66+1),IF(B66=""," ",_xlfn.IFNA(INT(C66*1000/(VLOOKUP($B66,Ingredient_prices!$E:$J,6,FALSE)))+1,"nije nabavljen")))</f>
        <v xml:space="preserve"> </v>
      </c>
      <c r="E66" s="446" t="str">
        <f>IF(C66="","",VLOOKUP($B66,Ingredient_prices!$E:$K,7,FALSE))</f>
        <v/>
      </c>
      <c r="F66" s="462" t="str">
        <f>IF(C66="","",_xlfn.IFNA((VLOOKUP($B66,Ingredient_prices!$E:$P,11,FALSE)*I66),""))</f>
        <v/>
      </c>
      <c r="G66" s="450" t="str">
        <f>IF(C66="","",_xlfn.IFNA(MID(VLOOKUP($B66,Ingredient_prices!$E:$F,2,FALSE),9,2),""))</f>
        <v/>
      </c>
      <c r="H66" s="447" t="str">
        <f>_xlfn.IFNA(VLOOKUP(CONCATENATE($I$8,$G66),Ingredient_prices!$G:$N,8,FALSE),"")</f>
        <v/>
      </c>
      <c r="I66" s="548" t="str">
        <f t="shared" si="8"/>
        <v/>
      </c>
      <c r="J66" s="695" t="str">
        <f>IF(N66="","",MID(Ingredient_prices!F61,9,2))</f>
        <v/>
      </c>
      <c r="K66" s="692" t="str">
        <f t="shared" si="6"/>
        <v/>
      </c>
      <c r="L66" s="692" t="str">
        <f>IF(N66="","",COUNTIF($P$9:$P$255,"&lt;"&amp;P66)+COUNTIF($P$9:P66,P66))</f>
        <v/>
      </c>
      <c r="M66" s="692" t="str">
        <f>IF(Ingredient_prices!E61=M65,"",Ingredient_prices!E61)</f>
        <v>Pork ribs dry (smoked)</v>
      </c>
      <c r="N66" s="693" t="str">
        <f>_xlfn.IFNA(VLOOKUP($M66,Sedmica_2_količina_sva_sastojak!$C:$E,3,FALSE),"")</f>
        <v/>
      </c>
      <c r="O66" s="696" t="str">
        <f>IF(N66="","",COUNTIF($P$9:$P$255,"&lt;"&amp;P66)+COUNTIF($P$9:P66,P66))</f>
        <v/>
      </c>
      <c r="P66" s="694" t="str">
        <f t="shared" si="7"/>
        <v/>
      </c>
    </row>
    <row r="67" spans="1:17">
      <c r="A67" s="470">
        <v>59</v>
      </c>
      <c r="B67" s="451" t="str">
        <f t="shared" si="0"/>
        <v/>
      </c>
      <c r="C67" s="462" t="str">
        <f t="shared" si="1"/>
        <v/>
      </c>
      <c r="D67" s="446" t="str">
        <f>IF(B67="Jaje kokošje, celo",IF(C67=INT(C67),C67,C67+1),IF(B67=""," ",_xlfn.IFNA(INT(C67*1000/(VLOOKUP($B67,Ingredient_prices!$E:$J,6,FALSE)))+1,"nije nabavljen")))</f>
        <v xml:space="preserve"> </v>
      </c>
      <c r="E67" s="446" t="str">
        <f>IF(C67="","",VLOOKUP($B67,Ingredient_prices!$E:$K,7,FALSE))</f>
        <v/>
      </c>
      <c r="F67" s="462" t="str">
        <f>IF(C67="","",_xlfn.IFNA((VLOOKUP($B67,Ingredient_prices!$E:$P,11,FALSE)*I67),""))</f>
        <v/>
      </c>
      <c r="G67" s="450" t="str">
        <f>IF(C67="","",_xlfn.IFNA(MID(VLOOKUP($B67,Ingredient_prices!$E:$F,2,FALSE),9,2),""))</f>
        <v/>
      </c>
      <c r="H67" s="447" t="str">
        <f>_xlfn.IFNA(VLOOKUP(CONCATENATE($I$8,$G67),Ingredient_prices!$G:$N,8,FALSE),"")</f>
        <v/>
      </c>
      <c r="I67" s="548" t="str">
        <f t="shared" si="8"/>
        <v/>
      </c>
      <c r="J67" s="695" t="str">
        <f>IF(N67="","",MID(Ingredient_prices!F62,9,2))</f>
        <v/>
      </c>
      <c r="K67" s="692" t="str">
        <f t="shared" si="6"/>
        <v/>
      </c>
      <c r="L67" s="692" t="str">
        <f>IF(N67="","",COUNTIF($P$9:$P$255,"&lt;"&amp;P67)+COUNTIF($P$9:P67,P67))</f>
        <v/>
      </c>
      <c r="M67" s="692" t="str">
        <f>IF(Ingredient_prices!E62=M66,"",Ingredient_prices!E62)</f>
        <v>Bacon (hambushka)</v>
      </c>
      <c r="N67" s="693" t="str">
        <f>_xlfn.IFNA(VLOOKUP($M67,Sedmica_2_količina_sva_sastojak!$C:$E,3,FALSE),"")</f>
        <v/>
      </c>
      <c r="O67" s="696" t="str">
        <f>IF(N67="","",COUNTIF($P$9:$P$255,"&lt;"&amp;P67)+COUNTIF($P$9:P67,P67))</f>
        <v/>
      </c>
      <c r="P67" s="694" t="str">
        <f t="shared" si="7"/>
        <v/>
      </c>
    </row>
    <row r="68" spans="1:17" s="445" customFormat="1">
      <c r="A68" s="470">
        <v>60</v>
      </c>
      <c r="B68" s="451" t="str">
        <f t="shared" si="0"/>
        <v/>
      </c>
      <c r="C68" s="462" t="str">
        <f t="shared" si="1"/>
        <v/>
      </c>
      <c r="D68" s="446" t="str">
        <f>IF(B68="Jaje kokošje, celo",IF(C68=INT(C68),C68,C68+1),IF(B68=""," ",_xlfn.IFNA(INT(C68*1000/(VLOOKUP($B68,Ingredient_prices!$E:$J,6,FALSE)))+1,"nije nabavljen")))</f>
        <v xml:space="preserve"> </v>
      </c>
      <c r="E68" s="446" t="str">
        <f>IF(C68="","",VLOOKUP($B68,Ingredient_prices!$E:$K,7,FALSE))</f>
        <v/>
      </c>
      <c r="F68" s="462" t="str">
        <f>IF(C68="","",_xlfn.IFNA((VLOOKUP($B68,Ingredient_prices!$E:$P,11,FALSE)*I68),""))</f>
        <v/>
      </c>
      <c r="G68" s="450" t="str">
        <f>IF(C68="","",_xlfn.IFNA(MID(VLOOKUP($B68,Ingredient_prices!$E:$F,2,FALSE),9,2),""))</f>
        <v/>
      </c>
      <c r="H68" s="447" t="str">
        <f>_xlfn.IFNA(VLOOKUP(CONCATENATE($I$8,$G68),Ingredient_prices!$G:$N,8,FALSE),"")</f>
        <v/>
      </c>
      <c r="I68" s="548" t="str">
        <f t="shared" si="8"/>
        <v/>
      </c>
      <c r="J68" s="695" t="str">
        <f>IF(N68="","",MID(Ingredient_prices!F63,9,2))</f>
        <v>2</v>
      </c>
      <c r="K68" s="692">
        <f t="shared" si="6"/>
        <v>22</v>
      </c>
      <c r="L68" s="692">
        <f>IF(N68="","",COUNTIF($P$9:$P$255,"&lt;"&amp;P68)+COUNTIF($P$9:P68,P68))</f>
        <v>27</v>
      </c>
      <c r="M68" s="692" t="str">
        <f>IF(Ingredient_prices!E63=M67,"",Ingredient_prices!E63)</f>
        <v>Pork neck, dried meat</v>
      </c>
      <c r="N68" s="693">
        <f>_xlfn.IFNA(VLOOKUP($M68,Sedmica_2_količina_sva_sastojak!$C:$E,3,FALSE),"")</f>
        <v>3.3</v>
      </c>
      <c r="O68" s="696">
        <f>IF(N68="","",COUNTIF($P$9:$P$255,"&lt;"&amp;P68)+COUNTIF($P$9:P68,P68))</f>
        <v>27</v>
      </c>
      <c r="P68" s="694">
        <f t="shared" si="7"/>
        <v>222</v>
      </c>
      <c r="Q68" s="692"/>
    </row>
    <row r="69" spans="1:17">
      <c r="A69" s="470">
        <v>61</v>
      </c>
      <c r="B69" s="451" t="str">
        <f t="shared" si="0"/>
        <v/>
      </c>
      <c r="C69" s="462" t="str">
        <f t="shared" si="1"/>
        <v/>
      </c>
      <c r="D69" s="446" t="str">
        <f>IF(B69="Jaje kokošje, celo",IF(C69=INT(C69),C69,C69+1),IF(B69=""," ",_xlfn.IFNA(INT(C69*1000/(VLOOKUP($B69,Ingredient_prices!$E:$J,6,FALSE)))+1,"nije nabavljen")))</f>
        <v xml:space="preserve"> </v>
      </c>
      <c r="E69" s="446" t="str">
        <f>IF(C69="","",VLOOKUP($B69,Ingredient_prices!$E:$K,7,FALSE))</f>
        <v/>
      </c>
      <c r="F69" s="462" t="str">
        <f>IF(C69="","",_xlfn.IFNA((VLOOKUP($B69,Ingredient_prices!$E:$P,11,FALSE)*I69),""))</f>
        <v/>
      </c>
      <c r="G69" s="450" t="str">
        <f>IF(C69="","",_xlfn.IFNA(MID(VLOOKUP($B69,Ingredient_prices!$E:$F,2,FALSE),9,2),""))</f>
        <v/>
      </c>
      <c r="H69" s="447" t="str">
        <f>_xlfn.IFNA(VLOOKUP(CONCATENATE($I$8,$G69),Ingredient_prices!$G:$N,8,FALSE),"")</f>
        <v/>
      </c>
      <c r="I69" s="548" t="str">
        <f t="shared" si="8"/>
        <v/>
      </c>
      <c r="J69" s="695" t="str">
        <f>IF(N69="","",MID(Ingredient_prices!F64,9,2))</f>
        <v/>
      </c>
      <c r="K69" s="692" t="str">
        <f t="shared" si="6"/>
        <v/>
      </c>
      <c r="L69" s="692" t="str">
        <f>IF(N69="","",COUNTIF($P$9:$P$255,"&lt;"&amp;P69)+COUNTIF($P$9:P69,P69))</f>
        <v/>
      </c>
      <c r="M69" s="692" t="str">
        <f>IF(Ingredient_prices!E64=M68,"",Ingredient_prices!E64)</f>
        <v>Ham smoked, dried</v>
      </c>
      <c r="N69" s="693" t="str">
        <f>_xlfn.IFNA(VLOOKUP($M69,Sedmica_2_količina_sva_sastojak!$C:$E,3,FALSE),"")</f>
        <v/>
      </c>
      <c r="O69" s="696" t="str">
        <f>IF(N69="","",COUNTIF($P$9:$P$255,"&lt;"&amp;P69)+COUNTIF($P$9:P69,P69))</f>
        <v/>
      </c>
      <c r="P69" s="694" t="str">
        <f t="shared" si="7"/>
        <v/>
      </c>
    </row>
    <row r="70" spans="1:17">
      <c r="A70" s="470">
        <v>62</v>
      </c>
      <c r="B70" s="451" t="str">
        <f t="shared" si="0"/>
        <v/>
      </c>
      <c r="C70" s="462" t="str">
        <f t="shared" si="1"/>
        <v/>
      </c>
      <c r="D70" s="446" t="str">
        <f>IF(B70="Jaje kokošje, celo",IF(C70=INT(C70),C70,C70+1),IF(B70=""," ",_xlfn.IFNA(INT(C70*1000/(VLOOKUP($B70,Ingredient_prices!$E:$J,6,FALSE)))+1,"nije nabavljen")))</f>
        <v xml:space="preserve"> </v>
      </c>
      <c r="E70" s="446" t="str">
        <f>IF(C70="","",VLOOKUP($B70,Ingredient_prices!$E:$K,7,FALSE))</f>
        <v/>
      </c>
      <c r="F70" s="462" t="str">
        <f>IF(C70="","",_xlfn.IFNA((VLOOKUP($B70,Ingredient_prices!$E:$P,11,FALSE)*I70),""))</f>
        <v/>
      </c>
      <c r="G70" s="450" t="str">
        <f>IF(C70="","",_xlfn.IFNA(MID(VLOOKUP($B70,Ingredient_prices!$E:$F,2,FALSE),9,2),""))</f>
        <v/>
      </c>
      <c r="H70" s="447" t="str">
        <f>_xlfn.IFNA(VLOOKUP(CONCATENATE($I$8,$G70),Ingredient_prices!$G:$N,8,FALSE),"")</f>
        <v/>
      </c>
      <c r="I70" s="548" t="str">
        <f t="shared" si="8"/>
        <v/>
      </c>
      <c r="J70" s="695" t="str">
        <f>IF(N70="","",MID(Ingredient_prices!F65,9,2))</f>
        <v/>
      </c>
      <c r="K70" s="692" t="str">
        <f t="shared" si="6"/>
        <v/>
      </c>
      <c r="L70" s="692" t="str">
        <f>IF(N70="","",COUNTIF($P$9:$P$255,"&lt;"&amp;P70)+COUNTIF($P$9:P70,P70))</f>
        <v/>
      </c>
      <c r="M70" s="692" t="str">
        <f>IF(Ingredient_prices!E65=M69,"",Ingredient_prices!E65)</f>
        <v>Hot dog sausage (chicken)</v>
      </c>
      <c r="N70" s="693" t="str">
        <f>_xlfn.IFNA(VLOOKUP($M70,Sedmica_2_količina_sva_sastojak!$C:$E,3,FALSE),"")</f>
        <v/>
      </c>
      <c r="O70" s="696" t="str">
        <f>IF(N70="","",COUNTIF($P$9:$P$255,"&lt;"&amp;P70)+COUNTIF($P$9:P70,P70))</f>
        <v/>
      </c>
      <c r="P70" s="694" t="str">
        <f t="shared" si="7"/>
        <v/>
      </c>
    </row>
    <row r="71" spans="1:17">
      <c r="A71" s="470">
        <v>63</v>
      </c>
      <c r="B71" s="451" t="str">
        <f t="shared" si="0"/>
        <v/>
      </c>
      <c r="C71" s="462" t="str">
        <f t="shared" si="1"/>
        <v/>
      </c>
      <c r="D71" s="446" t="str">
        <f>IF(B71="Jaje kokošje, celo",IF(C71=INT(C71),C71,C71+1),IF(B71=""," ",_xlfn.IFNA(INT(C71*1000/(VLOOKUP($B71,Ingredient_prices!$E:$J,6,FALSE)))+1,"nije nabavljen")))</f>
        <v xml:space="preserve"> </v>
      </c>
      <c r="E71" s="446" t="str">
        <f>IF(C71="","",VLOOKUP($B71,Ingredient_prices!$E:$K,7,FALSE))</f>
        <v/>
      </c>
      <c r="F71" s="462" t="str">
        <f>IF(C71="","",_xlfn.IFNA((VLOOKUP($B71,Ingredient_prices!$E:$P,11,FALSE)*I71),""))</f>
        <v/>
      </c>
      <c r="G71" s="450" t="str">
        <f>IF(C71="","",_xlfn.IFNA(MID(VLOOKUP($B71,Ingredient_prices!$E:$F,2,FALSE),9,2),""))</f>
        <v/>
      </c>
      <c r="H71" s="447" t="str">
        <f>_xlfn.IFNA(VLOOKUP(CONCATENATE($I$8,$G71),Ingredient_prices!$G:$N,8,FALSE),"")</f>
        <v/>
      </c>
      <c r="I71" s="548" t="str">
        <f t="shared" si="8"/>
        <v/>
      </c>
      <c r="J71" s="695" t="str">
        <f>IF(N71="","",MID(Ingredient_prices!F66,9,2))</f>
        <v/>
      </c>
      <c r="K71" s="692" t="str">
        <f t="shared" si="6"/>
        <v/>
      </c>
      <c r="L71" s="692" t="str">
        <f>IF(N71="","",COUNTIF($P$9:$P$255,"&lt;"&amp;P71)+COUNTIF($P$9:P71,P71))</f>
        <v/>
      </c>
      <c r="M71" s="692" t="str">
        <f>IF(Ingredient_prices!E66=M70,"",Ingredient_prices!E66)</f>
        <v>Herbal sausage</v>
      </c>
      <c r="N71" s="693" t="str">
        <f>_xlfn.IFNA(VLOOKUP($M71,Sedmica_2_količina_sva_sastojak!$C:$E,3,FALSE),"")</f>
        <v/>
      </c>
      <c r="O71" s="696" t="str">
        <f>IF(N71="","",COUNTIF($P$9:$P$255,"&lt;"&amp;P71)+COUNTIF($P$9:P71,P71))</f>
        <v/>
      </c>
      <c r="P71" s="694" t="str">
        <f t="shared" si="7"/>
        <v/>
      </c>
    </row>
    <row r="72" spans="1:17">
      <c r="A72" s="470">
        <v>64</v>
      </c>
      <c r="B72" s="451" t="str">
        <f t="shared" si="0"/>
        <v/>
      </c>
      <c r="C72" s="462" t="str">
        <f t="shared" si="1"/>
        <v/>
      </c>
      <c r="D72" s="446" t="str">
        <f>IF(B72="Jaje kokošje, celo",IF(C72=INT(C72),C72,C72+1),IF(B72=""," ",_xlfn.IFNA(INT(C72*1000/(VLOOKUP($B72,Ingredient_prices!$E:$J,6,FALSE)))+1,"nije nabavljen")))</f>
        <v xml:space="preserve"> </v>
      </c>
      <c r="E72" s="446" t="str">
        <f>IF(C72="","",VLOOKUP($B72,Ingredient_prices!$E:$K,7,FALSE))</f>
        <v/>
      </c>
      <c r="F72" s="462" t="str">
        <f>IF(C72="","",_xlfn.IFNA((VLOOKUP($B72,Ingredient_prices!$E:$P,11,FALSE)*I72),""))</f>
        <v/>
      </c>
      <c r="G72" s="450" t="str">
        <f>IF(C72="","",_xlfn.IFNA(MID(VLOOKUP($B72,Ingredient_prices!$E:$F,2,FALSE),9,2),""))</f>
        <v/>
      </c>
      <c r="H72" s="447" t="str">
        <f>_xlfn.IFNA(VLOOKUP(CONCATENATE($I$8,$G72),Ingredient_prices!$G:$N,8,FALSE),"")</f>
        <v/>
      </c>
      <c r="I72" s="548" t="str">
        <f t="shared" si="8"/>
        <v/>
      </c>
      <c r="J72" s="695" t="str">
        <f>IF(N72="","",MID(Ingredient_prices!F67,9,2))</f>
        <v/>
      </c>
      <c r="K72" s="692" t="str">
        <f t="shared" si="6"/>
        <v/>
      </c>
      <c r="L72" s="692" t="str">
        <f>IF(N72="","",COUNTIF($P$9:$P$255,"&lt;"&amp;P72)+COUNTIF($P$9:P72,P72))</f>
        <v/>
      </c>
      <c r="M72" s="692" t="str">
        <f>IF(Ingredient_prices!E67=M71,"",Ingredient_prices!E67)</f>
        <v>Sausage kulen</v>
      </c>
      <c r="N72" s="693" t="str">
        <f>_xlfn.IFNA(VLOOKUP($M72,Sedmica_2_količina_sva_sastojak!$C:$E,3,FALSE),"")</f>
        <v/>
      </c>
      <c r="O72" s="696" t="str">
        <f>IF(N72="","",COUNTIF($P$9:$P$255,"&lt;"&amp;P72)+COUNTIF($P$9:P72,P72))</f>
        <v/>
      </c>
      <c r="P72" s="694" t="str">
        <f t="shared" si="7"/>
        <v/>
      </c>
    </row>
    <row r="73" spans="1:17">
      <c r="A73" s="470">
        <v>65</v>
      </c>
      <c r="B73" s="451" t="str">
        <f t="shared" ref="B73:B136" si="9">_xlfn.IFNA(VLOOKUP($A73,$L:$N,2,FALSE),"")</f>
        <v/>
      </c>
      <c r="C73" s="462" t="str">
        <f t="shared" ref="C73:C136" si="10">_xlfn.IFNA(VLOOKUP($A73,$L:$N,3,FALSE)-0.0001,"")</f>
        <v/>
      </c>
      <c r="D73" s="446" t="str">
        <f>IF(B73="Jaje kokošje, celo",IF(C73=INT(C73),C73,C73+1),IF(B73=""," ",_xlfn.IFNA(INT(C73*1000/(VLOOKUP($B73,Ingredient_prices!$E:$J,6,FALSE)))+1,"nije nabavljen")))</f>
        <v xml:space="preserve"> </v>
      </c>
      <c r="E73" s="446" t="str">
        <f>IF(C73="","",VLOOKUP($B73,Ingredient_prices!$E:$K,7,FALSE))</f>
        <v/>
      </c>
      <c r="F73" s="462" t="str">
        <f>IF(C73="","",_xlfn.IFNA((VLOOKUP($B73,Ingredient_prices!$E:$P,11,FALSE)*I73),""))</f>
        <v/>
      </c>
      <c r="G73" s="450" t="str">
        <f>IF(C73="","",_xlfn.IFNA(MID(VLOOKUP($B73,Ingredient_prices!$E:$F,2,FALSE),9,2),""))</f>
        <v/>
      </c>
      <c r="H73" s="447" t="str">
        <f>_xlfn.IFNA(VLOOKUP(CONCATENATE($I$8,$G73),Ingredient_prices!$G:$N,8,FALSE),"")</f>
        <v/>
      </c>
      <c r="I73" s="548" t="str">
        <f t="shared" si="8"/>
        <v/>
      </c>
      <c r="J73" s="695" t="str">
        <f>IF(N73="","",MID(Ingredient_prices!F68,9,2))</f>
        <v>2</v>
      </c>
      <c r="K73" s="692">
        <f t="shared" si="6"/>
        <v>28</v>
      </c>
      <c r="L73" s="692">
        <f>IF(N73="","",COUNTIF($P$9:$P$255,"&lt;"&amp;P73)+COUNTIF($P$9:P73,P73))</f>
        <v>34</v>
      </c>
      <c r="M73" s="692" t="str">
        <f>IF(Ingredient_prices!E68=M72,"",Ingredient_prices!E68)</f>
        <v>Ham for pizza</v>
      </c>
      <c r="N73" s="693">
        <f>_xlfn.IFNA(VLOOKUP($M73,Sedmica_2_količina_sva_sastojak!$C:$E,3,FALSE),"")</f>
        <v>2.2000000000000002</v>
      </c>
      <c r="O73" s="696">
        <f>IF(N73="","",COUNTIF($P$9:$P$255,"&lt;"&amp;P73)+COUNTIF($P$9:P73,P73))</f>
        <v>34</v>
      </c>
      <c r="P73" s="694">
        <f t="shared" si="7"/>
        <v>228</v>
      </c>
    </row>
    <row r="74" spans="1:17">
      <c r="A74" s="470">
        <v>66</v>
      </c>
      <c r="B74" s="451" t="str">
        <f t="shared" si="9"/>
        <v/>
      </c>
      <c r="C74" s="462" t="str">
        <f t="shared" si="10"/>
        <v/>
      </c>
      <c r="D74" s="446" t="str">
        <f>IF(B74="Jaje kokošje, celo",IF(C74=INT(C74),C74,C74+1),IF(B74=""," ",_xlfn.IFNA(INT(C74*1000/(VLOOKUP($B74,Ingredient_prices!$E:$J,6,FALSE)))+1,"nije nabavljen")))</f>
        <v xml:space="preserve"> </v>
      </c>
      <c r="E74" s="446" t="str">
        <f>IF(C74="","",VLOOKUP($B74,Ingredient_prices!$E:$K,7,FALSE))</f>
        <v/>
      </c>
      <c r="F74" s="462" t="str">
        <f>IF(C74="","",_xlfn.IFNA((VLOOKUP($B74,Ingredient_prices!$E:$P,11,FALSE)*I74),""))</f>
        <v/>
      </c>
      <c r="G74" s="450" t="str">
        <f>IF(C74="","",_xlfn.IFNA(MID(VLOOKUP($B74,Ingredient_prices!$E:$F,2,FALSE),9,2),""))</f>
        <v/>
      </c>
      <c r="H74" s="447" t="str">
        <f>_xlfn.IFNA(VLOOKUP(CONCATENATE($I$8,$G74),Ingredient_prices!$G:$N,8,FALSE),"")</f>
        <v/>
      </c>
      <c r="I74" s="548" t="str">
        <f t="shared" si="8"/>
        <v/>
      </c>
      <c r="J74" s="695" t="str">
        <f>IF(N74="","",MID(Ingredient_prices!F69,9,2))</f>
        <v/>
      </c>
      <c r="K74" s="692" t="str">
        <f t="shared" si="6"/>
        <v/>
      </c>
      <c r="L74" s="692" t="str">
        <f>IF(N74="","",COUNTIF($P$9:$P$255,"&lt;"&amp;P74)+COUNTIF($P$9:P74,P74))</f>
        <v/>
      </c>
      <c r="M74" s="692" t="str">
        <f>IF(Ingredient_prices!E69=M73,"",Ingredient_prices!E69)</f>
        <v>Ham processed in a wrap</v>
      </c>
      <c r="N74" s="693" t="str">
        <f>_xlfn.IFNA(VLOOKUP($M74,Sedmica_2_količina_sva_sastojak!$C:$E,3,FALSE),"")</f>
        <v/>
      </c>
      <c r="O74" s="696" t="str">
        <f>IF(N74="","",COUNTIF($P$9:$P$255,"&lt;"&amp;P74)+COUNTIF($P$9:P74,P74))</f>
        <v/>
      </c>
      <c r="P74" s="694" t="str">
        <f t="shared" si="7"/>
        <v/>
      </c>
    </row>
    <row r="75" spans="1:17">
      <c r="A75" s="470">
        <v>67</v>
      </c>
      <c r="B75" s="451" t="str">
        <f t="shared" si="9"/>
        <v/>
      </c>
      <c r="C75" s="462" t="str">
        <f t="shared" si="10"/>
        <v/>
      </c>
      <c r="D75" s="446" t="str">
        <f>IF(B75="Jaje kokošje, celo",IF(C75=INT(C75),C75,C75+1),IF(B75=""," ",_xlfn.IFNA(INT(C75*1000/(VLOOKUP($B75,Ingredient_prices!$E:$J,6,FALSE)))+1,"nije nabavljen")))</f>
        <v xml:space="preserve"> </v>
      </c>
      <c r="E75" s="446" t="str">
        <f>IF(C75="","",VLOOKUP($B75,Ingredient_prices!$E:$K,7,FALSE))</f>
        <v/>
      </c>
      <c r="F75" s="462" t="str">
        <f>IF(C75="","",_xlfn.IFNA((VLOOKUP($B75,Ingredient_prices!$E:$P,11,FALSE)*I75),""))</f>
        <v/>
      </c>
      <c r="G75" s="450" t="str">
        <f>IF(C75="","",_xlfn.IFNA(MID(VLOOKUP($B75,Ingredient_prices!$E:$F,2,FALSE),9,2),""))</f>
        <v/>
      </c>
      <c r="H75" s="447" t="str">
        <f>_xlfn.IFNA(VLOOKUP(CONCATENATE($I$8,$G75),Ingredient_prices!$G:$N,8,FALSE),"")</f>
        <v/>
      </c>
      <c r="I75" s="548" t="str">
        <f t="shared" si="8"/>
        <v/>
      </c>
      <c r="J75" s="695" t="str">
        <f>IF(N75="","",MID(Ingredient_prices!F70,9,2))</f>
        <v/>
      </c>
      <c r="K75" s="692" t="str">
        <f t="shared" si="6"/>
        <v/>
      </c>
      <c r="L75" s="692" t="str">
        <f>IF(N75="","",COUNTIF($P$9:$P$255,"&lt;"&amp;P75)+COUNTIF($P$9:P75,P75))</f>
        <v/>
      </c>
      <c r="M75" s="692" t="str">
        <f>IF(Ingredient_prices!E70=M74,"",Ingredient_prices!E70)</f>
        <v>Ham processed</v>
      </c>
      <c r="N75" s="693" t="str">
        <f>_xlfn.IFNA(VLOOKUP($M75,Sedmica_2_količina_sva_sastojak!$C:$E,3,FALSE),"")</f>
        <v/>
      </c>
      <c r="O75" s="696" t="str">
        <f>IF(N75="","",COUNTIF($P$9:$P$255,"&lt;"&amp;P75)+COUNTIF($P$9:P75,P75))</f>
        <v/>
      </c>
      <c r="P75" s="694" t="str">
        <f t="shared" si="7"/>
        <v/>
      </c>
    </row>
    <row r="76" spans="1:17">
      <c r="A76" s="470">
        <v>68</v>
      </c>
      <c r="B76" s="451" t="str">
        <f t="shared" si="9"/>
        <v/>
      </c>
      <c r="C76" s="462" t="str">
        <f t="shared" si="10"/>
        <v/>
      </c>
      <c r="D76" s="446" t="str">
        <f>IF(B76="Jaje kokošje, celo",IF(C76=INT(C76),C76,C76+1),IF(B76=""," ",_xlfn.IFNA(INT(C76*1000/(VLOOKUP($B76,Ingredient_prices!$E:$J,6,FALSE)))+1,"nije nabavljen")))</f>
        <v xml:space="preserve"> </v>
      </c>
      <c r="E76" s="446" t="str">
        <f>IF(C76="","",VLOOKUP($B76,Ingredient_prices!$E:$K,7,FALSE))</f>
        <v/>
      </c>
      <c r="F76" s="462" t="str">
        <f>IF(C76="","",_xlfn.IFNA((VLOOKUP($B76,Ingredient_prices!$E:$P,11,FALSE)*I76),""))</f>
        <v/>
      </c>
      <c r="G76" s="450" t="str">
        <f>IF(C76="","",_xlfn.IFNA(MID(VLOOKUP($B76,Ingredient_prices!$E:$F,2,FALSE),9,2),""))</f>
        <v/>
      </c>
      <c r="H76" s="447" t="str">
        <f>_xlfn.IFNA(VLOOKUP(CONCATENATE($I$8,$G76),Ingredient_prices!$G:$N,8,FALSE),"")</f>
        <v/>
      </c>
      <c r="I76" s="548" t="str">
        <f t="shared" si="8"/>
        <v/>
      </c>
      <c r="J76" s="695" t="str">
        <f>IF(N76="","",MID(Ingredient_prices!F71,9,2))</f>
        <v/>
      </c>
      <c r="K76" s="692" t="str">
        <f t="shared" si="6"/>
        <v/>
      </c>
      <c r="L76" s="692" t="str">
        <f>IF(N76="","",COUNTIF($P$9:$P$255,"&lt;"&amp;P76)+COUNTIF($P$9:P76,P76))</f>
        <v/>
      </c>
      <c r="M76" s="692" t="str">
        <f>IF(Ingredient_prices!E71=M75,"",Ingredient_prices!E71)</f>
        <v>Chicken breast in a wrap</v>
      </c>
      <c r="N76" s="693" t="str">
        <f>_xlfn.IFNA(VLOOKUP($M76,Sedmica_2_količina_sva_sastojak!$C:$E,3,FALSE),"")</f>
        <v/>
      </c>
      <c r="O76" s="696" t="str">
        <f>IF(N76="","",COUNTIF($P$9:$P$255,"&lt;"&amp;P76)+COUNTIF($P$9:P76,P76))</f>
        <v/>
      </c>
      <c r="P76" s="694" t="str">
        <f t="shared" si="7"/>
        <v/>
      </c>
    </row>
    <row r="77" spans="1:17">
      <c r="A77" s="470">
        <v>69</v>
      </c>
      <c r="B77" s="451" t="str">
        <f t="shared" si="9"/>
        <v/>
      </c>
      <c r="C77" s="462" t="str">
        <f t="shared" si="10"/>
        <v/>
      </c>
      <c r="D77" s="446" t="str">
        <f>IF(B77="Jaje kokošje, celo",IF(C77=INT(C77),C77,C77+1),IF(B77=""," ",_xlfn.IFNA(INT(C77*1000/(VLOOKUP($B77,Ingredient_prices!$E:$J,6,FALSE)))+1,"nije nabavljen")))</f>
        <v xml:space="preserve"> </v>
      </c>
      <c r="E77" s="446" t="str">
        <f>IF(C77="","",VLOOKUP($B77,Ingredient_prices!$E:$K,7,FALSE))</f>
        <v/>
      </c>
      <c r="F77" s="462" t="str">
        <f>IF(C77="","",_xlfn.IFNA((VLOOKUP($B77,Ingredient_prices!$E:$P,11,FALSE)*I77),""))</f>
        <v/>
      </c>
      <c r="G77" s="450" t="str">
        <f>IF(C77="","",_xlfn.IFNA(MID(VLOOKUP($B77,Ingredient_prices!$E:$F,2,FALSE),9,2),""))</f>
        <v/>
      </c>
      <c r="H77" s="447" t="str">
        <f>_xlfn.IFNA(VLOOKUP(CONCATENATE($I$8,$G77),Ingredient_prices!$G:$N,8,FALSE),"")</f>
        <v/>
      </c>
      <c r="I77" s="548" t="str">
        <f t="shared" si="8"/>
        <v/>
      </c>
      <c r="J77" s="695" t="str">
        <f>IF(N77="","",MID(Ingredient_prices!F72,9,2))</f>
        <v/>
      </c>
      <c r="K77" s="692" t="str">
        <f t="shared" ref="K77:K140" si="11">IF(N77="","",COUNTIFS(J$9:J$255,J77,N$9:N$255,"&gt;"&amp;N77)+1)</f>
        <v/>
      </c>
      <c r="L77" s="692" t="str">
        <f>IF(N77="","",COUNTIF($P$9:$P$255,"&lt;"&amp;P77)+COUNTIF($P$9:P77,P77))</f>
        <v/>
      </c>
      <c r="M77" s="692" t="str">
        <f>IF(Ingredient_prices!E72=M76,"",Ingredient_prices!E72)</f>
        <v>Chicken pate</v>
      </c>
      <c r="N77" s="693" t="str">
        <f>_xlfn.IFNA(VLOOKUP($M77,Sedmica_2_količina_sva_sastojak!$C:$E,3,FALSE),"")</f>
        <v/>
      </c>
      <c r="O77" s="696" t="str">
        <f>IF(N77="","",COUNTIF($P$9:$P$255,"&lt;"&amp;P77)+COUNTIF($P$9:P77,P77))</f>
        <v/>
      </c>
      <c r="P77" s="694" t="str">
        <f t="shared" ref="P77:P140" si="12">IF(K77="","",VALUE(CONCATENATE(J77,K77)))</f>
        <v/>
      </c>
    </row>
    <row r="78" spans="1:17">
      <c r="A78" s="470">
        <v>70</v>
      </c>
      <c r="B78" s="451" t="str">
        <f t="shared" si="9"/>
        <v/>
      </c>
      <c r="C78" s="462" t="str">
        <f t="shared" si="10"/>
        <v/>
      </c>
      <c r="D78" s="446" t="str">
        <f>IF(B78="Jaje kokošje, celo",IF(C78=INT(C78),C78,C78+1),IF(B78=""," ",_xlfn.IFNA(INT(C78*1000/(VLOOKUP($B78,Ingredient_prices!$E:$J,6,FALSE)))+1,"nije nabavljen")))</f>
        <v xml:space="preserve"> </v>
      </c>
      <c r="E78" s="446" t="str">
        <f>IF(C78="","",VLOOKUP($B78,Ingredient_prices!$E:$K,7,FALSE))</f>
        <v/>
      </c>
      <c r="F78" s="462" t="str">
        <f>IF(C78="","",_xlfn.IFNA((VLOOKUP($B78,Ingredient_prices!$E:$P,11,FALSE)*I78),""))</f>
        <v/>
      </c>
      <c r="G78" s="450" t="str">
        <f>IF(C78="","",_xlfn.IFNA(MID(VLOOKUP($B78,Ingredient_prices!$E:$F,2,FALSE),9,2),""))</f>
        <v/>
      </c>
      <c r="H78" s="447" t="str">
        <f>_xlfn.IFNA(VLOOKUP(CONCATENATE($I$8,$G78),Ingredient_prices!$G:$N,8,FALSE),"")</f>
        <v/>
      </c>
      <c r="I78" s="548" t="str">
        <f t="shared" si="8"/>
        <v/>
      </c>
      <c r="J78" s="695" t="str">
        <f>IF(N78="","",MID(Ingredient_prices!F73,9,2))</f>
        <v/>
      </c>
      <c r="K78" s="692" t="str">
        <f t="shared" si="11"/>
        <v/>
      </c>
      <c r="L78" s="692" t="str">
        <f>IF(N78="","",COUNTIF($P$9:$P$255,"&lt;"&amp;P78)+COUNTIF($P$9:P78,P78))</f>
        <v/>
      </c>
      <c r="M78" s="692" t="str">
        <f>IF(Ingredient_prices!E73=M77,"",Ingredient_prices!E73)</f>
        <v>Tuna pate</v>
      </c>
      <c r="N78" s="693" t="str">
        <f>_xlfn.IFNA(VLOOKUP($M78,Sedmica_2_količina_sva_sastojak!$C:$E,3,FALSE),"")</f>
        <v/>
      </c>
      <c r="O78" s="696" t="str">
        <f>IF(N78="","",COUNTIF($P$9:$P$255,"&lt;"&amp;P78)+COUNTIF($P$9:P78,P78))</f>
        <v/>
      </c>
      <c r="P78" s="694" t="str">
        <f t="shared" si="12"/>
        <v/>
      </c>
    </row>
    <row r="79" spans="1:17">
      <c r="A79" s="470">
        <v>71</v>
      </c>
      <c r="B79" s="451" t="str">
        <f t="shared" si="9"/>
        <v/>
      </c>
      <c r="C79" s="462" t="str">
        <f t="shared" si="10"/>
        <v/>
      </c>
      <c r="D79" s="446" t="str">
        <f>IF(B79="Jaje kokošje, celo",IF(C79=INT(C79),C79,C79+1),IF(B79=""," ",_xlfn.IFNA(INT(C79*1000/(VLOOKUP($B79,Ingredient_prices!$E:$J,6,FALSE)))+1,"nije nabavljen")))</f>
        <v xml:space="preserve"> </v>
      </c>
      <c r="E79" s="446" t="str">
        <f>IF(C79="","",VLOOKUP($B79,Ingredient_prices!$E:$K,7,FALSE))</f>
        <v/>
      </c>
      <c r="F79" s="462" t="str">
        <f>IF(C79="","",_xlfn.IFNA((VLOOKUP($B79,Ingredient_prices!$E:$P,11,FALSE)*I79),""))</f>
        <v/>
      </c>
      <c r="G79" s="450" t="str">
        <f>IF(C79="","",_xlfn.IFNA(MID(VLOOKUP($B79,Ingredient_prices!$E:$F,2,FALSE),9,2),""))</f>
        <v/>
      </c>
      <c r="H79" s="447" t="str">
        <f>_xlfn.IFNA(VLOOKUP(CONCATENATE($I$8,$G79),Ingredient_prices!$G:$N,8,FALSE),"")</f>
        <v/>
      </c>
      <c r="I79" s="548" t="str">
        <f t="shared" si="8"/>
        <v/>
      </c>
      <c r="J79" s="695" t="str">
        <f>IF(N79="","",MID(Ingredient_prices!F74,9,2))</f>
        <v/>
      </c>
      <c r="K79" s="692" t="str">
        <f t="shared" si="11"/>
        <v/>
      </c>
      <c r="L79" s="692" t="str">
        <f>IF(N79="","",COUNTIF($P$9:$P$255,"&lt;"&amp;P79)+COUNTIF($P$9:P79,P79))</f>
        <v/>
      </c>
      <c r="M79" s="692" t="str">
        <f>IF(Ingredient_prices!E74=M78,"",Ingredient_prices!E74)</f>
        <v>Chicken pate</v>
      </c>
      <c r="N79" s="693" t="str">
        <f>_xlfn.IFNA(VLOOKUP($M79,Sedmica_2_količina_sva_sastojak!$C:$E,3,FALSE),"")</f>
        <v/>
      </c>
      <c r="O79" s="696" t="str">
        <f>IF(N79="","",COUNTIF($P$9:$P$255,"&lt;"&amp;P79)+COUNTIF($P$9:P79,P79))</f>
        <v/>
      </c>
      <c r="P79" s="694" t="str">
        <f t="shared" si="12"/>
        <v/>
      </c>
    </row>
    <row r="80" spans="1:17">
      <c r="A80" s="470">
        <v>72</v>
      </c>
      <c r="B80" s="451" t="str">
        <f t="shared" si="9"/>
        <v/>
      </c>
      <c r="C80" s="462" t="str">
        <f t="shared" si="10"/>
        <v/>
      </c>
      <c r="D80" s="446" t="str">
        <f>IF(B80="Jaje kokošje, celo",IF(C80=INT(C80),C80,C80+1),IF(B80=""," ",_xlfn.IFNA(INT(C80*1000/(VLOOKUP($B80,Ingredient_prices!$E:$J,6,FALSE)))+1,"nije nabavljen")))</f>
        <v xml:space="preserve"> </v>
      </c>
      <c r="E80" s="446" t="str">
        <f>IF(C80="","",VLOOKUP($B80,Ingredient_prices!$E:$K,7,FALSE))</f>
        <v/>
      </c>
      <c r="F80" s="462" t="str">
        <f>IF(C80="","",_xlfn.IFNA((VLOOKUP($B80,Ingredient_prices!$E:$P,11,FALSE)*I80),""))</f>
        <v/>
      </c>
      <c r="G80" s="450" t="str">
        <f>IF(C80="","",_xlfn.IFNA(MID(VLOOKUP($B80,Ingredient_prices!$E:$F,2,FALSE),9,2),""))</f>
        <v/>
      </c>
      <c r="H80" s="447" t="str">
        <f>_xlfn.IFNA(VLOOKUP(CONCATENATE($I$8,$G80),Ingredient_prices!$G:$N,8,FALSE),"")</f>
        <v/>
      </c>
      <c r="I80" s="548" t="str">
        <f t="shared" si="8"/>
        <v/>
      </c>
      <c r="J80" s="695" t="str">
        <f>IF(N80="","",MID(Ingredient_prices!F75,9,2))</f>
        <v/>
      </c>
      <c r="K80" s="692" t="str">
        <f t="shared" si="11"/>
        <v/>
      </c>
      <c r="L80" s="692" t="str">
        <f>IF(N80="","",COUNTIF($P$9:$P$255,"&lt;"&amp;P80)+COUNTIF($P$9:P80,P80))</f>
        <v/>
      </c>
      <c r="M80" s="692" t="str">
        <f>IF(Ingredient_prices!E75=M79,"",Ingredient_prices!E75)</f>
        <v>Canned sardines (in oil)</v>
      </c>
      <c r="N80" s="693" t="str">
        <f>_xlfn.IFNA(VLOOKUP($M80,Sedmica_2_količina_sva_sastojak!$C:$E,3,FALSE),"")</f>
        <v/>
      </c>
      <c r="O80" s="696" t="str">
        <f>IF(N80="","",COUNTIF($P$9:$P$255,"&lt;"&amp;P80)+COUNTIF($P$9:P80,P80))</f>
        <v/>
      </c>
      <c r="P80" s="694" t="str">
        <f t="shared" si="12"/>
        <v/>
      </c>
    </row>
    <row r="81" spans="1:17">
      <c r="A81" s="470">
        <v>73</v>
      </c>
      <c r="B81" s="451" t="str">
        <f t="shared" si="9"/>
        <v/>
      </c>
      <c r="C81" s="462" t="str">
        <f t="shared" si="10"/>
        <v/>
      </c>
      <c r="D81" s="446" t="str">
        <f>IF(B81="Jaje kokošje, celo",IF(C81=INT(C81),C81,C81+1),IF(B81=""," ",_xlfn.IFNA(INT(C81*1000/(VLOOKUP($B81,Ingredient_prices!$E:$J,6,FALSE)))+1,"nije nabavljen")))</f>
        <v xml:space="preserve"> </v>
      </c>
      <c r="E81" s="446" t="str">
        <f>IF(C81="","",VLOOKUP($B81,Ingredient_prices!$E:$K,7,FALSE))</f>
        <v/>
      </c>
      <c r="F81" s="462" t="str">
        <f>IF(C81="","",_xlfn.IFNA((VLOOKUP($B81,Ingredient_prices!$E:$P,11,FALSE)*I81),""))</f>
        <v/>
      </c>
      <c r="G81" s="450" t="str">
        <f>IF(C81="","",_xlfn.IFNA(MID(VLOOKUP($B81,Ingredient_prices!$E:$F,2,FALSE),9,2),""))</f>
        <v/>
      </c>
      <c r="H81" s="447" t="str">
        <f>_xlfn.IFNA(VLOOKUP(CONCATENATE($I$8,$G81),Ingredient_prices!$G:$N,8,FALSE),"")</f>
        <v/>
      </c>
      <c r="I81" s="548" t="str">
        <f t="shared" si="8"/>
        <v/>
      </c>
      <c r="J81" s="695" t="str">
        <f>IF(N81="","",MID(Ingredient_prices!F76,9,2))</f>
        <v/>
      </c>
      <c r="K81" s="692" t="str">
        <f t="shared" si="11"/>
        <v/>
      </c>
      <c r="L81" s="692" t="str">
        <f>IF(N81="","",COUNTIF($P$9:$P$255,"&lt;"&amp;P81)+COUNTIF($P$9:P81,P81))</f>
        <v/>
      </c>
      <c r="M81" s="692" t="str">
        <f>IF(Ingredient_prices!E76=M80,"",Ingredient_prices!E76)</f>
        <v>Tuna preserved in oil</v>
      </c>
      <c r="N81" s="693" t="str">
        <f>_xlfn.IFNA(VLOOKUP($M81,Sedmica_2_količina_sva_sastojak!$C:$E,3,FALSE),"")</f>
        <v/>
      </c>
      <c r="O81" s="696" t="str">
        <f>IF(N81="","",COUNTIF($P$9:$P$255,"&lt;"&amp;P81)+COUNTIF($P$9:P81,P81))</f>
        <v/>
      </c>
      <c r="P81" s="694" t="str">
        <f t="shared" si="12"/>
        <v/>
      </c>
    </row>
    <row r="82" spans="1:17">
      <c r="A82" s="470">
        <v>74</v>
      </c>
      <c r="B82" s="451" t="str">
        <f t="shared" si="9"/>
        <v/>
      </c>
      <c r="C82" s="462" t="str">
        <f t="shared" si="10"/>
        <v/>
      </c>
      <c r="D82" s="446" t="str">
        <f>IF(B82="Jaje kokošje, celo",IF(C82=INT(C82),C82,C82+1),IF(B82=""," ",_xlfn.IFNA(INT(C82*1000/(VLOOKUP($B82,Ingredient_prices!$E:$J,6,FALSE)))+1,"nije nabavljen")))</f>
        <v xml:space="preserve"> </v>
      </c>
      <c r="E82" s="446" t="str">
        <f>IF(C82="","",VLOOKUP($B82,Ingredient_prices!$E:$K,7,FALSE))</f>
        <v/>
      </c>
      <c r="F82" s="462" t="str">
        <f>IF(C82="","",_xlfn.IFNA((VLOOKUP($B82,Ingredient_prices!$E:$P,11,FALSE)*I82),""))</f>
        <v/>
      </c>
      <c r="G82" s="450" t="str">
        <f>IF(C82="","",_xlfn.IFNA(MID(VLOOKUP($B82,Ingredient_prices!$E:$F,2,FALSE),9,2),""))</f>
        <v/>
      </c>
      <c r="H82" s="447" t="str">
        <f>_xlfn.IFNA(VLOOKUP(CONCATENATE($I$8,$G82),Ingredient_prices!$G:$N,8,FALSE),"")</f>
        <v/>
      </c>
      <c r="I82" s="548" t="str">
        <f t="shared" si="8"/>
        <v/>
      </c>
      <c r="J82" s="695" t="str">
        <f>IF(N82="","",MID(Ingredient_prices!F77,9,2))</f>
        <v/>
      </c>
      <c r="K82" s="692" t="str">
        <f t="shared" si="11"/>
        <v/>
      </c>
      <c r="L82" s="692" t="str">
        <f>IF(N82="","",COUNTIF($P$9:$P$255,"&lt;"&amp;P82)+COUNTIF($P$9:P82,P82))</f>
        <v/>
      </c>
      <c r="M82" s="692" t="str">
        <f>IF(Ingredient_prices!E77=M81,"",Ingredient_prices!E77)</f>
        <v>Musli (average)</v>
      </c>
      <c r="N82" s="693" t="str">
        <f>_xlfn.IFNA(VLOOKUP($M82,Sedmica_2_količina_sva_sastojak!$C:$E,3,FALSE),"")</f>
        <v/>
      </c>
      <c r="O82" s="696" t="str">
        <f>IF(N82="","",COUNTIF($P$9:$P$255,"&lt;"&amp;P82)+COUNTIF($P$9:P82,P82))</f>
        <v/>
      </c>
      <c r="P82" s="694" t="str">
        <f t="shared" si="12"/>
        <v/>
      </c>
    </row>
    <row r="83" spans="1:17">
      <c r="A83" s="470">
        <v>75</v>
      </c>
      <c r="B83" s="451" t="str">
        <f t="shared" si="9"/>
        <v/>
      </c>
      <c r="C83" s="462" t="str">
        <f t="shared" si="10"/>
        <v/>
      </c>
      <c r="D83" s="446" t="str">
        <f>IF(B83="Jaje kokošje, celo",IF(C83=INT(C83),C83,C83+1),IF(B83=""," ",_xlfn.IFNA(INT(C83*1000/(VLOOKUP($B83,Ingredient_prices!$E:$J,6,FALSE)))+1,"nije nabavljen")))</f>
        <v xml:space="preserve"> </v>
      </c>
      <c r="E83" s="446" t="str">
        <f>IF(C83="","",VLOOKUP($B83,Ingredient_prices!$E:$K,7,FALSE))</f>
        <v/>
      </c>
      <c r="F83" s="462" t="str">
        <f>IF(C83="","",_xlfn.IFNA((VLOOKUP($B83,Ingredient_prices!$E:$P,11,FALSE)*I83),""))</f>
        <v/>
      </c>
      <c r="G83" s="450" t="str">
        <f>IF(C83="","",_xlfn.IFNA(MID(VLOOKUP($B83,Ingredient_prices!$E:$F,2,FALSE),9,2),""))</f>
        <v/>
      </c>
      <c r="H83" s="447" t="str">
        <f>_xlfn.IFNA(VLOOKUP(CONCATENATE($I$8,$G83),Ingredient_prices!$G:$N,8,FALSE),"")</f>
        <v/>
      </c>
      <c r="I83" s="548" t="str">
        <f t="shared" si="8"/>
        <v/>
      </c>
      <c r="J83" s="695" t="str">
        <f>IF(N83="","",MID(Ingredient_prices!F78,9,2))</f>
        <v/>
      </c>
      <c r="K83" s="692" t="str">
        <f t="shared" si="11"/>
        <v/>
      </c>
      <c r="L83" s="692" t="str">
        <f>IF(N83="","",COUNTIF($P$9:$P$255,"&lt;"&amp;P83)+COUNTIF($P$9:P83,P83))</f>
        <v/>
      </c>
      <c r="M83" s="692" t="str">
        <f>IF(Ingredient_prices!E78=M82,"",Ingredient_prices!E78)</f>
        <v>Chocolate flakes</v>
      </c>
      <c r="N83" s="693" t="str">
        <f>_xlfn.IFNA(VLOOKUP($M83,Sedmica_2_količina_sva_sastojak!$C:$E,3,FALSE),"")</f>
        <v/>
      </c>
      <c r="O83" s="696" t="str">
        <f>IF(N83="","",COUNTIF($P$9:$P$255,"&lt;"&amp;P83)+COUNTIF($P$9:P83,P83))</f>
        <v/>
      </c>
      <c r="P83" s="694" t="str">
        <f t="shared" si="12"/>
        <v/>
      </c>
    </row>
    <row r="84" spans="1:17">
      <c r="A84" s="470">
        <v>76</v>
      </c>
      <c r="B84" s="451" t="str">
        <f t="shared" si="9"/>
        <v/>
      </c>
      <c r="C84" s="462" t="str">
        <f t="shared" si="10"/>
        <v/>
      </c>
      <c r="D84" s="446" t="str">
        <f>IF(B84="Jaje kokošje, celo",IF(C84=INT(C84),C84,C84+1),IF(B84=""," ",_xlfn.IFNA(INT(C84*1000/(VLOOKUP($B84,Ingredient_prices!$E:$J,6,FALSE)))+1,"nije nabavljen")))</f>
        <v xml:space="preserve"> </v>
      </c>
      <c r="E84" s="446" t="str">
        <f>IF(C84="","",VLOOKUP($B84,Ingredient_prices!$E:$K,7,FALSE))</f>
        <v/>
      </c>
      <c r="F84" s="462" t="str">
        <f>IF(C84="","",_xlfn.IFNA((VLOOKUP($B84,Ingredient_prices!$E:$P,11,FALSE)*I84),""))</f>
        <v/>
      </c>
      <c r="G84" s="450" t="str">
        <f>IF(C84="","",_xlfn.IFNA(MID(VLOOKUP($B84,Ingredient_prices!$E:$F,2,FALSE),9,2),""))</f>
        <v/>
      </c>
      <c r="H84" s="447" t="str">
        <f>_xlfn.IFNA(VLOOKUP(CONCATENATE($I$8,$G84),Ingredient_prices!$G:$N,8,FALSE),"")</f>
        <v/>
      </c>
      <c r="I84" s="548" t="str">
        <f t="shared" si="8"/>
        <v/>
      </c>
      <c r="J84" s="695" t="str">
        <f>IF(N84="","",MID(Ingredient_prices!F79,9,2))</f>
        <v/>
      </c>
      <c r="K84" s="692" t="str">
        <f t="shared" si="11"/>
        <v/>
      </c>
      <c r="L84" s="692" t="str">
        <f>IF(N84="","",COUNTIF($P$9:$P$255,"&lt;"&amp;P84)+COUNTIF($P$9:P84,P84))</f>
        <v/>
      </c>
      <c r="M84" s="692" t="str">
        <f>IF(Ingredient_prices!E79=M83,"",Ingredient_prices!E79)</f>
        <v>Chocolate for cooking</v>
      </c>
      <c r="N84" s="693" t="str">
        <f>_xlfn.IFNA(VLOOKUP($M84,Sedmica_2_količina_sva_sastojak!$C:$E,3,FALSE),"")</f>
        <v/>
      </c>
      <c r="O84" s="696" t="str">
        <f>IF(N84="","",COUNTIF($P$9:$P$255,"&lt;"&amp;P84)+COUNTIF($P$9:P84,P84))</f>
        <v/>
      </c>
      <c r="P84" s="694" t="str">
        <f t="shared" si="12"/>
        <v/>
      </c>
    </row>
    <row r="85" spans="1:17">
      <c r="A85" s="470">
        <v>77</v>
      </c>
      <c r="B85" s="451" t="str">
        <f t="shared" si="9"/>
        <v/>
      </c>
      <c r="C85" s="462" t="str">
        <f t="shared" si="10"/>
        <v/>
      </c>
      <c r="D85" s="446" t="str">
        <f>IF(B85="Jaje kokošje, celo",IF(C85=INT(C85),C85,C85+1),IF(B85=""," ",_xlfn.IFNA(INT(C85*1000/(VLOOKUP($B85,Ingredient_prices!$E:$J,6,FALSE)))+1,"nije nabavljen")))</f>
        <v xml:space="preserve"> </v>
      </c>
      <c r="E85" s="446" t="str">
        <f>IF(C85="","",VLOOKUP($B85,Ingredient_prices!$E:$K,7,FALSE))</f>
        <v/>
      </c>
      <c r="F85" s="462" t="str">
        <f>IF(C85="","",_xlfn.IFNA((VLOOKUP($B85,Ingredient_prices!$E:$P,11,FALSE)*I85),""))</f>
        <v/>
      </c>
      <c r="G85" s="450" t="str">
        <f>IF(C85="","",_xlfn.IFNA(MID(VLOOKUP($B85,Ingredient_prices!$E:$F,2,FALSE),9,2),""))</f>
        <v/>
      </c>
      <c r="H85" s="447" t="str">
        <f>_xlfn.IFNA(VLOOKUP(CONCATENATE($I$8,$G85),Ingredient_prices!$G:$N,8,FALSE),"")</f>
        <v/>
      </c>
      <c r="I85" s="548" t="str">
        <f t="shared" si="8"/>
        <v/>
      </c>
      <c r="J85" s="695" t="str">
        <f>IF(N85="","",MID(Ingredient_prices!F80,9,2))</f>
        <v/>
      </c>
      <c r="K85" s="692" t="str">
        <f t="shared" si="11"/>
        <v/>
      </c>
      <c r="L85" s="692" t="str">
        <f>IF(N85="","",COUNTIF($P$9:$P$255,"&lt;"&amp;P85)+COUNTIF($P$9:P85,P85))</f>
        <v/>
      </c>
      <c r="M85" s="692" t="str">
        <f>IF(Ingredient_prices!E80=M84,"",Ingredient_prices!E80)</f>
        <v>Milk chocolate</v>
      </c>
      <c r="N85" s="693" t="str">
        <f>_xlfn.IFNA(VLOOKUP($M85,Sedmica_2_količina_sva_sastojak!$C:$E,3,FALSE),"")</f>
        <v/>
      </c>
      <c r="O85" s="696" t="str">
        <f>IF(N85="","",COUNTIF($P$9:$P$255,"&lt;"&amp;P85)+COUNTIF($P$9:P85,P85))</f>
        <v/>
      </c>
      <c r="P85" s="694" t="str">
        <f t="shared" si="12"/>
        <v/>
      </c>
    </row>
    <row r="86" spans="1:17">
      <c r="A86" s="470">
        <v>78</v>
      </c>
      <c r="B86" s="451" t="str">
        <f t="shared" si="9"/>
        <v/>
      </c>
      <c r="C86" s="462" t="str">
        <f t="shared" si="10"/>
        <v/>
      </c>
      <c r="D86" s="446" t="str">
        <f>IF(B86="Jaje kokošje, celo",IF(C86=INT(C86),C86,C86+1),IF(B86=""," ",_xlfn.IFNA(INT(C86*1000/(VLOOKUP($B86,Ingredient_prices!$E:$J,6,FALSE)))+1,"nije nabavljen")))</f>
        <v xml:space="preserve"> </v>
      </c>
      <c r="E86" s="446" t="str">
        <f>IF(C86="","",VLOOKUP($B86,Ingredient_prices!$E:$K,7,FALSE))</f>
        <v/>
      </c>
      <c r="F86" s="462" t="str">
        <f>IF(C86="","",_xlfn.IFNA((VLOOKUP($B86,Ingredient_prices!$E:$P,11,FALSE)*I86),""))</f>
        <v/>
      </c>
      <c r="G86" s="450" t="str">
        <f>IF(C86="","",_xlfn.IFNA(MID(VLOOKUP($B86,Ingredient_prices!$E:$F,2,FALSE),9,2),""))</f>
        <v/>
      </c>
      <c r="H86" s="447" t="str">
        <f>_xlfn.IFNA(VLOOKUP(CONCATENATE($I$8,$G86),Ingredient_prices!$G:$N,8,FALSE),"")</f>
        <v/>
      </c>
      <c r="I86" s="548" t="str">
        <f t="shared" si="8"/>
        <v/>
      </c>
      <c r="J86" s="695" t="str">
        <f>IF(N86="","",MID(Ingredient_prices!F81,9,2))</f>
        <v/>
      </c>
      <c r="K86" s="692" t="str">
        <f t="shared" si="11"/>
        <v/>
      </c>
      <c r="L86" s="692" t="str">
        <f>IF(N86="","",COUNTIF($P$9:$P$255,"&lt;"&amp;P86)+COUNTIF($P$9:P86,P86))</f>
        <v/>
      </c>
      <c r="M86" s="692" t="str">
        <f>IF(Ingredient_prices!E81=M85,"",Ingredient_prices!E81)</f>
        <v>Plasma biscuit</v>
      </c>
      <c r="N86" s="693" t="str">
        <f>_xlfn.IFNA(VLOOKUP($M86,Sedmica_2_količina_sva_sastojak!$C:$E,3,FALSE),"")</f>
        <v/>
      </c>
      <c r="O86" s="696" t="str">
        <f>IF(N86="","",COUNTIF($P$9:$P$255,"&lt;"&amp;P86)+COUNTIF($P$9:P86,P86))</f>
        <v/>
      </c>
      <c r="P86" s="694" t="str">
        <f t="shared" si="12"/>
        <v/>
      </c>
    </row>
    <row r="87" spans="1:17">
      <c r="A87" s="470">
        <v>79</v>
      </c>
      <c r="B87" s="451" t="str">
        <f t="shared" si="9"/>
        <v/>
      </c>
      <c r="C87" s="462" t="str">
        <f t="shared" si="10"/>
        <v/>
      </c>
      <c r="D87" s="446" t="str">
        <f>IF(B87="Jaje kokošje, celo",IF(C87=INT(C87),C87,C87+1),IF(B87=""," ",_xlfn.IFNA(INT(C87*1000/(VLOOKUP($B87,Ingredient_prices!$E:$J,6,FALSE)))+1,"nije nabavljen")))</f>
        <v xml:space="preserve"> </v>
      </c>
      <c r="E87" s="446" t="str">
        <f>IF(C87="","",VLOOKUP($B87,Ingredient_prices!$E:$K,7,FALSE))</f>
        <v/>
      </c>
      <c r="F87" s="462" t="str">
        <f>IF(C87="","",_xlfn.IFNA((VLOOKUP($B87,Ingredient_prices!$E:$P,11,FALSE)*I87),""))</f>
        <v/>
      </c>
      <c r="G87" s="450" t="str">
        <f>IF(C87="","",_xlfn.IFNA(MID(VLOOKUP($B87,Ingredient_prices!$E:$F,2,FALSE),9,2),""))</f>
        <v/>
      </c>
      <c r="H87" s="447" t="str">
        <f>_xlfn.IFNA(VLOOKUP(CONCATENATE($I$8,$G87),Ingredient_prices!$G:$N,8,FALSE),"")</f>
        <v/>
      </c>
      <c r="I87" s="548" t="str">
        <f t="shared" si="8"/>
        <v/>
      </c>
      <c r="J87" s="695" t="str">
        <f>IF(N87="","",MID(Ingredient_prices!F82,9,2))</f>
        <v/>
      </c>
      <c r="K87" s="692" t="str">
        <f t="shared" si="11"/>
        <v/>
      </c>
      <c r="L87" s="692" t="str">
        <f>IF(N87="","",COUNTIF($P$9:$P$255,"&lt;"&amp;P87)+COUNTIF($P$9:P87,P87))</f>
        <v/>
      </c>
      <c r="M87" s="692" t="str">
        <f>IF(Ingredient_prices!E82=M86,"",Ingredient_prices!E82)</f>
        <v>Napolitanke wafers</v>
      </c>
      <c r="N87" s="693" t="str">
        <f>_xlfn.IFNA(VLOOKUP($M87,Sedmica_2_količina_sva_sastojak!$C:$E,3,FALSE),"")</f>
        <v/>
      </c>
      <c r="O87" s="696" t="str">
        <f>IF(N87="","",COUNTIF($P$9:$P$255,"&lt;"&amp;P87)+COUNTIF($P$9:P87,P87))</f>
        <v/>
      </c>
      <c r="P87" s="694" t="str">
        <f t="shared" si="12"/>
        <v/>
      </c>
    </row>
    <row r="88" spans="1:17">
      <c r="A88" s="470">
        <v>80</v>
      </c>
      <c r="B88" s="451" t="str">
        <f t="shared" si="9"/>
        <v/>
      </c>
      <c r="C88" s="462" t="str">
        <f t="shared" si="10"/>
        <v/>
      </c>
      <c r="D88" s="446" t="str">
        <f>IF(B88="Jaje kokošje, celo",IF(C88=INT(C88),C88,C88+1),IF(B88=""," ",_xlfn.IFNA(INT(C88*1000/(VLOOKUP($B88,Ingredient_prices!$E:$J,6,FALSE)))+1,"nije nabavljen")))</f>
        <v xml:space="preserve"> </v>
      </c>
      <c r="E88" s="446" t="str">
        <f>IF(C88="","",VLOOKUP($B88,Ingredient_prices!$E:$K,7,FALSE))</f>
        <v/>
      </c>
      <c r="F88" s="462" t="str">
        <f>IF(C88="","",_xlfn.IFNA((VLOOKUP($B88,Ingredient_prices!$E:$P,11,FALSE)*I88),""))</f>
        <v/>
      </c>
      <c r="G88" s="450" t="str">
        <f>IF(C88="","",_xlfn.IFNA(MID(VLOOKUP($B88,Ingredient_prices!$E:$F,2,FALSE),9,2),""))</f>
        <v/>
      </c>
      <c r="H88" s="447" t="str">
        <f>_xlfn.IFNA(VLOOKUP(CONCATENATE($I$8,$G88),Ingredient_prices!$G:$N,8,FALSE),"")</f>
        <v/>
      </c>
      <c r="I88" s="548" t="str">
        <f t="shared" si="8"/>
        <v/>
      </c>
      <c r="J88" s="695" t="str">
        <f>IF(N88="","",MID(Ingredient_prices!F83,9,2))</f>
        <v/>
      </c>
      <c r="K88" s="692" t="str">
        <f t="shared" si="11"/>
        <v/>
      </c>
      <c r="L88" s="692" t="str">
        <f>IF(N88="","",COUNTIF($P$9:$P$255,"&lt;"&amp;P88)+COUNTIF($P$9:P88,P88))</f>
        <v/>
      </c>
      <c r="M88" s="692" t="str">
        <f>IF(Ingredient_prices!E83=M87,"",Ingredient_prices!E83)</f>
        <v>Nesquik</v>
      </c>
      <c r="N88" s="693" t="str">
        <f>_xlfn.IFNA(VLOOKUP($M88,Sedmica_2_količina_sva_sastojak!$C:$E,3,FALSE),"")</f>
        <v/>
      </c>
      <c r="O88" s="696" t="str">
        <f>IF(N88="","",COUNTIF($P$9:$P$255,"&lt;"&amp;P88)+COUNTIF($P$9:P88,P88))</f>
        <v/>
      </c>
      <c r="P88" s="694" t="str">
        <f t="shared" si="12"/>
        <v/>
      </c>
    </row>
    <row r="89" spans="1:17" s="445" customFormat="1">
      <c r="A89" s="470">
        <v>81</v>
      </c>
      <c r="B89" s="451" t="str">
        <f t="shared" si="9"/>
        <v/>
      </c>
      <c r="C89" s="462" t="str">
        <f t="shared" si="10"/>
        <v/>
      </c>
      <c r="D89" s="446" t="str">
        <f>IF(B89="Jaje kokošje, celo",IF(C89=INT(C89),C89,C89+1),IF(B89=""," ",_xlfn.IFNA(INT(C89*1000/(VLOOKUP($B89,Ingredient_prices!$E:$J,6,FALSE)))+1,"nije nabavljen")))</f>
        <v xml:space="preserve"> </v>
      </c>
      <c r="E89" s="446" t="str">
        <f>IF(C89="","",VLOOKUP($B89,Ingredient_prices!$E:$K,7,FALSE))</f>
        <v/>
      </c>
      <c r="F89" s="462" t="str">
        <f>IF(C89="","",_xlfn.IFNA((VLOOKUP($B89,Ingredient_prices!$E:$P,11,FALSE)*I89),""))</f>
        <v/>
      </c>
      <c r="G89" s="450" t="str">
        <f>IF(C89="","",_xlfn.IFNA(MID(VLOOKUP($B89,Ingredient_prices!$E:$F,2,FALSE),9,2),""))</f>
        <v/>
      </c>
      <c r="H89" s="447" t="str">
        <f>_xlfn.IFNA(VLOOKUP(CONCATENATE($I$8,$G89),Ingredient_prices!$G:$N,8,FALSE),"")</f>
        <v/>
      </c>
      <c r="I89" s="548" t="str">
        <f t="shared" si="8"/>
        <v/>
      </c>
      <c r="J89" s="695" t="str">
        <f>IF(N89="","",MID(Ingredient_prices!F84,9,2))</f>
        <v/>
      </c>
      <c r="K89" s="692" t="str">
        <f t="shared" si="11"/>
        <v/>
      </c>
      <c r="L89" s="692" t="str">
        <f>IF(N89="","",COUNTIF($P$9:$P$255,"&lt;"&amp;P89)+COUNTIF($P$9:P89,P89))</f>
        <v/>
      </c>
      <c r="M89" s="692" t="str">
        <f>IF(Ingredient_prices!E84=M88,"",Ingredient_prices!E84)</f>
        <v>Hibiscus tea</v>
      </c>
      <c r="N89" s="693" t="str">
        <f>_xlfn.IFNA(VLOOKUP($M89,Sedmica_2_količina_sva_sastojak!$C:$E,3,FALSE),"")</f>
        <v/>
      </c>
      <c r="O89" s="696" t="str">
        <f>IF(N89="","",COUNTIF($P$9:$P$255,"&lt;"&amp;P89)+COUNTIF($P$9:P89,P89))</f>
        <v/>
      </c>
      <c r="P89" s="694" t="str">
        <f t="shared" si="12"/>
        <v/>
      </c>
      <c r="Q89" s="692"/>
    </row>
    <row r="90" spans="1:17">
      <c r="A90" s="470">
        <v>82</v>
      </c>
      <c r="B90" s="451" t="str">
        <f t="shared" si="9"/>
        <v/>
      </c>
      <c r="C90" s="462" t="str">
        <f t="shared" si="10"/>
        <v/>
      </c>
      <c r="D90" s="446" t="str">
        <f>IF(B90="Jaje kokošje, celo",IF(C90=INT(C90),C90,C90+1),IF(B90=""," ",_xlfn.IFNA(INT(C90*1000/(VLOOKUP($B90,Ingredient_prices!$E:$J,6,FALSE)))+1,"nije nabavljen")))</f>
        <v xml:space="preserve"> </v>
      </c>
      <c r="E90" s="446" t="str">
        <f>IF(C90="","",VLOOKUP($B90,Ingredient_prices!$E:$K,7,FALSE))</f>
        <v/>
      </c>
      <c r="F90" s="462" t="str">
        <f>IF(C90="","",_xlfn.IFNA((VLOOKUP($B90,Ingredient_prices!$E:$P,11,FALSE)*I90),""))</f>
        <v/>
      </c>
      <c r="G90" s="450" t="str">
        <f>IF(C90="","",_xlfn.IFNA(MID(VLOOKUP($B90,Ingredient_prices!$E:$F,2,FALSE),9,2),""))</f>
        <v/>
      </c>
      <c r="H90" s="447" t="str">
        <f>_xlfn.IFNA(VLOOKUP(CONCATENATE($I$8,$G90),Ingredient_prices!$G:$N,8,FALSE),"")</f>
        <v/>
      </c>
      <c r="I90" s="548" t="str">
        <f t="shared" si="8"/>
        <v/>
      </c>
      <c r="J90" s="695" t="str">
        <f>IF(N90="","",MID(Ingredient_prices!F85,9,2))</f>
        <v/>
      </c>
      <c r="K90" s="692" t="str">
        <f t="shared" si="11"/>
        <v/>
      </c>
      <c r="L90" s="692" t="str">
        <f>IF(N90="","",COUNTIF($P$9:$P$255,"&lt;"&amp;P90)+COUNTIF($P$9:P90,P90))</f>
        <v/>
      </c>
      <c r="M90" s="692" t="str">
        <f>IF(Ingredient_prices!E85=M89,"",Ingredient_prices!E85)</f>
        <v>Rose hip tea</v>
      </c>
      <c r="N90" s="693" t="str">
        <f>_xlfn.IFNA(VLOOKUP($M90,Sedmica_2_količina_sva_sastojak!$C:$E,3,FALSE),"")</f>
        <v/>
      </c>
      <c r="O90" s="696" t="str">
        <f>IF(N90="","",COUNTIF($P$9:$P$255,"&lt;"&amp;P90)+COUNTIF($P$9:P90,P90))</f>
        <v/>
      </c>
      <c r="P90" s="694" t="str">
        <f t="shared" si="12"/>
        <v/>
      </c>
    </row>
    <row r="91" spans="1:17">
      <c r="A91" s="470">
        <v>83</v>
      </c>
      <c r="B91" s="451" t="str">
        <f t="shared" si="9"/>
        <v/>
      </c>
      <c r="C91" s="462" t="str">
        <f t="shared" si="10"/>
        <v/>
      </c>
      <c r="D91" s="446" t="str">
        <f>IF(B91="Jaje kokošje, celo",IF(C91=INT(C91),C91,C91+1),IF(B91=""," ",_xlfn.IFNA(INT(C91*1000/(VLOOKUP($B91,Ingredient_prices!$E:$J,6,FALSE)))+1,"nije nabavljen")))</f>
        <v xml:space="preserve"> </v>
      </c>
      <c r="E91" s="446" t="str">
        <f>IF(C91="","",VLOOKUP($B91,Ingredient_prices!$E:$K,7,FALSE))</f>
        <v/>
      </c>
      <c r="F91" s="462" t="str">
        <f>IF(C91="","",_xlfn.IFNA((VLOOKUP($B91,Ingredient_prices!$E:$P,11,FALSE)*I91),""))</f>
        <v/>
      </c>
      <c r="G91" s="450" t="str">
        <f>IF(C91="","",_xlfn.IFNA(MID(VLOOKUP($B91,Ingredient_prices!$E:$F,2,FALSE),9,2),""))</f>
        <v/>
      </c>
      <c r="H91" s="447" t="str">
        <f>_xlfn.IFNA(VLOOKUP(CONCATENATE($I$8,$G91),Ingredient_prices!$G:$N,8,FALSE),"")</f>
        <v/>
      </c>
      <c r="I91" s="548" t="str">
        <f t="shared" si="8"/>
        <v/>
      </c>
      <c r="J91" s="695" t="str">
        <f>IF(N91="","",MID(Ingredient_prices!F86,9,2))</f>
        <v>2</v>
      </c>
      <c r="K91" s="692">
        <f t="shared" si="11"/>
        <v>1</v>
      </c>
      <c r="L91" s="692">
        <f>IF(N91="","",COUNTIF($P$9:$P$255,"&lt;"&amp;P91)+COUNTIF($P$9:P91,P91))</f>
        <v>6</v>
      </c>
      <c r="M91" s="692" t="str">
        <f>IF(Ingredient_prices!E86=M90,"",Ingredient_prices!E86)</f>
        <v>Chicken egg, whole</v>
      </c>
      <c r="N91" s="693">
        <f>_xlfn.IFNA(VLOOKUP($M91,Sedmica_2_količina_sva_sastojak!$C:$E,3,FALSE),"")</f>
        <v>138.05000000000004</v>
      </c>
      <c r="O91" s="696">
        <f>IF(N91="","",COUNTIF($P$9:$P$255,"&lt;"&amp;P91)+COUNTIF($P$9:P91,P91))</f>
        <v>6</v>
      </c>
      <c r="P91" s="694">
        <f t="shared" si="12"/>
        <v>21</v>
      </c>
    </row>
    <row r="92" spans="1:17">
      <c r="A92" s="470">
        <v>84</v>
      </c>
      <c r="B92" s="451" t="str">
        <f t="shared" si="9"/>
        <v/>
      </c>
      <c r="C92" s="462" t="str">
        <f t="shared" si="10"/>
        <v/>
      </c>
      <c r="D92" s="446" t="str">
        <f>IF(B92="Jaje kokošje, celo",IF(C92=INT(C92),C92,C92+1),IF(B92=""," ",_xlfn.IFNA(INT(C92*1000/(VLOOKUP($B92,Ingredient_prices!$E:$J,6,FALSE)))+1,"nije nabavljen")))</f>
        <v xml:space="preserve"> </v>
      </c>
      <c r="E92" s="446" t="str">
        <f>IF(C92="","",VLOOKUP($B92,Ingredient_prices!$E:$K,7,FALSE))</f>
        <v/>
      </c>
      <c r="F92" s="462" t="str">
        <f>IF(C92="","",_xlfn.IFNA((VLOOKUP($B92,Ingredient_prices!$E:$P,11,FALSE)*I92),""))</f>
        <v/>
      </c>
      <c r="G92" s="450" t="str">
        <f>IF(C92="","",_xlfn.IFNA(MID(VLOOKUP($B92,Ingredient_prices!$E:$F,2,FALSE),9,2),""))</f>
        <v/>
      </c>
      <c r="H92" s="447" t="str">
        <f>_xlfn.IFNA(VLOOKUP(CONCATENATE($I$8,$G92),Ingredient_prices!$G:$N,8,FALSE),"")</f>
        <v/>
      </c>
      <c r="I92" s="548" t="str">
        <f t="shared" si="8"/>
        <v/>
      </c>
      <c r="J92" s="695" t="str">
        <f>IF(N92="","",MID(Ingredient_prices!F87,9,2))</f>
        <v/>
      </c>
      <c r="K92" s="692" t="str">
        <f t="shared" si="11"/>
        <v/>
      </c>
      <c r="L92" s="692" t="str">
        <f>IF(N92="","",COUNTIF($P$9:$P$255,"&lt;"&amp;P92)+COUNTIF($P$9:P92,P92))</f>
        <v/>
      </c>
      <c r="M92" s="692" t="str">
        <f>IF(Ingredient_prices!E87=M91,"",Ingredient_prices!E87)</f>
        <v>Nutella</v>
      </c>
      <c r="N92" s="693" t="str">
        <f>_xlfn.IFNA(VLOOKUP($M92,Sedmica_2_količina_sva_sastojak!$C:$E,3,FALSE),"")</f>
        <v/>
      </c>
      <c r="O92" s="696" t="str">
        <f>IF(N92="","",COUNTIF($P$9:$P$255,"&lt;"&amp;P92)+COUNTIF($P$9:P92,P92))</f>
        <v/>
      </c>
      <c r="P92" s="694" t="str">
        <f t="shared" si="12"/>
        <v/>
      </c>
    </row>
    <row r="93" spans="1:17">
      <c r="A93" s="470">
        <v>85</v>
      </c>
      <c r="B93" s="451" t="str">
        <f t="shared" si="9"/>
        <v/>
      </c>
      <c r="C93" s="462" t="str">
        <f t="shared" si="10"/>
        <v/>
      </c>
      <c r="D93" s="446" t="str">
        <f>IF(B93="Jaje kokošje, celo",IF(C93=INT(C93),C93,C93+1),IF(B93=""," ",_xlfn.IFNA(INT(C93*1000/(VLOOKUP($B93,Ingredient_prices!$E:$J,6,FALSE)))+1,"nije nabavljen")))</f>
        <v xml:space="preserve"> </v>
      </c>
      <c r="E93" s="446" t="str">
        <f>IF(C93="","",VLOOKUP($B93,Ingredient_prices!$E:$K,7,FALSE))</f>
        <v/>
      </c>
      <c r="F93" s="462" t="str">
        <f>IF(C93="","",_xlfn.IFNA((VLOOKUP($B93,Ingredient_prices!$E:$P,11,FALSE)*I93),""))</f>
        <v/>
      </c>
      <c r="G93" s="450" t="str">
        <f>IF(C93="","",_xlfn.IFNA(MID(VLOOKUP($B93,Ingredient_prices!$E:$F,2,FALSE),9,2),""))</f>
        <v/>
      </c>
      <c r="H93" s="447" t="str">
        <f>_xlfn.IFNA(VLOOKUP(CONCATENATE($I$8,$G93),Ingredient_prices!$G:$N,8,FALSE),"")</f>
        <v/>
      </c>
      <c r="I93" s="548" t="str">
        <f t="shared" si="8"/>
        <v/>
      </c>
      <c r="J93" s="695" t="str">
        <f>IF(N93="","",MID(Ingredient_prices!F88,9,2))</f>
        <v>2</v>
      </c>
      <c r="K93" s="692">
        <f t="shared" si="11"/>
        <v>23</v>
      </c>
      <c r="L93" s="692">
        <f>IF(N93="","",COUNTIF($P$9:$P$255,"&lt;"&amp;P93)+COUNTIF($P$9:P93,P93))</f>
        <v>29</v>
      </c>
      <c r="M93" s="692" t="str">
        <f>IF(Ingredient_prices!E88=M92,"",Ingredient_prices!E88)</f>
        <v>Euro cream</v>
      </c>
      <c r="N93" s="693">
        <f>_xlfn.IFNA(VLOOKUP($M93,Sedmica_2_količina_sva_sastojak!$C:$E,3,FALSE),"")</f>
        <v>2.7500000000000004</v>
      </c>
      <c r="O93" s="696">
        <f>IF(N93="","",COUNTIF($P$9:$P$255,"&lt;"&amp;P93)+COUNTIF($P$9:P93,P93))</f>
        <v>29</v>
      </c>
      <c r="P93" s="694">
        <f t="shared" si="12"/>
        <v>223</v>
      </c>
    </row>
    <row r="94" spans="1:17">
      <c r="A94" s="470">
        <v>86</v>
      </c>
      <c r="B94" s="451" t="str">
        <f t="shared" si="9"/>
        <v/>
      </c>
      <c r="C94" s="462" t="str">
        <f t="shared" si="10"/>
        <v/>
      </c>
      <c r="D94" s="446" t="str">
        <f>IF(B94="Jaje kokošje, celo",IF(C94=INT(C94),C94,C94+1),IF(B94=""," ",_xlfn.IFNA(INT(C94*1000/(VLOOKUP($B94,Ingredient_prices!$E:$J,6,FALSE)))+1,"nije nabavljen")))</f>
        <v xml:space="preserve"> </v>
      </c>
      <c r="E94" s="446" t="str">
        <f>IF(C94="","",VLOOKUP($B94,Ingredient_prices!$E:$K,7,FALSE))</f>
        <v/>
      </c>
      <c r="F94" s="462" t="str">
        <f>IF(C94="","",_xlfn.IFNA((VLOOKUP($B94,Ingredient_prices!$E:$P,11,FALSE)*I94),""))</f>
        <v/>
      </c>
      <c r="G94" s="450" t="str">
        <f>IF(C94="","",_xlfn.IFNA(MID(VLOOKUP($B94,Ingredient_prices!$E:$F,2,FALSE),9,2),""))</f>
        <v/>
      </c>
      <c r="H94" s="447" t="str">
        <f>_xlfn.IFNA(VLOOKUP(CONCATENATE($I$8,$G94),Ingredient_prices!$G:$N,8,FALSE),"")</f>
        <v/>
      </c>
      <c r="I94" s="548" t="str">
        <f t="shared" si="8"/>
        <v/>
      </c>
      <c r="J94" s="695" t="str">
        <f>IF(N94="","",MID(Ingredient_prices!F89,9,2))</f>
        <v/>
      </c>
      <c r="K94" s="692" t="str">
        <f t="shared" si="11"/>
        <v/>
      </c>
      <c r="L94" s="692" t="str">
        <f>IF(N94="","",COUNTIF($P$9:$P$255,"&lt;"&amp;P94)+COUNTIF($P$9:P94,P94))</f>
        <v/>
      </c>
      <c r="M94" s="692" t="str">
        <f>IF(Ingredient_prices!E89=M93,"",Ingredient_prices!E89)</f>
        <v>Noodles with egg</v>
      </c>
      <c r="N94" s="693" t="str">
        <f>_xlfn.IFNA(VLOOKUP($M94,Sedmica_2_količina_sva_sastojak!$C:$E,3,FALSE),"")</f>
        <v/>
      </c>
      <c r="O94" s="696" t="str">
        <f>IF(N94="","",COUNTIF($P$9:$P$255,"&lt;"&amp;P94)+COUNTIF($P$9:P94,P94))</f>
        <v/>
      </c>
      <c r="P94" s="694" t="str">
        <f t="shared" si="12"/>
        <v/>
      </c>
    </row>
    <row r="95" spans="1:17">
      <c r="A95" s="470">
        <v>87</v>
      </c>
      <c r="B95" s="451" t="str">
        <f t="shared" si="9"/>
        <v/>
      </c>
      <c r="C95" s="462" t="str">
        <f t="shared" si="10"/>
        <v/>
      </c>
      <c r="D95" s="446" t="str">
        <f>IF(B95="Jaje kokošje, celo",IF(C95=INT(C95),C95,C95+1),IF(B95=""," ",_xlfn.IFNA(INT(C95*1000/(VLOOKUP($B95,Ingredient_prices!$E:$J,6,FALSE)))+1,"nije nabavljen")))</f>
        <v xml:space="preserve"> </v>
      </c>
      <c r="E95" s="446" t="str">
        <f>IF(C95="","",VLOOKUP($B95,Ingredient_prices!$E:$K,7,FALSE))</f>
        <v/>
      </c>
      <c r="F95" s="462" t="str">
        <f>IF(C95="","",_xlfn.IFNA((VLOOKUP($B95,Ingredient_prices!$E:$P,11,FALSE)*I95),""))</f>
        <v/>
      </c>
      <c r="G95" s="450" t="str">
        <f>IF(C95="","",_xlfn.IFNA(MID(VLOOKUP($B95,Ingredient_prices!$E:$F,2,FALSE),9,2),""))</f>
        <v/>
      </c>
      <c r="H95" s="447" t="str">
        <f>_xlfn.IFNA(VLOOKUP(CONCATENATE($I$8,$G95),Ingredient_prices!$G:$N,8,FALSE),"")</f>
        <v/>
      </c>
      <c r="I95" s="548" t="str">
        <f t="shared" si="8"/>
        <v/>
      </c>
      <c r="J95" s="695" t="str">
        <f>IF(N95="","",MID(Ingredient_prices!F90,9,2))</f>
        <v/>
      </c>
      <c r="K95" s="692" t="str">
        <f t="shared" si="11"/>
        <v/>
      </c>
      <c r="L95" s="692" t="str">
        <f>IF(N95="","",COUNTIF($P$9:$P$255,"&lt;"&amp;P95)+COUNTIF($P$9:P95,P95))</f>
        <v/>
      </c>
      <c r="M95" s="692" t="str">
        <f>IF(Ingredient_prices!E90=M94,"",Ingredient_prices!E90)</f>
        <v>Noodles lace</v>
      </c>
      <c r="N95" s="693" t="str">
        <f>_xlfn.IFNA(VLOOKUP($M95,Sedmica_2_količina_sva_sastojak!$C:$E,3,FALSE),"")</f>
        <v/>
      </c>
      <c r="O95" s="696" t="str">
        <f>IF(N95="","",COUNTIF($P$9:$P$255,"&lt;"&amp;P95)+COUNTIF($P$9:P95,P95))</f>
        <v/>
      </c>
      <c r="P95" s="694" t="str">
        <f t="shared" si="12"/>
        <v/>
      </c>
    </row>
    <row r="96" spans="1:17">
      <c r="A96" s="470">
        <v>88</v>
      </c>
      <c r="B96" s="451" t="str">
        <f t="shared" si="9"/>
        <v/>
      </c>
      <c r="C96" s="462" t="str">
        <f t="shared" si="10"/>
        <v/>
      </c>
      <c r="D96" s="446" t="str">
        <f>IF(B96="Jaje kokošje, celo",IF(C96=INT(C96),C96,C96+1),IF(B96=""," ",_xlfn.IFNA(INT(C96*1000/(VLOOKUP($B96,Ingredient_prices!$E:$J,6,FALSE)))+1,"nije nabavljen")))</f>
        <v xml:space="preserve"> </v>
      </c>
      <c r="E96" s="446" t="str">
        <f>IF(C96="","",VLOOKUP($B96,Ingredient_prices!$E:$K,7,FALSE))</f>
        <v/>
      </c>
      <c r="F96" s="462" t="str">
        <f>IF(C96="","",_xlfn.IFNA((VLOOKUP($B96,Ingredient_prices!$E:$P,11,FALSE)*I96),""))</f>
        <v/>
      </c>
      <c r="G96" s="450" t="str">
        <f>IF(C96="","",_xlfn.IFNA(MID(VLOOKUP($B96,Ingredient_prices!$E:$F,2,FALSE),9,2),""))</f>
        <v/>
      </c>
      <c r="H96" s="447" t="str">
        <f>_xlfn.IFNA(VLOOKUP(CONCATENATE($I$8,$G96),Ingredient_prices!$G:$N,8,FALSE),"")</f>
        <v/>
      </c>
      <c r="I96" s="548" t="str">
        <f t="shared" si="8"/>
        <v/>
      </c>
      <c r="J96" s="695" t="str">
        <f>IF(N96="","",MID(Ingredient_prices!F91,9,2))</f>
        <v/>
      </c>
      <c r="K96" s="692" t="str">
        <f t="shared" si="11"/>
        <v/>
      </c>
      <c r="L96" s="692" t="str">
        <f>IF(N96="","",COUNTIF($P$9:$P$255,"&lt;"&amp;P96)+COUNTIF($P$9:P96,P96))</f>
        <v/>
      </c>
      <c r="M96" s="692" t="str">
        <f>IF(Ingredient_prices!E91=M95,"",Ingredient_prices!E91)</f>
        <v>Pasta fusilli</v>
      </c>
      <c r="N96" s="693" t="str">
        <f>_xlfn.IFNA(VLOOKUP($M96,Sedmica_2_količina_sva_sastojak!$C:$E,3,FALSE),"")</f>
        <v/>
      </c>
      <c r="O96" s="696" t="str">
        <f>IF(N96="","",COUNTIF($P$9:$P$255,"&lt;"&amp;P96)+COUNTIF($P$9:P96,P96))</f>
        <v/>
      </c>
      <c r="P96" s="694" t="str">
        <f t="shared" si="12"/>
        <v/>
      </c>
    </row>
    <row r="97" spans="1:16">
      <c r="A97" s="470">
        <v>89</v>
      </c>
      <c r="B97" s="451" t="str">
        <f t="shared" si="9"/>
        <v/>
      </c>
      <c r="C97" s="462" t="str">
        <f t="shared" si="10"/>
        <v/>
      </c>
      <c r="D97" s="446" t="str">
        <f>IF(B97="Jaje kokošje, celo",IF(C97=INT(C97),C97,C97+1),IF(B97=""," ",_xlfn.IFNA(INT(C97*1000/(VLOOKUP($B97,Ingredient_prices!$E:$J,6,FALSE)))+1,"nije nabavljen")))</f>
        <v xml:space="preserve"> </v>
      </c>
      <c r="E97" s="446" t="str">
        <f>IF(C97="","",VLOOKUP($B97,Ingredient_prices!$E:$K,7,FALSE))</f>
        <v/>
      </c>
      <c r="F97" s="462" t="str">
        <f>IF(C97="","",_xlfn.IFNA((VLOOKUP($B97,Ingredient_prices!$E:$P,11,FALSE)*I97),""))</f>
        <v/>
      </c>
      <c r="G97" s="450" t="str">
        <f>IF(C97="","",_xlfn.IFNA(MID(VLOOKUP($B97,Ingredient_prices!$E:$F,2,FALSE),9,2),""))</f>
        <v/>
      </c>
      <c r="H97" s="447" t="str">
        <f>_xlfn.IFNA(VLOOKUP(CONCATENATE($I$8,$G97),Ingredient_prices!$G:$N,8,FALSE),"")</f>
        <v/>
      </c>
      <c r="I97" s="548" t="str">
        <f t="shared" si="8"/>
        <v/>
      </c>
      <c r="J97" s="695" t="str">
        <f>IF(N97="","",MID(Ingredient_prices!F92,9,2))</f>
        <v/>
      </c>
      <c r="K97" s="692" t="str">
        <f t="shared" si="11"/>
        <v/>
      </c>
      <c r="L97" s="692" t="str">
        <f>IF(N97="","",COUNTIF($P$9:$P$255,"&lt;"&amp;P97)+COUNTIF($P$9:P97,P97))</f>
        <v/>
      </c>
      <c r="M97" s="692" t="str">
        <f>IF(Ingredient_prices!E92=M96,"",Ingredient_prices!E92)</f>
        <v>Pasta spaghetti</v>
      </c>
      <c r="N97" s="693" t="str">
        <f>_xlfn.IFNA(VLOOKUP($M97,Sedmica_2_količina_sva_sastojak!$C:$E,3,FALSE),"")</f>
        <v/>
      </c>
      <c r="O97" s="696" t="str">
        <f>IF(N97="","",COUNTIF($P$9:$P$255,"&lt;"&amp;P97)+COUNTIF($P$9:P97,P97))</f>
        <v/>
      </c>
      <c r="P97" s="694" t="str">
        <f t="shared" si="12"/>
        <v/>
      </c>
    </row>
    <row r="98" spans="1:16">
      <c r="A98" s="470">
        <v>90</v>
      </c>
      <c r="B98" s="451" t="str">
        <f t="shared" si="9"/>
        <v/>
      </c>
      <c r="C98" s="462" t="str">
        <f t="shared" si="10"/>
        <v/>
      </c>
      <c r="D98" s="446" t="str">
        <f>IF(B98="Jaje kokošje, celo",IF(C98=INT(C98),C98,C98+1),IF(B98=""," ",_xlfn.IFNA(INT(C98*1000/(VLOOKUP($B98,Ingredient_prices!$E:$J,6,FALSE)))+1,"nije nabavljen")))</f>
        <v xml:space="preserve"> </v>
      </c>
      <c r="E98" s="446" t="str">
        <f>IF(C98="","",VLOOKUP($B98,Ingredient_prices!$E:$K,7,FALSE))</f>
        <v/>
      </c>
      <c r="F98" s="462" t="str">
        <f>IF(C98="","",_xlfn.IFNA((VLOOKUP($B98,Ingredient_prices!$E:$P,11,FALSE)*I98),""))</f>
        <v/>
      </c>
      <c r="G98" s="450" t="str">
        <f>IF(C98="","",_xlfn.IFNA(MID(VLOOKUP($B98,Ingredient_prices!$E:$F,2,FALSE),9,2),""))</f>
        <v/>
      </c>
      <c r="H98" s="447" t="str">
        <f>_xlfn.IFNA(VLOOKUP(CONCATENATE($I$8,$G98),Ingredient_prices!$G:$N,8,FALSE),"")</f>
        <v/>
      </c>
      <c r="I98" s="548" t="str">
        <f t="shared" si="8"/>
        <v/>
      </c>
      <c r="J98" s="695" t="str">
        <f>IF(N98="","",MID(Ingredient_prices!F93,9,2))</f>
        <v/>
      </c>
      <c r="K98" s="692" t="str">
        <f t="shared" si="11"/>
        <v/>
      </c>
      <c r="L98" s="692" t="str">
        <f>IF(N98="","",COUNTIF($P$9:$P$255,"&lt;"&amp;P98)+COUNTIF($P$9:P98,P98))</f>
        <v/>
      </c>
      <c r="M98" s="692" t="str">
        <f>IF(Ingredient_prices!E93=M97,"",Ingredient_prices!E93)</f>
        <v>Lasagna sheets</v>
      </c>
      <c r="N98" s="693" t="str">
        <f>_xlfn.IFNA(VLOOKUP($M98,Sedmica_2_količina_sva_sastojak!$C:$E,3,FALSE),"")</f>
        <v/>
      </c>
      <c r="O98" s="696" t="str">
        <f>IF(N98="","",COUNTIF($P$9:$P$255,"&lt;"&amp;P98)+COUNTIF($P$9:P98,P98))</f>
        <v/>
      </c>
      <c r="P98" s="694" t="str">
        <f t="shared" si="12"/>
        <v/>
      </c>
    </row>
    <row r="99" spans="1:16">
      <c r="A99" s="470">
        <v>91</v>
      </c>
      <c r="B99" s="451" t="str">
        <f t="shared" si="9"/>
        <v/>
      </c>
      <c r="C99" s="462" t="str">
        <f t="shared" si="10"/>
        <v/>
      </c>
      <c r="D99" s="446" t="str">
        <f>IF(B99="Jaje kokošje, celo",IF(C99=INT(C99),C99,C99+1),IF(B99=""," ",_xlfn.IFNA(INT(C99*1000/(VLOOKUP($B99,Ingredient_prices!$E:$J,6,FALSE)))+1,"nije nabavljen")))</f>
        <v xml:space="preserve"> </v>
      </c>
      <c r="E99" s="446" t="str">
        <f>IF(C99="","",VLOOKUP($B99,Ingredient_prices!$E:$K,7,FALSE))</f>
        <v/>
      </c>
      <c r="F99" s="462" t="str">
        <f>IF(C99="","",_xlfn.IFNA((VLOOKUP($B99,Ingredient_prices!$E:$P,11,FALSE)*I99),""))</f>
        <v/>
      </c>
      <c r="G99" s="450" t="str">
        <f>IF(C99="","",_xlfn.IFNA(MID(VLOOKUP($B99,Ingredient_prices!$E:$F,2,FALSE),9,2),""))</f>
        <v/>
      </c>
      <c r="H99" s="447" t="str">
        <f>_xlfn.IFNA(VLOOKUP(CONCATENATE($I$8,$G99),Ingredient_prices!$G:$N,8,FALSE),"")</f>
        <v/>
      </c>
      <c r="I99" s="548" t="str">
        <f t="shared" si="8"/>
        <v/>
      </c>
      <c r="J99" s="695" t="str">
        <f>IF(N99="","",MID(Ingredient_prices!F94,9,2))</f>
        <v/>
      </c>
      <c r="K99" s="692" t="str">
        <f t="shared" si="11"/>
        <v/>
      </c>
      <c r="L99" s="692" t="str">
        <f>IF(N99="","",COUNTIF($P$9:$P$255,"&lt;"&amp;P99)+COUNTIF($P$9:P99,P99))</f>
        <v/>
      </c>
      <c r="M99" s="692" t="str">
        <f>IF(Ingredient_prices!E94=M98,"",Ingredient_prices!E94)</f>
        <v/>
      </c>
      <c r="N99" s="693" t="str">
        <f>_xlfn.IFNA(VLOOKUP($M99,Sedmica_2_količina_sva_sastojak!$C:$E,3,FALSE),"")</f>
        <v/>
      </c>
      <c r="O99" s="696" t="str">
        <f>IF(N99="","",COUNTIF($P$9:$P$255,"&lt;"&amp;P99)+COUNTIF($P$9:P99,P99))</f>
        <v/>
      </c>
      <c r="P99" s="694" t="str">
        <f t="shared" si="12"/>
        <v/>
      </c>
    </row>
    <row r="100" spans="1:16">
      <c r="A100" s="470">
        <v>92</v>
      </c>
      <c r="B100" s="451" t="str">
        <f t="shared" si="9"/>
        <v/>
      </c>
      <c r="C100" s="462" t="str">
        <f t="shared" si="10"/>
        <v/>
      </c>
      <c r="D100" s="446" t="str">
        <f>IF(B100="Jaje kokošje, celo",IF(C100=INT(C100),C100,C100+1),IF(B100=""," ",_xlfn.IFNA(INT(C100*1000/(VLOOKUP($B100,Ingredient_prices!$E:$J,6,FALSE)))+1,"nije nabavljen")))</f>
        <v xml:space="preserve"> </v>
      </c>
      <c r="E100" s="446" t="str">
        <f>IF(C100="","",VLOOKUP($B100,Ingredient_prices!$E:$K,7,FALSE))</f>
        <v/>
      </c>
      <c r="F100" s="462" t="str">
        <f>IF(C100="","",_xlfn.IFNA((VLOOKUP($B100,Ingredient_prices!$E:$P,11,FALSE)*I100),""))</f>
        <v/>
      </c>
      <c r="G100" s="450" t="str">
        <f>IF(C100="","",_xlfn.IFNA(MID(VLOOKUP($B100,Ingredient_prices!$E:$F,2,FALSE),9,2),""))</f>
        <v/>
      </c>
      <c r="H100" s="447" t="str">
        <f>_xlfn.IFNA(VLOOKUP(CONCATENATE($I$8,$G100),Ingredient_prices!$G:$N,8,FALSE),"")</f>
        <v/>
      </c>
      <c r="I100" s="548" t="str">
        <f t="shared" si="8"/>
        <v/>
      </c>
      <c r="J100" s="695" t="str">
        <f>IF(N100="","",MID(Ingredient_prices!F95,9,2))</f>
        <v/>
      </c>
      <c r="K100" s="692" t="str">
        <f t="shared" si="11"/>
        <v/>
      </c>
      <c r="L100" s="692" t="str">
        <f>IF(N100="","",COUNTIF($P$9:$P$255,"&lt;"&amp;P100)+COUNTIF($P$9:P100,P100))</f>
        <v/>
      </c>
      <c r="M100" s="692" t="str">
        <f>IF(Ingredient_prices!E95=M99,"",Ingredient_prices!E95)</f>
        <v>Walnuts</v>
      </c>
      <c r="N100" s="693" t="str">
        <f>_xlfn.IFNA(VLOOKUP($M100,Sedmica_2_količina_sva_sastojak!$C:$E,3,FALSE),"")</f>
        <v/>
      </c>
      <c r="O100" s="696" t="str">
        <f>IF(N100="","",COUNTIF($P$9:$P$255,"&lt;"&amp;P100)+COUNTIF($P$9:P100,P100))</f>
        <v/>
      </c>
      <c r="P100" s="694" t="str">
        <f t="shared" si="12"/>
        <v/>
      </c>
    </row>
    <row r="101" spans="1:16">
      <c r="A101" s="470">
        <v>93</v>
      </c>
      <c r="B101" s="451" t="str">
        <f t="shared" si="9"/>
        <v/>
      </c>
      <c r="C101" s="462" t="str">
        <f t="shared" si="10"/>
        <v/>
      </c>
      <c r="D101" s="446" t="str">
        <f>IF(B101="Jaje kokošje, celo",IF(C101=INT(C101),C101,C101+1),IF(B101=""," ",_xlfn.IFNA(INT(C101*1000/(VLOOKUP($B101,Ingredient_prices!$E:$J,6,FALSE)))+1,"nije nabavljen")))</f>
        <v xml:space="preserve"> </v>
      </c>
      <c r="E101" s="446" t="str">
        <f>IF(C101="","",VLOOKUP($B101,Ingredient_prices!$E:$K,7,FALSE))</f>
        <v/>
      </c>
      <c r="F101" s="462" t="str">
        <f>IF(C101="","",_xlfn.IFNA((VLOOKUP($B101,Ingredient_prices!$E:$P,11,FALSE)*I101),""))</f>
        <v/>
      </c>
      <c r="G101" s="450" t="str">
        <f>IF(C101="","",_xlfn.IFNA(MID(VLOOKUP($B101,Ingredient_prices!$E:$F,2,FALSE),9,2),""))</f>
        <v/>
      </c>
      <c r="H101" s="447" t="str">
        <f>_xlfn.IFNA(VLOOKUP(CONCATENATE($I$8,$G101),Ingredient_prices!$G:$N,8,FALSE),"")</f>
        <v/>
      </c>
      <c r="I101" s="548" t="str">
        <f t="shared" si="8"/>
        <v/>
      </c>
      <c r="J101" s="695" t="str">
        <f>IF(N101="","",MID(Ingredient_prices!F96,9,2))</f>
        <v/>
      </c>
      <c r="K101" s="692" t="str">
        <f t="shared" si="11"/>
        <v/>
      </c>
      <c r="L101" s="692" t="str">
        <f>IF(N101="","",COUNTIF($P$9:$P$255,"&lt;"&amp;P101)+COUNTIF($P$9:P101,P101))</f>
        <v/>
      </c>
      <c r="M101" s="692" t="str">
        <f>IF(Ingredient_prices!E96=M100,"",Ingredient_prices!E96)</f>
        <v>Wheat grains</v>
      </c>
      <c r="N101" s="693" t="str">
        <f>_xlfn.IFNA(VLOOKUP($M101,Sedmica_2_količina_sva_sastojak!$C:$E,3,FALSE),"")</f>
        <v/>
      </c>
      <c r="O101" s="696" t="str">
        <f>IF(N101="","",COUNTIF($P$9:$P$255,"&lt;"&amp;P101)+COUNTIF($P$9:P101,P101))</f>
        <v/>
      </c>
      <c r="P101" s="694" t="str">
        <f t="shared" si="12"/>
        <v/>
      </c>
    </row>
    <row r="102" spans="1:16">
      <c r="A102" s="470">
        <v>94</v>
      </c>
      <c r="B102" s="451" t="str">
        <f t="shared" si="9"/>
        <v/>
      </c>
      <c r="C102" s="462" t="str">
        <f t="shared" si="10"/>
        <v/>
      </c>
      <c r="D102" s="446" t="str">
        <f>IF(B102="Jaje kokošje, celo",IF(C102=INT(C102),C102,C102+1),IF(B102=""," ",_xlfn.IFNA(INT(C102*1000/(VLOOKUP($B102,Ingredient_prices!$E:$J,6,FALSE)))+1,"nije nabavljen")))</f>
        <v xml:space="preserve"> </v>
      </c>
      <c r="E102" s="446" t="str">
        <f>IF(C102="","",VLOOKUP($B102,Ingredient_prices!$E:$K,7,FALSE))</f>
        <v/>
      </c>
      <c r="F102" s="462" t="str">
        <f>IF(C102="","",_xlfn.IFNA((VLOOKUP($B102,Ingredient_prices!$E:$P,11,FALSE)*I102),""))</f>
        <v/>
      </c>
      <c r="G102" s="450" t="str">
        <f>IF(C102="","",_xlfn.IFNA(MID(VLOOKUP($B102,Ingredient_prices!$E:$F,2,FALSE),9,2),""))</f>
        <v/>
      </c>
      <c r="H102" s="447" t="str">
        <f>_xlfn.IFNA(VLOOKUP(CONCATENATE($I$8,$G102),Ingredient_prices!$G:$N,8,FALSE),"")</f>
        <v/>
      </c>
      <c r="I102" s="548" t="str">
        <f t="shared" si="8"/>
        <v/>
      </c>
      <c r="J102" s="695" t="str">
        <f>IF(N102="","",MID(Ingredient_prices!F97,9,2))</f>
        <v>2</v>
      </c>
      <c r="K102" s="692">
        <f t="shared" si="11"/>
        <v>23</v>
      </c>
      <c r="L102" s="692">
        <f>IF(N102="","",COUNTIF($P$9:$P$255,"&lt;"&amp;P102)+COUNTIF($P$9:P102,P102))</f>
        <v>30</v>
      </c>
      <c r="M102" s="692" t="str">
        <f>IF(Ingredient_prices!E97=M101,"",Ingredient_prices!E97)</f>
        <v>Cedevita orange</v>
      </c>
      <c r="N102" s="693">
        <f>_xlfn.IFNA(VLOOKUP($M102,Sedmica_2_količina_sva_sastojak!$C:$E,3,FALSE),"")</f>
        <v>2.7500000000000004</v>
      </c>
      <c r="O102" s="696">
        <f>IF(N102="","",COUNTIF($P$9:$P$255,"&lt;"&amp;P102)+COUNTIF($P$9:P102,P102))</f>
        <v>30</v>
      </c>
      <c r="P102" s="694">
        <f t="shared" si="12"/>
        <v>223</v>
      </c>
    </row>
    <row r="103" spans="1:16">
      <c r="A103" s="470">
        <v>95</v>
      </c>
      <c r="B103" s="451" t="str">
        <f t="shared" si="9"/>
        <v/>
      </c>
      <c r="C103" s="462" t="str">
        <f t="shared" si="10"/>
        <v/>
      </c>
      <c r="D103" s="446" t="str">
        <f>IF(B103="Jaje kokošje, celo",IF(C103=INT(C103),C103,C103+1),IF(B103=""," ",_xlfn.IFNA(INT(C103*1000/(VLOOKUP($B103,Ingredient_prices!$E:$J,6,FALSE)))+1,"nije nabavljen")))</f>
        <v xml:space="preserve"> </v>
      </c>
      <c r="E103" s="446" t="str">
        <f>IF(C103="","",VLOOKUP($B103,Ingredient_prices!$E:$K,7,FALSE))</f>
        <v/>
      </c>
      <c r="F103" s="462" t="str">
        <f>IF(C103="","",_xlfn.IFNA((VLOOKUP($B103,Ingredient_prices!$E:$P,11,FALSE)*I103),""))</f>
        <v/>
      </c>
      <c r="G103" s="450" t="str">
        <f>IF(C103="","",_xlfn.IFNA(MID(VLOOKUP($B103,Ingredient_prices!$E:$F,2,FALSE),9,2),""))</f>
        <v/>
      </c>
      <c r="H103" s="447" t="str">
        <f>_xlfn.IFNA(VLOOKUP(CONCATENATE($I$8,$G103),Ingredient_prices!$G:$N,8,FALSE),"")</f>
        <v/>
      </c>
      <c r="I103" s="548" t="str">
        <f t="shared" si="8"/>
        <v/>
      </c>
      <c r="J103" s="695" t="str">
        <f>IF(N103="","",MID(Ingredient_prices!F98,9,2))</f>
        <v>2</v>
      </c>
      <c r="K103" s="692">
        <f t="shared" si="11"/>
        <v>23</v>
      </c>
      <c r="L103" s="692">
        <f>IF(N103="","",COUNTIF($P$9:$P$255,"&lt;"&amp;P103)+COUNTIF($P$9:P103,P103))</f>
        <v>31</v>
      </c>
      <c r="M103" s="692" t="str">
        <f>IF(Ingredient_prices!E98=M102,"",Ingredient_prices!E98)</f>
        <v>Cedevita lemon</v>
      </c>
      <c r="N103" s="693">
        <f>_xlfn.IFNA(VLOOKUP($M103,Sedmica_2_količina_sva_sastojak!$C:$E,3,FALSE),"")</f>
        <v>2.7500000000000004</v>
      </c>
      <c r="O103" s="696">
        <f>IF(N103="","",COUNTIF($P$9:$P$255,"&lt;"&amp;P103)+COUNTIF($P$9:P103,P103))</f>
        <v>31</v>
      </c>
      <c r="P103" s="694">
        <f t="shared" si="12"/>
        <v>223</v>
      </c>
    </row>
    <row r="104" spans="1:16">
      <c r="A104" s="470">
        <v>96</v>
      </c>
      <c r="B104" s="451" t="str">
        <f t="shared" si="9"/>
        <v/>
      </c>
      <c r="C104" s="462" t="str">
        <f t="shared" si="10"/>
        <v/>
      </c>
      <c r="D104" s="446" t="str">
        <f>IF(B104="Jaje kokošje, celo",IF(C104=INT(C104),C104,C104+1),IF(B104=""," ",_xlfn.IFNA(INT(C104*1000/(VLOOKUP($B104,Ingredient_prices!$E:$J,6,FALSE)))+1,"nije nabavljen")))</f>
        <v xml:space="preserve"> </v>
      </c>
      <c r="E104" s="446" t="str">
        <f>IF(C104="","",VLOOKUP($B104,Ingredient_prices!$E:$K,7,FALSE))</f>
        <v/>
      </c>
      <c r="F104" s="462" t="str">
        <f>IF(C104="","",_xlfn.IFNA((VLOOKUP($B104,Ingredient_prices!$E:$P,11,FALSE)*I104),""))</f>
        <v/>
      </c>
      <c r="G104" s="450" t="str">
        <f>IF(C104="","",_xlfn.IFNA(MID(VLOOKUP($B104,Ingredient_prices!$E:$F,2,FALSE),9,2),""))</f>
        <v/>
      </c>
      <c r="H104" s="447" t="str">
        <f>_xlfn.IFNA(VLOOKUP(CONCATENATE($I$8,$G104),Ingredient_prices!$G:$N,8,FALSE),"")</f>
        <v/>
      </c>
      <c r="I104" s="548" t="str">
        <f t="shared" si="8"/>
        <v/>
      </c>
      <c r="J104" s="695" t="str">
        <f>IF(N104="","",MID(Ingredient_prices!F99,9,2))</f>
        <v/>
      </c>
      <c r="K104" s="692" t="str">
        <f t="shared" si="11"/>
        <v/>
      </c>
      <c r="L104" s="692" t="str">
        <f>IF(N104="","",COUNTIF($P$9:$P$255,"&lt;"&amp;P104)+COUNTIF($P$9:P104,P104))</f>
        <v/>
      </c>
      <c r="M104" s="692" t="str">
        <f>IF(Ingredient_prices!E99=M103,"",Ingredient_prices!E99)</f>
        <v>Apple juice</v>
      </c>
      <c r="N104" s="693" t="str">
        <f>_xlfn.IFNA(VLOOKUP($M104,Sedmica_2_količina_sva_sastojak!$C:$E,3,FALSE),"")</f>
        <v/>
      </c>
      <c r="O104" s="696" t="str">
        <f>IF(N104="","",COUNTIF($P$9:$P$255,"&lt;"&amp;P104)+COUNTIF($P$9:P104,P104))</f>
        <v/>
      </c>
      <c r="P104" s="694" t="str">
        <f t="shared" si="12"/>
        <v/>
      </c>
    </row>
    <row r="105" spans="1:16">
      <c r="A105" s="470">
        <v>97</v>
      </c>
      <c r="B105" s="451" t="str">
        <f t="shared" si="9"/>
        <v/>
      </c>
      <c r="C105" s="462" t="str">
        <f t="shared" si="10"/>
        <v/>
      </c>
      <c r="D105" s="446" t="str">
        <f>IF(B105="Jaje kokošje, celo",IF(C105=INT(C105),C105,C105+1),IF(B105=""," ",_xlfn.IFNA(INT(C105*1000/(VLOOKUP($B105,Ingredient_prices!$E:$J,6,FALSE)))+1,"nije nabavljen")))</f>
        <v xml:space="preserve"> </v>
      </c>
      <c r="E105" s="446" t="str">
        <f>IF(C105="","",VLOOKUP($B105,Ingredient_prices!$E:$K,7,FALSE))</f>
        <v/>
      </c>
      <c r="F105" s="462" t="str">
        <f>IF(C105="","",_xlfn.IFNA((VLOOKUP($B105,Ingredient_prices!$E:$P,11,FALSE)*I105),""))</f>
        <v/>
      </c>
      <c r="G105" s="450" t="str">
        <f>IF(C105="","",_xlfn.IFNA(MID(VLOOKUP($B105,Ingredient_prices!$E:$F,2,FALSE),9,2),""))</f>
        <v/>
      </c>
      <c r="H105" s="447" t="str">
        <f>_xlfn.IFNA(VLOOKUP(CONCATENATE($I$8,$G105),Ingredient_prices!$G:$N,8,FALSE),"")</f>
        <v/>
      </c>
      <c r="I105" s="548" t="str">
        <f t="shared" si="8"/>
        <v/>
      </c>
      <c r="J105" s="695" t="str">
        <f>IF(N105="","",MID(Ingredient_prices!F100,9,2))</f>
        <v>2</v>
      </c>
      <c r="K105" s="692">
        <f t="shared" si="11"/>
        <v>27</v>
      </c>
      <c r="L105" s="692">
        <f>IF(N105="","",COUNTIF($P$9:$P$255,"&lt;"&amp;P105)+COUNTIF($P$9:P105,P105))</f>
        <v>32</v>
      </c>
      <c r="M105" s="692" t="str">
        <f>IF(Ingredient_prices!E100=M104,"",Ingredient_prices!E100)</f>
        <v>Sugar granulated</v>
      </c>
      <c r="N105" s="693">
        <f>_xlfn.IFNA(VLOOKUP($M105,Sedmica_2_količina_sva_sastojak!$C:$E,3,FALSE),"")</f>
        <v>2.4200000000000004</v>
      </c>
      <c r="O105" s="696">
        <f>IF(N105="","",COUNTIF($P$9:$P$255,"&lt;"&amp;P105)+COUNTIF($P$9:P105,P105))</f>
        <v>32</v>
      </c>
      <c r="P105" s="694">
        <f t="shared" si="12"/>
        <v>227</v>
      </c>
    </row>
    <row r="106" spans="1:16">
      <c r="A106" s="470">
        <v>98</v>
      </c>
      <c r="B106" s="451" t="str">
        <f t="shared" si="9"/>
        <v/>
      </c>
      <c r="C106" s="462" t="str">
        <f t="shared" si="10"/>
        <v/>
      </c>
      <c r="D106" s="446" t="str">
        <f>IF(B106="Jaje kokošje, celo",IF(C106=INT(C106),C106,C106+1),IF(B106=""," ",_xlfn.IFNA(INT(C106*1000/(VLOOKUP($B106,Ingredient_prices!$E:$J,6,FALSE)))+1,"nije nabavljen")))</f>
        <v xml:space="preserve"> </v>
      </c>
      <c r="E106" s="446" t="str">
        <f>IF(C106="","",VLOOKUP($B106,Ingredient_prices!$E:$K,7,FALSE))</f>
        <v/>
      </c>
      <c r="F106" s="462" t="str">
        <f>IF(C106="","",_xlfn.IFNA((VLOOKUP($B106,Ingredient_prices!$E:$P,11,FALSE)*I106),""))</f>
        <v/>
      </c>
      <c r="G106" s="450" t="str">
        <f>IF(C106="","",_xlfn.IFNA(MID(VLOOKUP($B106,Ingredient_prices!$E:$F,2,FALSE),9,2),""))</f>
        <v/>
      </c>
      <c r="H106" s="447" t="str">
        <f>_xlfn.IFNA(VLOOKUP(CONCATENATE($I$8,$G106),Ingredient_prices!$G:$N,8,FALSE),"")</f>
        <v/>
      </c>
      <c r="I106" s="548" t="str">
        <f t="shared" ref="I106:I169" si="13">IFERROR(IF(MOD(D106,1)&gt;0.5,1+D106-MOD(D106,1),D106-MOD(D106,1)),"")</f>
        <v/>
      </c>
      <c r="J106" s="695" t="str">
        <f>IF(N106="","",MID(Ingredient_prices!F101,9,2))</f>
        <v>2</v>
      </c>
      <c r="K106" s="692">
        <f t="shared" si="11"/>
        <v>48</v>
      </c>
      <c r="L106" s="692">
        <f>IF(N106="","",COUNTIF($P$9:$P$255,"&lt;"&amp;P106)+COUNTIF($P$9:P106,P106))</f>
        <v>53</v>
      </c>
      <c r="M106" s="692" t="str">
        <f>IF(Ingredient_prices!E101=M105,"",Ingredient_prices!E101)</f>
        <v>Baking powder</v>
      </c>
      <c r="N106" s="693">
        <f>_xlfn.IFNA(VLOOKUP($M106,Sedmica_2_količina_sva_sastojak!$C:$E,3,FALSE),"")</f>
        <v>3.6300000000000006E-2</v>
      </c>
      <c r="O106" s="696">
        <f>IF(N106="","",COUNTIF($P$9:$P$255,"&lt;"&amp;P106)+COUNTIF($P$9:P106,P106))</f>
        <v>53</v>
      </c>
      <c r="P106" s="694">
        <f t="shared" si="12"/>
        <v>248</v>
      </c>
    </row>
    <row r="107" spans="1:16">
      <c r="A107" s="470">
        <v>99</v>
      </c>
      <c r="B107" s="451" t="str">
        <f t="shared" si="9"/>
        <v/>
      </c>
      <c r="C107" s="462" t="str">
        <f t="shared" si="10"/>
        <v/>
      </c>
      <c r="D107" s="446" t="str">
        <f>IF(B107="Jaje kokošje, celo",IF(C107=INT(C107),C107,C107+1),IF(B107=""," ",_xlfn.IFNA(INT(C107*1000/(VLOOKUP($B107,Ingredient_prices!$E:$J,6,FALSE)))+1,"nije nabavljen")))</f>
        <v xml:space="preserve"> </v>
      </c>
      <c r="E107" s="446" t="str">
        <f>IF(C107="","",VLOOKUP($B107,Ingredient_prices!$E:$K,7,FALSE))</f>
        <v/>
      </c>
      <c r="F107" s="462" t="str">
        <f>IF(C107="","",_xlfn.IFNA((VLOOKUP($B107,Ingredient_prices!$E:$P,11,FALSE)*I107),""))</f>
        <v/>
      </c>
      <c r="G107" s="450" t="str">
        <f>IF(C107="","",_xlfn.IFNA(MID(VLOOKUP($B107,Ingredient_prices!$E:$F,2,FALSE),9,2),""))</f>
        <v/>
      </c>
      <c r="H107" s="447" t="str">
        <f>_xlfn.IFNA(VLOOKUP(CONCATENATE($I$8,$G107),Ingredient_prices!$G:$N,8,FALSE),"")</f>
        <v/>
      </c>
      <c r="I107" s="548" t="str">
        <f t="shared" si="13"/>
        <v/>
      </c>
      <c r="J107" s="695" t="str">
        <f>IF(N107="","",MID(Ingredient_prices!F102,9,2))</f>
        <v/>
      </c>
      <c r="K107" s="692" t="str">
        <f t="shared" si="11"/>
        <v/>
      </c>
      <c r="L107" s="692" t="str">
        <f>IF(N107="","",COUNTIF($P$9:$P$255,"&lt;"&amp;P107)+COUNTIF($P$9:P107,P107))</f>
        <v/>
      </c>
      <c r="M107" s="692" t="str">
        <f>IF(Ingredient_prices!E102=M106,"",Ingredient_prices!E102)</f>
        <v>Vanilla flavoured sugar</v>
      </c>
      <c r="N107" s="693" t="str">
        <f>_xlfn.IFNA(VLOOKUP($M107,Sedmica_2_količina_sva_sastojak!$C:$E,3,FALSE),"")</f>
        <v/>
      </c>
      <c r="O107" s="696" t="str">
        <f>IF(N107="","",COUNTIF($P$9:$P$255,"&lt;"&amp;P107)+COUNTIF($P$9:P107,P107))</f>
        <v/>
      </c>
      <c r="P107" s="694" t="str">
        <f t="shared" si="12"/>
        <v/>
      </c>
    </row>
    <row r="108" spans="1:16">
      <c r="A108" s="470">
        <v>100</v>
      </c>
      <c r="B108" s="451" t="str">
        <f t="shared" si="9"/>
        <v/>
      </c>
      <c r="C108" s="462" t="str">
        <f t="shared" si="10"/>
        <v/>
      </c>
      <c r="D108" s="446" t="str">
        <f>IF(B108="Jaje kokošje, celo",IF(C108=INT(C108),C108,C108+1),IF(B108=""," ",_xlfn.IFNA(INT(C108*1000/(VLOOKUP($B108,Ingredient_prices!$E:$J,6,FALSE)))+1,"nije nabavljen")))</f>
        <v xml:space="preserve"> </v>
      </c>
      <c r="E108" s="446" t="str">
        <f>IF(C108="","",VLOOKUP($B108,Ingredient_prices!$E:$K,7,FALSE))</f>
        <v/>
      </c>
      <c r="F108" s="462" t="str">
        <f>IF(C108="","",_xlfn.IFNA((VLOOKUP($B108,Ingredient_prices!$E:$P,11,FALSE)*I108),""))</f>
        <v/>
      </c>
      <c r="G108" s="450" t="str">
        <f>IF(C108="","",_xlfn.IFNA(MID(VLOOKUP($B108,Ingredient_prices!$E:$F,2,FALSE),9,2),""))</f>
        <v/>
      </c>
      <c r="H108" s="447" t="str">
        <f>_xlfn.IFNA(VLOOKUP(CONCATENATE($I$8,$G108),Ingredient_prices!$G:$N,8,FALSE),"")</f>
        <v/>
      </c>
      <c r="I108" s="548" t="str">
        <f t="shared" si="13"/>
        <v/>
      </c>
      <c r="J108" s="695" t="str">
        <f>IF(N108="","",MID(Ingredient_prices!F103,9,2))</f>
        <v>2</v>
      </c>
      <c r="K108" s="692">
        <f t="shared" si="11"/>
        <v>44</v>
      </c>
      <c r="L108" s="692">
        <f>IF(N108="","",COUNTIF($P$9:$P$255,"&lt;"&amp;P108)+COUNTIF($P$9:P108,P108))</f>
        <v>49</v>
      </c>
      <c r="M108" s="692" t="str">
        <f>IF(Ingredient_prices!E103=M107,"",Ingredient_prices!E103)</f>
        <v>Icing sugar</v>
      </c>
      <c r="N108" s="693">
        <f>_xlfn.IFNA(VLOOKUP($M108,Sedmica_2_količina_sva_sastojak!$C:$E,3,FALSE),"")</f>
        <v>0.17600000000000002</v>
      </c>
      <c r="O108" s="696">
        <f>IF(N108="","",COUNTIF($P$9:$P$255,"&lt;"&amp;P108)+COUNTIF($P$9:P108,P108))</f>
        <v>49</v>
      </c>
      <c r="P108" s="694">
        <f t="shared" si="12"/>
        <v>244</v>
      </c>
    </row>
    <row r="109" spans="1:16">
      <c r="A109" s="470">
        <v>101</v>
      </c>
      <c r="B109" s="451" t="str">
        <f t="shared" si="9"/>
        <v/>
      </c>
      <c r="C109" s="462" t="str">
        <f t="shared" si="10"/>
        <v/>
      </c>
      <c r="D109" s="446" t="str">
        <f>IF(B109="Jaje kokošje, celo",IF(C109=INT(C109),C109,C109+1),IF(B109=""," ",_xlfn.IFNA(INT(C109*1000/(VLOOKUP($B109,Ingredient_prices!$E:$J,6,FALSE)))+1,"nije nabavljen")))</f>
        <v xml:space="preserve"> </v>
      </c>
      <c r="E109" s="446" t="str">
        <f>IF(C109="","",VLOOKUP($B109,Ingredient_prices!$E:$K,7,FALSE))</f>
        <v/>
      </c>
      <c r="F109" s="462" t="str">
        <f>IF(C109="","",_xlfn.IFNA((VLOOKUP($B109,Ingredient_prices!$E:$P,11,FALSE)*I109),""))</f>
        <v/>
      </c>
      <c r="G109" s="450" t="str">
        <f>IF(C109="","",_xlfn.IFNA(MID(VLOOKUP($B109,Ingredient_prices!$E:$F,2,FALSE),9,2),""))</f>
        <v/>
      </c>
      <c r="H109" s="447" t="str">
        <f>_xlfn.IFNA(VLOOKUP(CONCATENATE($I$8,$G109),Ingredient_prices!$G:$N,8,FALSE),"")</f>
        <v/>
      </c>
      <c r="I109" s="548" t="str">
        <f t="shared" si="13"/>
        <v/>
      </c>
      <c r="J109" s="695" t="str">
        <f>IF(N109="","",MID(Ingredient_prices!F104,9,2))</f>
        <v/>
      </c>
      <c r="K109" s="692" t="str">
        <f t="shared" si="11"/>
        <v/>
      </c>
      <c r="L109" s="692" t="str">
        <f>IF(N109="","",COUNTIF($P$9:$P$255,"&lt;"&amp;P109)+COUNTIF($P$9:P109,P109))</f>
        <v/>
      </c>
      <c r="M109" s="692" t="str">
        <f>IF(Ingredient_prices!E104=M108,"",Ingredient_prices!E104)</f>
        <v>Chocolate pudding</v>
      </c>
      <c r="N109" s="693" t="str">
        <f>_xlfn.IFNA(VLOOKUP($M109,Sedmica_2_količina_sva_sastojak!$C:$E,3,FALSE),"")</f>
        <v/>
      </c>
      <c r="O109" s="696" t="str">
        <f>IF(N109="","",COUNTIF($P$9:$P$255,"&lt;"&amp;P109)+COUNTIF($P$9:P109,P109))</f>
        <v/>
      </c>
      <c r="P109" s="694" t="str">
        <f t="shared" si="12"/>
        <v/>
      </c>
    </row>
    <row r="110" spans="1:16">
      <c r="A110" s="470">
        <v>102</v>
      </c>
      <c r="B110" s="451" t="str">
        <f t="shared" si="9"/>
        <v/>
      </c>
      <c r="C110" s="462" t="str">
        <f t="shared" si="10"/>
        <v/>
      </c>
      <c r="D110" s="446" t="str">
        <f>IF(B110="Jaje kokošje, celo",IF(C110=INT(C110),C110,C110+1),IF(B110=""," ",_xlfn.IFNA(INT(C110*1000/(VLOOKUP($B110,Ingredient_prices!$E:$J,6,FALSE)))+1,"nije nabavljen")))</f>
        <v xml:space="preserve"> </v>
      </c>
      <c r="E110" s="446" t="str">
        <f>IF(C110="","",VLOOKUP($B110,Ingredient_prices!$E:$K,7,FALSE))</f>
        <v/>
      </c>
      <c r="F110" s="462" t="str">
        <f>IF(C110="","",_xlfn.IFNA((VLOOKUP($B110,Ingredient_prices!$E:$P,11,FALSE)*I110),""))</f>
        <v/>
      </c>
      <c r="G110" s="450" t="str">
        <f>IF(C110="","",_xlfn.IFNA(MID(VLOOKUP($B110,Ingredient_prices!$E:$F,2,FALSE),9,2),""))</f>
        <v/>
      </c>
      <c r="H110" s="447" t="str">
        <f>_xlfn.IFNA(VLOOKUP(CONCATENATE($I$8,$G110),Ingredient_prices!$G:$N,8,FALSE),"")</f>
        <v/>
      </c>
      <c r="I110" s="548" t="str">
        <f t="shared" si="13"/>
        <v/>
      </c>
      <c r="J110" s="695" t="str">
        <f>IF(N110="","",MID(Ingredient_prices!F105,9,2))</f>
        <v/>
      </c>
      <c r="K110" s="692" t="str">
        <f t="shared" si="11"/>
        <v/>
      </c>
      <c r="L110" s="692" t="str">
        <f>IF(N110="","",COUNTIF($P$9:$P$255,"&lt;"&amp;P110)+COUNTIF($P$9:P110,P110))</f>
        <v/>
      </c>
      <c r="M110" s="692" t="str">
        <f>IF(Ingredient_prices!E105=M109,"",Ingredient_prices!E105)</f>
        <v>Vanilla pudding</v>
      </c>
      <c r="N110" s="693" t="str">
        <f>_xlfn.IFNA(VLOOKUP($M110,Sedmica_2_količina_sva_sastojak!$C:$E,3,FALSE),"")</f>
        <v/>
      </c>
      <c r="O110" s="696" t="str">
        <f>IF(N110="","",COUNTIF($P$9:$P$255,"&lt;"&amp;P110)+COUNTIF($P$9:P110,P110))</f>
        <v/>
      </c>
      <c r="P110" s="694" t="str">
        <f t="shared" si="12"/>
        <v/>
      </c>
    </row>
    <row r="111" spans="1:16">
      <c r="A111" s="470">
        <v>103</v>
      </c>
      <c r="B111" s="451" t="str">
        <f t="shared" si="9"/>
        <v/>
      </c>
      <c r="C111" s="462" t="str">
        <f t="shared" si="10"/>
        <v/>
      </c>
      <c r="D111" s="446" t="str">
        <f>IF(B111="Jaje kokošje, celo",IF(C111=INT(C111),C111,C111+1),IF(B111=""," ",_xlfn.IFNA(INT(C111*1000/(VLOOKUP($B111,Ingredient_prices!$E:$J,6,FALSE)))+1,"nije nabavljen")))</f>
        <v xml:space="preserve"> </v>
      </c>
      <c r="E111" s="446" t="str">
        <f>IF(C111="","",VLOOKUP($B111,Ingredient_prices!$E:$K,7,FALSE))</f>
        <v/>
      </c>
      <c r="F111" s="462" t="str">
        <f>IF(C111="","",_xlfn.IFNA((VLOOKUP($B111,Ingredient_prices!$E:$P,11,FALSE)*I111),""))</f>
        <v/>
      </c>
      <c r="G111" s="450" t="str">
        <f>IF(C111="","",_xlfn.IFNA(MID(VLOOKUP($B111,Ingredient_prices!$E:$F,2,FALSE),9,2),""))</f>
        <v/>
      </c>
      <c r="H111" s="447" t="str">
        <f>_xlfn.IFNA(VLOOKUP(CONCATENATE($I$8,$G111),Ingredient_prices!$G:$N,8,FALSE),"")</f>
        <v/>
      </c>
      <c r="I111" s="548" t="str">
        <f t="shared" si="13"/>
        <v/>
      </c>
      <c r="J111" s="695" t="str">
        <f>IF(N111="","",MID(Ingredient_prices!F106,9,2))</f>
        <v/>
      </c>
      <c r="K111" s="692" t="str">
        <f t="shared" si="11"/>
        <v/>
      </c>
      <c r="L111" s="692" t="str">
        <f>IF(N111="","",COUNTIF($P$9:$P$255,"&lt;"&amp;P111)+COUNTIF($P$9:P111,P111))</f>
        <v/>
      </c>
      <c r="M111" s="692" t="str">
        <f>IF(Ingredient_prices!E106=M110,"",Ingredient_prices!E106)</f>
        <v>Apricot filling</v>
      </c>
      <c r="N111" s="693" t="str">
        <f>_xlfn.IFNA(VLOOKUP($M111,Sedmica_2_količina_sva_sastojak!$C:$E,3,FALSE),"")</f>
        <v/>
      </c>
      <c r="O111" s="696" t="str">
        <f>IF(N111="","",COUNTIF($P$9:$P$255,"&lt;"&amp;P111)+COUNTIF($P$9:P111,P111))</f>
        <v/>
      </c>
      <c r="P111" s="694" t="str">
        <f t="shared" si="12"/>
        <v/>
      </c>
    </row>
    <row r="112" spans="1:16">
      <c r="A112" s="470">
        <v>104</v>
      </c>
      <c r="B112" s="451" t="str">
        <f t="shared" si="9"/>
        <v/>
      </c>
      <c r="C112" s="462" t="str">
        <f t="shared" si="10"/>
        <v/>
      </c>
      <c r="D112" s="446" t="str">
        <f>IF(B112="Jaje kokošje, celo",IF(C112=INT(C112),C112,C112+1),IF(B112=""," ",_xlfn.IFNA(INT(C112*1000/(VLOOKUP($B112,Ingredient_prices!$E:$J,6,FALSE)))+1,"nije nabavljen")))</f>
        <v xml:space="preserve"> </v>
      </c>
      <c r="E112" s="446" t="str">
        <f>IF(C112="","",VLOOKUP($B112,Ingredient_prices!$E:$K,7,FALSE))</f>
        <v/>
      </c>
      <c r="F112" s="462" t="str">
        <f>IF(C112="","",_xlfn.IFNA((VLOOKUP($B112,Ingredient_prices!$E:$P,11,FALSE)*I112),""))</f>
        <v/>
      </c>
      <c r="G112" s="450" t="str">
        <f>IF(C112="","",_xlfn.IFNA(MID(VLOOKUP($B112,Ingredient_prices!$E:$F,2,FALSE),9,2),""))</f>
        <v/>
      </c>
      <c r="H112" s="447" t="str">
        <f>_xlfn.IFNA(VLOOKUP(CONCATENATE($I$8,$G112),Ingredient_prices!$G:$N,8,FALSE),"")</f>
        <v/>
      </c>
      <c r="I112" s="548" t="str">
        <f t="shared" si="13"/>
        <v/>
      </c>
      <c r="J112" s="695" t="str">
        <f>IF(N112="","",MID(Ingredient_prices!F107,9,2))</f>
        <v/>
      </c>
      <c r="K112" s="692" t="str">
        <f t="shared" si="11"/>
        <v/>
      </c>
      <c r="L112" s="692" t="str">
        <f>IF(N112="","",COUNTIF($P$9:$P$255,"&lt;"&amp;P112)+COUNTIF($P$9:P112,P112))</f>
        <v/>
      </c>
      <c r="M112" s="692" t="str">
        <f>IF(Ingredient_prices!E107=M111,"",Ingredient_prices!E107)</f>
        <v>Cherry filling</v>
      </c>
      <c r="N112" s="693" t="str">
        <f>_xlfn.IFNA(VLOOKUP($M112,Sedmica_2_količina_sva_sastojak!$C:$E,3,FALSE),"")</f>
        <v/>
      </c>
      <c r="O112" s="696" t="str">
        <f>IF(N112="","",COUNTIF($P$9:$P$255,"&lt;"&amp;P112)+COUNTIF($P$9:P112,P112))</f>
        <v/>
      </c>
      <c r="P112" s="694" t="str">
        <f t="shared" si="12"/>
        <v/>
      </c>
    </row>
    <row r="113" spans="1:17">
      <c r="A113" s="470">
        <v>105</v>
      </c>
      <c r="B113" s="451" t="str">
        <f t="shared" si="9"/>
        <v/>
      </c>
      <c r="C113" s="462" t="str">
        <f t="shared" si="10"/>
        <v/>
      </c>
      <c r="D113" s="446" t="str">
        <f>IF(B113="Jaje kokošje, celo",IF(C113=INT(C113),C113,C113+1),IF(B113=""," ",_xlfn.IFNA(INT(C113*1000/(VLOOKUP($B113,Ingredient_prices!$E:$J,6,FALSE)))+1,"nije nabavljen")))</f>
        <v xml:space="preserve"> </v>
      </c>
      <c r="E113" s="446" t="str">
        <f>IF(C113="","",VLOOKUP($B113,Ingredient_prices!$E:$K,7,FALSE))</f>
        <v/>
      </c>
      <c r="F113" s="462" t="str">
        <f>IF(C113="","",_xlfn.IFNA((VLOOKUP($B113,Ingredient_prices!$E:$P,11,FALSE)*I113),""))</f>
        <v/>
      </c>
      <c r="G113" s="450" t="str">
        <f>IF(C113="","",_xlfn.IFNA(MID(VLOOKUP($B113,Ingredient_prices!$E:$F,2,FALSE),9,2),""))</f>
        <v/>
      </c>
      <c r="H113" s="447" t="str">
        <f>_xlfn.IFNA(VLOOKUP(CONCATENATE($I$8,$G113),Ingredient_prices!$G:$N,8,FALSE),"")</f>
        <v/>
      </c>
      <c r="I113" s="548" t="str">
        <f t="shared" si="13"/>
        <v/>
      </c>
      <c r="J113" s="695" t="str">
        <f>IF(N113="","",MID(Ingredient_prices!F108,9,2))</f>
        <v/>
      </c>
      <c r="K113" s="692" t="str">
        <f t="shared" si="11"/>
        <v/>
      </c>
      <c r="L113" s="692" t="str">
        <f>IF(N113="","",COUNTIF($P$9:$P$255,"&lt;"&amp;P113)+COUNTIF($P$9:P113,P113))</f>
        <v/>
      </c>
      <c r="M113" s="692" t="str">
        <f>IF(Ingredient_prices!E108=M112,"",Ingredient_prices!E108)</f>
        <v>Plum jam</v>
      </c>
      <c r="N113" s="693" t="str">
        <f>_xlfn.IFNA(VLOOKUP($M113,Sedmica_2_količina_sva_sastojak!$C:$E,3,FALSE),"")</f>
        <v/>
      </c>
      <c r="O113" s="696" t="str">
        <f>IF(N113="","",COUNTIF($P$9:$P$255,"&lt;"&amp;P113)+COUNTIF($P$9:P113,P113))</f>
        <v/>
      </c>
      <c r="P113" s="694" t="str">
        <f t="shared" si="12"/>
        <v/>
      </c>
    </row>
    <row r="114" spans="1:17">
      <c r="A114" s="470">
        <v>106</v>
      </c>
      <c r="B114" s="451" t="str">
        <f t="shared" si="9"/>
        <v/>
      </c>
      <c r="C114" s="462" t="str">
        <f t="shared" si="10"/>
        <v/>
      </c>
      <c r="D114" s="446" t="str">
        <f>IF(B114="Jaje kokošje, celo",IF(C114=INT(C114),C114,C114+1),IF(B114=""," ",_xlfn.IFNA(INT(C114*1000/(VLOOKUP($B114,Ingredient_prices!$E:$J,6,FALSE)))+1,"nije nabavljen")))</f>
        <v xml:space="preserve"> </v>
      </c>
      <c r="E114" s="446" t="str">
        <f>IF(C114="","",VLOOKUP($B114,Ingredient_prices!$E:$K,7,FALSE))</f>
        <v/>
      </c>
      <c r="F114" s="462" t="str">
        <f>IF(C114="","",_xlfn.IFNA((VLOOKUP($B114,Ingredient_prices!$E:$P,11,FALSE)*I114),""))</f>
        <v/>
      </c>
      <c r="G114" s="450" t="str">
        <f>IF(C114="","",_xlfn.IFNA(MID(VLOOKUP($B114,Ingredient_prices!$E:$F,2,FALSE),9,2),""))</f>
        <v/>
      </c>
      <c r="H114" s="447" t="str">
        <f>_xlfn.IFNA(VLOOKUP(CONCATENATE($I$8,$G114),Ingredient_prices!$G:$N,8,FALSE),"")</f>
        <v/>
      </c>
      <c r="I114" s="548" t="str">
        <f t="shared" si="13"/>
        <v/>
      </c>
      <c r="J114" s="695" t="str">
        <f>IF(N114="","",MID(Ingredient_prices!F109,9,2))</f>
        <v>2</v>
      </c>
      <c r="K114" s="692">
        <f t="shared" si="11"/>
        <v>38</v>
      </c>
      <c r="L114" s="692">
        <f>IF(N114="","",COUNTIF($P$9:$P$255,"&lt;"&amp;P114)+COUNTIF($P$9:P114,P114))</f>
        <v>43</v>
      </c>
      <c r="M114" s="692" t="str">
        <f>IF(Ingredient_prices!E109=M113,"",Ingredient_prices!E109)</f>
        <v>Rose hip jam</v>
      </c>
      <c r="N114" s="693">
        <f>_xlfn.IFNA(VLOOKUP($M114,Sedmica_2_količina_sva_sastojak!$C:$E,3,FALSE),"")</f>
        <v>1.1000000000000001</v>
      </c>
      <c r="O114" s="696">
        <f>IF(N114="","",COUNTIF($P$9:$P$255,"&lt;"&amp;P114)+COUNTIF($P$9:P114,P114))</f>
        <v>43</v>
      </c>
      <c r="P114" s="694">
        <f t="shared" si="12"/>
        <v>238</v>
      </c>
    </row>
    <row r="115" spans="1:17">
      <c r="A115" s="470">
        <v>107</v>
      </c>
      <c r="B115" s="451" t="str">
        <f t="shared" si="9"/>
        <v/>
      </c>
      <c r="C115" s="462" t="str">
        <f t="shared" si="10"/>
        <v/>
      </c>
      <c r="D115" s="446" t="str">
        <f>IF(B115="Jaje kokošje, celo",IF(C115=INT(C115),C115,C115+1),IF(B115=""," ",_xlfn.IFNA(INT(C115*1000/(VLOOKUP($B115,Ingredient_prices!$E:$J,6,FALSE)))+1,"nije nabavljen")))</f>
        <v xml:space="preserve"> </v>
      </c>
      <c r="E115" s="446" t="str">
        <f>IF(C115="","",VLOOKUP($B115,Ingredient_prices!$E:$K,7,FALSE))</f>
        <v/>
      </c>
      <c r="F115" s="462" t="str">
        <f>IF(C115="","",_xlfn.IFNA((VLOOKUP($B115,Ingredient_prices!$E:$P,11,FALSE)*I115),""))</f>
        <v/>
      </c>
      <c r="G115" s="450" t="str">
        <f>IF(C115="","",_xlfn.IFNA(MID(VLOOKUP($B115,Ingredient_prices!$E:$F,2,FALSE),9,2),""))</f>
        <v/>
      </c>
      <c r="H115" s="447" t="str">
        <f>_xlfn.IFNA(VLOOKUP(CONCATENATE($I$8,$G115),Ingredient_prices!$G:$N,8,FALSE),"")</f>
        <v/>
      </c>
      <c r="I115" s="548" t="str">
        <f t="shared" si="13"/>
        <v/>
      </c>
      <c r="J115" s="695" t="str">
        <f>IF(N115="","",MID(Ingredient_prices!F110,9,2))</f>
        <v/>
      </c>
      <c r="K115" s="692" t="str">
        <f t="shared" si="11"/>
        <v/>
      </c>
      <c r="L115" s="692" t="str">
        <f>IF(N115="","",COUNTIF($P$9:$P$255,"&lt;"&amp;P115)+COUNTIF($P$9:P115,P115))</f>
        <v/>
      </c>
      <c r="M115" s="692" t="str">
        <f>IF(Ingredient_prices!E110=M114,"",Ingredient_prices!E110)</f>
        <v>Apricot jam</v>
      </c>
      <c r="N115" s="693" t="str">
        <f>_xlfn.IFNA(VLOOKUP($M115,Sedmica_2_količina_sva_sastojak!$C:$E,3,FALSE),"")</f>
        <v/>
      </c>
      <c r="O115" s="696" t="str">
        <f>IF(N115="","",COUNTIF($P$9:$P$255,"&lt;"&amp;P115)+COUNTIF($P$9:P115,P115))</f>
        <v/>
      </c>
      <c r="P115" s="694" t="str">
        <f t="shared" si="12"/>
        <v/>
      </c>
    </row>
    <row r="116" spans="1:17">
      <c r="A116" s="470">
        <v>108</v>
      </c>
      <c r="B116" s="451" t="str">
        <f t="shared" si="9"/>
        <v/>
      </c>
      <c r="C116" s="462" t="str">
        <f t="shared" si="10"/>
        <v/>
      </c>
      <c r="D116" s="446" t="str">
        <f>IF(B116="Jaje kokošje, celo",IF(C116=INT(C116),C116,C116+1),IF(B116=""," ",_xlfn.IFNA(INT(C116*1000/(VLOOKUP($B116,Ingredient_prices!$E:$J,6,FALSE)))+1,"nije nabavljen")))</f>
        <v xml:space="preserve"> </v>
      </c>
      <c r="E116" s="446" t="str">
        <f>IF(C116="","",VLOOKUP($B116,Ingredient_prices!$E:$K,7,FALSE))</f>
        <v/>
      </c>
      <c r="F116" s="462" t="str">
        <f>IF(C116="","",_xlfn.IFNA((VLOOKUP($B116,Ingredient_prices!$E:$P,11,FALSE)*I116),""))</f>
        <v/>
      </c>
      <c r="G116" s="450" t="str">
        <f>IF(C116="","",_xlfn.IFNA(MID(VLOOKUP($B116,Ingredient_prices!$E:$F,2,FALSE),9,2),""))</f>
        <v/>
      </c>
      <c r="H116" s="447" t="str">
        <f>_xlfn.IFNA(VLOOKUP(CONCATENATE($I$8,$G116),Ingredient_prices!$G:$N,8,FALSE),"")</f>
        <v/>
      </c>
      <c r="I116" s="548" t="str">
        <f t="shared" si="13"/>
        <v/>
      </c>
      <c r="J116" s="695" t="str">
        <f>IF(N116="","",MID(Ingredient_prices!F111,9,2))</f>
        <v/>
      </c>
      <c r="K116" s="692" t="str">
        <f t="shared" si="11"/>
        <v/>
      </c>
      <c r="L116" s="692" t="str">
        <f>IF(N116="","",COUNTIF($P$9:$P$255,"&lt;"&amp;P116)+COUNTIF($P$9:P116,P116))</f>
        <v/>
      </c>
      <c r="M116" s="692" t="str">
        <f>IF(Ingredient_prices!E111=M115,"",Ingredient_prices!E111)</f>
        <v>Honey</v>
      </c>
      <c r="N116" s="693" t="str">
        <f>_xlfn.IFNA(VLOOKUP($M116,Sedmica_2_količina_sva_sastojak!$C:$E,3,FALSE),"")</f>
        <v/>
      </c>
      <c r="O116" s="696" t="str">
        <f>IF(N116="","",COUNTIF($P$9:$P$255,"&lt;"&amp;P116)+COUNTIF($P$9:P116,P116))</f>
        <v/>
      </c>
      <c r="P116" s="694" t="str">
        <f t="shared" si="12"/>
        <v/>
      </c>
    </row>
    <row r="117" spans="1:17">
      <c r="A117" s="470">
        <v>109</v>
      </c>
      <c r="B117" s="451" t="str">
        <f t="shared" si="9"/>
        <v/>
      </c>
      <c r="C117" s="462" t="str">
        <f t="shared" si="10"/>
        <v/>
      </c>
      <c r="D117" s="446" t="str">
        <f>IF(B117="Jaje kokošje, celo",IF(C117=INT(C117),C117,C117+1),IF(B117=""," ",_xlfn.IFNA(INT(C117*1000/(VLOOKUP($B117,Ingredient_prices!$E:$J,6,FALSE)))+1,"nije nabavljen")))</f>
        <v xml:space="preserve"> </v>
      </c>
      <c r="E117" s="446" t="str">
        <f>IF(C117="","",VLOOKUP($B117,Ingredient_prices!$E:$K,7,FALSE))</f>
        <v/>
      </c>
      <c r="F117" s="462" t="str">
        <f>IF(C117="","",_xlfn.IFNA((VLOOKUP($B117,Ingredient_prices!$E:$P,11,FALSE)*I117),""))</f>
        <v/>
      </c>
      <c r="G117" s="450" t="str">
        <f>IF(C117="","",_xlfn.IFNA(MID(VLOOKUP($B117,Ingredient_prices!$E:$F,2,FALSE),9,2),""))</f>
        <v/>
      </c>
      <c r="H117" s="447" t="str">
        <f>_xlfn.IFNA(VLOOKUP(CONCATENATE($I$8,$G117),Ingredient_prices!$G:$N,8,FALSE),"")</f>
        <v/>
      </c>
      <c r="I117" s="548" t="str">
        <f t="shared" si="13"/>
        <v/>
      </c>
      <c r="J117" s="695" t="str">
        <f>IF(N117="","",MID(Ingredient_prices!F112,9,2))</f>
        <v/>
      </c>
      <c r="K117" s="692" t="str">
        <f t="shared" si="11"/>
        <v/>
      </c>
      <c r="L117" s="692" t="str">
        <f>IF(N117="","",COUNTIF($P$9:$P$255,"&lt;"&amp;P117)+COUNTIF($P$9:P117,P117))</f>
        <v/>
      </c>
      <c r="M117" s="692" t="str">
        <f>IF(Ingredient_prices!E112=M116,"",Ingredient_prices!E112)</f>
        <v>Sweet pepper (dry), ground</v>
      </c>
      <c r="N117" s="693" t="str">
        <f>_xlfn.IFNA(VLOOKUP($M117,Sedmica_2_količina_sva_sastojak!$C:$E,3,FALSE),"")</f>
        <v/>
      </c>
      <c r="O117" s="696" t="str">
        <f>IF(N117="","",COUNTIF($P$9:$P$255,"&lt;"&amp;P117)+COUNTIF($P$9:P117,P117))</f>
        <v/>
      </c>
      <c r="P117" s="694" t="str">
        <f t="shared" si="12"/>
        <v/>
      </c>
    </row>
    <row r="118" spans="1:17">
      <c r="A118" s="470">
        <v>110</v>
      </c>
      <c r="B118" s="451" t="str">
        <f t="shared" si="9"/>
        <v/>
      </c>
      <c r="C118" s="462" t="str">
        <f t="shared" si="10"/>
        <v/>
      </c>
      <c r="D118" s="446" t="str">
        <f>IF(B118="Jaje kokošje, celo",IF(C118=INT(C118),C118,C118+1),IF(B118=""," ",_xlfn.IFNA(INT(C118*1000/(VLOOKUP($B118,Ingredient_prices!$E:$J,6,FALSE)))+1,"nije nabavljen")))</f>
        <v xml:space="preserve"> </v>
      </c>
      <c r="E118" s="446" t="str">
        <f>IF(C118="","",VLOOKUP($B118,Ingredient_prices!$E:$K,7,FALSE))</f>
        <v/>
      </c>
      <c r="F118" s="462" t="str">
        <f>IF(C118="","",_xlfn.IFNA((VLOOKUP($B118,Ingredient_prices!$E:$P,11,FALSE)*I118),""))</f>
        <v/>
      </c>
      <c r="G118" s="450" t="str">
        <f>IF(C118="","",_xlfn.IFNA(MID(VLOOKUP($B118,Ingredient_prices!$E:$F,2,FALSE),9,2),""))</f>
        <v/>
      </c>
      <c r="H118" s="447" t="str">
        <f>_xlfn.IFNA(VLOOKUP(CONCATENATE($I$8,$G118),Ingredient_prices!$G:$N,8,FALSE),"")</f>
        <v/>
      </c>
      <c r="I118" s="548" t="str">
        <f t="shared" si="13"/>
        <v/>
      </c>
      <c r="J118" s="695" t="str">
        <f>IF(N118="","",MID(Ingredient_prices!F113,9,2))</f>
        <v>2</v>
      </c>
      <c r="K118" s="692">
        <f t="shared" si="11"/>
        <v>45</v>
      </c>
      <c r="L118" s="692">
        <f>IF(N118="","",COUNTIF($P$9:$P$255,"&lt;"&amp;P118)+COUNTIF($P$9:P118,P118))</f>
        <v>50</v>
      </c>
      <c r="M118" s="692" t="str">
        <f>IF(Ingredient_prices!E113=M117,"",Ingredient_prices!E113)</f>
        <v>Salt</v>
      </c>
      <c r="N118" s="693">
        <f>_xlfn.IFNA(VLOOKUP($M118,Sedmica_2_količina_sva_sastojak!$C:$E,3,FALSE),"")</f>
        <v>0.1749</v>
      </c>
      <c r="O118" s="696">
        <f>IF(N118="","",COUNTIF($P$9:$P$255,"&lt;"&amp;P118)+COUNTIF($P$9:P118,P118))</f>
        <v>50</v>
      </c>
      <c r="P118" s="694">
        <f t="shared" si="12"/>
        <v>245</v>
      </c>
    </row>
    <row r="119" spans="1:17">
      <c r="A119" s="470">
        <v>111</v>
      </c>
      <c r="B119" s="451" t="str">
        <f t="shared" si="9"/>
        <v/>
      </c>
      <c r="C119" s="462" t="str">
        <f t="shared" si="10"/>
        <v/>
      </c>
      <c r="D119" s="446" t="str">
        <f>IF(B119="Jaje kokošje, celo",IF(C119=INT(C119),C119,C119+1),IF(B119=""," ",_xlfn.IFNA(INT(C119*1000/(VLOOKUP($B119,Ingredient_prices!$E:$J,6,FALSE)))+1,"nije nabavljen")))</f>
        <v xml:space="preserve"> </v>
      </c>
      <c r="E119" s="446" t="str">
        <f>IF(C119="","",VLOOKUP($B119,Ingredient_prices!$E:$K,7,FALSE))</f>
        <v/>
      </c>
      <c r="F119" s="462" t="str">
        <f>IF(C119="","",_xlfn.IFNA((VLOOKUP($B119,Ingredient_prices!$E:$P,11,FALSE)*I119),""))</f>
        <v/>
      </c>
      <c r="G119" s="450" t="str">
        <f>IF(C119="","",_xlfn.IFNA(MID(VLOOKUP($B119,Ingredient_prices!$E:$F,2,FALSE),9,2),""))</f>
        <v/>
      </c>
      <c r="H119" s="447" t="str">
        <f>_xlfn.IFNA(VLOOKUP(CONCATENATE($I$8,$G119),Ingredient_prices!$G:$N,8,FALSE),"")</f>
        <v/>
      </c>
      <c r="I119" s="548" t="str">
        <f t="shared" si="13"/>
        <v/>
      </c>
      <c r="J119" s="695" t="str">
        <f>IF(N119="","",MID(Ingredient_prices!F114,9,2))</f>
        <v>2</v>
      </c>
      <c r="K119" s="692">
        <f t="shared" si="11"/>
        <v>46</v>
      </c>
      <c r="L119" s="692">
        <f>IF(N119="","",COUNTIF($P$9:$P$255,"&lt;"&amp;P119)+COUNTIF($P$9:P119,P119))</f>
        <v>51</v>
      </c>
      <c r="M119" s="692" t="str">
        <f>IF(Ingredient_prices!E114=M118,"",Ingredient_prices!E114)</f>
        <v>Spice C</v>
      </c>
      <c r="N119" s="693">
        <f>_xlfn.IFNA(VLOOKUP($M119,Sedmica_2_količina_sva_sastojak!$C:$E,3,FALSE),"")</f>
        <v>6.6000000000000003E-2</v>
      </c>
      <c r="O119" s="696">
        <f>IF(N119="","",COUNTIF($P$9:$P$255,"&lt;"&amp;P119)+COUNTIF($P$9:P119,P119))</f>
        <v>51</v>
      </c>
      <c r="P119" s="694">
        <f t="shared" si="12"/>
        <v>246</v>
      </c>
    </row>
    <row r="120" spans="1:17">
      <c r="A120" s="470">
        <v>112</v>
      </c>
      <c r="B120" s="451" t="str">
        <f t="shared" si="9"/>
        <v/>
      </c>
      <c r="C120" s="462" t="str">
        <f t="shared" si="10"/>
        <v/>
      </c>
      <c r="D120" s="446" t="str">
        <f>IF(B120="Jaje kokošje, celo",IF(C120=INT(C120),C120,C120+1),IF(B120=""," ",_xlfn.IFNA(INT(C120*1000/(VLOOKUP($B120,Ingredient_prices!$E:$J,6,FALSE)))+1,"nije nabavljen")))</f>
        <v xml:space="preserve"> </v>
      </c>
      <c r="E120" s="446" t="str">
        <f>IF(C120="","",VLOOKUP($B120,Ingredient_prices!$E:$K,7,FALSE))</f>
        <v/>
      </c>
      <c r="F120" s="462" t="str">
        <f>IF(C120="","",_xlfn.IFNA((VLOOKUP($B120,Ingredient_prices!$E:$P,11,FALSE)*I120),""))</f>
        <v/>
      </c>
      <c r="G120" s="450" t="str">
        <f>IF(C120="","",_xlfn.IFNA(MID(VLOOKUP($B120,Ingredient_prices!$E:$F,2,FALSE),9,2),""))</f>
        <v/>
      </c>
      <c r="H120" s="447" t="str">
        <f>_xlfn.IFNA(VLOOKUP(CONCATENATE($I$8,$G120),Ingredient_prices!$G:$N,8,FALSE),"")</f>
        <v/>
      </c>
      <c r="I120" s="548" t="str">
        <f t="shared" si="13"/>
        <v/>
      </c>
      <c r="J120" s="695" t="str">
        <f>IF(N120="","",MID(Ingredient_prices!F115,9,2))</f>
        <v/>
      </c>
      <c r="K120" s="692" t="str">
        <f t="shared" si="11"/>
        <v/>
      </c>
      <c r="L120" s="692" t="str">
        <f>IF(N120="","",COUNTIF($P$9:$P$255,"&lt;"&amp;P120)+COUNTIF($P$9:P120,P120))</f>
        <v/>
      </c>
      <c r="M120" s="692" t="str">
        <f>IF(Ingredient_prices!E115=M119,"",Ingredient_prices!E115)</f>
        <v>Oregano, dry</v>
      </c>
      <c r="N120" s="693" t="str">
        <f>_xlfn.IFNA(VLOOKUP($M120,Sedmica_2_količina_sva_sastojak!$C:$E,3,FALSE),"")</f>
        <v/>
      </c>
      <c r="O120" s="696" t="str">
        <f>IF(N120="","",COUNTIF($P$9:$P$255,"&lt;"&amp;P120)+COUNTIF($P$9:P120,P120))</f>
        <v/>
      </c>
      <c r="P120" s="694" t="str">
        <f t="shared" si="12"/>
        <v/>
      </c>
    </row>
    <row r="121" spans="1:17">
      <c r="A121" s="470">
        <v>113</v>
      </c>
      <c r="B121" s="451" t="str">
        <f t="shared" si="9"/>
        <v/>
      </c>
      <c r="C121" s="462" t="str">
        <f t="shared" si="10"/>
        <v/>
      </c>
      <c r="D121" s="446" t="str">
        <f>IF(B121="Jaje kokošje, celo",IF(C121=INT(C121),C121,C121+1),IF(B121=""," ",_xlfn.IFNA(INT(C121*1000/(VLOOKUP($B121,Ingredient_prices!$E:$J,6,FALSE)))+1,"nije nabavljen")))</f>
        <v xml:space="preserve"> </v>
      </c>
      <c r="E121" s="446" t="str">
        <f>IF(C121="","",VLOOKUP($B121,Ingredient_prices!$E:$K,7,FALSE))</f>
        <v/>
      </c>
      <c r="F121" s="462" t="str">
        <f>IF(C121="","",_xlfn.IFNA((VLOOKUP($B121,Ingredient_prices!$E:$P,11,FALSE)*I121),""))</f>
        <v/>
      </c>
      <c r="G121" s="450" t="str">
        <f>IF(C121="","",_xlfn.IFNA(MID(VLOOKUP($B121,Ingredient_prices!$E:$F,2,FALSE),9,2),""))</f>
        <v/>
      </c>
      <c r="H121" s="447" t="str">
        <f>_xlfn.IFNA(VLOOKUP(CONCATENATE($I$8,$G121),Ingredient_prices!$G:$N,8,FALSE),"")</f>
        <v/>
      </c>
      <c r="I121" s="548" t="str">
        <f t="shared" si="13"/>
        <v/>
      </c>
      <c r="J121" s="695" t="str">
        <f>IF(N121="","",MID(Ingredient_prices!F116,9,2))</f>
        <v>2</v>
      </c>
      <c r="K121" s="692">
        <f t="shared" si="11"/>
        <v>8</v>
      </c>
      <c r="L121" s="692">
        <f>IF(N121="","",COUNTIF($P$9:$P$255,"&lt;"&amp;P121)+COUNTIF($P$9:P121,P121))</f>
        <v>13</v>
      </c>
      <c r="M121" s="692" t="str">
        <f>IF(Ingredient_prices!E116=M120,"",Ingredient_prices!E116)</f>
        <v>Sunflower oil</v>
      </c>
      <c r="N121" s="693">
        <f>_xlfn.IFNA(VLOOKUP($M121,Sedmica_2_količina_sva_sastojak!$C:$E,3,FALSE),"")</f>
        <v>13.948</v>
      </c>
      <c r="O121" s="696">
        <f>IF(N121="","",COUNTIF($P$9:$P$255,"&lt;"&amp;P121)+COUNTIF($P$9:P121,P121))</f>
        <v>13</v>
      </c>
      <c r="P121" s="694">
        <f t="shared" si="12"/>
        <v>28</v>
      </c>
    </row>
    <row r="122" spans="1:17">
      <c r="A122" s="470">
        <v>114</v>
      </c>
      <c r="B122" s="451" t="str">
        <f t="shared" si="9"/>
        <v/>
      </c>
      <c r="C122" s="462" t="str">
        <f t="shared" si="10"/>
        <v/>
      </c>
      <c r="D122" s="446" t="str">
        <f>IF(B122="Jaje kokošje, celo",IF(C122=INT(C122),C122,C122+1),IF(B122=""," ",_xlfn.IFNA(INT(C122*1000/(VLOOKUP($B122,Ingredient_prices!$E:$J,6,FALSE)))+1,"nije nabavljen")))</f>
        <v xml:space="preserve"> </v>
      </c>
      <c r="E122" s="446" t="str">
        <f>IF(C122="","",VLOOKUP($B122,Ingredient_prices!$E:$K,7,FALSE))</f>
        <v/>
      </c>
      <c r="F122" s="462" t="str">
        <f>IF(C122="","",_xlfn.IFNA((VLOOKUP($B122,Ingredient_prices!$E:$P,11,FALSE)*I122),""))</f>
        <v/>
      </c>
      <c r="G122" s="450" t="str">
        <f>IF(C122="","",_xlfn.IFNA(MID(VLOOKUP($B122,Ingredient_prices!$E:$F,2,FALSE),9,2),""))</f>
        <v/>
      </c>
      <c r="H122" s="447" t="str">
        <f>_xlfn.IFNA(VLOOKUP(CONCATENATE($I$8,$G122),Ingredient_prices!$G:$N,8,FALSE),"")</f>
        <v/>
      </c>
      <c r="I122" s="548" t="str">
        <f t="shared" si="13"/>
        <v/>
      </c>
      <c r="J122" s="695" t="str">
        <f>IF(N122="","",MID(Ingredient_prices!F117,9,2))</f>
        <v>2</v>
      </c>
      <c r="K122" s="692">
        <f t="shared" si="11"/>
        <v>36</v>
      </c>
      <c r="L122" s="692">
        <f>IF(N122="","",COUNTIF($P$9:$P$255,"&lt;"&amp;P122)+COUNTIF($P$9:P122,P122))</f>
        <v>41</v>
      </c>
      <c r="M122" s="692" t="str">
        <f>IF(Ingredient_prices!E117=M121,"",Ingredient_prices!E117)</f>
        <v>Vinegar</v>
      </c>
      <c r="N122" s="693">
        <f>_xlfn.IFNA(VLOOKUP($M122,Sedmica_2_količina_sva_sastojak!$C:$E,3,FALSE),"")</f>
        <v>1.54</v>
      </c>
      <c r="O122" s="696">
        <f>IF(N122="","",COUNTIF($P$9:$P$255,"&lt;"&amp;P122)+COUNTIF($P$9:P122,P122))</f>
        <v>41</v>
      </c>
      <c r="P122" s="694">
        <f t="shared" si="12"/>
        <v>236</v>
      </c>
    </row>
    <row r="123" spans="1:17">
      <c r="A123" s="470">
        <v>115</v>
      </c>
      <c r="B123" s="451" t="str">
        <f t="shared" si="9"/>
        <v/>
      </c>
      <c r="C123" s="462" t="str">
        <f t="shared" si="10"/>
        <v/>
      </c>
      <c r="D123" s="446" t="str">
        <f>IF(B123="Jaje kokošje, celo",IF(C123=INT(C123),C123,C123+1),IF(B123=""," ",_xlfn.IFNA(INT(C123*1000/(VLOOKUP($B123,Ingredient_prices!$E:$J,6,FALSE)))+1,"nije nabavljen")))</f>
        <v xml:space="preserve"> </v>
      </c>
      <c r="E123" s="446" t="str">
        <f>IF(C123="","",VLOOKUP($B123,Ingredient_prices!$E:$K,7,FALSE))</f>
        <v/>
      </c>
      <c r="F123" s="462" t="str">
        <f>IF(C123="","",_xlfn.IFNA((VLOOKUP($B123,Ingredient_prices!$E:$P,11,FALSE)*I123),""))</f>
        <v/>
      </c>
      <c r="G123" s="450" t="str">
        <f>IF(C123="","",_xlfn.IFNA(MID(VLOOKUP($B123,Ingredient_prices!$E:$F,2,FALSE),9,2),""))</f>
        <v/>
      </c>
      <c r="H123" s="447" t="str">
        <f>_xlfn.IFNA(VLOOKUP(CONCATENATE($I$8,$G123),Ingredient_prices!$G:$N,8,FALSE),"")</f>
        <v/>
      </c>
      <c r="I123" s="548" t="str">
        <f t="shared" si="13"/>
        <v/>
      </c>
      <c r="J123" s="695" t="str">
        <f>IF(N123="","",MID(Ingredient_prices!F118,9,2))</f>
        <v>2</v>
      </c>
      <c r="K123" s="692">
        <f t="shared" si="11"/>
        <v>11</v>
      </c>
      <c r="L123" s="692">
        <f>IF(N123="","",COUNTIF($P$9:$P$255,"&lt;"&amp;P123)+COUNTIF($P$9:P123,P123))</f>
        <v>16</v>
      </c>
      <c r="M123" s="692" t="str">
        <f>IF(Ingredient_prices!E118=M122,"",Ingredient_prices!E118)</f>
        <v>Wheat flour white</v>
      </c>
      <c r="N123" s="693">
        <f>_xlfn.IFNA(VLOOKUP($M123,Sedmica_2_količina_sva_sastojak!$C:$E,3,FALSE),"")</f>
        <v>11.549999999999999</v>
      </c>
      <c r="O123" s="696">
        <f>IF(N123="","",COUNTIF($P$9:$P$255,"&lt;"&amp;P123)+COUNTIF($P$9:P123,P123))</f>
        <v>16</v>
      </c>
      <c r="P123" s="694">
        <f t="shared" si="12"/>
        <v>211</v>
      </c>
    </row>
    <row r="124" spans="1:17">
      <c r="A124" s="470">
        <v>116</v>
      </c>
      <c r="B124" s="451" t="str">
        <f t="shared" si="9"/>
        <v/>
      </c>
      <c r="C124" s="462" t="str">
        <f t="shared" si="10"/>
        <v/>
      </c>
      <c r="D124" s="446" t="str">
        <f>IF(B124="Jaje kokošje, celo",IF(C124=INT(C124),C124,C124+1),IF(B124=""," ",_xlfn.IFNA(INT(C124*1000/(VLOOKUP($B124,Ingredient_prices!$E:$J,6,FALSE)))+1,"nije nabavljen")))</f>
        <v xml:space="preserve"> </v>
      </c>
      <c r="E124" s="446" t="str">
        <f>IF(C124="","",VLOOKUP($B124,Ingredient_prices!$E:$K,7,FALSE))</f>
        <v/>
      </c>
      <c r="F124" s="462" t="str">
        <f>IF(C124="","",_xlfn.IFNA((VLOOKUP($B124,Ingredient_prices!$E:$P,11,FALSE)*I124),""))</f>
        <v/>
      </c>
      <c r="G124" s="450" t="str">
        <f>IF(C124="","",_xlfn.IFNA(MID(VLOOKUP($B124,Ingredient_prices!$E:$F,2,FALSE),9,2),""))</f>
        <v/>
      </c>
      <c r="H124" s="447" t="str">
        <f>_xlfn.IFNA(VLOOKUP(CONCATENATE($I$8,$G124),Ingredient_prices!$G:$N,8,FALSE),"")</f>
        <v/>
      </c>
      <c r="I124" s="548" t="str">
        <f t="shared" si="13"/>
        <v/>
      </c>
      <c r="J124" s="695" t="str">
        <f>IF(N124="","",MID(Ingredient_prices!F119,9,2))</f>
        <v/>
      </c>
      <c r="K124" s="692" t="str">
        <f t="shared" si="11"/>
        <v/>
      </c>
      <c r="L124" s="692" t="str">
        <f>IF(N124="","",COUNTIF($P$9:$P$255,"&lt;"&amp;P124)+COUNTIF($P$9:P124,P124))</f>
        <v/>
      </c>
      <c r="M124" s="692" t="str">
        <f>IF(Ingredient_prices!E119=M123,"",Ingredient_prices!E119)</f>
        <v>Breadcrumbs</v>
      </c>
      <c r="N124" s="693" t="str">
        <f>_xlfn.IFNA(VLOOKUP($M124,Sedmica_2_količina_sva_sastojak!$C:$E,3,FALSE),"")</f>
        <v/>
      </c>
      <c r="O124" s="696" t="str">
        <f>IF(N124="","",COUNTIF($P$9:$P$255,"&lt;"&amp;P124)+COUNTIF($P$9:P124,P124))</f>
        <v/>
      </c>
      <c r="P124" s="694" t="str">
        <f t="shared" si="12"/>
        <v/>
      </c>
    </row>
    <row r="125" spans="1:17">
      <c r="A125" s="470">
        <v>117</v>
      </c>
      <c r="B125" s="451" t="str">
        <f t="shared" si="9"/>
        <v/>
      </c>
      <c r="C125" s="462" t="str">
        <f t="shared" si="10"/>
        <v/>
      </c>
      <c r="D125" s="446" t="str">
        <f>IF(B125="Jaje kokošje, celo",IF(C125=INT(C125),C125,C125+1),IF(B125=""," ",_xlfn.IFNA(INT(C125*1000/(VLOOKUP($B125,Ingredient_prices!$E:$J,6,FALSE)))+1,"nije nabavljen")))</f>
        <v xml:space="preserve"> </v>
      </c>
      <c r="E125" s="446" t="str">
        <f>IF(C125="","",VLOOKUP($B125,Ingredient_prices!$E:$K,7,FALSE))</f>
        <v/>
      </c>
      <c r="F125" s="462" t="str">
        <f>IF(C125="","",_xlfn.IFNA((VLOOKUP($B125,Ingredient_prices!$E:$P,11,FALSE)*I125),""))</f>
        <v/>
      </c>
      <c r="G125" s="450" t="str">
        <f>IF(C125="","",_xlfn.IFNA(MID(VLOOKUP($B125,Ingredient_prices!$E:$F,2,FALSE),9,2),""))</f>
        <v/>
      </c>
      <c r="H125" s="447" t="str">
        <f>_xlfn.IFNA(VLOOKUP(CONCATENATE($I$8,$G125),Ingredient_prices!$G:$N,8,FALSE),"")</f>
        <v/>
      </c>
      <c r="I125" s="548" t="str">
        <f t="shared" si="13"/>
        <v/>
      </c>
      <c r="J125" s="695" t="str">
        <f>IF(N125="","",MID(Ingredient_prices!F120,9,2))</f>
        <v/>
      </c>
      <c r="K125" s="692" t="str">
        <f t="shared" si="11"/>
        <v/>
      </c>
      <c r="L125" s="692" t="str">
        <f>IF(N125="","",COUNTIF($P$9:$P$255,"&lt;"&amp;P125)+COUNTIF($P$9:P125,P125))</f>
        <v/>
      </c>
      <c r="M125" s="692" t="str">
        <f>IF(Ingredient_prices!E120=M124,"",Ingredient_prices!E120)</f>
        <v>Wheat semolina</v>
      </c>
      <c r="N125" s="693" t="str">
        <f>_xlfn.IFNA(VLOOKUP($M125,Sedmica_2_količina_sva_sastojak!$C:$E,3,FALSE),"")</f>
        <v/>
      </c>
      <c r="O125" s="696" t="str">
        <f>IF(N125="","",COUNTIF($P$9:$P$255,"&lt;"&amp;P125)+COUNTIF($P$9:P125,P125))</f>
        <v/>
      </c>
      <c r="P125" s="694" t="str">
        <f t="shared" si="12"/>
        <v/>
      </c>
    </row>
    <row r="126" spans="1:17">
      <c r="A126" s="470">
        <v>118</v>
      </c>
      <c r="B126" s="451" t="str">
        <f t="shared" si="9"/>
        <v/>
      </c>
      <c r="C126" s="462" t="str">
        <f t="shared" si="10"/>
        <v/>
      </c>
      <c r="D126" s="446" t="str">
        <f>IF(B126="Jaje kokošje, celo",IF(C126=INT(C126),C126,C126+1),IF(B126=""," ",_xlfn.IFNA(INT(C126*1000/(VLOOKUP($B126,Ingredient_prices!$E:$J,6,FALSE)))+1,"nije nabavljen")))</f>
        <v xml:space="preserve"> </v>
      </c>
      <c r="E126" s="446" t="str">
        <f>IF(C126="","",VLOOKUP($B126,Ingredient_prices!$E:$K,7,FALSE))</f>
        <v/>
      </c>
      <c r="F126" s="462" t="str">
        <f>IF(C126="","",_xlfn.IFNA((VLOOKUP($B126,Ingredient_prices!$E:$P,11,FALSE)*I126),""))</f>
        <v/>
      </c>
      <c r="G126" s="450" t="str">
        <f>IF(C126="","",_xlfn.IFNA(MID(VLOOKUP($B126,Ingredient_prices!$E:$F,2,FALSE),9,2),""))</f>
        <v/>
      </c>
      <c r="H126" s="447" t="str">
        <f>_xlfn.IFNA(VLOOKUP(CONCATENATE($I$8,$G126),Ingredient_prices!$G:$N,8,FALSE),"")</f>
        <v/>
      </c>
      <c r="I126" s="548" t="str">
        <f t="shared" si="13"/>
        <v/>
      </c>
      <c r="J126" s="695" t="str">
        <f>IF(N126="","",MID(Ingredient_prices!F121,9,2))</f>
        <v>2</v>
      </c>
      <c r="K126" s="692">
        <f t="shared" si="11"/>
        <v>34</v>
      </c>
      <c r="L126" s="692">
        <f>IF(N126="","",COUNTIF($P$9:$P$255,"&lt;"&amp;P126)+COUNTIF($P$9:P126,P126))</f>
        <v>39</v>
      </c>
      <c r="M126" s="692" t="str">
        <f>IF(Ingredient_prices!E121=M125,"",Ingredient_prices!E121)</f>
        <v>Corn flour, whole</v>
      </c>
      <c r="N126" s="693">
        <f>_xlfn.IFNA(VLOOKUP($M126,Sedmica_2_količina_sva_sastojak!$C:$E,3,FALSE),"")</f>
        <v>1.65</v>
      </c>
      <c r="O126" s="696">
        <f>IF(N126="","",COUNTIF($P$9:$P$255,"&lt;"&amp;P126)+COUNTIF($P$9:P126,P126))</f>
        <v>39</v>
      </c>
      <c r="P126" s="694">
        <f t="shared" si="12"/>
        <v>234</v>
      </c>
    </row>
    <row r="127" spans="1:17" s="445" customFormat="1">
      <c r="A127" s="470">
        <v>119</v>
      </c>
      <c r="B127" s="451" t="str">
        <f t="shared" si="9"/>
        <v/>
      </c>
      <c r="C127" s="462" t="str">
        <f t="shared" si="10"/>
        <v/>
      </c>
      <c r="D127" s="446" t="str">
        <f>IF(B127="Jaje kokošje, celo",IF(C127=INT(C127),C127,C127+1),IF(B127=""," ",_xlfn.IFNA(INT(C127*1000/(VLOOKUP($B127,Ingredient_prices!$E:$J,6,FALSE)))+1,"nije nabavljen")))</f>
        <v xml:space="preserve"> </v>
      </c>
      <c r="E127" s="446" t="str">
        <f>IF(C127="","",VLOOKUP($B127,Ingredient_prices!$E:$K,7,FALSE))</f>
        <v/>
      </c>
      <c r="F127" s="462" t="str">
        <f>IF(C127="","",_xlfn.IFNA((VLOOKUP($B127,Ingredient_prices!$E:$P,11,FALSE)*I127),""))</f>
        <v/>
      </c>
      <c r="G127" s="450" t="str">
        <f>IF(C127="","",_xlfn.IFNA(MID(VLOOKUP($B127,Ingredient_prices!$E:$F,2,FALSE),9,2),""))</f>
        <v/>
      </c>
      <c r="H127" s="447" t="str">
        <f>_xlfn.IFNA(VLOOKUP(CONCATENATE($I$8,$G127),Ingredient_prices!$G:$N,8,FALSE),"")</f>
        <v/>
      </c>
      <c r="I127" s="548" t="str">
        <f t="shared" si="13"/>
        <v/>
      </c>
      <c r="J127" s="695" t="str">
        <f>IF(N127="","",MID(Ingredient_prices!F122,9,2))</f>
        <v/>
      </c>
      <c r="K127" s="692" t="str">
        <f t="shared" si="11"/>
        <v/>
      </c>
      <c r="L127" s="692" t="str">
        <f>IF(N127="","",COUNTIF($P$9:$P$255,"&lt;"&amp;P127)+COUNTIF($P$9:P127,P127))</f>
        <v/>
      </c>
      <c r="M127" s="692" t="str">
        <f>IF(Ingredient_prices!E122=M126,"",Ingredient_prices!E122)</f>
        <v>Corn semolina</v>
      </c>
      <c r="N127" s="693" t="str">
        <f>_xlfn.IFNA(VLOOKUP($M127,Sedmica_2_količina_sva_sastojak!$C:$E,3,FALSE),"")</f>
        <v/>
      </c>
      <c r="O127" s="696" t="str">
        <f>IF(N127="","",COUNTIF($P$9:$P$255,"&lt;"&amp;P127)+COUNTIF($P$9:P127,P127))</f>
        <v/>
      </c>
      <c r="P127" s="694" t="str">
        <f t="shared" si="12"/>
        <v/>
      </c>
      <c r="Q127" s="692"/>
    </row>
    <row r="128" spans="1:17">
      <c r="A128" s="470">
        <v>120</v>
      </c>
      <c r="B128" s="451" t="str">
        <f t="shared" si="9"/>
        <v/>
      </c>
      <c r="C128" s="462" t="str">
        <f t="shared" si="10"/>
        <v/>
      </c>
      <c r="D128" s="446" t="str">
        <f>IF(B128="Jaje kokošje, celo",IF(C128=INT(C128),C128,C128+1),IF(B128=""," ",_xlfn.IFNA(INT(C128*1000/(VLOOKUP($B128,Ingredient_prices!$E:$J,6,FALSE)))+1,"nije nabavljen")))</f>
        <v xml:space="preserve"> </v>
      </c>
      <c r="E128" s="446" t="str">
        <f>IF(C128="","",VLOOKUP($B128,Ingredient_prices!$E:$K,7,FALSE))</f>
        <v/>
      </c>
      <c r="F128" s="462" t="str">
        <f>IF(C128="","",_xlfn.IFNA((VLOOKUP($B128,Ingredient_prices!$E:$P,11,FALSE)*I128),""))</f>
        <v/>
      </c>
      <c r="G128" s="450" t="str">
        <f>IF(C128="","",_xlfn.IFNA(MID(VLOOKUP($B128,Ingredient_prices!$E:$F,2,FALSE),9,2),""))</f>
        <v/>
      </c>
      <c r="H128" s="447" t="str">
        <f>_xlfn.IFNA(VLOOKUP(CONCATENATE($I$8,$G128),Ingredient_prices!$G:$N,8,FALSE),"")</f>
        <v/>
      </c>
      <c r="I128" s="548" t="str">
        <f t="shared" si="13"/>
        <v/>
      </c>
      <c r="J128" s="695" t="str">
        <f>IF(N128="","",MID(Ingredient_prices!F123,9,2))</f>
        <v>2</v>
      </c>
      <c r="K128" s="692">
        <f t="shared" si="11"/>
        <v>18</v>
      </c>
      <c r="L128" s="692">
        <f>IF(N128="","",COUNTIF($P$9:$P$255,"&lt;"&amp;P128)+COUNTIF($P$9:P128,P128))</f>
        <v>25</v>
      </c>
      <c r="M128" s="692" t="str">
        <f>IF(Ingredient_prices!E123=M127,"",Ingredient_prices!E123)</f>
        <v>Rice, white grain</v>
      </c>
      <c r="N128" s="693">
        <f>_xlfn.IFNA(VLOOKUP($M128,Sedmica_2_količina_sva_sastojak!$C:$E,3,FALSE),"")</f>
        <v>5.5000000000000009</v>
      </c>
      <c r="O128" s="696">
        <f>IF(N128="","",COUNTIF($P$9:$P$255,"&lt;"&amp;P128)+COUNTIF($P$9:P128,P128))</f>
        <v>25</v>
      </c>
      <c r="P128" s="694">
        <f t="shared" si="12"/>
        <v>218</v>
      </c>
    </row>
    <row r="129" spans="1:17">
      <c r="A129" s="470">
        <v>121</v>
      </c>
      <c r="B129" s="451" t="str">
        <f t="shared" si="9"/>
        <v/>
      </c>
      <c r="C129" s="462" t="str">
        <f t="shared" si="10"/>
        <v/>
      </c>
      <c r="D129" s="446" t="str">
        <f>IF(B129="Jaje kokošje, celo",IF(C129=INT(C129),C129,C129+1),IF(B129=""," ",_xlfn.IFNA(INT(C129*1000/(VLOOKUP($B129,Ingredient_prices!$E:$J,6,FALSE)))+1,"nije nabavljen")))</f>
        <v xml:space="preserve"> </v>
      </c>
      <c r="E129" s="446" t="str">
        <f>IF(C129="","",VLOOKUP($B129,Ingredient_prices!$E:$K,7,FALSE))</f>
        <v/>
      </c>
      <c r="F129" s="462" t="str">
        <f>IF(C129="","",_xlfn.IFNA((VLOOKUP($B129,Ingredient_prices!$E:$P,11,FALSE)*I129),""))</f>
        <v/>
      </c>
      <c r="G129" s="450" t="str">
        <f>IF(C129="","",_xlfn.IFNA(MID(VLOOKUP($B129,Ingredient_prices!$E:$F,2,FALSE),9,2),""))</f>
        <v/>
      </c>
      <c r="H129" s="447" t="str">
        <f>_xlfn.IFNA(VLOOKUP(CONCATENATE($I$8,$G129),Ingredient_prices!$G:$N,8,FALSE),"")</f>
        <v/>
      </c>
      <c r="I129" s="548" t="str">
        <f t="shared" si="13"/>
        <v/>
      </c>
      <c r="J129" s="695" t="str">
        <f>IF(N129="","",MID(Ingredient_prices!F124,9,2))</f>
        <v>2</v>
      </c>
      <c r="K129" s="692">
        <f t="shared" si="11"/>
        <v>2</v>
      </c>
      <c r="L129" s="692">
        <f>IF(N129="","",COUNTIF($P$9:$P$255,"&lt;"&amp;P129)+COUNTIF($P$9:P129,P129))</f>
        <v>7</v>
      </c>
      <c r="M129" s="692" t="str">
        <f>IF(Ingredient_prices!E124=M128,"",Ingredient_prices!E124)</f>
        <v>Apple</v>
      </c>
      <c r="N129" s="693">
        <f>_xlfn.IFNA(VLOOKUP($M129,Sedmica_2_količina_sva_sastojak!$C:$E,3,FALSE),"")</f>
        <v>68.2</v>
      </c>
      <c r="O129" s="696">
        <f>IF(N129="","",COUNTIF($P$9:$P$255,"&lt;"&amp;P129)+COUNTIF($P$9:P129,P129))</f>
        <v>7</v>
      </c>
      <c r="P129" s="694">
        <f t="shared" si="12"/>
        <v>22</v>
      </c>
    </row>
    <row r="130" spans="1:17">
      <c r="A130" s="470">
        <v>122</v>
      </c>
      <c r="B130" s="451" t="str">
        <f t="shared" si="9"/>
        <v/>
      </c>
      <c r="C130" s="462" t="str">
        <f t="shared" si="10"/>
        <v/>
      </c>
      <c r="D130" s="446" t="str">
        <f>IF(B130="Jaje kokošje, celo",IF(C130=INT(C130),C130,C130+1),IF(B130=""," ",_xlfn.IFNA(INT(C130*1000/(VLOOKUP($B130,Ingredient_prices!$E:$J,6,FALSE)))+1,"nije nabavljen")))</f>
        <v xml:space="preserve"> </v>
      </c>
      <c r="E130" s="446" t="str">
        <f>IF(C130="","",VLOOKUP($B130,Ingredient_prices!$E:$K,7,FALSE))</f>
        <v/>
      </c>
      <c r="F130" s="462" t="str">
        <f>IF(C130="","",_xlfn.IFNA((VLOOKUP($B130,Ingredient_prices!$E:$P,11,FALSE)*I130),""))</f>
        <v/>
      </c>
      <c r="G130" s="450" t="str">
        <f>IF(C130="","",_xlfn.IFNA(MID(VLOOKUP($B130,Ingredient_prices!$E:$F,2,FALSE),9,2),""))</f>
        <v/>
      </c>
      <c r="H130" s="447" t="str">
        <f>_xlfn.IFNA(VLOOKUP(CONCATENATE($I$8,$G130),Ingredient_prices!$G:$N,8,FALSE),"")</f>
        <v/>
      </c>
      <c r="I130" s="548" t="str">
        <f t="shared" si="13"/>
        <v/>
      </c>
      <c r="J130" s="695" t="str">
        <f>IF(N130="","",MID(Ingredient_prices!F125,9,2))</f>
        <v/>
      </c>
      <c r="K130" s="692" t="str">
        <f t="shared" si="11"/>
        <v/>
      </c>
      <c r="L130" s="692" t="str">
        <f>IF(N130="","",COUNTIF($P$9:$P$255,"&lt;"&amp;P130)+COUNTIF($P$9:P130,P130))</f>
        <v/>
      </c>
      <c r="M130" s="692" t="str">
        <f>IF(Ingredient_prices!E125=M129,"",Ingredient_prices!E125)</f>
        <v>Banana</v>
      </c>
      <c r="N130" s="693" t="str">
        <f>_xlfn.IFNA(VLOOKUP($M130,Sedmica_2_količina_sva_sastojak!$C:$E,3,FALSE),"")</f>
        <v/>
      </c>
      <c r="O130" s="696" t="str">
        <f>IF(N130="","",COUNTIF($P$9:$P$255,"&lt;"&amp;P130)+COUNTIF($P$9:P130,P130))</f>
        <v/>
      </c>
      <c r="P130" s="694" t="str">
        <f t="shared" si="12"/>
        <v/>
      </c>
    </row>
    <row r="131" spans="1:17">
      <c r="A131" s="470">
        <v>123</v>
      </c>
      <c r="B131" s="451" t="str">
        <f t="shared" si="9"/>
        <v/>
      </c>
      <c r="C131" s="462" t="str">
        <f t="shared" si="10"/>
        <v/>
      </c>
      <c r="D131" s="446" t="str">
        <f>IF(B131="Jaje kokošje, celo",IF(C131=INT(C131),C131,C131+1),IF(B131=""," ",_xlfn.IFNA(INT(C131*1000/(VLOOKUP($B131,Ingredient_prices!$E:$J,6,FALSE)))+1,"nije nabavljen")))</f>
        <v xml:space="preserve"> </v>
      </c>
      <c r="E131" s="446" t="str">
        <f>IF(C131="","",VLOOKUP($B131,Ingredient_prices!$E:$K,7,FALSE))</f>
        <v/>
      </c>
      <c r="F131" s="462" t="str">
        <f>IF(C131="","",_xlfn.IFNA((VLOOKUP($B131,Ingredient_prices!$E:$P,11,FALSE)*I131),""))</f>
        <v/>
      </c>
      <c r="G131" s="450" t="str">
        <f>IF(C131="","",_xlfn.IFNA(MID(VLOOKUP($B131,Ingredient_prices!$E:$F,2,FALSE),9,2),""))</f>
        <v/>
      </c>
      <c r="H131" s="447" t="str">
        <f>_xlfn.IFNA(VLOOKUP(CONCATENATE($I$8,$G131),Ingredient_prices!$G:$N,8,FALSE),"")</f>
        <v/>
      </c>
      <c r="I131" s="548" t="str">
        <f t="shared" si="13"/>
        <v/>
      </c>
      <c r="J131" s="695" t="str">
        <f>IF(N131="","",MID(Ingredient_prices!F126,9,2))</f>
        <v/>
      </c>
      <c r="K131" s="692" t="str">
        <f t="shared" si="11"/>
        <v/>
      </c>
      <c r="L131" s="692" t="str">
        <f>IF(N131="","",COUNTIF($P$9:$P$255,"&lt;"&amp;P131)+COUNTIF($P$9:P131,P131))</f>
        <v/>
      </c>
      <c r="M131" s="692" t="str">
        <f>IF(Ingredient_prices!E126=M130,"",Ingredient_prices!E126)</f>
        <v>Mandarin orange</v>
      </c>
      <c r="N131" s="693" t="str">
        <f>_xlfn.IFNA(VLOOKUP($M131,Sedmica_2_količina_sva_sastojak!$C:$E,3,FALSE),"")</f>
        <v/>
      </c>
      <c r="O131" s="696" t="str">
        <f>IF(N131="","",COUNTIF($P$9:$P$255,"&lt;"&amp;P131)+COUNTIF($P$9:P131,P131))</f>
        <v/>
      </c>
      <c r="P131" s="694" t="str">
        <f t="shared" si="12"/>
        <v/>
      </c>
    </row>
    <row r="132" spans="1:17">
      <c r="A132" s="470">
        <v>124</v>
      </c>
      <c r="B132" s="451" t="str">
        <f t="shared" si="9"/>
        <v/>
      </c>
      <c r="C132" s="462" t="str">
        <f t="shared" si="10"/>
        <v/>
      </c>
      <c r="D132" s="446" t="str">
        <f>IF(B132="Jaje kokošje, celo",IF(C132=INT(C132),C132,C132+1),IF(B132=""," ",_xlfn.IFNA(INT(C132*1000/(VLOOKUP($B132,Ingredient_prices!$E:$J,6,FALSE)))+1,"nije nabavljen")))</f>
        <v xml:space="preserve"> </v>
      </c>
      <c r="E132" s="446" t="str">
        <f>IF(C132="","",VLOOKUP($B132,Ingredient_prices!$E:$K,7,FALSE))</f>
        <v/>
      </c>
      <c r="F132" s="462" t="str">
        <f>IF(C132="","",_xlfn.IFNA((VLOOKUP($B132,Ingredient_prices!$E:$P,11,FALSE)*I132),""))</f>
        <v/>
      </c>
      <c r="G132" s="450" t="str">
        <f>IF(C132="","",_xlfn.IFNA(MID(VLOOKUP($B132,Ingredient_prices!$E:$F,2,FALSE),9,2),""))</f>
        <v/>
      </c>
      <c r="H132" s="447" t="str">
        <f>_xlfn.IFNA(VLOOKUP(CONCATENATE($I$8,$G132),Ingredient_prices!$G:$N,8,FALSE),"")</f>
        <v/>
      </c>
      <c r="I132" s="548" t="str">
        <f t="shared" si="13"/>
        <v/>
      </c>
      <c r="J132" s="695" t="str">
        <f>IF(N132="","",MID(Ingredient_prices!F127,9,2))</f>
        <v/>
      </c>
      <c r="K132" s="692" t="str">
        <f t="shared" si="11"/>
        <v/>
      </c>
      <c r="L132" s="692" t="str">
        <f>IF(N132="","",COUNTIF($P$9:$P$255,"&lt;"&amp;P132)+COUNTIF($P$9:P132,P132))</f>
        <v/>
      </c>
      <c r="M132" s="692" t="str">
        <f>IF(Ingredient_prices!E127=M131,"",Ingredient_prices!E127)</f>
        <v>Orange</v>
      </c>
      <c r="N132" s="693" t="str">
        <f>_xlfn.IFNA(VLOOKUP($M132,Sedmica_2_količina_sva_sastojak!$C:$E,3,FALSE),"")</f>
        <v/>
      </c>
      <c r="O132" s="696" t="str">
        <f>IF(N132="","",COUNTIF($P$9:$P$255,"&lt;"&amp;P132)+COUNTIF($P$9:P132,P132))</f>
        <v/>
      </c>
      <c r="P132" s="694" t="str">
        <f t="shared" si="12"/>
        <v/>
      </c>
    </row>
    <row r="133" spans="1:17">
      <c r="A133" s="470">
        <v>125</v>
      </c>
      <c r="B133" s="451" t="str">
        <f t="shared" si="9"/>
        <v/>
      </c>
      <c r="C133" s="462" t="str">
        <f t="shared" si="10"/>
        <v/>
      </c>
      <c r="D133" s="446" t="str">
        <f>IF(B133="Jaje kokošje, celo",IF(C133=INT(C133),C133,C133+1),IF(B133=""," ",_xlfn.IFNA(INT(C133*1000/(VLOOKUP($B133,Ingredient_prices!$E:$J,6,FALSE)))+1,"nije nabavljen")))</f>
        <v xml:space="preserve"> </v>
      </c>
      <c r="E133" s="446" t="str">
        <f>IF(C133="","",VLOOKUP($B133,Ingredient_prices!$E:$K,7,FALSE))</f>
        <v/>
      </c>
      <c r="F133" s="462" t="str">
        <f>IF(C133="","",_xlfn.IFNA((VLOOKUP($B133,Ingredient_prices!$E:$P,11,FALSE)*I133),""))</f>
        <v/>
      </c>
      <c r="G133" s="450" t="str">
        <f>IF(C133="","",_xlfn.IFNA(MID(VLOOKUP($B133,Ingredient_prices!$E:$F,2,FALSE),9,2),""))</f>
        <v/>
      </c>
      <c r="H133" s="447" t="str">
        <f>_xlfn.IFNA(VLOOKUP(CONCATENATE($I$8,$G133),Ingredient_prices!$G:$N,8,FALSE),"")</f>
        <v/>
      </c>
      <c r="I133" s="548" t="str">
        <f t="shared" si="13"/>
        <v/>
      </c>
      <c r="J133" s="695" t="str">
        <f>IF(N133="","",MID(Ingredient_prices!F128,9,2))</f>
        <v/>
      </c>
      <c r="K133" s="692" t="str">
        <f t="shared" si="11"/>
        <v/>
      </c>
      <c r="L133" s="692" t="str">
        <f>IF(N133="","",COUNTIF($P$9:$P$255,"&lt;"&amp;P133)+COUNTIF($P$9:P133,P133))</f>
        <v/>
      </c>
      <c r="M133" s="692" t="str">
        <f>IF(Ingredient_prices!E128=M132,"",Ingredient_prices!E128)</f>
        <v>Kiwi fruit</v>
      </c>
      <c r="N133" s="693" t="str">
        <f>_xlfn.IFNA(VLOOKUP($M133,Sedmica_2_količina_sva_sastojak!$C:$E,3,FALSE),"")</f>
        <v/>
      </c>
      <c r="O133" s="696" t="str">
        <f>IF(N133="","",COUNTIF($P$9:$P$255,"&lt;"&amp;P133)+COUNTIF($P$9:P133,P133))</f>
        <v/>
      </c>
      <c r="P133" s="694" t="str">
        <f t="shared" si="12"/>
        <v/>
      </c>
    </row>
    <row r="134" spans="1:17">
      <c r="A134" s="470">
        <v>126</v>
      </c>
      <c r="B134" s="451" t="str">
        <f t="shared" si="9"/>
        <v/>
      </c>
      <c r="C134" s="462" t="str">
        <f t="shared" si="10"/>
        <v/>
      </c>
      <c r="D134" s="446" t="str">
        <f>IF(B134="Jaje kokošje, celo",IF(C134=INT(C134),C134,C134+1),IF(B134=""," ",_xlfn.IFNA(INT(C134*1000/(VLOOKUP($B134,Ingredient_prices!$E:$J,6,FALSE)))+1,"nije nabavljen")))</f>
        <v xml:space="preserve"> </v>
      </c>
      <c r="E134" s="446" t="str">
        <f>IF(C134="","",VLOOKUP($B134,Ingredient_prices!$E:$K,7,FALSE))</f>
        <v/>
      </c>
      <c r="F134" s="462" t="str">
        <f>IF(C134="","",_xlfn.IFNA((VLOOKUP($B134,Ingredient_prices!$E:$P,11,FALSE)*I134),""))</f>
        <v/>
      </c>
      <c r="G134" s="450" t="str">
        <f>IF(C134="","",_xlfn.IFNA(MID(VLOOKUP($B134,Ingredient_prices!$E:$F,2,FALSE),9,2),""))</f>
        <v/>
      </c>
      <c r="H134" s="447" t="str">
        <f>_xlfn.IFNA(VLOOKUP(CONCATENATE($I$8,$G134),Ingredient_prices!$G:$N,8,FALSE),"")</f>
        <v/>
      </c>
      <c r="I134" s="548" t="str">
        <f t="shared" si="13"/>
        <v/>
      </c>
      <c r="J134" s="695" t="str">
        <f>IF(N134="","",MID(Ingredient_prices!F129,9,2))</f>
        <v/>
      </c>
      <c r="K134" s="692" t="str">
        <f t="shared" si="11"/>
        <v/>
      </c>
      <c r="L134" s="692" t="str">
        <f>IF(N134="","",COUNTIF($P$9:$P$255,"&lt;"&amp;P134)+COUNTIF($P$9:P134,P134))</f>
        <v/>
      </c>
      <c r="M134" s="692" t="str">
        <f>IF(Ingredient_prices!E129=M133,"",Ingredient_prices!E129)</f>
        <v>Pear</v>
      </c>
      <c r="N134" s="693" t="str">
        <f>_xlfn.IFNA(VLOOKUP($M134,Sedmica_2_količina_sva_sastojak!$C:$E,3,FALSE),"")</f>
        <v/>
      </c>
      <c r="O134" s="696" t="str">
        <f>IF(N134="","",COUNTIF($P$9:$P$255,"&lt;"&amp;P134)+COUNTIF($P$9:P134,P134))</f>
        <v/>
      </c>
      <c r="P134" s="694" t="str">
        <f t="shared" si="12"/>
        <v/>
      </c>
    </row>
    <row r="135" spans="1:17">
      <c r="A135" s="470">
        <v>127</v>
      </c>
      <c r="B135" s="451" t="str">
        <f t="shared" si="9"/>
        <v/>
      </c>
      <c r="C135" s="462" t="str">
        <f t="shared" si="10"/>
        <v/>
      </c>
      <c r="D135" s="446" t="str">
        <f>IF(B135="Jaje kokošje, celo",IF(C135=INT(C135),C135,C135+1),IF(B135=""," ",_xlfn.IFNA(INT(C135*1000/(VLOOKUP($B135,Ingredient_prices!$E:$J,6,FALSE)))+1,"nije nabavljen")))</f>
        <v xml:space="preserve"> </v>
      </c>
      <c r="E135" s="446" t="str">
        <f>IF(C135="","",VLOOKUP($B135,Ingredient_prices!$E:$K,7,FALSE))</f>
        <v/>
      </c>
      <c r="F135" s="462" t="str">
        <f>IF(C135="","",_xlfn.IFNA((VLOOKUP($B135,Ingredient_prices!$E:$P,11,FALSE)*I135),""))</f>
        <v/>
      </c>
      <c r="G135" s="450" t="str">
        <f>IF(C135="","",_xlfn.IFNA(MID(VLOOKUP($B135,Ingredient_prices!$E:$F,2,FALSE),9,2),""))</f>
        <v/>
      </c>
      <c r="H135" s="447" t="str">
        <f>_xlfn.IFNA(VLOOKUP(CONCATENATE($I$8,$G135),Ingredient_prices!$G:$N,8,FALSE),"")</f>
        <v/>
      </c>
      <c r="I135" s="548" t="str">
        <f t="shared" si="13"/>
        <v/>
      </c>
      <c r="J135" s="695" t="str">
        <f>IF(N135="","",MID(Ingredient_prices!F130,9,2))</f>
        <v/>
      </c>
      <c r="K135" s="692" t="str">
        <f t="shared" si="11"/>
        <v/>
      </c>
      <c r="L135" s="692" t="str">
        <f>IF(N135="","",COUNTIF($P$9:$P$255,"&lt;"&amp;P135)+COUNTIF($P$9:P135,P135))</f>
        <v/>
      </c>
      <c r="M135" s="692" t="str">
        <f>IF(Ingredient_prices!E130=M134,"",Ingredient_prices!E130)</f>
        <v>Grapes</v>
      </c>
      <c r="N135" s="693" t="str">
        <f>_xlfn.IFNA(VLOOKUP($M135,Sedmica_2_količina_sva_sastojak!$C:$E,3,FALSE),"")</f>
        <v/>
      </c>
      <c r="O135" s="696" t="str">
        <f>IF(N135="","",COUNTIF($P$9:$P$255,"&lt;"&amp;P135)+COUNTIF($P$9:P135,P135))</f>
        <v/>
      </c>
      <c r="P135" s="694" t="str">
        <f t="shared" si="12"/>
        <v/>
      </c>
    </row>
    <row r="136" spans="1:17">
      <c r="A136" s="470">
        <v>128</v>
      </c>
      <c r="B136" s="451" t="str">
        <f t="shared" si="9"/>
        <v/>
      </c>
      <c r="C136" s="462" t="str">
        <f t="shared" si="10"/>
        <v/>
      </c>
      <c r="D136" s="446" t="str">
        <f>IF(B136="Jaje kokošje, celo",IF(C136=INT(C136),C136,C136+1),IF(B136=""," ",_xlfn.IFNA(INT(C136*1000/(VLOOKUP($B136,Ingredient_prices!$E:$J,6,FALSE)))+1,"nije nabavljen")))</f>
        <v xml:space="preserve"> </v>
      </c>
      <c r="E136" s="446" t="str">
        <f>IF(C136="","",VLOOKUP($B136,Ingredient_prices!$E:$K,7,FALSE))</f>
        <v/>
      </c>
      <c r="F136" s="462" t="str">
        <f>IF(C136="","",_xlfn.IFNA((VLOOKUP($B136,Ingredient_prices!$E:$P,11,FALSE)*I136),""))</f>
        <v/>
      </c>
      <c r="G136" s="450" t="str">
        <f>IF(C136="","",_xlfn.IFNA(MID(VLOOKUP($B136,Ingredient_prices!$E:$F,2,FALSE),9,2),""))</f>
        <v/>
      </c>
      <c r="H136" s="447" t="str">
        <f>_xlfn.IFNA(VLOOKUP(CONCATENATE($I$8,$G136),Ingredient_prices!$G:$N,8,FALSE),"")</f>
        <v/>
      </c>
      <c r="I136" s="548" t="str">
        <f t="shared" si="13"/>
        <v/>
      </c>
      <c r="J136" s="695" t="str">
        <f>IF(N136="","",MID(Ingredient_prices!F131,9,2))</f>
        <v/>
      </c>
      <c r="K136" s="692" t="str">
        <f t="shared" si="11"/>
        <v/>
      </c>
      <c r="L136" s="692" t="str">
        <f>IF(N136="","",COUNTIF($P$9:$P$255,"&lt;"&amp;P136)+COUNTIF($P$9:P136,P136))</f>
        <v/>
      </c>
      <c r="M136" s="692" t="str">
        <f>IF(Ingredient_prices!E131=M135,"",Ingredient_prices!E131)</f>
        <v>Strawberries</v>
      </c>
      <c r="N136" s="693" t="str">
        <f>_xlfn.IFNA(VLOOKUP($M136,Sedmica_2_količina_sva_sastojak!$C:$E,3,FALSE),"")</f>
        <v/>
      </c>
      <c r="O136" s="696" t="str">
        <f>IF(N136="","",COUNTIF($P$9:$P$255,"&lt;"&amp;P136)+COUNTIF($P$9:P136,P136))</f>
        <v/>
      </c>
      <c r="P136" s="694" t="str">
        <f t="shared" si="12"/>
        <v/>
      </c>
    </row>
    <row r="137" spans="1:17">
      <c r="A137" s="470">
        <v>129</v>
      </c>
      <c r="B137" s="451" t="str">
        <f t="shared" ref="B137:B200" si="14">_xlfn.IFNA(VLOOKUP($A137,$L:$N,2,FALSE),"")</f>
        <v/>
      </c>
      <c r="C137" s="462" t="str">
        <f t="shared" ref="C137:C200" si="15">_xlfn.IFNA(VLOOKUP($A137,$L:$N,3,FALSE)-0.0001,"")</f>
        <v/>
      </c>
      <c r="D137" s="446" t="str">
        <f>IF(B137="Jaje kokošje, celo",IF(C137=INT(C137),C137,C137+1),IF(B137=""," ",_xlfn.IFNA(INT(C137*1000/(VLOOKUP($B137,Ingredient_prices!$E:$J,6,FALSE)))+1,"nije nabavljen")))</f>
        <v xml:space="preserve"> </v>
      </c>
      <c r="E137" s="446" t="str">
        <f>IF(C137="","",VLOOKUP($B137,Ingredient_prices!$E:$K,7,FALSE))</f>
        <v/>
      </c>
      <c r="F137" s="462" t="str">
        <f>IF(C137="","",_xlfn.IFNA((VLOOKUP($B137,Ingredient_prices!$E:$P,11,FALSE)*I137),""))</f>
        <v/>
      </c>
      <c r="G137" s="450" t="str">
        <f>IF(C137="","",_xlfn.IFNA(MID(VLOOKUP($B137,Ingredient_prices!$E:$F,2,FALSE),9,2),""))</f>
        <v/>
      </c>
      <c r="H137" s="447" t="str">
        <f>_xlfn.IFNA(VLOOKUP(CONCATENATE($I$8,$G137),Ingredient_prices!$G:$N,8,FALSE),"")</f>
        <v/>
      </c>
      <c r="I137" s="548" t="str">
        <f t="shared" si="13"/>
        <v/>
      </c>
      <c r="J137" s="695" t="str">
        <f>IF(N137="","",MID(Ingredient_prices!F132,9,2))</f>
        <v>2</v>
      </c>
      <c r="K137" s="692">
        <f t="shared" si="11"/>
        <v>18</v>
      </c>
      <c r="L137" s="692">
        <f>IF(N137="","",COUNTIF($P$9:$P$255,"&lt;"&amp;P137)+COUNTIF($P$9:P137,P137))</f>
        <v>26</v>
      </c>
      <c r="M137" s="692" t="str">
        <f>IF(Ingredient_prices!E132=M136,"",Ingredient_prices!E132)</f>
        <v>Beans haricot (yellow)</v>
      </c>
      <c r="N137" s="693">
        <f>_xlfn.IFNA(VLOOKUP($M137,Sedmica_2_količina_sva_sastojak!$C:$E,3,FALSE),"")</f>
        <v>5.5000000000000009</v>
      </c>
      <c r="O137" s="696">
        <f>IF(N137="","",COUNTIF($P$9:$P$255,"&lt;"&amp;P137)+COUNTIF($P$9:P137,P137))</f>
        <v>26</v>
      </c>
      <c r="P137" s="694">
        <f t="shared" si="12"/>
        <v>218</v>
      </c>
    </row>
    <row r="138" spans="1:17">
      <c r="A138" s="470">
        <v>130</v>
      </c>
      <c r="B138" s="451" t="str">
        <f t="shared" si="14"/>
        <v/>
      </c>
      <c r="C138" s="462" t="str">
        <f t="shared" si="15"/>
        <v/>
      </c>
      <c r="D138" s="446" t="str">
        <f>IF(B138="Jaje kokošje, celo",IF(C138=INT(C138),C138,C138+1),IF(B138=""," ",_xlfn.IFNA(INT(C138*1000/(VLOOKUP($B138,Ingredient_prices!$E:$J,6,FALSE)))+1,"nije nabavljen")))</f>
        <v xml:space="preserve"> </v>
      </c>
      <c r="E138" s="446" t="str">
        <f>IF(C138="","",VLOOKUP($B138,Ingredient_prices!$E:$K,7,FALSE))</f>
        <v/>
      </c>
      <c r="F138" s="462" t="str">
        <f>IF(C138="","",_xlfn.IFNA((VLOOKUP($B138,Ingredient_prices!$E:$P,11,FALSE)*I138),""))</f>
        <v/>
      </c>
      <c r="G138" s="450" t="str">
        <f>IF(C138="","",_xlfn.IFNA(MID(VLOOKUP($B138,Ingredient_prices!$E:$F,2,FALSE),9,2),""))</f>
        <v/>
      </c>
      <c r="H138" s="447" t="str">
        <f>_xlfn.IFNA(VLOOKUP(CONCATENATE($I$8,$G138),Ingredient_prices!$G:$N,8,FALSE),"")</f>
        <v/>
      </c>
      <c r="I138" s="548" t="str">
        <f t="shared" si="13"/>
        <v/>
      </c>
      <c r="J138" s="695" t="str">
        <f>IF(N138="","",MID(Ingredient_prices!F133,9,2))</f>
        <v/>
      </c>
      <c r="K138" s="692" t="str">
        <f t="shared" si="11"/>
        <v/>
      </c>
      <c r="L138" s="692" t="str">
        <f>IF(N138="","",COUNTIF($P$9:$P$255,"&lt;"&amp;P138)+COUNTIF($P$9:P138,P138))</f>
        <v/>
      </c>
      <c r="M138" s="692" t="str">
        <f>IF(Ingredient_prices!E133=M137,"",Ingredient_prices!E133)</f>
        <v>Cabbage grated, pickled</v>
      </c>
      <c r="N138" s="693" t="str">
        <f>_xlfn.IFNA(VLOOKUP($M138,Sedmica_2_količina_sva_sastojak!$C:$E,3,FALSE),"")</f>
        <v/>
      </c>
      <c r="O138" s="696" t="str">
        <f>IF(N138="","",COUNTIF($P$9:$P$255,"&lt;"&amp;P138)+COUNTIF($P$9:P138,P138))</f>
        <v/>
      </c>
      <c r="P138" s="694" t="str">
        <f t="shared" si="12"/>
        <v/>
      </c>
    </row>
    <row r="139" spans="1:17">
      <c r="A139" s="470">
        <v>131</v>
      </c>
      <c r="B139" s="451" t="str">
        <f t="shared" si="14"/>
        <v/>
      </c>
      <c r="C139" s="462" t="str">
        <f t="shared" si="15"/>
        <v/>
      </c>
      <c r="D139" s="446" t="str">
        <f>IF(B139="Jaje kokošje, celo",IF(C139=INT(C139),C139,C139+1),IF(B139=""," ",_xlfn.IFNA(INT(C139*1000/(VLOOKUP($B139,Ingredient_prices!$E:$J,6,FALSE)))+1,"nije nabavljen")))</f>
        <v xml:space="preserve"> </v>
      </c>
      <c r="E139" s="446" t="str">
        <f>IF(C139="","",VLOOKUP($B139,Ingredient_prices!$E:$K,7,FALSE))</f>
        <v/>
      </c>
      <c r="F139" s="462" t="str">
        <f>IF(C139="","",_xlfn.IFNA((VLOOKUP($B139,Ingredient_prices!$E:$P,11,FALSE)*I139),""))</f>
        <v/>
      </c>
      <c r="G139" s="450" t="str">
        <f>IF(C139="","",_xlfn.IFNA(MID(VLOOKUP($B139,Ingredient_prices!$E:$F,2,FALSE),9,2),""))</f>
        <v/>
      </c>
      <c r="H139" s="447" t="str">
        <f>_xlfn.IFNA(VLOOKUP(CONCATENATE($I$8,$G139),Ingredient_prices!$G:$N,8,FALSE),"")</f>
        <v/>
      </c>
      <c r="I139" s="548" t="str">
        <f t="shared" si="13"/>
        <v/>
      </c>
      <c r="J139" s="695" t="str">
        <f>IF(N139="","",MID(Ingredient_prices!F134,9,2))</f>
        <v>2</v>
      </c>
      <c r="K139" s="692">
        <f t="shared" si="11"/>
        <v>10</v>
      </c>
      <c r="L139" s="692">
        <f>IF(N139="","",COUNTIF($P$9:$P$255,"&lt;"&amp;P139)+COUNTIF($P$9:P139,P139))</f>
        <v>15</v>
      </c>
      <c r="M139" s="692" t="str">
        <f>IF(Ingredient_prices!E134=M138,"",Ingredient_prices!E134)</f>
        <v>Carrot fresh</v>
      </c>
      <c r="N139" s="693">
        <f>_xlfn.IFNA(VLOOKUP($M139,Sedmica_2_količina_sva_sastojak!$C:$E,3,FALSE),"")</f>
        <v>11.769999999999998</v>
      </c>
      <c r="O139" s="696">
        <f>IF(N139="","",COUNTIF($P$9:$P$255,"&lt;"&amp;P139)+COUNTIF($P$9:P139,P139))</f>
        <v>15</v>
      </c>
      <c r="P139" s="694">
        <f t="shared" si="12"/>
        <v>210</v>
      </c>
    </row>
    <row r="140" spans="1:17">
      <c r="A140" s="470">
        <v>132</v>
      </c>
      <c r="B140" s="451" t="str">
        <f t="shared" si="14"/>
        <v/>
      </c>
      <c r="C140" s="462" t="str">
        <f t="shared" si="15"/>
        <v/>
      </c>
      <c r="D140" s="446" t="str">
        <f>IF(B140="Jaje kokošje, celo",IF(C140=INT(C140),C140,C140+1),IF(B140=""," ",_xlfn.IFNA(INT(C140*1000/(VLOOKUP($B140,Ingredient_prices!$E:$J,6,FALSE)))+1,"nije nabavljen")))</f>
        <v xml:space="preserve"> </v>
      </c>
      <c r="E140" s="446" t="str">
        <f>IF(C140="","",VLOOKUP($B140,Ingredient_prices!$E:$K,7,FALSE))</f>
        <v/>
      </c>
      <c r="F140" s="462" t="str">
        <f>IF(C140="","",_xlfn.IFNA((VLOOKUP($B140,Ingredient_prices!$E:$P,11,FALSE)*I140),""))</f>
        <v/>
      </c>
      <c r="G140" s="450" t="str">
        <f>IF(C140="","",_xlfn.IFNA(MID(VLOOKUP($B140,Ingredient_prices!$E:$F,2,FALSE),9,2),""))</f>
        <v/>
      </c>
      <c r="H140" s="447" t="str">
        <f>_xlfn.IFNA(VLOOKUP(CONCATENATE($I$8,$G140),Ingredient_prices!$G:$N,8,FALSE),"")</f>
        <v/>
      </c>
      <c r="I140" s="548" t="str">
        <f t="shared" si="13"/>
        <v/>
      </c>
      <c r="J140" s="695" t="str">
        <f>IF(N140="","",MID(Ingredient_prices!F135,9,2))</f>
        <v>2</v>
      </c>
      <c r="K140" s="692">
        <f t="shared" si="11"/>
        <v>3</v>
      </c>
      <c r="L140" s="692">
        <f>IF(N140="","",COUNTIF($P$9:$P$255,"&lt;"&amp;P140)+COUNTIF($P$9:P140,P140))</f>
        <v>8</v>
      </c>
      <c r="M140" s="692" t="str">
        <f>IF(Ingredient_prices!E135=M139,"",Ingredient_prices!E135)</f>
        <v>Cabbage white fresh</v>
      </c>
      <c r="N140" s="693">
        <f>_xlfn.IFNA(VLOOKUP($M140,Sedmica_2_količina_sva_sastojak!$C:$E,3,FALSE),"")</f>
        <v>26.400000000000002</v>
      </c>
      <c r="O140" s="696">
        <f>IF(N140="","",COUNTIF($P$9:$P$255,"&lt;"&amp;P140)+COUNTIF($P$9:P140,P140))</f>
        <v>8</v>
      </c>
      <c r="P140" s="694">
        <f t="shared" si="12"/>
        <v>23</v>
      </c>
    </row>
    <row r="141" spans="1:17" s="445" customFormat="1">
      <c r="A141" s="470">
        <v>133</v>
      </c>
      <c r="B141" s="451" t="str">
        <f t="shared" si="14"/>
        <v/>
      </c>
      <c r="C141" s="462" t="str">
        <f t="shared" si="15"/>
        <v/>
      </c>
      <c r="D141" s="446" t="str">
        <f>IF(B141="Jaje kokošje, celo",IF(C141=INT(C141),C141,C141+1),IF(B141=""," ",_xlfn.IFNA(INT(C141*1000/(VLOOKUP($B141,Ingredient_prices!$E:$J,6,FALSE)))+1,"nije nabavljen")))</f>
        <v xml:space="preserve"> </v>
      </c>
      <c r="E141" s="446" t="str">
        <f>IF(C141="","",VLOOKUP($B141,Ingredient_prices!$E:$K,7,FALSE))</f>
        <v/>
      </c>
      <c r="F141" s="462" t="str">
        <f>IF(C141="","",_xlfn.IFNA((VLOOKUP($B141,Ingredient_prices!$E:$P,11,FALSE)*I141),""))</f>
        <v/>
      </c>
      <c r="G141" s="450" t="str">
        <f>IF(C141="","",_xlfn.IFNA(MID(VLOOKUP($B141,Ingredient_prices!$E:$F,2,FALSE),9,2),""))</f>
        <v/>
      </c>
      <c r="H141" s="447" t="str">
        <f>_xlfn.IFNA(VLOOKUP(CONCATENATE($I$8,$G141),Ingredient_prices!$G:$N,8,FALSE),"")</f>
        <v/>
      </c>
      <c r="I141" s="548" t="str">
        <f t="shared" si="13"/>
        <v/>
      </c>
      <c r="J141" s="695" t="str">
        <f>IF(N141="","",MID(Ingredient_prices!F136,9,2))</f>
        <v>2</v>
      </c>
      <c r="K141" s="692">
        <f t="shared" ref="K141:K204" si="16">IF(N141="","",COUNTIFS(J$9:J$255,J141,N$9:N$255,"&gt;"&amp;N141)+1)</f>
        <v>41</v>
      </c>
      <c r="L141" s="692">
        <f>IF(N141="","",COUNTIF($P$9:$P$255,"&lt;"&amp;P141)+COUNTIF($P$9:P141,P141))</f>
        <v>46</v>
      </c>
      <c r="M141" s="692" t="str">
        <f>IF(Ingredient_prices!E136=M140,"",Ingredient_prices!E136)</f>
        <v>Parsnip and carrot</v>
      </c>
      <c r="N141" s="693">
        <f>_xlfn.IFNA(VLOOKUP($M141,Sedmica_2_količina_sva_sastojak!$C:$E,3,FALSE),"")</f>
        <v>0.77000000000000013</v>
      </c>
      <c r="O141" s="696">
        <f>IF(N141="","",COUNTIF($P$9:$P$255,"&lt;"&amp;P141)+COUNTIF($P$9:P141,P141))</f>
        <v>46</v>
      </c>
      <c r="P141" s="694">
        <f t="shared" ref="P141:P204" si="17">IF(K141="","",VALUE(CONCATENATE(J141,K141)))</f>
        <v>241</v>
      </c>
      <c r="Q141" s="692"/>
    </row>
    <row r="142" spans="1:17">
      <c r="A142" s="470">
        <v>134</v>
      </c>
      <c r="B142" s="451" t="str">
        <f t="shared" si="14"/>
        <v/>
      </c>
      <c r="C142" s="462" t="str">
        <f t="shared" si="15"/>
        <v/>
      </c>
      <c r="D142" s="446" t="str">
        <f>IF(B142="Jaje kokošje, celo",IF(C142=INT(C142),C142,C142+1),IF(B142=""," ",_xlfn.IFNA(INT(C142*1000/(VLOOKUP($B142,Ingredient_prices!$E:$J,6,FALSE)))+1,"nije nabavljen")))</f>
        <v xml:space="preserve"> </v>
      </c>
      <c r="E142" s="446" t="str">
        <f>IF(C142="","",VLOOKUP($B142,Ingredient_prices!$E:$K,7,FALSE))</f>
        <v/>
      </c>
      <c r="F142" s="462" t="str">
        <f>IF(C142="","",_xlfn.IFNA((VLOOKUP($B142,Ingredient_prices!$E:$P,11,FALSE)*I142),""))</f>
        <v/>
      </c>
      <c r="G142" s="450" t="str">
        <f>IF(C142="","",_xlfn.IFNA(MID(VLOOKUP($B142,Ingredient_prices!$E:$F,2,FALSE),9,2),""))</f>
        <v/>
      </c>
      <c r="H142" s="447" t="str">
        <f>_xlfn.IFNA(VLOOKUP(CONCATENATE($I$8,$G142),Ingredient_prices!$G:$N,8,FALSE),"")</f>
        <v/>
      </c>
      <c r="I142" s="548" t="str">
        <f t="shared" si="13"/>
        <v/>
      </c>
      <c r="J142" s="695" t="str">
        <f>IF(N142="","",MID(Ingredient_prices!F137,9,2))</f>
        <v>2</v>
      </c>
      <c r="K142" s="692">
        <f t="shared" si="16"/>
        <v>28</v>
      </c>
      <c r="L142" s="692">
        <f>IF(N142="","",COUNTIF($P$9:$P$255,"&lt;"&amp;P142)+COUNTIF($P$9:P142,P142))</f>
        <v>35</v>
      </c>
      <c r="M142" s="692" t="str">
        <f>IF(Ingredient_prices!E137=M141,"",Ingredient_prices!E137)</f>
        <v>Cauliflower</v>
      </c>
      <c r="N142" s="693">
        <f>_xlfn.IFNA(VLOOKUP($M142,Sedmica_2_količina_sva_sastojak!$C:$E,3,FALSE),"")</f>
        <v>2.2000000000000002</v>
      </c>
      <c r="O142" s="696">
        <f>IF(N142="","",COUNTIF($P$9:$P$255,"&lt;"&amp;P142)+COUNTIF($P$9:P142,P142))</f>
        <v>35</v>
      </c>
      <c r="P142" s="694">
        <f t="shared" si="17"/>
        <v>228</v>
      </c>
    </row>
    <row r="143" spans="1:17">
      <c r="A143" s="470">
        <v>135</v>
      </c>
      <c r="B143" s="451" t="str">
        <f t="shared" si="14"/>
        <v/>
      </c>
      <c r="C143" s="462" t="str">
        <f t="shared" si="15"/>
        <v/>
      </c>
      <c r="D143" s="446" t="str">
        <f>IF(B143="Jaje kokošje, celo",IF(C143=INT(C143),C143,C143+1),IF(B143=""," ",_xlfn.IFNA(INT(C143*1000/(VLOOKUP($B143,Ingredient_prices!$E:$J,6,FALSE)))+1,"nije nabavljen")))</f>
        <v xml:space="preserve"> </v>
      </c>
      <c r="E143" s="446" t="str">
        <f>IF(C143="","",VLOOKUP($B143,Ingredient_prices!$E:$K,7,FALSE))</f>
        <v/>
      </c>
      <c r="F143" s="462" t="str">
        <f>IF(C143="","",_xlfn.IFNA((VLOOKUP($B143,Ingredient_prices!$E:$P,11,FALSE)*I143),""))</f>
        <v/>
      </c>
      <c r="G143" s="450" t="str">
        <f>IF(C143="","",_xlfn.IFNA(MID(VLOOKUP($B143,Ingredient_prices!$E:$F,2,FALSE),9,2),""))</f>
        <v/>
      </c>
      <c r="H143" s="447" t="str">
        <f>_xlfn.IFNA(VLOOKUP(CONCATENATE($I$8,$G143),Ingredient_prices!$G:$N,8,FALSE),"")</f>
        <v/>
      </c>
      <c r="I143" s="548" t="str">
        <f t="shared" si="13"/>
        <v/>
      </c>
      <c r="J143" s="695" t="str">
        <f>IF(N143="","",MID(Ingredient_prices!F138,9,2))</f>
        <v/>
      </c>
      <c r="K143" s="692" t="str">
        <f t="shared" si="16"/>
        <v/>
      </c>
      <c r="L143" s="692" t="str">
        <f>IF(N143="","",COUNTIF($P$9:$P$255,"&lt;"&amp;P143)+COUNTIF($P$9:P143,P143))</f>
        <v/>
      </c>
      <c r="M143" s="692" t="str">
        <f>IF(Ingredient_prices!E138=M142,"",Ingredient_prices!E138)</f>
        <v>Courgette</v>
      </c>
      <c r="N143" s="693" t="str">
        <f>_xlfn.IFNA(VLOOKUP($M143,Sedmica_2_količina_sva_sastojak!$C:$E,3,FALSE),"")</f>
        <v/>
      </c>
      <c r="O143" s="696" t="str">
        <f>IF(N143="","",COUNTIF($P$9:$P$255,"&lt;"&amp;P143)+COUNTIF($P$9:P143,P143))</f>
        <v/>
      </c>
      <c r="P143" s="694" t="str">
        <f t="shared" si="17"/>
        <v/>
      </c>
    </row>
    <row r="144" spans="1:17">
      <c r="A144" s="470">
        <v>136</v>
      </c>
      <c r="B144" s="451" t="str">
        <f t="shared" si="14"/>
        <v/>
      </c>
      <c r="C144" s="462" t="str">
        <f t="shared" si="15"/>
        <v/>
      </c>
      <c r="D144" s="446" t="str">
        <f>IF(B144="Jaje kokošje, celo",IF(C144=INT(C144),C144,C144+1),IF(B144=""," ",_xlfn.IFNA(INT(C144*1000/(VLOOKUP($B144,Ingredient_prices!$E:$J,6,FALSE)))+1,"nije nabavljen")))</f>
        <v xml:space="preserve"> </v>
      </c>
      <c r="E144" s="446" t="str">
        <f>IF(C144="","",VLOOKUP($B144,Ingredient_prices!$E:$K,7,FALSE))</f>
        <v/>
      </c>
      <c r="F144" s="462" t="str">
        <f>IF(C144="","",_xlfn.IFNA((VLOOKUP($B144,Ingredient_prices!$E:$P,11,FALSE)*I144),""))</f>
        <v/>
      </c>
      <c r="G144" s="450" t="str">
        <f>IF(C144="","",_xlfn.IFNA(MID(VLOOKUP($B144,Ingredient_prices!$E:$F,2,FALSE),9,2),""))</f>
        <v/>
      </c>
      <c r="H144" s="447" t="str">
        <f>_xlfn.IFNA(VLOOKUP(CONCATENATE($I$8,$G144),Ingredient_prices!$G:$N,8,FALSE),"")</f>
        <v/>
      </c>
      <c r="I144" s="548" t="str">
        <f t="shared" si="13"/>
        <v/>
      </c>
      <c r="J144" s="695" t="str">
        <f>IF(N144="","",MID(Ingredient_prices!F139,9,2))</f>
        <v/>
      </c>
      <c r="K144" s="692" t="str">
        <f t="shared" si="16"/>
        <v/>
      </c>
      <c r="L144" s="692" t="str">
        <f>IF(N144="","",COUNTIF($P$9:$P$255,"&lt;"&amp;P144)+COUNTIF($P$9:P144,P144))</f>
        <v/>
      </c>
      <c r="M144" s="692" t="str">
        <f>IF(Ingredient_prices!E139=M143,"",Ingredient_prices!E139)</f>
        <v>Aubergine</v>
      </c>
      <c r="N144" s="693" t="str">
        <f>_xlfn.IFNA(VLOOKUP($M144,Sedmica_2_količina_sva_sastojak!$C:$E,3,FALSE),"")</f>
        <v/>
      </c>
      <c r="O144" s="696" t="str">
        <f>IF(N144="","",COUNTIF($P$9:$P$255,"&lt;"&amp;P144)+COUNTIF($P$9:P144,P144))</f>
        <v/>
      </c>
      <c r="P144" s="694" t="str">
        <f t="shared" si="17"/>
        <v/>
      </c>
    </row>
    <row r="145" spans="1:16">
      <c r="A145" s="470">
        <v>137</v>
      </c>
      <c r="B145" s="451" t="str">
        <f t="shared" si="14"/>
        <v/>
      </c>
      <c r="C145" s="462" t="str">
        <f t="shared" si="15"/>
        <v/>
      </c>
      <c r="D145" s="446" t="str">
        <f>IF(B145="Jaje kokošje, celo",IF(C145=INT(C145),C145,C145+1),IF(B145=""," ",_xlfn.IFNA(INT(C145*1000/(VLOOKUP($B145,Ingredient_prices!$E:$J,6,FALSE)))+1,"nije nabavljen")))</f>
        <v xml:space="preserve"> </v>
      </c>
      <c r="E145" s="446" t="str">
        <f>IF(C145="","",VLOOKUP($B145,Ingredient_prices!$E:$K,7,FALSE))</f>
        <v/>
      </c>
      <c r="F145" s="462" t="str">
        <f>IF(C145="","",_xlfn.IFNA((VLOOKUP($B145,Ingredient_prices!$E:$P,11,FALSE)*I145),""))</f>
        <v/>
      </c>
      <c r="G145" s="450" t="str">
        <f>IF(C145="","",_xlfn.IFNA(MID(VLOOKUP($B145,Ingredient_prices!$E:$F,2,FALSE),9,2),""))</f>
        <v/>
      </c>
      <c r="H145" s="447" t="str">
        <f>_xlfn.IFNA(VLOOKUP(CONCATENATE($I$8,$G145),Ingredient_prices!$G:$N,8,FALSE),"")</f>
        <v/>
      </c>
      <c r="I145" s="548" t="str">
        <f t="shared" si="13"/>
        <v/>
      </c>
      <c r="J145" s="695" t="str">
        <f>IF(N145="","",MID(Ingredient_prices!F140,9,2))</f>
        <v/>
      </c>
      <c r="K145" s="692" t="str">
        <f t="shared" si="16"/>
        <v/>
      </c>
      <c r="L145" s="692" t="str">
        <f>IF(N145="","",COUNTIF($P$9:$P$255,"&lt;"&amp;P145)+COUNTIF($P$9:P145,P145))</f>
        <v/>
      </c>
      <c r="M145" s="692" t="str">
        <f>IF(Ingredient_prices!E140=M144,"",Ingredient_prices!E140)</f>
        <v>Peppers bell</v>
      </c>
      <c r="N145" s="693" t="str">
        <f>_xlfn.IFNA(VLOOKUP($M145,Sedmica_2_količina_sva_sastojak!$C:$E,3,FALSE),"")</f>
        <v/>
      </c>
      <c r="O145" s="696" t="str">
        <f>IF(N145="","",COUNTIF($P$9:$P$255,"&lt;"&amp;P145)+COUNTIF($P$9:P145,P145))</f>
        <v/>
      </c>
      <c r="P145" s="694" t="str">
        <f t="shared" si="17"/>
        <v/>
      </c>
    </row>
    <row r="146" spans="1:16">
      <c r="A146" s="470">
        <v>138</v>
      </c>
      <c r="B146" s="451" t="str">
        <f t="shared" si="14"/>
        <v/>
      </c>
      <c r="C146" s="462" t="str">
        <f t="shared" si="15"/>
        <v/>
      </c>
      <c r="D146" s="446" t="str">
        <f>IF(B146="Jaje kokošje, celo",IF(C146=INT(C146),C146,C146+1),IF(B146=""," ",_xlfn.IFNA(INT(C146*1000/(VLOOKUP($B146,Ingredient_prices!$E:$J,6,FALSE)))+1,"nije nabavljen")))</f>
        <v xml:space="preserve"> </v>
      </c>
      <c r="E146" s="446" t="str">
        <f>IF(C146="","",VLOOKUP($B146,Ingredient_prices!$E:$K,7,FALSE))</f>
        <v/>
      </c>
      <c r="F146" s="462" t="str">
        <f>IF(C146="","",_xlfn.IFNA((VLOOKUP($B146,Ingredient_prices!$E:$P,11,FALSE)*I146),""))</f>
        <v/>
      </c>
      <c r="G146" s="450" t="str">
        <f>IF(C146="","",_xlfn.IFNA(MID(VLOOKUP($B146,Ingredient_prices!$E:$F,2,FALSE),9,2),""))</f>
        <v/>
      </c>
      <c r="H146" s="447" t="str">
        <f>_xlfn.IFNA(VLOOKUP(CONCATENATE($I$8,$G146),Ingredient_prices!$G:$N,8,FALSE),"")</f>
        <v/>
      </c>
      <c r="I146" s="548" t="str">
        <f t="shared" si="13"/>
        <v/>
      </c>
      <c r="J146" s="695" t="str">
        <f>IF(N146="","",MID(Ingredient_prices!F141,9,2))</f>
        <v/>
      </c>
      <c r="K146" s="692" t="str">
        <f t="shared" si="16"/>
        <v/>
      </c>
      <c r="L146" s="692" t="str">
        <f>IF(N146="","",COUNTIF($P$9:$P$255,"&lt;"&amp;P146)+COUNTIF($P$9:P146,P146))</f>
        <v/>
      </c>
      <c r="M146" s="692" t="str">
        <f>IF(Ingredient_prices!E141=M145,"",Ingredient_prices!E141)</f>
        <v>Leek</v>
      </c>
      <c r="N146" s="693" t="str">
        <f>_xlfn.IFNA(VLOOKUP($M146,Sedmica_2_količina_sva_sastojak!$C:$E,3,FALSE),"")</f>
        <v/>
      </c>
      <c r="O146" s="696" t="str">
        <f>IF(N146="","",COUNTIF($P$9:$P$255,"&lt;"&amp;P146)+COUNTIF($P$9:P146,P146))</f>
        <v/>
      </c>
      <c r="P146" s="694" t="str">
        <f t="shared" si="17"/>
        <v/>
      </c>
    </row>
    <row r="147" spans="1:16">
      <c r="A147" s="470">
        <v>139</v>
      </c>
      <c r="B147" s="451" t="str">
        <f t="shared" si="14"/>
        <v/>
      </c>
      <c r="C147" s="462" t="str">
        <f t="shared" si="15"/>
        <v/>
      </c>
      <c r="D147" s="446" t="str">
        <f>IF(B147="Jaje kokošje, celo",IF(C147=INT(C147),C147,C147+1),IF(B147=""," ",_xlfn.IFNA(INT(C147*1000/(VLOOKUP($B147,Ingredient_prices!$E:$J,6,FALSE)))+1,"nije nabavljen")))</f>
        <v xml:space="preserve"> </v>
      </c>
      <c r="E147" s="446" t="str">
        <f>IF(C147="","",VLOOKUP($B147,Ingredient_prices!$E:$K,7,FALSE))</f>
        <v/>
      </c>
      <c r="F147" s="462" t="str">
        <f>IF(C147="","",_xlfn.IFNA((VLOOKUP($B147,Ingredient_prices!$E:$P,11,FALSE)*I147),""))</f>
        <v/>
      </c>
      <c r="G147" s="450" t="str">
        <f>IF(C147="","",_xlfn.IFNA(MID(VLOOKUP($B147,Ingredient_prices!$E:$F,2,FALSE),9,2),""))</f>
        <v/>
      </c>
      <c r="H147" s="447" t="str">
        <f>_xlfn.IFNA(VLOOKUP(CONCATENATE($I$8,$G147),Ingredient_prices!$G:$N,8,FALSE),"")</f>
        <v/>
      </c>
      <c r="I147" s="548" t="str">
        <f t="shared" si="13"/>
        <v/>
      </c>
      <c r="J147" s="695" t="str">
        <f>IF(N147="","",MID(Ingredient_prices!F142,9,2))</f>
        <v/>
      </c>
      <c r="K147" s="692" t="str">
        <f t="shared" si="16"/>
        <v/>
      </c>
      <c r="L147" s="692" t="str">
        <f>IF(N147="","",COUNTIF($P$9:$P$255,"&lt;"&amp;P147)+COUNTIF($P$9:P147,P147))</f>
        <v/>
      </c>
      <c r="M147" s="692" t="str">
        <f>IF(Ingredient_prices!E142=M146,"",Ingredient_prices!E142)</f>
        <v>Pumpkin</v>
      </c>
      <c r="N147" s="693" t="str">
        <f>_xlfn.IFNA(VLOOKUP($M147,Sedmica_2_količina_sva_sastojak!$C:$E,3,FALSE),"")</f>
        <v/>
      </c>
      <c r="O147" s="696" t="str">
        <f>IF(N147="","",COUNTIF($P$9:$P$255,"&lt;"&amp;P147)+COUNTIF($P$9:P147,P147))</f>
        <v/>
      </c>
      <c r="P147" s="694" t="str">
        <f t="shared" si="17"/>
        <v/>
      </c>
    </row>
    <row r="148" spans="1:16">
      <c r="A148" s="470">
        <v>140</v>
      </c>
      <c r="B148" s="451" t="str">
        <f t="shared" si="14"/>
        <v/>
      </c>
      <c r="C148" s="462" t="str">
        <f t="shared" si="15"/>
        <v/>
      </c>
      <c r="D148" s="446" t="str">
        <f>IF(B148="Jaje kokošje, celo",IF(C148=INT(C148),C148,C148+1),IF(B148=""," ",_xlfn.IFNA(INT(C148*1000/(VLOOKUP($B148,Ingredient_prices!$E:$J,6,FALSE)))+1,"nije nabavljen")))</f>
        <v xml:space="preserve"> </v>
      </c>
      <c r="E148" s="446" t="str">
        <f>IF(C148="","",VLOOKUP($B148,Ingredient_prices!$E:$K,7,FALSE))</f>
        <v/>
      </c>
      <c r="F148" s="462" t="str">
        <f>IF(C148="","",_xlfn.IFNA((VLOOKUP($B148,Ingredient_prices!$E:$P,11,FALSE)*I148),""))</f>
        <v/>
      </c>
      <c r="G148" s="450" t="str">
        <f>IF(C148="","",_xlfn.IFNA(MID(VLOOKUP($B148,Ingredient_prices!$E:$F,2,FALSE),9,2),""))</f>
        <v/>
      </c>
      <c r="H148" s="447" t="str">
        <f>_xlfn.IFNA(VLOOKUP(CONCATENATE($I$8,$G148),Ingredient_prices!$G:$N,8,FALSE),"")</f>
        <v/>
      </c>
      <c r="I148" s="548" t="str">
        <f t="shared" si="13"/>
        <v/>
      </c>
      <c r="J148" s="695" t="str">
        <f>IF(N148="","",MID(Ingredient_prices!F143,9,2))</f>
        <v>2</v>
      </c>
      <c r="K148" s="692">
        <f t="shared" si="16"/>
        <v>17</v>
      </c>
      <c r="L148" s="692">
        <f>IF(N148="","",COUNTIF($P$9:$P$255,"&lt;"&amp;P148)+COUNTIF($P$9:P148,P148))</f>
        <v>22</v>
      </c>
      <c r="M148" s="692" t="str">
        <f>IF(Ingredient_prices!E143=M147,"",Ingredient_prices!E143)</f>
        <v>Onion</v>
      </c>
      <c r="N148" s="693">
        <f>_xlfn.IFNA(VLOOKUP($M148,Sedmica_2_količina_sva_sastojak!$C:$E,3,FALSE),"")</f>
        <v>5.7200000000000006</v>
      </c>
      <c r="O148" s="696">
        <f>IF(N148="","",COUNTIF($P$9:$P$255,"&lt;"&amp;P148)+COUNTIF($P$9:P148,P148))</f>
        <v>22</v>
      </c>
      <c r="P148" s="694">
        <f t="shared" si="17"/>
        <v>217</v>
      </c>
    </row>
    <row r="149" spans="1:16">
      <c r="A149" s="470">
        <v>141</v>
      </c>
      <c r="B149" s="451" t="str">
        <f t="shared" si="14"/>
        <v/>
      </c>
      <c r="C149" s="462" t="str">
        <f t="shared" si="15"/>
        <v/>
      </c>
      <c r="D149" s="446" t="str">
        <f>IF(B149="Jaje kokošje, celo",IF(C149=INT(C149),C149,C149+1),IF(B149=""," ",_xlfn.IFNA(INT(C149*1000/(VLOOKUP($B149,Ingredient_prices!$E:$J,6,FALSE)))+1,"nije nabavljen")))</f>
        <v xml:space="preserve"> </v>
      </c>
      <c r="E149" s="446" t="str">
        <f>IF(C149="","",VLOOKUP($B149,Ingredient_prices!$E:$K,7,FALSE))</f>
        <v/>
      </c>
      <c r="F149" s="462" t="str">
        <f>IF(C149="","",_xlfn.IFNA((VLOOKUP($B149,Ingredient_prices!$E:$P,11,FALSE)*I149),""))</f>
        <v/>
      </c>
      <c r="G149" s="450" t="str">
        <f>IF(C149="","",_xlfn.IFNA(MID(VLOOKUP($B149,Ingredient_prices!$E:$F,2,FALSE),9,2),""))</f>
        <v/>
      </c>
      <c r="H149" s="447" t="str">
        <f>_xlfn.IFNA(VLOOKUP(CONCATENATE($I$8,$G149),Ingredient_prices!$G:$N,8,FALSE),"")</f>
        <v/>
      </c>
      <c r="I149" s="548" t="str">
        <f t="shared" si="13"/>
        <v/>
      </c>
      <c r="J149" s="695" t="str">
        <f>IF(N149="","",MID(Ingredient_prices!F144,9,2))</f>
        <v/>
      </c>
      <c r="K149" s="692" t="str">
        <f t="shared" si="16"/>
        <v/>
      </c>
      <c r="L149" s="692" t="str">
        <f>IF(N149="","",COUNTIF($P$9:$P$255,"&lt;"&amp;P149)+COUNTIF($P$9:P149,P149))</f>
        <v/>
      </c>
      <c r="M149" s="692" t="str">
        <f>IF(Ingredient_prices!E144=M148,"",Ingredient_prices!E144)</f>
        <v>Lettuce</v>
      </c>
      <c r="N149" s="693" t="str">
        <f>_xlfn.IFNA(VLOOKUP($M149,Sedmica_2_količina_sva_sastojak!$C:$E,3,FALSE),"")</f>
        <v/>
      </c>
      <c r="O149" s="696" t="str">
        <f>IF(N149="","",COUNTIF($P$9:$P$255,"&lt;"&amp;P149)+COUNTIF($P$9:P149,P149))</f>
        <v/>
      </c>
      <c r="P149" s="694" t="str">
        <f t="shared" si="17"/>
        <v/>
      </c>
    </row>
    <row r="150" spans="1:16">
      <c r="A150" s="470">
        <v>142</v>
      </c>
      <c r="B150" s="451" t="str">
        <f t="shared" si="14"/>
        <v/>
      </c>
      <c r="C150" s="462" t="str">
        <f t="shared" si="15"/>
        <v/>
      </c>
      <c r="D150" s="446" t="str">
        <f>IF(B150="Jaje kokošje, celo",IF(C150=INT(C150),C150,C150+1),IF(B150=""," ",_xlfn.IFNA(INT(C150*1000/(VLOOKUP($B150,Ingredient_prices!$E:$J,6,FALSE)))+1,"nije nabavljen")))</f>
        <v xml:space="preserve"> </v>
      </c>
      <c r="E150" s="446" t="str">
        <f>IF(C150="","",VLOOKUP($B150,Ingredient_prices!$E:$K,7,FALSE))</f>
        <v/>
      </c>
      <c r="F150" s="462" t="str">
        <f>IF(C150="","",_xlfn.IFNA((VLOOKUP($B150,Ingredient_prices!$E:$P,11,FALSE)*I150),""))</f>
        <v/>
      </c>
      <c r="G150" s="450" t="str">
        <f>IF(C150="","",_xlfn.IFNA(MID(VLOOKUP($B150,Ingredient_prices!$E:$F,2,FALSE),9,2),""))</f>
        <v/>
      </c>
      <c r="H150" s="447" t="str">
        <f>_xlfn.IFNA(VLOOKUP(CONCATENATE($I$8,$G150),Ingredient_prices!$G:$N,8,FALSE),"")</f>
        <v/>
      </c>
      <c r="I150" s="548" t="str">
        <f t="shared" si="13"/>
        <v/>
      </c>
      <c r="J150" s="695" t="str">
        <f>IF(N150="","",MID(Ingredient_prices!F145,9,2))</f>
        <v>2</v>
      </c>
      <c r="K150" s="692">
        <f t="shared" si="16"/>
        <v>6</v>
      </c>
      <c r="L150" s="692">
        <f>IF(N150="","",COUNTIF($P$9:$P$255,"&lt;"&amp;P150)+COUNTIF($P$9:P150,P150))</f>
        <v>11</v>
      </c>
      <c r="M150" s="692" t="str">
        <f>IF(Ingredient_prices!E145=M149,"",Ingredient_prices!E145)</f>
        <v>Potatoes white</v>
      </c>
      <c r="N150" s="693">
        <f>_xlfn.IFNA(VLOOKUP($M150,Sedmica_2_količina_sva_sastojak!$C:$E,3,FALSE),"")</f>
        <v>17.600000000000001</v>
      </c>
      <c r="O150" s="696">
        <f>IF(N150="","",COUNTIF($P$9:$P$255,"&lt;"&amp;P150)+COUNTIF($P$9:P150,P150))</f>
        <v>11</v>
      </c>
      <c r="P150" s="694">
        <f t="shared" si="17"/>
        <v>26</v>
      </c>
    </row>
    <row r="151" spans="1:16">
      <c r="A151" s="470">
        <v>143</v>
      </c>
      <c r="B151" s="451" t="str">
        <f t="shared" si="14"/>
        <v/>
      </c>
      <c r="C151" s="462" t="str">
        <f t="shared" si="15"/>
        <v/>
      </c>
      <c r="D151" s="446" t="str">
        <f>IF(B151="Jaje kokošje, celo",IF(C151=INT(C151),C151,C151+1),IF(B151=""," ",_xlfn.IFNA(INT(C151*1000/(VLOOKUP($B151,Ingredient_prices!$E:$J,6,FALSE)))+1,"nije nabavljen")))</f>
        <v xml:space="preserve"> </v>
      </c>
      <c r="E151" s="446" t="str">
        <f>IF(C151="","",VLOOKUP($B151,Ingredient_prices!$E:$K,7,FALSE))</f>
        <v/>
      </c>
      <c r="F151" s="462" t="str">
        <f>IF(C151="","",_xlfn.IFNA((VLOOKUP($B151,Ingredient_prices!$E:$P,11,FALSE)*I151),""))</f>
        <v/>
      </c>
      <c r="G151" s="450" t="str">
        <f>IF(C151="","",_xlfn.IFNA(MID(VLOOKUP($B151,Ingredient_prices!$E:$F,2,FALSE),9,2),""))</f>
        <v/>
      </c>
      <c r="H151" s="447" t="str">
        <f>_xlfn.IFNA(VLOOKUP(CONCATENATE($I$8,$G151),Ingredient_prices!$G:$N,8,FALSE),"")</f>
        <v/>
      </c>
      <c r="I151" s="548" t="str">
        <f t="shared" si="13"/>
        <v/>
      </c>
      <c r="J151" s="695" t="str">
        <f>IF(N151="","",MID(Ingredient_prices!F146,9,2))</f>
        <v/>
      </c>
      <c r="K151" s="692" t="str">
        <f t="shared" si="16"/>
        <v/>
      </c>
      <c r="L151" s="692" t="str">
        <f>IF(N151="","",COUNTIF($P$9:$P$255,"&lt;"&amp;P151)+COUNTIF($P$9:P151,P151))</f>
        <v/>
      </c>
      <c r="M151" s="692" t="str">
        <f>IF(Ingredient_prices!E146=M150,"",Ingredient_prices!E146)</f>
        <v>Cucumber fresh</v>
      </c>
      <c r="N151" s="693" t="str">
        <f>_xlfn.IFNA(VLOOKUP($M151,Sedmica_2_količina_sva_sastojak!$C:$E,3,FALSE),"")</f>
        <v/>
      </c>
      <c r="O151" s="696" t="str">
        <f>IF(N151="","",COUNTIF($P$9:$P$255,"&lt;"&amp;P151)+COUNTIF($P$9:P151,P151))</f>
        <v/>
      </c>
      <c r="P151" s="694" t="str">
        <f t="shared" si="17"/>
        <v/>
      </c>
    </row>
    <row r="152" spans="1:16">
      <c r="A152" s="470">
        <v>144</v>
      </c>
      <c r="B152" s="451" t="str">
        <f t="shared" si="14"/>
        <v/>
      </c>
      <c r="C152" s="462" t="str">
        <f t="shared" si="15"/>
        <v/>
      </c>
      <c r="D152" s="446" t="str">
        <f>IF(B152="Jaje kokošje, celo",IF(C152=INT(C152),C152,C152+1),IF(B152=""," ",_xlfn.IFNA(INT(C152*1000/(VLOOKUP($B152,Ingredient_prices!$E:$J,6,FALSE)))+1,"nije nabavljen")))</f>
        <v xml:space="preserve"> </v>
      </c>
      <c r="E152" s="446" t="str">
        <f>IF(C152="","",VLOOKUP($B152,Ingredient_prices!$E:$K,7,FALSE))</f>
        <v/>
      </c>
      <c r="F152" s="462" t="str">
        <f>IF(C152="","",_xlfn.IFNA((VLOOKUP($B152,Ingredient_prices!$E:$P,11,FALSE)*I152),""))</f>
        <v/>
      </c>
      <c r="G152" s="450" t="str">
        <f>IF(C152="","",_xlfn.IFNA(MID(VLOOKUP($B152,Ingredient_prices!$E:$F,2,FALSE),9,2),""))</f>
        <v/>
      </c>
      <c r="H152" s="447" t="str">
        <f>_xlfn.IFNA(VLOOKUP(CONCATENATE($I$8,$G152),Ingredient_prices!$G:$N,8,FALSE),"")</f>
        <v/>
      </c>
      <c r="I152" s="548" t="str">
        <f t="shared" si="13"/>
        <v/>
      </c>
      <c r="J152" s="695" t="str">
        <f>IF(N152="","",MID(Ingredient_prices!F147,9,2))</f>
        <v/>
      </c>
      <c r="K152" s="692" t="str">
        <f t="shared" si="16"/>
        <v/>
      </c>
      <c r="L152" s="692" t="str">
        <f>IF(N152="","",COUNTIF($P$9:$P$255,"&lt;"&amp;P152)+COUNTIF($P$9:P152,P152))</f>
        <v/>
      </c>
      <c r="M152" s="692" t="str">
        <f>IF(Ingredient_prices!E147=M151,"",Ingredient_prices!E147)</f>
        <v>Tomatoes</v>
      </c>
      <c r="N152" s="693" t="str">
        <f>_xlfn.IFNA(VLOOKUP($M152,Sedmica_2_količina_sva_sastojak!$C:$E,3,FALSE),"")</f>
        <v/>
      </c>
      <c r="O152" s="696" t="str">
        <f>IF(N152="","",COUNTIF($P$9:$P$255,"&lt;"&amp;P152)+COUNTIF($P$9:P152,P152))</f>
        <v/>
      </c>
      <c r="P152" s="694" t="str">
        <f t="shared" si="17"/>
        <v/>
      </c>
    </row>
    <row r="153" spans="1:16">
      <c r="A153" s="470">
        <v>145</v>
      </c>
      <c r="B153" s="451" t="str">
        <f t="shared" si="14"/>
        <v/>
      </c>
      <c r="C153" s="462" t="str">
        <f t="shared" si="15"/>
        <v/>
      </c>
      <c r="D153" s="446" t="str">
        <f>IF(B153="Jaje kokošje, celo",IF(C153=INT(C153),C153,C153+1),IF(B153=""," ",_xlfn.IFNA(INT(C153*1000/(VLOOKUP($B153,Ingredient_prices!$E:$J,6,FALSE)))+1,"nije nabavljen")))</f>
        <v xml:space="preserve"> </v>
      </c>
      <c r="E153" s="446" t="str">
        <f>IF(C153="","",VLOOKUP($B153,Ingredient_prices!$E:$K,7,FALSE))</f>
        <v/>
      </c>
      <c r="F153" s="462" t="str">
        <f>IF(C153="","",_xlfn.IFNA((VLOOKUP($B153,Ingredient_prices!$E:$P,11,FALSE)*I153),""))</f>
        <v/>
      </c>
      <c r="G153" s="450" t="str">
        <f>IF(C153="","",_xlfn.IFNA(MID(VLOOKUP($B153,Ingredient_prices!$E:$F,2,FALSE),9,2),""))</f>
        <v/>
      </c>
      <c r="H153" s="447" t="str">
        <f>_xlfn.IFNA(VLOOKUP(CONCATENATE($I$8,$G153),Ingredient_prices!$G:$N,8,FALSE),"")</f>
        <v/>
      </c>
      <c r="I153" s="548" t="str">
        <f t="shared" si="13"/>
        <v/>
      </c>
      <c r="J153" s="695" t="str">
        <f>IF(N153="","",MID(Ingredient_prices!F148,9,2))</f>
        <v>2</v>
      </c>
      <c r="K153" s="692">
        <f t="shared" si="16"/>
        <v>15</v>
      </c>
      <c r="L153" s="692">
        <f>IF(N153="","",COUNTIF($P$9:$P$255,"&lt;"&amp;P153)+COUNTIF($P$9:P153,P153))</f>
        <v>20</v>
      </c>
      <c r="M153" s="692" t="str">
        <f>IF(Ingredient_prices!E148=M152,"",Ingredient_prices!E148)</f>
        <v>Peas frozen</v>
      </c>
      <c r="N153" s="693">
        <f>_xlfn.IFNA(VLOOKUP($M153,Sedmica_2_količina_sva_sastojak!$C:$E,3,FALSE),"")</f>
        <v>8.8000000000000007</v>
      </c>
      <c r="O153" s="696">
        <f>IF(N153="","",COUNTIF($P$9:$P$255,"&lt;"&amp;P153)+COUNTIF($P$9:P153,P153))</f>
        <v>20</v>
      </c>
      <c r="P153" s="694">
        <f t="shared" si="17"/>
        <v>215</v>
      </c>
    </row>
    <row r="154" spans="1:16">
      <c r="A154" s="470">
        <v>146</v>
      </c>
      <c r="B154" s="451" t="str">
        <f t="shared" si="14"/>
        <v/>
      </c>
      <c r="C154" s="462" t="str">
        <f t="shared" si="15"/>
        <v/>
      </c>
      <c r="D154" s="446" t="str">
        <f>IF(B154="Jaje kokošje, celo",IF(C154=INT(C154),C154,C154+1),IF(B154=""," ",_xlfn.IFNA(INT(C154*1000/(VLOOKUP($B154,Ingredient_prices!$E:$J,6,FALSE)))+1,"nije nabavljen")))</f>
        <v xml:space="preserve"> </v>
      </c>
      <c r="E154" s="446" t="str">
        <f>IF(C154="","",VLOOKUP($B154,Ingredient_prices!$E:$K,7,FALSE))</f>
        <v/>
      </c>
      <c r="F154" s="462" t="str">
        <f>IF(C154="","",_xlfn.IFNA((VLOOKUP($B154,Ingredient_prices!$E:$P,11,FALSE)*I154),""))</f>
        <v/>
      </c>
      <c r="G154" s="450" t="str">
        <f>IF(C154="","",_xlfn.IFNA(MID(VLOOKUP($B154,Ingredient_prices!$E:$F,2,FALSE),9,2),""))</f>
        <v/>
      </c>
      <c r="H154" s="447" t="str">
        <f>_xlfn.IFNA(VLOOKUP(CONCATENATE($I$8,$G154),Ingredient_prices!$G:$N,8,FALSE),"")</f>
        <v/>
      </c>
      <c r="I154" s="548" t="str">
        <f t="shared" si="13"/>
        <v/>
      </c>
      <c r="J154" s="695" t="str">
        <f>IF(N154="","",MID(Ingredient_prices!F149,9,2))</f>
        <v/>
      </c>
      <c r="K154" s="692" t="str">
        <f t="shared" si="16"/>
        <v/>
      </c>
      <c r="L154" s="692" t="str">
        <f>IF(N154="","",COUNTIF($P$9:$P$255,"&lt;"&amp;P154)+COUNTIF($P$9:P154,P154))</f>
        <v/>
      </c>
      <c r="M154" s="692" t="str">
        <f>IF(Ingredient_prices!E149=M153,"",Ingredient_prices!E149)</f>
        <v>Green (French) beans</v>
      </c>
      <c r="N154" s="693" t="str">
        <f>_xlfn.IFNA(VLOOKUP($M154,Sedmica_2_količina_sva_sastojak!$C:$E,3,FALSE),"")</f>
        <v/>
      </c>
      <c r="O154" s="696" t="str">
        <f>IF(N154="","",COUNTIF($P$9:$P$255,"&lt;"&amp;P154)+COUNTIF($P$9:P154,P154))</f>
        <v/>
      </c>
      <c r="P154" s="694" t="str">
        <f t="shared" si="17"/>
        <v/>
      </c>
    </row>
    <row r="155" spans="1:16">
      <c r="A155" s="470">
        <v>147</v>
      </c>
      <c r="B155" s="451" t="str">
        <f t="shared" si="14"/>
        <v/>
      </c>
      <c r="C155" s="462" t="str">
        <f t="shared" si="15"/>
        <v/>
      </c>
      <c r="D155" s="446" t="str">
        <f>IF(B155="Jaje kokošje, celo",IF(C155=INT(C155),C155,C155+1),IF(B155=""," ",_xlfn.IFNA(INT(C155*1000/(VLOOKUP($B155,Ingredient_prices!$E:$J,6,FALSE)))+1,"nije nabavljen")))</f>
        <v xml:space="preserve"> </v>
      </c>
      <c r="E155" s="446" t="str">
        <f>IF(C155="","",VLOOKUP($B155,Ingredient_prices!$E:$K,7,FALSE))</f>
        <v/>
      </c>
      <c r="F155" s="462" t="str">
        <f>IF(C155="","",_xlfn.IFNA((VLOOKUP($B155,Ingredient_prices!$E:$P,11,FALSE)*I155),""))</f>
        <v/>
      </c>
      <c r="G155" s="450" t="str">
        <f>IF(C155="","",_xlfn.IFNA(MID(VLOOKUP($B155,Ingredient_prices!$E:$F,2,FALSE),9,2),""))</f>
        <v/>
      </c>
      <c r="H155" s="447" t="str">
        <f>_xlfn.IFNA(VLOOKUP(CONCATENATE($I$8,$G155),Ingredient_prices!$G:$N,8,FALSE),"")</f>
        <v/>
      </c>
      <c r="I155" s="548" t="str">
        <f t="shared" si="13"/>
        <v/>
      </c>
      <c r="J155" s="695" t="str">
        <f>IF(N155="","",MID(Ingredient_prices!F150,9,2))</f>
        <v/>
      </c>
      <c r="K155" s="692" t="str">
        <f t="shared" si="16"/>
        <v/>
      </c>
      <c r="L155" s="692" t="str">
        <f>IF(N155="","",COUNTIF($P$9:$P$255,"&lt;"&amp;P155)+COUNTIF($P$9:P155,P155))</f>
        <v/>
      </c>
      <c r="M155" s="692" t="str">
        <f>IF(Ingredient_prices!E150=M154,"",Ingredient_prices!E150)</f>
        <v>Carrots frozen</v>
      </c>
      <c r="N155" s="693" t="str">
        <f>_xlfn.IFNA(VLOOKUP($M155,Sedmica_2_količina_sva_sastojak!$C:$E,3,FALSE),"")</f>
        <v/>
      </c>
      <c r="O155" s="696" t="str">
        <f>IF(N155="","",COUNTIF($P$9:$P$255,"&lt;"&amp;P155)+COUNTIF($P$9:P155,P155))</f>
        <v/>
      </c>
      <c r="P155" s="694" t="str">
        <f t="shared" si="17"/>
        <v/>
      </c>
    </row>
    <row r="156" spans="1:16">
      <c r="A156" s="470">
        <v>148</v>
      </c>
      <c r="B156" s="451" t="str">
        <f t="shared" si="14"/>
        <v/>
      </c>
      <c r="C156" s="462" t="str">
        <f t="shared" si="15"/>
        <v/>
      </c>
      <c r="D156" s="446" t="str">
        <f>IF(B156="Jaje kokošje, celo",IF(C156=INT(C156),C156,C156+1),IF(B156=""," ",_xlfn.IFNA(INT(C156*1000/(VLOOKUP($B156,Ingredient_prices!$E:$J,6,FALSE)))+1,"nije nabavljen")))</f>
        <v xml:space="preserve"> </v>
      </c>
      <c r="E156" s="446" t="str">
        <f>IF(C156="","",VLOOKUP($B156,Ingredient_prices!$E:$K,7,FALSE))</f>
        <v/>
      </c>
      <c r="F156" s="462" t="str">
        <f>IF(C156="","",_xlfn.IFNA((VLOOKUP($B156,Ingredient_prices!$E:$P,11,FALSE)*I156),""))</f>
        <v/>
      </c>
      <c r="G156" s="450" t="str">
        <f>IF(C156="","",_xlfn.IFNA(MID(VLOOKUP($B156,Ingredient_prices!$E:$F,2,FALSE),9,2),""))</f>
        <v/>
      </c>
      <c r="H156" s="447" t="str">
        <f>_xlfn.IFNA(VLOOKUP(CONCATENATE($I$8,$G156),Ingredient_prices!$G:$N,8,FALSE),"")</f>
        <v/>
      </c>
      <c r="I156" s="548" t="str">
        <f t="shared" si="13"/>
        <v/>
      </c>
      <c r="J156" s="695" t="str">
        <f>IF(N156="","",MID(Ingredient_prices!F151,9,2))</f>
        <v/>
      </c>
      <c r="K156" s="692" t="str">
        <f t="shared" si="16"/>
        <v/>
      </c>
      <c r="L156" s="692" t="str">
        <f>IF(N156="","",COUNTIF($P$9:$P$255,"&lt;"&amp;P156)+COUNTIF($P$9:P156,P156))</f>
        <v/>
      </c>
      <c r="M156" s="692" t="str">
        <f>IF(Ingredient_prices!E151=M155,"",Ingredient_prices!E151)</f>
        <v>Mixed vegetables for stew</v>
      </c>
      <c r="N156" s="693" t="str">
        <f>_xlfn.IFNA(VLOOKUP($M156,Sedmica_2_količina_sva_sastojak!$C:$E,3,FALSE),"")</f>
        <v/>
      </c>
      <c r="O156" s="696" t="str">
        <f>IF(N156="","",COUNTIF($P$9:$P$255,"&lt;"&amp;P156)+COUNTIF($P$9:P156,P156))</f>
        <v/>
      </c>
      <c r="P156" s="694" t="str">
        <f t="shared" si="17"/>
        <v/>
      </c>
    </row>
    <row r="157" spans="1:16">
      <c r="A157" s="470">
        <v>149</v>
      </c>
      <c r="B157" s="451" t="str">
        <f t="shared" si="14"/>
        <v/>
      </c>
      <c r="C157" s="462" t="str">
        <f t="shared" si="15"/>
        <v/>
      </c>
      <c r="D157" s="446" t="str">
        <f>IF(B157="Jaje kokošje, celo",IF(C157=INT(C157),C157,C157+1),IF(B157=""," ",_xlfn.IFNA(INT(C157*1000/(VLOOKUP($B157,Ingredient_prices!$E:$J,6,FALSE)))+1,"nije nabavljen")))</f>
        <v xml:space="preserve"> </v>
      </c>
      <c r="E157" s="446" t="str">
        <f>IF(C157="","",VLOOKUP($B157,Ingredient_prices!$E:$K,7,FALSE))</f>
        <v/>
      </c>
      <c r="F157" s="462" t="str">
        <f>IF(C157="","",_xlfn.IFNA((VLOOKUP($B157,Ingredient_prices!$E:$P,11,FALSE)*I157),""))</f>
        <v/>
      </c>
      <c r="G157" s="450" t="str">
        <f>IF(C157="","",_xlfn.IFNA(MID(VLOOKUP($B157,Ingredient_prices!$E:$F,2,FALSE),9,2),""))</f>
        <v/>
      </c>
      <c r="H157" s="447" t="str">
        <f>_xlfn.IFNA(VLOOKUP(CONCATENATE($I$8,$G157),Ingredient_prices!$G:$N,8,FALSE),"")</f>
        <v/>
      </c>
      <c r="I157" s="548" t="str">
        <f t="shared" si="13"/>
        <v/>
      </c>
      <c r="J157" s="695" t="str">
        <f>IF(N157="","",MID(Ingredient_prices!F152,9,2))</f>
        <v>2</v>
      </c>
      <c r="K157" s="692">
        <f t="shared" si="16"/>
        <v>7</v>
      </c>
      <c r="L157" s="692">
        <f>IF(N157="","",COUNTIF($P$9:$P$255,"&lt;"&amp;P157)+COUNTIF($P$9:P157,P157))</f>
        <v>12</v>
      </c>
      <c r="M157" s="692" t="str">
        <f>IF(Ingredient_prices!E152=M156,"",Ingredient_prices!E152)</f>
        <v>Spinach frozen</v>
      </c>
      <c r="N157" s="693">
        <f>_xlfn.IFNA(VLOOKUP($M157,Sedmica_2_količina_sva_sastojak!$C:$E,3,FALSE),"")</f>
        <v>16.5</v>
      </c>
      <c r="O157" s="696">
        <f>IF(N157="","",COUNTIF($P$9:$P$255,"&lt;"&amp;P157)+COUNTIF($P$9:P157,P157))</f>
        <v>12</v>
      </c>
      <c r="P157" s="694">
        <f t="shared" si="17"/>
        <v>27</v>
      </c>
    </row>
    <row r="158" spans="1:16">
      <c r="A158" s="470">
        <v>150</v>
      </c>
      <c r="B158" s="451" t="str">
        <f t="shared" si="14"/>
        <v/>
      </c>
      <c r="C158" s="462" t="str">
        <f t="shared" si="15"/>
        <v/>
      </c>
      <c r="D158" s="446" t="str">
        <f>IF(B158="Jaje kokošje, celo",IF(C158=INT(C158),C158,C158+1),IF(B158=""," ",_xlfn.IFNA(INT(C158*1000/(VLOOKUP($B158,Ingredient_prices!$E:$J,6,FALSE)))+1,"nije nabavljen")))</f>
        <v xml:space="preserve"> </v>
      </c>
      <c r="E158" s="446" t="str">
        <f>IF(C158="","",VLOOKUP($B158,Ingredient_prices!$E:$K,7,FALSE))</f>
        <v/>
      </c>
      <c r="F158" s="462" t="str">
        <f>IF(C158="","",_xlfn.IFNA((VLOOKUP($B158,Ingredient_prices!$E:$P,11,FALSE)*I158),""))</f>
        <v/>
      </c>
      <c r="G158" s="450" t="str">
        <f>IF(C158="","",_xlfn.IFNA(MID(VLOOKUP($B158,Ingredient_prices!$E:$F,2,FALSE),9,2),""))</f>
        <v/>
      </c>
      <c r="H158" s="447" t="str">
        <f>_xlfn.IFNA(VLOOKUP(CONCATENATE($I$8,$G158),Ingredient_prices!$G:$N,8,FALSE),"")</f>
        <v/>
      </c>
      <c r="I158" s="548" t="str">
        <f t="shared" si="13"/>
        <v/>
      </c>
      <c r="J158" s="695" t="str">
        <f>IF(N158="","",MID(Ingredient_prices!F153,9,2))</f>
        <v/>
      </c>
      <c r="K158" s="692" t="str">
        <f t="shared" si="16"/>
        <v/>
      </c>
      <c r="L158" s="692" t="str">
        <f>IF(N158="","",COUNTIF($P$9:$P$255,"&lt;"&amp;P158)+COUNTIF($P$9:P158,P158))</f>
        <v/>
      </c>
      <c r="M158" s="692" t="str">
        <f>IF(Ingredient_prices!E153=M157,"",Ingredient_prices!E153)</f>
        <v>Swiss chard frozen</v>
      </c>
      <c r="N158" s="693" t="str">
        <f>_xlfn.IFNA(VLOOKUP($M158,Sedmica_2_količina_sva_sastojak!$C:$E,3,FALSE),"")</f>
        <v/>
      </c>
      <c r="O158" s="696" t="str">
        <f>IF(N158="","",COUNTIF($P$9:$P$255,"&lt;"&amp;P158)+COUNTIF($P$9:P158,P158))</f>
        <v/>
      </c>
      <c r="P158" s="694" t="str">
        <f t="shared" si="17"/>
        <v/>
      </c>
    </row>
    <row r="159" spans="1:16">
      <c r="A159" s="470">
        <v>151</v>
      </c>
      <c r="B159" s="451" t="str">
        <f t="shared" si="14"/>
        <v/>
      </c>
      <c r="C159" s="462" t="str">
        <f t="shared" si="15"/>
        <v/>
      </c>
      <c r="D159" s="446" t="str">
        <f>IF(B159="Jaje kokošje, celo",IF(C159=INT(C159),C159,C159+1),IF(B159=""," ",_xlfn.IFNA(INT(C159*1000/(VLOOKUP($B159,Ingredient_prices!$E:$J,6,FALSE)))+1,"nije nabavljen")))</f>
        <v xml:space="preserve"> </v>
      </c>
      <c r="E159" s="446" t="str">
        <f>IF(C159="","",VLOOKUP($B159,Ingredient_prices!$E:$K,7,FALSE))</f>
        <v/>
      </c>
      <c r="F159" s="462" t="str">
        <f>IF(C159="","",_xlfn.IFNA((VLOOKUP($B159,Ingredient_prices!$E:$P,11,FALSE)*I159),""))</f>
        <v/>
      </c>
      <c r="G159" s="450" t="str">
        <f>IF(C159="","",_xlfn.IFNA(MID(VLOOKUP($B159,Ingredient_prices!$E:$F,2,FALSE),9,2),""))</f>
        <v/>
      </c>
      <c r="H159" s="447" t="str">
        <f>_xlfn.IFNA(VLOOKUP(CONCATENATE($I$8,$G159),Ingredient_prices!$G:$N,8,FALSE),"")</f>
        <v/>
      </c>
      <c r="I159" s="548" t="str">
        <f t="shared" si="13"/>
        <v/>
      </c>
      <c r="J159" s="695" t="str">
        <f>IF(N159="","",MID(Ingredient_prices!F154,9,2))</f>
        <v>2</v>
      </c>
      <c r="K159" s="692">
        <f t="shared" si="16"/>
        <v>34</v>
      </c>
      <c r="L159" s="692">
        <f>IF(N159="","",COUNTIF($P$9:$P$255,"&lt;"&amp;P159)+COUNTIF($P$9:P159,P159))</f>
        <v>40</v>
      </c>
      <c r="M159" s="692" t="str">
        <f>IF(Ingredient_prices!E154=M158,"",Ingredient_prices!E154)</f>
        <v>Sweetcorn frozen</v>
      </c>
      <c r="N159" s="693">
        <f>_xlfn.IFNA(VLOOKUP($M159,Sedmica_2_količina_sva_sastojak!$C:$E,3,FALSE),"")</f>
        <v>1.65</v>
      </c>
      <c r="O159" s="696">
        <f>IF(N159="","",COUNTIF($P$9:$P$255,"&lt;"&amp;P159)+COUNTIF($P$9:P159,P159))</f>
        <v>40</v>
      </c>
      <c r="P159" s="694">
        <f t="shared" si="17"/>
        <v>234</v>
      </c>
    </row>
    <row r="160" spans="1:16">
      <c r="A160" s="470">
        <v>152</v>
      </c>
      <c r="B160" s="451" t="str">
        <f t="shared" si="14"/>
        <v/>
      </c>
      <c r="C160" s="462" t="str">
        <f t="shared" si="15"/>
        <v/>
      </c>
      <c r="D160" s="446" t="str">
        <f>IF(B160="Jaje kokošje, celo",IF(C160=INT(C160),C160,C160+1),IF(B160=""," ",_xlfn.IFNA(INT(C160*1000/(VLOOKUP($B160,Ingredient_prices!$E:$J,6,FALSE)))+1,"nije nabavljen")))</f>
        <v xml:space="preserve"> </v>
      </c>
      <c r="E160" s="446" t="str">
        <f>IF(C160="","",VLOOKUP($B160,Ingredient_prices!$E:$K,7,FALSE))</f>
        <v/>
      </c>
      <c r="F160" s="462" t="str">
        <f>IF(C160="","",_xlfn.IFNA((VLOOKUP($B160,Ingredient_prices!$E:$P,11,FALSE)*I160),""))</f>
        <v/>
      </c>
      <c r="G160" s="450" t="str">
        <f>IF(C160="","",_xlfn.IFNA(MID(VLOOKUP($B160,Ingredient_prices!$E:$F,2,FALSE),9,2),""))</f>
        <v/>
      </c>
      <c r="H160" s="447" t="str">
        <f>_xlfn.IFNA(VLOOKUP(CONCATENATE($I$8,$G160),Ingredient_prices!$G:$N,8,FALSE),"")</f>
        <v/>
      </c>
      <c r="I160" s="548" t="str">
        <f t="shared" si="13"/>
        <v/>
      </c>
      <c r="J160" s="695" t="str">
        <f>IF(N160="","",MID(Ingredient_prices!F155,9,2))</f>
        <v>2</v>
      </c>
      <c r="K160" s="692">
        <f t="shared" si="16"/>
        <v>37</v>
      </c>
      <c r="L160" s="692">
        <f>IF(N160="","",COUNTIF($P$9:$P$255,"&lt;"&amp;P160)+COUNTIF($P$9:P160,P160))</f>
        <v>42</v>
      </c>
      <c r="M160" s="692" t="str">
        <f>IF(Ingredient_prices!E155=M159,"",Ingredient_prices!E155)</f>
        <v>Mixed vegetables for soup</v>
      </c>
      <c r="N160" s="693">
        <f>_xlfn.IFNA(VLOOKUP($M160,Sedmica_2_količina_sva_sastojak!$C:$E,3,FALSE),"")</f>
        <v>1.32</v>
      </c>
      <c r="O160" s="696">
        <f>IF(N160="","",COUNTIF($P$9:$P$255,"&lt;"&amp;P160)+COUNTIF($P$9:P160,P160))</f>
        <v>42</v>
      </c>
      <c r="P160" s="694">
        <f t="shared" si="17"/>
        <v>237</v>
      </c>
    </row>
    <row r="161" spans="1:16">
      <c r="A161" s="470">
        <v>153</v>
      </c>
      <c r="B161" s="451" t="str">
        <f t="shared" si="14"/>
        <v/>
      </c>
      <c r="C161" s="462" t="str">
        <f t="shared" si="15"/>
        <v/>
      </c>
      <c r="D161" s="446" t="str">
        <f>IF(B161="Jaje kokošje, celo",IF(C161=INT(C161),C161,C161+1),IF(B161=""," ",_xlfn.IFNA(INT(C161*1000/(VLOOKUP($B161,Ingredient_prices!$E:$J,6,FALSE)))+1,"nije nabavljen")))</f>
        <v xml:space="preserve"> </v>
      </c>
      <c r="E161" s="446" t="str">
        <f>IF(C161="","",VLOOKUP($B161,Ingredient_prices!$E:$K,7,FALSE))</f>
        <v/>
      </c>
      <c r="F161" s="462" t="str">
        <f>IF(C161="","",_xlfn.IFNA((VLOOKUP($B161,Ingredient_prices!$E:$P,11,FALSE)*I161),""))</f>
        <v/>
      </c>
      <c r="G161" s="450" t="str">
        <f>IF(C161="","",_xlfn.IFNA(MID(VLOOKUP($B161,Ingredient_prices!$E:$F,2,FALSE),9,2),""))</f>
        <v/>
      </c>
      <c r="H161" s="447" t="str">
        <f>_xlfn.IFNA(VLOOKUP(CONCATENATE($I$8,$G161),Ingredient_prices!$G:$N,8,FALSE),"")</f>
        <v/>
      </c>
      <c r="I161" s="548" t="str">
        <f t="shared" si="13"/>
        <v/>
      </c>
      <c r="J161" s="695" t="str">
        <f>IF(N161="","",MID(Ingredient_prices!F156,9,2))</f>
        <v/>
      </c>
      <c r="K161" s="692" t="str">
        <f t="shared" si="16"/>
        <v/>
      </c>
      <c r="L161" s="692" t="str">
        <f>IF(N161="","",COUNTIF($P$9:$P$255,"&lt;"&amp;P161)+COUNTIF($P$9:P161,P161))</f>
        <v/>
      </c>
      <c r="M161" s="692" t="str">
        <f>IF(Ingredient_prices!E156=M160,"",Ingredient_prices!E156)</f>
        <v>Sour cherries, frozen</v>
      </c>
      <c r="N161" s="693" t="str">
        <f>_xlfn.IFNA(VLOOKUP($M161,Sedmica_2_količina_sva_sastojak!$C:$E,3,FALSE),"")</f>
        <v/>
      </c>
      <c r="O161" s="696" t="str">
        <f>IF(N161="","",COUNTIF($P$9:$P$255,"&lt;"&amp;P161)+COUNTIF($P$9:P161,P161))</f>
        <v/>
      </c>
      <c r="P161" s="694" t="str">
        <f t="shared" si="17"/>
        <v/>
      </c>
    </row>
    <row r="162" spans="1:16">
      <c r="A162" s="470">
        <v>154</v>
      </c>
      <c r="B162" s="451" t="str">
        <f t="shared" si="14"/>
        <v/>
      </c>
      <c r="C162" s="462" t="str">
        <f t="shared" si="15"/>
        <v/>
      </c>
      <c r="D162" s="446" t="str">
        <f>IF(B162="Jaje kokošje, celo",IF(C162=INT(C162),C162,C162+1),IF(B162=""," ",_xlfn.IFNA(INT(C162*1000/(VLOOKUP($B162,Ingredient_prices!$E:$J,6,FALSE)))+1,"nije nabavljen")))</f>
        <v xml:space="preserve"> </v>
      </c>
      <c r="E162" s="446" t="str">
        <f>IF(C162="","",VLOOKUP($B162,Ingredient_prices!$E:$K,7,FALSE))</f>
        <v/>
      </c>
      <c r="F162" s="462" t="str">
        <f>IF(C162="","",_xlfn.IFNA((VLOOKUP($B162,Ingredient_prices!$E:$P,11,FALSE)*I162),""))</f>
        <v/>
      </c>
      <c r="G162" s="450" t="str">
        <f>IF(C162="","",_xlfn.IFNA(MID(VLOOKUP($B162,Ingredient_prices!$E:$F,2,FALSE),9,2),""))</f>
        <v/>
      </c>
      <c r="H162" s="447" t="str">
        <f>_xlfn.IFNA(VLOOKUP(CONCATENATE($I$8,$G162),Ingredient_prices!$G:$N,8,FALSE),"")</f>
        <v/>
      </c>
      <c r="I162" s="548" t="str">
        <f t="shared" si="13"/>
        <v/>
      </c>
      <c r="J162" s="695" t="str">
        <f>IF(N162="","",MID(Ingredient_prices!F157,9,2))</f>
        <v/>
      </c>
      <c r="K162" s="692" t="str">
        <f t="shared" si="16"/>
        <v/>
      </c>
      <c r="L162" s="692" t="str">
        <f>IF(N162="","",COUNTIF($P$9:$P$255,"&lt;"&amp;P162)+COUNTIF($P$9:P162,P162))</f>
        <v/>
      </c>
      <c r="M162" s="692" t="str">
        <f>IF(Ingredient_prices!E157=M161,"",Ingredient_prices!E157)</f>
        <v>Gherkins pickled</v>
      </c>
      <c r="N162" s="693" t="str">
        <f>_xlfn.IFNA(VLOOKUP($M162,Sedmica_2_količina_sva_sastojak!$C:$E,3,FALSE),"")</f>
        <v/>
      </c>
      <c r="O162" s="696" t="str">
        <f>IF(N162="","",COUNTIF($P$9:$P$255,"&lt;"&amp;P162)+COUNTIF($P$9:P162,P162))</f>
        <v/>
      </c>
      <c r="P162" s="694" t="str">
        <f t="shared" si="17"/>
        <v/>
      </c>
    </row>
    <row r="163" spans="1:16">
      <c r="A163" s="470">
        <v>155</v>
      </c>
      <c r="B163" s="451" t="str">
        <f t="shared" si="14"/>
        <v/>
      </c>
      <c r="C163" s="462" t="str">
        <f t="shared" si="15"/>
        <v/>
      </c>
      <c r="D163" s="446" t="str">
        <f>IF(B163="Jaje kokošje, celo",IF(C163=INT(C163),C163,C163+1),IF(B163=""," ",_xlfn.IFNA(INT(C163*1000/(VLOOKUP($B163,Ingredient_prices!$E:$J,6,FALSE)))+1,"nije nabavljen")))</f>
        <v xml:space="preserve"> </v>
      </c>
      <c r="E163" s="446" t="str">
        <f>IF(C163="","",VLOOKUP($B163,Ingredient_prices!$E:$K,7,FALSE))</f>
        <v/>
      </c>
      <c r="F163" s="462" t="str">
        <f>IF(C163="","",_xlfn.IFNA((VLOOKUP($B163,Ingredient_prices!$E:$P,11,FALSE)*I163),""))</f>
        <v/>
      </c>
      <c r="G163" s="450" t="str">
        <f>IF(C163="","",_xlfn.IFNA(MID(VLOOKUP($B163,Ingredient_prices!$E:$F,2,FALSE),9,2),""))</f>
        <v/>
      </c>
      <c r="H163" s="447" t="str">
        <f>_xlfn.IFNA(VLOOKUP(CONCATENATE($I$8,$G163),Ingredient_prices!$G:$N,8,FALSE),"")</f>
        <v/>
      </c>
      <c r="I163" s="548" t="str">
        <f t="shared" si="13"/>
        <v/>
      </c>
      <c r="J163" s="695" t="str">
        <f>IF(N163="","",MID(Ingredient_prices!F158,9,2))</f>
        <v>2</v>
      </c>
      <c r="K163" s="692">
        <f t="shared" si="16"/>
        <v>16</v>
      </c>
      <c r="L163" s="692">
        <f>IF(N163="","",COUNTIF($P$9:$P$255,"&lt;"&amp;P163)+COUNTIF($P$9:P163,P163))</f>
        <v>21</v>
      </c>
      <c r="M163" s="692" t="str">
        <f>IF(Ingredient_prices!E158=M162,"",Ingredient_prices!E158)</f>
        <v>Beetroot, cooked, pickled</v>
      </c>
      <c r="N163" s="693">
        <f>_xlfn.IFNA(VLOOKUP($M163,Sedmica_2_količina_sva_sastojak!$C:$E,3,FALSE),"")</f>
        <v>6.6</v>
      </c>
      <c r="O163" s="696">
        <f>IF(N163="","",COUNTIF($P$9:$P$255,"&lt;"&amp;P163)+COUNTIF($P$9:P163,P163))</f>
        <v>21</v>
      </c>
      <c r="P163" s="694">
        <f t="shared" si="17"/>
        <v>216</v>
      </c>
    </row>
    <row r="164" spans="1:16">
      <c r="A164" s="470">
        <v>156</v>
      </c>
      <c r="B164" s="451" t="str">
        <f t="shared" si="14"/>
        <v/>
      </c>
      <c r="C164" s="462" t="str">
        <f t="shared" si="15"/>
        <v/>
      </c>
      <c r="D164" s="446" t="str">
        <f>IF(B164="Jaje kokošje, celo",IF(C164=INT(C164),C164,C164+1),IF(B164=""," ",_xlfn.IFNA(INT(C164*1000/(VLOOKUP($B164,Ingredient_prices!$E:$J,6,FALSE)))+1,"nije nabavljen")))</f>
        <v xml:space="preserve"> </v>
      </c>
      <c r="E164" s="446" t="str">
        <f>IF(C164="","",VLOOKUP($B164,Ingredient_prices!$E:$K,7,FALSE))</f>
        <v/>
      </c>
      <c r="F164" s="462" t="str">
        <f>IF(C164="","",_xlfn.IFNA((VLOOKUP($B164,Ingredient_prices!$E:$P,11,FALSE)*I164),""))</f>
        <v/>
      </c>
      <c r="G164" s="450" t="str">
        <f>IF(C164="","",_xlfn.IFNA(MID(VLOOKUP($B164,Ingredient_prices!$E:$F,2,FALSE),9,2),""))</f>
        <v/>
      </c>
      <c r="H164" s="447" t="str">
        <f>_xlfn.IFNA(VLOOKUP(CONCATENATE($I$8,$G164),Ingredient_prices!$G:$N,8,FALSE),"")</f>
        <v/>
      </c>
      <c r="I164" s="548" t="str">
        <f t="shared" si="13"/>
        <v/>
      </c>
      <c r="J164" s="695" t="str">
        <f>IF(N164="","",MID(Ingredient_prices!F159,9,2))</f>
        <v>2</v>
      </c>
      <c r="K164" s="692">
        <f t="shared" si="16"/>
        <v>28</v>
      </c>
      <c r="L164" s="692">
        <f>IF(N164="","",COUNTIF($P$9:$P$255,"&lt;"&amp;P164)+COUNTIF($P$9:P164,P164))</f>
        <v>36</v>
      </c>
      <c r="M164" s="692" t="str">
        <f>IF(Ingredient_prices!E159=M163,"",Ingredient_prices!E159)</f>
        <v>Tomato puree</v>
      </c>
      <c r="N164" s="693">
        <f>_xlfn.IFNA(VLOOKUP($M164,Sedmica_2_količina_sva_sastojak!$C:$E,3,FALSE),"")</f>
        <v>2.2000000000000002</v>
      </c>
      <c r="O164" s="696">
        <f>IF(N164="","",COUNTIF($P$9:$P$255,"&lt;"&amp;P164)+COUNTIF($P$9:P164,P164))</f>
        <v>36</v>
      </c>
      <c r="P164" s="694">
        <f t="shared" si="17"/>
        <v>228</v>
      </c>
    </row>
    <row r="165" spans="1:16">
      <c r="A165" s="470">
        <v>157</v>
      </c>
      <c r="B165" s="451" t="str">
        <f t="shared" si="14"/>
        <v/>
      </c>
      <c r="C165" s="462" t="str">
        <f t="shared" si="15"/>
        <v/>
      </c>
      <c r="D165" s="446" t="str">
        <f>IF(B165="Jaje kokošje, celo",IF(C165=INT(C165),C165,C165+1),IF(B165=""," ",_xlfn.IFNA(INT(C165*1000/(VLOOKUP($B165,Ingredient_prices!$E:$J,6,FALSE)))+1,"nije nabavljen")))</f>
        <v xml:space="preserve"> </v>
      </c>
      <c r="E165" s="446" t="str">
        <f>IF(C165="","",VLOOKUP($B165,Ingredient_prices!$E:$K,7,FALSE))</f>
        <v/>
      </c>
      <c r="F165" s="462" t="str">
        <f>IF(C165="","",_xlfn.IFNA((VLOOKUP($B165,Ingredient_prices!$E:$P,11,FALSE)*I165),""))</f>
        <v/>
      </c>
      <c r="G165" s="450" t="str">
        <f>IF(C165="","",_xlfn.IFNA(MID(VLOOKUP($B165,Ingredient_prices!$E:$F,2,FALSE),9,2),""))</f>
        <v/>
      </c>
      <c r="H165" s="447" t="str">
        <f>_xlfn.IFNA(VLOOKUP(CONCATENATE($I$8,$G165),Ingredient_prices!$G:$N,8,FALSE),"")</f>
        <v/>
      </c>
      <c r="I165" s="548" t="str">
        <f t="shared" si="13"/>
        <v/>
      </c>
      <c r="J165" s="695" t="str">
        <f>IF(N165="","",MID(Ingredient_prices!F160,9,2))</f>
        <v/>
      </c>
      <c r="K165" s="692" t="str">
        <f t="shared" si="16"/>
        <v/>
      </c>
      <c r="L165" s="692" t="str">
        <f>IF(N165="","",COUNTIF($P$9:$P$255,"&lt;"&amp;P165)+COUNTIF($P$9:P165,P165))</f>
        <v/>
      </c>
      <c r="M165" s="692" t="str">
        <f>IF(Ingredient_prices!E160=M164,"",Ingredient_prices!E160)</f>
        <v>Tomatoes cooked</v>
      </c>
      <c r="N165" s="693" t="str">
        <f>_xlfn.IFNA(VLOOKUP($M165,Sedmica_2_količina_sva_sastojak!$C:$E,3,FALSE),"")</f>
        <v/>
      </c>
      <c r="O165" s="696" t="str">
        <f>IF(N165="","",COUNTIF($P$9:$P$255,"&lt;"&amp;P165)+COUNTIF($P$9:P165,P165))</f>
        <v/>
      </c>
      <c r="P165" s="694" t="str">
        <f t="shared" si="17"/>
        <v/>
      </c>
    </row>
    <row r="166" spans="1:16">
      <c r="A166" s="470">
        <v>158</v>
      </c>
      <c r="B166" s="451" t="str">
        <f t="shared" si="14"/>
        <v/>
      </c>
      <c r="C166" s="462" t="str">
        <f t="shared" si="15"/>
        <v/>
      </c>
      <c r="D166" s="446" t="str">
        <f>IF(B166="Jaje kokošje, celo",IF(C166=INT(C166),C166,C166+1),IF(B166=""," ",_xlfn.IFNA(INT(C166*1000/(VLOOKUP($B166,Ingredient_prices!$E:$J,6,FALSE)))+1,"nije nabavljen")))</f>
        <v xml:space="preserve"> </v>
      </c>
      <c r="E166" s="446" t="str">
        <f>IF(C166="","",VLOOKUP($B166,Ingredient_prices!$E:$K,7,FALSE))</f>
        <v/>
      </c>
      <c r="F166" s="462" t="str">
        <f>IF(C166="","",_xlfn.IFNA((VLOOKUP($B166,Ingredient_prices!$E:$P,11,FALSE)*I166),""))</f>
        <v/>
      </c>
      <c r="G166" s="450" t="str">
        <f>IF(C166="","",_xlfn.IFNA(MID(VLOOKUP($B166,Ingredient_prices!$E:$F,2,FALSE),9,2),""))</f>
        <v/>
      </c>
      <c r="H166" s="447" t="str">
        <f>_xlfn.IFNA(VLOOKUP(CONCATENATE($I$8,$G166),Ingredient_prices!$G:$N,8,FALSE),"")</f>
        <v/>
      </c>
      <c r="I166" s="548" t="str">
        <f t="shared" si="13"/>
        <v/>
      </c>
      <c r="J166" s="695" t="str">
        <f>IF(N166="","",MID(Ingredient_prices!F161,9,2))</f>
        <v>2</v>
      </c>
      <c r="K166" s="692">
        <f t="shared" si="16"/>
        <v>28</v>
      </c>
      <c r="L166" s="692">
        <f>IF(N166="","",COUNTIF($P$9:$P$255,"&lt;"&amp;P166)+COUNTIF($P$9:P166,P166))</f>
        <v>37</v>
      </c>
      <c r="M166" s="692" t="str">
        <f>IF(Ingredient_prices!E161=M165,"",Ingredient_prices!E161)</f>
        <v>Ketchup</v>
      </c>
      <c r="N166" s="693">
        <f>_xlfn.IFNA(VLOOKUP($M166,Sedmica_2_količina_sva_sastojak!$C:$E,3,FALSE),"")</f>
        <v>2.2000000000000002</v>
      </c>
      <c r="O166" s="696">
        <f>IF(N166="","",COUNTIF($P$9:$P$255,"&lt;"&amp;P166)+COUNTIF($P$9:P166,P166))</f>
        <v>37</v>
      </c>
      <c r="P166" s="694">
        <f t="shared" si="17"/>
        <v>228</v>
      </c>
    </row>
    <row r="167" spans="1:16">
      <c r="A167" s="470">
        <v>159</v>
      </c>
      <c r="B167" s="451" t="str">
        <f t="shared" si="14"/>
        <v/>
      </c>
      <c r="C167" s="462" t="str">
        <f t="shared" si="15"/>
        <v/>
      </c>
      <c r="D167" s="446" t="str">
        <f>IF(B167="Jaje kokošje, celo",IF(C167=INT(C167),C167,C167+1),IF(B167=""," ",_xlfn.IFNA(INT(C167*1000/(VLOOKUP($B167,Ingredient_prices!$E:$J,6,FALSE)))+1,"nije nabavljen")))</f>
        <v xml:space="preserve"> </v>
      </c>
      <c r="E167" s="446" t="str">
        <f>IF(C167="","",VLOOKUP($B167,Ingredient_prices!$E:$K,7,FALSE))</f>
        <v/>
      </c>
      <c r="F167" s="462" t="str">
        <f>IF(C167="","",_xlfn.IFNA((VLOOKUP($B167,Ingredient_prices!$E:$P,11,FALSE)*I167),""))</f>
        <v/>
      </c>
      <c r="G167" s="450" t="str">
        <f>IF(C167="","",_xlfn.IFNA(MID(VLOOKUP($B167,Ingredient_prices!$E:$F,2,FALSE),9,2),""))</f>
        <v/>
      </c>
      <c r="H167" s="447" t="str">
        <f>_xlfn.IFNA(VLOOKUP(CONCATENATE($I$8,$G167),Ingredient_prices!$G:$N,8,FALSE),"")</f>
        <v/>
      </c>
      <c r="I167" s="548" t="str">
        <f t="shared" si="13"/>
        <v/>
      </c>
      <c r="J167" s="695" t="str">
        <f>IF(N167="","",MID(Ingredient_prices!F162,9,2))</f>
        <v>2</v>
      </c>
      <c r="K167" s="692">
        <f t="shared" si="16"/>
        <v>43</v>
      </c>
      <c r="L167" s="692">
        <f>IF(N167="","",COUNTIF($P$9:$P$255,"&lt;"&amp;P167)+COUNTIF($P$9:P167,P167))</f>
        <v>48</v>
      </c>
      <c r="M167" s="692" t="str">
        <f>IF(Ingredient_prices!E162=M166,"",Ingredient_prices!E162)</f>
        <v>Yeast (fresh)</v>
      </c>
      <c r="N167" s="693">
        <f>_xlfn.IFNA(VLOOKUP($M167,Sedmica_2_količina_sva_sastojak!$C:$E,3,FALSE),"")</f>
        <v>0.25299999999999995</v>
      </c>
      <c r="O167" s="696">
        <f>IF(N167="","",COUNTIF($P$9:$P$255,"&lt;"&amp;P167)+COUNTIF($P$9:P167,P167))</f>
        <v>48</v>
      </c>
      <c r="P167" s="694">
        <f t="shared" si="17"/>
        <v>243</v>
      </c>
    </row>
    <row r="168" spans="1:16">
      <c r="A168" s="470">
        <v>160</v>
      </c>
      <c r="B168" s="451" t="str">
        <f t="shared" si="14"/>
        <v/>
      </c>
      <c r="C168" s="462" t="str">
        <f t="shared" si="15"/>
        <v/>
      </c>
      <c r="D168" s="446" t="str">
        <f>IF(B168="Jaje kokošje, celo",IF(C168=INT(C168),C168,C168+1),IF(B168=""," ",_xlfn.IFNA(INT(C168*1000/(VLOOKUP($B168,Ingredient_prices!$E:$J,6,FALSE)))+1,"nije nabavljen")))</f>
        <v xml:space="preserve"> </v>
      </c>
      <c r="E168" s="446" t="str">
        <f>IF(C168="","",VLOOKUP($B168,Ingredient_prices!$E:$K,7,FALSE))</f>
        <v/>
      </c>
      <c r="F168" s="462" t="str">
        <f>IF(C168="","",_xlfn.IFNA((VLOOKUP($B168,Ingredient_prices!$E:$P,11,FALSE)*I168),""))</f>
        <v/>
      </c>
      <c r="G168" s="450" t="str">
        <f>IF(C168="","",_xlfn.IFNA(MID(VLOOKUP($B168,Ingredient_prices!$E:$F,2,FALSE),9,2),""))</f>
        <v/>
      </c>
      <c r="H168" s="447" t="str">
        <f>_xlfn.IFNA(VLOOKUP(CONCATENATE($I$8,$G168),Ingredient_prices!$G:$N,8,FALSE),"")</f>
        <v/>
      </c>
      <c r="I168" s="548" t="str">
        <f t="shared" si="13"/>
        <v/>
      </c>
      <c r="J168" s="695" t="str">
        <f>IF(N168="","",MID(Ingredient_prices!F163,9,2))</f>
        <v/>
      </c>
      <c r="K168" s="692" t="str">
        <f t="shared" si="16"/>
        <v/>
      </c>
      <c r="L168" s="692" t="str">
        <f>IF(N168="","",COUNTIF($P$9:$P$255,"&lt;"&amp;P168)+COUNTIF($P$9:P168,P168))</f>
        <v/>
      </c>
      <c r="M168" s="692" t="str">
        <f>IF(Ingredient_prices!E163=M167,"",Ingredient_prices!E163)</f>
        <v>Fish fingers</v>
      </c>
      <c r="N168" s="693" t="str">
        <f>_xlfn.IFNA(VLOOKUP($M168,Sedmica_2_količina_sva_sastojak!$C:$E,3,FALSE),"")</f>
        <v/>
      </c>
      <c r="O168" s="696" t="str">
        <f>IF(N168="","",COUNTIF($P$9:$P$255,"&lt;"&amp;P168)+COUNTIF($P$9:P168,P168))</f>
        <v/>
      </c>
      <c r="P168" s="694" t="str">
        <f t="shared" si="17"/>
        <v/>
      </c>
    </row>
    <row r="169" spans="1:16">
      <c r="A169" s="470">
        <v>161</v>
      </c>
      <c r="B169" s="451" t="str">
        <f t="shared" si="14"/>
        <v/>
      </c>
      <c r="C169" s="462" t="str">
        <f t="shared" si="15"/>
        <v/>
      </c>
      <c r="D169" s="446" t="str">
        <f>IF(B169="Jaje kokošje, celo",IF(C169=INT(C169),C169,C169+1),IF(B169=""," ",_xlfn.IFNA(INT(C169*1000/(VLOOKUP($B169,Ingredient_prices!$E:$J,6,FALSE)))+1,"nije nabavljen")))</f>
        <v xml:space="preserve"> </v>
      </c>
      <c r="E169" s="446" t="str">
        <f>IF(C169="","",VLOOKUP($B169,Ingredient_prices!$E:$K,7,FALSE))</f>
        <v/>
      </c>
      <c r="F169" s="462" t="str">
        <f>IF(C169="","",_xlfn.IFNA((VLOOKUP($B169,Ingredient_prices!$E:$P,11,FALSE)*I169),""))</f>
        <v/>
      </c>
      <c r="G169" s="450" t="str">
        <f>IF(C169="","",_xlfn.IFNA(MID(VLOOKUP($B169,Ingredient_prices!$E:$F,2,FALSE),9,2),""))</f>
        <v/>
      </c>
      <c r="H169" s="447" t="str">
        <f>_xlfn.IFNA(VLOOKUP(CONCATENATE($I$8,$G169),Ingredient_prices!$G:$N,8,FALSE),"")</f>
        <v/>
      </c>
      <c r="I169" s="548" t="str">
        <f t="shared" si="13"/>
        <v/>
      </c>
      <c r="J169" s="695" t="str">
        <f>IF(N169="","",MID(Ingredient_prices!F164,9,2))</f>
        <v/>
      </c>
      <c r="K169" s="692" t="str">
        <f t="shared" si="16"/>
        <v/>
      </c>
      <c r="L169" s="692" t="str">
        <f>IF(N169="","",COUNTIF($P$9:$P$255,"&lt;"&amp;P169)+COUNTIF($P$9:P169,P169))</f>
        <v/>
      </c>
      <c r="M169" s="692" t="str">
        <f>IF(Ingredient_prices!E164=M168,"",Ingredient_prices!E164)</f>
        <v>Catfish</v>
      </c>
      <c r="N169" s="693" t="str">
        <f>_xlfn.IFNA(VLOOKUP($M169,Sedmica_2_količina_sva_sastojak!$C:$E,3,FALSE),"")</f>
        <v/>
      </c>
      <c r="O169" s="696" t="str">
        <f>IF(N169="","",COUNTIF($P$9:$P$255,"&lt;"&amp;P169)+COUNTIF($P$9:P169,P169))</f>
        <v/>
      </c>
      <c r="P169" s="694" t="str">
        <f t="shared" si="17"/>
        <v/>
      </c>
    </row>
    <row r="170" spans="1:16">
      <c r="A170" s="470">
        <v>162</v>
      </c>
      <c r="B170" s="451" t="str">
        <f t="shared" si="14"/>
        <v/>
      </c>
      <c r="C170" s="462" t="str">
        <f t="shared" si="15"/>
        <v/>
      </c>
      <c r="D170" s="446" t="str">
        <f>IF(B170="Jaje kokošje, celo",IF(C170=INT(C170),C170,C170+1),IF(B170=""," ",_xlfn.IFNA(INT(C170*1000/(VLOOKUP($B170,Ingredient_prices!$E:$J,6,FALSE)))+1,"nije nabavljen")))</f>
        <v xml:space="preserve"> </v>
      </c>
      <c r="E170" s="446" t="str">
        <f>IF(C170="","",VLOOKUP($B170,Ingredient_prices!$E:$K,7,FALSE))</f>
        <v/>
      </c>
      <c r="F170" s="462" t="str">
        <f>IF(C170="","",_xlfn.IFNA((VLOOKUP($B170,Ingredient_prices!$E:$P,11,FALSE)*I170),""))</f>
        <v/>
      </c>
      <c r="G170" s="450" t="str">
        <f>IF(C170="","",_xlfn.IFNA(MID(VLOOKUP($B170,Ingredient_prices!$E:$F,2,FALSE),9,2),""))</f>
        <v/>
      </c>
      <c r="H170" s="447" t="str">
        <f>_xlfn.IFNA(VLOOKUP(CONCATENATE($I$8,$G170),Ingredient_prices!$G:$N,8,FALSE),"")</f>
        <v/>
      </c>
      <c r="I170" s="548" t="str">
        <f t="shared" ref="I170:I233" si="18">IFERROR(IF(MOD(D170,1)&gt;0.5,1+D170-MOD(D170,1),D170-MOD(D170,1)),"")</f>
        <v/>
      </c>
      <c r="J170" s="695" t="str">
        <f>IF(N170="","",MID(Ingredient_prices!F165,9,2))</f>
        <v>2</v>
      </c>
      <c r="K170" s="692">
        <f t="shared" si="16"/>
        <v>38</v>
      </c>
      <c r="L170" s="692">
        <f>IF(N170="","",COUNTIF($P$9:$P$255,"&lt;"&amp;P170)+COUNTIF($P$9:P170,P170))</f>
        <v>44</v>
      </c>
      <c r="M170" s="692" t="str">
        <f>IF(Ingredient_prices!E165=M169,"",Ingredient_prices!E165)</f>
        <v>Mayonnaise, plain</v>
      </c>
      <c r="N170" s="693">
        <f>_xlfn.IFNA(VLOOKUP($M170,Sedmica_2_količina_sva_sastojak!$C:$E,3,FALSE),"")</f>
        <v>1.1000000000000001</v>
      </c>
      <c r="O170" s="696">
        <f>IF(N170="","",COUNTIF($P$9:$P$255,"&lt;"&amp;P170)+COUNTIF($P$9:P170,P170))</f>
        <v>44</v>
      </c>
      <c r="P170" s="694">
        <f t="shared" si="17"/>
        <v>238</v>
      </c>
    </row>
    <row r="171" spans="1:16">
      <c r="A171" s="470">
        <v>163</v>
      </c>
      <c r="B171" s="451" t="str">
        <f t="shared" si="14"/>
        <v/>
      </c>
      <c r="C171" s="462" t="str">
        <f t="shared" si="15"/>
        <v/>
      </c>
      <c r="D171" s="446" t="str">
        <f>IF(B171="Jaje kokošje, celo",IF(C171=INT(C171),C171,C171+1),IF(B171=""," ",_xlfn.IFNA(INT(C171*1000/(VLOOKUP($B171,Ingredient_prices!$E:$J,6,FALSE)))+1,"nije nabavljen")))</f>
        <v xml:space="preserve"> </v>
      </c>
      <c r="E171" s="446" t="str">
        <f>IF(C171="","",VLOOKUP($B171,Ingredient_prices!$E:$K,7,FALSE))</f>
        <v/>
      </c>
      <c r="F171" s="462" t="str">
        <f>IF(C171="","",_xlfn.IFNA((VLOOKUP($B171,Ingredient_prices!$E:$P,11,FALSE)*I171),""))</f>
        <v/>
      </c>
      <c r="G171" s="450" t="str">
        <f>IF(C171="","",_xlfn.IFNA(MID(VLOOKUP($B171,Ingredient_prices!$E:$F,2,FALSE),9,2),""))</f>
        <v/>
      </c>
      <c r="H171" s="447" t="str">
        <f>_xlfn.IFNA(VLOOKUP(CONCATENATE($I$8,$G171),Ingredient_prices!$G:$N,8,FALSE),"")</f>
        <v/>
      </c>
      <c r="I171" s="548" t="str">
        <f t="shared" si="18"/>
        <v/>
      </c>
      <c r="J171" s="695" t="str">
        <f>IF(N171="","",MID(Ingredient_prices!F166,9,2))</f>
        <v/>
      </c>
      <c r="K171" s="692" t="str">
        <f t="shared" si="16"/>
        <v/>
      </c>
      <c r="L171" s="692" t="str">
        <f>IF(N171="","",COUNTIF($P$9:$P$255,"&lt;"&amp;P171)+COUNTIF($P$9:P171,P171))</f>
        <v/>
      </c>
      <c r="M171" s="692" t="str">
        <f>IF(Ingredient_prices!E166=M170,"",Ingredient_prices!E166)</f>
        <v>Celery root</v>
      </c>
      <c r="N171" s="693" t="str">
        <f>_xlfn.IFNA(VLOOKUP($M171,Sedmica_2_količina_sva_sastojak!$C:$E,3,FALSE),"")</f>
        <v/>
      </c>
      <c r="O171" s="696" t="str">
        <f>IF(N171="","",COUNTIF($P$9:$P$255,"&lt;"&amp;P171)+COUNTIF($P$9:P171,P171))</f>
        <v/>
      </c>
      <c r="P171" s="694" t="str">
        <f t="shared" si="17"/>
        <v/>
      </c>
    </row>
    <row r="172" spans="1:16">
      <c r="A172" s="470">
        <v>164</v>
      </c>
      <c r="B172" s="451" t="str">
        <f t="shared" si="14"/>
        <v/>
      </c>
      <c r="C172" s="462" t="str">
        <f t="shared" si="15"/>
        <v/>
      </c>
      <c r="D172" s="446" t="str">
        <f>IF(B172="Jaje kokošje, celo",IF(C172=INT(C172),C172,C172+1),IF(B172=""," ",_xlfn.IFNA(INT(C172*1000/(VLOOKUP($B172,Ingredient_prices!$E:$J,6,FALSE)))+1,"nije nabavljen")))</f>
        <v xml:space="preserve"> </v>
      </c>
      <c r="E172" s="446" t="str">
        <f>IF(C172="","",VLOOKUP($B172,Ingredient_prices!$E:$K,7,FALSE))</f>
        <v/>
      </c>
      <c r="F172" s="462" t="str">
        <f>IF(C172="","",_xlfn.IFNA((VLOOKUP($B172,Ingredient_prices!$E:$P,11,FALSE)*I172),""))</f>
        <v/>
      </c>
      <c r="G172" s="450" t="str">
        <f>IF(C172="","",_xlfn.IFNA(MID(VLOOKUP($B172,Ingredient_prices!$E:$F,2,FALSE),9,2),""))</f>
        <v/>
      </c>
      <c r="H172" s="447" t="str">
        <f>_xlfn.IFNA(VLOOKUP(CONCATENATE($I$8,$G172),Ingredient_prices!$G:$N,8,FALSE),"")</f>
        <v/>
      </c>
      <c r="I172" s="548" t="str">
        <f t="shared" si="18"/>
        <v/>
      </c>
      <c r="J172" s="695" t="str">
        <f>IF(N172="","",MID(Ingredient_prices!F167,9,2))</f>
        <v/>
      </c>
      <c r="K172" s="692" t="str">
        <f t="shared" si="16"/>
        <v/>
      </c>
      <c r="L172" s="692" t="str">
        <f>IF(N172="","",COUNTIF($P$9:$P$255,"&lt;"&amp;P172)+COUNTIF($P$9:P172,P172))</f>
        <v/>
      </c>
      <c r="M172" s="692" t="str">
        <f>IF(Ingredient_prices!E167=M171,"",Ingredient_prices!E167)</f>
        <v>Meal supplement/Vegeta</v>
      </c>
      <c r="N172" s="693" t="str">
        <f>_xlfn.IFNA(VLOOKUP($M172,Sedmica_2_količina_sva_sastojak!$C:$E,3,FALSE),"")</f>
        <v/>
      </c>
      <c r="O172" s="696" t="str">
        <f>IF(N172="","",COUNTIF($P$9:$P$255,"&lt;"&amp;P172)+COUNTIF($P$9:P172,P172))</f>
        <v/>
      </c>
      <c r="P172" s="694" t="str">
        <f t="shared" si="17"/>
        <v/>
      </c>
    </row>
    <row r="173" spans="1:16">
      <c r="A173" s="470">
        <v>165</v>
      </c>
      <c r="B173" s="451" t="str">
        <f t="shared" si="14"/>
        <v/>
      </c>
      <c r="C173" s="462" t="str">
        <f t="shared" si="15"/>
        <v/>
      </c>
      <c r="D173" s="446" t="str">
        <f>IF(B173="Jaje kokošje, celo",IF(C173=INT(C173),C173,C173+1),IF(B173=""," ",_xlfn.IFNA(INT(C173*1000/(VLOOKUP($B173,Ingredient_prices!$E:$J,6,FALSE)))+1,"nije nabavljen")))</f>
        <v xml:space="preserve"> </v>
      </c>
      <c r="E173" s="446" t="str">
        <f>IF(C173="","",VLOOKUP($B173,Ingredient_prices!$E:$K,7,FALSE))</f>
        <v/>
      </c>
      <c r="F173" s="462" t="str">
        <f>IF(C173="","",_xlfn.IFNA((VLOOKUP($B173,Ingredient_prices!$E:$P,11,FALSE)*I173),""))</f>
        <v/>
      </c>
      <c r="G173" s="450" t="str">
        <f>IF(C173="","",_xlfn.IFNA(MID(VLOOKUP($B173,Ingredient_prices!$E:$F,2,FALSE),9,2),""))</f>
        <v/>
      </c>
      <c r="H173" s="447" t="str">
        <f>_xlfn.IFNA(VLOOKUP(CONCATENATE($I$8,$G173),Ingredient_prices!$G:$N,8,FALSE),"")</f>
        <v/>
      </c>
      <c r="I173" s="548" t="str">
        <f t="shared" si="18"/>
        <v/>
      </c>
      <c r="J173" s="695" t="str">
        <f>IF(N173="","",MID(Ingredient_prices!F168,9,2))</f>
        <v/>
      </c>
      <c r="K173" s="692" t="str">
        <f t="shared" si="16"/>
        <v/>
      </c>
      <c r="L173" s="692" t="str">
        <f>IF(N173="","",COUNTIF($P$9:$P$255,"&lt;"&amp;P173)+COUNTIF($P$9:P173,P173))</f>
        <v/>
      </c>
      <c r="M173" s="692" t="str">
        <f>IF(Ingredient_prices!E168=M172,"",Ingredient_prices!E168)</f>
        <v>Chickpeas</v>
      </c>
      <c r="N173" s="693" t="str">
        <f>_xlfn.IFNA(VLOOKUP($M173,Sedmica_2_količina_sva_sastojak!$C:$E,3,FALSE),"")</f>
        <v/>
      </c>
      <c r="O173" s="696" t="str">
        <f>IF(N173="","",COUNTIF($P$9:$P$255,"&lt;"&amp;P173)+COUNTIF($P$9:P173,P173))</f>
        <v/>
      </c>
      <c r="P173" s="694" t="str">
        <f t="shared" si="17"/>
        <v/>
      </c>
    </row>
    <row r="174" spans="1:16">
      <c r="A174" s="470">
        <v>166</v>
      </c>
      <c r="B174" s="451" t="str">
        <f t="shared" si="14"/>
        <v/>
      </c>
      <c r="C174" s="462" t="str">
        <f t="shared" si="15"/>
        <v/>
      </c>
      <c r="D174" s="446" t="str">
        <f>IF(B174="Jaje kokošje, celo",IF(C174=INT(C174),C174,C174+1),IF(B174=""," ",_xlfn.IFNA(INT(C174*1000/(VLOOKUP($B174,Ingredient_prices!$E:$J,6,FALSE)))+1,"nije nabavljen")))</f>
        <v xml:space="preserve"> </v>
      </c>
      <c r="E174" s="446" t="str">
        <f>IF(C174="","",VLOOKUP($B174,Ingredient_prices!$E:$K,7,FALSE))</f>
        <v/>
      </c>
      <c r="F174" s="462" t="str">
        <f>IF(C174="","",_xlfn.IFNA((VLOOKUP($B174,Ingredient_prices!$E:$P,11,FALSE)*I174),""))</f>
        <v/>
      </c>
      <c r="G174" s="450" t="str">
        <f>IF(C174="","",_xlfn.IFNA(MID(VLOOKUP($B174,Ingredient_prices!$E:$F,2,FALSE),9,2),""))</f>
        <v/>
      </c>
      <c r="H174" s="447" t="str">
        <f>_xlfn.IFNA(VLOOKUP(CONCATENATE($I$8,$G174),Ingredient_prices!$G:$N,8,FALSE),"")</f>
        <v/>
      </c>
      <c r="I174" s="548" t="str">
        <f t="shared" si="18"/>
        <v/>
      </c>
      <c r="J174" s="695" t="str">
        <f>IF(N174="","",MID(Ingredient_prices!F169,9,2))</f>
        <v/>
      </c>
      <c r="K174" s="692" t="str">
        <f t="shared" si="16"/>
        <v/>
      </c>
      <c r="L174" s="692" t="str">
        <f>IF(N174="","",COUNTIF($P$9:$P$255,"&lt;"&amp;P174)+COUNTIF($P$9:P174,P174))</f>
        <v/>
      </c>
      <c r="M174" s="692" t="str">
        <f>IF(Ingredient_prices!E169=M173,"",Ingredient_prices!E169)</f>
        <v>Barley</v>
      </c>
      <c r="N174" s="693" t="str">
        <f>_xlfn.IFNA(VLOOKUP($M174,Sedmica_2_količina_sva_sastojak!$C:$E,3,FALSE),"")</f>
        <v/>
      </c>
      <c r="O174" s="696" t="str">
        <f>IF(N174="","",COUNTIF($P$9:$P$255,"&lt;"&amp;P174)+COUNTIF($P$9:P174,P174))</f>
        <v/>
      </c>
      <c r="P174" s="694" t="str">
        <f t="shared" si="17"/>
        <v/>
      </c>
    </row>
    <row r="175" spans="1:16">
      <c r="A175" s="470">
        <v>167</v>
      </c>
      <c r="B175" s="451" t="str">
        <f t="shared" si="14"/>
        <v/>
      </c>
      <c r="C175" s="462" t="str">
        <f t="shared" si="15"/>
        <v/>
      </c>
      <c r="D175" s="446" t="str">
        <f>IF(B175="Jaje kokošje, celo",IF(C175=INT(C175),C175,C175+1),IF(B175=""," ",_xlfn.IFNA(INT(C175*1000/(VLOOKUP($B175,Ingredient_prices!$E:$J,6,FALSE)))+1,"nije nabavljen")))</f>
        <v xml:space="preserve"> </v>
      </c>
      <c r="E175" s="446" t="str">
        <f>IF(C175="","",VLOOKUP($B175,Ingredient_prices!$E:$K,7,FALSE))</f>
        <v/>
      </c>
      <c r="F175" s="462" t="str">
        <f>IF(C175="","",_xlfn.IFNA((VLOOKUP($B175,Ingredient_prices!$E:$P,11,FALSE)*I175),""))</f>
        <v/>
      </c>
      <c r="G175" s="450" t="str">
        <f>IF(C175="","",_xlfn.IFNA(MID(VLOOKUP($B175,Ingredient_prices!$E:$F,2,FALSE),9,2),""))</f>
        <v/>
      </c>
      <c r="H175" s="447" t="str">
        <f>_xlfn.IFNA(VLOOKUP(CONCATENATE($I$8,$G175),Ingredient_prices!$G:$N,8,FALSE),"")</f>
        <v/>
      </c>
      <c r="I175" s="548" t="str">
        <f t="shared" si="18"/>
        <v/>
      </c>
      <c r="J175" s="695" t="str">
        <f>IF(N175="","",MID(Ingredient_prices!F170,9,2))</f>
        <v>2</v>
      </c>
      <c r="K175" s="692">
        <f t="shared" si="16"/>
        <v>38</v>
      </c>
      <c r="L175" s="692">
        <f>IF(N175="","",COUNTIF($P$9:$P$255,"&lt;"&amp;P175)+COUNTIF($P$9:P175,P175))</f>
        <v>45</v>
      </c>
      <c r="M175" s="692" t="str">
        <f>IF(Ingredient_prices!E170=M174,"",Ingredient_prices!E170)</f>
        <v>Lentils</v>
      </c>
      <c r="N175" s="693">
        <f>_xlfn.IFNA(VLOOKUP($M175,Sedmica_2_količina_sva_sastojak!$C:$E,3,FALSE),"")</f>
        <v>1.1000000000000001</v>
      </c>
      <c r="O175" s="696">
        <f>IF(N175="","",COUNTIF($P$9:$P$255,"&lt;"&amp;P175)+COUNTIF($P$9:P175,P175))</f>
        <v>45</v>
      </c>
      <c r="P175" s="694">
        <f t="shared" si="17"/>
        <v>238</v>
      </c>
    </row>
    <row r="176" spans="1:16">
      <c r="A176" s="470">
        <v>168</v>
      </c>
      <c r="B176" s="451" t="str">
        <f t="shared" si="14"/>
        <v/>
      </c>
      <c r="C176" s="462" t="str">
        <f t="shared" si="15"/>
        <v/>
      </c>
      <c r="D176" s="446" t="str">
        <f>IF(B176="Jaje kokošje, celo",IF(C176=INT(C176),C176,C176+1),IF(B176=""," ",_xlfn.IFNA(INT(C176*1000/(VLOOKUP($B176,Ingredient_prices!$E:$J,6,FALSE)))+1,"nije nabavljen")))</f>
        <v xml:space="preserve"> </v>
      </c>
      <c r="E176" s="446" t="str">
        <f>IF(C176="","",VLOOKUP($B176,Ingredient_prices!$E:$K,7,FALSE))</f>
        <v/>
      </c>
      <c r="F176" s="462" t="str">
        <f>IF(C176="","",_xlfn.IFNA((VLOOKUP($B176,Ingredient_prices!$E:$P,11,FALSE)*I176),""))</f>
        <v/>
      </c>
      <c r="G176" s="450" t="str">
        <f>IF(C176="","",_xlfn.IFNA(MID(VLOOKUP($B176,Ingredient_prices!$E:$F,2,FALSE),9,2),""))</f>
        <v/>
      </c>
      <c r="H176" s="447" t="str">
        <f>_xlfn.IFNA(VLOOKUP(CONCATENATE($I$8,$G176),Ingredient_prices!$G:$N,8,FALSE),"")</f>
        <v/>
      </c>
      <c r="I176" s="548" t="str">
        <f t="shared" si="18"/>
        <v/>
      </c>
      <c r="J176" s="695" t="str">
        <f>IF(N176="","",MID(Ingredient_prices!F171,9,2))</f>
        <v>2</v>
      </c>
      <c r="K176" s="692">
        <f t="shared" si="16"/>
        <v>47</v>
      </c>
      <c r="L176" s="692">
        <f>IF(N176="","",COUNTIF($P$9:$P$255,"&lt;"&amp;P176)+COUNTIF($P$9:P176,P176))</f>
        <v>52</v>
      </c>
      <c r="M176" s="692" t="str">
        <f>IF(Ingredient_prices!E171=M175,"",Ingredient_prices!E171)</f>
        <v>Garlic</v>
      </c>
      <c r="N176" s="693">
        <f>_xlfn.IFNA(VLOOKUP($M176,Sedmica_2_količina_sva_sastojak!$C:$E,3,FALSE),"")</f>
        <v>5.5000000000000007E-2</v>
      </c>
      <c r="O176" s="696">
        <f>IF(N176="","",COUNTIF($P$9:$P$255,"&lt;"&amp;P176)+COUNTIF($P$9:P176,P176))</f>
        <v>52</v>
      </c>
      <c r="P176" s="694">
        <f t="shared" si="17"/>
        <v>247</v>
      </c>
    </row>
    <row r="177" spans="1:17" s="445" customFormat="1">
      <c r="A177" s="470">
        <v>169</v>
      </c>
      <c r="B177" s="451" t="str">
        <f t="shared" si="14"/>
        <v/>
      </c>
      <c r="C177" s="462" t="str">
        <f t="shared" si="15"/>
        <v/>
      </c>
      <c r="D177" s="446" t="str">
        <f>IF(B177="Jaje kokošje, celo",IF(C177=INT(C177),C177,C177+1),IF(B177=""," ",_xlfn.IFNA(INT(C177*1000/(VLOOKUP($B177,Ingredient_prices!$E:$J,6,FALSE)))+1,"nije nabavljen")))</f>
        <v xml:space="preserve"> </v>
      </c>
      <c r="E177" s="446" t="str">
        <f>IF(C177="","",VLOOKUP($B177,Ingredient_prices!$E:$K,7,FALSE))</f>
        <v/>
      </c>
      <c r="F177" s="462" t="str">
        <f>IF(C177="","",_xlfn.IFNA((VLOOKUP($B177,Ingredient_prices!$E:$P,11,FALSE)*I177),""))</f>
        <v/>
      </c>
      <c r="G177" s="450" t="str">
        <f>IF(C177="","",_xlfn.IFNA(MID(VLOOKUP($B177,Ingredient_prices!$E:$F,2,FALSE),9,2),""))</f>
        <v/>
      </c>
      <c r="H177" s="447" t="str">
        <f>_xlfn.IFNA(VLOOKUP(CONCATENATE($I$8,$G177),Ingredient_prices!$G:$N,8,FALSE),"")</f>
        <v/>
      </c>
      <c r="I177" s="548" t="str">
        <f t="shared" si="18"/>
        <v/>
      </c>
      <c r="J177" s="695" t="str">
        <f>IF(N177="","",MID(Ingredient_prices!F172,9,2))</f>
        <v/>
      </c>
      <c r="K177" s="692" t="str">
        <f t="shared" si="16"/>
        <v/>
      </c>
      <c r="L177" s="692" t="str">
        <f>IF(N177="","",COUNTIF($P$9:$P$255,"&lt;"&amp;P177)+COUNTIF($P$9:P177,P177))</f>
        <v/>
      </c>
      <c r="M177" s="692" t="str">
        <f>IF(Ingredient_prices!E172=M176,"",Ingredient_prices!E172)</f>
        <v>Cheese, hard, grated</v>
      </c>
      <c r="N177" s="693" t="str">
        <f>_xlfn.IFNA(VLOOKUP($M177,Sedmica_2_količina_sva_sastojak!$C:$E,3,FALSE),"")</f>
        <v/>
      </c>
      <c r="O177" s="696" t="str">
        <f>IF(N177="","",COUNTIF($P$9:$P$255,"&lt;"&amp;P177)+COUNTIF($P$9:P177,P177))</f>
        <v/>
      </c>
      <c r="P177" s="694" t="str">
        <f t="shared" si="17"/>
        <v/>
      </c>
      <c r="Q177" s="692"/>
    </row>
    <row r="178" spans="1:17">
      <c r="A178" s="470">
        <v>170</v>
      </c>
      <c r="B178" s="451" t="str">
        <f t="shared" si="14"/>
        <v/>
      </c>
      <c r="C178" s="462" t="str">
        <f t="shared" si="15"/>
        <v/>
      </c>
      <c r="D178" s="446" t="str">
        <f>IF(B178="Jaje kokošje, celo",IF(C178=INT(C178),C178,C178+1),IF(B178=""," ",_xlfn.IFNA(INT(C178*1000/(VLOOKUP($B178,Ingredient_prices!$E:$J,6,FALSE)))+1,"nije nabavljen")))</f>
        <v xml:space="preserve"> </v>
      </c>
      <c r="E178" s="446" t="str">
        <f>IF(C178="","",VLOOKUP($B178,Ingredient_prices!$E:$K,7,FALSE))</f>
        <v/>
      </c>
      <c r="F178" s="462" t="str">
        <f>IF(C178="","",_xlfn.IFNA((VLOOKUP($B178,Ingredient_prices!$E:$P,11,FALSE)*I178),""))</f>
        <v/>
      </c>
      <c r="G178" s="450" t="str">
        <f>IF(C178="","",_xlfn.IFNA(MID(VLOOKUP($B178,Ingredient_prices!$E:$F,2,FALSE),9,2),""))</f>
        <v/>
      </c>
      <c r="H178" s="447" t="str">
        <f>_xlfn.IFNA(VLOOKUP(CONCATENATE($I$8,$G178),Ingredient_prices!$G:$N,8,FALSE),"")</f>
        <v/>
      </c>
      <c r="I178" s="548" t="str">
        <f t="shared" si="18"/>
        <v/>
      </c>
      <c r="J178" s="695" t="str">
        <f>IF(N178="","",MID(Ingredient_prices!F173,9,2))</f>
        <v>2</v>
      </c>
      <c r="K178" s="692">
        <f t="shared" si="16"/>
        <v>12</v>
      </c>
      <c r="L178" s="692">
        <f>IF(N178="","",COUNTIF($P$9:$P$255,"&lt;"&amp;P178)+COUNTIF($P$9:P178,P178))</f>
        <v>19</v>
      </c>
      <c r="M178" s="692" t="str">
        <f>IF(Ingredient_prices!E173=M177,"",Ingredient_prices!E173)</f>
        <v>Pork minced meat</v>
      </c>
      <c r="N178" s="693">
        <f>_xlfn.IFNA(VLOOKUP($M178,Sedmica_2_količina_sva_sastojak!$C:$E,3,FALSE),"")</f>
        <v>11.000000000000002</v>
      </c>
      <c r="O178" s="696">
        <f>IF(N178="","",COUNTIF($P$9:$P$255,"&lt;"&amp;P178)+COUNTIF($P$9:P178,P178))</f>
        <v>19</v>
      </c>
      <c r="P178" s="694">
        <f t="shared" si="17"/>
        <v>212</v>
      </c>
    </row>
    <row r="179" spans="1:17">
      <c r="A179" s="470">
        <v>171</v>
      </c>
      <c r="B179" s="451" t="str">
        <f t="shared" si="14"/>
        <v/>
      </c>
      <c r="C179" s="462" t="str">
        <f t="shared" si="15"/>
        <v/>
      </c>
      <c r="D179" s="446" t="str">
        <f>IF(B179="Jaje kokošje, celo",IF(C179=INT(C179),C179,C179+1),IF(B179=""," ",_xlfn.IFNA(INT(C179*1000/(VLOOKUP($B179,Ingredient_prices!$E:$J,6,FALSE)))+1,"nije nabavljen")))</f>
        <v xml:space="preserve"> </v>
      </c>
      <c r="E179" s="446" t="str">
        <f>IF(C179="","",VLOOKUP($B179,Ingredient_prices!$E:$K,7,FALSE))</f>
        <v/>
      </c>
      <c r="F179" s="462" t="str">
        <f>IF(C179="","",_xlfn.IFNA((VLOOKUP($B179,Ingredient_prices!$E:$P,11,FALSE)*I179),""))</f>
        <v/>
      </c>
      <c r="G179" s="450" t="str">
        <f>IF(C179="","",_xlfn.IFNA(MID(VLOOKUP($B179,Ingredient_prices!$E:$F,2,FALSE),9,2),""))</f>
        <v/>
      </c>
      <c r="H179" s="447" t="str">
        <f>_xlfn.IFNA(VLOOKUP(CONCATENATE($I$8,$G179),Ingredient_prices!$G:$N,8,FALSE),"")</f>
        <v/>
      </c>
      <c r="I179" s="548" t="str">
        <f t="shared" si="18"/>
        <v/>
      </c>
      <c r="J179" s="695" t="str">
        <f>IF(N179="","",MID(Ingredient_prices!F174,9,2))</f>
        <v/>
      </c>
      <c r="K179" s="692" t="str">
        <f t="shared" si="16"/>
        <v/>
      </c>
      <c r="L179" s="692" t="str">
        <f>IF(N179="","",COUNTIF($P$9:$P$255,"&lt;"&amp;P179)+COUNTIF($P$9:P179,P179))</f>
        <v/>
      </c>
      <c r="M179" s="692" t="str">
        <f>IF(Ingredient_prices!E174=M178,"",Ingredient_prices!E174)</f>
        <v>Lemon</v>
      </c>
      <c r="N179" s="693" t="str">
        <f>_xlfn.IFNA(VLOOKUP($M179,Sedmica_2_količina_sva_sastojak!$C:$E,3,FALSE),"")</f>
        <v/>
      </c>
      <c r="O179" s="696" t="str">
        <f>IF(N179="","",COUNTIF($P$9:$P$255,"&lt;"&amp;P179)+COUNTIF($P$9:P179,P179))</f>
        <v/>
      </c>
      <c r="P179" s="694" t="str">
        <f t="shared" si="17"/>
        <v/>
      </c>
    </row>
    <row r="180" spans="1:17">
      <c r="A180" s="470">
        <v>172</v>
      </c>
      <c r="B180" s="451" t="str">
        <f t="shared" si="14"/>
        <v/>
      </c>
      <c r="C180" s="462" t="str">
        <f t="shared" si="15"/>
        <v/>
      </c>
      <c r="D180" s="446" t="str">
        <f>IF(B180="Jaje kokošje, celo",IF(C180=INT(C180),C180,C180+1),IF(B180=""," ",_xlfn.IFNA(INT(C180*1000/(VLOOKUP($B180,Ingredient_prices!$E:$J,6,FALSE)))+1,"nije nabavljen")))</f>
        <v xml:space="preserve"> </v>
      </c>
      <c r="E180" s="446" t="str">
        <f>IF(C180="","",VLOOKUP($B180,Ingredient_prices!$E:$K,7,FALSE))</f>
        <v/>
      </c>
      <c r="F180" s="462" t="str">
        <f>IF(C180="","",_xlfn.IFNA((VLOOKUP($B180,Ingredient_prices!$E:$P,11,FALSE)*I180),""))</f>
        <v/>
      </c>
      <c r="G180" s="450" t="str">
        <f>IF(C180="","",_xlfn.IFNA(MID(VLOOKUP($B180,Ingredient_prices!$E:$F,2,FALSE),9,2),""))</f>
        <v/>
      </c>
      <c r="H180" s="447" t="str">
        <f>_xlfn.IFNA(VLOOKUP(CONCATENATE($I$8,$G180),Ingredient_prices!$G:$N,8,FALSE),"")</f>
        <v/>
      </c>
      <c r="I180" s="548" t="str">
        <f t="shared" si="18"/>
        <v/>
      </c>
      <c r="J180" s="695" t="str">
        <f>IF(N180="","",MID(Ingredient_prices!F175,9,2))</f>
        <v/>
      </c>
      <c r="K180" s="692" t="str">
        <f t="shared" si="16"/>
        <v/>
      </c>
      <c r="L180" s="692" t="str">
        <f>IF(N180="","",COUNTIF($P$9:$P$255,"&lt;"&amp;P180)+COUNTIF($P$9:P180,P180))</f>
        <v/>
      </c>
      <c r="M180" s="692" t="str">
        <f>IF(Ingredient_prices!E175=M179,"",Ingredient_prices!E175)</f>
        <v>Bay leaves</v>
      </c>
      <c r="N180" s="693" t="str">
        <f>_xlfn.IFNA(VLOOKUP($M180,Sedmica_2_količina_sva_sastojak!$C:$E,3,FALSE),"")</f>
        <v/>
      </c>
      <c r="O180" s="696" t="str">
        <f>IF(N180="","",COUNTIF($P$9:$P$255,"&lt;"&amp;P180)+COUNTIF($P$9:P180,P180))</f>
        <v/>
      </c>
      <c r="P180" s="694" t="str">
        <f t="shared" si="17"/>
        <v/>
      </c>
    </row>
    <row r="181" spans="1:17">
      <c r="A181" s="470">
        <v>173</v>
      </c>
      <c r="B181" s="451" t="str">
        <f t="shared" si="14"/>
        <v/>
      </c>
      <c r="C181" s="462" t="str">
        <f t="shared" si="15"/>
        <v/>
      </c>
      <c r="D181" s="446" t="str">
        <f>IF(B181="Jaje kokošje, celo",IF(C181=INT(C181),C181,C181+1),IF(B181=""," ",_xlfn.IFNA(INT(C181*1000/(VLOOKUP($B181,Ingredient_prices!$E:$J,6,FALSE)))+1,"nije nabavljen")))</f>
        <v xml:space="preserve"> </v>
      </c>
      <c r="E181" s="446" t="str">
        <f>IF(C181="","",VLOOKUP($B181,Ingredient_prices!$E:$K,7,FALSE))</f>
        <v/>
      </c>
      <c r="F181" s="462" t="str">
        <f>IF(C181="","",_xlfn.IFNA((VLOOKUP($B181,Ingredient_prices!$E:$P,11,FALSE)*I181),""))</f>
        <v/>
      </c>
      <c r="G181" s="450" t="str">
        <f>IF(C181="","",_xlfn.IFNA(MID(VLOOKUP($B181,Ingredient_prices!$E:$F,2,FALSE),9,2),""))</f>
        <v/>
      </c>
      <c r="H181" s="447" t="str">
        <f>_xlfn.IFNA(VLOOKUP(CONCATENATE($I$8,$G181),Ingredient_prices!$G:$N,8,FALSE),"")</f>
        <v/>
      </c>
      <c r="I181" s="548" t="str">
        <f t="shared" si="18"/>
        <v/>
      </c>
      <c r="J181" s="695" t="str">
        <f>IF(N181="","",MID(Ingredient_prices!F176,9,2))</f>
        <v/>
      </c>
      <c r="K181" s="692" t="str">
        <f t="shared" si="16"/>
        <v/>
      </c>
      <c r="L181" s="692" t="str">
        <f>IF(N181="","",COUNTIF($P$9:$P$255,"&lt;"&amp;P181)+COUNTIF($P$9:P181,P181))</f>
        <v/>
      </c>
      <c r="M181" s="692" t="str">
        <f>IF(Ingredient_prices!E176=M180,"",Ingredient_prices!E176)</f>
        <v>Cocoa powder, unsweetened</v>
      </c>
      <c r="N181" s="693" t="str">
        <f>_xlfn.IFNA(VLOOKUP($M181,Sedmica_2_količina_sva_sastojak!$C:$E,3,FALSE),"")</f>
        <v/>
      </c>
      <c r="O181" s="696" t="str">
        <f>IF(N181="","",COUNTIF($P$9:$P$255,"&lt;"&amp;P181)+COUNTIF($P$9:P181,P181))</f>
        <v/>
      </c>
      <c r="P181" s="694" t="str">
        <f t="shared" si="17"/>
        <v/>
      </c>
    </row>
    <row r="182" spans="1:17">
      <c r="A182" s="470">
        <v>174</v>
      </c>
      <c r="B182" s="451" t="str">
        <f t="shared" si="14"/>
        <v/>
      </c>
      <c r="C182" s="462" t="str">
        <f t="shared" si="15"/>
        <v/>
      </c>
      <c r="D182" s="446" t="str">
        <f>IF(B182="Jaje kokošje, celo",IF(C182=INT(C182),C182,C182+1),IF(B182=""," ",_xlfn.IFNA(INT(C182*1000/(VLOOKUP($B182,Ingredient_prices!$E:$J,6,FALSE)))+1,"nije nabavljen")))</f>
        <v xml:space="preserve"> </v>
      </c>
      <c r="E182" s="446" t="str">
        <f>IF(C182="","",VLOOKUP($B182,Ingredient_prices!$E:$K,7,FALSE))</f>
        <v/>
      </c>
      <c r="F182" s="462" t="str">
        <f>IF(C182="","",_xlfn.IFNA((VLOOKUP($B182,Ingredient_prices!$E:$P,11,FALSE)*I182),""))</f>
        <v/>
      </c>
      <c r="G182" s="450" t="str">
        <f>IF(C182="","",_xlfn.IFNA(MID(VLOOKUP($B182,Ingredient_prices!$E:$F,2,FALSE),9,2),""))</f>
        <v/>
      </c>
      <c r="H182" s="447" t="str">
        <f>_xlfn.IFNA(VLOOKUP(CONCATENATE($I$8,$G182),Ingredient_prices!$G:$N,8,FALSE),"")</f>
        <v/>
      </c>
      <c r="I182" s="548" t="str">
        <f t="shared" si="18"/>
        <v/>
      </c>
      <c r="J182" s="695" t="str">
        <f>IF(N182="","",MID(Ingredient_prices!F177,9,2))</f>
        <v/>
      </c>
      <c r="K182" s="692" t="str">
        <f t="shared" si="16"/>
        <v/>
      </c>
      <c r="L182" s="692" t="str">
        <f>IF(N182="","",COUNTIF($P$9:$P$255,"&lt;"&amp;P182)+COUNTIF($P$9:P182,P182))</f>
        <v/>
      </c>
      <c r="M182" s="692" t="str">
        <f>IF(Ingredient_prices!E177=M181,"",Ingredient_prices!E177)</f>
        <v>Poppy seeds</v>
      </c>
      <c r="N182" s="693" t="str">
        <f>_xlfn.IFNA(VLOOKUP($M182,Sedmica_2_količina_sva_sastojak!$C:$E,3,FALSE),"")</f>
        <v/>
      </c>
      <c r="O182" s="696" t="str">
        <f>IF(N182="","",COUNTIF($P$9:$P$255,"&lt;"&amp;P182)+COUNTIF($P$9:P182,P182))</f>
        <v/>
      </c>
      <c r="P182" s="694" t="str">
        <f t="shared" si="17"/>
        <v/>
      </c>
    </row>
    <row r="183" spans="1:17">
      <c r="A183" s="470">
        <v>175</v>
      </c>
      <c r="B183" s="451" t="str">
        <f t="shared" si="14"/>
        <v/>
      </c>
      <c r="C183" s="462" t="str">
        <f t="shared" si="15"/>
        <v/>
      </c>
      <c r="D183" s="446" t="str">
        <f>IF(B183="Jaje kokošje, celo",IF(C183=INT(C183),C183,C183+1),IF(B183=""," ",_xlfn.IFNA(INT(C183*1000/(VLOOKUP($B183,Ingredient_prices!$E:$J,6,FALSE)))+1,"nije nabavljen")))</f>
        <v xml:space="preserve"> </v>
      </c>
      <c r="E183" s="446" t="str">
        <f>IF(C183="","",VLOOKUP($B183,Ingredient_prices!$E:$K,7,FALSE))</f>
        <v/>
      </c>
      <c r="F183" s="462" t="str">
        <f>IF(C183="","",_xlfn.IFNA((VLOOKUP($B183,Ingredient_prices!$E:$P,11,FALSE)*I183),""))</f>
        <v/>
      </c>
      <c r="G183" s="450" t="str">
        <f>IF(C183="","",_xlfn.IFNA(MID(VLOOKUP($B183,Ingredient_prices!$E:$F,2,FALSE),9,2),""))</f>
        <v/>
      </c>
      <c r="H183" s="447" t="str">
        <f>_xlfn.IFNA(VLOOKUP(CONCATENATE($I$8,$G183),Ingredient_prices!$G:$N,8,FALSE),"")</f>
        <v/>
      </c>
      <c r="I183" s="548" t="str">
        <f t="shared" si="18"/>
        <v/>
      </c>
      <c r="J183" s="695" t="str">
        <f>IF(N183="","",MID(Ingredient_prices!F178,9,2))</f>
        <v/>
      </c>
      <c r="K183" s="692" t="str">
        <f t="shared" si="16"/>
        <v/>
      </c>
      <c r="L183" s="692" t="str">
        <f>IF(N183="","",COUNTIF($P$9:$P$255,"&lt;"&amp;P183)+COUNTIF($P$9:P183,P183))</f>
        <v/>
      </c>
      <c r="M183" s="692" t="str">
        <f>IF(Ingredient_prices!E178=M182,"",Ingredient_prices!E178)</f>
        <v>Raisins (dried grapes)</v>
      </c>
      <c r="N183" s="693" t="str">
        <f>_xlfn.IFNA(VLOOKUP($M183,Sedmica_2_količina_sva_sastojak!$C:$E,3,FALSE),"")</f>
        <v/>
      </c>
      <c r="O183" s="696" t="str">
        <f>IF(N183="","",COUNTIF($P$9:$P$255,"&lt;"&amp;P183)+COUNTIF($P$9:P183,P183))</f>
        <v/>
      </c>
      <c r="P183" s="694" t="str">
        <f t="shared" si="17"/>
        <v/>
      </c>
    </row>
    <row r="184" spans="1:17" s="445" customFormat="1">
      <c r="A184" s="470">
        <v>176</v>
      </c>
      <c r="B184" s="451" t="str">
        <f t="shared" si="14"/>
        <v/>
      </c>
      <c r="C184" s="462" t="str">
        <f t="shared" si="15"/>
        <v/>
      </c>
      <c r="D184" s="446" t="str">
        <f>IF(B184="Jaje kokošje, celo",IF(C184=INT(C184),C184,C184+1),IF(B184=""," ",_xlfn.IFNA(INT(C184*1000/(VLOOKUP($B184,Ingredient_prices!$E:$J,6,FALSE)))+1,"nije nabavljen")))</f>
        <v xml:space="preserve"> </v>
      </c>
      <c r="E184" s="446" t="str">
        <f>IF(C184="","",VLOOKUP($B184,Ingredient_prices!$E:$K,7,FALSE))</f>
        <v/>
      </c>
      <c r="F184" s="462" t="str">
        <f>IF(C184="","",_xlfn.IFNA((VLOOKUP($B184,Ingredient_prices!$E:$P,11,FALSE)*I184),""))</f>
        <v/>
      </c>
      <c r="G184" s="450" t="str">
        <f>IF(C184="","",_xlfn.IFNA(MID(VLOOKUP($B184,Ingredient_prices!$E:$F,2,FALSE),9,2),""))</f>
        <v/>
      </c>
      <c r="H184" s="447" t="str">
        <f>_xlfn.IFNA(VLOOKUP(CONCATENATE($I$8,$G184),Ingredient_prices!$G:$N,8,FALSE),"")</f>
        <v/>
      </c>
      <c r="I184" s="548" t="str">
        <f t="shared" si="18"/>
        <v/>
      </c>
      <c r="J184" s="695" t="str">
        <f>IF(N184="","",MID(Ingredient_prices!F179,9,2))</f>
        <v>2</v>
      </c>
      <c r="K184" s="692">
        <f t="shared" si="16"/>
        <v>28</v>
      </c>
      <c r="L184" s="692">
        <f>IF(N184="","",COUNTIF($P$9:$P$255,"&lt;"&amp;P184)+COUNTIF($P$9:P184,P184))</f>
        <v>38</v>
      </c>
      <c r="M184" s="692" t="str">
        <f>IF(Ingredient_prices!E179=M183,"",Ingredient_prices!E179)</f>
        <v>Margarine from milk (less than 500g)</v>
      </c>
      <c r="N184" s="693">
        <f>_xlfn.IFNA(VLOOKUP($M184,Sedmica_2_količina_sva_sastojak!$C:$E,3,FALSE),"")</f>
        <v>2.2000000000000002</v>
      </c>
      <c r="O184" s="696">
        <f>IF(N184="","",COUNTIF($P$9:$P$255,"&lt;"&amp;P184)+COUNTIF($P$9:P184,P184))</f>
        <v>38</v>
      </c>
      <c r="P184" s="694">
        <f t="shared" si="17"/>
        <v>228</v>
      </c>
      <c r="Q184" s="692"/>
    </row>
    <row r="185" spans="1:17">
      <c r="A185" s="470">
        <v>177</v>
      </c>
      <c r="B185" s="451" t="str">
        <f t="shared" si="14"/>
        <v/>
      </c>
      <c r="C185" s="462" t="str">
        <f t="shared" si="15"/>
        <v/>
      </c>
      <c r="D185" s="446" t="str">
        <f>IF(B185="Jaje kokošje, celo",IF(C185=INT(C185),C185,C185+1),IF(B185=""," ",_xlfn.IFNA(INT(C185*1000/(VLOOKUP($B185,Ingredient_prices!$E:$J,6,FALSE)))+1,"nije nabavljen")))</f>
        <v xml:space="preserve"> </v>
      </c>
      <c r="E185" s="446" t="str">
        <f>IF(C185="","",VLOOKUP($B185,Ingredient_prices!$E:$K,7,FALSE))</f>
        <v/>
      </c>
      <c r="F185" s="462" t="str">
        <f>IF(C185="","",_xlfn.IFNA((VLOOKUP($B185,Ingredient_prices!$E:$P,11,FALSE)*I185),""))</f>
        <v/>
      </c>
      <c r="G185" s="450" t="str">
        <f>IF(C185="","",_xlfn.IFNA(MID(VLOOKUP($B185,Ingredient_prices!$E:$F,2,FALSE),9,2),""))</f>
        <v/>
      </c>
      <c r="H185" s="447" t="str">
        <f>_xlfn.IFNA(VLOOKUP(CONCATENATE($I$8,$G185),Ingredient_prices!$G:$N,8,FALSE),"")</f>
        <v/>
      </c>
      <c r="I185" s="548" t="str">
        <f t="shared" si="18"/>
        <v/>
      </c>
      <c r="J185" s="695" t="str">
        <f>IF(N185="","",MID(Ingredient_prices!F180,9,2))</f>
        <v/>
      </c>
      <c r="K185" s="692" t="str">
        <f t="shared" si="16"/>
        <v/>
      </c>
      <c r="L185" s="692" t="str">
        <f>IF(N185="","",COUNTIF($P$9:$P$255,"&lt;"&amp;P185)+COUNTIF($P$9:P185,P185))</f>
        <v/>
      </c>
      <c r="M185" s="692" t="str">
        <f>IF(Ingredient_prices!E180=M184,"",Ingredient_prices!E180)</f>
        <v>Pudding powder</v>
      </c>
      <c r="N185" s="693" t="str">
        <f>_xlfn.IFNA(VLOOKUP($M185,Sedmica_2_količina_sva_sastojak!$C:$E,3,FALSE),"")</f>
        <v/>
      </c>
      <c r="O185" s="696" t="str">
        <f>IF(N185="","",COUNTIF($P$9:$P$255,"&lt;"&amp;P185)+COUNTIF($P$9:P185,P185))</f>
        <v/>
      </c>
      <c r="P185" s="694" t="str">
        <f t="shared" si="17"/>
        <v/>
      </c>
    </row>
    <row r="186" spans="1:17">
      <c r="A186" s="470">
        <v>178</v>
      </c>
      <c r="B186" s="451" t="str">
        <f t="shared" si="14"/>
        <v/>
      </c>
      <c r="C186" s="462" t="str">
        <f t="shared" si="15"/>
        <v/>
      </c>
      <c r="D186" s="446" t="str">
        <f>IF(B186="Jaje kokošje, celo",IF(C186=INT(C186),C186,C186+1),IF(B186=""," ",_xlfn.IFNA(INT(C186*1000/(VLOOKUP($B186,Ingredient_prices!$E:$J,6,FALSE)))+1,"nije nabavljen")))</f>
        <v xml:space="preserve"> </v>
      </c>
      <c r="E186" s="446" t="str">
        <f>IF(C186="","",VLOOKUP($B186,Ingredient_prices!$E:$K,7,FALSE))</f>
        <v/>
      </c>
      <c r="F186" s="462" t="str">
        <f>IF(C186="","",_xlfn.IFNA((VLOOKUP($B186,Ingredient_prices!$E:$P,11,FALSE)*I186),""))</f>
        <v/>
      </c>
      <c r="G186" s="450" t="str">
        <f>IF(C186="","",_xlfn.IFNA(MID(VLOOKUP($B186,Ingredient_prices!$E:$F,2,FALSE),9,2),""))</f>
        <v/>
      </c>
      <c r="H186" s="447" t="str">
        <f>_xlfn.IFNA(VLOOKUP(CONCATENATE($I$8,$G186),Ingredient_prices!$G:$N,8,FALSE),"")</f>
        <v/>
      </c>
      <c r="I186" s="548" t="str">
        <f t="shared" si="18"/>
        <v/>
      </c>
      <c r="J186" s="695" t="str">
        <f>IF(N186="","",MID(Ingredient_prices!F181,9,2))</f>
        <v/>
      </c>
      <c r="K186" s="692" t="str">
        <f t="shared" si="16"/>
        <v/>
      </c>
      <c r="L186" s="692" t="str">
        <f>IF(N186="","",COUNTIF($P$9:$P$255,"&lt;"&amp;P186)+COUNTIF($P$9:P186,P186))</f>
        <v/>
      </c>
      <c r="M186" s="692" t="str">
        <f>IF(Ingredient_prices!E181=M185,"",Ingredient_prices!E181)</f>
        <v>Soya flour (fat extracted)</v>
      </c>
      <c r="N186" s="693" t="str">
        <f>_xlfn.IFNA(VLOOKUP($M186,Sedmica_2_količina_sva_sastojak!$C:$E,3,FALSE),"")</f>
        <v/>
      </c>
      <c r="O186" s="696" t="str">
        <f>IF(N186="","",COUNTIF($P$9:$P$255,"&lt;"&amp;P186)+COUNTIF($P$9:P186,P186))</f>
        <v/>
      </c>
      <c r="P186" s="694" t="str">
        <f t="shared" si="17"/>
        <v/>
      </c>
    </row>
    <row r="187" spans="1:17">
      <c r="A187" s="470">
        <v>179</v>
      </c>
      <c r="B187" s="451" t="str">
        <f t="shared" si="14"/>
        <v/>
      </c>
      <c r="C187" s="462" t="str">
        <f t="shared" si="15"/>
        <v/>
      </c>
      <c r="D187" s="446" t="str">
        <f>IF(B187="Jaje kokošje, celo",IF(C187=INT(C187),C187,C187+1),IF(B187=""," ",_xlfn.IFNA(INT(C187*1000/(VLOOKUP($B187,Ingredient_prices!$E:$J,6,FALSE)))+1,"nije nabavljen")))</f>
        <v xml:space="preserve"> </v>
      </c>
      <c r="E187" s="446" t="str">
        <f>IF(C187="","",VLOOKUP($B187,Ingredient_prices!$E:$K,7,FALSE))</f>
        <v/>
      </c>
      <c r="F187" s="462" t="str">
        <f>IF(C187="","",_xlfn.IFNA((VLOOKUP($B187,Ingredient_prices!$E:$P,11,FALSE)*I187),""))</f>
        <v/>
      </c>
      <c r="G187" s="450" t="str">
        <f>IF(C187="","",_xlfn.IFNA(MID(VLOOKUP($B187,Ingredient_prices!$E:$F,2,FALSE),9,2),""))</f>
        <v/>
      </c>
      <c r="H187" s="447" t="str">
        <f>_xlfn.IFNA(VLOOKUP(CONCATENATE($I$8,$G187),Ingredient_prices!$G:$N,8,FALSE),"")</f>
        <v/>
      </c>
      <c r="I187" s="548" t="str">
        <f t="shared" si="18"/>
        <v/>
      </c>
      <c r="J187" s="695" t="str">
        <f>IF(N187="","",MID(Ingredient_prices!F182,9,2))</f>
        <v/>
      </c>
      <c r="K187" s="692" t="str">
        <f t="shared" si="16"/>
        <v/>
      </c>
      <c r="L187" s="692" t="str">
        <f>IF(N187="","",COUNTIF($P$9:$P$255,"&lt;"&amp;P187)+COUNTIF($P$9:P187,P187))</f>
        <v/>
      </c>
      <c r="M187" s="692" t="str">
        <f>IF(Ingredient_prices!E182=M186,"",Ingredient_prices!E182)</f>
        <v>Ground pepper</v>
      </c>
      <c r="N187" s="693" t="str">
        <f>_xlfn.IFNA(VLOOKUP($M187,Sedmica_2_količina_sva_sastojak!$C:$E,3,FALSE),"")</f>
        <v/>
      </c>
      <c r="O187" s="696" t="str">
        <f>IF(N187="","",COUNTIF($P$9:$P$255,"&lt;"&amp;P187)+COUNTIF($P$9:P187,P187))</f>
        <v/>
      </c>
      <c r="P187" s="694" t="str">
        <f t="shared" si="17"/>
        <v/>
      </c>
    </row>
    <row r="188" spans="1:17">
      <c r="A188" s="470">
        <v>180</v>
      </c>
      <c r="B188" s="451" t="str">
        <f t="shared" si="14"/>
        <v/>
      </c>
      <c r="C188" s="462" t="str">
        <f t="shared" si="15"/>
        <v/>
      </c>
      <c r="D188" s="446" t="str">
        <f>IF(B188="Jaje kokošje, celo",IF(C188=INT(C188),C188,C188+1),IF(B188=""," ",_xlfn.IFNA(INT(C188*1000/(VLOOKUP($B188,Ingredient_prices!$E:$J,6,FALSE)))+1,"nije nabavljen")))</f>
        <v xml:space="preserve"> </v>
      </c>
      <c r="E188" s="446" t="str">
        <f>IF(C188="","",VLOOKUP($B188,Ingredient_prices!$E:$K,7,FALSE))</f>
        <v/>
      </c>
      <c r="F188" s="462" t="str">
        <f>IF(C188="","",_xlfn.IFNA((VLOOKUP($B188,Ingredient_prices!$E:$P,11,FALSE)*I188),""))</f>
        <v/>
      </c>
      <c r="G188" s="450" t="str">
        <f>IF(C188="","",_xlfn.IFNA(MID(VLOOKUP($B188,Ingredient_prices!$E:$F,2,FALSE),9,2),""))</f>
        <v/>
      </c>
      <c r="H188" s="447" t="str">
        <f>_xlfn.IFNA(VLOOKUP(CONCATENATE($I$8,$G188),Ingredient_prices!$G:$N,8,FALSE),"")</f>
        <v/>
      </c>
      <c r="I188" s="548" t="str">
        <f t="shared" si="18"/>
        <v/>
      </c>
      <c r="J188" s="695" t="str">
        <f>IF(N188="","",MID(Ingredient_prices!F183,9,2))</f>
        <v/>
      </c>
      <c r="K188" s="692" t="str">
        <f t="shared" si="16"/>
        <v/>
      </c>
      <c r="L188" s="692" t="str">
        <f>IF(N188="","",COUNTIF($P$9:$P$255,"&lt;"&amp;P188)+COUNTIF($P$9:P188,P188))</f>
        <v/>
      </c>
      <c r="M188" s="692" t="str">
        <f>IF(Ingredient_prices!E183=M187,"",Ingredient_prices!E183)</f>
        <v>Parsnip</v>
      </c>
      <c r="N188" s="693" t="str">
        <f>_xlfn.IFNA(VLOOKUP($M188,Sedmica_2_količina_sva_sastojak!$C:$E,3,FALSE),"")</f>
        <v/>
      </c>
      <c r="O188" s="696" t="str">
        <f>IF(N188="","",COUNTIF($P$9:$P$255,"&lt;"&amp;P188)+COUNTIF($P$9:P188,P188))</f>
        <v/>
      </c>
      <c r="P188" s="694" t="str">
        <f t="shared" si="17"/>
        <v/>
      </c>
    </row>
    <row r="189" spans="1:17">
      <c r="A189" s="470">
        <v>181</v>
      </c>
      <c r="B189" s="451" t="str">
        <f t="shared" si="14"/>
        <v/>
      </c>
      <c r="C189" s="462" t="str">
        <f t="shared" si="15"/>
        <v/>
      </c>
      <c r="D189" s="446" t="str">
        <f>IF(B189="Jaje kokošje, celo",IF(C189=INT(C189),C189,C189+1),IF(B189=""," ",_xlfn.IFNA(INT(C189*1000/(VLOOKUP($B189,Ingredient_prices!$E:$J,6,FALSE)))+1,"nije nabavljen")))</f>
        <v xml:space="preserve"> </v>
      </c>
      <c r="E189" s="446" t="str">
        <f>IF(C189="","",VLOOKUP($B189,Ingredient_prices!$E:$K,7,FALSE))</f>
        <v/>
      </c>
      <c r="F189" s="462" t="str">
        <f>IF(C189="","",_xlfn.IFNA((VLOOKUP($B189,Ingredient_prices!$E:$P,11,FALSE)*I189),""))</f>
        <v/>
      </c>
      <c r="G189" s="450" t="str">
        <f>IF(C189="","",_xlfn.IFNA(MID(VLOOKUP($B189,Ingredient_prices!$E:$F,2,FALSE),9,2),""))</f>
        <v/>
      </c>
      <c r="H189" s="447" t="str">
        <f>_xlfn.IFNA(VLOOKUP(CONCATENATE($I$8,$G189),Ingredient_prices!$G:$N,8,FALSE),"")</f>
        <v/>
      </c>
      <c r="I189" s="548" t="str">
        <f t="shared" si="18"/>
        <v/>
      </c>
      <c r="J189" s="695" t="str">
        <f>IF(N189="","",MID(Ingredient_prices!F184,9,2))</f>
        <v/>
      </c>
      <c r="K189" s="692" t="str">
        <f t="shared" si="16"/>
        <v/>
      </c>
      <c r="L189" s="692" t="str">
        <f>IF(N189="","",COUNTIF($P$9:$P$255,"&lt;"&amp;P189)+COUNTIF($P$9:P189,P189))</f>
        <v/>
      </c>
      <c r="M189" s="692" t="str">
        <f>IF(Ingredient_prices!E184=M188,"",Ingredient_prices!E184)</f>
        <v>Pork fat</v>
      </c>
      <c r="N189" s="693" t="str">
        <f>_xlfn.IFNA(VLOOKUP($M189,Sedmica_2_količina_sva_sastojak!$C:$E,3,FALSE),"")</f>
        <v/>
      </c>
      <c r="O189" s="696" t="str">
        <f>IF(N189="","",COUNTIF($P$9:$P$255,"&lt;"&amp;P189)+COUNTIF($P$9:P189,P189))</f>
        <v/>
      </c>
      <c r="P189" s="694" t="str">
        <f t="shared" si="17"/>
        <v/>
      </c>
    </row>
    <row r="190" spans="1:17">
      <c r="A190" s="470">
        <v>182</v>
      </c>
      <c r="B190" s="451" t="str">
        <f t="shared" si="14"/>
        <v/>
      </c>
      <c r="C190" s="462" t="str">
        <f t="shared" si="15"/>
        <v/>
      </c>
      <c r="D190" s="446" t="str">
        <f>IF(B190="Jaje kokošje, celo",IF(C190=INT(C190),C190,C190+1),IF(B190=""," ",_xlfn.IFNA(INT(C190*1000/(VLOOKUP($B190,Ingredient_prices!$E:$J,6,FALSE)))+1,"nije nabavljen")))</f>
        <v xml:space="preserve"> </v>
      </c>
      <c r="E190" s="446" t="str">
        <f>IF(C190="","",VLOOKUP($B190,Ingredient_prices!$E:$K,7,FALSE))</f>
        <v/>
      </c>
      <c r="F190" s="462" t="str">
        <f>IF(C190="","",_xlfn.IFNA((VLOOKUP($B190,Ingredient_prices!$E:$P,11,FALSE)*I190),""))</f>
        <v/>
      </c>
      <c r="G190" s="450" t="str">
        <f>IF(C190="","",_xlfn.IFNA(MID(VLOOKUP($B190,Ingredient_prices!$E:$F,2,FALSE),9,2),""))</f>
        <v/>
      </c>
      <c r="H190" s="447" t="str">
        <f>_xlfn.IFNA(VLOOKUP(CONCATENATE($I$8,$G190),Ingredient_prices!$G:$N,8,FALSE),"")</f>
        <v/>
      </c>
      <c r="I190" s="548" t="str">
        <f t="shared" si="18"/>
        <v/>
      </c>
      <c r="J190" s="695" t="str">
        <f>IF(N190="","",MID(Ingredient_prices!F185,9,2))</f>
        <v/>
      </c>
      <c r="K190" s="692" t="str">
        <f t="shared" si="16"/>
        <v/>
      </c>
      <c r="L190" s="692" t="str">
        <f>IF(N190="","",COUNTIF($P$9:$P$255,"&lt;"&amp;P190)+COUNTIF($P$9:P190,P190))</f>
        <v/>
      </c>
      <c r="M190" s="692" t="str">
        <f>IF(Ingredient_prices!E185=M189,"",Ingredient_prices!E185)</f>
        <v>Minced meat beef/pork mixed</v>
      </c>
      <c r="N190" s="693" t="str">
        <f>_xlfn.IFNA(VLOOKUP($M190,Sedmica_2_količina_sva_sastojak!$C:$E,3,FALSE),"")</f>
        <v/>
      </c>
      <c r="O190" s="696" t="str">
        <f>IF(N190="","",COUNTIF($P$9:$P$255,"&lt;"&amp;P190)+COUNTIF($P$9:P190,P190))</f>
        <v/>
      </c>
      <c r="P190" s="694" t="str">
        <f t="shared" si="17"/>
        <v/>
      </c>
    </row>
    <row r="191" spans="1:17">
      <c r="A191" s="470">
        <v>183</v>
      </c>
      <c r="B191" s="451" t="str">
        <f t="shared" si="14"/>
        <v/>
      </c>
      <c r="C191" s="462" t="str">
        <f t="shared" si="15"/>
        <v/>
      </c>
      <c r="D191" s="446" t="str">
        <f>IF(B191="Jaje kokošje, celo",IF(C191=INT(C191),C191,C191+1),IF(B191=""," ",_xlfn.IFNA(INT(C191*1000/(VLOOKUP($B191,Ingredient_prices!$E:$J,6,FALSE)))+1,"nije nabavljen")))</f>
        <v xml:space="preserve"> </v>
      </c>
      <c r="E191" s="446" t="str">
        <f>IF(C191="","",VLOOKUP($B191,Ingredient_prices!$E:$K,7,FALSE))</f>
        <v/>
      </c>
      <c r="F191" s="462" t="str">
        <f>IF(C191="","",_xlfn.IFNA((VLOOKUP($B191,Ingredient_prices!$E:$P,11,FALSE)*I191),""))</f>
        <v/>
      </c>
      <c r="G191" s="450" t="str">
        <f>IF(C191="","",_xlfn.IFNA(MID(VLOOKUP($B191,Ingredient_prices!$E:$F,2,FALSE),9,2),""))</f>
        <v/>
      </c>
      <c r="H191" s="447" t="str">
        <f>_xlfn.IFNA(VLOOKUP(CONCATENATE($I$8,$G191),Ingredient_prices!$G:$N,8,FALSE),"")</f>
        <v/>
      </c>
      <c r="I191" s="548" t="str">
        <f t="shared" si="18"/>
        <v/>
      </c>
      <c r="J191" s="695" t="str">
        <f>IF(N191="","",MID(Ingredient_prices!F186,9,2))</f>
        <v/>
      </c>
      <c r="K191" s="692" t="str">
        <f t="shared" si="16"/>
        <v/>
      </c>
      <c r="L191" s="692" t="str">
        <f>IF(N191="","",COUNTIF($P$9:$P$255,"&lt;"&amp;P191)+COUNTIF($P$9:P191,P191))</f>
        <v/>
      </c>
      <c r="M191" s="692" t="str">
        <f>IF(Ingredient_prices!E186=M190,"",Ingredient_prices!E186)</f>
        <v>Whole milk powder</v>
      </c>
      <c r="N191" s="693" t="str">
        <f>_xlfn.IFNA(VLOOKUP($M191,Sedmica_2_količina_sva_sastojak!$C:$E,3,FALSE),"")</f>
        <v/>
      </c>
      <c r="O191" s="696" t="str">
        <f>IF(N191="","",COUNTIF($P$9:$P$255,"&lt;"&amp;P191)+COUNTIF($P$9:P191,P191))</f>
        <v/>
      </c>
      <c r="P191" s="694" t="str">
        <f t="shared" si="17"/>
        <v/>
      </c>
    </row>
    <row r="192" spans="1:17">
      <c r="A192" s="470">
        <v>184</v>
      </c>
      <c r="B192" s="451" t="str">
        <f t="shared" si="14"/>
        <v/>
      </c>
      <c r="C192" s="462" t="str">
        <f t="shared" si="15"/>
        <v/>
      </c>
      <c r="D192" s="446" t="str">
        <f>IF(B192="Jaje kokošje, celo",IF(C192=INT(C192),C192,C192+1),IF(B192=""," ",_xlfn.IFNA(INT(C192*1000/(VLOOKUP($B192,Ingredient_prices!$E:$J,6,FALSE)))+1,"nije nabavljen")))</f>
        <v xml:space="preserve"> </v>
      </c>
      <c r="E192" s="446" t="str">
        <f>IF(C192="","",VLOOKUP($B192,Ingredient_prices!$E:$K,7,FALSE))</f>
        <v/>
      </c>
      <c r="F192" s="462" t="str">
        <f>IF(C192="","",_xlfn.IFNA((VLOOKUP($B192,Ingredient_prices!$E:$P,11,FALSE)*I192),""))</f>
        <v/>
      </c>
      <c r="G192" s="450" t="str">
        <f>IF(C192="","",_xlfn.IFNA(MID(VLOOKUP($B192,Ingredient_prices!$E:$F,2,FALSE),9,2),""))</f>
        <v/>
      </c>
      <c r="H192" s="447" t="str">
        <f>_xlfn.IFNA(VLOOKUP(CONCATENATE($I$8,$G192),Ingredient_prices!$G:$N,8,FALSE),"")</f>
        <v/>
      </c>
      <c r="I192" s="548" t="str">
        <f t="shared" si="18"/>
        <v/>
      </c>
      <c r="J192" s="695" t="str">
        <f>IF(N192="","",MID(Ingredient_prices!F187,9,2))</f>
        <v/>
      </c>
      <c r="K192" s="692" t="str">
        <f t="shared" si="16"/>
        <v/>
      </c>
      <c r="L192" s="692" t="str">
        <f>IF(N192="","",COUNTIF($P$9:$P$255,"&lt;"&amp;P192)+COUNTIF($P$9:P192,P192))</f>
        <v/>
      </c>
      <c r="M192" s="692" t="str">
        <f>IF(Ingredient_prices!E187=M191,"",Ingredient_prices!E187)</f>
        <v>Parsley leaf, fresh</v>
      </c>
      <c r="N192" s="693" t="str">
        <f>_xlfn.IFNA(VLOOKUP($M192,Sedmica_2_količina_sva_sastojak!$C:$E,3,FALSE),"")</f>
        <v/>
      </c>
      <c r="O192" s="696" t="str">
        <f>IF(N192="","",COUNTIF($P$9:$P$255,"&lt;"&amp;P192)+COUNTIF($P$9:P192,P192))</f>
        <v/>
      </c>
      <c r="P192" s="694" t="str">
        <f t="shared" si="17"/>
        <v/>
      </c>
    </row>
    <row r="193" spans="1:16">
      <c r="A193" s="470">
        <v>185</v>
      </c>
      <c r="B193" s="451" t="str">
        <f t="shared" si="14"/>
        <v/>
      </c>
      <c r="C193" s="462" t="str">
        <f t="shared" si="15"/>
        <v/>
      </c>
      <c r="D193" s="446" t="str">
        <f>IF(B193="Jaje kokošje, celo",IF(C193=INT(C193),C193,C193+1),IF(B193=""," ",_xlfn.IFNA(INT(C193*1000/(VLOOKUP($B193,Ingredient_prices!$E:$J,6,FALSE)))+1,"nije nabavljen")))</f>
        <v xml:space="preserve"> </v>
      </c>
      <c r="E193" s="446" t="str">
        <f>IF(C193="","",VLOOKUP($B193,Ingredient_prices!$E:$K,7,FALSE))</f>
        <v/>
      </c>
      <c r="F193" s="462" t="str">
        <f>IF(C193="","",_xlfn.IFNA((VLOOKUP($B193,Ingredient_prices!$E:$P,11,FALSE)*I193),""))</f>
        <v/>
      </c>
      <c r="G193" s="450" t="str">
        <f>IF(C193="","",_xlfn.IFNA(MID(VLOOKUP($B193,Ingredient_prices!$E:$F,2,FALSE),9,2),""))</f>
        <v/>
      </c>
      <c r="H193" s="447" t="str">
        <f>_xlfn.IFNA(VLOOKUP(CONCATENATE($I$8,$G193),Ingredient_prices!$G:$N,8,FALSE),"")</f>
        <v/>
      </c>
      <c r="I193" s="548" t="str">
        <f t="shared" si="18"/>
        <v/>
      </c>
      <c r="J193" s="695" t="str">
        <f>IF(N193="","",MID(Ingredient_prices!F188,9,2))</f>
        <v/>
      </c>
      <c r="K193" s="692" t="str">
        <f t="shared" si="16"/>
        <v/>
      </c>
      <c r="L193" s="692" t="str">
        <f>IF(N193="","",COUNTIF($P$9:$P$255,"&lt;"&amp;P193)+COUNTIF($P$9:P193,P193))</f>
        <v/>
      </c>
      <c r="M193" s="692" t="str">
        <f>IF(Ingredient_prices!E188=M192,"",Ingredient_prices!E188)</f>
        <v>Beetroot fresh</v>
      </c>
      <c r="N193" s="693" t="str">
        <f>_xlfn.IFNA(VLOOKUP($M193,Sedmica_2_količina_sva_sastojak!$C:$E,3,FALSE),"")</f>
        <v/>
      </c>
      <c r="O193" s="696" t="str">
        <f>IF(N193="","",COUNTIF($P$9:$P$255,"&lt;"&amp;P193)+COUNTIF($P$9:P193,P193))</f>
        <v/>
      </c>
      <c r="P193" s="694" t="str">
        <f t="shared" si="17"/>
        <v/>
      </c>
    </row>
    <row r="194" spans="1:16">
      <c r="A194" s="470">
        <v>186</v>
      </c>
      <c r="B194" s="451" t="str">
        <f t="shared" si="14"/>
        <v/>
      </c>
      <c r="C194" s="462" t="str">
        <f t="shared" si="15"/>
        <v/>
      </c>
      <c r="D194" s="446" t="str">
        <f>IF(B194="Jaje kokošje, celo",IF(C194=INT(C194),C194,C194+1),IF(B194=""," ",_xlfn.IFNA(INT(C194*1000/(VLOOKUP($B194,Ingredient_prices!$E:$J,6,FALSE)))+1,"nije nabavljen")))</f>
        <v xml:space="preserve"> </v>
      </c>
      <c r="E194" s="446" t="str">
        <f>IF(C194="","",VLOOKUP($B194,Ingredient_prices!$E:$K,7,FALSE))</f>
        <v/>
      </c>
      <c r="F194" s="462" t="str">
        <f>IF(C194="","",_xlfn.IFNA((VLOOKUP($B194,Ingredient_prices!$E:$P,11,FALSE)*I194),""))</f>
        <v/>
      </c>
      <c r="G194" s="450" t="str">
        <f>IF(C194="","",_xlfn.IFNA(MID(VLOOKUP($B194,Ingredient_prices!$E:$F,2,FALSE),9,2),""))</f>
        <v/>
      </c>
      <c r="H194" s="447" t="str">
        <f>_xlfn.IFNA(VLOOKUP(CONCATENATE($I$8,$G194),Ingredient_prices!$G:$N,8,FALSE),"")</f>
        <v/>
      </c>
      <c r="I194" s="548" t="str">
        <f t="shared" si="18"/>
        <v/>
      </c>
      <c r="J194" s="695" t="str">
        <f>IF(N194="","",MID(Ingredient_prices!F189,9,2))</f>
        <v/>
      </c>
      <c r="K194" s="692" t="str">
        <f t="shared" si="16"/>
        <v/>
      </c>
      <c r="L194" s="692" t="str">
        <f>IF(N194="","",COUNTIF($P$9:$P$255,"&lt;"&amp;P194)+COUNTIF($P$9:P194,P194))</f>
        <v/>
      </c>
      <c r="M194" s="692" t="str">
        <f>IF(Ingredient_prices!E189=M193,"",Ingredient_prices!E189)</f>
        <v>Hake breaded (fillets)</v>
      </c>
      <c r="N194" s="693" t="str">
        <f>_xlfn.IFNA(VLOOKUP($M194,Sedmica_2_količina_sva_sastojak!$C:$E,3,FALSE),"")</f>
        <v/>
      </c>
      <c r="O194" s="696" t="str">
        <f>IF(N194="","",COUNTIF($P$9:$P$255,"&lt;"&amp;P194)+COUNTIF($P$9:P194,P194))</f>
        <v/>
      </c>
      <c r="P194" s="694" t="str">
        <f t="shared" si="17"/>
        <v/>
      </c>
    </row>
    <row r="195" spans="1:16">
      <c r="A195" s="470">
        <v>187</v>
      </c>
      <c r="B195" s="451" t="str">
        <f t="shared" si="14"/>
        <v/>
      </c>
      <c r="C195" s="462" t="str">
        <f t="shared" si="15"/>
        <v/>
      </c>
      <c r="D195" s="446" t="str">
        <f>IF(B195="Jaje kokošje, celo",IF(C195=INT(C195),C195,C195+1),IF(B195=""," ",_xlfn.IFNA(INT(C195*1000/(VLOOKUP($B195,Ingredient_prices!$E:$J,6,FALSE)))+1,"nije nabavljen")))</f>
        <v xml:space="preserve"> </v>
      </c>
      <c r="E195" s="446" t="str">
        <f>IF(C195="","",VLOOKUP($B195,Ingredient_prices!$E:$K,7,FALSE))</f>
        <v/>
      </c>
      <c r="F195" s="462" t="str">
        <f>IF(C195="","",_xlfn.IFNA((VLOOKUP($B195,Ingredient_prices!$E:$P,11,FALSE)*I195),""))</f>
        <v/>
      </c>
      <c r="G195" s="450" t="str">
        <f>IF(C195="","",_xlfn.IFNA(MID(VLOOKUP($B195,Ingredient_prices!$E:$F,2,FALSE),9,2),""))</f>
        <v/>
      </c>
      <c r="H195" s="447" t="str">
        <f>_xlfn.IFNA(VLOOKUP(CONCATENATE($I$8,$G195),Ingredient_prices!$G:$N,8,FALSE),"")</f>
        <v/>
      </c>
      <c r="I195" s="548" t="str">
        <f t="shared" si="18"/>
        <v/>
      </c>
      <c r="J195" s="695" t="str">
        <f>IF(N195="","",MID(Ingredient_prices!F190,9,2))</f>
        <v/>
      </c>
      <c r="K195" s="692" t="str">
        <f t="shared" si="16"/>
        <v/>
      </c>
      <c r="L195" s="692" t="str">
        <f>IF(N195="","",COUNTIF($P$9:$P$255,"&lt;"&amp;P195)+COUNTIF($P$9:P195,P195))</f>
        <v/>
      </c>
      <c r="M195" s="692" t="str">
        <f>IF(Ingredient_prices!E190=M194,"",Ingredient_prices!E190)</f>
        <v>Whey powder</v>
      </c>
      <c r="N195" s="693" t="str">
        <f>_xlfn.IFNA(VLOOKUP($M195,Sedmica_2_količina_sva_sastojak!$C:$E,3,FALSE),"")</f>
        <v/>
      </c>
      <c r="O195" s="696" t="str">
        <f>IF(N195="","",COUNTIF($P$9:$P$255,"&lt;"&amp;P195)+COUNTIF($P$9:P195,P195))</f>
        <v/>
      </c>
      <c r="P195" s="694" t="str">
        <f t="shared" si="17"/>
        <v/>
      </c>
    </row>
    <row r="196" spans="1:16">
      <c r="A196" s="470">
        <v>188</v>
      </c>
      <c r="B196" s="451" t="str">
        <f t="shared" si="14"/>
        <v/>
      </c>
      <c r="C196" s="462" t="str">
        <f t="shared" si="15"/>
        <v/>
      </c>
      <c r="D196" s="446" t="str">
        <f>IF(B196="Jaje kokošje, celo",IF(C196=INT(C196),C196,C196+1),IF(B196=""," ",_xlfn.IFNA(INT(C196*1000/(VLOOKUP($B196,Ingredient_prices!$E:$J,6,FALSE)))+1,"nije nabavljen")))</f>
        <v xml:space="preserve"> </v>
      </c>
      <c r="E196" s="446" t="str">
        <f>IF(C196="","",VLOOKUP($B196,Ingredient_prices!$E:$K,7,FALSE))</f>
        <v/>
      </c>
      <c r="F196" s="462" t="str">
        <f>IF(C196="","",_xlfn.IFNA((VLOOKUP($B196,Ingredient_prices!$E:$P,11,FALSE)*I196),""))</f>
        <v/>
      </c>
      <c r="G196" s="450" t="str">
        <f>IF(C196="","",_xlfn.IFNA(MID(VLOOKUP($B196,Ingredient_prices!$E:$F,2,FALSE),9,2),""))</f>
        <v/>
      </c>
      <c r="H196" s="447" t="str">
        <f>_xlfn.IFNA(VLOOKUP(CONCATENATE($I$8,$G196),Ingredient_prices!$G:$N,8,FALSE),"")</f>
        <v/>
      </c>
      <c r="I196" s="548" t="str">
        <f t="shared" si="18"/>
        <v/>
      </c>
      <c r="J196" s="695" t="str">
        <f>IF(N196="","",MID(Ingredient_prices!F191,9,2))</f>
        <v/>
      </c>
      <c r="K196" s="692" t="str">
        <f t="shared" si="16"/>
        <v/>
      </c>
      <c r="L196" s="692" t="str">
        <f>IF(N196="","",COUNTIF($P$9:$P$255,"&lt;"&amp;P196)+COUNTIF($P$9:P196,P196))</f>
        <v/>
      </c>
      <c r="M196" s="692" t="str">
        <f>IF(Ingredient_prices!E191=M195,"",Ingredient_prices!E191)</f>
        <v>Mixed salad, canned</v>
      </c>
      <c r="N196" s="693" t="str">
        <f>_xlfn.IFNA(VLOOKUP($M196,Sedmica_2_količina_sva_sastojak!$C:$E,3,FALSE),"")</f>
        <v/>
      </c>
      <c r="O196" s="696" t="str">
        <f>IF(N196="","",COUNTIF($P$9:$P$255,"&lt;"&amp;P196)+COUNTIF($P$9:P196,P196))</f>
        <v/>
      </c>
      <c r="P196" s="694" t="str">
        <f t="shared" si="17"/>
        <v/>
      </c>
    </row>
    <row r="197" spans="1:16">
      <c r="A197" s="470">
        <v>189</v>
      </c>
      <c r="B197" s="451" t="str">
        <f t="shared" si="14"/>
        <v/>
      </c>
      <c r="C197" s="462" t="str">
        <f t="shared" si="15"/>
        <v/>
      </c>
      <c r="D197" s="446" t="str">
        <f>IF(B197="Jaje kokošje, celo",IF(C197=INT(C197),C197,C197+1),IF(B197=""," ",_xlfn.IFNA(INT(C197*1000/(VLOOKUP($B197,Ingredient_prices!$E:$J,6,FALSE)))+1,"nije nabavljen")))</f>
        <v xml:space="preserve"> </v>
      </c>
      <c r="E197" s="446" t="str">
        <f>IF(C197="","",VLOOKUP($B197,Ingredient_prices!$E:$K,7,FALSE))</f>
        <v/>
      </c>
      <c r="F197" s="462" t="str">
        <f>IF(C197="","",_xlfn.IFNA((VLOOKUP($B197,Ingredient_prices!$E:$P,11,FALSE)*I197),""))</f>
        <v/>
      </c>
      <c r="G197" s="450" t="str">
        <f>IF(C197="","",_xlfn.IFNA(MID(VLOOKUP($B197,Ingredient_prices!$E:$F,2,FALSE),9,2),""))</f>
        <v/>
      </c>
      <c r="H197" s="447" t="str">
        <f>_xlfn.IFNA(VLOOKUP(CONCATENATE($I$8,$G197),Ingredient_prices!$G:$N,8,FALSE),"")</f>
        <v/>
      </c>
      <c r="I197" s="548" t="str">
        <f t="shared" si="18"/>
        <v/>
      </c>
      <c r="J197" s="695" t="str">
        <f>IF(N197="","",MID(Ingredient_prices!F192,9,2))</f>
        <v/>
      </c>
      <c r="K197" s="692" t="str">
        <f t="shared" si="16"/>
        <v/>
      </c>
      <c r="L197" s="692" t="str">
        <f>IF(N197="","",COUNTIF($P$9:$P$255,"&lt;"&amp;P197)+COUNTIF($P$9:P197,P197))</f>
        <v/>
      </c>
      <c r="M197" s="692" t="str">
        <f>IF(Ingredient_prices!E192=M196,"",Ingredient_prices!E192)</f>
        <v>Oats</v>
      </c>
      <c r="N197" s="693" t="str">
        <f>_xlfn.IFNA(VLOOKUP($M197,Sedmica_2_količina_sva_sastojak!$C:$E,3,FALSE),"")</f>
        <v/>
      </c>
      <c r="O197" s="696" t="str">
        <f>IF(N197="","",COUNTIF($P$9:$P$255,"&lt;"&amp;P197)+COUNTIF($P$9:P197,P197))</f>
        <v/>
      </c>
      <c r="P197" s="694" t="str">
        <f t="shared" si="17"/>
        <v/>
      </c>
    </row>
    <row r="198" spans="1:16">
      <c r="A198" s="470">
        <v>190</v>
      </c>
      <c r="B198" s="451" t="str">
        <f t="shared" si="14"/>
        <v/>
      </c>
      <c r="C198" s="462" t="str">
        <f t="shared" si="15"/>
        <v/>
      </c>
      <c r="D198" s="446" t="str">
        <f>IF(B198="Jaje kokošje, celo",IF(C198=INT(C198),C198,C198+1),IF(B198=""," ",_xlfn.IFNA(INT(C198*1000/(VLOOKUP($B198,Ingredient_prices!$E:$J,6,FALSE)))+1,"nije nabavljen")))</f>
        <v xml:space="preserve"> </v>
      </c>
      <c r="E198" s="446" t="str">
        <f>IF(C198="","",VLOOKUP($B198,Ingredient_prices!$E:$K,7,FALSE))</f>
        <v/>
      </c>
      <c r="F198" s="462" t="str">
        <f>IF(C198="","",_xlfn.IFNA((VLOOKUP($B198,Ingredient_prices!$E:$P,11,FALSE)*I198),""))</f>
        <v/>
      </c>
      <c r="G198" s="450" t="str">
        <f>IF(C198="","",_xlfn.IFNA(MID(VLOOKUP($B198,Ingredient_prices!$E:$F,2,FALSE),9,2),""))</f>
        <v/>
      </c>
      <c r="H198" s="447" t="str">
        <f>_xlfn.IFNA(VLOOKUP(CONCATENATE($I$8,$G198),Ingredient_prices!$G:$N,8,FALSE),"")</f>
        <v/>
      </c>
      <c r="I198" s="548" t="str">
        <f t="shared" si="18"/>
        <v/>
      </c>
      <c r="J198" s="695" t="str">
        <f>IF(N198="","",MID(Ingredient_prices!F193,9,2))</f>
        <v/>
      </c>
      <c r="K198" s="692" t="str">
        <f t="shared" si="16"/>
        <v/>
      </c>
      <c r="L198" s="692" t="str">
        <f>IF(N198="","",COUNTIF($P$9:$P$255,"&lt;"&amp;P198)+COUNTIF($P$9:P198,P198))</f>
        <v/>
      </c>
      <c r="M198" s="692" t="str">
        <f>IF(Ingredient_prices!E193=M197,"",Ingredient_prices!E193)</f>
        <v>Instant mashed potatoes</v>
      </c>
      <c r="N198" s="693" t="str">
        <f>_xlfn.IFNA(VLOOKUP($M198,Sedmica_2_količina_sva_sastojak!$C:$E,3,FALSE),"")</f>
        <v/>
      </c>
      <c r="O198" s="696" t="str">
        <f>IF(N198="","",COUNTIF($P$9:$P$255,"&lt;"&amp;P198)+COUNTIF($P$9:P198,P198))</f>
        <v/>
      </c>
      <c r="P198" s="694" t="str">
        <f t="shared" si="17"/>
        <v/>
      </c>
    </row>
    <row r="199" spans="1:16">
      <c r="A199" s="470">
        <v>191</v>
      </c>
      <c r="B199" s="451" t="str">
        <f t="shared" si="14"/>
        <v/>
      </c>
      <c r="C199" s="462" t="str">
        <f t="shared" si="15"/>
        <v/>
      </c>
      <c r="D199" s="446" t="str">
        <f>IF(B199="Jaje kokošje, celo",IF(C199=INT(C199),C199,C199+1),IF(B199=""," ",_xlfn.IFNA(INT(C199*1000/(VLOOKUP($B199,Ingredient_prices!$E:$J,6,FALSE)))+1,"nije nabavljen")))</f>
        <v xml:space="preserve"> </v>
      </c>
      <c r="E199" s="446" t="str">
        <f>IF(C199="","",VLOOKUP($B199,Ingredient_prices!$E:$K,7,FALSE))</f>
        <v/>
      </c>
      <c r="F199" s="462" t="str">
        <f>IF(C199="","",_xlfn.IFNA((VLOOKUP($B199,Ingredient_prices!$E:$P,11,FALSE)*I199),""))</f>
        <v/>
      </c>
      <c r="G199" s="450" t="str">
        <f>IF(C199="","",_xlfn.IFNA(MID(VLOOKUP($B199,Ingredient_prices!$E:$F,2,FALSE),9,2),""))</f>
        <v/>
      </c>
      <c r="H199" s="447" t="str">
        <f>_xlfn.IFNA(VLOOKUP(CONCATENATE($I$8,$G199),Ingredient_prices!$G:$N,8,FALSE),"")</f>
        <v/>
      </c>
      <c r="I199" s="548" t="str">
        <f t="shared" si="18"/>
        <v/>
      </c>
      <c r="J199" s="695" t="str">
        <f>IF(N199="","",MID(Ingredient_prices!F194,9,2))</f>
        <v/>
      </c>
      <c r="K199" s="692" t="str">
        <f t="shared" si="16"/>
        <v/>
      </c>
      <c r="L199" s="692" t="str">
        <f>IF(N199="","",COUNTIF($P$9:$P$255,"&lt;"&amp;P199)+COUNTIF($P$9:P199,P199))</f>
        <v/>
      </c>
      <c r="M199" s="692" t="str">
        <f>IF(Ingredient_prices!E194=M198,"",Ingredient_prices!E194)</f>
        <v>Wheat flour wholemeal</v>
      </c>
      <c r="N199" s="693" t="str">
        <f>_xlfn.IFNA(VLOOKUP($M199,Sedmica_2_količina_sva_sastojak!$C:$E,3,FALSE),"")</f>
        <v/>
      </c>
      <c r="O199" s="696" t="str">
        <f>IF(N199="","",COUNTIF($P$9:$P$255,"&lt;"&amp;P199)+COUNTIF($P$9:P199,P199))</f>
        <v/>
      </c>
      <c r="P199" s="694" t="str">
        <f t="shared" si="17"/>
        <v/>
      </c>
    </row>
    <row r="200" spans="1:16">
      <c r="A200" s="470">
        <v>192</v>
      </c>
      <c r="B200" s="451" t="str">
        <f t="shared" si="14"/>
        <v/>
      </c>
      <c r="C200" s="462" t="str">
        <f t="shared" si="15"/>
        <v/>
      </c>
      <c r="D200" s="446" t="str">
        <f>IF(B200="Jaje kokošje, celo",IF(C200=INT(C200),C200,C200+1),IF(B200=""," ",_xlfn.IFNA(INT(C200*1000/(VLOOKUP($B200,Ingredient_prices!$E:$J,6,FALSE)))+1,"nije nabavljen")))</f>
        <v xml:space="preserve"> </v>
      </c>
      <c r="E200" s="446" t="str">
        <f>IF(C200="","",VLOOKUP($B200,Ingredient_prices!$E:$K,7,FALSE))</f>
        <v/>
      </c>
      <c r="F200" s="462" t="str">
        <f>IF(C200="","",_xlfn.IFNA((VLOOKUP($B200,Ingredient_prices!$E:$P,11,FALSE)*I200),""))</f>
        <v/>
      </c>
      <c r="G200" s="450" t="str">
        <f>IF(C200="","",_xlfn.IFNA(MID(VLOOKUP($B200,Ingredient_prices!$E:$F,2,FALSE),9,2),""))</f>
        <v/>
      </c>
      <c r="H200" s="447" t="str">
        <f>_xlfn.IFNA(VLOOKUP(CONCATENATE($I$8,$G200),Ingredient_prices!$G:$N,8,FALSE),"")</f>
        <v/>
      </c>
      <c r="I200" s="548" t="str">
        <f t="shared" si="18"/>
        <v/>
      </c>
      <c r="J200" s="695" t="str">
        <f>IF(N200="","",MID(Ingredient_prices!F195,9,2))</f>
        <v/>
      </c>
      <c r="K200" s="692" t="str">
        <f t="shared" si="16"/>
        <v/>
      </c>
      <c r="L200" s="692" t="str">
        <f>IF(N200="","",COUNTIF($P$9:$P$255,"&lt;"&amp;P200)+COUNTIF($P$9:P200,P200))</f>
        <v/>
      </c>
      <c r="M200" s="692" t="str">
        <f>IF(Ingredient_prices!E195=M199,"",Ingredient_prices!E195)</f>
        <v>Peppers red, sweet</v>
      </c>
      <c r="N200" s="693" t="str">
        <f>_xlfn.IFNA(VLOOKUP($M200,Sedmica_2_količina_sva_sastojak!$C:$E,3,FALSE),"")</f>
        <v/>
      </c>
      <c r="O200" s="696" t="str">
        <f>IF(N200="","",COUNTIF($P$9:$P$255,"&lt;"&amp;P200)+COUNTIF($P$9:P200,P200))</f>
        <v/>
      </c>
      <c r="P200" s="694" t="str">
        <f t="shared" si="17"/>
        <v/>
      </c>
    </row>
    <row r="201" spans="1:16">
      <c r="A201" s="470">
        <v>193</v>
      </c>
      <c r="B201" s="451" t="str">
        <f t="shared" ref="B201:B255" si="19">_xlfn.IFNA(VLOOKUP($A201,$L:$N,2,FALSE),"")</f>
        <v/>
      </c>
      <c r="C201" s="462" t="str">
        <f t="shared" ref="C201:C255" si="20">_xlfn.IFNA(VLOOKUP($A201,$L:$N,3,FALSE)-0.0001,"")</f>
        <v/>
      </c>
      <c r="D201" s="446" t="str">
        <f>IF(B201="Jaje kokošje, celo",IF(C201=INT(C201),C201,C201+1),IF(B201=""," ",_xlfn.IFNA(INT(C201*1000/(VLOOKUP($B201,Ingredient_prices!$E:$J,6,FALSE)))+1,"nije nabavljen")))</f>
        <v xml:space="preserve"> </v>
      </c>
      <c r="E201" s="446" t="str">
        <f>IF(C201="","",VLOOKUP($B201,Ingredient_prices!$E:$K,7,FALSE))</f>
        <v/>
      </c>
      <c r="F201" s="462" t="str">
        <f>IF(C201="","",_xlfn.IFNA((VLOOKUP($B201,Ingredient_prices!$E:$P,11,FALSE)*I201),""))</f>
        <v/>
      </c>
      <c r="G201" s="450" t="str">
        <f>IF(C201="","",_xlfn.IFNA(MID(VLOOKUP($B201,Ingredient_prices!$E:$F,2,FALSE),9,2),""))</f>
        <v/>
      </c>
      <c r="H201" s="447" t="str">
        <f>_xlfn.IFNA(VLOOKUP(CONCATENATE($I$8,$G201),Ingredient_prices!$G:$N,8,FALSE),"")</f>
        <v/>
      </c>
      <c r="I201" s="548" t="str">
        <f t="shared" si="18"/>
        <v/>
      </c>
      <c r="J201" s="695" t="str">
        <f>IF(N201="","",MID(Ingredient_prices!F196,9,2))</f>
        <v/>
      </c>
      <c r="K201" s="692" t="str">
        <f t="shared" si="16"/>
        <v/>
      </c>
      <c r="L201" s="692" t="str">
        <f>IF(N201="","",COUNTIF($P$9:$P$255,"&lt;"&amp;P201)+COUNTIF($P$9:P201,P201))</f>
        <v/>
      </c>
      <c r="M201" s="692" t="str">
        <f>IF(Ingredient_prices!E196=M200,"",Ingredient_prices!E196)</f>
        <v>Peppers pickled</v>
      </c>
      <c r="N201" s="693" t="str">
        <f>_xlfn.IFNA(VLOOKUP($M201,Sedmica_2_količina_sva_sastojak!$C:$E,3,FALSE),"")</f>
        <v/>
      </c>
      <c r="O201" s="696" t="str">
        <f>IF(N201="","",COUNTIF($P$9:$P$255,"&lt;"&amp;P201)+COUNTIF($P$9:P201,P201))</f>
        <v/>
      </c>
      <c r="P201" s="694" t="str">
        <f t="shared" si="17"/>
        <v/>
      </c>
    </row>
    <row r="202" spans="1:16">
      <c r="A202" s="470">
        <v>194</v>
      </c>
      <c r="B202" s="451" t="str">
        <f t="shared" si="19"/>
        <v/>
      </c>
      <c r="C202" s="462" t="str">
        <f t="shared" si="20"/>
        <v/>
      </c>
      <c r="D202" s="446" t="str">
        <f>IF(B202="Jaje kokošje, celo",IF(C202=INT(C202),C202,C202+1),IF(B202=""," ",_xlfn.IFNA(INT(C202*1000/(VLOOKUP($B202,Ingredient_prices!$E:$J,6,FALSE)))+1,"nije nabavljen")))</f>
        <v xml:space="preserve"> </v>
      </c>
      <c r="E202" s="446" t="str">
        <f>IF(C202="","",VLOOKUP($B202,Ingredient_prices!$E:$K,7,FALSE))</f>
        <v/>
      </c>
      <c r="F202" s="462" t="str">
        <f>IF(C202="","",_xlfn.IFNA((VLOOKUP($B202,Ingredient_prices!$E:$P,11,FALSE)*I202),""))</f>
        <v/>
      </c>
      <c r="G202" s="450" t="str">
        <f>IF(C202="","",_xlfn.IFNA(MID(VLOOKUP($B202,Ingredient_prices!$E:$F,2,FALSE),9,2),""))</f>
        <v/>
      </c>
      <c r="H202" s="447" t="str">
        <f>_xlfn.IFNA(VLOOKUP(CONCATENATE($I$8,$G202),Ingredient_prices!$G:$N,8,FALSE),"")</f>
        <v/>
      </c>
      <c r="I202" s="548" t="str">
        <f t="shared" si="18"/>
        <v/>
      </c>
      <c r="J202" s="695" t="str">
        <f>IF(N202="","",MID(Ingredient_prices!F197,9,2))</f>
        <v/>
      </c>
      <c r="K202" s="692" t="str">
        <f t="shared" si="16"/>
        <v/>
      </c>
      <c r="L202" s="692" t="str">
        <f>IF(N202="","",COUNTIF($P$9:$P$255,"&lt;"&amp;P202)+COUNTIF($P$9:P202,P202))</f>
        <v/>
      </c>
      <c r="M202" s="692" t="str">
        <f>IF(Ingredient_prices!E197=M201,"",Ingredient_prices!E197)</f>
        <v>Mixed salad pickled</v>
      </c>
      <c r="N202" s="693" t="str">
        <f>_xlfn.IFNA(VLOOKUP($M202,Sedmica_2_količina_sva_sastojak!$C:$E,3,FALSE),"")</f>
        <v/>
      </c>
      <c r="O202" s="696" t="str">
        <f>IF(N202="","",COUNTIF($P$9:$P$255,"&lt;"&amp;P202)+COUNTIF($P$9:P202,P202))</f>
        <v/>
      </c>
      <c r="P202" s="694" t="str">
        <f t="shared" si="17"/>
        <v/>
      </c>
    </row>
    <row r="203" spans="1:16">
      <c r="A203" s="470">
        <v>195</v>
      </c>
      <c r="B203" s="451" t="str">
        <f t="shared" si="19"/>
        <v/>
      </c>
      <c r="C203" s="462" t="str">
        <f t="shared" si="20"/>
        <v/>
      </c>
      <c r="D203" s="446" t="str">
        <f>IF(B203="Jaje kokošje, celo",IF(C203=INT(C203),C203,C203+1),IF(B203=""," ",_xlfn.IFNA(INT(C203*1000/(VLOOKUP($B203,Ingredient_prices!$E:$J,6,FALSE)))+1,"nije nabavljen")))</f>
        <v xml:space="preserve"> </v>
      </c>
      <c r="E203" s="446" t="str">
        <f>IF(C203="","",VLOOKUP($B203,Ingredient_prices!$E:$K,7,FALSE))</f>
        <v/>
      </c>
      <c r="F203" s="462" t="str">
        <f>IF(C203="","",_xlfn.IFNA((VLOOKUP($B203,Ingredient_prices!$E:$P,11,FALSE)*I203),""))</f>
        <v/>
      </c>
      <c r="G203" s="450" t="str">
        <f>IF(C203="","",_xlfn.IFNA(MID(VLOOKUP($B203,Ingredient_prices!$E:$F,2,FALSE),9,2),""))</f>
        <v/>
      </c>
      <c r="H203" s="447" t="str">
        <f>_xlfn.IFNA(VLOOKUP(CONCATENATE($I$8,$G203),Ingredient_prices!$G:$N,8,FALSE),"")</f>
        <v/>
      </c>
      <c r="I203" s="548" t="str">
        <f t="shared" si="18"/>
        <v/>
      </c>
      <c r="J203" s="695" t="str">
        <f>IF(N203="","",MID(Ingredient_prices!F198,9,2))</f>
        <v/>
      </c>
      <c r="K203" s="692" t="str">
        <f t="shared" si="16"/>
        <v/>
      </c>
      <c r="L203" s="692" t="str">
        <f>IF(N203="","",COUNTIF($P$9:$P$255,"&lt;"&amp;P203)+COUNTIF($P$9:P203,P203))</f>
        <v/>
      </c>
      <c r="M203" s="692" t="str">
        <f>IF(Ingredient_prices!E198=M202,"",Ingredient_prices!E198)</f>
        <v>Olives pasteurized</v>
      </c>
      <c r="N203" s="693" t="str">
        <f>_xlfn.IFNA(VLOOKUP($M203,Sedmica_2_količina_sva_sastojak!$C:$E,3,FALSE),"")</f>
        <v/>
      </c>
      <c r="O203" s="696" t="str">
        <f>IF(N203="","",COUNTIF($P$9:$P$255,"&lt;"&amp;P203)+COUNTIF($P$9:P203,P203))</f>
        <v/>
      </c>
      <c r="P203" s="694" t="str">
        <f t="shared" si="17"/>
        <v/>
      </c>
    </row>
    <row r="204" spans="1:16">
      <c r="A204" s="470">
        <v>196</v>
      </c>
      <c r="B204" s="451" t="str">
        <f t="shared" si="19"/>
        <v/>
      </c>
      <c r="C204" s="462" t="str">
        <f t="shared" si="20"/>
        <v/>
      </c>
      <c r="D204" s="446" t="str">
        <f>IF(B204="Jaje kokošje, celo",IF(C204=INT(C204),C204,C204+1),IF(B204=""," ",_xlfn.IFNA(INT(C204*1000/(VLOOKUP($B204,Ingredient_prices!$E:$J,6,FALSE)))+1,"nije nabavljen")))</f>
        <v xml:space="preserve"> </v>
      </c>
      <c r="E204" s="446" t="str">
        <f>IF(C204="","",VLOOKUP($B204,Ingredient_prices!$E:$K,7,FALSE))</f>
        <v/>
      </c>
      <c r="F204" s="462" t="str">
        <f>IF(C204="","",_xlfn.IFNA((VLOOKUP($B204,Ingredient_prices!$E:$P,11,FALSE)*I204),""))</f>
        <v/>
      </c>
      <c r="G204" s="450" t="str">
        <f>IF(C204="","",_xlfn.IFNA(MID(VLOOKUP($B204,Ingredient_prices!$E:$F,2,FALSE),9,2),""))</f>
        <v/>
      </c>
      <c r="H204" s="447" t="str">
        <f>_xlfn.IFNA(VLOOKUP(CONCATENATE($I$8,$G204),Ingredient_prices!$G:$N,8,FALSE),"")</f>
        <v/>
      </c>
      <c r="I204" s="548" t="str">
        <f t="shared" si="18"/>
        <v/>
      </c>
      <c r="J204" s="695" t="str">
        <f>IF(N204="","",MID(Ingredient_prices!F199,9,2))</f>
        <v>2</v>
      </c>
      <c r="K204" s="692">
        <f t="shared" si="16"/>
        <v>9</v>
      </c>
      <c r="L204" s="692">
        <f>IF(N204="","",COUNTIF($P$9:$P$255,"&lt;"&amp;P204)+COUNTIF($P$9:P204,P204))</f>
        <v>14</v>
      </c>
      <c r="M204" s="692" t="str">
        <f>IF(Ingredient_prices!E199=M203,"",Ingredient_prices!E199)</f>
        <v>Pasta macaroni</v>
      </c>
      <c r="N204" s="693">
        <f>_xlfn.IFNA(VLOOKUP($M204,Sedmica_2_količina_sva_sastojak!$C:$E,3,FALSE),"")</f>
        <v>13.2</v>
      </c>
      <c r="O204" s="696">
        <f>IF(N204="","",COUNTIF($P$9:$P$255,"&lt;"&amp;P204)+COUNTIF($P$9:P204,P204))</f>
        <v>14</v>
      </c>
      <c r="P204" s="694">
        <f t="shared" si="17"/>
        <v>29</v>
      </c>
    </row>
    <row r="205" spans="1:16">
      <c r="A205" s="470">
        <v>197</v>
      </c>
      <c r="B205" s="451" t="str">
        <f t="shared" si="19"/>
        <v/>
      </c>
      <c r="C205" s="462" t="str">
        <f t="shared" si="20"/>
        <v/>
      </c>
      <c r="D205" s="446" t="str">
        <f>IF(B205="Jaje kokošje, celo",IF(C205=INT(C205),C205,C205+1),IF(B205=""," ",_xlfn.IFNA(INT(C205*1000/(VLOOKUP($B205,Ingredient_prices!$E:$J,6,FALSE)))+1,"nije nabavljen")))</f>
        <v xml:space="preserve"> </v>
      </c>
      <c r="E205" s="446" t="str">
        <f>IF(C205="","",VLOOKUP($B205,Ingredient_prices!$E:$K,7,FALSE))</f>
        <v/>
      </c>
      <c r="F205" s="462" t="str">
        <f>IF(C205="","",_xlfn.IFNA((VLOOKUP($B205,Ingredient_prices!$E:$P,11,FALSE)*I205),""))</f>
        <v/>
      </c>
      <c r="G205" s="450" t="str">
        <f>IF(C205="","",_xlfn.IFNA(MID(VLOOKUP($B205,Ingredient_prices!$E:$F,2,FALSE),9,2),""))</f>
        <v/>
      </c>
      <c r="H205" s="447" t="str">
        <f>_xlfn.IFNA(VLOOKUP(CONCATENATE($I$8,$G205),Ingredient_prices!$G:$N,8,FALSE),"")</f>
        <v/>
      </c>
      <c r="I205" s="548" t="str">
        <f t="shared" si="18"/>
        <v/>
      </c>
      <c r="J205" s="695" t="str">
        <f>IF(N205="","",MID(Ingredient_prices!F200,9,2))</f>
        <v/>
      </c>
      <c r="K205" s="692" t="str">
        <f t="shared" ref="K205:K250" si="21">IF(N205="","",COUNTIFS(J$9:J$255,J205,N$9:N$255,"&gt;"&amp;N205)+1)</f>
        <v/>
      </c>
      <c r="L205" s="692" t="str">
        <f>IF(N205="","",COUNTIF($P$9:$P$255,"&lt;"&amp;P205)+COUNTIF($P$9:P205,P205))</f>
        <v/>
      </c>
      <c r="M205" s="692" t="str">
        <f>IF(Ingredient_prices!E200=M204,"",Ingredient_prices!E200)</f>
        <v>Swiss chard fresh</v>
      </c>
      <c r="N205" s="693" t="str">
        <f>_xlfn.IFNA(VLOOKUP($M205,Sedmica_2_količina_sva_sastojak!$C:$E,3,FALSE),"")</f>
        <v/>
      </c>
      <c r="O205" s="696" t="str">
        <f>IF(N205="","",COUNTIF($P$9:$P$255,"&lt;"&amp;P205)+COUNTIF($P$9:P205,P205))</f>
        <v/>
      </c>
      <c r="P205" s="694" t="str">
        <f t="shared" ref="P205:P250" si="22">IF(K205="","",VALUE(CONCATENATE(J205,K205)))</f>
        <v/>
      </c>
    </row>
    <row r="206" spans="1:16">
      <c r="A206" s="470">
        <v>198</v>
      </c>
      <c r="B206" s="451" t="str">
        <f t="shared" si="19"/>
        <v/>
      </c>
      <c r="C206" s="462" t="str">
        <f t="shared" si="20"/>
        <v/>
      </c>
      <c r="D206" s="446" t="str">
        <f>IF(B206="Jaje kokošje, celo",IF(C206=INT(C206),C206,C206+1),IF(B206=""," ",_xlfn.IFNA(INT(C206*1000/(VLOOKUP($B206,Ingredient_prices!$E:$J,6,FALSE)))+1,"nije nabavljen")))</f>
        <v xml:space="preserve"> </v>
      </c>
      <c r="E206" s="446" t="str">
        <f>IF(C206="","",VLOOKUP($B206,Ingredient_prices!$E:$K,7,FALSE))</f>
        <v/>
      </c>
      <c r="F206" s="462" t="str">
        <f>IF(C206="","",_xlfn.IFNA((VLOOKUP($B206,Ingredient_prices!$E:$P,11,FALSE)*I206),""))</f>
        <v/>
      </c>
      <c r="G206" s="450" t="str">
        <f>IF(C206="","",_xlfn.IFNA(MID(VLOOKUP($B206,Ingredient_prices!$E:$F,2,FALSE),9,2),""))</f>
        <v/>
      </c>
      <c r="H206" s="447" t="str">
        <f>_xlfn.IFNA(VLOOKUP(CONCATENATE($I$8,$G206),Ingredient_prices!$G:$N,8,FALSE),"")</f>
        <v/>
      </c>
      <c r="I206" s="548" t="str">
        <f t="shared" si="18"/>
        <v/>
      </c>
      <c r="J206" s="695" t="str">
        <f>IF(N206="","",MID(Ingredient_prices!F201,9,2))</f>
        <v/>
      </c>
      <c r="K206" s="692" t="str">
        <f t="shared" si="21"/>
        <v/>
      </c>
      <c r="L206" s="692" t="str">
        <f>IF(N206="","",COUNTIF($P$9:$P$255,"&lt;"&amp;P206)+COUNTIF($P$9:P206,P206))</f>
        <v/>
      </c>
      <c r="M206" s="692" t="str">
        <f>IF(Ingredient_prices!E201=M205,"",Ingredient_prices!E201)</f>
        <v>Cheese, cow, low fat, mozzarella</v>
      </c>
      <c r="N206" s="693" t="str">
        <f>_xlfn.IFNA(VLOOKUP($M206,Sedmica_2_količina_sva_sastojak!$C:$E,3,FALSE),"")</f>
        <v/>
      </c>
      <c r="O206" s="696" t="str">
        <f>IF(N206="","",COUNTIF($P$9:$P$255,"&lt;"&amp;P206)+COUNTIF($P$9:P206,P206))</f>
        <v/>
      </c>
      <c r="P206" s="694" t="str">
        <f t="shared" si="22"/>
        <v/>
      </c>
    </row>
    <row r="207" spans="1:16">
      <c r="A207" s="470">
        <v>199</v>
      </c>
      <c r="B207" s="451" t="str">
        <f t="shared" si="19"/>
        <v/>
      </c>
      <c r="C207" s="462" t="str">
        <f t="shared" si="20"/>
        <v/>
      </c>
      <c r="D207" s="446" t="str">
        <f>IF(B207="Jaje kokošje, celo",IF(C207=INT(C207),C207,C207+1),IF(B207=""," ",_xlfn.IFNA(INT(C207*1000/(VLOOKUP($B207,Ingredient_prices!$E:$J,6,FALSE)))+1,"nije nabavljen")))</f>
        <v xml:space="preserve"> </v>
      </c>
      <c r="E207" s="446" t="str">
        <f>IF(C207="","",VLOOKUP($B207,Ingredient_prices!$E:$K,7,FALSE))</f>
        <v/>
      </c>
      <c r="F207" s="462" t="str">
        <f>IF(C207="","",_xlfn.IFNA((VLOOKUP($B207,Ingredient_prices!$E:$P,11,FALSE)*I207),""))</f>
        <v/>
      </c>
      <c r="G207" s="450" t="str">
        <f>IF(C207="","",_xlfn.IFNA(MID(VLOOKUP($B207,Ingredient_prices!$E:$F,2,FALSE),9,2),""))</f>
        <v/>
      </c>
      <c r="H207" s="447" t="str">
        <f>_xlfn.IFNA(VLOOKUP(CONCATENATE($I$8,$G207),Ingredient_prices!$G:$N,8,FALSE),"")</f>
        <v/>
      </c>
      <c r="I207" s="548" t="str">
        <f t="shared" si="18"/>
        <v/>
      </c>
      <c r="J207" s="695" t="str">
        <f>IF(N207="","",MID(Ingredient_prices!F202,9,2))</f>
        <v/>
      </c>
      <c r="K207" s="692" t="str">
        <f t="shared" si="21"/>
        <v/>
      </c>
      <c r="L207" s="692" t="str">
        <f>IF(N207="","",COUNTIF($P$9:$P$255,"&lt;"&amp;P207)+COUNTIF($P$9:P207,P207))</f>
        <v/>
      </c>
      <c r="M207" s="692" t="str">
        <f>IF(Ingredient_prices!E202=M206,"",Ingredient_prices!E202)</f>
        <v>Broccoli</v>
      </c>
      <c r="N207" s="693" t="str">
        <f>_xlfn.IFNA(VLOOKUP($M207,Sedmica_2_količina_sva_sastojak!$C:$E,3,FALSE),"")</f>
        <v/>
      </c>
      <c r="O207" s="696" t="str">
        <f>IF(N207="","",COUNTIF($P$9:$P$255,"&lt;"&amp;P207)+COUNTIF($P$9:P207,P207))</f>
        <v/>
      </c>
      <c r="P207" s="694" t="str">
        <f t="shared" si="22"/>
        <v/>
      </c>
    </row>
    <row r="208" spans="1:16">
      <c r="A208" s="470">
        <v>200</v>
      </c>
      <c r="B208" s="451" t="str">
        <f t="shared" si="19"/>
        <v/>
      </c>
      <c r="C208" s="462" t="str">
        <f t="shared" si="20"/>
        <v/>
      </c>
      <c r="D208" s="446" t="str">
        <f>IF(B208="Jaje kokošje, celo",IF(C208=INT(C208),C208,C208+1),IF(B208=""," ",_xlfn.IFNA(INT(C208*1000/(VLOOKUP($B208,Ingredient_prices!$E:$J,6,FALSE)))+1,"nije nabavljen")))</f>
        <v xml:space="preserve"> </v>
      </c>
      <c r="E208" s="446" t="str">
        <f>IF(C208="","",VLOOKUP($B208,Ingredient_prices!$E:$K,7,FALSE))</f>
        <v/>
      </c>
      <c r="F208" s="462" t="str">
        <f>IF(C208="","",_xlfn.IFNA((VLOOKUP($B208,Ingredient_prices!$E:$P,11,FALSE)*I208),""))</f>
        <v/>
      </c>
      <c r="G208" s="450" t="str">
        <f>IF(C208="","",_xlfn.IFNA(MID(VLOOKUP($B208,Ingredient_prices!$E:$F,2,FALSE),9,2),""))</f>
        <v/>
      </c>
      <c r="H208" s="447" t="str">
        <f>_xlfn.IFNA(VLOOKUP(CONCATENATE($I$8,$G208),Ingredient_prices!$G:$N,8,FALSE),"")</f>
        <v/>
      </c>
      <c r="I208" s="548" t="str">
        <f t="shared" si="18"/>
        <v/>
      </c>
      <c r="J208" s="695" t="str">
        <f>IF(N208="","",MID(Ingredient_prices!F203,9,2))</f>
        <v/>
      </c>
      <c r="K208" s="692" t="str">
        <f t="shared" si="21"/>
        <v/>
      </c>
      <c r="L208" s="692" t="str">
        <f>IF(N208="","",COUNTIF($P$9:$P$255,"&lt;"&amp;P208)+COUNTIF($P$9:P208,P208))</f>
        <v/>
      </c>
      <c r="M208" s="692" t="str">
        <f>IF(Ingredient_prices!E203=M207,"",Ingredient_prices!E203)</f>
        <v>Chicken soup thick packet</v>
      </c>
      <c r="N208" s="693" t="str">
        <f>_xlfn.IFNA(VLOOKUP($M208,Sedmica_2_količina_sva_sastojak!$C:$E,3,FALSE),"")</f>
        <v/>
      </c>
      <c r="O208" s="696" t="str">
        <f>IF(N208="","",COUNTIF($P$9:$P$255,"&lt;"&amp;P208)+COUNTIF($P$9:P208,P208))</f>
        <v/>
      </c>
      <c r="P208" s="694" t="str">
        <f t="shared" si="22"/>
        <v/>
      </c>
    </row>
    <row r="209" spans="1:17">
      <c r="A209" s="470">
        <v>201</v>
      </c>
      <c r="B209" s="451" t="str">
        <f t="shared" si="19"/>
        <v/>
      </c>
      <c r="C209" s="462" t="str">
        <f t="shared" si="20"/>
        <v/>
      </c>
      <c r="D209" s="446" t="str">
        <f>IF(B209="Jaje kokošje, celo",IF(C209=INT(C209),C209,C209+1),IF(B209=""," ",_xlfn.IFNA(INT(C209*1000/(VLOOKUP($B209,Ingredient_prices!$E:$J,6,FALSE)))+1,"nije nabavljen")))</f>
        <v xml:space="preserve"> </v>
      </c>
      <c r="E209" s="446" t="str">
        <f>IF(C209="","",VLOOKUP($B209,Ingredient_prices!$E:$K,7,FALSE))</f>
        <v/>
      </c>
      <c r="F209" s="462" t="str">
        <f>IF(C209="","",_xlfn.IFNA((VLOOKUP($B209,Ingredient_prices!$E:$P,11,FALSE)*I209),""))</f>
        <v/>
      </c>
      <c r="G209" s="450" t="str">
        <f>IF(C209="","",_xlfn.IFNA(MID(VLOOKUP($B209,Ingredient_prices!$E:$F,2,FALSE),9,2),""))</f>
        <v/>
      </c>
      <c r="H209" s="447" t="str">
        <f>_xlfn.IFNA(VLOOKUP(CONCATENATE($I$8,$G209),Ingredient_prices!$G:$N,8,FALSE),"")</f>
        <v/>
      </c>
      <c r="I209" s="548" t="str">
        <f t="shared" si="18"/>
        <v/>
      </c>
      <c r="J209" s="695" t="str">
        <f>IF(N209="","",MID(Ingredient_prices!F204,9,2))</f>
        <v/>
      </c>
      <c r="K209" s="692" t="str">
        <f t="shared" si="21"/>
        <v/>
      </c>
      <c r="L209" s="692" t="str">
        <f>IF(N209="","",COUNTIF($P$9:$P$255,"&lt;"&amp;P209)+COUNTIF($P$9:P209,P209))</f>
        <v/>
      </c>
      <c r="M209" s="692" t="str">
        <f>IF(Ingredient_prices!E204=M208,"",Ingredient_prices!E204)</f>
        <v>Sausage Serbian</v>
      </c>
      <c r="N209" s="693" t="str">
        <f>_xlfn.IFNA(VLOOKUP($M209,Sedmica_2_količina_sva_sastojak!$C:$E,3,FALSE),"")</f>
        <v/>
      </c>
      <c r="O209" s="696" t="str">
        <f>IF(N209="","",COUNTIF($P$9:$P$255,"&lt;"&amp;P209)+COUNTIF($P$9:P209,P209))</f>
        <v/>
      </c>
      <c r="P209" s="694" t="str">
        <f t="shared" si="22"/>
        <v/>
      </c>
    </row>
    <row r="210" spans="1:17">
      <c r="A210" s="470">
        <v>202</v>
      </c>
      <c r="B210" s="451" t="str">
        <f t="shared" si="19"/>
        <v/>
      </c>
      <c r="C210" s="462" t="str">
        <f t="shared" si="20"/>
        <v/>
      </c>
      <c r="D210" s="446" t="str">
        <f>IF(B210="Jaje kokošje, celo",IF(C210=INT(C210),C210,C210+1),IF(B210=""," ",_xlfn.IFNA(INT(C210*1000/(VLOOKUP($B210,Ingredient_prices!$E:$J,6,FALSE)))+1,"nije nabavljen")))</f>
        <v xml:space="preserve"> </v>
      </c>
      <c r="E210" s="446" t="str">
        <f>IF(C210="","",VLOOKUP($B210,Ingredient_prices!$E:$K,7,FALSE))</f>
        <v/>
      </c>
      <c r="F210" s="462" t="str">
        <f>IF(C210="","",_xlfn.IFNA((VLOOKUP($B210,Ingredient_prices!$E:$P,11,FALSE)*I210),""))</f>
        <v/>
      </c>
      <c r="G210" s="450" t="str">
        <f>IF(C210="","",_xlfn.IFNA(MID(VLOOKUP($B210,Ingredient_prices!$E:$F,2,FALSE),9,2),""))</f>
        <v/>
      </c>
      <c r="H210" s="447" t="str">
        <f>_xlfn.IFNA(VLOOKUP(CONCATENATE($I$8,$G210),Ingredient_prices!$G:$N,8,FALSE),"")</f>
        <v/>
      </c>
      <c r="I210" s="548" t="str">
        <f t="shared" si="18"/>
        <v/>
      </c>
      <c r="J210" s="695" t="str">
        <f>IF(N210="","",MID(Ingredient_prices!F205,9,2))</f>
        <v/>
      </c>
      <c r="K210" s="692" t="str">
        <f t="shared" si="21"/>
        <v/>
      </c>
      <c r="L210" s="692" t="str">
        <f>IF(N210="","",COUNTIF($P$9:$P$255,"&lt;"&amp;P210)+COUNTIF($P$9:P210,P210))</f>
        <v/>
      </c>
      <c r="M210" s="692" t="str">
        <f>IF(Ingredient_prices!E205=M209,"",Ingredient_prices!E205)</f>
        <v>Kit Kat milk chocolate</v>
      </c>
      <c r="N210" s="693" t="str">
        <f>_xlfn.IFNA(VLOOKUP($M210,Sedmica_2_količina_sva_sastojak!$C:$E,3,FALSE),"")</f>
        <v/>
      </c>
      <c r="O210" s="696" t="str">
        <f>IF(N210="","",COUNTIF($P$9:$P$255,"&lt;"&amp;P210)+COUNTIF($P$9:P210,P210))</f>
        <v/>
      </c>
      <c r="P210" s="694" t="str">
        <f t="shared" si="22"/>
        <v/>
      </c>
    </row>
    <row r="211" spans="1:17">
      <c r="A211" s="470">
        <v>203</v>
      </c>
      <c r="B211" s="451" t="str">
        <f t="shared" si="19"/>
        <v/>
      </c>
      <c r="C211" s="462" t="str">
        <f t="shared" si="20"/>
        <v/>
      </c>
      <c r="D211" s="446" t="str">
        <f>IF(B211="Jaje kokošje, celo",IF(C211=INT(C211),C211,C211+1),IF(B211=""," ",_xlfn.IFNA(INT(C211*1000/(VLOOKUP($B211,Ingredient_prices!$E:$J,6,FALSE)))+1,"nije nabavljen")))</f>
        <v xml:space="preserve"> </v>
      </c>
      <c r="E211" s="446" t="str">
        <f>IF(C211="","",VLOOKUP($B211,Ingredient_prices!$E:$K,7,FALSE))</f>
        <v/>
      </c>
      <c r="F211" s="462" t="str">
        <f>IF(C211="","",_xlfn.IFNA((VLOOKUP($B211,Ingredient_prices!$E:$P,11,FALSE)*I211),""))</f>
        <v/>
      </c>
      <c r="G211" s="450" t="str">
        <f>IF(C211="","",_xlfn.IFNA(MID(VLOOKUP($B211,Ingredient_prices!$E:$F,2,FALSE),9,2),""))</f>
        <v/>
      </c>
      <c r="H211" s="447" t="str">
        <f>_xlfn.IFNA(VLOOKUP(CONCATENATE($I$8,$G211),Ingredient_prices!$G:$N,8,FALSE),"")</f>
        <v/>
      </c>
      <c r="I211" s="548" t="str">
        <f t="shared" si="18"/>
        <v/>
      </c>
      <c r="J211" s="695" t="str">
        <f>IF(N211="","",MID(Ingredient_prices!F206,9,2))</f>
        <v/>
      </c>
      <c r="K211" s="692" t="str">
        <f t="shared" si="21"/>
        <v/>
      </c>
      <c r="L211" s="692" t="str">
        <f>IF(N211="","",COUNTIF($P$9:$P$255,"&lt;"&amp;P211)+COUNTIF($P$9:P211,P211))</f>
        <v/>
      </c>
      <c r="M211" s="692" t="str">
        <f>IF(Ingredient_prices!E206=M210,"",Ingredient_prices!E206)</f>
        <v>Bread, wholemeal</v>
      </c>
      <c r="N211" s="693" t="str">
        <f>_xlfn.IFNA(VLOOKUP($M211,Sedmica_2_količina_sva_sastojak!$C:$E,3,FALSE),"")</f>
        <v/>
      </c>
      <c r="O211" s="696" t="str">
        <f>IF(N211="","",COUNTIF($P$9:$P$255,"&lt;"&amp;P211)+COUNTIF($P$9:P211,P211))</f>
        <v/>
      </c>
      <c r="P211" s="694" t="str">
        <f t="shared" si="22"/>
        <v/>
      </c>
    </row>
    <row r="212" spans="1:17">
      <c r="A212" s="470">
        <v>204</v>
      </c>
      <c r="B212" s="451" t="str">
        <f t="shared" si="19"/>
        <v/>
      </c>
      <c r="C212" s="462" t="str">
        <f t="shared" si="20"/>
        <v/>
      </c>
      <c r="D212" s="446" t="str">
        <f>IF(B212="Jaje kokošje, celo",IF(C212=INT(C212),C212,C212+1),IF(B212=""," ",_xlfn.IFNA(INT(C212*1000/(VLOOKUP($B212,Ingredient_prices!$E:$J,6,FALSE)))+1,"nije nabavljen")))</f>
        <v xml:space="preserve"> </v>
      </c>
      <c r="E212" s="446" t="str">
        <f>IF(C212="","",VLOOKUP($B212,Ingredient_prices!$E:$K,7,FALSE))</f>
        <v/>
      </c>
      <c r="F212" s="462" t="str">
        <f>IF(C212="","",_xlfn.IFNA((VLOOKUP($B212,Ingredient_prices!$E:$P,11,FALSE)*I212),""))</f>
        <v/>
      </c>
      <c r="G212" s="450" t="str">
        <f>IF(C212="","",_xlfn.IFNA(MID(VLOOKUP($B212,Ingredient_prices!$E:$F,2,FALSE),9,2),""))</f>
        <v/>
      </c>
      <c r="H212" s="447" t="str">
        <f>_xlfn.IFNA(VLOOKUP(CONCATENATE($I$8,$G212),Ingredient_prices!$G:$N,8,FALSE),"")</f>
        <v/>
      </c>
      <c r="I212" s="548" t="str">
        <f t="shared" si="18"/>
        <v/>
      </c>
      <c r="J212" s="695" t="str">
        <f>IF(N212="","",MID(Ingredient_prices!F207,9,2))</f>
        <v/>
      </c>
      <c r="K212" s="692" t="str">
        <f t="shared" si="21"/>
        <v/>
      </c>
      <c r="L212" s="692" t="str">
        <f>IF(N212="","",COUNTIF($P$9:$P$255,"&lt;"&amp;P212)+COUNTIF($P$9:P212,P212))</f>
        <v/>
      </c>
      <c r="M212" s="692" t="str">
        <f>IF(Ingredient_prices!E207=M211,"",Ingredient_prices!E207)</f>
        <v>Noblice biscuit</v>
      </c>
      <c r="N212" s="693" t="str">
        <f>_xlfn.IFNA(VLOOKUP($M212,Sedmica_2_količina_sva_sastojak!$C:$E,3,FALSE),"")</f>
        <v/>
      </c>
      <c r="O212" s="696" t="str">
        <f>IF(N212="","",COUNTIF($P$9:$P$255,"&lt;"&amp;P212)+COUNTIF($P$9:P212,P212))</f>
        <v/>
      </c>
      <c r="P212" s="694" t="str">
        <f t="shared" si="22"/>
        <v/>
      </c>
    </row>
    <row r="213" spans="1:17">
      <c r="A213" s="470">
        <v>205</v>
      </c>
      <c r="B213" s="451" t="str">
        <f t="shared" si="19"/>
        <v/>
      </c>
      <c r="C213" s="462" t="str">
        <f t="shared" si="20"/>
        <v/>
      </c>
      <c r="D213" s="446" t="str">
        <f>IF(B213="Jaje kokošje, celo",IF(C213=INT(C213),C213,C213+1),IF(B213=""," ",_xlfn.IFNA(INT(C213*1000/(VLOOKUP($B213,Ingredient_prices!$E:$J,6,FALSE)))+1,"nije nabavljen")))</f>
        <v xml:space="preserve"> </v>
      </c>
      <c r="E213" s="446" t="str">
        <f>IF(C213="","",VLOOKUP($B213,Ingredient_prices!$E:$K,7,FALSE))</f>
        <v/>
      </c>
      <c r="F213" s="462" t="str">
        <f>IF(C213="","",_xlfn.IFNA((VLOOKUP($B213,Ingredient_prices!$E:$P,11,FALSE)*I213),""))</f>
        <v/>
      </c>
      <c r="G213" s="450" t="str">
        <f>IF(C213="","",_xlfn.IFNA(MID(VLOOKUP($B213,Ingredient_prices!$E:$F,2,FALSE),9,2),""))</f>
        <v/>
      </c>
      <c r="H213" s="447" t="str">
        <f>_xlfn.IFNA(VLOOKUP(CONCATENATE($I$8,$G213),Ingredient_prices!$G:$N,8,FALSE),"")</f>
        <v/>
      </c>
      <c r="I213" s="548" t="str">
        <f t="shared" si="18"/>
        <v/>
      </c>
      <c r="J213" s="695" t="str">
        <f>IF(N213="","",MID(Ingredient_prices!F208,9,2))</f>
        <v/>
      </c>
      <c r="K213" s="692" t="str">
        <f t="shared" si="21"/>
        <v/>
      </c>
      <c r="L213" s="692" t="str">
        <f>IF(N213="","",COUNTIF($P$9:$P$255,"&lt;"&amp;P213)+COUNTIF($P$9:P213,P213))</f>
        <v/>
      </c>
      <c r="M213" s="692" t="str">
        <f>IF(Ingredient_prices!E208=M212,"",Ingredient_prices!E208)</f>
        <v>Parsley leaf, dry</v>
      </c>
      <c r="N213" s="693" t="str">
        <f>_xlfn.IFNA(VLOOKUP($M213,Sedmica_2_količina_sva_sastojak!$C:$E,3,FALSE),"")</f>
        <v/>
      </c>
      <c r="O213" s="696" t="str">
        <f>IF(N213="","",COUNTIF($P$9:$P$255,"&lt;"&amp;P213)+COUNTIF($P$9:P213,P213))</f>
        <v/>
      </c>
      <c r="P213" s="694" t="str">
        <f t="shared" si="22"/>
        <v/>
      </c>
    </row>
    <row r="214" spans="1:17">
      <c r="A214" s="470">
        <v>206</v>
      </c>
      <c r="B214" s="451" t="str">
        <f t="shared" si="19"/>
        <v/>
      </c>
      <c r="C214" s="462" t="str">
        <f t="shared" si="20"/>
        <v/>
      </c>
      <c r="D214" s="446" t="str">
        <f>IF(B214="Jaje kokošje, celo",IF(C214=INT(C214),C214,C214+1),IF(B214=""," ",_xlfn.IFNA(INT(C214*1000/(VLOOKUP($B214,Ingredient_prices!$E:$J,6,FALSE)))+1,"nije nabavljen")))</f>
        <v xml:space="preserve"> </v>
      </c>
      <c r="E214" s="446" t="str">
        <f>IF(C214="","",VLOOKUP($B214,Ingredient_prices!$E:$K,7,FALSE))</f>
        <v/>
      </c>
      <c r="F214" s="462" t="str">
        <f>IF(C214="","",_xlfn.IFNA((VLOOKUP($B214,Ingredient_prices!$E:$P,11,FALSE)*I214),""))</f>
        <v/>
      </c>
      <c r="G214" s="450" t="str">
        <f>IF(C214="","",_xlfn.IFNA(MID(VLOOKUP($B214,Ingredient_prices!$E:$F,2,FALSE),9,2),""))</f>
        <v/>
      </c>
      <c r="H214" s="447" t="str">
        <f>_xlfn.IFNA(VLOOKUP(CONCATENATE($I$8,$G214),Ingredient_prices!$G:$N,8,FALSE),"")</f>
        <v/>
      </c>
      <c r="I214" s="548" t="str">
        <f t="shared" si="18"/>
        <v/>
      </c>
      <c r="J214" s="695" t="str">
        <f>IF(N214="","",MID(Ingredient_prices!F209,9,2))</f>
        <v/>
      </c>
      <c r="K214" s="692" t="str">
        <f t="shared" si="21"/>
        <v/>
      </c>
      <c r="L214" s="692" t="str">
        <f>IF(N214="","",COUNTIF($P$9:$P$255,"&lt;"&amp;P214)+COUNTIF($P$9:P214,P214))</f>
        <v/>
      </c>
      <c r="M214" s="692" t="str">
        <f>IF(Ingredient_prices!E209=M213,"",Ingredient_prices!E209)</f>
        <v>Dill leaves, dry</v>
      </c>
      <c r="N214" s="693" t="str">
        <f>_xlfn.IFNA(VLOOKUP($M214,Sedmica_2_količina_sva_sastojak!$C:$E,3,FALSE),"")</f>
        <v/>
      </c>
      <c r="O214" s="696" t="str">
        <f>IF(N214="","",COUNTIF($P$9:$P$255,"&lt;"&amp;P214)+COUNTIF($P$9:P214,P214))</f>
        <v/>
      </c>
      <c r="P214" s="694" t="str">
        <f t="shared" si="22"/>
        <v/>
      </c>
    </row>
    <row r="215" spans="1:17">
      <c r="A215" s="470">
        <v>207</v>
      </c>
      <c r="B215" s="451" t="str">
        <f t="shared" si="19"/>
        <v/>
      </c>
      <c r="C215" s="462" t="str">
        <f t="shared" si="20"/>
        <v/>
      </c>
      <c r="D215" s="446" t="str">
        <f>IF(B215="Jaje kokošje, celo",IF(C215=INT(C215),C215,C215+1),IF(B215=""," ",_xlfn.IFNA(INT(C215*1000/(VLOOKUP($B215,Ingredient_prices!$E:$J,6,FALSE)))+1,"nije nabavljen")))</f>
        <v xml:space="preserve"> </v>
      </c>
      <c r="E215" s="446" t="str">
        <f>IF(C215="","",VLOOKUP($B215,Ingredient_prices!$E:$K,7,FALSE))</f>
        <v/>
      </c>
      <c r="F215" s="462" t="str">
        <f>IF(C215="","",_xlfn.IFNA((VLOOKUP($B215,Ingredient_prices!$E:$P,11,FALSE)*I215),""))</f>
        <v/>
      </c>
      <c r="G215" s="450" t="str">
        <f>IF(C215="","",_xlfn.IFNA(MID(VLOOKUP($B215,Ingredient_prices!$E:$F,2,FALSE),9,2),""))</f>
        <v/>
      </c>
      <c r="H215" s="447" t="str">
        <f>_xlfn.IFNA(VLOOKUP(CONCATENATE($I$8,$G215),Ingredient_prices!$G:$N,8,FALSE),"")</f>
        <v/>
      </c>
      <c r="I215" s="548" t="str">
        <f t="shared" si="18"/>
        <v/>
      </c>
      <c r="J215" s="695" t="str">
        <f>IF(N215="","",MID(Ingredient_prices!F210,9,2))</f>
        <v/>
      </c>
      <c r="K215" s="692" t="str">
        <f t="shared" si="21"/>
        <v/>
      </c>
      <c r="L215" s="692" t="str">
        <f>IF(N215="","",COUNTIF($P$9:$P$255,"&lt;"&amp;P215)+COUNTIF($P$9:P215,P215))</f>
        <v/>
      </c>
      <c r="M215" s="692" t="str">
        <f>IF(Ingredient_prices!E210=M214,"",Ingredient_prices!E210)</f>
        <v>Kale</v>
      </c>
      <c r="N215" s="693" t="str">
        <f>_xlfn.IFNA(VLOOKUP($M215,Sedmica_2_količina_sva_sastojak!$C:$E,3,FALSE),"")</f>
        <v/>
      </c>
      <c r="O215" s="696" t="str">
        <f>IF(N215="","",COUNTIF($P$9:$P$255,"&lt;"&amp;P215)+COUNTIF($P$9:P215,P215))</f>
        <v/>
      </c>
      <c r="P215" s="694" t="str">
        <f t="shared" si="22"/>
        <v/>
      </c>
    </row>
    <row r="216" spans="1:17">
      <c r="A216" s="470">
        <v>208</v>
      </c>
      <c r="B216" s="451" t="str">
        <f t="shared" si="19"/>
        <v/>
      </c>
      <c r="C216" s="462" t="str">
        <f t="shared" si="20"/>
        <v/>
      </c>
      <c r="D216" s="446" t="str">
        <f>IF(B216="Jaje kokošje, celo",IF(C216=INT(C216),C216,C216+1),IF(B216=""," ",_xlfn.IFNA(INT(C216*1000/(VLOOKUP($B216,Ingredient_prices!$E:$J,6,FALSE)))+1,"nije nabavljen")))</f>
        <v xml:space="preserve"> </v>
      </c>
      <c r="E216" s="446" t="str">
        <f>IF(C216="","",VLOOKUP($B216,Ingredient_prices!$E:$K,7,FALSE))</f>
        <v/>
      </c>
      <c r="F216" s="462" t="str">
        <f>IF(C216="","",_xlfn.IFNA((VLOOKUP($B216,Ingredient_prices!$E:$P,11,FALSE)*I216),""))</f>
        <v/>
      </c>
      <c r="G216" s="450" t="str">
        <f>IF(C216="","",_xlfn.IFNA(MID(VLOOKUP($B216,Ingredient_prices!$E:$F,2,FALSE),9,2),""))</f>
        <v/>
      </c>
      <c r="H216" s="447" t="str">
        <f>_xlfn.IFNA(VLOOKUP(CONCATENATE($I$8,$G216),Ingredient_prices!$G:$N,8,FALSE),"")</f>
        <v/>
      </c>
      <c r="I216" s="548" t="str">
        <f t="shared" si="18"/>
        <v/>
      </c>
      <c r="J216" s="695" t="str">
        <f>IF(N216="","",MID(Ingredient_prices!F211,9,2))</f>
        <v/>
      </c>
      <c r="K216" s="692" t="str">
        <f t="shared" si="21"/>
        <v/>
      </c>
      <c r="L216" s="692" t="str">
        <f>IF(N216="","",COUNTIF($P$9:$P$255,"&lt;"&amp;P216)+COUNTIF($P$9:P216,P216))</f>
        <v/>
      </c>
      <c r="M216" s="692" t="str">
        <f>IF(Ingredient_prices!E211=M215,"",Ingredient_prices!E211)</f>
        <v>Mushrooms</v>
      </c>
      <c r="N216" s="693" t="str">
        <f>_xlfn.IFNA(VLOOKUP($M216,Sedmica_2_količina_sva_sastojak!$C:$E,3,FALSE),"")</f>
        <v/>
      </c>
      <c r="O216" s="696" t="str">
        <f>IF(N216="","",COUNTIF($P$9:$P$255,"&lt;"&amp;P216)+COUNTIF($P$9:P216,P216))</f>
        <v/>
      </c>
      <c r="P216" s="694" t="str">
        <f t="shared" si="22"/>
        <v/>
      </c>
    </row>
    <row r="217" spans="1:17">
      <c r="A217" s="470">
        <v>209</v>
      </c>
      <c r="B217" s="451" t="str">
        <f t="shared" si="19"/>
        <v/>
      </c>
      <c r="C217" s="462" t="str">
        <f t="shared" si="20"/>
        <v/>
      </c>
      <c r="D217" s="446" t="str">
        <f>IF(B217="Jaje kokošje, celo",IF(C217=INT(C217),C217,C217+1),IF(B217=""," ",_xlfn.IFNA(INT(C217*1000/(VLOOKUP($B217,Ingredient_prices!$E:$J,6,FALSE)))+1,"nije nabavljen")))</f>
        <v xml:space="preserve"> </v>
      </c>
      <c r="E217" s="446" t="str">
        <f>IF(C217="","",VLOOKUP($B217,Ingredient_prices!$E:$K,7,FALSE))</f>
        <v/>
      </c>
      <c r="F217" s="462" t="str">
        <f>IF(C217="","",_xlfn.IFNA((VLOOKUP($B217,Ingredient_prices!$E:$P,11,FALSE)*I217),""))</f>
        <v/>
      </c>
      <c r="G217" s="450" t="str">
        <f>IF(C217="","",_xlfn.IFNA(MID(VLOOKUP($B217,Ingredient_prices!$E:$F,2,FALSE),9,2),""))</f>
        <v/>
      </c>
      <c r="H217" s="447" t="str">
        <f>_xlfn.IFNA(VLOOKUP(CONCATENATE($I$8,$G217),Ingredient_prices!$G:$N,8,FALSE),"")</f>
        <v/>
      </c>
      <c r="I217" s="548" t="str">
        <f t="shared" si="18"/>
        <v/>
      </c>
      <c r="J217" s="695" t="str">
        <f>IF(N217="","",MID(Ingredient_prices!F212,9,2))</f>
        <v/>
      </c>
      <c r="K217" s="692" t="str">
        <f t="shared" si="21"/>
        <v/>
      </c>
      <c r="L217" s="692" t="str">
        <f>IF(N217="","",COUNTIF($P$9:$P$255,"&lt;"&amp;P217)+COUNTIF($P$9:P217,P217))</f>
        <v/>
      </c>
      <c r="M217" s="692" t="str">
        <f>IF(Ingredient_prices!E212=M216,"",Ingredient_prices!E212)</f>
        <v>Hake fillets</v>
      </c>
      <c r="N217" s="693" t="str">
        <f>_xlfn.IFNA(VLOOKUP($M217,Sedmica_2_količina_sva_sastojak!$C:$E,3,FALSE),"")</f>
        <v/>
      </c>
      <c r="O217" s="696" t="str">
        <f>IF(N217="","",COUNTIF($P$9:$P$255,"&lt;"&amp;P217)+COUNTIF($P$9:P217,P217))</f>
        <v/>
      </c>
      <c r="P217" s="694" t="str">
        <f t="shared" si="22"/>
        <v/>
      </c>
    </row>
    <row r="218" spans="1:17">
      <c r="A218" s="470">
        <v>210</v>
      </c>
      <c r="B218" s="451" t="str">
        <f t="shared" si="19"/>
        <v/>
      </c>
      <c r="C218" s="462" t="str">
        <f t="shared" si="20"/>
        <v/>
      </c>
      <c r="D218" s="446" t="str">
        <f>IF(B218="Jaje kokošje, celo",IF(C218=INT(C218),C218,C218+1),IF(B218=""," ",_xlfn.IFNA(INT(C218*1000/(VLOOKUP($B218,Ingredient_prices!$E:$J,6,FALSE)))+1,"nije nabavljen")))</f>
        <v xml:space="preserve"> </v>
      </c>
      <c r="E218" s="446" t="str">
        <f>IF(C218="","",VLOOKUP($B218,Ingredient_prices!$E:$K,7,FALSE))</f>
        <v/>
      </c>
      <c r="F218" s="462" t="str">
        <f>IF(C218="","",_xlfn.IFNA((VLOOKUP($B218,Ingredient_prices!$E:$P,11,FALSE)*I218),""))</f>
        <v/>
      </c>
      <c r="G218" s="450" t="str">
        <f>IF(C218="","",_xlfn.IFNA(MID(VLOOKUP($B218,Ingredient_prices!$E:$F,2,FALSE),9,2),""))</f>
        <v/>
      </c>
      <c r="H218" s="447" t="str">
        <f>_xlfn.IFNA(VLOOKUP(CONCATENATE($I$8,$G218),Ingredient_prices!$G:$N,8,FALSE),"")</f>
        <v/>
      </c>
      <c r="I218" s="548" t="str">
        <f t="shared" si="18"/>
        <v/>
      </c>
      <c r="J218" s="695" t="str">
        <f>IF(N218="","",MID(Ingredient_prices!F213,9,2))</f>
        <v/>
      </c>
      <c r="K218" s="692" t="str">
        <f t="shared" si="21"/>
        <v/>
      </c>
      <c r="L218" s="692" t="str">
        <f>IF(N218="","",COUNTIF($P$9:$P$255,"&lt;"&amp;P218)+COUNTIF($P$9:P218,P218))</f>
        <v/>
      </c>
      <c r="M218" s="692" t="str">
        <f>IF(Ingredient_prices!E213=M217,"",Ingredient_prices!E213)</f>
        <v>Spinach fresh</v>
      </c>
      <c r="N218" s="693" t="str">
        <f>_xlfn.IFNA(VLOOKUP($M218,Sedmica_2_količina_sva_sastojak!$C:$E,3,FALSE),"")</f>
        <v/>
      </c>
      <c r="O218" s="696" t="str">
        <f>IF(N218="","",COUNTIF($P$9:$P$255,"&lt;"&amp;P218)+COUNTIF($P$9:P218,P218))</f>
        <v/>
      </c>
      <c r="P218" s="694" t="str">
        <f t="shared" si="22"/>
        <v/>
      </c>
    </row>
    <row r="219" spans="1:17" s="445" customFormat="1">
      <c r="A219" s="470">
        <v>211</v>
      </c>
      <c r="B219" s="451" t="str">
        <f t="shared" si="19"/>
        <v/>
      </c>
      <c r="C219" s="462" t="str">
        <f t="shared" si="20"/>
        <v/>
      </c>
      <c r="D219" s="446" t="str">
        <f>IF(B219="Jaje kokošje, celo",IF(C219=INT(C219),C219,C219+1),IF(B219=""," ",_xlfn.IFNA(INT(C219*1000/(VLOOKUP($B219,Ingredient_prices!$E:$J,6,FALSE)))+1,"nije nabavljen")))</f>
        <v xml:space="preserve"> </v>
      </c>
      <c r="E219" s="446" t="str">
        <f>IF(C219="","",VLOOKUP($B219,Ingredient_prices!$E:$K,7,FALSE))</f>
        <v/>
      </c>
      <c r="F219" s="462" t="str">
        <f>IF(C219="","",_xlfn.IFNA((VLOOKUP($B219,Ingredient_prices!$E:$P,11,FALSE)*I219),""))</f>
        <v/>
      </c>
      <c r="G219" s="450" t="str">
        <f>IF(C219="","",_xlfn.IFNA(MID(VLOOKUP($B219,Ingredient_prices!$E:$F,2,FALSE),9,2),""))</f>
        <v/>
      </c>
      <c r="H219" s="447" t="str">
        <f>_xlfn.IFNA(VLOOKUP(CONCATENATE($I$8,$G219),Ingredient_prices!$G:$N,8,FALSE),"")</f>
        <v/>
      </c>
      <c r="I219" s="548" t="str">
        <f t="shared" si="18"/>
        <v/>
      </c>
      <c r="J219" s="695" t="str">
        <f>IF(N219="","",MID(Ingredient_prices!F214,9,2))</f>
        <v/>
      </c>
      <c r="K219" s="692" t="str">
        <f t="shared" si="21"/>
        <v/>
      </c>
      <c r="L219" s="692" t="str">
        <f>IF(N219="","",COUNTIF($P$9:$P$255,"&lt;"&amp;P219)+COUNTIF($P$9:P219,P219))</f>
        <v/>
      </c>
      <c r="M219" s="692" t="str">
        <f>IF(Ingredient_prices!E214=M218,"",Ingredient_prices!E214)</f>
        <v/>
      </c>
      <c r="N219" s="693" t="str">
        <f>_xlfn.IFNA(VLOOKUP($M219,Sedmica_2_količina_sva_sastojak!$C:$E,3,FALSE),"")</f>
        <v/>
      </c>
      <c r="O219" s="696" t="str">
        <f>IF(N219="","",COUNTIF($P$9:$P$255,"&lt;"&amp;P219)+COUNTIF($P$9:P219,P219))</f>
        <v/>
      </c>
      <c r="P219" s="694" t="str">
        <f t="shared" si="22"/>
        <v/>
      </c>
      <c r="Q219" s="692"/>
    </row>
    <row r="220" spans="1:17">
      <c r="A220" s="470">
        <v>212</v>
      </c>
      <c r="B220" s="451" t="str">
        <f t="shared" si="19"/>
        <v/>
      </c>
      <c r="C220" s="462" t="str">
        <f t="shared" si="20"/>
        <v/>
      </c>
      <c r="D220" s="446" t="str">
        <f>IF(B220="Jaje kokošje, celo",IF(C220=INT(C220),C220,C220+1),IF(B220=""," ",_xlfn.IFNA(INT(C220*1000/(VLOOKUP($B220,Ingredient_prices!$E:$J,6,FALSE)))+1,"nije nabavljen")))</f>
        <v xml:space="preserve"> </v>
      </c>
      <c r="E220" s="446" t="str">
        <f>IF(C220="","",VLOOKUP($B220,Ingredient_prices!$E:$K,7,FALSE))</f>
        <v/>
      </c>
      <c r="F220" s="462" t="str">
        <f>IF(C220="","",_xlfn.IFNA((VLOOKUP($B220,Ingredient_prices!$E:$P,11,FALSE)*I220),""))</f>
        <v/>
      </c>
      <c r="G220" s="450" t="str">
        <f>IF(C220="","",_xlfn.IFNA(MID(VLOOKUP($B220,Ingredient_prices!$E:$F,2,FALSE),9,2),""))</f>
        <v/>
      </c>
      <c r="H220" s="447" t="str">
        <f>_xlfn.IFNA(VLOOKUP(CONCATENATE($I$8,$G220),Ingredient_prices!$G:$N,8,FALSE),"")</f>
        <v/>
      </c>
      <c r="I220" s="548" t="str">
        <f t="shared" si="18"/>
        <v/>
      </c>
      <c r="J220" s="695" t="str">
        <f>IF(N220="","",MID(Ingredient_prices!F215,9,2))</f>
        <v/>
      </c>
      <c r="K220" s="692" t="str">
        <f t="shared" si="21"/>
        <v/>
      </c>
      <c r="L220" s="692" t="str">
        <f>IF(N220="","",COUNTIF($P$9:$P$255,"&lt;"&amp;P220)+COUNTIF($P$9:P220,P220))</f>
        <v/>
      </c>
      <c r="M220" s="692" t="str">
        <f>IF(Ingredient_prices!E215=M219,"",Ingredient_prices!E215)</f>
        <v/>
      </c>
      <c r="N220" s="693" t="str">
        <f>_xlfn.IFNA(VLOOKUP($M220,Sedmica_2_količina_sva_sastojak!$C:$E,3,FALSE),"")</f>
        <v/>
      </c>
      <c r="O220" s="696" t="str">
        <f>IF(N220="","",COUNTIF($P$9:$P$255,"&lt;"&amp;P220)+COUNTIF($P$9:P220,P220))</f>
        <v/>
      </c>
      <c r="P220" s="694" t="str">
        <f t="shared" si="22"/>
        <v/>
      </c>
    </row>
    <row r="221" spans="1:17">
      <c r="A221" s="470">
        <v>213</v>
      </c>
      <c r="B221" s="451" t="str">
        <f t="shared" si="19"/>
        <v/>
      </c>
      <c r="C221" s="462" t="str">
        <f t="shared" si="20"/>
        <v/>
      </c>
      <c r="D221" s="446" t="str">
        <f>IF(B221="Jaje kokošje, celo",IF(C221=INT(C221),C221,C221+1),IF(B221=""," ",_xlfn.IFNA(INT(C221*1000/(VLOOKUP($B221,Ingredient_prices!$E:$J,6,FALSE)))+1,"nije nabavljen")))</f>
        <v xml:space="preserve"> </v>
      </c>
      <c r="E221" s="446" t="str">
        <f>IF(C221="","",VLOOKUP($B221,Ingredient_prices!$E:$K,7,FALSE))</f>
        <v/>
      </c>
      <c r="F221" s="462" t="str">
        <f>IF(C221="","",_xlfn.IFNA((VLOOKUP($B221,Ingredient_prices!$E:$P,11,FALSE)*I221),""))</f>
        <v/>
      </c>
      <c r="G221" s="450" t="str">
        <f>IF(C221="","",_xlfn.IFNA(MID(VLOOKUP($B221,Ingredient_prices!$E:$F,2,FALSE),9,2),""))</f>
        <v/>
      </c>
      <c r="H221" s="447" t="str">
        <f>_xlfn.IFNA(VLOOKUP(CONCATENATE($I$8,$G221),Ingredient_prices!$G:$N,8,FALSE),"")</f>
        <v/>
      </c>
      <c r="I221" s="548" t="str">
        <f t="shared" si="18"/>
        <v/>
      </c>
      <c r="J221" s="695" t="str">
        <f>IF(N221="","",MID(Ingredient_prices!F216,9,2))</f>
        <v/>
      </c>
      <c r="K221" s="692" t="str">
        <f t="shared" si="21"/>
        <v/>
      </c>
      <c r="L221" s="692" t="str">
        <f>IF(N221="","",COUNTIF($P$9:$P$255,"&lt;"&amp;P221)+COUNTIF($P$9:P221,P221))</f>
        <v/>
      </c>
      <c r="M221" s="692" t="str">
        <f>IF(Ingredient_prices!E216=M220,"",Ingredient_prices!E216)</f>
        <v/>
      </c>
      <c r="N221" s="693" t="str">
        <f>_xlfn.IFNA(VLOOKUP($M221,Sedmica_2_količina_sva_sastojak!$C:$E,3,FALSE),"")</f>
        <v/>
      </c>
      <c r="O221" s="696" t="str">
        <f>IF(N221="","",COUNTIF($P$9:$P$255,"&lt;"&amp;P221)+COUNTIF($P$9:P221,P221))</f>
        <v/>
      </c>
      <c r="P221" s="694" t="str">
        <f t="shared" si="22"/>
        <v/>
      </c>
    </row>
    <row r="222" spans="1:17">
      <c r="A222" s="470">
        <v>214</v>
      </c>
      <c r="B222" s="451" t="str">
        <f t="shared" si="19"/>
        <v/>
      </c>
      <c r="C222" s="462" t="str">
        <f t="shared" si="20"/>
        <v/>
      </c>
      <c r="D222" s="446" t="str">
        <f>IF(B222="Jaje kokošje, celo",IF(C222=INT(C222),C222,C222+1),IF(B222=""," ",_xlfn.IFNA(INT(C222*1000/(VLOOKUP($B222,Ingredient_prices!$E:$J,6,FALSE)))+1,"nije nabavljen")))</f>
        <v xml:space="preserve"> </v>
      </c>
      <c r="E222" s="446" t="str">
        <f>IF(C222="","",VLOOKUP($B222,Ingredient_prices!$E:$K,7,FALSE))</f>
        <v/>
      </c>
      <c r="F222" s="462" t="str">
        <f>IF(C222="","",_xlfn.IFNA((VLOOKUP($B222,Ingredient_prices!$E:$P,11,FALSE)*I222),""))</f>
        <v/>
      </c>
      <c r="G222" s="450" t="str">
        <f>IF(C222="","",_xlfn.IFNA(MID(VLOOKUP($B222,Ingredient_prices!$E:$F,2,FALSE),9,2),""))</f>
        <v/>
      </c>
      <c r="H222" s="447" t="str">
        <f>_xlfn.IFNA(VLOOKUP(CONCATENATE($I$8,$G222),Ingredient_prices!$G:$N,8,FALSE),"")</f>
        <v/>
      </c>
      <c r="I222" s="548" t="str">
        <f t="shared" si="18"/>
        <v/>
      </c>
      <c r="J222" s="695" t="str">
        <f>IF(N222="","",MID(Ingredient_prices!F217,9,2))</f>
        <v/>
      </c>
      <c r="K222" s="692" t="str">
        <f t="shared" si="21"/>
        <v/>
      </c>
      <c r="L222" s="692" t="str">
        <f>IF(N222="","",COUNTIF($P$9:$P$255,"&lt;"&amp;P222)+COUNTIF($P$9:P222,P222))</f>
        <v/>
      </c>
      <c r="M222" s="692" t="str">
        <f>IF(Ingredient_prices!E217=M221,"",Ingredient_prices!E217)</f>
        <v/>
      </c>
      <c r="N222" s="693" t="str">
        <f>_xlfn.IFNA(VLOOKUP($M222,Sedmica_2_količina_sva_sastojak!$C:$E,3,FALSE),"")</f>
        <v/>
      </c>
      <c r="O222" s="696" t="str">
        <f>IF(N222="","",COUNTIF($P$9:$P$255,"&lt;"&amp;P222)+COUNTIF($P$9:P222,P222))</f>
        <v/>
      </c>
      <c r="P222" s="694" t="str">
        <f t="shared" si="22"/>
        <v/>
      </c>
    </row>
    <row r="223" spans="1:17">
      <c r="A223" s="470">
        <v>215</v>
      </c>
      <c r="B223" s="451" t="str">
        <f t="shared" si="19"/>
        <v/>
      </c>
      <c r="C223" s="462" t="str">
        <f t="shared" si="20"/>
        <v/>
      </c>
      <c r="D223" s="446" t="str">
        <f>IF(B223="Jaje kokošje, celo",IF(C223=INT(C223),C223,C223+1),IF(B223=""," ",_xlfn.IFNA(INT(C223*1000/(VLOOKUP($B223,Ingredient_prices!$E:$J,6,FALSE)))+1,"nije nabavljen")))</f>
        <v xml:space="preserve"> </v>
      </c>
      <c r="E223" s="446" t="str">
        <f>IF(C223="","",VLOOKUP($B223,Ingredient_prices!$E:$K,7,FALSE))</f>
        <v/>
      </c>
      <c r="F223" s="462" t="str">
        <f>IF(C223="","",_xlfn.IFNA((VLOOKUP($B223,Ingredient_prices!$E:$P,11,FALSE)*I223),""))</f>
        <v/>
      </c>
      <c r="G223" s="450" t="str">
        <f>IF(C223="","",_xlfn.IFNA(MID(VLOOKUP($B223,Ingredient_prices!$E:$F,2,FALSE),9,2),""))</f>
        <v/>
      </c>
      <c r="H223" s="447" t="str">
        <f>_xlfn.IFNA(VLOOKUP(CONCATENATE($I$8,$G223),Ingredient_prices!$G:$N,8,FALSE),"")</f>
        <v/>
      </c>
      <c r="I223" s="548" t="str">
        <f t="shared" si="18"/>
        <v/>
      </c>
      <c r="J223" s="695" t="str">
        <f>IF(N223="","",MID(Ingredient_prices!F218,9,2))</f>
        <v/>
      </c>
      <c r="K223" s="692" t="str">
        <f t="shared" si="21"/>
        <v/>
      </c>
      <c r="L223" s="692" t="str">
        <f>IF(N223="","",COUNTIF($P$9:$P$255,"&lt;"&amp;P223)+COUNTIF($P$9:P223,P223))</f>
        <v/>
      </c>
      <c r="M223" s="692" t="str">
        <f>IF(Ingredient_prices!E218=M222,"",Ingredient_prices!E218)</f>
        <v/>
      </c>
      <c r="N223" s="693" t="str">
        <f>_xlfn.IFNA(VLOOKUP($M223,Sedmica_2_količina_sva_sastojak!$C:$E,3,FALSE),"")</f>
        <v/>
      </c>
      <c r="O223" s="696" t="str">
        <f>IF(N223="","",COUNTIF($P$9:$P$255,"&lt;"&amp;P223)+COUNTIF($P$9:P223,P223))</f>
        <v/>
      </c>
      <c r="P223" s="694" t="str">
        <f t="shared" si="22"/>
        <v/>
      </c>
    </row>
    <row r="224" spans="1:17">
      <c r="A224" s="470">
        <v>216</v>
      </c>
      <c r="B224" s="451" t="str">
        <f t="shared" si="19"/>
        <v/>
      </c>
      <c r="C224" s="462" t="str">
        <f t="shared" si="20"/>
        <v/>
      </c>
      <c r="D224" s="446" t="str">
        <f>IF(B224="Jaje kokošje, celo",IF(C224=INT(C224),C224,C224+1),IF(B224=""," ",_xlfn.IFNA(INT(C224*1000/(VLOOKUP($B224,Ingredient_prices!$E:$J,6,FALSE)))+1,"nije nabavljen")))</f>
        <v xml:space="preserve"> </v>
      </c>
      <c r="E224" s="446" t="str">
        <f>IF(C224="","",VLOOKUP($B224,Ingredient_prices!$E:$K,7,FALSE))</f>
        <v/>
      </c>
      <c r="F224" s="462" t="str">
        <f>IF(C224="","",_xlfn.IFNA((VLOOKUP($B224,Ingredient_prices!$E:$P,11,FALSE)*I224),""))</f>
        <v/>
      </c>
      <c r="G224" s="450" t="str">
        <f>IF(C224="","",_xlfn.IFNA(MID(VLOOKUP($B224,Ingredient_prices!$E:$F,2,FALSE),9,2),""))</f>
        <v/>
      </c>
      <c r="H224" s="447" t="str">
        <f>_xlfn.IFNA(VLOOKUP(CONCATENATE($I$8,$G224),Ingredient_prices!$G:$N,8,FALSE),"")</f>
        <v/>
      </c>
      <c r="I224" s="548" t="str">
        <f t="shared" si="18"/>
        <v/>
      </c>
      <c r="J224" s="695" t="str">
        <f>IF(N224="","",MID(Ingredient_prices!F219,9,2))</f>
        <v/>
      </c>
      <c r="K224" s="692" t="str">
        <f t="shared" si="21"/>
        <v/>
      </c>
      <c r="L224" s="692" t="str">
        <f>IF(N224="","",COUNTIF($P$9:$P$255,"&lt;"&amp;P224)+COUNTIF($P$9:P224,P224))</f>
        <v/>
      </c>
      <c r="M224" s="692" t="str">
        <f>IF(Ingredient_prices!E219=M223,"",Ingredient_prices!E219)</f>
        <v/>
      </c>
      <c r="N224" s="693" t="str">
        <f>_xlfn.IFNA(VLOOKUP($M224,Sedmica_2_količina_sva_sastojak!$C:$E,3,FALSE),"")</f>
        <v/>
      </c>
      <c r="O224" s="696" t="str">
        <f>IF(N224="","",COUNTIF($P$9:$P$255,"&lt;"&amp;P224)+COUNTIF($P$9:P224,P224))</f>
        <v/>
      </c>
      <c r="P224" s="694" t="str">
        <f t="shared" si="22"/>
        <v/>
      </c>
    </row>
    <row r="225" spans="1:17">
      <c r="A225" s="470">
        <v>217</v>
      </c>
      <c r="B225" s="451" t="str">
        <f t="shared" si="19"/>
        <v/>
      </c>
      <c r="C225" s="462" t="str">
        <f t="shared" si="20"/>
        <v/>
      </c>
      <c r="D225" s="446" t="str">
        <f>IF(B225="Jaje kokošje, celo",IF(C225=INT(C225),C225,C225+1),IF(B225=""," ",_xlfn.IFNA(INT(C225*1000/(VLOOKUP($B225,Ingredient_prices!$E:$J,6,FALSE)))+1,"nije nabavljen")))</f>
        <v xml:space="preserve"> </v>
      </c>
      <c r="E225" s="446" t="str">
        <f>IF(C225="","",VLOOKUP($B225,Ingredient_prices!$E:$K,7,FALSE))</f>
        <v/>
      </c>
      <c r="F225" s="462" t="str">
        <f>IF(C225="","",_xlfn.IFNA((VLOOKUP($B225,Ingredient_prices!$E:$P,11,FALSE)*I225),""))</f>
        <v/>
      </c>
      <c r="G225" s="450" t="str">
        <f>IF(C225="","",_xlfn.IFNA(MID(VLOOKUP($B225,Ingredient_prices!$E:$F,2,FALSE),9,2),""))</f>
        <v/>
      </c>
      <c r="H225" s="447" t="str">
        <f>_xlfn.IFNA(VLOOKUP(CONCATENATE($I$8,$G225),Ingredient_prices!$G:$N,8,FALSE),"")</f>
        <v/>
      </c>
      <c r="I225" s="548" t="str">
        <f t="shared" si="18"/>
        <v/>
      </c>
      <c r="J225" s="695" t="str">
        <f>IF(N225="","",MID(Ingredient_prices!F220,9,2))</f>
        <v/>
      </c>
      <c r="K225" s="692" t="str">
        <f t="shared" si="21"/>
        <v/>
      </c>
      <c r="L225" s="692" t="str">
        <f>IF(N225="","",COUNTIF($P$9:$P$255,"&lt;"&amp;P225)+COUNTIF($P$9:P225,P225))</f>
        <v/>
      </c>
      <c r="M225" s="692" t="str">
        <f>IF(Ingredient_prices!E220=M224,"",Ingredient_prices!E220)</f>
        <v/>
      </c>
      <c r="N225" s="693" t="str">
        <f>_xlfn.IFNA(VLOOKUP($M225,Sedmica_2_količina_sva_sastojak!$C:$E,3,FALSE),"")</f>
        <v/>
      </c>
      <c r="O225" s="696" t="str">
        <f>IF(N225="","",COUNTIF($P$9:$P$255,"&lt;"&amp;P225)+COUNTIF($P$9:P225,P225))</f>
        <v/>
      </c>
      <c r="P225" s="694" t="str">
        <f t="shared" si="22"/>
        <v/>
      </c>
    </row>
    <row r="226" spans="1:17">
      <c r="A226" s="470">
        <v>218</v>
      </c>
      <c r="B226" s="451" t="str">
        <f t="shared" si="19"/>
        <v/>
      </c>
      <c r="C226" s="462" t="str">
        <f t="shared" si="20"/>
        <v/>
      </c>
      <c r="D226" s="446" t="str">
        <f>IF(B226="Jaje kokošje, celo",IF(C226=INT(C226),C226,C226+1),IF(B226=""," ",_xlfn.IFNA(INT(C226*1000/(VLOOKUP($B226,Ingredient_prices!$E:$J,6,FALSE)))+1,"nije nabavljen")))</f>
        <v xml:space="preserve"> </v>
      </c>
      <c r="E226" s="446" t="str">
        <f>IF(C226="","",VLOOKUP($B226,Ingredient_prices!$E:$K,7,FALSE))</f>
        <v/>
      </c>
      <c r="F226" s="462" t="str">
        <f>IF(C226="","",_xlfn.IFNA((VLOOKUP($B226,Ingredient_prices!$E:$P,11,FALSE)*I226),""))</f>
        <v/>
      </c>
      <c r="G226" s="450" t="str">
        <f>IF(C226="","",_xlfn.IFNA(MID(VLOOKUP($B226,Ingredient_prices!$E:$F,2,FALSE),9,2),""))</f>
        <v/>
      </c>
      <c r="H226" s="447" t="str">
        <f>_xlfn.IFNA(VLOOKUP(CONCATENATE($I$8,$G226),Ingredient_prices!$G:$N,8,FALSE),"")</f>
        <v/>
      </c>
      <c r="I226" s="548" t="str">
        <f t="shared" si="18"/>
        <v/>
      </c>
      <c r="J226" s="695" t="str">
        <f>IF(N226="","",MID(Ingredient_prices!F221,9,2))</f>
        <v/>
      </c>
      <c r="K226" s="692" t="str">
        <f t="shared" si="21"/>
        <v/>
      </c>
      <c r="L226" s="692" t="str">
        <f>IF(N226="","",COUNTIF($P$9:$P$255,"&lt;"&amp;P226)+COUNTIF($P$9:P226,P226))</f>
        <v/>
      </c>
      <c r="M226" s="692" t="str">
        <f>IF(Ingredient_prices!E221=M225,"",Ingredient_prices!E221)</f>
        <v/>
      </c>
      <c r="N226" s="693" t="str">
        <f>_xlfn.IFNA(VLOOKUP($M226,Sedmica_2_količina_sva_sastojak!$C:$E,3,FALSE),"")</f>
        <v/>
      </c>
      <c r="O226" s="696" t="str">
        <f>IF(N226="","",COUNTIF($P$9:$P$255,"&lt;"&amp;P226)+COUNTIF($P$9:P226,P226))</f>
        <v/>
      </c>
      <c r="P226" s="694" t="str">
        <f t="shared" si="22"/>
        <v/>
      </c>
    </row>
    <row r="227" spans="1:17">
      <c r="A227" s="470">
        <v>219</v>
      </c>
      <c r="B227" s="451" t="str">
        <f t="shared" si="19"/>
        <v/>
      </c>
      <c r="C227" s="462" t="str">
        <f t="shared" si="20"/>
        <v/>
      </c>
      <c r="D227" s="446" t="str">
        <f>IF(B227="Jaje kokošje, celo",IF(C227=INT(C227),C227,C227+1),IF(B227=""," ",_xlfn.IFNA(INT(C227*1000/(VLOOKUP($B227,Ingredient_prices!$E:$J,6,FALSE)))+1,"nije nabavljen")))</f>
        <v xml:space="preserve"> </v>
      </c>
      <c r="E227" s="446" t="str">
        <f>IF(C227="","",VLOOKUP($B227,Ingredient_prices!$E:$K,7,FALSE))</f>
        <v/>
      </c>
      <c r="F227" s="462" t="str">
        <f>IF(C227="","",_xlfn.IFNA((VLOOKUP($B227,Ingredient_prices!$E:$P,11,FALSE)*I227),""))</f>
        <v/>
      </c>
      <c r="G227" s="450" t="str">
        <f>IF(C227="","",_xlfn.IFNA(MID(VLOOKUP($B227,Ingredient_prices!$E:$F,2,FALSE),9,2),""))</f>
        <v/>
      </c>
      <c r="H227" s="447" t="str">
        <f>_xlfn.IFNA(VLOOKUP(CONCATENATE($I$8,$G227),Ingredient_prices!$G:$N,8,FALSE),"")</f>
        <v/>
      </c>
      <c r="I227" s="548" t="str">
        <f t="shared" si="18"/>
        <v/>
      </c>
      <c r="J227" s="695" t="str">
        <f>IF(N227="","",MID(Ingredient_prices!F222,9,2))</f>
        <v/>
      </c>
      <c r="K227" s="692" t="str">
        <f t="shared" si="21"/>
        <v/>
      </c>
      <c r="L227" s="692" t="str">
        <f>IF(N227="","",COUNTIF($P$9:$P$255,"&lt;"&amp;P227)+COUNTIF($P$9:P227,P227))</f>
        <v/>
      </c>
      <c r="M227" s="692" t="str">
        <f>IF(Ingredient_prices!E222=M226,"",Ingredient_prices!E222)</f>
        <v/>
      </c>
      <c r="N227" s="693" t="str">
        <f>_xlfn.IFNA(VLOOKUP($M227,Sedmica_2_količina_sva_sastojak!$C:$E,3,FALSE),"")</f>
        <v/>
      </c>
      <c r="O227" s="696" t="str">
        <f>IF(N227="","",COUNTIF($P$9:$P$255,"&lt;"&amp;P227)+COUNTIF($P$9:P227,P227))</f>
        <v/>
      </c>
      <c r="P227" s="694" t="str">
        <f t="shared" si="22"/>
        <v/>
      </c>
    </row>
    <row r="228" spans="1:17">
      <c r="A228" s="470">
        <v>220</v>
      </c>
      <c r="B228" s="451" t="str">
        <f t="shared" si="19"/>
        <v/>
      </c>
      <c r="C228" s="462" t="str">
        <f t="shared" si="20"/>
        <v/>
      </c>
      <c r="D228" s="446" t="str">
        <f>IF(B228="Jaje kokošje, celo",IF(C228=INT(C228),C228,C228+1),IF(B228=""," ",_xlfn.IFNA(INT(C228*1000/(VLOOKUP($B228,Ingredient_prices!$E:$J,6,FALSE)))+1,"nije nabavljen")))</f>
        <v xml:space="preserve"> </v>
      </c>
      <c r="E228" s="446" t="str">
        <f>IF(C228="","",VLOOKUP($B228,Ingredient_prices!$E:$K,7,FALSE))</f>
        <v/>
      </c>
      <c r="F228" s="462" t="str">
        <f>IF(C228="","",_xlfn.IFNA((VLOOKUP($B228,Ingredient_prices!$E:$P,11,FALSE)*I228),""))</f>
        <v/>
      </c>
      <c r="G228" s="450" t="str">
        <f>IF(C228="","",_xlfn.IFNA(MID(VLOOKUP($B228,Ingredient_prices!$E:$F,2,FALSE),9,2),""))</f>
        <v/>
      </c>
      <c r="H228" s="447" t="str">
        <f>_xlfn.IFNA(VLOOKUP(CONCATENATE($I$8,$G228),Ingredient_prices!$G:$N,8,FALSE),"")</f>
        <v/>
      </c>
      <c r="I228" s="548" t="str">
        <f t="shared" si="18"/>
        <v/>
      </c>
      <c r="J228" s="695" t="str">
        <f>IF(N228="","",MID(Ingredient_prices!F223,9,2))</f>
        <v/>
      </c>
      <c r="K228" s="692" t="str">
        <f t="shared" si="21"/>
        <v/>
      </c>
      <c r="L228" s="692" t="str">
        <f>IF(N228="","",COUNTIF($P$9:$P$255,"&lt;"&amp;P228)+COUNTIF($P$9:P228,P228))</f>
        <v/>
      </c>
      <c r="M228" s="692" t="str">
        <f>IF(Ingredient_prices!E223=M227,"",Ingredient_prices!E223)</f>
        <v/>
      </c>
      <c r="N228" s="693" t="str">
        <f>_xlfn.IFNA(VLOOKUP($M228,Sedmica_2_količina_sva_sastojak!$C:$E,3,FALSE),"")</f>
        <v/>
      </c>
      <c r="O228" s="696" t="str">
        <f>IF(N228="","",COUNTIF($P$9:$P$255,"&lt;"&amp;P228)+COUNTIF($P$9:P228,P228))</f>
        <v/>
      </c>
      <c r="P228" s="694" t="str">
        <f t="shared" si="22"/>
        <v/>
      </c>
    </row>
    <row r="229" spans="1:17">
      <c r="A229" s="470">
        <v>221</v>
      </c>
      <c r="B229" s="451" t="str">
        <f t="shared" si="19"/>
        <v/>
      </c>
      <c r="C229" s="462" t="str">
        <f t="shared" si="20"/>
        <v/>
      </c>
      <c r="D229" s="446" t="str">
        <f>IF(B229="Jaje kokošje, celo",IF(C229=INT(C229),C229,C229+1),IF(B229=""," ",_xlfn.IFNA(INT(C229*1000/(VLOOKUP($B229,Ingredient_prices!$E:$J,6,FALSE)))+1,"nije nabavljen")))</f>
        <v xml:space="preserve"> </v>
      </c>
      <c r="E229" s="446" t="str">
        <f>IF(C229="","",VLOOKUP($B229,Ingredient_prices!$E:$K,7,FALSE))</f>
        <v/>
      </c>
      <c r="F229" s="462" t="str">
        <f>IF(C229="","",_xlfn.IFNA((VLOOKUP($B229,Ingredient_prices!$E:$P,11,FALSE)*I229),""))</f>
        <v/>
      </c>
      <c r="G229" s="450" t="str">
        <f>IF(C229="","",_xlfn.IFNA(MID(VLOOKUP($B229,Ingredient_prices!$E:$F,2,FALSE),9,2),""))</f>
        <v/>
      </c>
      <c r="H229" s="447" t="str">
        <f>_xlfn.IFNA(VLOOKUP(CONCATENATE($I$8,$G229),Ingredient_prices!$G:$N,8,FALSE),"")</f>
        <v/>
      </c>
      <c r="I229" s="548" t="str">
        <f t="shared" si="18"/>
        <v/>
      </c>
      <c r="J229" s="695" t="str">
        <f>IF(N229="","",MID(Ingredient_prices!F224,9,2))</f>
        <v/>
      </c>
      <c r="K229" s="692" t="str">
        <f t="shared" si="21"/>
        <v/>
      </c>
      <c r="L229" s="692" t="str">
        <f>IF(N229="","",COUNTIF($P$9:$P$255,"&lt;"&amp;P229)+COUNTIF($P$9:P229,P229))</f>
        <v/>
      </c>
      <c r="M229" s="692" t="str">
        <f>IF(Ingredient_prices!E224=M228,"",Ingredient_prices!E224)</f>
        <v/>
      </c>
      <c r="N229" s="693" t="str">
        <f>_xlfn.IFNA(VLOOKUP($M229,Sedmica_2_količina_sva_sastojak!$C:$E,3,FALSE),"")</f>
        <v/>
      </c>
      <c r="O229" s="696" t="str">
        <f>IF(N229="","",COUNTIF($P$9:$P$255,"&lt;"&amp;P229)+COUNTIF($P$9:P229,P229))</f>
        <v/>
      </c>
      <c r="P229" s="694" t="str">
        <f t="shared" si="22"/>
        <v/>
      </c>
    </row>
    <row r="230" spans="1:17">
      <c r="A230" s="470">
        <v>222</v>
      </c>
      <c r="B230" s="451" t="str">
        <f t="shared" si="19"/>
        <v/>
      </c>
      <c r="C230" s="462" t="str">
        <f t="shared" si="20"/>
        <v/>
      </c>
      <c r="D230" s="446" t="str">
        <f>IF(B230="Jaje kokošje, celo",IF(C230=INT(C230),C230,C230+1),IF(B230=""," ",_xlfn.IFNA(INT(C230*1000/(VLOOKUP($B230,Ingredient_prices!$E:$J,6,FALSE)))+1,"nije nabavljen")))</f>
        <v xml:space="preserve"> </v>
      </c>
      <c r="E230" s="446" t="str">
        <f>IF(C230="","",VLOOKUP($B230,Ingredient_prices!$E:$K,7,FALSE))</f>
        <v/>
      </c>
      <c r="F230" s="462" t="str">
        <f>IF(C230="","",_xlfn.IFNA((VLOOKUP($B230,Ingredient_prices!$E:$P,11,FALSE)*I230),""))</f>
        <v/>
      </c>
      <c r="G230" s="450" t="str">
        <f>IF(C230="","",_xlfn.IFNA(MID(VLOOKUP($B230,Ingredient_prices!$E:$F,2,FALSE),9,2),""))</f>
        <v/>
      </c>
      <c r="H230" s="447" t="str">
        <f>_xlfn.IFNA(VLOOKUP(CONCATENATE($I$8,$G230),Ingredient_prices!$G:$N,8,FALSE),"")</f>
        <v/>
      </c>
      <c r="I230" s="548" t="str">
        <f t="shared" si="18"/>
        <v/>
      </c>
      <c r="J230" s="695" t="str">
        <f>IF(N230="","",MID(Ingredient_prices!F225,9,2))</f>
        <v/>
      </c>
      <c r="K230" s="692" t="str">
        <f t="shared" si="21"/>
        <v/>
      </c>
      <c r="L230" s="692" t="str">
        <f>IF(N230="","",COUNTIF($P$9:$P$255,"&lt;"&amp;P230)+COUNTIF($P$9:P230,P230))</f>
        <v/>
      </c>
      <c r="M230" s="692" t="str">
        <f>IF(Ingredient_prices!E225=M229,"",Ingredient_prices!E225)</f>
        <v/>
      </c>
      <c r="N230" s="693" t="str">
        <f>_xlfn.IFNA(VLOOKUP($M230,Sedmica_2_količina_sva_sastojak!$C:$E,3,FALSE),"")</f>
        <v/>
      </c>
      <c r="O230" s="696" t="str">
        <f>IF(N230="","",COUNTIF($P$9:$P$255,"&lt;"&amp;P230)+COUNTIF($P$9:P230,P230))</f>
        <v/>
      </c>
      <c r="P230" s="694" t="str">
        <f t="shared" si="22"/>
        <v/>
      </c>
    </row>
    <row r="231" spans="1:17">
      <c r="A231" s="470">
        <v>223</v>
      </c>
      <c r="B231" s="451" t="str">
        <f t="shared" si="19"/>
        <v/>
      </c>
      <c r="C231" s="462" t="str">
        <f t="shared" si="20"/>
        <v/>
      </c>
      <c r="D231" s="446" t="str">
        <f>IF(B231="Jaje kokošje, celo",IF(C231=INT(C231),C231,C231+1),IF(B231=""," ",_xlfn.IFNA(INT(C231*1000/(VLOOKUP($B231,Ingredient_prices!$E:$J,6,FALSE)))+1,"nije nabavljen")))</f>
        <v xml:space="preserve"> </v>
      </c>
      <c r="E231" s="446" t="str">
        <f>IF(C231="","",VLOOKUP($B231,Ingredient_prices!$E:$K,7,FALSE))</f>
        <v/>
      </c>
      <c r="F231" s="462" t="str">
        <f>IF(C231="","",_xlfn.IFNA((VLOOKUP($B231,Ingredient_prices!$E:$P,11,FALSE)*I231),""))</f>
        <v/>
      </c>
      <c r="G231" s="450" t="str">
        <f>IF(C231="","",_xlfn.IFNA(MID(VLOOKUP($B231,Ingredient_prices!$E:$F,2,FALSE),9,2),""))</f>
        <v/>
      </c>
      <c r="H231" s="447" t="str">
        <f>_xlfn.IFNA(VLOOKUP(CONCATENATE($I$8,$G231),Ingredient_prices!$G:$N,8,FALSE),"")</f>
        <v/>
      </c>
      <c r="I231" s="548" t="str">
        <f t="shared" si="18"/>
        <v/>
      </c>
      <c r="J231" s="695" t="str">
        <f>IF(N231="","",MID(Ingredient_prices!F226,9,2))</f>
        <v/>
      </c>
      <c r="K231" s="692" t="str">
        <f t="shared" si="21"/>
        <v/>
      </c>
      <c r="L231" s="692" t="str">
        <f>IF(N231="","",COUNTIF($P$9:$P$255,"&lt;"&amp;P231)+COUNTIF($P$9:P231,P231))</f>
        <v/>
      </c>
      <c r="M231" s="692" t="str">
        <f>IF(Ingredient_prices!E226=M230,"",Ingredient_prices!E226)</f>
        <v/>
      </c>
      <c r="N231" s="693" t="str">
        <f>_xlfn.IFNA(VLOOKUP($M231,Sedmica_2_količina_sva_sastojak!$C:$E,3,FALSE),"")</f>
        <v/>
      </c>
      <c r="O231" s="696" t="str">
        <f>IF(N231="","",COUNTIF($P$9:$P$255,"&lt;"&amp;P231)+COUNTIF($P$9:P231,P231))</f>
        <v/>
      </c>
      <c r="P231" s="694" t="str">
        <f t="shared" si="22"/>
        <v/>
      </c>
    </row>
    <row r="232" spans="1:17">
      <c r="A232" s="470">
        <v>224</v>
      </c>
      <c r="B232" s="451" t="str">
        <f t="shared" si="19"/>
        <v/>
      </c>
      <c r="C232" s="462" t="str">
        <f t="shared" si="20"/>
        <v/>
      </c>
      <c r="D232" s="446" t="str">
        <f>IF(B232="Jaje kokošje, celo",IF(C232=INT(C232),C232,C232+1),IF(B232=""," ",_xlfn.IFNA(INT(C232*1000/(VLOOKUP($B232,Ingredient_prices!$E:$J,6,FALSE)))+1,"nije nabavljen")))</f>
        <v xml:space="preserve"> </v>
      </c>
      <c r="E232" s="446" t="str">
        <f>IF(C232="","",VLOOKUP($B232,Ingredient_prices!$E:$K,7,FALSE))</f>
        <v/>
      </c>
      <c r="F232" s="462" t="str">
        <f>IF(C232="","",_xlfn.IFNA((VLOOKUP($B232,Ingredient_prices!$E:$P,11,FALSE)*I232),""))</f>
        <v/>
      </c>
      <c r="G232" s="450" t="str">
        <f>IF(C232="","",_xlfn.IFNA(MID(VLOOKUP($B232,Ingredient_prices!$E:$F,2,FALSE),9,2),""))</f>
        <v/>
      </c>
      <c r="H232" s="447" t="str">
        <f>_xlfn.IFNA(VLOOKUP(CONCATENATE($I$8,$G232),Ingredient_prices!$G:$N,8,FALSE),"")</f>
        <v/>
      </c>
      <c r="I232" s="548" t="str">
        <f t="shared" si="18"/>
        <v/>
      </c>
      <c r="J232" s="695" t="str">
        <f>IF(N232="","",MID(Ingredient_prices!F227,9,2))</f>
        <v/>
      </c>
      <c r="K232" s="692" t="str">
        <f t="shared" si="21"/>
        <v/>
      </c>
      <c r="L232" s="692" t="str">
        <f>IF(N232="","",COUNTIF($P$9:$P$255,"&lt;"&amp;P232)+COUNTIF($P$9:P232,P232))</f>
        <v/>
      </c>
      <c r="M232" s="692" t="str">
        <f>IF(Ingredient_prices!E227=M231,"",Ingredient_prices!E227)</f>
        <v/>
      </c>
      <c r="N232" s="693" t="str">
        <f>_xlfn.IFNA(VLOOKUP($M232,Sedmica_2_količina_sva_sastojak!$C:$E,3,FALSE),"")</f>
        <v/>
      </c>
      <c r="O232" s="696" t="str">
        <f>IF(N232="","",COUNTIF($P$9:$P$255,"&lt;"&amp;P232)+COUNTIF($P$9:P232,P232))</f>
        <v/>
      </c>
      <c r="P232" s="694" t="str">
        <f t="shared" si="22"/>
        <v/>
      </c>
    </row>
    <row r="233" spans="1:17">
      <c r="A233" s="470">
        <v>225</v>
      </c>
      <c r="B233" s="451" t="str">
        <f t="shared" si="19"/>
        <v/>
      </c>
      <c r="C233" s="462" t="str">
        <f t="shared" si="20"/>
        <v/>
      </c>
      <c r="D233" s="446" t="str">
        <f>IF(B233="Jaje kokošje, celo",IF(C233=INT(C233),C233,C233+1),IF(B233=""," ",_xlfn.IFNA(INT(C233*1000/(VLOOKUP($B233,Ingredient_prices!$E:$J,6,FALSE)))+1,"nije nabavljen")))</f>
        <v xml:space="preserve"> </v>
      </c>
      <c r="E233" s="446" t="str">
        <f>IF(C233="","",VLOOKUP($B233,Ingredient_prices!$E:$K,7,FALSE))</f>
        <v/>
      </c>
      <c r="F233" s="462" t="str">
        <f>IF(C233="","",_xlfn.IFNA((VLOOKUP($B233,Ingredient_prices!$E:$P,11,FALSE)*I233),""))</f>
        <v/>
      </c>
      <c r="G233" s="450" t="str">
        <f>IF(C233="","",_xlfn.IFNA(MID(VLOOKUP($B233,Ingredient_prices!$E:$F,2,FALSE),9,2),""))</f>
        <v/>
      </c>
      <c r="H233" s="447" t="str">
        <f>_xlfn.IFNA(VLOOKUP(CONCATENATE($I$8,$G233),Ingredient_prices!$G:$N,8,FALSE),"")</f>
        <v/>
      </c>
      <c r="I233" s="548" t="str">
        <f t="shared" si="18"/>
        <v/>
      </c>
      <c r="J233" s="695" t="str">
        <f>IF(N233="","",MID(Ingredient_prices!F228,9,2))</f>
        <v/>
      </c>
      <c r="K233" s="692" t="str">
        <f t="shared" si="21"/>
        <v/>
      </c>
      <c r="L233" s="692" t="str">
        <f>IF(N233="","",COUNTIF($P$9:$P$255,"&lt;"&amp;P233)+COUNTIF($P$9:P233,P233))</f>
        <v/>
      </c>
      <c r="M233" s="692" t="str">
        <f>IF(Ingredient_prices!E228=M232,"",Ingredient_prices!E228)</f>
        <v/>
      </c>
      <c r="N233" s="693" t="str">
        <f>_xlfn.IFNA(VLOOKUP($M233,Sedmica_2_količina_sva_sastojak!$C:$E,3,FALSE),"")</f>
        <v/>
      </c>
      <c r="O233" s="696" t="str">
        <f>IF(N233="","",COUNTIF($P$9:$P$255,"&lt;"&amp;P233)+COUNTIF($P$9:P233,P233))</f>
        <v/>
      </c>
      <c r="P233" s="694" t="str">
        <f t="shared" si="22"/>
        <v/>
      </c>
    </row>
    <row r="234" spans="1:17">
      <c r="A234" s="470">
        <v>226</v>
      </c>
      <c r="B234" s="451" t="str">
        <f t="shared" si="19"/>
        <v/>
      </c>
      <c r="C234" s="462" t="str">
        <f t="shared" si="20"/>
        <v/>
      </c>
      <c r="D234" s="446" t="str">
        <f>IF(B234="Jaje kokošje, celo",IF(C234=INT(C234),C234,C234+1),IF(B234=""," ",_xlfn.IFNA(INT(C234*1000/(VLOOKUP($B234,Ingredient_prices!$E:$J,6,FALSE)))+1,"nije nabavljen")))</f>
        <v xml:space="preserve"> </v>
      </c>
      <c r="E234" s="446" t="str">
        <f>IF(C234="","",VLOOKUP($B234,Ingredient_prices!$E:$K,7,FALSE))</f>
        <v/>
      </c>
      <c r="F234" s="462" t="str">
        <f>IF(C234="","",_xlfn.IFNA((VLOOKUP($B234,Ingredient_prices!$E:$P,11,FALSE)*I234),""))</f>
        <v/>
      </c>
      <c r="G234" s="450" t="str">
        <f>IF(C234="","",_xlfn.IFNA(MID(VLOOKUP($B234,Ingredient_prices!$E:$F,2,FALSE),9,2),""))</f>
        <v/>
      </c>
      <c r="H234" s="447" t="str">
        <f>_xlfn.IFNA(VLOOKUP(CONCATENATE($I$8,$G234),Ingredient_prices!$G:$N,8,FALSE),"")</f>
        <v/>
      </c>
      <c r="I234" s="548" t="str">
        <f t="shared" ref="I234:I255" si="23">IFERROR(IF(MOD(D234,1)&gt;0.5,1+D234-MOD(D234,1),D234-MOD(D234,1)),"")</f>
        <v/>
      </c>
      <c r="J234" s="695" t="str">
        <f>IF(N234="","",MID(Ingredient_prices!F229,9,2))</f>
        <v/>
      </c>
      <c r="K234" s="692" t="str">
        <f t="shared" si="21"/>
        <v/>
      </c>
      <c r="L234" s="692" t="str">
        <f>IF(N234="","",COUNTIF($P$9:$P$255,"&lt;"&amp;P234)+COUNTIF($P$9:P234,P234))</f>
        <v/>
      </c>
      <c r="M234" s="692" t="str">
        <f>IF(Ingredient_prices!E229=M233,"",Ingredient_prices!E229)</f>
        <v/>
      </c>
      <c r="N234" s="693" t="str">
        <f>_xlfn.IFNA(VLOOKUP($M234,Sedmica_2_količina_sva_sastojak!$C:$E,3,FALSE),"")</f>
        <v/>
      </c>
      <c r="O234" s="696" t="str">
        <f>IF(N234="","",COUNTIF($P$9:$P$255,"&lt;"&amp;P234)+COUNTIF($P$9:P234,P234))</f>
        <v/>
      </c>
      <c r="P234" s="694" t="str">
        <f t="shared" si="22"/>
        <v/>
      </c>
    </row>
    <row r="235" spans="1:17">
      <c r="A235" s="470">
        <v>227</v>
      </c>
      <c r="B235" s="451" t="str">
        <f t="shared" si="19"/>
        <v/>
      </c>
      <c r="C235" s="462" t="str">
        <f t="shared" si="20"/>
        <v/>
      </c>
      <c r="D235" s="446" t="str">
        <f>IF(B235="Jaje kokošje, celo",IF(C235=INT(C235),C235,C235+1),IF(B235=""," ",_xlfn.IFNA(INT(C235*1000/(VLOOKUP($B235,Ingredient_prices!$E:$J,6,FALSE)))+1,"nije nabavljen")))</f>
        <v xml:space="preserve"> </v>
      </c>
      <c r="E235" s="446" t="str">
        <f>IF(C235="","",VLOOKUP($B235,Ingredient_prices!$E:$K,7,FALSE))</f>
        <v/>
      </c>
      <c r="F235" s="462" t="str">
        <f>IF(C235="","",_xlfn.IFNA((VLOOKUP($B235,Ingredient_prices!$E:$P,11,FALSE)*I235),""))</f>
        <v/>
      </c>
      <c r="G235" s="450" t="str">
        <f>IF(C235="","",_xlfn.IFNA(MID(VLOOKUP($B235,Ingredient_prices!$E:$F,2,FALSE),9,2),""))</f>
        <v/>
      </c>
      <c r="H235" s="447" t="str">
        <f>_xlfn.IFNA(VLOOKUP(CONCATENATE($I$8,$G235),Ingredient_prices!$G:$N,8,FALSE),"")</f>
        <v/>
      </c>
      <c r="I235" s="548" t="str">
        <f t="shared" si="23"/>
        <v/>
      </c>
      <c r="J235" s="695" t="str">
        <f>IF(N235="","",MID(Ingredient_prices!F230,9,2))</f>
        <v/>
      </c>
      <c r="K235" s="692" t="str">
        <f t="shared" si="21"/>
        <v/>
      </c>
      <c r="L235" s="692" t="str">
        <f>IF(N235="","",COUNTIF($P$9:$P$255,"&lt;"&amp;P235)+COUNTIF($P$9:P235,P235))</f>
        <v/>
      </c>
      <c r="M235" s="692" t="str">
        <f>IF(Ingredient_prices!E230=M234,"",Ingredient_prices!E230)</f>
        <v/>
      </c>
      <c r="N235" s="693" t="str">
        <f>_xlfn.IFNA(VLOOKUP($M235,Sedmica_2_količina_sva_sastojak!$C:$E,3,FALSE),"")</f>
        <v/>
      </c>
      <c r="O235" s="696" t="str">
        <f>IF(N235="","",COUNTIF($P$9:$P$255,"&lt;"&amp;P235)+COUNTIF($P$9:P235,P235))</f>
        <v/>
      </c>
      <c r="P235" s="694" t="str">
        <f t="shared" si="22"/>
        <v/>
      </c>
    </row>
    <row r="236" spans="1:17">
      <c r="A236" s="470">
        <v>228</v>
      </c>
      <c r="B236" s="451" t="str">
        <f t="shared" si="19"/>
        <v/>
      </c>
      <c r="C236" s="462" t="str">
        <f t="shared" si="20"/>
        <v/>
      </c>
      <c r="D236" s="446" t="str">
        <f>IF(B236="Jaje kokošje, celo",IF(C236=INT(C236),C236,C236+1),IF(B236=""," ",_xlfn.IFNA(INT(C236*1000/(VLOOKUP($B236,Ingredient_prices!$E:$J,6,FALSE)))+1,"nije nabavljen")))</f>
        <v xml:space="preserve"> </v>
      </c>
      <c r="E236" s="446" t="str">
        <f>IF(C236="","",VLOOKUP($B236,Ingredient_prices!$E:$K,7,FALSE))</f>
        <v/>
      </c>
      <c r="F236" s="462" t="str">
        <f>IF(C236="","",_xlfn.IFNA((VLOOKUP($B236,Ingredient_prices!$E:$P,11,FALSE)*I236),""))</f>
        <v/>
      </c>
      <c r="G236" s="450" t="str">
        <f>IF(C236="","",_xlfn.IFNA(MID(VLOOKUP($B236,Ingredient_prices!$E:$F,2,FALSE),9,2),""))</f>
        <v/>
      </c>
      <c r="H236" s="447" t="str">
        <f>_xlfn.IFNA(VLOOKUP(CONCATENATE($I$8,$G236),Ingredient_prices!$G:$N,8,FALSE),"")</f>
        <v/>
      </c>
      <c r="I236" s="548" t="str">
        <f t="shared" si="23"/>
        <v/>
      </c>
      <c r="J236" s="695" t="str">
        <f>IF(N236="","",MID(Ingredient_prices!F231,9,2))</f>
        <v/>
      </c>
      <c r="K236" s="692" t="str">
        <f t="shared" si="21"/>
        <v/>
      </c>
      <c r="L236" s="692" t="str">
        <f>IF(N236="","",COUNTIF($P$9:$P$255,"&lt;"&amp;P236)+COUNTIF($P$9:P236,P236))</f>
        <v/>
      </c>
      <c r="M236" s="692" t="str">
        <f>IF(Ingredient_prices!E231=M235,"",Ingredient_prices!E231)</f>
        <v/>
      </c>
      <c r="N236" s="693" t="str">
        <f>_xlfn.IFNA(VLOOKUP($M236,Sedmica_2_količina_sva_sastojak!$C:$E,3,FALSE),"")</f>
        <v/>
      </c>
      <c r="O236" s="696" t="str">
        <f>IF(N236="","",COUNTIF($P$9:$P$255,"&lt;"&amp;P236)+COUNTIF($P$9:P236,P236))</f>
        <v/>
      </c>
      <c r="P236" s="694" t="str">
        <f t="shared" si="22"/>
        <v/>
      </c>
    </row>
    <row r="237" spans="1:17">
      <c r="A237" s="470">
        <v>229</v>
      </c>
      <c r="B237" s="451" t="str">
        <f t="shared" si="19"/>
        <v/>
      </c>
      <c r="C237" s="462" t="str">
        <f t="shared" si="20"/>
        <v/>
      </c>
      <c r="D237" s="446" t="str">
        <f>IF(B237="Jaje kokošje, celo",IF(C237=INT(C237),C237,C237+1),IF(B237=""," ",_xlfn.IFNA(INT(C237*1000/(VLOOKUP($B237,Ingredient_prices!$E:$J,6,FALSE)))+1,"nije nabavljen")))</f>
        <v xml:space="preserve"> </v>
      </c>
      <c r="E237" s="446" t="str">
        <f>IF(C237="","",VLOOKUP($B237,Ingredient_prices!$E:$K,7,FALSE))</f>
        <v/>
      </c>
      <c r="F237" s="462" t="str">
        <f>IF(C237="","",_xlfn.IFNA((VLOOKUP($B237,Ingredient_prices!$E:$P,11,FALSE)*I237),""))</f>
        <v/>
      </c>
      <c r="G237" s="450" t="str">
        <f>IF(C237="","",_xlfn.IFNA(MID(VLOOKUP($B237,Ingredient_prices!$E:$F,2,FALSE),9,2),""))</f>
        <v/>
      </c>
      <c r="H237" s="447" t="str">
        <f>_xlfn.IFNA(VLOOKUP(CONCATENATE($I$8,$G237),Ingredient_prices!$G:$N,8,FALSE),"")</f>
        <v/>
      </c>
      <c r="I237" s="548" t="str">
        <f t="shared" si="23"/>
        <v/>
      </c>
      <c r="J237" s="695" t="str">
        <f>IF(N237="","",MID(Ingredient_prices!F232,9,2))</f>
        <v/>
      </c>
      <c r="K237" s="692" t="str">
        <f t="shared" si="21"/>
        <v/>
      </c>
      <c r="L237" s="692" t="str">
        <f>IF(N237="","",COUNTIF($P$9:$P$255,"&lt;"&amp;P237)+COUNTIF($P$9:P237,P237))</f>
        <v/>
      </c>
      <c r="M237" s="692" t="str">
        <f>IF(Ingredient_prices!E232=M236,"",Ingredient_prices!E232)</f>
        <v/>
      </c>
      <c r="N237" s="693" t="str">
        <f>_xlfn.IFNA(VLOOKUP($M237,Sedmica_2_količina_sva_sastojak!$C:$E,3,FALSE),"")</f>
        <v/>
      </c>
      <c r="O237" s="696" t="str">
        <f>IF(N237="","",COUNTIF($P$9:$P$255,"&lt;"&amp;P237)+COUNTIF($P$9:P237,P237))</f>
        <v/>
      </c>
      <c r="P237" s="694" t="str">
        <f t="shared" si="22"/>
        <v/>
      </c>
    </row>
    <row r="238" spans="1:17">
      <c r="A238" s="470">
        <v>230</v>
      </c>
      <c r="B238" s="451" t="str">
        <f t="shared" si="19"/>
        <v/>
      </c>
      <c r="C238" s="462" t="str">
        <f t="shared" si="20"/>
        <v/>
      </c>
      <c r="D238" s="446" t="str">
        <f>IF(B238="Jaje kokošje, celo",IF(C238=INT(C238),C238,C238+1),IF(B238=""," ",_xlfn.IFNA(INT(C238*1000/(VLOOKUP($B238,Ingredient_prices!$E:$J,6,FALSE)))+1,"nije nabavljen")))</f>
        <v xml:space="preserve"> </v>
      </c>
      <c r="E238" s="446" t="str">
        <f>IF(C238="","",VLOOKUP($B238,Ingredient_prices!$E:$K,7,FALSE))</f>
        <v/>
      </c>
      <c r="F238" s="462" t="str">
        <f>IF(C238="","",_xlfn.IFNA((VLOOKUP($B238,Ingredient_prices!$E:$P,11,FALSE)*I238),""))</f>
        <v/>
      </c>
      <c r="G238" s="450" t="str">
        <f>IF(C238="","",_xlfn.IFNA(MID(VLOOKUP($B238,Ingredient_prices!$E:$F,2,FALSE),9,2),""))</f>
        <v/>
      </c>
      <c r="H238" s="447" t="str">
        <f>_xlfn.IFNA(VLOOKUP(CONCATENATE($I$8,$G238),Ingredient_prices!$G:$N,8,FALSE),"")</f>
        <v/>
      </c>
      <c r="I238" s="548" t="str">
        <f t="shared" si="23"/>
        <v/>
      </c>
      <c r="J238" s="695" t="str">
        <f>IF(N238="","",MID(Ingredient_prices!F233,9,2))</f>
        <v/>
      </c>
      <c r="K238" s="692" t="str">
        <f t="shared" si="21"/>
        <v/>
      </c>
      <c r="L238" s="692" t="str">
        <f>IF(N238="","",COUNTIF($P$9:$P$255,"&lt;"&amp;P238)+COUNTIF($P$9:P238,P238))</f>
        <v/>
      </c>
      <c r="M238" s="692" t="str">
        <f>IF(Ingredient_prices!E233=M237,"",Ingredient_prices!E233)</f>
        <v/>
      </c>
      <c r="N238" s="693" t="str">
        <f>_xlfn.IFNA(VLOOKUP($M238,Sedmica_2_količina_sva_sastojak!$C:$E,3,FALSE),"")</f>
        <v/>
      </c>
      <c r="O238" s="696" t="str">
        <f>IF(N238="","",COUNTIF($P$9:$P$255,"&lt;"&amp;P238)+COUNTIF($P$9:P238,P238))</f>
        <v/>
      </c>
      <c r="P238" s="694" t="str">
        <f t="shared" si="22"/>
        <v/>
      </c>
    </row>
    <row r="239" spans="1:17">
      <c r="A239" s="470">
        <v>231</v>
      </c>
      <c r="B239" s="451" t="str">
        <f t="shared" si="19"/>
        <v/>
      </c>
      <c r="C239" s="462" t="str">
        <f t="shared" si="20"/>
        <v/>
      </c>
      <c r="D239" s="446" t="str">
        <f>IF(B239="Jaje kokošje, celo",IF(C239=INT(C239),C239,C239+1),IF(B239=""," ",_xlfn.IFNA(INT(C239*1000/(VLOOKUP($B239,Ingredient_prices!$E:$J,6,FALSE)))+1,"nije nabavljen")))</f>
        <v xml:space="preserve"> </v>
      </c>
      <c r="E239" s="446" t="str">
        <f>IF(C239="","",VLOOKUP($B239,Ingredient_prices!$E:$K,7,FALSE))</f>
        <v/>
      </c>
      <c r="F239" s="462" t="str">
        <f>IF(C239="","",_xlfn.IFNA((VLOOKUP($B239,Ingredient_prices!$E:$P,11,FALSE)*I239),""))</f>
        <v/>
      </c>
      <c r="G239" s="450" t="str">
        <f>IF(C239="","",_xlfn.IFNA(MID(VLOOKUP($B239,Ingredient_prices!$E:$F,2,FALSE),9,2),""))</f>
        <v/>
      </c>
      <c r="H239" s="447" t="str">
        <f>_xlfn.IFNA(VLOOKUP(CONCATENATE($I$8,$G239),Ingredient_prices!$G:$N,8,FALSE),"")</f>
        <v/>
      </c>
      <c r="I239" s="548" t="str">
        <f t="shared" si="23"/>
        <v/>
      </c>
      <c r="J239" s="695" t="str">
        <f>IF(N239="","",MID(Ingredient_prices!F234,9,2))</f>
        <v/>
      </c>
      <c r="K239" s="692" t="str">
        <f t="shared" si="21"/>
        <v/>
      </c>
      <c r="L239" s="692" t="str">
        <f>IF(N239="","",COUNTIF($P$9:$P$255,"&lt;"&amp;P239)+COUNTIF($P$9:P239,P239))</f>
        <v/>
      </c>
      <c r="M239" s="692" t="str">
        <f>IF(Ingredient_prices!E234=M238,"",Ingredient_prices!E234)</f>
        <v/>
      </c>
      <c r="N239" s="693" t="str">
        <f>_xlfn.IFNA(VLOOKUP($M239,Sedmica_2_količina_sva_sastojak!$C:$E,3,FALSE),"")</f>
        <v/>
      </c>
      <c r="O239" s="696" t="str">
        <f>IF(N239="","",COUNTIF($P$9:$P$255,"&lt;"&amp;P239)+COUNTIF($P$9:P239,P239))</f>
        <v/>
      </c>
      <c r="P239" s="694" t="str">
        <f t="shared" si="22"/>
        <v/>
      </c>
    </row>
    <row r="240" spans="1:17" s="445" customFormat="1">
      <c r="A240" s="470">
        <v>232</v>
      </c>
      <c r="B240" s="451" t="str">
        <f t="shared" si="19"/>
        <v/>
      </c>
      <c r="C240" s="462" t="str">
        <f t="shared" si="20"/>
        <v/>
      </c>
      <c r="D240" s="446" t="str">
        <f>IF(B240="Jaje kokošje, celo",IF(C240=INT(C240),C240,C240+1),IF(B240=""," ",_xlfn.IFNA(INT(C240*1000/(VLOOKUP($B240,Ingredient_prices!$E:$J,6,FALSE)))+1,"nije nabavljen")))</f>
        <v xml:space="preserve"> </v>
      </c>
      <c r="E240" s="446" t="str">
        <f>IF(C240="","",VLOOKUP($B240,Ingredient_prices!$E:$K,7,FALSE))</f>
        <v/>
      </c>
      <c r="F240" s="462" t="str">
        <f>IF(C240="","",_xlfn.IFNA((VLOOKUP($B240,Ingredient_prices!$E:$P,11,FALSE)*I240),""))</f>
        <v/>
      </c>
      <c r="G240" s="450" t="str">
        <f>IF(C240="","",_xlfn.IFNA(MID(VLOOKUP($B240,Ingredient_prices!$E:$F,2,FALSE),9,2),""))</f>
        <v/>
      </c>
      <c r="H240" s="447" t="str">
        <f>_xlfn.IFNA(VLOOKUP(CONCATENATE($I$8,$G240),Ingredient_prices!$G:$N,8,FALSE),"")</f>
        <v/>
      </c>
      <c r="I240" s="548" t="str">
        <f t="shared" si="23"/>
        <v/>
      </c>
      <c r="J240" s="695" t="str">
        <f>IF(N240="","",MID(Ingredient_prices!F235,9,2))</f>
        <v/>
      </c>
      <c r="K240" s="692" t="str">
        <f t="shared" si="21"/>
        <v/>
      </c>
      <c r="L240" s="692" t="str">
        <f>IF(N240="","",COUNTIF($P$9:$P$255,"&lt;"&amp;P240)+COUNTIF($P$9:P240,P240))</f>
        <v/>
      </c>
      <c r="M240" s="692" t="str">
        <f>IF(Ingredient_prices!E235=M239,"",Ingredient_prices!E235)</f>
        <v/>
      </c>
      <c r="N240" s="693" t="str">
        <f>_xlfn.IFNA(VLOOKUP($M240,Sedmica_2_količina_sva_sastojak!$C:$E,3,FALSE),"")</f>
        <v/>
      </c>
      <c r="O240" s="696" t="str">
        <f>IF(N240="","",COUNTIF($P$9:$P$255,"&lt;"&amp;P240)+COUNTIF($P$9:P240,P240))</f>
        <v/>
      </c>
      <c r="P240" s="694" t="str">
        <f t="shared" si="22"/>
        <v/>
      </c>
      <c r="Q240" s="692"/>
    </row>
    <row r="241" spans="1:17">
      <c r="A241" s="470">
        <v>233</v>
      </c>
      <c r="B241" s="451" t="str">
        <f t="shared" si="19"/>
        <v/>
      </c>
      <c r="C241" s="462" t="str">
        <f t="shared" si="20"/>
        <v/>
      </c>
      <c r="D241" s="446" t="str">
        <f>IF(B241="Jaje kokošje, celo",IF(C241=INT(C241),C241,C241+1),IF(B241=""," ",_xlfn.IFNA(INT(C241*1000/(VLOOKUP($B241,Ingredient_prices!$E:$J,6,FALSE)))+1,"nije nabavljen")))</f>
        <v xml:space="preserve"> </v>
      </c>
      <c r="E241" s="446" t="str">
        <f>IF(C241="","",VLOOKUP($B241,Ingredient_prices!$E:$K,7,FALSE))</f>
        <v/>
      </c>
      <c r="F241" s="462" t="str">
        <f>IF(C241="","",_xlfn.IFNA((VLOOKUP($B241,Ingredient_prices!$E:$P,11,FALSE)*I241),""))</f>
        <v/>
      </c>
      <c r="G241" s="450" t="str">
        <f>IF(C241="","",_xlfn.IFNA(MID(VLOOKUP($B241,Ingredient_prices!$E:$F,2,FALSE),9,2),""))</f>
        <v/>
      </c>
      <c r="H241" s="447" t="str">
        <f>_xlfn.IFNA(VLOOKUP(CONCATENATE($I$8,$G241),Ingredient_prices!$G:$N,8,FALSE),"")</f>
        <v/>
      </c>
      <c r="I241" s="548" t="str">
        <f t="shared" si="23"/>
        <v/>
      </c>
      <c r="J241" s="695" t="str">
        <f>IF(N241="","",MID(Ingredient_prices!F236,9,2))</f>
        <v/>
      </c>
      <c r="K241" s="692" t="str">
        <f t="shared" si="21"/>
        <v/>
      </c>
      <c r="L241" s="692" t="str">
        <f>IF(N241="","",COUNTIF($P$9:$P$255,"&lt;"&amp;P241)+COUNTIF($P$9:P241,P241))</f>
        <v/>
      </c>
      <c r="M241" s="692" t="str">
        <f>IF(Ingredient_prices!E236=M240,"",Ingredient_prices!E236)</f>
        <v/>
      </c>
      <c r="N241" s="693" t="str">
        <f>_xlfn.IFNA(VLOOKUP($M241,Sedmica_2_količina_sva_sastojak!$C:$E,3,FALSE),"")</f>
        <v/>
      </c>
      <c r="O241" s="696" t="str">
        <f>IF(N241="","",COUNTIF($P$9:$P$255,"&lt;"&amp;P241)+COUNTIF($P$9:P241,P241))</f>
        <v/>
      </c>
      <c r="P241" s="694" t="str">
        <f t="shared" si="22"/>
        <v/>
      </c>
    </row>
    <row r="242" spans="1:17">
      <c r="A242" s="470">
        <v>234</v>
      </c>
      <c r="B242" s="451" t="str">
        <f t="shared" si="19"/>
        <v/>
      </c>
      <c r="C242" s="462" t="str">
        <f t="shared" si="20"/>
        <v/>
      </c>
      <c r="D242" s="446" t="str">
        <f>IF(B242="Jaje kokošje, celo",IF(C242=INT(C242),C242,C242+1),IF(B242=""," ",_xlfn.IFNA(INT(C242*1000/(VLOOKUP($B242,Ingredient_prices!$E:$J,6,FALSE)))+1,"nije nabavljen")))</f>
        <v xml:space="preserve"> </v>
      </c>
      <c r="E242" s="446" t="str">
        <f>IF(C242="","",VLOOKUP($B242,Ingredient_prices!$E:$K,7,FALSE))</f>
        <v/>
      </c>
      <c r="F242" s="462" t="str">
        <f>IF(C242="","",_xlfn.IFNA((VLOOKUP($B242,Ingredient_prices!$E:$P,11,FALSE)*I242),""))</f>
        <v/>
      </c>
      <c r="G242" s="450" t="str">
        <f>IF(C242="","",_xlfn.IFNA(MID(VLOOKUP($B242,Ingredient_prices!$E:$F,2,FALSE),9,2),""))</f>
        <v/>
      </c>
      <c r="H242" s="447" t="str">
        <f>_xlfn.IFNA(VLOOKUP(CONCATENATE($I$8,$G242),Ingredient_prices!$G:$N,8,FALSE),"")</f>
        <v/>
      </c>
      <c r="I242" s="548" t="str">
        <f t="shared" si="23"/>
        <v/>
      </c>
      <c r="J242" s="695" t="str">
        <f>IF(N242="","",MID(Ingredient_prices!F237,9,2))</f>
        <v/>
      </c>
      <c r="K242" s="692" t="str">
        <f t="shared" si="21"/>
        <v/>
      </c>
      <c r="L242" s="692" t="str">
        <f>IF(N242="","",COUNTIF($P$9:$P$255,"&lt;"&amp;P242)+COUNTIF($P$9:P242,P242))</f>
        <v/>
      </c>
      <c r="M242" s="692" t="str">
        <f>IF(Ingredient_prices!E237=M241,"",Ingredient_prices!E237)</f>
        <v/>
      </c>
      <c r="N242" s="693" t="str">
        <f>_xlfn.IFNA(VLOOKUP($M242,Sedmica_2_količina_sva_sastojak!$C:$E,3,FALSE),"")</f>
        <v/>
      </c>
      <c r="O242" s="696" t="str">
        <f>IF(N242="","",COUNTIF($P$9:$P$255,"&lt;"&amp;P242)+COUNTIF($P$9:P242,P242))</f>
        <v/>
      </c>
      <c r="P242" s="694" t="str">
        <f t="shared" si="22"/>
        <v/>
      </c>
    </row>
    <row r="243" spans="1:17">
      <c r="A243" s="470">
        <v>235</v>
      </c>
      <c r="B243" s="451" t="str">
        <f t="shared" si="19"/>
        <v/>
      </c>
      <c r="C243" s="462" t="str">
        <f t="shared" si="20"/>
        <v/>
      </c>
      <c r="D243" s="446" t="str">
        <f>IF(B243="Jaje kokošje, celo",IF(C243=INT(C243),C243,C243+1),IF(B243=""," ",_xlfn.IFNA(INT(C243*1000/(VLOOKUP($B243,Ingredient_prices!$E:$J,6,FALSE)))+1,"nije nabavljen")))</f>
        <v xml:space="preserve"> </v>
      </c>
      <c r="E243" s="446" t="str">
        <f>IF(C243="","",VLOOKUP($B243,Ingredient_prices!$E:$K,7,FALSE))</f>
        <v/>
      </c>
      <c r="F243" s="462" t="str">
        <f>IF(C243="","",_xlfn.IFNA((VLOOKUP($B243,Ingredient_prices!$E:$P,11,FALSE)*I243),""))</f>
        <v/>
      </c>
      <c r="G243" s="450" t="str">
        <f>IF(C243="","",_xlfn.IFNA(MID(VLOOKUP($B243,Ingredient_prices!$E:$F,2,FALSE),9,2),""))</f>
        <v/>
      </c>
      <c r="H243" s="447" t="str">
        <f>_xlfn.IFNA(VLOOKUP(CONCATENATE($I$8,$G243),Ingredient_prices!$G:$N,8,FALSE),"")</f>
        <v/>
      </c>
      <c r="I243" s="548" t="str">
        <f t="shared" si="23"/>
        <v/>
      </c>
      <c r="J243" s="695" t="str">
        <f>IF(N243="","",MID(Ingredient_prices!F238,9,2))</f>
        <v/>
      </c>
      <c r="K243" s="692" t="str">
        <f t="shared" si="21"/>
        <v/>
      </c>
      <c r="L243" s="692" t="str">
        <f>IF(N243="","",COUNTIF($P$9:$P$255,"&lt;"&amp;P243)+COUNTIF($P$9:P243,P243))</f>
        <v/>
      </c>
      <c r="M243" s="692" t="str">
        <f>IF(Ingredient_prices!E238=M242,"",Ingredient_prices!E238)</f>
        <v/>
      </c>
      <c r="N243" s="693" t="str">
        <f>_xlfn.IFNA(VLOOKUP($M243,Sedmica_2_količina_sva_sastojak!$C:$E,3,FALSE),"")</f>
        <v/>
      </c>
      <c r="O243" s="696" t="str">
        <f>IF(N243="","",COUNTIF($P$9:$P$255,"&lt;"&amp;P243)+COUNTIF($P$9:P243,P243))</f>
        <v/>
      </c>
      <c r="P243" s="694" t="str">
        <f t="shared" si="22"/>
        <v/>
      </c>
    </row>
    <row r="244" spans="1:17">
      <c r="A244" s="470">
        <v>236</v>
      </c>
      <c r="B244" s="451" t="str">
        <f t="shared" si="19"/>
        <v/>
      </c>
      <c r="C244" s="462" t="str">
        <f t="shared" si="20"/>
        <v/>
      </c>
      <c r="D244" s="446" t="str">
        <f>IF(B244="Jaje kokošje, celo",IF(C244=INT(C244),C244,C244+1),IF(B244=""," ",_xlfn.IFNA(INT(C244*1000/(VLOOKUP($B244,Ingredient_prices!$E:$J,6,FALSE)))+1,"nije nabavljen")))</f>
        <v xml:space="preserve"> </v>
      </c>
      <c r="E244" s="446" t="str">
        <f>IF(C244="","",VLOOKUP($B244,Ingredient_prices!$E:$K,7,FALSE))</f>
        <v/>
      </c>
      <c r="F244" s="462" t="str">
        <f>IF(C244="","",_xlfn.IFNA((VLOOKUP($B244,Ingredient_prices!$E:$P,11,FALSE)*I244),""))</f>
        <v/>
      </c>
      <c r="G244" s="450" t="str">
        <f>IF(C244="","",_xlfn.IFNA(MID(VLOOKUP($B244,Ingredient_prices!$E:$F,2,FALSE),9,2),""))</f>
        <v/>
      </c>
      <c r="H244" s="447" t="str">
        <f>_xlfn.IFNA(VLOOKUP(CONCATENATE($I$8,$G244),Ingredient_prices!$G:$N,8,FALSE),"")</f>
        <v/>
      </c>
      <c r="I244" s="548" t="str">
        <f t="shared" si="23"/>
        <v/>
      </c>
      <c r="J244" s="695" t="str">
        <f>IF(N244="","",MID(Ingredient_prices!F239,9,2))</f>
        <v/>
      </c>
      <c r="K244" s="692" t="str">
        <f t="shared" si="21"/>
        <v/>
      </c>
      <c r="L244" s="692" t="str">
        <f>IF(N244="","",COUNTIF($P$9:$P$255,"&lt;"&amp;P244)+COUNTIF($P$9:P244,P244))</f>
        <v/>
      </c>
      <c r="M244" s="692" t="str">
        <f>IF(Ingredient_prices!E239=M243,"",Ingredient_prices!E239)</f>
        <v/>
      </c>
      <c r="N244" s="693" t="str">
        <f>_xlfn.IFNA(VLOOKUP($M244,Sedmica_2_količina_sva_sastojak!$C:$E,3,FALSE),"")</f>
        <v/>
      </c>
      <c r="O244" s="696" t="str">
        <f>IF(N244="","",COUNTIF($P$9:$P$255,"&lt;"&amp;P244)+COUNTIF($P$9:P244,P244))</f>
        <v/>
      </c>
      <c r="P244" s="694" t="str">
        <f t="shared" si="22"/>
        <v/>
      </c>
    </row>
    <row r="245" spans="1:17">
      <c r="A245" s="470">
        <v>237</v>
      </c>
      <c r="B245" s="451" t="str">
        <f t="shared" si="19"/>
        <v/>
      </c>
      <c r="C245" s="462" t="str">
        <f t="shared" si="20"/>
        <v/>
      </c>
      <c r="D245" s="446" t="str">
        <f>IF(B245="Jaje kokošje, celo",IF(C245=INT(C245),C245,C245+1),IF(B245=""," ",_xlfn.IFNA(INT(C245*1000/(VLOOKUP($B245,Ingredient_prices!$E:$J,6,FALSE)))+1,"nije nabavljen")))</f>
        <v xml:space="preserve"> </v>
      </c>
      <c r="E245" s="446" t="str">
        <f>IF(C245="","",VLOOKUP($B245,Ingredient_prices!$E:$K,7,FALSE))</f>
        <v/>
      </c>
      <c r="F245" s="462" t="str">
        <f>IF(C245="","",_xlfn.IFNA((VLOOKUP($B245,Ingredient_prices!$E:$P,11,FALSE)*I245),""))</f>
        <v/>
      </c>
      <c r="G245" s="450" t="str">
        <f>IF(C245="","",_xlfn.IFNA(MID(VLOOKUP($B245,Ingredient_prices!$E:$F,2,FALSE),9,2),""))</f>
        <v/>
      </c>
      <c r="H245" s="447" t="str">
        <f>_xlfn.IFNA(VLOOKUP(CONCATENATE($I$8,$G245),Ingredient_prices!$G:$N,8,FALSE),"")</f>
        <v/>
      </c>
      <c r="I245" s="548" t="str">
        <f t="shared" si="23"/>
        <v/>
      </c>
      <c r="J245" s="695" t="str">
        <f>IF(N245="","",MID(Ingredient_prices!F240,9,2))</f>
        <v/>
      </c>
      <c r="K245" s="692" t="str">
        <f t="shared" si="21"/>
        <v/>
      </c>
      <c r="L245" s="692" t="str">
        <f>IF(N245="","",COUNTIF($P$9:$P$255,"&lt;"&amp;P245)+COUNTIF($P$9:P245,P245))</f>
        <v/>
      </c>
      <c r="M245" s="692" t="str">
        <f>IF(Ingredient_prices!E240=M244,"",Ingredient_prices!E240)</f>
        <v/>
      </c>
      <c r="N245" s="693" t="str">
        <f>_xlfn.IFNA(VLOOKUP($M245,Sedmica_2_količina_sva_sastojak!$C:$E,3,FALSE),"")</f>
        <v/>
      </c>
      <c r="O245" s="696" t="str">
        <f>IF(N245="","",COUNTIF($P$9:$P$255,"&lt;"&amp;P245)+COUNTIF($P$9:P245,P245))</f>
        <v/>
      </c>
      <c r="P245" s="694" t="str">
        <f t="shared" si="22"/>
        <v/>
      </c>
    </row>
    <row r="246" spans="1:17">
      <c r="A246" s="470">
        <v>238</v>
      </c>
      <c r="B246" s="451" t="str">
        <f t="shared" si="19"/>
        <v/>
      </c>
      <c r="C246" s="462" t="str">
        <f t="shared" si="20"/>
        <v/>
      </c>
      <c r="D246" s="446" t="str">
        <f>IF(B246="Jaje kokošje, celo",IF(C246=INT(C246),C246,C246+1),IF(B246=""," ",_xlfn.IFNA(INT(C246*1000/(VLOOKUP($B246,Ingredient_prices!$E:$J,6,FALSE)))+1,"nije nabavljen")))</f>
        <v xml:space="preserve"> </v>
      </c>
      <c r="E246" s="446" t="str">
        <f>IF(C246="","",VLOOKUP($B246,Ingredient_prices!$E:$K,7,FALSE))</f>
        <v/>
      </c>
      <c r="F246" s="462" t="str">
        <f>IF(C246="","",_xlfn.IFNA((VLOOKUP($B246,Ingredient_prices!$E:$P,11,FALSE)*I246),""))</f>
        <v/>
      </c>
      <c r="G246" s="450" t="str">
        <f>IF(C246="","",_xlfn.IFNA(MID(VLOOKUP($B246,Ingredient_prices!$E:$F,2,FALSE),9,2),""))</f>
        <v/>
      </c>
      <c r="H246" s="447" t="str">
        <f>_xlfn.IFNA(VLOOKUP(CONCATENATE($I$8,$G246),Ingredient_prices!$G:$N,8,FALSE),"")</f>
        <v/>
      </c>
      <c r="I246" s="548" t="str">
        <f t="shared" si="23"/>
        <v/>
      </c>
      <c r="J246" s="695" t="str">
        <f>IF(N246="","",MID(Ingredient_prices!F241,9,2))</f>
        <v/>
      </c>
      <c r="K246" s="692" t="str">
        <f t="shared" si="21"/>
        <v/>
      </c>
      <c r="L246" s="692" t="str">
        <f>IF(N246="","",COUNTIF($P$9:$P$255,"&lt;"&amp;P246)+COUNTIF($P$9:P246,P246))</f>
        <v/>
      </c>
      <c r="M246" s="692" t="str">
        <f>IF(Ingredient_prices!E241=M245,"",Ingredient_prices!E241)</f>
        <v/>
      </c>
      <c r="N246" s="693" t="str">
        <f>_xlfn.IFNA(VLOOKUP($M246,Sedmica_2_količina_sva_sastojak!$C:$E,3,FALSE),"")</f>
        <v/>
      </c>
      <c r="O246" s="696" t="str">
        <f>IF(N246="","",COUNTIF($P$9:$P$255,"&lt;"&amp;P246)+COUNTIF($P$9:P246,P246))</f>
        <v/>
      </c>
      <c r="P246" s="694" t="str">
        <f t="shared" si="22"/>
        <v/>
      </c>
    </row>
    <row r="247" spans="1:17">
      <c r="A247" s="470">
        <v>239</v>
      </c>
      <c r="B247" s="451" t="str">
        <f t="shared" si="19"/>
        <v/>
      </c>
      <c r="C247" s="462" t="str">
        <f t="shared" si="20"/>
        <v/>
      </c>
      <c r="D247" s="446" t="str">
        <f>IF(B247="Jaje kokošje, celo",IF(C247=INT(C247),C247,C247+1),IF(B247=""," ",_xlfn.IFNA(INT(C247*1000/(VLOOKUP($B247,Ingredient_prices!$E:$J,6,FALSE)))+1,"nije nabavljen")))</f>
        <v xml:space="preserve"> </v>
      </c>
      <c r="E247" s="446" t="str">
        <f>IF(C247="","",VLOOKUP($B247,Ingredient_prices!$E:$K,7,FALSE))</f>
        <v/>
      </c>
      <c r="F247" s="462" t="str">
        <f>IF(C247="","",_xlfn.IFNA((VLOOKUP($B247,Ingredient_prices!$E:$P,11,FALSE)*I247),""))</f>
        <v/>
      </c>
      <c r="G247" s="450" t="str">
        <f>IF(C247="","",_xlfn.IFNA(MID(VLOOKUP($B247,Ingredient_prices!$E:$F,2,FALSE),9,2),""))</f>
        <v/>
      </c>
      <c r="H247" s="447" t="str">
        <f>_xlfn.IFNA(VLOOKUP(CONCATENATE($I$8,$G247),Ingredient_prices!$G:$N,8,FALSE),"")</f>
        <v/>
      </c>
      <c r="I247" s="548" t="str">
        <f t="shared" si="23"/>
        <v/>
      </c>
      <c r="J247" s="695" t="str">
        <f>IF(N247="","",MID(Ingredient_prices!F242,9,2))</f>
        <v/>
      </c>
      <c r="K247" s="692" t="str">
        <f t="shared" si="21"/>
        <v/>
      </c>
      <c r="L247" s="692" t="str">
        <f>IF(N247="","",COUNTIF($P$9:$P$255,"&lt;"&amp;P247)+COUNTIF($P$9:P247,P247))</f>
        <v/>
      </c>
      <c r="M247" s="692" t="str">
        <f>IF(Ingredient_prices!E242=M246,"",Ingredient_prices!E242)</f>
        <v/>
      </c>
      <c r="N247" s="693" t="str">
        <f>_xlfn.IFNA(VLOOKUP($M247,Sedmica_2_količina_sva_sastojak!$C:$E,3,FALSE),"")</f>
        <v/>
      </c>
      <c r="O247" s="696" t="str">
        <f>IF(N247="","",COUNTIF($P$9:$P$255,"&lt;"&amp;P247)+COUNTIF($P$9:P247,P247))</f>
        <v/>
      </c>
      <c r="P247" s="694" t="str">
        <f t="shared" si="22"/>
        <v/>
      </c>
    </row>
    <row r="248" spans="1:17">
      <c r="A248" s="470">
        <v>240</v>
      </c>
      <c r="B248" s="451" t="str">
        <f t="shared" si="19"/>
        <v/>
      </c>
      <c r="C248" s="462" t="str">
        <f t="shared" si="20"/>
        <v/>
      </c>
      <c r="D248" s="446" t="str">
        <f>IF(B248="Jaje kokošje, celo",IF(C248=INT(C248),C248,C248+1),IF(B248=""," ",_xlfn.IFNA(INT(C248*1000/(VLOOKUP($B248,Ingredient_prices!$E:$J,6,FALSE)))+1,"nije nabavljen")))</f>
        <v xml:space="preserve"> </v>
      </c>
      <c r="E248" s="446" t="str">
        <f>IF(C248="","",VLOOKUP($B248,Ingredient_prices!$E:$K,7,FALSE))</f>
        <v/>
      </c>
      <c r="F248" s="462" t="str">
        <f>IF(C248="","",_xlfn.IFNA((VLOOKUP($B248,Ingredient_prices!$E:$P,11,FALSE)*I248),""))</f>
        <v/>
      </c>
      <c r="G248" s="450" t="str">
        <f>IF(C248="","",_xlfn.IFNA(MID(VLOOKUP($B248,Ingredient_prices!$E:$F,2,FALSE),9,2),""))</f>
        <v/>
      </c>
      <c r="H248" s="447" t="str">
        <f>_xlfn.IFNA(VLOOKUP(CONCATENATE($I$8,$G248),Ingredient_prices!$G:$N,8,FALSE),"")</f>
        <v/>
      </c>
      <c r="I248" s="548" t="str">
        <f t="shared" si="23"/>
        <v/>
      </c>
      <c r="J248" s="695" t="str">
        <f>IF(N248="","",MID(Ingredient_prices!F243,9,2))</f>
        <v/>
      </c>
      <c r="K248" s="692" t="str">
        <f t="shared" si="21"/>
        <v/>
      </c>
      <c r="L248" s="692" t="str">
        <f>IF(N248="","",COUNTIF($P$9:$P$255,"&lt;"&amp;P248)+COUNTIF($P$9:P248,P248))</f>
        <v/>
      </c>
      <c r="M248" s="692" t="str">
        <f>IF(Ingredient_prices!E243=M247,"",Ingredient_prices!E243)</f>
        <v/>
      </c>
      <c r="N248" s="693" t="str">
        <f>_xlfn.IFNA(VLOOKUP($M248,Sedmica_2_količina_sva_sastojak!$C:$E,3,FALSE),"")</f>
        <v/>
      </c>
      <c r="O248" s="696" t="str">
        <f>IF(N248="","",COUNTIF($P$9:$P$255,"&lt;"&amp;P248)+COUNTIF($P$9:P248,P248))</f>
        <v/>
      </c>
      <c r="P248" s="694" t="str">
        <f t="shared" si="22"/>
        <v/>
      </c>
    </row>
    <row r="249" spans="1:17">
      <c r="A249" s="470">
        <v>241</v>
      </c>
      <c r="B249" s="451" t="str">
        <f t="shared" si="19"/>
        <v/>
      </c>
      <c r="C249" s="462" t="str">
        <f t="shared" si="20"/>
        <v/>
      </c>
      <c r="D249" s="446" t="str">
        <f>IF(B249="Jaje kokošje, celo",IF(C249=INT(C249),C249,C249+1),IF(B249=""," ",_xlfn.IFNA(INT(C249*1000/(VLOOKUP($B249,Ingredient_prices!$E:$J,6,FALSE)))+1,"nije nabavljen")))</f>
        <v xml:space="preserve"> </v>
      </c>
      <c r="E249" s="446" t="str">
        <f>IF(C249="","",VLOOKUP($B249,Ingredient_prices!$E:$K,7,FALSE))</f>
        <v/>
      </c>
      <c r="F249" s="462" t="str">
        <f>IF(C249="","",_xlfn.IFNA((VLOOKUP($B249,Ingredient_prices!$E:$P,11,FALSE)*I249),""))</f>
        <v/>
      </c>
      <c r="G249" s="450" t="str">
        <f>IF(C249="","",_xlfn.IFNA(MID(VLOOKUP($B249,Ingredient_prices!$E:$F,2,FALSE),9,2),""))</f>
        <v/>
      </c>
      <c r="H249" s="447" t="str">
        <f>_xlfn.IFNA(VLOOKUP(CONCATENATE($I$8,$G249),Ingredient_prices!$G:$N,8,FALSE),"")</f>
        <v/>
      </c>
      <c r="I249" s="548" t="str">
        <f t="shared" si="23"/>
        <v/>
      </c>
      <c r="J249" s="695" t="str">
        <f>IF(N249="","",MID(Ingredient_prices!F244,9,2))</f>
        <v/>
      </c>
      <c r="K249" s="692" t="str">
        <f t="shared" si="21"/>
        <v/>
      </c>
      <c r="L249" s="692" t="str">
        <f>IF(N249="","",COUNTIF($P$9:$P$255,"&lt;"&amp;P249)+COUNTIF($P$9:P249,P249))</f>
        <v/>
      </c>
      <c r="M249" s="692" t="str">
        <f>IF(Ingredient_prices!E244=M248,"",Ingredient_prices!E244)</f>
        <v/>
      </c>
      <c r="N249" s="693" t="str">
        <f>_xlfn.IFNA(VLOOKUP($M249,Sedmica_2_količina_sva_sastojak!$C:$E,3,FALSE),"")</f>
        <v/>
      </c>
      <c r="O249" s="696" t="str">
        <f>IF(N249="","",COUNTIF($P$9:$P$255,"&lt;"&amp;P249)+COUNTIF($P$9:P249,P249))</f>
        <v/>
      </c>
      <c r="P249" s="694" t="str">
        <f t="shared" si="22"/>
        <v/>
      </c>
    </row>
    <row r="250" spans="1:17">
      <c r="A250" s="470">
        <v>242</v>
      </c>
      <c r="B250" s="451" t="str">
        <f t="shared" si="19"/>
        <v/>
      </c>
      <c r="C250" s="462" t="str">
        <f t="shared" si="20"/>
        <v/>
      </c>
      <c r="D250" s="446" t="str">
        <f>IF(B250="Jaje kokošje, celo",IF(C250=INT(C250),C250,C250+1),IF(B250=""," ",_xlfn.IFNA(INT(C250*1000/(VLOOKUP($B250,Ingredient_prices!$E:$J,6,FALSE)))+1,"nije nabavljen")))</f>
        <v xml:space="preserve"> </v>
      </c>
      <c r="E250" s="446" t="str">
        <f>IF(C250="","",VLOOKUP($B250,Ingredient_prices!$E:$K,7,FALSE))</f>
        <v/>
      </c>
      <c r="F250" s="462" t="str">
        <f>IF(C250="","",_xlfn.IFNA((VLOOKUP($B250,Ingredient_prices!$E:$P,11,FALSE)*I250),""))</f>
        <v/>
      </c>
      <c r="G250" s="450" t="str">
        <f>IF(C250="","",_xlfn.IFNA(MID(VLOOKUP($B250,Ingredient_prices!$E:$F,2,FALSE),9,2),""))</f>
        <v/>
      </c>
      <c r="H250" s="447" t="str">
        <f>_xlfn.IFNA(VLOOKUP(CONCATENATE($I$8,$G250),Ingredient_prices!$G:$N,8,FALSE),"")</f>
        <v/>
      </c>
      <c r="I250" s="548" t="str">
        <f t="shared" si="23"/>
        <v/>
      </c>
      <c r="J250" s="695" t="str">
        <f>IF(N250="","",MID(Ingredient_prices!F245,9,2))</f>
        <v/>
      </c>
      <c r="K250" s="692" t="str">
        <f t="shared" si="21"/>
        <v/>
      </c>
      <c r="L250" s="692" t="str">
        <f>IF(N250="","",COUNTIF($P$9:$P$255,"&lt;"&amp;P250)+COUNTIF($P$9:P250,P250))</f>
        <v/>
      </c>
      <c r="M250" s="692" t="str">
        <f>IF(Ingredient_prices!E245=M249,"",Ingredient_prices!E245)</f>
        <v/>
      </c>
      <c r="N250" s="693" t="str">
        <f>_xlfn.IFNA(VLOOKUP($M250,Sedmica_2_količina_sva_sastojak!$C:$E,3,FALSE),"")</f>
        <v/>
      </c>
      <c r="O250" s="696" t="str">
        <f>IF(N250="","",COUNTIF($P$9:$P$255,"&lt;"&amp;P250)+COUNTIF($P$9:P250,P250))</f>
        <v/>
      </c>
      <c r="P250" s="694" t="str">
        <f t="shared" si="22"/>
        <v/>
      </c>
    </row>
    <row r="251" spans="1:17">
      <c r="A251" s="470">
        <v>243</v>
      </c>
      <c r="B251" s="451" t="str">
        <f t="shared" si="19"/>
        <v/>
      </c>
      <c r="C251" s="462" t="str">
        <f t="shared" si="20"/>
        <v/>
      </c>
      <c r="D251" s="446" t="str">
        <f>IF(B251="Jaje kokošje, celo",C251,IF(B251=""," ",_xlfn.IFNA(C251*1000/(VLOOKUP($B251,Ingredient_prices!$E:$J,6,FALSE))+1,"nije nabavljen")))</f>
        <v xml:space="preserve"> </v>
      </c>
      <c r="E251" s="446" t="str">
        <f>IF(C251="","",VLOOKUP($B251,Ingredient_prices!$E:$K,7,FALSE))</f>
        <v/>
      </c>
      <c r="F251" s="462" t="str">
        <f>IF(C251="","",_xlfn.IFNA((VLOOKUP($B251,Ingredient_prices!$E:$P,11,FALSE)*I251),""))</f>
        <v/>
      </c>
      <c r="G251" s="450" t="str">
        <f>IF(C251="","",_xlfn.IFNA(MID(VLOOKUP($B251,Ingredient_prices!$E:$F,2,FALSE),9,2),""))</f>
        <v/>
      </c>
      <c r="H251" s="447" t="str">
        <f>_xlfn.IFNA(VLOOKUP(CONCATENATE($I$8,$G251),Ingredient_prices!$G:$N,8,FALSE),"")</f>
        <v/>
      </c>
      <c r="I251" s="548" t="str">
        <f t="shared" si="23"/>
        <v/>
      </c>
      <c r="J251" s="695" t="str">
        <f>IF(N251="","",MID(Ingredient_prices!F243,9,2))</f>
        <v/>
      </c>
      <c r="K251" s="692" t="str">
        <f t="shared" ref="K251:K255" si="24">IF(N251="","",COUNTIFS(J$9:J$255,J251,N$9:N$255,"&gt;"&amp;N251)+1)</f>
        <v/>
      </c>
      <c r="L251" s="692" t="str">
        <f>IF(N251="","",COUNTIF($P$9:$P$255,"&lt;"&amp;P251)+COUNTIF($P$9:P251,P251))</f>
        <v/>
      </c>
      <c r="M251" s="692" t="str">
        <f>Ingredient_prices!E243</f>
        <v/>
      </c>
      <c r="N251" s="693" t="str">
        <f>_xlfn.IFNA(VLOOKUP($M251,Sedmica_2_količina_sva_sastojak!$C:$E,3,FALSE),"")</f>
        <v/>
      </c>
      <c r="O251" s="696" t="str">
        <f>IF(N251="","",COUNTIF($P$9:$P$255,"&lt;"&amp;P251)+COUNTIF($P$9:P251,P251))</f>
        <v/>
      </c>
      <c r="P251" s="694" t="str">
        <f t="shared" ref="P251:P255" si="25">IF(K251="","",VALUE(CONCATENATE(J251,K251)))</f>
        <v/>
      </c>
    </row>
    <row r="252" spans="1:17">
      <c r="A252" s="470">
        <v>244</v>
      </c>
      <c r="B252" s="451" t="str">
        <f t="shared" si="19"/>
        <v/>
      </c>
      <c r="C252" s="462" t="str">
        <f t="shared" si="20"/>
        <v/>
      </c>
      <c r="D252" s="446" t="str">
        <f>IF(B252="Jaje kokošje, celo",C252,IF(B252=""," ",_xlfn.IFNA(C252*1000/(VLOOKUP($B252,Ingredient_prices!$E:$J,6,FALSE))+1,"nije nabavljen")))</f>
        <v xml:space="preserve"> </v>
      </c>
      <c r="E252" s="446" t="str">
        <f>IF(C252="","",VLOOKUP($B252,Ingredient_prices!$E:$K,7,FALSE))</f>
        <v/>
      </c>
      <c r="F252" s="462" t="str">
        <f>IF(C252="","",_xlfn.IFNA((VLOOKUP($B252,Ingredient_prices!$E:$P,11,FALSE)*I252),""))</f>
        <v/>
      </c>
      <c r="G252" s="450" t="str">
        <f>IF(C252="","",_xlfn.IFNA(MID(VLOOKUP($B252,Ingredient_prices!$E:$F,2,FALSE),9,2),""))</f>
        <v/>
      </c>
      <c r="H252" s="447" t="str">
        <f>_xlfn.IFNA(VLOOKUP(CONCATENATE($I$8,$G252),Ingredient_prices!$G:$N,8,FALSE),"")</f>
        <v/>
      </c>
      <c r="I252" s="548" t="str">
        <f t="shared" si="23"/>
        <v/>
      </c>
      <c r="J252" s="695" t="str">
        <f>IF(N252="","",MID(Ingredient_prices!F244,9,2))</f>
        <v/>
      </c>
      <c r="K252" s="692" t="str">
        <f t="shared" si="24"/>
        <v/>
      </c>
      <c r="L252" s="692" t="str">
        <f>IF(N252="","",COUNTIF($P$9:$P$255,"&lt;"&amp;P252)+COUNTIF($P$9:P252,P252))</f>
        <v/>
      </c>
      <c r="M252" s="694" t="str">
        <f>Ingredient_prices!E244</f>
        <v/>
      </c>
      <c r="N252" s="693" t="str">
        <f>_xlfn.IFNA(VLOOKUP($M252,Sedmica_2_količina_sva_sastojak!$C:$E,3,FALSE),"")</f>
        <v/>
      </c>
      <c r="O252" s="696" t="str">
        <f>IF(N252="","",COUNTIF($P$9:$P$255,"&lt;"&amp;P252)+COUNTIF($P$9:P252,P252))</f>
        <v/>
      </c>
      <c r="P252" s="694" t="str">
        <f t="shared" si="25"/>
        <v/>
      </c>
    </row>
    <row r="253" spans="1:17">
      <c r="A253" s="470">
        <v>245</v>
      </c>
      <c r="B253" s="451" t="str">
        <f t="shared" si="19"/>
        <v/>
      </c>
      <c r="C253" s="462" t="str">
        <f t="shared" si="20"/>
        <v/>
      </c>
      <c r="D253" s="446" t="str">
        <f>IF(B253="Jaje kokošje, celo",C253,IF(B253=""," ",_xlfn.IFNA(C253*1000/(VLOOKUP($B253,Ingredient_prices!$E:$J,6,FALSE))+1,"nije nabavljen")))</f>
        <v xml:space="preserve"> </v>
      </c>
      <c r="E253" s="446" t="str">
        <f>IF(C253="","",VLOOKUP($B253,Ingredient_prices!$E:$K,7,FALSE))</f>
        <v/>
      </c>
      <c r="F253" s="462" t="str">
        <f>IF(C253="","",_xlfn.IFNA((VLOOKUP($B253,Ingredient_prices!$E:$P,11,FALSE)*I253),""))</f>
        <v/>
      </c>
      <c r="G253" s="450" t="str">
        <f>IF(C253="","",_xlfn.IFNA(MID(VLOOKUP($B253,Ingredient_prices!$E:$F,2,FALSE),9,2),""))</f>
        <v/>
      </c>
      <c r="H253" s="447" t="str">
        <f>_xlfn.IFNA(VLOOKUP(CONCATENATE($I$8,$G253),Ingredient_prices!$G:$N,8,FALSE),"")</f>
        <v/>
      </c>
      <c r="I253" s="548" t="str">
        <f t="shared" si="23"/>
        <v/>
      </c>
      <c r="J253" s="695" t="str">
        <f>IF(N253="","",MID(Ingredient_prices!F245,9,2))</f>
        <v/>
      </c>
      <c r="K253" s="692" t="str">
        <f t="shared" si="24"/>
        <v/>
      </c>
      <c r="L253" s="692" t="str">
        <f>IF(N253="","",COUNTIF($P$9:$P$255,"&lt;"&amp;P253)+COUNTIF($P$9:P253,P253))</f>
        <v/>
      </c>
      <c r="M253" s="694" t="str">
        <f>Ingredient_prices!E245</f>
        <v/>
      </c>
      <c r="N253" s="693" t="str">
        <f>_xlfn.IFNA(VLOOKUP($M253,Sedmica_2_količina_sva_sastojak!$C:$E,3,FALSE),"")</f>
        <v/>
      </c>
      <c r="O253" s="696" t="str">
        <f>IF(N253="","",COUNTIF($P$9:$P$255,"&lt;"&amp;P253)+COUNTIF($P$9:P253,P253))</f>
        <v/>
      </c>
      <c r="P253" s="694" t="str">
        <f t="shared" si="25"/>
        <v/>
      </c>
    </row>
    <row r="254" spans="1:17">
      <c r="A254" s="470">
        <v>246</v>
      </c>
      <c r="B254" s="451" t="str">
        <f t="shared" si="19"/>
        <v/>
      </c>
      <c r="C254" s="462" t="str">
        <f t="shared" si="20"/>
        <v/>
      </c>
      <c r="D254" s="446" t="str">
        <f>IF(B254="Jaje kokošje, celo",C254,IF(B254=""," ",_xlfn.IFNA(C254*1000/(VLOOKUP($B254,Ingredient_prices!$E:$J,6,FALSE))+1,"nije nabavljen")))</f>
        <v xml:space="preserve"> </v>
      </c>
      <c r="E254" s="446" t="str">
        <f>IF(C254="","",VLOOKUP($B254,Ingredient_prices!$E:$K,7,FALSE))</f>
        <v/>
      </c>
      <c r="F254" s="462" t="str">
        <f>IF(C254="","",_xlfn.IFNA((VLOOKUP($B254,Ingredient_prices!$E:$P,11,FALSE)*I254),""))</f>
        <v/>
      </c>
      <c r="G254" s="450" t="str">
        <f>IF(C254="","",_xlfn.IFNA(MID(VLOOKUP($B254,Ingredient_prices!$E:$F,2,FALSE),9,2),""))</f>
        <v/>
      </c>
      <c r="H254" s="447" t="str">
        <f>_xlfn.IFNA(VLOOKUP(CONCATENATE($I$8,$G254),Ingredient_prices!$G:$N,8,FALSE),"")</f>
        <v/>
      </c>
      <c r="I254" s="548" t="str">
        <f t="shared" si="23"/>
        <v/>
      </c>
      <c r="J254" s="695" t="str">
        <f>IF(N254="","",MID(Ingredient_prices!F246,9,2))</f>
        <v/>
      </c>
      <c r="K254" s="692" t="str">
        <f t="shared" si="24"/>
        <v/>
      </c>
      <c r="L254" s="692" t="str">
        <f>IF(N254="","",COUNTIF($P$9:$P$255,"&lt;"&amp;P254)+COUNTIF($P$9:P254,P254))</f>
        <v/>
      </c>
      <c r="M254" s="694" t="str">
        <f>Ingredient_prices!E246</f>
        <v/>
      </c>
      <c r="N254" s="693" t="str">
        <f>_xlfn.IFNA(VLOOKUP($M254,Sedmica_2_količina_sva_sastojak!$C:$E,3,FALSE),"")</f>
        <v/>
      </c>
      <c r="O254" s="696" t="str">
        <f>IF(N254="","",COUNTIF($P$9:$P$255,"&lt;"&amp;P254)+COUNTIF($P$9:P254,P254))</f>
        <v/>
      </c>
      <c r="P254" s="694" t="str">
        <f t="shared" si="25"/>
        <v/>
      </c>
    </row>
    <row r="255" spans="1:17">
      <c r="A255" s="470">
        <v>247</v>
      </c>
      <c r="B255" s="451" t="str">
        <f t="shared" si="19"/>
        <v/>
      </c>
      <c r="C255" s="462" t="str">
        <f t="shared" si="20"/>
        <v/>
      </c>
      <c r="D255" s="446" t="str">
        <f>IF(B255="Jaje kokošje, celo",C255,IF(B255=""," ",_xlfn.IFNA(C255*1000/(VLOOKUP($B255,Ingredient_prices!$E:$J,6,FALSE))+1,"nije nabavljen")))</f>
        <v xml:space="preserve"> </v>
      </c>
      <c r="E255" s="446" t="str">
        <f>IF(C255="","",VLOOKUP($B255,Ingredient_prices!$E:$K,7,FALSE))</f>
        <v/>
      </c>
      <c r="F255" s="462" t="str">
        <f>IF(C255="","",_xlfn.IFNA((VLOOKUP($B255,Ingredient_prices!$E:$P,11,FALSE)*I255),""))</f>
        <v/>
      </c>
      <c r="G255" s="450" t="str">
        <f>IF(C255="","",_xlfn.IFNA(MID(VLOOKUP($B255,Ingredient_prices!$E:$F,2,FALSE),9,2),""))</f>
        <v/>
      </c>
      <c r="H255" s="447" t="str">
        <f>_xlfn.IFNA(VLOOKUP(CONCATENATE($I$8,$G255),Ingredient_prices!$G:$N,8,FALSE),"")</f>
        <v/>
      </c>
      <c r="I255" s="548" t="str">
        <f t="shared" si="23"/>
        <v/>
      </c>
      <c r="J255" s="695" t="str">
        <f>IF(N255="","",MID(Ingredient_prices!F247,9,2))</f>
        <v/>
      </c>
      <c r="K255" s="692" t="str">
        <f t="shared" si="24"/>
        <v/>
      </c>
      <c r="L255" s="692" t="str">
        <f>IF(N255="","",COUNTIF($P$9:$P$255,"&lt;"&amp;P255)+COUNTIF($P$9:P255,P255))</f>
        <v/>
      </c>
      <c r="M255" s="692" t="str">
        <f>Ingredient_prices!E247</f>
        <v/>
      </c>
      <c r="N255" s="693" t="str">
        <f>_xlfn.IFNA(VLOOKUP($M255,Sedmica_2_količina_sva_sastojak!$C:$E,3,FALSE),"")</f>
        <v/>
      </c>
      <c r="O255" s="696" t="str">
        <f>IF(N255="","",COUNTIF($P$9:$P$255,"&lt;"&amp;P255)+COUNTIF($P$9:P255,P255))</f>
        <v/>
      </c>
      <c r="P255" s="694" t="str">
        <f t="shared" si="25"/>
        <v/>
      </c>
    </row>
    <row r="256" spans="1:17" s="445" customFormat="1">
      <c r="A256" s="471"/>
      <c r="B256" s="452"/>
      <c r="C256" s="463"/>
      <c r="D256" s="452"/>
      <c r="E256" s="452"/>
      <c r="F256" s="452"/>
      <c r="G256" s="452"/>
      <c r="H256" s="452"/>
      <c r="I256" s="473"/>
      <c r="J256" s="697"/>
      <c r="K256" s="697"/>
      <c r="L256" s="697"/>
      <c r="M256" s="697"/>
      <c r="N256" s="698"/>
      <c r="O256" s="697"/>
      <c r="P256" s="697"/>
      <c r="Q256" s="697"/>
    </row>
    <row r="295" spans="1:17" s="445" customFormat="1">
      <c r="A295" s="471"/>
      <c r="B295" s="452"/>
      <c r="C295" s="463"/>
      <c r="D295" s="452"/>
      <c r="E295" s="452"/>
      <c r="F295" s="452"/>
      <c r="G295" s="452"/>
      <c r="H295" s="452"/>
      <c r="I295" s="473"/>
      <c r="J295" s="697"/>
      <c r="K295" s="697"/>
      <c r="L295" s="697"/>
      <c r="M295" s="697"/>
      <c r="N295" s="698"/>
      <c r="O295" s="697"/>
      <c r="P295" s="697"/>
      <c r="Q295" s="697"/>
    </row>
    <row r="349" spans="1:17" s="445" customFormat="1">
      <c r="A349" s="471"/>
      <c r="B349" s="452"/>
      <c r="C349" s="463"/>
      <c r="D349" s="452"/>
      <c r="E349" s="452"/>
      <c r="F349" s="452"/>
      <c r="G349" s="452"/>
      <c r="H349" s="452"/>
      <c r="I349" s="473"/>
      <c r="J349" s="697"/>
      <c r="K349" s="697"/>
      <c r="L349" s="697"/>
      <c r="M349" s="697"/>
      <c r="N349" s="698"/>
      <c r="O349" s="697"/>
      <c r="P349" s="697"/>
      <c r="Q349" s="697"/>
    </row>
    <row r="364" spans="1:17" s="445" customFormat="1">
      <c r="A364" s="471"/>
      <c r="B364" s="452"/>
      <c r="C364" s="463"/>
      <c r="D364" s="452"/>
      <c r="E364" s="452"/>
      <c r="F364" s="452"/>
      <c r="G364" s="452"/>
      <c r="H364" s="452"/>
      <c r="I364" s="473"/>
      <c r="J364" s="697"/>
      <c r="K364" s="697"/>
      <c r="L364" s="697"/>
      <c r="M364" s="697"/>
      <c r="N364" s="698"/>
      <c r="O364" s="697"/>
      <c r="P364" s="697"/>
      <c r="Q364" s="697"/>
    </row>
    <row r="381" spans="1:17" s="445" customFormat="1">
      <c r="A381" s="471"/>
      <c r="B381" s="452"/>
      <c r="C381" s="463"/>
      <c r="D381" s="452"/>
      <c r="E381" s="452"/>
      <c r="F381" s="452"/>
      <c r="G381" s="452"/>
      <c r="H381" s="452"/>
      <c r="I381" s="473"/>
      <c r="J381" s="697"/>
      <c r="K381" s="697"/>
      <c r="L381" s="697"/>
      <c r="M381" s="697"/>
      <c r="N381" s="698"/>
      <c r="O381" s="697"/>
      <c r="P381" s="697"/>
      <c r="Q381" s="697"/>
    </row>
    <row r="389" spans="1:17" s="445" customFormat="1">
      <c r="A389" s="471"/>
      <c r="B389" s="452"/>
      <c r="C389" s="463"/>
      <c r="D389" s="452"/>
      <c r="E389" s="452"/>
      <c r="F389" s="452"/>
      <c r="G389" s="452"/>
      <c r="H389" s="452"/>
      <c r="I389" s="473"/>
      <c r="J389" s="697"/>
      <c r="K389" s="697"/>
      <c r="L389" s="697"/>
      <c r="M389" s="697"/>
      <c r="N389" s="698"/>
      <c r="O389" s="697"/>
      <c r="P389" s="697"/>
      <c r="Q389" s="697"/>
    </row>
    <row r="398" spans="1:17" s="445" customFormat="1">
      <c r="A398" s="471"/>
      <c r="B398" s="452"/>
      <c r="C398" s="463"/>
      <c r="D398" s="452"/>
      <c r="E398" s="452"/>
      <c r="F398" s="452"/>
      <c r="G398" s="452"/>
      <c r="H398" s="452"/>
      <c r="I398" s="473"/>
      <c r="J398" s="697"/>
      <c r="K398" s="697"/>
      <c r="L398" s="697"/>
      <c r="M398" s="697"/>
      <c r="N398" s="698"/>
      <c r="O398" s="697"/>
      <c r="P398" s="697"/>
      <c r="Q398" s="697"/>
    </row>
  </sheetData>
  <mergeCells count="1">
    <mergeCell ref="C1:H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41E0-EFAF-5348-B8AA-8E055DF765F4}">
  <sheetPr codeName="Sheet7"/>
  <dimension ref="A1:G486"/>
  <sheetViews>
    <sheetView zoomScaleNormal="100" workbookViewId="0">
      <pane ySplit="3" topLeftCell="A472" activePane="bottomLeft" state="frozen"/>
      <selection pane="bottomLeft" activeCell="F1" sqref="F1"/>
    </sheetView>
  </sheetViews>
  <sheetFormatPr baseColWidth="10" defaultRowHeight="14"/>
  <cols>
    <col min="1" max="1" width="18.33203125" style="444" customWidth="1"/>
    <col min="2" max="2" width="30.83203125" style="442" customWidth="1"/>
    <col min="3" max="3" width="32.83203125" style="442" customWidth="1"/>
    <col min="4" max="4" width="10.83203125" style="421"/>
    <col min="5" max="5" width="10.83203125" style="406"/>
    <col min="6" max="6" width="14.1640625" style="406" customWidth="1"/>
    <col min="7" max="7" width="129.1640625" style="444" customWidth="1"/>
  </cols>
  <sheetData>
    <row r="1" spans="1:7">
      <c r="C1" s="329" t="s">
        <v>2950</v>
      </c>
      <c r="F1" s="406" t="s">
        <v>3931</v>
      </c>
    </row>
    <row r="2" spans="1:7" s="2" customFormat="1">
      <c r="A2" s="457"/>
      <c r="B2" s="442"/>
      <c r="C2" s="442"/>
      <c r="D2" s="421"/>
      <c r="E2" s="407" t="s">
        <v>3929</v>
      </c>
      <c r="F2" s="407" t="s">
        <v>3929</v>
      </c>
      <c r="G2" s="457"/>
    </row>
    <row r="3" spans="1:7" ht="15" thickBot="1">
      <c r="B3" s="458" t="s">
        <v>3928</v>
      </c>
      <c r="C3" s="459" t="s">
        <v>3917</v>
      </c>
      <c r="D3" s="1294" t="s">
        <v>3918</v>
      </c>
      <c r="E3" s="460" t="s">
        <v>3930</v>
      </c>
      <c r="F3" s="460" t="s">
        <v>3930</v>
      </c>
    </row>
    <row r="4" spans="1:7">
      <c r="B4" s="1289" t="s">
        <v>3140</v>
      </c>
      <c r="C4" s="1263" t="s">
        <v>3136</v>
      </c>
      <c r="D4" s="421" t="str">
        <f>_xlfn.IFNA(IF(VLOOKUP($C4,Ingredient_prices!$E:$F,2,FALSE)="Партија 2","Lot 2","Lot 1"),"")</f>
        <v>Lot 2</v>
      </c>
      <c r="E4" s="407" t="str">
        <f>IF(SUMIF(Meal_entry_week_1!H$11:H$496,"Aubergine",Meal_entry_week_1!K$11:K$496)&gt;0,SUMIF(Meal_entry_week_1!H$11:H$496,"Aubergine",Meal_entry_week_1!K$11:K$496),"")</f>
        <v/>
      </c>
      <c r="F4" s="407" t="str">
        <f>IF(E4="","",E4/1)</f>
        <v/>
      </c>
    </row>
    <row r="5" spans="1:7" s="749" customFormat="1">
      <c r="A5" s="444"/>
      <c r="B5" s="1269" t="s">
        <v>3140</v>
      </c>
      <c r="C5" s="1265" t="s">
        <v>3144</v>
      </c>
      <c r="D5" s="421" t="str">
        <f>_xlfn.IFNA(IF(VLOOKUP($C5,Ingredient_prices!$E:$F,2,FALSE)="Партија 2","Lot 2","Lot 1"),"")</f>
        <v/>
      </c>
      <c r="E5" s="407" t="str">
        <f>IF(SUMIF(Meal_entry_week_1!H$11:H$496,"Beans (coloured)",Meal_entry_week_1!K$11:K$496)&gt;0,SUMIF(Meal_entry_week_1!H$11:H$496,"Beans (coloured)",Meal_entry_week_1!K$11:K$496),"")</f>
        <v/>
      </c>
      <c r="F5" s="407" t="str">
        <f>IF(E5="","",E5/1)</f>
        <v/>
      </c>
      <c r="G5" s="444"/>
    </row>
    <row r="6" spans="1:7">
      <c r="B6" s="1269" t="s">
        <v>3140</v>
      </c>
      <c r="C6" s="1265" t="s">
        <v>3135</v>
      </c>
      <c r="D6" s="421" t="str">
        <f>_xlfn.IFNA(IF(VLOOKUP($C6,Ingredient_prices!$E:$F,2,FALSE)="Партија 2","Lot 2","Lot 1"),"")</f>
        <v/>
      </c>
      <c r="E6" s="407" t="str">
        <f>IF(SUMIF(Meal_entry_week_1!H$11:H$496,"Beans (white)",Meal_entry_week_1!K$11:K$496)&gt;0,SUMIF(Meal_entry_week_1!H$11:H$496,"Beans (white)",Meal_entry_week_1!K$11:K$496),"")</f>
        <v/>
      </c>
      <c r="F6" s="407" t="str">
        <f>IF(E6="","",E6/1)</f>
        <v/>
      </c>
    </row>
    <row r="7" spans="1:7">
      <c r="B7" s="1269" t="s">
        <v>3140</v>
      </c>
      <c r="C7" s="1266" t="s">
        <v>3134</v>
      </c>
      <c r="D7" s="421" t="str">
        <f>_xlfn.IFNA(IF(VLOOKUP($C7,Ingredient_prices!$E:$F,2,FALSE)="Партија 2","Lot 2","Lot 1"),"")</f>
        <v>Lot 2</v>
      </c>
      <c r="E7" s="407" t="str">
        <f>IF(SUMIF(Meal_entry_week_1!H$11:H$496,"Beans haricot (yellow)",Meal_entry_week_1!K$11:K$496)&gt;0,SUMIF(Meal_entry_week_1!H$11:H$496,"Beans haricot (yellow)",Meal_entry_week_1!K$11:K$496),"")</f>
        <v/>
      </c>
      <c r="F7" s="407" t="str">
        <f>IF(E7="","",E7/1)</f>
        <v/>
      </c>
    </row>
    <row r="8" spans="1:7">
      <c r="B8" s="1269" t="s">
        <v>3140</v>
      </c>
      <c r="C8" s="1266" t="s">
        <v>3102</v>
      </c>
      <c r="D8" s="421" t="str">
        <f>_xlfn.IFNA(IF(VLOOKUP($C8,Ingredient_prices!$E:$F,2,FALSE)="Партија 2","Lot 2","Lot 1"),"")</f>
        <v>Lot 2</v>
      </c>
      <c r="E8" s="407" t="str">
        <f>IF(SUMIF(Meal_entry_week_1!H$11:H$496,"Beetroot fresh",Meal_entry_week_1!K$11:K$496)&gt;0,SUMIF(Meal_entry_week_1!H$11:H$496,"Beetroot fresh",Meal_entry_week_1!K$11:K$496),"")</f>
        <v/>
      </c>
      <c r="F8" s="407" t="str">
        <f>IF(E8="","",E8/0.9)</f>
        <v/>
      </c>
    </row>
    <row r="9" spans="1:7">
      <c r="B9" s="1269" t="s">
        <v>3140</v>
      </c>
      <c r="C9" s="1266" t="s">
        <v>3098</v>
      </c>
      <c r="D9" s="421" t="str">
        <f>_xlfn.IFNA(IF(VLOOKUP($C9,Ingredient_prices!$E:$F,2,FALSE)="Партија 2","Lot 2","Lot 1"),"")</f>
        <v>Lot 2</v>
      </c>
      <c r="E9" s="407" t="str">
        <f>IF(SUMIF(Meal_entry_week_1!H$11:H$496,"Broccoli",Meal_entry_week_1!K$11:K$496)&gt;0,SUMIF(Meal_entry_week_1!H$11:H$496,"Broccoli",Meal_entry_week_1!K$11:K$496),"")</f>
        <v/>
      </c>
      <c r="F9" s="407" t="str">
        <f>IF(E9="","",E9/0.8)</f>
        <v/>
      </c>
    </row>
    <row r="10" spans="1:7">
      <c r="B10" s="1269" t="s">
        <v>3140</v>
      </c>
      <c r="C10" s="1265" t="s">
        <v>3106</v>
      </c>
      <c r="D10" s="421" t="str">
        <f>_xlfn.IFNA(IF(VLOOKUP($C10,Ingredient_prices!$E:$F,2,FALSE)="Партија 2","Lot 2","Lot 1"),"")</f>
        <v/>
      </c>
      <c r="E10" s="407" t="str">
        <f>IF(SUMIF(Meal_entry_week_1!H$11:H$496,"Cabbage red fresh",Meal_entry_week_1!K$11:K$496)&gt;0,SUMIF(Meal_entry_week_1!H$11:H$496,"Cabbage red fresh",Meal_entry_week_1!K$11:K$496),"")</f>
        <v/>
      </c>
      <c r="F10" s="407" t="str">
        <f>IF(E10="","",E10/0.8)</f>
        <v/>
      </c>
    </row>
    <row r="11" spans="1:7">
      <c r="B11" s="1269" t="s">
        <v>3140</v>
      </c>
      <c r="C11" s="1266" t="s">
        <v>3105</v>
      </c>
      <c r="D11" s="421" t="str">
        <f>_xlfn.IFNA(IF(VLOOKUP($C11,Ingredient_prices!$E:$F,2,FALSE)="Партија 2","Lot 2","Lot 1"),"")</f>
        <v>Lot 2</v>
      </c>
      <c r="E11" s="407">
        <f>IF(SUMIF(Meal_entry_week_1!H$11:H$496,"Cabbage white fresh",Meal_entry_week_1!K$11:K$496)&gt;0,SUMIF(Meal_entry_week_1!H$11:H$496,"Cabbage white fresh",Meal_entry_week_1!K$11:K$496),"")</f>
        <v>26.400000000000006</v>
      </c>
      <c r="F11" s="407">
        <f>IF(E11="","",E11/0.8)</f>
        <v>33.000000000000007</v>
      </c>
    </row>
    <row r="12" spans="1:7">
      <c r="B12" s="1269" t="s">
        <v>3140</v>
      </c>
      <c r="C12" s="1266" t="s">
        <v>3115</v>
      </c>
      <c r="D12" s="421" t="str">
        <f>_xlfn.IFNA(IF(VLOOKUP($C12,Ingredient_prices!$E:$F,2,FALSE)="Партија 2","Lot 2","Lot 1"),"")</f>
        <v>Lot 2</v>
      </c>
      <c r="E12" s="407">
        <f>IF(SUMIF(Meal_entry_week_1!H$11:H$496,"Carrot fresh",Meal_entry_week_1!K$11:K$496)&gt;0,SUMIF(Meal_entry_week_1!H$11:H$496,"Carrot fresh",Meal_entry_week_1!K$11:K$496),"")</f>
        <v>12.979999999999999</v>
      </c>
      <c r="F12" s="407">
        <f>IF(E12="","",E12/0.9)</f>
        <v>14.422222222222221</v>
      </c>
    </row>
    <row r="13" spans="1:7">
      <c r="B13" s="1269" t="s">
        <v>3140</v>
      </c>
      <c r="C13" s="346" t="s">
        <v>3114</v>
      </c>
      <c r="D13" s="421" t="str">
        <f>_xlfn.IFNA(IF(VLOOKUP($C13,Ingredient_prices!$E:$F,2,FALSE)="Партија 2","Lot 2","Lot 1"),"")</f>
        <v>Lot 2</v>
      </c>
      <c r="E13" s="407" t="str">
        <f>IF(SUMIF(Meal_entry_week_1!H$11:H$496,"Carrots frozen",Meal_entry_week_1!K$11:K$496)&gt;0,SUMIF(Meal_entry_week_1!H$11:H$496,"Carrots frozen",Meal_entry_week_1!K$11:K$496),"")</f>
        <v/>
      </c>
      <c r="F13" s="407" t="str">
        <f>IF(E13="","",E13/1)</f>
        <v/>
      </c>
    </row>
    <row r="14" spans="1:7">
      <c r="B14" s="1269" t="s">
        <v>3140</v>
      </c>
      <c r="C14" s="1266" t="s">
        <v>469</v>
      </c>
      <c r="D14" s="421" t="str">
        <f>_xlfn.IFNA(IF(VLOOKUP($C14,Ingredient_prices!$E:$F,2,FALSE)="Партија 2","Lot 2","Lot 1"),"")</f>
        <v>Lot 2</v>
      </c>
      <c r="E14" s="407">
        <f>IF(SUMIF(Meal_entry_week_1!H$11:H$496,"Cauliflower",Meal_entry_week_1!K$11:K$496)&gt;0,SUMIF(Meal_entry_week_1!H$11:H$496,"Cauliflower",Meal_entry_week_1!K$11:K$496),"")</f>
        <v>3.3000000000000003</v>
      </c>
      <c r="F14" s="407">
        <f>IF(E14="","",E14/0.7)</f>
        <v>4.7142857142857153</v>
      </c>
    </row>
    <row r="15" spans="1:7">
      <c r="B15" s="1269" t="s">
        <v>3140</v>
      </c>
      <c r="C15" s="346" t="s">
        <v>3099</v>
      </c>
      <c r="D15" s="421" t="str">
        <f>_xlfn.IFNA(IF(VLOOKUP($C15,Ingredient_prices!$E:$F,2,FALSE)="Партија 2","Lot 2","Lot 1"),"")</f>
        <v/>
      </c>
      <c r="E15" s="407" t="str">
        <f>IF(SUMIF(Meal_entry_week_1!H$11:H$496,"Celery leaf",Meal_entry_week_1!K$11:K$496)&gt;0,SUMIF(Meal_entry_week_1!H$11:H$496,"Celery leaf",Meal_entry_week_1!K$11:K$496),"")</f>
        <v/>
      </c>
      <c r="F15" s="407" t="str">
        <f>IF(E15="","",E15/0.75)</f>
        <v/>
      </c>
    </row>
    <row r="16" spans="1:7">
      <c r="B16" s="1269" t="s">
        <v>3140</v>
      </c>
      <c r="C16" s="1266" t="s">
        <v>438</v>
      </c>
      <c r="D16" s="421" t="str">
        <f>_xlfn.IFNA(IF(VLOOKUP($C16,Ingredient_prices!$E:$F,2,FALSE)="Партија 2","Lot 2","Lot 1"),"")</f>
        <v>Lot 2</v>
      </c>
      <c r="E16" s="407" t="str">
        <f>IF(SUMIF(Meal_entry_week_1!H$11:H$496,"Celery root",Meal_entry_week_1!K$11:K$496)&gt;0,SUMIF(Meal_entry_week_1!H$11:H$496,"Celery root",Meal_entry_week_1!K$11:K$496),"")</f>
        <v/>
      </c>
      <c r="F16" s="407" t="str">
        <f>IF(E16="","",E16/0.8)</f>
        <v/>
      </c>
    </row>
    <row r="17" spans="1:7">
      <c r="B17" s="1269" t="s">
        <v>3140</v>
      </c>
      <c r="C17" s="346" t="s">
        <v>3111</v>
      </c>
      <c r="D17" s="421" t="str">
        <f>_xlfn.IFNA(IF(VLOOKUP($C17,Ingredient_prices!$E:$F,2,FALSE)="Партија 2","Lot 2","Lot 1"),"")</f>
        <v/>
      </c>
      <c r="E17" s="407" t="str">
        <f>IF(SUMIF(Meal_entry_week_1!H$11:H$496,"Cherry tomatoes",Meal_entry_week_1!K$11:K$496)&gt;0,SUMIF(Meal_entry_week_1!H$11:H$496,"Cherry tomatoes",Meal_entry_week_1!K$11:K$496),"")</f>
        <v/>
      </c>
      <c r="F17" s="407" t="str">
        <f>IF(E17="","",E17/1)</f>
        <v/>
      </c>
    </row>
    <row r="18" spans="1:7">
      <c r="B18" s="1269" t="s">
        <v>3140</v>
      </c>
      <c r="C18" s="346" t="s">
        <v>3104</v>
      </c>
      <c r="D18" s="421" t="str">
        <f>_xlfn.IFNA(IF(VLOOKUP($C18,Ingredient_prices!$E:$F,2,FALSE)="Партија 2","Lot 2","Lot 1"),"")</f>
        <v>Lot 2</v>
      </c>
      <c r="E18" s="407" t="str">
        <f>IF(SUMIF(Meal_entry_week_1!H$11:H$496,"Cucumber fresh",Meal_entry_week_1!K$11:K$496)&gt;0,SUMIF(Meal_entry_week_1!H$11:H$496,"Cucumber fresh",Meal_entry_week_1!K$11:K$496),"")</f>
        <v/>
      </c>
      <c r="F18" s="407" t="str">
        <f>IF(E18="","",E18/0.95)</f>
        <v/>
      </c>
    </row>
    <row r="19" spans="1:7">
      <c r="B19" s="1269" t="s">
        <v>3140</v>
      </c>
      <c r="C19" s="394" t="s">
        <v>3139</v>
      </c>
      <c r="D19" s="421" t="str">
        <f>_xlfn.IFNA(IF(VLOOKUP($C19,Ingredient_prices!$E:$F,2,FALSE)="Партија 2","Lot 2","Lot 1"),"")</f>
        <v/>
      </c>
      <c r="E19" s="407" t="str">
        <f>IF(SUMIF(Meal_entry_week_1!H$11:H$496,"Dock leaves",Meal_entry_week_1!K$11:K$496)&gt;0,SUMIF(Meal_entry_week_1!H$11:H$496,"Dock leaves",Meal_entry_week_1!K$11:K$496),"")</f>
        <v/>
      </c>
      <c r="F19" s="407" t="str">
        <f>IF(E19="","",E19/0.8)</f>
        <v/>
      </c>
    </row>
    <row r="20" spans="1:7">
      <c r="B20" s="1269" t="s">
        <v>3140</v>
      </c>
      <c r="C20" s="1267" t="s">
        <v>414</v>
      </c>
      <c r="D20" s="421" t="str">
        <f>_xlfn.IFNA(IF(VLOOKUP($C20,Ingredient_prices!$E:$F,2,FALSE)="Партија 2","Lot 2","Lot 1"),"")</f>
        <v>Lot 2</v>
      </c>
      <c r="E20" s="407">
        <f>IF(SUMIF(Meal_entry_week_1!H$11:H$496,"Garlic",Meal_entry_week_1!K$11:K$496)&gt;0,SUMIF(Meal_entry_week_1!H$11:H$496,"Garlic",Meal_entry_week_1!K$11:K$496),"")</f>
        <v>0.33</v>
      </c>
      <c r="F20" s="407">
        <f>IF(E20="","",E20/0.9)</f>
        <v>0.3666666666666667</v>
      </c>
    </row>
    <row r="21" spans="1:7">
      <c r="B21" s="1269" t="s">
        <v>3140</v>
      </c>
      <c r="C21" s="1266" t="s">
        <v>3121</v>
      </c>
      <c r="D21" s="421" t="str">
        <f>_xlfn.IFNA(IF(VLOOKUP($C21,Ingredient_prices!$E:$F,2,FALSE)="Партија 2","Lot 2","Lot 1"),"")</f>
        <v>Lot 2</v>
      </c>
      <c r="E21" s="407">
        <f>IF(SUMIF(Meal_entry_week_1!H$11:H$496,"Green (French) beans",Meal_entry_week_1!K$11:K$496)&gt;0,SUMIF(Meal_entry_week_1!H$11:H$496,"Green (French) beans",Meal_entry_week_1!K$11:K$496),"")</f>
        <v>7.7</v>
      </c>
      <c r="F21" s="407">
        <f>IF(E21="","",E21/1)</f>
        <v>7.7</v>
      </c>
    </row>
    <row r="22" spans="1:7">
      <c r="B22" s="1269" t="s">
        <v>3140</v>
      </c>
      <c r="C22" s="346" t="s">
        <v>3118</v>
      </c>
      <c r="D22" s="421" t="str">
        <f>_xlfn.IFNA(IF(VLOOKUP($C22,Ingredient_prices!$E:$F,2,FALSE)="Партија 2","Lot 2","Lot 1"),"")</f>
        <v/>
      </c>
      <c r="E22" s="407" t="str">
        <f>IF(SUMIF(Meal_entry_week_1!H$11:H$496,"Iceberg lettuce",Meal_entry_week_1!K$11:K$496)&gt;0,SUMIF(Meal_entry_week_1!H$11:H$496,"Iceberg lettuce",Meal_entry_week_1!K$11:K$496),"")</f>
        <v/>
      </c>
      <c r="F22" s="407" t="str">
        <f>IF(E22="","",E22/0.85)</f>
        <v/>
      </c>
    </row>
    <row r="23" spans="1:7">
      <c r="B23" s="1269" t="s">
        <v>3140</v>
      </c>
      <c r="C23" s="346" t="s">
        <v>439</v>
      </c>
      <c r="D23" s="421" t="str">
        <f>_xlfn.IFNA(IF(VLOOKUP($C23,Ingredient_prices!$E:$F,2,FALSE)="Партија 2","Lot 2","Lot 1"),"")</f>
        <v>Lot 2</v>
      </c>
      <c r="E23" s="407" t="str">
        <f>IF(SUMIF(Meal_entry_week_1!H$11:H$496,"Kale",Meal_entry_week_1!K$11:K$496)&gt;0,SUMIF(Meal_entry_week_1!H$11:H$496,"Kale",Meal_entry_week_1!K$11:K$496),"")</f>
        <v/>
      </c>
      <c r="F23" s="407" t="str">
        <f>IF(E23="","",E23/0.8)</f>
        <v/>
      </c>
    </row>
    <row r="24" spans="1:7">
      <c r="B24" s="1269" t="s">
        <v>3140</v>
      </c>
      <c r="C24" s="1266" t="s">
        <v>421</v>
      </c>
      <c r="D24" s="421" t="str">
        <f>_xlfn.IFNA(IF(VLOOKUP($C24,Ingredient_prices!$E:$F,2,FALSE)="Партија 2","Lot 2","Lot 1"),"")</f>
        <v>Lot 2</v>
      </c>
      <c r="E24" s="407" t="str">
        <f>IF(SUMIF(Meal_entry_week_1!H$11:H$496,"Leek",Meal_entry_week_1!K$11:K$496)&gt;0,SUMIF(Meal_entry_week_1!H$11:H$496,"Leek",Meal_entry_week_1!K$11:K$496),"")</f>
        <v/>
      </c>
      <c r="F24" s="407" t="str">
        <f>IF(E24="","",E24/0.8)</f>
        <v/>
      </c>
    </row>
    <row r="25" spans="1:7">
      <c r="A25" s="1126"/>
      <c r="B25" s="1269" t="s">
        <v>3140</v>
      </c>
      <c r="C25" s="1266" t="s">
        <v>518</v>
      </c>
      <c r="D25" s="421" t="str">
        <f>_xlfn.IFNA(IF(VLOOKUP($C25,Ingredient_prices!$E:$F,2,FALSE)="Партија 2","Lot 2","Lot 1"),"")</f>
        <v>Lot 2</v>
      </c>
      <c r="E25" s="1125">
        <f>IF(SUMIF(Meal_entry_week_1!H$11:H$496,"Lentils",Meal_entry_week_1!K$11:K$496)&gt;0,SUMIF(Meal_entry_week_1!H$11:H$496,"Lentils",Meal_entry_week_1!K$11:K$496),"")</f>
        <v>13.2</v>
      </c>
      <c r="F25" s="1125">
        <f>IF(E25="","",E25/1)</f>
        <v>13.2</v>
      </c>
    </row>
    <row r="26" spans="1:7" s="491" customFormat="1">
      <c r="A26" s="444"/>
      <c r="B26" s="1269" t="s">
        <v>3140</v>
      </c>
      <c r="C26" s="346" t="s">
        <v>415</v>
      </c>
      <c r="D26" s="421" t="str">
        <f>_xlfn.IFNA(IF(VLOOKUP($C26,Ingredient_prices!$E:$F,2,FALSE)="Партија 2","Lot 2","Lot 1"),"")</f>
        <v>Lot 2</v>
      </c>
      <c r="E26" s="407" t="str">
        <f>IF(SUMIF(Meal_entry_week_1!H$11:H$496,"Lettuce",Meal_entry_week_1!K$11:K$496)&gt;0,SUMIF(Meal_entry_week_1!H$11:H$496,"Lettuce",Meal_entry_week_1!K$11:K$496),"")</f>
        <v/>
      </c>
      <c r="F26" s="407" t="str">
        <f>IF(E26="","",E26/0.85)</f>
        <v/>
      </c>
      <c r="G26" s="1126"/>
    </row>
    <row r="27" spans="1:7">
      <c r="B27" s="1269" t="s">
        <v>3140</v>
      </c>
      <c r="C27" s="1265" t="s">
        <v>3108</v>
      </c>
      <c r="D27" s="421" t="str">
        <f>_xlfn.IFNA(IF(VLOOKUP($C27,Ingredient_prices!$E:$F,2,FALSE)="Партија 2","Lot 2","Lot 1"),"")</f>
        <v/>
      </c>
      <c r="E27" s="407" t="str">
        <f>IF(SUMIF(Meal_entry_week_1!H$11:H$496,"Mixed vegetables for Russian salad",Meal_entry_week_1!K$11:K$496)&gt;0,SUMIF(Meal_entry_week_1!H$11:H$496,"Mixed vegetables for Russian salad",Meal_entry_week_1!K$11:K$496),"")</f>
        <v/>
      </c>
      <c r="F27" s="407" t="str">
        <f t="shared" ref="F27" si="0">IF(E27="","",E27/1)</f>
        <v/>
      </c>
    </row>
    <row r="28" spans="1:7" s="749" customFormat="1">
      <c r="A28" s="444"/>
      <c r="B28" s="1269" t="s">
        <v>3140</v>
      </c>
      <c r="C28" s="1266" t="s">
        <v>3128</v>
      </c>
      <c r="D28" s="421" t="str">
        <f>_xlfn.IFNA(IF(VLOOKUP($C28,Ingredient_prices!$E:$F,2,FALSE)="Партија 2","Lot 2","Lot 1"),"")</f>
        <v>Lot 2</v>
      </c>
      <c r="E28" s="407">
        <f>IF(SUMIF(Meal_entry_week_1!H$11:H$496,"Mixed Vegetables for soup",Meal_entry_week_1!K$11:K$496)&gt;0,SUMIF(Meal_entry_week_1!H$11:H$496,"Mixed Vegetables for soup",Meal_entry_week_1!K$11:K$496),"")</f>
        <v>5.5000000000000009</v>
      </c>
      <c r="F28" s="407">
        <f t="shared" ref="F28" si="1">IF(E28="","",E28/1)</f>
        <v>5.5000000000000009</v>
      </c>
      <c r="G28" s="444"/>
    </row>
    <row r="29" spans="1:7">
      <c r="B29" s="1269" t="s">
        <v>3140</v>
      </c>
      <c r="C29" s="1265" t="s">
        <v>3107</v>
      </c>
      <c r="D29" s="421" t="str">
        <f>_xlfn.IFNA(IF(VLOOKUP($C29,Ingredient_prices!$E:$F,2,FALSE)="Партија 2","Lot 2","Lot 1"),"")</f>
        <v>Lot 2</v>
      </c>
      <c r="E29" s="407" t="str">
        <f>IF(SUMIF(Meal_entry_week_1!H$11:H$496,"Mixed vegetables for stew",Meal_entry_week_1!K$11:K$496)&gt;0,SUMIF(Meal_entry_week_1!H$11:H$496,"Mixed vegetables for stew",Meal_entry_week_1!K$11:K$496),"")</f>
        <v/>
      </c>
      <c r="F29" s="407" t="str">
        <f>IF(E29="","",E29/1)</f>
        <v/>
      </c>
    </row>
    <row r="30" spans="1:7">
      <c r="B30" s="1269" t="s">
        <v>3140</v>
      </c>
      <c r="C30" s="1265" t="s">
        <v>3109</v>
      </c>
      <c r="D30" s="421" t="str">
        <f>_xlfn.IFNA(IF(VLOOKUP($C30,Ingredient_prices!$E:$F,2,FALSE)="Партија 2","Lot 2","Lot 1"),"")</f>
        <v/>
      </c>
      <c r="E30" s="407" t="str">
        <f>IF(SUMIF(Meal_entry_week_1!H$11:H$496,"Mixed vegetables golden",Meal_entry_week_1!K$11:K$496)&gt;0,SUMIF(Meal_entry_week_1!H$11:H$496,"Mixed vegetables golden",Meal_entry_week_1!K$11:K$496),"")</f>
        <v/>
      </c>
      <c r="F30" s="407" t="str">
        <f>IF(E30="","",E30/1)</f>
        <v/>
      </c>
    </row>
    <row r="31" spans="1:7">
      <c r="B31" s="1269" t="s">
        <v>3140</v>
      </c>
      <c r="C31" s="1265" t="s">
        <v>3127</v>
      </c>
      <c r="D31" s="421" t="str">
        <f>_xlfn.IFNA(IF(VLOOKUP($C31,Ingredient_prices!$E:$F,2,FALSE)="Партија 2","Lot 2","Lot 1"),"")</f>
        <v/>
      </c>
      <c r="E31" s="407" t="str">
        <f>IF(SUMIF(Meal_entry_week_1!H$11:H$496,"Mixed vegetables Imperial",Meal_entry_week_1!K$11:K$496)&gt;0,SUMIF(Meal_entry_week_1!H$11:H$496,"Mixed vegetables Imperial",Meal_entry_week_1!K$11:K$496),"")</f>
        <v/>
      </c>
      <c r="F31" s="407" t="str">
        <f>IF(E31="","",E31/1)</f>
        <v/>
      </c>
    </row>
    <row r="32" spans="1:7">
      <c r="B32" s="1269" t="s">
        <v>3140</v>
      </c>
      <c r="C32" s="1266" t="s">
        <v>20</v>
      </c>
      <c r="D32" s="421" t="str">
        <f>_xlfn.IFNA(IF(VLOOKUP($C32,Ingredient_prices!$E:$F,2,FALSE)="Партија 2","Lot 2","Lot 1"),"")</f>
        <v>Lot 2</v>
      </c>
      <c r="E32" s="407" t="str">
        <f>IF(SUMIF(Meal_entry_week_1!H$11:H$496,"Mushrooms",Meal_entry_week_1!K$11:K$496)&gt;0,SUMIF(Meal_entry_week_1!H$11:H$496,"Mushrooms",Meal_entry_week_1!K$11:K$496),"")</f>
        <v/>
      </c>
      <c r="F32" s="407" t="str">
        <f>IF(E32="","",E32/1)</f>
        <v/>
      </c>
    </row>
    <row r="33" spans="1:7" s="749" customFormat="1">
      <c r="A33" s="444"/>
      <c r="B33" s="1269" t="s">
        <v>3140</v>
      </c>
      <c r="C33" s="1266" t="s">
        <v>3100</v>
      </c>
      <c r="D33" s="421" t="str">
        <f>_xlfn.IFNA(IF(VLOOKUP($C33,Ingredient_prices!$E:$F,2,FALSE)="Партија 2","Lot 2","Lot 1"),"")</f>
        <v>Lot 2</v>
      </c>
      <c r="E33" s="407">
        <f>IF(SUMIF(Meal_entry_week_1!H$11:H$496,"Onion",Meal_entry_week_1!K$11:K$496)&gt;0,SUMIF(Meal_entry_week_1!H$11:H$496,"Onion",Meal_entry_week_1!K$11:K$496),"")</f>
        <v>5.5</v>
      </c>
      <c r="F33" s="407">
        <f>IF(E33="","",E33/0.9)</f>
        <v>6.1111111111111107</v>
      </c>
      <c r="G33" s="444"/>
    </row>
    <row r="34" spans="1:7">
      <c r="B34" s="1269" t="s">
        <v>3140</v>
      </c>
      <c r="C34" s="346" t="s">
        <v>3122</v>
      </c>
      <c r="D34" s="421" t="str">
        <f>_xlfn.IFNA(IF(VLOOKUP($C34,Ingredient_prices!$E:$F,2,FALSE)="Партија 2","Lot 2","Lot 1"),"")</f>
        <v/>
      </c>
      <c r="E34" s="407" t="str">
        <f>IF(SUMIF(Meal_entry_week_1!H$11:H$496,"Onion red",Meal_entry_week_1!K$11:K$496)&gt;0,SUMIF(Meal_entry_week_1!H$11:H$496,"Onion red",Meal_entry_week_1!K$11:K$496),"")</f>
        <v/>
      </c>
      <c r="F34" s="407" t="str">
        <f>IF(E34="","",E34/0.9)</f>
        <v/>
      </c>
    </row>
    <row r="35" spans="1:7">
      <c r="B35" s="1269" t="s">
        <v>3140</v>
      </c>
      <c r="C35" s="346" t="s">
        <v>3129</v>
      </c>
      <c r="D35" s="421" t="str">
        <f>_xlfn.IFNA(IF(VLOOKUP($C35,Ingredient_prices!$E:$F,2,FALSE)="Партија 2","Lot 2","Lot 1"),"")</f>
        <v/>
      </c>
      <c r="E35" s="407" t="str">
        <f>IF(SUMIF(Meal_entry_week_1!H$11:H$496,"Onions spring",Meal_entry_week_1!K$11:K$496)&gt;0,SUMIF(Meal_entry_week_1!H$11:H$496,"Onions spring",Meal_entry_week_1!K$11:K$496),"")</f>
        <v/>
      </c>
      <c r="F35" s="407" t="str">
        <f>IF(E35="","",E35/0.75)</f>
        <v/>
      </c>
    </row>
    <row r="36" spans="1:7">
      <c r="B36" s="1269" t="s">
        <v>3140</v>
      </c>
      <c r="C36" s="1266" t="s">
        <v>3113</v>
      </c>
      <c r="D36" s="421" t="str">
        <f>_xlfn.IFNA(IF(VLOOKUP($C36,Ingredient_prices!$E:$F,2,FALSE)="Партија 2","Lot 2","Lot 1"),"")</f>
        <v>Lot 2</v>
      </c>
      <c r="E36" s="407" t="str">
        <f>IF(SUMIF(Meal_entry_week_1!H$11:H$496,"Parsley leaf, fresh",Meal_entry_week_1!K$11:K$496)&gt;0,SUMIF(Meal_entry_week_1!H$11:H$496,"Parsley leaf, fresh",Meal_entry_week_1!K$11:K$496),"")</f>
        <v/>
      </c>
      <c r="F36" s="407" t="str">
        <f>IF(E36="","",E36/1)</f>
        <v/>
      </c>
    </row>
    <row r="37" spans="1:7">
      <c r="B37" s="1269" t="s">
        <v>3140</v>
      </c>
      <c r="C37" s="346" t="s">
        <v>3112</v>
      </c>
      <c r="D37" s="421" t="str">
        <f>_xlfn.IFNA(IF(VLOOKUP($C37,Ingredient_prices!$E:$F,2,FALSE)="Партија 2","Lot 2","Lot 1"),"")</f>
        <v/>
      </c>
      <c r="E37" s="407" t="str">
        <f>IF(SUMIF(Meal_entry_week_1!H$11:H$496,"Parsley root",Meal_entry_week_1!K$11:K$496)&gt;0,SUMIF(Meal_entry_week_1!H$11:H$496,"Parsley root",Meal_entry_week_1!K$11:K$496),"")</f>
        <v/>
      </c>
      <c r="F37" s="407" t="str">
        <f>IF(E37="","",E37/0.8)</f>
        <v/>
      </c>
    </row>
    <row r="38" spans="1:7">
      <c r="B38" s="1269" t="s">
        <v>3140</v>
      </c>
      <c r="C38" s="1266" t="s">
        <v>441</v>
      </c>
      <c r="D38" s="421" t="str">
        <f>_xlfn.IFNA(IF(VLOOKUP($C38,Ingredient_prices!$E:$F,2,FALSE)="Партија 2","Lot 2","Lot 1"),"")</f>
        <v>Lot 2</v>
      </c>
      <c r="E38" s="407" t="str">
        <f>IF(SUMIF(Meal_entry_week_1!H$11:H$496,"Parsnip",Meal_entry_week_1!K$11:K$496)&gt;0,SUMIF(Meal_entry_week_1!H$11:H$496,"Parsnip",Meal_entry_week_1!K$11:K$496),"")</f>
        <v/>
      </c>
      <c r="F38" s="407" t="str">
        <f>IF(E38="","",E38/0.8)</f>
        <v/>
      </c>
    </row>
    <row r="39" spans="1:7">
      <c r="B39" s="1269" t="s">
        <v>3140</v>
      </c>
      <c r="C39" s="1266" t="s">
        <v>3138</v>
      </c>
      <c r="D39" s="421" t="str">
        <f>_xlfn.IFNA(IF(VLOOKUP($C39,Ingredient_prices!$E:$F,2,FALSE)="Партија 2","Lot 2","Lot 1"),"")</f>
        <v>Lot 2</v>
      </c>
      <c r="E39" s="407" t="str">
        <f>IF(SUMIF(Meal_entry_week_1!H$11:H$496,"Parsnip and carrot",Meal_entry_week_1!K$11:K$496)&gt;0,SUMIF(Meal_entry_week_1!H$11:H$496,"Parsnip and carrot",Meal_entry_week_1!K$11:K$496),"")</f>
        <v/>
      </c>
      <c r="F39" s="407" t="str">
        <f>IF(E39="","",E39/0.85)</f>
        <v/>
      </c>
    </row>
    <row r="40" spans="1:7">
      <c r="B40" s="1269" t="s">
        <v>3140</v>
      </c>
      <c r="C40" s="1266" t="s">
        <v>3123</v>
      </c>
      <c r="D40" s="421" t="str">
        <f>_xlfn.IFNA(IF(VLOOKUP($C40,Ingredient_prices!$E:$F,2,FALSE)="Партија 2","Lot 2","Lot 1"),"")</f>
        <v>Lot 2</v>
      </c>
      <c r="E40" s="407" t="str">
        <f>IF(SUMIF(Meal_entry_week_1!H$11:H$496,"Peas frozen",Meal_entry_week_1!K$11:K$496)&gt;0,SUMIF(Meal_entry_week_1!H$11:H$496,"Peas frozen",Meal_entry_week_1!K$11:K$496),"")</f>
        <v/>
      </c>
      <c r="F40" s="407" t="str">
        <f t="shared" ref="F40:F49" si="2">IF(E40="","",E40/1)</f>
        <v/>
      </c>
    </row>
    <row r="41" spans="1:7">
      <c r="B41" s="1269" t="s">
        <v>3140</v>
      </c>
      <c r="C41" s="1265" t="s">
        <v>3103</v>
      </c>
      <c r="D41" s="421" t="str">
        <f>_xlfn.IFNA(IF(VLOOKUP($C41,Ingredient_prices!$E:$F,2,FALSE)="Партија 2","Lot 2","Lot 1"),"")</f>
        <v/>
      </c>
      <c r="E41" s="407" t="str">
        <f>IF(SUMIF(Meal_entry_week_1!H$11:H$496,"Pepperoni",Meal_entry_week_1!K$11:K$496)&gt;0,SUMIF(Meal_entry_week_1!H$11:H$496,"Pepperoni",Meal_entry_week_1!K$11:K$496),"")</f>
        <v/>
      </c>
      <c r="F41" s="407" t="str">
        <f>IF(E41="","",E41/0.9)</f>
        <v/>
      </c>
    </row>
    <row r="42" spans="1:7">
      <c r="B42" s="1269" t="s">
        <v>3140</v>
      </c>
      <c r="C42" s="1266" t="s">
        <v>3131</v>
      </c>
      <c r="D42" s="421" t="str">
        <f>_xlfn.IFNA(IF(VLOOKUP($C42,Ingredient_prices!$E:$F,2,FALSE)="Партија 2","Lot 2","Lot 1"),"")</f>
        <v>Lot 2</v>
      </c>
      <c r="E42" s="407" t="str">
        <f>IF(SUMIF(Meal_entry_week_1!H$11:H$496,"Peppers bell",Meal_entry_week_1!K$11:K$496)&gt;0,SUMIF(Meal_entry_week_1!H$11:H$496,"Peppers bell",Meal_entry_week_1!K$11:K$496),"")</f>
        <v/>
      </c>
      <c r="F42" s="407" t="str">
        <f>IF(E42="","",E42/0.75)</f>
        <v/>
      </c>
    </row>
    <row r="43" spans="1:7">
      <c r="B43" s="1269" t="s">
        <v>3140</v>
      </c>
      <c r="C43" s="1266" t="s">
        <v>3132</v>
      </c>
      <c r="D43" s="421" t="str">
        <f>_xlfn.IFNA(IF(VLOOKUP($C43,Ingredient_prices!$E:$F,2,FALSE)="Партија 2","Lot 2","Lot 1"),"")</f>
        <v>Lot 2</v>
      </c>
      <c r="E43" s="407" t="str">
        <f>IF(SUMIF(Meal_entry_week_1!H$11:H$496,"Peppers red, sweet",Meal_entry_week_1!K$11:K$496)&gt;0,SUMIF(Meal_entry_week_1!H$11:H$496,"Peppers red, sweet",Meal_entry_week_1!K$11:K$496),"")</f>
        <v/>
      </c>
      <c r="F43" s="407" t="str">
        <f>IF(E43="","",E43/0.75)</f>
        <v/>
      </c>
    </row>
    <row r="44" spans="1:7">
      <c r="B44" s="1269" t="s">
        <v>3140</v>
      </c>
      <c r="C44" s="346" t="s">
        <v>3133</v>
      </c>
      <c r="D44" s="421" t="str">
        <f>_xlfn.IFNA(IF(VLOOKUP($C44,Ingredient_prices!$E:$F,2,FALSE)="Партија 2","Lot 2","Lot 1"),"")</f>
        <v/>
      </c>
      <c r="E44" s="407" t="str">
        <f>IF(SUMIF(Meal_entry_week_1!H$11:H$496,"Peppers yellow, sweet",Meal_entry_week_1!K$11:K$496)&gt;0,SUMIF(Meal_entry_week_1!H$11:H$496,"Peppers yellow, sweet",Meal_entry_week_1!K$11:K$496),"")</f>
        <v/>
      </c>
      <c r="F44" s="407" t="str">
        <f>IF(E44="","",E44/0.75)</f>
        <v/>
      </c>
    </row>
    <row r="45" spans="1:7">
      <c r="B45" s="1269" t="s">
        <v>3140</v>
      </c>
      <c r="C45" s="346" t="s">
        <v>3130</v>
      </c>
      <c r="D45" s="421" t="str">
        <f>_xlfn.IFNA(IF(VLOOKUP($C45,Ingredient_prices!$E:$F,2,FALSE)="Партија 2","Lot 2","Lot 1"),"")</f>
        <v/>
      </c>
      <c r="E45" s="407" t="str">
        <f>IF(SUMIF(Meal_entry_week_1!H$11:H$496,"Potatoes early",Meal_entry_week_1!K$11:K$496)&gt;0,SUMIF(Meal_entry_week_1!H$11:H$496,"Potatoes early",Meal_entry_week_1!K$11:K$496),"")</f>
        <v/>
      </c>
      <c r="F45" s="407" t="str">
        <f>IF(E45="","",E45/0.85)</f>
        <v/>
      </c>
    </row>
    <row r="46" spans="1:7">
      <c r="B46" s="1269" t="s">
        <v>3140</v>
      </c>
      <c r="C46" s="346" t="s">
        <v>3125</v>
      </c>
      <c r="D46" s="421" t="str">
        <f>_xlfn.IFNA(IF(VLOOKUP($C46,Ingredient_prices!$E:$F,2,FALSE)="Партија 2","Lot 2","Lot 1"),"")</f>
        <v/>
      </c>
      <c r="E46" s="407" t="str">
        <f>IF(SUMIF(Meal_entry_week_1!H$11:H$496,"Potatoes red",Meal_entry_week_1!K$11:K$496)&gt;0,SUMIF(Meal_entry_week_1!H$11:H$496,"Potatoes red",Meal_entry_week_1!K$11:K$496),"")</f>
        <v/>
      </c>
      <c r="F46" s="407" t="str">
        <f>IF(E46="","",E46/0.8)</f>
        <v/>
      </c>
    </row>
    <row r="47" spans="1:7">
      <c r="B47" s="1269" t="s">
        <v>3140</v>
      </c>
      <c r="C47" s="1266" t="s">
        <v>3124</v>
      </c>
      <c r="D47" s="421" t="str">
        <f>_xlfn.IFNA(IF(VLOOKUP($C47,Ingredient_prices!$E:$F,2,FALSE)="Партија 2","Lot 2","Lot 1"),"")</f>
        <v>Lot 2</v>
      </c>
      <c r="E47" s="407">
        <f>IF(SUMIF(Meal_entry_week_1!H$11:H$496,"Potatoes white",Meal_entry_week_1!K$11:K$496)&gt;0,SUMIF(Meal_entry_week_1!H$11:H$496,"Potatoes white",Meal_entry_week_1!K$11:K$496),"")</f>
        <v>36.300000000000004</v>
      </c>
      <c r="F47" s="407">
        <f>IF(E47="","",E47/0.8)</f>
        <v>45.375</v>
      </c>
    </row>
    <row r="48" spans="1:7">
      <c r="B48" s="1269" t="s">
        <v>3140</v>
      </c>
      <c r="C48" s="1266" t="s">
        <v>3431</v>
      </c>
      <c r="D48" s="421" t="str">
        <f>_xlfn.IFNA(IF(VLOOKUP($C48,Ingredient_prices!$E:$F,2,FALSE)="Партија 2","Lot 2","Lot 1"),"")</f>
        <v>Lot 2</v>
      </c>
      <c r="E48" s="407" t="str">
        <f>IF(SUMIF(Meal_entry_week_1!H$11:H$496,"Courgette",Meal_entry_week_1!K$11:K$496)&gt;0,SUMIF(Meal_entry_week_1!H$11:H$496,"Courgette",Meal_entry_week_1!K$11:K$496),"")</f>
        <v/>
      </c>
      <c r="F48" s="407" t="str">
        <f>IF(E48="","",E48/0.95)</f>
        <v/>
      </c>
    </row>
    <row r="49" spans="2:6">
      <c r="B49" s="1269" t="s">
        <v>3140</v>
      </c>
      <c r="C49" s="1265" t="s">
        <v>3117</v>
      </c>
      <c r="D49" s="421" t="str">
        <f>_xlfn.IFNA(IF(VLOOKUP($C49,Ingredient_prices!$E:$F,2,FALSE)="Партија 2","Lot 2","Lot 1"),"")</f>
        <v>Lot 2</v>
      </c>
      <c r="E49" s="407" t="str">
        <f>IF(SUMIF(Meal_entry_week_1!H$11:H$496,"Pumpkin",Meal_entry_week_1!K$11:K$496)&gt;0,SUMIF(Meal_entry_week_1!H$11:H$496,"Pumpkin",Meal_entry_week_1!K$11:K$496),"")</f>
        <v/>
      </c>
      <c r="F49" s="407" t="str">
        <f t="shared" si="2"/>
        <v/>
      </c>
    </row>
    <row r="50" spans="2:6">
      <c r="B50" s="1269" t="s">
        <v>3140</v>
      </c>
      <c r="C50" s="346" t="s">
        <v>422</v>
      </c>
      <c r="D50" s="421" t="str">
        <f>_xlfn.IFNA(IF(VLOOKUP($C50,Ingredient_prices!$E:$F,2,FALSE)="Партија 2","Lot 2","Lot 1"),"")</f>
        <v/>
      </c>
      <c r="E50" s="407" t="str">
        <f>IF(SUMIF(Meal_entry_week_1!H$11:H$496,"Radish",Meal_entry_week_1!K$11:K$496)&gt;0,SUMIF(Meal_entry_week_1!H$11:H$496,"Radish",Meal_entry_week_1!K$11:K$496),"")</f>
        <v/>
      </c>
      <c r="F50" s="407" t="str">
        <f>IF(E50="","",E50/0.9)</f>
        <v/>
      </c>
    </row>
    <row r="51" spans="2:6">
      <c r="B51" s="1269" t="s">
        <v>3140</v>
      </c>
      <c r="C51" s="346" t="s">
        <v>3116</v>
      </c>
      <c r="D51" s="421" t="str">
        <f>_xlfn.IFNA(IF(VLOOKUP($C51,Ingredient_prices!$E:$F,2,FALSE)="Партија 2","Lot 2","Lot 1"),"")</f>
        <v>Lot 2</v>
      </c>
      <c r="E51" s="407" t="str">
        <f>IF(SUMIF(Meal_entry_week_1!H$11:H$496,"Spinach fresh",Meal_entry_week_1!K$11:K$496)&gt;0,SUMIF(Meal_entry_week_1!H$11:H$496,"Spinach fresh",Meal_entry_week_1!K$11:K$496),"")</f>
        <v/>
      </c>
      <c r="F51" s="407" t="str">
        <f>IF(E51="","",E51/0.9)</f>
        <v/>
      </c>
    </row>
    <row r="52" spans="2:6">
      <c r="B52" s="1269" t="s">
        <v>3140</v>
      </c>
      <c r="C52" s="1266" t="s">
        <v>3137</v>
      </c>
      <c r="D52" s="421" t="str">
        <f>_xlfn.IFNA(IF(VLOOKUP($C52,Ingredient_prices!$E:$F,2,FALSE)="Партија 2","Lot 2","Lot 1"),"")</f>
        <v>Lot 2</v>
      </c>
      <c r="E52" s="407" t="str">
        <f>IF(SUMIF(Meal_entry_week_1!H$11:H$496,"Spinach frozen",Meal_entry_week_1!K$11:K$496)&gt;0,SUMIF(Meal_entry_week_1!H$11:H$496,"Spinach frozen",Meal_entry_week_1!K$11:K$496),"")</f>
        <v/>
      </c>
      <c r="F52" s="407" t="str">
        <f>IF(E52="","",E52/1)</f>
        <v/>
      </c>
    </row>
    <row r="53" spans="2:6">
      <c r="B53" s="1269" t="s">
        <v>3140</v>
      </c>
      <c r="C53" s="1266" t="s">
        <v>3126</v>
      </c>
      <c r="D53" s="421" t="str">
        <f>_xlfn.IFNA(IF(VLOOKUP($C53,Ingredient_prices!$E:$F,2,FALSE)="Партија 2","Lot 2","Lot 1"),"")</f>
        <v>Lot 2</v>
      </c>
      <c r="E53" s="407">
        <f>IF(SUMIF(Meal_entry_week_1!H$11:H$496,"Sweetcorn frozen",Meal_entry_week_1!K$11:K$496)&gt;0,SUMIF(Meal_entry_week_1!H$11:H$496,"Sweetcorn frozen",Meal_entry_week_1!K$11:K$496),"")</f>
        <v>5.5</v>
      </c>
      <c r="F53" s="407">
        <f>IF(E53="","",E53/1)</f>
        <v>5.5</v>
      </c>
    </row>
    <row r="54" spans="2:6">
      <c r="B54" s="1269" t="s">
        <v>3140</v>
      </c>
      <c r="C54" s="1266" t="s">
        <v>3120</v>
      </c>
      <c r="D54" s="421" t="str">
        <f>_xlfn.IFNA(IF(VLOOKUP($C54,Ingredient_prices!$E:$F,2,FALSE)="Партија 2","Lot 2","Lot 1"),"")</f>
        <v>Lot 2</v>
      </c>
      <c r="E54" s="407" t="str">
        <f>IF(SUMIF(Meal_entry_week_1!H$11:H$496,"Swiss chard fresh",Meal_entry_week_1!K$11:K$496)&gt;0,SUMIF(Meal_entry_week_1!H$11:H$496,"Swiss chard fresh",Meal_entry_week_1!K$11:K$496),"")</f>
        <v/>
      </c>
      <c r="F54" s="407" t="str">
        <f>IF(E54="","",E54/0.8)</f>
        <v/>
      </c>
    </row>
    <row r="55" spans="2:6">
      <c r="B55" s="1269" t="s">
        <v>3140</v>
      </c>
      <c r="C55" s="1265" t="s">
        <v>3119</v>
      </c>
      <c r="D55" s="421" t="str">
        <f>_xlfn.IFNA(IF(VLOOKUP($C55,Ingredient_prices!$E:$F,2,FALSE)="Партија 2","Lot 2","Lot 1"),"")</f>
        <v>Lot 2</v>
      </c>
      <c r="E55" s="407" t="str">
        <f>IF(SUMIF(Meal_entry_week_1!H$11:H$496,"Swiss chard frozen",Meal_entry_week_1!K$11:K$496)&gt;0,SUMIF(Meal_entry_week_1!H$11:H$496,"Swiss chard frozen",Meal_entry_week_1!K$11:K$496),"")</f>
        <v/>
      </c>
      <c r="F55" s="407" t="str">
        <f>IF(E55="","",E55/0.8)</f>
        <v/>
      </c>
    </row>
    <row r="56" spans="2:6">
      <c r="B56" s="1270" t="s">
        <v>3140</v>
      </c>
      <c r="C56" s="1291" t="s">
        <v>3110</v>
      </c>
      <c r="D56" s="421" t="str">
        <f>_xlfn.IFNA(IF(VLOOKUP($C56,Ingredient_prices!$E:$F,2,FALSE)="Партија 2","Lot 2","Lot 1"),"")</f>
        <v>Lot 2</v>
      </c>
      <c r="E56" s="407" t="str">
        <f>IF(SUMIF(Meal_entry_week_1!H$11:H$496,"Tomatoes",Meal_entry_week_1!K$11:K$496)&gt;0,SUMIF(Meal_entry_week_1!H$11:H$496,"Tomatoes",Meal_entry_week_1!K$11:K$496),"")</f>
        <v/>
      </c>
      <c r="F56" s="407" t="str">
        <f>IF(E56="","",E56/0.9)</f>
        <v/>
      </c>
    </row>
    <row r="57" spans="2:6">
      <c r="B57" s="1290" t="s">
        <v>3069</v>
      </c>
      <c r="C57" s="1292" t="s">
        <v>3089</v>
      </c>
      <c r="D57" s="421" t="str">
        <f>_xlfn.IFNA(IF(VLOOKUP($C57,Ingredient_prices!$E:$F,2,FALSE)="Партија 2","Lot 2","Lot 1"),"")</f>
        <v>Lot 2</v>
      </c>
      <c r="E57" s="407" t="str">
        <f>IF(SUMIF(Meal_entry_week_1!H$11:H$496,"Beetroot, cooked, pickled",Meal_entry_week_1!K$11:K$496)&gt;0,SUMIF(Meal_entry_week_1!H$11:H$496,"Beetroot, cooked, pickled",Meal_entry_week_1!K$11:K$496),"")</f>
        <v/>
      </c>
      <c r="F57" s="407" t="str">
        <f t="shared" ref="F57:F118" si="3">IF(E57="","",E57/1)</f>
        <v/>
      </c>
    </row>
    <row r="58" spans="2:6">
      <c r="B58" s="1268" t="s">
        <v>3069</v>
      </c>
      <c r="C58" s="1268" t="s">
        <v>3092</v>
      </c>
      <c r="D58" s="421" t="str">
        <f>_xlfn.IFNA(IF(VLOOKUP($C58,Ingredient_prices!$E:$F,2,FALSE)="Партија 2","Lot 2","Lot 1"),"")</f>
        <v>Lot 2</v>
      </c>
      <c r="E58" s="407" t="str">
        <f>IF(SUMIF(Meal_entry_week_1!H$11:H$496,"Cabbage grated, pickled",Meal_entry_week_1!K$11:K$496)&gt;0,SUMIF(Meal_entry_week_1!H$11:H$496,"Cabbage grated, pickled",Meal_entry_week_1!K$11:K$496),"")</f>
        <v/>
      </c>
      <c r="F58" s="407" t="str">
        <f t="shared" si="3"/>
        <v/>
      </c>
    </row>
    <row r="59" spans="2:6">
      <c r="B59" s="1268" t="s">
        <v>3069</v>
      </c>
      <c r="C59" s="1268" t="s">
        <v>3091</v>
      </c>
      <c r="D59" s="421" t="str">
        <f>_xlfn.IFNA(IF(VLOOKUP($C59,Ingredient_prices!$E:$F,2,FALSE)="Партија 2","Lot 2","Lot 1"),"")</f>
        <v/>
      </c>
      <c r="E59" s="407" t="str">
        <f>IF(SUMIF(Meal_entry_week_1!H$11:H$496,"Cabbage heads, pickled",Meal_entry_week_1!K$11:K$496)&gt;0,SUMIF(Meal_entry_week_1!H$11:H$496,"Cabbage heads, pickled",Meal_entry_week_1!K$11:K$496),"")</f>
        <v/>
      </c>
      <c r="F59" s="407" t="str">
        <f t="shared" si="3"/>
        <v/>
      </c>
    </row>
    <row r="60" spans="2:6">
      <c r="B60" s="1268" t="s">
        <v>3069</v>
      </c>
      <c r="C60" s="1268" t="s">
        <v>1764</v>
      </c>
      <c r="D60" s="421" t="str">
        <f>_xlfn.IFNA(IF(VLOOKUP($C60,Ingredient_prices!$E:$F,2,FALSE)="Партија 2","Lot 2","Lot 1"),"")</f>
        <v/>
      </c>
      <c r="E60" s="407" t="str">
        <f>IF(SUMIF(Meal_entry_week_1!H$11:H$496,"French fries",Meal_entry_week_1!K$11:K$496)&gt;0,SUMIF(Meal_entry_week_1!H$11:H$496,"French fries",Meal_entry_week_1!K$11:K$496),"")</f>
        <v/>
      </c>
      <c r="F60" s="407" t="str">
        <f t="shared" si="3"/>
        <v/>
      </c>
    </row>
    <row r="61" spans="2:6">
      <c r="B61" s="1268" t="s">
        <v>3069</v>
      </c>
      <c r="C61" s="1268" t="s">
        <v>3087</v>
      </c>
      <c r="D61" s="421" t="str">
        <f>_xlfn.IFNA(IF(VLOOKUP($C61,Ingredient_prices!$E:$F,2,FALSE)="Партија 2","Lot 2","Lot 1"),"")</f>
        <v/>
      </c>
      <c r="E61" s="407" t="str">
        <f>IF(SUMIF(Meal_entry_week_1!H$11:H$496,"French fries, frozen",Meal_entry_week_1!K$11:K$496)&gt;0,SUMIF(Meal_entry_week_1!H$11:H$496,"French fries, frozen",Meal_entry_week_1!K$11:K$496),"")</f>
        <v/>
      </c>
      <c r="F61" s="407" t="str">
        <f>IF(E61="","",E61/1)</f>
        <v/>
      </c>
    </row>
    <row r="62" spans="2:6">
      <c r="B62" s="1268" t="s">
        <v>3069</v>
      </c>
      <c r="C62" s="1268" t="s">
        <v>3145</v>
      </c>
      <c r="D62" s="421" t="str">
        <f>_xlfn.IFNA(IF(VLOOKUP($C62,Ingredient_prices!$E:$F,2,FALSE)="Партија 2","Lot 2","Lot 1"),"")</f>
        <v>Lot 2</v>
      </c>
      <c r="E62" s="407">
        <f>IF(SUMIF(Meal_entry_week_1!H$11:H$496,"Gherkins pickled",Meal_entry_week_1!K$11:K$496)&gt;0,SUMIF(Meal_entry_week_1!H$11:H$496,"Gherkins pickled",Meal_entry_week_1!K$11:K$496),"")</f>
        <v>9.9</v>
      </c>
      <c r="F62" s="407">
        <f>IF(E62="","",E62/1)</f>
        <v>9.9</v>
      </c>
    </row>
    <row r="63" spans="2:6">
      <c r="B63" s="1268" t="s">
        <v>3069</v>
      </c>
      <c r="C63" s="1268" t="s">
        <v>3426</v>
      </c>
      <c r="D63" s="421" t="str">
        <f>_xlfn.IFNA(IF(VLOOKUP($C63,Ingredient_prices!$E:$F,2,FALSE)="Партија 2","Lot 2","Lot 1"),"")</f>
        <v>Lot 2</v>
      </c>
      <c r="E63" s="407" t="str">
        <f>IF(SUMIF(Meal_entry_week_1!H$11:H$496,"Instant mashed potatoes",Meal_entry_week_1!K$11:K$496)&gt;0,SUMIF(Meal_entry_week_1!H$11:H$496,"Instant mashed potatoes",Meal_entry_week_1!K$11:K$496),"")</f>
        <v/>
      </c>
      <c r="F63" s="407" t="str">
        <f t="shared" si="3"/>
        <v/>
      </c>
    </row>
    <row r="64" spans="2:6">
      <c r="B64" s="1268" t="s">
        <v>3069</v>
      </c>
      <c r="C64" s="1268" t="s">
        <v>3096</v>
      </c>
      <c r="D64" s="421" t="str">
        <f>_xlfn.IFNA(IF(VLOOKUP($C64,Ingredient_prices!$E:$F,2,FALSE)="Партија 2","Lot 2","Lot 1"),"")</f>
        <v>Lot 2</v>
      </c>
      <c r="E64" s="407" t="str">
        <f>IF(SUMIF(Meal_entry_week_1!H$11:H$496,"Mixed salad, canned",Meal_entry_week_1!K$11:K$496)&gt;0,SUMIF(Meal_entry_week_1!H$11:H$496,"Mixed salad, canned",Meal_entry_week_1!K$11:K$496),"")</f>
        <v/>
      </c>
      <c r="F64" s="407" t="str">
        <f t="shared" si="3"/>
        <v/>
      </c>
    </row>
    <row r="65" spans="2:6">
      <c r="B65" s="1268" t="s">
        <v>3069</v>
      </c>
      <c r="C65" s="1268" t="s">
        <v>3097</v>
      </c>
      <c r="D65" s="421" t="str">
        <f>_xlfn.IFNA(IF(VLOOKUP($C65,Ingredient_prices!$E:$F,2,FALSE)="Партија 2","Lot 2","Lot 1"),"")</f>
        <v>Lot 2</v>
      </c>
      <c r="E65" s="407" t="str">
        <f>IF(SUMIF(Meal_entry_week_1!H$11:H$496,"Mixed salad pickled",Meal_entry_week_1!K$11:K$496)&gt;0,SUMIF(Meal_entry_week_1!H$11:H$496,"Mixed salad pickled",Meal_entry_week_1!K$11:K$496),"")</f>
        <v/>
      </c>
      <c r="F65" s="407" t="str">
        <f t="shared" si="3"/>
        <v/>
      </c>
    </row>
    <row r="66" spans="2:6">
      <c r="B66" s="1268" t="s">
        <v>3069</v>
      </c>
      <c r="C66" s="1268" t="s">
        <v>3095</v>
      </c>
      <c r="D66" s="421" t="str">
        <f>_xlfn.IFNA(IF(VLOOKUP($C66,Ingredient_prices!$E:$F,2,FALSE)="Партија 2","Lot 2","Lot 1"),"")</f>
        <v/>
      </c>
      <c r="E66" s="407" t="str">
        <f>IF(SUMIF(Meal_entry_week_1!H$11:H$496,"Mushrooms marinated",Meal_entry_week_1!K$11:K$496)&gt;0,SUMIF(Meal_entry_week_1!H$11:H$496,"Mushrooms marinated",Meal_entry_week_1!K$11:K$496),"")</f>
        <v/>
      </c>
      <c r="F66" s="407" t="str">
        <f t="shared" si="3"/>
        <v/>
      </c>
    </row>
    <row r="67" spans="2:6">
      <c r="B67" s="1268" t="s">
        <v>3069</v>
      </c>
      <c r="C67" s="1268" t="s">
        <v>1766</v>
      </c>
      <c r="D67" s="421" t="str">
        <f>_xlfn.IFNA(IF(VLOOKUP($C67,Ingredient_prices!$E:$F,2,FALSE)="Партија 2","Lot 2","Lot 1"),"")</f>
        <v/>
      </c>
      <c r="E67" s="407" t="str">
        <f>IF(SUMIF(Meal_entry_week_1!H$11:H$496,"Peppers red roasted",Meal_entry_week_1!K$11:K$496)&gt;0,SUMIF(Meal_entry_week_1!H$11:H$496,"Peppers red roasted",Meal_entry_week_1!K$11:K$496),"")</f>
        <v/>
      </c>
      <c r="F67" s="407" t="str">
        <f>IF(E67="","",E67/1)</f>
        <v/>
      </c>
    </row>
    <row r="68" spans="2:6">
      <c r="B68" s="1268" t="s">
        <v>3069</v>
      </c>
      <c r="C68" s="1268" t="s">
        <v>3093</v>
      </c>
      <c r="D68" s="421" t="str">
        <f>_xlfn.IFNA(IF(VLOOKUP($C68,Ingredient_prices!$E:$F,2,FALSE)="Партија 2","Lot 2","Lot 1"),"")</f>
        <v>Lot 2</v>
      </c>
      <c r="E68" s="407" t="str">
        <f>IF(SUMIF(Meal_entry_week_1!H$11:H$496,"Peppers pickled",Meal_entry_week_1!K$11:K$496)&gt;0,SUMIF(Meal_entry_week_1!H$11:H$496,"Peppers pickled",Meal_entry_week_1!K$11:K$496),"")</f>
        <v/>
      </c>
      <c r="F68" s="407" t="str">
        <f t="shared" si="3"/>
        <v/>
      </c>
    </row>
    <row r="69" spans="2:6">
      <c r="B69" s="1268" t="s">
        <v>3069</v>
      </c>
      <c r="C69" s="11" t="s">
        <v>3093</v>
      </c>
      <c r="D69" s="421" t="str">
        <f>_xlfn.IFNA(IF(VLOOKUP($C69,Ingredient_prices!$E:$F,2,FALSE)="Партија 2","Lot 2","Lot 1"),"")</f>
        <v>Lot 2</v>
      </c>
      <c r="E69" s="407" t="str">
        <f>IF(SUMIF(Meal_entry_week_1!H$11:H$496,"Peppers pickled",Meal_entry_week_1!K$11:K$496)&gt;0,SUMIF(Meal_entry_week_1!H$11:H$496,"Peppers pickled",Meal_entry_week_1!K$11:K$496),"")</f>
        <v/>
      </c>
      <c r="F69" s="407" t="str">
        <f t="shared" si="3"/>
        <v/>
      </c>
    </row>
    <row r="70" spans="2:6">
      <c r="B70" s="1271" t="s">
        <v>3069</v>
      </c>
      <c r="C70" s="1271" t="s">
        <v>3090</v>
      </c>
      <c r="D70" s="421" t="str">
        <f>_xlfn.IFNA(IF(VLOOKUP($C70,Ingredient_prices!$E:$F,2,FALSE)="Партија 2","Lot 2","Lot 1"),"")</f>
        <v/>
      </c>
      <c r="E70" s="407" t="str">
        <f>IF(SUMIF(Meal_entry_week_1!H$11:H$496,"Sweetcorn, canned",Meal_entry_week_1!K$11:K$496)&gt;0,SUMIF(Meal_entry_week_1!H$11:H$496,"Sweetcorn, canned",Meal_entry_week_1!K$11:K$496),"")</f>
        <v/>
      </c>
      <c r="F70" s="407" t="str">
        <f t="shared" si="3"/>
        <v/>
      </c>
    </row>
    <row r="71" spans="2:6">
      <c r="B71" s="1290" t="s">
        <v>3073</v>
      </c>
      <c r="C71" s="749" t="s">
        <v>3160</v>
      </c>
      <c r="D71" s="421" t="str">
        <f>_xlfn.IFNA(IF(VLOOKUP($C71,Ingredient_prices!$E:$F,2,FALSE)="Партија 2","Lot 2","Lot 1"),"")</f>
        <v/>
      </c>
      <c r="E71" s="407" t="str">
        <f>IF(SUMIF(Meal_entry_week_1!H$11:H$496,"Beef fatty",Meal_entry_week_1!K$11:K$496)&gt;0,SUMIF(Meal_entry_week_1!H$11:H$496,"Beef fatty",Meal_entry_week_1!K$11:K$496),"")</f>
        <v/>
      </c>
      <c r="F71" s="407" t="str">
        <f t="shared" si="3"/>
        <v/>
      </c>
    </row>
    <row r="72" spans="2:6">
      <c r="B72" s="1268" t="s">
        <v>3073</v>
      </c>
      <c r="C72" s="749" t="s">
        <v>3146</v>
      </c>
      <c r="D72" s="421" t="str">
        <f>_xlfn.IFNA(IF(VLOOKUP($C72,Ingredient_prices!$E:$F,2,FALSE)="Партија 2","Lot 2","Lot 1"),"")</f>
        <v/>
      </c>
      <c r="E72" s="407" t="str">
        <f>IF(SUMIF(Meal_entry_week_1!H$11:H$496,"Beef medium fat",Meal_entry_week_1!K$11:K$496)&gt;0,SUMIF(Meal_entry_week_1!H$11:H$496,"Beef medium fat",Meal_entry_week_1!K$11:K$496),"")</f>
        <v/>
      </c>
      <c r="F72" s="407" t="str">
        <f t="shared" si="3"/>
        <v/>
      </c>
    </row>
    <row r="73" spans="2:6">
      <c r="B73" s="1268" t="s">
        <v>3073</v>
      </c>
      <c r="C73" s="749" t="s">
        <v>3161</v>
      </c>
      <c r="D73" s="421" t="str">
        <f>_xlfn.IFNA(IF(VLOOKUP($C73,Ingredient_prices!$E:$F,2,FALSE)="Партија 2","Lot 2","Lot 1"),"")</f>
        <v>Lot 2</v>
      </c>
      <c r="E73" s="407" t="str">
        <f>IF(SUMIF(Meal_entry_week_1!H$11:H$496,"Beef minced",Meal_entry_week_1!K$11:K$496)&gt;0,SUMIF(Meal_entry_week_1!H$11:H$496,"Beef minced",Meal_entry_week_1!K$11:K$496),"")</f>
        <v/>
      </c>
      <c r="F73" s="407" t="str">
        <f t="shared" si="3"/>
        <v/>
      </c>
    </row>
    <row r="74" spans="2:6">
      <c r="B74" s="1268" t="s">
        <v>3073</v>
      </c>
      <c r="C74" s="749" t="s">
        <v>3159</v>
      </c>
      <c r="D74" s="421" t="str">
        <f>_xlfn.IFNA(IF(VLOOKUP($C74,Ingredient_prices!$E:$F,2,FALSE)="Партија 2","Lot 2","Lot 1"),"")</f>
        <v>Lot 2</v>
      </c>
      <c r="E74" s="407" t="str">
        <f>IF(SUMIF(Meal_entry_week_1!H$11:H$496,"Beef rump/silverside",Meal_entry_week_1!K$11:K$496)&gt;0,SUMIF(Meal_entry_week_1!H$11:H$496,"Beef rump/silverside",Meal_entry_week_1!K$11:K$496),"")</f>
        <v/>
      </c>
      <c r="F74" s="407" t="str">
        <f t="shared" si="3"/>
        <v/>
      </c>
    </row>
    <row r="75" spans="2:6">
      <c r="B75" s="1268" t="s">
        <v>3073</v>
      </c>
      <c r="C75" s="749" t="s">
        <v>3147</v>
      </c>
      <c r="D75" s="421" t="str">
        <f>_xlfn.IFNA(IF(VLOOKUP($C75,Ingredient_prices!$E:$F,2,FALSE)="Партија 2","Lot 2","Lot 1"),"")</f>
        <v/>
      </c>
      <c r="E75" s="407" t="str">
        <f>IF(SUMIF(Meal_entry_week_1!H$11:H$496,"Beef, fat free",Meal_entry_week_1!K$11:K$496)&gt;0,SUMIF(Meal_entry_week_1!H$11:H$496,"Beef, fat free",Meal_entry_week_1!K$11:K$496),"")</f>
        <v/>
      </c>
      <c r="F75" s="407" t="str">
        <f t="shared" si="3"/>
        <v/>
      </c>
    </row>
    <row r="76" spans="2:6">
      <c r="B76" s="1268" t="s">
        <v>3073</v>
      </c>
      <c r="C76" s="749" t="s">
        <v>3162</v>
      </c>
      <c r="D76" s="421" t="str">
        <f>_xlfn.IFNA(IF(VLOOKUP($C76,Ingredient_prices!$E:$F,2,FALSE)="Партија 2","Lot 2","Lot 1"),"")</f>
        <v/>
      </c>
      <c r="E76" s="407" t="str">
        <f>IF(SUMIF(Meal_entry_week_1!H$11:H$496,"Bones of young beef (neck)",Meal_entry_week_1!K$11:K$496)&gt;0,SUMIF(Meal_entry_week_1!H$11:H$496,"Bones of young beef (neck)",Meal_entry_week_1!K$11:K$496),"")</f>
        <v/>
      </c>
      <c r="F76" s="407" t="str">
        <f t="shared" si="3"/>
        <v/>
      </c>
    </row>
    <row r="77" spans="2:6">
      <c r="B77" s="1268" t="s">
        <v>3073</v>
      </c>
      <c r="C77" s="749" t="s">
        <v>3150</v>
      </c>
      <c r="D77" s="421" t="str">
        <f>_xlfn.IFNA(IF(VLOOKUP($C77,Ingredient_prices!$E:$F,2,FALSE)="Партија 2","Lot 2","Lot 1"),"")</f>
        <v>Lot 2</v>
      </c>
      <c r="E77" s="407" t="str">
        <f>IF(SUMIF(Meal_entry_week_1!H$11:H$496,"Chicken (whole), average",Meal_entry_week_1!K$11:K$496)&gt;0,SUMIF(Meal_entry_week_1!H$11:H$496,"Chicken (whole), average",Meal_entry_week_1!K$11:K$496),"")</f>
        <v/>
      </c>
      <c r="F77" s="407" t="str">
        <f t="shared" si="3"/>
        <v/>
      </c>
    </row>
    <row r="78" spans="2:6">
      <c r="B78" s="1268" t="s">
        <v>3073</v>
      </c>
      <c r="C78" s="749" t="s">
        <v>3444</v>
      </c>
      <c r="D78" s="421" t="str">
        <f>_xlfn.IFNA(IF(VLOOKUP($C78,Ingredient_prices!$E:$F,2,FALSE)="Партија 2","Lot 2","Lot 1"),"")</f>
        <v>Lot 2</v>
      </c>
      <c r="E78" s="407">
        <f>IF(SUMIF(Meal_entry_week_1!H$11:H$496,"Chicken breast",Meal_entry_week_1!K$11:K$496)&gt;0,SUMIF(Meal_entry_week_1!H$11:H$496,"Chicken breast",Meal_entry_week_1!K$11:K$496),"")</f>
        <v>6.6000000000000005</v>
      </c>
      <c r="F78" s="407">
        <f t="shared" si="3"/>
        <v>6.6000000000000005</v>
      </c>
    </row>
    <row r="79" spans="2:6">
      <c r="B79" s="1268" t="s">
        <v>3073</v>
      </c>
      <c r="C79" s="749" t="s">
        <v>3151</v>
      </c>
      <c r="D79" s="421" t="str">
        <f>_xlfn.IFNA(IF(VLOOKUP($C79,Ingredient_prices!$E:$F,2,FALSE)="Партија 2","Lot 2","Lot 1"),"")</f>
        <v/>
      </c>
      <c r="E79" s="407" t="str">
        <f>IF(SUMIF(Meal_entry_week_1!H$11:H$496,"Chicken breast (breasts)",Meal_entry_week_1!K$11:K$496)&gt;0,SUMIF(Meal_entry_week_1!H$11:H$496,"Chicken breast (breasts)",Meal_entry_week_1!K$11:K$496),"")</f>
        <v/>
      </c>
      <c r="F79" s="407" t="str">
        <f t="shared" si="3"/>
        <v/>
      </c>
    </row>
    <row r="80" spans="2:6">
      <c r="B80" s="1268" t="s">
        <v>3073</v>
      </c>
      <c r="C80" s="749" t="s">
        <v>3163</v>
      </c>
      <c r="D80" s="421" t="str">
        <f>_xlfn.IFNA(IF(VLOOKUP($C80,Ingredient_prices!$E:$F,2,FALSE)="Партија 2","Lot 2","Lot 1"),"")</f>
        <v/>
      </c>
      <c r="E80" s="407" t="str">
        <f>IF(SUMIF(Meal_entry_week_1!H$11:H$496,"Chicken drumstick skinless",Meal_entry_week_1!K$11:K$496)&gt;0,SUMIF(Meal_entry_week_1!H$11:H$496,"Chicken drumstick skinless",Meal_entry_week_1!K$11:K$496),"")</f>
        <v/>
      </c>
      <c r="F80" s="407" t="str">
        <f t="shared" si="3"/>
        <v/>
      </c>
    </row>
    <row r="81" spans="1:7">
      <c r="B81" s="1268" t="s">
        <v>3073</v>
      </c>
      <c r="C81" s="749" t="s">
        <v>3149</v>
      </c>
      <c r="D81" s="421" t="str">
        <f>_xlfn.IFNA(IF(VLOOKUP($C81,Ingredient_prices!$E:$F,2,FALSE)="Партија 2","Lot 2","Lot 1"),"")</f>
        <v>Lot 2</v>
      </c>
      <c r="E81" s="407" t="str">
        <f>IF(SUMIF(Meal_entry_week_1!H$11:H$496,"Chicken drumstick with skin",Meal_entry_week_1!K$11:K$496)&gt;0,SUMIF(Meal_entry_week_1!H$11:H$496,"Chicken drumstick with skin",Meal_entry_week_1!K$11:K$496),"")</f>
        <v/>
      </c>
      <c r="F81" s="407" t="str">
        <f t="shared" si="3"/>
        <v/>
      </c>
    </row>
    <row r="82" spans="1:7">
      <c r="B82" s="1268" t="s">
        <v>3073</v>
      </c>
      <c r="C82" s="749" t="s">
        <v>1835</v>
      </c>
      <c r="D82" s="421" t="str">
        <f>_xlfn.IFNA(IF(VLOOKUP($C82,Ingredient_prices!$E:$F,2,FALSE)="Партија 2","Lot 2","Lot 1"),"")</f>
        <v/>
      </c>
      <c r="E82" s="407" t="str">
        <f>IF(SUMIF(Meal_entry_week_1!H$11:H$496,"Chicken liver",Meal_entry_week_1!K$11:K$496)&gt;0,SUMIF(Meal_entry_week_1!H$11:H$496,"Chicken liver",Meal_entry_week_1!K$11:K$496),"")</f>
        <v/>
      </c>
      <c r="F82" s="407" t="str">
        <f t="shared" si="3"/>
        <v/>
      </c>
    </row>
    <row r="83" spans="1:7">
      <c r="B83" s="1268" t="s">
        <v>3073</v>
      </c>
      <c r="C83" s="749" t="s">
        <v>3148</v>
      </c>
      <c r="D83" s="421" t="str">
        <f>_xlfn.IFNA(IF(VLOOKUP($C83,Ingredient_prices!$E:$F,2,FALSE)="Партија 2","Lot 2","Lot 1"),"")</f>
        <v/>
      </c>
      <c r="E83" s="407" t="str">
        <f>IF(SUMIF(Meal_entry_week_1!H$11:H$496,"Chicken wings",Meal_entry_week_1!K$11:K$496)&gt;0,SUMIF(Meal_entry_week_1!H$11:H$496,"Chicken wings",Meal_entry_week_1!K$11:K$496),"")</f>
        <v/>
      </c>
      <c r="F83" s="407" t="str">
        <f t="shared" si="3"/>
        <v/>
      </c>
    </row>
    <row r="84" spans="1:7">
      <c r="B84" s="1268" t="s">
        <v>3073</v>
      </c>
      <c r="C84" s="749" t="s">
        <v>3443</v>
      </c>
      <c r="D84" s="421" t="str">
        <f>_xlfn.IFNA(IF(VLOOKUP($C84,Ingredient_prices!$E:$F,2,FALSE)="Партија 2","Lot 2","Lot 1"),"")</f>
        <v>Lot 2</v>
      </c>
      <c r="E84" s="407">
        <f>IF(SUMIF(Meal_entry_week_1!H$11:H$496,"Minced meat beef/pork mixed",Meal_entry_week_1!K$11:K$496)&gt;0,SUMIF(Meal_entry_week_1!H$11:H$496,"Minced meat beef/pork mixed",Meal_entry_week_1!K$11:K$496),"")</f>
        <v>3.3</v>
      </c>
      <c r="F84" s="407">
        <f t="shared" si="3"/>
        <v>3.3</v>
      </c>
    </row>
    <row r="85" spans="1:7">
      <c r="B85" s="1268" t="s">
        <v>3073</v>
      </c>
      <c r="C85" s="749" t="s">
        <v>3156</v>
      </c>
      <c r="D85" s="421" t="str">
        <f>_xlfn.IFNA(IF(VLOOKUP($C85,Ingredient_prices!$E:$F,2,FALSE)="Партија 2","Lot 2","Lot 1"),"")</f>
        <v/>
      </c>
      <c r="E85" s="407" t="str">
        <f>IF(SUMIF(Meal_entry_week_1!H$11:H$496,"Pork fillet",Meal_entry_week_1!K$11:K$496)&gt;0,SUMIF(Meal_entry_week_1!H$11:H$496,"Pork fillet",Meal_entry_week_1!K$11:K$496),"")</f>
        <v/>
      </c>
      <c r="F85" s="407" t="str">
        <f t="shared" si="3"/>
        <v/>
      </c>
    </row>
    <row r="86" spans="1:7">
      <c r="B86" s="1268" t="s">
        <v>3073</v>
      </c>
      <c r="C86" s="749" t="s">
        <v>3155</v>
      </c>
      <c r="D86" s="421" t="str">
        <f>_xlfn.IFNA(IF(VLOOKUP($C86,Ingredient_prices!$E:$F,2,FALSE)="Партија 2","Lot 2","Lot 1"),"")</f>
        <v>Lot 2</v>
      </c>
      <c r="E86" s="407" t="str">
        <f>IF(SUMIF(Meal_entry_week_1!H$11:H$496,"Pork leg (steak)",Meal_entry_week_1!K$11:K$496)&gt;0,SUMIF(Meal_entry_week_1!H$11:H$496,"Pork leg (steak)",Meal_entry_week_1!K$11:K$496),"")</f>
        <v/>
      </c>
      <c r="F86" s="407" t="str">
        <f t="shared" si="3"/>
        <v/>
      </c>
    </row>
    <row r="87" spans="1:7">
      <c r="B87" s="1268" t="s">
        <v>3073</v>
      </c>
      <c r="C87" s="749" t="s">
        <v>1822</v>
      </c>
      <c r="D87" s="421" t="str">
        <f>_xlfn.IFNA(IF(VLOOKUP($C87,Ingredient_prices!$E:$F,2,FALSE)="Партија 2","Lot 2","Lot 1"),"")</f>
        <v/>
      </c>
      <c r="E87" s="407" t="str">
        <f>IF(SUMIF(Meal_entry_week_1!H$11:H$496,"Pork liver",Meal_entry_week_1!K$11:K$496)&gt;0,SUMIF(Meal_entry_week_1!H$11:H$496,"Pork liver",Meal_entry_week_1!K$11:K$496),"")</f>
        <v/>
      </c>
      <c r="F87" s="407" t="str">
        <f t="shared" si="3"/>
        <v/>
      </c>
    </row>
    <row r="88" spans="1:7">
      <c r="B88" s="1268" t="s">
        <v>3073</v>
      </c>
      <c r="C88" s="749" t="s">
        <v>3164</v>
      </c>
      <c r="D88" s="421" t="str">
        <f>_xlfn.IFNA(IF(VLOOKUP($C88,Ingredient_prices!$E:$F,2,FALSE)="Партија 2","Lot 2","Lot 1"),"")</f>
        <v/>
      </c>
      <c r="E88" s="1125" t="str">
        <f>IF(SUMIF(Meal_entry_week_1!H$11:H$496,"Pork medium fat",Meal_entry_week_1!K$11:K$496)&gt;0,SUMIF(Meal_entry_week_1!H$11:H$496,"Pork medium fat",Meal_entry_week_1!K$11:K$496),"")</f>
        <v/>
      </c>
      <c r="F88" s="407" t="str">
        <f t="shared" si="3"/>
        <v/>
      </c>
    </row>
    <row r="89" spans="1:7">
      <c r="B89" s="1268" t="s">
        <v>3073</v>
      </c>
      <c r="C89" s="749" t="s">
        <v>3157</v>
      </c>
      <c r="D89" s="421" t="str">
        <f>_xlfn.IFNA(IF(VLOOKUP($C89,Ingredient_prices!$E:$F,2,FALSE)="Партија 2","Lot 2","Lot 1"),"")</f>
        <v>Lot 2</v>
      </c>
      <c r="E89" s="407">
        <f>IF(SUMIF(Meal_entry_week_1!H$11:H$496,"Pork minced meat",Meal_entry_week_1!K$11:K$496)&gt;0,SUMIF(Meal_entry_week_1!H$11:H$496,"Pork minced meat",Meal_entry_week_1!K$11:K$496),"")</f>
        <v>5.5000000000000009</v>
      </c>
      <c r="F89" s="407">
        <f>IF(E89="","",E89/1)</f>
        <v>5.5000000000000009</v>
      </c>
    </row>
    <row r="90" spans="1:7">
      <c r="B90" s="1268" t="s">
        <v>3073</v>
      </c>
      <c r="C90" s="749" t="s">
        <v>3154</v>
      </c>
      <c r="D90" s="421" t="str">
        <f>_xlfn.IFNA(IF(VLOOKUP($C90,Ingredient_prices!$E:$F,2,FALSE)="Партија 2","Lot 2","Lot 1"),"")</f>
        <v/>
      </c>
      <c r="E90" s="407" t="str">
        <f>IF(SUMIF(Meal_entry_week_1!H$11:H$496,"Pork rosary",Meal_entry_week_1!K$11:K$496)&gt;0,SUMIF(Meal_entry_week_1!H$11:H$496,"Pork rosary",Meal_entry_week_1!K$11:K$496),"")</f>
        <v/>
      </c>
      <c r="F90" s="407" t="str">
        <f>IF(E90="","",E90/1)</f>
        <v/>
      </c>
    </row>
    <row r="91" spans="1:7">
      <c r="B91" s="1268" t="s">
        <v>3073</v>
      </c>
      <c r="C91" s="749" t="s">
        <v>3153</v>
      </c>
      <c r="D91" s="421" t="str">
        <f>_xlfn.IFNA(IF(VLOOKUP($C91,Ingredient_prices!$E:$F,2,FALSE)="Партија 2","Lot 2","Lot 1"),"")</f>
        <v/>
      </c>
      <c r="E91" s="407" t="str">
        <f>IF(SUMIF(Meal_entry_week_1!H$11:H$496,"Pork shoulder",Meal_entry_week_1!K$11:K$496)&gt;0,SUMIF(Meal_entry_week_1!H$11:H$496,"Pork shoulder",Meal_entry_week_1!K$11:K$496),"")</f>
        <v/>
      </c>
      <c r="F91" s="407" t="str">
        <f>IF(E91="","",E91/1)</f>
        <v/>
      </c>
    </row>
    <row r="92" spans="1:7" s="749" customFormat="1">
      <c r="A92" s="444"/>
      <c r="B92" s="1271" t="s">
        <v>3073</v>
      </c>
      <c r="C92" s="492" t="s">
        <v>3158</v>
      </c>
      <c r="D92" s="421" t="str">
        <f>_xlfn.IFNA(IF(VLOOKUP($C92,Ingredient_prices!$E:$F,2,FALSE)="Партија 2","Lot 2","Lot 1"),"")</f>
        <v>Lot 2</v>
      </c>
      <c r="E92" s="407" t="str">
        <f>IF(SUMIF(Meal_entry_week_1!H$11:H$496,"Turkey breast",Meal_entry_week_1!K$11:K$496)&gt;0,SUMIF(Meal_entry_week_1!H$11:H$496,"Turkey breast",Meal_entry_week_1!K$11:K$496),"")</f>
        <v/>
      </c>
      <c r="F92" s="407" t="str">
        <f>IF(E92="","",E92/1)</f>
        <v/>
      </c>
      <c r="G92" s="444"/>
    </row>
    <row r="93" spans="1:7" s="749" customFormat="1">
      <c r="A93" s="444"/>
      <c r="B93" s="1290" t="s">
        <v>3070</v>
      </c>
      <c r="C93" s="749" t="s">
        <v>3184</v>
      </c>
      <c r="D93" s="421" t="str">
        <f>_xlfn.IFNA(IF(VLOOKUP($C93,Ingredient_prices!$E:$F,2,FALSE)="Партија 2","Lot 2","Lot 1"),"")</f>
        <v/>
      </c>
      <c r="E93" s="407" t="str">
        <f>IF(SUMIF(Meal_entry_week_1!H$11:H$496,"Bacon (dried) meaty",Meal_entry_week_1!K$11:K$496)&gt;0,SUMIF(Meal_entry_week_1!H$11:H$496,"Bacon (dried) meaty",Meal_entry_week_1!K$11:K$496),"")</f>
        <v/>
      </c>
      <c r="F93" s="407" t="str">
        <f t="shared" si="3"/>
        <v/>
      </c>
      <c r="G93" s="444"/>
    </row>
    <row r="94" spans="1:7" s="749" customFormat="1">
      <c r="A94" s="444"/>
      <c r="B94" s="1268" t="s">
        <v>3070</v>
      </c>
      <c r="C94" s="749" t="s">
        <v>3186</v>
      </c>
      <c r="D94" s="421" t="str">
        <f>_xlfn.IFNA(IF(VLOOKUP($C94,Ingredient_prices!$E:$F,2,FALSE)="Партија 2","Lot 2","Lot 1"),"")</f>
        <v>Lot 2</v>
      </c>
      <c r="E94" s="407" t="str">
        <f>IF(SUMIF(Meal_entry_week_1!H$11:H$496,"Bacon (hambushka)",Meal_entry_week_1!K$11:K$496)&gt;0,SUMIF(Meal_entry_week_1!H$11:H$496,"Bacon (hambushka)",Meal_entry_week_1!K$11:K$496),"")</f>
        <v/>
      </c>
      <c r="F94" s="407" t="str">
        <f t="shared" ref="F94" si="4">IF(E94="","",E94/1)</f>
        <v/>
      </c>
      <c r="G94" s="444"/>
    </row>
    <row r="95" spans="1:7">
      <c r="B95" s="1268" t="s">
        <v>3070</v>
      </c>
      <c r="C95" s="749" t="s">
        <v>3185</v>
      </c>
      <c r="D95" s="421" t="str">
        <f>_xlfn.IFNA(IF(VLOOKUP($C95,Ingredient_prices!$E:$F,2,FALSE)="Партија 2","Lot 2","Lot 1"),"")</f>
        <v/>
      </c>
      <c r="E95" s="407" t="str">
        <f>IF(SUMIF(Meal_entry_week_1!H$11:H$496,"Bacon cooked",Meal_entry_week_1!K$11:K$496)&gt;0,SUMIF(Meal_entry_week_1!H$11:H$496,"Bacon cooked",Meal_entry_week_1!K$11:K$496),"")</f>
        <v/>
      </c>
      <c r="F95" s="407" t="str">
        <f t="shared" si="3"/>
        <v/>
      </c>
    </row>
    <row r="96" spans="1:7">
      <c r="B96" s="1268" t="s">
        <v>3070</v>
      </c>
      <c r="C96" s="749" t="s">
        <v>3165</v>
      </c>
      <c r="D96" s="421" t="str">
        <f>_xlfn.IFNA(IF(VLOOKUP($C96,Ingredient_prices!$E:$F,2,FALSE)="Партија 2","Lot 2","Lot 1"),"")</f>
        <v/>
      </c>
      <c r="E96" s="407" t="str">
        <f>IF(SUMIF(Meal_entry_week_1!H$11:H$496,"Beef prosciutto",Meal_entry_week_1!K$11:K$496)&gt;0,SUMIF(Meal_entry_week_1!H$11:H$496,"Beef prosciutto",Meal_entry_week_1!K$11:K$496),"")</f>
        <v/>
      </c>
      <c r="F96" s="407" t="str">
        <f t="shared" si="3"/>
        <v/>
      </c>
    </row>
    <row r="97" spans="1:7" s="749" customFormat="1">
      <c r="A97" s="444"/>
      <c r="B97" s="1268" t="s">
        <v>3070</v>
      </c>
      <c r="C97" s="749" t="s">
        <v>3175</v>
      </c>
      <c r="D97" s="421" t="str">
        <f>_xlfn.IFNA(IF(VLOOKUP($C97,Ingredient_prices!$E:$F,2,FALSE)="Партија 2","Lot 2","Lot 1"),"")</f>
        <v/>
      </c>
      <c r="E97" s="407" t="str">
        <f>IF(SUMIF(Meal_entry_week_1!H$11:H$496,"Beef, dried",Meal_entry_week_1!K$11:K$496)&gt;0,SUMIF(Meal_entry_week_1!H$11:H$496,"Beef, dried",Meal_entry_week_1!K$11:K$496),"")</f>
        <v/>
      </c>
      <c r="F97" s="407" t="str">
        <f t="shared" si="3"/>
        <v/>
      </c>
      <c r="G97" s="444"/>
    </row>
    <row r="98" spans="1:7">
      <c r="B98" s="1268" t="s">
        <v>3070</v>
      </c>
      <c r="C98" s="749" t="s">
        <v>3172</v>
      </c>
      <c r="D98" s="421" t="str">
        <f>_xlfn.IFNA(IF(VLOOKUP($C98,Ingredient_prices!$E:$F,2,FALSE)="Партија 2","Lot 2","Lot 1"),"")</f>
        <v/>
      </c>
      <c r="E98" s="407" t="str">
        <f>IF(SUMIF(Meal_entry_week_1!H$11:H$496,"Chevaps (pork/beef)",Meal_entry_week_1!K$11:K$496)&gt;0,SUMIF(Meal_entry_week_1!H$11:H$496,"Chevaps (pork/beef)",Meal_entry_week_1!K$11:K$496),"")</f>
        <v/>
      </c>
      <c r="F98" s="407" t="str">
        <f t="shared" si="3"/>
        <v/>
      </c>
    </row>
    <row r="99" spans="1:7">
      <c r="B99" s="1268" t="s">
        <v>3070</v>
      </c>
      <c r="C99" s="749" t="s">
        <v>1837</v>
      </c>
      <c r="D99" s="421" t="str">
        <f>_xlfn.IFNA(IF(VLOOKUP($C99,Ingredient_prices!$E:$F,2,FALSE)="Партија 2","Lot 2","Lot 1"),"")</f>
        <v>Lot 2</v>
      </c>
      <c r="E99" s="407" t="str">
        <f>IF(SUMIF(Meal_entry_week_1!H$11:H$496,"Chicken breast in a wrap",Meal_entry_week_1!K$11:K$496)&gt;0,SUMIF(Meal_entry_week_1!H$11:H$496,"Chicken breast in a wrap",Meal_entry_week_1!K$11:K$496),"")</f>
        <v/>
      </c>
      <c r="F99" s="407" t="str">
        <f t="shared" si="3"/>
        <v/>
      </c>
    </row>
    <row r="100" spans="1:7">
      <c r="B100" s="1268" t="s">
        <v>3070</v>
      </c>
      <c r="C100" s="749" t="s">
        <v>3465</v>
      </c>
      <c r="D100" s="421" t="str">
        <f>_xlfn.IFNA(IF(VLOOKUP($C100,Ingredient_prices!$E:$F,2,FALSE)="Партија 2","Lot 2","Lot 1"),"")</f>
        <v/>
      </c>
      <c r="E100" s="407" t="str">
        <f>IF(SUMIF(Meal_entry_week_1!H$11:H$496,"Chicken parizer",Meal_entry_week_1!K$11:K$496)&gt;0,SUMIF(Meal_entry_week_1!H$11:H$496,"Chicken parizer",Meal_entry_week_1!K$11:K$496),"")</f>
        <v/>
      </c>
      <c r="F100" s="407" t="str">
        <f t="shared" si="3"/>
        <v/>
      </c>
    </row>
    <row r="101" spans="1:7">
      <c r="B101" s="1268" t="s">
        <v>3070</v>
      </c>
      <c r="C101" s="749" t="s">
        <v>3169</v>
      </c>
      <c r="D101" s="421" t="str">
        <f>_xlfn.IFNA(IF(VLOOKUP($C101,Ingredient_prices!$E:$F,2,FALSE)="Партија 2","Lot 2","Lot 1"),"")</f>
        <v>Lot 2</v>
      </c>
      <c r="E101" s="407" t="str">
        <f>IF(SUMIF(Meal_entry_week_1!H$11:H$496,"Chicken pate",Meal_entry_week_1!K$11:K$496)&gt;0,SUMIF(Meal_entry_week_1!H$11:H$496,"Chicken pate",Meal_entry_week_1!K$11:K$496),"")</f>
        <v/>
      </c>
      <c r="F101" s="407" t="str">
        <f t="shared" si="3"/>
        <v/>
      </c>
    </row>
    <row r="102" spans="1:7">
      <c r="B102" s="1268" t="s">
        <v>3070</v>
      </c>
      <c r="C102" s="749" t="s">
        <v>3173</v>
      </c>
      <c r="D102" s="421" t="str">
        <f>_xlfn.IFNA(IF(VLOOKUP($C102,Ingredient_prices!$E:$F,2,FALSE)="Партија 2","Lot 2","Lot 1"),"")</f>
        <v/>
      </c>
      <c r="E102" s="407" t="str">
        <f>IF(SUMIF(Meal_entry_week_1!H$11:H$496,"Crackling (pork)",Meal_entry_week_1!K$11:K$496)&gt;0,SUMIF(Meal_entry_week_1!H$11:H$496,"Crackling (pork)",Meal_entry_week_1!K$11:K$496),"")</f>
        <v/>
      </c>
      <c r="F102" s="407" t="str">
        <f t="shared" si="3"/>
        <v/>
      </c>
    </row>
    <row r="103" spans="1:7">
      <c r="B103" s="1268" t="s">
        <v>3070</v>
      </c>
      <c r="C103" s="749" t="s">
        <v>3174</v>
      </c>
      <c r="D103" s="421" t="str">
        <f>_xlfn.IFNA(IF(VLOOKUP($C103,Ingredient_prices!$E:$F,2,FALSE)="Партија 2","Lot 2","Lot 1"),"")</f>
        <v/>
      </c>
      <c r="E103" s="407" t="str">
        <f>IF(SUMIF(Meal_entry_week_1!H$11:H$496,"Drozdins",Meal_entry_week_1!K$11:K$496)&gt;0,SUMIF(Meal_entry_week_1!H$11:H$496,"Drozdins",Meal_entry_week_1!K$11:K$496),"")</f>
        <v/>
      </c>
      <c r="F103" s="407" t="str">
        <f t="shared" si="3"/>
        <v/>
      </c>
    </row>
    <row r="104" spans="1:7">
      <c r="B104" s="1268" t="s">
        <v>3070</v>
      </c>
      <c r="C104" s="749" t="s">
        <v>3192</v>
      </c>
      <c r="D104" s="421" t="str">
        <f>_xlfn.IFNA(IF(VLOOKUP($C104,Ingredient_prices!$E:$F,2,FALSE)="Партија 2","Lot 2","Lot 1"),"")</f>
        <v>Lot 2</v>
      </c>
      <c r="E104" s="407" t="str">
        <f>IF(SUMIF(Meal_entry_week_1!H$11:H$496,"Ham for pizza",Meal_entry_week_1!K$11:K$496)&gt;0,SUMIF(Meal_entry_week_1!H$11:H$496,"Ham for pizza",Meal_entry_week_1!K$11:K$496),"")</f>
        <v/>
      </c>
      <c r="F104" s="407" t="str">
        <f t="shared" si="3"/>
        <v/>
      </c>
    </row>
    <row r="105" spans="1:7">
      <c r="B105" s="1268" t="s">
        <v>3070</v>
      </c>
      <c r="C105" s="749" t="s">
        <v>3170</v>
      </c>
      <c r="D105" s="421" t="str">
        <f>_xlfn.IFNA(IF(VLOOKUP($C105,Ingredient_prices!$E:$F,2,FALSE)="Партија 2","Lot 2","Lot 1"),"")</f>
        <v/>
      </c>
      <c r="E105" s="407" t="str">
        <f>IF(SUMIF(Meal_entry_week_1!H$11:H$496,"Ham parizer",Meal_entry_week_1!K$11:K$496)&gt;0,SUMIF(Meal_entry_week_1!H$11:H$496,"Ham parizer",Meal_entry_week_1!K$11:K$496),"")</f>
        <v/>
      </c>
      <c r="F105" s="407" t="str">
        <f t="shared" si="3"/>
        <v/>
      </c>
    </row>
    <row r="106" spans="1:7">
      <c r="B106" s="1268" t="s">
        <v>3070</v>
      </c>
      <c r="C106" s="749" t="s">
        <v>3190</v>
      </c>
      <c r="D106" s="421" t="str">
        <f>_xlfn.IFNA(IF(VLOOKUP($C106,Ingredient_prices!$E:$F,2,FALSE)="Партија 2","Lot 2","Lot 1"),"")</f>
        <v>Lot 2</v>
      </c>
      <c r="E106" s="407" t="str">
        <f>IF(SUMIF(Meal_entry_week_1!H$11:H$496,"Ham processed",Meal_entry_week_1!K$11:K$496)&gt;0,SUMIF(Meal_entry_week_1!H$11:H$496,"Ham processed",Meal_entry_week_1!K$11:K$496),"")</f>
        <v/>
      </c>
      <c r="F106" s="407" t="str">
        <f t="shared" si="3"/>
        <v/>
      </c>
    </row>
    <row r="107" spans="1:7">
      <c r="B107" s="1268" t="s">
        <v>3070</v>
      </c>
      <c r="C107" s="749" t="s">
        <v>3191</v>
      </c>
      <c r="D107" s="421" t="str">
        <f>_xlfn.IFNA(IF(VLOOKUP($C107,Ingredient_prices!$E:$F,2,FALSE)="Партија 2","Lot 2","Lot 1"),"")</f>
        <v>Lot 2</v>
      </c>
      <c r="E107" s="407" t="str">
        <f>IF(SUMIF(Meal_entry_week_1!H$11:H$496,"Ham processed in a wrap",Meal_entry_week_1!K$11:K$496)&gt;0,SUMIF(Meal_entry_week_1!H$11:H$496,"Ham processed in a wrap",Meal_entry_week_1!K$11:K$496),"")</f>
        <v/>
      </c>
      <c r="F107" s="407" t="str">
        <f t="shared" si="3"/>
        <v/>
      </c>
    </row>
    <row r="108" spans="1:7">
      <c r="B108" s="1268" t="s">
        <v>3070</v>
      </c>
      <c r="C108" s="749" t="s">
        <v>3188</v>
      </c>
      <c r="D108" s="421" t="str">
        <f>_xlfn.IFNA(IF(VLOOKUP($C108,Ingredient_prices!$E:$F,2,FALSE)="Партија 2","Lot 2","Lot 1"),"")</f>
        <v/>
      </c>
      <c r="E108" s="407" t="str">
        <f>IF(SUMIF(Meal_entry_week_1!H$11:H$496,"Ham smoked, cooked",Meal_entry_week_1!K$11:K$496)&gt;0,SUMIF(Meal_entry_week_1!H$11:H$496,"Ham smoked, cooked",Meal_entry_week_1!K$11:K$496),"")</f>
        <v/>
      </c>
      <c r="F108" s="407" t="str">
        <f t="shared" si="3"/>
        <v/>
      </c>
    </row>
    <row r="109" spans="1:7">
      <c r="B109" s="1268" t="s">
        <v>3070</v>
      </c>
      <c r="C109" s="749" t="s">
        <v>3189</v>
      </c>
      <c r="D109" s="421" t="str">
        <f>_xlfn.IFNA(IF(VLOOKUP($C109,Ingredient_prices!$E:$F,2,FALSE)="Партија 2","Lot 2","Lot 1"),"")</f>
        <v>Lot 2</v>
      </c>
      <c r="E109" s="407" t="str">
        <f>IF(SUMIF(Meal_entry_week_1!H$11:H$496,"Ham smoked, dried",Meal_entry_week_1!K$11:K$496)&gt;0,SUMIF(Meal_entry_week_1!H$11:H$496,"Ham smoked, dried",Meal_entry_week_1!K$11:K$496),"")</f>
        <v/>
      </c>
      <c r="F109" s="407" t="str">
        <f t="shared" si="3"/>
        <v/>
      </c>
    </row>
    <row r="110" spans="1:7">
      <c r="B110" s="1268" t="s">
        <v>3070</v>
      </c>
      <c r="C110" s="749" t="s">
        <v>3187</v>
      </c>
      <c r="D110" s="421" t="str">
        <f>_xlfn.IFNA(IF(VLOOKUP($C110,Ingredient_prices!$E:$F,2,FALSE)="Партија 2","Lot 2","Lot 1"),"")</f>
        <v/>
      </c>
      <c r="E110" s="407" t="str">
        <f>IF(SUMIF(Meal_entry_week_1!H$11:H$496,"Ham without fat",Meal_entry_week_1!K$11:K$496)&gt;0,SUMIF(Meal_entry_week_1!H$11:H$496,"Ham without fat",Meal_entry_week_1!K$11:K$496),"")</f>
        <v/>
      </c>
      <c r="F110" s="407" t="str">
        <f t="shared" si="3"/>
        <v/>
      </c>
    </row>
    <row r="111" spans="1:7">
      <c r="B111" s="1268" t="s">
        <v>3070</v>
      </c>
      <c r="C111" s="749" t="s">
        <v>3176</v>
      </c>
      <c r="D111" s="421" t="str">
        <f>_xlfn.IFNA(IF(VLOOKUP($C111,Ingredient_prices!$E:$F,2,FALSE)="Партија 2","Lot 2","Lot 1"),"")</f>
        <v>Lot 2</v>
      </c>
      <c r="E111" s="407" t="str">
        <f>IF(SUMIF(Meal_entry_week_1!H$11:H$496,"Herbal sausage",Meal_entry_week_1!K$11:K$496)&gt;0,SUMIF(Meal_entry_week_1!H$11:H$496,"Herbal sausage",Meal_entry_week_1!K$11:K$496),"")</f>
        <v/>
      </c>
      <c r="F111" s="407" t="str">
        <f t="shared" si="3"/>
        <v/>
      </c>
    </row>
    <row r="112" spans="1:7">
      <c r="B112" s="1268" t="s">
        <v>3070</v>
      </c>
      <c r="C112" s="749" t="s">
        <v>3511</v>
      </c>
      <c r="D112" s="421" t="str">
        <f>_xlfn.IFNA(IF(VLOOKUP($C112,Ingredient_prices!$E:$F,2,FALSE)="Партија 2","Lot 2","Lot 1"),"")</f>
        <v/>
      </c>
      <c r="E112" s="407" t="str">
        <f>IF(SUMIF(Meal_entry_week_1!H$11:H$496,"Hot dog sausage (beef + pork)",Meal_entry_week_1!K$11:K$496)&gt;0,SUMIF(Meal_entry_week_1!H$11:H$496,"Hot dog sausage (beef + pork)",Meal_entry_week_1!K$11:K$496),"")</f>
        <v/>
      </c>
      <c r="F112" s="407" t="str">
        <f t="shared" si="3"/>
        <v/>
      </c>
    </row>
    <row r="113" spans="2:6">
      <c r="B113" s="1268" t="s">
        <v>3070</v>
      </c>
      <c r="C113" s="749" t="s">
        <v>3510</v>
      </c>
      <c r="D113" s="421" t="str">
        <f>_xlfn.IFNA(IF(VLOOKUP($C113,Ingredient_prices!$E:$F,2,FALSE)="Партија 2","Lot 2","Lot 1"),"")</f>
        <v>Lot 2</v>
      </c>
      <c r="E113" s="407">
        <f>IF(SUMIF(Meal_entry_week_1!H$11:H$496,"Hot dog sausage (chicken)",Meal_entry_week_1!K$11:K$496)&gt;0,SUMIF(Meal_entry_week_1!H$11:H$496,"Hot dog sausage (chicken)",Meal_entry_week_1!K$11:K$496),"")</f>
        <v>5.5000000000000009</v>
      </c>
      <c r="F113" s="407">
        <f t="shared" si="3"/>
        <v>5.5000000000000009</v>
      </c>
    </row>
    <row r="114" spans="2:6">
      <c r="B114" s="1268" t="s">
        <v>3070</v>
      </c>
      <c r="C114" s="749" t="s">
        <v>3512</v>
      </c>
      <c r="D114" s="421" t="str">
        <f>_xlfn.IFNA(IF(VLOOKUP($C114,Ingredient_prices!$E:$F,2,FALSE)="Партија 2","Lot 2","Lot 1"),"")</f>
        <v/>
      </c>
      <c r="E114" s="407" t="str">
        <f>IF(SUMIF(Meal_entry_week_1!H$11:H$496,"Hot dog sausage (pork)",Meal_entry_week_1!K$11:K$496)&gt;0,SUMIF(Meal_entry_week_1!H$11:H$496,"Hot dog sausage (pork)",Meal_entry_week_1!K$11:K$496),"")</f>
        <v/>
      </c>
      <c r="F114" s="407" t="str">
        <f t="shared" si="3"/>
        <v/>
      </c>
    </row>
    <row r="115" spans="2:6">
      <c r="B115" s="1268" t="s">
        <v>3070</v>
      </c>
      <c r="C115" s="749" t="s">
        <v>3167</v>
      </c>
      <c r="D115" s="421" t="str">
        <f>_xlfn.IFNA(IF(VLOOKUP($C115,Ingredient_prices!$E:$F,2,FALSE)="Партија 2","Lot 2","Lot 1"),"")</f>
        <v/>
      </c>
      <c r="E115" s="407" t="str">
        <f>IF(SUMIF(Meal_entry_week_1!H$11:H$496,"Kare delicacies in a wrap",Meal_entry_week_1!K$11:K$496)&gt;0,SUMIF(Meal_entry_week_1!H$11:H$496,"Kare delicacies in a wrap",Meal_entry_week_1!K$11:K$496),"")</f>
        <v/>
      </c>
      <c r="F115" s="407" t="str">
        <f t="shared" si="3"/>
        <v/>
      </c>
    </row>
    <row r="116" spans="2:6">
      <c r="B116" s="1268" t="s">
        <v>3070</v>
      </c>
      <c r="C116" s="749" t="s">
        <v>3464</v>
      </c>
      <c r="D116" s="421" t="str">
        <f>_xlfn.IFNA(IF(VLOOKUP($C116,Ingredient_prices!$E:$F,2,FALSE)="Партија 2","Lot 2","Lot 1"),"")</f>
        <v/>
      </c>
      <c r="E116" s="407" t="str">
        <f>IF(SUMIF(Meal_entry_week_1!H$11:H$496,"Kare smoked meat (dried)",Meal_entry_week_1!K$11:K$496)&gt;0,SUMIF(Meal_entry_week_1!H$11:H$496,"Kare smoked meat (dried)",Meal_entry_week_1!K$11:K$496),"")</f>
        <v/>
      </c>
      <c r="F116" s="407" t="str">
        <f t="shared" si="3"/>
        <v/>
      </c>
    </row>
    <row r="117" spans="2:6">
      <c r="B117" s="1268" t="s">
        <v>3070</v>
      </c>
      <c r="C117" s="749" t="s">
        <v>1823</v>
      </c>
      <c r="D117" s="421" t="str">
        <f>_xlfn.IFNA(IF(VLOOKUP($C117,Ingredient_prices!$E:$F,2,FALSE)="Партија 2","Lot 2","Lot 1"),"")</f>
        <v/>
      </c>
      <c r="E117" s="407" t="str">
        <f>IF(SUMIF(Meal_entry_week_1!H$11:H$496,"Liver pate (average)",Meal_entry_week_1!K$11:K$496)&gt;0,SUMIF(Meal_entry_week_1!H$11:H$496,"Liver pate (average)",Meal_entry_week_1!K$11:K$496),"")</f>
        <v/>
      </c>
      <c r="F117" s="407" t="str">
        <f t="shared" si="3"/>
        <v/>
      </c>
    </row>
    <row r="118" spans="2:6">
      <c r="B118" s="1268" t="s">
        <v>3070</v>
      </c>
      <c r="C118" s="749" t="s">
        <v>3166</v>
      </c>
      <c r="D118" s="421" t="str">
        <f>_xlfn.IFNA(IF(VLOOKUP($C118,Ingredient_prices!$E:$F,2,FALSE)="Партија 2","Lot 2","Lot 1"),"")</f>
        <v/>
      </c>
      <c r="E118" s="407" t="str">
        <f>IF(SUMIF(Meal_entry_week_1!H$11:H$496,"Liver pate with ham",Meal_entry_week_1!K$11:K$496)&gt;0,SUMIF(Meal_entry_week_1!H$11:H$496,"Liver pate with ham",Meal_entry_week_1!K$11:K$496),"")</f>
        <v/>
      </c>
      <c r="F118" s="407" t="str">
        <f t="shared" si="3"/>
        <v/>
      </c>
    </row>
    <row r="119" spans="2:6">
      <c r="B119" s="1268" t="s">
        <v>3070</v>
      </c>
      <c r="C119" s="749" t="s">
        <v>91</v>
      </c>
      <c r="D119" s="421" t="str">
        <f>_xlfn.IFNA(IF(VLOOKUP($C119,Ingredient_prices!$E:$F,2,FALSE)="Партија 2","Lot 2","Lot 1"),"")</f>
        <v/>
      </c>
      <c r="E119" s="407" t="str">
        <f>IF(SUMIF(Meal_entry_week_1!H$11:H$496,"Mortadela",Meal_entry_week_1!K$11:K$496)&gt;0,SUMIF(Meal_entry_week_1!H$11:H$496,"Mortadela",Meal_entry_week_1!K$11:K$496),"")</f>
        <v/>
      </c>
      <c r="F119" s="407" t="str">
        <f t="shared" ref="F119:F181" si="5">IF(E119="","",E119/1)</f>
        <v/>
      </c>
    </row>
    <row r="120" spans="2:6">
      <c r="B120" s="1268" t="s">
        <v>3070</v>
      </c>
      <c r="C120" s="749" t="s">
        <v>3466</v>
      </c>
      <c r="D120" s="421" t="str">
        <f>_xlfn.IFNA(IF(VLOOKUP($C120,Ingredient_prices!$E:$F,2,FALSE)="Партија 2","Lot 2","Lot 1"),"")</f>
        <v/>
      </c>
      <c r="E120" s="407" t="str">
        <f>IF(SUMIF(Meal_entry_week_1!H$11:H$496,"Pork burger",Meal_entry_week_1!K$11:K$496)&gt;0,SUMIF(Meal_entry_week_1!H$11:H$496,"Pork burger",Meal_entry_week_1!K$11:K$496),"")</f>
        <v/>
      </c>
      <c r="F120" s="407" t="str">
        <f t="shared" si="5"/>
        <v/>
      </c>
    </row>
    <row r="121" spans="2:6">
      <c r="B121" s="1268" t="s">
        <v>3070</v>
      </c>
      <c r="C121" s="749" t="s">
        <v>3194</v>
      </c>
      <c r="D121" s="421" t="str">
        <f>_xlfn.IFNA(IF(VLOOKUP($C121,Ingredient_prices!$E:$F,2,FALSE)="Партија 2","Lot 2","Lot 1"),"")</f>
        <v>Lot 2</v>
      </c>
      <c r="E121" s="407">
        <f>IF(SUMIF(Meal_entry_week_1!H$11:H$496,"Pork neck, dried meat",Meal_entry_week_1!K$11:K$496)&gt;0,SUMIF(Meal_entry_week_1!H$11:H$496,"Pork neck, dried meat",Meal_entry_week_1!K$11:K$496),"")</f>
        <v>5.5000000000000009</v>
      </c>
      <c r="F121" s="407">
        <f t="shared" si="5"/>
        <v>5.5000000000000009</v>
      </c>
    </row>
    <row r="122" spans="2:6">
      <c r="B122" s="1268" t="s">
        <v>3070</v>
      </c>
      <c r="C122" s="749" t="s">
        <v>3171</v>
      </c>
      <c r="D122" s="421" t="str">
        <f>_xlfn.IFNA(IF(VLOOKUP($C122,Ingredient_prices!$E:$F,2,FALSE)="Партија 2","Lot 2","Lot 1"),"")</f>
        <v/>
      </c>
      <c r="E122" s="407" t="str">
        <f>IF(SUMIF(Meal_entry_week_1!H$11:H$496,"Pork prosciutto",Meal_entry_week_1!K$11:K$496)&gt;0,SUMIF(Meal_entry_week_1!H$11:H$496,"Pork prosciutto",Meal_entry_week_1!K$11:K$496),"")</f>
        <v/>
      </c>
      <c r="F122" s="407" t="str">
        <f t="shared" si="5"/>
        <v/>
      </c>
    </row>
    <row r="123" spans="2:6">
      <c r="B123" s="1268" t="s">
        <v>3070</v>
      </c>
      <c r="C123" s="749" t="s">
        <v>3193</v>
      </c>
      <c r="D123" s="421" t="str">
        <f>_xlfn.IFNA(IF(VLOOKUP($C123,Ingredient_prices!$E:$F,2,FALSE)="Партија 2","Lot 2","Lot 1"),"")</f>
        <v>Lot 2</v>
      </c>
      <c r="E123" s="407" t="str">
        <f>IF(SUMIF(Meal_entry_week_1!H$11:H$496,"Pork ribs dry (smoked)",Meal_entry_week_1!K$11:K$496)&gt;0,SUMIF(Meal_entry_week_1!H$11:H$496,"Pork ribs dry (smoked)",Meal_entry_week_1!K$11:K$496),"")</f>
        <v/>
      </c>
      <c r="F123" s="407" t="str">
        <f t="shared" si="5"/>
        <v/>
      </c>
    </row>
    <row r="124" spans="2:6">
      <c r="B124" s="1268" t="s">
        <v>3070</v>
      </c>
      <c r="C124" s="749" t="s">
        <v>3183</v>
      </c>
      <c r="D124" s="421" t="str">
        <f>_xlfn.IFNA(IF(VLOOKUP($C124,Ingredient_prices!$E:$F,2,FALSE)="Партија 2","Lot 2","Lot 1"),"")</f>
        <v/>
      </c>
      <c r="E124" s="407" t="str">
        <f>IF(SUMIF(Meal_entry_week_1!H$11:H$496,"Pork smoked ham",Meal_entry_week_1!K$11:K$496)&gt;0,SUMIF(Meal_entry_week_1!H$11:H$496,"Pork smoked ham",Meal_entry_week_1!K$11:K$496),"")</f>
        <v/>
      </c>
      <c r="F124" s="407" t="str">
        <f t="shared" si="5"/>
        <v/>
      </c>
    </row>
    <row r="125" spans="2:6">
      <c r="B125" s="1268" t="s">
        <v>3070</v>
      </c>
      <c r="C125" s="749" t="s">
        <v>1872</v>
      </c>
      <c r="D125" s="421" t="str">
        <f>_xlfn.IFNA(IF(VLOOKUP($C125,Ingredient_prices!$E:$F,2,FALSE)="Партија 2","Lot 2","Lot 1"),"")</f>
        <v/>
      </c>
      <c r="E125" s="407" t="str">
        <f>IF(SUMIF(Meal_entry_week_1!H$11:H$496,"Salami Alpine",Meal_entry_week_1!K$11:K$496)&gt;0,SUMIF(Meal_entry_week_1!H$11:H$496,"Salami Alpine",Meal_entry_week_1!K$11:K$496),"")</f>
        <v/>
      </c>
      <c r="F125" s="407" t="str">
        <f t="shared" si="5"/>
        <v/>
      </c>
    </row>
    <row r="126" spans="2:6">
      <c r="B126" s="1268" t="s">
        <v>3070</v>
      </c>
      <c r="C126" s="749" t="s">
        <v>1873</v>
      </c>
      <c r="D126" s="421" t="str">
        <f>_xlfn.IFNA(IF(VLOOKUP($C126,Ingredient_prices!$E:$F,2,FALSE)="Партија 2","Lot 2","Lot 1"),"")</f>
        <v/>
      </c>
      <c r="E126" s="407" t="str">
        <f>IF(SUMIF(Meal_entry_week_1!H$11:H$496,"Salami parizer",Meal_entry_week_1!K$11:K$496)&gt;0,SUMIF(Meal_entry_week_1!H$11:H$496,"Salami parizer",Meal_entry_week_1!K$11:K$496),"")</f>
        <v/>
      </c>
      <c r="F126" s="407" t="str">
        <f t="shared" si="5"/>
        <v/>
      </c>
    </row>
    <row r="127" spans="2:6">
      <c r="B127" s="1268" t="s">
        <v>3070</v>
      </c>
      <c r="C127" s="749" t="s">
        <v>1839</v>
      </c>
      <c r="D127" s="421" t="str">
        <f>_xlfn.IFNA(IF(VLOOKUP($C127,Ingredient_prices!$E:$F,2,FALSE)="Партија 2","Lot 2","Lot 1"),"")</f>
        <v/>
      </c>
      <c r="E127" s="407" t="str">
        <f>IF(SUMIF(Meal_entry_week_1!H$11:H$496,"Salami, chicken, turkey",Meal_entry_week_1!K$11:K$496)&gt;0,SUMIF(Meal_entry_week_1!H$11:H$496,"Salami, chicken, turkey",Meal_entry_week_1!K$11:K$496),"")</f>
        <v/>
      </c>
      <c r="F127" s="407" t="str">
        <f t="shared" si="5"/>
        <v/>
      </c>
    </row>
    <row r="128" spans="2:6">
      <c r="B128" s="1268" t="s">
        <v>3070</v>
      </c>
      <c r="C128" s="749" t="s">
        <v>3178</v>
      </c>
      <c r="D128" s="421" t="str">
        <f>_xlfn.IFNA(IF(VLOOKUP($C128,Ingredient_prices!$E:$F,2,FALSE)="Партија 2","Lot 2","Lot 1"),"")</f>
        <v/>
      </c>
      <c r="E128" s="407" t="str">
        <f>IF(SUMIF(Meal_entry_week_1!H$11:H$496,"Sausage for grilling",Meal_entry_week_1!K$11:K$496)&gt;0,SUMIF(Meal_entry_week_1!H$11:H$496,"Sausage for grilling",Meal_entry_week_1!K$11:K$496),"")</f>
        <v/>
      </c>
      <c r="F128" s="407" t="str">
        <f t="shared" si="5"/>
        <v/>
      </c>
    </row>
    <row r="129" spans="1:7">
      <c r="B129" s="1268" t="s">
        <v>3070</v>
      </c>
      <c r="C129" s="749" t="s">
        <v>3177</v>
      </c>
      <c r="D129" s="421" t="str">
        <f>_xlfn.IFNA(IF(VLOOKUP($C129,Ingredient_prices!$E:$F,2,FALSE)="Партија 2","Lot 2","Lot 1"),"")</f>
        <v/>
      </c>
      <c r="E129" s="407" t="str">
        <f>IF(SUMIF(Meal_entry_week_1!H$11:H$496,"Sausage Kranjska",Meal_entry_week_1!K$11:K$496)&gt;0,SUMIF(Meal_entry_week_1!H$11:H$496,"Sausage Kranjska)",Meal_entry_week_1!K$11:K$496),"")</f>
        <v/>
      </c>
      <c r="F129" s="407" t="str">
        <f t="shared" si="5"/>
        <v/>
      </c>
    </row>
    <row r="130" spans="1:7">
      <c r="B130" s="1268" t="s">
        <v>3070</v>
      </c>
      <c r="C130" s="749" t="s">
        <v>1827</v>
      </c>
      <c r="D130" s="421" t="str">
        <f>_xlfn.IFNA(IF(VLOOKUP($C130,Ingredient_prices!$E:$F,2,FALSE)="Партија 2","Lot 2","Lot 1"),"")</f>
        <v>Lot 2</v>
      </c>
      <c r="E130" s="407" t="str">
        <f>IF(SUMIF(Meal_entry_week_1!H$11:H$496,"Sausage kulen",Meal_entry_week_1!K$11:K$496)&gt;0,SUMIF(Meal_entry_week_1!H$11:H$496,"Sausage kulen",Meal_entry_week_1!K$11:K$496),"")</f>
        <v/>
      </c>
      <c r="F130" s="407" t="str">
        <f t="shared" si="5"/>
        <v/>
      </c>
    </row>
    <row r="131" spans="1:7">
      <c r="B131" s="1268" t="s">
        <v>3070</v>
      </c>
      <c r="C131" s="749" t="s">
        <v>3180</v>
      </c>
      <c r="D131" s="421" t="str">
        <f>_xlfn.IFNA(IF(VLOOKUP($C131,Ingredient_prices!$E:$F,2,FALSE)="Партија 2","Lot 2","Lot 1"),"")</f>
        <v/>
      </c>
      <c r="E131" s="1125" t="str">
        <f>IF(SUMIF(Meal_entry_week_1!H$11:H$496,"Sausage pork, smoked",Meal_entry_week_1!K$11:K$496)&gt;0,SUMIF(Meal_entry_week_1!H$11:H$496,"Sausage pork, smoked",Meal_entry_week_1!K$11:K$496),"")</f>
        <v/>
      </c>
      <c r="F131" s="407" t="str">
        <f t="shared" si="5"/>
        <v/>
      </c>
    </row>
    <row r="132" spans="1:7">
      <c r="B132" s="1268" t="s">
        <v>3070</v>
      </c>
      <c r="C132" s="749" t="s">
        <v>3181</v>
      </c>
      <c r="D132" s="421" t="str">
        <f>_xlfn.IFNA(IF(VLOOKUP($C132,Ingredient_prices!$E:$F,2,FALSE)="Партија 2","Lot 2","Lot 1"),"")</f>
        <v/>
      </c>
      <c r="E132" s="407" t="str">
        <f>IF(SUMIF(Meal_entry_week_1!H$11:H$496,"Sausage pork, smoked (dried)",Meal_entry_week_1!K$11:K$496)&gt;0,SUMIF(Meal_entry_week_1!H$11:H$496,"Sausage pork, smoked (dried)",Meal_entry_week_1!K$11:K$496),"")</f>
        <v/>
      </c>
      <c r="F132" s="407" t="str">
        <f t="shared" si="5"/>
        <v/>
      </c>
    </row>
    <row r="133" spans="1:7">
      <c r="B133" s="1268" t="s">
        <v>3070</v>
      </c>
      <c r="C133" s="749" t="s">
        <v>1831</v>
      </c>
      <c r="D133" s="421" t="str">
        <f>_xlfn.IFNA(IF(VLOOKUP($C133,Ingredient_prices!$E:$F,2,FALSE)="Партија 2","Lot 2","Lot 1"),"")</f>
        <v>Lot 2</v>
      </c>
      <c r="E133" s="407" t="str">
        <f>IF(SUMIF(Meal_entry_week_1!H$11:H$496,"Sausage Serbian",Meal_entry_week_1!K$11:K$496)&gt;0,SUMIF(Meal_entry_week_1!H$11:H$496,"Sausage Serbian",Meal_entry_week_1!K$11:K$496),"")</f>
        <v/>
      </c>
      <c r="F133" s="407" t="str">
        <f t="shared" si="5"/>
        <v/>
      </c>
    </row>
    <row r="134" spans="1:7">
      <c r="B134" s="1268" t="s">
        <v>3070</v>
      </c>
      <c r="C134" s="749" t="s">
        <v>3179</v>
      </c>
      <c r="D134" s="421" t="str">
        <f>_xlfn.IFNA(IF(VLOOKUP($C134,Ingredient_prices!$E:$F,2,FALSE)="Партија 2","Lot 2","Lot 1"),"")</f>
        <v/>
      </c>
      <c r="E134" s="407" t="str">
        <f>IF(SUMIF(Meal_entry_week_1!H$11:H$496,"Sausage Sremska",Meal_entry_week_1!K$11:K$496)&gt;0,SUMIF(Meal_entry_week_1!H$11:H$496,"Sausage Sremska",Meal_entry_week_1!K$11:K$496),"")</f>
        <v/>
      </c>
      <c r="F134" s="407" t="str">
        <f t="shared" si="5"/>
        <v/>
      </c>
    </row>
    <row r="135" spans="1:7">
      <c r="B135" s="1268" t="s">
        <v>3070</v>
      </c>
      <c r="C135" s="749" t="s">
        <v>3182</v>
      </c>
      <c r="D135" s="421" t="str">
        <f>_xlfn.IFNA(IF(VLOOKUP($C135,Ingredient_prices!$E:$F,2,FALSE)="Партија 2","Lot 2","Lot 1"),"")</f>
        <v/>
      </c>
      <c r="E135" s="407" t="str">
        <f>IF(SUMIF(Meal_entry_week_1!H$11:H$496,"Sausage winter, smoked",Meal_entry_week_1!K$11:K$496)&gt;0,SUMIF(Meal_entry_week_1!H$11:H$496,"Sausage winter, smoked",Meal_entry_week_1!K$11:K$496),"")</f>
        <v/>
      </c>
      <c r="F135" s="407" t="str">
        <f t="shared" si="5"/>
        <v/>
      </c>
    </row>
    <row r="136" spans="1:7">
      <c r="B136" s="1271" t="s">
        <v>3070</v>
      </c>
      <c r="C136" s="492" t="s">
        <v>3195</v>
      </c>
      <c r="D136" s="421" t="str">
        <f>_xlfn.IFNA(IF(VLOOKUP($C136,Ingredient_prices!$E:$F,2,FALSE)="Партија 2","Lot 2","Lot 1"),"")</f>
        <v/>
      </c>
      <c r="E136" s="407" t="str">
        <f>IF(SUMIF(Meal_entry_week_1!H$11:H$496,"Toast spread",Meal_entry_week_1!K$11:K$496)&gt;0,SUMIF(Meal_entry_week_1!H$11:H$496,"Toast spread",Meal_entry_week_1!K$11:K$496),"")</f>
        <v/>
      </c>
      <c r="F136" s="407" t="str">
        <f t="shared" si="5"/>
        <v/>
      </c>
    </row>
    <row r="137" spans="1:7">
      <c r="B137" s="1268" t="s">
        <v>3074</v>
      </c>
      <c r="C137" s="394" t="s">
        <v>3197</v>
      </c>
      <c r="D137" s="421" t="str">
        <f>_xlfn.IFNA(IF(VLOOKUP($C137,Ingredient_prices!$E:$F,2,FALSE)="Партија 2","Lot 2","Lot 1"),"")</f>
        <v/>
      </c>
      <c r="E137" s="407" t="str">
        <f>IF(SUMIF(Meal_entry_week_1!H$11:H$496,"Carp",Meal_entry_week_1!K$11:K$496)&gt;0,SUMIF(Meal_entry_week_1!H$11:H$496,"Carp",Meal_entry_week_1!K$11:K$496),"")</f>
        <v/>
      </c>
      <c r="F137" s="407" t="str">
        <f t="shared" si="5"/>
        <v/>
      </c>
    </row>
    <row r="138" spans="1:7">
      <c r="B138" s="1268" t="s">
        <v>3074</v>
      </c>
      <c r="C138" s="394" t="s">
        <v>1861</v>
      </c>
      <c r="D138" s="421" t="str">
        <f>_xlfn.IFNA(IF(VLOOKUP($C138,Ingredient_prices!$E:$F,2,FALSE)="Партија 2","Lot 2","Lot 1"),"")</f>
        <v>Lot 2</v>
      </c>
      <c r="E138" s="407" t="str">
        <f>IF(SUMIF(Meal_entry_week_1!H$11:H$496,"Catfish",Meal_entry_week_1!K$11:K$496)&gt;0,SUMIF(Meal_entry_week_1!H$11:H$496,"Catfish",Meal_entry_week_1!K$11:K$496),"")</f>
        <v/>
      </c>
      <c r="F138" s="407" t="str">
        <f t="shared" si="5"/>
        <v/>
      </c>
    </row>
    <row r="139" spans="1:7">
      <c r="B139" s="1268" t="s">
        <v>3074</v>
      </c>
      <c r="C139" s="394" t="s">
        <v>1851</v>
      </c>
      <c r="D139" s="421" t="str">
        <f>_xlfn.IFNA(IF(VLOOKUP($C139,Ingredient_prices!$E:$F,2,FALSE)="Партија 2","Lot 2","Lot 1"),"")</f>
        <v>Lot 2</v>
      </c>
      <c r="E139" s="407" t="str">
        <f>IF(SUMIF(Meal_entry_week_1!H$11:H$496,"Hake fillets",Meal_entry_week_1!K$11:K$496)&gt;0,SUMIF(Meal_entry_week_1!H$11:H$496,"Hake fillets",Meal_entry_week_1!K$11:K$496),"")</f>
        <v/>
      </c>
      <c r="F139" s="407" t="str">
        <f t="shared" si="5"/>
        <v/>
      </c>
    </row>
    <row r="140" spans="1:7" s="749" customFormat="1">
      <c r="A140" s="444"/>
      <c r="B140" s="491" t="s">
        <v>1727</v>
      </c>
      <c r="C140" s="491" t="s">
        <v>3201</v>
      </c>
      <c r="D140" s="421" t="str">
        <f>_xlfn.IFNA(IF(VLOOKUP($C140,Ingredient_prices!$E:$F,2,FALSE)="Партија 2","Lot 2","Lot 1"),"")</f>
        <v/>
      </c>
      <c r="E140" s="407" t="str">
        <f>IF(SUMIF(Meal_entry_week_1!H$11:H$496,"Canned sardines (fish only)",Meal_entry_week_1!K$11:K$496)&gt;0,SUMIF(Meal_entry_week_1!H$11:H$496,"Canned sardines (fish only)",Meal_entry_week_1!K$11:K$496),"")</f>
        <v/>
      </c>
      <c r="F140" s="407" t="str">
        <f t="shared" si="5"/>
        <v/>
      </c>
      <c r="G140" s="444"/>
    </row>
    <row r="141" spans="1:7">
      <c r="B141" s="491" t="s">
        <v>1727</v>
      </c>
      <c r="C141" s="491" t="s">
        <v>1859</v>
      </c>
      <c r="D141" s="421" t="str">
        <f>_xlfn.IFNA(IF(VLOOKUP($C141,Ingredient_prices!$E:$F,2,FALSE)="Партија 2","Lot 2","Lot 1"),"")</f>
        <v>Lot 2</v>
      </c>
      <c r="E141" s="407" t="str">
        <f>IF(SUMIF(Meal_entry_week_1!H$11:H$496,"Canned sardines (in oil)",Meal_entry_week_1!K$11:K$496)&gt;0,SUMIF(Meal_entry_week_1!H$11:H$496,"Canned sardines (in oil)",Meal_entry_week_1!K$11:K$496),"")</f>
        <v/>
      </c>
      <c r="F141" s="407" t="str">
        <f t="shared" si="5"/>
        <v/>
      </c>
    </row>
    <row r="142" spans="1:7">
      <c r="B142" s="491" t="s">
        <v>1727</v>
      </c>
      <c r="C142" s="491" t="s">
        <v>3207</v>
      </c>
      <c r="D142" s="421" t="str">
        <f>_xlfn.IFNA(IF(VLOOKUP($C142,Ingredient_prices!$E:$F,2,FALSE)="Партија 2","Lot 2","Lot 1"),"")</f>
        <v>Lot 2</v>
      </c>
      <c r="E142" s="407" t="str">
        <f>IF(SUMIF(Meal_entry_week_1!H$11:H$496,"Fish fingers",Meal_entry_week_1!K$11:K$496)&gt;0,SUMIF(Meal_entry_week_1!H$11:H$496,"Fish fingers",Meal_entry_week_1!K$11:K$496),"")</f>
        <v/>
      </c>
      <c r="F142" s="407" t="str">
        <f t="shared" si="5"/>
        <v/>
      </c>
    </row>
    <row r="143" spans="1:7">
      <c r="B143" s="491" t="s">
        <v>1727</v>
      </c>
      <c r="C143" s="491" t="s">
        <v>3206</v>
      </c>
      <c r="D143" s="421" t="str">
        <f>_xlfn.IFNA(IF(VLOOKUP($C143,Ingredient_prices!$E:$F,2,FALSE)="Партија 2","Lot 2","Lot 1"),"")</f>
        <v/>
      </c>
      <c r="E143" s="407" t="str">
        <f>IF(SUMIF(Meal_entry_week_1!H$11:H$496,"Fish paté",Meal_entry_week_1!K$11:K$496)&gt;0,SUMIF(Meal_entry_week_1!H$11:H$496,"Fish paté",Meal_entry_week_1!K$11:K$496),"")</f>
        <v/>
      </c>
      <c r="F143" s="407" t="str">
        <f t="shared" si="5"/>
        <v/>
      </c>
    </row>
    <row r="144" spans="1:7">
      <c r="B144" s="491" t="s">
        <v>1727</v>
      </c>
      <c r="C144" s="491" t="s">
        <v>3198</v>
      </c>
      <c r="D144" s="421" t="str">
        <f>_xlfn.IFNA(IF(VLOOKUP($C144,Ingredient_prices!$E:$F,2,FALSE)="Партија 2","Lot 2","Lot 1"),"")</f>
        <v/>
      </c>
      <c r="E144" s="407" t="str">
        <f>IF(SUMIF(Meal_entry_week_1!H$11:H$496,"Fishburger breaded",Meal_entry_week_1!K$11:K$496)&gt;0,SUMIF(Meal_entry_week_1!H$11:H$496,"Fishburger breaded",Meal_entry_week_1!K$11:K$496),"")</f>
        <v/>
      </c>
      <c r="F144" s="407" t="str">
        <f t="shared" si="5"/>
        <v/>
      </c>
    </row>
    <row r="145" spans="1:7">
      <c r="B145" s="491" t="s">
        <v>1727</v>
      </c>
      <c r="C145" s="491" t="s">
        <v>3474</v>
      </c>
      <c r="D145" s="421" t="str">
        <f>_xlfn.IFNA(IF(VLOOKUP($C145,Ingredient_prices!$E:$F,2,FALSE)="Партија 2","Lot 2","Lot 1"),"")</f>
        <v/>
      </c>
      <c r="E145" s="407" t="str">
        <f>IF(SUMIF(Meal_entry_week_1!H$11:H$496,"Fried squids (fingers)",Meal_entry_week_1!K$11:K$496)&gt;0,SUMIF(Meal_entry_week_1!H$11:H$496,"Fried squids (fingers)",Meal_entry_week_1!K$11:K$496),"")</f>
        <v/>
      </c>
      <c r="F145" s="407" t="str">
        <f t="shared" si="5"/>
        <v/>
      </c>
    </row>
    <row r="146" spans="1:7">
      <c r="B146" s="491" t="s">
        <v>1727</v>
      </c>
      <c r="C146" s="53" t="s">
        <v>3200</v>
      </c>
      <c r="D146" s="421" t="str">
        <f>_xlfn.IFNA(IF(VLOOKUP($C146,Ingredient_prices!$E:$F,2,FALSE)="Партија 2","Lot 2","Lot 1"),"")</f>
        <v>Lot 2</v>
      </c>
      <c r="E146" s="1125" t="str">
        <f>IF(SUMIF(Meal_entry_week_1!H$11:H$496,"Hake breaded (fillets)",Meal_entry_week_1!K$11:K$496)&gt;0,SUMIF(Meal_entry_week_1!H$11:H$496,"Hake breaded (fillets)",Meal_entry_week_1!K$11:K$496),"")</f>
        <v/>
      </c>
      <c r="F146" s="407" t="str">
        <f t="shared" si="5"/>
        <v/>
      </c>
    </row>
    <row r="147" spans="1:7">
      <c r="B147" s="491" t="s">
        <v>1727</v>
      </c>
      <c r="C147" s="491" t="s">
        <v>3199</v>
      </c>
      <c r="D147" s="421" t="str">
        <f>_xlfn.IFNA(IF(VLOOKUP($C147,Ingredient_prices!$E:$F,2,FALSE)="Партија 2","Lot 2","Lot 1"),"")</f>
        <v/>
      </c>
      <c r="E147" s="1125" t="str">
        <f>IF(SUMIF(Meal_entry_week_1!H$11:H$496,"Herring fillet in vegetable oil",Meal_entry_week_1!K$11:K$496)&gt;0,SUMIF(Meal_entry_week_1!H$11:H$496,"Herring fillet in vegetable oil",Meal_entry_week_1!K$11:K$496),"")</f>
        <v/>
      </c>
      <c r="F147" s="407" t="str">
        <f t="shared" si="5"/>
        <v/>
      </c>
    </row>
    <row r="148" spans="1:7">
      <c r="B148" s="491" t="s">
        <v>1727</v>
      </c>
      <c r="C148" s="491" t="s">
        <v>3202</v>
      </c>
      <c r="D148" s="421" t="str">
        <f>_xlfn.IFNA(IF(VLOOKUP($C148,Ingredient_prices!$E:$F,2,FALSE)="Партија 2","Lot 2","Lot 1"),"")</f>
        <v/>
      </c>
      <c r="E148" s="407" t="str">
        <f>IF(SUMIF(Meal_entry_week_1!H$11:H$496,"Mackerel, fillets in vegetable oil",Meal_entry_week_1!K$11:K$496)&gt;0,SUMIF(Meal_entry_week_1!H$11:H$496,"Mackerel, fillets in vegetable oil",Meal_entry_week_1!K$11:K$496),"")</f>
        <v/>
      </c>
      <c r="F148" s="407" t="str">
        <f t="shared" si="5"/>
        <v/>
      </c>
    </row>
    <row r="149" spans="1:7" s="498" customFormat="1">
      <c r="A149" s="444"/>
      <c r="B149" s="491" t="s">
        <v>1727</v>
      </c>
      <c r="C149" s="491" t="s">
        <v>3205</v>
      </c>
      <c r="D149" s="421" t="str">
        <f>_xlfn.IFNA(IF(VLOOKUP($C149,Ingredient_prices!$E:$F,2,FALSE)="Партија 2","Lot 2","Lot 1"),"")</f>
        <v/>
      </c>
      <c r="E149" s="407" t="str">
        <f>IF(SUMIF(Meal_entry_week_1!H$11:H$496,"Tuna paté",Meal_entry_week_1!K$11:K$496)&gt;0,SUMIF(Meal_entry_week_1!H$11:H$496,"Tuna paté",Meal_entry_week_1!K$11:K$496),"")</f>
        <v/>
      </c>
      <c r="F149" s="407" t="str">
        <f t="shared" si="5"/>
        <v/>
      </c>
      <c r="G149" s="444"/>
    </row>
    <row r="150" spans="1:7" s="443" customFormat="1">
      <c r="A150" s="444"/>
      <c r="B150" s="491" t="s">
        <v>1727</v>
      </c>
      <c r="C150" s="491" t="s">
        <v>3204</v>
      </c>
      <c r="D150" s="421" t="str">
        <f>_xlfn.IFNA(IF(VLOOKUP($C150,Ingredient_prices!$E:$F,2,FALSE)="Партија 2","Lot 2","Lot 1"),"")</f>
        <v/>
      </c>
      <c r="E150" s="407" t="str">
        <f>IF(SUMIF(Meal_entry_week_1!H$11:H$496,"Tuna preserved in brine",Meal_entry_week_1!K$11:K$496)&gt;0,SUMIF(Meal_entry_week_1!H$11:H$496,"Tuna preserved in brine",Meal_entry_week_1!K$11:K$496),"")</f>
        <v/>
      </c>
      <c r="F150" s="407" t="str">
        <f t="shared" si="5"/>
        <v/>
      </c>
      <c r="G150" s="444"/>
    </row>
    <row r="151" spans="1:7" s="498" customFormat="1">
      <c r="A151" s="444"/>
      <c r="B151" s="492" t="s">
        <v>1727</v>
      </c>
      <c r="C151" s="492" t="s">
        <v>3203</v>
      </c>
      <c r="D151" s="421" t="str">
        <f>_xlfn.IFNA(IF(VLOOKUP($C151,Ingredient_prices!$E:$F,2,FALSE)="Партија 2","Lot 2","Lot 1"),"")</f>
        <v>Lot 2</v>
      </c>
      <c r="E151" s="407">
        <f>IF(SUMIF(Meal_entry_week_1!H$11:H$496,"Tuna preserved in oil",Meal_entry_week_1!K$11:K$496)&gt;0,SUMIF(Meal_entry_week_1!H$11:H$496,"Tuna preserved in oil",Meal_entry_week_1!K$11:K$496),"")</f>
        <v>2.2000000000000002</v>
      </c>
      <c r="F151" s="407">
        <f t="shared" si="5"/>
        <v>2.2000000000000002</v>
      </c>
      <c r="G151" s="444"/>
    </row>
    <row r="152" spans="1:7">
      <c r="B152" s="1268" t="s">
        <v>3072</v>
      </c>
      <c r="C152" s="749" t="s">
        <v>3208</v>
      </c>
      <c r="D152" s="421" t="str">
        <f>_xlfn.IFNA(IF(VLOOKUP($C152,Ingredient_prices!$E:$F,2,FALSE)="Партија 2","Lot 2","Lot 1"),"")</f>
        <v>Lot 2</v>
      </c>
      <c r="E152" s="408">
        <f>(IF(SUMIF(Meal_entry_week_1!H$11:H$496,"Chicken egg, whole",Meal_entry_week_1!K$11:K$496)&gt;0,SUMIF(Meal_entry_week_1!H$11:H$496,"Chicken egg, whole",Meal_entry_week_1!K$11:K$496),0))/0.06</f>
        <v>210.83333333333331</v>
      </c>
      <c r="F152" s="407">
        <f t="shared" si="5"/>
        <v>210.83333333333331</v>
      </c>
    </row>
    <row r="153" spans="1:7" s="498" customFormat="1">
      <c r="A153" s="444"/>
      <c r="B153" s="491" t="s">
        <v>3085</v>
      </c>
      <c r="C153" s="491" t="s">
        <v>3233</v>
      </c>
      <c r="D153" s="421" t="str">
        <f>_xlfn.IFNA(IF(VLOOKUP($C153,Ingredient_prices!$E:$F,2,FALSE)="Партија 2","Lot 2","Lot 1"),"")</f>
        <v>Lot 2</v>
      </c>
      <c r="E153" s="407" t="str">
        <f>IF(SUMIF(Meal_entry_week_1!H$11:H$496,"Cheese spread 70% fat",Meal_entry_week_1!K$11:K$496)&gt;0,SUMIF(Meal_entry_week_1!H$11:H$496,"Cheese spread 70% fat",Meal_entry_week_1!K$11:K$496),"")</f>
        <v/>
      </c>
      <c r="F153" s="407" t="str">
        <f t="shared" si="5"/>
        <v/>
      </c>
      <c r="G153" s="444"/>
    </row>
    <row r="154" spans="1:7">
      <c r="B154" s="491" t="s">
        <v>3085</v>
      </c>
      <c r="C154" s="491" t="s">
        <v>3234</v>
      </c>
      <c r="D154" s="421" t="str">
        <f>_xlfn.IFNA(IF(VLOOKUP($C154,Ingredient_prices!$E:$F,2,FALSE)="Партија 2","Lot 2","Lot 1"),"")</f>
        <v>Lot 2</v>
      </c>
      <c r="E154" s="407" t="str">
        <f>IF(SUMIF(Meal_entry_week_1!H$11:H$496,"Cheese spread triangles 35% fat",Meal_entry_week_1!K$11:K$496)&gt;0,SUMIF(Meal_entry_week_1!H$11:H$496,"Cheese spread triangles 35% fat",Meal_entry_week_1!K$11:K$496),"")</f>
        <v/>
      </c>
      <c r="F154" s="407" t="str">
        <f t="shared" si="5"/>
        <v/>
      </c>
    </row>
    <row r="155" spans="1:7">
      <c r="B155" s="491" t="s">
        <v>3085</v>
      </c>
      <c r="C155" s="491" t="s">
        <v>3217</v>
      </c>
      <c r="D155" s="421" t="str">
        <f>_xlfn.IFNA(IF(VLOOKUP($C155,Ingredient_prices!$E:$F,2,FALSE)="Партија 2","Lot 2","Lot 1"),"")</f>
        <v>Lot 2</v>
      </c>
      <c r="E155" s="407" t="str">
        <f>IF(SUMIF(Meal_entry_week_1!H$11:H$496,"Cheese, cow, low fat, mozzarella",Meal_entry_week_1!K$11:K$496)&gt;0,SUMIF(Meal_entry_week_1!H$11:H$496,"Cheese, cow, low fat, mozzarella",Meal_entry_week_1!K$11:K$496),"")</f>
        <v/>
      </c>
      <c r="F155" s="407" t="str">
        <f t="shared" si="5"/>
        <v/>
      </c>
    </row>
    <row r="156" spans="1:7">
      <c r="B156" s="491" t="s">
        <v>3085</v>
      </c>
      <c r="C156" s="491" t="s">
        <v>3223</v>
      </c>
      <c r="D156" s="421" t="str">
        <f>_xlfn.IFNA(IF(VLOOKUP($C156,Ingredient_prices!$E:$F,2,FALSE)="Партија 2","Lot 2","Lot 1"),"")</f>
        <v/>
      </c>
      <c r="E156" s="407" t="str">
        <f>IF(SUMIF(Meal_entry_week_1!H$11:H$496,"Cheese, Edam, 30% fat",Meal_entry_week_1!K$11:K$496)&gt;0,SUMIF(Meal_entry_week_1!H$11:H$496,"Cheese, Edam, 30% fat",Meal_entry_week_1!K$11:K$496),"")</f>
        <v/>
      </c>
      <c r="F156" s="407" t="str">
        <f t="shared" si="5"/>
        <v/>
      </c>
    </row>
    <row r="157" spans="1:7">
      <c r="B157" s="491" t="s">
        <v>3085</v>
      </c>
      <c r="C157" s="491" t="s">
        <v>3216</v>
      </c>
      <c r="D157" s="421" t="str">
        <f>_xlfn.IFNA(IF(VLOOKUP($C157,Ingredient_prices!$E:$F,2,FALSE)="Партија 2","Lot 2","Lot 1"),"")</f>
        <v>Lot 2</v>
      </c>
      <c r="E157" s="407" t="str">
        <f>IF(SUMIF(Meal_entry_week_1!H$11:H$496,"Cheese, feta, soft (in brine)",Meal_entry_week_1!K$11:K$496)&gt;0,SUMIF(Meal_entry_week_1!H$11:H$496,"Cheese, feta, soft (in brine)",Meal_entry_week_1!K$11:K$496),"")</f>
        <v/>
      </c>
      <c r="F157" s="407" t="str">
        <f t="shared" si="5"/>
        <v/>
      </c>
    </row>
    <row r="158" spans="1:7">
      <c r="B158" s="491" t="s">
        <v>3085</v>
      </c>
      <c r="C158" s="491" t="s">
        <v>3226</v>
      </c>
      <c r="D158" s="421" t="str">
        <f>_xlfn.IFNA(IF(VLOOKUP($C158,Ingredient_prices!$E:$F,2,FALSE)="Партија 2","Lot 2","Lot 1"),"")</f>
        <v/>
      </c>
      <c r="E158" s="407" t="str">
        <f>IF(SUMIF(Meal_entry_week_1!H$11:H$496,"Cheese, for pizza, 45% fat",Meal_entry_week_1!K$11:K$496)&gt;0,SUMIF(Meal_entry_week_1!H$11:H$496,"Cheese, for pizza, 45% fat",Meal_entry_week_1!K$11:K$496),"")</f>
        <v/>
      </c>
      <c r="F158" s="407" t="str">
        <f t="shared" si="5"/>
        <v/>
      </c>
    </row>
    <row r="159" spans="1:7">
      <c r="B159" s="491" t="s">
        <v>3085</v>
      </c>
      <c r="C159" s="491" t="s">
        <v>3224</v>
      </c>
      <c r="D159" s="421" t="str">
        <f>_xlfn.IFNA(IF(VLOOKUP($C159,Ingredient_prices!$E:$F,2,FALSE)="Партија 2","Lot 2","Lot 1"),"")</f>
        <v/>
      </c>
      <c r="E159" s="407" t="str">
        <f>IF(SUMIF(Meal_entry_week_1!H$11:H$496,"Cheese, Gouda, 48% fat",Meal_entry_week_1!K$11:K$496)&gt;0,SUMIF(Meal_entry_week_1!H$11:H$496,"Cheese, Gouda, 48% fat",Meal_entry_week_1!K$11:K$496),"")</f>
        <v/>
      </c>
      <c r="F159" s="407" t="str">
        <f t="shared" si="5"/>
        <v/>
      </c>
    </row>
    <row r="160" spans="1:7">
      <c r="B160" s="491" t="s">
        <v>3085</v>
      </c>
      <c r="C160" s="491" t="s">
        <v>3228</v>
      </c>
      <c r="D160" s="421" t="str">
        <f>_xlfn.IFNA(IF(VLOOKUP($C160,Ingredient_prices!$E:$F,2,FALSE)="Партија 2","Lot 2","Lot 1"),"")</f>
        <v>Lot 2</v>
      </c>
      <c r="E160" s="407" t="str">
        <f>IF(SUMIF(Meal_entry_week_1!H$11:H$496,"Cheese, grated (at least 1 kg)",Meal_entry_week_1!K$11:K$496)&gt;0,SUMIF(Meal_entry_week_1!H$11:H$496,"Cheese, grated (at least 1 kg)",Meal_entry_week_1!K$11:K$496),"")</f>
        <v/>
      </c>
      <c r="F160" s="407" t="str">
        <f t="shared" si="5"/>
        <v/>
      </c>
    </row>
    <row r="161" spans="1:7">
      <c r="B161" s="491" t="s">
        <v>3085</v>
      </c>
      <c r="C161" s="491" t="s">
        <v>3227</v>
      </c>
      <c r="D161" s="421" t="str">
        <f>_xlfn.IFNA(IF(VLOOKUP($C161,Ingredient_prices!$E:$F,2,FALSE)="Партија 2","Lot 2","Lot 1"),"")</f>
        <v>Lot 2</v>
      </c>
      <c r="E161" s="407" t="str">
        <f>IF(SUMIF(Meal_entry_week_1!H$11:H$496,"Cheese, grated (less than 1 kg)",Meal_entry_week_1!K$11:K$496)&gt;0,SUMIF(Meal_entry_week_1!H$11:H$496,"Cheese, grated (less than 1 kg)",Meal_entry_week_1!K$11:K$496),"")</f>
        <v/>
      </c>
      <c r="F161" s="407" t="str">
        <f t="shared" si="5"/>
        <v/>
      </c>
    </row>
    <row r="162" spans="1:7">
      <c r="B162" s="491" t="s">
        <v>3085</v>
      </c>
      <c r="C162" s="491" t="s">
        <v>3225</v>
      </c>
      <c r="D162" s="421" t="str">
        <f>_xlfn.IFNA(IF(VLOOKUP($C162,Ingredient_prices!$E:$F,2,FALSE)="Партија 2","Lot 2","Lot 1"),"")</f>
        <v/>
      </c>
      <c r="E162" s="407" t="str">
        <f>IF(SUMIF(Meal_entry_week_1!H$11:H$496,"Cheese, hard 45% fat",Meal_entry_week_1!K$11:K$496)&gt;0,SUMIF(Meal_entry_week_1!H$11:H$496,"Cheese, hard 45% fat",Meal_entry_week_1!K$11:K$496),"")</f>
        <v/>
      </c>
      <c r="F162" s="407" t="str">
        <f t="shared" si="5"/>
        <v/>
      </c>
    </row>
    <row r="163" spans="1:7">
      <c r="B163" s="491" t="s">
        <v>3085</v>
      </c>
      <c r="C163" s="491" t="s">
        <v>3460</v>
      </c>
      <c r="D163" s="421" t="str">
        <f>_xlfn.IFNA(IF(VLOOKUP($C163,Ingredient_prices!$E:$F,2,FALSE)="Партија 2","Lot 2","Lot 1"),"")</f>
        <v>Lot 2</v>
      </c>
      <c r="E163" s="407" t="str">
        <f>IF(SUMIF(Meal_entry_week_1!H$11:H$496,"Cheese, hard 35% fat",Meal_entry_week_1!K$11:K$496)&gt;0,SUMIF(Meal_entry_week_1!H$11:H$496,"Cheese, hard 35% fat",Meal_entry_week_1!K$11:K$496),"")</f>
        <v/>
      </c>
      <c r="F163" s="407" t="str">
        <f t="shared" si="5"/>
        <v/>
      </c>
    </row>
    <row r="164" spans="1:7">
      <c r="B164" s="491" t="s">
        <v>3085</v>
      </c>
      <c r="C164" s="491" t="s">
        <v>3231</v>
      </c>
      <c r="D164" s="421" t="str">
        <f>_xlfn.IFNA(IF(VLOOKUP($C164,Ingredient_prices!$E:$F,2,FALSE)="Партија 2","Lot 2","Lot 1"),"")</f>
        <v>Lot 2</v>
      </c>
      <c r="E164" s="407" t="str">
        <f>IF(SUMIF(Meal_entry_week_1!H$11:H$496,"Cheese, hard, grated",Meal_entry_week_1!K$11:K$496)&gt;0,SUMIF(Meal_entry_week_1!H$11:H$496,"Cheese, hard, grated",Meal_entry_week_1!K$11:K$496),"")</f>
        <v/>
      </c>
      <c r="F164" s="407" t="str">
        <f t="shared" si="5"/>
        <v/>
      </c>
    </row>
    <row r="165" spans="1:7">
      <c r="B165" s="491" t="s">
        <v>3085</v>
      </c>
      <c r="C165" s="491" t="s">
        <v>3230</v>
      </c>
      <c r="D165" s="421" t="str">
        <f>_xlfn.IFNA(IF(VLOOKUP($C165,Ingredient_prices!$E:$F,2,FALSE)="Партија 2","Lot 2","Lot 1"),"")</f>
        <v>Lot 2</v>
      </c>
      <c r="E165" s="407" t="str">
        <f>IF(SUMIF(Meal_entry_week_1!H$11:H$496,"Cheese, processed, slices",Meal_entry_week_1!K$11:K$496)&gt;0,SUMIF(Meal_entry_week_1!H$11:H$496,"Cheese, processed, slices",Meal_entry_week_1!K$11:K$496),"")</f>
        <v/>
      </c>
      <c r="F165" s="407" t="str">
        <f t="shared" si="5"/>
        <v/>
      </c>
    </row>
    <row r="166" spans="1:7">
      <c r="B166" s="491" t="s">
        <v>3085</v>
      </c>
      <c r="C166" s="491" t="s">
        <v>3229</v>
      </c>
      <c r="D166" s="421" t="str">
        <f>_xlfn.IFNA(IF(VLOOKUP($C166,Ingredient_prices!$E:$F,2,FALSE)="Партија 2","Lot 2","Lot 1"),"")</f>
        <v/>
      </c>
      <c r="E166" s="407" t="str">
        <f>IF(SUMIF(Meal_entry_week_1!H$11:H$496,"Cheese, Swiss (grated)",Meal_entry_week_1!K$11:K$496)&gt;0,SUMIF(Meal_entry_week_1!H$11:H$496,"Cheese, Swiss (grated)",Meal_entry_week_1!K$11:K$496),"")</f>
        <v/>
      </c>
      <c r="F166" s="407" t="str">
        <f t="shared" si="5"/>
        <v/>
      </c>
    </row>
    <row r="167" spans="1:7">
      <c r="B167" s="491" t="s">
        <v>3085</v>
      </c>
      <c r="C167" s="491" t="s">
        <v>3232</v>
      </c>
      <c r="D167" s="421" t="str">
        <f>_xlfn.IFNA(IF(VLOOKUP($C167,Ingredient_prices!$E:$F,2,FALSE)="Партија 2","Lot 2","Lot 1"),"")</f>
        <v/>
      </c>
      <c r="E167" s="407" t="str">
        <f>IF(SUMIF(Meal_entry_week_1!H$11:H$496,"Cheese, Trapist",Meal_entry_week_1!K$11:K$496)&gt;0,SUMIF(Meal_entry_week_1!H$11:H$496,"Cheese, Trapist",Meal_entry_week_1!K$11:K$496),"")</f>
        <v/>
      </c>
      <c r="F167" s="407" t="str">
        <f t="shared" si="5"/>
        <v/>
      </c>
    </row>
    <row r="168" spans="1:7">
      <c r="B168" s="491" t="s">
        <v>3085</v>
      </c>
      <c r="C168" s="491" t="s">
        <v>3446</v>
      </c>
      <c r="D168" s="421" t="str">
        <f>_xlfn.IFNA(IF(VLOOKUP($C168,Ingredient_prices!$E:$F,2,FALSE)="Партија 2","Lot 2","Lot 1"),"")</f>
        <v>Lot 2</v>
      </c>
      <c r="E168" s="407" t="str">
        <f>IF(SUMIF(Meal_entry_week_1!H$11:H$496,"Chocolate milk 1% fat (at least 1 l)",Meal_entry_week_1!K$11:K$496)&gt;0,SUMIF(Meal_entry_week_1!H$11:H$496,"Chocolate milk 1% fat (at least 1 l)",Meal_entry_week_1!K$11:K$496),"")</f>
        <v/>
      </c>
      <c r="F168" s="407" t="str">
        <f t="shared" si="5"/>
        <v/>
      </c>
    </row>
    <row r="169" spans="1:7">
      <c r="B169" s="491" t="s">
        <v>3085</v>
      </c>
      <c r="C169" s="491" t="s">
        <v>3445</v>
      </c>
      <c r="D169" s="421" t="str">
        <f>_xlfn.IFNA(IF(VLOOKUP($C169,Ingredient_prices!$E:$F,2,FALSE)="Партија 2","Lot 2","Lot 1"),"")</f>
        <v>Lot 2</v>
      </c>
      <c r="E169" s="407" t="str">
        <f>IF(SUMIF(Meal_entry_week_1!H$11:H$496,"Chocolate milk 1% fat (less than 1 l)",Meal_entry_week_1!K$11:K$496)&gt;0,SUMIF(Meal_entry_week_1!H$11:H$496,"Chocolate milk 1% fat (less than 1 l)",Meal_entry_week_1!K$11:K$496),"")</f>
        <v/>
      </c>
      <c r="F169" s="407" t="str">
        <f t="shared" si="5"/>
        <v/>
      </c>
    </row>
    <row r="170" spans="1:7" s="749" customFormat="1">
      <c r="A170" s="444"/>
      <c r="B170" s="491" t="s">
        <v>3085</v>
      </c>
      <c r="C170" s="491" t="s">
        <v>1803</v>
      </c>
      <c r="D170" s="421" t="str">
        <f>_xlfn.IFNA(IF(VLOOKUP($C170,Ingredient_prices!$E:$F,2,FALSE)="Партија 2","Lot 2","Lot 1"),"")</f>
        <v/>
      </c>
      <c r="E170" s="407" t="str">
        <f>IF(SUMIF(Meal_entry_week_1!H$11:H$496,"Chocolate milk, whole milk",Meal_entry_week_1!K$11:K$496)&gt;0,SUMIF(Meal_entry_week_1!H$11:H$496,"Chocolate milk, whole milk",Meal_entry_week_1!K$11:K$496),"")</f>
        <v/>
      </c>
      <c r="F170" s="407" t="str">
        <f t="shared" si="5"/>
        <v/>
      </c>
      <c r="G170" s="444"/>
    </row>
    <row r="171" spans="1:7">
      <c r="B171" s="491" t="s">
        <v>3085</v>
      </c>
      <c r="C171" s="491" t="s">
        <v>480</v>
      </c>
      <c r="D171" s="421" t="str">
        <f>_xlfn.IFNA(IF(VLOOKUP($C171,Ingredient_prices!$E:$F,2,FALSE)="Партија 2","Lot 2","Lot 1"),"")</f>
        <v>Lot 2</v>
      </c>
      <c r="E171" s="407" t="str">
        <f>IF(SUMIF(Meal_entry_week_1!H$11:H$496,"Clotted cream",Meal_entry_week_1!K$11:K$496)&gt;0,SUMIF(Meal_entry_week_1!H$11:H$496,"Clotted cream",Meal_entry_week_1!K$11:K$496),"")</f>
        <v/>
      </c>
      <c r="F171" s="407" t="str">
        <f t="shared" si="5"/>
        <v/>
      </c>
    </row>
    <row r="172" spans="1:7">
      <c r="B172" s="491" t="s">
        <v>3085</v>
      </c>
      <c r="C172" s="491" t="s">
        <v>3221</v>
      </c>
      <c r="D172" s="421" t="str">
        <f>_xlfn.IFNA(IF(VLOOKUP($C172,Ingredient_prices!$E:$F,2,FALSE)="Партија 2","Lot 2","Lot 1"),"")</f>
        <v>Lot 2</v>
      </c>
      <c r="E172" s="407">
        <f>IF(SUMIF(Meal_entry_week_1!H$11:H$496,"Cow's milk 2.8% fat",Meal_entry_week_1!K$11:K$496)&gt;0,SUMIF(Meal_entry_week_1!H$11:H$496,"Cow's milk 2.8% fat",Meal_entry_week_1!K$11:K$496),"")</f>
        <v>4.4000000000000004</v>
      </c>
      <c r="F172" s="407">
        <f t="shared" si="5"/>
        <v>4.4000000000000004</v>
      </c>
    </row>
    <row r="173" spans="1:7">
      <c r="B173" s="491" t="s">
        <v>3085</v>
      </c>
      <c r="C173" s="491" t="s">
        <v>3220</v>
      </c>
      <c r="D173" s="421" t="str">
        <f>_xlfn.IFNA(IF(VLOOKUP($C173,Ingredient_prices!$E:$F,2,FALSE)="Партија 2","Lot 2","Lot 1"),"")</f>
        <v>Lot 2</v>
      </c>
      <c r="E173" s="407" t="str">
        <f>IF(SUMIF(Meal_entry_week_1!H$11:H$496,"Cow's milk 3.2% fat",Meal_entry_week_1!K$11:K$496)&gt;0,SUMIF(Meal_entry_week_1!H$11:H$496,"Cow's milk 3.2% fat",Meal_entry_week_1!K$11:K$496),"")</f>
        <v/>
      </c>
      <c r="F173" s="407" t="str">
        <f t="shared" si="5"/>
        <v/>
      </c>
    </row>
    <row r="174" spans="1:7">
      <c r="B174" s="491" t="s">
        <v>3085</v>
      </c>
      <c r="C174" s="491" t="s">
        <v>3213</v>
      </c>
      <c r="D174" s="421" t="str">
        <f>_xlfn.IFNA(IF(VLOOKUP($C174,Ingredient_prices!$E:$F,2,FALSE)="Партија 2","Lot 2","Lot 1"),"")</f>
        <v>Lot 2</v>
      </c>
      <c r="E174" s="407" t="str">
        <f>IF(SUMIF(Meal_entry_week_1!H$11:H$496,"Cream cheese spread",Meal_entry_week_1!K$11:K$496)&gt;0,SUMIF(Meal_entry_week_1!H$11:H$496,"Cream cheese spread",Meal_entry_week_1!K$11:K$496),"")</f>
        <v/>
      </c>
      <c r="F174" s="407" t="str">
        <f t="shared" si="5"/>
        <v/>
      </c>
    </row>
    <row r="175" spans="1:7">
      <c r="B175" s="491" t="s">
        <v>3085</v>
      </c>
      <c r="C175" s="491" t="s">
        <v>3215</v>
      </c>
      <c r="D175" s="421" t="str">
        <f>_xlfn.IFNA(IF(VLOOKUP($C175,Ingredient_prices!$E:$F,2,FALSE)="Партија 2","Lot 2","Lot 1"),"")</f>
        <v>Lot 2</v>
      </c>
      <c r="E175" s="407" t="str">
        <f>IF(SUMIF(Meal_entry_week_1!H$11:H$496,"Fresh cheese",Meal_entry_week_1!K$11:K$496)&gt;0,SUMIF(Meal_entry_week_1!H$11:H$496,"Fresh cheese",Meal_entry_week_1!K$11:K$496),"")</f>
        <v/>
      </c>
      <c r="F175" s="407" t="str">
        <f t="shared" si="5"/>
        <v/>
      </c>
    </row>
    <row r="176" spans="1:7" s="749" customFormat="1">
      <c r="A176" s="444"/>
      <c r="B176" s="491" t="s">
        <v>3085</v>
      </c>
      <c r="C176" s="491" t="s">
        <v>3212</v>
      </c>
      <c r="D176" s="421" t="str">
        <f>_xlfn.IFNA(IF(VLOOKUP($C176,Ingredient_prices!$E:$F,2,FALSE)="Партија 2","Lot 2","Lot 1"),"")</f>
        <v>Lot 2</v>
      </c>
      <c r="E176" s="407" t="str">
        <f>IF(SUMIF(Meal_entry_week_1!H$11:H$496,"Fruit yogurt",Meal_entry_week_1!K$11:K$496)&gt;0,SUMIF(Meal_entry_week_1!H$11:H$496,"Fruit yogurt",Meal_entry_week_1!K$11:K$496),"")</f>
        <v/>
      </c>
      <c r="F176" s="407" t="str">
        <f t="shared" si="5"/>
        <v/>
      </c>
      <c r="G176" s="444"/>
    </row>
    <row r="177" spans="1:7">
      <c r="B177" s="491" t="s">
        <v>3085</v>
      </c>
      <c r="C177" s="491" t="s">
        <v>3457</v>
      </c>
      <c r="D177" s="421" t="str">
        <f>_xlfn.IFNA(IF(VLOOKUP($C177,Ingredient_prices!$E:$F,2,FALSE)="Партија 2","Lot 2","Lot 1"),"")</f>
        <v>Lot 2</v>
      </c>
      <c r="E177" s="1125" t="str">
        <f>IF(SUMIF(Meal_entry_week_1!H$11:H$496,"Fruit yogurt, low-fat",Meal_entry_week_1!K$11:K$496)&gt;0,SUMIF(Meal_entry_week_1!H$11:H$496,"Fruit yogurt, low-fat",Meal_entry_week_1!K$11:K$496),"")</f>
        <v/>
      </c>
      <c r="F177" s="407" t="str">
        <f t="shared" si="5"/>
        <v/>
      </c>
    </row>
    <row r="178" spans="1:7">
      <c r="B178" s="491" t="s">
        <v>3085</v>
      </c>
      <c r="C178" s="491" t="s">
        <v>3219</v>
      </c>
      <c r="D178" s="421" t="str">
        <f>_xlfn.IFNA(IF(VLOOKUP($C178,Ingredient_prices!$E:$F,2,FALSE)="Партија 2","Lot 2","Lot 1"),"")</f>
        <v/>
      </c>
      <c r="E178" s="407" t="str">
        <f>IF(SUMIF(Meal_entry_week_1!H$11:H$496,"Hard cheese",Meal_entry_week_1!K$11:K$496)&gt;0,SUMIF(Meal_entry_week_1!H$11:H$496,"Hard cheese",Meal_entry_week_1!K$11:K$496),"")</f>
        <v/>
      </c>
      <c r="F178" s="407" t="str">
        <f t="shared" si="5"/>
        <v/>
      </c>
    </row>
    <row r="179" spans="1:7">
      <c r="B179" s="491" t="s">
        <v>3085</v>
      </c>
      <c r="C179" s="491" t="s">
        <v>1907</v>
      </c>
      <c r="D179" s="421" t="str">
        <f>_xlfn.IFNA(IF(VLOOKUP($C179,Ingredient_prices!$E:$F,2,FALSE)="Партија 2","Lot 2","Lot 1"),"")</f>
        <v/>
      </c>
      <c r="E179" s="407" t="str">
        <f>IF(SUMIF(Meal_entry_week_1!H$11:H$496,"Ice cream",Meal_entry_week_1!K$11:K$496)&gt;0,SUMIF(Meal_entry_week_1!H$11:H$496,"Ice cream",Meal_entry_week_1!K$11:K$496),"")</f>
        <v/>
      </c>
      <c r="F179" s="407" t="str">
        <f t="shared" si="5"/>
        <v/>
      </c>
    </row>
    <row r="180" spans="1:7">
      <c r="B180" s="491" t="s">
        <v>3085</v>
      </c>
      <c r="C180" s="491" t="s">
        <v>3456</v>
      </c>
      <c r="D180" s="421" t="str">
        <f>_xlfn.IFNA(IF(VLOOKUP($C180,Ingredient_prices!$E:$F,2,FALSE)="Партија 2","Lot 2","Lot 1"),"")</f>
        <v>Lot 2</v>
      </c>
      <c r="E180" s="407" t="str">
        <f>IF(SUMIF(Meal_entry_week_1!H$11:H$496,"Mileram 22% fat",Meal_entry_week_1!K$11:K$496)&gt;0,SUMIF(Meal_entry_week_1!H$11:H$496,"Mileram 22% fat",Meal_entry_week_1!K$11:K$496),"")</f>
        <v/>
      </c>
      <c r="F180" s="407" t="str">
        <f t="shared" si="5"/>
        <v/>
      </c>
    </row>
    <row r="181" spans="1:7">
      <c r="B181" s="491" t="s">
        <v>3085</v>
      </c>
      <c r="C181" s="491" t="s">
        <v>3214</v>
      </c>
      <c r="D181" s="421" t="str">
        <f>_xlfn.IFNA(IF(VLOOKUP($C181,Ingredient_prices!$E:$F,2,FALSE)="Партија 2","Lot 2","Lot 1"),"")</f>
        <v/>
      </c>
      <c r="E181" s="407" t="str">
        <f>IF(SUMIF(Meal_entry_week_1!H$11:H$496,"Milk shake",Meal_entry_week_1!K$11:K$496)&gt;0,SUMIF(Meal_entry_week_1!H$11:H$496,"Milk shake",Meal_entry_week_1!K$11:K$496),"")</f>
        <v/>
      </c>
      <c r="F181" s="407" t="str">
        <f t="shared" si="5"/>
        <v/>
      </c>
    </row>
    <row r="182" spans="1:7">
      <c r="B182" s="491" t="s">
        <v>3085</v>
      </c>
      <c r="C182" s="491" t="s">
        <v>3222</v>
      </c>
      <c r="D182" s="421" t="str">
        <f>_xlfn.IFNA(IF(VLOOKUP($C182,Ingredient_prices!$E:$F,2,FALSE)="Партија 2","Lot 2","Lot 1"),"")</f>
        <v/>
      </c>
      <c r="E182" s="407" t="str">
        <f>IF(SUMIF(Meal_entry_week_1!H$11:H$496,"Parmesan cheese",Meal_entry_week_1!K$11:K$496)&gt;0,SUMIF(Meal_entry_week_1!H$11:H$496,"Parmesan cheese",Meal_entry_week_1!K$11:K$496),"")</f>
        <v/>
      </c>
      <c r="F182" s="407" t="str">
        <f t="shared" ref="F182:F249" si="6">IF(E182="","",E182/1)</f>
        <v/>
      </c>
    </row>
    <row r="183" spans="1:7">
      <c r="B183" s="491" t="s">
        <v>3085</v>
      </c>
      <c r="C183" s="491" t="s">
        <v>475</v>
      </c>
      <c r="D183" s="421" t="str">
        <f>_xlfn.IFNA(IF(VLOOKUP($C183,Ingredient_prices!$E:$F,2,FALSE)="Партија 2","Lot 2","Lot 1"),"")</f>
        <v/>
      </c>
      <c r="E183" s="407" t="str">
        <f>IF(SUMIF(Meal_entry_week_1!H$11:H$496,"Single cream",Meal_entry_week_1!K$11:K$496)&gt;0,SUMIF(Meal_entry_week_1!H$11:H$496,"Single cream",Meal_entry_week_1!K$11:K$496),"")</f>
        <v/>
      </c>
      <c r="F183" s="407" t="str">
        <f t="shared" si="6"/>
        <v/>
      </c>
    </row>
    <row r="184" spans="1:7">
      <c r="B184" s="491" t="s">
        <v>3085</v>
      </c>
      <c r="C184" s="491" t="s">
        <v>1811</v>
      </c>
      <c r="D184" s="421" t="str">
        <f>_xlfn.IFNA(IF(VLOOKUP($C184,Ingredient_prices!$E:$F,2,FALSE)="Партија 2","Lot 2","Lot 1"),"")</f>
        <v/>
      </c>
      <c r="E184" s="407" t="str">
        <f>IF(SUMIF(Meal_entry_week_1!H$11:H$496,"Sour cream for cooking",Meal_entry_week_1!K$11:K$496)&gt;0,SUMIF(Meal_entry_week_1!H$11:H$496,"Sour cream for cooking",Meal_entry_week_1!K$11:K$496),"")</f>
        <v/>
      </c>
      <c r="F184" s="407" t="str">
        <f t="shared" si="6"/>
        <v/>
      </c>
    </row>
    <row r="185" spans="1:7">
      <c r="B185" s="491" t="s">
        <v>3085</v>
      </c>
      <c r="C185" s="491" t="s">
        <v>3455</v>
      </c>
      <c r="D185" s="421" t="str">
        <f>_xlfn.IFNA(IF(VLOOKUP($C185,Ingredient_prices!$E:$F,2,FALSE)="Партија 2","Lot 2","Lot 1"),"")</f>
        <v/>
      </c>
      <c r="E185" s="407" t="str">
        <f>IF(SUMIF(Meal_entry_week_1!H$11:H$496,"Sour cream, 12% fat",Meal_entry_week_1!K$11:K$496)&gt;0,SUMIF(Meal_entry_week_1!H$11:H$496,"Sour cream, 12% fat",Meal_entry_week_1!K$11:K$496),"")</f>
        <v/>
      </c>
      <c r="F185" s="407" t="str">
        <f t="shared" si="6"/>
        <v/>
      </c>
    </row>
    <row r="186" spans="1:7">
      <c r="A186" s="1126"/>
      <c r="B186" s="491" t="s">
        <v>3085</v>
      </c>
      <c r="C186" s="491" t="s">
        <v>3454</v>
      </c>
      <c r="D186" s="421" t="str">
        <f>_xlfn.IFNA(IF(VLOOKUP($C186,Ingredient_prices!$E:$F,2,FALSE)="Партија 2","Lot 2","Lot 1"),"")</f>
        <v>Lot 2</v>
      </c>
      <c r="E186" s="407">
        <f>IF(SUMIF(Meal_entry_week_1!H$11:H$496,"Sour cream, 20% fat",Meal_entry_week_1!K$11:K$496)&gt;0,SUMIF(Meal_entry_week_1!H$11:H$496,"Sour cream, 20% fat",Meal_entry_week_1!K$11:K$496),"")</f>
        <v>11</v>
      </c>
      <c r="F186" s="407">
        <f t="shared" si="6"/>
        <v>11</v>
      </c>
    </row>
    <row r="187" spans="1:7">
      <c r="B187" s="491" t="s">
        <v>3085</v>
      </c>
      <c r="C187" s="491" t="s">
        <v>3453</v>
      </c>
      <c r="D187" s="421" t="str">
        <f>_xlfn.IFNA(IF(VLOOKUP($C187,Ingredient_prices!$E:$F,2,FALSE)="Партија 2","Lot 2","Lot 1"),"")</f>
        <v>Lot 2</v>
      </c>
      <c r="E187" s="1125" t="str">
        <f>IF(SUMIF(Meal_entry_week_1!H$11:H$496,"Sour milk, 2.8% fat",Meal_entry_week_1!K$11:K$496)&gt;0,SUMIF(Meal_entry_week_1!H$11:H$496,"Sour milk, 2.8% fat",Meal_entry_week_1!K$11:K$496),"")</f>
        <v/>
      </c>
      <c r="F187" s="407" t="str">
        <f t="shared" si="6"/>
        <v/>
      </c>
    </row>
    <row r="188" spans="1:7" s="498" customFormat="1">
      <c r="A188" s="444"/>
      <c r="B188" s="491" t="s">
        <v>3085</v>
      </c>
      <c r="C188" s="491" t="s">
        <v>3218</v>
      </c>
      <c r="D188" s="421" t="str">
        <f>_xlfn.IFNA(IF(VLOOKUP($C188,Ingredient_prices!$E:$F,2,FALSE)="Партија 2","Lot 2","Lot 1"),"")</f>
        <v>Lot 2</v>
      </c>
      <c r="E188" s="1125" t="str">
        <f>IF(SUMIF(Meal_entry_week_1!H$11:H$496,"Whey powder",Meal_entry_week_1!K$11:K$496)&gt;0,SUMIF(Meal_entry_week_1!H$11:H$496,"Whey powder",Meal_entry_week_1!K$11:K$496),"")</f>
        <v/>
      </c>
      <c r="F188" s="407" t="str">
        <f t="shared" si="6"/>
        <v/>
      </c>
      <c r="G188" s="444"/>
    </row>
    <row r="189" spans="1:7">
      <c r="B189" s="491" t="s">
        <v>3085</v>
      </c>
      <c r="C189" s="491" t="s">
        <v>1809</v>
      </c>
      <c r="D189" s="421" t="str">
        <f>_xlfn.IFNA(IF(VLOOKUP($C189,Ingredient_prices!$E:$F,2,FALSE)="Партија 2","Lot 2","Lot 1"),"")</f>
        <v>Lot 2</v>
      </c>
      <c r="E189" s="407" t="str">
        <f>IF(SUMIF(Meal_entry_week_1!H$11:H$496,"Whole milk powder",Meal_entry_week_1!K$11:K$496)&gt;0,SUMIF(Meal_entry_week_1!H$11:H$496,"Whole milk powder",Meal_entry_week_1!K$11:K$496),"")</f>
        <v/>
      </c>
      <c r="F189" s="407" t="str">
        <f t="shared" si="6"/>
        <v/>
      </c>
    </row>
    <row r="190" spans="1:7" s="498" customFormat="1">
      <c r="A190" s="444"/>
      <c r="B190" s="491" t="s">
        <v>3085</v>
      </c>
      <c r="C190" s="491" t="s">
        <v>3447</v>
      </c>
      <c r="D190" s="421" t="str">
        <f>_xlfn.IFNA(IF(VLOOKUP($C190,Ingredient_prices!$E:$F,2,FALSE)="Партија 2","Lot 2","Lot 1"),"")</f>
        <v/>
      </c>
      <c r="E190" s="407" t="str">
        <f>IF(SUMIF(Meal_entry_week_1!H$11:H$496,"Yogurt 0.9% fat (at least 1 l)",Meal_entry_week_1!K$11:K$496)&gt;0,SUMIF(Meal_entry_week_1!H$11:H$496,"Yogurt 0.9% fat (at least 1 l)",Meal_entry_week_1!K$11:K$496),"")</f>
        <v/>
      </c>
      <c r="F190" s="407" t="str">
        <f t="shared" si="6"/>
        <v/>
      </c>
      <c r="G190" s="444"/>
    </row>
    <row r="191" spans="1:7">
      <c r="B191" s="491" t="s">
        <v>3085</v>
      </c>
      <c r="C191" s="491" t="s">
        <v>3448</v>
      </c>
      <c r="D191" s="421" t="str">
        <f>_xlfn.IFNA(IF(VLOOKUP($C191,Ingredient_prices!$E:$F,2,FALSE)="Партија 2","Lot 2","Lot 1"),"")</f>
        <v/>
      </c>
      <c r="E191" s="407" t="str">
        <f>IF(SUMIF(Meal_entry_week_1!H$11:H$496,"Yogurt 0.9% fat (less than 1 l)",Meal_entry_week_1!K$11:K$496)&gt;0,SUMIF(Meal_entry_week_1!H$11:H$496,"Yogurt 0.9% fat (less than 1 l)",Meal_entry_week_1!K$11:K$496),"")</f>
        <v/>
      </c>
      <c r="F191" s="407" t="str">
        <f t="shared" si="6"/>
        <v/>
      </c>
    </row>
    <row r="192" spans="1:7" s="491" customFormat="1">
      <c r="A192" s="444"/>
      <c r="B192" s="491" t="s">
        <v>3085</v>
      </c>
      <c r="C192" s="491" t="s">
        <v>3449</v>
      </c>
      <c r="D192" s="421" t="str">
        <f>_xlfn.IFNA(IF(VLOOKUP($C192,Ingredient_prices!$E:$F,2,FALSE)="Партија 2","Lot 2","Lot 1"),"")</f>
        <v/>
      </c>
      <c r="E192" s="407" t="str">
        <f>IF(SUMIF(Meal_entry_week_1!H$11:H$496,"Yogurt 2.8% fat (at least 1 l)",Meal_entry_week_1!K$11:K$496)&gt;0,SUMIF(Meal_entry_week_1!H$11:H$496,"Yogurt 2.8% fat (at least 1 l)",Meal_entry_week_1!K$11:K$496),"")</f>
        <v/>
      </c>
      <c r="F192" s="407" t="str">
        <f t="shared" si="6"/>
        <v/>
      </c>
      <c r="G192" s="1126"/>
    </row>
    <row r="193" spans="1:7" s="498" customFormat="1">
      <c r="A193" s="444"/>
      <c r="B193" s="491" t="s">
        <v>3085</v>
      </c>
      <c r="C193" s="491" t="s">
        <v>3450</v>
      </c>
      <c r="D193" s="421" t="str">
        <f>_xlfn.IFNA(IF(VLOOKUP($C193,Ingredient_prices!$E:$F,2,FALSE)="Партија 2","Lot 2","Lot 1"),"")</f>
        <v>Lot 2</v>
      </c>
      <c r="E193" s="407" t="str">
        <f>IF(SUMIF(Meal_entry_week_1!H$11:H$496,"Yogurt 2.8% fat (less than 1 l)",Meal_entry_week_1!K$11:K$496)&gt;0,SUMIF(Meal_entry_week_1!H$11:H$496,"Yogurt 2.8% fat (less than 1 l)",Meal_entry_week_1!K$11:K$496),"")</f>
        <v/>
      </c>
      <c r="F193" s="407" t="str">
        <f t="shared" si="6"/>
        <v/>
      </c>
      <c r="G193" s="444"/>
    </row>
    <row r="194" spans="1:7">
      <c r="B194" s="491" t="s">
        <v>3085</v>
      </c>
      <c r="C194" s="491" t="s">
        <v>3451</v>
      </c>
      <c r="D194" s="421" t="str">
        <f>_xlfn.IFNA(IF(VLOOKUP($C194,Ingredient_prices!$E:$F,2,FALSE)="Партија 2","Lot 2","Lot 1"),"")</f>
        <v>Lot 2</v>
      </c>
      <c r="E194" s="407">
        <f>IF(SUMIF(Meal_entry_week_1!H$11:H$496,"Yogurt 3.2% fat (at least 1 l)",Meal_entry_week_1!K$11:K$496)&gt;0,SUMIF(Meal_entry_week_1!H$11:H$496,"Yogurt 3.2% fat (at least 1 l)",Meal_entry_week_1!K$11:K$496),"")</f>
        <v>34.760000000000005</v>
      </c>
      <c r="F194" s="407">
        <f t="shared" si="6"/>
        <v>34.760000000000005</v>
      </c>
    </row>
    <row r="195" spans="1:7">
      <c r="B195" s="491" t="s">
        <v>3085</v>
      </c>
      <c r="C195" s="491" t="s">
        <v>3452</v>
      </c>
      <c r="D195" s="421" t="str">
        <f>_xlfn.IFNA(IF(VLOOKUP($C195,Ingredient_prices!$E:$F,2,FALSE)="Партија 2","Lot 2","Lot 1"),"")</f>
        <v/>
      </c>
      <c r="E195" s="407" t="str">
        <f>IF(SUMIF(Meal_entry_week_1!H$11:H$496,"Yogurt 3.2% fat (less than 1 l)",Meal_entry_week_1!K$11:K$496)&gt;0,SUMIF(Meal_entry_week_1!H$11:H$496,"Yogurt 3.2% fat (less than 1 l)",Meal_entry_week_1!K$11:K$496),"")</f>
        <v/>
      </c>
      <c r="F195" s="407" t="str">
        <f t="shared" si="6"/>
        <v/>
      </c>
    </row>
    <row r="196" spans="1:7">
      <c r="B196" s="492" t="s">
        <v>3085</v>
      </c>
      <c r="C196" s="492" t="s">
        <v>3211</v>
      </c>
      <c r="D196" s="421" t="str">
        <f>_xlfn.IFNA(IF(VLOOKUP($C196,Ingredient_prices!$E:$F,2,FALSE)="Партија 2","Lot 2","Lot 1"),"")</f>
        <v/>
      </c>
      <c r="E196" s="407" t="str">
        <f>IF(SUMIF(Meal_entry_week_1!H$11:H$496,"Yogurt Greek",Meal_entry_week_1!K$11:K$496)&gt;0,SUMIF(Meal_entry_week_1!H$11:H$496,"Yogurt Greek",Meal_entry_week_1!K$11:K$496),"")</f>
        <v/>
      </c>
      <c r="F196" s="407" t="str">
        <f t="shared" si="6"/>
        <v/>
      </c>
    </row>
    <row r="197" spans="1:7">
      <c r="B197" s="494" t="s">
        <v>3075</v>
      </c>
      <c r="C197" s="494" t="s">
        <v>3237</v>
      </c>
      <c r="D197" s="421" t="str">
        <f>_xlfn.IFNA(IF(VLOOKUP($C197,Ingredient_prices!$E:$F,2,FALSE)="Партија 2","Lot 2","Lot 1"),"")</f>
        <v>Lot 2</v>
      </c>
      <c r="E197" s="407" t="str">
        <f>IF(SUMIF(Meal_entry_week_1!H$11:H$496,"Butter, unsalted",Meal_entry_week_1!K$11:K$496)&gt;0,SUMIF(Meal_entry_week_1!H$11:H$496,"Butter, unsalted",Meal_entry_week_1!K$11:K$496),"")</f>
        <v/>
      </c>
      <c r="F197" s="407" t="str">
        <f t="shared" si="6"/>
        <v/>
      </c>
    </row>
    <row r="198" spans="1:7">
      <c r="B198" s="491" t="s">
        <v>3075</v>
      </c>
      <c r="C198" s="491" t="s">
        <v>3243</v>
      </c>
      <c r="D198" s="421" t="str">
        <f>_xlfn.IFNA(IF(VLOOKUP($C198,Ingredient_prices!$E:$F,2,FALSE)="Партија 2","Lot 2","Lot 1"),"")</f>
        <v/>
      </c>
      <c r="E198" s="407" t="str">
        <f>IF(SUMIF(Meal_entry_week_1!H$11:H$496,"Margarine from milk (at least 500g)",Meal_entry_week_1!K$11:K$496)&gt;0,SUMIF(Meal_entry_week_1!H$11:H$496,"Margarine from milk (at least 500g)",Meal_entry_week_1!K$11:K$496),"")</f>
        <v/>
      </c>
      <c r="F198" s="407" t="str">
        <f t="shared" si="6"/>
        <v/>
      </c>
    </row>
    <row r="199" spans="1:7">
      <c r="B199" s="491" t="s">
        <v>3075</v>
      </c>
      <c r="C199" s="491" t="s">
        <v>3242</v>
      </c>
      <c r="D199" s="421" t="str">
        <f>_xlfn.IFNA(IF(VLOOKUP($C199,Ingredient_prices!$E:$F,2,FALSE)="Партија 2","Lot 2","Lot 1"),"")</f>
        <v>Lot 2</v>
      </c>
      <c r="E199" s="407">
        <f>IF(SUMIF(Meal_entry_week_1!H$11:H$496,"Margarine from milk (less than 500g)",Meal_entry_week_1!K$11:K$496)&gt;0,SUMIF(Meal_entry_week_1!H$11:H$496,"Margarine from milk (less than 500g)",Meal_entry_week_1!K$11:K$496),"")</f>
        <v>1.2100000000000002</v>
      </c>
      <c r="F199" s="407">
        <f t="shared" si="6"/>
        <v>1.2100000000000002</v>
      </c>
    </row>
    <row r="200" spans="1:7">
      <c r="B200" s="491" t="s">
        <v>3075</v>
      </c>
      <c r="C200" s="491" t="s">
        <v>3244</v>
      </c>
      <c r="D200" s="421" t="str">
        <f>_xlfn.IFNA(IF(VLOOKUP($C200,Ingredient_prices!$E:$F,2,FALSE)="Партија 2","Lot 2","Lot 1"),"")</f>
        <v/>
      </c>
      <c r="E200" s="407" t="str">
        <f>IF(SUMIF(Meal_entry_week_1!H$11:H$496,"Margarine table (at least 500g)",Meal_entry_week_1!K$11:K$496)&gt;0,SUMIF(Meal_entry_week_1!H$11:H$496,"Margarine table (at least 500g)",Meal_entry_week_1!K$11:K$496),"")</f>
        <v/>
      </c>
      <c r="F200" s="407" t="str">
        <f t="shared" si="6"/>
        <v/>
      </c>
    </row>
    <row r="201" spans="1:7">
      <c r="B201" s="491" t="s">
        <v>3075</v>
      </c>
      <c r="C201" s="491" t="s">
        <v>3236</v>
      </c>
      <c r="D201" s="421" t="str">
        <f>_xlfn.IFNA(IF(VLOOKUP($C201,Ingredient_prices!$E:$F,2,FALSE)="Партија 2","Lot 2","Lot 1"),"")</f>
        <v/>
      </c>
      <c r="E201" s="407" t="str">
        <f>IF(SUMIF(Meal_entry_week_1!H$11:H$496,"Margarine table (less than 500g)",Meal_entry_week_1!K$11:K$496)&gt;0,SUMIF(Meal_entry_week_1!H$11:H$496,"Margarine table (less than 500g)",Meal_entry_week_1!K$11:K$496),"")</f>
        <v/>
      </c>
      <c r="F201" s="407" t="str">
        <f t="shared" si="6"/>
        <v/>
      </c>
    </row>
    <row r="202" spans="1:7">
      <c r="B202" s="491" t="s">
        <v>3075</v>
      </c>
      <c r="C202" s="491" t="s">
        <v>3241</v>
      </c>
      <c r="D202" s="421" t="str">
        <f>_xlfn.IFNA(IF(VLOOKUP($C202,Ingredient_prices!$E:$F,2,FALSE)="Партија 2","Lot 2","Lot 1"),"")</f>
        <v/>
      </c>
      <c r="E202" s="407" t="str">
        <f>IF(SUMIF(Meal_entry_week_1!H$11:H$496,"Margarine, vegetable oil (at least 500g)",Meal_entry_week_1!K$11:K$496)&gt;0,SUMIF(Meal_entry_week_1!H$11:H$496,"Margarine, vegetable oil (at least 500g)",Meal_entry_week_1!K$11:K$496),"")</f>
        <v/>
      </c>
      <c r="F202" s="407" t="str">
        <f t="shared" si="6"/>
        <v/>
      </c>
    </row>
    <row r="203" spans="1:7">
      <c r="B203" s="491" t="s">
        <v>3075</v>
      </c>
      <c r="C203" s="491" t="s">
        <v>3240</v>
      </c>
      <c r="D203" s="421" t="str">
        <f>_xlfn.IFNA(IF(VLOOKUP($C203,Ingredient_prices!$E:$F,2,FALSE)="Партија 2","Lot 2","Lot 1"),"")</f>
        <v/>
      </c>
      <c r="E203" s="407" t="str">
        <f>IF(SUMIF(Meal_entry_week_1!H$11:H$496,"Margarine, vegetable oil (less than 500g)",Meal_entry_week_1!K$11:K$496)&gt;0,SUMIF(Meal_entry_week_1!H$11:H$496,"Margarine, vegetable oil (less than 500g)",Meal_entry_week_1!K$11:K$496),"")</f>
        <v/>
      </c>
      <c r="F203" s="407" t="str">
        <f t="shared" si="6"/>
        <v/>
      </c>
    </row>
    <row r="204" spans="1:7">
      <c r="B204" s="491" t="s">
        <v>3075</v>
      </c>
      <c r="C204" s="491" t="s">
        <v>1880</v>
      </c>
      <c r="D204" s="421" t="str">
        <f>_xlfn.IFNA(IF(VLOOKUP($C204,Ingredient_prices!$E:$F,2,FALSE)="Партија 2","Lot 2","Lot 1"),"")</f>
        <v/>
      </c>
      <c r="E204" s="407" t="str">
        <f>IF(SUMIF(Meal_entry_week_1!H$11:H$496,"Olive oil",Meal_entry_week_1!K$11:K$496)&gt;0,SUMIF(Meal_entry_week_1!H$11:H$496,"Olive oil",Meal_entry_week_1!K$11:K$496),"")</f>
        <v/>
      </c>
      <c r="F204" s="407" t="str">
        <f t="shared" si="6"/>
        <v/>
      </c>
    </row>
    <row r="205" spans="1:7">
      <c r="B205" s="491" t="s">
        <v>3075</v>
      </c>
      <c r="C205" s="491" t="s">
        <v>3238</v>
      </c>
      <c r="D205" s="421" t="str">
        <f>_xlfn.IFNA(IF(VLOOKUP($C205,Ingredient_prices!$E:$F,2,FALSE)="Партија 2","Lot 2","Lot 1"),"")</f>
        <v>Lot 2</v>
      </c>
      <c r="E205" s="407" t="str">
        <f>IF(SUMIF(Meal_entry_week_1!H$11:H$496,"Pork fat",Meal_entry_week_1!K$11:K$496)&gt;0,SUMIF(Meal_entry_week_1!H$11:H$496,"Pork fat",Meal_entry_week_1!K$11:K$496),"")</f>
        <v/>
      </c>
      <c r="F205" s="407" t="str">
        <f t="shared" si="6"/>
        <v/>
      </c>
    </row>
    <row r="206" spans="1:7">
      <c r="B206" s="492" t="s">
        <v>3075</v>
      </c>
      <c r="C206" s="492" t="s">
        <v>3239</v>
      </c>
      <c r="D206" s="421" t="str">
        <f>_xlfn.IFNA(IF(VLOOKUP($C206,Ingredient_prices!$E:$F,2,FALSE)="Партија 2","Lot 2","Lot 1"),"")</f>
        <v>Lot 2</v>
      </c>
      <c r="E206" s="407">
        <f>IF(SUMIF(Meal_entry_week_1!H$11:H$496,"Sunflower oil",Meal_entry_week_1!K$11:K$496)&gt;0,SUMIF(Meal_entry_week_1!H$11:H$496,"Sunflower oil",Meal_entry_week_1!K$11:K$496),"")</f>
        <v>8.69</v>
      </c>
      <c r="F206" s="407">
        <f t="shared" ref="F206" si="7">IF(E206="","",E206/1)</f>
        <v>8.69</v>
      </c>
    </row>
    <row r="207" spans="1:7">
      <c r="B207" s="494" t="s">
        <v>3141</v>
      </c>
      <c r="C207" s="494" t="s">
        <v>3246</v>
      </c>
      <c r="D207" s="421" t="str">
        <f>_xlfn.IFNA(IF(VLOOKUP($C207,Ingredient_prices!$E:$F,2,FALSE)="Партија 2","Lot 2","Lot 1"),"")</f>
        <v>Lot 2</v>
      </c>
      <c r="E207" s="407" t="str">
        <f>IF(SUMIF(Meal_entry_week_1!H$11:H$496,"Barley",Meal_entry_week_1!K$11:K$496)&gt;0,SUMIF(Meal_entry_week_1!H$11:H$496,"Barley",Meal_entry_week_1!K$11:K$496),"")</f>
        <v/>
      </c>
      <c r="F207" s="407" t="str">
        <f t="shared" si="6"/>
        <v/>
      </c>
    </row>
    <row r="208" spans="1:7">
      <c r="B208" s="491" t="s">
        <v>3141</v>
      </c>
      <c r="C208" s="491" t="s">
        <v>3271</v>
      </c>
      <c r="D208" s="421" t="str">
        <f>_xlfn.IFNA(IF(VLOOKUP($C208,Ingredient_prices!$E:$F,2,FALSE)="Партија 2","Lot 2","Lot 1"),"")</f>
        <v>Lot 2</v>
      </c>
      <c r="E208" s="407" t="str">
        <f>IF(SUMIF(Meal_entry_week_1!H$11:H$496,"Breadcrumbs",Meal_entry_week_1!K$11:K$496)&gt;0,SUMIF(Meal_entry_week_1!H$11:H$496,"Breadcrumbs",Meal_entry_week_1!K$11:K$496),"")</f>
        <v/>
      </c>
      <c r="F208" s="407" t="str">
        <f t="shared" si="6"/>
        <v/>
      </c>
    </row>
    <row r="209" spans="1:7">
      <c r="B209" s="491" t="s">
        <v>3141</v>
      </c>
      <c r="C209" s="491" t="s">
        <v>3262</v>
      </c>
      <c r="D209" s="421" t="str">
        <f>_xlfn.IFNA(IF(VLOOKUP($C209,Ingredient_prices!$E:$F,2,FALSE)="Партија 2","Lot 2","Lot 1"),"")</f>
        <v/>
      </c>
      <c r="E209" s="407" t="str">
        <f>IF(SUMIF(Meal_entry_week_1!H$11:H$496,"Buckwheat flour/pastry",Meal_entry_week_1!K$11:K$496)&gt;0,SUMIF(Meal_entry_week_1!H$11:H$496,"Buckwheat flour/pastry",Meal_entry_week_1!K$11:K$496),"")</f>
        <v/>
      </c>
      <c r="F209" s="407" t="str">
        <f t="shared" ref="F209" si="8">IF(E209="","",E209/1)</f>
        <v/>
      </c>
    </row>
    <row r="210" spans="1:7">
      <c r="B210" s="491" t="s">
        <v>3141</v>
      </c>
      <c r="C210" s="491" t="s">
        <v>3259</v>
      </c>
      <c r="D210" s="421" t="str">
        <f>_xlfn.IFNA(IF(VLOOKUP($C210,Ingredient_prices!$E:$F,2,FALSE)="Партија 2","Lot 2","Lot 1"),"")</f>
        <v/>
      </c>
      <c r="E210" s="407" t="str">
        <f>IF(SUMIF(Meal_entry_week_1!H$11:H$496,"Cereal (frozen) 5% walnuts",Meal_entry_week_1!K$11:K$496)&gt;0,SUMIF(Meal_entry_week_1!H$11:H$496,"Cereal (frozen) 5% walnuts",Meal_entry_week_1!K$11:K$496),"")</f>
        <v/>
      </c>
      <c r="F210" s="407" t="str">
        <f t="shared" si="6"/>
        <v/>
      </c>
    </row>
    <row r="211" spans="1:7">
      <c r="B211" s="491" t="s">
        <v>3141</v>
      </c>
      <c r="C211" s="491" t="s">
        <v>3269</v>
      </c>
      <c r="D211" s="421" t="str">
        <f>_xlfn.IFNA(IF(VLOOKUP($C211,Ingredient_prices!$E:$F,2,FALSE)="Партија 2","Lot 2","Lot 1"),"")</f>
        <v>Lot 2</v>
      </c>
      <c r="E211" s="407" t="str">
        <f>IF(SUMIF(Meal_entry_week_1!H$11:H$496,"Chickpeas",Meal_entry_week_1!K$11:K$496)&gt;0,SUMIF(Meal_entry_week_1!H$11:H$496,"Chickpeas",Meal_entry_week_1!K$11:K$496),"")</f>
        <v/>
      </c>
      <c r="F211" s="407" t="str">
        <f t="shared" si="6"/>
        <v/>
      </c>
    </row>
    <row r="212" spans="1:7" s="749" customFormat="1">
      <c r="A212" s="444"/>
      <c r="B212" s="491" t="s">
        <v>3141</v>
      </c>
      <c r="C212" s="491" t="s">
        <v>3263</v>
      </c>
      <c r="D212" s="421" t="str">
        <f>_xlfn.IFNA(IF(VLOOKUP($C212,Ingredient_prices!$E:$F,2,FALSE)="Партија 2","Lot 2","Lot 1"),"")</f>
        <v/>
      </c>
      <c r="E212" s="407" t="str">
        <f>IF(SUMIF(Meal_entry_week_1!H$11:H$496,"Coconut flour (sweetened)",Meal_entry_week_1!K$11:K$496)&gt;0,SUMIF(Meal_entry_week_1!H$11:H$496,"Coconut flour (sweetened)",Meal_entry_week_1!K$11:K$496),"")</f>
        <v/>
      </c>
      <c r="F212" s="407" t="str">
        <f t="shared" si="6"/>
        <v/>
      </c>
      <c r="G212" s="444"/>
    </row>
    <row r="213" spans="1:7">
      <c r="B213" s="491" t="s">
        <v>3141</v>
      </c>
      <c r="C213" s="491" t="s">
        <v>3248</v>
      </c>
      <c r="D213" s="421" t="str">
        <f>_xlfn.IFNA(IF(VLOOKUP($C213,Ingredient_prices!$E:$F,2,FALSE)="Партија 2","Lot 2","Lot 1"),"")</f>
        <v>Lot 2</v>
      </c>
      <c r="E213" s="407" t="str">
        <f>IF(SUMIF(Meal_entry_week_1!H$11:H$496,"Corn flour, whole",Meal_entry_week_1!K$11:K$496)&gt;0,SUMIF(Meal_entry_week_1!H$11:H$496,"Corn flour, whole",Meal_entry_week_1!K$11:K$496),"")</f>
        <v/>
      </c>
      <c r="F213" s="407" t="str">
        <f t="shared" si="6"/>
        <v/>
      </c>
    </row>
    <row r="214" spans="1:7">
      <c r="B214" s="491" t="s">
        <v>3141</v>
      </c>
      <c r="C214" s="491" t="s">
        <v>3268</v>
      </c>
      <c r="D214" s="421" t="str">
        <f>_xlfn.IFNA(IF(VLOOKUP($C214,Ingredient_prices!$E:$F,2,FALSE)="Партија 2","Lot 2","Lot 1"),"")</f>
        <v>Lot 2</v>
      </c>
      <c r="E214" s="407" t="str">
        <f>IF(SUMIF(Meal_entry_week_1!H$11:H$496,"Corn semolina",Meal_entry_week_1!K$11:K$496)&gt;0,SUMIF(Meal_entry_week_1!H$11:H$496,"Corn semolina",Meal_entry_week_1!K$11:K$496),"")</f>
        <v/>
      </c>
      <c r="F214" s="407" t="str">
        <f t="shared" si="6"/>
        <v/>
      </c>
    </row>
    <row r="215" spans="1:7" s="749" customFormat="1">
      <c r="A215" s="444"/>
      <c r="B215" s="491" t="s">
        <v>3141</v>
      </c>
      <c r="C215" s="491" t="s">
        <v>3247</v>
      </c>
      <c r="D215" s="421" t="str">
        <f>_xlfn.IFNA(IF(VLOOKUP($C215,Ingredient_prices!$E:$F,2,FALSE)="Партија 2","Lot 2","Lot 1"),"")</f>
        <v/>
      </c>
      <c r="E215" s="407" t="str">
        <f>IF(SUMIF(Meal_entry_week_1!H$11:H$496,"Cornflakes",Meal_entry_week_1!K$11:K$496)&gt;0,SUMIF(Meal_entry_week_1!H$11:H$496,"Cornflakes",Meal_entry_week_1!K$11:K$496),"")</f>
        <v/>
      </c>
      <c r="F215" s="407" t="str">
        <f t="shared" si="6"/>
        <v/>
      </c>
      <c r="G215" s="444"/>
    </row>
    <row r="216" spans="1:7">
      <c r="B216" s="491" t="s">
        <v>3141</v>
      </c>
      <c r="C216" s="491" t="s">
        <v>3264</v>
      </c>
      <c r="D216" s="421" t="str">
        <f>_xlfn.IFNA(IF(VLOOKUP($C216,Ingredient_prices!$E:$F,2,FALSE)="Партија 2","Lot 2","Lot 1"),"")</f>
        <v>Lot 2</v>
      </c>
      <c r="E216" s="407" t="str">
        <f>IF(SUMIF(Meal_entry_week_1!H$11:H$496,"Lasagna sheets",Meal_entry_week_1!K$11:K$496)&gt;0,SUMIF(Meal_entry_week_1!H$11:H$496,"Lasagna sheets",Meal_entry_week_1!K$11:K$496),"")</f>
        <v/>
      </c>
      <c r="F216" s="407" t="str">
        <f t="shared" si="6"/>
        <v/>
      </c>
    </row>
    <row r="217" spans="1:7">
      <c r="B217" s="491" t="s">
        <v>3141</v>
      </c>
      <c r="C217" s="491" t="s">
        <v>3506</v>
      </c>
      <c r="D217" s="421" t="str">
        <f>_xlfn.IFNA(IF(VLOOKUP($C217,Ingredient_prices!$E:$F,2,FALSE)="Партија 2","Lot 2","Lot 1"),"")</f>
        <v/>
      </c>
      <c r="E217" s="407" t="str">
        <f>IF(SUMIF(Meal_entry_week_1!H$11:H$496,"Macaroni with egg",Meal_entry_week_1!K$11:K$496)&gt;0,SUMIF(Meal_entry_week_1!H$11:H$496,"Macaroni with egg",Meal_entry_week_1!K$11:K$496),"")</f>
        <v/>
      </c>
      <c r="F217" s="407" t="str">
        <f t="shared" si="6"/>
        <v/>
      </c>
    </row>
    <row r="218" spans="1:7">
      <c r="B218" s="491" t="s">
        <v>3141</v>
      </c>
      <c r="C218" s="491" t="s">
        <v>3272</v>
      </c>
      <c r="D218" s="421" t="str">
        <f>_xlfn.IFNA(IF(VLOOKUP($C218,Ingredient_prices!$E:$F,2,FALSE)="Партија 2","Lot 2","Lot 1"),"")</f>
        <v/>
      </c>
      <c r="E218" s="407" t="str">
        <f>IF(SUMIF(Meal_entry_week_1!H$11:H$496,"Millet seeds/flour",Meal_entry_week_1!K$11:K$496)&gt;0,SUMIF(Meal_entry_week_1!H$11:H$496,"Millet seeds/flour",Meal_entry_week_1!K$11:K$496),"")</f>
        <v/>
      </c>
      <c r="F218" s="407" t="str">
        <f t="shared" si="6"/>
        <v/>
      </c>
    </row>
    <row r="219" spans="1:7">
      <c r="B219" s="491" t="s">
        <v>3141</v>
      </c>
      <c r="C219" s="491" t="s">
        <v>3250</v>
      </c>
      <c r="D219" s="421" t="str">
        <f>_xlfn.IFNA(IF(VLOOKUP($C219,Ingredient_prices!$E:$F,2,FALSE)="Партија 2","Lot 2","Lot 1"),"")</f>
        <v>Lot 2</v>
      </c>
      <c r="E219" s="407" t="str">
        <f>IF(SUMIF(Meal_entry_week_1!H$11:H$496,"Musli (average)",Meal_entry_week_1!K$11:K$496)&gt;0,SUMIF(Meal_entry_week_1!H$11:H$496,"Musli (average)",Meal_entry_week_1!K$11:K$496),"")</f>
        <v/>
      </c>
      <c r="F219" s="407" t="str">
        <f t="shared" si="6"/>
        <v/>
      </c>
    </row>
    <row r="220" spans="1:7">
      <c r="B220" s="491" t="s">
        <v>3141</v>
      </c>
      <c r="C220" s="491" t="s">
        <v>3254</v>
      </c>
      <c r="D220" s="421" t="str">
        <f>_xlfn.IFNA(IF(VLOOKUP($C220,Ingredient_prices!$E:$F,2,FALSE)="Партија 2","Lot 2","Lot 1"),"")</f>
        <v>Lot 2</v>
      </c>
      <c r="E220" s="407" t="str">
        <f>IF(SUMIF(Meal_entry_week_1!H$11:H$496,"Noodles lace",Meal_entry_week_1!K$11:K$496)&gt;0,SUMIF(Meal_entry_week_1!H$11:H$496,"Noodles lace",Meal_entry_week_1!K$11:K$496),"")</f>
        <v/>
      </c>
      <c r="F220" s="407" t="str">
        <f t="shared" si="6"/>
        <v/>
      </c>
    </row>
    <row r="221" spans="1:7">
      <c r="B221" s="491" t="s">
        <v>3141</v>
      </c>
      <c r="C221" s="491" t="s">
        <v>3503</v>
      </c>
      <c r="D221" s="421" t="str">
        <f>_xlfn.IFNA(IF(VLOOKUP($C221,Ingredient_prices!$E:$F,2,FALSE)="Партија 2","Lot 2","Lot 1"),"")</f>
        <v>Lot 2</v>
      </c>
      <c r="E221" s="407">
        <f>IF(SUMIF(Meal_entry_week_1!H$11:H$496,"Noodles with egg",Meal_entry_week_1!K$11:K$496)&gt;0,SUMIF(Meal_entry_week_1!H$11:H$496,"Noodles with egg",Meal_entry_week_1!K$11:K$496),"")</f>
        <v>1.1000000000000001</v>
      </c>
      <c r="F221" s="407">
        <f t="shared" si="6"/>
        <v>1.1000000000000001</v>
      </c>
    </row>
    <row r="222" spans="1:7">
      <c r="B222" s="491" t="s">
        <v>3141</v>
      </c>
      <c r="C222" s="491" t="s">
        <v>3504</v>
      </c>
      <c r="D222" s="421" t="str">
        <f>_xlfn.IFNA(IF(VLOOKUP($C222,Ingredient_prices!$E:$F,2,FALSE)="Партија 2","Lot 2","Lot 1"),"")</f>
        <v/>
      </c>
      <c r="E222" s="407" t="str">
        <f>IF(SUMIF(Meal_entry_week_1!H$11:H$496,"Noodles without egg",Meal_entry_week_1!K$11:K$496)&gt;0,SUMIF(Meal_entry_week_1!H$11:H$496,"Noodles without egg",Meal_entry_week_1!K$11:K$496),"")</f>
        <v/>
      </c>
      <c r="F222" s="407" t="str">
        <f t="shared" si="6"/>
        <v/>
      </c>
    </row>
    <row r="223" spans="1:7">
      <c r="B223" s="491" t="s">
        <v>3141</v>
      </c>
      <c r="C223" s="491" t="s">
        <v>3251</v>
      </c>
      <c r="D223" s="421" t="str">
        <f>_xlfn.IFNA(IF(VLOOKUP($C223,Ingredient_prices!$E:$F,2,FALSE)="Партија 2","Lot 2","Lot 1"),"")</f>
        <v>Lot 2</v>
      </c>
      <c r="E223" s="407" t="str">
        <f>IF(SUMIF(Meal_entry_week_1!H$11:H$496,"Oats",Meal_entry_week_1!K$11:K$496)&gt;0,SUMIF(Meal_entry_week_1!H$11:H$496,"Oats",Meal_entry_week_1!K$11:K$496),"")</f>
        <v/>
      </c>
      <c r="F223" s="407" t="str">
        <f t="shared" si="6"/>
        <v/>
      </c>
    </row>
    <row r="224" spans="1:7">
      <c r="B224" s="491" t="s">
        <v>3141</v>
      </c>
      <c r="C224" s="491" t="s">
        <v>3276</v>
      </c>
      <c r="D224" s="421" t="str">
        <f>_xlfn.IFNA(IF(VLOOKUP($C224,Ingredient_prices!$E:$F,2,FALSE)="Партија 2","Lot 2","Lot 1"),"")</f>
        <v>Lot 2</v>
      </c>
      <c r="E224" s="407">
        <f>IF(SUMIF(Meal_entry_week_1!H$11:H$496,"Pasta fusilli",Meal_entry_week_1!K$11:K$496)&gt;0,SUMIF(Meal_entry_week_1!H$11:H$496,"Pasta fusilli",Meal_entry_week_1!K$11:K$496),"")</f>
        <v>5.5000000000000009</v>
      </c>
      <c r="F224" s="407">
        <f t="shared" si="6"/>
        <v>5.5000000000000009</v>
      </c>
    </row>
    <row r="225" spans="1:7">
      <c r="B225" s="491" t="s">
        <v>3141</v>
      </c>
      <c r="C225" s="491" t="s">
        <v>3256</v>
      </c>
      <c r="D225" s="421" t="str">
        <f>_xlfn.IFNA(IF(VLOOKUP($C225,Ingredient_prices!$E:$F,2,FALSE)="Партија 2","Lot 2","Lot 1"),"")</f>
        <v>Lot 2</v>
      </c>
      <c r="E225" s="407" t="str">
        <f>IF(SUMIF(Meal_entry_week_1!H$11:H$496,"Pasta macaroni",Meal_entry_week_1!K$11:K$496)&gt;0,SUMIF(Meal_entry_week_1!H$11:H$496,"Pasta macaroni",Meal_entry_week_1!K$11:K$496),"")</f>
        <v/>
      </c>
      <c r="F225" s="407" t="str">
        <f t="shared" si="6"/>
        <v/>
      </c>
    </row>
    <row r="226" spans="1:7">
      <c r="B226" s="491" t="s">
        <v>3141</v>
      </c>
      <c r="C226" s="491" t="s">
        <v>3257</v>
      </c>
      <c r="D226" s="421" t="str">
        <f>_xlfn.IFNA(IF(VLOOKUP($C226,Ingredient_prices!$E:$F,2,FALSE)="Партија 2","Lot 2","Lot 1"),"")</f>
        <v>Lot 2</v>
      </c>
      <c r="E226" s="407" t="str">
        <f>IF(SUMIF(Meal_entry_week_1!H$11:H$496,"Pasta spaghetti",Meal_entry_week_1!K$11:K$496)&gt;0,SUMIF(Meal_entry_week_1!H$11:H$496,"Pasta spaghetti",Meal_entry_week_1!K$11:K$496),"")</f>
        <v/>
      </c>
      <c r="F226" s="407" t="str">
        <f t="shared" ref="F226" si="9">IF(E226="","",E226/1)</f>
        <v/>
      </c>
    </row>
    <row r="227" spans="1:7">
      <c r="B227" s="491" t="s">
        <v>3141</v>
      </c>
      <c r="C227" s="491" t="s">
        <v>3277</v>
      </c>
      <c r="D227" s="421" t="str">
        <f>_xlfn.IFNA(IF(VLOOKUP($C227,Ingredient_prices!$E:$F,2,FALSE)="Партија 2","Lot 2","Lot 1"),"")</f>
        <v/>
      </c>
      <c r="E227" s="407" t="str">
        <f>IF(SUMIF(Meal_entry_week_1!H$11:H$496,"Pasta spirals",Meal_entry_week_1!K$11:K$496)&gt;0,SUMIF(Meal_entry_week_1!H$11:H$496,"Pasta spirals",Meal_entry_week_1!K$11:K$496),"")</f>
        <v/>
      </c>
      <c r="F227" s="407" t="str">
        <f t="shared" si="6"/>
        <v/>
      </c>
    </row>
    <row r="228" spans="1:7">
      <c r="B228" s="491" t="s">
        <v>3141</v>
      </c>
      <c r="C228" s="491" t="s">
        <v>3258</v>
      </c>
      <c r="D228" s="421" t="str">
        <f>_xlfn.IFNA(IF(VLOOKUP($C228,Ingredient_prices!$E:$F,2,FALSE)="Партија 2","Lot 2","Lot 1"),"")</f>
        <v/>
      </c>
      <c r="E228" s="407" t="str">
        <f>IF(SUMIF(Meal_entry_week_1!H$11:H$496,"Pasta tarana",Meal_entry_week_1!K$11:K$496)&gt;0,SUMIF(Meal_entry_week_1!H$11:H$496,"Pasta tarana",Meal_entry_week_1!K$11:K$496),"")</f>
        <v/>
      </c>
      <c r="F228" s="407" t="str">
        <f t="shared" si="6"/>
        <v/>
      </c>
    </row>
    <row r="229" spans="1:7">
      <c r="B229" s="491" t="s">
        <v>3141</v>
      </c>
      <c r="C229" s="491" t="s">
        <v>3505</v>
      </c>
      <c r="D229" s="421" t="str">
        <f>_xlfn.IFNA(IF(VLOOKUP($C229,Ingredient_prices!$E:$F,2,FALSE)="Партија 2","Lot 2","Lot 1"),"")</f>
        <v/>
      </c>
      <c r="E229" s="407" t="str">
        <f>IF(SUMIF(Meal_entry_week_1!H$11:H$496,"Pasta without egg",Meal_entry_week_1!K$11:K$496)&gt;0,SUMIF(Meal_entry_week_1!H$11:H$496,"Pasta without egg",Meal_entry_week_1!K$11:K$496),"")</f>
        <v/>
      </c>
      <c r="F229" s="407" t="str">
        <f t="shared" si="6"/>
        <v/>
      </c>
    </row>
    <row r="230" spans="1:7">
      <c r="B230" s="491" t="s">
        <v>3141</v>
      </c>
      <c r="C230" s="491" t="s">
        <v>3265</v>
      </c>
      <c r="D230" s="421" t="str">
        <f>_xlfn.IFNA(IF(VLOOKUP($C230,Ingredient_prices!$E:$F,2,FALSE)="Партија 2","Lot 2","Lot 1"),"")</f>
        <v>Lot 1</v>
      </c>
      <c r="E230" s="407" t="str">
        <f>IF(SUMIF(Meal_entry_week_1!H$11:H$496,"Pie pastry",Meal_entry_week_1!K$11:K$496)&gt;0,SUMIF(Meal_entry_week_1!H$11:H$496,"Pie pastry",Meal_entry_week_1!K$11:K$496),"")</f>
        <v/>
      </c>
      <c r="F230" s="407" t="str">
        <f t="shared" si="6"/>
        <v/>
      </c>
    </row>
    <row r="231" spans="1:7">
      <c r="B231" s="491" t="s">
        <v>3141</v>
      </c>
      <c r="C231" s="491" t="s">
        <v>3266</v>
      </c>
      <c r="D231" s="421" t="str">
        <f>_xlfn.IFNA(IF(VLOOKUP($C231,Ingredient_prices!$E:$F,2,FALSE)="Партија 2","Lot 2","Lot 1"),"")</f>
        <v/>
      </c>
      <c r="E231" s="407" t="str">
        <f>IF(SUMIF(Meal_entry_week_1!H$11:H$496,"Pie pastry, wholemeal, fresh",Meal_entry_week_1!K$11:K$496)&gt;0,SUMIF(Meal_entry_week_1!H$11:H$496,"Pie pastry, wholemeal, fresh",Meal_entry_week_1!K$11:K$496),"")</f>
        <v/>
      </c>
      <c r="F231" s="407" t="str">
        <f t="shared" si="6"/>
        <v/>
      </c>
    </row>
    <row r="232" spans="1:7">
      <c r="B232" s="491" t="s">
        <v>3141</v>
      </c>
      <c r="C232" s="491" t="s">
        <v>3270</v>
      </c>
      <c r="D232" s="421" t="str">
        <f>_xlfn.IFNA(IF(VLOOKUP($C232,Ingredient_prices!$E:$F,2,FALSE)="Партија 2","Lot 2","Lot 1"),"")</f>
        <v/>
      </c>
      <c r="E232" s="407" t="str">
        <f>IF(SUMIF(Meal_entry_week_1!H$11:H$496,"Polenta",Meal_entry_week_1!K$11:K$496)&gt;0,SUMIF(Meal_entry_week_1!H$11:H$496,"Polenta",Meal_entry_week_1!K$11:K$496),"")</f>
        <v/>
      </c>
      <c r="F232" s="407" t="str">
        <f t="shared" si="6"/>
        <v/>
      </c>
    </row>
    <row r="233" spans="1:7" s="749" customFormat="1">
      <c r="A233" s="444"/>
      <c r="B233" s="491" t="s">
        <v>3141</v>
      </c>
      <c r="C233" s="491" t="s">
        <v>3267</v>
      </c>
      <c r="D233" s="421" t="str">
        <f>_xlfn.IFNA(IF(VLOOKUP($C233,Ingredient_prices!$E:$F,2,FALSE)="Партија 2","Lot 2","Lot 1"),"")</f>
        <v/>
      </c>
      <c r="E233" s="407" t="str">
        <f>IF(SUMIF(Meal_entry_week_1!H$11:H$496,"Popcorn",Meal_entry_week_1!K$11:K$496)&gt;0,SUMIF(Meal_entry_week_1!H$11:H$496,"Popcorn",Meal_entry_week_1!K$11:K$496),"")</f>
        <v/>
      </c>
      <c r="F233" s="407" t="str">
        <f t="shared" si="6"/>
        <v/>
      </c>
      <c r="G233" s="444"/>
    </row>
    <row r="234" spans="1:7">
      <c r="B234" s="491" t="s">
        <v>3141</v>
      </c>
      <c r="C234" s="491" t="s">
        <v>3249</v>
      </c>
      <c r="D234" s="421" t="str">
        <f>_xlfn.IFNA(IF(VLOOKUP($C234,Ingredient_prices!$E:$F,2,FALSE)="Партија 2","Lot 2","Lot 1"),"")</f>
        <v>Lot 2</v>
      </c>
      <c r="E234" s="407" t="str">
        <f>IF(SUMIF(Meal_entry_week_1!H$11:H$496,"Poppy seeds",Meal_entry_week_1!K$11:K$496)&gt;0,SUMIF(Meal_entry_week_1!H$11:H$496,"Poppy seeds",Meal_entry_week_1!K$11:K$496),"")</f>
        <v/>
      </c>
      <c r="F234" s="407" t="str">
        <f t="shared" si="6"/>
        <v/>
      </c>
    </row>
    <row r="235" spans="1:7">
      <c r="B235" s="491" t="s">
        <v>3141</v>
      </c>
      <c r="C235" s="491" t="s">
        <v>3278</v>
      </c>
      <c r="D235" s="421" t="str">
        <f>_xlfn.IFNA(IF(VLOOKUP($C235,Ingredient_prices!$E:$F,2,FALSE)="Партија 2","Lot 2","Lot 1"),"")</f>
        <v/>
      </c>
      <c r="E235" s="407" t="str">
        <f>IF(SUMIF(Meal_entry_week_1!H$11:H$496,"Puff pastry",Meal_entry_week_1!K$11:K$496)&gt;0,SUMIF(Meal_entry_week_1!H$11:H$496,"Puff pastry",Meal_entry_week_1!K$11:K$496),"")</f>
        <v/>
      </c>
      <c r="F235" s="407" t="str">
        <f>IF(E235="","",E235/1)</f>
        <v/>
      </c>
    </row>
    <row r="236" spans="1:7">
      <c r="B236" s="491" t="s">
        <v>3141</v>
      </c>
      <c r="C236" s="491" t="s">
        <v>1924</v>
      </c>
      <c r="D236" s="421" t="str">
        <f>_xlfn.IFNA(IF(VLOOKUP($C236,Ingredient_prices!$E:$F,2,FALSE)="Партија 2","Lot 2","Lot 1"),"")</f>
        <v/>
      </c>
      <c r="E236" s="407" t="str">
        <f>IF(SUMIF(Meal_entry_week_1!H$11:H$496,"Puff pastry, frozen",Meal_entry_week_1!K$11:K$496)&gt;0,SUMIF(Meal_entry_week_1!H$11:H$496,"Puff pastry, frozen",Meal_entry_week_1!K$11:K$496),"")</f>
        <v/>
      </c>
      <c r="F236" s="407" t="str">
        <f t="shared" si="6"/>
        <v/>
      </c>
    </row>
    <row r="237" spans="1:7">
      <c r="B237" s="491" t="s">
        <v>3141</v>
      </c>
      <c r="C237" s="491" t="s">
        <v>3253</v>
      </c>
      <c r="D237" s="421" t="str">
        <f>_xlfn.IFNA(IF(VLOOKUP($C237,Ingredient_prices!$E:$F,2,FALSE)="Партија 2","Lot 2","Lot 1"),"")</f>
        <v/>
      </c>
      <c r="E237" s="407" t="str">
        <f>IF(SUMIF(Meal_entry_week_1!H$11:H$496,"Rice, integral",Meal_entry_week_1!K$11:K$496)&gt;0,SUMIF(Meal_entry_week_1!H$11:H$496,"Rice, integral",Meal_entry_week_1!K$11:K$496),"")</f>
        <v/>
      </c>
      <c r="F237" s="407" t="str">
        <f t="shared" si="6"/>
        <v/>
      </c>
    </row>
    <row r="238" spans="1:7">
      <c r="B238" s="491" t="s">
        <v>3141</v>
      </c>
      <c r="C238" s="491" t="s">
        <v>3252</v>
      </c>
      <c r="D238" s="421" t="str">
        <f>_xlfn.IFNA(IF(VLOOKUP($C238,Ingredient_prices!$E:$F,2,FALSE)="Партија 2","Lot 2","Lot 1"),"")</f>
        <v>Lot 2</v>
      </c>
      <c r="E238" s="407">
        <f>IF(SUMIF(Meal_entry_week_1!H$11:H$496,"Rice, white grain",Meal_entry_week_1!K$11:K$496)&gt;0,SUMIF(Meal_entry_week_1!H$11:H$496,"Rice, white grain",Meal_entry_week_1!K$11:K$496),"")</f>
        <v>2.2000000000000002</v>
      </c>
      <c r="F238" s="407">
        <f t="shared" si="6"/>
        <v>2.2000000000000002</v>
      </c>
    </row>
    <row r="239" spans="1:7">
      <c r="B239" s="491" t="s">
        <v>3141</v>
      </c>
      <c r="C239" s="491" t="s">
        <v>3274</v>
      </c>
      <c r="D239" s="421" t="str">
        <f>_xlfn.IFNA(IF(VLOOKUP($C239,Ingredient_prices!$E:$F,2,FALSE)="Партија 2","Lot 2","Lot 1"),"")</f>
        <v/>
      </c>
      <c r="E239" s="407" t="str">
        <f>IF(SUMIF(Meal_entry_week_1!H$11:H$496,"Rye grain/flour",Meal_entry_week_1!K$11:K$496)&gt;0,SUMIF(Meal_entry_week_1!H$11:H$496,"Rye grain/flour",Meal_entry_week_1!K$11:K$496),"")</f>
        <v/>
      </c>
      <c r="F239" s="407" t="str">
        <f t="shared" ref="F239" si="10">IF(E239="","",E239/1)</f>
        <v/>
      </c>
    </row>
    <row r="240" spans="1:7">
      <c r="B240" s="491" t="s">
        <v>3141</v>
      </c>
      <c r="C240" s="491" t="s">
        <v>3255</v>
      </c>
      <c r="D240" s="421" t="str">
        <f>_xlfn.IFNA(IF(VLOOKUP($C240,Ingredient_prices!$E:$F,2,FALSE)="Партија 2","Lot 2","Lot 1"),"")</f>
        <v/>
      </c>
      <c r="E240" s="407" t="str">
        <f>IF(SUMIF(Meal_entry_week_1!H$11:H$496,"Sesame seeds",Meal_entry_week_1!K$11:K$496)&gt;0,SUMIF(Meal_entry_week_1!H$11:H$496,"Sesame seeds",Meal_entry_week_1!K$11:K$496),"")</f>
        <v/>
      </c>
      <c r="F240" s="407" t="str">
        <f t="shared" si="6"/>
        <v/>
      </c>
    </row>
    <row r="241" spans="1:7">
      <c r="B241" s="491" t="s">
        <v>3141</v>
      </c>
      <c r="C241" s="491" t="s">
        <v>3275</v>
      </c>
      <c r="D241" s="421" t="str">
        <f>_xlfn.IFNA(IF(VLOOKUP($C241,Ingredient_prices!$E:$F,2,FALSE)="Партија 2","Lot 2","Lot 1"),"")</f>
        <v>Lot 2</v>
      </c>
      <c r="E241" s="407" t="str">
        <f>IF(SUMIF(Meal_entry_week_1!H$11:H$496,"Soya flour (fat extracted)",Meal_entry_week_1!K$11:K$496)&gt;0,SUMIF(Meal_entry_week_1!H$11:H$496,"Soya flour (fat extracted)",Meal_entry_week_1!K$11:K$496),"")</f>
        <v/>
      </c>
      <c r="F241" s="407" t="str">
        <f t="shared" si="6"/>
        <v/>
      </c>
    </row>
    <row r="242" spans="1:7">
      <c r="B242" s="491" t="s">
        <v>3141</v>
      </c>
      <c r="C242" s="491" t="s">
        <v>1936</v>
      </c>
      <c r="D242" s="421" t="str">
        <f>_xlfn.IFNA(IF(VLOOKUP($C242,Ingredient_prices!$E:$F,2,FALSE)="Партија 2","Lot 2","Lot 1"),"")</f>
        <v/>
      </c>
      <c r="E242" s="407" t="str">
        <f>IF(SUMIF(Meal_entry_week_1!H$11:H$496,"Wheat flour half white",Meal_entry_week_1!K$11:K$496)&gt;0,SUMIF(Meal_entry_week_1!H$11:H$496,"Wheat flour half white",Meal_entry_week_1!K$11:K$496),"")</f>
        <v/>
      </c>
      <c r="F242" s="407" t="str">
        <f t="shared" si="6"/>
        <v/>
      </c>
    </row>
    <row r="243" spans="1:7">
      <c r="B243" s="491" t="s">
        <v>3141</v>
      </c>
      <c r="C243" s="491" t="s">
        <v>3245</v>
      </c>
      <c r="D243" s="421" t="str">
        <f>_xlfn.IFNA(IF(VLOOKUP($C243,Ingredient_prices!$E:$F,2,FALSE)="Партија 2","Lot 2","Lot 1"),"")</f>
        <v>Lot 2</v>
      </c>
      <c r="E243" s="407">
        <f>IF(SUMIF(Meal_entry_week_1!H$11:H$496,"Wheat flour white",Meal_entry_week_1!K$11:K$496)&gt;0,SUMIF(Meal_entry_week_1!H$11:H$496,"Wheat flour white",Meal_entry_week_1!K$11:K$496),"")</f>
        <v>9.4600000000000009</v>
      </c>
      <c r="F243" s="407">
        <f t="shared" si="6"/>
        <v>9.4600000000000009</v>
      </c>
    </row>
    <row r="244" spans="1:7">
      <c r="B244" s="491" t="s">
        <v>3141</v>
      </c>
      <c r="C244" s="491" t="s">
        <v>3260</v>
      </c>
      <c r="D244" s="421" t="str">
        <f>_xlfn.IFNA(IF(VLOOKUP($C244,Ingredient_prices!$E:$F,2,FALSE)="Партија 2","Lot 2","Lot 1"),"")</f>
        <v>Lot 2</v>
      </c>
      <c r="E244" s="407" t="str">
        <f>IF(SUMIF(Meal_entry_week_1!H$11:H$496,"Wheat flour wholemeal",Meal_entry_week_1!K$11:K$496)&gt;0,SUMIF(Meal_entry_week_1!H$11:H$496,"Wheat flour wholemeal",Meal_entry_week_1!K$11:K$496),"")</f>
        <v/>
      </c>
      <c r="F244" s="407" t="str">
        <f t="shared" si="6"/>
        <v/>
      </c>
    </row>
    <row r="245" spans="1:7">
      <c r="B245" s="491" t="s">
        <v>3141</v>
      </c>
      <c r="C245" s="491" t="s">
        <v>3273</v>
      </c>
      <c r="D245" s="421" t="str">
        <f>_xlfn.IFNA(IF(VLOOKUP($C245,Ingredient_prices!$E:$F,2,FALSE)="Партија 2","Lot 2","Lot 1"),"")</f>
        <v>Lot 2</v>
      </c>
      <c r="E245" s="407" t="str">
        <f>IF(SUMIF(Meal_entry_week_1!H$11:H$496,"Wheat grains",Meal_entry_week_1!K$11:K$496)&gt;0,SUMIF(Meal_entry_week_1!H$11:H$496,"Wheat grains",Meal_entry_week_1!K$11:K$496),"")</f>
        <v/>
      </c>
      <c r="F245" s="407" t="str">
        <f t="shared" si="6"/>
        <v/>
      </c>
    </row>
    <row r="246" spans="1:7" s="749" customFormat="1">
      <c r="A246" s="444"/>
      <c r="B246" s="492" t="s">
        <v>3141</v>
      </c>
      <c r="C246" s="492" t="s">
        <v>3261</v>
      </c>
      <c r="D246" s="421" t="str">
        <f>_xlfn.IFNA(IF(VLOOKUP($C246,Ingredient_prices!$E:$F,2,FALSE)="Партија 2","Lot 2","Lot 1"),"")</f>
        <v>Lot 2</v>
      </c>
      <c r="E246" s="407" t="str">
        <f>IF(SUMIF(Meal_entry_week_1!H$11:H$496,"Wheat semolina",Meal_entry_week_1!K$11:K$496)&gt;0,SUMIF(Meal_entry_week_1!H$11:H$496,"Wheat semolina",Meal_entry_week_1!K$11:K$496),"")</f>
        <v/>
      </c>
      <c r="F246" s="407" t="str">
        <f t="shared" si="6"/>
        <v/>
      </c>
      <c r="G246" s="444"/>
    </row>
    <row r="247" spans="1:7">
      <c r="B247" s="749" t="s">
        <v>3142</v>
      </c>
      <c r="C247" s="494" t="s">
        <v>3279</v>
      </c>
      <c r="D247" s="421" t="str">
        <f>_xlfn.IFNA(IF(VLOOKUP($C247,Ingredient_prices!$E:$F,2,FALSE)="Партија 2","Lot 2","Lot 1"),"")</f>
        <v/>
      </c>
      <c r="E247" s="407" t="str">
        <f>IF(SUMIF(Meal_entry_week_1!H$11:H$496,"Ajvar mild",Meal_entry_week_1!K$11:K$496)&gt;0,SUMIF(Meal_entry_week_1!H$11:H$496,"Ajvar mild",Meal_entry_week_1!K$11:K$496),"")</f>
        <v/>
      </c>
      <c r="F247" s="407" t="str">
        <f t="shared" si="6"/>
        <v/>
      </c>
    </row>
    <row r="248" spans="1:7">
      <c r="B248" s="749" t="s">
        <v>3142</v>
      </c>
      <c r="C248" s="491" t="s">
        <v>3286</v>
      </c>
      <c r="D248" s="421" t="str">
        <f>_xlfn.IFNA(IF(VLOOKUP($C248,Ingredient_prices!$E:$F,2,FALSE)="Партија 2","Lot 2","Lot 1"),"")</f>
        <v/>
      </c>
      <c r="E248" s="407" t="str">
        <f>IF(SUMIF(Meal_entry_week_1!H$11:H$496,"Ajvar spicy",Meal_entry_week_1!K$11:K$496)&gt;0,SUMIF(Meal_entry_week_1!H$11:H$496,"Ajvar spicy",Meal_entry_week_1!K$11:K$496),"")</f>
        <v/>
      </c>
      <c r="F248" s="407" t="str">
        <f t="shared" ref="F248" si="11">IF(E248="","",E248/1)</f>
        <v/>
      </c>
    </row>
    <row r="249" spans="1:7">
      <c r="B249" s="749" t="s">
        <v>3142</v>
      </c>
      <c r="C249" s="491" t="s">
        <v>3285</v>
      </c>
      <c r="D249" s="421" t="str">
        <f>_xlfn.IFNA(IF(VLOOKUP($C249,Ingredient_prices!$E:$F,2,FALSE)="Партија 2","Lot 2","Lot 1"),"")</f>
        <v/>
      </c>
      <c r="E249" s="407" t="str">
        <f>IF(SUMIF(Meal_entry_week_1!H$11:H$496,"Apple cider vinegar",Meal_entry_week_1!K$11:K$496)&gt;0,SUMIF(Meal_entry_week_1!H$11:H$496,"Apple cider vinegar",Meal_entry_week_1!K$11:K$496),"")</f>
        <v/>
      </c>
      <c r="F249" s="407" t="str">
        <f t="shared" si="6"/>
        <v/>
      </c>
    </row>
    <row r="250" spans="1:7">
      <c r="B250" s="749" t="s">
        <v>3142</v>
      </c>
      <c r="C250" s="491" t="s">
        <v>3283</v>
      </c>
      <c r="D250" s="421" t="str">
        <f>_xlfn.IFNA(IF(VLOOKUP($C250,Ingredient_prices!$E:$F,2,FALSE)="Партија 2","Lot 2","Lot 1"),"")</f>
        <v>Lot 2</v>
      </c>
      <c r="E250" s="407" t="str">
        <f>IF(SUMIF(Meal_entry_week_1!H$11:H$496,"Baking powder",Meal_entry_week_1!K$11:K$496)&gt;0,SUMIF(Meal_entry_week_1!H$11:H$496,"Baking powder",Meal_entry_week_1!K$11:K$496),"")</f>
        <v/>
      </c>
      <c r="F250" s="407" t="str">
        <f t="shared" ref="F250:F313" si="12">IF(E250="","",E250/1)</f>
        <v/>
      </c>
    </row>
    <row r="251" spans="1:7">
      <c r="B251" s="749" t="s">
        <v>3142</v>
      </c>
      <c r="C251" s="491" t="s">
        <v>3284</v>
      </c>
      <c r="D251" s="421" t="str">
        <f>_xlfn.IFNA(IF(VLOOKUP($C251,Ingredient_prices!$E:$F,2,FALSE)="Партија 2","Lot 2","Lot 1"),"")</f>
        <v/>
      </c>
      <c r="E251" s="407" t="str">
        <f>IF(SUMIF(Meal_entry_week_1!H$11:H$496,"Balsamic vinegar",Meal_entry_week_1!K$11:K$496)&gt;0,SUMIF(Meal_entry_week_1!H$11:H$496,"Balsamic vinegar",Meal_entry_week_1!K$11:K$496),"")</f>
        <v/>
      </c>
      <c r="F251" s="407" t="str">
        <f t="shared" si="12"/>
        <v/>
      </c>
    </row>
    <row r="252" spans="1:7">
      <c r="B252" s="749" t="s">
        <v>3142</v>
      </c>
      <c r="C252" s="491" t="s">
        <v>3290</v>
      </c>
      <c r="D252" s="421" t="str">
        <f>_xlfn.IFNA(IF(VLOOKUP($C252,Ingredient_prices!$E:$F,2,FALSE)="Партија 2","Lot 2","Lot 1"),"")</f>
        <v/>
      </c>
      <c r="E252" s="407" t="str">
        <f>IF(SUMIF(Meal_entry_week_1!H$11:H$496,"Bean spread",Meal_entry_week_1!K$11:K$496)&gt;0,SUMIF(Meal_entry_week_1!H$11:H$496,"Bean spread",Meal_entry_week_1!K$11:K$496),"")</f>
        <v/>
      </c>
      <c r="F252" s="407" t="str">
        <f t="shared" si="12"/>
        <v/>
      </c>
    </row>
    <row r="253" spans="1:7">
      <c r="B253" s="749" t="s">
        <v>3142</v>
      </c>
      <c r="C253" s="491" t="s">
        <v>3289</v>
      </c>
      <c r="D253" s="421" t="str">
        <f>_xlfn.IFNA(IF(VLOOKUP($C253,Ingredient_prices!$E:$F,2,FALSE)="Партија 2","Lot 2","Lot 1"),"")</f>
        <v/>
      </c>
      <c r="E253" s="407" t="str">
        <f>IF(SUMIF(Meal_entry_week_1!H$11:H$496,"Citric acid (Limuntus)",Meal_entry_week_1!K$11:K$496)&gt;0,SUMIF(Meal_entry_week_1!H$11:H$496,"Citric acid (Limuntus)",Meal_entry_week_1!K$11:K$496),"")</f>
        <v/>
      </c>
      <c r="F253" s="407" t="str">
        <f t="shared" ref="F253:F254" si="13">IF(E253="","",E253/1)</f>
        <v/>
      </c>
    </row>
    <row r="254" spans="1:7">
      <c r="B254" s="749" t="s">
        <v>3142</v>
      </c>
      <c r="C254" s="491" t="s">
        <v>1999</v>
      </c>
      <c r="D254" s="421" t="str">
        <f>_xlfn.IFNA(IF(VLOOKUP($C254,Ingredient_prices!$E:$F,2,FALSE)="Партија 2","Lot 2","Lot 1"),"")</f>
        <v/>
      </c>
      <c r="E254" s="407" t="str">
        <f>IF(SUMIF(Meal_entry_week_1!H$11:H$496,"Horseradish sauce",Meal_entry_week_1!K$11:K$496)&gt;0,SUMIF(Meal_entry_week_1!H$11:H$496,"Horseradish sauce",Meal_entry_week_1!K$11:K$496),"")</f>
        <v/>
      </c>
      <c r="F254" s="407" t="str">
        <f t="shared" si="13"/>
        <v/>
      </c>
    </row>
    <row r="255" spans="1:7" s="749" customFormat="1">
      <c r="A255" s="444"/>
      <c r="B255" s="749" t="s">
        <v>3142</v>
      </c>
      <c r="C255" s="491" t="s">
        <v>3291</v>
      </c>
      <c r="D255" s="421" t="str">
        <f>_xlfn.IFNA(IF(VLOOKUP($C255,Ingredient_prices!$E:$F,2,FALSE)="Партија 2","Lot 2","Lot 1"),"")</f>
        <v/>
      </c>
      <c r="E255" s="407" t="str">
        <f>IF(SUMIF(Meal_entry_week_1!H$11:H$496,"Houmous",Meal_entry_week_1!K$11:K$496)&gt;0,SUMIF(Meal_entry_week_1!H$11:H$496,"Houmous",Meal_entry_week_1!K$11:K$496),"")</f>
        <v/>
      </c>
      <c r="F255" s="407" t="str">
        <f t="shared" si="12"/>
        <v/>
      </c>
      <c r="G255" s="444"/>
    </row>
    <row r="256" spans="1:7">
      <c r="B256" s="749" t="s">
        <v>3142</v>
      </c>
      <c r="C256" s="491" t="s">
        <v>3280</v>
      </c>
      <c r="D256" s="421" t="str">
        <f>_xlfn.IFNA(IF(VLOOKUP($C256,Ingredient_prices!$E:$F,2,FALSE)="Партија 2","Lot 2","Lot 1"),"")</f>
        <v>Lot 2</v>
      </c>
      <c r="E256" s="407" t="str">
        <f>IF(SUMIF(Meal_entry_week_1!H$11:H$496,"Ketchup",Meal_entry_week_1!K$11:K$496)&gt;0,SUMIF(Meal_entry_week_1!H$11:H$496,"Ketchup",Meal_entry_week_1!K$11:K$496),"")</f>
        <v/>
      </c>
      <c r="F256" s="407" t="str">
        <f t="shared" si="12"/>
        <v/>
      </c>
    </row>
    <row r="257" spans="1:7">
      <c r="B257" s="749" t="s">
        <v>3142</v>
      </c>
      <c r="C257" s="491" t="s">
        <v>3281</v>
      </c>
      <c r="D257" s="421" t="str">
        <f>_xlfn.IFNA(IF(VLOOKUP($C257,Ingredient_prices!$E:$F,2,FALSE)="Партија 2","Lot 2","Lot 1"),"")</f>
        <v/>
      </c>
      <c r="E257" s="407" t="str">
        <f>IF(SUMIF(Meal_entry_week_1!H$11:H$496,"Ketchup, Aro",Meal_entry_week_1!K$11:K$496)&gt;0,SUMIF(Meal_entry_week_1!H$11:H$496,"Ketchup, Aro",Meal_entry_week_1!K$11:K$496),"")</f>
        <v/>
      </c>
      <c r="F257" s="407" t="str">
        <f t="shared" si="12"/>
        <v/>
      </c>
    </row>
    <row r="258" spans="1:7">
      <c r="B258" s="749" t="s">
        <v>3142</v>
      </c>
      <c r="C258" s="491" t="s">
        <v>1959</v>
      </c>
      <c r="D258" s="421" t="str">
        <f>_xlfn.IFNA(IF(VLOOKUP($C258,Ingredient_prices!$E:$F,2,FALSE)="Партија 2","Lot 2","Lot 1"),"")</f>
        <v/>
      </c>
      <c r="E258" s="407" t="str">
        <f>IF(SUMIF(Meal_entry_week_1!H$11:H$496,"Ketchup, Diamond",Meal_entry_week_1!K$11:K$496)&gt;0,SUMIF(Meal_entry_week_1!H$11:H$496,"Ketchup, Diamond",Meal_entry_week_1!K$11:K$496),"")</f>
        <v/>
      </c>
      <c r="F258" s="407" t="str">
        <f t="shared" si="12"/>
        <v/>
      </c>
    </row>
    <row r="259" spans="1:7" s="749" customFormat="1">
      <c r="A259" s="444"/>
      <c r="B259" s="749" t="s">
        <v>3142</v>
      </c>
      <c r="C259" s="491" t="s">
        <v>1958</v>
      </c>
      <c r="D259" s="421" t="str">
        <f>_xlfn.IFNA(IF(VLOOKUP($C259,Ingredient_prices!$E:$F,2,FALSE)="Партија 2","Lot 2","Lot 1"),"")</f>
        <v/>
      </c>
      <c r="E259" s="407" t="str">
        <f>IF(SUMIF(Meal_entry_week_1!H$11:H$496,"Ketchup, Heinz",Meal_entry_week_1!K$11:K$496)&gt;0,SUMIF(Meal_entry_week_1!H$11:H$496,"Ketchup, Heinz",Meal_entry_week_1!K$11:K$496),"")</f>
        <v/>
      </c>
      <c r="F259" s="407" t="str">
        <f t="shared" si="12"/>
        <v/>
      </c>
      <c r="G259" s="444"/>
    </row>
    <row r="260" spans="1:7" s="749" customFormat="1">
      <c r="A260" s="444"/>
      <c r="B260" s="749" t="s">
        <v>3142</v>
      </c>
      <c r="C260" s="491" t="s">
        <v>1960</v>
      </c>
      <c r="D260" s="421" t="str">
        <f>_xlfn.IFNA(IF(VLOOKUP($C260,Ingredient_prices!$E:$F,2,FALSE)="Партија 2","Lot 2","Lot 1"),"")</f>
        <v/>
      </c>
      <c r="E260" s="407" t="str">
        <f>IF(SUMIF(Meal_entry_week_1!H$11:H$496,"Ketchup, Polymark",Meal_entry_week_1!K$11:K$496)&gt;0,SUMIF(Meal_entry_week_1!H$11:H$496,"Ketchup, Polymark",Meal_entry_week_1!K$11:K$496),"")</f>
        <v/>
      </c>
      <c r="F260" s="407" t="str">
        <f t="shared" si="12"/>
        <v/>
      </c>
      <c r="G260" s="444"/>
    </row>
    <row r="261" spans="1:7" s="749" customFormat="1">
      <c r="A261" s="444"/>
      <c r="B261" s="749" t="s">
        <v>3142</v>
      </c>
      <c r="C261" s="491" t="s">
        <v>1962</v>
      </c>
      <c r="D261" s="421" t="str">
        <f>_xlfn.IFNA(IF(VLOOKUP($C261,Ingredient_prices!$E:$F,2,FALSE)="Партија 2","Lot 2","Lot 1"),"")</f>
        <v/>
      </c>
      <c r="E261" s="407" t="str">
        <f>IF(SUMIF(Meal_entry_week_1!H$11:H$496,"Mayonnaise light",Meal_entry_week_1!K$11:K$496)&gt;0,SUMIF(Meal_entry_week_1!H$11:H$496,"Mayonnaise light",Meal_entry_week_1!K$11:K$496),"")</f>
        <v/>
      </c>
      <c r="F261" s="407" t="str">
        <f t="shared" si="12"/>
        <v/>
      </c>
      <c r="G261" s="444"/>
    </row>
    <row r="262" spans="1:7">
      <c r="B262" s="749" t="s">
        <v>3142</v>
      </c>
      <c r="C262" s="491" t="s">
        <v>1963</v>
      </c>
      <c r="D262" s="421" t="str">
        <f>_xlfn.IFNA(IF(VLOOKUP($C262,Ingredient_prices!$E:$F,2,FALSE)="Партија 2","Lot 2","Lot 1"),"")</f>
        <v>Lot 2</v>
      </c>
      <c r="E262" s="407" t="str">
        <f>IF(SUMIF(Meal_entry_week_1!H$11:H$496,"Mayonnaise, plain",Meal_entry_week_1!K$11:K$496)&gt;0,SUMIF(Meal_entry_week_1!H$11:H$496,"Mayonnaise, plain",Meal_entry_week_1!K$11:K$496),"")</f>
        <v/>
      </c>
      <c r="F262" s="407" t="str">
        <f t="shared" si="12"/>
        <v/>
      </c>
    </row>
    <row r="263" spans="1:7">
      <c r="B263" s="749" t="s">
        <v>3142</v>
      </c>
      <c r="C263" s="491" t="s">
        <v>1964</v>
      </c>
      <c r="D263" s="421" t="str">
        <f>_xlfn.IFNA(IF(VLOOKUP($C263,Ingredient_prices!$E:$F,2,FALSE)="Партија 2","Lot 2","Lot 1"),"")</f>
        <v/>
      </c>
      <c r="E263" s="407" t="str">
        <f>IF(SUMIF(Meal_entry_week_1!H$11:H$496,"Mayonnaise, Polymark",Meal_entry_week_1!K$11:K$496)&gt;0,SUMIF(Meal_entry_week_1!H$11:H$496,"Mayonnaise, Polymark",Meal_entry_week_1!K$11:K$496),"")</f>
        <v/>
      </c>
      <c r="F263" s="407" t="str">
        <f t="shared" si="12"/>
        <v/>
      </c>
    </row>
    <row r="264" spans="1:7">
      <c r="B264" s="749" t="s">
        <v>3142</v>
      </c>
      <c r="C264" s="491" t="s">
        <v>492</v>
      </c>
      <c r="D264" s="421" t="str">
        <f>_xlfn.IFNA(IF(VLOOKUP($C264,Ingredient_prices!$E:$F,2,FALSE)="Партија 2","Lot 2","Lot 1"),"")</f>
        <v/>
      </c>
      <c r="E264" s="407" t="str">
        <f>IF(SUMIF(Meal_entry_week_1!H$11:H$496,"Mustard",Meal_entry_week_1!K$11:K$496)&gt;0,SUMIF(Meal_entry_week_1!H$11:H$496,"Mustard",Meal_entry_week_1!K$11:K$496),"")</f>
        <v/>
      </c>
      <c r="F264" s="407" t="str">
        <f t="shared" si="12"/>
        <v/>
      </c>
    </row>
    <row r="265" spans="1:7">
      <c r="B265" s="749" t="s">
        <v>3142</v>
      </c>
      <c r="C265" s="491" t="s">
        <v>3294</v>
      </c>
      <c r="D265" s="421" t="str">
        <f>_xlfn.IFNA(IF(VLOOKUP($C265,Ingredient_prices!$E:$F,2,FALSE)="Партија 2","Lot 2","Lot 1"),"")</f>
        <v/>
      </c>
      <c r="E265" s="407" t="str">
        <f>IF(SUMIF(Meal_entry_week_1!H$11:H$496,"Sodium bicarbonate",Meal_entry_week_1!K$11:K$496)&gt;0,SUMIF(Meal_entry_week_1!H$11:H$496,"Sodium bicarbonate",Meal_entry_week_1!K$11:K$496),"")</f>
        <v/>
      </c>
      <c r="F265" s="407" t="str">
        <f t="shared" si="12"/>
        <v/>
      </c>
    </row>
    <row r="266" spans="1:7">
      <c r="B266" s="749" t="s">
        <v>3142</v>
      </c>
      <c r="C266" s="491" t="s">
        <v>3287</v>
      </c>
      <c r="D266" s="421" t="str">
        <f>_xlfn.IFNA(IF(VLOOKUP($C266,Ingredient_prices!$E:$F,2,FALSE)="Партија 2","Lot 2","Lot 1"),"")</f>
        <v/>
      </c>
      <c r="E266" s="407" t="str">
        <f>IF(SUMIF(Meal_entry_week_1!H$11:H$496,"Starch thickener",Meal_entry_week_1!K$11:K$496)&gt;0,SUMIF(Meal_entry_week_1!H$11:H$496,"Starch thickener",Meal_entry_week_1!K$11:K$496),"")</f>
        <v/>
      </c>
      <c r="F266" s="407" t="str">
        <f t="shared" si="12"/>
        <v/>
      </c>
    </row>
    <row r="267" spans="1:7">
      <c r="B267" s="749" t="s">
        <v>3142</v>
      </c>
      <c r="C267" s="491" t="s">
        <v>3282</v>
      </c>
      <c r="D267" s="421" t="str">
        <f>_xlfn.IFNA(IF(VLOOKUP($C267,Ingredient_prices!$E:$F,2,FALSE)="Партија 2","Lot 2","Lot 1"),"")</f>
        <v/>
      </c>
      <c r="E267" s="407" t="str">
        <f>IF(SUMIF(Meal_entry_week_1!H$11:H$496,"Tomato juice",Meal_entry_week_1!K$11:K$496)&gt;0,SUMIF(Meal_entry_week_1!H$11:H$496,"Tomato juice",Meal_entry_week_1!K$11:K$496),"")</f>
        <v/>
      </c>
      <c r="F267" s="407" t="str">
        <f t="shared" si="12"/>
        <v/>
      </c>
    </row>
    <row r="268" spans="1:7">
      <c r="B268" s="749" t="s">
        <v>3142</v>
      </c>
      <c r="C268" s="491" t="s">
        <v>3292</v>
      </c>
      <c r="D268" s="421" t="str">
        <f>_xlfn.IFNA(IF(VLOOKUP($C268,Ingredient_prices!$E:$F,2,FALSE)="Партија 2","Lot 2","Lot 1"),"")</f>
        <v/>
      </c>
      <c r="E268" s="407" t="str">
        <f>IF(SUMIF(Meal_entry_week_1!H$11:H$496,"Tomato paste, Tomatino",Meal_entry_week_1!K$11:K$496)&gt;0,SUMIF(Meal_entry_week_1!H$11:H$496,"Tomato paste, Tomatino",Meal_entry_week_1!K$11:K$496),"")</f>
        <v/>
      </c>
      <c r="F268" s="407" t="str">
        <f t="shared" si="12"/>
        <v/>
      </c>
    </row>
    <row r="269" spans="1:7">
      <c r="B269" s="749" t="s">
        <v>3142</v>
      </c>
      <c r="C269" s="491" t="s">
        <v>3293</v>
      </c>
      <c r="D269" s="421" t="str">
        <f>_xlfn.IFNA(IF(VLOOKUP($C269,Ingredient_prices!$E:$F,2,FALSE)="Партија 2","Lot 2","Lot 1"),"")</f>
        <v>Lot 2</v>
      </c>
      <c r="E269" s="407">
        <f>IF(SUMIF(Meal_entry_week_1!H$11:H$496,"Tomato puree",Meal_entry_week_1!K$11:K$496)&gt;0,SUMIF(Meal_entry_week_1!H$11:H$496,"Tomato puree",Meal_entry_week_1!K$11:K$496),"")</f>
        <v>8.8000000000000007</v>
      </c>
      <c r="F269" s="407">
        <f t="shared" si="12"/>
        <v>8.8000000000000007</v>
      </c>
    </row>
    <row r="270" spans="1:7">
      <c r="B270" s="749" t="s">
        <v>3142</v>
      </c>
      <c r="C270" s="491" t="s">
        <v>3288</v>
      </c>
      <c r="D270" s="421" t="str">
        <f>_xlfn.IFNA(IF(VLOOKUP($C270,Ingredient_prices!$E:$F,2,FALSE)="Партија 2","Lot 2","Lot 1"),"")</f>
        <v>Lot 2</v>
      </c>
      <c r="E270" s="407" t="str">
        <f>IF(SUMIF(Meal_entry_week_1!H$11:H$496,"Tomatoes cooked",Meal_entry_week_1!K$11:K$496)&gt;0,SUMIF(Meal_entry_week_1!H$11:H$496,"Tomatoes cooked",Meal_entry_week_1!K$11:K$496),"")</f>
        <v/>
      </c>
      <c r="F270" s="407" t="str">
        <f t="shared" ref="F270" si="14">IF(E270="","",E270/1)</f>
        <v/>
      </c>
    </row>
    <row r="271" spans="1:7">
      <c r="B271" s="749" t="s">
        <v>3142</v>
      </c>
      <c r="C271" s="491" t="s">
        <v>498</v>
      </c>
      <c r="D271" s="421" t="str">
        <f>_xlfn.IFNA(IF(VLOOKUP($C271,Ingredient_prices!$E:$F,2,FALSE)="Партија 2","Lot 2","Lot 1"),"")</f>
        <v>Lot 2</v>
      </c>
      <c r="E271" s="407">
        <f>IF(SUMIF(Meal_entry_week_1!H$11:H$496,"Vinegar",Meal_entry_week_1!K$11:K$496)&gt;0,SUMIF(Meal_entry_week_1!H$11:H$496,"Vinegar",Meal_entry_week_1!K$11:K$496),"")</f>
        <v>0.66</v>
      </c>
      <c r="F271" s="407">
        <f t="shared" si="12"/>
        <v>0.66</v>
      </c>
    </row>
    <row r="272" spans="1:7">
      <c r="B272" s="492" t="s">
        <v>3142</v>
      </c>
      <c r="C272" s="492" t="s">
        <v>1961</v>
      </c>
      <c r="D272" s="421" t="str">
        <f>_xlfn.IFNA(IF(VLOOKUP($C272,Ingredient_prices!$E:$F,2,FALSE)="Партија 2","Lot 2","Lot 1"),"")</f>
        <v>Lot 2</v>
      </c>
      <c r="E272" s="407" t="str">
        <f>IF(SUMIF(Meal_entry_week_1!H$11:H$496,"Yeast (fresh)",Meal_entry_week_1!K$11:K$496)&gt;0,SUMIF(Meal_entry_week_1!H$11:H$496,"Yeast (fresh)",Meal_entry_week_1!K$11:K$496),"")</f>
        <v/>
      </c>
      <c r="F272" s="407" t="str">
        <f t="shared" si="12"/>
        <v/>
      </c>
    </row>
    <row r="273" spans="1:7">
      <c r="B273" s="491" t="s">
        <v>3076</v>
      </c>
      <c r="C273" s="749" t="s">
        <v>3297</v>
      </c>
      <c r="D273" s="421" t="str">
        <f>_xlfn.IFNA(IF(VLOOKUP($C273,Ingredient_prices!$E:$F,2,FALSE)="Партија 2","Lot 2","Lot 1"),"")</f>
        <v/>
      </c>
      <c r="E273" s="407" t="str">
        <f>IF(SUMIF(Meal_entry_week_1!H$11:H$496,"Basil leaf, dry",Meal_entry_week_1!K$11:K$496)&gt;0,SUMIF(Meal_entry_week_1!H$11:H$496,"Basil leaf, dry",Meal_entry_week_1!K$11:K$496),"")</f>
        <v/>
      </c>
      <c r="F273" s="407" t="str">
        <f t="shared" si="12"/>
        <v/>
      </c>
    </row>
    <row r="274" spans="1:7">
      <c r="B274" s="491" t="s">
        <v>3076</v>
      </c>
      <c r="C274" s="749" t="s">
        <v>3303</v>
      </c>
      <c r="D274" s="421" t="str">
        <f>_xlfn.IFNA(IF(VLOOKUP($C274,Ingredient_prices!$E:$F,2,FALSE)="Партија 2","Lot 2","Lot 1"),"")</f>
        <v>Lot 2</v>
      </c>
      <c r="E274" s="407" t="str">
        <f>IF(SUMIF(Meal_entry_week_1!H$11:H$496,"Bay leaves",Meal_entry_week_1!K$11:K$496)&gt;0,SUMIF(Meal_entry_week_1!H$11:H$496,"Bay leaves",Meal_entry_week_1!K$11:K$496),"")</f>
        <v/>
      </c>
      <c r="F274" s="407" t="str">
        <f t="shared" ref="F274" si="15">IF(E274="","",E274/1)</f>
        <v/>
      </c>
    </row>
    <row r="275" spans="1:7">
      <c r="B275" s="491" t="s">
        <v>3076</v>
      </c>
      <c r="C275" s="749" t="s">
        <v>1966</v>
      </c>
      <c r="D275" s="421" t="str">
        <f>_xlfn.IFNA(IF(VLOOKUP($C275,Ingredient_prices!$E:$F,2,FALSE)="Партија 2","Lot 2","Lot 1"),"")</f>
        <v/>
      </c>
      <c r="E275" s="407" t="str">
        <f>IF(SUMIF(Meal_entry_week_1!H$11:H$496,"Cayenne pepper",Meal_entry_week_1!K$11:K$496)&gt;0,SUMIF(Meal_entry_week_1!H$11:H$496,"Cayenne pepper",Meal_entry_week_1!K$11:K$496),"")</f>
        <v/>
      </c>
      <c r="F275" s="407" t="str">
        <f t="shared" si="12"/>
        <v/>
      </c>
    </row>
    <row r="276" spans="1:7">
      <c r="B276" s="491" t="s">
        <v>3076</v>
      </c>
      <c r="C276" s="749" t="s">
        <v>1969</v>
      </c>
      <c r="D276" s="421" t="str">
        <f>_xlfn.IFNA(IF(VLOOKUP($C276,Ingredient_prices!$E:$F,2,FALSE)="Партија 2","Lot 2","Lot 1"),"")</f>
        <v/>
      </c>
      <c r="E276" s="407" t="str">
        <f>IF(SUMIF(Meal_entry_week_1!H$11:H$496,"Cinnamon",Meal_entry_week_1!K$11:K$496)&gt;0,SUMIF(Meal_entry_week_1!H$11:H$496,"Cinnamon",Meal_entry_week_1!K$11:K$496),"")</f>
        <v/>
      </c>
      <c r="F276" s="407" t="str">
        <f t="shared" si="12"/>
        <v/>
      </c>
    </row>
    <row r="277" spans="1:7" s="749" customFormat="1">
      <c r="A277" s="444"/>
      <c r="B277" s="491" t="s">
        <v>3076</v>
      </c>
      <c r="C277" s="749" t="s">
        <v>3302</v>
      </c>
      <c r="D277" s="421" t="str">
        <f>_xlfn.IFNA(IF(VLOOKUP($C277,Ingredient_prices!$E:$F,2,FALSE)="Партија 2","Lot 2","Lot 1"),"")</f>
        <v/>
      </c>
      <c r="E277" s="407" t="str">
        <f>IF(SUMIF(Meal_entry_week_1!H$11:H$496,"Cumin",Meal_entry_week_1!K$11:K$496)&gt;0,SUMIF(Meal_entry_week_1!H$11:H$496,"Cumin",Meal_entry_week_1!K$11:K$496),"")</f>
        <v/>
      </c>
      <c r="F277" s="407" t="str">
        <f t="shared" si="12"/>
        <v/>
      </c>
      <c r="G277" s="444"/>
    </row>
    <row r="278" spans="1:7" s="749" customFormat="1">
      <c r="A278" s="444"/>
      <c r="B278" s="491" t="s">
        <v>3076</v>
      </c>
      <c r="C278" s="749" t="s">
        <v>3304</v>
      </c>
      <c r="D278" s="421" t="str">
        <f>_xlfn.IFNA(IF(VLOOKUP($C278,Ingredient_prices!$E:$F,2,FALSE)="Партија 2","Lot 2","Lot 1"),"")</f>
        <v>Lot 2</v>
      </c>
      <c r="E278" s="407">
        <f>IF(SUMIF(Meal_entry_week_1!H$11:H$496,"Dill leaves, dry",Meal_entry_week_1!K$11:K$496)&gt;0,SUMIF(Meal_entry_week_1!H$11:H$496,"Dill leaves, dry",Meal_entry_week_1!K$11:K$496),"")</f>
        <v>6.6000000000000008E-3</v>
      </c>
      <c r="F278" s="407">
        <f t="shared" si="12"/>
        <v>6.6000000000000008E-3</v>
      </c>
      <c r="G278" s="444"/>
    </row>
    <row r="279" spans="1:7">
      <c r="B279" s="491" t="s">
        <v>3076</v>
      </c>
      <c r="C279" s="749" t="s">
        <v>3305</v>
      </c>
      <c r="D279" s="421" t="str">
        <f>_xlfn.IFNA(IF(VLOOKUP($C279,Ingredient_prices!$E:$F,2,FALSE)="Партија 2","Lot 2","Lot 1"),"")</f>
        <v/>
      </c>
      <c r="E279" s="407" t="str">
        <f>IF(SUMIF(Meal_entry_week_1!H$11:H$496,"Dill leaves, fresh",Meal_entry_week_1!K$11:K$496)&gt;0,SUMIF(Meal_entry_week_1!H$11:H$496,"Dill leaves, fresh",Meal_entry_week_1!K$11:K$496),"")</f>
        <v/>
      </c>
      <c r="F279" s="407" t="str">
        <f t="shared" si="12"/>
        <v/>
      </c>
    </row>
    <row r="280" spans="1:7">
      <c r="B280" s="491" t="s">
        <v>3076</v>
      </c>
      <c r="C280" s="749" t="s">
        <v>3295</v>
      </c>
      <c r="D280" s="421" t="str">
        <f>_xlfn.IFNA(IF(VLOOKUP($C280,Ingredient_prices!$E:$F,2,FALSE)="Партија 2","Lot 2","Lot 1"),"")</f>
        <v/>
      </c>
      <c r="E280" s="407" t="str">
        <f>IF(SUMIF(Meal_entry_week_1!H$11:H$496,"Garlic in granules",Meal_entry_week_1!K$11:K$496)&gt;0,SUMIF(Meal_entry_week_1!H$11:H$496,"Garlic in granules",Meal_entry_week_1!K$11:K$496),"")</f>
        <v/>
      </c>
      <c r="F280" s="407" t="str">
        <f t="shared" si="12"/>
        <v/>
      </c>
    </row>
    <row r="281" spans="1:7">
      <c r="B281" s="491" t="s">
        <v>3076</v>
      </c>
      <c r="C281" s="749" t="s">
        <v>3296</v>
      </c>
      <c r="D281" s="421" t="str">
        <f>_xlfn.IFNA(IF(VLOOKUP($C281,Ingredient_prices!$E:$F,2,FALSE)="Партија 2","Lot 2","Lot 1"),"")</f>
        <v>Lot 2</v>
      </c>
      <c r="E281" s="407" t="str">
        <f>IF(SUMIF(Meal_entry_week_1!H$11:H$496,"Ground pepper",Meal_entry_week_1!K$11:K$496)&gt;0,SUMIF(Meal_entry_week_1!H$11:H$496,"Ground pepper",Meal_entry_week_1!K$11:K$496),"")</f>
        <v/>
      </c>
      <c r="F281" s="407" t="str">
        <f t="shared" si="12"/>
        <v/>
      </c>
    </row>
    <row r="282" spans="1:7" s="749" customFormat="1">
      <c r="A282" s="444"/>
      <c r="B282" s="491" t="s">
        <v>3076</v>
      </c>
      <c r="C282" s="749" t="s">
        <v>3513</v>
      </c>
      <c r="D282" s="421" t="str">
        <f>_xlfn.IFNA(IF(VLOOKUP($C282,Ingredient_prices!$E:$F,2,FALSE)="Партија 2","Lot 2","Lot 1"),"")</f>
        <v>Lot 2</v>
      </c>
      <c r="E282" s="407" t="str">
        <f>IF(SUMIF(Meal_entry_week_1!H$11:H$496,"Meal supplement/Vegeta",Meal_entry_week_1!K$11:K$496)&gt;0,SUMIF(Meal_entry_week_1!H$11:H$496,"Meal supplement/Vegeta",Meal_entry_week_1!K$11:K$496),"")</f>
        <v/>
      </c>
      <c r="F282" s="407" t="str">
        <f t="shared" si="12"/>
        <v/>
      </c>
      <c r="G282" s="444"/>
    </row>
    <row r="283" spans="1:7">
      <c r="B283" s="491" t="s">
        <v>3076</v>
      </c>
      <c r="C283" s="749" t="s">
        <v>3306</v>
      </c>
      <c r="D283" s="421" t="str">
        <f>_xlfn.IFNA(IF(VLOOKUP($C283,Ingredient_prices!$E:$F,2,FALSE)="Партија 2","Lot 2","Lot 1"),"")</f>
        <v/>
      </c>
      <c r="E283" s="407" t="str">
        <f>IF(SUMIF(Meal_entry_week_1!H$11:H$496,"Mint leaves dried",Meal_entry_week_1!K$11:K$496)&gt;0,SUMIF(Meal_entry_week_1!H$11:H$496,"Mint leaves dried",Meal_entry_week_1!K$11:K$496),"")</f>
        <v/>
      </c>
      <c r="F283" s="407" t="str">
        <f t="shared" si="12"/>
        <v/>
      </c>
    </row>
    <row r="284" spans="1:7">
      <c r="B284" s="491" t="s">
        <v>3076</v>
      </c>
      <c r="C284" s="749" t="s">
        <v>3298</v>
      </c>
      <c r="D284" s="421" t="str">
        <f>_xlfn.IFNA(IF(VLOOKUP($C284,Ingredient_prices!$E:$F,2,FALSE)="Партија 2","Lot 2","Lot 1"),"")</f>
        <v>Lot 2</v>
      </c>
      <c r="E284" s="407" t="str">
        <f>IF(SUMIF(Meal_entry_week_1!H$11:H$496,"Oregano, dry",Meal_entry_week_1!K$11:K$496)&gt;0,SUMIF(Meal_entry_week_1!H$11:H$496,"Oregano, dry",Meal_entry_week_1!K$11:K$496),"")</f>
        <v/>
      </c>
      <c r="F284" s="407" t="str">
        <f t="shared" si="12"/>
        <v/>
      </c>
    </row>
    <row r="285" spans="1:7">
      <c r="B285" s="491" t="s">
        <v>3076</v>
      </c>
      <c r="C285" s="749" t="s">
        <v>3299</v>
      </c>
      <c r="D285" s="421" t="str">
        <f>_xlfn.IFNA(IF(VLOOKUP($C285,Ingredient_prices!$E:$F,2,FALSE)="Партија 2","Lot 2","Lot 1"),"")</f>
        <v>Lot 2</v>
      </c>
      <c r="E285" s="407">
        <f>IF(SUMIF(Meal_entry_week_1!H$11:H$496,"Parsley leaf, dry",Meal_entry_week_1!K$11:K$496)&gt;0,SUMIF(Meal_entry_week_1!H$11:H$496,"Parsley leaf, dry",Meal_entry_week_1!K$11:K$496),"")</f>
        <v>3.1900000000000005E-2</v>
      </c>
      <c r="F285" s="407">
        <f t="shared" si="12"/>
        <v>3.1900000000000005E-2</v>
      </c>
    </row>
    <row r="286" spans="1:7">
      <c r="B286" s="491" t="s">
        <v>3076</v>
      </c>
      <c r="C286" s="749" t="s">
        <v>3514</v>
      </c>
      <c r="D286" s="421" t="str">
        <f>_xlfn.IFNA(IF(VLOOKUP($C286,Ingredient_prices!$E:$F,2,FALSE)="Партија 2","Lot 2","Lot 1"),"")</f>
        <v/>
      </c>
      <c r="E286" s="407" t="str">
        <f>IF(SUMIF(Meal_entry_week_1!H$11:H$496,"Pepper corns",Meal_entry_week_1!K$11:K$496)&gt;0,SUMIF(Meal_entry_week_1!H$11:H$496,"Pepper corns",Meal_entry_week_1!K$11:K$496),"")</f>
        <v/>
      </c>
      <c r="F286" s="407" t="str">
        <f t="shared" si="12"/>
        <v/>
      </c>
    </row>
    <row r="287" spans="1:7">
      <c r="B287" s="491" t="s">
        <v>3076</v>
      </c>
      <c r="C287" s="749" t="s">
        <v>3249</v>
      </c>
      <c r="D287" s="421" t="str">
        <f>_xlfn.IFNA(IF(VLOOKUP($C287,Ingredient_prices!$E:$F,2,FALSE)="Партија 2","Lot 2","Lot 1"),"")</f>
        <v>Lot 2</v>
      </c>
      <c r="E287" s="407" t="str">
        <f>IF(SUMIF(Meal_entry_week_1!H$11:H$496,"Poppy seeds",Meal_entry_week_1!K$11:K$496)&gt;0,SUMIF(Meal_entry_week_1!H$11:H$496,"Poppy seeds",Meal_entry_week_1!K$11:K$496),"")</f>
        <v/>
      </c>
      <c r="F287" s="407" t="str">
        <f t="shared" si="12"/>
        <v/>
      </c>
    </row>
    <row r="288" spans="1:7">
      <c r="B288" s="491" t="s">
        <v>3076</v>
      </c>
      <c r="C288" s="749" t="s">
        <v>3300</v>
      </c>
      <c r="D288" s="421" t="str">
        <f>_xlfn.IFNA(IF(VLOOKUP($C288,Ingredient_prices!$E:$F,2,FALSE)="Партија 2","Lot 2","Lot 1"),"")</f>
        <v/>
      </c>
      <c r="E288" s="407" t="str">
        <f>IF(SUMIF(Meal_entry_week_1!H$11:H$496,"Rosemary, dry",Meal_entry_week_1!K$11:K$496)&gt;0,SUMIF(Meal_entry_week_1!H$11:H$496,"Rosemary, dry",Meal_entry_week_1!K$11:K$496),"")</f>
        <v/>
      </c>
      <c r="F288" s="407" t="str">
        <f t="shared" si="12"/>
        <v/>
      </c>
    </row>
    <row r="289" spans="2:6">
      <c r="B289" s="491" t="s">
        <v>3076</v>
      </c>
      <c r="C289" s="749" t="s">
        <v>495</v>
      </c>
      <c r="D289" s="421" t="str">
        <f>_xlfn.IFNA(IF(VLOOKUP($C289,Ingredient_prices!$E:$F,2,FALSE)="Партија 2","Lot 2","Lot 1"),"")</f>
        <v>Lot 2</v>
      </c>
      <c r="E289" s="407">
        <f>IF(SUMIF(Meal_entry_week_1!H$11:H$496,"Salt",Meal_entry_week_1!K$11:K$496)&gt;0,SUMIF(Meal_entry_week_1!H$11:H$496,"Salt",Meal_entry_week_1!K$11:K$496),"")</f>
        <v>0.19800000000000001</v>
      </c>
      <c r="F289" s="407">
        <f t="shared" si="12"/>
        <v>0.19800000000000001</v>
      </c>
    </row>
    <row r="290" spans="2:6">
      <c r="B290" s="491" t="s">
        <v>3076</v>
      </c>
      <c r="C290" s="749" t="s">
        <v>3301</v>
      </c>
      <c r="D290" s="421" t="str">
        <f>_xlfn.IFNA(IF(VLOOKUP($C290,Ingredient_prices!$E:$F,2,FALSE)="Партија 2","Lot 2","Lot 1"),"")</f>
        <v>Lot 2</v>
      </c>
      <c r="E290" s="407">
        <f>IF(SUMIF(Meal_entry_week_1!H$11:H$496,"Spice C",Meal_entry_week_1!K$11:K$496)&gt;0,SUMIF(Meal_entry_week_1!H$11:H$496,"Spice C",Meal_entry_week_1!K$11:K$496),"")</f>
        <v>6.6000000000000003E-2</v>
      </c>
      <c r="F290" s="407">
        <f t="shared" si="12"/>
        <v>6.6000000000000003E-2</v>
      </c>
    </row>
    <row r="291" spans="2:6">
      <c r="B291" s="492" t="s">
        <v>3076</v>
      </c>
      <c r="C291" s="492" t="s">
        <v>3307</v>
      </c>
      <c r="D291" s="421" t="str">
        <f>_xlfn.IFNA(IF(VLOOKUP($C291,Ingredient_prices!$E:$F,2,FALSE)="Партија 2","Lot 2","Lot 1"),"")</f>
        <v>Lot 2</v>
      </c>
      <c r="E291" s="407" t="str">
        <f>IF(SUMIF(Meal_entry_week_1!H$11:H$496,"Sweet pepper (dry), ground",Meal_entry_week_1!K$11:K$496)&gt;0,SUMIF(Meal_entry_week_1!H$11:H$496,"Sweet pepper (dry), ground",Meal_entry_week_1!K$11:K$496),"")</f>
        <v/>
      </c>
      <c r="F291" s="407" t="str">
        <f t="shared" si="12"/>
        <v/>
      </c>
    </row>
    <row r="292" spans="2:6">
      <c r="B292" s="749" t="s">
        <v>3077</v>
      </c>
      <c r="C292" s="749" t="s">
        <v>3315</v>
      </c>
      <c r="D292" s="421" t="str">
        <f>_xlfn.IFNA(IF(VLOOKUP($C292,Ingredient_prices!$E:$F,2,FALSE)="Партија 2","Lot 2","Lot 1"),"")</f>
        <v/>
      </c>
      <c r="E292" s="407" t="str">
        <f>IF(SUMIF(Meal_entry_week_1!H$11:H$496,"Almond (dry, roasted, salt free)",Meal_entry_week_1!K$11:K$496)&gt;0,SUMIF(Meal_entry_week_1!H$11:H$496,"Almond (dry, roasted, salt free)",Meal_entry_week_1!K$11:K$496),"")</f>
        <v/>
      </c>
      <c r="F292" s="407" t="str">
        <f t="shared" si="12"/>
        <v/>
      </c>
    </row>
    <row r="293" spans="2:6">
      <c r="B293" s="749" t="s">
        <v>3077</v>
      </c>
      <c r="C293" s="749" t="s">
        <v>3308</v>
      </c>
      <c r="D293" s="421" t="str">
        <f>_xlfn.IFNA(IF(VLOOKUP($C293,Ingredient_prices!$E:$F,2,FALSE)="Партија 2","Lot 2","Lot 1"),"")</f>
        <v>Lot 2</v>
      </c>
      <c r="E293" s="407">
        <f>IF(SUMIF(Meal_entry_week_1!H$11:H$496,"Apple",Meal_entry_week_1!K$11:K$496)&gt;0,SUMIF(Meal_entry_week_1!H$11:H$496,"Apple",Meal_entry_week_1!K$11:K$496),"")</f>
        <v>79.2</v>
      </c>
      <c r="F293" s="407">
        <f t="shared" si="12"/>
        <v>79.2</v>
      </c>
    </row>
    <row r="294" spans="2:6">
      <c r="B294" s="749" t="s">
        <v>3077</v>
      </c>
      <c r="C294" s="749" t="s">
        <v>3310</v>
      </c>
      <c r="D294" s="421" t="str">
        <f>_xlfn.IFNA(IF(VLOOKUP($C294,Ingredient_prices!$E:$F,2,FALSE)="Партија 2","Lot 2","Lot 1"),"")</f>
        <v/>
      </c>
      <c r="E294" s="407" t="str">
        <f>IF(SUMIF(Meal_entry_week_1!H$11:H$496,"Apple, Gala",Meal_entry_week_1!K$11:K$496)&gt;0,SUMIF(Meal_entry_week_1!H$11:H$496,"Apple, Gala",Meal_entry_week_1!K$11:K$496),"")</f>
        <v/>
      </c>
      <c r="F294" s="407" t="str">
        <f t="shared" si="12"/>
        <v/>
      </c>
    </row>
    <row r="295" spans="2:6">
      <c r="B295" s="749" t="s">
        <v>3077</v>
      </c>
      <c r="C295" s="749" t="s">
        <v>3312</v>
      </c>
      <c r="D295" s="421" t="str">
        <f>_xlfn.IFNA(IF(VLOOKUP($C295,Ingredient_prices!$E:$F,2,FALSE)="Партија 2","Lot 2","Lot 1"),"")</f>
        <v/>
      </c>
      <c r="E295" s="407" t="str">
        <f>IF(SUMIF(Meal_entry_week_1!H$11:H$496,"Apple, Golden Delicious",Meal_entry_week_1!K$11:K$496)&gt;0,SUMIF(Meal_entry_week_1!H$11:H$496,"Apple, Golden Delicious",Meal_entry_week_1!K$11:K$496),"")</f>
        <v/>
      </c>
      <c r="F295" s="407" t="str">
        <f t="shared" si="12"/>
        <v/>
      </c>
    </row>
    <row r="296" spans="2:6">
      <c r="B296" s="749" t="s">
        <v>3077</v>
      </c>
      <c r="C296" s="749" t="s">
        <v>3311</v>
      </c>
      <c r="D296" s="421" t="str">
        <f>_xlfn.IFNA(IF(VLOOKUP($C296,Ingredient_prices!$E:$F,2,FALSE)="Партија 2","Lot 2","Lot 1"),"")</f>
        <v/>
      </c>
      <c r="E296" s="407" t="str">
        <f>IF(SUMIF(Meal_entry_week_1!H$11:H$496,"Apple, Granny Smith",Meal_entry_week_1!K$11:K$496)&gt;0,SUMIF(Meal_entry_week_1!H$11:H$496,"Apple, Granny Smith",Meal_entry_week_1!K$11:K$496),"")</f>
        <v/>
      </c>
      <c r="F296" s="407" t="str">
        <f t="shared" si="12"/>
        <v/>
      </c>
    </row>
    <row r="297" spans="2:6">
      <c r="B297" s="749" t="s">
        <v>3077</v>
      </c>
      <c r="C297" s="749" t="s">
        <v>3309</v>
      </c>
      <c r="D297" s="421" t="str">
        <f>_xlfn.IFNA(IF(VLOOKUP($C297,Ingredient_prices!$E:$F,2,FALSE)="Партија 2","Lot 2","Lot 1"),"")</f>
        <v/>
      </c>
      <c r="E297" s="407" t="str">
        <f>IF(SUMIF(Meal_entry_week_1!H$11:H$496,"Apple, Red Delicious",Meal_entry_week_1!K$11:K$496)&gt;0,SUMIF(Meal_entry_week_1!H$11:H$496,"Apple, Red Delicious",Meal_entry_week_1!K$11:K$496),"")</f>
        <v/>
      </c>
      <c r="F297" s="407" t="str">
        <f t="shared" si="12"/>
        <v/>
      </c>
    </row>
    <row r="298" spans="2:6">
      <c r="B298" s="749" t="s">
        <v>3077</v>
      </c>
      <c r="C298" s="749" t="s">
        <v>1779</v>
      </c>
      <c r="D298" s="421" t="str">
        <f>_xlfn.IFNA(IF(VLOOKUP($C298,Ingredient_prices!$E:$F,2,FALSE)="Партија 2","Lot 2","Lot 1"),"")</f>
        <v/>
      </c>
      <c r="E298" s="407" t="str">
        <f>IF(SUMIF(Meal_entry_week_1!H$11:H$496,"Apricot",Meal_entry_week_1!K$11:K$496)&gt;0,SUMIF(Meal_entry_week_1!H$11:H$496,"Apricot",Meal_entry_week_1!K$11:K$496),"")</f>
        <v/>
      </c>
      <c r="F298" s="407" t="str">
        <f t="shared" si="12"/>
        <v/>
      </c>
    </row>
    <row r="299" spans="2:6">
      <c r="B299" s="749" t="s">
        <v>3077</v>
      </c>
      <c r="C299" s="749" t="s">
        <v>27</v>
      </c>
      <c r="D299" s="421" t="str">
        <f>_xlfn.IFNA(IF(VLOOKUP($C299,Ingredient_prices!$E:$F,2,FALSE)="Партија 2","Lot 2","Lot 1"),"")</f>
        <v>Lot 2</v>
      </c>
      <c r="E299" s="407" t="str">
        <f>IF(SUMIF(Meal_entry_week_1!H$11:H$496,"Banana",Meal_entry_week_1!K$11:K$496)&gt;0,SUMIF(Meal_entry_week_1!H$11:H$496,"Banana",Meal_entry_week_1!K$11:K$496),"")</f>
        <v/>
      </c>
      <c r="F299" s="407" t="str">
        <f t="shared" si="12"/>
        <v/>
      </c>
    </row>
    <row r="300" spans="2:6">
      <c r="B300" s="749" t="s">
        <v>3077</v>
      </c>
      <c r="C300" s="749" t="s">
        <v>1781</v>
      </c>
      <c r="D300" s="421" t="str">
        <f>_xlfn.IFNA(IF(VLOOKUP($C300,Ingredient_prices!$E:$F,2,FALSE)="Партија 2","Lot 2","Lot 1"),"")</f>
        <v/>
      </c>
      <c r="E300" s="407" t="str">
        <f>IF(SUMIF(Meal_entry_week_1!H$11:H$496,"Blackberries",Meal_entry_week_1!K$11:K$496)&gt;0,SUMIF(Meal_entry_week_1!H$11:H$496,"Blackberries",Meal_entry_week_1!K$11:K$496),"")</f>
        <v/>
      </c>
      <c r="F300" s="407" t="str">
        <f t="shared" si="12"/>
        <v/>
      </c>
    </row>
    <row r="301" spans="2:6">
      <c r="B301" s="749" t="s">
        <v>3077</v>
      </c>
      <c r="C301" s="749" t="s">
        <v>3323</v>
      </c>
      <c r="D301" s="421" t="str">
        <f>_xlfn.IFNA(IF(VLOOKUP($C301,Ingredient_prices!$E:$F,2,FALSE)="Партија 2","Lot 2","Lot 1"),"")</f>
        <v/>
      </c>
      <c r="E301" s="407" t="str">
        <f>IF(SUMIF(Meal_entry_week_1!H$11:H$496,"Cherries",Meal_entry_week_1!K$11:K$496)&gt;0,SUMIF(Meal_entry_week_1!H$11:H$496,"Cherries",Meal_entry_week_1!K$11:K$496),"")</f>
        <v/>
      </c>
      <c r="F301" s="407" t="str">
        <f t="shared" si="12"/>
        <v/>
      </c>
    </row>
    <row r="302" spans="2:6">
      <c r="B302" s="749" t="s">
        <v>3077</v>
      </c>
      <c r="C302" s="749" t="s">
        <v>3320</v>
      </c>
      <c r="D302" s="421" t="str">
        <f>_xlfn.IFNA(IF(VLOOKUP($C302,Ingredient_prices!$E:$F,2,FALSE)="Партија 2","Lot 2","Lot 1"),"")</f>
        <v/>
      </c>
      <c r="E302" s="407" t="str">
        <f>IF(SUMIF(Meal_entry_week_1!H$11:H$496,"Figs",Meal_entry_week_1!K$11:K$496)&gt;0,SUMIF(Meal_entry_week_1!H$11:H$496,"Figs",Meal_entry_week_1!K$11:K$496),"")</f>
        <v/>
      </c>
      <c r="F302" s="407" t="str">
        <f t="shared" si="12"/>
        <v/>
      </c>
    </row>
    <row r="303" spans="2:6">
      <c r="B303" s="749" t="s">
        <v>3077</v>
      </c>
      <c r="C303" s="749" t="s">
        <v>3321</v>
      </c>
      <c r="D303" s="421" t="str">
        <f>_xlfn.IFNA(IF(VLOOKUP($C303,Ingredient_prices!$E:$F,2,FALSE)="Партија 2","Lot 2","Lot 1"),"")</f>
        <v/>
      </c>
      <c r="E303" s="407" t="str">
        <f>IF(SUMIF(Meal_entry_week_1!H$11:H$496,"Forest fruits, frozen",Meal_entry_week_1!K$11:K$496)&gt;0,SUMIF(Meal_entry_week_1!H$11:H$496,"Forest fruits, frozen",Meal_entry_week_1!K$11:K$496),"")</f>
        <v/>
      </c>
      <c r="F303" s="407" t="str">
        <f t="shared" si="12"/>
        <v/>
      </c>
    </row>
    <row r="304" spans="2:6">
      <c r="B304" s="749" t="s">
        <v>3077</v>
      </c>
      <c r="C304" s="749" t="s">
        <v>1778</v>
      </c>
      <c r="D304" s="421" t="str">
        <f>_xlfn.IFNA(IF(VLOOKUP($C304,Ingredient_prices!$E:$F,2,FALSE)="Партија 2","Lot 2","Lot 1"),"")</f>
        <v/>
      </c>
      <c r="E304" s="407" t="str">
        <f>IF(SUMIF(Meal_entry_week_1!H$11:H$496,"Grapefruit",Meal_entry_week_1!K$11:K$496)&gt;0,SUMIF(Meal_entry_week_1!H$11:H$496,"Grapefruit",Meal_entry_week_1!K$11:K$496),"")</f>
        <v/>
      </c>
      <c r="F304" s="407" t="str">
        <f t="shared" si="12"/>
        <v/>
      </c>
    </row>
    <row r="305" spans="2:6">
      <c r="B305" s="749" t="s">
        <v>3077</v>
      </c>
      <c r="C305" s="749" t="s">
        <v>460</v>
      </c>
      <c r="D305" s="421" t="str">
        <f>_xlfn.IFNA(IF(VLOOKUP($C305,Ingredient_prices!$E:$F,2,FALSE)="Партија 2","Lot 2","Lot 1"),"")</f>
        <v>Lot 2</v>
      </c>
      <c r="E305" s="407" t="str">
        <f>IF(SUMIF(Meal_entry_week_1!H$11:H$496,"Grapes",Meal_entry_week_1!K$11:K$496)&gt;0,SUMIF(Meal_entry_week_1!H$11:H$496,"Grapes",Meal_entry_week_1!K$11:K$496),"")</f>
        <v/>
      </c>
      <c r="F305" s="407" t="str">
        <f t="shared" si="12"/>
        <v/>
      </c>
    </row>
    <row r="306" spans="2:6">
      <c r="B306" s="749" t="s">
        <v>3077</v>
      </c>
      <c r="C306" s="749" t="s">
        <v>3317</v>
      </c>
      <c r="D306" s="421" t="str">
        <f>_xlfn.IFNA(IF(VLOOKUP($C306,Ingredient_prices!$E:$F,2,FALSE)="Партија 2","Lot 2","Lot 1"),"")</f>
        <v/>
      </c>
      <c r="E306" s="407" t="str">
        <f>IF(SUMIF(Meal_entry_week_1!H$11:H$496,"Hazelnuts",Meal_entry_week_1!K$11:K$496)&gt;0,SUMIF(Meal_entry_week_1!H$11:H$496,"Hazelnuts",Meal_entry_week_1!K$11:K$496),"")</f>
        <v/>
      </c>
      <c r="F306" s="407" t="str">
        <f t="shared" si="12"/>
        <v/>
      </c>
    </row>
    <row r="307" spans="2:6">
      <c r="B307" s="749" t="s">
        <v>3077</v>
      </c>
      <c r="C307" s="749" t="s">
        <v>481</v>
      </c>
      <c r="D307" s="421" t="str">
        <f>_xlfn.IFNA(IF(VLOOKUP($C307,Ingredient_prices!$E:$F,2,FALSE)="Партија 2","Lot 2","Lot 1"),"")</f>
        <v>Lot 2</v>
      </c>
      <c r="E307" s="407" t="str">
        <f>IF(SUMIF(Meal_entry_week_1!H$11:H$496,"Kiwi fruit",Meal_entry_week_1!K$11:K$496)&gt;0,SUMIF(Meal_entry_week_1!H$11:H$496,"Kiwi fruit",Meal_entry_week_1!K$11:K$496),"")</f>
        <v/>
      </c>
      <c r="F307" s="407" t="str">
        <f t="shared" si="12"/>
        <v/>
      </c>
    </row>
    <row r="308" spans="2:6">
      <c r="B308" s="749" t="s">
        <v>3077</v>
      </c>
      <c r="C308" s="749" t="s">
        <v>1783</v>
      </c>
      <c r="D308" s="421" t="str">
        <f>_xlfn.IFNA(IF(VLOOKUP($C308,Ingredient_prices!$E:$F,2,FALSE)="Партија 2","Lot 2","Lot 1"),"")</f>
        <v>Lot 2</v>
      </c>
      <c r="E308" s="407" t="str">
        <f>IF(SUMIF(Meal_entry_week_1!H$11:H$496,"Lemon",Meal_entry_week_1!K$11:K$496)&gt;0,SUMIF(Meal_entry_week_1!H$11:H$496,"Lemon",Meal_entry_week_1!K$11:K$496),"")</f>
        <v/>
      </c>
      <c r="F308" s="407" t="str">
        <f t="shared" si="12"/>
        <v/>
      </c>
    </row>
    <row r="309" spans="2:6">
      <c r="B309" s="749" t="s">
        <v>3077</v>
      </c>
      <c r="C309" s="749" t="s">
        <v>3440</v>
      </c>
      <c r="D309" s="421" t="str">
        <f>_xlfn.IFNA(IF(VLOOKUP($C309,Ingredient_prices!$E:$F,2,FALSE)="Партија 2","Lot 2","Lot 1"),"")</f>
        <v>Lot 2</v>
      </c>
      <c r="E309" s="407" t="str">
        <f>IF(SUMIF(Meal_entry_week_1!H$11:H$496,"Mandarin orange",Meal_entry_week_1!K$11:K$496)&gt;0,SUMIF(Meal_entry_week_1!H$11:H$496,"Mandarin orange",Meal_entry_week_1!K$11:K$496),"")</f>
        <v/>
      </c>
      <c r="F309" s="407" t="str">
        <f t="shared" si="12"/>
        <v/>
      </c>
    </row>
    <row r="310" spans="2:6">
      <c r="B310" s="749" t="s">
        <v>3077</v>
      </c>
      <c r="C310" s="749" t="s">
        <v>1777</v>
      </c>
      <c r="D310" s="421" t="str">
        <f>_xlfn.IFNA(IF(VLOOKUP($C310,Ingredient_prices!$E:$F,2,FALSE)="Партија 2","Lot 2","Lot 1"),"")</f>
        <v/>
      </c>
      <c r="E310" s="407" t="str">
        <f>IF(SUMIF(Meal_entry_week_1!H$11:H$496,"Melon",Meal_entry_week_1!K$11:K$496)&gt;0,SUMIF(Meal_entry_week_1!H$11:H$496,"Melon",Meal_entry_week_1!K$11:K$496),"")</f>
        <v/>
      </c>
      <c r="F310" s="407" t="str">
        <f t="shared" si="12"/>
        <v/>
      </c>
    </row>
    <row r="311" spans="2:6">
      <c r="B311" s="749" t="s">
        <v>3077</v>
      </c>
      <c r="C311" s="749" t="s">
        <v>1791</v>
      </c>
      <c r="D311" s="421" t="str">
        <f>_xlfn.IFNA(IF(VLOOKUP($C311,Ingredient_prices!$E:$F,2,FALSE)="Партија 2","Lot 2","Lot 1"),"")</f>
        <v/>
      </c>
      <c r="E311" s="407" t="str">
        <f>IF(SUMIF(Meal_entry_week_1!H$11:H$496,"Nectarine",Meal_entry_week_1!K$11:K$496)&gt;0,SUMIF(Meal_entry_week_1!H$11:H$496,"Nectarine",Meal_entry_week_1!K$11:K$496),"")</f>
        <v/>
      </c>
      <c r="F311" s="407" t="str">
        <f t="shared" si="12"/>
        <v/>
      </c>
    </row>
    <row r="312" spans="2:6">
      <c r="B312" s="749" t="s">
        <v>3077</v>
      </c>
      <c r="C312" s="749" t="s">
        <v>1789</v>
      </c>
      <c r="D312" s="421" t="str">
        <f>_xlfn.IFNA(IF(VLOOKUP($C312,Ingredient_prices!$E:$F,2,FALSE)="Партија 2","Lot 2","Lot 1"),"")</f>
        <v/>
      </c>
      <c r="E312" s="407" t="str">
        <f>IF(SUMIF(Meal_entry_week_1!H$11:H$496,"Nutmeg",Meal_entry_week_1!K$11:K$496)&gt;0,SUMIF(Meal_entry_week_1!H$11:H$496,"Nutmeg",Meal_entry_week_1!K$11:K$496),"")</f>
        <v/>
      </c>
      <c r="F312" s="407" t="str">
        <f t="shared" si="12"/>
        <v/>
      </c>
    </row>
    <row r="313" spans="2:6">
      <c r="B313" s="749" t="s">
        <v>3077</v>
      </c>
      <c r="C313" s="749" t="s">
        <v>3318</v>
      </c>
      <c r="D313" s="421" t="str">
        <f>_xlfn.IFNA(IF(VLOOKUP($C313,Ingredient_prices!$E:$F,2,FALSE)="Партија 2","Lot 2","Lot 1"),"")</f>
        <v>Lot 2</v>
      </c>
      <c r="E313" s="407" t="str">
        <f>IF(SUMIF(Meal_entry_week_1!H$11:H$496,"Olives pasteurized",Meal_entry_week_1!K$11:K$496)&gt;0,SUMIF(Meal_entry_week_1!H$11:H$496,"Olives pasteurized",Meal_entry_week_1!K$11:K$496),"")</f>
        <v/>
      </c>
      <c r="F313" s="407" t="str">
        <f t="shared" si="12"/>
        <v/>
      </c>
    </row>
    <row r="314" spans="2:6">
      <c r="B314" s="749" t="s">
        <v>3077</v>
      </c>
      <c r="C314" s="749" t="s">
        <v>1790</v>
      </c>
      <c r="D314" s="421" t="str">
        <f>_xlfn.IFNA(IF(VLOOKUP($C314,Ingredient_prices!$E:$F,2,FALSE)="Партија 2","Lot 2","Lot 1"),"")</f>
        <v>Lot 2</v>
      </c>
      <c r="E314" s="407" t="str">
        <f>IF(SUMIF(Meal_entry_week_1!H$11:H$496,"Orange",Meal_entry_week_1!K$11:K$496)&gt;0,SUMIF(Meal_entry_week_1!H$11:H$496,"Orange",Meal_entry_week_1!K$11:K$496),"")</f>
        <v/>
      </c>
      <c r="F314" s="407" t="str">
        <f t="shared" ref="F314:F375" si="16">IF(E314="","",E314/1)</f>
        <v/>
      </c>
    </row>
    <row r="315" spans="2:6">
      <c r="B315" s="749" t="s">
        <v>3077</v>
      </c>
      <c r="C315" s="749" t="s">
        <v>3319</v>
      </c>
      <c r="D315" s="421" t="str">
        <f>_xlfn.IFNA(IF(VLOOKUP($C315,Ingredient_prices!$E:$F,2,FALSE)="Партија 2","Lot 2","Lot 1"),"")</f>
        <v/>
      </c>
      <c r="E315" s="407" t="str">
        <f>IF(SUMIF(Meal_entry_week_1!H$11:H$496,"Oranges",Meal_entry_week_1!K$11:K$496)&gt;0,SUMIF(Meal_entry_week_1!H$11:H$496,"Oranges",Meal_entry_week_1!K$11:K$496),"")</f>
        <v/>
      </c>
      <c r="F315" s="407" t="str">
        <f t="shared" si="16"/>
        <v/>
      </c>
    </row>
    <row r="316" spans="2:6">
      <c r="B316" s="749" t="s">
        <v>3077</v>
      </c>
      <c r="C316" s="749" t="s">
        <v>1776</v>
      </c>
      <c r="D316" s="421" t="str">
        <f>_xlfn.IFNA(IF(VLOOKUP($C316,Ingredient_prices!$E:$F,2,FALSE)="Партија 2","Lot 2","Lot 1"),"")</f>
        <v/>
      </c>
      <c r="E316" s="407" t="str">
        <f>IF(SUMIF(Meal_entry_week_1!H$11:H$496,"Peach",Meal_entry_week_1!K$11:K$496)&gt;0,SUMIF(Meal_entry_week_1!H$11:H$496,"Peach",Meal_entry_week_1!K$11:K$496),"")</f>
        <v/>
      </c>
      <c r="F316" s="407" t="str">
        <f t="shared" si="16"/>
        <v/>
      </c>
    </row>
    <row r="317" spans="2:6">
      <c r="B317" s="749" t="s">
        <v>3077</v>
      </c>
      <c r="C317" s="749" t="s">
        <v>3316</v>
      </c>
      <c r="D317" s="421" t="str">
        <f>_xlfn.IFNA(IF(VLOOKUP($C317,Ingredient_prices!$E:$F,2,FALSE)="Партија 2","Lot 2","Lot 1"),"")</f>
        <v/>
      </c>
      <c r="E317" s="407" t="str">
        <f>IF(SUMIF(Meal_entry_week_1!H$11:H$496,"Peanuts, roasted, salt-free",Meal_entry_week_1!K$11:K$496)&gt;0,SUMIF(Meal_entry_week_1!H$11:H$496,"Peanuts, roasted, salt-free",Meal_entry_week_1!K$11:K$496),"")</f>
        <v/>
      </c>
      <c r="F317" s="407" t="str">
        <f t="shared" si="16"/>
        <v/>
      </c>
    </row>
    <row r="318" spans="2:6">
      <c r="B318" s="749" t="s">
        <v>3077</v>
      </c>
      <c r="C318" s="749" t="s">
        <v>3313</v>
      </c>
      <c r="D318" s="421" t="str">
        <f>_xlfn.IFNA(IF(VLOOKUP($C318,Ingredient_prices!$E:$F,2,FALSE)="Партија 2","Lot 2","Lot 1"),"")</f>
        <v>Lot 2</v>
      </c>
      <c r="E318" s="407" t="str">
        <f>IF(SUMIF(Meal_entry_week_1!H$11:H$496,"Pear",Meal_entry_week_1!K$11:K$496)&gt;0,SUMIF(Meal_entry_week_1!H$11:H$496,"Pear",Meal_entry_week_1!K$11:K$496),"")</f>
        <v/>
      </c>
      <c r="F318" s="407" t="str">
        <f t="shared" si="16"/>
        <v/>
      </c>
    </row>
    <row r="319" spans="2:6">
      <c r="B319" s="749" t="s">
        <v>3077</v>
      </c>
      <c r="C319" s="749" t="s">
        <v>1773</v>
      </c>
      <c r="D319" s="421" t="str">
        <f>_xlfn.IFNA(IF(VLOOKUP($C319,Ingredient_prices!$E:$F,2,FALSE)="Партија 2","Lot 2","Lot 1"),"")</f>
        <v/>
      </c>
      <c r="E319" s="407" t="str">
        <f>IF(SUMIF(Meal_entry_week_1!H$11:H$496,"Pineapple",Meal_entry_week_1!K$11:K$496)&gt;0,SUMIF(Meal_entry_week_1!H$11:H$496,"Pineapple",Meal_entry_week_1!K$11:K$496),"")</f>
        <v/>
      </c>
      <c r="F319" s="407" t="str">
        <f t="shared" si="16"/>
        <v/>
      </c>
    </row>
    <row r="320" spans="2:6">
      <c r="B320" s="749" t="s">
        <v>3077</v>
      </c>
      <c r="C320" s="749" t="s">
        <v>467</v>
      </c>
      <c r="D320" s="421" t="str">
        <f>_xlfn.IFNA(IF(VLOOKUP($C320,Ingredient_prices!$E:$F,2,FALSE)="Партија 2","Lot 2","Lot 1"),"")</f>
        <v/>
      </c>
      <c r="E320" s="407" t="str">
        <f>IF(SUMIF(Meal_entry_week_1!H$11:H$496,"Plums",Meal_entry_week_1!K$11:K$496)&gt;0,SUMIF(Meal_entry_week_1!H$11:H$496,"Plums",Meal_entry_week_1!K$11:K$496),"")</f>
        <v/>
      </c>
      <c r="F320" s="407" t="str">
        <f t="shared" si="16"/>
        <v/>
      </c>
    </row>
    <row r="321" spans="2:6">
      <c r="B321" s="749" t="s">
        <v>3077</v>
      </c>
      <c r="C321" s="749" t="s">
        <v>3314</v>
      </c>
      <c r="D321" s="421" t="str">
        <f>_xlfn.IFNA(IF(VLOOKUP($C321,Ingredient_prices!$E:$F,2,FALSE)="Партија 2","Lot 2","Lot 1"),"")</f>
        <v/>
      </c>
      <c r="E321" s="407" t="str">
        <f>IF(SUMIF(Meal_entry_week_1!H$11:H$496,"Prunes",Meal_entry_week_1!K$11:K$496)&gt;0,SUMIF(Meal_entry_week_1!H$11:H$496,"Prunes",Meal_entry_week_1!K$11:K$496),"")</f>
        <v/>
      </c>
      <c r="F321" s="407" t="str">
        <f t="shared" si="16"/>
        <v/>
      </c>
    </row>
    <row r="322" spans="2:6">
      <c r="B322" s="749" t="s">
        <v>3077</v>
      </c>
      <c r="C322" s="749" t="s">
        <v>1801</v>
      </c>
      <c r="D322" s="421" t="str">
        <f>_xlfn.IFNA(IF(VLOOKUP($C322,Ingredient_prices!$E:$F,2,FALSE)="Партија 2","Lot 2","Lot 1"),"")</f>
        <v/>
      </c>
      <c r="E322" s="407" t="str">
        <f>IF(SUMIF(Meal_entry_week_1!H$11:H$496,"Quince",Meal_entry_week_1!K$11:K$496)&gt;0,SUMIF(Meal_entry_week_1!H$11:H$496,"Quince",Meal_entry_week_1!K$11:K$496),"")</f>
        <v/>
      </c>
      <c r="F322" s="407" t="str">
        <f t="shared" si="16"/>
        <v/>
      </c>
    </row>
    <row r="323" spans="2:6">
      <c r="B323" s="749" t="s">
        <v>3077</v>
      </c>
      <c r="C323" s="749" t="s">
        <v>3322</v>
      </c>
      <c r="D323" s="421" t="str">
        <f>_xlfn.IFNA(IF(VLOOKUP($C323,Ingredient_prices!$E:$F,2,FALSE)="Партија 2","Lot 2","Lot 1"),"")</f>
        <v>Lot 2</v>
      </c>
      <c r="E323" s="407" t="str">
        <f>IF(SUMIF(Meal_entry_week_1!H$11:H$496,"Raisins (dried grapes)",Meal_entry_week_1!K$11:K$496)&gt;0,SUMIF(Meal_entry_week_1!H$11:H$496,"Raisins (dried grapes)",Meal_entry_week_1!K$11:K$496),"")</f>
        <v/>
      </c>
      <c r="F323" s="407" t="str">
        <f t="shared" si="16"/>
        <v/>
      </c>
    </row>
    <row r="324" spans="2:6">
      <c r="B324" s="749" t="s">
        <v>3077</v>
      </c>
      <c r="C324" s="749" t="s">
        <v>1786</v>
      </c>
      <c r="D324" s="421" t="str">
        <f>_xlfn.IFNA(IF(VLOOKUP($C324,Ingredient_prices!$E:$F,2,FALSE)="Партија 2","Lot 2","Lot 1"),"")</f>
        <v/>
      </c>
      <c r="E324" s="407" t="str">
        <f>IF(SUMIF(Meal_entry_week_1!H$11:H$496,"Raspberries",Meal_entry_week_1!K$11:K$496)&gt;0,SUMIF(Meal_entry_week_1!H$11:H$496,"Raspberries",Meal_entry_week_1!K$11:K$496),"")</f>
        <v/>
      </c>
      <c r="F324" s="407" t="str">
        <f t="shared" si="16"/>
        <v/>
      </c>
    </row>
    <row r="325" spans="2:6">
      <c r="B325" s="749" t="s">
        <v>3077</v>
      </c>
      <c r="C325" s="749" t="s">
        <v>3324</v>
      </c>
      <c r="D325" s="421" t="str">
        <f>_xlfn.IFNA(IF(VLOOKUP($C325,Ingredient_prices!$E:$F,2,FALSE)="Партија 2","Lot 2","Lot 1"),"")</f>
        <v>Lot 2</v>
      </c>
      <c r="E325" s="407">
        <f>IF(SUMIF(Meal_entry_week_1!H$11:H$496,"Sour cherries, frozen",Meal_entry_week_1!K$11:K$496)&gt;0,SUMIF(Meal_entry_week_1!H$11:H$496,"Sour cherries, frozen",Meal_entry_week_1!K$11:K$496),"")</f>
        <v>2.5299999999999998</v>
      </c>
      <c r="F325" s="407">
        <f t="shared" si="16"/>
        <v>2.5299999999999998</v>
      </c>
    </row>
    <row r="326" spans="2:6">
      <c r="B326" s="749" t="s">
        <v>3077</v>
      </c>
      <c r="C326" s="749" t="s">
        <v>468</v>
      </c>
      <c r="D326" s="421" t="str">
        <f>_xlfn.IFNA(IF(VLOOKUP($C326,Ingredient_prices!$E:$F,2,FALSE)="Партија 2","Lot 2","Lot 1"),"")</f>
        <v>Lot 2</v>
      </c>
      <c r="E326" s="407" t="str">
        <f>IF(SUMIF(Meal_entry_week_1!H$11:H$496,"Strawberries",Meal_entry_week_1!K$11:K$496)&gt;0,SUMIF(Meal_entry_week_1!H$11:H$496,"Strawberries",Meal_entry_week_1!K$11:K$496),"")</f>
        <v/>
      </c>
      <c r="F326" s="407" t="str">
        <f t="shared" si="16"/>
        <v/>
      </c>
    </row>
    <row r="327" spans="2:6">
      <c r="B327" s="749" t="s">
        <v>3077</v>
      </c>
      <c r="C327" s="749" t="s">
        <v>1792</v>
      </c>
      <c r="D327" s="421" t="str">
        <f>_xlfn.IFNA(IF(VLOOKUP($C327,Ingredient_prices!$E:$F,2,FALSE)="Партија 2","Lot 2","Lot 1"),"")</f>
        <v>Lot 2</v>
      </c>
      <c r="E327" s="407" t="str">
        <f>IF(SUMIF(Meal_entry_week_1!H$11:H$496,"Walnuts",Meal_entry_week_1!K$11:K$496)&gt;0,SUMIF(Meal_entry_week_1!H$11:H$496,"Walnuts",Meal_entry_week_1!K$11:K$496),"")</f>
        <v/>
      </c>
      <c r="F327" s="407" t="str">
        <f t="shared" si="16"/>
        <v/>
      </c>
    </row>
    <row r="328" spans="2:6">
      <c r="B328" s="492" t="s">
        <v>3077</v>
      </c>
      <c r="C328" s="492" t="s">
        <v>1785</v>
      </c>
      <c r="D328" s="421" t="str">
        <f>_xlfn.IFNA(IF(VLOOKUP($C328,Ingredient_prices!$E:$F,2,FALSE)="Партија 2","Lot 2","Lot 1"),"")</f>
        <v/>
      </c>
      <c r="E328" s="407" t="str">
        <f>IF(SUMIF(Meal_entry_week_1!H$11:H$496,"Watermelon",Meal_entry_week_1!K$11:K$496)&gt;0,SUMIF(Meal_entry_week_1!H$11:H$496,"Watermelon",Meal_entry_week_1!K$11:K$496),"")</f>
        <v/>
      </c>
      <c r="F328" s="407" t="str">
        <f t="shared" si="16"/>
        <v/>
      </c>
    </row>
    <row r="329" spans="2:6">
      <c r="B329" s="491" t="s">
        <v>3078</v>
      </c>
      <c r="C329" s="749" t="s">
        <v>3342</v>
      </c>
      <c r="D329" s="421" t="str">
        <f>_xlfn.IFNA(IF(VLOOKUP($C329,Ingredient_prices!$E:$F,2,FALSE)="Партија 2","Lot 2","Lot 1"),"")</f>
        <v/>
      </c>
      <c r="E329" s="407" t="str">
        <f>IF(SUMIF(Meal_entry_week_1!H$11:H$496,"7 days cake bar",Meal_entry_week_1!K$11:K$496)&gt;0,SUMIF(Meal_entry_week_1!H$11:H$496,"7 days cake bar",Meal_entry_week_1!K$11:K$496),"")</f>
        <v/>
      </c>
      <c r="F329" s="407" t="str">
        <f t="shared" si="16"/>
        <v/>
      </c>
    </row>
    <row r="330" spans="2:6">
      <c r="B330" s="491" t="s">
        <v>3078</v>
      </c>
      <c r="C330" s="749" t="s">
        <v>3480</v>
      </c>
      <c r="D330" s="421" t="str">
        <f>_xlfn.IFNA(IF(VLOOKUP($C330,Ingredient_prices!$E:$F,2,FALSE)="Партија 2","Lot 2","Lot 1"),"")</f>
        <v/>
      </c>
      <c r="E330" s="407" t="str">
        <f>IF(SUMIF(Meal_entry_week_1!H$11:H$496,"Apple cake",Meal_entry_week_1!K$11:K$496)&gt;0,SUMIF(Meal_entry_week_1!H$11:H$496,"Apple cake",Meal_entry_week_1!K$11:K$496),"")</f>
        <v/>
      </c>
      <c r="F330" s="407" t="str">
        <f t="shared" si="16"/>
        <v/>
      </c>
    </row>
    <row r="331" spans="2:6">
      <c r="B331" s="491" t="s">
        <v>3078</v>
      </c>
      <c r="C331" s="749" t="s">
        <v>3363</v>
      </c>
      <c r="D331" s="421" t="str">
        <f>_xlfn.IFNA(IF(VLOOKUP($C331,Ingredient_prices!$E:$F,2,FALSE)="Партија 2","Lot 2","Lot 1"),"")</f>
        <v>Lot 2</v>
      </c>
      <c r="E331" s="407" t="str">
        <f>IF(SUMIF(Meal_entry_week_1!H$11:H$496,"Apricot filling",Meal_entry_week_1!K$11:K$496)&gt;0,SUMIF(Meal_entry_week_1!H$11:H$496,"Apricot filling",Meal_entry_week_1!K$11:K$496),"")</f>
        <v/>
      </c>
      <c r="F331" s="407" t="str">
        <f t="shared" ref="F331" si="17">IF(E331="","",E331/1)</f>
        <v/>
      </c>
    </row>
    <row r="332" spans="2:6">
      <c r="B332" s="491" t="s">
        <v>3078</v>
      </c>
      <c r="C332" s="749" t="s">
        <v>510</v>
      </c>
      <c r="D332" s="421" t="str">
        <f>_xlfn.IFNA(IF(VLOOKUP($C332,Ingredient_prices!$E:$F,2,FALSE)="Партија 2","Lot 2","Lot 1"),"")</f>
        <v>Lot 2</v>
      </c>
      <c r="E332" s="407" t="str">
        <f>IF(SUMIF(Meal_entry_week_1!H$11:H$496,"Apricot jam",Meal_entry_week_1!K$11:K$496)&gt;0,SUMIF(Meal_entry_week_1!H$11:H$496,"Apricot jam",Meal_entry_week_1!K$11:K$496),"")</f>
        <v/>
      </c>
      <c r="F332" s="407" t="str">
        <f t="shared" si="16"/>
        <v/>
      </c>
    </row>
    <row r="333" spans="2:6">
      <c r="B333" s="491" t="s">
        <v>3078</v>
      </c>
      <c r="C333" s="749" t="s">
        <v>3479</v>
      </c>
      <c r="D333" s="421" t="str">
        <f>_xlfn.IFNA(IF(VLOOKUP($C333,Ingredient_prices!$E:$F,2,FALSE)="Партија 2","Lot 2","Lot 1"),"")</f>
        <v/>
      </c>
      <c r="E333" s="407" t="str">
        <f>IF(SUMIF(Meal_entry_week_1!H$11:H$496,"Apricot compote",Meal_entry_week_1!K$11:K$496)&gt;0,SUMIF(Meal_entry_week_1!H$11:H$496,"Apricot compote",Meal_entry_week_1!K$11:K$496),"")</f>
        <v/>
      </c>
      <c r="F333" s="407" t="str">
        <f t="shared" si="16"/>
        <v/>
      </c>
    </row>
    <row r="334" spans="2:6">
      <c r="B334" s="491" t="s">
        <v>3078</v>
      </c>
      <c r="C334" s="749" t="s">
        <v>3350</v>
      </c>
      <c r="D334" s="421" t="str">
        <f>_xlfn.IFNA(IF(VLOOKUP($C334,Ingredient_prices!$E:$F,2,FALSE)="Партија 2","Lot 2","Lot 1"),"")</f>
        <v/>
      </c>
      <c r="E334" s="407" t="str">
        <f>IF(SUMIF(Meal_entry_week_1!H$11:H$496,"Biscuit Petit beurre",Meal_entry_week_1!K$11:K$496)&gt;0,SUMIF(Meal_entry_week_1!H$11:H$496,"Biscuit Petit beurre",Meal_entry_week_1!K$11:K$496),"")</f>
        <v/>
      </c>
      <c r="F334" s="407" t="str">
        <f t="shared" si="16"/>
        <v/>
      </c>
    </row>
    <row r="335" spans="2:6">
      <c r="B335" s="491" t="s">
        <v>3078</v>
      </c>
      <c r="C335" s="749" t="s">
        <v>3352</v>
      </c>
      <c r="D335" s="421" t="str">
        <f>_xlfn.IFNA(IF(VLOOKUP($C335,Ingredient_prices!$E:$F,2,FALSE)="Партија 2","Lot 2","Lot 1"),"")</f>
        <v/>
      </c>
      <c r="E335" s="407" t="str">
        <f>IF(SUMIF(Meal_entry_week_1!H$11:H$496,"Biscuit Wellness wholemeal with chocolate",Meal_entry_week_1!K$11:K$496)&gt;0,SUMIF(Meal_entry_week_1!H$11:H$496,"Biscuit Wellness wholemeal with chocolate",Meal_entry_week_1!K$11:K$496),"")</f>
        <v/>
      </c>
      <c r="F335" s="407" t="str">
        <f t="shared" si="16"/>
        <v/>
      </c>
    </row>
    <row r="336" spans="2:6">
      <c r="B336" s="491" t="s">
        <v>3078</v>
      </c>
      <c r="C336" s="749" t="s">
        <v>3349</v>
      </c>
      <c r="D336" s="421" t="str">
        <f>_xlfn.IFNA(IF(VLOOKUP($C336,Ingredient_prices!$E:$F,2,FALSE)="Партија 2","Lot 2","Lot 1"),"")</f>
        <v/>
      </c>
      <c r="E336" s="407" t="str">
        <f>IF(SUMIF(Meal_entry_week_1!H$11:H$496,"Biscuit wholemeal",Meal_entry_week_1!K$11:K$496)&gt;0,SUMIF(Meal_entry_week_1!H$11:H$496,"Biscuit wholemeal",Meal_entry_week_1!K$11:K$496),"")</f>
        <v/>
      </c>
      <c r="F336" s="407" t="str">
        <f t="shared" si="16"/>
        <v/>
      </c>
    </row>
    <row r="337" spans="1:7">
      <c r="B337" s="491" t="s">
        <v>3078</v>
      </c>
      <c r="C337" s="749" t="s">
        <v>3343</v>
      </c>
      <c r="D337" s="421" t="str">
        <f>_xlfn.IFNA(IF(VLOOKUP($C337,Ingredient_prices!$E:$F,2,FALSE)="Партија 2","Lot 2","Lot 1"),"")</f>
        <v/>
      </c>
      <c r="E337" s="407" t="str">
        <f>IF(SUMIF(Meal_entry_week_1!H$11:H$496,"Boiled sweets",Meal_entry_week_1!K$11:K$496)&gt;0,SUMIF(Meal_entry_week_1!H$11:H$496,"Boiled sweets",Meal_entry_week_1!K$11:K$496),"")</f>
        <v/>
      </c>
      <c r="F337" s="407" t="str">
        <f t="shared" si="16"/>
        <v/>
      </c>
    </row>
    <row r="338" spans="1:7">
      <c r="B338" s="491" t="s">
        <v>3078</v>
      </c>
      <c r="C338" s="749" t="s">
        <v>3333</v>
      </c>
      <c r="D338" s="421" t="str">
        <f>_xlfn.IFNA(IF(VLOOKUP($C338,Ingredient_prices!$E:$F,2,FALSE)="Партија 2","Lot 2","Lot 1"),"")</f>
        <v/>
      </c>
      <c r="E338" s="407" t="str">
        <f>IF(SUMIF(Meal_entry_week_1!H$11:H$496,"Caramel hazelnut",Meal_entry_week_1!K$11:K$496)&gt;0,SUMIF(Meal_entry_week_1!H$11:H$496,"Caramel hazelnut",Meal_entry_week_1!K$11:K$496),"")</f>
        <v/>
      </c>
      <c r="F338" s="407" t="str">
        <f t="shared" si="16"/>
        <v/>
      </c>
    </row>
    <row r="339" spans="1:7" s="749" customFormat="1">
      <c r="A339" s="444"/>
      <c r="B339" s="491" t="s">
        <v>3078</v>
      </c>
      <c r="C339" s="749" t="s">
        <v>3477</v>
      </c>
      <c r="D339" s="421" t="str">
        <f>_xlfn.IFNA(IF(VLOOKUP($C339,Ingredient_prices!$E:$F,2,FALSE)="Партија 2","Lot 2","Lot 1"),"")</f>
        <v/>
      </c>
      <c r="E339" s="407" t="str">
        <f>IF(SUMIF(Meal_entry_week_1!H$11:H$496,"Cereal bar Bonzita",Meal_entry_week_1!K$11:K$496)&gt;0,SUMIF(Meal_entry_week_1!H$11:H$496,"Cereal bar Bonzita",Meal_entry_week_1!K$11:K$496),"")</f>
        <v/>
      </c>
      <c r="F339" s="407" t="str">
        <f t="shared" si="16"/>
        <v/>
      </c>
      <c r="G339" s="444"/>
    </row>
    <row r="340" spans="1:7" s="749" customFormat="1">
      <c r="A340" s="444"/>
      <c r="B340" s="491" t="s">
        <v>3078</v>
      </c>
      <c r="C340" s="749" t="s">
        <v>3364</v>
      </c>
      <c r="D340" s="421" t="str">
        <f>_xlfn.IFNA(IF(VLOOKUP($C340,Ingredient_prices!$E:$F,2,FALSE)="Партија 2","Lot 2","Lot 1"),"")</f>
        <v>Lot 2</v>
      </c>
      <c r="E340" s="407" t="str">
        <f>IF(SUMIF(Meal_entry_week_1!H$11:H$496,"Cherry filling",Meal_entry_week_1!K$11:K$496)&gt;0,SUMIF(Meal_entry_week_1!H$11:H$496,"Cherry filling",Meal_entry_week_1!K$11:K$496),"")</f>
        <v/>
      </c>
      <c r="F340" s="407" t="str">
        <f t="shared" si="16"/>
        <v/>
      </c>
      <c r="G340" s="444"/>
    </row>
    <row r="341" spans="1:7">
      <c r="B341" s="491" t="s">
        <v>3078</v>
      </c>
      <c r="C341" s="749" t="s">
        <v>2261</v>
      </c>
      <c r="D341" s="421" t="str">
        <f>_xlfn.IFNA(IF(VLOOKUP($C341,Ingredient_prices!$E:$F,2,FALSE)="Партија 2","Lot 2","Lot 1"),"")</f>
        <v/>
      </c>
      <c r="E341" s="407" t="str">
        <f>IF(SUMIF(Meal_entry_week_1!H$11:H$496,"Choco o clock",Meal_entry_week_1!K$11:K$496)&gt;0,SUMIF(Meal_entry_week_1!H$11:H$496,"Choco o clock",Meal_entry_week_1!K$11:K$496),"")</f>
        <v/>
      </c>
      <c r="F341" s="407" t="str">
        <f t="shared" si="16"/>
        <v/>
      </c>
    </row>
    <row r="342" spans="1:7">
      <c r="B342" s="491" t="s">
        <v>3078</v>
      </c>
      <c r="C342" s="749" t="s">
        <v>484</v>
      </c>
      <c r="D342" s="421" t="str">
        <f>_xlfn.IFNA(IF(VLOOKUP($C342,Ingredient_prices!$E:$F,2,FALSE)="Партија 2","Lot 2","Lot 1"),"")</f>
        <v/>
      </c>
      <c r="E342" s="407" t="str">
        <f>IF(SUMIF(Meal_entry_week_1!H$11:H$496,"Chocolate",Meal_entry_week_1!K$11:K$496)&gt;0,SUMIF(Meal_entry_week_1!H$11:H$496,"Chocolate",Meal_entry_week_1!K$11:K$496),"")</f>
        <v/>
      </c>
      <c r="F342" s="407" t="str">
        <f t="shared" si="16"/>
        <v/>
      </c>
    </row>
    <row r="343" spans="1:7">
      <c r="B343" s="491" t="s">
        <v>3078</v>
      </c>
      <c r="C343" s="749" t="s">
        <v>3345</v>
      </c>
      <c r="D343" s="421" t="str">
        <f>_xlfn.IFNA(IF(VLOOKUP($C343,Ingredient_prices!$E:$F,2,FALSE)="Партија 2","Lot 2","Lot 1"),"")</f>
        <v/>
      </c>
      <c r="E343" s="407" t="str">
        <f>IF(SUMIF(Meal_entry_week_1!H$11:H$496,"Chocolate bar (banana)",Meal_entry_week_1!K$11:K$496)&gt;0,SUMIF(Meal_entry_week_1!H$11:H$496,"Chocolate bar (banana)",Meal_entry_week_1!K$11:K$496),"")</f>
        <v/>
      </c>
      <c r="F343" s="407" t="str">
        <f t="shared" si="16"/>
        <v/>
      </c>
    </row>
    <row r="344" spans="1:7">
      <c r="B344" s="491" t="s">
        <v>3078</v>
      </c>
      <c r="C344" s="749" t="s">
        <v>3348</v>
      </c>
      <c r="D344" s="421" t="str">
        <f>_xlfn.IFNA(IF(VLOOKUP($C344,Ingredient_prices!$E:$F,2,FALSE)="Партија 2","Lot 2","Lot 1"),"")</f>
        <v/>
      </c>
      <c r="E344" s="407" t="str">
        <f>IF(SUMIF(Meal_entry_week_1!H$11:H$496,"Chocolate bar (Fazon)",Meal_entry_week_1!K$11:K$496)&gt;0,SUMIF(Meal_entry_week_1!H$11:H$496,"Chocolate bar (Fazon)",Meal_entry_week_1!K$11:K$496),"")</f>
        <v/>
      </c>
      <c r="F344" s="407" t="str">
        <f t="shared" si="16"/>
        <v/>
      </c>
    </row>
    <row r="345" spans="1:7">
      <c r="B345" s="491" t="s">
        <v>3078</v>
      </c>
      <c r="C345" s="749" t="s">
        <v>3325</v>
      </c>
      <c r="D345" s="421" t="str">
        <f>_xlfn.IFNA(IF(VLOOKUP($C345,Ingredient_prices!$E:$F,2,FALSE)="Партија 2","Lot 2","Lot 1"),"")</f>
        <v/>
      </c>
      <c r="E345" s="407" t="str">
        <f>IF(SUMIF(Meal_entry_week_1!H$11:H$496,"Chocolate egg",Meal_entry_week_1!K$11:K$496)&gt;0,SUMIF(Meal_entry_week_1!H$11:H$496,"Chocolate egg",Meal_entry_week_1!K$11:K$496),"")</f>
        <v/>
      </c>
      <c r="F345" s="407" t="str">
        <f t="shared" si="16"/>
        <v/>
      </c>
    </row>
    <row r="346" spans="1:7">
      <c r="B346" s="491" t="s">
        <v>3078</v>
      </c>
      <c r="C346" s="749" t="s">
        <v>3328</v>
      </c>
      <c r="D346" s="421" t="str">
        <f>_xlfn.IFNA(IF(VLOOKUP($C346,Ingredient_prices!$E:$F,2,FALSE)="Партија 2","Lot 2","Lot 1"),"")</f>
        <v>Lot 2</v>
      </c>
      <c r="E346" s="407" t="str">
        <f>IF(SUMIF(Meal_entry_week_1!H$11:H$496,"Chocolate flakes",Meal_entry_week_1!K$11:K$496)&gt;0,SUMIF(Meal_entry_week_1!H$11:H$496,"Chocolate flakes",Meal_entry_week_1!K$11:K$496),"")</f>
        <v/>
      </c>
      <c r="F346" s="407" t="str">
        <f t="shared" si="16"/>
        <v/>
      </c>
    </row>
    <row r="347" spans="1:7">
      <c r="B347" s="491" t="s">
        <v>3078</v>
      </c>
      <c r="C347" s="749" t="s">
        <v>3327</v>
      </c>
      <c r="D347" s="421" t="str">
        <f>_xlfn.IFNA(IF(VLOOKUP($C347,Ingredient_prices!$E:$F,2,FALSE)="Партија 2","Lot 2","Lot 1"),"")</f>
        <v>Lot 2</v>
      </c>
      <c r="E347" s="407" t="str">
        <f>IF(SUMIF(Meal_entry_week_1!H$11:H$496,"Chocolate for cooking",Meal_entry_week_1!K$11:K$496)&gt;0,SUMIF(Meal_entry_week_1!H$11:H$496,"Chocolate for cooking",Meal_entry_week_1!K$11:K$496),"")</f>
        <v/>
      </c>
      <c r="F347" s="407" t="str">
        <f t="shared" si="16"/>
        <v/>
      </c>
    </row>
    <row r="348" spans="1:7" s="749" customFormat="1">
      <c r="A348" s="444"/>
      <c r="B348" s="491" t="s">
        <v>3078</v>
      </c>
      <c r="C348" s="749" t="s">
        <v>3339</v>
      </c>
      <c r="D348" s="421" t="str">
        <f>_xlfn.IFNA(IF(VLOOKUP($C348,Ingredient_prices!$E:$F,2,FALSE)="Партија 2","Lot 2","Lot 1"),"")</f>
        <v>Lot 2</v>
      </c>
      <c r="E348" s="407" t="str">
        <f>IF(SUMIF(Meal_entry_week_1!H$11:H$496,"Chocolate pudding",Meal_entry_week_1!K$11:K$496)&gt;0,SUMIF(Meal_entry_week_1!H$11:H$496,"Chocolate pudding",Meal_entry_week_1!K$11:K$496),"")</f>
        <v/>
      </c>
      <c r="F348" s="407" t="str">
        <f t="shared" si="16"/>
        <v/>
      </c>
      <c r="G348" s="444"/>
    </row>
    <row r="349" spans="1:7">
      <c r="B349" s="491" t="s">
        <v>3078</v>
      </c>
      <c r="C349" s="749" t="s">
        <v>3329</v>
      </c>
      <c r="D349" s="421" t="str">
        <f>_xlfn.IFNA(IF(VLOOKUP($C349,Ingredient_prices!$E:$F,2,FALSE)="Партија 2","Lot 2","Lot 1"),"")</f>
        <v/>
      </c>
      <c r="E349" s="407" t="str">
        <f>IF(SUMIF(Meal_entry_week_1!H$11:H$496,"Chocolate spread",Meal_entry_week_1!K$11:K$496)&gt;0,SUMIF(Meal_entry_week_1!H$11:H$496,"Chocolate spread",Meal_entry_week_1!K$11:K$496),"")</f>
        <v/>
      </c>
      <c r="F349" s="407" t="str">
        <f t="shared" si="16"/>
        <v/>
      </c>
    </row>
    <row r="350" spans="1:7">
      <c r="B350" s="491" t="s">
        <v>3078</v>
      </c>
      <c r="C350" s="749" t="s">
        <v>3326</v>
      </c>
      <c r="D350" s="421" t="str">
        <f>_xlfn.IFNA(IF(VLOOKUP($C350,Ingredient_prices!$E:$F,2,FALSE)="Партија 2","Lot 2","Lot 1"),"")</f>
        <v/>
      </c>
      <c r="E350" s="407" t="str">
        <f>IF(SUMIF(Meal_entry_week_1!H$11:H$496,"Chocolate with rice",Meal_entry_week_1!K$11:K$496)&gt;0,SUMIF(Meal_entry_week_1!H$11:H$496,"Chocolate with rice",Meal_entry_week_1!K$11:K$496),"")</f>
        <v/>
      </c>
      <c r="F350" s="407" t="str">
        <f t="shared" si="16"/>
        <v/>
      </c>
    </row>
    <row r="351" spans="1:7">
      <c r="B351" s="491" t="s">
        <v>3078</v>
      </c>
      <c r="C351" s="749" t="s">
        <v>1625</v>
      </c>
      <c r="D351" s="421" t="str">
        <f>_xlfn.IFNA(IF(VLOOKUP($C351,Ingredient_prices!$E:$F,2,FALSE)="Партија 2","Lot 2","Lot 1"),"")</f>
        <v/>
      </c>
      <c r="E351" s="407" t="str">
        <f>IF(SUMIF(Meal_entry_week_1!H$11:H$496,"Coco pops",Meal_entry_week_1!K$11:K$496)&gt;0,SUMIF(Meal_entry_week_1!H$11:H$496,"Coco pops",Meal_entry_week_1!K$11:K$496),"")</f>
        <v/>
      </c>
      <c r="F351" s="407" t="str">
        <f t="shared" si="16"/>
        <v/>
      </c>
    </row>
    <row r="352" spans="1:7">
      <c r="B352" s="491" t="s">
        <v>3078</v>
      </c>
      <c r="C352" s="749" t="s">
        <v>3332</v>
      </c>
      <c r="D352" s="421" t="str">
        <f>_xlfn.IFNA(IF(VLOOKUP($C352,Ingredient_prices!$E:$F,2,FALSE)="Партија 2","Lot 2","Lot 1"),"")</f>
        <v>Lot 2</v>
      </c>
      <c r="E352" s="407" t="str">
        <f>IF(SUMIF(Meal_entry_week_1!H$11:H$496,"Cocoa powder, unsweetened",Meal_entry_week_1!K$11:K$496)&gt;0,SUMIF(Meal_entry_week_1!H$11:H$496,"Cocoa powder, unsweetened",Meal_entry_week_1!K$11:K$496),"")</f>
        <v/>
      </c>
      <c r="F352" s="407" t="str">
        <f t="shared" si="16"/>
        <v/>
      </c>
    </row>
    <row r="353" spans="2:6">
      <c r="B353" s="491" t="s">
        <v>3078</v>
      </c>
      <c r="C353" s="749" t="s">
        <v>3346</v>
      </c>
      <c r="D353" s="421" t="str">
        <f>_xlfn.IFNA(IF(VLOOKUP($C353,Ingredient_prices!$E:$F,2,FALSE)="Партија 2","Lot 2","Lot 1"),"")</f>
        <v/>
      </c>
      <c r="E353" s="407" t="str">
        <f>IF(SUMIF(Meal_entry_week_1!H$11:H$496,"Coconut cakes",Meal_entry_week_1!K$11:K$496)&gt;0,SUMIF(Meal_entry_week_1!H$11:H$496,"Coconut cakes",Meal_entry_week_1!K$11:K$496),"")</f>
        <v/>
      </c>
      <c r="F353" s="407" t="str">
        <f t="shared" si="16"/>
        <v/>
      </c>
    </row>
    <row r="354" spans="2:6">
      <c r="B354" s="491" t="s">
        <v>3078</v>
      </c>
      <c r="C354" s="749" t="s">
        <v>3338</v>
      </c>
      <c r="D354" s="421" t="str">
        <f>_xlfn.IFNA(IF(VLOOKUP($C354,Ingredient_prices!$E:$F,2,FALSE)="Партија 2","Lot 2","Lot 1"),"")</f>
        <v/>
      </c>
      <c r="E354" s="407" t="str">
        <f>IF(SUMIF(Meal_entry_week_1!H$11:H$496,"Cream puffs",Meal_entry_week_1!K$11:K$496)&gt;0,SUMIF(Meal_entry_week_1!H$11:H$496,"Cream puffs",Meal_entry_week_1!K$11:K$496),"")</f>
        <v/>
      </c>
      <c r="F354" s="407" t="str">
        <f t="shared" si="16"/>
        <v/>
      </c>
    </row>
    <row r="355" spans="2:6">
      <c r="B355" s="491" t="s">
        <v>3078</v>
      </c>
      <c r="C355" s="749" t="s">
        <v>3335</v>
      </c>
      <c r="D355" s="421" t="str">
        <f>_xlfn.IFNA(IF(VLOOKUP($C355,Ingredient_prices!$E:$F,2,FALSE)="Партија 2","Lot 2","Lot 1"),"")</f>
        <v/>
      </c>
      <c r="E355" s="407" t="str">
        <f>IF(SUMIF(Meal_entry_week_1!H$11:H$496,"Creamy banana",Meal_entry_week_1!K$11:K$496)&gt;0,SUMIF(Meal_entry_week_1!H$11:H$496,"Creamy banana",Meal_entry_week_1!K$11:K$496),"")</f>
        <v/>
      </c>
      <c r="F355" s="407" t="str">
        <f t="shared" si="16"/>
        <v/>
      </c>
    </row>
    <row r="356" spans="2:6">
      <c r="B356" s="491" t="s">
        <v>3078</v>
      </c>
      <c r="C356" s="749" t="s">
        <v>3330</v>
      </c>
      <c r="D356" s="421" t="str">
        <f>_xlfn.IFNA(IF(VLOOKUP($C356,Ingredient_prices!$E:$F,2,FALSE)="Партија 2","Lot 2","Lot 1"),"")</f>
        <v>Lot 2</v>
      </c>
      <c r="E356" s="407" t="str">
        <f>IF(SUMIF(Meal_entry_week_1!H$11:H$496,"Euro cream",Meal_entry_week_1!K$11:K$496)&gt;0,SUMIF(Meal_entry_week_1!H$11:H$496,"Euro cream",Meal_entry_week_1!K$11:K$496),"")</f>
        <v/>
      </c>
      <c r="F356" s="407" t="str">
        <f t="shared" si="16"/>
        <v/>
      </c>
    </row>
    <row r="357" spans="2:6">
      <c r="B357" s="491" t="s">
        <v>3078</v>
      </c>
      <c r="C357" s="749" t="s">
        <v>3331</v>
      </c>
      <c r="D357" s="421" t="str">
        <f>_xlfn.IFNA(IF(VLOOKUP($C357,Ingredient_prices!$E:$F,2,FALSE)="Партија 2","Lot 2","Lot 1"),"")</f>
        <v/>
      </c>
      <c r="E357" s="407" t="str">
        <f>IF(SUMIF(Meal_entry_week_1!H$11:H$496,"Eurocream block",Meal_entry_week_1!K$11:K$496)&gt;0,SUMIF(Meal_entry_week_1!H$11:H$496,"Eurocream block",Meal_entry_week_1!K$11:K$496),"")</f>
        <v/>
      </c>
      <c r="F357" s="407" t="str">
        <f t="shared" si="16"/>
        <v/>
      </c>
    </row>
    <row r="358" spans="2:6">
      <c r="B358" s="491" t="s">
        <v>3078</v>
      </c>
      <c r="C358" s="749" t="s">
        <v>1894</v>
      </c>
      <c r="D358" s="421" t="str">
        <f>_xlfn.IFNA(IF(VLOOKUP($C358,Ingredient_prices!$E:$F,2,FALSE)="Партија 2","Lot 2","Lot 1"),"")</f>
        <v/>
      </c>
      <c r="E358" s="407" t="str">
        <f>IF(SUMIF(Meal_entry_week_1!H$11:H$496,"Golden Pek biscuit",Meal_entry_week_1!K$11:K$496)&gt;0,SUMIF(Meal_entry_week_1!H$11:H$496,"Golden Pek biscuit",Meal_entry_week_1!K$11:K$496),"")</f>
        <v/>
      </c>
      <c r="F358" s="407" t="str">
        <f t="shared" si="16"/>
        <v/>
      </c>
    </row>
    <row r="359" spans="2:6">
      <c r="B359" s="491" t="s">
        <v>3078</v>
      </c>
      <c r="C359" s="749" t="s">
        <v>503</v>
      </c>
      <c r="D359" s="421" t="str">
        <f>_xlfn.IFNA(IF(VLOOKUP($C359,Ingredient_prices!$E:$F,2,FALSE)="Партија 2","Lot 2","Lot 1"),"")</f>
        <v>Lot 2</v>
      </c>
      <c r="E359" s="407" t="str">
        <f>IF(SUMIF(Meal_entry_week_1!H$11:H$496,"Honey",Meal_entry_week_1!K$11:K$496)&gt;0,SUMIF(Meal_entry_week_1!H$11:H$496,"Honey",Meal_entry_week_1!K$11:K$496),"")</f>
        <v/>
      </c>
      <c r="F359" s="407" t="str">
        <f t="shared" si="16"/>
        <v/>
      </c>
    </row>
    <row r="360" spans="2:6">
      <c r="B360" s="491" t="s">
        <v>3078</v>
      </c>
      <c r="C360" s="749" t="s">
        <v>3360</v>
      </c>
      <c r="D360" s="421" t="str">
        <f>_xlfn.IFNA(IF(VLOOKUP($C360,Ingredient_prices!$E:$F,2,FALSE)="Партија 2","Lot 2","Lot 1"),"")</f>
        <v>Lot 2</v>
      </c>
      <c r="E360" s="407" t="str">
        <f>IF(SUMIF(Meal_entry_week_1!H$11:H$496,"Icing sugar",Meal_entry_week_1!K$11:K$496)&gt;0,SUMIF(Meal_entry_week_1!H$11:H$496,"Icing sugar",Meal_entry_week_1!K$11:K$496),"")</f>
        <v/>
      </c>
      <c r="F360" s="407" t="str">
        <f t="shared" si="16"/>
        <v/>
      </c>
    </row>
    <row r="361" spans="2:6">
      <c r="B361" s="491" t="s">
        <v>3078</v>
      </c>
      <c r="C361" s="749" t="s">
        <v>3478</v>
      </c>
      <c r="D361" s="421" t="str">
        <f>_xlfn.IFNA(IF(VLOOKUP($C361,Ingredient_prices!$E:$F,2,FALSE)="Партија 2","Lot 2","Lot 1"),"")</f>
        <v/>
      </c>
      <c r="E361" s="407" t="str">
        <f>IF(SUMIF(Meal_entry_week_1!H$11:H$496,"Jaffa cake",Meal_entry_week_1!K$11:K$496)&gt;0,SUMIF(Meal_entry_week_1!H$11:H$496,"Jaffa cake",Meal_entry_week_1!K$11:K$496),"")</f>
        <v/>
      </c>
      <c r="F361" s="407" t="str">
        <f t="shared" si="16"/>
        <v/>
      </c>
    </row>
    <row r="362" spans="2:6">
      <c r="B362" s="491" t="s">
        <v>3078</v>
      </c>
      <c r="C362" s="749" t="s">
        <v>3354</v>
      </c>
      <c r="D362" s="421" t="str">
        <f>_xlfn.IFNA(IF(VLOOKUP($C362,Ingredient_prices!$E:$F,2,FALSE)="Партија 2","Lot 2","Lot 1"),"")</f>
        <v/>
      </c>
      <c r="E362" s="407" t="str">
        <f>IF(SUMIF(Meal_entry_week_1!H$11:H$496,"Jam mixed",Meal_entry_week_1!K$11:K$496)&gt;0,SUMIF(Meal_entry_week_1!H$11:H$496,"Jam mixed",Meal_entry_week_1!K$11:K$496),"")</f>
        <v/>
      </c>
      <c r="F362" s="407" t="str">
        <f t="shared" si="16"/>
        <v/>
      </c>
    </row>
    <row r="363" spans="2:6">
      <c r="B363" s="491" t="s">
        <v>3078</v>
      </c>
      <c r="C363" s="749" t="s">
        <v>1895</v>
      </c>
      <c r="D363" s="421" t="str">
        <f>_xlfn.IFNA(IF(VLOOKUP($C363,Ingredient_prices!$E:$F,2,FALSE)="Партија 2","Lot 2","Lot 1"),"")</f>
        <v>Lot 2</v>
      </c>
      <c r="E363" s="407" t="str">
        <f>IF(SUMIF(Meal_entry_week_1!H$11:H$496,"Kit Kat milk chocolate",Meal_entry_week_1!K$11:K$496)&gt;0,SUMIF(Meal_entry_week_1!H$11:H$496,"Kit Kat milk chocolate",Meal_entry_week_1!K$11:K$496),"")</f>
        <v/>
      </c>
      <c r="F363" s="407" t="str">
        <f t="shared" si="16"/>
        <v/>
      </c>
    </row>
    <row r="364" spans="2:6">
      <c r="B364" s="491" t="s">
        <v>3078</v>
      </c>
      <c r="C364" s="749" t="s">
        <v>3353</v>
      </c>
      <c r="D364" s="421" t="str">
        <f>_xlfn.IFNA(IF(VLOOKUP($C364,Ingredient_prices!$E:$F,2,FALSE)="Партија 2","Lot 2","Lot 1"),"")</f>
        <v/>
      </c>
      <c r="E364" s="407" t="str">
        <f>IF(SUMIF(Meal_entry_week_1!H$11:H$496,"Marshmallow",Meal_entry_week_1!K$11:K$496)&gt;0,SUMIF(Meal_entry_week_1!H$11:H$496,"Marshmallow",Meal_entry_week_1!K$11:K$496),"")</f>
        <v/>
      </c>
      <c r="F364" s="407" t="str">
        <f t="shared" si="16"/>
        <v/>
      </c>
    </row>
    <row r="365" spans="2:6">
      <c r="B365" s="491" t="s">
        <v>3078</v>
      </c>
      <c r="C365" s="749" t="s">
        <v>1881</v>
      </c>
      <c r="D365" s="421" t="str">
        <f>_xlfn.IFNA(IF(VLOOKUP($C365,Ingredient_prices!$E:$F,2,FALSE)="Партија 2","Lot 2","Lot 1"),"")</f>
        <v>Lot 2</v>
      </c>
      <c r="E365" s="407" t="str">
        <f>IF(SUMIF(Meal_entry_week_1!H$11:H$496,"Milk chocolate",Meal_entry_week_1!K$11:K$496)&gt;0,SUMIF(Meal_entry_week_1!H$11:H$496,"Milk chocolate",Meal_entry_week_1!K$11:K$496),"")</f>
        <v/>
      </c>
      <c r="F365" s="407" t="str">
        <f t="shared" si="16"/>
        <v/>
      </c>
    </row>
    <row r="366" spans="2:6">
      <c r="B366" s="491" t="s">
        <v>3078</v>
      </c>
      <c r="C366" s="749" t="s">
        <v>3355</v>
      </c>
      <c r="D366" s="421" t="str">
        <f>_xlfn.IFNA(IF(VLOOKUP($C366,Ingredient_prices!$E:$F,2,FALSE)="Партија 2","Lot 2","Lot 1"),"")</f>
        <v>Lot 2</v>
      </c>
      <c r="E366" s="407" t="str">
        <f>IF(SUMIF(Meal_entry_week_1!H$11:H$496,"Napolitanke wafers",Meal_entry_week_1!K$11:K$496)&gt;0,SUMIF(Meal_entry_week_1!H$11:H$496,"Napolitanke wafers",Meal_entry_week_1!K$11:K$496),"")</f>
        <v/>
      </c>
      <c r="F366" s="407" t="str">
        <f t="shared" si="16"/>
        <v/>
      </c>
    </row>
    <row r="367" spans="2:6">
      <c r="B367" s="491" t="s">
        <v>3078</v>
      </c>
      <c r="C367" s="749" t="s">
        <v>3336</v>
      </c>
      <c r="D367" s="421" t="str">
        <f>_xlfn.IFNA(IF(VLOOKUP($C367,Ingredient_prices!$E:$F,2,FALSE)="Партија 2","Lot 2","Lot 1"),"")</f>
        <v>Lot 2</v>
      </c>
      <c r="E367" s="407" t="str">
        <f>IF(SUMIF(Meal_entry_week_1!H$11:H$496,"Nesquik",Meal_entry_week_1!K$11:K$496)&gt;0,SUMIF(Meal_entry_week_1!H$11:H$496,"Nesquik",Meal_entry_week_1!K$11:K$496),"")</f>
        <v/>
      </c>
      <c r="F367" s="407" t="str">
        <f t="shared" si="16"/>
        <v/>
      </c>
    </row>
    <row r="368" spans="2:6">
      <c r="B368" s="491" t="s">
        <v>3078</v>
      </c>
      <c r="C368" s="749" t="s">
        <v>3334</v>
      </c>
      <c r="D368" s="421" t="str">
        <f>_xlfn.IFNA(IF(VLOOKUP($C368,Ingredient_prices!$E:$F,2,FALSE)="Партија 2","Lot 2","Lot 1"),"")</f>
        <v>Lot 2</v>
      </c>
      <c r="E368" s="407" t="str">
        <f>IF(SUMIF(Meal_entry_week_1!H$11:H$496,"Noblice biscuit",Meal_entry_week_1!K$11:K$496)&gt;0,SUMIF(Meal_entry_week_1!H$11:H$496,"Noblice biscuit",Meal_entry_week_1!K$11:K$496),"")</f>
        <v/>
      </c>
      <c r="F368" s="407" t="str">
        <f t="shared" si="16"/>
        <v/>
      </c>
    </row>
    <row r="369" spans="2:6">
      <c r="B369" s="491" t="s">
        <v>3078</v>
      </c>
      <c r="C369" s="749" t="s">
        <v>134</v>
      </c>
      <c r="D369" s="421" t="str">
        <f>_xlfn.IFNA(IF(VLOOKUP($C369,Ingredient_prices!$E:$F,2,FALSE)="Партија 2","Lot 2","Lot 1"),"")</f>
        <v>Lot 2</v>
      </c>
      <c r="E369" s="407" t="str">
        <f>IF(SUMIF(Meal_entry_week_1!H$11:H$496,"Nutella",Meal_entry_week_1!K$11:K$496)&gt;0,SUMIF(Meal_entry_week_1!H$11:H$496,"Nutella",Meal_entry_week_1!K$11:K$496),"")</f>
        <v/>
      </c>
      <c r="F369" s="407" t="str">
        <f t="shared" si="16"/>
        <v/>
      </c>
    </row>
    <row r="370" spans="2:6">
      <c r="B370" s="491" t="s">
        <v>3078</v>
      </c>
      <c r="C370" s="749" t="s">
        <v>1897</v>
      </c>
      <c r="D370" s="421" t="str">
        <f>_xlfn.IFNA(IF(VLOOKUP($C370,Ingredient_prices!$E:$F,2,FALSE)="Партија 2","Lot 2","Lot 1"),"")</f>
        <v/>
      </c>
      <c r="E370" s="407" t="str">
        <f>IF(SUMIF(Meal_entry_week_1!H$11:H$496,"Peach compote",Meal_entry_week_1!K$11:K$496)&gt;0,SUMIF(Meal_entry_week_1!H$11:H$496,"Peach compote",Meal_entry_week_1!K$11:K$496),"")</f>
        <v/>
      </c>
      <c r="F370" s="407" t="str">
        <f t="shared" si="16"/>
        <v/>
      </c>
    </row>
    <row r="371" spans="2:6">
      <c r="B371" s="491" t="s">
        <v>3078</v>
      </c>
      <c r="C371" s="749" t="s">
        <v>1898</v>
      </c>
      <c r="D371" s="421" t="str">
        <f>_xlfn.IFNA(IF(VLOOKUP($C371,Ingredient_prices!$E:$F,2,FALSE)="Партија 2","Lot 2","Lot 1"),"")</f>
        <v/>
      </c>
      <c r="E371" s="407" t="str">
        <f>IF(SUMIF(Meal_entry_week_1!H$11:H$496,"Pear compote",Meal_entry_week_1!K$11:K$496)&gt;0,SUMIF(Meal_entry_week_1!H$11:H$496,"Pear compote",Meal_entry_week_1!K$11:K$496),"")</f>
        <v/>
      </c>
      <c r="F371" s="407" t="str">
        <f t="shared" si="16"/>
        <v/>
      </c>
    </row>
    <row r="372" spans="2:6">
      <c r="B372" s="491" t="s">
        <v>3078</v>
      </c>
      <c r="C372" s="749" t="s">
        <v>1896</v>
      </c>
      <c r="D372" s="421" t="str">
        <f>_xlfn.IFNA(IF(VLOOKUP($C372,Ingredient_prices!$E:$F,2,FALSE)="Партија 2","Lot 2","Lot 1"),"")</f>
        <v/>
      </c>
      <c r="E372" s="407" t="str">
        <f>IF(SUMIF(Meal_entry_week_1!H$11:H$496,"Pineapple compote",Meal_entry_week_1!K$11:K$496)&gt;0,SUMIF(Meal_entry_week_1!H$11:H$496,"Pineapple compote",Meal_entry_week_1!K$11:K$496),"")</f>
        <v/>
      </c>
      <c r="F372" s="407" t="str">
        <f t="shared" si="16"/>
        <v/>
      </c>
    </row>
    <row r="373" spans="2:6">
      <c r="B373" s="491" t="s">
        <v>3078</v>
      </c>
      <c r="C373" s="749" t="s">
        <v>3351</v>
      </c>
      <c r="D373" s="421" t="str">
        <f>_xlfn.IFNA(IF(VLOOKUP($C373,Ingredient_prices!$E:$F,2,FALSE)="Партија 2","Lot 2","Lot 1"),"")</f>
        <v>Lot 2</v>
      </c>
      <c r="E373" s="407" t="str">
        <f>IF(SUMIF(Meal_entry_week_1!H$11:H$496,"Plasma biscuit",Meal_entry_week_1!K$11:K$496)&gt;0,SUMIF(Meal_entry_week_1!H$11:H$496,"Plasma biscuit",Meal_entry_week_1!K$11:K$496),"")</f>
        <v/>
      </c>
      <c r="F373" s="407" t="str">
        <f t="shared" si="16"/>
        <v/>
      </c>
    </row>
    <row r="374" spans="2:6">
      <c r="B374" s="491" t="s">
        <v>3078</v>
      </c>
      <c r="C374" s="749" t="s">
        <v>3337</v>
      </c>
      <c r="D374" s="421" t="str">
        <f>_xlfn.IFNA(IF(VLOOKUP($C374,Ingredient_prices!$E:$F,2,FALSE)="Партија 2","Lot 2","Lot 1"),"")</f>
        <v>Lot 2</v>
      </c>
      <c r="E374" s="407" t="str">
        <f>IF(SUMIF(Meal_entry_week_1!H$11:H$496,"Plum jam",Meal_entry_week_1!K$11:K$496)&gt;0,SUMIF(Meal_entry_week_1!H$11:H$496,"Plum jam",Meal_entry_week_1!K$11:K$496),"")</f>
        <v/>
      </c>
      <c r="F374" s="407" t="str">
        <f t="shared" si="16"/>
        <v/>
      </c>
    </row>
    <row r="375" spans="2:6">
      <c r="B375" s="491" t="s">
        <v>3078</v>
      </c>
      <c r="C375" s="749" t="s">
        <v>3357</v>
      </c>
      <c r="D375" s="421" t="str">
        <f>_xlfn.IFNA(IF(VLOOKUP($C375,Ingredient_prices!$E:$F,2,FALSE)="Партија 2","Lot 2","Lot 1"),"")</f>
        <v>Lot 2</v>
      </c>
      <c r="E375" s="407" t="str">
        <f>IF(SUMIF(Meal_entry_week_1!H$11:H$496,"Pudding powder",Meal_entry_week_1!K$11:K$496)&gt;0,SUMIF(Meal_entry_week_1!H$11:H$496,"Pudding powder",Meal_entry_week_1!K$11:K$496),"")</f>
        <v/>
      </c>
      <c r="F375" s="407" t="str">
        <f t="shared" si="16"/>
        <v/>
      </c>
    </row>
    <row r="376" spans="2:6">
      <c r="B376" s="491" t="s">
        <v>3078</v>
      </c>
      <c r="C376" s="749" t="s">
        <v>3347</v>
      </c>
      <c r="D376" s="421" t="str">
        <f>_xlfn.IFNA(IF(VLOOKUP($C376,Ingredient_prices!$E:$F,2,FALSE)="Партија 2","Lot 2","Lot 1"),"")</f>
        <v>Lot 2</v>
      </c>
      <c r="E376" s="407" t="str">
        <f>IF(SUMIF(Meal_entry_week_1!H$11:H$496,"Rose hip jam",Meal_entry_week_1!K$11:K$496)&gt;0,SUMIF(Meal_entry_week_1!H$11:H$496,"Rose hip jam",Meal_entry_week_1!K$11:K$496),"")</f>
        <v/>
      </c>
      <c r="F376" s="407" t="str">
        <f t="shared" ref="F376:F451" si="18">IF(E376="","",E376/1)</f>
        <v/>
      </c>
    </row>
    <row r="377" spans="2:6">
      <c r="B377" s="491" t="s">
        <v>3078</v>
      </c>
      <c r="C377" s="749" t="s">
        <v>1885</v>
      </c>
      <c r="D377" s="421" t="str">
        <f>_xlfn.IFNA(IF(VLOOKUP($C377,Ingredient_prices!$E:$F,2,FALSE)="Партија 2","Lot 2","Lot 1"),"")</f>
        <v/>
      </c>
      <c r="E377" s="407" t="str">
        <f>IF(SUMIF(Meal_entry_week_1!H$11:H$496,"Strawberry jam",Meal_entry_week_1!K$11:K$496)&gt;0,SUMIF(Meal_entry_week_1!H$11:H$496,"Strawberry jam",Meal_entry_week_1!K$11:K$496),"")</f>
        <v/>
      </c>
      <c r="F377" s="407" t="str">
        <f t="shared" si="18"/>
        <v/>
      </c>
    </row>
    <row r="378" spans="2:6">
      <c r="B378" s="491" t="s">
        <v>3078</v>
      </c>
      <c r="C378" s="749" t="s">
        <v>3340</v>
      </c>
      <c r="D378" s="421" t="str">
        <f>_xlfn.IFNA(IF(VLOOKUP($C378,Ingredient_prices!$E:$F,2,FALSE)="Партија 2","Lot 2","Lot 1"),"")</f>
        <v/>
      </c>
      <c r="E378" s="407" t="str">
        <f>IF(SUMIF(Meal_entry_week_1!H$11:H$496,"Strawberry pudding",Meal_entry_week_1!K$11:K$496)&gt;0,SUMIF(Meal_entry_week_1!H$11:H$496,"Strawberry pudding",Meal_entry_week_1!K$11:K$496),"")</f>
        <v/>
      </c>
      <c r="F378" s="407" t="str">
        <f t="shared" si="18"/>
        <v/>
      </c>
    </row>
    <row r="379" spans="2:6">
      <c r="B379" s="491" t="s">
        <v>3078</v>
      </c>
      <c r="C379" s="749" t="s">
        <v>3359</v>
      </c>
      <c r="D379" s="421" t="str">
        <f>_xlfn.IFNA(IF(VLOOKUP($C379,Ingredient_prices!$E:$F,2,FALSE)="Партија 2","Lot 2","Lot 1"),"")</f>
        <v>Lot 2</v>
      </c>
      <c r="E379" s="407">
        <f>IF(SUMIF(Meal_entry_week_1!H$11:H$496,"Sugar granulated",Meal_entry_week_1!K$11:K$496)&gt;0,SUMIF(Meal_entry_week_1!H$11:H$496,"Sugar granulated",Meal_entry_week_1!K$11:K$496),"")</f>
        <v>2.5299999999999998</v>
      </c>
      <c r="F379" s="407">
        <f t="shared" si="18"/>
        <v>2.5299999999999998</v>
      </c>
    </row>
    <row r="380" spans="2:6">
      <c r="B380" s="491" t="s">
        <v>3078</v>
      </c>
      <c r="C380" s="749" t="s">
        <v>3344</v>
      </c>
      <c r="D380" s="421" t="str">
        <f>_xlfn.IFNA(IF(VLOOKUP($C380,Ingredient_prices!$E:$F,2,FALSE)="Партија 2","Lot 2","Lot 1"),"")</f>
        <v/>
      </c>
      <c r="E380" s="407" t="str">
        <f>IF(SUMIF(Meal_entry_week_1!H$11:H$496,"Tea biscuits",Meal_entry_week_1!K$11:K$496)&gt;0,SUMIF(Meal_entry_week_1!H$11:H$496,"Tea biscuits",Meal_entry_week_1!K$11:K$496),"")</f>
        <v/>
      </c>
      <c r="F380" s="407" t="str">
        <f t="shared" si="18"/>
        <v/>
      </c>
    </row>
    <row r="381" spans="2:6">
      <c r="B381" s="491" t="s">
        <v>3078</v>
      </c>
      <c r="C381" s="749" t="s">
        <v>3358</v>
      </c>
      <c r="D381" s="421" t="str">
        <f>_xlfn.IFNA(IF(VLOOKUP($C381,Ingredient_prices!$E:$F,2,FALSE)="Партија 2","Lot 2","Lot 1"),"")</f>
        <v/>
      </c>
      <c r="E381" s="407" t="str">
        <f>IF(SUMIF(Meal_entry_week_1!H$11:H$496,"Turkish delight",Meal_entry_week_1!K$11:K$496)&gt;0,SUMIF(Meal_entry_week_1!H$11:H$496,"Turkish delight",Meal_entry_week_1!K$11:K$496),"")</f>
        <v/>
      </c>
      <c r="F381" s="407" t="str">
        <f t="shared" si="18"/>
        <v/>
      </c>
    </row>
    <row r="382" spans="2:6">
      <c r="B382" s="491" t="s">
        <v>3078</v>
      </c>
      <c r="C382" s="749" t="s">
        <v>3362</v>
      </c>
      <c r="D382" s="421" t="str">
        <f>_xlfn.IFNA(IF(VLOOKUP($C382,Ingredient_prices!$E:$F,2,FALSE)="Партија 2","Lot 2","Lot 1"),"")</f>
        <v>Lot 2</v>
      </c>
      <c r="E382" s="407" t="str">
        <f>IF(SUMIF(Meal_entry_week_1!H$11:H$496,"Vanilla flavoured sugar",Meal_entry_week_1!K$11:K$496)&gt;0,SUMIF(Meal_entry_week_1!H$11:H$496,"Vanilla flavoured sugar",Meal_entry_week_1!K$11:K$496),"")</f>
        <v/>
      </c>
      <c r="F382" s="407" t="str">
        <f t="shared" si="18"/>
        <v/>
      </c>
    </row>
    <row r="383" spans="2:6">
      <c r="B383" s="491" t="s">
        <v>3078</v>
      </c>
      <c r="C383" s="749" t="s">
        <v>3341</v>
      </c>
      <c r="D383" s="421" t="str">
        <f>_xlfn.IFNA(IF(VLOOKUP($C383,Ingredient_prices!$E:$F,2,FALSE)="Партија 2","Lot 2","Lot 1"),"")</f>
        <v>Lot 2</v>
      </c>
      <c r="E383" s="407" t="str">
        <f>IF(SUMIF(Meal_entry_week_1!H$11:H$496,"Vanilla pudding",Meal_entry_week_1!K$11:K$496)&gt;0,SUMIF(Meal_entry_week_1!H$11:H$496,"Vanilla pudding",Meal_entry_week_1!K$11:K$496),"")</f>
        <v/>
      </c>
      <c r="F383" s="407" t="str">
        <f t="shared" si="18"/>
        <v/>
      </c>
    </row>
    <row r="384" spans="2:6">
      <c r="B384" s="491" t="s">
        <v>3078</v>
      </c>
      <c r="C384" s="749" t="s">
        <v>3356</v>
      </c>
      <c r="D384" s="421" t="str">
        <f>_xlfn.IFNA(IF(VLOOKUP($C384,Ingredient_prices!$E:$F,2,FALSE)="Партија 2","Lot 2","Lot 1"),"")</f>
        <v/>
      </c>
      <c r="E384" s="407" t="str">
        <f>IF(SUMIF(Meal_entry_week_1!H$11:H$496,"Wafers",Meal_entry_week_1!K$11:K$496)&gt;0,SUMIF(Meal_entry_week_1!H$11:H$496,"Wafers",Meal_entry_week_1!K$11:K$496),"")</f>
        <v/>
      </c>
      <c r="F384" s="407" t="str">
        <f t="shared" si="18"/>
        <v/>
      </c>
    </row>
    <row r="385" spans="1:7">
      <c r="B385" s="491" t="s">
        <v>3078</v>
      </c>
      <c r="C385" s="749" t="s">
        <v>3488</v>
      </c>
      <c r="D385" s="421" t="str">
        <f>_xlfn.IFNA(IF(VLOOKUP($C385,Ingredient_prices!$E:$F,2,FALSE)="Партија 2","Lot 2","Lot 1"),"")</f>
        <v/>
      </c>
      <c r="E385" s="407" t="str">
        <f>IF(SUMIF(Meal_entry_week_1!H$11:H$496,"Wheat, cooked (with nuts and whipped cream)",Meal_entry_week_1!K$11:K$496)&gt;0,SUMIF(Meal_entry_week_1!H$11:H$496,"Wheat, cooked (with nuts and whipped cream)",Meal_entry_week_1!K$11:K$496),"")</f>
        <v/>
      </c>
      <c r="F385" s="407" t="str">
        <f t="shared" si="18"/>
        <v/>
      </c>
    </row>
    <row r="386" spans="1:7" s="749" customFormat="1">
      <c r="A386" s="444"/>
      <c r="B386" s="492" t="s">
        <v>3078</v>
      </c>
      <c r="C386" s="492" t="s">
        <v>3361</v>
      </c>
      <c r="D386" s="421" t="str">
        <f>_xlfn.IFNA(IF(VLOOKUP($C386,Ingredient_prices!$E:$F,2,FALSE)="Партија 2","Lot 2","Lot 1"),"")</f>
        <v/>
      </c>
      <c r="E386" s="407" t="str">
        <f>IF(SUMIF(Meal_entry_week_1!H$11:H$496,"Whipping cream",Meal_entry_week_1!K$11:K$496)&gt;0,SUMIF(Meal_entry_week_1!H$11:H$496,"Whipping cream",Meal_entry_week_1!K$11:K$496),"")</f>
        <v/>
      </c>
      <c r="F386" s="407" t="str">
        <f t="shared" si="18"/>
        <v/>
      </c>
      <c r="G386" s="444"/>
    </row>
    <row r="387" spans="1:7">
      <c r="B387" s="494" t="s">
        <v>3079</v>
      </c>
      <c r="C387" s="749" t="s">
        <v>3378</v>
      </c>
      <c r="D387" s="421" t="str">
        <f>_xlfn.IFNA(IF(VLOOKUP($C387,Ingredient_prices!$E:$F,2,FALSE)="Партија 2","Lot 2","Lot 1"),"")</f>
        <v>Lot 1</v>
      </c>
      <c r="E387" s="407">
        <f>IF(SUMIF(Meal_entry_week_1!H$11:H$496,"Bread roll",Meal_entry_week_1!K$11:K$496)&gt;0,SUMIF(Meal_entry_week_1!H$11:H$496,"Bread roll",Meal_entry_week_1!K$11:K$496),"")</f>
        <v>6.6</v>
      </c>
      <c r="F387" s="407">
        <f t="shared" si="18"/>
        <v>6.6</v>
      </c>
    </row>
    <row r="388" spans="1:7">
      <c r="B388" s="491" t="s">
        <v>3079</v>
      </c>
      <c r="C388" s="749" t="s">
        <v>3377</v>
      </c>
      <c r="D388" s="421" t="str">
        <f>_xlfn.IFNA(IF(VLOOKUP($C388,Ingredient_prices!$E:$F,2,FALSE)="Партија 2","Lot 2","Lot 1"),"")</f>
        <v/>
      </c>
      <c r="E388" s="407" t="str">
        <f>IF(SUMIF(Meal_entry_week_1!H$11:H$496,"Bread stick",Meal_entry_week_1!K$11:K$496)&gt;0,SUMIF(Meal_entry_week_1!H$11:H$496,"Bread stick",Meal_entry_week_1!K$11:K$496),"")</f>
        <v/>
      </c>
      <c r="F388" s="407" t="str">
        <f t="shared" si="18"/>
        <v/>
      </c>
    </row>
    <row r="389" spans="1:7">
      <c r="B389" s="491" t="s">
        <v>3079</v>
      </c>
      <c r="C389" s="749" t="s">
        <v>3366</v>
      </c>
      <c r="D389" s="421" t="str">
        <f>_xlfn.IFNA(IF(VLOOKUP($C389,Ingredient_prices!$E:$F,2,FALSE)="Партија 2","Lot 2","Lot 1"),"")</f>
        <v>Lot 1</v>
      </c>
      <c r="E389" s="407">
        <f>IF(SUMIF(Meal_entry_week_1!H$11:H$496,"Bread, half-white",Meal_entry_week_1!K$11:K$496)&gt;0,SUMIF(Meal_entry_week_1!H$11:H$496,"Bread, half-white",Meal_entry_week_1!K$11:K$496),"")</f>
        <v>8.25</v>
      </c>
      <c r="F389" s="407">
        <f t="shared" si="18"/>
        <v>8.25</v>
      </c>
    </row>
    <row r="390" spans="1:7">
      <c r="B390" s="491" t="s">
        <v>3079</v>
      </c>
      <c r="C390" s="749" t="s">
        <v>3365</v>
      </c>
      <c r="D390" s="421" t="str">
        <f>_xlfn.IFNA(IF(VLOOKUP($C390,Ingredient_prices!$E:$F,2,FALSE)="Партија 2","Lot 2","Lot 1"),"")</f>
        <v>Lot 1</v>
      </c>
      <c r="E390" s="407">
        <f>IF(SUMIF(Meal_entry_week_1!H$11:H$496,"Bread, white",Meal_entry_week_1!K$11:K$496)&gt;0,SUMIF(Meal_entry_week_1!H$11:H$496,"Bread, white",Meal_entry_week_1!K$11:K$496),"")</f>
        <v>41.25</v>
      </c>
      <c r="F390" s="407">
        <f t="shared" si="18"/>
        <v>41.25</v>
      </c>
    </row>
    <row r="391" spans="1:7">
      <c r="B391" s="491" t="s">
        <v>3079</v>
      </c>
      <c r="C391" s="749" t="s">
        <v>3368</v>
      </c>
      <c r="D391" s="421" t="str">
        <f>_xlfn.IFNA(IF(VLOOKUP($C391,Ingredient_prices!$E:$F,2,FALSE)="Партија 2","Lot 2","Lot 1"),"")</f>
        <v>Lot 2</v>
      </c>
      <c r="E391" s="407" t="str">
        <f>IF(SUMIF(Meal_entry_week_1!H$11:H$496,"Bread, wholemeal",Meal_entry_week_1!K$11:K$496)&gt;0,SUMIF(Meal_entry_week_1!H$11:H$496,"Bread, wholemeal",Meal_entry_week_1!K$11:K$496),"")</f>
        <v/>
      </c>
      <c r="F391" s="407" t="str">
        <f t="shared" si="18"/>
        <v/>
      </c>
    </row>
    <row r="392" spans="1:7">
      <c r="B392" s="491" t="s">
        <v>3079</v>
      </c>
      <c r="C392" s="749" t="s">
        <v>1951</v>
      </c>
      <c r="D392" s="421" t="str">
        <f>_xlfn.IFNA(IF(VLOOKUP($C392,Ingredient_prices!$E:$F,2,FALSE)="Партија 2","Lot 2","Lot 1"),"")</f>
        <v/>
      </c>
      <c r="E392" s="407" t="str">
        <f>IF(SUMIF(Meal_entry_week_1!H$11:H$496,"Bun with seeds",Meal_entry_week_1!K$11:K$496)&gt;0,SUMIF(Meal_entry_week_1!H$11:H$496,"Bun with seeds",Meal_entry_week_1!K$11:K$496),"")</f>
        <v/>
      </c>
      <c r="F392" s="407" t="str">
        <f t="shared" si="18"/>
        <v/>
      </c>
    </row>
    <row r="393" spans="1:7">
      <c r="B393" s="491" t="s">
        <v>3079</v>
      </c>
      <c r="C393" s="749" t="s">
        <v>1933</v>
      </c>
      <c r="D393" s="421" t="str">
        <f>_xlfn.IFNA(IF(VLOOKUP($C393,Ingredient_prices!$E:$F,2,FALSE)="Партија 2","Lot 2","Lot 1"),"")</f>
        <v/>
      </c>
      <c r="E393" s="407" t="str">
        <f>IF(SUMIF(Meal_entry_week_1!H$11:H$496,"Cakes with seeds",Meal_entry_week_1!K$11:K$496)&gt;0,SUMIF(Meal_entry_week_1!H$11:H$496,"Cakes with seeds",Meal_entry_week_1!K$11:K$496),"")</f>
        <v/>
      </c>
      <c r="F393" s="407" t="str">
        <f t="shared" si="18"/>
        <v/>
      </c>
    </row>
    <row r="394" spans="1:7">
      <c r="B394" s="491" t="s">
        <v>3079</v>
      </c>
      <c r="C394" s="749" t="s">
        <v>3372</v>
      </c>
      <c r="D394" s="421" t="str">
        <f>_xlfn.IFNA(IF(VLOOKUP($C394,Ingredient_prices!$E:$F,2,FALSE)="Партија 2","Lot 2","Lot 1"),"")</f>
        <v>Lot 1</v>
      </c>
      <c r="E394" s="407">
        <f>IF(SUMIF(Meal_entry_week_1!H$11:H$496,"Croissant",Meal_entry_week_1!K$11:K$496)&gt;0,SUMIF(Meal_entry_week_1!H$11:H$496,"Croissant",Meal_entry_week_1!K$11:K$496),"")</f>
        <v>7.7</v>
      </c>
      <c r="F394" s="407">
        <f t="shared" si="18"/>
        <v>7.7</v>
      </c>
    </row>
    <row r="395" spans="1:7">
      <c r="B395" s="491" t="s">
        <v>3079</v>
      </c>
      <c r="C395" s="1" t="s">
        <v>146</v>
      </c>
      <c r="D395" s="421" t="str">
        <f>_xlfn.IFNA(IF(VLOOKUP($C395,Ingredient_prices!$E:$F,2,FALSE)="Партија 2","Lot 2","Lot 1"),"")</f>
        <v/>
      </c>
      <c r="E395" s="407" t="str">
        <f>IF(SUMIF(Meal_entry_week_1!H$11:H$496,"Djevrek",Meal_entry_week_1!K$11:K$496)&gt;0,SUMIF(Meal_entry_week_1!H$11:H$496,"Djevrek",Meal_entry_week_1!K$11:K$496),"")</f>
        <v/>
      </c>
      <c r="F395" s="407" t="str">
        <f t="shared" si="18"/>
        <v/>
      </c>
    </row>
    <row r="396" spans="1:7">
      <c r="B396" s="491" t="s">
        <v>3079</v>
      </c>
      <c r="C396" s="749" t="s">
        <v>3509</v>
      </c>
      <c r="D396" s="421" t="str">
        <f>_xlfn.IFNA(IF(VLOOKUP($C396,Ingredient_prices!$E:$F,2,FALSE)="Партија 2","Lot 2","Lot 1"),"")</f>
        <v/>
      </c>
      <c r="E396" s="407" t="str">
        <f>IF(SUMIF(Meal_entry_week_1!H$11:H$496,"Hot dog bun white",Meal_entry_week_1!K$11:K$496)&gt;0,SUMIF(Meal_entry_week_1!H$11:H$496,"Hot dog bun white",Meal_entry_week_1!K$11:K$496),"")</f>
        <v/>
      </c>
      <c r="F396" s="407" t="str">
        <f t="shared" si="18"/>
        <v/>
      </c>
    </row>
    <row r="397" spans="1:7">
      <c r="B397" s="491" t="s">
        <v>3079</v>
      </c>
      <c r="C397" s="749" t="s">
        <v>3369</v>
      </c>
      <c r="D397" s="421" t="str">
        <f>_xlfn.IFNA(IF(VLOOKUP($C397,Ingredient_prices!$E:$F,2,FALSE)="Партија 2","Lot 2","Lot 1"),"")</f>
        <v/>
      </c>
      <c r="E397" s="407" t="str">
        <f>IF(SUMIF(Meal_entry_week_1!H$11:H$496,"Integral bread stick",Meal_entry_week_1!K$11:K$496)&gt;0,SUMIF(Meal_entry_week_1!H$11:H$496,"Integral bread stick",Meal_entry_week_1!K$11:K$496),"")</f>
        <v/>
      </c>
      <c r="F397" s="407" t="str">
        <f t="shared" si="18"/>
        <v/>
      </c>
    </row>
    <row r="398" spans="1:7">
      <c r="B398" s="491" t="s">
        <v>3079</v>
      </c>
      <c r="C398" s="749" t="s">
        <v>3370</v>
      </c>
      <c r="D398" s="421" t="str">
        <f>_xlfn.IFNA(IF(VLOOKUP($C398,Ingredient_prices!$E:$F,2,FALSE)="Партија 2","Lot 2","Lot 1"),"")</f>
        <v>Lot 1</v>
      </c>
      <c r="E398" s="407" t="str">
        <f>IF(SUMIF(Meal_entry_week_1!H$11:H$496,"Kaiserica bun white",Meal_entry_week_1!K$11:K$496)&gt;0,SUMIF(Meal_entry_week_1!H$11:H$496,"Kaiserica bun white",Meal_entry_week_1!K$11:K$496),"")</f>
        <v/>
      </c>
      <c r="F398" s="407" t="str">
        <f t="shared" si="18"/>
        <v/>
      </c>
    </row>
    <row r="399" spans="1:7">
      <c r="B399" s="491" t="s">
        <v>3079</v>
      </c>
      <c r="C399" s="749" t="s">
        <v>3373</v>
      </c>
      <c r="D399" s="421" t="str">
        <f>_xlfn.IFNA(IF(VLOOKUP($C399,Ingredient_prices!$E:$F,2,FALSE)="Партија 2","Lot 2","Lot 1"),"")</f>
        <v/>
      </c>
      <c r="E399" s="407" t="str">
        <f>IF(SUMIF(Meal_entry_week_1!H$11:H$496,"Large bun",Meal_entry_week_1!K$11:K$496)&gt;0,SUMIF(Meal_entry_week_1!H$11:H$496,"Large bun",Meal_entry_week_1!K$11:K$496),"")</f>
        <v/>
      </c>
      <c r="F399" s="407" t="str">
        <f t="shared" si="18"/>
        <v/>
      </c>
    </row>
    <row r="400" spans="1:7">
      <c r="B400" s="491" t="s">
        <v>3079</v>
      </c>
      <c r="C400" s="749" t="s">
        <v>2256</v>
      </c>
      <c r="D400" s="421" t="str">
        <f>_xlfn.IFNA(IF(VLOOKUP($C400,Ingredient_prices!$E:$F,2,FALSE)="Партија 2","Lot 2","Lot 1"),"")</f>
        <v/>
      </c>
      <c r="E400" s="407" t="str">
        <f>IF(SUMIF(Meal_entry_week_1!H$11:H$496,"Pancerote",Meal_entry_week_1!K$11:K$496)&gt;0,SUMIF(Meal_entry_week_1!H$11:H$496,"Pancerote",Meal_entry_week_1!K$11:K$496),"")</f>
        <v/>
      </c>
      <c r="F400" s="407" t="str">
        <f t="shared" si="18"/>
        <v/>
      </c>
    </row>
    <row r="401" spans="1:6">
      <c r="B401" s="491" t="s">
        <v>3079</v>
      </c>
      <c r="C401" s="749" t="s">
        <v>3374</v>
      </c>
      <c r="D401" s="421" t="str">
        <f>_xlfn.IFNA(IF(VLOOKUP($C401,Ingredient_prices!$E:$F,2,FALSE)="Партија 2","Lot 2","Lot 1"),"")</f>
        <v/>
      </c>
      <c r="E401" s="407" t="str">
        <f>IF(SUMIF(Meal_entry_week_1!H$11:H$496,"Pastries (white flour)",Meal_entry_week_1!K$11:K$496)&gt;0,SUMIF(Meal_entry_week_1!H$11:H$496,"Pastries (white flour)",Meal_entry_week_1!K$11:K$496),"")</f>
        <v/>
      </c>
      <c r="F401" s="407" t="str">
        <f t="shared" si="18"/>
        <v/>
      </c>
    </row>
    <row r="402" spans="1:6">
      <c r="B402" s="491" t="s">
        <v>3079</v>
      </c>
      <c r="C402" s="749" t="s">
        <v>3376</v>
      </c>
      <c r="D402" s="421" t="str">
        <f>_xlfn.IFNA(IF(VLOOKUP($C402,Ingredient_prices!$E:$F,2,FALSE)="Партија 2","Lot 2","Lot 1"),"")</f>
        <v/>
      </c>
      <c r="E402" s="407" t="str">
        <f>IF(SUMIF(Meal_entry_week_1!H$11:H$496,"Plaited bun",Meal_entry_week_1!K$11:K$496)&gt;0,SUMIF(Meal_entry_week_1!H$11:H$496,"Plaited bun",Meal_entry_week_1!K$11:K$496),"")</f>
        <v/>
      </c>
      <c r="F402" s="407" t="str">
        <f t="shared" si="18"/>
        <v/>
      </c>
    </row>
    <row r="403" spans="1:6">
      <c r="B403" s="491" t="s">
        <v>3079</v>
      </c>
      <c r="C403" s="749" t="s">
        <v>3375</v>
      </c>
      <c r="D403" s="421" t="str">
        <f>_xlfn.IFNA(IF(VLOOKUP($C403,Ingredient_prices!$E:$F,2,FALSE)="Партија 2","Lot 2","Lot 1"),"")</f>
        <v/>
      </c>
      <c r="E403" s="461" t="str">
        <f>IF(SUMIF(Meal_entry_week_1!H$11:H$496,"Pretzel",Meal_entry_week_1!K$11:K$496)&gt;0,SUMIF(Meal_entry_week_1!H$11:H$496,"Pretzel",Meal_entry_week_1!K$11:K$496),"")</f>
        <v/>
      </c>
      <c r="F403" s="407" t="str">
        <f t="shared" si="18"/>
        <v/>
      </c>
    </row>
    <row r="404" spans="1:6">
      <c r="B404" s="491" t="s">
        <v>3079</v>
      </c>
      <c r="C404" s="749" t="s">
        <v>3367</v>
      </c>
      <c r="D404" s="421" t="str">
        <f>_xlfn.IFNA(IF(VLOOKUP($C404,Ingredient_prices!$E:$F,2,FALSE)="Партија 2","Lot 2","Lot 1"),"")</f>
        <v/>
      </c>
      <c r="E404" s="407" t="str">
        <f>IF(SUMIF(Meal_entry_week_1!H$11:H$496,"Toasted squares",Meal_entry_week_1!K$11:K$496)&gt;0,SUMIF(Meal_entry_week_1!H$11:H$496,"Toasted squares",Meal_entry_week_1!K$11:K$496),"")</f>
        <v/>
      </c>
      <c r="F404" s="407" t="str">
        <f t="shared" si="18"/>
        <v/>
      </c>
    </row>
    <row r="405" spans="1:6">
      <c r="B405" s="492" t="s">
        <v>3079</v>
      </c>
      <c r="C405" s="492" t="s">
        <v>3371</v>
      </c>
      <c r="D405" s="421" t="str">
        <f>_xlfn.IFNA(IF(VLOOKUP($C405,Ingredient_prices!$E:$F,2,FALSE)="Партија 2","Lot 2","Lot 1"),"")</f>
        <v/>
      </c>
      <c r="E405" s="407" t="str">
        <f>IF(SUMIF(Meal_entry_week_1!H$11:H$496,"Wholemeal roll",Meal_entry_week_1!K$11:K$496)&gt;0,SUMIF(Meal_entry_week_1!H$11:H$496,"Wholemeal roll",Meal_entry_week_1!K$11:K$496),"")</f>
        <v/>
      </c>
      <c r="F405" s="407" t="str">
        <f t="shared" si="18"/>
        <v/>
      </c>
    </row>
    <row r="406" spans="1:6">
      <c r="B406" s="749" t="s">
        <v>3080</v>
      </c>
      <c r="C406" s="749" t="s">
        <v>3385</v>
      </c>
      <c r="D406" s="421" t="str">
        <f>_xlfn.IFNA(IF(VLOOKUP($C406,Ingredient_prices!$E:$F,2,FALSE)="Партија 2","Lot 2","Lot 1"),"")</f>
        <v>Lot 1</v>
      </c>
      <c r="E406" s="407" t="str">
        <f>IF(SUMIF(Meal_entry_week_1!H$11:H$496,"Buckwheat paté",Meal_entry_week_1!K$11:K$496)&gt;0,SUMIF(Meal_entry_week_1!H$11:H$496,"Buckwheat paté",Meal_entry_week_1!K$11:K$496),"")</f>
        <v/>
      </c>
      <c r="F406" s="407" t="str">
        <f t="shared" si="18"/>
        <v/>
      </c>
    </row>
    <row r="407" spans="1:6">
      <c r="B407" s="749" t="s">
        <v>3080</v>
      </c>
      <c r="C407" s="749" t="s">
        <v>3390</v>
      </c>
      <c r="D407" s="421" t="str">
        <f>_xlfn.IFNA(IF(VLOOKUP($C407,Ingredient_prices!$E:$F,2,FALSE)="Партија 2","Lot 2","Lot 1"),"")</f>
        <v>Lot 1</v>
      </c>
      <c r="E407" s="407" t="str">
        <f>IF(SUMIF(Meal_entry_week_1!H$11:H$496,"Bun with cheese",Meal_entry_week_1!K$11:K$496)&gt;0,SUMIF(Meal_entry_week_1!H$11:H$496,"Bun with cheese",Meal_entry_week_1!K$11:K$496),"")</f>
        <v/>
      </c>
      <c r="F407" s="407" t="str">
        <f t="shared" si="18"/>
        <v/>
      </c>
    </row>
    <row r="408" spans="1:6">
      <c r="B408" s="749" t="s">
        <v>3080</v>
      </c>
      <c r="C408" s="749" t="s">
        <v>3389</v>
      </c>
      <c r="D408" s="421" t="str">
        <f>_xlfn.IFNA(IF(VLOOKUP($C408,Ingredient_prices!$E:$F,2,FALSE)="Партија 2","Lot 2","Lot 1"),"")</f>
        <v/>
      </c>
      <c r="E408" s="407" t="str">
        <f>IF(SUMIF(Meal_entry_week_1!H$11:H$496,"Bun with crackling",Meal_entry_week_1!K$11:K$496)&gt;0,SUMIF(Meal_entry_week_1!H$11:H$496,"Bun with crackling",Meal_entry_week_1!K$11:K$496),"")</f>
        <v/>
      </c>
      <c r="F408" s="407" t="str">
        <f t="shared" si="18"/>
        <v/>
      </c>
    </row>
    <row r="409" spans="1:6">
      <c r="B409" s="749" t="s">
        <v>3080</v>
      </c>
      <c r="C409" s="749" t="s">
        <v>1912</v>
      </c>
      <c r="D409" s="421" t="str">
        <f>_xlfn.IFNA(IF(VLOOKUP($C409,Ingredient_prices!$E:$F,2,FALSE)="Партија 2","Lot 2","Lot 1"),"")</f>
        <v>Lot 1</v>
      </c>
      <c r="E409" s="407" t="str">
        <f>IF(SUMIF(Meal_entry_week_1!H$11:H$496,"Burek with cheese",Meal_entry_week_1!K$11:K$496)&gt;0,SUMIF(Meal_entry_week_1!H$11:H$496,"Burek with cheese",Meal_entry_week_1!K$11:K$496),"")</f>
        <v/>
      </c>
      <c r="F409" s="407" t="str">
        <f t="shared" si="18"/>
        <v/>
      </c>
    </row>
    <row r="410" spans="1:6">
      <c r="B410" s="749" t="s">
        <v>3080</v>
      </c>
      <c r="C410" s="749" t="s">
        <v>3380</v>
      </c>
      <c r="D410" s="421" t="str">
        <f>_xlfn.IFNA(IF(VLOOKUP($C410,Ingredient_prices!$E:$F,2,FALSE)="Партија 2","Lot 2","Lot 1"),"")</f>
        <v/>
      </c>
      <c r="E410" s="1125" t="str">
        <f>IF(SUMIF(Meal_entry_week_1!H$11:H$496,"Burek with chicken",Meal_entry_week_1!K$11:K$496)&gt;0,SUMIF(Meal_entry_week_1!H$11:H$496,"Burek with chicken",Meal_entry_week_1!K$11:K$496),"")</f>
        <v/>
      </c>
      <c r="F410" s="1125" t="str">
        <f t="shared" si="18"/>
        <v/>
      </c>
    </row>
    <row r="411" spans="1:6">
      <c r="B411" s="749" t="s">
        <v>3080</v>
      </c>
      <c r="C411" s="749" t="s">
        <v>3381</v>
      </c>
      <c r="D411" s="421" t="str">
        <f>_xlfn.IFNA(IF(VLOOKUP($C411,Ingredient_prices!$E:$F,2,FALSE)="Партија 2","Lot 2","Lot 1"),"")</f>
        <v/>
      </c>
      <c r="E411" s="1125" t="str">
        <f>IF(SUMIF(Meal_entry_week_1!H$11:H$496,"Burek with pork",Meal_entry_week_1!K$11:K$496)&gt;0,SUMIF(Meal_entry_week_1!H$11:H$496,"Burek with pork",Meal_entry_week_1!K$11:K$496),"")</f>
        <v/>
      </c>
      <c r="F411" s="1125" t="str">
        <f t="shared" ref="F411" si="19">IF(E411="","",E411/1)</f>
        <v/>
      </c>
    </row>
    <row r="412" spans="1:6">
      <c r="A412" s="1126"/>
      <c r="B412" s="749" t="s">
        <v>3080</v>
      </c>
      <c r="C412" s="1" t="s">
        <v>3379</v>
      </c>
      <c r="D412" s="421" t="str">
        <f>_xlfn.IFNA(IF(VLOOKUP($C412,Ingredient_prices!$E:$F,2,FALSE)="Партија 2","Lot 2","Lot 1"),"")</f>
        <v/>
      </c>
      <c r="E412" s="407" t="str">
        <f>IF(SUMIF(Meal_entry_week_1!H$11:H$496,"Burek with potatoes",Meal_entry_week_1!K$11:K$496)&gt;0,SUMIF(Meal_entry_week_1!H$11:H$496,"Burek with potatoes",Meal_entry_week_1!K$11:K$496),"")</f>
        <v/>
      </c>
      <c r="F412" s="407" t="str">
        <f t="shared" si="18"/>
        <v/>
      </c>
    </row>
    <row r="413" spans="1:6">
      <c r="A413" s="1126"/>
      <c r="B413" s="749" t="s">
        <v>3080</v>
      </c>
      <c r="C413" s="749" t="s">
        <v>3383</v>
      </c>
      <c r="D413" s="421" t="str">
        <f>_xlfn.IFNA(IF(VLOOKUP($C413,Ingredient_prices!$E:$F,2,FALSE)="Партија 2","Lot 2","Lot 1"),"")</f>
        <v/>
      </c>
      <c r="E413" s="407" t="str">
        <f>IF(SUMIF(Meal_entry_week_1!H$11:H$496,"Cocktail pastries",Meal_entry_week_1!K$11:K$496)&gt;0,SUMIF(Meal_entry_week_1!H$11:H$496,"Cocktail pastries",Meal_entry_week_1!K$11:K$496),"")</f>
        <v/>
      </c>
      <c r="F413" s="407" t="str">
        <f t="shared" si="18"/>
        <v/>
      </c>
    </row>
    <row r="414" spans="1:6">
      <c r="B414" s="749" t="s">
        <v>3080</v>
      </c>
      <c r="C414" s="749" t="s">
        <v>3384</v>
      </c>
      <c r="D414" s="421" t="str">
        <f>_xlfn.IFNA(IF(VLOOKUP($C414,Ingredient_prices!$E:$F,2,FALSE)="Партија 2","Lot 2","Lot 1"),"")</f>
        <v/>
      </c>
      <c r="E414" s="407" t="str">
        <f>IF(SUMIF(Meal_entry_week_1!H$11:H$496,"Croissant with cheese and ham",Meal_entry_week_1!K$11:K$496)&gt;0,SUMIF(Meal_entry_week_1!H$11:H$496,"Croissant with cheese and ham",Meal_entry_week_1!K$11:K$496),"")</f>
        <v/>
      </c>
      <c r="F414" s="407" t="str">
        <f t="shared" si="18"/>
        <v/>
      </c>
    </row>
    <row r="415" spans="1:6">
      <c r="B415" s="749" t="s">
        <v>3080</v>
      </c>
      <c r="C415" s="749" t="s">
        <v>1989</v>
      </c>
      <c r="D415" s="421" t="str">
        <f>_xlfn.IFNA(IF(VLOOKUP($C415,Ingredient_prices!$E:$F,2,FALSE)="Партија 2","Lot 2","Lot 1"),"")</f>
        <v/>
      </c>
      <c r="E415" s="407" t="str">
        <f>IF(SUMIF(Meal_entry_week_1!H$11:H$496,"Croissant with ham",Meal_entry_week_1!K$11:K$496)&gt;0,SUMIF(Meal_entry_week_1!H$11:H$496,"Croissant with ham",Meal_entry_week_1!K$11:K$496),"")</f>
        <v/>
      </c>
      <c r="F415" s="407" t="str">
        <f t="shared" si="18"/>
        <v/>
      </c>
    </row>
    <row r="416" spans="1:6">
      <c r="B416" s="749" t="s">
        <v>3080</v>
      </c>
      <c r="C416" s="749" t="s">
        <v>1987</v>
      </c>
      <c r="D416" s="421" t="str">
        <f>_xlfn.IFNA(IF(VLOOKUP($C416,Ingredient_prices!$E:$F,2,FALSE)="Партија 2","Lot 2","Lot 1"),"")</f>
        <v/>
      </c>
      <c r="E416" s="407" t="str">
        <f>IF(SUMIF(Meal_entry_week_1!H$11:H$496,"Ham buns",Meal_entry_week_1!K$11:K$496)&gt;0,SUMIF(Meal_entry_week_1!H$11:H$496,"Ham buns",Meal_entry_week_1!K$11:K$496),"")</f>
        <v/>
      </c>
      <c r="F416" s="407" t="str">
        <f t="shared" si="18"/>
        <v/>
      </c>
    </row>
    <row r="417" spans="1:7">
      <c r="B417" s="749" t="s">
        <v>3080</v>
      </c>
      <c r="C417" s="749" t="s">
        <v>3386</v>
      </c>
      <c r="D417" s="421" t="str">
        <f>_xlfn.IFNA(IF(VLOOKUP($C417,Ingredient_prices!$E:$F,2,FALSE)="Партија 2","Lot 2","Lot 1"),"")</f>
        <v/>
      </c>
      <c r="E417" s="407" t="str">
        <f>IF(SUMIF(Meal_entry_week_1!H$11:H$496,"Paté with cheese",Meal_entry_week_1!K$11:K$496)&gt;0,SUMIF(Meal_entry_week_1!H$11:H$496,"Paté with cheese",Meal_entry_week_1!K$11:K$496),"")</f>
        <v/>
      </c>
      <c r="F417" s="407" t="str">
        <f t="shared" si="18"/>
        <v/>
      </c>
    </row>
    <row r="418" spans="1:7">
      <c r="B418" s="749" t="s">
        <v>3080</v>
      </c>
      <c r="C418" s="749" t="s">
        <v>3387</v>
      </c>
      <c r="D418" s="421" t="str">
        <f>_xlfn.IFNA(IF(VLOOKUP($C418,Ingredient_prices!$E:$F,2,FALSE)="Партија 2","Lot 2","Lot 1"),"")</f>
        <v>Lot 1</v>
      </c>
      <c r="E418" s="407" t="str">
        <f>IF(SUMIF(Meal_entry_week_1!H$11:H$496,"Pie with buckwheat flour",Meal_entry_week_1!K$11:K$496)&gt;0,SUMIF(Meal_entry_week_1!H$11:H$496,"Pie with buckwheat flour",Meal_entry_week_1!K$11:K$496),"")</f>
        <v/>
      </c>
      <c r="F418" s="407" t="str">
        <f t="shared" si="18"/>
        <v/>
      </c>
    </row>
    <row r="419" spans="1:7">
      <c r="B419" s="749" t="s">
        <v>3080</v>
      </c>
      <c r="C419" s="749" t="s">
        <v>1990</v>
      </c>
      <c r="D419" s="421" t="str">
        <f>_xlfn.IFNA(IF(VLOOKUP($C419,Ingredient_prices!$E:$F,2,FALSE)="Партија 2","Lot 2","Lot 1"),"")</f>
        <v/>
      </c>
      <c r="E419" s="407" t="str">
        <f>IF(SUMIF(Meal_entry_week_1!H$11:H$496,"Pizza (mini pizza)",Meal_entry_week_1!K$11:K$496)&gt;0,SUMIF(Meal_entry_week_1!H$11:H$496,"Pizza (mini pizza)",Meal_entry_week_1!K$11:K$496),"")</f>
        <v/>
      </c>
      <c r="F419" s="407" t="str">
        <f t="shared" si="18"/>
        <v/>
      </c>
    </row>
    <row r="420" spans="1:7">
      <c r="B420" s="749" t="s">
        <v>3080</v>
      </c>
      <c r="C420" s="749" t="s">
        <v>3388</v>
      </c>
      <c r="D420" s="421" t="str">
        <f>_xlfn.IFNA(IF(VLOOKUP($C420,Ingredient_prices!$E:$F,2,FALSE)="Партија 2","Lot 2","Lot 1"),"")</f>
        <v>Lot 1</v>
      </c>
      <c r="E420" s="407" t="str">
        <f>IF(SUMIF(Meal_entry_week_1!H$11:H$496,"Pizza base",Meal_entry_week_1!K$11:K$496)&gt;0,SUMIF(Meal_entry_week_1!H$11:H$496,"Pizza base",Meal_entry_week_1!K$11:K$496),"")</f>
        <v/>
      </c>
      <c r="F420" s="407" t="str">
        <f t="shared" si="18"/>
        <v/>
      </c>
    </row>
    <row r="421" spans="1:7" s="491" customFormat="1">
      <c r="A421" s="444"/>
      <c r="B421" s="749" t="s">
        <v>3080</v>
      </c>
      <c r="C421" s="749" t="s">
        <v>3393</v>
      </c>
      <c r="D421" s="421" t="str">
        <f>_xlfn.IFNA(IF(VLOOKUP($C421,Ingredient_prices!$E:$F,2,FALSE)="Партија 2","Lot 2","Lot 1"),"")</f>
        <v/>
      </c>
      <c r="E421" s="407" t="str">
        <f>IF(SUMIF(Meal_entry_week_1!H$11:H$496,"Roll with cheese",Meal_entry_week_1!K$11:K$496)&gt;0,SUMIF(Meal_entry_week_1!H$11:H$496,"Roll with cheese",Meal_entry_week_1!K$11:K$496),"")</f>
        <v/>
      </c>
      <c r="F421" s="407" t="str">
        <f t="shared" si="18"/>
        <v/>
      </c>
      <c r="G421" s="1126"/>
    </row>
    <row r="422" spans="1:7" s="491" customFormat="1">
      <c r="A422" s="444"/>
      <c r="B422" s="749" t="s">
        <v>3080</v>
      </c>
      <c r="C422" s="749" t="s">
        <v>3548</v>
      </c>
      <c r="D422" s="421" t="str">
        <f>_xlfn.IFNA(IF(VLOOKUP($C422,Ingredient_prices!$E:$F,2,FALSE)="Партија 2","Lot 2","Lot 1"),"")</f>
        <v>Lot 1</v>
      </c>
      <c r="E422" s="407">
        <f>IF(SUMIF(Meal_entry_week_1!H$11:H$496,"Sausage roll",Meal_entry_week_1!K$11:K$496)&gt;0,SUMIF(Meal_entry_week_1!H$11:H$496,"Sausage roll",Meal_entry_week_1!K$11:K$496),"")</f>
        <v>11.000000000000002</v>
      </c>
      <c r="F422" s="407">
        <f t="shared" si="18"/>
        <v>11.000000000000002</v>
      </c>
      <c r="G422" s="1126"/>
    </row>
    <row r="423" spans="1:7">
      <c r="B423" s="749" t="s">
        <v>3080</v>
      </c>
      <c r="C423" s="749" t="s">
        <v>3382</v>
      </c>
      <c r="D423" s="421" t="str">
        <f>_xlfn.IFNA(IF(VLOOKUP($C423,Ingredient_prices!$E:$F,2,FALSE)="Партија 2","Lot 2","Lot 1"),"")</f>
        <v/>
      </c>
      <c r="E423" s="407" t="str">
        <f>IF(SUMIF(Meal_entry_week_1!H$11:H$496,"Savoury biscuits Tak",Meal_entry_week_1!K$11:K$496)&gt;0,SUMIF(Meal_entry_week_1!H$11:H$496,"Savoury biscuits Tak",Meal_entry_week_1!K$11:K$496),"")</f>
        <v/>
      </c>
      <c r="F423" s="407" t="str">
        <f t="shared" ref="F423:F425" si="20">IF(E423="","",E423/1)</f>
        <v/>
      </c>
    </row>
    <row r="424" spans="1:7">
      <c r="B424" s="749" t="s">
        <v>3080</v>
      </c>
      <c r="C424" s="749" t="s">
        <v>3392</v>
      </c>
      <c r="D424" s="421" t="str">
        <f>_xlfn.IFNA(IF(VLOOKUP($C424,Ingredient_prices!$E:$F,2,FALSE)="Партија 2","Lot 2","Lot 1"),"")</f>
        <v>Lot 1</v>
      </c>
      <c r="E424" s="407" t="str">
        <f>IF(SUMIF(Meal_entry_week_1!H$11:H$496,"Spiral bun small",Meal_entry_week_1!K$11:K$496)&gt;0,SUMIF(Meal_entry_week_1!H$11:H$496,"Spiral bun small",Meal_entry_week_1!K$11:K$496),"")</f>
        <v/>
      </c>
      <c r="F424" s="407" t="str">
        <f>IF(E424="","",E424/1)</f>
        <v/>
      </c>
    </row>
    <row r="425" spans="1:7">
      <c r="B425" s="492" t="s">
        <v>3080</v>
      </c>
      <c r="C425" s="492" t="s">
        <v>3391</v>
      </c>
      <c r="D425" s="421" t="str">
        <f>_xlfn.IFNA(IF(VLOOKUP($C425,Ingredient_prices!$E:$F,2,FALSE)="Партија 2","Lot 2","Lot 1"),"")</f>
        <v/>
      </c>
      <c r="E425" s="407" t="str">
        <f>IF(SUMIF(Meal_entry_week_1!H$11:H$496,"Spiral bun with cheese",Meal_entry_week_1!K$11:K$496)&gt;0,SUMIF(Meal_entry_week_1!H$11:H$496,"Spiral bun with cheese",Meal_entry_week_1!K$11:K$496),"")</f>
        <v/>
      </c>
      <c r="F425" s="407" t="str">
        <f t="shared" si="20"/>
        <v/>
      </c>
    </row>
    <row r="426" spans="1:7">
      <c r="B426" s="491" t="s">
        <v>3081</v>
      </c>
      <c r="C426" s="749" t="s">
        <v>3395</v>
      </c>
      <c r="D426" s="421" t="str">
        <f>_xlfn.IFNA(IF(VLOOKUP($C426,Ingredient_prices!$E:$F,2,FALSE)="Партија 2","Lot 2","Lot 1"),"")</f>
        <v/>
      </c>
      <c r="E426" s="407" t="str">
        <f>IF(SUMIF(Meal_entry_week_1!H$11:H$496,"Apple strudel",Meal_entry_week_1!K$11:K$496)&gt;0,SUMIF(Meal_entry_week_1!H$11:H$496,"Apple strudel",Meal_entry_week_1!K$11:K$496),"")</f>
        <v/>
      </c>
      <c r="F426" s="407" t="str">
        <f t="shared" ref="F426" si="21">IF(E426="","",E426/1)</f>
        <v/>
      </c>
    </row>
    <row r="427" spans="1:7">
      <c r="B427" s="491" t="s">
        <v>3081</v>
      </c>
      <c r="C427" s="749" t="s">
        <v>3398</v>
      </c>
      <c r="D427" s="421" t="str">
        <f>_xlfn.IFNA(IF(VLOOKUP($C427,Ingredient_prices!$E:$F,2,FALSE)="Партија 2","Lot 2","Lot 1"),"")</f>
        <v>Lot 1</v>
      </c>
      <c r="E427" s="407" t="str">
        <f>IF(SUMIF(Meal_entry_week_1!H$11:H$496,"Apple tart",Meal_entry_week_1!K$11:K$496)&gt;0,SUMIF(Meal_entry_week_1!H$11:H$496,"Apple tart",Meal_entry_week_1!K$11:K$496),"")</f>
        <v/>
      </c>
      <c r="F427" s="407" t="str">
        <f t="shared" ref="F427" si="22">IF(E427="","",E427/1)</f>
        <v/>
      </c>
    </row>
    <row r="428" spans="1:7">
      <c r="B428" s="491" t="s">
        <v>3081</v>
      </c>
      <c r="C428" s="749" t="s">
        <v>1931</v>
      </c>
      <c r="D428" s="421" t="str">
        <f>_xlfn.IFNA(IF(VLOOKUP($C428,Ingredient_prices!$E:$F,2,FALSE)="Партија 2","Lot 2","Lot 1"),"")</f>
        <v>Lot 1</v>
      </c>
      <c r="E428" s="407" t="str">
        <f>IF(SUMIF(Meal_entry_week_1!H$11:H$496,"Cherry pie",Meal_entry_week_1!K$11:K$496)&gt;0,SUMIF(Meal_entry_week_1!H$11:H$496,"Cherry pie",Meal_entry_week_1!K$11:K$496),"")</f>
        <v/>
      </c>
      <c r="F428" s="407" t="str">
        <f t="shared" si="18"/>
        <v/>
      </c>
    </row>
    <row r="429" spans="1:7">
      <c r="B429" s="491" t="s">
        <v>3081</v>
      </c>
      <c r="C429" s="1" t="s">
        <v>1938</v>
      </c>
      <c r="D429" s="421" t="str">
        <f>_xlfn.IFNA(IF(VLOOKUP($C429,Ingredient_prices!$E:$F,2,FALSE)="Партија 2","Lot 2","Lot 1"),"")</f>
        <v>Lot 1</v>
      </c>
      <c r="E429" s="407" t="str">
        <f>IF(SUMIF(Meal_entry_week_1!H$11:H$496,"Cherry roll",Meal_entry_week_1!K$11:K$496)&gt;0,SUMIF(Meal_entry_week_1!H$11:H$496,"Cherry roll",Meal_entry_week_1!K$11:K$496),"")</f>
        <v/>
      </c>
      <c r="F429" s="407" t="str">
        <f t="shared" si="18"/>
        <v/>
      </c>
    </row>
    <row r="430" spans="1:7">
      <c r="B430" s="491" t="s">
        <v>3081</v>
      </c>
      <c r="C430" s="749" t="s">
        <v>3396</v>
      </c>
      <c r="D430" s="421" t="str">
        <f>_xlfn.IFNA(IF(VLOOKUP($C430,Ingredient_prices!$E:$F,2,FALSE)="Партија 2","Lot 2","Lot 1"),"")</f>
        <v/>
      </c>
      <c r="E430" s="407" t="str">
        <f>IF(SUMIF(Meal_entry_week_1!H$11:H$496,"Cherry strudel",Meal_entry_week_1!K$11:K$496)&gt;0,SUMIF(Meal_entry_week_1!H$11:H$496,"Cherry strudel",Meal_entry_week_1!K$11:K$496),"")</f>
        <v/>
      </c>
      <c r="F430" s="407" t="str">
        <f t="shared" si="18"/>
        <v/>
      </c>
    </row>
    <row r="431" spans="1:7">
      <c r="B431" s="491" t="s">
        <v>3081</v>
      </c>
      <c r="C431" s="1" t="s">
        <v>1940</v>
      </c>
      <c r="D431" s="421" t="str">
        <f>_xlfn.IFNA(IF(VLOOKUP($C431,Ingredient_prices!$E:$F,2,FALSE)="Партија 2","Lot 2","Lot 1"),"")</f>
        <v/>
      </c>
      <c r="E431" s="407" t="str">
        <f>IF(SUMIF(Meal_entry_week_1!H$11:H$496,"Cream roll",Meal_entry_week_1!K$11:K$496)&gt;0,SUMIF(Meal_entry_week_1!H$11:H$496,"Cream roll",Meal_entry_week_1!K$11:K$496),"")</f>
        <v/>
      </c>
      <c r="F431" s="407" t="str">
        <f t="shared" si="18"/>
        <v/>
      </c>
    </row>
    <row r="432" spans="1:7">
      <c r="B432" s="491" t="s">
        <v>3081</v>
      </c>
      <c r="C432" s="749" t="s">
        <v>3394</v>
      </c>
      <c r="D432" s="421" t="str">
        <f>_xlfn.IFNA(IF(VLOOKUP($C432,Ingredient_prices!$E:$F,2,FALSE)="Партија 2","Lot 2","Lot 1"),"")</f>
        <v>Lot 1</v>
      </c>
      <c r="E432" s="407" t="str">
        <f>IF(SUMIF(Meal_entry_week_1!H$11:H$496,"Croissant with chocolate",Meal_entry_week_1!K$11:K$496)&gt;0,SUMIF(Meal_entry_week_1!H$11:H$496,"Croissant with chocolate",Meal_entry_week_1!K$11:K$496),"")</f>
        <v/>
      </c>
      <c r="F432" s="407" t="str">
        <f t="shared" si="18"/>
        <v/>
      </c>
    </row>
    <row r="433" spans="1:7">
      <c r="B433" s="491" t="s">
        <v>3081</v>
      </c>
      <c r="C433" s="749" t="s">
        <v>1913</v>
      </c>
      <c r="D433" s="421" t="str">
        <f>_xlfn.IFNA(IF(VLOOKUP($C433,Ingredient_prices!$E:$F,2,FALSE)="Партија 2","Lot 2","Lot 1"),"")</f>
        <v>Lot 1</v>
      </c>
      <c r="E433" s="407" t="str">
        <f>IF(SUMIF(Meal_entry_week_1!H$11:H$496,"Danish pastry (sweet)",Meal_entry_week_1!K$11:K$496)&gt;0,SUMIF(Meal_entry_week_1!H$11:H$496,"Danish pastry (sweet)",Meal_entry_week_1!K$11:K$496),"")</f>
        <v/>
      </c>
      <c r="F433" s="407" t="str">
        <f t="shared" si="18"/>
        <v/>
      </c>
    </row>
    <row r="434" spans="1:7" s="749" customFormat="1">
      <c r="A434" s="444"/>
      <c r="B434" s="491" t="s">
        <v>3081</v>
      </c>
      <c r="C434" s="749" t="s">
        <v>3399</v>
      </c>
      <c r="D434" s="421" t="str">
        <f>_xlfn.IFNA(IF(VLOOKUP($C434,Ingredient_prices!$E:$F,2,FALSE)="Партија 2","Lot 2","Lot 1"),"")</f>
        <v/>
      </c>
      <c r="E434" s="407" t="str">
        <f>IF(SUMIF(Meal_entry_week_1!H$11:H$496,"Doughnut with jam",Meal_entry_week_1!K$11:K$496)&gt;0,SUMIF(Meal_entry_week_1!H$11:H$496,"Doughnut with jam",Meal_entry_week_1!K$11:K$496),"")</f>
        <v/>
      </c>
      <c r="F434" s="407" t="str">
        <f t="shared" si="18"/>
        <v/>
      </c>
      <c r="G434" s="444"/>
    </row>
    <row r="435" spans="1:7" s="749" customFormat="1">
      <c r="A435" s="444"/>
      <c r="B435" s="491" t="s">
        <v>3081</v>
      </c>
      <c r="C435" s="749" t="s">
        <v>1932</v>
      </c>
      <c r="D435" s="421" t="str">
        <f>_xlfn.IFNA(IF(VLOOKUP($C435,Ingredient_prices!$E:$F,2,FALSE)="Партија 2","Lot 2","Lot 1"),"")</f>
        <v/>
      </c>
      <c r="E435" s="407" t="str">
        <f>IF(SUMIF(Meal_entry_week_1!H$11:H$496,"Pie with cherries and apples",Meal_entry_week_1!K$11:K$496)&gt;0,SUMIF(Meal_entry_week_1!H$11:H$496,"Pie with cherries and apples",Meal_entry_week_1!K$11:K$496),"")</f>
        <v/>
      </c>
      <c r="F435" s="407" t="str">
        <f t="shared" si="18"/>
        <v/>
      </c>
      <c r="G435" s="444"/>
    </row>
    <row r="436" spans="1:7" s="749" customFormat="1">
      <c r="A436" s="444"/>
      <c r="B436" s="491" t="s">
        <v>3081</v>
      </c>
      <c r="C436" s="749" t="s">
        <v>3397</v>
      </c>
      <c r="D436" s="421" t="str">
        <f>_xlfn.IFNA(IF(VLOOKUP($C436,Ingredient_prices!$E:$F,2,FALSE)="Партија 2","Lot 2","Lot 1"),"")</f>
        <v/>
      </c>
      <c r="E436" s="407" t="str">
        <f>IF(SUMIF(Meal_entry_week_1!H$11:H$496,"Square doughnuts with jam",Meal_entry_week_1!K$11:K$496)&gt;0,SUMIF(Meal_entry_week_1!H$11:H$496,"Square doughnuts with jam",Meal_entry_week_1!K$11:K$496),"")</f>
        <v/>
      </c>
      <c r="F436" s="407" t="str">
        <f t="shared" si="18"/>
        <v/>
      </c>
      <c r="G436" s="444"/>
    </row>
    <row r="437" spans="1:7" s="749" customFormat="1">
      <c r="A437" s="444"/>
      <c r="B437" s="492" t="s">
        <v>3081</v>
      </c>
      <c r="C437" s="492" t="s">
        <v>1997</v>
      </c>
      <c r="D437" s="421" t="str">
        <f>_xlfn.IFNA(IF(VLOOKUP($C437,Ingredient_prices!$E:$F,2,FALSE)="Партија 2","Lot 2","Lot 1"),"")</f>
        <v/>
      </c>
      <c r="E437" s="407" t="str">
        <f>IF(SUMIF(Meal_entry_week_1!H$11:H$496,"Strudel with poppy seeds",Meal_entry_week_1!K$11:K$496)&gt;0,SUMIF(Meal_entry_week_1!H$11:H$496,"Strudel with poppy seeds",Meal_entry_week_1!K$11:K$496),"")</f>
        <v/>
      </c>
      <c r="F437" s="407" t="str">
        <f t="shared" si="18"/>
        <v/>
      </c>
      <c r="G437" s="444"/>
    </row>
    <row r="438" spans="1:7" s="749" customFormat="1">
      <c r="A438" s="444"/>
      <c r="B438" s="494" t="s">
        <v>3082</v>
      </c>
      <c r="C438" s="749" t="s">
        <v>3401</v>
      </c>
      <c r="D438" s="421" t="str">
        <f>_xlfn.IFNA(IF(VLOOKUP($C438,Ingredient_prices!$E:$F,2,FALSE)="Партија 2","Lot 2","Lot 1"),"")</f>
        <v/>
      </c>
      <c r="E438" s="407" t="str">
        <f>IF(SUMIF(Meal_entry_week_1!H$11:H$496,"Beef cube flavouring",Meal_entry_week_1!K$11:K$496)&gt;0,SUMIF(Meal_entry_week_1!H$11:H$496,"Beef cube flavouring",Meal_entry_week_1!K$11:K$496),"")</f>
        <v/>
      </c>
      <c r="F438" s="407" t="str">
        <f t="shared" si="18"/>
        <v/>
      </c>
      <c r="G438" s="444"/>
    </row>
    <row r="439" spans="1:7" s="749" customFormat="1">
      <c r="A439" s="444"/>
      <c r="B439" s="491" t="s">
        <v>3082</v>
      </c>
      <c r="C439" s="749" t="s">
        <v>3403</v>
      </c>
      <c r="D439" s="421" t="str">
        <f>_xlfn.IFNA(IF(VLOOKUP($C439,Ingredient_prices!$E:$F,2,FALSE)="Партија 2","Lot 2","Lot 1"),"")</f>
        <v/>
      </c>
      <c r="E439" s="407" t="str">
        <f>IF(SUMIF(Meal_entry_week_1!H$11:H$496,"Beef soup packet",Meal_entry_week_1!K$11:K$496)&gt;0,SUMIF(Meal_entry_week_1!H$11:H$496,"Beef soup packet",Meal_entry_week_1!K$11:K$496),"")</f>
        <v/>
      </c>
      <c r="F439" s="407" t="str">
        <f t="shared" si="18"/>
        <v/>
      </c>
      <c r="G439" s="444"/>
    </row>
    <row r="440" spans="1:7" s="749" customFormat="1">
      <c r="A440" s="444"/>
      <c r="B440" s="491" t="s">
        <v>3082</v>
      </c>
      <c r="C440" s="749" t="s">
        <v>3400</v>
      </c>
      <c r="D440" s="421" t="str">
        <f>_xlfn.IFNA(IF(VLOOKUP($C440,Ingredient_prices!$E:$F,2,FALSE)="Партија 2","Lot 2","Lot 1"),"")</f>
        <v/>
      </c>
      <c r="E440" s="407" t="str">
        <f>IF(SUMIF(Meal_entry_week_1!H$11:H$496,"Ćevapi in a bun",Meal_entry_week_1!K$11:K$496)&gt;0,SUMIF(Meal_entry_week_1!H$11:H$496,"Ćevapi in a bun",Meal_entry_week_1!K$11:K$496),"")</f>
        <v/>
      </c>
      <c r="F440" s="407" t="str">
        <f t="shared" si="18"/>
        <v/>
      </c>
      <c r="G440" s="444"/>
    </row>
    <row r="441" spans="1:7">
      <c r="B441" s="491" t="s">
        <v>3082</v>
      </c>
      <c r="C441" s="749" t="s">
        <v>3406</v>
      </c>
      <c r="D441" s="421" t="str">
        <f>_xlfn.IFNA(IF(VLOOKUP($C441,Ingredient_prices!$E:$F,2,FALSE)="Партија 2","Lot 2","Lot 1"),"")</f>
        <v/>
      </c>
      <c r="E441" s="407" t="str">
        <f>IF(SUMIF(Meal_entry_week_1!H$11:H$496,"Chicken cube flavouring",Meal_entry_week_1!K$11:K$496)&gt;0,SUMIF(Meal_entry_week_1!H$11:H$496,"Chicken cube flavouring",Meal_entry_week_1!K$11:K$496),"")</f>
        <v/>
      </c>
      <c r="F441" s="407" t="str">
        <f t="shared" si="18"/>
        <v/>
      </c>
    </row>
    <row r="442" spans="1:7">
      <c r="B442" s="491" t="s">
        <v>3082</v>
      </c>
      <c r="C442" s="749" t="s">
        <v>3402</v>
      </c>
      <c r="D442" s="421" t="str">
        <f>_xlfn.IFNA(IF(VLOOKUP($C442,Ingredient_prices!$E:$F,2,FALSE)="Партија 2","Lot 2","Lot 1"),"")</f>
        <v/>
      </c>
      <c r="E442" s="407" t="str">
        <f>IF(SUMIF(Meal_entry_week_1!H$11:H$496,"Chicken soup packet",Meal_entry_week_1!K$11:K$496)&gt;0,SUMIF(Meal_entry_week_1!H$11:H$496,"Chicken soup packet",Meal_entry_week_1!K$11:K$496),"")</f>
        <v/>
      </c>
      <c r="F442" s="407" t="str">
        <f t="shared" ref="F442" si="23">IF(E442="","",E442/1)</f>
        <v/>
      </c>
    </row>
    <row r="443" spans="1:7">
      <c r="B443" s="491" t="s">
        <v>3082</v>
      </c>
      <c r="C443" s="749" t="s">
        <v>3405</v>
      </c>
      <c r="D443" s="421" t="str">
        <f>_xlfn.IFNA(IF(VLOOKUP($C443,Ingredient_prices!$E:$F,2,FALSE)="Партија 2","Lot 2","Lot 1"),"")</f>
        <v>Lot 2</v>
      </c>
      <c r="E443" s="407" t="str">
        <f>IF(SUMIF(Meal_entry_week_1!H$11:H$496,"Chicken soup thick packet",Meal_entry_week_1!K$11:K$496)&gt;0,SUMIF(Meal_entry_week_1!H$11:H$496,"Chicken soup thick packet",Meal_entry_week_1!K$11:K$496),"")</f>
        <v/>
      </c>
      <c r="F443" s="407" t="str">
        <f t="shared" si="18"/>
        <v/>
      </c>
    </row>
    <row r="444" spans="1:7">
      <c r="B444" s="491" t="s">
        <v>3082</v>
      </c>
      <c r="C444" s="749" t="s">
        <v>3528</v>
      </c>
      <c r="D444" s="421" t="str">
        <f>_xlfn.IFNA(IF(VLOOKUP($C444,Ingredient_prices!$E:$F,2,FALSE)="Партија 2","Lot 2","Lot 1"),"")</f>
        <v>Lot 1</v>
      </c>
      <c r="E444" s="407" t="str">
        <f>IF(SUMIF(Meal_entry_week_1!H$11:H$496,"Pizza margarita",Meal_entry_week_1!K$11:K$496)&gt;0,SUMIF(Meal_entry_week_1!H$11:H$496,"Pizza margarita",Meal_entry_week_1!K$11:K$496),"")</f>
        <v/>
      </c>
      <c r="F444" s="407" t="str">
        <f t="shared" si="18"/>
        <v/>
      </c>
    </row>
    <row r="445" spans="1:7">
      <c r="B445" s="491" t="s">
        <v>3082</v>
      </c>
      <c r="C445" s="749" t="s">
        <v>1992</v>
      </c>
      <c r="D445" s="421" t="str">
        <f>_xlfn.IFNA(IF(VLOOKUP($C445,Ingredient_prices!$E:$F,2,FALSE)="Партија 2","Lot 2","Lot 1"),"")</f>
        <v/>
      </c>
      <c r="E445" s="407" t="str">
        <f>IF(SUMIF(Meal_entry_week_1!H$11:H$496,"Pizza with cheese",Meal_entry_week_1!K$11:K$496)&gt;0,SUMIF(Meal_entry_week_1!H$11:H$496,"Pizza with cheese",Meal_entry_week_1!K$11:K$496),"")</f>
        <v/>
      </c>
      <c r="F445" s="407" t="str">
        <f t="shared" si="18"/>
        <v/>
      </c>
    </row>
    <row r="446" spans="1:7">
      <c r="B446" s="491" t="s">
        <v>3082</v>
      </c>
      <c r="C446" s="749" t="s">
        <v>1993</v>
      </c>
      <c r="D446" s="421" t="str">
        <f>_xlfn.IFNA(IF(VLOOKUP($C446,Ingredient_prices!$E:$F,2,FALSE)="Партија 2","Lot 2","Lot 1"),"")</f>
        <v/>
      </c>
      <c r="E446" s="407" t="str">
        <f>IF(SUMIF(Meal_entry_week_1!H$11:H$496,"Pizza with cheese, meat and vegetables",Meal_entry_week_1!K$11:K$496)&gt;0,SUMIF(Meal_entry_week_1!H$11:H$496,"Pizza with cheese, meat and vegetables",Meal_entry_week_1!K$11:K$496),"")</f>
        <v/>
      </c>
      <c r="F446" s="407" t="str">
        <f t="shared" si="18"/>
        <v/>
      </c>
    </row>
    <row r="447" spans="1:7">
      <c r="B447" s="491" t="s">
        <v>3082</v>
      </c>
      <c r="C447" s="749" t="s">
        <v>3407</v>
      </c>
      <c r="D447" s="421" t="str">
        <f>_xlfn.IFNA(IF(VLOOKUP($C447,Ingredient_prices!$E:$F,2,FALSE)="Партија 2","Lot 2","Lot 1"),"")</f>
        <v/>
      </c>
      <c r="E447" s="407" t="str">
        <f>IF(SUMIF(Meal_entry_week_1!H$11:H$496,"Pizza with salami",Meal_entry_week_1!K$11:K$496)&gt;0,SUMIF(Meal_entry_week_1!H$11:H$496,"Pizza with salami",Meal_entry_week_1!K$11:K$496),"")</f>
        <v/>
      </c>
      <c r="F447" s="407" t="str">
        <f t="shared" si="18"/>
        <v/>
      </c>
    </row>
    <row r="448" spans="1:7">
      <c r="B448" s="491" t="s">
        <v>3082</v>
      </c>
      <c r="C448" s="749" t="s">
        <v>3409</v>
      </c>
      <c r="D448" s="421" t="str">
        <f>_xlfn.IFNA(IF(VLOOKUP($C448,Ingredient_prices!$E:$F,2,FALSE)="Партија 2","Lot 2","Lot 1"),"")</f>
        <v/>
      </c>
      <c r="E448" s="407" t="str">
        <f>IF(SUMIF(Meal_entry_week_1!H$11:H$496,"Rice pudding",Meal_entry_week_1!K$11:K$496)&gt;0,SUMIF(Meal_entry_week_1!H$11:H$496,"Rice pudding",Meal_entry_week_1!K$11:K$496),"")</f>
        <v/>
      </c>
      <c r="F448" s="407" t="str">
        <f t="shared" si="18"/>
        <v/>
      </c>
    </row>
    <row r="449" spans="1:7">
      <c r="B449" s="491" t="s">
        <v>3082</v>
      </c>
      <c r="C449" s="749" t="s">
        <v>3408</v>
      </c>
      <c r="D449" s="421" t="str">
        <f>_xlfn.IFNA(IF(VLOOKUP($C449,Ingredient_prices!$E:$F,2,FALSE)="Партија 2","Lot 2","Lot 1"),"")</f>
        <v/>
      </c>
      <c r="E449" s="407" t="str">
        <f>IF(SUMIF(Meal_entry_week_1!H$11:H$496,"Sauerkraut cooked",Meal_entry_week_1!K$11:K$496)&gt;0,SUMIF(Meal_entry_week_1!H$11:H$496,"Sauerkraut cooked",Meal_entry_week_1!K$11:K$496),"")</f>
        <v/>
      </c>
      <c r="F449" s="407" t="str">
        <f t="shared" si="18"/>
        <v/>
      </c>
    </row>
    <row r="450" spans="1:7">
      <c r="B450" s="491" t="s">
        <v>3082</v>
      </c>
      <c r="C450" s="749" t="s">
        <v>496</v>
      </c>
      <c r="D450" s="421" t="str">
        <f>_xlfn.IFNA(IF(VLOOKUP($C450,Ingredient_prices!$E:$F,2,FALSE)="Партија 2","Lot 2","Lot 1"),"")</f>
        <v/>
      </c>
      <c r="E450" s="407" t="str">
        <f>IF(SUMIF(Meal_entry_week_1!H$11:H$496,"Soup cubes",Meal_entry_week_1!K$11:K$496)&gt;0,SUMIF(Meal_entry_week_1!H$11:H$496,"Soup cubes",Meal_entry_week_1!K$11:K$496),"")</f>
        <v/>
      </c>
      <c r="F450" s="407" t="str">
        <f t="shared" si="18"/>
        <v/>
      </c>
    </row>
    <row r="451" spans="1:7">
      <c r="B451" s="492" t="s">
        <v>3082</v>
      </c>
      <c r="C451" s="492" t="s">
        <v>3404</v>
      </c>
      <c r="D451" s="421" t="str">
        <f>_xlfn.IFNA(IF(VLOOKUP($C451,Ingredient_prices!$E:$F,2,FALSE)="Партија 2","Lot 2","Lot 1"),"")</f>
        <v/>
      </c>
      <c r="E451" s="407" t="str">
        <f>IF(SUMIF(Meal_entry_week_1!H$11:H$496,"Tomato soup packet",Meal_entry_week_1!K$11:K$496)&gt;0,SUMIF(Meal_entry_week_1!H$11:H$496,"Tomato soup packet",Meal_entry_week_1!K$11:K$496),"")</f>
        <v/>
      </c>
      <c r="F451" s="407" t="str">
        <f t="shared" si="18"/>
        <v/>
      </c>
    </row>
    <row r="452" spans="1:7">
      <c r="B452" s="494" t="s">
        <v>3083</v>
      </c>
      <c r="C452" s="749" t="s">
        <v>3519</v>
      </c>
      <c r="D452" s="421" t="str">
        <f>_xlfn.IFNA(IF(VLOOKUP($C452,Ingredient_prices!$E:$F,2,FALSE)="Партија 2","Lot 2","Lot 1"),"")</f>
        <v/>
      </c>
      <c r="E452" s="407" t="str">
        <f>IF(SUMIF(Meal_entry_week_1!H$11:H$496,"Apple syrup (squash) diluted",Meal_entry_week_1!K$11:K$496)&gt;0,SUMIF(Meal_entry_week_1!H$11:H$496,"Apple syrup (squash) diluted",Meal_entry_week_1!K$11:K$496),"")</f>
        <v/>
      </c>
      <c r="F452" s="407" t="str">
        <f t="shared" ref="F452:F486" si="24">IF(E452="","",E452/1)</f>
        <v/>
      </c>
    </row>
    <row r="453" spans="1:7">
      <c r="B453" s="491" t="s">
        <v>3083</v>
      </c>
      <c r="C453" s="1" t="s">
        <v>3524</v>
      </c>
      <c r="D453" s="421" t="str">
        <f>_xlfn.IFNA(IF(VLOOKUP($C453,Ingredient_prices!$E:$F,2,FALSE)="Партија 2","Lot 2","Lot 1"),"")</f>
        <v/>
      </c>
      <c r="E453" s="407" t="str">
        <f>IF(SUMIF(Meal_entry_week_1!H$11:H$496,"Apple syrup (squash) undiluted",Meal_entry_week_1!K$11:K$496)&gt;0,SUMIF(Meal_entry_week_1!H$11:H$496,"Apple syrup (squash) undiluted",Meal_entry_week_1!K$11:K$496),"")</f>
        <v/>
      </c>
      <c r="F453" s="407" t="str">
        <f t="shared" si="24"/>
        <v/>
      </c>
    </row>
    <row r="454" spans="1:7">
      <c r="B454" s="491" t="s">
        <v>3083</v>
      </c>
      <c r="C454" s="749" t="s">
        <v>3529</v>
      </c>
      <c r="D454" s="421" t="str">
        <f>_xlfn.IFNA(IF(VLOOKUP($C454,Ingredient_prices!$E:$F,2,FALSE)="Партија 2","Lot 2","Lot 1"),"")</f>
        <v/>
      </c>
      <c r="E454" s="407" t="str">
        <f>IF(SUMIF(Meal_entry_week_1!H$11:H$496,"Blackcurrant syrup (squash) diluted",Meal_entry_week_1!K$11:K$496)&gt;0,SUMIF(Meal_entry_week_1!H$11:H$496,"Blackcurrant syrup (squash) diluted",Meal_entry_week_1!K$11:K$496),"")</f>
        <v/>
      </c>
      <c r="F454" s="407" t="str">
        <f t="shared" si="24"/>
        <v/>
      </c>
    </row>
    <row r="455" spans="1:7" s="749" customFormat="1">
      <c r="A455" s="444"/>
      <c r="B455" s="491" t="s">
        <v>3083</v>
      </c>
      <c r="C455" s="1" t="s">
        <v>3530</v>
      </c>
      <c r="D455" s="421" t="str">
        <f>_xlfn.IFNA(IF(VLOOKUP($C455,Ingredient_prices!$E:$F,2,FALSE)="Партија 2","Lot 2","Lot 1"),"")</f>
        <v/>
      </c>
      <c r="E455" s="407" t="str">
        <f>IF(SUMIF(Meal_entry_week_1!H$11:H$496,"Blackcurrant syrup (squash) undiluted",Meal_entry_week_1!K$11:K$496)&gt;0,SUMIF(Meal_entry_week_1!H$11:H$496,"Blackcurrant syrup (squash) undiluted",Meal_entry_week_1!K$11:K$496),"")</f>
        <v/>
      </c>
      <c r="F455" s="407" t="str">
        <f t="shared" si="24"/>
        <v/>
      </c>
      <c r="G455" s="444"/>
    </row>
    <row r="456" spans="1:7">
      <c r="B456" s="491" t="s">
        <v>3083</v>
      </c>
      <c r="C456" s="749" t="s">
        <v>3518</v>
      </c>
      <c r="D456" s="421" t="str">
        <f>_xlfn.IFNA(IF(VLOOKUP($C456,Ingredient_prices!$E:$F,2,FALSE)="Партија 2","Lot 2","Lot 1"),"")</f>
        <v/>
      </c>
      <c r="E456" s="407" t="str">
        <f>IF(SUMIF(Meal_entry_week_1!H$11:H$496,"Blueberry syrup (squash) diluted",Meal_entry_week_1!K$11:K$496)&gt;0,SUMIF(Meal_entry_week_1!H$11:H$496,"Blueberry syrup (squash) diluted",Meal_entry_week_1!K$11:K$496),"")</f>
        <v/>
      </c>
      <c r="F456" s="407" t="str">
        <f t="shared" si="24"/>
        <v/>
      </c>
    </row>
    <row r="457" spans="1:7">
      <c r="B457" s="491" t="s">
        <v>3083</v>
      </c>
      <c r="C457" s="1" t="s">
        <v>3523</v>
      </c>
      <c r="D457" s="421" t="str">
        <f>_xlfn.IFNA(IF(VLOOKUP($C457,Ingredient_prices!$E:$F,2,FALSE)="Партија 2","Lot 2","Lot 1"),"")</f>
        <v/>
      </c>
      <c r="E457" s="407" t="str">
        <f>IF(SUMIF(Meal_entry_week_1!H$11:H$496,"Blueberry syrup (squash) undiluted",Meal_entry_week_1!K$11:K$496)&gt;0,SUMIF(Meal_entry_week_1!H$11:H$496,"Blueberry syrup (squash) undiluted",Meal_entry_week_1!K$11:K$496),"")</f>
        <v/>
      </c>
      <c r="F457" s="407" t="str">
        <f t="shared" si="24"/>
        <v/>
      </c>
    </row>
    <row r="458" spans="1:7">
      <c r="B458" s="491" t="s">
        <v>3083</v>
      </c>
      <c r="C458" s="749" t="s">
        <v>3414</v>
      </c>
      <c r="D458" s="421" t="str">
        <f>_xlfn.IFNA(IF(VLOOKUP($C458,Ingredient_prices!$E:$F,2,FALSE)="Партија 2","Lot 2","Lot 1"),"")</f>
        <v>Lot 2</v>
      </c>
      <c r="E458" s="407">
        <f>IF(SUMIF(Meal_entry_week_1!H$11:H$496,"Cedevita lemon",Meal_entry_week_1!K$11:K$496)&gt;0,SUMIF(Meal_entry_week_1!H$11:H$496,"Cedevita lemon",Meal_entry_week_1!K$11:K$496),"")</f>
        <v>2.7500000000000004</v>
      </c>
      <c r="F458" s="407">
        <f t="shared" si="24"/>
        <v>2.7500000000000004</v>
      </c>
    </row>
    <row r="459" spans="1:7">
      <c r="B459" s="491" t="s">
        <v>3083</v>
      </c>
      <c r="C459" s="749" t="s">
        <v>2739</v>
      </c>
      <c r="D459" s="421" t="str">
        <f>_xlfn.IFNA(IF(VLOOKUP($C459,Ingredient_prices!$E:$F,2,FALSE)="Партија 2","Lot 2","Lot 1"),"")</f>
        <v/>
      </c>
      <c r="E459" s="407" t="str">
        <f>IF(SUMIF(Meal_entry_week_1!H$11:H$496,"Cedevita multivitamin",Meal_entry_week_1!K$11:K$496)&gt;0,SUMIF(Meal_entry_week_1!H$11:H$496,"Cedevita multivitamin",Meal_entry_week_1!K$11:K$496),"")</f>
        <v/>
      </c>
      <c r="F459" s="407" t="str">
        <f t="shared" si="24"/>
        <v/>
      </c>
    </row>
    <row r="460" spans="1:7">
      <c r="B460" s="491" t="s">
        <v>3083</v>
      </c>
      <c r="C460" s="749" t="s">
        <v>3517</v>
      </c>
      <c r="D460" s="421" t="str">
        <f>_xlfn.IFNA(IF(VLOOKUP($C460,Ingredient_prices!$E:$F,2,FALSE)="Партија 2","Lot 2","Lot 1"),"")</f>
        <v>Lot 2</v>
      </c>
      <c r="E460" s="407" t="str">
        <f>IF(SUMIF(Meal_entry_week_1!H$11:H$496,"Cedevita orange",Meal_entry_week_1!K$11:K$496)&gt;0,SUMIF(Meal_entry_week_1!H$11:H$496,"Cedevita orange",Meal_entry_week_1!K$11:K$496),"")</f>
        <v/>
      </c>
      <c r="F460" s="407" t="str">
        <f t="shared" si="24"/>
        <v/>
      </c>
    </row>
    <row r="461" spans="1:7">
      <c r="B461" s="491" t="s">
        <v>3083</v>
      </c>
      <c r="C461" s="749" t="s">
        <v>3522</v>
      </c>
      <c r="D461" s="421" t="str">
        <f>_xlfn.IFNA(IF(VLOOKUP($C461,Ingredient_prices!$E:$F,2,FALSE)="Партија 2","Lot 2","Lot 1"),"")</f>
        <v/>
      </c>
      <c r="E461" s="407" t="str">
        <f>IF(SUMIF(Meal_entry_week_1!H$11:H$496,"Cherry syrup (squash) diluted",Meal_entry_week_1!K$11:K$496)&gt;0,SUMIF(Meal_entry_week_1!H$11:H$496,"Cherry syrup (squash) diluted",Meal_entry_week_1!K$11:K$496),"")</f>
        <v/>
      </c>
      <c r="F461" s="407" t="str">
        <f t="shared" si="24"/>
        <v/>
      </c>
    </row>
    <row r="462" spans="1:7">
      <c r="B462" s="491" t="s">
        <v>3083</v>
      </c>
      <c r="C462" s="1" t="s">
        <v>3526</v>
      </c>
      <c r="D462" s="421" t="str">
        <f>_xlfn.IFNA(IF(VLOOKUP($C462,Ingredient_prices!$E:$F,2,FALSE)="Партија 2","Lot 2","Lot 1"),"")</f>
        <v/>
      </c>
      <c r="E462" s="407" t="str">
        <f>IF(SUMIF(Meal_entry_week_1!H$11:H$496,"Cherry syrup (squash) undiluted",Meal_entry_week_1!K$11:K$496)&gt;0,SUMIF(Meal_entry_week_1!H$11:H$496,"Cherry syrup (squash) undiluted",Meal_entry_week_1!K$11:K$496),"")</f>
        <v/>
      </c>
      <c r="F462" s="407" t="str">
        <f t="shared" si="24"/>
        <v/>
      </c>
    </row>
    <row r="463" spans="1:7">
      <c r="B463" s="491" t="s">
        <v>3083</v>
      </c>
      <c r="C463" s="749" t="s">
        <v>193</v>
      </c>
      <c r="D463" s="421" t="str">
        <f>_xlfn.IFNA(IF(VLOOKUP($C463,Ingredient_prices!$E:$F,2,FALSE)="Партија 2","Lot 2","Lot 1"),"")</f>
        <v/>
      </c>
      <c r="E463" s="407" t="str">
        <f>IF(SUMIF(Meal_entry_week_1!H$11:H$496,"Coca cola",Meal_entry_week_1!K$11:K$496)&gt;0,SUMIF(Meal_entry_week_1!H$11:H$496,"Coca cola",Meal_entry_week_1!K$11:K$496),"")</f>
        <v/>
      </c>
      <c r="F463" s="407" t="str">
        <f t="shared" si="24"/>
        <v/>
      </c>
    </row>
    <row r="464" spans="1:7">
      <c r="B464" s="491" t="s">
        <v>3083</v>
      </c>
      <c r="C464" s="749" t="s">
        <v>1975</v>
      </c>
      <c r="D464" s="421" t="str">
        <f>_xlfn.IFNA(IF(VLOOKUP($C464,Ingredient_prices!$E:$F,2,FALSE)="Партија 2","Lot 2","Lot 1"),"")</f>
        <v/>
      </c>
      <c r="E464" s="407" t="str">
        <f>IF(SUMIF(Meal_entry_week_1!H$11:H$496,"Cocoa instant",Meal_entry_week_1!K$11:K$496)&gt;0,SUMIF(Meal_entry_week_1!H$11:H$496,"Cocoa instant",Meal_entry_week_1!K$11:K$496),"")</f>
        <v/>
      </c>
      <c r="F464" s="407" t="str">
        <f t="shared" si="24"/>
        <v/>
      </c>
    </row>
    <row r="465" spans="2:6">
      <c r="B465" s="491" t="s">
        <v>3083</v>
      </c>
      <c r="C465" s="749" t="s">
        <v>3410</v>
      </c>
      <c r="D465" s="421" t="str">
        <f>_xlfn.IFNA(IF(VLOOKUP($C465,Ingredient_prices!$E:$F,2,FALSE)="Партија 2","Lot 2","Lot 1"),"")</f>
        <v/>
      </c>
      <c r="E465" s="407" t="str">
        <f>IF(SUMIF(Meal_entry_week_1!H$11:H$496,"Cranberry tea",Meal_entry_week_1!K$11:K$496)&gt;0,SUMIF(Meal_entry_week_1!H$11:H$496,"Cranberry tea",Meal_entry_week_1!K$11:K$496),"")</f>
        <v/>
      </c>
      <c r="F465" s="407" t="str">
        <f t="shared" si="24"/>
        <v/>
      </c>
    </row>
    <row r="466" spans="2:6">
      <c r="B466" s="491" t="s">
        <v>3083</v>
      </c>
      <c r="C466" s="749" t="s">
        <v>3412</v>
      </c>
      <c r="D466" s="421" t="str">
        <f>_xlfn.IFNA(IF(VLOOKUP($C466,Ingredient_prices!$E:$F,2,FALSE)="Партија 2","Lot 2","Lot 1"),"")</f>
        <v>Lot 2</v>
      </c>
      <c r="E466" s="407" t="str">
        <f>IF(SUMIF(Meal_entry_week_1!H$11:H$496,"Hibiscus tea",Meal_entry_week_1!K$11:K$496)&gt;0,SUMIF(Meal_entry_week_1!H$11:H$496,"Hibiscus tea",Meal_entry_week_1!K$11:K$496),"")</f>
        <v/>
      </c>
      <c r="F466" s="407" t="str">
        <f t="shared" si="24"/>
        <v/>
      </c>
    </row>
    <row r="467" spans="2:6">
      <c r="B467" s="491" t="s">
        <v>3083</v>
      </c>
      <c r="C467" s="749" t="s">
        <v>3415</v>
      </c>
      <c r="D467" s="421" t="str">
        <f>_xlfn.IFNA(IF(VLOOKUP($C467,Ingredient_prices!$E:$F,2,FALSE)="Партија 2","Lot 2","Lot 1"),"")</f>
        <v/>
      </c>
      <c r="E467" s="407" t="str">
        <f>IF(SUMIF(Meal_entry_week_1!H$11:H$496,"Instant coffee",Meal_entry_week_1!K$11:K$496)&gt;0,SUMIF(Meal_entry_week_1!H$11:H$496,"Instant coffee",Meal_entry_week_1!K$11:K$496),"")</f>
        <v/>
      </c>
      <c r="F467" s="407" t="str">
        <f t="shared" si="24"/>
        <v/>
      </c>
    </row>
    <row r="468" spans="2:6">
      <c r="B468" s="491" t="s">
        <v>3083</v>
      </c>
      <c r="C468" s="749" t="s">
        <v>1977</v>
      </c>
      <c r="D468" s="421" t="str">
        <f>_xlfn.IFNA(IF(VLOOKUP($C468,Ingredient_prices!$E:$F,2,FALSE)="Партија 2","Lot 2","Lot 1"),"")</f>
        <v/>
      </c>
      <c r="E468" s="407" t="str">
        <f>IF(SUMIF(Meal_entry_week_1!H$11:H$496,"Lemonade, made with water",Meal_entry_week_1!K$11:K$496)&gt;0,SUMIF(Meal_entry_week_1!H$11:H$496,"Lemonade, made with water",Meal_entry_week_1!K$11:K$496),"")</f>
        <v/>
      </c>
      <c r="F468" s="407" t="str">
        <f t="shared" si="24"/>
        <v/>
      </c>
    </row>
    <row r="469" spans="2:6">
      <c r="B469" s="491" t="s">
        <v>3083</v>
      </c>
      <c r="C469" s="749" t="s">
        <v>3416</v>
      </c>
      <c r="D469" s="421" t="str">
        <f>_xlfn.IFNA(IF(VLOOKUP($C469,Ingredient_prices!$E:$F,2,FALSE)="Партија 2","Lot 2","Lot 1"),"")</f>
        <v/>
      </c>
      <c r="E469" s="407" t="str">
        <f>IF(SUMIF(Meal_entry_week_1!H$11:H$496,"Mint tea",Meal_entry_week_1!K$11:K$496)&gt;0,SUMIF(Meal_entry_week_1!H$11:H$496,"Mint tea",Meal_entry_week_1!K$11:K$496),"")</f>
        <v/>
      </c>
      <c r="F469" s="407" t="str">
        <f t="shared" si="24"/>
        <v/>
      </c>
    </row>
    <row r="470" spans="2:6">
      <c r="B470" s="491" t="s">
        <v>3083</v>
      </c>
      <c r="C470" s="749" t="s">
        <v>3521</v>
      </c>
      <c r="D470" s="421" t="str">
        <f>_xlfn.IFNA(IF(VLOOKUP($C470,Ingredient_prices!$E:$F,2,FALSE)="Партија 2","Lot 2","Lot 1"),"")</f>
        <v/>
      </c>
      <c r="E470" s="407" t="str">
        <f>IF(SUMIF(Meal_entry_week_1!H$11:H$496,"Orange/lemon syrup (squash) diluted",Meal_entry_week_1!K$11:K$496)&gt;0,SUMIF(Meal_entry_week_1!H$11:H$496,"Orange/lemon syrup (squash) diluted",Meal_entry_week_1!K$11:K$496),"")</f>
        <v/>
      </c>
      <c r="F470" s="407" t="str">
        <f t="shared" si="24"/>
        <v/>
      </c>
    </row>
    <row r="471" spans="2:6">
      <c r="B471" s="491" t="s">
        <v>3083</v>
      </c>
      <c r="C471" s="1286" t="s">
        <v>3527</v>
      </c>
      <c r="D471" s="421" t="str">
        <f>_xlfn.IFNA(IF(VLOOKUP($C471,Ingredient_prices!$E:$F,2,FALSE)="Партија 2","Lot 2","Lot 1"),"")</f>
        <v/>
      </c>
      <c r="E471" s="407" t="str">
        <f>IF(SUMIF(Meal_entry_week_1!H$11:H$496,"Orange/lemon syrup (squash) undiluted",Meal_entry_week_1!K$11:K$496)&gt;0,SUMIF(Meal_entry_week_1!H$11:H$496,"Orange/lemon syrup (squash) undiluted",Meal_entry_week_1!K$11:K$496),"")</f>
        <v/>
      </c>
      <c r="F471" s="407" t="str">
        <f t="shared" si="24"/>
        <v/>
      </c>
    </row>
    <row r="472" spans="2:6">
      <c r="B472" s="491" t="s">
        <v>3083</v>
      </c>
      <c r="C472" s="749" t="s">
        <v>3520</v>
      </c>
      <c r="D472" s="421" t="str">
        <f>_xlfn.IFNA(IF(VLOOKUP($C472,Ingredient_prices!$E:$F,2,FALSE)="Партија 2","Lot 2","Lot 1"),"")</f>
        <v/>
      </c>
      <c r="E472" s="407" t="str">
        <f>IF(SUMIF(Meal_entry_week_1!H$11:H$496,"Raspberry syrup (squash) diluted",Meal_entry_week_1!K$11:K$496)&gt;0,SUMIF(Meal_entry_week_1!H$11:H$496,"Raspberry syrup (squash) diluted",Meal_entry_week_1!K$11:K$496),"")</f>
        <v/>
      </c>
      <c r="F472" s="407" t="str">
        <f t="shared" si="24"/>
        <v/>
      </c>
    </row>
    <row r="473" spans="2:6">
      <c r="B473" s="491" t="s">
        <v>3083</v>
      </c>
      <c r="C473" s="1" t="s">
        <v>3525</v>
      </c>
      <c r="D473" s="421" t="str">
        <f>_xlfn.IFNA(IF(VLOOKUP($C473,Ingredient_prices!$E:$F,2,FALSE)="Партија 2","Lot 2","Lot 1"),"")</f>
        <v/>
      </c>
      <c r="E473" s="407" t="str">
        <f>IF(SUMIF(Meal_entry_week_1!H$11:H$496,"Raspberry syrup (squash) undiluted",Meal_entry_week_1!K$11:K$496)&gt;0,SUMIF(Meal_entry_week_1!H$11:H$496,"Raspberry syrup (squash) undiluted",Meal_entry_week_1!K$11:K$496),"")</f>
        <v/>
      </c>
      <c r="F473" s="407" t="str">
        <f t="shared" si="24"/>
        <v/>
      </c>
    </row>
    <row r="474" spans="2:6">
      <c r="B474" s="491" t="s">
        <v>3083</v>
      </c>
      <c r="C474" s="749" t="s">
        <v>3417</v>
      </c>
      <c r="D474" s="421" t="str">
        <f>_xlfn.IFNA(IF(VLOOKUP($C474,Ingredient_prices!$E:$F,2,FALSE)="Партија 2","Lot 2","Lot 1"),"")</f>
        <v/>
      </c>
      <c r="E474" s="407" t="str">
        <f>IF(SUMIF(Meal_entry_week_1!H$11:H$496,"Rosehip tea",Meal_entry_week_1!K$11:K$496)&gt;0,SUMIF(Meal_entry_week_1!H$11:H$496,"Rosehip tea",Meal_entry_week_1!K$11:K$496),"")</f>
        <v/>
      </c>
      <c r="F474" s="407" t="str">
        <f t="shared" si="24"/>
        <v/>
      </c>
    </row>
    <row r="475" spans="2:6">
      <c r="B475" s="491" t="s">
        <v>3083</v>
      </c>
      <c r="C475" s="749" t="s">
        <v>3418</v>
      </c>
      <c r="D475" s="421" t="str">
        <f>_xlfn.IFNA(IF(VLOOKUP($C475,Ingredient_prices!$E:$F,2,FALSE)="Партија 2","Lot 2","Lot 1"),"")</f>
        <v/>
      </c>
      <c r="E475" s="407" t="str">
        <f>IF(SUMIF(Meal_entry_week_1!H$11:H$496,"Sprite/Fanta",Meal_entry_week_1!K$11:K$496)&gt;0,SUMIF(Meal_entry_week_1!H$11:H$496,"Sprite/Fanta",Meal_entry_week_1!K$11:K$496),"")</f>
        <v/>
      </c>
      <c r="F475" s="407" t="str">
        <f t="shared" si="24"/>
        <v/>
      </c>
    </row>
    <row r="476" spans="2:6">
      <c r="B476" s="491" t="s">
        <v>3083</v>
      </c>
      <c r="C476" s="749" t="s">
        <v>3413</v>
      </c>
      <c r="D476" s="421" t="str">
        <f>_xlfn.IFNA(IF(VLOOKUP($C476,Ingredient_prices!$E:$F,2,FALSE)="Партија 2","Lot 2","Lot 1"),"")</f>
        <v/>
      </c>
      <c r="E476" s="407" t="str">
        <f>IF(SUMIF(Meal_entry_week_1!H$11:H$496,"Strawberry tea",Meal_entry_week_1!K$11:K$496)&gt;0,SUMIF(Meal_entry_week_1!H$11:H$496,"Strawberry tea",Meal_entry_week_1!K$11:K$496),"")</f>
        <v/>
      </c>
      <c r="F476" s="407" t="str">
        <f t="shared" si="24"/>
        <v/>
      </c>
    </row>
    <row r="477" spans="2:6">
      <c r="B477" s="491" t="s">
        <v>3083</v>
      </c>
      <c r="C477" s="749" t="s">
        <v>502</v>
      </c>
      <c r="D477" s="421" t="str">
        <f>_xlfn.IFNA(IF(VLOOKUP($C477,Ingredient_prices!$E:$F,2,FALSE)="Партија 2","Lot 2","Lot 1"),"")</f>
        <v/>
      </c>
      <c r="E477" s="407" t="str">
        <f>IF(SUMIF(Meal_entry_week_1!H$11:H$496,"Tea",Meal_entry_week_1!K$11:K$496)&gt;0,SUMIF(Meal_entry_week_1!H$11:H$496,"Tea",Meal_entry_week_1!K$11:K$496),"")</f>
        <v/>
      </c>
      <c r="F477" s="407" t="str">
        <f t="shared" si="24"/>
        <v/>
      </c>
    </row>
    <row r="478" spans="2:6">
      <c r="B478" s="492" t="s">
        <v>3083</v>
      </c>
      <c r="C478" s="492" t="s">
        <v>3411</v>
      </c>
      <c r="D478" s="421" t="str">
        <f>_xlfn.IFNA(IF(VLOOKUP($C478,Ingredient_prices!$E:$F,2,FALSE)="Партија 2","Lot 2","Lot 1"),"")</f>
        <v/>
      </c>
      <c r="E478" s="407" t="str">
        <f>IF(SUMIF(Meal_entry_week_1!H$11:H$496,"Wild cherry tea",Meal_entry_week_1!K$11:K$496)&gt;0,SUMIF(Meal_entry_week_1!H$11:H$496,"Wild cherry tea",Meal_entry_week_1!K$11:K$496),"")</f>
        <v/>
      </c>
      <c r="F478" s="407" t="str">
        <f t="shared" si="24"/>
        <v/>
      </c>
    </row>
    <row r="479" spans="2:6">
      <c r="B479" s="494" t="s">
        <v>3084</v>
      </c>
      <c r="C479" s="494" t="s">
        <v>1984</v>
      </c>
      <c r="D479" s="421" t="str">
        <f>_xlfn.IFNA(IF(VLOOKUP($C479,Ingredient_prices!$E:$F,2,FALSE)="Партија 2","Lot 2","Lot 1"),"")</f>
        <v>Lot 2</v>
      </c>
      <c r="E479" s="407" t="str">
        <f>IF(SUMIF(Meal_entry_week_1!H$11:H$496,"Apple juice",Meal_entry_week_1!K$11:K$496)&gt;0,SUMIF(Meal_entry_week_1!H$11:H$496,"Apple juice",Meal_entry_week_1!K$11:K$496),"")</f>
        <v/>
      </c>
      <c r="F479" s="407" t="str">
        <f t="shared" si="24"/>
        <v/>
      </c>
    </row>
    <row r="480" spans="2:6">
      <c r="B480" s="491" t="s">
        <v>3084</v>
      </c>
      <c r="C480" s="491" t="s">
        <v>3419</v>
      </c>
      <c r="D480" s="421" t="str">
        <f>_xlfn.IFNA(IF(VLOOKUP($C480,Ingredient_prices!$E:$F,2,FALSE)="Партија 2","Lot 2","Lot 1"),"")</f>
        <v/>
      </c>
      <c r="E480" s="407" t="str">
        <f>IF(SUMIF(Meal_entry_week_1!H$11:H$496,"Blueberry juice",Meal_entry_week_1!K$11:K$496)&gt;0,SUMIF(Meal_entry_week_1!H$11:H$496,"Blueberry juice",Meal_entry_week_1!K$11:K$496),"")</f>
        <v/>
      </c>
      <c r="F480" s="407" t="str">
        <f t="shared" si="24"/>
        <v/>
      </c>
    </row>
    <row r="481" spans="2:6">
      <c r="B481" s="491" t="s">
        <v>3084</v>
      </c>
      <c r="C481" s="491" t="s">
        <v>1983</v>
      </c>
      <c r="D481" s="421" t="str">
        <f>_xlfn.IFNA(IF(VLOOKUP($C481,Ingredient_prices!$E:$F,2,FALSE)="Партија 2","Lot 2","Lot 1"),"")</f>
        <v/>
      </c>
      <c r="E481" s="407" t="str">
        <f>IF(SUMIF(Meal_entry_week_1!H$11:H$496,"Grape juice",Meal_entry_week_1!K$11:K$496)&gt;0,SUMIF(Meal_entry_week_1!H$11:H$496,"Grape juice",Meal_entry_week_1!K$11:K$496),"")</f>
        <v/>
      </c>
      <c r="F481" s="407" t="str">
        <f t="shared" si="24"/>
        <v/>
      </c>
    </row>
    <row r="482" spans="2:6">
      <c r="B482" s="491" t="s">
        <v>3084</v>
      </c>
      <c r="C482" s="491" t="s">
        <v>3422</v>
      </c>
      <c r="D482" s="421" t="str">
        <f>_xlfn.IFNA(IF(VLOOKUP($C482,Ingredient_prices!$E:$F,2,FALSE)="Партија 2","Lot 2","Lot 1"),"")</f>
        <v/>
      </c>
      <c r="E482" s="407" t="str">
        <f>IF(SUMIF(Meal_entry_week_1!H$11:H$496,"Lemon juice 100%, squeezed",Meal_entry_week_1!K$11:K$496)&gt;0,SUMIF(Meal_entry_week_1!H$11:H$496,"Lemon juice 100%, squeezed",Meal_entry_week_1!K$11:K$496),"")</f>
        <v/>
      </c>
      <c r="F482" s="407" t="str">
        <f t="shared" si="24"/>
        <v/>
      </c>
    </row>
    <row r="483" spans="2:6">
      <c r="B483" s="491" t="s">
        <v>3084</v>
      </c>
      <c r="C483" s="491" t="s">
        <v>3423</v>
      </c>
      <c r="D483" s="421" t="str">
        <f>_xlfn.IFNA(IF(VLOOKUP($C483,Ingredient_prices!$E:$F,2,FALSE)="Партија 2","Lot 2","Lot 1"),"")</f>
        <v/>
      </c>
      <c r="E483" s="407" t="str">
        <f>IF(SUMIF(Meal_entry_week_1!H$11:H$496,"Orange juice 100%",Meal_entry_week_1!K$11:K$496)&gt;0,SUMIF(Meal_entry_week_1!H$11:H$496,"Orange juice 100%",Meal_entry_week_1!K$11:K$496),"")</f>
        <v/>
      </c>
      <c r="F483" s="407" t="str">
        <f t="shared" si="24"/>
        <v/>
      </c>
    </row>
    <row r="484" spans="2:6">
      <c r="B484" s="492" t="s">
        <v>3084</v>
      </c>
      <c r="C484" s="492" t="s">
        <v>3420</v>
      </c>
      <c r="D484" s="421" t="str">
        <f>_xlfn.IFNA(IF(VLOOKUP($C484,Ingredient_prices!$E:$F,2,FALSE)="Партија 2","Lot 2","Lot 1"),"")</f>
        <v/>
      </c>
      <c r="E484" s="407" t="str">
        <f>IF(SUMIF(Meal_entry_week_1!H$11:H$496,"Peach juice",Meal_entry_week_1!K$11:K$496)&gt;0,SUMIF(Meal_entry_week_1!H$11:H$496,"Peach juice",Meal_entry_week_1!K$11:K$496),"")</f>
        <v/>
      </c>
      <c r="F484" s="407" t="str">
        <f t="shared" si="24"/>
        <v/>
      </c>
    </row>
    <row r="485" spans="2:6">
      <c r="F485" s="407" t="str">
        <f t="shared" si="24"/>
        <v/>
      </c>
    </row>
    <row r="486" spans="2:6">
      <c r="F486" s="407" t="str">
        <f t="shared" si="24"/>
        <v/>
      </c>
    </row>
  </sheetData>
  <hyperlinks>
    <hyperlink ref="C1" location="Sedmica_1_unos_hrane!A3" display="Klinite za Sedmica_1_unos_hrane" xr:uid="{26487259-8A3D-0C44-A879-3FCD457271A6}"/>
  </hyperlinks>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7857-1D21-EA48-B9E8-985A1318EA90}">
  <dimension ref="A1:G484"/>
  <sheetViews>
    <sheetView workbookViewId="0">
      <pane ySplit="3" topLeftCell="A4" activePane="bottomLeft" state="frozen"/>
      <selection pane="bottomLeft" activeCell="F9" sqref="F9"/>
    </sheetView>
  </sheetViews>
  <sheetFormatPr baseColWidth="10" defaultRowHeight="14"/>
  <cols>
    <col min="1" max="1" width="18.33203125" style="444" customWidth="1"/>
    <col min="2" max="2" width="30.83203125" style="443" customWidth="1"/>
    <col min="3" max="3" width="32.83203125" style="443" customWidth="1"/>
    <col min="4" max="4" width="10.83203125" style="443"/>
    <col min="5" max="5" width="10.83203125" style="406"/>
    <col min="6" max="6" width="14.1640625" style="406" customWidth="1"/>
    <col min="7" max="7" width="129.6640625" style="444" customWidth="1"/>
  </cols>
  <sheetData>
    <row r="1" spans="1:7" s="466" customFormat="1">
      <c r="A1" s="444"/>
      <c r="C1" s="329" t="s">
        <v>2949</v>
      </c>
      <c r="E1" s="406"/>
      <c r="F1" s="406" t="s">
        <v>3931</v>
      </c>
      <c r="G1" s="444"/>
    </row>
    <row r="2" spans="1:7">
      <c r="A2" s="457"/>
      <c r="B2" s="749"/>
      <c r="C2" s="749"/>
      <c r="D2" s="421"/>
      <c r="E2" s="407" t="s">
        <v>3929</v>
      </c>
      <c r="F2" s="407" t="s">
        <v>3929</v>
      </c>
      <c r="G2" s="457"/>
    </row>
    <row r="3" spans="1:7" ht="15" thickBot="1">
      <c r="B3" s="458" t="s">
        <v>3928</v>
      </c>
      <c r="C3" s="459" t="s">
        <v>3917</v>
      </c>
      <c r="D3" s="1294" t="s">
        <v>3918</v>
      </c>
      <c r="E3" s="460" t="s">
        <v>3930</v>
      </c>
      <c r="F3" s="460" t="s">
        <v>3930</v>
      </c>
    </row>
    <row r="4" spans="1:7">
      <c r="B4" s="1289" t="s">
        <v>3140</v>
      </c>
      <c r="C4" s="1263" t="s">
        <v>3136</v>
      </c>
      <c r="D4" s="421" t="str">
        <f>_xlfn.IFNA(IF(VLOOKUP($C4,Ingredient_prices!$E:$F,2,FALSE)="Партија 2","Lot 2","Lot 1"),"")</f>
        <v>Lot 2</v>
      </c>
      <c r="E4" s="407" t="str">
        <f>IF(SUMIF(Meal_entry_week_2!H$11:H$496,"Aubergine",Meal_entry_week_2!K$11:K$496)&gt;0,SUMIF(Meal_entry_week_2!H$11:H$496,"Aubergine",Meal_entry_week_2!K$11:K$496),"")</f>
        <v/>
      </c>
      <c r="F4" s="407" t="str">
        <f>IF(E4="","",E4/1)</f>
        <v/>
      </c>
    </row>
    <row r="5" spans="1:7" s="749" customFormat="1">
      <c r="A5" s="444"/>
      <c r="B5" s="1269" t="s">
        <v>3140</v>
      </c>
      <c r="C5" s="1265" t="s">
        <v>3144</v>
      </c>
      <c r="D5" s="421" t="str">
        <f>_xlfn.IFNA(IF(VLOOKUP($C5,Ingredient_prices!$E:$F,2,FALSE)="Партија 2","Lot 2","Lot 1"),"")</f>
        <v/>
      </c>
      <c r="E5" s="407" t="str">
        <f>IF(SUMIF(Meal_entry_week_2!H$11:H$496,"Beans (coloured)",Meal_entry_week_2!K$11:K$496)&gt;0,SUMIF(Meal_entry_week_2!H$11:H$496,"Beans (coloured)",Meal_entry_week_2!K$11:K$496),"")</f>
        <v/>
      </c>
      <c r="F5" s="407" t="str">
        <f>IF(E5="","",E5/1)</f>
        <v/>
      </c>
      <c r="G5" s="444"/>
    </row>
    <row r="6" spans="1:7">
      <c r="B6" s="1269" t="s">
        <v>3140</v>
      </c>
      <c r="C6" s="1265" t="s">
        <v>3135</v>
      </c>
      <c r="D6" s="421" t="str">
        <f>_xlfn.IFNA(IF(VLOOKUP($C6,Ingredient_prices!$E:$F,2,FALSE)="Партија 2","Lot 2","Lot 1"),"")</f>
        <v/>
      </c>
      <c r="E6" s="407" t="str">
        <f>IF(SUMIF(Meal_entry_week_2!H$11:H$496,"Beans (white)",Meal_entry_week_2!K$11:K$496)&gt;0,SUMIF(Meal_entry_week_2!H$11:H$496,"Beans (white)",Meal_entry_week_2!K$11:K$496),"")</f>
        <v/>
      </c>
      <c r="F6" s="407" t="str">
        <f>IF(E6="","",E6/1)</f>
        <v/>
      </c>
    </row>
    <row r="7" spans="1:7">
      <c r="B7" s="1269" t="s">
        <v>3140</v>
      </c>
      <c r="C7" s="1266" t="s">
        <v>3134</v>
      </c>
      <c r="D7" s="421" t="str">
        <f>_xlfn.IFNA(IF(VLOOKUP($C7,Ingredient_prices!$E:$F,2,FALSE)="Партија 2","Lot 2","Lot 1"),"")</f>
        <v>Lot 2</v>
      </c>
      <c r="E7" s="407">
        <f>IF(SUMIF(Meal_entry_week_2!H$11:H$496,"Beans haricot (yellow)",Meal_entry_week_2!K$11:K$496)&gt;0,SUMIF(Meal_entry_week_2!H$11:H$496,"Beans haricot (yellow)",Meal_entry_week_2!K$11:K$496),"")</f>
        <v>5.5000000000000009</v>
      </c>
      <c r="F7" s="407">
        <f>IF(E7="","",E7/1)</f>
        <v>5.5000000000000009</v>
      </c>
    </row>
    <row r="8" spans="1:7">
      <c r="B8" s="1269" t="s">
        <v>3140</v>
      </c>
      <c r="C8" s="1266" t="s">
        <v>3102</v>
      </c>
      <c r="D8" s="421" t="str">
        <f>_xlfn.IFNA(IF(VLOOKUP($C8,Ingredient_prices!$E:$F,2,FALSE)="Партија 2","Lot 2","Lot 1"),"")</f>
        <v>Lot 2</v>
      </c>
      <c r="E8" s="407" t="str">
        <f>IF(SUMIF(Meal_entry_week_2!H$11:H$496,"Beetroot fresh",Meal_entry_week_2!K$11:K$496)&gt;0,SUMIF(Meal_entry_week_2!H$11:H$496,"Beetroot fresh",Meal_entry_week_2!K$11:K$496),"")</f>
        <v/>
      </c>
      <c r="F8" s="407" t="str">
        <f>IF(E8="","",E8/0.9)</f>
        <v/>
      </c>
    </row>
    <row r="9" spans="1:7">
      <c r="B9" s="1269" t="s">
        <v>3140</v>
      </c>
      <c r="C9" s="1266" t="s">
        <v>3098</v>
      </c>
      <c r="D9" s="421" t="str">
        <f>_xlfn.IFNA(IF(VLOOKUP($C9,Ingredient_prices!$E:$F,2,FALSE)="Партија 2","Lot 2","Lot 1"),"")</f>
        <v>Lot 2</v>
      </c>
      <c r="E9" s="407" t="str">
        <f>IF(SUMIF(Meal_entry_week_2!H$11:H$496,"Broccoli",Meal_entry_week_2!K$11:K$496)&gt;0,SUMIF(Meal_entry_week_2!H$11:H$496,"Broccoli",Meal_entry_week_2!K$11:K$496),"")</f>
        <v/>
      </c>
      <c r="F9" s="407" t="str">
        <f>IF(E9="","",E9/0.8)</f>
        <v/>
      </c>
    </row>
    <row r="10" spans="1:7">
      <c r="B10" s="1269" t="s">
        <v>3140</v>
      </c>
      <c r="C10" s="1265" t="s">
        <v>3106</v>
      </c>
      <c r="D10" s="421" t="str">
        <f>_xlfn.IFNA(IF(VLOOKUP($C10,Ingredient_prices!$E:$F,2,FALSE)="Партија 2","Lot 2","Lot 1"),"")</f>
        <v/>
      </c>
      <c r="E10" s="407" t="str">
        <f>IF(SUMIF(Meal_entry_week_2!H$11:H$496,"Cabbage red fresh",Meal_entry_week_2!K$11:K$496)&gt;0,SUMIF(Meal_entry_week_2!H$11:H$496,"Cabbage red fresh",Meal_entry_week_2!K$11:K$496),"")</f>
        <v/>
      </c>
      <c r="F10" s="407" t="str">
        <f>IF(E10="","",E10/0.8)</f>
        <v/>
      </c>
    </row>
    <row r="11" spans="1:7">
      <c r="B11" s="1269" t="s">
        <v>3140</v>
      </c>
      <c r="C11" s="1266" t="s">
        <v>3105</v>
      </c>
      <c r="D11" s="421" t="str">
        <f>_xlfn.IFNA(IF(VLOOKUP($C11,Ingredient_prices!$E:$F,2,FALSE)="Партија 2","Lot 2","Lot 1"),"")</f>
        <v>Lot 2</v>
      </c>
      <c r="E11" s="407">
        <f>IF(SUMIF(Meal_entry_week_2!H$11:H$496,"Cabbage white fresh",Meal_entry_week_2!K$11:K$496)&gt;0,SUMIF(Meal_entry_week_2!H$11:H$496,"Cabbage white fresh",Meal_entry_week_2!K$11:K$496),"")</f>
        <v>26.400000000000002</v>
      </c>
      <c r="F11" s="407">
        <f>IF(E11="","",E11/0.8)</f>
        <v>33</v>
      </c>
    </row>
    <row r="12" spans="1:7">
      <c r="B12" s="1269" t="s">
        <v>3140</v>
      </c>
      <c r="C12" s="1266" t="s">
        <v>3115</v>
      </c>
      <c r="D12" s="421" t="str">
        <f>_xlfn.IFNA(IF(VLOOKUP($C12,Ingredient_prices!$E:$F,2,FALSE)="Партија 2","Lot 2","Lot 1"),"")</f>
        <v>Lot 2</v>
      </c>
      <c r="E12" s="407">
        <f>IF(SUMIF(Meal_entry_week_2!H$11:H$496,"Carrot fresh",Meal_entry_week_2!K$11:K$496)&gt;0,SUMIF(Meal_entry_week_2!H$11:H$496,"Carrot fresh",Meal_entry_week_2!K$11:K$496),"")</f>
        <v>11.769999999999998</v>
      </c>
      <c r="F12" s="407">
        <f>IF(E12="","",E12/0.9)</f>
        <v>13.077777777777776</v>
      </c>
    </row>
    <row r="13" spans="1:7">
      <c r="B13" s="1269" t="s">
        <v>3140</v>
      </c>
      <c r="C13" s="346" t="s">
        <v>3114</v>
      </c>
      <c r="D13" s="421" t="str">
        <f>_xlfn.IFNA(IF(VLOOKUP($C13,Ingredient_prices!$E:$F,2,FALSE)="Партија 2","Lot 2","Lot 1"),"")</f>
        <v>Lot 2</v>
      </c>
      <c r="E13" s="407" t="str">
        <f>IF(SUMIF(Meal_entry_week_2!H$11:H$496,"Carrots frozen",Meal_entry_week_2!K$11:K$496)&gt;0,SUMIF(Meal_entry_week_2!H$11:H$496,"Carrots frozen",Meal_entry_week_2!K$11:K$496),"")</f>
        <v/>
      </c>
      <c r="F13" s="407" t="str">
        <f>IF(E13="","",E13/1)</f>
        <v/>
      </c>
    </row>
    <row r="14" spans="1:7">
      <c r="B14" s="1269" t="s">
        <v>3140</v>
      </c>
      <c r="C14" s="1266" t="s">
        <v>469</v>
      </c>
      <c r="D14" s="421" t="str">
        <f>_xlfn.IFNA(IF(VLOOKUP($C14,Ingredient_prices!$E:$F,2,FALSE)="Партија 2","Lot 2","Lot 1"),"")</f>
        <v>Lot 2</v>
      </c>
      <c r="E14" s="407">
        <f>IF(SUMIF(Meal_entry_week_2!H$11:H$496,"Cauliflower",Meal_entry_week_2!K$11:K$496)&gt;0,SUMIF(Meal_entry_week_2!H$11:H$496,"Cauliflower",Meal_entry_week_2!K$11:K$496),"")</f>
        <v>2.2000000000000002</v>
      </c>
      <c r="F14" s="407">
        <f>IF(E14="","",E14/0.7)</f>
        <v>3.1428571428571432</v>
      </c>
    </row>
    <row r="15" spans="1:7">
      <c r="B15" s="1269" t="s">
        <v>3140</v>
      </c>
      <c r="C15" s="346" t="s">
        <v>3099</v>
      </c>
      <c r="D15" s="421" t="str">
        <f>_xlfn.IFNA(IF(VLOOKUP($C15,Ingredient_prices!$E:$F,2,FALSE)="Партија 2","Lot 2","Lot 1"),"")</f>
        <v/>
      </c>
      <c r="E15" s="407" t="str">
        <f>IF(SUMIF(Meal_entry_week_2!H$11:H$496,"Celery leaf",Meal_entry_week_2!K$11:K$496)&gt;0,SUMIF(Meal_entry_week_2!H$11:H$496,"Celery leaf",Meal_entry_week_2!K$11:K$496),"")</f>
        <v/>
      </c>
      <c r="F15" s="407" t="str">
        <f>IF(E15="","",E15/0.75)</f>
        <v/>
      </c>
    </row>
    <row r="16" spans="1:7">
      <c r="B16" s="1269" t="s">
        <v>3140</v>
      </c>
      <c r="C16" s="1266" t="s">
        <v>438</v>
      </c>
      <c r="D16" s="421" t="str">
        <f>_xlfn.IFNA(IF(VLOOKUP($C16,Ingredient_prices!$E:$F,2,FALSE)="Партија 2","Lot 2","Lot 1"),"")</f>
        <v>Lot 2</v>
      </c>
      <c r="E16" s="407" t="str">
        <f>IF(SUMIF(Meal_entry_week_2!H$11:H$496,"Celery root",Meal_entry_week_2!K$11:K$496)&gt;0,SUMIF(Meal_entry_week_2!H$11:H$496,"Celery root",Meal_entry_week_2!K$11:K$496),"")</f>
        <v/>
      </c>
      <c r="F16" s="407" t="str">
        <f>IF(E16="","",E16/0.8)</f>
        <v/>
      </c>
    </row>
    <row r="17" spans="1:7">
      <c r="B17" s="1269" t="s">
        <v>3140</v>
      </c>
      <c r="C17" s="346" t="s">
        <v>3111</v>
      </c>
      <c r="D17" s="421" t="str">
        <f>_xlfn.IFNA(IF(VLOOKUP($C17,Ingredient_prices!$E:$F,2,FALSE)="Партија 2","Lot 2","Lot 1"),"")</f>
        <v/>
      </c>
      <c r="E17" s="407" t="str">
        <f>IF(SUMIF(Meal_entry_week_2!H$11:H$496,"Cherry tomatoes",Meal_entry_week_2!K$11:K$496)&gt;0,SUMIF(Meal_entry_week_2!H$11:H$496,"Cherry tomatoes",Meal_entry_week_2!K$11:K$496),"")</f>
        <v/>
      </c>
      <c r="F17" s="407" t="str">
        <f>IF(E17="","",E17/1)</f>
        <v/>
      </c>
    </row>
    <row r="18" spans="1:7">
      <c r="B18" s="1269" t="s">
        <v>3140</v>
      </c>
      <c r="C18" s="346" t="s">
        <v>3104</v>
      </c>
      <c r="D18" s="421" t="str">
        <f>_xlfn.IFNA(IF(VLOOKUP($C18,Ingredient_prices!$E:$F,2,FALSE)="Партија 2","Lot 2","Lot 1"),"")</f>
        <v>Lot 2</v>
      </c>
      <c r="E18" s="407" t="str">
        <f>IF(SUMIF(Meal_entry_week_2!H$11:H$496,"Cucumber fresh",Meal_entry_week_2!K$11:K$496)&gt;0,SUMIF(Meal_entry_week_2!H$11:H$496,"Cucumber fresh",Meal_entry_week_2!K$11:K$496),"")</f>
        <v/>
      </c>
      <c r="F18" s="407" t="str">
        <f>IF(E18="","",E18/0.95)</f>
        <v/>
      </c>
    </row>
    <row r="19" spans="1:7">
      <c r="B19" s="1269" t="s">
        <v>3140</v>
      </c>
      <c r="C19" s="394" t="s">
        <v>3139</v>
      </c>
      <c r="D19" s="421" t="str">
        <f>_xlfn.IFNA(IF(VLOOKUP($C19,Ingredient_prices!$E:$F,2,FALSE)="Партија 2","Lot 2","Lot 1"),"")</f>
        <v/>
      </c>
      <c r="E19" s="407" t="str">
        <f>IF(SUMIF(Meal_entry_week_2!H$11:H$496,"Dock leaves",Meal_entry_week_2!K$11:K$496)&gt;0,SUMIF(Meal_entry_week_2!H$11:H$496,"Dock leaves",Meal_entry_week_2!K$11:K$496),"")</f>
        <v/>
      </c>
      <c r="F19" s="407" t="str">
        <f>IF(E19="","",E19/0.8)</f>
        <v/>
      </c>
    </row>
    <row r="20" spans="1:7">
      <c r="B20" s="1269" t="s">
        <v>3140</v>
      </c>
      <c r="C20" s="1267" t="s">
        <v>414</v>
      </c>
      <c r="D20" s="421" t="str">
        <f>_xlfn.IFNA(IF(VLOOKUP($C20,Ingredient_prices!$E:$F,2,FALSE)="Партија 2","Lot 2","Lot 1"),"")</f>
        <v>Lot 2</v>
      </c>
      <c r="E20" s="407">
        <f>IF(SUMIF(Meal_entry_week_2!H$11:H$496,"Garlic",Meal_entry_week_2!K$11:K$496)&gt;0,SUMIF(Meal_entry_week_2!H$11:H$496,"Garlic",Meal_entry_week_2!K$11:K$496),"")</f>
        <v>5.5000000000000007E-2</v>
      </c>
      <c r="F20" s="407">
        <f>IF(E20="","",E20/0.9)</f>
        <v>6.1111111111111116E-2</v>
      </c>
    </row>
    <row r="21" spans="1:7">
      <c r="B21" s="1269" t="s">
        <v>3140</v>
      </c>
      <c r="C21" s="1266" t="s">
        <v>3121</v>
      </c>
      <c r="D21" s="421" t="str">
        <f>_xlfn.IFNA(IF(VLOOKUP($C21,Ingredient_prices!$E:$F,2,FALSE)="Партија 2","Lot 2","Lot 1"),"")</f>
        <v>Lot 2</v>
      </c>
      <c r="E21" s="407" t="str">
        <f>IF(SUMIF(Meal_entry_week_2!H$11:H$496,"Green (French) beans",Meal_entry_week_2!K$11:K$496)&gt;0,SUMIF(Meal_entry_week_2!H$11:H$496,"Green (French) beans",Meal_entry_week_2!K$11:K$496),"")</f>
        <v/>
      </c>
      <c r="F21" s="407" t="str">
        <f>IF(E21="","",E21/1)</f>
        <v/>
      </c>
    </row>
    <row r="22" spans="1:7" s="749" customFormat="1">
      <c r="A22" s="444"/>
      <c r="B22" s="1269" t="s">
        <v>3140</v>
      </c>
      <c r="C22" s="346" t="s">
        <v>3118</v>
      </c>
      <c r="D22" s="421" t="str">
        <f>_xlfn.IFNA(IF(VLOOKUP($C22,Ingredient_prices!$E:$F,2,FALSE)="Партија 2","Lot 2","Lot 1"),"")</f>
        <v/>
      </c>
      <c r="E22" s="407" t="str">
        <f>IF(SUMIF(Meal_entry_week_2!H$11:H$496,"Iceberg lettuce",Meal_entry_week_2!K$11:K$496)&gt;0,SUMIF(Meal_entry_week_2!H$11:H$496,"Iceberg lettuce",Meal_entry_week_2!K$11:K$496),"")</f>
        <v/>
      </c>
      <c r="F22" s="407" t="str">
        <f>IF(E22="","",E22/0.85)</f>
        <v/>
      </c>
      <c r="G22" s="444"/>
    </row>
    <row r="23" spans="1:7">
      <c r="B23" s="1269" t="s">
        <v>3140</v>
      </c>
      <c r="C23" s="346" t="s">
        <v>439</v>
      </c>
      <c r="D23" s="421" t="str">
        <f>_xlfn.IFNA(IF(VLOOKUP($C23,Ingredient_prices!$E:$F,2,FALSE)="Партија 2","Lot 2","Lot 1"),"")</f>
        <v>Lot 2</v>
      </c>
      <c r="E23" s="407" t="str">
        <f>IF(SUMIF(Meal_entry_week_2!H$11:H$496,"Kale",Meal_entry_week_2!K$11:K$496)&gt;0,SUMIF(Meal_entry_week_2!H$11:H$496,"Kale",Meal_entry_week_2!K$11:K$496),"")</f>
        <v/>
      </c>
      <c r="F23" s="407" t="str">
        <f>IF(E23="","",E23/0.8)</f>
        <v/>
      </c>
    </row>
    <row r="24" spans="1:7">
      <c r="B24" s="1269" t="s">
        <v>3140</v>
      </c>
      <c r="C24" s="1266" t="s">
        <v>421</v>
      </c>
      <c r="D24" s="421" t="str">
        <f>_xlfn.IFNA(IF(VLOOKUP($C24,Ingredient_prices!$E:$F,2,FALSE)="Партија 2","Lot 2","Lot 1"),"")</f>
        <v>Lot 2</v>
      </c>
      <c r="E24" s="407" t="str">
        <f>IF(SUMIF(Meal_entry_week_2!H$11:H$496,"Leek",Meal_entry_week_2!K$11:K$496)&gt;0,SUMIF(Meal_entry_week_2!H$11:H$496,"Leek",Meal_entry_week_2!K$11:K$496),"")</f>
        <v/>
      </c>
      <c r="F24" s="407" t="str">
        <f>IF(E24="","",E24/0.8)</f>
        <v/>
      </c>
    </row>
    <row r="25" spans="1:7">
      <c r="B25" s="1269" t="s">
        <v>3140</v>
      </c>
      <c r="C25" s="1266" t="s">
        <v>518</v>
      </c>
      <c r="D25" s="421" t="str">
        <f>_xlfn.IFNA(IF(VLOOKUP($C25,Ingredient_prices!$E:$F,2,FALSE)="Партија 2","Lot 2","Lot 1"),"")</f>
        <v>Lot 2</v>
      </c>
      <c r="E25" s="1125">
        <f>IF(SUMIF(Meal_entry_week_2!H$11:H$496,"Lentils",Meal_entry_week_2!K$11:K$496)&gt;0,SUMIF(Meal_entry_week_2!H$11:H$496,"Lentils",Meal_entry_week_2!K$11:K$496),"")</f>
        <v>1.1000000000000001</v>
      </c>
      <c r="F25" s="1125">
        <f>IF(E25="","",E25/1)</f>
        <v>1.1000000000000001</v>
      </c>
    </row>
    <row r="26" spans="1:7" s="491" customFormat="1">
      <c r="A26" s="1126"/>
      <c r="B26" s="1269" t="s">
        <v>3140</v>
      </c>
      <c r="C26" s="346" t="s">
        <v>415</v>
      </c>
      <c r="D26" s="421" t="str">
        <f>_xlfn.IFNA(IF(VLOOKUP($C26,Ingredient_prices!$E:$F,2,FALSE)="Партија 2","Lot 2","Lot 1"),"")</f>
        <v>Lot 2</v>
      </c>
      <c r="E26" s="407" t="str">
        <f>IF(SUMIF(Meal_entry_week_2!H$11:H$496,"Lettuce",Meal_entry_week_2!K$11:K$496)&gt;0,SUMIF(Meal_entry_week_2!H$11:H$496,"Lettuce",Meal_entry_week_2!K$11:K$496),"")</f>
        <v/>
      </c>
      <c r="F26" s="407" t="str">
        <f>IF(E26="","",E26/0.85)</f>
        <v/>
      </c>
      <c r="G26" s="1126"/>
    </row>
    <row r="27" spans="1:7">
      <c r="B27" s="1269" t="s">
        <v>3140</v>
      </c>
      <c r="C27" s="1265" t="s">
        <v>3108</v>
      </c>
      <c r="D27" s="421" t="str">
        <f>_xlfn.IFNA(IF(VLOOKUP($C27,Ingredient_prices!$E:$F,2,FALSE)="Партија 2","Lot 2","Lot 1"),"")</f>
        <v/>
      </c>
      <c r="E27" s="407" t="str">
        <f>IF(SUMIF(Meal_entry_week_2!H$11:H$496,"Mixed vegetables for Russian salad",Meal_entry_week_2!K$11:K$496)&gt;0,SUMIF(Meal_entry_week_2!H$11:H$496,"Mixed vegetables for Russian salad",Meal_entry_week_2!K$11:K$496),"")</f>
        <v/>
      </c>
      <c r="F27" s="407" t="str">
        <f t="shared" ref="F27:F28" si="0">IF(E27="","",E27/1)</f>
        <v/>
      </c>
    </row>
    <row r="28" spans="1:7" s="749" customFormat="1">
      <c r="A28" s="444"/>
      <c r="B28" s="1269" t="s">
        <v>3140</v>
      </c>
      <c r="C28" s="1266" t="s">
        <v>3128</v>
      </c>
      <c r="D28" s="421" t="str">
        <f>_xlfn.IFNA(IF(VLOOKUP($C28,Ingredient_prices!$E:$F,2,FALSE)="Партија 2","Lot 2","Lot 1"),"")</f>
        <v>Lot 2</v>
      </c>
      <c r="E28" s="407">
        <f>IF(SUMIF(Meal_entry_week_2!H$11:H$496,"Mixed Vegetables for soup",Meal_entry_week_2!K$11:K$496)&gt;0,SUMIF(Meal_entry_week_2!H$11:H$496,"Mixed Vegetables for soup",Meal_entry_week_2!K$11:K$496),"")</f>
        <v>1.32</v>
      </c>
      <c r="F28" s="407">
        <f t="shared" si="0"/>
        <v>1.32</v>
      </c>
      <c r="G28" s="444"/>
    </row>
    <row r="29" spans="1:7">
      <c r="B29" s="1269" t="s">
        <v>3140</v>
      </c>
      <c r="C29" s="1265" t="s">
        <v>3107</v>
      </c>
      <c r="D29" s="421" t="str">
        <f>_xlfn.IFNA(IF(VLOOKUP($C29,Ingredient_prices!$E:$F,2,FALSE)="Партија 2","Lot 2","Lot 1"),"")</f>
        <v>Lot 2</v>
      </c>
      <c r="E29" s="407" t="str">
        <f>IF(SUMIF(Meal_entry_week_2!H$11:H$496,"Mixed vegetables for stew",Meal_entry_week_2!K$11:K$496)&gt;0,SUMIF(Meal_entry_week_2!H$11:H$496,"Mixed vegetables for stew",Meal_entry_week_2!K$11:K$496),"")</f>
        <v/>
      </c>
      <c r="F29" s="407" t="str">
        <f>IF(E29="","",E29/1)</f>
        <v/>
      </c>
    </row>
    <row r="30" spans="1:7">
      <c r="B30" s="1269" t="s">
        <v>3140</v>
      </c>
      <c r="C30" s="1265" t="s">
        <v>3109</v>
      </c>
      <c r="D30" s="421" t="str">
        <f>_xlfn.IFNA(IF(VLOOKUP($C30,Ingredient_prices!$E:$F,2,FALSE)="Партија 2","Lot 2","Lot 1"),"")</f>
        <v/>
      </c>
      <c r="E30" s="407" t="str">
        <f>IF(SUMIF(Meal_entry_week_2!H$11:H$496,"Mixed vegetables golden",Meal_entry_week_2!K$11:K$496)&gt;0,SUMIF(Meal_entry_week_2!H$11:H$496,"Mixed vegetables golden",Meal_entry_week_2!K$11:K$496),"")</f>
        <v/>
      </c>
      <c r="F30" s="407" t="str">
        <f>IF(E30="","",E30/1)</f>
        <v/>
      </c>
    </row>
    <row r="31" spans="1:7">
      <c r="B31" s="1269" t="s">
        <v>3140</v>
      </c>
      <c r="C31" s="1265" t="s">
        <v>3127</v>
      </c>
      <c r="D31" s="421" t="str">
        <f>_xlfn.IFNA(IF(VLOOKUP($C31,Ingredient_prices!$E:$F,2,FALSE)="Партија 2","Lot 2","Lot 1"),"")</f>
        <v/>
      </c>
      <c r="E31" s="407" t="str">
        <f>IF(SUMIF(Meal_entry_week_2!H$11:H$496,"Mixed vegetables Imperial",Meal_entry_week_2!K$11:K$496)&gt;0,SUMIF(Meal_entry_week_2!H$11:H$496,"Mixed vegetables Imperial",Meal_entry_week_2!K$11:K$496),"")</f>
        <v/>
      </c>
      <c r="F31" s="407" t="str">
        <f>IF(E31="","",E31/1)</f>
        <v/>
      </c>
    </row>
    <row r="32" spans="1:7">
      <c r="B32" s="1269" t="s">
        <v>3140</v>
      </c>
      <c r="C32" s="1266" t="s">
        <v>20</v>
      </c>
      <c r="D32" s="421" t="str">
        <f>_xlfn.IFNA(IF(VLOOKUP($C32,Ingredient_prices!$E:$F,2,FALSE)="Партија 2","Lot 2","Lot 1"),"")</f>
        <v>Lot 2</v>
      </c>
      <c r="E32" s="407" t="str">
        <f>IF(SUMIF(Meal_entry_week_2!H$11:H$496,"Mushrooms",Meal_entry_week_2!K$11:K$496)&gt;0,SUMIF(Meal_entry_week_2!H$11:H$496,"Mushrooms",Meal_entry_week_2!K$11:K$496),"")</f>
        <v/>
      </c>
      <c r="F32" s="407" t="str">
        <f>IF(E32="","",E32/1)</f>
        <v/>
      </c>
    </row>
    <row r="33" spans="1:7" s="749" customFormat="1">
      <c r="A33" s="444"/>
      <c r="B33" s="1269" t="s">
        <v>3140</v>
      </c>
      <c r="C33" s="1266" t="s">
        <v>3100</v>
      </c>
      <c r="D33" s="421" t="str">
        <f>_xlfn.IFNA(IF(VLOOKUP($C33,Ingredient_prices!$E:$F,2,FALSE)="Партија 2","Lot 2","Lot 1"),"")</f>
        <v>Lot 2</v>
      </c>
      <c r="E33" s="407">
        <f>IF(SUMIF(Meal_entry_week_2!H$11:H$496,"Onion",Meal_entry_week_2!K$11:K$496)&gt;0,SUMIF(Meal_entry_week_2!H$11:H$496,"Onion",Meal_entry_week_2!K$11:K$496),"")</f>
        <v>5.7200000000000006</v>
      </c>
      <c r="F33" s="407">
        <f>IF(E33="","",E33/0.9)</f>
        <v>6.3555555555555561</v>
      </c>
      <c r="G33" s="444"/>
    </row>
    <row r="34" spans="1:7">
      <c r="B34" s="1269" t="s">
        <v>3140</v>
      </c>
      <c r="C34" s="346" t="s">
        <v>3122</v>
      </c>
      <c r="D34" s="421" t="str">
        <f>_xlfn.IFNA(IF(VLOOKUP($C34,Ingredient_prices!$E:$F,2,FALSE)="Партија 2","Lot 2","Lot 1"),"")</f>
        <v/>
      </c>
      <c r="E34" s="407" t="str">
        <f>IF(SUMIF(Meal_entry_week_2!H$11:H$496,"Onion red",Meal_entry_week_2!K$11:K$496)&gt;0,SUMIF(Meal_entry_week_2!H$11:H$496,"Onion red",Meal_entry_week_2!K$11:K$496),"")</f>
        <v/>
      </c>
      <c r="F34" s="407" t="str">
        <f>IF(E34="","",E34/0.9)</f>
        <v/>
      </c>
    </row>
    <row r="35" spans="1:7">
      <c r="B35" s="1269" t="s">
        <v>3140</v>
      </c>
      <c r="C35" s="346" t="s">
        <v>3129</v>
      </c>
      <c r="D35" s="421" t="str">
        <f>_xlfn.IFNA(IF(VLOOKUP($C35,Ingredient_prices!$E:$F,2,FALSE)="Партија 2","Lot 2","Lot 1"),"")</f>
        <v/>
      </c>
      <c r="E35" s="407" t="str">
        <f>IF(SUMIF(Meal_entry_week_2!H$11:H$496,"Onions spring",Meal_entry_week_2!K$11:K$496)&gt;0,SUMIF(Meal_entry_week_2!H$11:H$496,"Onions spring",Meal_entry_week_2!K$11:K$496),"")</f>
        <v/>
      </c>
      <c r="F35" s="407" t="str">
        <f>IF(E35="","",E35/0.75)</f>
        <v/>
      </c>
    </row>
    <row r="36" spans="1:7">
      <c r="B36" s="1269" t="s">
        <v>3140</v>
      </c>
      <c r="C36" s="1266" t="s">
        <v>3113</v>
      </c>
      <c r="D36" s="421" t="str">
        <f>_xlfn.IFNA(IF(VLOOKUP($C36,Ingredient_prices!$E:$F,2,FALSE)="Партија 2","Lot 2","Lot 1"),"")</f>
        <v>Lot 2</v>
      </c>
      <c r="E36" s="407" t="str">
        <f>IF(SUMIF(Meal_entry_week_2!H$11:H$496,"Parsley leaf, fresh",Meal_entry_week_2!K$11:K$496)&gt;0,SUMIF(Meal_entry_week_2!H$11:H$496,"Parsley leaf, fresh",Meal_entry_week_2!K$11:K$496),"")</f>
        <v/>
      </c>
      <c r="F36" s="407" t="str">
        <f>IF(E36="","",E36/1)</f>
        <v/>
      </c>
    </row>
    <row r="37" spans="1:7">
      <c r="B37" s="1269" t="s">
        <v>3140</v>
      </c>
      <c r="C37" s="346" t="s">
        <v>3112</v>
      </c>
      <c r="D37" s="421" t="str">
        <f>_xlfn.IFNA(IF(VLOOKUP($C37,Ingredient_prices!$E:$F,2,FALSE)="Партија 2","Lot 2","Lot 1"),"")</f>
        <v/>
      </c>
      <c r="E37" s="407" t="str">
        <f>IF(SUMIF(Meal_entry_week_2!H$11:H$496,"Parsley root",Meal_entry_week_2!K$11:K$496)&gt;0,SUMIF(Meal_entry_week_2!H$11:H$496,"Parsley root",Meal_entry_week_2!K$11:K$496),"")</f>
        <v/>
      </c>
      <c r="F37" s="407" t="str">
        <f>IF(E37="","",E37/0.8)</f>
        <v/>
      </c>
    </row>
    <row r="38" spans="1:7">
      <c r="B38" s="1269" t="s">
        <v>3140</v>
      </c>
      <c r="C38" s="1266" t="s">
        <v>441</v>
      </c>
      <c r="D38" s="421" t="str">
        <f>_xlfn.IFNA(IF(VLOOKUP($C38,Ingredient_prices!$E:$F,2,FALSE)="Партија 2","Lot 2","Lot 1"),"")</f>
        <v>Lot 2</v>
      </c>
      <c r="E38" s="407" t="str">
        <f>IF(SUMIF(Meal_entry_week_2!H$11:H$496,"Parsnip",Meal_entry_week_2!K$11:K$496)&gt;0,SUMIF(Meal_entry_week_2!H$11:H$496,"Parsnip",Meal_entry_week_2!K$11:K$496),"")</f>
        <v/>
      </c>
      <c r="F38" s="407" t="str">
        <f>IF(E38="","",E38/0.8)</f>
        <v/>
      </c>
    </row>
    <row r="39" spans="1:7">
      <c r="B39" s="1269" t="s">
        <v>3140</v>
      </c>
      <c r="C39" s="1266" t="s">
        <v>3138</v>
      </c>
      <c r="D39" s="421" t="str">
        <f>_xlfn.IFNA(IF(VLOOKUP($C39,Ingredient_prices!$E:$F,2,FALSE)="Партија 2","Lot 2","Lot 1"),"")</f>
        <v>Lot 2</v>
      </c>
      <c r="E39" s="407">
        <f>IF(SUMIF(Meal_entry_week_2!H$11:H$496,"Parsnip and carrot",Meal_entry_week_2!K$11:K$496)&gt;0,SUMIF(Meal_entry_week_2!H$11:H$496,"Parsnip and carrot",Meal_entry_week_2!K$11:K$496),"")</f>
        <v>0.77000000000000013</v>
      </c>
      <c r="F39" s="407">
        <f>IF(E39="","",E39/0.85)</f>
        <v>0.90588235294117669</v>
      </c>
    </row>
    <row r="40" spans="1:7">
      <c r="B40" s="1269" t="s">
        <v>3140</v>
      </c>
      <c r="C40" s="1266" t="s">
        <v>3123</v>
      </c>
      <c r="D40" s="421" t="str">
        <f>_xlfn.IFNA(IF(VLOOKUP($C40,Ingredient_prices!$E:$F,2,FALSE)="Партија 2","Lot 2","Lot 1"),"")</f>
        <v>Lot 2</v>
      </c>
      <c r="E40" s="407">
        <f>IF(SUMIF(Meal_entry_week_2!H$11:H$496,"Peas frozen",Meal_entry_week_2!K$11:K$496)&gt;0,SUMIF(Meal_entry_week_2!H$11:H$496,"Peas frozen",Meal_entry_week_2!K$11:K$496),"")</f>
        <v>8.8000000000000007</v>
      </c>
      <c r="F40" s="407">
        <f t="shared" ref="F40:F49" si="1">IF(E40="","",E40/1)</f>
        <v>8.8000000000000007</v>
      </c>
    </row>
    <row r="41" spans="1:7">
      <c r="B41" s="1269" t="s">
        <v>3140</v>
      </c>
      <c r="C41" s="1265" t="s">
        <v>3103</v>
      </c>
      <c r="D41" s="421" t="str">
        <f>_xlfn.IFNA(IF(VLOOKUP($C41,Ingredient_prices!$E:$F,2,FALSE)="Партија 2","Lot 2","Lot 1"),"")</f>
        <v/>
      </c>
      <c r="E41" s="407" t="str">
        <f>IF(SUMIF(Meal_entry_week_2!H$11:H$496,"Pepperoni",Meal_entry_week_2!K$11:K$496)&gt;0,SUMIF(Meal_entry_week_2!H$11:H$496,"Pepperoni",Meal_entry_week_2!K$11:K$496),"")</f>
        <v/>
      </c>
      <c r="F41" s="407" t="str">
        <f>IF(E41="","",E41/0.9)</f>
        <v/>
      </c>
    </row>
    <row r="42" spans="1:7">
      <c r="B42" s="1269" t="s">
        <v>3140</v>
      </c>
      <c r="C42" s="1266" t="s">
        <v>3131</v>
      </c>
      <c r="D42" s="421" t="str">
        <f>_xlfn.IFNA(IF(VLOOKUP($C42,Ingredient_prices!$E:$F,2,FALSE)="Партија 2","Lot 2","Lot 1"),"")</f>
        <v>Lot 2</v>
      </c>
      <c r="E42" s="407" t="str">
        <f>IF(SUMIF(Meal_entry_week_2!H$11:H$496,"Peppers bell",Meal_entry_week_2!K$11:K$496)&gt;0,SUMIF(Meal_entry_week_2!H$11:H$496,"Peppers bell",Meal_entry_week_2!K$11:K$496),"")</f>
        <v/>
      </c>
      <c r="F42" s="407" t="str">
        <f>IF(E42="","",E42/0.75)</f>
        <v/>
      </c>
    </row>
    <row r="43" spans="1:7">
      <c r="B43" s="1269" t="s">
        <v>3140</v>
      </c>
      <c r="C43" s="1266" t="s">
        <v>3132</v>
      </c>
      <c r="D43" s="421" t="str">
        <f>_xlfn.IFNA(IF(VLOOKUP($C43,Ingredient_prices!$E:$F,2,FALSE)="Партија 2","Lot 2","Lot 1"),"")</f>
        <v>Lot 2</v>
      </c>
      <c r="E43" s="407" t="str">
        <f>IF(SUMIF(Meal_entry_week_2!H$11:H$496,"Peppers red, sweet",Meal_entry_week_2!K$11:K$496)&gt;0,SUMIF(Meal_entry_week_2!H$11:H$496,"Peppers red, sweet",Meal_entry_week_2!K$11:K$496),"")</f>
        <v/>
      </c>
      <c r="F43" s="407" t="str">
        <f>IF(E43="","",E43/0.75)</f>
        <v/>
      </c>
    </row>
    <row r="44" spans="1:7">
      <c r="B44" s="1269" t="s">
        <v>3140</v>
      </c>
      <c r="C44" s="346" t="s">
        <v>3133</v>
      </c>
      <c r="D44" s="421" t="str">
        <f>_xlfn.IFNA(IF(VLOOKUP($C44,Ingredient_prices!$E:$F,2,FALSE)="Партија 2","Lot 2","Lot 1"),"")</f>
        <v/>
      </c>
      <c r="E44" s="407" t="str">
        <f>IF(SUMIF(Meal_entry_week_2!H$11:H$496,"Peppers yellow, sweet",Meal_entry_week_2!K$11:K$496)&gt;0,SUMIF(Meal_entry_week_2!H$11:H$496,"Peppers yellow, sweet",Meal_entry_week_2!K$11:K$496),"")</f>
        <v/>
      </c>
      <c r="F44" s="407" t="str">
        <f>IF(E44="","",E44/0.75)</f>
        <v/>
      </c>
    </row>
    <row r="45" spans="1:7">
      <c r="B45" s="1269" t="s">
        <v>3140</v>
      </c>
      <c r="C45" s="346" t="s">
        <v>3130</v>
      </c>
      <c r="D45" s="421" t="str">
        <f>_xlfn.IFNA(IF(VLOOKUP($C45,Ingredient_prices!$E:$F,2,FALSE)="Партија 2","Lot 2","Lot 1"),"")</f>
        <v/>
      </c>
      <c r="E45" s="407" t="str">
        <f>IF(SUMIF(Meal_entry_week_2!H$11:H$496,"Potatoes early",Meal_entry_week_2!K$11:K$496)&gt;0,SUMIF(Meal_entry_week_2!H$11:H$496,"Potatoes early",Meal_entry_week_2!K$11:K$496),"")</f>
        <v/>
      </c>
      <c r="F45" s="407" t="str">
        <f>IF(E45="","",E45/0.85)</f>
        <v/>
      </c>
    </row>
    <row r="46" spans="1:7">
      <c r="B46" s="1269" t="s">
        <v>3140</v>
      </c>
      <c r="C46" s="346" t="s">
        <v>3125</v>
      </c>
      <c r="D46" s="421" t="str">
        <f>_xlfn.IFNA(IF(VLOOKUP($C46,Ingredient_prices!$E:$F,2,FALSE)="Партија 2","Lot 2","Lot 1"),"")</f>
        <v/>
      </c>
      <c r="E46" s="407" t="str">
        <f>IF(SUMIF(Meal_entry_week_2!H$11:H$496,"Potatoes red",Meal_entry_week_2!K$11:K$496)&gt;0,SUMIF(Meal_entry_week_2!H$11:H$496,"Potatoes red",Meal_entry_week_2!K$11:K$496),"")</f>
        <v/>
      </c>
      <c r="F46" s="407" t="str">
        <f>IF(E46="","",E46/0.8)</f>
        <v/>
      </c>
    </row>
    <row r="47" spans="1:7">
      <c r="B47" s="1269" t="s">
        <v>3140</v>
      </c>
      <c r="C47" s="1266" t="s">
        <v>3124</v>
      </c>
      <c r="D47" s="421" t="str">
        <f>_xlfn.IFNA(IF(VLOOKUP($C47,Ingredient_prices!$E:$F,2,FALSE)="Партија 2","Lot 2","Lot 1"),"")</f>
        <v>Lot 2</v>
      </c>
      <c r="E47" s="407">
        <f>IF(SUMIF(Meal_entry_week_2!H$11:H$496,"Potatoes white",Meal_entry_week_2!K$11:K$496)&gt;0,SUMIF(Meal_entry_week_2!H$11:H$496,"Potatoes white",Meal_entry_week_2!K$11:K$496),"")</f>
        <v>17.600000000000001</v>
      </c>
      <c r="F47" s="407">
        <f>IF(E47="","",E47/0.8)</f>
        <v>22</v>
      </c>
    </row>
    <row r="48" spans="1:7">
      <c r="B48" s="1269" t="s">
        <v>3140</v>
      </c>
      <c r="C48" s="1266" t="s">
        <v>3431</v>
      </c>
      <c r="D48" s="421" t="str">
        <f>_xlfn.IFNA(IF(VLOOKUP($C48,Ingredient_prices!$E:$F,2,FALSE)="Партија 2","Lot 2","Lot 1"),"")</f>
        <v>Lot 2</v>
      </c>
      <c r="E48" s="407" t="str">
        <f>IF(SUMIF(Meal_entry_week_2!H$11:H$496,"Courgette",Meal_entry_week_2!K$11:K$496)&gt;0,SUMIF(Meal_entry_week_2!H$11:H$496,"Courgette",Meal_entry_week_2!K$11:K$496),"")</f>
        <v/>
      </c>
      <c r="F48" s="407" t="str">
        <f>IF(E48="","",E48/0.95)</f>
        <v/>
      </c>
    </row>
    <row r="49" spans="2:6">
      <c r="B49" s="1269" t="s">
        <v>3140</v>
      </c>
      <c r="C49" s="1265" t="s">
        <v>3117</v>
      </c>
      <c r="D49" s="421" t="str">
        <f>_xlfn.IFNA(IF(VLOOKUP($C49,Ingredient_prices!$E:$F,2,FALSE)="Партија 2","Lot 2","Lot 1"),"")</f>
        <v>Lot 2</v>
      </c>
      <c r="E49" s="407" t="str">
        <f>IF(SUMIF(Meal_entry_week_2!H$11:H$496,"Pumpkin",Meal_entry_week_2!K$11:K$496)&gt;0,SUMIF(Meal_entry_week_2!H$11:H$496,"Pumpkin",Meal_entry_week_2!K$11:K$496),"")</f>
        <v/>
      </c>
      <c r="F49" s="407" t="str">
        <f t="shared" si="1"/>
        <v/>
      </c>
    </row>
    <row r="50" spans="2:6">
      <c r="B50" s="1269" t="s">
        <v>3140</v>
      </c>
      <c r="C50" s="346" t="s">
        <v>422</v>
      </c>
      <c r="D50" s="421" t="str">
        <f>_xlfn.IFNA(IF(VLOOKUP($C50,Ingredient_prices!$E:$F,2,FALSE)="Партија 2","Lot 2","Lot 1"),"")</f>
        <v/>
      </c>
      <c r="E50" s="407" t="str">
        <f>IF(SUMIF(Meal_entry_week_2!H$11:H$496,"Radish",Meal_entry_week_2!K$11:K$496)&gt;0,SUMIF(Meal_entry_week_2!H$11:H$496,"Radish",Meal_entry_week_2!K$11:K$496),"")</f>
        <v/>
      </c>
      <c r="F50" s="407" t="str">
        <f>IF(E50="","",E50/0.9)</f>
        <v/>
      </c>
    </row>
    <row r="51" spans="2:6">
      <c r="B51" s="1269" t="s">
        <v>3140</v>
      </c>
      <c r="C51" s="346" t="s">
        <v>3116</v>
      </c>
      <c r="D51" s="421" t="str">
        <f>_xlfn.IFNA(IF(VLOOKUP($C51,Ingredient_prices!$E:$F,2,FALSE)="Партија 2","Lot 2","Lot 1"),"")</f>
        <v>Lot 2</v>
      </c>
      <c r="E51" s="407" t="str">
        <f>IF(SUMIF(Meal_entry_week_2!H$11:H$496,"Spinach fresh",Meal_entry_week_2!K$11:K$496)&gt;0,SUMIF(Meal_entry_week_2!H$11:H$496,"Spinach fresh",Meal_entry_week_2!K$11:K$496),"")</f>
        <v/>
      </c>
      <c r="F51" s="407" t="str">
        <f>IF(E51="","",E51/0.9)</f>
        <v/>
      </c>
    </row>
    <row r="52" spans="2:6">
      <c r="B52" s="1269" t="s">
        <v>3140</v>
      </c>
      <c r="C52" s="1266" t="s">
        <v>3137</v>
      </c>
      <c r="D52" s="421" t="str">
        <f>_xlfn.IFNA(IF(VLOOKUP($C52,Ingredient_prices!$E:$F,2,FALSE)="Партија 2","Lot 2","Lot 1"),"")</f>
        <v>Lot 2</v>
      </c>
      <c r="E52" s="407">
        <f>IF(SUMIF(Meal_entry_week_2!H$11:H$496,"Spinach frozen",Meal_entry_week_2!K$11:K$496)&gt;0,SUMIF(Meal_entry_week_2!H$11:H$496,"Spinach frozen",Meal_entry_week_2!K$11:K$496),"")</f>
        <v>16.5</v>
      </c>
      <c r="F52" s="407">
        <f>IF(E52="","",E52/1)</f>
        <v>16.5</v>
      </c>
    </row>
    <row r="53" spans="2:6">
      <c r="B53" s="1269" t="s">
        <v>3140</v>
      </c>
      <c r="C53" s="1266" t="s">
        <v>3126</v>
      </c>
      <c r="D53" s="421" t="str">
        <f>_xlfn.IFNA(IF(VLOOKUP($C53,Ingredient_prices!$E:$F,2,FALSE)="Партија 2","Lot 2","Lot 1"),"")</f>
        <v>Lot 2</v>
      </c>
      <c r="E53" s="407">
        <f>IF(SUMIF(Meal_entry_week_2!H$11:H$496,"Sweetcorn frozen",Meal_entry_week_2!K$11:K$496)&gt;0,SUMIF(Meal_entry_week_2!H$11:H$496,"Sweetcorn frozen",Meal_entry_week_2!K$11:K$496),"")</f>
        <v>1.65</v>
      </c>
      <c r="F53" s="407">
        <f>IF(E53="","",E53/1)</f>
        <v>1.65</v>
      </c>
    </row>
    <row r="54" spans="2:6">
      <c r="B54" s="1269" t="s">
        <v>3140</v>
      </c>
      <c r="C54" s="1266" t="s">
        <v>3120</v>
      </c>
      <c r="D54" s="421" t="str">
        <f>_xlfn.IFNA(IF(VLOOKUP($C54,Ingredient_prices!$E:$F,2,FALSE)="Партија 2","Lot 2","Lot 1"),"")</f>
        <v>Lot 2</v>
      </c>
      <c r="E54" s="407" t="str">
        <f>IF(SUMIF(Meal_entry_week_2!H$11:H$496,"Swiss chard fresh",Meal_entry_week_2!K$11:K$496)&gt;0,SUMIF(Meal_entry_week_2!H$11:H$496,"Swiss chard fresh",Meal_entry_week_2!K$11:K$496),"")</f>
        <v/>
      </c>
      <c r="F54" s="407" t="str">
        <f>IF(E54="","",E54/0.8)</f>
        <v/>
      </c>
    </row>
    <row r="55" spans="2:6">
      <c r="B55" s="1269" t="s">
        <v>3140</v>
      </c>
      <c r="C55" s="1265" t="s">
        <v>3119</v>
      </c>
      <c r="D55" s="421" t="str">
        <f>_xlfn.IFNA(IF(VLOOKUP($C55,Ingredient_prices!$E:$F,2,FALSE)="Партија 2","Lot 2","Lot 1"),"")</f>
        <v>Lot 2</v>
      </c>
      <c r="E55" s="407" t="str">
        <f>IF(SUMIF(Meal_entry_week_2!H$11:H$496,"Swiss chard frozen",Meal_entry_week_2!K$11:K$496)&gt;0,SUMIF(Meal_entry_week_2!H$11:H$496,"Swiss chard frozen",Meal_entry_week_2!K$11:K$496),"")</f>
        <v/>
      </c>
      <c r="F55" s="407" t="str">
        <f>IF(E55="","",E55/0.8)</f>
        <v/>
      </c>
    </row>
    <row r="56" spans="2:6">
      <c r="B56" s="1270" t="s">
        <v>3140</v>
      </c>
      <c r="C56" s="1291" t="s">
        <v>3110</v>
      </c>
      <c r="D56" s="421" t="str">
        <f>_xlfn.IFNA(IF(VLOOKUP($C56,Ingredient_prices!$E:$F,2,FALSE)="Партија 2","Lot 2","Lot 1"),"")</f>
        <v>Lot 2</v>
      </c>
      <c r="E56" s="407" t="str">
        <f>IF(SUMIF(Meal_entry_week_2!H$11:H$496,"Tomatoes",Meal_entry_week_2!K$11:K$496)&gt;0,SUMIF(Meal_entry_week_2!H$11:H$496,"Tomatoes",Meal_entry_week_2!K$11:K$496),"")</f>
        <v/>
      </c>
      <c r="F56" s="407" t="str">
        <f>IF(E56="","",E56/0.9)</f>
        <v/>
      </c>
    </row>
    <row r="57" spans="2:6">
      <c r="B57" s="1290" t="s">
        <v>3069</v>
      </c>
      <c r="C57" s="1292" t="s">
        <v>3089</v>
      </c>
      <c r="D57" s="421" t="str">
        <f>_xlfn.IFNA(IF(VLOOKUP($C57,Ingredient_prices!$E:$F,2,FALSE)="Партија 2","Lot 2","Lot 1"),"")</f>
        <v>Lot 2</v>
      </c>
      <c r="E57" s="407">
        <f>IF(SUMIF(Meal_entry_week_2!H$11:H$496,"Beetroot, cooked, pickled",Meal_entry_week_2!K$11:K$496)&gt;0,SUMIF(Meal_entry_week_2!H$11:H$496,"Beetroot, cooked, pickled",Meal_entry_week_2!K$11:K$496),"")</f>
        <v>6.6</v>
      </c>
      <c r="F57" s="407">
        <f t="shared" ref="F57:F120" si="2">IF(E57="","",E57/1)</f>
        <v>6.6</v>
      </c>
    </row>
    <row r="58" spans="2:6">
      <c r="B58" s="1268" t="s">
        <v>3069</v>
      </c>
      <c r="C58" s="1268" t="s">
        <v>3092</v>
      </c>
      <c r="D58" s="421" t="str">
        <f>_xlfn.IFNA(IF(VLOOKUP($C58,Ingredient_prices!$E:$F,2,FALSE)="Партија 2","Lot 2","Lot 1"),"")</f>
        <v>Lot 2</v>
      </c>
      <c r="E58" s="407" t="str">
        <f>IF(SUMIF(Meal_entry_week_2!H$11:H$496,"Cabbage grated, pickled",Meal_entry_week_2!K$11:K$496)&gt;0,SUMIF(Meal_entry_week_2!H$11:H$496,"Cabbage grated, pickled",Meal_entry_week_2!K$11:K$496),"")</f>
        <v/>
      </c>
      <c r="F58" s="407" t="str">
        <f t="shared" si="2"/>
        <v/>
      </c>
    </row>
    <row r="59" spans="2:6">
      <c r="B59" s="1268" t="s">
        <v>3069</v>
      </c>
      <c r="C59" s="1268" t="s">
        <v>3091</v>
      </c>
      <c r="D59" s="421" t="str">
        <f>_xlfn.IFNA(IF(VLOOKUP($C59,Ingredient_prices!$E:$F,2,FALSE)="Партија 2","Lot 2","Lot 1"),"")</f>
        <v/>
      </c>
      <c r="E59" s="407" t="str">
        <f>IF(SUMIF(Meal_entry_week_2!H$11:H$496,"Cabbage heads, pickled",Meal_entry_week_2!K$11:K$496)&gt;0,SUMIF(Meal_entry_week_2!H$11:H$496,"Cabbage heads, pickled",Meal_entry_week_2!K$11:K$496),"")</f>
        <v/>
      </c>
      <c r="F59" s="407" t="str">
        <f t="shared" si="2"/>
        <v/>
      </c>
    </row>
    <row r="60" spans="2:6">
      <c r="B60" s="1268" t="s">
        <v>3069</v>
      </c>
      <c r="C60" s="1268" t="s">
        <v>1764</v>
      </c>
      <c r="D60" s="421" t="str">
        <f>_xlfn.IFNA(IF(VLOOKUP($C60,Ingredient_prices!$E:$F,2,FALSE)="Партија 2","Lot 2","Lot 1"),"")</f>
        <v/>
      </c>
      <c r="E60" s="407" t="str">
        <f>IF(SUMIF(Meal_entry_week_2!H$11:H$496,"French fries",Meal_entry_week_2!K$11:K$496)&gt;0,SUMIF(Meal_entry_week_2!H$11:H$496,"French fries",Meal_entry_week_2!K$11:K$496),"")</f>
        <v/>
      </c>
      <c r="F60" s="407" t="str">
        <f t="shared" si="2"/>
        <v/>
      </c>
    </row>
    <row r="61" spans="2:6">
      <c r="B61" s="1268" t="s">
        <v>3069</v>
      </c>
      <c r="C61" s="1268" t="s">
        <v>3087</v>
      </c>
      <c r="D61" s="421" t="str">
        <f>_xlfn.IFNA(IF(VLOOKUP($C61,Ingredient_prices!$E:$F,2,FALSE)="Партија 2","Lot 2","Lot 1"),"")</f>
        <v/>
      </c>
      <c r="E61" s="407" t="str">
        <f>IF(SUMIF(Meal_entry_week_2!H$11:H$496,"French fries, frozen",Meal_entry_week_2!K$11:K$496)&gt;0,SUMIF(Meal_entry_week_2!H$11:H$496,"French fries, frozen",Meal_entry_week_2!K$11:K$496),"")</f>
        <v/>
      </c>
      <c r="F61" s="407" t="str">
        <f>IF(E61="","",E61/1)</f>
        <v/>
      </c>
    </row>
    <row r="62" spans="2:6">
      <c r="B62" s="1268" t="s">
        <v>3069</v>
      </c>
      <c r="C62" s="1268" t="s">
        <v>3145</v>
      </c>
      <c r="D62" s="421" t="str">
        <f>_xlfn.IFNA(IF(VLOOKUP($C62,Ingredient_prices!$E:$F,2,FALSE)="Партија 2","Lot 2","Lot 1"),"")</f>
        <v>Lot 2</v>
      </c>
      <c r="E62" s="407" t="str">
        <f>IF(SUMIF(Meal_entry_week_2!H$11:H$496,"Gherkins pickled",Meal_entry_week_2!K$11:K$496)&gt;0,SUMIF(Meal_entry_week_2!H$11:H$496,"Gherkins pickled",Meal_entry_week_2!K$11:K$496),"")</f>
        <v/>
      </c>
      <c r="F62" s="407" t="str">
        <f>IF(E62="","",E62/1)</f>
        <v/>
      </c>
    </row>
    <row r="63" spans="2:6">
      <c r="B63" s="1268" t="s">
        <v>3069</v>
      </c>
      <c r="C63" s="1268" t="s">
        <v>3426</v>
      </c>
      <c r="D63" s="421" t="str">
        <f>_xlfn.IFNA(IF(VLOOKUP($C63,Ingredient_prices!$E:$F,2,FALSE)="Партија 2","Lot 2","Lot 1"),"")</f>
        <v>Lot 2</v>
      </c>
      <c r="E63" s="407" t="str">
        <f>IF(SUMIF(Meal_entry_week_2!H$11:H$496,"Instant mashed potatoes",Meal_entry_week_2!K$11:K$496)&gt;0,SUMIF(Meal_entry_week_2!H$11:H$496,"Instant mashed potatoes",Meal_entry_week_2!K$11:K$496),"")</f>
        <v/>
      </c>
      <c r="F63" s="407" t="str">
        <f t="shared" si="2"/>
        <v/>
      </c>
    </row>
    <row r="64" spans="2:6">
      <c r="B64" s="1268" t="s">
        <v>3069</v>
      </c>
      <c r="C64" s="1268" t="s">
        <v>3096</v>
      </c>
      <c r="D64" s="421" t="str">
        <f>_xlfn.IFNA(IF(VLOOKUP($C64,Ingredient_prices!$E:$F,2,FALSE)="Партија 2","Lot 2","Lot 1"),"")</f>
        <v>Lot 2</v>
      </c>
      <c r="E64" s="407" t="str">
        <f>IF(SUMIF(Meal_entry_week_2!H$11:H$496,"Mixed salad, canned",Meal_entry_week_2!K$11:K$496)&gt;0,SUMIF(Meal_entry_week_2!H$11:H$496,"Mixed salad, canned",Meal_entry_week_2!K$11:K$496),"")</f>
        <v/>
      </c>
      <c r="F64" s="407" t="str">
        <f t="shared" si="2"/>
        <v/>
      </c>
    </row>
    <row r="65" spans="2:6">
      <c r="B65" s="1268" t="s">
        <v>3069</v>
      </c>
      <c r="C65" s="1268" t="s">
        <v>3097</v>
      </c>
      <c r="D65" s="421" t="str">
        <f>_xlfn.IFNA(IF(VLOOKUP($C65,Ingredient_prices!$E:$F,2,FALSE)="Партија 2","Lot 2","Lot 1"),"")</f>
        <v>Lot 2</v>
      </c>
      <c r="E65" s="407" t="str">
        <f>IF(SUMIF(Meal_entry_week_2!H$11:H$496,"Mixed salad pickled",Meal_entry_week_2!K$11:K$496)&gt;0,SUMIF(Meal_entry_week_2!H$11:H$496,"Mixed salad pickled",Meal_entry_week_2!K$11:K$496),"")</f>
        <v/>
      </c>
      <c r="F65" s="407" t="str">
        <f t="shared" si="2"/>
        <v/>
      </c>
    </row>
    <row r="66" spans="2:6">
      <c r="B66" s="1268" t="s">
        <v>3069</v>
      </c>
      <c r="C66" s="1268" t="s">
        <v>3095</v>
      </c>
      <c r="D66" s="421" t="str">
        <f>_xlfn.IFNA(IF(VLOOKUP($C66,Ingredient_prices!$E:$F,2,FALSE)="Партија 2","Lot 2","Lot 1"),"")</f>
        <v/>
      </c>
      <c r="E66" s="407" t="str">
        <f>IF(SUMIF(Meal_entry_week_2!H$11:H$496,"Mushrooms marinated",Meal_entry_week_2!K$11:K$496)&gt;0,SUMIF(Meal_entry_week_2!H$11:H$496,"Mushrooms marinated",Meal_entry_week_2!K$11:K$496),"")</f>
        <v/>
      </c>
      <c r="F66" s="407" t="str">
        <f t="shared" si="2"/>
        <v/>
      </c>
    </row>
    <row r="67" spans="2:6">
      <c r="B67" s="1268" t="s">
        <v>3069</v>
      </c>
      <c r="C67" s="1268" t="s">
        <v>1766</v>
      </c>
      <c r="D67" s="421" t="str">
        <f>_xlfn.IFNA(IF(VLOOKUP($C67,Ingredient_prices!$E:$F,2,FALSE)="Партија 2","Lot 2","Lot 1"),"")</f>
        <v/>
      </c>
      <c r="E67" s="407" t="str">
        <f>IF(SUMIF(Meal_entry_week_2!H$11:H$496,"Peppers red roasted",Meal_entry_week_2!K$11:K$496)&gt;0,SUMIF(Meal_entry_week_2!H$11:H$496,"Peppers red roasted",Meal_entry_week_2!K$11:K$496),"")</f>
        <v/>
      </c>
      <c r="F67" s="407" t="str">
        <f>IF(E67="","",E67/1)</f>
        <v/>
      </c>
    </row>
    <row r="68" spans="2:6">
      <c r="B68" s="1268" t="s">
        <v>3069</v>
      </c>
      <c r="C68" s="1268" t="s">
        <v>3093</v>
      </c>
      <c r="D68" s="421" t="str">
        <f>_xlfn.IFNA(IF(VLOOKUP($C68,Ingredient_prices!$E:$F,2,FALSE)="Партија 2","Lot 2","Lot 1"),"")</f>
        <v>Lot 2</v>
      </c>
      <c r="E68" s="407" t="str">
        <f>IF(SUMIF(Meal_entry_week_2!H$11:H$496,"Peppers pickled",Meal_entry_week_2!K$11:K$496)&gt;0,SUMIF(Meal_entry_week_2!H$11:H$496,"Peppers pickled",Meal_entry_week_2!K$11:K$496),"")</f>
        <v/>
      </c>
      <c r="F68" s="407" t="str">
        <f t="shared" si="2"/>
        <v/>
      </c>
    </row>
    <row r="69" spans="2:6">
      <c r="B69" s="1268" t="s">
        <v>3069</v>
      </c>
      <c r="C69" s="11" t="s">
        <v>3093</v>
      </c>
      <c r="D69" s="421" t="str">
        <f>_xlfn.IFNA(IF(VLOOKUP($C69,Ingredient_prices!$E:$F,2,FALSE)="Партија 2","Lot 2","Lot 1"),"")</f>
        <v>Lot 2</v>
      </c>
      <c r="E69" s="407" t="str">
        <f>IF(SUMIF(Meal_entry_week_2!H$11:H$496,"Peppers pickled",Meal_entry_week_2!K$11:K$496)&gt;0,SUMIF(Meal_entry_week_2!H$11:H$496,"Peppers pickled",Meal_entry_week_2!K$11:K$496),"")</f>
        <v/>
      </c>
      <c r="F69" s="407" t="str">
        <f t="shared" si="2"/>
        <v/>
      </c>
    </row>
    <row r="70" spans="2:6">
      <c r="B70" s="1271" t="s">
        <v>3069</v>
      </c>
      <c r="C70" s="1271" t="s">
        <v>3090</v>
      </c>
      <c r="D70" s="421" t="str">
        <f>_xlfn.IFNA(IF(VLOOKUP($C70,Ingredient_prices!$E:$F,2,FALSE)="Партија 2","Lot 2","Lot 1"),"")</f>
        <v/>
      </c>
      <c r="E70" s="407" t="str">
        <f>IF(SUMIF(Meal_entry_week_2!H$11:H$496,"Sweetcorn, canned",Meal_entry_week_2!K$11:K$496)&gt;0,SUMIF(Meal_entry_week_2!H$11:H$496,"Sweetcorn, canned",Meal_entry_week_2!K$11:K$496),"")</f>
        <v/>
      </c>
      <c r="F70" s="407" t="str">
        <f t="shared" si="2"/>
        <v/>
      </c>
    </row>
    <row r="71" spans="2:6">
      <c r="B71" s="1290" t="s">
        <v>3073</v>
      </c>
      <c r="C71" s="749" t="s">
        <v>3160</v>
      </c>
      <c r="D71" s="421" t="str">
        <f>_xlfn.IFNA(IF(VLOOKUP($C71,Ingredient_prices!$E:$F,2,FALSE)="Партија 2","Lot 2","Lot 1"),"")</f>
        <v/>
      </c>
      <c r="E71" s="407" t="str">
        <f>IF(SUMIF(Meal_entry_week_2!H$11:H$496,"Beef fatty",Meal_entry_week_2!K$11:K$496)&gt;0,SUMIF(Meal_entry_week_2!H$11:H$496,"Beef fatty",Meal_entry_week_2!K$11:K$496),"")</f>
        <v/>
      </c>
      <c r="F71" s="407" t="str">
        <f t="shared" si="2"/>
        <v/>
      </c>
    </row>
    <row r="72" spans="2:6">
      <c r="B72" s="1268" t="s">
        <v>3073</v>
      </c>
      <c r="C72" s="749" t="s">
        <v>3146</v>
      </c>
      <c r="D72" s="421" t="str">
        <f>_xlfn.IFNA(IF(VLOOKUP($C72,Ingredient_prices!$E:$F,2,FALSE)="Партија 2","Lot 2","Lot 1"),"")</f>
        <v/>
      </c>
      <c r="E72" s="407" t="str">
        <f>IF(SUMIF(Meal_entry_week_2!H$11:H$496,"Beef medium fat",Meal_entry_week_2!K$11:K$496)&gt;0,SUMIF(Meal_entry_week_2!H$11:H$496,"Beef medium fat",Meal_entry_week_2!K$11:K$496),"")</f>
        <v/>
      </c>
      <c r="F72" s="407" t="str">
        <f t="shared" si="2"/>
        <v/>
      </c>
    </row>
    <row r="73" spans="2:6">
      <c r="B73" s="1268" t="s">
        <v>3073</v>
      </c>
      <c r="C73" s="749" t="s">
        <v>3161</v>
      </c>
      <c r="D73" s="421" t="str">
        <f>_xlfn.IFNA(IF(VLOOKUP($C73,Ingredient_prices!$E:$F,2,FALSE)="Партија 2","Lot 2","Lot 1"),"")</f>
        <v>Lot 2</v>
      </c>
      <c r="E73" s="407" t="str">
        <f>IF(SUMIF(Meal_entry_week_2!H$11:H$496,"Beef minced",Meal_entry_week_2!K$11:K$496)&gt;0,SUMIF(Meal_entry_week_2!H$11:H$496,"Beef minced",Meal_entry_week_2!K$11:K$496),"")</f>
        <v/>
      </c>
      <c r="F73" s="407" t="str">
        <f t="shared" si="2"/>
        <v/>
      </c>
    </row>
    <row r="74" spans="2:6">
      <c r="B74" s="1268" t="s">
        <v>3073</v>
      </c>
      <c r="C74" s="749" t="s">
        <v>3159</v>
      </c>
      <c r="D74" s="421" t="str">
        <f>_xlfn.IFNA(IF(VLOOKUP($C74,Ingredient_prices!$E:$F,2,FALSE)="Партија 2","Lot 2","Lot 1"),"")</f>
        <v>Lot 2</v>
      </c>
      <c r="E74" s="407" t="str">
        <f>IF(SUMIF(Meal_entry_week_2!H$11:H$496,"Beef rump/silverside",Meal_entry_week_2!K$11:K$496)&gt;0,SUMIF(Meal_entry_week_2!H$11:H$496,"Beef rump/silverside",Meal_entry_week_2!K$11:K$496),"")</f>
        <v/>
      </c>
      <c r="F74" s="407" t="str">
        <f t="shared" si="2"/>
        <v/>
      </c>
    </row>
    <row r="75" spans="2:6">
      <c r="B75" s="1268" t="s">
        <v>3073</v>
      </c>
      <c r="C75" s="749" t="s">
        <v>3147</v>
      </c>
      <c r="D75" s="421" t="str">
        <f>_xlfn.IFNA(IF(VLOOKUP($C75,Ingredient_prices!$E:$F,2,FALSE)="Партија 2","Lot 2","Lot 1"),"")</f>
        <v/>
      </c>
      <c r="E75" s="407" t="str">
        <f>IF(SUMIF(Meal_entry_week_2!H$11:H$496,"Beef, fat free",Meal_entry_week_2!K$11:K$496)&gt;0,SUMIF(Meal_entry_week_2!H$11:H$496,"Beef, fat free",Meal_entry_week_2!K$11:K$496),"")</f>
        <v/>
      </c>
      <c r="F75" s="407" t="str">
        <f t="shared" si="2"/>
        <v/>
      </c>
    </row>
    <row r="76" spans="2:6">
      <c r="B76" s="1268" t="s">
        <v>3073</v>
      </c>
      <c r="C76" s="749" t="s">
        <v>3162</v>
      </c>
      <c r="D76" s="421" t="str">
        <f>_xlfn.IFNA(IF(VLOOKUP($C76,Ingredient_prices!$E:$F,2,FALSE)="Партија 2","Lot 2","Lot 1"),"")</f>
        <v/>
      </c>
      <c r="E76" s="407" t="str">
        <f>IF(SUMIF(Meal_entry_week_2!H$11:H$496,"Bones of young beef (neck)",Meal_entry_week_2!K$11:K$496)&gt;0,SUMIF(Meal_entry_week_2!H$11:H$496,"Bones of young beef (neck)",Meal_entry_week_2!K$11:K$496),"")</f>
        <v/>
      </c>
      <c r="F76" s="407" t="str">
        <f t="shared" si="2"/>
        <v/>
      </c>
    </row>
    <row r="77" spans="2:6">
      <c r="B77" s="1268" t="s">
        <v>3073</v>
      </c>
      <c r="C77" s="749" t="s">
        <v>3150</v>
      </c>
      <c r="D77" s="421" t="str">
        <f>_xlfn.IFNA(IF(VLOOKUP($C77,Ingredient_prices!$E:$F,2,FALSE)="Партија 2","Lot 2","Lot 1"),"")</f>
        <v>Lot 2</v>
      </c>
      <c r="E77" s="407" t="str">
        <f>IF(SUMIF(Meal_entry_week_2!H$11:H$496,"Chicken (whole), average",Meal_entry_week_2!K$11:K$496)&gt;0,SUMIF(Meal_entry_week_2!H$11:H$496,"Chicken (whole), average",Meal_entry_week_2!K$11:K$496),"")</f>
        <v/>
      </c>
      <c r="F77" s="407" t="str">
        <f t="shared" si="2"/>
        <v/>
      </c>
    </row>
    <row r="78" spans="2:6">
      <c r="B78" s="1268" t="s">
        <v>3073</v>
      </c>
      <c r="C78" s="749" t="s">
        <v>3444</v>
      </c>
      <c r="D78" s="421" t="str">
        <f>_xlfn.IFNA(IF(VLOOKUP($C78,Ingredient_prices!$E:$F,2,FALSE)="Партија 2","Lot 2","Lot 1"),"")</f>
        <v>Lot 2</v>
      </c>
      <c r="E78" s="407">
        <f>IF(SUMIF(Meal_entry_week_2!H$11:H$496,"Chicken breast",Meal_entry_week_2!K$11:K$496)&gt;0,SUMIF(Meal_entry_week_2!H$11:H$496,"Chicken breast",Meal_entry_week_2!K$11:K$496),"")</f>
        <v>5.5000000000000009</v>
      </c>
      <c r="F78" s="407">
        <f t="shared" si="2"/>
        <v>5.5000000000000009</v>
      </c>
    </row>
    <row r="79" spans="2:6">
      <c r="B79" s="1268" t="s">
        <v>3073</v>
      </c>
      <c r="C79" s="749" t="s">
        <v>3151</v>
      </c>
      <c r="D79" s="421" t="str">
        <f>_xlfn.IFNA(IF(VLOOKUP($C79,Ingredient_prices!$E:$F,2,FALSE)="Партија 2","Lot 2","Lot 1"),"")</f>
        <v/>
      </c>
      <c r="E79" s="407" t="str">
        <f>IF(SUMIF(Meal_entry_week_2!H$11:H$496,"Chicken breast (breasts)",Meal_entry_week_2!K$11:K$496)&gt;0,SUMIF(Meal_entry_week_2!H$11:H$496,"Chicken breast (breasts)",Meal_entry_week_2!K$11:K$496),"")</f>
        <v/>
      </c>
      <c r="F79" s="407" t="str">
        <f t="shared" si="2"/>
        <v/>
      </c>
    </row>
    <row r="80" spans="2:6">
      <c r="B80" s="1268" t="s">
        <v>3073</v>
      </c>
      <c r="C80" s="749" t="s">
        <v>3163</v>
      </c>
      <c r="D80" s="421" t="str">
        <f>_xlfn.IFNA(IF(VLOOKUP($C80,Ingredient_prices!$E:$F,2,FALSE)="Партија 2","Lot 2","Lot 1"),"")</f>
        <v/>
      </c>
      <c r="E80" s="407" t="str">
        <f>IF(SUMIF(Meal_entry_week_2!H$11:H$496,"Chicken drumstick skinless",Meal_entry_week_2!K$11:K$496)&gt;0,SUMIF(Meal_entry_week_2!H$11:H$496,"Chicken drumstick skinless",Meal_entry_week_2!K$11:K$496),"")</f>
        <v/>
      </c>
      <c r="F80" s="407" t="str">
        <f t="shared" si="2"/>
        <v/>
      </c>
    </row>
    <row r="81" spans="1:7">
      <c r="B81" s="1268" t="s">
        <v>3073</v>
      </c>
      <c r="C81" s="749" t="s">
        <v>3149</v>
      </c>
      <c r="D81" s="421" t="str">
        <f>_xlfn.IFNA(IF(VLOOKUP($C81,Ingredient_prices!$E:$F,2,FALSE)="Партија 2","Lot 2","Lot 1"),"")</f>
        <v>Lot 2</v>
      </c>
      <c r="E81" s="407" t="str">
        <f>IF(SUMIF(Meal_entry_week_2!H$11:H$496,"Chicken drumstick with skin",Meal_entry_week_2!K$11:K$496)&gt;0,SUMIF(Meal_entry_week_2!H$11:H$496,"Chicken drumstick with skin",Meal_entry_week_2!K$11:K$496),"")</f>
        <v/>
      </c>
      <c r="F81" s="407" t="str">
        <f t="shared" si="2"/>
        <v/>
      </c>
    </row>
    <row r="82" spans="1:7">
      <c r="B82" s="1268" t="s">
        <v>3073</v>
      </c>
      <c r="C82" s="749" t="s">
        <v>1835</v>
      </c>
      <c r="D82" s="421" t="str">
        <f>_xlfn.IFNA(IF(VLOOKUP($C82,Ingredient_prices!$E:$F,2,FALSE)="Партија 2","Lot 2","Lot 1"),"")</f>
        <v/>
      </c>
      <c r="E82" s="407" t="str">
        <f>IF(SUMIF(Meal_entry_week_2!H$11:H$496,"Chicken liver",Meal_entry_week_2!K$11:K$496)&gt;0,SUMIF(Meal_entry_week_2!H$11:H$496,"Chicken liver",Meal_entry_week_2!K$11:K$496),"")</f>
        <v/>
      </c>
      <c r="F82" s="407" t="str">
        <f t="shared" si="2"/>
        <v/>
      </c>
    </row>
    <row r="83" spans="1:7">
      <c r="B83" s="1268" t="s">
        <v>3073</v>
      </c>
      <c r="C83" s="749" t="s">
        <v>3148</v>
      </c>
      <c r="D83" s="421" t="str">
        <f>_xlfn.IFNA(IF(VLOOKUP($C83,Ingredient_prices!$E:$F,2,FALSE)="Партија 2","Lot 2","Lot 1"),"")</f>
        <v/>
      </c>
      <c r="E83" s="407" t="str">
        <f>IF(SUMIF(Meal_entry_week_2!H$11:H$496,"Chicken wings",Meal_entry_week_2!K$11:K$496)&gt;0,SUMIF(Meal_entry_week_2!H$11:H$496,"Chicken wings",Meal_entry_week_2!K$11:K$496),"")</f>
        <v/>
      </c>
      <c r="F83" s="407" t="str">
        <f t="shared" si="2"/>
        <v/>
      </c>
    </row>
    <row r="84" spans="1:7">
      <c r="B84" s="1268" t="s">
        <v>3073</v>
      </c>
      <c r="C84" s="749" t="s">
        <v>3443</v>
      </c>
      <c r="D84" s="421" t="str">
        <f>_xlfn.IFNA(IF(VLOOKUP($C84,Ingredient_prices!$E:$F,2,FALSE)="Партија 2","Lot 2","Lot 1"),"")</f>
        <v>Lot 2</v>
      </c>
      <c r="E84" s="407" t="str">
        <f>IF(SUMIF(Meal_entry_week_2!H$11:H$496,"Minced meat beef/pork mixed",Meal_entry_week_2!K$11:K$496)&gt;0,SUMIF(Meal_entry_week_2!H$11:H$496,"Minced meat beef/pork mixed",Meal_entry_week_2!K$11:K$496),"")</f>
        <v/>
      </c>
      <c r="F84" s="407" t="str">
        <f t="shared" si="2"/>
        <v/>
      </c>
    </row>
    <row r="85" spans="1:7">
      <c r="B85" s="1268" t="s">
        <v>3073</v>
      </c>
      <c r="C85" s="749" t="s">
        <v>3156</v>
      </c>
      <c r="D85" s="421" t="str">
        <f>_xlfn.IFNA(IF(VLOOKUP($C85,Ingredient_prices!$E:$F,2,FALSE)="Партија 2","Lot 2","Lot 1"),"")</f>
        <v/>
      </c>
      <c r="E85" s="407" t="str">
        <f>IF(SUMIF(Meal_entry_week_2!H$11:H$496,"Pork fillet",Meal_entry_week_2!K$11:K$496)&gt;0,SUMIF(Meal_entry_week_2!H$11:H$496,"Pork fillet",Meal_entry_week_2!K$11:K$496),"")</f>
        <v/>
      </c>
      <c r="F85" s="407" t="str">
        <f t="shared" si="2"/>
        <v/>
      </c>
    </row>
    <row r="86" spans="1:7">
      <c r="B86" s="1268" t="s">
        <v>3073</v>
      </c>
      <c r="C86" s="749" t="s">
        <v>3155</v>
      </c>
      <c r="D86" s="421" t="str">
        <f>_xlfn.IFNA(IF(VLOOKUP($C86,Ingredient_prices!$E:$F,2,FALSE)="Партија 2","Lot 2","Lot 1"),"")</f>
        <v>Lot 2</v>
      </c>
      <c r="E86" s="407" t="str">
        <f>IF(SUMIF(Meal_entry_week_2!H$11:H$496,"Pork leg (steak)",Meal_entry_week_2!K$11:K$496)&gt;0,SUMIF(Meal_entry_week_2!H$11:H$496,"Pork leg (steak)",Meal_entry_week_2!K$11:K$496),"")</f>
        <v/>
      </c>
      <c r="F86" s="407" t="str">
        <f t="shared" si="2"/>
        <v/>
      </c>
    </row>
    <row r="87" spans="1:7">
      <c r="B87" s="1268" t="s">
        <v>3073</v>
      </c>
      <c r="C87" s="749" t="s">
        <v>1822</v>
      </c>
      <c r="D87" s="421" t="str">
        <f>_xlfn.IFNA(IF(VLOOKUP($C87,Ingredient_prices!$E:$F,2,FALSE)="Партија 2","Lot 2","Lot 1"),"")</f>
        <v/>
      </c>
      <c r="E87" s="407" t="str">
        <f>IF(SUMIF(Meal_entry_week_2!H$11:H$496,"Pork liver",Meal_entry_week_2!K$11:K$496)&gt;0,SUMIF(Meal_entry_week_2!H$11:H$496,"Pork liver",Meal_entry_week_2!K$11:K$496),"")</f>
        <v/>
      </c>
      <c r="F87" s="407" t="str">
        <f t="shared" si="2"/>
        <v/>
      </c>
    </row>
    <row r="88" spans="1:7">
      <c r="B88" s="1268" t="s">
        <v>3073</v>
      </c>
      <c r="C88" s="749" t="s">
        <v>3164</v>
      </c>
      <c r="D88" s="421" t="str">
        <f>_xlfn.IFNA(IF(VLOOKUP($C88,Ingredient_prices!$E:$F,2,FALSE)="Партија 2","Lot 2","Lot 1"),"")</f>
        <v/>
      </c>
      <c r="E88" s="1125" t="str">
        <f>IF(SUMIF(Meal_entry_week_2!H$11:H$496,"Pork medium fat",Meal_entry_week_2!K$11:K$496)&gt;0,SUMIF(Meal_entry_week_2!H$11:H$496,"Pork medium fat",Meal_entry_week_2!K$11:K$496),"")</f>
        <v/>
      </c>
      <c r="F88" s="407" t="str">
        <f t="shared" si="2"/>
        <v/>
      </c>
    </row>
    <row r="89" spans="1:7">
      <c r="B89" s="1268" t="s">
        <v>3073</v>
      </c>
      <c r="C89" s="749" t="s">
        <v>3157</v>
      </c>
      <c r="D89" s="421" t="str">
        <f>_xlfn.IFNA(IF(VLOOKUP($C89,Ingredient_prices!$E:$F,2,FALSE)="Партија 2","Lot 2","Lot 1"),"")</f>
        <v>Lot 2</v>
      </c>
      <c r="E89" s="407">
        <f>IF(SUMIF(Meal_entry_week_2!H$11:H$496,"Pork minced meat",Meal_entry_week_2!K$11:K$496)&gt;0,SUMIF(Meal_entry_week_2!H$11:H$496,"Pork minced meat",Meal_entry_week_2!K$11:K$496),"")</f>
        <v>11.000000000000002</v>
      </c>
      <c r="F89" s="407">
        <f>IF(E89="","",E89/1)</f>
        <v>11.000000000000002</v>
      </c>
    </row>
    <row r="90" spans="1:7">
      <c r="B90" s="1268" t="s">
        <v>3073</v>
      </c>
      <c r="C90" s="749" t="s">
        <v>3154</v>
      </c>
      <c r="D90" s="421" t="str">
        <f>_xlfn.IFNA(IF(VLOOKUP($C90,Ingredient_prices!$E:$F,2,FALSE)="Партија 2","Lot 2","Lot 1"),"")</f>
        <v/>
      </c>
      <c r="E90" s="407" t="str">
        <f>IF(SUMIF(Meal_entry_week_2!H$11:H$496,"Pork rosary",Meal_entry_week_2!K$11:K$496)&gt;0,SUMIF(Meal_entry_week_2!H$11:H$496,"Pork rosary",Meal_entry_week_2!K$11:K$496),"")</f>
        <v/>
      </c>
      <c r="F90" s="407" t="str">
        <f>IF(E90="","",E90/1)</f>
        <v/>
      </c>
    </row>
    <row r="91" spans="1:7">
      <c r="B91" s="1268" t="s">
        <v>3073</v>
      </c>
      <c r="C91" s="749" t="s">
        <v>3153</v>
      </c>
      <c r="D91" s="421" t="str">
        <f>_xlfn.IFNA(IF(VLOOKUP($C91,Ingredient_prices!$E:$F,2,FALSE)="Партија 2","Lot 2","Lot 1"),"")</f>
        <v/>
      </c>
      <c r="E91" s="407" t="str">
        <f>IF(SUMIF(Meal_entry_week_2!H$11:H$496,"Pork shoulder",Meal_entry_week_2!K$11:K$496)&gt;0,SUMIF(Meal_entry_week_2!H$11:H$496,"Pork shoulder",Meal_entry_week_2!K$11:K$496),"")</f>
        <v/>
      </c>
      <c r="F91" s="407" t="str">
        <f>IF(E91="","",E91/1)</f>
        <v/>
      </c>
    </row>
    <row r="92" spans="1:7">
      <c r="B92" s="1271" t="s">
        <v>3073</v>
      </c>
      <c r="C92" s="492" t="s">
        <v>3158</v>
      </c>
      <c r="D92" s="421" t="str">
        <f>_xlfn.IFNA(IF(VLOOKUP($C92,Ingredient_prices!$E:$F,2,FALSE)="Партија 2","Lot 2","Lot 1"),"")</f>
        <v>Lot 2</v>
      </c>
      <c r="E92" s="407" t="str">
        <f>IF(SUMIF(Meal_entry_week_2!H$11:H$496,"Turkey breast",Meal_entry_week_2!K$11:K$496)&gt;0,SUMIF(Meal_entry_week_2!H$11:H$496,"Turkey breast",Meal_entry_week_2!K$11:K$496),"")</f>
        <v/>
      </c>
      <c r="F92" s="407" t="str">
        <f>IF(E92="","",E92/1)</f>
        <v/>
      </c>
    </row>
    <row r="93" spans="1:7" s="749" customFormat="1">
      <c r="A93" s="444"/>
      <c r="B93" s="1290" t="s">
        <v>3070</v>
      </c>
      <c r="C93" s="749" t="s">
        <v>3184</v>
      </c>
      <c r="D93" s="421" t="str">
        <f>_xlfn.IFNA(IF(VLOOKUP($C93,Ingredient_prices!$E:$F,2,FALSE)="Партија 2","Lot 2","Lot 1"),"")</f>
        <v/>
      </c>
      <c r="E93" s="407" t="str">
        <f>IF(SUMIF(Meal_entry_week_2!H$11:H$496,"Bacon (dried) meaty",Meal_entry_week_2!K$11:K$496)&gt;0,SUMIF(Meal_entry_week_2!H$11:H$496,"Bacon (dried) meaty",Meal_entry_week_2!K$11:K$496),"")</f>
        <v/>
      </c>
      <c r="F93" s="407" t="str">
        <f t="shared" si="2"/>
        <v/>
      </c>
      <c r="G93" s="444"/>
    </row>
    <row r="94" spans="1:7" s="749" customFormat="1">
      <c r="A94" s="444"/>
      <c r="B94" s="1268" t="s">
        <v>3070</v>
      </c>
      <c r="C94" s="749" t="s">
        <v>3186</v>
      </c>
      <c r="D94" s="421" t="str">
        <f>_xlfn.IFNA(IF(VLOOKUP($C94,Ingredient_prices!$E:$F,2,FALSE)="Партија 2","Lot 2","Lot 1"),"")</f>
        <v>Lot 2</v>
      </c>
      <c r="E94" s="407" t="str">
        <f>IF(SUMIF(Meal_entry_week_2!H$11:H$496,"Bacon (hambushka)",Meal_entry_week_2!K$11:K$496)&gt;0,SUMIF(Meal_entry_week_2!H$11:H$496,"Bacon (hambushka)",Meal_entry_week_2!K$11:K$496),"")</f>
        <v/>
      </c>
      <c r="F94" s="407" t="str">
        <f t="shared" si="2"/>
        <v/>
      </c>
      <c r="G94" s="444"/>
    </row>
    <row r="95" spans="1:7" s="749" customFormat="1">
      <c r="A95" s="444"/>
      <c r="B95" s="1268" t="s">
        <v>3070</v>
      </c>
      <c r="C95" s="749" t="s">
        <v>3185</v>
      </c>
      <c r="D95" s="421" t="str">
        <f>_xlfn.IFNA(IF(VLOOKUP($C95,Ingredient_prices!$E:$F,2,FALSE)="Партија 2","Lot 2","Lot 1"),"")</f>
        <v/>
      </c>
      <c r="E95" s="407" t="str">
        <f>IF(SUMIF(Meal_entry_week_2!H$11:H$496,"Bacon cooked",Meal_entry_week_2!K$11:K$496)&gt;0,SUMIF(Meal_entry_week_2!H$11:H$496,"Bacon cooked",Meal_entry_week_2!K$11:K$496),"")</f>
        <v/>
      </c>
      <c r="F95" s="407" t="str">
        <f t="shared" si="2"/>
        <v/>
      </c>
      <c r="G95" s="444"/>
    </row>
    <row r="96" spans="1:7">
      <c r="B96" s="1268" t="s">
        <v>3070</v>
      </c>
      <c r="C96" s="749" t="s">
        <v>3165</v>
      </c>
      <c r="D96" s="421" t="str">
        <f>_xlfn.IFNA(IF(VLOOKUP($C96,Ingredient_prices!$E:$F,2,FALSE)="Партија 2","Lot 2","Lot 1"),"")</f>
        <v/>
      </c>
      <c r="E96" s="407" t="str">
        <f>IF(SUMIF(Meal_entry_week_2!H$11:H$496,"Beef prosciutto",Meal_entry_week_2!K$11:K$496)&gt;0,SUMIF(Meal_entry_week_2!H$11:H$496,"Beef prosciutto",Meal_entry_week_2!K$11:K$496),"")</f>
        <v/>
      </c>
      <c r="F96" s="407" t="str">
        <f t="shared" si="2"/>
        <v/>
      </c>
    </row>
    <row r="97" spans="1:7">
      <c r="B97" s="1268" t="s">
        <v>3070</v>
      </c>
      <c r="C97" s="749" t="s">
        <v>3175</v>
      </c>
      <c r="D97" s="421" t="str">
        <f>_xlfn.IFNA(IF(VLOOKUP($C97,Ingredient_prices!$E:$F,2,FALSE)="Партија 2","Lot 2","Lot 1"),"")</f>
        <v/>
      </c>
      <c r="E97" s="407" t="str">
        <f>IF(SUMIF(Meal_entry_week_2!H$11:H$496,"Beef, dried",Meal_entry_week_2!K$11:K$496)&gt;0,SUMIF(Meal_entry_week_2!H$11:H$496,"Beef, dried",Meal_entry_week_2!K$11:K$496),"")</f>
        <v/>
      </c>
      <c r="F97" s="407" t="str">
        <f t="shared" si="2"/>
        <v/>
      </c>
    </row>
    <row r="98" spans="1:7" s="749" customFormat="1">
      <c r="A98" s="444"/>
      <c r="B98" s="1268" t="s">
        <v>3070</v>
      </c>
      <c r="C98" s="749" t="s">
        <v>3172</v>
      </c>
      <c r="D98" s="421" t="str">
        <f>_xlfn.IFNA(IF(VLOOKUP($C98,Ingredient_prices!$E:$F,2,FALSE)="Партија 2","Lot 2","Lot 1"),"")</f>
        <v/>
      </c>
      <c r="E98" s="407" t="str">
        <f>IF(SUMIF(Meal_entry_week_2!H$11:H$496,"Chevaps (pork/beef)",Meal_entry_week_2!K$11:K$496)&gt;0,SUMIF(Meal_entry_week_2!H$11:H$496,"Chevaps (pork/beef)",Meal_entry_week_2!K$11:K$496),"")</f>
        <v/>
      </c>
      <c r="F98" s="407" t="str">
        <f t="shared" si="2"/>
        <v/>
      </c>
      <c r="G98" s="444"/>
    </row>
    <row r="99" spans="1:7">
      <c r="B99" s="1268" t="s">
        <v>3070</v>
      </c>
      <c r="C99" s="749" t="s">
        <v>1837</v>
      </c>
      <c r="D99" s="421" t="str">
        <f>_xlfn.IFNA(IF(VLOOKUP($C99,Ingredient_prices!$E:$F,2,FALSE)="Партија 2","Lot 2","Lot 1"),"")</f>
        <v>Lot 2</v>
      </c>
      <c r="E99" s="407" t="str">
        <f>IF(SUMIF(Meal_entry_week_2!H$11:H$496,"Chicken breast in a wrap",Meal_entry_week_2!K$11:K$496)&gt;0,SUMIF(Meal_entry_week_2!H$11:H$496,"Chicken breast in a wrap",Meal_entry_week_2!K$11:K$496),"")</f>
        <v/>
      </c>
      <c r="F99" s="407" t="str">
        <f t="shared" si="2"/>
        <v/>
      </c>
    </row>
    <row r="100" spans="1:7">
      <c r="B100" s="1268" t="s">
        <v>3070</v>
      </c>
      <c r="C100" s="749" t="s">
        <v>3465</v>
      </c>
      <c r="D100" s="421" t="str">
        <f>_xlfn.IFNA(IF(VLOOKUP($C100,Ingredient_prices!$E:$F,2,FALSE)="Партија 2","Lot 2","Lot 1"),"")</f>
        <v/>
      </c>
      <c r="E100" s="407" t="str">
        <f>IF(SUMIF(Meal_entry_week_2!H$11:H$496,"Chicken parizer",Meal_entry_week_2!K$11:K$496)&gt;0,SUMIF(Meal_entry_week_2!H$11:H$496,"Chicken parizer",Meal_entry_week_2!K$11:K$496),"")</f>
        <v/>
      </c>
      <c r="F100" s="407" t="str">
        <f t="shared" si="2"/>
        <v/>
      </c>
    </row>
    <row r="101" spans="1:7">
      <c r="B101" s="1268" t="s">
        <v>3070</v>
      </c>
      <c r="C101" s="749" t="s">
        <v>3169</v>
      </c>
      <c r="D101" s="421" t="str">
        <f>_xlfn.IFNA(IF(VLOOKUP($C101,Ingredient_prices!$E:$F,2,FALSE)="Партија 2","Lot 2","Lot 1"),"")</f>
        <v>Lot 2</v>
      </c>
      <c r="E101" s="407" t="str">
        <f>IF(SUMIF(Meal_entry_week_2!H$11:H$496,"Chicken pate",Meal_entry_week_2!K$11:K$496)&gt;0,SUMIF(Meal_entry_week_2!H$11:H$496,"Chicken pate",Meal_entry_week_2!K$11:K$496),"")</f>
        <v/>
      </c>
      <c r="F101" s="407" t="str">
        <f t="shared" si="2"/>
        <v/>
      </c>
    </row>
    <row r="102" spans="1:7">
      <c r="B102" s="1268" t="s">
        <v>3070</v>
      </c>
      <c r="C102" s="749" t="s">
        <v>3173</v>
      </c>
      <c r="D102" s="421" t="str">
        <f>_xlfn.IFNA(IF(VLOOKUP($C102,Ingredient_prices!$E:$F,2,FALSE)="Партија 2","Lot 2","Lot 1"),"")</f>
        <v/>
      </c>
      <c r="E102" s="407" t="str">
        <f>IF(SUMIF(Meal_entry_week_2!H$11:H$496,"Crackling (pork)",Meal_entry_week_2!K$11:K$496)&gt;0,SUMIF(Meal_entry_week_2!H$11:H$496,"Crackling (pork)",Meal_entry_week_2!K$11:K$496),"")</f>
        <v/>
      </c>
      <c r="F102" s="407" t="str">
        <f t="shared" si="2"/>
        <v/>
      </c>
    </row>
    <row r="103" spans="1:7">
      <c r="B103" s="1268" t="s">
        <v>3070</v>
      </c>
      <c r="C103" s="749" t="s">
        <v>3174</v>
      </c>
      <c r="D103" s="421" t="str">
        <f>_xlfn.IFNA(IF(VLOOKUP($C103,Ingredient_prices!$E:$F,2,FALSE)="Партија 2","Lot 2","Lot 1"),"")</f>
        <v/>
      </c>
      <c r="E103" s="407" t="str">
        <f>IF(SUMIF(Meal_entry_week_2!H$11:H$496,"Drozdins",Meal_entry_week_2!K$11:K$496)&gt;0,SUMIF(Meal_entry_week_2!H$11:H$496,"Drozdins",Meal_entry_week_2!K$11:K$496),"")</f>
        <v/>
      </c>
      <c r="F103" s="407" t="str">
        <f t="shared" si="2"/>
        <v/>
      </c>
    </row>
    <row r="104" spans="1:7">
      <c r="B104" s="1268" t="s">
        <v>3070</v>
      </c>
      <c r="C104" s="749" t="s">
        <v>3192</v>
      </c>
      <c r="D104" s="421" t="str">
        <f>_xlfn.IFNA(IF(VLOOKUP($C104,Ingredient_prices!$E:$F,2,FALSE)="Партија 2","Lot 2","Lot 1"),"")</f>
        <v>Lot 2</v>
      </c>
      <c r="E104" s="407">
        <f>IF(SUMIF(Meal_entry_week_2!H$11:H$496,"Ham for pizza",Meal_entry_week_2!K$11:K$496)&gt;0,SUMIF(Meal_entry_week_2!H$11:H$496,"Ham for pizza",Meal_entry_week_2!K$11:K$496),"")</f>
        <v>2.2000000000000002</v>
      </c>
      <c r="F104" s="407">
        <f t="shared" si="2"/>
        <v>2.2000000000000002</v>
      </c>
    </row>
    <row r="105" spans="1:7">
      <c r="B105" s="1268" t="s">
        <v>3070</v>
      </c>
      <c r="C105" s="749" t="s">
        <v>3170</v>
      </c>
      <c r="D105" s="421" t="str">
        <f>_xlfn.IFNA(IF(VLOOKUP($C105,Ingredient_prices!$E:$F,2,FALSE)="Партија 2","Lot 2","Lot 1"),"")</f>
        <v/>
      </c>
      <c r="E105" s="407" t="str">
        <f>IF(SUMIF(Meal_entry_week_2!H$11:H$496,"Ham parizer",Meal_entry_week_2!K$11:K$496)&gt;0,SUMIF(Meal_entry_week_2!H$11:H$496,"Ham parizer",Meal_entry_week_2!K$11:K$496),"")</f>
        <v/>
      </c>
      <c r="F105" s="407" t="str">
        <f t="shared" si="2"/>
        <v/>
      </c>
    </row>
    <row r="106" spans="1:7">
      <c r="B106" s="1268" t="s">
        <v>3070</v>
      </c>
      <c r="C106" s="749" t="s">
        <v>3190</v>
      </c>
      <c r="D106" s="421" t="str">
        <f>_xlfn.IFNA(IF(VLOOKUP($C106,Ingredient_prices!$E:$F,2,FALSE)="Партија 2","Lot 2","Lot 1"),"")</f>
        <v>Lot 2</v>
      </c>
      <c r="E106" s="407" t="str">
        <f>IF(SUMIF(Meal_entry_week_2!H$11:H$496,"Ham processed",Meal_entry_week_2!K$11:K$496)&gt;0,SUMIF(Meal_entry_week_2!H$11:H$496,"Ham processed",Meal_entry_week_2!K$11:K$496),"")</f>
        <v/>
      </c>
      <c r="F106" s="407" t="str">
        <f t="shared" si="2"/>
        <v/>
      </c>
    </row>
    <row r="107" spans="1:7">
      <c r="B107" s="1268" t="s">
        <v>3070</v>
      </c>
      <c r="C107" s="749" t="s">
        <v>3191</v>
      </c>
      <c r="D107" s="421" t="str">
        <f>_xlfn.IFNA(IF(VLOOKUP($C107,Ingredient_prices!$E:$F,2,FALSE)="Партија 2","Lot 2","Lot 1"),"")</f>
        <v>Lot 2</v>
      </c>
      <c r="E107" s="407" t="str">
        <f>IF(SUMIF(Meal_entry_week_2!H$11:H$496,"Ham processed in a wrap",Meal_entry_week_2!K$11:K$496)&gt;0,SUMIF(Meal_entry_week_2!H$11:H$496,"Ham processed in a wrap",Meal_entry_week_2!K$11:K$496),"")</f>
        <v/>
      </c>
      <c r="F107" s="407" t="str">
        <f t="shared" si="2"/>
        <v/>
      </c>
    </row>
    <row r="108" spans="1:7">
      <c r="B108" s="1268" t="s">
        <v>3070</v>
      </c>
      <c r="C108" s="749" t="s">
        <v>3188</v>
      </c>
      <c r="D108" s="421" t="str">
        <f>_xlfn.IFNA(IF(VLOOKUP($C108,Ingredient_prices!$E:$F,2,FALSE)="Партија 2","Lot 2","Lot 1"),"")</f>
        <v/>
      </c>
      <c r="E108" s="407" t="str">
        <f>IF(SUMIF(Meal_entry_week_2!H$11:H$496,"Ham smoked, cooked",Meal_entry_week_2!K$11:K$496)&gt;0,SUMIF(Meal_entry_week_2!H$11:H$496,"Ham smoked, cooked",Meal_entry_week_2!K$11:K$496),"")</f>
        <v/>
      </c>
      <c r="F108" s="407" t="str">
        <f t="shared" si="2"/>
        <v/>
      </c>
    </row>
    <row r="109" spans="1:7">
      <c r="B109" s="1268" t="s">
        <v>3070</v>
      </c>
      <c r="C109" s="749" t="s">
        <v>3189</v>
      </c>
      <c r="D109" s="421" t="str">
        <f>_xlfn.IFNA(IF(VLOOKUP($C109,Ingredient_prices!$E:$F,2,FALSE)="Партија 2","Lot 2","Lot 1"),"")</f>
        <v>Lot 2</v>
      </c>
      <c r="E109" s="407" t="str">
        <f>IF(SUMIF(Meal_entry_week_2!H$11:H$496,"Ham smoked, dried",Meal_entry_week_2!K$11:K$496)&gt;0,SUMIF(Meal_entry_week_2!H$11:H$496,"Ham smoked, dried",Meal_entry_week_2!K$11:K$496),"")</f>
        <v/>
      </c>
      <c r="F109" s="407" t="str">
        <f t="shared" si="2"/>
        <v/>
      </c>
    </row>
    <row r="110" spans="1:7">
      <c r="B110" s="1268" t="s">
        <v>3070</v>
      </c>
      <c r="C110" s="749" t="s">
        <v>3187</v>
      </c>
      <c r="D110" s="421" t="str">
        <f>_xlfn.IFNA(IF(VLOOKUP($C110,Ingredient_prices!$E:$F,2,FALSE)="Партија 2","Lot 2","Lot 1"),"")</f>
        <v/>
      </c>
      <c r="E110" s="407" t="str">
        <f>IF(SUMIF(Meal_entry_week_2!H$11:H$496,"Ham without fat",Meal_entry_week_2!K$11:K$496)&gt;0,SUMIF(Meal_entry_week_2!H$11:H$496,"Ham without fat",Meal_entry_week_2!K$11:K$496),"")</f>
        <v/>
      </c>
      <c r="F110" s="407" t="str">
        <f t="shared" si="2"/>
        <v/>
      </c>
    </row>
    <row r="111" spans="1:7">
      <c r="B111" s="1268" t="s">
        <v>3070</v>
      </c>
      <c r="C111" s="749" t="s">
        <v>3176</v>
      </c>
      <c r="D111" s="421" t="str">
        <f>_xlfn.IFNA(IF(VLOOKUP($C111,Ingredient_prices!$E:$F,2,FALSE)="Партија 2","Lot 2","Lot 1"),"")</f>
        <v>Lot 2</v>
      </c>
      <c r="E111" s="407" t="str">
        <f>IF(SUMIF(Meal_entry_week_2!H$11:H$496,"Herbal sausage",Meal_entry_week_2!K$11:K$496)&gt;0,SUMIF(Meal_entry_week_2!H$11:H$496,"Herbal sausage",Meal_entry_week_2!K$11:K$496),"")</f>
        <v/>
      </c>
      <c r="F111" s="407" t="str">
        <f t="shared" si="2"/>
        <v/>
      </c>
    </row>
    <row r="112" spans="1:7">
      <c r="B112" s="1268" t="s">
        <v>3070</v>
      </c>
      <c r="C112" s="749" t="s">
        <v>3511</v>
      </c>
      <c r="D112" s="421" t="str">
        <f>_xlfn.IFNA(IF(VLOOKUP($C112,Ingredient_prices!$E:$F,2,FALSE)="Партија 2","Lot 2","Lot 1"),"")</f>
        <v/>
      </c>
      <c r="E112" s="407" t="str">
        <f>IF(SUMIF(Meal_entry_week_2!H$11:H$496,"Hot dog sausage (beef + pork)",Meal_entry_week_2!K$11:K$496)&gt;0,SUMIF(Meal_entry_week_2!H$11:H$496,"Hot dog sausage (beef + pork)",Meal_entry_week_2!K$11:K$496),"")</f>
        <v/>
      </c>
      <c r="F112" s="407" t="str">
        <f t="shared" si="2"/>
        <v/>
      </c>
    </row>
    <row r="113" spans="2:6">
      <c r="B113" s="1268" t="s">
        <v>3070</v>
      </c>
      <c r="C113" s="749" t="s">
        <v>3510</v>
      </c>
      <c r="D113" s="421" t="str">
        <f>_xlfn.IFNA(IF(VLOOKUP($C113,Ingredient_prices!$E:$F,2,FALSE)="Партија 2","Lot 2","Lot 1"),"")</f>
        <v>Lot 2</v>
      </c>
      <c r="E113" s="407" t="str">
        <f>IF(SUMIF(Meal_entry_week_2!H$11:H$496,"Hot dog sausage (chicken)",Meal_entry_week_2!K$11:K$496)&gt;0,SUMIF(Meal_entry_week_2!H$11:H$496,"Hot dog sausage (chicken)",Meal_entry_week_2!K$11:K$496),"")</f>
        <v/>
      </c>
      <c r="F113" s="407" t="str">
        <f t="shared" si="2"/>
        <v/>
      </c>
    </row>
    <row r="114" spans="2:6">
      <c r="B114" s="1268" t="s">
        <v>3070</v>
      </c>
      <c r="C114" s="749" t="s">
        <v>3512</v>
      </c>
      <c r="D114" s="421" t="str">
        <f>_xlfn.IFNA(IF(VLOOKUP($C114,Ingredient_prices!$E:$F,2,FALSE)="Партија 2","Lot 2","Lot 1"),"")</f>
        <v/>
      </c>
      <c r="E114" s="407" t="str">
        <f>IF(SUMIF(Meal_entry_week_2!H$11:H$496,"Hot dog sausage (pork)",Meal_entry_week_2!K$11:K$496)&gt;0,SUMIF(Meal_entry_week_2!H$11:H$496,"Hot dog sausage (pork)",Meal_entry_week_2!K$11:K$496),"")</f>
        <v/>
      </c>
      <c r="F114" s="407" t="str">
        <f t="shared" si="2"/>
        <v/>
      </c>
    </row>
    <row r="115" spans="2:6">
      <c r="B115" s="1268" t="s">
        <v>3070</v>
      </c>
      <c r="C115" s="749" t="s">
        <v>3167</v>
      </c>
      <c r="D115" s="421" t="str">
        <f>_xlfn.IFNA(IF(VLOOKUP($C115,Ingredient_prices!$E:$F,2,FALSE)="Партија 2","Lot 2","Lot 1"),"")</f>
        <v/>
      </c>
      <c r="E115" s="407" t="str">
        <f>IF(SUMIF(Meal_entry_week_2!H$11:H$496,"Kare delicacies in a wrap",Meal_entry_week_2!K$11:K$496)&gt;0,SUMIF(Meal_entry_week_2!H$11:H$496,"Kare delicacies in a wrap",Meal_entry_week_2!K$11:K$496),"")</f>
        <v/>
      </c>
      <c r="F115" s="407" t="str">
        <f t="shared" si="2"/>
        <v/>
      </c>
    </row>
    <row r="116" spans="2:6">
      <c r="B116" s="1268" t="s">
        <v>3070</v>
      </c>
      <c r="C116" s="749" t="s">
        <v>3464</v>
      </c>
      <c r="D116" s="421" t="str">
        <f>_xlfn.IFNA(IF(VLOOKUP($C116,Ingredient_prices!$E:$F,2,FALSE)="Партија 2","Lot 2","Lot 1"),"")</f>
        <v/>
      </c>
      <c r="E116" s="407" t="str">
        <f>IF(SUMIF(Meal_entry_week_2!H$11:H$496,"Kare smoked meat (dried)",Meal_entry_week_2!K$11:K$496)&gt;0,SUMIF(Meal_entry_week_2!H$11:H$496,"Kare smoked meat (dried)",Meal_entry_week_2!K$11:K$496),"")</f>
        <v/>
      </c>
      <c r="F116" s="407" t="str">
        <f t="shared" si="2"/>
        <v/>
      </c>
    </row>
    <row r="117" spans="2:6">
      <c r="B117" s="1268" t="s">
        <v>3070</v>
      </c>
      <c r="C117" s="749" t="s">
        <v>1823</v>
      </c>
      <c r="D117" s="421" t="str">
        <f>_xlfn.IFNA(IF(VLOOKUP($C117,Ingredient_prices!$E:$F,2,FALSE)="Партија 2","Lot 2","Lot 1"),"")</f>
        <v/>
      </c>
      <c r="E117" s="407" t="str">
        <f>IF(SUMIF(Meal_entry_week_2!H$11:H$496,"Liver pate (average)",Meal_entry_week_2!K$11:K$496)&gt;0,SUMIF(Meal_entry_week_2!H$11:H$496,"Liver pate (average)",Meal_entry_week_2!K$11:K$496),"")</f>
        <v/>
      </c>
      <c r="F117" s="407" t="str">
        <f t="shared" si="2"/>
        <v/>
      </c>
    </row>
    <row r="118" spans="2:6">
      <c r="B118" s="1268" t="s">
        <v>3070</v>
      </c>
      <c r="C118" s="749" t="s">
        <v>3166</v>
      </c>
      <c r="D118" s="421" t="str">
        <f>_xlfn.IFNA(IF(VLOOKUP($C118,Ingredient_prices!$E:$F,2,FALSE)="Партија 2","Lot 2","Lot 1"),"")</f>
        <v/>
      </c>
      <c r="E118" s="407" t="str">
        <f>IF(SUMIF(Meal_entry_week_2!H$11:H$496,"Liver pate with ham",Meal_entry_week_2!K$11:K$496)&gt;0,SUMIF(Meal_entry_week_2!H$11:H$496,"Liver pate with ham",Meal_entry_week_2!K$11:K$496),"")</f>
        <v/>
      </c>
      <c r="F118" s="407" t="str">
        <f t="shared" si="2"/>
        <v/>
      </c>
    </row>
    <row r="119" spans="2:6">
      <c r="B119" s="1268" t="s">
        <v>3070</v>
      </c>
      <c r="C119" s="749" t="s">
        <v>91</v>
      </c>
      <c r="D119" s="421" t="str">
        <f>_xlfn.IFNA(IF(VLOOKUP($C119,Ingredient_prices!$E:$F,2,FALSE)="Партија 2","Lot 2","Lot 1"),"")</f>
        <v/>
      </c>
      <c r="E119" s="407" t="str">
        <f>IF(SUMIF(Meal_entry_week_2!H$11:H$496,"Mortadela",Meal_entry_week_2!K$11:K$496)&gt;0,SUMIF(Meal_entry_week_2!H$11:H$496,"Mortadela",Meal_entry_week_2!K$11:K$496),"")</f>
        <v/>
      </c>
      <c r="F119" s="407" t="str">
        <f t="shared" si="2"/>
        <v/>
      </c>
    </row>
    <row r="120" spans="2:6">
      <c r="B120" s="1268" t="s">
        <v>3070</v>
      </c>
      <c r="C120" s="749" t="s">
        <v>3466</v>
      </c>
      <c r="D120" s="421" t="str">
        <f>_xlfn.IFNA(IF(VLOOKUP($C120,Ingredient_prices!$E:$F,2,FALSE)="Партија 2","Lot 2","Lot 1"),"")</f>
        <v/>
      </c>
      <c r="E120" s="407" t="str">
        <f>IF(SUMIF(Meal_entry_week_2!H$11:H$496,"Pork burger",Meal_entry_week_2!K$11:K$496)&gt;0,SUMIF(Meal_entry_week_2!H$11:H$496,"Pork burger",Meal_entry_week_2!K$11:K$496),"")</f>
        <v/>
      </c>
      <c r="F120" s="407" t="str">
        <f t="shared" si="2"/>
        <v/>
      </c>
    </row>
    <row r="121" spans="2:6">
      <c r="B121" s="1268" t="s">
        <v>3070</v>
      </c>
      <c r="C121" s="749" t="s">
        <v>3194</v>
      </c>
      <c r="D121" s="421" t="str">
        <f>_xlfn.IFNA(IF(VLOOKUP($C121,Ingredient_prices!$E:$F,2,FALSE)="Партија 2","Lot 2","Lot 1"),"")</f>
        <v>Lot 2</v>
      </c>
      <c r="E121" s="407">
        <f>IF(SUMIF(Meal_entry_week_2!H$11:H$496,"Pork neck, dried meat",Meal_entry_week_2!K$11:K$496)&gt;0,SUMIF(Meal_entry_week_2!H$11:H$496,"Pork neck, dried meat",Meal_entry_week_2!K$11:K$496),"")</f>
        <v>3.3</v>
      </c>
      <c r="F121" s="407">
        <f t="shared" ref="F121:F184" si="3">IF(E121="","",E121/1)</f>
        <v>3.3</v>
      </c>
    </row>
    <row r="122" spans="2:6">
      <c r="B122" s="1268" t="s">
        <v>3070</v>
      </c>
      <c r="C122" s="749" t="s">
        <v>3171</v>
      </c>
      <c r="D122" s="421" t="str">
        <f>_xlfn.IFNA(IF(VLOOKUP($C122,Ingredient_prices!$E:$F,2,FALSE)="Партија 2","Lot 2","Lot 1"),"")</f>
        <v/>
      </c>
      <c r="E122" s="407" t="str">
        <f>IF(SUMIF(Meal_entry_week_2!H$11:H$496,"Pork prosciutto",Meal_entry_week_2!K$11:K$496)&gt;0,SUMIF(Meal_entry_week_2!H$11:H$496,"Pork prosciutto",Meal_entry_week_2!K$11:K$496),"")</f>
        <v/>
      </c>
      <c r="F122" s="407" t="str">
        <f t="shared" si="3"/>
        <v/>
      </c>
    </row>
    <row r="123" spans="2:6">
      <c r="B123" s="1268" t="s">
        <v>3070</v>
      </c>
      <c r="C123" s="749" t="s">
        <v>3193</v>
      </c>
      <c r="D123" s="421" t="str">
        <f>_xlfn.IFNA(IF(VLOOKUP($C123,Ingredient_prices!$E:$F,2,FALSE)="Партија 2","Lot 2","Lot 1"),"")</f>
        <v>Lot 2</v>
      </c>
      <c r="E123" s="407" t="str">
        <f>IF(SUMIF(Meal_entry_week_2!H$11:H$496,"Pork ribs dry (smoked)",Meal_entry_week_2!K$11:K$496)&gt;0,SUMIF(Meal_entry_week_2!H$11:H$496,"Pork ribs dry (smoked)",Meal_entry_week_2!K$11:K$496),"")</f>
        <v/>
      </c>
      <c r="F123" s="407" t="str">
        <f t="shared" si="3"/>
        <v/>
      </c>
    </row>
    <row r="124" spans="2:6">
      <c r="B124" s="1268" t="s">
        <v>3070</v>
      </c>
      <c r="C124" s="749" t="s">
        <v>3183</v>
      </c>
      <c r="D124" s="421" t="str">
        <f>_xlfn.IFNA(IF(VLOOKUP($C124,Ingredient_prices!$E:$F,2,FALSE)="Партија 2","Lot 2","Lot 1"),"")</f>
        <v/>
      </c>
      <c r="E124" s="407" t="str">
        <f>IF(SUMIF(Meal_entry_week_2!H$11:H$496,"Pork smoked ham",Meal_entry_week_2!K$11:K$496)&gt;0,SUMIF(Meal_entry_week_2!H$11:H$496,"Pork smoked ham",Meal_entry_week_2!K$11:K$496),"")</f>
        <v/>
      </c>
      <c r="F124" s="407" t="str">
        <f t="shared" si="3"/>
        <v/>
      </c>
    </row>
    <row r="125" spans="2:6">
      <c r="B125" s="1268" t="s">
        <v>3070</v>
      </c>
      <c r="C125" s="749" t="s">
        <v>1872</v>
      </c>
      <c r="D125" s="421" t="str">
        <f>_xlfn.IFNA(IF(VLOOKUP($C125,Ingredient_prices!$E:$F,2,FALSE)="Партија 2","Lot 2","Lot 1"),"")</f>
        <v/>
      </c>
      <c r="E125" s="407" t="str">
        <f>IF(SUMIF(Meal_entry_week_2!H$11:H$496,"Salami Alpine",Meal_entry_week_2!K$11:K$496)&gt;0,SUMIF(Meal_entry_week_2!H$11:H$496,"Salami Alpine",Meal_entry_week_2!K$11:K$496),"")</f>
        <v/>
      </c>
      <c r="F125" s="407" t="str">
        <f t="shared" si="3"/>
        <v/>
      </c>
    </row>
    <row r="126" spans="2:6">
      <c r="B126" s="1268" t="s">
        <v>3070</v>
      </c>
      <c r="C126" s="749" t="s">
        <v>1873</v>
      </c>
      <c r="D126" s="421" t="str">
        <f>_xlfn.IFNA(IF(VLOOKUP($C126,Ingredient_prices!$E:$F,2,FALSE)="Партија 2","Lot 2","Lot 1"),"")</f>
        <v/>
      </c>
      <c r="E126" s="407" t="str">
        <f>IF(SUMIF(Meal_entry_week_2!H$11:H$496,"Salami parizer",Meal_entry_week_2!K$11:K$496)&gt;0,SUMIF(Meal_entry_week_2!H$11:H$496,"Salami parizer",Meal_entry_week_2!K$11:K$496),"")</f>
        <v/>
      </c>
      <c r="F126" s="407" t="str">
        <f t="shared" si="3"/>
        <v/>
      </c>
    </row>
    <row r="127" spans="2:6">
      <c r="B127" s="1268" t="s">
        <v>3070</v>
      </c>
      <c r="C127" s="749" t="s">
        <v>1839</v>
      </c>
      <c r="D127" s="421" t="str">
        <f>_xlfn.IFNA(IF(VLOOKUP($C127,Ingredient_prices!$E:$F,2,FALSE)="Партија 2","Lot 2","Lot 1"),"")</f>
        <v/>
      </c>
      <c r="E127" s="407" t="str">
        <f>IF(SUMIF(Meal_entry_week_2!H$11:H$496,"Salami, chicken, turkey",Meal_entry_week_2!K$11:K$496)&gt;0,SUMIF(Meal_entry_week_2!H$11:H$496,"Salami, chicken, turkey",Meal_entry_week_2!K$11:K$496),"")</f>
        <v/>
      </c>
      <c r="F127" s="407" t="str">
        <f t="shared" si="3"/>
        <v/>
      </c>
    </row>
    <row r="128" spans="2:6">
      <c r="B128" s="1268" t="s">
        <v>3070</v>
      </c>
      <c r="C128" s="749" t="s">
        <v>3178</v>
      </c>
      <c r="D128" s="421" t="str">
        <f>_xlfn.IFNA(IF(VLOOKUP($C128,Ingredient_prices!$E:$F,2,FALSE)="Партија 2","Lot 2","Lot 1"),"")</f>
        <v/>
      </c>
      <c r="E128" s="407" t="str">
        <f>IF(SUMIF(Meal_entry_week_2!H$11:H$496,"Sausage for grilling",Meal_entry_week_2!K$11:K$496)&gt;0,SUMIF(Meal_entry_week_2!H$11:H$496,"Sausage for grilling",Meal_entry_week_2!K$11:K$496),"")</f>
        <v/>
      </c>
      <c r="F128" s="407" t="str">
        <f t="shared" si="3"/>
        <v/>
      </c>
    </row>
    <row r="129" spans="1:7">
      <c r="B129" s="1268" t="s">
        <v>3070</v>
      </c>
      <c r="C129" s="749" t="s">
        <v>3177</v>
      </c>
      <c r="D129" s="421" t="str">
        <f>_xlfn.IFNA(IF(VLOOKUP($C129,Ingredient_prices!$E:$F,2,FALSE)="Партија 2","Lot 2","Lot 1"),"")</f>
        <v/>
      </c>
      <c r="E129" s="407" t="str">
        <f>IF(SUMIF(Meal_entry_week_2!H$11:H$496,"Sausage Kranjska",Meal_entry_week_2!K$11:K$496)&gt;0,SUMIF(Meal_entry_week_2!H$11:H$496,"Sausage Kranjska)",Meal_entry_week_2!K$11:K$496),"")</f>
        <v/>
      </c>
      <c r="F129" s="407" t="str">
        <f t="shared" si="3"/>
        <v/>
      </c>
    </row>
    <row r="130" spans="1:7">
      <c r="B130" s="1268" t="s">
        <v>3070</v>
      </c>
      <c r="C130" s="749" t="s">
        <v>1827</v>
      </c>
      <c r="D130" s="421" t="str">
        <f>_xlfn.IFNA(IF(VLOOKUP($C130,Ingredient_prices!$E:$F,2,FALSE)="Партија 2","Lot 2","Lot 1"),"")</f>
        <v>Lot 2</v>
      </c>
      <c r="E130" s="407" t="str">
        <f>IF(SUMIF(Meal_entry_week_2!H$11:H$496,"Sausage kulen",Meal_entry_week_2!K$11:K$496)&gt;0,SUMIF(Meal_entry_week_2!H$11:H$496,"Sausage kulen",Meal_entry_week_2!K$11:K$496),"")</f>
        <v/>
      </c>
      <c r="F130" s="407" t="str">
        <f t="shared" si="3"/>
        <v/>
      </c>
    </row>
    <row r="131" spans="1:7">
      <c r="B131" s="1268" t="s">
        <v>3070</v>
      </c>
      <c r="C131" s="749" t="s">
        <v>3180</v>
      </c>
      <c r="D131" s="421" t="str">
        <f>_xlfn.IFNA(IF(VLOOKUP($C131,Ingredient_prices!$E:$F,2,FALSE)="Партија 2","Lot 2","Lot 1"),"")</f>
        <v/>
      </c>
      <c r="E131" s="1125" t="str">
        <f>IF(SUMIF(Meal_entry_week_2!H$11:H$496,"Sausage pork, smoked",Meal_entry_week_2!K$11:K$496)&gt;0,SUMIF(Meal_entry_week_2!H$11:H$496,"Sausage pork, smoked",Meal_entry_week_2!K$11:K$496),"")</f>
        <v/>
      </c>
      <c r="F131" s="407" t="str">
        <f t="shared" si="3"/>
        <v/>
      </c>
    </row>
    <row r="132" spans="1:7">
      <c r="B132" s="1268" t="s">
        <v>3070</v>
      </c>
      <c r="C132" s="749" t="s">
        <v>3181</v>
      </c>
      <c r="D132" s="421" t="str">
        <f>_xlfn.IFNA(IF(VLOOKUP($C132,Ingredient_prices!$E:$F,2,FALSE)="Партија 2","Lot 2","Lot 1"),"")</f>
        <v/>
      </c>
      <c r="E132" s="407" t="str">
        <f>IF(SUMIF(Meal_entry_week_2!H$11:H$496,"Sausage pork, smoked (dried)",Meal_entry_week_2!K$11:K$496)&gt;0,SUMIF(Meal_entry_week_2!H$11:H$496,"Sausage pork, smoked (dried)",Meal_entry_week_2!K$11:K$496),"")</f>
        <v/>
      </c>
      <c r="F132" s="407" t="str">
        <f t="shared" si="3"/>
        <v/>
      </c>
    </row>
    <row r="133" spans="1:7">
      <c r="B133" s="1268" t="s">
        <v>3070</v>
      </c>
      <c r="C133" s="749" t="s">
        <v>1831</v>
      </c>
      <c r="D133" s="421" t="str">
        <f>_xlfn.IFNA(IF(VLOOKUP($C133,Ingredient_prices!$E:$F,2,FALSE)="Партија 2","Lot 2","Lot 1"),"")</f>
        <v>Lot 2</v>
      </c>
      <c r="E133" s="407" t="str">
        <f>IF(SUMIF(Meal_entry_week_2!H$11:H$496,"Sausage Serbian",Meal_entry_week_2!K$11:K$496)&gt;0,SUMIF(Meal_entry_week_2!H$11:H$496,"Sausage Serbian",Meal_entry_week_2!K$11:K$496),"")</f>
        <v/>
      </c>
      <c r="F133" s="407" t="str">
        <f t="shared" si="3"/>
        <v/>
      </c>
    </row>
    <row r="134" spans="1:7">
      <c r="B134" s="1268" t="s">
        <v>3070</v>
      </c>
      <c r="C134" s="749" t="s">
        <v>3179</v>
      </c>
      <c r="D134" s="421" t="str">
        <f>_xlfn.IFNA(IF(VLOOKUP($C134,Ingredient_prices!$E:$F,2,FALSE)="Партија 2","Lot 2","Lot 1"),"")</f>
        <v/>
      </c>
      <c r="E134" s="407" t="str">
        <f>IF(SUMIF(Meal_entry_week_2!H$11:H$496,"Sausage Sremska",Meal_entry_week_2!K$11:K$496)&gt;0,SUMIF(Meal_entry_week_2!H$11:H$496,"Sausage Sremska",Meal_entry_week_2!K$11:K$496),"")</f>
        <v/>
      </c>
      <c r="F134" s="407" t="str">
        <f t="shared" si="3"/>
        <v/>
      </c>
    </row>
    <row r="135" spans="1:7">
      <c r="B135" s="1268" t="s">
        <v>3070</v>
      </c>
      <c r="C135" s="749" t="s">
        <v>3182</v>
      </c>
      <c r="D135" s="421" t="str">
        <f>_xlfn.IFNA(IF(VLOOKUP($C135,Ingredient_prices!$E:$F,2,FALSE)="Партија 2","Lot 2","Lot 1"),"")</f>
        <v/>
      </c>
      <c r="E135" s="407" t="str">
        <f>IF(SUMIF(Meal_entry_week_2!H$11:H$496,"Sausage winter, smoked",Meal_entry_week_2!K$11:K$496)&gt;0,SUMIF(Meal_entry_week_2!H$11:H$496,"Sausage winter, smoked",Meal_entry_week_2!K$11:K$496),"")</f>
        <v/>
      </c>
      <c r="F135" s="407" t="str">
        <f t="shared" si="3"/>
        <v/>
      </c>
    </row>
    <row r="136" spans="1:7">
      <c r="B136" s="1271" t="s">
        <v>3070</v>
      </c>
      <c r="C136" s="492" t="s">
        <v>3195</v>
      </c>
      <c r="D136" s="421" t="str">
        <f>_xlfn.IFNA(IF(VLOOKUP($C136,Ingredient_prices!$E:$F,2,FALSE)="Партија 2","Lot 2","Lot 1"),"")</f>
        <v/>
      </c>
      <c r="E136" s="407" t="str">
        <f>IF(SUMIF(Meal_entry_week_2!H$11:H$496,"Toast spread",Meal_entry_week_2!K$11:K$496)&gt;0,SUMIF(Meal_entry_week_2!H$11:H$496,"Toast spread",Meal_entry_week_2!K$11:K$496),"")</f>
        <v/>
      </c>
      <c r="F136" s="407" t="str">
        <f t="shared" si="3"/>
        <v/>
      </c>
    </row>
    <row r="137" spans="1:7">
      <c r="B137" s="1268" t="s">
        <v>3074</v>
      </c>
      <c r="C137" s="394" t="s">
        <v>3197</v>
      </c>
      <c r="D137" s="421" t="str">
        <f>_xlfn.IFNA(IF(VLOOKUP($C137,Ingredient_prices!$E:$F,2,FALSE)="Партија 2","Lot 2","Lot 1"),"")</f>
        <v/>
      </c>
      <c r="E137" s="407" t="str">
        <f>IF(SUMIF(Meal_entry_week_2!H$11:H$496,"Carp",Meal_entry_week_2!K$11:K$496)&gt;0,SUMIF(Meal_entry_week_2!H$11:H$496,"Carp",Meal_entry_week_2!K$11:K$496),"")</f>
        <v/>
      </c>
      <c r="F137" s="407" t="str">
        <f t="shared" si="3"/>
        <v/>
      </c>
    </row>
    <row r="138" spans="1:7">
      <c r="B138" s="1268" t="s">
        <v>3074</v>
      </c>
      <c r="C138" s="394" t="s">
        <v>1861</v>
      </c>
      <c r="D138" s="421" t="str">
        <f>_xlfn.IFNA(IF(VLOOKUP($C138,Ingredient_prices!$E:$F,2,FALSE)="Партија 2","Lot 2","Lot 1"),"")</f>
        <v>Lot 2</v>
      </c>
      <c r="E138" s="407" t="str">
        <f>IF(SUMIF(Meal_entry_week_2!H$11:H$496,"Catfish",Meal_entry_week_2!K$11:K$496)&gt;0,SUMIF(Meal_entry_week_2!H$11:H$496,"Catfish",Meal_entry_week_2!K$11:K$496),"")</f>
        <v/>
      </c>
      <c r="F138" s="407" t="str">
        <f t="shared" si="3"/>
        <v/>
      </c>
    </row>
    <row r="139" spans="1:7">
      <c r="B139" s="1268" t="s">
        <v>3074</v>
      </c>
      <c r="C139" s="394" t="s">
        <v>1851</v>
      </c>
      <c r="D139" s="421" t="str">
        <f>_xlfn.IFNA(IF(VLOOKUP($C139,Ingredient_prices!$E:$F,2,FALSE)="Партија 2","Lot 2","Lot 1"),"")</f>
        <v>Lot 2</v>
      </c>
      <c r="E139" s="407" t="str">
        <f>IF(SUMIF(Meal_entry_week_2!H$11:H$496,"Hake fillets",Meal_entry_week_2!K$11:K$496)&gt;0,SUMIF(Meal_entry_week_2!H$11:H$496,"Hake fillets",Meal_entry_week_2!K$11:K$496),"")</f>
        <v/>
      </c>
      <c r="F139" s="407" t="str">
        <f t="shared" si="3"/>
        <v/>
      </c>
    </row>
    <row r="140" spans="1:7">
      <c r="B140" s="491" t="s">
        <v>1727</v>
      </c>
      <c r="C140" s="491" t="s">
        <v>3201</v>
      </c>
      <c r="D140" s="421" t="str">
        <f>_xlfn.IFNA(IF(VLOOKUP($C140,Ingredient_prices!$E:$F,2,FALSE)="Партија 2","Lot 2","Lot 1"),"")</f>
        <v/>
      </c>
      <c r="E140" s="407" t="str">
        <f>IF(SUMIF(Meal_entry_week_2!H$11:H$496,"Canned sardines (fish only)",Meal_entry_week_2!K$11:K$496)&gt;0,SUMIF(Meal_entry_week_2!H$11:H$496,"Canned sardines (fish only)",Meal_entry_week_2!K$11:K$496),"")</f>
        <v/>
      </c>
      <c r="F140" s="407" t="str">
        <f t="shared" si="3"/>
        <v/>
      </c>
    </row>
    <row r="141" spans="1:7" s="749" customFormat="1">
      <c r="A141" s="444"/>
      <c r="B141" s="491" t="s">
        <v>1727</v>
      </c>
      <c r="C141" s="491" t="s">
        <v>1859</v>
      </c>
      <c r="D141" s="421" t="str">
        <f>_xlfn.IFNA(IF(VLOOKUP($C141,Ingredient_prices!$E:$F,2,FALSE)="Партија 2","Lot 2","Lot 1"),"")</f>
        <v>Lot 2</v>
      </c>
      <c r="E141" s="407" t="str">
        <f>IF(SUMIF(Meal_entry_week_2!H$11:H$496,"Canned sardines (in oil)",Meal_entry_week_2!K$11:K$496)&gt;0,SUMIF(Meal_entry_week_2!H$11:H$496,"Canned sardines (in oil)",Meal_entry_week_2!K$11:K$496),"")</f>
        <v/>
      </c>
      <c r="F141" s="407" t="str">
        <f t="shared" si="3"/>
        <v/>
      </c>
      <c r="G141" s="444"/>
    </row>
    <row r="142" spans="1:7">
      <c r="B142" s="491" t="s">
        <v>1727</v>
      </c>
      <c r="C142" s="491" t="s">
        <v>3207</v>
      </c>
      <c r="D142" s="421" t="str">
        <f>_xlfn.IFNA(IF(VLOOKUP($C142,Ingredient_prices!$E:$F,2,FALSE)="Партија 2","Lot 2","Lot 1"),"")</f>
        <v>Lot 2</v>
      </c>
      <c r="E142" s="407" t="str">
        <f>IF(SUMIF(Meal_entry_week_2!H$11:H$496,"Fish fingers",Meal_entry_week_2!K$11:K$496)&gt;0,SUMIF(Meal_entry_week_2!H$11:H$496,"Fish fingers",Meal_entry_week_2!K$11:K$496),"")</f>
        <v/>
      </c>
      <c r="F142" s="407" t="str">
        <f t="shared" si="3"/>
        <v/>
      </c>
    </row>
    <row r="143" spans="1:7">
      <c r="B143" s="491" t="s">
        <v>1727</v>
      </c>
      <c r="C143" s="491" t="s">
        <v>3206</v>
      </c>
      <c r="D143" s="421" t="str">
        <f>_xlfn.IFNA(IF(VLOOKUP($C143,Ingredient_prices!$E:$F,2,FALSE)="Партија 2","Lot 2","Lot 1"),"")</f>
        <v/>
      </c>
      <c r="E143" s="407" t="str">
        <f>IF(SUMIF(Meal_entry_week_2!H$11:H$496,"Fish paté",Meal_entry_week_2!K$11:K$496)&gt;0,SUMIF(Meal_entry_week_2!H$11:H$496,"Fish paté",Meal_entry_week_2!K$11:K$496),"")</f>
        <v/>
      </c>
      <c r="F143" s="407" t="str">
        <f t="shared" si="3"/>
        <v/>
      </c>
    </row>
    <row r="144" spans="1:7">
      <c r="B144" s="491" t="s">
        <v>1727</v>
      </c>
      <c r="C144" s="491" t="s">
        <v>3198</v>
      </c>
      <c r="D144" s="421" t="str">
        <f>_xlfn.IFNA(IF(VLOOKUP($C144,Ingredient_prices!$E:$F,2,FALSE)="Партија 2","Lot 2","Lot 1"),"")</f>
        <v/>
      </c>
      <c r="E144" s="407" t="str">
        <f>IF(SUMIF(Meal_entry_week_2!H$11:H$496,"Fishburger breaded",Meal_entry_week_2!K$11:K$496)&gt;0,SUMIF(Meal_entry_week_2!H$11:H$496,"Fishburger breaded",Meal_entry_week_2!K$11:K$496),"")</f>
        <v/>
      </c>
      <c r="F144" s="407" t="str">
        <f t="shared" si="3"/>
        <v/>
      </c>
    </row>
    <row r="145" spans="1:7">
      <c r="B145" s="491" t="s">
        <v>1727</v>
      </c>
      <c r="C145" s="491" t="s">
        <v>3474</v>
      </c>
      <c r="D145" s="421" t="str">
        <f>_xlfn.IFNA(IF(VLOOKUP($C145,Ingredient_prices!$E:$F,2,FALSE)="Партија 2","Lot 2","Lot 1"),"")</f>
        <v/>
      </c>
      <c r="E145" s="407" t="str">
        <f>IF(SUMIF(Meal_entry_week_2!H$11:H$496,"Fried squids (fingers)",Meal_entry_week_2!K$11:K$496)&gt;0,SUMIF(Meal_entry_week_2!H$11:H$496,"Fried squids (fingers)",Meal_entry_week_2!K$11:K$496),"")</f>
        <v/>
      </c>
      <c r="F145" s="407" t="str">
        <f t="shared" si="3"/>
        <v/>
      </c>
    </row>
    <row r="146" spans="1:7">
      <c r="B146" s="491" t="s">
        <v>1727</v>
      </c>
      <c r="C146" s="53" t="s">
        <v>3200</v>
      </c>
      <c r="D146" s="421" t="str">
        <f>_xlfn.IFNA(IF(VLOOKUP($C146,Ingredient_prices!$E:$F,2,FALSE)="Партија 2","Lot 2","Lot 1"),"")</f>
        <v>Lot 2</v>
      </c>
      <c r="E146" s="1125" t="str">
        <f>IF(SUMIF(Meal_entry_week_2!H$11:H$496,"Hake breaded (fillets)",Meal_entry_week_2!K$11:K$496)&gt;0,SUMIF(Meal_entry_week_2!H$11:H$496,"Hake breaded (fillets)",Meal_entry_week_2!K$11:K$496),"")</f>
        <v/>
      </c>
      <c r="F146" s="407" t="str">
        <f t="shared" si="3"/>
        <v/>
      </c>
    </row>
    <row r="147" spans="1:7">
      <c r="B147" s="491" t="s">
        <v>1727</v>
      </c>
      <c r="C147" s="491" t="s">
        <v>3199</v>
      </c>
      <c r="D147" s="421" t="str">
        <f>_xlfn.IFNA(IF(VLOOKUP($C147,Ingredient_prices!$E:$F,2,FALSE)="Партија 2","Lot 2","Lot 1"),"")</f>
        <v/>
      </c>
      <c r="E147" s="1125" t="str">
        <f>IF(SUMIF(Meal_entry_week_2!H$11:H$496,"Herring fillet in vegetable oil",Meal_entry_week_2!K$11:K$496)&gt;0,SUMIF(Meal_entry_week_2!H$11:H$496,"Herring fillet in vegetable oil",Meal_entry_week_2!K$11:K$496),"")</f>
        <v/>
      </c>
      <c r="F147" s="407" t="str">
        <f t="shared" si="3"/>
        <v/>
      </c>
    </row>
    <row r="148" spans="1:7">
      <c r="B148" s="491" t="s">
        <v>1727</v>
      </c>
      <c r="C148" s="491" t="s">
        <v>3202</v>
      </c>
      <c r="D148" s="421" t="str">
        <f>_xlfn.IFNA(IF(VLOOKUP($C148,Ingredient_prices!$E:$F,2,FALSE)="Партија 2","Lot 2","Lot 1"),"")</f>
        <v/>
      </c>
      <c r="E148" s="407" t="str">
        <f>IF(SUMIF(Meal_entry_week_2!H$11:H$496,"Mackerel, fillets in vegetable oil",Meal_entry_week_2!K$11:K$496)&gt;0,SUMIF(Meal_entry_week_2!H$11:H$496,"Mackerel, fillets in vegetable oil",Meal_entry_week_2!K$11:K$496),"")</f>
        <v/>
      </c>
      <c r="F148" s="407" t="str">
        <f t="shared" si="3"/>
        <v/>
      </c>
    </row>
    <row r="149" spans="1:7">
      <c r="B149" s="491" t="s">
        <v>1727</v>
      </c>
      <c r="C149" s="491" t="s">
        <v>3205</v>
      </c>
      <c r="D149" s="421" t="str">
        <f>_xlfn.IFNA(IF(VLOOKUP($C149,Ingredient_prices!$E:$F,2,FALSE)="Партија 2","Lot 2","Lot 1"),"")</f>
        <v/>
      </c>
      <c r="E149" s="407" t="str">
        <f>IF(SUMIF(Meal_entry_week_2!H$11:H$496,"Tuna paté",Meal_entry_week_2!K$11:K$496)&gt;0,SUMIF(Meal_entry_week_2!H$11:H$496,"Tuna paté",Meal_entry_week_2!K$11:K$496),"")</f>
        <v/>
      </c>
      <c r="F149" s="407" t="str">
        <f t="shared" si="3"/>
        <v/>
      </c>
    </row>
    <row r="150" spans="1:7" s="443" customFormat="1">
      <c r="A150" s="444"/>
      <c r="B150" s="491" t="s">
        <v>1727</v>
      </c>
      <c r="C150" s="491" t="s">
        <v>3204</v>
      </c>
      <c r="D150" s="421" t="str">
        <f>_xlfn.IFNA(IF(VLOOKUP($C150,Ingredient_prices!$E:$F,2,FALSE)="Партија 2","Lot 2","Lot 1"),"")</f>
        <v/>
      </c>
      <c r="E150" s="407" t="str">
        <f>IF(SUMIF(Meal_entry_week_2!H$11:H$496,"Tuna preserved in brine",Meal_entry_week_2!K$11:K$496)&gt;0,SUMIF(Meal_entry_week_2!H$11:H$496,"Tuna preserved in brine",Meal_entry_week_2!K$11:K$496),"")</f>
        <v/>
      </c>
      <c r="F150" s="407" t="str">
        <f t="shared" si="3"/>
        <v/>
      </c>
      <c r="G150" s="444"/>
    </row>
    <row r="151" spans="1:7" s="498" customFormat="1">
      <c r="A151" s="444"/>
      <c r="B151" s="492" t="s">
        <v>1727</v>
      </c>
      <c r="C151" s="492" t="s">
        <v>3203</v>
      </c>
      <c r="D151" s="421" t="str">
        <f>_xlfn.IFNA(IF(VLOOKUP($C151,Ingredient_prices!$E:$F,2,FALSE)="Партија 2","Lot 2","Lot 1"),"")</f>
        <v>Lot 2</v>
      </c>
      <c r="E151" s="407" t="str">
        <f>IF(SUMIF(Meal_entry_week_2!H$11:H$496,"Tuna preserved in oil",Meal_entry_week_2!K$11:K$496)&gt;0,SUMIF(Meal_entry_week_2!H$11:H$496,"Tuna preserved in oil",Meal_entry_week_2!K$11:K$496),"")</f>
        <v/>
      </c>
      <c r="F151" s="407" t="str">
        <f t="shared" si="3"/>
        <v/>
      </c>
      <c r="G151" s="444"/>
    </row>
    <row r="152" spans="1:7" s="498" customFormat="1">
      <c r="A152" s="444"/>
      <c r="B152" s="1268" t="s">
        <v>3072</v>
      </c>
      <c r="C152" s="749" t="s">
        <v>3208</v>
      </c>
      <c r="D152" s="421" t="str">
        <f>_xlfn.IFNA(IF(VLOOKUP($C152,Ingredient_prices!$E:$F,2,FALSE)="Партија 2","Lot 2","Lot 1"),"")</f>
        <v>Lot 2</v>
      </c>
      <c r="E152" s="408">
        <f>(IF(SUMIF(Meal_entry_week_2!H$11:H$496,"Chicken egg, whole",Meal_entry_week_2!K$11:K$496)&gt;0,SUMIF(Meal_entry_week_2!H$11:H$496,"Chicken egg, whole",Meal_entry_week_2!K$11:K$496),0))/0.06</f>
        <v>138.05000000000004</v>
      </c>
      <c r="F152" s="407">
        <f t="shared" si="3"/>
        <v>138.05000000000004</v>
      </c>
      <c r="G152" s="444"/>
    </row>
    <row r="153" spans="1:7">
      <c r="B153" s="491" t="s">
        <v>3085</v>
      </c>
      <c r="C153" s="491" t="s">
        <v>3233</v>
      </c>
      <c r="D153" s="421" t="str">
        <f>_xlfn.IFNA(IF(VLOOKUP($C153,Ingredient_prices!$E:$F,2,FALSE)="Партија 2","Lot 2","Lot 1"),"")</f>
        <v>Lot 2</v>
      </c>
      <c r="E153" s="407" t="str">
        <f>IF(SUMIF(Meal_entry_week_2!H$11:H$496,"Cheese spread 70% fat",Meal_entry_week_2!K$11:K$496)&gt;0,SUMIF(Meal_entry_week_2!H$11:H$496,"Cheese spread 70% fat",Meal_entry_week_2!K$11:K$496),"")</f>
        <v/>
      </c>
      <c r="F153" s="407" t="str">
        <f t="shared" si="3"/>
        <v/>
      </c>
    </row>
    <row r="154" spans="1:7" s="498" customFormat="1">
      <c r="A154" s="444"/>
      <c r="B154" s="491" t="s">
        <v>3085</v>
      </c>
      <c r="C154" s="491" t="s">
        <v>3234</v>
      </c>
      <c r="D154" s="421" t="str">
        <f>_xlfn.IFNA(IF(VLOOKUP($C154,Ingredient_prices!$E:$F,2,FALSE)="Партија 2","Lot 2","Lot 1"),"")</f>
        <v>Lot 2</v>
      </c>
      <c r="E154" s="407" t="str">
        <f>IF(SUMIF(Meal_entry_week_2!H$11:H$496,"Cheese spread triangles 35% fat",Meal_entry_week_2!K$11:K$496)&gt;0,SUMIF(Meal_entry_week_2!H$11:H$496,"Cheese spread triangles 35% fat",Meal_entry_week_2!K$11:K$496),"")</f>
        <v/>
      </c>
      <c r="F154" s="407" t="str">
        <f t="shared" si="3"/>
        <v/>
      </c>
      <c r="G154" s="444"/>
    </row>
    <row r="155" spans="1:7">
      <c r="B155" s="491" t="s">
        <v>3085</v>
      </c>
      <c r="C155" s="491" t="s">
        <v>3217</v>
      </c>
      <c r="D155" s="421" t="str">
        <f>_xlfn.IFNA(IF(VLOOKUP($C155,Ingredient_prices!$E:$F,2,FALSE)="Партија 2","Lot 2","Lot 1"),"")</f>
        <v>Lot 2</v>
      </c>
      <c r="E155" s="407" t="str">
        <f>IF(SUMIF(Meal_entry_week_2!H$11:H$496,"Cheese, cow, low fat, mozzarella",Meal_entry_week_2!K$11:K$496)&gt;0,SUMIF(Meal_entry_week_2!H$11:H$496,"Cheese, cow, low fat, mozzarella",Meal_entry_week_2!K$11:K$496),"")</f>
        <v/>
      </c>
      <c r="F155" s="407" t="str">
        <f t="shared" si="3"/>
        <v/>
      </c>
    </row>
    <row r="156" spans="1:7">
      <c r="B156" s="491" t="s">
        <v>3085</v>
      </c>
      <c r="C156" s="491" t="s">
        <v>3223</v>
      </c>
      <c r="D156" s="421" t="str">
        <f>_xlfn.IFNA(IF(VLOOKUP($C156,Ingredient_prices!$E:$F,2,FALSE)="Партија 2","Lot 2","Lot 1"),"")</f>
        <v/>
      </c>
      <c r="E156" s="407" t="str">
        <f>IF(SUMIF(Meal_entry_week_2!H$11:H$496,"Cheese, Edam, 30% fat",Meal_entry_week_2!K$11:K$496)&gt;0,SUMIF(Meal_entry_week_2!H$11:H$496,"Cheese, Edam, 30% fat",Meal_entry_week_2!K$11:K$496),"")</f>
        <v/>
      </c>
      <c r="F156" s="407" t="str">
        <f t="shared" si="3"/>
        <v/>
      </c>
    </row>
    <row r="157" spans="1:7">
      <c r="B157" s="491" t="s">
        <v>3085</v>
      </c>
      <c r="C157" s="491" t="s">
        <v>3216</v>
      </c>
      <c r="D157" s="421" t="str">
        <f>_xlfn.IFNA(IF(VLOOKUP($C157,Ingredient_prices!$E:$F,2,FALSE)="Партија 2","Lot 2","Lot 1"),"")</f>
        <v>Lot 2</v>
      </c>
      <c r="E157" s="407" t="str">
        <f>IF(SUMIF(Meal_entry_week_2!H$11:H$496,"Cheese, feta, soft (in brine)",Meal_entry_week_2!K$11:K$496)&gt;0,SUMIF(Meal_entry_week_2!H$11:H$496,"Cheese, feta, soft (in brine)",Meal_entry_week_2!K$11:K$496),"")</f>
        <v/>
      </c>
      <c r="F157" s="407" t="str">
        <f t="shared" si="3"/>
        <v/>
      </c>
    </row>
    <row r="158" spans="1:7">
      <c r="B158" s="491" t="s">
        <v>3085</v>
      </c>
      <c r="C158" s="491" t="s">
        <v>3226</v>
      </c>
      <c r="D158" s="421" t="str">
        <f>_xlfn.IFNA(IF(VLOOKUP($C158,Ingredient_prices!$E:$F,2,FALSE)="Партија 2","Lot 2","Lot 1"),"")</f>
        <v/>
      </c>
      <c r="E158" s="407" t="str">
        <f>IF(SUMIF(Meal_entry_week_2!H$11:H$496,"Cheese, for pizza, 45% fat",Meal_entry_week_2!K$11:K$496)&gt;0,SUMIF(Meal_entry_week_2!H$11:H$496,"Cheese, for pizza, 45% fat",Meal_entry_week_2!K$11:K$496),"")</f>
        <v/>
      </c>
      <c r="F158" s="407" t="str">
        <f t="shared" si="3"/>
        <v/>
      </c>
    </row>
    <row r="159" spans="1:7">
      <c r="B159" s="491" t="s">
        <v>3085</v>
      </c>
      <c r="C159" s="491" t="s">
        <v>3224</v>
      </c>
      <c r="D159" s="421" t="str">
        <f>_xlfn.IFNA(IF(VLOOKUP($C159,Ingredient_prices!$E:$F,2,FALSE)="Партија 2","Lot 2","Lot 1"),"")</f>
        <v/>
      </c>
      <c r="E159" s="407" t="str">
        <f>IF(SUMIF(Meal_entry_week_2!H$11:H$496,"Cheese, Gouda, 48% fat",Meal_entry_week_2!K$11:K$496)&gt;0,SUMIF(Meal_entry_week_2!H$11:H$496,"Cheese, Gouda, 48% fat",Meal_entry_week_2!K$11:K$496),"")</f>
        <v/>
      </c>
      <c r="F159" s="407" t="str">
        <f t="shared" si="3"/>
        <v/>
      </c>
    </row>
    <row r="160" spans="1:7">
      <c r="B160" s="491" t="s">
        <v>3085</v>
      </c>
      <c r="C160" s="491" t="s">
        <v>3228</v>
      </c>
      <c r="D160" s="421" t="str">
        <f>_xlfn.IFNA(IF(VLOOKUP($C160,Ingredient_prices!$E:$F,2,FALSE)="Партија 2","Lot 2","Lot 1"),"")</f>
        <v>Lot 2</v>
      </c>
      <c r="E160" s="407">
        <f>IF(SUMIF(Meal_entry_week_2!H$11:H$496,"Cheese, grated (at least 1 kg)",Meal_entry_week_2!K$11:K$496)&gt;0,SUMIF(Meal_entry_week_2!H$11:H$496,"Cheese, grated (at least 1 kg)",Meal_entry_week_2!K$11:K$496),"")</f>
        <v>0.66</v>
      </c>
      <c r="F160" s="407">
        <f t="shared" si="3"/>
        <v>0.66</v>
      </c>
    </row>
    <row r="161" spans="1:7">
      <c r="B161" s="491" t="s">
        <v>3085</v>
      </c>
      <c r="C161" s="491" t="s">
        <v>3227</v>
      </c>
      <c r="D161" s="421" t="str">
        <f>_xlfn.IFNA(IF(VLOOKUP($C161,Ingredient_prices!$E:$F,2,FALSE)="Партија 2","Lot 2","Lot 1"),"")</f>
        <v>Lot 2</v>
      </c>
      <c r="E161" s="407" t="str">
        <f>IF(SUMIF(Meal_entry_week_2!H$11:H$496,"Cheese, grated (less than 1 kg)",Meal_entry_week_2!K$11:K$496)&gt;0,SUMIF(Meal_entry_week_2!H$11:H$496,"Cheese, grated (less than 1 kg)",Meal_entry_week_2!K$11:K$496),"")</f>
        <v/>
      </c>
      <c r="F161" s="407" t="str">
        <f t="shared" si="3"/>
        <v/>
      </c>
    </row>
    <row r="162" spans="1:7">
      <c r="B162" s="491" t="s">
        <v>3085</v>
      </c>
      <c r="C162" s="491" t="s">
        <v>3225</v>
      </c>
      <c r="D162" s="421" t="str">
        <f>_xlfn.IFNA(IF(VLOOKUP($C162,Ingredient_prices!$E:$F,2,FALSE)="Партија 2","Lot 2","Lot 1"),"")</f>
        <v/>
      </c>
      <c r="E162" s="407" t="str">
        <f>IF(SUMIF(Meal_entry_week_2!H$11:H$496,"Cheese, hard 45% fat",Meal_entry_week_2!K$11:K$496)&gt;0,SUMIF(Meal_entry_week_2!H$11:H$496,"Cheese, hard 45% fat",Meal_entry_week_2!K$11:K$496),"")</f>
        <v/>
      </c>
      <c r="F162" s="407" t="str">
        <f t="shared" si="3"/>
        <v/>
      </c>
    </row>
    <row r="163" spans="1:7">
      <c r="B163" s="491" t="s">
        <v>3085</v>
      </c>
      <c r="C163" s="491" t="s">
        <v>3460</v>
      </c>
      <c r="D163" s="421" t="str">
        <f>_xlfn.IFNA(IF(VLOOKUP($C163,Ingredient_prices!$E:$F,2,FALSE)="Партија 2","Lot 2","Lot 1"),"")</f>
        <v>Lot 2</v>
      </c>
      <c r="E163" s="407">
        <f>IF(SUMIF(Meal_entry_week_2!H$11:H$496,"Cheese, hard 35% fat",Meal_entry_week_2!K$11:K$496)&gt;0,SUMIF(Meal_entry_week_2!H$11:H$496,"Cheese, hard 35% fat",Meal_entry_week_2!K$11:K$496),"")</f>
        <v>2.2000000000000002</v>
      </c>
      <c r="F163" s="407">
        <f t="shared" si="3"/>
        <v>2.2000000000000002</v>
      </c>
    </row>
    <row r="164" spans="1:7">
      <c r="B164" s="491" t="s">
        <v>3085</v>
      </c>
      <c r="C164" s="491" t="s">
        <v>3231</v>
      </c>
      <c r="D164" s="421" t="str">
        <f>_xlfn.IFNA(IF(VLOOKUP($C164,Ingredient_prices!$E:$F,2,FALSE)="Партија 2","Lot 2","Lot 1"),"")</f>
        <v>Lot 2</v>
      </c>
      <c r="E164" s="407" t="str">
        <f>IF(SUMIF(Meal_entry_week_2!H$11:H$496,"Cheese, hard, grated",Meal_entry_week_2!K$11:K$496)&gt;0,SUMIF(Meal_entry_week_2!H$11:H$496,"Cheese, hard, grated",Meal_entry_week_2!K$11:K$496),"")</f>
        <v/>
      </c>
      <c r="F164" s="407" t="str">
        <f t="shared" si="3"/>
        <v/>
      </c>
    </row>
    <row r="165" spans="1:7">
      <c r="B165" s="491" t="s">
        <v>3085</v>
      </c>
      <c r="C165" s="491" t="s">
        <v>3230</v>
      </c>
      <c r="D165" s="421" t="str">
        <f>_xlfn.IFNA(IF(VLOOKUP($C165,Ingredient_prices!$E:$F,2,FALSE)="Партија 2","Lot 2","Lot 1"),"")</f>
        <v>Lot 2</v>
      </c>
      <c r="E165" s="407" t="str">
        <f>IF(SUMIF(Meal_entry_week_2!H$11:H$496,"Cheese, processed, slices",Meal_entry_week_2!K$11:K$496)&gt;0,SUMIF(Meal_entry_week_2!H$11:H$496,"Cheese, processed, slices",Meal_entry_week_2!K$11:K$496),"")</f>
        <v/>
      </c>
      <c r="F165" s="407" t="str">
        <f t="shared" si="3"/>
        <v/>
      </c>
    </row>
    <row r="166" spans="1:7">
      <c r="B166" s="491" t="s">
        <v>3085</v>
      </c>
      <c r="C166" s="491" t="s">
        <v>3229</v>
      </c>
      <c r="D166" s="421" t="str">
        <f>_xlfn.IFNA(IF(VLOOKUP($C166,Ingredient_prices!$E:$F,2,FALSE)="Партија 2","Lot 2","Lot 1"),"")</f>
        <v/>
      </c>
      <c r="E166" s="407" t="str">
        <f>IF(SUMIF(Meal_entry_week_2!H$11:H$496,"Cheese, Swiss (grated)",Meal_entry_week_2!K$11:K$496)&gt;0,SUMIF(Meal_entry_week_2!H$11:H$496,"Cheese, Swiss (grated)",Meal_entry_week_2!K$11:K$496),"")</f>
        <v/>
      </c>
      <c r="F166" s="407" t="str">
        <f t="shared" si="3"/>
        <v/>
      </c>
    </row>
    <row r="167" spans="1:7">
      <c r="B167" s="491" t="s">
        <v>3085</v>
      </c>
      <c r="C167" s="491" t="s">
        <v>3232</v>
      </c>
      <c r="D167" s="421" t="str">
        <f>_xlfn.IFNA(IF(VLOOKUP($C167,Ingredient_prices!$E:$F,2,FALSE)="Партија 2","Lot 2","Lot 1"),"")</f>
        <v/>
      </c>
      <c r="E167" s="407" t="str">
        <f>IF(SUMIF(Meal_entry_week_2!H$11:H$496,"Cheese, Trapist",Meal_entry_week_2!K$11:K$496)&gt;0,SUMIF(Meal_entry_week_2!H$11:H$496,"Cheese, Trapist",Meal_entry_week_2!K$11:K$496),"")</f>
        <v/>
      </c>
      <c r="F167" s="407" t="str">
        <f t="shared" si="3"/>
        <v/>
      </c>
    </row>
    <row r="168" spans="1:7">
      <c r="B168" s="491" t="s">
        <v>3085</v>
      </c>
      <c r="C168" s="491" t="s">
        <v>3446</v>
      </c>
      <c r="D168" s="421" t="str">
        <f>_xlfn.IFNA(IF(VLOOKUP($C168,Ingredient_prices!$E:$F,2,FALSE)="Партија 2","Lot 2","Lot 1"),"")</f>
        <v>Lot 2</v>
      </c>
      <c r="E168" s="407">
        <f>IF(SUMIF(Meal_entry_week_2!H$11:H$496,"Chocolate milk 1% fat (at least 1 l)",Meal_entry_week_2!K$11:K$496)&gt;0,SUMIF(Meal_entry_week_2!H$11:H$496,"Chocolate milk 1% fat (at least 1 l)",Meal_entry_week_2!K$11:K$496),"")</f>
        <v>11.000000000000002</v>
      </c>
      <c r="F168" s="407">
        <f t="shared" si="3"/>
        <v>11.000000000000002</v>
      </c>
    </row>
    <row r="169" spans="1:7">
      <c r="B169" s="491" t="s">
        <v>3085</v>
      </c>
      <c r="C169" s="491" t="s">
        <v>3445</v>
      </c>
      <c r="D169" s="421" t="str">
        <f>_xlfn.IFNA(IF(VLOOKUP($C169,Ingredient_prices!$E:$F,2,FALSE)="Партија 2","Lot 2","Lot 1"),"")</f>
        <v>Lot 2</v>
      </c>
      <c r="E169" s="407" t="str">
        <f>IF(SUMIF(Meal_entry_week_2!H$11:H$496,"Chocolate milk 1% fat (less than 1 l)",Meal_entry_week_2!K$11:K$496)&gt;0,SUMIF(Meal_entry_week_2!H$11:H$496,"Chocolate milk 1% fat (less than 1 l)",Meal_entry_week_2!K$11:K$496),"")</f>
        <v/>
      </c>
      <c r="F169" s="407" t="str">
        <f t="shared" si="3"/>
        <v/>
      </c>
    </row>
    <row r="170" spans="1:7">
      <c r="B170" s="491" t="s">
        <v>3085</v>
      </c>
      <c r="C170" s="491" t="s">
        <v>1803</v>
      </c>
      <c r="D170" s="421" t="str">
        <f>_xlfn.IFNA(IF(VLOOKUP($C170,Ingredient_prices!$E:$F,2,FALSE)="Партија 2","Lot 2","Lot 1"),"")</f>
        <v/>
      </c>
      <c r="E170" s="407" t="str">
        <f>IF(SUMIF(Meal_entry_week_2!H$11:H$496,"Chocolate milk, whole milk",Meal_entry_week_2!K$11:K$496)&gt;0,SUMIF(Meal_entry_week_2!H$11:H$496,"Chocolate milk, whole milk",Meal_entry_week_2!K$11:K$496),"")</f>
        <v/>
      </c>
      <c r="F170" s="407" t="str">
        <f t="shared" si="3"/>
        <v/>
      </c>
    </row>
    <row r="171" spans="1:7" s="749" customFormat="1">
      <c r="A171" s="444"/>
      <c r="B171" s="491" t="s">
        <v>3085</v>
      </c>
      <c r="C171" s="491" t="s">
        <v>480</v>
      </c>
      <c r="D171" s="421" t="str">
        <f>_xlfn.IFNA(IF(VLOOKUP($C171,Ingredient_prices!$E:$F,2,FALSE)="Партија 2","Lot 2","Lot 1"),"")</f>
        <v>Lot 2</v>
      </c>
      <c r="E171" s="407" t="str">
        <f>IF(SUMIF(Meal_entry_week_2!H$11:H$496,"Clotted cream",Meal_entry_week_2!K$11:K$496)&gt;0,SUMIF(Meal_entry_week_2!H$11:H$496,"Clotted cream",Meal_entry_week_2!K$11:K$496),"")</f>
        <v/>
      </c>
      <c r="F171" s="407" t="str">
        <f t="shared" si="3"/>
        <v/>
      </c>
      <c r="G171" s="444"/>
    </row>
    <row r="172" spans="1:7">
      <c r="B172" s="491" t="s">
        <v>3085</v>
      </c>
      <c r="C172" s="491" t="s">
        <v>3221</v>
      </c>
      <c r="D172" s="421" t="str">
        <f>_xlfn.IFNA(IF(VLOOKUP($C172,Ingredient_prices!$E:$F,2,FALSE)="Партија 2","Lot 2","Lot 1"),"")</f>
        <v>Lot 2</v>
      </c>
      <c r="E172" s="407">
        <f>IF(SUMIF(Meal_entry_week_2!H$11:H$496,"Cow's milk 2.8% fat",Meal_entry_week_2!K$11:K$496)&gt;0,SUMIF(Meal_entry_week_2!H$11:H$496,"Cow's milk 2.8% fat",Meal_entry_week_2!K$11:K$496),"")</f>
        <v>21.340000000000003</v>
      </c>
      <c r="F172" s="407">
        <f t="shared" si="3"/>
        <v>21.340000000000003</v>
      </c>
    </row>
    <row r="173" spans="1:7">
      <c r="B173" s="491" t="s">
        <v>3085</v>
      </c>
      <c r="C173" s="491" t="s">
        <v>3220</v>
      </c>
      <c r="D173" s="421" t="str">
        <f>_xlfn.IFNA(IF(VLOOKUP($C173,Ingredient_prices!$E:$F,2,FALSE)="Партија 2","Lot 2","Lot 1"),"")</f>
        <v>Lot 2</v>
      </c>
      <c r="E173" s="407">
        <f>IF(SUMIF(Meal_entry_week_2!H$11:H$496,"Cow's milk 3.2% fat",Meal_entry_week_2!K$11:K$496)&gt;0,SUMIF(Meal_entry_week_2!H$11:H$496,"Cow's milk 3.2% fat",Meal_entry_week_2!K$11:K$496),"")</f>
        <v>5.5000000000000009</v>
      </c>
      <c r="F173" s="407">
        <f t="shared" si="3"/>
        <v>5.5000000000000009</v>
      </c>
    </row>
    <row r="174" spans="1:7">
      <c r="B174" s="491" t="s">
        <v>3085</v>
      </c>
      <c r="C174" s="491" t="s">
        <v>3213</v>
      </c>
      <c r="D174" s="421" t="str">
        <f>_xlfn.IFNA(IF(VLOOKUP($C174,Ingredient_prices!$E:$F,2,FALSE)="Партија 2","Lot 2","Lot 1"),"")</f>
        <v>Lot 2</v>
      </c>
      <c r="E174" s="407" t="str">
        <f>IF(SUMIF(Meal_entry_week_2!H$11:H$496,"Cream cheese spread",Meal_entry_week_2!K$11:K$496)&gt;0,SUMIF(Meal_entry_week_2!H$11:H$496,"Cream cheese spread",Meal_entry_week_2!K$11:K$496),"")</f>
        <v/>
      </c>
      <c r="F174" s="407" t="str">
        <f t="shared" si="3"/>
        <v/>
      </c>
    </row>
    <row r="175" spans="1:7">
      <c r="B175" s="491" t="s">
        <v>3085</v>
      </c>
      <c r="C175" s="491" t="s">
        <v>3215</v>
      </c>
      <c r="D175" s="421" t="str">
        <f>_xlfn.IFNA(IF(VLOOKUP($C175,Ingredient_prices!$E:$F,2,FALSE)="Партија 2","Lot 2","Lot 1"),"")</f>
        <v>Lot 2</v>
      </c>
      <c r="E175" s="407">
        <f>IF(SUMIF(Meal_entry_week_2!H$11:H$496,"Fresh cheese",Meal_entry_week_2!K$11:K$496)&gt;0,SUMIF(Meal_entry_week_2!H$11:H$496,"Fresh cheese",Meal_entry_week_2!K$11:K$496),"")</f>
        <v>2.7500000000000004</v>
      </c>
      <c r="F175" s="407">
        <f t="shared" si="3"/>
        <v>2.7500000000000004</v>
      </c>
    </row>
    <row r="176" spans="1:7">
      <c r="B176" s="491" t="s">
        <v>3085</v>
      </c>
      <c r="C176" s="491" t="s">
        <v>3212</v>
      </c>
      <c r="D176" s="421" t="str">
        <f>_xlfn.IFNA(IF(VLOOKUP($C176,Ingredient_prices!$E:$F,2,FALSE)="Партија 2","Lot 2","Lot 1"),"")</f>
        <v>Lot 2</v>
      </c>
      <c r="E176" s="407" t="str">
        <f>IF(SUMIF(Meal_entry_week_2!H$11:H$496,"Fruit yogurt",Meal_entry_week_2!K$11:K$496)&gt;0,SUMIF(Meal_entry_week_2!H$11:H$496,"Fruit yogurt",Meal_entry_week_2!K$11:K$496),"")</f>
        <v/>
      </c>
      <c r="F176" s="407" t="str">
        <f t="shared" si="3"/>
        <v/>
      </c>
    </row>
    <row r="177" spans="1:7">
      <c r="B177" s="491" t="s">
        <v>3085</v>
      </c>
      <c r="C177" s="491" t="s">
        <v>3457</v>
      </c>
      <c r="D177" s="421" t="str">
        <f>_xlfn.IFNA(IF(VLOOKUP($C177,Ingredient_prices!$E:$F,2,FALSE)="Партија 2","Lot 2","Lot 1"),"")</f>
        <v>Lot 2</v>
      </c>
      <c r="E177" s="1125" t="str">
        <f>IF(SUMIF(Meal_entry_week_2!H$11:H$496,"Fruit yogurt, low-fat",Meal_entry_week_2!K$11:K$496)&gt;0,SUMIF(Meal_entry_week_2!H$11:H$496,"Fruit yogurt, low-fat",Meal_entry_week_2!K$11:K$496),"")</f>
        <v/>
      </c>
      <c r="F177" s="407" t="str">
        <f t="shared" si="3"/>
        <v/>
      </c>
    </row>
    <row r="178" spans="1:7">
      <c r="B178" s="491" t="s">
        <v>3085</v>
      </c>
      <c r="C178" s="491" t="s">
        <v>3219</v>
      </c>
      <c r="D178" s="421" t="str">
        <f>_xlfn.IFNA(IF(VLOOKUP($C178,Ingredient_prices!$E:$F,2,FALSE)="Партија 2","Lot 2","Lot 1"),"")</f>
        <v/>
      </c>
      <c r="E178" s="407" t="str">
        <f>IF(SUMIF(Meal_entry_week_2!H$11:H$496,"Hard cheese",Meal_entry_week_2!K$11:K$496)&gt;0,SUMIF(Meal_entry_week_2!H$11:H$496,"Hard cheese",Meal_entry_week_2!K$11:K$496),"")</f>
        <v/>
      </c>
      <c r="F178" s="407" t="str">
        <f t="shared" si="3"/>
        <v/>
      </c>
    </row>
    <row r="179" spans="1:7">
      <c r="B179" s="491" t="s">
        <v>3085</v>
      </c>
      <c r="C179" s="491" t="s">
        <v>1907</v>
      </c>
      <c r="D179" s="421" t="str">
        <f>_xlfn.IFNA(IF(VLOOKUP($C179,Ingredient_prices!$E:$F,2,FALSE)="Партија 2","Lot 2","Lot 1"),"")</f>
        <v/>
      </c>
      <c r="E179" s="407" t="str">
        <f>IF(SUMIF(Meal_entry_week_2!H$11:H$496,"Ice cream",Meal_entry_week_2!K$11:K$496)&gt;0,SUMIF(Meal_entry_week_2!H$11:H$496,"Ice cream",Meal_entry_week_2!K$11:K$496),"")</f>
        <v/>
      </c>
      <c r="F179" s="407" t="str">
        <f t="shared" si="3"/>
        <v/>
      </c>
    </row>
    <row r="180" spans="1:7" s="749" customFormat="1">
      <c r="A180" s="444"/>
      <c r="B180" s="491" t="s">
        <v>3085</v>
      </c>
      <c r="C180" s="491" t="s">
        <v>3456</v>
      </c>
      <c r="D180" s="421" t="str">
        <f>_xlfn.IFNA(IF(VLOOKUP($C180,Ingredient_prices!$E:$F,2,FALSE)="Партија 2","Lot 2","Lot 1"),"")</f>
        <v>Lot 2</v>
      </c>
      <c r="E180" s="407" t="str">
        <f>IF(SUMIF(Meal_entry_week_2!H$11:H$496,"Mileram 22% fat",Meal_entry_week_2!K$11:K$496)&gt;0,SUMIF(Meal_entry_week_2!H$11:H$496,"Mileram 22% fat",Meal_entry_week_2!K$11:K$496),"")</f>
        <v/>
      </c>
      <c r="F180" s="407" t="str">
        <f t="shared" si="3"/>
        <v/>
      </c>
      <c r="G180" s="444"/>
    </row>
    <row r="181" spans="1:7">
      <c r="B181" s="491" t="s">
        <v>3085</v>
      </c>
      <c r="C181" s="491" t="s">
        <v>3214</v>
      </c>
      <c r="D181" s="421" t="str">
        <f>_xlfn.IFNA(IF(VLOOKUP($C181,Ingredient_prices!$E:$F,2,FALSE)="Партија 2","Lot 2","Lot 1"),"")</f>
        <v/>
      </c>
      <c r="E181" s="407" t="str">
        <f>IF(SUMIF(Meal_entry_week_2!H$11:H$496,"Milk shake",Meal_entry_week_2!K$11:K$496)&gt;0,SUMIF(Meal_entry_week_2!H$11:H$496,"Milk shake",Meal_entry_week_2!K$11:K$496),"")</f>
        <v/>
      </c>
      <c r="F181" s="407" t="str">
        <f t="shared" si="3"/>
        <v/>
      </c>
    </row>
    <row r="182" spans="1:7">
      <c r="B182" s="491" t="s">
        <v>3085</v>
      </c>
      <c r="C182" s="491" t="s">
        <v>3222</v>
      </c>
      <c r="D182" s="421" t="str">
        <f>_xlfn.IFNA(IF(VLOOKUP($C182,Ingredient_prices!$E:$F,2,FALSE)="Партија 2","Lot 2","Lot 1"),"")</f>
        <v/>
      </c>
      <c r="E182" s="407" t="str">
        <f>IF(SUMIF(Meal_entry_week_2!H$11:H$496,"Parmesan cheese",Meal_entry_week_2!K$11:K$496)&gt;0,SUMIF(Meal_entry_week_2!H$11:H$496,"Parmesan cheese",Meal_entry_week_2!K$11:K$496),"")</f>
        <v/>
      </c>
      <c r="F182" s="407" t="str">
        <f t="shared" si="3"/>
        <v/>
      </c>
    </row>
    <row r="183" spans="1:7">
      <c r="B183" s="491" t="s">
        <v>3085</v>
      </c>
      <c r="C183" s="491" t="s">
        <v>475</v>
      </c>
      <c r="D183" s="421" t="str">
        <f>_xlfn.IFNA(IF(VLOOKUP($C183,Ingredient_prices!$E:$F,2,FALSE)="Партија 2","Lot 2","Lot 1"),"")</f>
        <v/>
      </c>
      <c r="E183" s="407" t="str">
        <f>IF(SUMIF(Meal_entry_week_2!H$11:H$496,"Single cream",Meal_entry_week_2!K$11:K$496)&gt;0,SUMIF(Meal_entry_week_2!H$11:H$496,"Single cream",Meal_entry_week_2!K$11:K$496),"")</f>
        <v/>
      </c>
      <c r="F183" s="407" t="str">
        <f t="shared" si="3"/>
        <v/>
      </c>
    </row>
    <row r="184" spans="1:7">
      <c r="B184" s="491" t="s">
        <v>3085</v>
      </c>
      <c r="C184" s="491" t="s">
        <v>1811</v>
      </c>
      <c r="D184" s="421" t="str">
        <f>_xlfn.IFNA(IF(VLOOKUP($C184,Ingredient_prices!$E:$F,2,FALSE)="Партија 2","Lot 2","Lot 1"),"")</f>
        <v/>
      </c>
      <c r="E184" s="407" t="str">
        <f>IF(SUMIF(Meal_entry_week_2!H$11:H$496,"Sour cream for cooking",Meal_entry_week_2!K$11:K$496)&gt;0,SUMIF(Meal_entry_week_2!H$11:H$496,"Sour cream for cooking",Meal_entry_week_2!K$11:K$496),"")</f>
        <v/>
      </c>
      <c r="F184" s="407" t="str">
        <f t="shared" si="3"/>
        <v/>
      </c>
    </row>
    <row r="185" spans="1:7">
      <c r="B185" s="491" t="s">
        <v>3085</v>
      </c>
      <c r="C185" s="491" t="s">
        <v>3455</v>
      </c>
      <c r="D185" s="421" t="str">
        <f>_xlfn.IFNA(IF(VLOOKUP($C185,Ingredient_prices!$E:$F,2,FALSE)="Партија 2","Lot 2","Lot 1"),"")</f>
        <v/>
      </c>
      <c r="E185" s="407" t="str">
        <f>IF(SUMIF(Meal_entry_week_2!H$11:H$496,"Sour cream, 12% fat",Meal_entry_week_2!K$11:K$496)&gt;0,SUMIF(Meal_entry_week_2!H$11:H$496,"Sour cream, 12% fat",Meal_entry_week_2!K$11:K$496),"")</f>
        <v/>
      </c>
      <c r="F185" s="407" t="str">
        <f t="shared" ref="F185:F252" si="4">IF(E185="","",E185/1)</f>
        <v/>
      </c>
    </row>
    <row r="186" spans="1:7">
      <c r="B186" s="491" t="s">
        <v>3085</v>
      </c>
      <c r="C186" s="491" t="s">
        <v>3454</v>
      </c>
      <c r="D186" s="421" t="str">
        <f>_xlfn.IFNA(IF(VLOOKUP($C186,Ingredient_prices!$E:$F,2,FALSE)="Партија 2","Lot 2","Lot 1"),"")</f>
        <v>Lot 2</v>
      </c>
      <c r="E186" s="407" t="str">
        <f>IF(SUMIF(Meal_entry_week_2!H$11:H$496,"Sour cream, 20% fat",Meal_entry_week_2!K$11:K$496)&gt;0,SUMIF(Meal_entry_week_2!H$11:H$496,"Sour cream, 20% fat",Meal_entry_week_2!K$11:K$496),"")</f>
        <v/>
      </c>
      <c r="F186" s="407" t="str">
        <f t="shared" si="4"/>
        <v/>
      </c>
    </row>
    <row r="187" spans="1:7">
      <c r="B187" s="491" t="s">
        <v>3085</v>
      </c>
      <c r="C187" s="491" t="s">
        <v>3453</v>
      </c>
      <c r="D187" s="421" t="str">
        <f>_xlfn.IFNA(IF(VLOOKUP($C187,Ingredient_prices!$E:$F,2,FALSE)="Партија 2","Lot 2","Lot 1"),"")</f>
        <v>Lot 2</v>
      </c>
      <c r="E187" s="1125" t="str">
        <f>IF(SUMIF(Meal_entry_week_2!H$11:H$496,"Sour milk, 2.8% fat",Meal_entry_week_2!K$11:K$496)&gt;0,SUMIF(Meal_entry_week_2!H$11:H$496,"Sour milk, 2.8% fat",Meal_entry_week_2!K$11:K$496),"")</f>
        <v/>
      </c>
      <c r="F187" s="407" t="str">
        <f t="shared" si="4"/>
        <v/>
      </c>
    </row>
    <row r="188" spans="1:7">
      <c r="B188" s="491" t="s">
        <v>3085</v>
      </c>
      <c r="C188" s="491" t="s">
        <v>3218</v>
      </c>
      <c r="D188" s="421" t="str">
        <f>_xlfn.IFNA(IF(VLOOKUP($C188,Ingredient_prices!$E:$F,2,FALSE)="Партија 2","Lot 2","Lot 1"),"")</f>
        <v>Lot 2</v>
      </c>
      <c r="E188" s="1125" t="str">
        <f>IF(SUMIF(Meal_entry_week_2!H$11:H$496,"Whey powder",Meal_entry_week_2!K$11:K$496)&gt;0,SUMIF(Meal_entry_week_2!H$11:H$496,"Whey powder",Meal_entry_week_2!K$11:K$496),"")</f>
        <v/>
      </c>
      <c r="F188" s="407" t="str">
        <f t="shared" si="4"/>
        <v/>
      </c>
    </row>
    <row r="189" spans="1:7" s="498" customFormat="1">
      <c r="A189" s="444"/>
      <c r="B189" s="491" t="s">
        <v>3085</v>
      </c>
      <c r="C189" s="491" t="s">
        <v>1809</v>
      </c>
      <c r="D189" s="421" t="str">
        <f>_xlfn.IFNA(IF(VLOOKUP($C189,Ingredient_prices!$E:$F,2,FALSE)="Партија 2","Lot 2","Lot 1"),"")</f>
        <v>Lot 2</v>
      </c>
      <c r="E189" s="407" t="str">
        <f>IF(SUMIF(Meal_entry_week_2!H$11:H$496,"Whole milk powder",Meal_entry_week_2!K$11:K$496)&gt;0,SUMIF(Meal_entry_week_2!H$11:H$496,"Whole milk powder",Meal_entry_week_2!K$11:K$496),"")</f>
        <v/>
      </c>
      <c r="F189" s="407" t="str">
        <f t="shared" si="4"/>
        <v/>
      </c>
      <c r="G189" s="444"/>
    </row>
    <row r="190" spans="1:7">
      <c r="B190" s="491" t="s">
        <v>3085</v>
      </c>
      <c r="C190" s="491" t="s">
        <v>3447</v>
      </c>
      <c r="D190" s="421" t="str">
        <f>_xlfn.IFNA(IF(VLOOKUP($C190,Ingredient_prices!$E:$F,2,FALSE)="Партија 2","Lot 2","Lot 1"),"")</f>
        <v/>
      </c>
      <c r="E190" s="407" t="str">
        <f>IF(SUMIF(Meal_entry_week_2!H$11:H$496,"Yogurt 0.9% fat (at least 1 l)",Meal_entry_week_2!K$11:K$496)&gt;0,SUMIF(Meal_entry_week_2!H$11:H$496,"Yogurt 0.9% fat (at least 1 l)",Meal_entry_week_2!K$11:K$496),"")</f>
        <v/>
      </c>
      <c r="F190" s="407" t="str">
        <f t="shared" si="4"/>
        <v/>
      </c>
    </row>
    <row r="191" spans="1:7" s="498" customFormat="1">
      <c r="A191" s="444"/>
      <c r="B191" s="491" t="s">
        <v>3085</v>
      </c>
      <c r="C191" s="491" t="s">
        <v>3448</v>
      </c>
      <c r="D191" s="421" t="str">
        <f>_xlfn.IFNA(IF(VLOOKUP($C191,Ingredient_prices!$E:$F,2,FALSE)="Партија 2","Lot 2","Lot 1"),"")</f>
        <v/>
      </c>
      <c r="E191" s="407" t="str">
        <f>IF(SUMIF(Meal_entry_week_2!H$11:H$496,"Yogurt 0.9% fat (less than 1 l)",Meal_entry_week_2!K$11:K$496)&gt;0,SUMIF(Meal_entry_week_2!H$11:H$496,"Yogurt 0.9% fat (less than 1 l)",Meal_entry_week_2!K$11:K$496),"")</f>
        <v/>
      </c>
      <c r="F191" s="407" t="str">
        <f t="shared" si="4"/>
        <v/>
      </c>
      <c r="G191" s="444"/>
    </row>
    <row r="192" spans="1:7">
      <c r="B192" s="491" t="s">
        <v>3085</v>
      </c>
      <c r="C192" s="491" t="s">
        <v>3449</v>
      </c>
      <c r="D192" s="421" t="str">
        <f>_xlfn.IFNA(IF(VLOOKUP($C192,Ingredient_prices!$E:$F,2,FALSE)="Партија 2","Lot 2","Lot 1"),"")</f>
        <v/>
      </c>
      <c r="E192" s="407" t="str">
        <f>IF(SUMIF(Meal_entry_week_2!H$11:H$496,"Yogurt 2.8% fat (at least 1 l)",Meal_entry_week_2!K$11:K$496)&gt;0,SUMIF(Meal_entry_week_2!H$11:H$496,"Yogurt 2.8% fat (at least 1 l)",Meal_entry_week_2!K$11:K$496),"")</f>
        <v/>
      </c>
      <c r="F192" s="407" t="str">
        <f t="shared" si="4"/>
        <v/>
      </c>
    </row>
    <row r="193" spans="1:7" s="491" customFormat="1">
      <c r="A193" s="1126"/>
      <c r="B193" s="491" t="s">
        <v>3085</v>
      </c>
      <c r="C193" s="491" t="s">
        <v>3450</v>
      </c>
      <c r="D193" s="421" t="str">
        <f>_xlfn.IFNA(IF(VLOOKUP($C193,Ingredient_prices!$E:$F,2,FALSE)="Партија 2","Lot 2","Lot 1"),"")</f>
        <v>Lot 2</v>
      </c>
      <c r="E193" s="407">
        <f>IF(SUMIF(Meal_entry_week_2!H$11:H$496,"Yogurt 2.8% fat (less than 1 l)",Meal_entry_week_2!K$11:K$496)&gt;0,SUMIF(Meal_entry_week_2!H$11:H$496,"Yogurt 2.8% fat (less than 1 l)",Meal_entry_week_2!K$11:K$496),"")</f>
        <v>11.000000000000002</v>
      </c>
      <c r="F193" s="407">
        <f t="shared" si="4"/>
        <v>11.000000000000002</v>
      </c>
      <c r="G193" s="1126"/>
    </row>
    <row r="194" spans="1:7" s="498" customFormat="1">
      <c r="A194" s="444"/>
      <c r="B194" s="491" t="s">
        <v>3085</v>
      </c>
      <c r="C194" s="491" t="s">
        <v>3451</v>
      </c>
      <c r="D194" s="421" t="str">
        <f>_xlfn.IFNA(IF(VLOOKUP($C194,Ingredient_prices!$E:$F,2,FALSE)="Партија 2","Lot 2","Lot 1"),"")</f>
        <v>Lot 2</v>
      </c>
      <c r="E194" s="407" t="str">
        <f>IF(SUMIF(Meal_entry_week_2!H$11:H$496,"Yogurt 3.2% fat (at least 1 l)",Meal_entry_week_2!K$11:K$496)&gt;0,SUMIF(Meal_entry_week_2!H$11:H$496,"Yogurt 3.2% fat (at least 1 l)",Meal_entry_week_2!K$11:K$496),"")</f>
        <v/>
      </c>
      <c r="F194" s="407" t="str">
        <f t="shared" si="4"/>
        <v/>
      </c>
      <c r="G194" s="444"/>
    </row>
    <row r="195" spans="1:7">
      <c r="B195" s="491" t="s">
        <v>3085</v>
      </c>
      <c r="C195" s="491" t="s">
        <v>3452</v>
      </c>
      <c r="D195" s="421" t="str">
        <f>_xlfn.IFNA(IF(VLOOKUP($C195,Ingredient_prices!$E:$F,2,FALSE)="Партија 2","Lot 2","Lot 1"),"")</f>
        <v/>
      </c>
      <c r="E195" s="407" t="str">
        <f>IF(SUMIF(Meal_entry_week_2!H$11:H$496,"Yogurt 3.2% fat (less than 1 l)",Meal_entry_week_2!K$11:K$496)&gt;0,SUMIF(Meal_entry_week_2!H$11:H$496,"Yogurt 3.2% fat (less than 1 l)",Meal_entry_week_2!K$11:K$496),"")</f>
        <v/>
      </c>
      <c r="F195" s="407" t="str">
        <f t="shared" si="4"/>
        <v/>
      </c>
    </row>
    <row r="196" spans="1:7">
      <c r="B196" s="492" t="s">
        <v>3085</v>
      </c>
      <c r="C196" s="492" t="s">
        <v>3211</v>
      </c>
      <c r="D196" s="421" t="str">
        <f>_xlfn.IFNA(IF(VLOOKUP($C196,Ingredient_prices!$E:$F,2,FALSE)="Партија 2","Lot 2","Lot 1"),"")</f>
        <v/>
      </c>
      <c r="E196" s="407" t="str">
        <f>IF(SUMIF(Meal_entry_week_2!H$11:H$496,"Yogurt Greek",Meal_entry_week_2!K$11:K$496)&gt;0,SUMIF(Meal_entry_week_2!H$11:H$496,"Yogurt Greek",Meal_entry_week_2!K$11:K$496),"")</f>
        <v/>
      </c>
      <c r="F196" s="407" t="str">
        <f t="shared" si="4"/>
        <v/>
      </c>
    </row>
    <row r="197" spans="1:7">
      <c r="B197" s="494" t="s">
        <v>3075</v>
      </c>
      <c r="C197" s="494" t="s">
        <v>3237</v>
      </c>
      <c r="D197" s="421" t="str">
        <f>_xlfn.IFNA(IF(VLOOKUP($C197,Ingredient_prices!$E:$F,2,FALSE)="Партија 2","Lot 2","Lot 1"),"")</f>
        <v>Lot 2</v>
      </c>
      <c r="E197" s="407" t="str">
        <f>IF(SUMIF(Meal_entry_week_2!H$11:H$496,"Butter, unsalted",Meal_entry_week_2!K$11:K$496)&gt;0,SUMIF(Meal_entry_week_2!H$11:H$496,"Butter, unsalted",Meal_entry_week_2!K$11:K$496),"")</f>
        <v/>
      </c>
      <c r="F197" s="407" t="str">
        <f t="shared" si="4"/>
        <v/>
      </c>
    </row>
    <row r="198" spans="1:7">
      <c r="B198" s="491" t="s">
        <v>3075</v>
      </c>
      <c r="C198" s="491" t="s">
        <v>3243</v>
      </c>
      <c r="D198" s="421" t="str">
        <f>_xlfn.IFNA(IF(VLOOKUP($C198,Ingredient_prices!$E:$F,2,FALSE)="Партија 2","Lot 2","Lot 1"),"")</f>
        <v/>
      </c>
      <c r="E198" s="407" t="str">
        <f>IF(SUMIF(Meal_entry_week_2!H$11:H$496,"Margarine from milk (at least 500g)",Meal_entry_week_2!K$11:K$496)&gt;0,SUMIF(Meal_entry_week_2!H$11:H$496,"Margarine from milk (at least 500g)",Meal_entry_week_2!K$11:K$496),"")</f>
        <v/>
      </c>
      <c r="F198" s="407" t="str">
        <f t="shared" si="4"/>
        <v/>
      </c>
    </row>
    <row r="199" spans="1:7">
      <c r="B199" s="491" t="s">
        <v>3075</v>
      </c>
      <c r="C199" s="491" t="s">
        <v>3242</v>
      </c>
      <c r="D199" s="421" t="str">
        <f>_xlfn.IFNA(IF(VLOOKUP($C199,Ingredient_prices!$E:$F,2,FALSE)="Партија 2","Lot 2","Lot 1"),"")</f>
        <v>Lot 2</v>
      </c>
      <c r="E199" s="407">
        <f>IF(SUMIF(Meal_entry_week_2!H$11:H$496,"Margarine from milk (less than 500g)",Meal_entry_week_2!K$11:K$496)&gt;0,SUMIF(Meal_entry_week_2!H$11:H$496,"Margarine from milk (less than 500g)",Meal_entry_week_2!K$11:K$496),"")</f>
        <v>2.2000000000000002</v>
      </c>
      <c r="F199" s="407">
        <f t="shared" si="4"/>
        <v>2.2000000000000002</v>
      </c>
    </row>
    <row r="200" spans="1:7">
      <c r="B200" s="491" t="s">
        <v>3075</v>
      </c>
      <c r="C200" s="491" t="s">
        <v>3244</v>
      </c>
      <c r="D200" s="421" t="str">
        <f>_xlfn.IFNA(IF(VLOOKUP($C200,Ingredient_prices!$E:$F,2,FALSE)="Партија 2","Lot 2","Lot 1"),"")</f>
        <v/>
      </c>
      <c r="E200" s="407" t="str">
        <f>IF(SUMIF(Meal_entry_week_2!H$11:H$496,"Margarine table (at least 500g)",Meal_entry_week_2!K$11:K$496)&gt;0,SUMIF(Meal_entry_week_2!H$11:H$496,"Margarine table (at least 500g)",Meal_entry_week_2!K$11:K$496),"")</f>
        <v/>
      </c>
      <c r="F200" s="407" t="str">
        <f t="shared" si="4"/>
        <v/>
      </c>
    </row>
    <row r="201" spans="1:7">
      <c r="B201" s="491" t="s">
        <v>3075</v>
      </c>
      <c r="C201" s="491" t="s">
        <v>3236</v>
      </c>
      <c r="D201" s="421" t="str">
        <f>_xlfn.IFNA(IF(VLOOKUP($C201,Ingredient_prices!$E:$F,2,FALSE)="Партија 2","Lot 2","Lot 1"),"")</f>
        <v/>
      </c>
      <c r="E201" s="407" t="str">
        <f>IF(SUMIF(Meal_entry_week_2!H$11:H$496,"Margarine table (less than 500g)",Meal_entry_week_2!K$11:K$496)&gt;0,SUMIF(Meal_entry_week_2!H$11:H$496,"Margarine table (less than 500g)",Meal_entry_week_2!K$11:K$496),"")</f>
        <v/>
      </c>
      <c r="F201" s="407" t="str">
        <f t="shared" si="4"/>
        <v/>
      </c>
    </row>
    <row r="202" spans="1:7">
      <c r="B202" s="491" t="s">
        <v>3075</v>
      </c>
      <c r="C202" s="491" t="s">
        <v>3241</v>
      </c>
      <c r="D202" s="421" t="str">
        <f>_xlfn.IFNA(IF(VLOOKUP($C202,Ingredient_prices!$E:$F,2,FALSE)="Партија 2","Lot 2","Lot 1"),"")</f>
        <v/>
      </c>
      <c r="E202" s="407" t="str">
        <f>IF(SUMIF(Meal_entry_week_2!H$11:H$496,"Margarine, vegetable oil (at least 500g)",Meal_entry_week_2!K$11:K$496)&gt;0,SUMIF(Meal_entry_week_2!H$11:H$496,"Margarine, vegetable oil (at least 500g)",Meal_entry_week_2!K$11:K$496),"")</f>
        <v/>
      </c>
      <c r="F202" s="407" t="str">
        <f t="shared" si="4"/>
        <v/>
      </c>
    </row>
    <row r="203" spans="1:7">
      <c r="B203" s="491" t="s">
        <v>3075</v>
      </c>
      <c r="C203" s="491" t="s">
        <v>3240</v>
      </c>
      <c r="D203" s="421" t="str">
        <f>_xlfn.IFNA(IF(VLOOKUP($C203,Ingredient_prices!$E:$F,2,FALSE)="Партија 2","Lot 2","Lot 1"),"")</f>
        <v/>
      </c>
      <c r="E203" s="407" t="str">
        <f>IF(SUMIF(Meal_entry_week_2!H$11:H$496,"Margarine, vegetable oil (less than 500g)",Meal_entry_week_2!K$11:K$496)&gt;0,SUMIF(Meal_entry_week_2!H$11:H$496,"Margarine, vegetable oil (less than 500g)",Meal_entry_week_2!K$11:K$496),"")</f>
        <v/>
      </c>
      <c r="F203" s="407" t="str">
        <f t="shared" si="4"/>
        <v/>
      </c>
    </row>
    <row r="204" spans="1:7">
      <c r="B204" s="491" t="s">
        <v>3075</v>
      </c>
      <c r="C204" s="491" t="s">
        <v>1880</v>
      </c>
      <c r="D204" s="421" t="str">
        <f>_xlfn.IFNA(IF(VLOOKUP($C204,Ingredient_prices!$E:$F,2,FALSE)="Партија 2","Lot 2","Lot 1"),"")</f>
        <v/>
      </c>
      <c r="E204" s="407" t="str">
        <f>IF(SUMIF(Meal_entry_week_2!H$11:H$496,"Olive oil",Meal_entry_week_2!K$11:K$496)&gt;0,SUMIF(Meal_entry_week_2!H$11:H$496,"Olive oil",Meal_entry_week_2!K$11:K$496),"")</f>
        <v/>
      </c>
      <c r="F204" s="407" t="str">
        <f t="shared" si="4"/>
        <v/>
      </c>
    </row>
    <row r="205" spans="1:7">
      <c r="B205" s="491" t="s">
        <v>3075</v>
      </c>
      <c r="C205" s="491" t="s">
        <v>3238</v>
      </c>
      <c r="D205" s="421" t="str">
        <f>_xlfn.IFNA(IF(VLOOKUP($C205,Ingredient_prices!$E:$F,2,FALSE)="Партија 2","Lot 2","Lot 1"),"")</f>
        <v>Lot 2</v>
      </c>
      <c r="E205" s="407" t="str">
        <f>IF(SUMIF(Meal_entry_week_2!H$11:H$496,"Pork fat",Meal_entry_week_2!K$11:K$496)&gt;0,SUMIF(Meal_entry_week_2!H$11:H$496,"Pork fat",Meal_entry_week_2!K$11:K$496),"")</f>
        <v/>
      </c>
      <c r="F205" s="407" t="str">
        <f t="shared" si="4"/>
        <v/>
      </c>
    </row>
    <row r="206" spans="1:7">
      <c r="B206" s="492" t="s">
        <v>3075</v>
      </c>
      <c r="C206" s="492" t="s">
        <v>3239</v>
      </c>
      <c r="D206" s="421" t="str">
        <f>_xlfn.IFNA(IF(VLOOKUP($C206,Ingredient_prices!$E:$F,2,FALSE)="Партија 2","Lot 2","Lot 1"),"")</f>
        <v>Lot 2</v>
      </c>
      <c r="E206" s="407">
        <f>IF(SUMIF(Meal_entry_week_2!H$11:H$496,"Sunflower oil",Meal_entry_week_2!K$11:K$496)&gt;0,SUMIF(Meal_entry_week_2!H$11:H$496,"Sunflower oil",Meal_entry_week_2!K$11:K$496),"")</f>
        <v>13.948</v>
      </c>
      <c r="F206" s="407">
        <f t="shared" si="4"/>
        <v>13.948</v>
      </c>
    </row>
    <row r="207" spans="1:7">
      <c r="B207" s="494" t="s">
        <v>3141</v>
      </c>
      <c r="C207" s="494" t="s">
        <v>3246</v>
      </c>
      <c r="D207" s="421" t="str">
        <f>_xlfn.IFNA(IF(VLOOKUP($C207,Ingredient_prices!$E:$F,2,FALSE)="Партија 2","Lot 2","Lot 1"),"")</f>
        <v>Lot 2</v>
      </c>
      <c r="E207" s="407" t="str">
        <f>IF(SUMIF(Meal_entry_week_2!H$11:H$496,"Barley",Meal_entry_week_2!K$11:K$496)&gt;0,SUMIF(Meal_entry_week_2!H$11:H$496,"Barley",Meal_entry_week_2!K$11:K$496),"")</f>
        <v/>
      </c>
      <c r="F207" s="407" t="str">
        <f t="shared" si="4"/>
        <v/>
      </c>
    </row>
    <row r="208" spans="1:7">
      <c r="B208" s="491" t="s">
        <v>3141</v>
      </c>
      <c r="C208" s="491" t="s">
        <v>3271</v>
      </c>
      <c r="D208" s="421" t="str">
        <f>_xlfn.IFNA(IF(VLOOKUP($C208,Ingredient_prices!$E:$F,2,FALSE)="Партија 2","Lot 2","Lot 1"),"")</f>
        <v>Lot 2</v>
      </c>
      <c r="E208" s="407" t="str">
        <f>IF(SUMIF(Meal_entry_week_2!H$11:H$496,"Breadcrumbs",Meal_entry_week_2!K$11:K$496)&gt;0,SUMIF(Meal_entry_week_2!H$11:H$496,"Breadcrumbs",Meal_entry_week_2!K$11:K$496),"")</f>
        <v/>
      </c>
      <c r="F208" s="407" t="str">
        <f t="shared" si="4"/>
        <v/>
      </c>
    </row>
    <row r="209" spans="1:7">
      <c r="B209" s="491" t="s">
        <v>3141</v>
      </c>
      <c r="C209" s="491" t="s">
        <v>3262</v>
      </c>
      <c r="D209" s="421" t="str">
        <f>_xlfn.IFNA(IF(VLOOKUP($C209,Ingredient_prices!$E:$F,2,FALSE)="Партија 2","Lot 2","Lot 1"),"")</f>
        <v/>
      </c>
      <c r="E209" s="407" t="str">
        <f>IF(SUMIF(Meal_entry_week_2!H$11:H$496,"Buckwheat flour/pastry",Meal_entry_week_2!K$11:K$496)&gt;0,SUMIF(Meal_entry_week_2!H$11:H$496,"Buckwheat flour/pastry",Meal_entry_week_2!K$11:K$496),"")</f>
        <v/>
      </c>
      <c r="F209" s="407" t="str">
        <f t="shared" si="4"/>
        <v/>
      </c>
    </row>
    <row r="210" spans="1:7">
      <c r="B210" s="491" t="s">
        <v>3141</v>
      </c>
      <c r="C210" s="491" t="s">
        <v>3259</v>
      </c>
      <c r="D210" s="421" t="str">
        <f>_xlfn.IFNA(IF(VLOOKUP($C210,Ingredient_prices!$E:$F,2,FALSE)="Партија 2","Lot 2","Lot 1"),"")</f>
        <v/>
      </c>
      <c r="E210" s="407" t="str">
        <f>IF(SUMIF(Meal_entry_week_2!H$11:H$496,"Cereal (frozen) 5% walnuts",Meal_entry_week_2!K$11:K$496)&gt;0,SUMIF(Meal_entry_week_2!H$11:H$496,"Cereal (frozen) 5% walnuts",Meal_entry_week_2!K$11:K$496),"")</f>
        <v/>
      </c>
      <c r="F210" s="407" t="str">
        <f t="shared" si="4"/>
        <v/>
      </c>
    </row>
    <row r="211" spans="1:7">
      <c r="B211" s="491" t="s">
        <v>3141</v>
      </c>
      <c r="C211" s="491" t="s">
        <v>3269</v>
      </c>
      <c r="D211" s="421" t="str">
        <f>_xlfn.IFNA(IF(VLOOKUP($C211,Ingredient_prices!$E:$F,2,FALSE)="Партија 2","Lot 2","Lot 1"),"")</f>
        <v>Lot 2</v>
      </c>
      <c r="E211" s="407" t="str">
        <f>IF(SUMIF(Meal_entry_week_2!H$11:H$496,"Chickpeas",Meal_entry_week_2!K$11:K$496)&gt;0,SUMIF(Meal_entry_week_2!H$11:H$496,"Chickpeas",Meal_entry_week_2!K$11:K$496),"")</f>
        <v/>
      </c>
      <c r="F211" s="407" t="str">
        <f t="shared" si="4"/>
        <v/>
      </c>
    </row>
    <row r="212" spans="1:7">
      <c r="B212" s="491" t="s">
        <v>3141</v>
      </c>
      <c r="C212" s="491" t="s">
        <v>3263</v>
      </c>
      <c r="D212" s="421" t="str">
        <f>_xlfn.IFNA(IF(VLOOKUP($C212,Ingredient_prices!$E:$F,2,FALSE)="Партија 2","Lot 2","Lot 1"),"")</f>
        <v/>
      </c>
      <c r="E212" s="407" t="str">
        <f>IF(SUMIF(Meal_entry_week_2!H$11:H$496,"Coconut flour (sweetened)",Meal_entry_week_2!K$11:K$496)&gt;0,SUMIF(Meal_entry_week_2!H$11:H$496,"Coconut flour (sweetened)",Meal_entry_week_2!K$11:K$496),"")</f>
        <v/>
      </c>
      <c r="F212" s="407" t="str">
        <f t="shared" si="4"/>
        <v/>
      </c>
    </row>
    <row r="213" spans="1:7" s="749" customFormat="1">
      <c r="A213" s="444"/>
      <c r="B213" s="491" t="s">
        <v>3141</v>
      </c>
      <c r="C213" s="491" t="s">
        <v>3248</v>
      </c>
      <c r="D213" s="421" t="str">
        <f>_xlfn.IFNA(IF(VLOOKUP($C213,Ingredient_prices!$E:$F,2,FALSE)="Партија 2","Lot 2","Lot 1"),"")</f>
        <v>Lot 2</v>
      </c>
      <c r="E213" s="407">
        <f>IF(SUMIF(Meal_entry_week_2!H$11:H$496,"Corn flour, whole",Meal_entry_week_2!K$11:K$496)&gt;0,SUMIF(Meal_entry_week_2!H$11:H$496,"Corn flour, whole",Meal_entry_week_2!K$11:K$496),"")</f>
        <v>1.65</v>
      </c>
      <c r="F213" s="407">
        <f t="shared" si="4"/>
        <v>1.65</v>
      </c>
      <c r="G213" s="444"/>
    </row>
    <row r="214" spans="1:7">
      <c r="B214" s="491" t="s">
        <v>3141</v>
      </c>
      <c r="C214" s="491" t="s">
        <v>3268</v>
      </c>
      <c r="D214" s="421" t="str">
        <f>_xlfn.IFNA(IF(VLOOKUP($C214,Ingredient_prices!$E:$F,2,FALSE)="Партија 2","Lot 2","Lot 1"),"")</f>
        <v>Lot 2</v>
      </c>
      <c r="E214" s="407" t="str">
        <f>IF(SUMIF(Meal_entry_week_2!H$11:H$496,"Corn semolina",Meal_entry_week_2!K$11:K$496)&gt;0,SUMIF(Meal_entry_week_2!H$11:H$496,"Corn semolina",Meal_entry_week_2!K$11:K$496),"")</f>
        <v/>
      </c>
      <c r="F214" s="407" t="str">
        <f t="shared" si="4"/>
        <v/>
      </c>
    </row>
    <row r="215" spans="1:7">
      <c r="B215" s="491" t="s">
        <v>3141</v>
      </c>
      <c r="C215" s="491" t="s">
        <v>3247</v>
      </c>
      <c r="D215" s="421" t="str">
        <f>_xlfn.IFNA(IF(VLOOKUP($C215,Ingredient_prices!$E:$F,2,FALSE)="Партија 2","Lot 2","Lot 1"),"")</f>
        <v/>
      </c>
      <c r="E215" s="407" t="str">
        <f>IF(SUMIF(Meal_entry_week_2!H$11:H$496,"Cornflakes",Meal_entry_week_2!K$11:K$496)&gt;0,SUMIF(Meal_entry_week_2!H$11:H$496,"Cornflakes",Meal_entry_week_2!K$11:K$496),"")</f>
        <v/>
      </c>
      <c r="F215" s="407" t="str">
        <f t="shared" si="4"/>
        <v/>
      </c>
    </row>
    <row r="216" spans="1:7" s="749" customFormat="1">
      <c r="A216" s="444"/>
      <c r="B216" s="491" t="s">
        <v>3141</v>
      </c>
      <c r="C216" s="491" t="s">
        <v>3264</v>
      </c>
      <c r="D216" s="421" t="str">
        <f>_xlfn.IFNA(IF(VLOOKUP($C216,Ingredient_prices!$E:$F,2,FALSE)="Партија 2","Lot 2","Lot 1"),"")</f>
        <v>Lot 2</v>
      </c>
      <c r="E216" s="407" t="str">
        <f>IF(SUMIF(Meal_entry_week_2!H$11:H$496,"Lasagna sheets",Meal_entry_week_2!K$11:K$496)&gt;0,SUMIF(Meal_entry_week_2!H$11:H$496,"Lasagna sheets",Meal_entry_week_2!K$11:K$496),"")</f>
        <v/>
      </c>
      <c r="F216" s="407" t="str">
        <f t="shared" si="4"/>
        <v/>
      </c>
      <c r="G216" s="444"/>
    </row>
    <row r="217" spans="1:7">
      <c r="B217" s="491" t="s">
        <v>3141</v>
      </c>
      <c r="C217" s="491" t="s">
        <v>3506</v>
      </c>
      <c r="D217" s="421" t="str">
        <f>_xlfn.IFNA(IF(VLOOKUP($C217,Ingredient_prices!$E:$F,2,FALSE)="Партија 2","Lot 2","Lot 1"),"")</f>
        <v/>
      </c>
      <c r="E217" s="407" t="str">
        <f>IF(SUMIF(Meal_entry_week_2!H$11:H$496,"Macaroni with egg",Meal_entry_week_2!K$11:K$496)&gt;0,SUMIF(Meal_entry_week_2!H$11:H$496,"Macaroni with egg",Meal_entry_week_2!K$11:K$496),"")</f>
        <v/>
      </c>
      <c r="F217" s="407" t="str">
        <f t="shared" si="4"/>
        <v/>
      </c>
    </row>
    <row r="218" spans="1:7">
      <c r="B218" s="491" t="s">
        <v>3141</v>
      </c>
      <c r="C218" s="491" t="s">
        <v>3272</v>
      </c>
      <c r="D218" s="421" t="str">
        <f>_xlfn.IFNA(IF(VLOOKUP($C218,Ingredient_prices!$E:$F,2,FALSE)="Партија 2","Lot 2","Lot 1"),"")</f>
        <v/>
      </c>
      <c r="E218" s="407" t="str">
        <f>IF(SUMIF(Meal_entry_week_2!H$11:H$496,"Millet seeds/flour",Meal_entry_week_2!K$11:K$496)&gt;0,SUMIF(Meal_entry_week_2!H$11:H$496,"Millet seeds/flour",Meal_entry_week_2!K$11:K$496),"")</f>
        <v/>
      </c>
      <c r="F218" s="407" t="str">
        <f t="shared" si="4"/>
        <v/>
      </c>
    </row>
    <row r="219" spans="1:7">
      <c r="B219" s="491" t="s">
        <v>3141</v>
      </c>
      <c r="C219" s="491" t="s">
        <v>3250</v>
      </c>
      <c r="D219" s="421" t="str">
        <f>_xlfn.IFNA(IF(VLOOKUP($C219,Ingredient_prices!$E:$F,2,FALSE)="Партија 2","Lot 2","Lot 1"),"")</f>
        <v>Lot 2</v>
      </c>
      <c r="E219" s="407" t="str">
        <f>IF(SUMIF(Meal_entry_week_2!H$11:H$496,"Musli (average)",Meal_entry_week_2!K$11:K$496)&gt;0,SUMIF(Meal_entry_week_2!H$11:H$496,"Musli (average)",Meal_entry_week_2!K$11:K$496),"")</f>
        <v/>
      </c>
      <c r="F219" s="407" t="str">
        <f t="shared" si="4"/>
        <v/>
      </c>
    </row>
    <row r="220" spans="1:7">
      <c r="B220" s="491" t="s">
        <v>3141</v>
      </c>
      <c r="C220" s="491" t="s">
        <v>3254</v>
      </c>
      <c r="D220" s="421" t="str">
        <f>_xlfn.IFNA(IF(VLOOKUP($C220,Ingredient_prices!$E:$F,2,FALSE)="Партија 2","Lot 2","Lot 1"),"")</f>
        <v>Lot 2</v>
      </c>
      <c r="E220" s="407" t="str">
        <f>IF(SUMIF(Meal_entry_week_2!H$11:H$496,"Noodles lace",Meal_entry_week_2!K$11:K$496)&gt;0,SUMIF(Meal_entry_week_2!H$11:H$496,"Noodles lace",Meal_entry_week_2!K$11:K$496),"")</f>
        <v/>
      </c>
      <c r="F220" s="407" t="str">
        <f t="shared" si="4"/>
        <v/>
      </c>
    </row>
    <row r="221" spans="1:7">
      <c r="B221" s="491" t="s">
        <v>3141</v>
      </c>
      <c r="C221" s="491" t="s">
        <v>3503</v>
      </c>
      <c r="D221" s="421" t="str">
        <f>_xlfn.IFNA(IF(VLOOKUP($C221,Ingredient_prices!$E:$F,2,FALSE)="Партија 2","Lot 2","Lot 1"),"")</f>
        <v>Lot 2</v>
      </c>
      <c r="E221" s="407" t="str">
        <f>IF(SUMIF(Meal_entry_week_2!H$11:H$496,"Noodles with egg",Meal_entry_week_2!K$11:K$496)&gt;0,SUMIF(Meal_entry_week_2!H$11:H$496,"Noodles with egg",Meal_entry_week_2!K$11:K$496),"")</f>
        <v/>
      </c>
      <c r="F221" s="407" t="str">
        <f t="shared" si="4"/>
        <v/>
      </c>
    </row>
    <row r="222" spans="1:7">
      <c r="B222" s="491" t="s">
        <v>3141</v>
      </c>
      <c r="C222" s="491" t="s">
        <v>3504</v>
      </c>
      <c r="D222" s="421" t="str">
        <f>_xlfn.IFNA(IF(VLOOKUP($C222,Ingredient_prices!$E:$F,2,FALSE)="Партија 2","Lot 2","Lot 1"),"")</f>
        <v/>
      </c>
      <c r="E222" s="407" t="str">
        <f>IF(SUMIF(Meal_entry_week_2!H$11:H$496,"Noodles without egg",Meal_entry_week_2!K$11:K$496)&gt;0,SUMIF(Meal_entry_week_2!H$11:H$496,"Noodles without egg",Meal_entry_week_2!K$11:K$496),"")</f>
        <v/>
      </c>
      <c r="F222" s="407" t="str">
        <f t="shared" si="4"/>
        <v/>
      </c>
    </row>
    <row r="223" spans="1:7">
      <c r="B223" s="491" t="s">
        <v>3141</v>
      </c>
      <c r="C223" s="491" t="s">
        <v>3251</v>
      </c>
      <c r="D223" s="421" t="str">
        <f>_xlfn.IFNA(IF(VLOOKUP($C223,Ingredient_prices!$E:$F,2,FALSE)="Партија 2","Lot 2","Lot 1"),"")</f>
        <v>Lot 2</v>
      </c>
      <c r="E223" s="407" t="str">
        <f>IF(SUMIF(Meal_entry_week_2!H$11:H$496,"Oats",Meal_entry_week_2!K$11:K$496)&gt;0,SUMIF(Meal_entry_week_2!H$11:H$496,"Oats",Meal_entry_week_2!K$11:K$496),"")</f>
        <v/>
      </c>
      <c r="F223" s="407" t="str">
        <f t="shared" si="4"/>
        <v/>
      </c>
    </row>
    <row r="224" spans="1:7">
      <c r="B224" s="491" t="s">
        <v>3141</v>
      </c>
      <c r="C224" s="491" t="s">
        <v>3276</v>
      </c>
      <c r="D224" s="421" t="str">
        <f>_xlfn.IFNA(IF(VLOOKUP($C224,Ingredient_prices!$E:$F,2,FALSE)="Партија 2","Lot 2","Lot 1"),"")</f>
        <v>Lot 2</v>
      </c>
      <c r="E224" s="407" t="str">
        <f>IF(SUMIF(Meal_entry_week_2!H$11:H$496,"Pasta fusilli",Meal_entry_week_2!K$11:K$496)&gt;0,SUMIF(Meal_entry_week_2!H$11:H$496,"Pasta fusilli",Meal_entry_week_2!K$11:K$496),"")</f>
        <v/>
      </c>
      <c r="F224" s="407" t="str">
        <f t="shared" si="4"/>
        <v/>
      </c>
    </row>
    <row r="225" spans="1:7">
      <c r="B225" s="491" t="s">
        <v>3141</v>
      </c>
      <c r="C225" s="491" t="s">
        <v>3256</v>
      </c>
      <c r="D225" s="421" t="str">
        <f>_xlfn.IFNA(IF(VLOOKUP($C225,Ingredient_prices!$E:$F,2,FALSE)="Партија 2","Lot 2","Lot 1"),"")</f>
        <v>Lot 2</v>
      </c>
      <c r="E225" s="407">
        <f>IF(SUMIF(Meal_entry_week_2!H$11:H$496,"Pasta macaroni",Meal_entry_week_2!K$11:K$496)&gt;0,SUMIF(Meal_entry_week_2!H$11:H$496,"Pasta macaroni",Meal_entry_week_2!K$11:K$496),"")</f>
        <v>13.2</v>
      </c>
      <c r="F225" s="407">
        <f t="shared" si="4"/>
        <v>13.2</v>
      </c>
    </row>
    <row r="226" spans="1:7">
      <c r="B226" s="491" t="s">
        <v>3141</v>
      </c>
      <c r="C226" s="491" t="s">
        <v>3257</v>
      </c>
      <c r="D226" s="421" t="str">
        <f>_xlfn.IFNA(IF(VLOOKUP($C226,Ingredient_prices!$E:$F,2,FALSE)="Партија 2","Lot 2","Lot 1"),"")</f>
        <v>Lot 2</v>
      </c>
      <c r="E226" s="407" t="str">
        <f>IF(SUMIF(Meal_entry_week_2!H$11:H$496,"Pasta spaghetti",Meal_entry_week_2!K$11:K$496)&gt;0,SUMIF(Meal_entry_week_2!H$11:H$496,"Pasta spaghetti",Meal_entry_week_2!K$11:K$496),"")</f>
        <v/>
      </c>
      <c r="F226" s="407" t="str">
        <f t="shared" si="4"/>
        <v/>
      </c>
    </row>
    <row r="227" spans="1:7">
      <c r="B227" s="491" t="s">
        <v>3141</v>
      </c>
      <c r="C227" s="491" t="s">
        <v>3277</v>
      </c>
      <c r="D227" s="421" t="str">
        <f>_xlfn.IFNA(IF(VLOOKUP($C227,Ingredient_prices!$E:$F,2,FALSE)="Партија 2","Lot 2","Lot 1"),"")</f>
        <v/>
      </c>
      <c r="E227" s="407" t="str">
        <f>IF(SUMIF(Meal_entry_week_2!H$11:H$496,"Pasta spirals",Meal_entry_week_2!K$11:K$496)&gt;0,SUMIF(Meal_entry_week_2!H$11:H$496,"Pasta spirals",Meal_entry_week_2!K$11:K$496),"")</f>
        <v/>
      </c>
      <c r="F227" s="407" t="str">
        <f t="shared" si="4"/>
        <v/>
      </c>
    </row>
    <row r="228" spans="1:7">
      <c r="B228" s="491" t="s">
        <v>3141</v>
      </c>
      <c r="C228" s="491" t="s">
        <v>3258</v>
      </c>
      <c r="D228" s="421" t="str">
        <f>_xlfn.IFNA(IF(VLOOKUP($C228,Ingredient_prices!$E:$F,2,FALSE)="Партија 2","Lot 2","Lot 1"),"")</f>
        <v/>
      </c>
      <c r="E228" s="407" t="str">
        <f>IF(SUMIF(Meal_entry_week_2!H$11:H$496,"Pasta tarana",Meal_entry_week_2!K$11:K$496)&gt;0,SUMIF(Meal_entry_week_2!H$11:H$496,"Pasta tarana",Meal_entry_week_2!K$11:K$496),"")</f>
        <v/>
      </c>
      <c r="F228" s="407" t="str">
        <f t="shared" si="4"/>
        <v/>
      </c>
    </row>
    <row r="229" spans="1:7">
      <c r="B229" s="491" t="s">
        <v>3141</v>
      </c>
      <c r="C229" s="491" t="s">
        <v>3505</v>
      </c>
      <c r="D229" s="421" t="str">
        <f>_xlfn.IFNA(IF(VLOOKUP($C229,Ingredient_prices!$E:$F,2,FALSE)="Партија 2","Lot 2","Lot 1"),"")</f>
        <v/>
      </c>
      <c r="E229" s="407" t="str">
        <f>IF(SUMIF(Meal_entry_week_2!H$11:H$496,"Pasta without egg",Meal_entry_week_2!K$11:K$496)&gt;0,SUMIF(Meal_entry_week_2!H$11:H$496,"Pasta without egg",Meal_entry_week_2!K$11:K$496),"")</f>
        <v/>
      </c>
      <c r="F229" s="407" t="str">
        <f t="shared" si="4"/>
        <v/>
      </c>
    </row>
    <row r="230" spans="1:7">
      <c r="B230" s="491" t="s">
        <v>3141</v>
      </c>
      <c r="C230" s="491" t="s">
        <v>3265</v>
      </c>
      <c r="D230" s="421" t="str">
        <f>_xlfn.IFNA(IF(VLOOKUP($C230,Ingredient_prices!$E:$F,2,FALSE)="Партија 2","Lot 2","Lot 1"),"")</f>
        <v>Lot 1</v>
      </c>
      <c r="E230" s="407" t="str">
        <f>IF(SUMIF(Meal_entry_week_2!H$11:H$496,"Pie pastry",Meal_entry_week_2!K$11:K$496)&gt;0,SUMIF(Meal_entry_week_2!H$11:H$496,"Pie pastry",Meal_entry_week_2!K$11:K$496),"")</f>
        <v/>
      </c>
      <c r="F230" s="407" t="str">
        <f t="shared" si="4"/>
        <v/>
      </c>
    </row>
    <row r="231" spans="1:7">
      <c r="B231" s="491" t="s">
        <v>3141</v>
      </c>
      <c r="C231" s="491" t="s">
        <v>3266</v>
      </c>
      <c r="D231" s="421" t="str">
        <f>_xlfn.IFNA(IF(VLOOKUP($C231,Ingredient_prices!$E:$F,2,FALSE)="Партија 2","Lot 2","Lot 1"),"")</f>
        <v/>
      </c>
      <c r="E231" s="407" t="str">
        <f>IF(SUMIF(Meal_entry_week_2!H$11:H$496,"Pie pastry, wholemeal, fresh",Meal_entry_week_2!K$11:K$496)&gt;0,SUMIF(Meal_entry_week_2!H$11:H$496,"Pie pastry, wholemeal, fresh",Meal_entry_week_2!K$11:K$496),"")</f>
        <v/>
      </c>
      <c r="F231" s="407" t="str">
        <f t="shared" si="4"/>
        <v/>
      </c>
    </row>
    <row r="232" spans="1:7">
      <c r="B232" s="491" t="s">
        <v>3141</v>
      </c>
      <c r="C232" s="491" t="s">
        <v>3270</v>
      </c>
      <c r="D232" s="421" t="str">
        <f>_xlfn.IFNA(IF(VLOOKUP($C232,Ingredient_prices!$E:$F,2,FALSE)="Партија 2","Lot 2","Lot 1"),"")</f>
        <v/>
      </c>
      <c r="E232" s="407" t="str">
        <f>IF(SUMIF(Meal_entry_week_2!H$11:H$496,"Polenta",Meal_entry_week_2!K$11:K$496)&gt;0,SUMIF(Meal_entry_week_2!H$11:H$496,"Polenta",Meal_entry_week_2!K$11:K$496),"")</f>
        <v/>
      </c>
      <c r="F232" s="407" t="str">
        <f t="shared" si="4"/>
        <v/>
      </c>
    </row>
    <row r="233" spans="1:7">
      <c r="B233" s="491" t="s">
        <v>3141</v>
      </c>
      <c r="C233" s="491" t="s">
        <v>3267</v>
      </c>
      <c r="D233" s="421" t="str">
        <f>_xlfn.IFNA(IF(VLOOKUP($C233,Ingredient_prices!$E:$F,2,FALSE)="Партија 2","Lot 2","Lot 1"),"")</f>
        <v/>
      </c>
      <c r="E233" s="407" t="str">
        <f>IF(SUMIF(Meal_entry_week_2!H$11:H$496,"Popcorn",Meal_entry_week_2!K$11:K$496)&gt;0,SUMIF(Meal_entry_week_2!H$11:H$496,"Popcorn",Meal_entry_week_2!K$11:K$496),"")</f>
        <v/>
      </c>
      <c r="F233" s="407" t="str">
        <f t="shared" si="4"/>
        <v/>
      </c>
    </row>
    <row r="234" spans="1:7" s="749" customFormat="1">
      <c r="A234" s="444"/>
      <c r="B234" s="491" t="s">
        <v>3141</v>
      </c>
      <c r="C234" s="491" t="s">
        <v>3249</v>
      </c>
      <c r="D234" s="421" t="str">
        <f>_xlfn.IFNA(IF(VLOOKUP($C234,Ingredient_prices!$E:$F,2,FALSE)="Партија 2","Lot 2","Lot 1"),"")</f>
        <v>Lot 2</v>
      </c>
      <c r="E234" s="407" t="str">
        <f>IF(SUMIF(Meal_entry_week_2!H$11:H$496,"Poppy seeds",Meal_entry_week_2!K$11:K$496)&gt;0,SUMIF(Meal_entry_week_2!H$11:H$496,"Poppy seeds",Meal_entry_week_2!K$11:K$496),"")</f>
        <v/>
      </c>
      <c r="F234" s="407" t="str">
        <f t="shared" si="4"/>
        <v/>
      </c>
      <c r="G234" s="444"/>
    </row>
    <row r="235" spans="1:7">
      <c r="B235" s="491" t="s">
        <v>3141</v>
      </c>
      <c r="C235" s="491" t="s">
        <v>3278</v>
      </c>
      <c r="D235" s="421" t="str">
        <f>_xlfn.IFNA(IF(VLOOKUP($C235,Ingredient_prices!$E:$F,2,FALSE)="Партија 2","Lot 2","Lot 1"),"")</f>
        <v/>
      </c>
      <c r="E235" s="407" t="str">
        <f>IF(SUMIF(Meal_entry_week_2!H$11:H$496,"Puff pastry",Meal_entry_week_2!K$11:K$496)&gt;0,SUMIF(Meal_entry_week_2!H$11:H$496,"Puff pastry",Meal_entry_week_2!K$11:K$496),"")</f>
        <v/>
      </c>
      <c r="F235" s="407" t="str">
        <f>IF(E235="","",E235/1)</f>
        <v/>
      </c>
    </row>
    <row r="236" spans="1:7">
      <c r="B236" s="491" t="s">
        <v>3141</v>
      </c>
      <c r="C236" s="491" t="s">
        <v>1924</v>
      </c>
      <c r="D236" s="421" t="str">
        <f>_xlfn.IFNA(IF(VLOOKUP($C236,Ingredient_prices!$E:$F,2,FALSE)="Партија 2","Lot 2","Lot 1"),"")</f>
        <v/>
      </c>
      <c r="E236" s="407" t="str">
        <f>IF(SUMIF(Meal_entry_week_2!H$11:H$496,"Puff pastry, frozen",Meal_entry_week_2!K$11:K$496)&gt;0,SUMIF(Meal_entry_week_2!H$11:H$496,"Puff pastry, frozen",Meal_entry_week_2!K$11:K$496),"")</f>
        <v/>
      </c>
      <c r="F236" s="407" t="str">
        <f t="shared" si="4"/>
        <v/>
      </c>
    </row>
    <row r="237" spans="1:7">
      <c r="B237" s="491" t="s">
        <v>3141</v>
      </c>
      <c r="C237" s="491" t="s">
        <v>3253</v>
      </c>
      <c r="D237" s="421" t="str">
        <f>_xlfn.IFNA(IF(VLOOKUP($C237,Ingredient_prices!$E:$F,2,FALSE)="Партија 2","Lot 2","Lot 1"),"")</f>
        <v/>
      </c>
      <c r="E237" s="407" t="str">
        <f>IF(SUMIF(Meal_entry_week_2!H$11:H$496,"Rice, integral",Meal_entry_week_2!K$11:K$496)&gt;0,SUMIF(Meal_entry_week_2!H$11:H$496,"Rice, integral",Meal_entry_week_2!K$11:K$496),"")</f>
        <v/>
      </c>
      <c r="F237" s="407" t="str">
        <f t="shared" si="4"/>
        <v/>
      </c>
    </row>
    <row r="238" spans="1:7">
      <c r="B238" s="491" t="s">
        <v>3141</v>
      </c>
      <c r="C238" s="491" t="s">
        <v>3252</v>
      </c>
      <c r="D238" s="421" t="str">
        <f>_xlfn.IFNA(IF(VLOOKUP($C238,Ingredient_prices!$E:$F,2,FALSE)="Партија 2","Lot 2","Lot 1"),"")</f>
        <v>Lot 2</v>
      </c>
      <c r="E238" s="407">
        <f>IF(SUMIF(Meal_entry_week_2!H$11:H$496,"Rice, white grain",Meal_entry_week_2!K$11:K$496)&gt;0,SUMIF(Meal_entry_week_2!H$11:H$496,"Rice, white grain",Meal_entry_week_2!K$11:K$496),"")</f>
        <v>5.5000000000000009</v>
      </c>
      <c r="F238" s="407">
        <f t="shared" si="4"/>
        <v>5.5000000000000009</v>
      </c>
    </row>
    <row r="239" spans="1:7">
      <c r="B239" s="491" t="s">
        <v>3141</v>
      </c>
      <c r="C239" s="491" t="s">
        <v>3274</v>
      </c>
      <c r="D239" s="421" t="str">
        <f>_xlfn.IFNA(IF(VLOOKUP($C239,Ingredient_prices!$E:$F,2,FALSE)="Партија 2","Lot 2","Lot 1"),"")</f>
        <v/>
      </c>
      <c r="E239" s="407" t="str">
        <f>IF(SUMIF(Meal_entry_week_2!H$11:H$496,"Rye grain/flour",Meal_entry_week_2!K$11:K$496)&gt;0,SUMIF(Meal_entry_week_2!H$11:H$496,"Rye grain/flour",Meal_entry_week_2!K$11:K$496),"")</f>
        <v/>
      </c>
      <c r="F239" s="407" t="str">
        <f t="shared" si="4"/>
        <v/>
      </c>
    </row>
    <row r="240" spans="1:7">
      <c r="B240" s="491" t="s">
        <v>3141</v>
      </c>
      <c r="C240" s="491" t="s">
        <v>3255</v>
      </c>
      <c r="D240" s="421" t="str">
        <f>_xlfn.IFNA(IF(VLOOKUP($C240,Ingredient_prices!$E:$F,2,FALSE)="Партија 2","Lot 2","Lot 1"),"")</f>
        <v/>
      </c>
      <c r="E240" s="407" t="str">
        <f>IF(SUMIF(Meal_entry_week_2!H$11:H$496,"Sesame seeds",Meal_entry_week_2!K$11:K$496)&gt;0,SUMIF(Meal_entry_week_2!H$11:H$496,"Sesame seeds",Meal_entry_week_2!K$11:K$496),"")</f>
        <v/>
      </c>
      <c r="F240" s="407" t="str">
        <f t="shared" si="4"/>
        <v/>
      </c>
    </row>
    <row r="241" spans="1:7">
      <c r="B241" s="491" t="s">
        <v>3141</v>
      </c>
      <c r="C241" s="491" t="s">
        <v>3275</v>
      </c>
      <c r="D241" s="421" t="str">
        <f>_xlfn.IFNA(IF(VLOOKUP($C241,Ingredient_prices!$E:$F,2,FALSE)="Партија 2","Lot 2","Lot 1"),"")</f>
        <v>Lot 2</v>
      </c>
      <c r="E241" s="407" t="str">
        <f>IF(SUMIF(Meal_entry_week_2!H$11:H$496,"Soya flour (fat extracted)",Meal_entry_week_2!K$11:K$496)&gt;0,SUMIF(Meal_entry_week_2!H$11:H$496,"Soya flour (fat extracted)",Meal_entry_week_2!K$11:K$496),"")</f>
        <v/>
      </c>
      <c r="F241" s="407" t="str">
        <f t="shared" si="4"/>
        <v/>
      </c>
    </row>
    <row r="242" spans="1:7">
      <c r="B242" s="491" t="s">
        <v>3141</v>
      </c>
      <c r="C242" s="491" t="s">
        <v>1936</v>
      </c>
      <c r="D242" s="421" t="str">
        <f>_xlfn.IFNA(IF(VLOOKUP($C242,Ingredient_prices!$E:$F,2,FALSE)="Партија 2","Lot 2","Lot 1"),"")</f>
        <v/>
      </c>
      <c r="E242" s="407" t="str">
        <f>IF(SUMIF(Meal_entry_week_2!H$11:H$496,"Wheat flour half white",Meal_entry_week_2!K$11:K$496)&gt;0,SUMIF(Meal_entry_week_2!H$11:H$496,"Wheat flour half white",Meal_entry_week_2!K$11:K$496),"")</f>
        <v/>
      </c>
      <c r="F242" s="407" t="str">
        <f t="shared" si="4"/>
        <v/>
      </c>
    </row>
    <row r="243" spans="1:7">
      <c r="B243" s="491" t="s">
        <v>3141</v>
      </c>
      <c r="C243" s="491" t="s">
        <v>3245</v>
      </c>
      <c r="D243" s="421" t="str">
        <f>_xlfn.IFNA(IF(VLOOKUP($C243,Ingredient_prices!$E:$F,2,FALSE)="Партија 2","Lot 2","Lot 1"),"")</f>
        <v>Lot 2</v>
      </c>
      <c r="E243" s="407">
        <f>IF(SUMIF(Meal_entry_week_2!H$11:H$496,"Wheat flour white",Meal_entry_week_2!K$11:K$496)&gt;0,SUMIF(Meal_entry_week_2!H$11:H$496,"Wheat flour white",Meal_entry_week_2!K$11:K$496),"")</f>
        <v>11.549999999999999</v>
      </c>
      <c r="F243" s="407">
        <f t="shared" si="4"/>
        <v>11.549999999999999</v>
      </c>
    </row>
    <row r="244" spans="1:7">
      <c r="B244" s="491" t="s">
        <v>3141</v>
      </c>
      <c r="C244" s="491" t="s">
        <v>3260</v>
      </c>
      <c r="D244" s="421" t="str">
        <f>_xlfn.IFNA(IF(VLOOKUP($C244,Ingredient_prices!$E:$F,2,FALSE)="Партија 2","Lot 2","Lot 1"),"")</f>
        <v>Lot 2</v>
      </c>
      <c r="E244" s="407" t="str">
        <f>IF(SUMIF(Meal_entry_week_2!H$11:H$496,"Wheat flour wholemeal",Meal_entry_week_2!K$11:K$496)&gt;0,SUMIF(Meal_entry_week_2!H$11:H$496,"Wheat flour wholemeal",Meal_entry_week_2!K$11:K$496),"")</f>
        <v/>
      </c>
      <c r="F244" s="407" t="str">
        <f t="shared" si="4"/>
        <v/>
      </c>
    </row>
    <row r="245" spans="1:7">
      <c r="B245" s="491" t="s">
        <v>3141</v>
      </c>
      <c r="C245" s="491" t="s">
        <v>3273</v>
      </c>
      <c r="D245" s="421" t="str">
        <f>_xlfn.IFNA(IF(VLOOKUP($C245,Ingredient_prices!$E:$F,2,FALSE)="Партија 2","Lot 2","Lot 1"),"")</f>
        <v>Lot 2</v>
      </c>
      <c r="E245" s="407" t="str">
        <f>IF(SUMIF(Meal_entry_week_2!H$11:H$496,"Wheat grains",Meal_entry_week_2!K$11:K$496)&gt;0,SUMIF(Meal_entry_week_2!H$11:H$496,"Wheat grains",Meal_entry_week_2!K$11:K$496),"")</f>
        <v/>
      </c>
      <c r="F245" s="407" t="str">
        <f t="shared" si="4"/>
        <v/>
      </c>
    </row>
    <row r="246" spans="1:7">
      <c r="B246" s="492" t="s">
        <v>3141</v>
      </c>
      <c r="C246" s="492" t="s">
        <v>3261</v>
      </c>
      <c r="D246" s="421" t="str">
        <f>_xlfn.IFNA(IF(VLOOKUP($C246,Ingredient_prices!$E:$F,2,FALSE)="Партија 2","Lot 2","Lot 1"),"")</f>
        <v>Lot 2</v>
      </c>
      <c r="E246" s="407" t="str">
        <f>IF(SUMIF(Meal_entry_week_2!H$11:H$496,"Wheat semolina",Meal_entry_week_2!K$11:K$496)&gt;0,SUMIF(Meal_entry_week_2!H$11:H$496,"Wheat semolina",Meal_entry_week_2!K$11:K$496),"")</f>
        <v/>
      </c>
      <c r="F246" s="407" t="str">
        <f t="shared" si="4"/>
        <v/>
      </c>
    </row>
    <row r="247" spans="1:7" s="749" customFormat="1">
      <c r="A247" s="444"/>
      <c r="B247" s="749" t="s">
        <v>3142</v>
      </c>
      <c r="C247" s="494" t="s">
        <v>3279</v>
      </c>
      <c r="D247" s="421" t="str">
        <f>_xlfn.IFNA(IF(VLOOKUP($C247,Ingredient_prices!$E:$F,2,FALSE)="Партија 2","Lot 2","Lot 1"),"")</f>
        <v/>
      </c>
      <c r="E247" s="407" t="str">
        <f>IF(SUMIF(Meal_entry_week_2!H$11:H$496,"Ajvar mild",Meal_entry_week_2!K$11:K$496)&gt;0,SUMIF(Meal_entry_week_2!H$11:H$496,"Ajvar mild",Meal_entry_week_2!K$11:K$496),"")</f>
        <v/>
      </c>
      <c r="F247" s="407" t="str">
        <f t="shared" si="4"/>
        <v/>
      </c>
      <c r="G247" s="444"/>
    </row>
    <row r="248" spans="1:7">
      <c r="B248" s="749" t="s">
        <v>3142</v>
      </c>
      <c r="C248" s="491" t="s">
        <v>3286</v>
      </c>
      <c r="D248" s="421" t="str">
        <f>_xlfn.IFNA(IF(VLOOKUP($C248,Ingredient_prices!$E:$F,2,FALSE)="Партија 2","Lot 2","Lot 1"),"")</f>
        <v/>
      </c>
      <c r="E248" s="407" t="str">
        <f>IF(SUMIF(Meal_entry_week_2!H$11:H$496,"Ajvar spicy",Meal_entry_week_2!K$11:K$496)&gt;0,SUMIF(Meal_entry_week_2!H$11:H$496,"Ajvar spicy",Meal_entry_week_2!K$11:K$496),"")</f>
        <v/>
      </c>
      <c r="F248" s="407" t="str">
        <f t="shared" si="4"/>
        <v/>
      </c>
    </row>
    <row r="249" spans="1:7">
      <c r="B249" s="749" t="s">
        <v>3142</v>
      </c>
      <c r="C249" s="491" t="s">
        <v>3285</v>
      </c>
      <c r="D249" s="421" t="str">
        <f>_xlfn.IFNA(IF(VLOOKUP($C249,Ingredient_prices!$E:$F,2,FALSE)="Партија 2","Lot 2","Lot 1"),"")</f>
        <v/>
      </c>
      <c r="E249" s="407" t="str">
        <f>IF(SUMIF(Meal_entry_week_2!H$11:H$496,"Apple cider vinegar",Meal_entry_week_2!K$11:K$496)&gt;0,SUMIF(Meal_entry_week_2!H$11:H$496,"Apple cider vinegar",Meal_entry_week_2!K$11:K$496),"")</f>
        <v/>
      </c>
      <c r="F249" s="407" t="str">
        <f t="shared" si="4"/>
        <v/>
      </c>
    </row>
    <row r="250" spans="1:7">
      <c r="B250" s="749" t="s">
        <v>3142</v>
      </c>
      <c r="C250" s="491" t="s">
        <v>3283</v>
      </c>
      <c r="D250" s="421" t="str">
        <f>_xlfn.IFNA(IF(VLOOKUP($C250,Ingredient_prices!$E:$F,2,FALSE)="Партија 2","Lot 2","Lot 1"),"")</f>
        <v>Lot 2</v>
      </c>
      <c r="E250" s="407">
        <f>IF(SUMIF(Meal_entry_week_2!H$11:H$496,"Baking powder",Meal_entry_week_2!K$11:K$496)&gt;0,SUMIF(Meal_entry_week_2!H$11:H$496,"Baking powder",Meal_entry_week_2!K$11:K$496),"")</f>
        <v>3.6300000000000006E-2</v>
      </c>
      <c r="F250" s="407">
        <f t="shared" si="4"/>
        <v>3.6300000000000006E-2</v>
      </c>
    </row>
    <row r="251" spans="1:7">
      <c r="B251" s="749" t="s">
        <v>3142</v>
      </c>
      <c r="C251" s="491" t="s">
        <v>3284</v>
      </c>
      <c r="D251" s="421" t="str">
        <f>_xlfn.IFNA(IF(VLOOKUP($C251,Ingredient_prices!$E:$F,2,FALSE)="Партија 2","Lot 2","Lot 1"),"")</f>
        <v/>
      </c>
      <c r="E251" s="407" t="str">
        <f>IF(SUMIF(Meal_entry_week_2!H$11:H$496,"Balsamic vinegar",Meal_entry_week_2!K$11:K$496)&gt;0,SUMIF(Meal_entry_week_2!H$11:H$496,"Balsamic vinegar",Meal_entry_week_2!K$11:K$496),"")</f>
        <v/>
      </c>
      <c r="F251" s="407" t="str">
        <f t="shared" si="4"/>
        <v/>
      </c>
    </row>
    <row r="252" spans="1:7">
      <c r="B252" s="749" t="s">
        <v>3142</v>
      </c>
      <c r="C252" s="491" t="s">
        <v>3290</v>
      </c>
      <c r="D252" s="421" t="str">
        <f>_xlfn.IFNA(IF(VLOOKUP($C252,Ingredient_prices!$E:$F,2,FALSE)="Партија 2","Lot 2","Lot 1"),"")</f>
        <v/>
      </c>
      <c r="E252" s="407" t="str">
        <f>IF(SUMIF(Meal_entry_week_2!H$11:H$496,"Bean spread",Meal_entry_week_2!K$11:K$496)&gt;0,SUMIF(Meal_entry_week_2!H$11:H$496,"Bean spread",Meal_entry_week_2!K$11:K$496),"")</f>
        <v/>
      </c>
      <c r="F252" s="407" t="str">
        <f t="shared" si="4"/>
        <v/>
      </c>
    </row>
    <row r="253" spans="1:7">
      <c r="B253" s="749" t="s">
        <v>3142</v>
      </c>
      <c r="C253" s="491" t="s">
        <v>3289</v>
      </c>
      <c r="D253" s="421" t="str">
        <f>_xlfn.IFNA(IF(VLOOKUP($C253,Ingredient_prices!$E:$F,2,FALSE)="Партија 2","Lot 2","Lot 1"),"")</f>
        <v/>
      </c>
      <c r="E253" s="407" t="str">
        <f>IF(SUMIF(Meal_entry_week_2!H$11:H$496,"Citric acid (Limuntus)",Meal_entry_week_2!K$11:K$496)&gt;0,SUMIF(Meal_entry_week_2!H$11:H$496,"Citric acid (Limuntus)",Meal_entry_week_2!K$11:K$496),"")</f>
        <v/>
      </c>
      <c r="F253" s="407" t="str">
        <f t="shared" ref="F253:F316" si="5">IF(E253="","",E253/1)</f>
        <v/>
      </c>
    </row>
    <row r="254" spans="1:7">
      <c r="B254" s="749" t="s">
        <v>3142</v>
      </c>
      <c r="C254" s="491" t="s">
        <v>1999</v>
      </c>
      <c r="D254" s="421" t="str">
        <f>_xlfn.IFNA(IF(VLOOKUP($C254,Ingredient_prices!$E:$F,2,FALSE)="Партија 2","Lot 2","Lot 1"),"")</f>
        <v/>
      </c>
      <c r="E254" s="407" t="str">
        <f>IF(SUMIF(Meal_entry_week_2!H$11:H$496,"Horseradish sauce",Meal_entry_week_2!K$11:K$496)&gt;0,SUMIF(Meal_entry_week_2!H$11:H$496,"Horseradish sauce",Meal_entry_week_2!K$11:K$496),"")</f>
        <v/>
      </c>
      <c r="F254" s="407" t="str">
        <f t="shared" si="5"/>
        <v/>
      </c>
    </row>
    <row r="255" spans="1:7">
      <c r="B255" s="749" t="s">
        <v>3142</v>
      </c>
      <c r="C255" s="491" t="s">
        <v>3291</v>
      </c>
      <c r="D255" s="421" t="str">
        <f>_xlfn.IFNA(IF(VLOOKUP($C255,Ingredient_prices!$E:$F,2,FALSE)="Партија 2","Lot 2","Lot 1"),"")</f>
        <v/>
      </c>
      <c r="E255" s="407" t="str">
        <f>IF(SUMIF(Meal_entry_week_2!H$11:H$496,"Houmous",Meal_entry_week_2!K$11:K$496)&gt;0,SUMIF(Meal_entry_week_2!H$11:H$496,"Houmous",Meal_entry_week_2!K$11:K$496),"")</f>
        <v/>
      </c>
      <c r="F255" s="407" t="str">
        <f t="shared" si="5"/>
        <v/>
      </c>
    </row>
    <row r="256" spans="1:7" s="749" customFormat="1">
      <c r="A256" s="444"/>
      <c r="B256" s="749" t="s">
        <v>3142</v>
      </c>
      <c r="C256" s="491" t="s">
        <v>3280</v>
      </c>
      <c r="D256" s="421" t="str">
        <f>_xlfn.IFNA(IF(VLOOKUP($C256,Ingredient_prices!$E:$F,2,FALSE)="Партија 2","Lot 2","Lot 1"),"")</f>
        <v>Lot 2</v>
      </c>
      <c r="E256" s="407">
        <f>IF(SUMIF(Meal_entry_week_2!H$11:H$496,"Ketchup",Meal_entry_week_2!K$11:K$496)&gt;0,SUMIF(Meal_entry_week_2!H$11:H$496,"Ketchup",Meal_entry_week_2!K$11:K$496),"")</f>
        <v>2.2000000000000002</v>
      </c>
      <c r="F256" s="407">
        <f t="shared" si="5"/>
        <v>2.2000000000000002</v>
      </c>
      <c r="G256" s="444"/>
    </row>
    <row r="257" spans="1:7">
      <c r="B257" s="749" t="s">
        <v>3142</v>
      </c>
      <c r="C257" s="491" t="s">
        <v>3281</v>
      </c>
      <c r="D257" s="421" t="str">
        <f>_xlfn.IFNA(IF(VLOOKUP($C257,Ingredient_prices!$E:$F,2,FALSE)="Партија 2","Lot 2","Lot 1"),"")</f>
        <v/>
      </c>
      <c r="E257" s="407" t="str">
        <f>IF(SUMIF(Meal_entry_week_2!H$11:H$496,"Ketchup, Aro",Meal_entry_week_2!K$11:K$496)&gt;0,SUMIF(Meal_entry_week_2!H$11:H$496,"Ketchup, Aro",Meal_entry_week_2!K$11:K$496),"")</f>
        <v/>
      </c>
      <c r="F257" s="407" t="str">
        <f t="shared" si="5"/>
        <v/>
      </c>
    </row>
    <row r="258" spans="1:7">
      <c r="B258" s="749" t="s">
        <v>3142</v>
      </c>
      <c r="C258" s="491" t="s">
        <v>1959</v>
      </c>
      <c r="D258" s="421" t="str">
        <f>_xlfn.IFNA(IF(VLOOKUP($C258,Ingredient_prices!$E:$F,2,FALSE)="Партија 2","Lot 2","Lot 1"),"")</f>
        <v/>
      </c>
      <c r="E258" s="407" t="str">
        <f>IF(SUMIF(Meal_entry_week_2!H$11:H$496,"Ketchup, Diamond",Meal_entry_week_2!K$11:K$496)&gt;0,SUMIF(Meal_entry_week_2!H$11:H$496,"Ketchup, Diamond",Meal_entry_week_2!K$11:K$496),"")</f>
        <v/>
      </c>
      <c r="F258" s="407" t="str">
        <f t="shared" si="5"/>
        <v/>
      </c>
    </row>
    <row r="259" spans="1:7">
      <c r="B259" s="749" t="s">
        <v>3142</v>
      </c>
      <c r="C259" s="491" t="s">
        <v>1958</v>
      </c>
      <c r="D259" s="421" t="str">
        <f>_xlfn.IFNA(IF(VLOOKUP($C259,Ingredient_prices!$E:$F,2,FALSE)="Партија 2","Lot 2","Lot 1"),"")</f>
        <v/>
      </c>
      <c r="E259" s="407" t="str">
        <f>IF(SUMIF(Meal_entry_week_2!H$11:H$496,"Ketchup, Heinz",Meal_entry_week_2!K$11:K$496)&gt;0,SUMIF(Meal_entry_week_2!H$11:H$496,"Ketchup, Heinz",Meal_entry_week_2!K$11:K$496),"")</f>
        <v/>
      </c>
      <c r="F259" s="407" t="str">
        <f t="shared" si="5"/>
        <v/>
      </c>
    </row>
    <row r="260" spans="1:7" s="749" customFormat="1">
      <c r="A260" s="444"/>
      <c r="B260" s="749" t="s">
        <v>3142</v>
      </c>
      <c r="C260" s="491" t="s">
        <v>1960</v>
      </c>
      <c r="D260" s="421" t="str">
        <f>_xlfn.IFNA(IF(VLOOKUP($C260,Ingredient_prices!$E:$F,2,FALSE)="Партија 2","Lot 2","Lot 1"),"")</f>
        <v/>
      </c>
      <c r="E260" s="407" t="str">
        <f>IF(SUMIF(Meal_entry_week_2!H$11:H$496,"Ketchup, Polymark",Meal_entry_week_2!K$11:K$496)&gt;0,SUMIF(Meal_entry_week_2!H$11:H$496,"Ketchup, Polymark",Meal_entry_week_2!K$11:K$496),"")</f>
        <v/>
      </c>
      <c r="F260" s="407" t="str">
        <f t="shared" si="5"/>
        <v/>
      </c>
      <c r="G260" s="444"/>
    </row>
    <row r="261" spans="1:7" s="749" customFormat="1">
      <c r="A261" s="444"/>
      <c r="B261" s="749" t="s">
        <v>3142</v>
      </c>
      <c r="C261" s="491" t="s">
        <v>1962</v>
      </c>
      <c r="D261" s="421" t="str">
        <f>_xlfn.IFNA(IF(VLOOKUP($C261,Ingredient_prices!$E:$F,2,FALSE)="Партија 2","Lot 2","Lot 1"),"")</f>
        <v/>
      </c>
      <c r="E261" s="407" t="str">
        <f>IF(SUMIF(Meal_entry_week_2!H$11:H$496,"Mayonnaise light",Meal_entry_week_2!K$11:K$496)&gt;0,SUMIF(Meal_entry_week_2!H$11:H$496,"Mayonnaise light",Meal_entry_week_2!K$11:K$496),"")</f>
        <v/>
      </c>
      <c r="F261" s="407" t="str">
        <f t="shared" si="5"/>
        <v/>
      </c>
      <c r="G261" s="444"/>
    </row>
    <row r="262" spans="1:7" s="749" customFormat="1">
      <c r="A262" s="444"/>
      <c r="B262" s="749" t="s">
        <v>3142</v>
      </c>
      <c r="C262" s="491" t="s">
        <v>1963</v>
      </c>
      <c r="D262" s="421" t="str">
        <f>_xlfn.IFNA(IF(VLOOKUP($C262,Ingredient_prices!$E:$F,2,FALSE)="Партија 2","Lot 2","Lot 1"),"")</f>
        <v>Lot 2</v>
      </c>
      <c r="E262" s="407">
        <f>IF(SUMIF(Meal_entry_week_2!H$11:H$496,"Mayonnaise, plain",Meal_entry_week_2!K$11:K$496)&gt;0,SUMIF(Meal_entry_week_2!H$11:H$496,"Mayonnaise, plain",Meal_entry_week_2!K$11:K$496),"")</f>
        <v>1.1000000000000001</v>
      </c>
      <c r="F262" s="407">
        <f t="shared" si="5"/>
        <v>1.1000000000000001</v>
      </c>
      <c r="G262" s="444"/>
    </row>
    <row r="263" spans="1:7">
      <c r="B263" s="749" t="s">
        <v>3142</v>
      </c>
      <c r="C263" s="491" t="s">
        <v>1964</v>
      </c>
      <c r="D263" s="421" t="str">
        <f>_xlfn.IFNA(IF(VLOOKUP($C263,Ingredient_prices!$E:$F,2,FALSE)="Партија 2","Lot 2","Lot 1"),"")</f>
        <v/>
      </c>
      <c r="E263" s="407" t="str">
        <f>IF(SUMIF(Meal_entry_week_2!H$11:H$496,"Mayonnaise, Polymark",Meal_entry_week_2!K$11:K$496)&gt;0,SUMIF(Meal_entry_week_2!H$11:H$496,"Mayonnaise, Polymark",Meal_entry_week_2!K$11:K$496),"")</f>
        <v/>
      </c>
      <c r="F263" s="407" t="str">
        <f t="shared" si="5"/>
        <v/>
      </c>
    </row>
    <row r="264" spans="1:7">
      <c r="B264" s="749" t="s">
        <v>3142</v>
      </c>
      <c r="C264" s="491" t="s">
        <v>492</v>
      </c>
      <c r="D264" s="421" t="str">
        <f>_xlfn.IFNA(IF(VLOOKUP($C264,Ingredient_prices!$E:$F,2,FALSE)="Партија 2","Lot 2","Lot 1"),"")</f>
        <v/>
      </c>
      <c r="E264" s="407" t="str">
        <f>IF(SUMIF(Meal_entry_week_2!H$11:H$496,"Mustard",Meal_entry_week_2!K$11:K$496)&gt;0,SUMIF(Meal_entry_week_2!H$11:H$496,"Mustard",Meal_entry_week_2!K$11:K$496),"")</f>
        <v/>
      </c>
      <c r="F264" s="407" t="str">
        <f t="shared" si="5"/>
        <v/>
      </c>
    </row>
    <row r="265" spans="1:7">
      <c r="B265" s="749" t="s">
        <v>3142</v>
      </c>
      <c r="C265" s="491" t="s">
        <v>3294</v>
      </c>
      <c r="D265" s="421" t="str">
        <f>_xlfn.IFNA(IF(VLOOKUP($C265,Ingredient_prices!$E:$F,2,FALSE)="Партија 2","Lot 2","Lot 1"),"")</f>
        <v/>
      </c>
      <c r="E265" s="407" t="str">
        <f>IF(SUMIF(Meal_entry_week_2!H$11:H$496,"Sodium bicarbonate",Meal_entry_week_2!K$11:K$496)&gt;0,SUMIF(Meal_entry_week_2!H$11:H$496,"Sodium bicarbonate",Meal_entry_week_2!K$11:K$496),"")</f>
        <v/>
      </c>
      <c r="F265" s="407" t="str">
        <f t="shared" si="5"/>
        <v/>
      </c>
    </row>
    <row r="266" spans="1:7">
      <c r="B266" s="749" t="s">
        <v>3142</v>
      </c>
      <c r="C266" s="491" t="s">
        <v>3287</v>
      </c>
      <c r="D266" s="421" t="str">
        <f>_xlfn.IFNA(IF(VLOOKUP($C266,Ingredient_prices!$E:$F,2,FALSE)="Партија 2","Lot 2","Lot 1"),"")</f>
        <v/>
      </c>
      <c r="E266" s="407" t="str">
        <f>IF(SUMIF(Meal_entry_week_2!H$11:H$496,"Starch thickener",Meal_entry_week_2!K$11:K$496)&gt;0,SUMIF(Meal_entry_week_2!H$11:H$496,"Starch thickener",Meal_entry_week_2!K$11:K$496),"")</f>
        <v/>
      </c>
      <c r="F266" s="407" t="str">
        <f t="shared" si="5"/>
        <v/>
      </c>
    </row>
    <row r="267" spans="1:7">
      <c r="B267" s="749" t="s">
        <v>3142</v>
      </c>
      <c r="C267" s="491" t="s">
        <v>3282</v>
      </c>
      <c r="D267" s="421" t="str">
        <f>_xlfn.IFNA(IF(VLOOKUP($C267,Ingredient_prices!$E:$F,2,FALSE)="Партија 2","Lot 2","Lot 1"),"")</f>
        <v/>
      </c>
      <c r="E267" s="407" t="str">
        <f>IF(SUMIF(Meal_entry_week_2!H$11:H$496,"Tomato juice",Meal_entry_week_2!K$11:K$496)&gt;0,SUMIF(Meal_entry_week_2!H$11:H$496,"Tomato juice",Meal_entry_week_2!K$11:K$496),"")</f>
        <v/>
      </c>
      <c r="F267" s="407" t="str">
        <f t="shared" si="5"/>
        <v/>
      </c>
    </row>
    <row r="268" spans="1:7">
      <c r="B268" s="749" t="s">
        <v>3142</v>
      </c>
      <c r="C268" s="491" t="s">
        <v>3292</v>
      </c>
      <c r="D268" s="421" t="str">
        <f>_xlfn.IFNA(IF(VLOOKUP($C268,Ingredient_prices!$E:$F,2,FALSE)="Партија 2","Lot 2","Lot 1"),"")</f>
        <v/>
      </c>
      <c r="E268" s="407" t="str">
        <f>IF(SUMIF(Meal_entry_week_2!H$11:H$496,"Tomato paste, Tomatino",Meal_entry_week_2!K$11:K$496)&gt;0,SUMIF(Meal_entry_week_2!H$11:H$496,"Tomato paste, Tomatino",Meal_entry_week_2!K$11:K$496),"")</f>
        <v/>
      </c>
      <c r="F268" s="407" t="str">
        <f t="shared" si="5"/>
        <v/>
      </c>
    </row>
    <row r="269" spans="1:7">
      <c r="B269" s="749" t="s">
        <v>3142</v>
      </c>
      <c r="C269" s="491" t="s">
        <v>3293</v>
      </c>
      <c r="D269" s="421" t="str">
        <f>_xlfn.IFNA(IF(VLOOKUP($C269,Ingredient_prices!$E:$F,2,FALSE)="Партија 2","Lot 2","Lot 1"),"")</f>
        <v>Lot 2</v>
      </c>
      <c r="E269" s="407">
        <f>IF(SUMIF(Meal_entry_week_2!H$11:H$496,"Tomato puree",Meal_entry_week_2!K$11:K$496)&gt;0,SUMIF(Meal_entry_week_2!H$11:H$496,"Tomato puree",Meal_entry_week_2!K$11:K$496),"")</f>
        <v>2.2000000000000002</v>
      </c>
      <c r="F269" s="407">
        <f t="shared" si="5"/>
        <v>2.2000000000000002</v>
      </c>
    </row>
    <row r="270" spans="1:7">
      <c r="B270" s="749" t="s">
        <v>3142</v>
      </c>
      <c r="C270" s="491" t="s">
        <v>3288</v>
      </c>
      <c r="D270" s="421" t="str">
        <f>_xlfn.IFNA(IF(VLOOKUP($C270,Ingredient_prices!$E:$F,2,FALSE)="Партија 2","Lot 2","Lot 1"),"")</f>
        <v>Lot 2</v>
      </c>
      <c r="E270" s="407" t="str">
        <f>IF(SUMIF(Meal_entry_week_2!H$11:H$496,"Tomatoes cooked",Meal_entry_week_2!K$11:K$496)&gt;0,SUMIF(Meal_entry_week_2!H$11:H$496,"Tomatoes cooked",Meal_entry_week_2!K$11:K$496),"")</f>
        <v/>
      </c>
      <c r="F270" s="407" t="str">
        <f t="shared" si="5"/>
        <v/>
      </c>
    </row>
    <row r="271" spans="1:7">
      <c r="B271" s="749" t="s">
        <v>3142</v>
      </c>
      <c r="C271" s="491" t="s">
        <v>498</v>
      </c>
      <c r="D271" s="421" t="str">
        <f>_xlfn.IFNA(IF(VLOOKUP($C271,Ingredient_prices!$E:$F,2,FALSE)="Партија 2","Lot 2","Lot 1"),"")</f>
        <v>Lot 2</v>
      </c>
      <c r="E271" s="407">
        <f>IF(SUMIF(Meal_entry_week_2!H$11:H$496,"Vinegar",Meal_entry_week_2!K$11:K$496)&gt;0,SUMIF(Meal_entry_week_2!H$11:H$496,"Vinegar",Meal_entry_week_2!K$11:K$496),"")</f>
        <v>1.54</v>
      </c>
      <c r="F271" s="407">
        <f t="shared" si="5"/>
        <v>1.54</v>
      </c>
    </row>
    <row r="272" spans="1:7">
      <c r="B272" s="492" t="s">
        <v>3142</v>
      </c>
      <c r="C272" s="492" t="s">
        <v>1961</v>
      </c>
      <c r="D272" s="421" t="str">
        <f>_xlfn.IFNA(IF(VLOOKUP($C272,Ingredient_prices!$E:$F,2,FALSE)="Партија 2","Lot 2","Lot 1"),"")</f>
        <v>Lot 2</v>
      </c>
      <c r="E272" s="407">
        <f>IF(SUMIF(Meal_entry_week_2!H$11:H$496,"Yeast (fresh)",Meal_entry_week_2!K$11:K$496)&gt;0,SUMIF(Meal_entry_week_2!H$11:H$496,"Yeast (fresh)",Meal_entry_week_2!K$11:K$496),"")</f>
        <v>0.25299999999999995</v>
      </c>
      <c r="F272" s="407">
        <f t="shared" si="5"/>
        <v>0.25299999999999995</v>
      </c>
    </row>
    <row r="273" spans="1:7">
      <c r="B273" s="491" t="s">
        <v>3076</v>
      </c>
      <c r="C273" s="749" t="s">
        <v>3297</v>
      </c>
      <c r="D273" s="421" t="str">
        <f>_xlfn.IFNA(IF(VLOOKUP($C273,Ingredient_prices!$E:$F,2,FALSE)="Партија 2","Lot 2","Lot 1"),"")</f>
        <v/>
      </c>
      <c r="E273" s="407" t="str">
        <f>IF(SUMIF(Meal_entry_week_2!H$11:H$496,"Basil leaf, dry",Meal_entry_week_2!K$11:K$496)&gt;0,SUMIF(Meal_entry_week_2!H$11:H$496,"Basil leaf, dry",Meal_entry_week_2!K$11:K$496),"")</f>
        <v/>
      </c>
      <c r="F273" s="407" t="str">
        <f t="shared" si="5"/>
        <v/>
      </c>
    </row>
    <row r="274" spans="1:7">
      <c r="B274" s="491" t="s">
        <v>3076</v>
      </c>
      <c r="C274" s="749" t="s">
        <v>3303</v>
      </c>
      <c r="D274" s="421" t="str">
        <f>_xlfn.IFNA(IF(VLOOKUP($C274,Ingredient_prices!$E:$F,2,FALSE)="Партија 2","Lot 2","Lot 1"),"")</f>
        <v>Lot 2</v>
      </c>
      <c r="E274" s="407" t="str">
        <f>IF(SUMIF(Meal_entry_week_2!H$11:H$496,"Bay leaves",Meal_entry_week_2!K$11:K$496)&gt;0,SUMIF(Meal_entry_week_2!H$11:H$496,"Bay leaves",Meal_entry_week_2!K$11:K$496),"")</f>
        <v/>
      </c>
      <c r="F274" s="407" t="str">
        <f t="shared" si="5"/>
        <v/>
      </c>
    </row>
    <row r="275" spans="1:7">
      <c r="B275" s="491" t="s">
        <v>3076</v>
      </c>
      <c r="C275" s="749" t="s">
        <v>1966</v>
      </c>
      <c r="D275" s="421" t="str">
        <f>_xlfn.IFNA(IF(VLOOKUP($C275,Ingredient_prices!$E:$F,2,FALSE)="Партија 2","Lot 2","Lot 1"),"")</f>
        <v/>
      </c>
      <c r="E275" s="407" t="str">
        <f>IF(SUMIF(Meal_entry_week_2!H$11:H$496,"Cayenne pepper",Meal_entry_week_2!K$11:K$496)&gt;0,SUMIF(Meal_entry_week_2!H$11:H$496,"Cayenne pepper",Meal_entry_week_2!K$11:K$496),"")</f>
        <v/>
      </c>
      <c r="F275" s="407" t="str">
        <f t="shared" si="5"/>
        <v/>
      </c>
    </row>
    <row r="276" spans="1:7">
      <c r="B276" s="491" t="s">
        <v>3076</v>
      </c>
      <c r="C276" s="749" t="s">
        <v>1969</v>
      </c>
      <c r="D276" s="421" t="str">
        <f>_xlfn.IFNA(IF(VLOOKUP($C276,Ingredient_prices!$E:$F,2,FALSE)="Партија 2","Lot 2","Lot 1"),"")</f>
        <v/>
      </c>
      <c r="E276" s="407" t="str">
        <f>IF(SUMIF(Meal_entry_week_2!H$11:H$496,"Cinnamon",Meal_entry_week_2!K$11:K$496)&gt;0,SUMIF(Meal_entry_week_2!H$11:H$496,"Cinnamon",Meal_entry_week_2!K$11:K$496),"")</f>
        <v/>
      </c>
      <c r="F276" s="407" t="str">
        <f t="shared" si="5"/>
        <v/>
      </c>
    </row>
    <row r="277" spans="1:7">
      <c r="B277" s="491" t="s">
        <v>3076</v>
      </c>
      <c r="C277" s="749" t="s">
        <v>3302</v>
      </c>
      <c r="D277" s="421" t="str">
        <f>_xlfn.IFNA(IF(VLOOKUP($C277,Ingredient_prices!$E:$F,2,FALSE)="Партија 2","Lot 2","Lot 1"),"")</f>
        <v/>
      </c>
      <c r="E277" s="407" t="str">
        <f>IF(SUMIF(Meal_entry_week_2!H$11:H$496,"Cumin",Meal_entry_week_2!K$11:K$496)&gt;0,SUMIF(Meal_entry_week_2!H$11:H$496,"Cumin",Meal_entry_week_2!K$11:K$496),"")</f>
        <v/>
      </c>
      <c r="F277" s="407" t="str">
        <f t="shared" si="5"/>
        <v/>
      </c>
    </row>
    <row r="278" spans="1:7" s="749" customFormat="1">
      <c r="A278" s="444"/>
      <c r="B278" s="491" t="s">
        <v>3076</v>
      </c>
      <c r="C278" s="749" t="s">
        <v>3304</v>
      </c>
      <c r="D278" s="421" t="str">
        <f>_xlfn.IFNA(IF(VLOOKUP($C278,Ingredient_prices!$E:$F,2,FALSE)="Партија 2","Lot 2","Lot 1"),"")</f>
        <v>Lot 2</v>
      </c>
      <c r="E278" s="407" t="str">
        <f>IF(SUMIF(Meal_entry_week_2!H$11:H$496,"Dill leaves, dry",Meal_entry_week_2!K$11:K$496)&gt;0,SUMIF(Meal_entry_week_2!H$11:H$496,"Dill leaves, dry",Meal_entry_week_2!K$11:K$496),"")</f>
        <v/>
      </c>
      <c r="F278" s="407" t="str">
        <f t="shared" si="5"/>
        <v/>
      </c>
      <c r="G278" s="444"/>
    </row>
    <row r="279" spans="1:7" s="749" customFormat="1">
      <c r="A279" s="444"/>
      <c r="B279" s="491" t="s">
        <v>3076</v>
      </c>
      <c r="C279" s="749" t="s">
        <v>3305</v>
      </c>
      <c r="D279" s="421" t="str">
        <f>_xlfn.IFNA(IF(VLOOKUP($C279,Ingredient_prices!$E:$F,2,FALSE)="Партија 2","Lot 2","Lot 1"),"")</f>
        <v/>
      </c>
      <c r="E279" s="407" t="str">
        <f>IF(SUMIF(Meal_entry_week_2!H$11:H$496,"Dill leaves, fresh",Meal_entry_week_2!K$11:K$496)&gt;0,SUMIF(Meal_entry_week_2!H$11:H$496,"Dill leaves, fresh",Meal_entry_week_2!K$11:K$496),"")</f>
        <v/>
      </c>
      <c r="F279" s="407" t="str">
        <f t="shared" si="5"/>
        <v/>
      </c>
      <c r="G279" s="444"/>
    </row>
    <row r="280" spans="1:7">
      <c r="B280" s="491" t="s">
        <v>3076</v>
      </c>
      <c r="C280" s="749" t="s">
        <v>3295</v>
      </c>
      <c r="D280" s="421" t="str">
        <f>_xlfn.IFNA(IF(VLOOKUP($C280,Ingredient_prices!$E:$F,2,FALSE)="Партија 2","Lot 2","Lot 1"),"")</f>
        <v/>
      </c>
      <c r="E280" s="407" t="str">
        <f>IF(SUMIF(Meal_entry_week_2!H$11:H$496,"Garlic in granules",Meal_entry_week_2!K$11:K$496)&gt;0,SUMIF(Meal_entry_week_2!H$11:H$496,"Garlic in granules",Meal_entry_week_2!K$11:K$496),"")</f>
        <v/>
      </c>
      <c r="F280" s="407" t="str">
        <f t="shared" si="5"/>
        <v/>
      </c>
    </row>
    <row r="281" spans="1:7">
      <c r="B281" s="491" t="s">
        <v>3076</v>
      </c>
      <c r="C281" s="749" t="s">
        <v>3296</v>
      </c>
      <c r="D281" s="421" t="str">
        <f>_xlfn.IFNA(IF(VLOOKUP($C281,Ingredient_prices!$E:$F,2,FALSE)="Партија 2","Lot 2","Lot 1"),"")</f>
        <v>Lot 2</v>
      </c>
      <c r="E281" s="407" t="str">
        <f>IF(SUMIF(Meal_entry_week_2!H$11:H$496,"Ground pepper",Meal_entry_week_2!K$11:K$496)&gt;0,SUMIF(Meal_entry_week_2!H$11:H$496,"Ground pepper",Meal_entry_week_2!K$11:K$496),"")</f>
        <v/>
      </c>
      <c r="F281" s="407" t="str">
        <f t="shared" si="5"/>
        <v/>
      </c>
    </row>
    <row r="282" spans="1:7">
      <c r="B282" s="491" t="s">
        <v>3076</v>
      </c>
      <c r="C282" s="749" t="s">
        <v>3513</v>
      </c>
      <c r="D282" s="421" t="str">
        <f>_xlfn.IFNA(IF(VLOOKUP($C282,Ingredient_prices!$E:$F,2,FALSE)="Партија 2","Lot 2","Lot 1"),"")</f>
        <v>Lot 2</v>
      </c>
      <c r="E282" s="407" t="str">
        <f>IF(SUMIF(Meal_entry_week_2!H$11:H$496,"Meal supplement/Vegeta",Meal_entry_week_2!K$11:K$496)&gt;0,SUMIF(Meal_entry_week_2!H$11:H$496,"Meal supplement/Vegeta",Meal_entry_week_2!K$11:K$496),"")</f>
        <v/>
      </c>
      <c r="F282" s="407" t="str">
        <f t="shared" si="5"/>
        <v/>
      </c>
    </row>
    <row r="283" spans="1:7" s="749" customFormat="1">
      <c r="A283" s="444"/>
      <c r="B283" s="491" t="s">
        <v>3076</v>
      </c>
      <c r="C283" s="749" t="s">
        <v>3306</v>
      </c>
      <c r="D283" s="421" t="str">
        <f>_xlfn.IFNA(IF(VLOOKUP($C283,Ingredient_prices!$E:$F,2,FALSE)="Партија 2","Lot 2","Lot 1"),"")</f>
        <v/>
      </c>
      <c r="E283" s="407" t="str">
        <f>IF(SUMIF(Meal_entry_week_2!H$11:H$496,"Mint leaves dried",Meal_entry_week_2!K$11:K$496)&gt;0,SUMIF(Meal_entry_week_2!H$11:H$496,"Mint leaves dried",Meal_entry_week_2!K$11:K$496),"")</f>
        <v/>
      </c>
      <c r="F283" s="407" t="str">
        <f t="shared" si="5"/>
        <v/>
      </c>
      <c r="G283" s="444"/>
    </row>
    <row r="284" spans="1:7">
      <c r="B284" s="491" t="s">
        <v>3076</v>
      </c>
      <c r="C284" s="749" t="s">
        <v>3298</v>
      </c>
      <c r="D284" s="421" t="str">
        <f>_xlfn.IFNA(IF(VLOOKUP($C284,Ingredient_prices!$E:$F,2,FALSE)="Партија 2","Lot 2","Lot 1"),"")</f>
        <v>Lot 2</v>
      </c>
      <c r="E284" s="407" t="str">
        <f>IF(SUMIF(Meal_entry_week_2!H$11:H$496,"Oregano, dry",Meal_entry_week_2!K$11:K$496)&gt;0,SUMIF(Meal_entry_week_2!H$11:H$496,"Oregano, dry",Meal_entry_week_2!K$11:K$496),"")</f>
        <v/>
      </c>
      <c r="F284" s="407" t="str">
        <f t="shared" si="5"/>
        <v/>
      </c>
    </row>
    <row r="285" spans="1:7">
      <c r="B285" s="491" t="s">
        <v>3076</v>
      </c>
      <c r="C285" s="749" t="s">
        <v>3299</v>
      </c>
      <c r="D285" s="421" t="str">
        <f>_xlfn.IFNA(IF(VLOOKUP($C285,Ingredient_prices!$E:$F,2,FALSE)="Партија 2","Lot 2","Lot 1"),"")</f>
        <v>Lot 2</v>
      </c>
      <c r="E285" s="407" t="str">
        <f>IF(SUMIF(Meal_entry_week_2!H$11:H$496,"Parsley leaf, dry",Meal_entry_week_2!K$11:K$496)&gt;0,SUMIF(Meal_entry_week_2!H$11:H$496,"Parsley leaf, dry",Meal_entry_week_2!K$11:K$496),"")</f>
        <v/>
      </c>
      <c r="F285" s="407" t="str">
        <f t="shared" si="5"/>
        <v/>
      </c>
    </row>
    <row r="286" spans="1:7">
      <c r="B286" s="491" t="s">
        <v>3076</v>
      </c>
      <c r="C286" s="749" t="s">
        <v>3514</v>
      </c>
      <c r="D286" s="421" t="str">
        <f>_xlfn.IFNA(IF(VLOOKUP($C286,Ingredient_prices!$E:$F,2,FALSE)="Партија 2","Lot 2","Lot 1"),"")</f>
        <v/>
      </c>
      <c r="E286" s="407" t="str">
        <f>IF(SUMIF(Meal_entry_week_2!H$11:H$496,"Pepper corns",Meal_entry_week_2!K$11:K$496)&gt;0,SUMIF(Meal_entry_week_2!H$11:H$496,"Pepper corns",Meal_entry_week_2!K$11:K$496),"")</f>
        <v/>
      </c>
      <c r="F286" s="407" t="str">
        <f t="shared" si="5"/>
        <v/>
      </c>
    </row>
    <row r="287" spans="1:7">
      <c r="B287" s="491" t="s">
        <v>3076</v>
      </c>
      <c r="C287" s="749" t="s">
        <v>3249</v>
      </c>
      <c r="D287" s="421" t="str">
        <f>_xlfn.IFNA(IF(VLOOKUP($C287,Ingredient_prices!$E:$F,2,FALSE)="Партија 2","Lot 2","Lot 1"),"")</f>
        <v>Lot 2</v>
      </c>
      <c r="E287" s="407" t="str">
        <f>IF(SUMIF(Meal_entry_week_2!H$11:H$496,"Poppy seeds",Meal_entry_week_2!K$11:K$496)&gt;0,SUMIF(Meal_entry_week_2!H$11:H$496,"Poppy seeds",Meal_entry_week_2!K$11:K$496),"")</f>
        <v/>
      </c>
      <c r="F287" s="407" t="str">
        <f t="shared" si="5"/>
        <v/>
      </c>
    </row>
    <row r="288" spans="1:7">
      <c r="B288" s="491" t="s">
        <v>3076</v>
      </c>
      <c r="C288" s="749" t="s">
        <v>3300</v>
      </c>
      <c r="D288" s="421" t="str">
        <f>_xlfn.IFNA(IF(VLOOKUP($C288,Ingredient_prices!$E:$F,2,FALSE)="Партија 2","Lot 2","Lot 1"),"")</f>
        <v/>
      </c>
      <c r="E288" s="407" t="str">
        <f>IF(SUMIF(Meal_entry_week_2!H$11:H$496,"Rosemary, dry",Meal_entry_week_2!K$11:K$496)&gt;0,SUMIF(Meal_entry_week_2!H$11:H$496,"Rosemary, dry",Meal_entry_week_2!K$11:K$496),"")</f>
        <v/>
      </c>
      <c r="F288" s="407" t="str">
        <f t="shared" si="5"/>
        <v/>
      </c>
    </row>
    <row r="289" spans="2:6">
      <c r="B289" s="491" t="s">
        <v>3076</v>
      </c>
      <c r="C289" s="749" t="s">
        <v>495</v>
      </c>
      <c r="D289" s="421" t="str">
        <f>_xlfn.IFNA(IF(VLOOKUP($C289,Ingredient_prices!$E:$F,2,FALSE)="Партија 2","Lot 2","Lot 1"),"")</f>
        <v>Lot 2</v>
      </c>
      <c r="E289" s="407">
        <f>IF(SUMIF(Meal_entry_week_2!H$11:H$496,"Salt",Meal_entry_week_2!K$11:K$496)&gt;0,SUMIF(Meal_entry_week_2!H$11:H$496,"Salt",Meal_entry_week_2!K$11:K$496),"")</f>
        <v>0.1749</v>
      </c>
      <c r="F289" s="407">
        <f t="shared" si="5"/>
        <v>0.1749</v>
      </c>
    </row>
    <row r="290" spans="2:6">
      <c r="B290" s="491" t="s">
        <v>3076</v>
      </c>
      <c r="C290" s="749" t="s">
        <v>3301</v>
      </c>
      <c r="D290" s="421" t="str">
        <f>_xlfn.IFNA(IF(VLOOKUP($C290,Ingredient_prices!$E:$F,2,FALSE)="Партија 2","Lot 2","Lot 1"),"")</f>
        <v>Lot 2</v>
      </c>
      <c r="E290" s="407">
        <f>IF(SUMIF(Meal_entry_week_2!H$11:H$496,"Spice C",Meal_entry_week_2!K$11:K$496)&gt;0,SUMIF(Meal_entry_week_2!H$11:H$496,"Spice C",Meal_entry_week_2!K$11:K$496),"")</f>
        <v>6.6000000000000003E-2</v>
      </c>
      <c r="F290" s="407">
        <f t="shared" si="5"/>
        <v>6.6000000000000003E-2</v>
      </c>
    </row>
    <row r="291" spans="2:6">
      <c r="B291" s="492" t="s">
        <v>3076</v>
      </c>
      <c r="C291" s="492" t="s">
        <v>3307</v>
      </c>
      <c r="D291" s="421" t="str">
        <f>_xlfn.IFNA(IF(VLOOKUP($C291,Ingredient_prices!$E:$F,2,FALSE)="Партија 2","Lot 2","Lot 1"),"")</f>
        <v>Lot 2</v>
      </c>
      <c r="E291" s="407" t="str">
        <f>IF(SUMIF(Meal_entry_week_2!H$11:H$496,"Sweet pepper (dry), ground",Meal_entry_week_2!K$11:K$496)&gt;0,SUMIF(Meal_entry_week_2!H$11:H$496,"Sweet pepper (dry), ground",Meal_entry_week_2!K$11:K$496),"")</f>
        <v/>
      </c>
      <c r="F291" s="407" t="str">
        <f t="shared" si="5"/>
        <v/>
      </c>
    </row>
    <row r="292" spans="2:6">
      <c r="B292" s="749" t="s">
        <v>3077</v>
      </c>
      <c r="C292" s="749" t="s">
        <v>3315</v>
      </c>
      <c r="D292" s="421" t="str">
        <f>_xlfn.IFNA(IF(VLOOKUP($C292,Ingredient_prices!$E:$F,2,FALSE)="Партија 2","Lot 2","Lot 1"),"")</f>
        <v/>
      </c>
      <c r="E292" s="407" t="str">
        <f>IF(SUMIF(Meal_entry_week_2!H$11:H$496,"Almond (dry, roasted, salt free)",Meal_entry_week_2!K$11:K$496)&gt;0,SUMIF(Meal_entry_week_2!H$11:H$496,"Almond (dry, roasted, salt free)",Meal_entry_week_2!K$11:K$496),"")</f>
        <v/>
      </c>
      <c r="F292" s="407" t="str">
        <f t="shared" si="5"/>
        <v/>
      </c>
    </row>
    <row r="293" spans="2:6">
      <c r="B293" s="749" t="s">
        <v>3077</v>
      </c>
      <c r="C293" s="749" t="s">
        <v>3308</v>
      </c>
      <c r="D293" s="421" t="str">
        <f>_xlfn.IFNA(IF(VLOOKUP($C293,Ingredient_prices!$E:$F,2,FALSE)="Партија 2","Lot 2","Lot 1"),"")</f>
        <v>Lot 2</v>
      </c>
      <c r="E293" s="407">
        <f>IF(SUMIF(Meal_entry_week_2!H$11:H$496,"Apple",Meal_entry_week_2!K$11:K$496)&gt;0,SUMIF(Meal_entry_week_2!H$11:H$496,"Apple",Meal_entry_week_2!K$11:K$496),"")</f>
        <v>68.2</v>
      </c>
      <c r="F293" s="407">
        <f t="shared" si="5"/>
        <v>68.2</v>
      </c>
    </row>
    <row r="294" spans="2:6">
      <c r="B294" s="749" t="s">
        <v>3077</v>
      </c>
      <c r="C294" s="749" t="s">
        <v>3310</v>
      </c>
      <c r="D294" s="421" t="str">
        <f>_xlfn.IFNA(IF(VLOOKUP($C294,Ingredient_prices!$E:$F,2,FALSE)="Партија 2","Lot 2","Lot 1"),"")</f>
        <v/>
      </c>
      <c r="E294" s="407" t="str">
        <f>IF(SUMIF(Meal_entry_week_2!H$11:H$496,"Apple, Gala",Meal_entry_week_2!K$11:K$496)&gt;0,SUMIF(Meal_entry_week_2!H$11:H$496,"Apple, Gala",Meal_entry_week_2!K$11:K$496),"")</f>
        <v/>
      </c>
      <c r="F294" s="407" t="str">
        <f t="shared" si="5"/>
        <v/>
      </c>
    </row>
    <row r="295" spans="2:6">
      <c r="B295" s="749" t="s">
        <v>3077</v>
      </c>
      <c r="C295" s="749" t="s">
        <v>3312</v>
      </c>
      <c r="D295" s="421" t="str">
        <f>_xlfn.IFNA(IF(VLOOKUP($C295,Ingredient_prices!$E:$F,2,FALSE)="Партија 2","Lot 2","Lot 1"),"")</f>
        <v/>
      </c>
      <c r="E295" s="407" t="str">
        <f>IF(SUMIF(Meal_entry_week_2!H$11:H$496,"Apple, Golden Delicious",Meal_entry_week_2!K$11:K$496)&gt;0,SUMIF(Meal_entry_week_2!H$11:H$496,"Apple, Golden Delicious",Meal_entry_week_2!K$11:K$496),"")</f>
        <v/>
      </c>
      <c r="F295" s="407" t="str">
        <f t="shared" si="5"/>
        <v/>
      </c>
    </row>
    <row r="296" spans="2:6">
      <c r="B296" s="749" t="s">
        <v>3077</v>
      </c>
      <c r="C296" s="749" t="s">
        <v>3311</v>
      </c>
      <c r="D296" s="421" t="str">
        <f>_xlfn.IFNA(IF(VLOOKUP($C296,Ingredient_prices!$E:$F,2,FALSE)="Партија 2","Lot 2","Lot 1"),"")</f>
        <v/>
      </c>
      <c r="E296" s="407" t="str">
        <f>IF(SUMIF(Meal_entry_week_2!H$11:H$496,"Apple, Granny Smith",Meal_entry_week_2!K$11:K$496)&gt;0,SUMIF(Meal_entry_week_2!H$11:H$496,"Apple, Granny Smith",Meal_entry_week_2!K$11:K$496),"")</f>
        <v/>
      </c>
      <c r="F296" s="407" t="str">
        <f t="shared" si="5"/>
        <v/>
      </c>
    </row>
    <row r="297" spans="2:6">
      <c r="B297" s="749" t="s">
        <v>3077</v>
      </c>
      <c r="C297" s="749" t="s">
        <v>3309</v>
      </c>
      <c r="D297" s="421" t="str">
        <f>_xlfn.IFNA(IF(VLOOKUP($C297,Ingredient_prices!$E:$F,2,FALSE)="Партија 2","Lot 2","Lot 1"),"")</f>
        <v/>
      </c>
      <c r="E297" s="407" t="str">
        <f>IF(SUMIF(Meal_entry_week_2!H$11:H$496,"Apple, Red Delicious",Meal_entry_week_2!K$11:K$496)&gt;0,SUMIF(Meal_entry_week_2!H$11:H$496,"Apple, Red Delicious",Meal_entry_week_2!K$11:K$496),"")</f>
        <v/>
      </c>
      <c r="F297" s="407" t="str">
        <f t="shared" si="5"/>
        <v/>
      </c>
    </row>
    <row r="298" spans="2:6">
      <c r="B298" s="749" t="s">
        <v>3077</v>
      </c>
      <c r="C298" s="749" t="s">
        <v>1779</v>
      </c>
      <c r="D298" s="421" t="str">
        <f>_xlfn.IFNA(IF(VLOOKUP($C298,Ingredient_prices!$E:$F,2,FALSE)="Партија 2","Lot 2","Lot 1"),"")</f>
        <v/>
      </c>
      <c r="E298" s="407" t="str">
        <f>IF(SUMIF(Meal_entry_week_2!H$11:H$496,"Apricot",Meal_entry_week_2!K$11:K$496)&gt;0,SUMIF(Meal_entry_week_2!H$11:H$496,"Apricot",Meal_entry_week_2!K$11:K$496),"")</f>
        <v/>
      </c>
      <c r="F298" s="407" t="str">
        <f t="shared" si="5"/>
        <v/>
      </c>
    </row>
    <row r="299" spans="2:6">
      <c r="B299" s="749" t="s">
        <v>3077</v>
      </c>
      <c r="C299" s="749" t="s">
        <v>27</v>
      </c>
      <c r="D299" s="421" t="str">
        <f>_xlfn.IFNA(IF(VLOOKUP($C299,Ingredient_prices!$E:$F,2,FALSE)="Партија 2","Lot 2","Lot 1"),"")</f>
        <v>Lot 2</v>
      </c>
      <c r="E299" s="407" t="str">
        <f>IF(SUMIF(Meal_entry_week_2!H$11:H$496,"Banana",Meal_entry_week_2!K$11:K$496)&gt;0,SUMIF(Meal_entry_week_2!H$11:H$496,"Banana",Meal_entry_week_2!K$11:K$496),"")</f>
        <v/>
      </c>
      <c r="F299" s="407" t="str">
        <f t="shared" si="5"/>
        <v/>
      </c>
    </row>
    <row r="300" spans="2:6">
      <c r="B300" s="749" t="s">
        <v>3077</v>
      </c>
      <c r="C300" s="749" t="s">
        <v>1781</v>
      </c>
      <c r="D300" s="421" t="str">
        <f>_xlfn.IFNA(IF(VLOOKUP($C300,Ingredient_prices!$E:$F,2,FALSE)="Партија 2","Lot 2","Lot 1"),"")</f>
        <v/>
      </c>
      <c r="E300" s="407" t="str">
        <f>IF(SUMIF(Meal_entry_week_2!H$11:H$496,"Blackberries",Meal_entry_week_2!K$11:K$496)&gt;0,SUMIF(Meal_entry_week_2!H$11:H$496,"Blackberries",Meal_entry_week_2!K$11:K$496),"")</f>
        <v/>
      </c>
      <c r="F300" s="407" t="str">
        <f t="shared" si="5"/>
        <v/>
      </c>
    </row>
    <row r="301" spans="2:6">
      <c r="B301" s="749" t="s">
        <v>3077</v>
      </c>
      <c r="C301" s="749" t="s">
        <v>3323</v>
      </c>
      <c r="D301" s="421" t="str">
        <f>_xlfn.IFNA(IF(VLOOKUP($C301,Ingredient_prices!$E:$F,2,FALSE)="Партија 2","Lot 2","Lot 1"),"")</f>
        <v/>
      </c>
      <c r="E301" s="407" t="str">
        <f>IF(SUMIF(Meal_entry_week_2!H$11:H$496,"Cherries",Meal_entry_week_2!K$11:K$496)&gt;0,SUMIF(Meal_entry_week_2!H$11:H$496,"Cherries",Meal_entry_week_2!K$11:K$496),"")</f>
        <v/>
      </c>
      <c r="F301" s="407" t="str">
        <f t="shared" si="5"/>
        <v/>
      </c>
    </row>
    <row r="302" spans="2:6">
      <c r="B302" s="749" t="s">
        <v>3077</v>
      </c>
      <c r="C302" s="749" t="s">
        <v>3320</v>
      </c>
      <c r="D302" s="421" t="str">
        <f>_xlfn.IFNA(IF(VLOOKUP($C302,Ingredient_prices!$E:$F,2,FALSE)="Партија 2","Lot 2","Lot 1"),"")</f>
        <v/>
      </c>
      <c r="E302" s="407" t="str">
        <f>IF(SUMIF(Meal_entry_week_2!H$11:H$496,"Figs",Meal_entry_week_2!K$11:K$496)&gt;0,SUMIF(Meal_entry_week_2!H$11:H$496,"Figs",Meal_entry_week_2!K$11:K$496),"")</f>
        <v/>
      </c>
      <c r="F302" s="407" t="str">
        <f t="shared" si="5"/>
        <v/>
      </c>
    </row>
    <row r="303" spans="2:6">
      <c r="B303" s="749" t="s">
        <v>3077</v>
      </c>
      <c r="C303" s="749" t="s">
        <v>3321</v>
      </c>
      <c r="D303" s="421" t="str">
        <f>_xlfn.IFNA(IF(VLOOKUP($C303,Ingredient_prices!$E:$F,2,FALSE)="Партија 2","Lot 2","Lot 1"),"")</f>
        <v/>
      </c>
      <c r="E303" s="407" t="str">
        <f>IF(SUMIF(Meal_entry_week_2!H$11:H$496,"Forest fruits, frozen",Meal_entry_week_2!K$11:K$496)&gt;0,SUMIF(Meal_entry_week_2!H$11:H$496,"Forest fruits, frozen",Meal_entry_week_2!K$11:K$496),"")</f>
        <v/>
      </c>
      <c r="F303" s="407" t="str">
        <f t="shared" si="5"/>
        <v/>
      </c>
    </row>
    <row r="304" spans="2:6">
      <c r="B304" s="749" t="s">
        <v>3077</v>
      </c>
      <c r="C304" s="749" t="s">
        <v>1778</v>
      </c>
      <c r="D304" s="421" t="str">
        <f>_xlfn.IFNA(IF(VLOOKUP($C304,Ingredient_prices!$E:$F,2,FALSE)="Партија 2","Lot 2","Lot 1"),"")</f>
        <v/>
      </c>
      <c r="E304" s="407" t="str">
        <f>IF(SUMIF(Meal_entry_week_2!H$11:H$496,"Grapefruit",Meal_entry_week_2!K$11:K$496)&gt;0,SUMIF(Meal_entry_week_2!H$11:H$496,"Grapefruit",Meal_entry_week_2!K$11:K$496),"")</f>
        <v/>
      </c>
      <c r="F304" s="407" t="str">
        <f t="shared" si="5"/>
        <v/>
      </c>
    </row>
    <row r="305" spans="2:6">
      <c r="B305" s="749" t="s">
        <v>3077</v>
      </c>
      <c r="C305" s="749" t="s">
        <v>460</v>
      </c>
      <c r="D305" s="421" t="str">
        <f>_xlfn.IFNA(IF(VLOOKUP($C305,Ingredient_prices!$E:$F,2,FALSE)="Партија 2","Lot 2","Lot 1"),"")</f>
        <v>Lot 2</v>
      </c>
      <c r="E305" s="407" t="str">
        <f>IF(SUMIF(Meal_entry_week_2!H$11:H$496,"Grapes",Meal_entry_week_2!K$11:K$496)&gt;0,SUMIF(Meal_entry_week_2!H$11:H$496,"Grapes",Meal_entry_week_2!K$11:K$496),"")</f>
        <v/>
      </c>
      <c r="F305" s="407" t="str">
        <f t="shared" si="5"/>
        <v/>
      </c>
    </row>
    <row r="306" spans="2:6">
      <c r="B306" s="749" t="s">
        <v>3077</v>
      </c>
      <c r="C306" s="749" t="s">
        <v>3317</v>
      </c>
      <c r="D306" s="421" t="str">
        <f>_xlfn.IFNA(IF(VLOOKUP($C306,Ingredient_prices!$E:$F,2,FALSE)="Партија 2","Lot 2","Lot 1"),"")</f>
        <v/>
      </c>
      <c r="E306" s="407" t="str">
        <f>IF(SUMIF(Meal_entry_week_2!H$11:H$496,"Hazelnuts",Meal_entry_week_2!K$11:K$496)&gt;0,SUMIF(Meal_entry_week_2!H$11:H$496,"Hazelnuts",Meal_entry_week_2!K$11:K$496),"")</f>
        <v/>
      </c>
      <c r="F306" s="407" t="str">
        <f t="shared" si="5"/>
        <v/>
      </c>
    </row>
    <row r="307" spans="2:6">
      <c r="B307" s="749" t="s">
        <v>3077</v>
      </c>
      <c r="C307" s="749" t="s">
        <v>481</v>
      </c>
      <c r="D307" s="421" t="str">
        <f>_xlfn.IFNA(IF(VLOOKUP($C307,Ingredient_prices!$E:$F,2,FALSE)="Партија 2","Lot 2","Lot 1"),"")</f>
        <v>Lot 2</v>
      </c>
      <c r="E307" s="407" t="str">
        <f>IF(SUMIF(Meal_entry_week_2!H$11:H$496,"Kiwi fruit",Meal_entry_week_2!K$11:K$496)&gt;0,SUMIF(Meal_entry_week_2!H$11:H$496,"Kiwi fruit",Meal_entry_week_2!K$11:K$496),"")</f>
        <v/>
      </c>
      <c r="F307" s="407" t="str">
        <f t="shared" si="5"/>
        <v/>
      </c>
    </row>
    <row r="308" spans="2:6">
      <c r="B308" s="749" t="s">
        <v>3077</v>
      </c>
      <c r="C308" s="749" t="s">
        <v>1783</v>
      </c>
      <c r="D308" s="421" t="str">
        <f>_xlfn.IFNA(IF(VLOOKUP($C308,Ingredient_prices!$E:$F,2,FALSE)="Партија 2","Lot 2","Lot 1"),"")</f>
        <v>Lot 2</v>
      </c>
      <c r="E308" s="407" t="str">
        <f>IF(SUMIF(Meal_entry_week_2!H$11:H$496,"Lemon",Meal_entry_week_2!K$11:K$496)&gt;0,SUMIF(Meal_entry_week_2!H$11:H$496,"Lemon",Meal_entry_week_2!K$11:K$496),"")</f>
        <v/>
      </c>
      <c r="F308" s="407" t="str">
        <f t="shared" si="5"/>
        <v/>
      </c>
    </row>
    <row r="309" spans="2:6">
      <c r="B309" s="749" t="s">
        <v>3077</v>
      </c>
      <c r="C309" s="749" t="s">
        <v>3440</v>
      </c>
      <c r="D309" s="421" t="str">
        <f>_xlfn.IFNA(IF(VLOOKUP($C309,Ingredient_prices!$E:$F,2,FALSE)="Партија 2","Lot 2","Lot 1"),"")</f>
        <v>Lot 2</v>
      </c>
      <c r="E309" s="407" t="str">
        <f>IF(SUMIF(Meal_entry_week_2!H$11:H$496,"Mandarin orange",Meal_entry_week_2!K$11:K$496)&gt;0,SUMIF(Meal_entry_week_2!H$11:H$496,"Mandarin orange",Meal_entry_week_2!K$11:K$496),"")</f>
        <v/>
      </c>
      <c r="F309" s="407" t="str">
        <f t="shared" si="5"/>
        <v/>
      </c>
    </row>
    <row r="310" spans="2:6">
      <c r="B310" s="749" t="s">
        <v>3077</v>
      </c>
      <c r="C310" s="749" t="s">
        <v>1777</v>
      </c>
      <c r="D310" s="421" t="str">
        <f>_xlfn.IFNA(IF(VLOOKUP($C310,Ingredient_prices!$E:$F,2,FALSE)="Партија 2","Lot 2","Lot 1"),"")</f>
        <v/>
      </c>
      <c r="E310" s="407" t="str">
        <f>IF(SUMIF(Meal_entry_week_2!H$11:H$496,"Melon",Meal_entry_week_2!K$11:K$496)&gt;0,SUMIF(Meal_entry_week_2!H$11:H$496,"Melon",Meal_entry_week_2!K$11:K$496),"")</f>
        <v/>
      </c>
      <c r="F310" s="407" t="str">
        <f t="shared" si="5"/>
        <v/>
      </c>
    </row>
    <row r="311" spans="2:6">
      <c r="B311" s="749" t="s">
        <v>3077</v>
      </c>
      <c r="C311" s="749" t="s">
        <v>1791</v>
      </c>
      <c r="D311" s="421" t="str">
        <f>_xlfn.IFNA(IF(VLOOKUP($C311,Ingredient_prices!$E:$F,2,FALSE)="Партија 2","Lot 2","Lot 1"),"")</f>
        <v/>
      </c>
      <c r="E311" s="407" t="str">
        <f>IF(SUMIF(Meal_entry_week_2!H$11:H$496,"Nectarine",Meal_entry_week_2!K$11:K$496)&gt;0,SUMIF(Meal_entry_week_2!H$11:H$496,"Nectarine",Meal_entry_week_2!K$11:K$496),"")</f>
        <v/>
      </c>
      <c r="F311" s="407" t="str">
        <f t="shared" si="5"/>
        <v/>
      </c>
    </row>
    <row r="312" spans="2:6">
      <c r="B312" s="749" t="s">
        <v>3077</v>
      </c>
      <c r="C312" s="749" t="s">
        <v>1789</v>
      </c>
      <c r="D312" s="421" t="str">
        <f>_xlfn.IFNA(IF(VLOOKUP($C312,Ingredient_prices!$E:$F,2,FALSE)="Партија 2","Lot 2","Lot 1"),"")</f>
        <v/>
      </c>
      <c r="E312" s="407" t="str">
        <f>IF(SUMIF(Meal_entry_week_2!H$11:H$496,"Nutmeg",Meal_entry_week_2!K$11:K$496)&gt;0,SUMIF(Meal_entry_week_2!H$11:H$496,"Nutmeg",Meal_entry_week_2!K$11:K$496),"")</f>
        <v/>
      </c>
      <c r="F312" s="407" t="str">
        <f t="shared" si="5"/>
        <v/>
      </c>
    </row>
    <row r="313" spans="2:6">
      <c r="B313" s="749" t="s">
        <v>3077</v>
      </c>
      <c r="C313" s="749" t="s">
        <v>3318</v>
      </c>
      <c r="D313" s="421" t="str">
        <f>_xlfn.IFNA(IF(VLOOKUP($C313,Ingredient_prices!$E:$F,2,FALSE)="Партија 2","Lot 2","Lot 1"),"")</f>
        <v>Lot 2</v>
      </c>
      <c r="E313" s="407" t="str">
        <f>IF(SUMIF(Meal_entry_week_2!H$11:H$496,"Olives pasteurized",Meal_entry_week_2!K$11:K$496)&gt;0,SUMIF(Meal_entry_week_2!H$11:H$496,"Olives pasteurized",Meal_entry_week_2!K$11:K$496),"")</f>
        <v/>
      </c>
      <c r="F313" s="407" t="str">
        <f t="shared" si="5"/>
        <v/>
      </c>
    </row>
    <row r="314" spans="2:6">
      <c r="B314" s="749" t="s">
        <v>3077</v>
      </c>
      <c r="C314" s="749" t="s">
        <v>1790</v>
      </c>
      <c r="D314" s="421" t="str">
        <f>_xlfn.IFNA(IF(VLOOKUP($C314,Ingredient_prices!$E:$F,2,FALSE)="Партија 2","Lot 2","Lot 1"),"")</f>
        <v>Lot 2</v>
      </c>
      <c r="E314" s="407" t="str">
        <f>IF(SUMIF(Meal_entry_week_2!H$11:H$496,"Orange",Meal_entry_week_2!K$11:K$496)&gt;0,SUMIF(Meal_entry_week_2!H$11:H$496,"Orange",Meal_entry_week_2!K$11:K$496),"")</f>
        <v/>
      </c>
      <c r="F314" s="407" t="str">
        <f t="shared" si="5"/>
        <v/>
      </c>
    </row>
    <row r="315" spans="2:6">
      <c r="B315" s="749" t="s">
        <v>3077</v>
      </c>
      <c r="C315" s="749" t="s">
        <v>3319</v>
      </c>
      <c r="D315" s="421" t="str">
        <f>_xlfn.IFNA(IF(VLOOKUP($C315,Ingredient_prices!$E:$F,2,FALSE)="Партија 2","Lot 2","Lot 1"),"")</f>
        <v/>
      </c>
      <c r="E315" s="407" t="str">
        <f>IF(SUMIF(Meal_entry_week_2!H$11:H$496,"Oranges",Meal_entry_week_2!K$11:K$496)&gt;0,SUMIF(Meal_entry_week_2!H$11:H$496,"Oranges",Meal_entry_week_2!K$11:K$496),"")</f>
        <v/>
      </c>
      <c r="F315" s="407" t="str">
        <f t="shared" si="5"/>
        <v/>
      </c>
    </row>
    <row r="316" spans="2:6">
      <c r="B316" s="749" t="s">
        <v>3077</v>
      </c>
      <c r="C316" s="749" t="s">
        <v>1776</v>
      </c>
      <c r="D316" s="421" t="str">
        <f>_xlfn.IFNA(IF(VLOOKUP($C316,Ingredient_prices!$E:$F,2,FALSE)="Партија 2","Lot 2","Lot 1"),"")</f>
        <v/>
      </c>
      <c r="E316" s="407" t="str">
        <f>IF(SUMIF(Meal_entry_week_2!H$11:H$496,"Peach",Meal_entry_week_2!K$11:K$496)&gt;0,SUMIF(Meal_entry_week_2!H$11:H$496,"Peach",Meal_entry_week_2!K$11:K$496),"")</f>
        <v/>
      </c>
      <c r="F316" s="407" t="str">
        <f t="shared" si="5"/>
        <v/>
      </c>
    </row>
    <row r="317" spans="2:6">
      <c r="B317" s="749" t="s">
        <v>3077</v>
      </c>
      <c r="C317" s="749" t="s">
        <v>3316</v>
      </c>
      <c r="D317" s="421" t="str">
        <f>_xlfn.IFNA(IF(VLOOKUP($C317,Ingredient_prices!$E:$F,2,FALSE)="Партија 2","Lot 2","Lot 1"),"")</f>
        <v/>
      </c>
      <c r="E317" s="407" t="str">
        <f>IF(SUMIF(Meal_entry_week_2!H$11:H$496,"Peanuts, roasted, salt-free",Meal_entry_week_2!K$11:K$496)&gt;0,SUMIF(Meal_entry_week_2!H$11:H$496,"Peanuts, roasted, salt-free",Meal_entry_week_2!K$11:K$496),"")</f>
        <v/>
      </c>
      <c r="F317" s="407" t="str">
        <f t="shared" ref="F317:F380" si="6">IF(E317="","",E317/1)</f>
        <v/>
      </c>
    </row>
    <row r="318" spans="2:6">
      <c r="B318" s="749" t="s">
        <v>3077</v>
      </c>
      <c r="C318" s="749" t="s">
        <v>3313</v>
      </c>
      <c r="D318" s="421" t="str">
        <f>_xlfn.IFNA(IF(VLOOKUP($C318,Ingredient_prices!$E:$F,2,FALSE)="Партија 2","Lot 2","Lot 1"),"")</f>
        <v>Lot 2</v>
      </c>
      <c r="E318" s="407" t="str">
        <f>IF(SUMIF(Meal_entry_week_2!H$11:H$496,"Pear",Meal_entry_week_2!K$11:K$496)&gt;0,SUMIF(Meal_entry_week_2!H$11:H$496,"Pear",Meal_entry_week_2!K$11:K$496),"")</f>
        <v/>
      </c>
      <c r="F318" s="407" t="str">
        <f t="shared" si="6"/>
        <v/>
      </c>
    </row>
    <row r="319" spans="2:6">
      <c r="B319" s="749" t="s">
        <v>3077</v>
      </c>
      <c r="C319" s="749" t="s">
        <v>1773</v>
      </c>
      <c r="D319" s="421" t="str">
        <f>_xlfn.IFNA(IF(VLOOKUP($C319,Ingredient_prices!$E:$F,2,FALSE)="Партија 2","Lot 2","Lot 1"),"")</f>
        <v/>
      </c>
      <c r="E319" s="407" t="str">
        <f>IF(SUMIF(Meal_entry_week_2!H$11:H$496,"Pineapple",Meal_entry_week_2!K$11:K$496)&gt;0,SUMIF(Meal_entry_week_2!H$11:H$496,"Pineapple",Meal_entry_week_2!K$11:K$496),"")</f>
        <v/>
      </c>
      <c r="F319" s="407" t="str">
        <f t="shared" si="6"/>
        <v/>
      </c>
    </row>
    <row r="320" spans="2:6">
      <c r="B320" s="749" t="s">
        <v>3077</v>
      </c>
      <c r="C320" s="749" t="s">
        <v>467</v>
      </c>
      <c r="D320" s="421" t="str">
        <f>_xlfn.IFNA(IF(VLOOKUP($C320,Ingredient_prices!$E:$F,2,FALSE)="Партија 2","Lot 2","Lot 1"),"")</f>
        <v/>
      </c>
      <c r="E320" s="407" t="str">
        <f>IF(SUMIF(Meal_entry_week_2!H$11:H$496,"Plums",Meal_entry_week_2!K$11:K$496)&gt;0,SUMIF(Meal_entry_week_2!H$11:H$496,"Plums",Meal_entry_week_2!K$11:K$496),"")</f>
        <v/>
      </c>
      <c r="F320" s="407" t="str">
        <f t="shared" si="6"/>
        <v/>
      </c>
    </row>
    <row r="321" spans="2:6">
      <c r="B321" s="749" t="s">
        <v>3077</v>
      </c>
      <c r="C321" s="749" t="s">
        <v>3314</v>
      </c>
      <c r="D321" s="421" t="str">
        <f>_xlfn.IFNA(IF(VLOOKUP($C321,Ingredient_prices!$E:$F,2,FALSE)="Партија 2","Lot 2","Lot 1"),"")</f>
        <v/>
      </c>
      <c r="E321" s="407" t="str">
        <f>IF(SUMIF(Meal_entry_week_2!H$11:H$496,"Prunes",Meal_entry_week_2!K$11:K$496)&gt;0,SUMIF(Meal_entry_week_2!H$11:H$496,"Prunes",Meal_entry_week_2!K$11:K$496),"")</f>
        <v/>
      </c>
      <c r="F321" s="407" t="str">
        <f t="shared" si="6"/>
        <v/>
      </c>
    </row>
    <row r="322" spans="2:6">
      <c r="B322" s="749" t="s">
        <v>3077</v>
      </c>
      <c r="C322" s="749" t="s">
        <v>1801</v>
      </c>
      <c r="D322" s="421" t="str">
        <f>_xlfn.IFNA(IF(VLOOKUP($C322,Ingredient_prices!$E:$F,2,FALSE)="Партија 2","Lot 2","Lot 1"),"")</f>
        <v/>
      </c>
      <c r="E322" s="407" t="str">
        <f>IF(SUMIF(Meal_entry_week_2!H$11:H$496,"Quince",Meal_entry_week_2!K$11:K$496)&gt;0,SUMIF(Meal_entry_week_2!H$11:H$496,"Quince",Meal_entry_week_2!K$11:K$496),"")</f>
        <v/>
      </c>
      <c r="F322" s="407" t="str">
        <f t="shared" si="6"/>
        <v/>
      </c>
    </row>
    <row r="323" spans="2:6">
      <c r="B323" s="749" t="s">
        <v>3077</v>
      </c>
      <c r="C323" s="749" t="s">
        <v>3322</v>
      </c>
      <c r="D323" s="421" t="str">
        <f>_xlfn.IFNA(IF(VLOOKUP($C323,Ingredient_prices!$E:$F,2,FALSE)="Партија 2","Lot 2","Lot 1"),"")</f>
        <v>Lot 2</v>
      </c>
      <c r="E323" s="407" t="str">
        <f>IF(SUMIF(Meal_entry_week_2!H$11:H$496,"Raisins (dried grapes)",Meal_entry_week_2!K$11:K$496)&gt;0,SUMIF(Meal_entry_week_2!H$11:H$496,"Raisins (dried grapes)",Meal_entry_week_2!K$11:K$496),"")</f>
        <v/>
      </c>
      <c r="F323" s="407" t="str">
        <f t="shared" si="6"/>
        <v/>
      </c>
    </row>
    <row r="324" spans="2:6">
      <c r="B324" s="749" t="s">
        <v>3077</v>
      </c>
      <c r="C324" s="749" t="s">
        <v>1786</v>
      </c>
      <c r="D324" s="421" t="str">
        <f>_xlfn.IFNA(IF(VLOOKUP($C324,Ingredient_prices!$E:$F,2,FALSE)="Партија 2","Lot 2","Lot 1"),"")</f>
        <v/>
      </c>
      <c r="E324" s="407" t="str">
        <f>IF(SUMIF(Meal_entry_week_2!H$11:H$496,"Raspberries",Meal_entry_week_2!K$11:K$496)&gt;0,SUMIF(Meal_entry_week_2!H$11:H$496,"Raspberries",Meal_entry_week_2!K$11:K$496),"")</f>
        <v/>
      </c>
      <c r="F324" s="407" t="str">
        <f t="shared" si="6"/>
        <v/>
      </c>
    </row>
    <row r="325" spans="2:6">
      <c r="B325" s="749" t="s">
        <v>3077</v>
      </c>
      <c r="C325" s="749" t="s">
        <v>3324</v>
      </c>
      <c r="D325" s="421" t="str">
        <f>_xlfn.IFNA(IF(VLOOKUP($C325,Ingredient_prices!$E:$F,2,FALSE)="Партија 2","Lot 2","Lot 1"),"")</f>
        <v>Lot 2</v>
      </c>
      <c r="E325" s="407" t="str">
        <f>IF(SUMIF(Meal_entry_week_2!H$11:H$496,"Sour cherries, frozen",Meal_entry_week_2!K$11:K$496)&gt;0,SUMIF(Meal_entry_week_2!H$11:H$496,"Sour cherries, frozen",Meal_entry_week_2!K$11:K$496),"")</f>
        <v/>
      </c>
      <c r="F325" s="407" t="str">
        <f t="shared" si="6"/>
        <v/>
      </c>
    </row>
    <row r="326" spans="2:6">
      <c r="B326" s="749" t="s">
        <v>3077</v>
      </c>
      <c r="C326" s="749" t="s">
        <v>468</v>
      </c>
      <c r="D326" s="421" t="str">
        <f>_xlfn.IFNA(IF(VLOOKUP($C326,Ingredient_prices!$E:$F,2,FALSE)="Партија 2","Lot 2","Lot 1"),"")</f>
        <v>Lot 2</v>
      </c>
      <c r="E326" s="407" t="str">
        <f>IF(SUMIF(Meal_entry_week_2!H$11:H$496,"Strawberries",Meal_entry_week_2!K$11:K$496)&gt;0,SUMIF(Meal_entry_week_2!H$11:H$496,"Strawberries",Meal_entry_week_2!K$11:K$496),"")</f>
        <v/>
      </c>
      <c r="F326" s="407" t="str">
        <f t="shared" si="6"/>
        <v/>
      </c>
    </row>
    <row r="327" spans="2:6">
      <c r="B327" s="749" t="s">
        <v>3077</v>
      </c>
      <c r="C327" s="749" t="s">
        <v>1792</v>
      </c>
      <c r="D327" s="421" t="str">
        <f>_xlfn.IFNA(IF(VLOOKUP($C327,Ingredient_prices!$E:$F,2,FALSE)="Партија 2","Lot 2","Lot 1"),"")</f>
        <v>Lot 2</v>
      </c>
      <c r="E327" s="407" t="str">
        <f>IF(SUMIF(Meal_entry_week_2!H$11:H$496,"Walnuts",Meal_entry_week_2!K$11:K$496)&gt;0,SUMIF(Meal_entry_week_2!H$11:H$496,"Walnuts",Meal_entry_week_2!K$11:K$496),"")</f>
        <v/>
      </c>
      <c r="F327" s="407" t="str">
        <f t="shared" si="6"/>
        <v/>
      </c>
    </row>
    <row r="328" spans="2:6">
      <c r="B328" s="492" t="s">
        <v>3077</v>
      </c>
      <c r="C328" s="492" t="s">
        <v>1785</v>
      </c>
      <c r="D328" s="421" t="str">
        <f>_xlfn.IFNA(IF(VLOOKUP($C328,Ingredient_prices!$E:$F,2,FALSE)="Партија 2","Lot 2","Lot 1"),"")</f>
        <v/>
      </c>
      <c r="E328" s="407" t="str">
        <f>IF(SUMIF(Meal_entry_week_2!H$11:H$496,"Watermelon",Meal_entry_week_2!K$11:K$496)&gt;0,SUMIF(Meal_entry_week_2!H$11:H$496,"Watermelon",Meal_entry_week_2!K$11:K$496),"")</f>
        <v/>
      </c>
      <c r="F328" s="407" t="str">
        <f t="shared" si="6"/>
        <v/>
      </c>
    </row>
    <row r="329" spans="2:6">
      <c r="B329" s="491" t="s">
        <v>3078</v>
      </c>
      <c r="C329" s="749" t="s">
        <v>3342</v>
      </c>
      <c r="D329" s="421" t="str">
        <f>_xlfn.IFNA(IF(VLOOKUP($C329,Ingredient_prices!$E:$F,2,FALSE)="Партија 2","Lot 2","Lot 1"),"")</f>
        <v/>
      </c>
      <c r="E329" s="407" t="str">
        <f>IF(SUMIF(Meal_entry_week_2!H$11:H$496,"7 days cake bar",Meal_entry_week_2!K$11:K$496)&gt;0,SUMIF(Meal_entry_week_2!H$11:H$496,"7 days cake bar",Meal_entry_week_2!K$11:K$496),"")</f>
        <v/>
      </c>
      <c r="F329" s="407" t="str">
        <f t="shared" si="6"/>
        <v/>
      </c>
    </row>
    <row r="330" spans="2:6">
      <c r="B330" s="491" t="s">
        <v>3078</v>
      </c>
      <c r="C330" s="749" t="s">
        <v>3480</v>
      </c>
      <c r="D330" s="421" t="str">
        <f>_xlfn.IFNA(IF(VLOOKUP($C330,Ingredient_prices!$E:$F,2,FALSE)="Партија 2","Lot 2","Lot 1"),"")</f>
        <v/>
      </c>
      <c r="E330" s="407" t="str">
        <f>IF(SUMIF(Meal_entry_week_2!H$11:H$496,"Apple cake",Meal_entry_week_2!K$11:K$496)&gt;0,SUMIF(Meal_entry_week_2!H$11:H$496,"Apple cake",Meal_entry_week_2!K$11:K$496),"")</f>
        <v/>
      </c>
      <c r="F330" s="407" t="str">
        <f t="shared" si="6"/>
        <v/>
      </c>
    </row>
    <row r="331" spans="2:6">
      <c r="B331" s="491" t="s">
        <v>3078</v>
      </c>
      <c r="C331" s="749" t="s">
        <v>3363</v>
      </c>
      <c r="D331" s="421" t="str">
        <f>_xlfn.IFNA(IF(VLOOKUP($C331,Ingredient_prices!$E:$F,2,FALSE)="Партија 2","Lot 2","Lot 1"),"")</f>
        <v>Lot 2</v>
      </c>
      <c r="E331" s="407" t="str">
        <f>IF(SUMIF(Meal_entry_week_2!H$11:H$496,"Apricot filling",Meal_entry_week_2!K$11:K$496)&gt;0,SUMIF(Meal_entry_week_2!H$11:H$496,"Apricot filling",Meal_entry_week_2!K$11:K$496),"")</f>
        <v/>
      </c>
      <c r="F331" s="407" t="str">
        <f t="shared" si="6"/>
        <v/>
      </c>
    </row>
    <row r="332" spans="2:6">
      <c r="B332" s="491" t="s">
        <v>3078</v>
      </c>
      <c r="C332" s="749" t="s">
        <v>510</v>
      </c>
      <c r="D332" s="421" t="str">
        <f>_xlfn.IFNA(IF(VLOOKUP($C332,Ingredient_prices!$E:$F,2,FALSE)="Партија 2","Lot 2","Lot 1"),"")</f>
        <v>Lot 2</v>
      </c>
      <c r="E332" s="407" t="str">
        <f>IF(SUMIF(Meal_entry_week_2!H$11:H$496,"Apricot jam",Meal_entry_week_2!K$11:K$496)&gt;0,SUMIF(Meal_entry_week_2!H$11:H$496,"Apricot jam",Meal_entry_week_2!K$11:K$496),"")</f>
        <v/>
      </c>
      <c r="F332" s="407" t="str">
        <f t="shared" si="6"/>
        <v/>
      </c>
    </row>
    <row r="333" spans="2:6">
      <c r="B333" s="491" t="s">
        <v>3078</v>
      </c>
      <c r="C333" s="749" t="s">
        <v>3479</v>
      </c>
      <c r="D333" s="421" t="str">
        <f>_xlfn.IFNA(IF(VLOOKUP($C333,Ingredient_prices!$E:$F,2,FALSE)="Партија 2","Lot 2","Lot 1"),"")</f>
        <v/>
      </c>
      <c r="E333" s="407" t="str">
        <f>IF(SUMIF(Meal_entry_week_2!H$11:H$496,"Apricot compote",Meal_entry_week_2!K$11:K$496)&gt;0,SUMIF(Meal_entry_week_2!H$11:H$496,"Apricot compote",Meal_entry_week_2!K$11:K$496),"")</f>
        <v/>
      </c>
      <c r="F333" s="407" t="str">
        <f t="shared" si="6"/>
        <v/>
      </c>
    </row>
    <row r="334" spans="2:6">
      <c r="B334" s="491" t="s">
        <v>3078</v>
      </c>
      <c r="C334" s="749" t="s">
        <v>3350</v>
      </c>
      <c r="D334" s="421" t="str">
        <f>_xlfn.IFNA(IF(VLOOKUP($C334,Ingredient_prices!$E:$F,2,FALSE)="Партија 2","Lot 2","Lot 1"),"")</f>
        <v/>
      </c>
      <c r="E334" s="407" t="str">
        <f>IF(SUMIF(Meal_entry_week_2!H$11:H$496,"Biscuit Petit beurre",Meal_entry_week_2!K$11:K$496)&gt;0,SUMIF(Meal_entry_week_2!H$11:H$496,"Biscuit Petit beurre",Meal_entry_week_2!K$11:K$496),"")</f>
        <v/>
      </c>
      <c r="F334" s="407" t="str">
        <f t="shared" si="6"/>
        <v/>
      </c>
    </row>
    <row r="335" spans="2:6">
      <c r="B335" s="491" t="s">
        <v>3078</v>
      </c>
      <c r="C335" s="749" t="s">
        <v>3352</v>
      </c>
      <c r="D335" s="421" t="str">
        <f>_xlfn.IFNA(IF(VLOOKUP($C335,Ingredient_prices!$E:$F,2,FALSE)="Партија 2","Lot 2","Lot 1"),"")</f>
        <v/>
      </c>
      <c r="E335" s="407" t="str">
        <f>IF(SUMIF(Meal_entry_week_2!H$11:H$496,"Biscuit Wellness wholemeal with chocolate",Meal_entry_week_2!K$11:K$496)&gt;0,SUMIF(Meal_entry_week_2!H$11:H$496,"Biscuit Wellness wholemeal with chocolate",Meal_entry_week_2!K$11:K$496),"")</f>
        <v/>
      </c>
      <c r="F335" s="407" t="str">
        <f t="shared" si="6"/>
        <v/>
      </c>
    </row>
    <row r="336" spans="2:6">
      <c r="B336" s="491" t="s">
        <v>3078</v>
      </c>
      <c r="C336" s="749" t="s">
        <v>3349</v>
      </c>
      <c r="D336" s="421" t="str">
        <f>_xlfn.IFNA(IF(VLOOKUP($C336,Ingredient_prices!$E:$F,2,FALSE)="Партија 2","Lot 2","Lot 1"),"")</f>
        <v/>
      </c>
      <c r="E336" s="407" t="str">
        <f>IF(SUMIF(Meal_entry_week_2!H$11:H$496,"Biscuit wholemeal",Meal_entry_week_2!K$11:K$496)&gt;0,SUMIF(Meal_entry_week_2!H$11:H$496,"Biscuit wholemeal",Meal_entry_week_2!K$11:K$496),"")</f>
        <v/>
      </c>
      <c r="F336" s="407" t="str">
        <f t="shared" si="6"/>
        <v/>
      </c>
    </row>
    <row r="337" spans="1:7">
      <c r="B337" s="491" t="s">
        <v>3078</v>
      </c>
      <c r="C337" s="749" t="s">
        <v>3343</v>
      </c>
      <c r="D337" s="421" t="str">
        <f>_xlfn.IFNA(IF(VLOOKUP($C337,Ingredient_prices!$E:$F,2,FALSE)="Партија 2","Lot 2","Lot 1"),"")</f>
        <v/>
      </c>
      <c r="E337" s="407" t="str">
        <f>IF(SUMIF(Meal_entry_week_2!H$11:H$496,"Boiled sweets",Meal_entry_week_2!K$11:K$496)&gt;0,SUMIF(Meal_entry_week_2!H$11:H$496,"Boiled sweets",Meal_entry_week_2!K$11:K$496),"")</f>
        <v/>
      </c>
      <c r="F337" s="407" t="str">
        <f t="shared" si="6"/>
        <v/>
      </c>
    </row>
    <row r="338" spans="1:7">
      <c r="B338" s="491" t="s">
        <v>3078</v>
      </c>
      <c r="C338" s="749" t="s">
        <v>3333</v>
      </c>
      <c r="D338" s="421" t="str">
        <f>_xlfn.IFNA(IF(VLOOKUP($C338,Ingredient_prices!$E:$F,2,FALSE)="Партија 2","Lot 2","Lot 1"),"")</f>
        <v/>
      </c>
      <c r="E338" s="407" t="str">
        <f>IF(SUMIF(Meal_entry_week_2!H$11:H$496,"Caramel hazelnut",Meal_entry_week_2!K$11:K$496)&gt;0,SUMIF(Meal_entry_week_2!H$11:H$496,"Caramel hazelnut",Meal_entry_week_2!K$11:K$496),"")</f>
        <v/>
      </c>
      <c r="F338" s="407" t="str">
        <f t="shared" si="6"/>
        <v/>
      </c>
    </row>
    <row r="339" spans="1:7">
      <c r="B339" s="491" t="s">
        <v>3078</v>
      </c>
      <c r="C339" s="749" t="s">
        <v>3477</v>
      </c>
      <c r="D339" s="421" t="str">
        <f>_xlfn.IFNA(IF(VLOOKUP($C339,Ingredient_prices!$E:$F,2,FALSE)="Партија 2","Lot 2","Lot 1"),"")</f>
        <v/>
      </c>
      <c r="E339" s="407" t="str">
        <f>IF(SUMIF(Meal_entry_week_2!H$11:H$496,"Cereal bar Bonzita",Meal_entry_week_2!K$11:K$496)&gt;0,SUMIF(Meal_entry_week_2!H$11:H$496,"Cereal bar Bonzita",Meal_entry_week_2!K$11:K$496),"")</f>
        <v/>
      </c>
      <c r="F339" s="407" t="str">
        <f t="shared" si="6"/>
        <v/>
      </c>
    </row>
    <row r="340" spans="1:7" s="749" customFormat="1">
      <c r="A340" s="444"/>
      <c r="B340" s="491" t="s">
        <v>3078</v>
      </c>
      <c r="C340" s="749" t="s">
        <v>3364</v>
      </c>
      <c r="D340" s="421" t="str">
        <f>_xlfn.IFNA(IF(VLOOKUP($C340,Ingredient_prices!$E:$F,2,FALSE)="Партија 2","Lot 2","Lot 1"),"")</f>
        <v>Lot 2</v>
      </c>
      <c r="E340" s="407" t="str">
        <f>IF(SUMIF(Meal_entry_week_2!H$11:H$496,"Cherry filling",Meal_entry_week_2!K$11:K$496)&gt;0,SUMIF(Meal_entry_week_2!H$11:H$496,"Cherry filling",Meal_entry_week_2!K$11:K$496),"")</f>
        <v/>
      </c>
      <c r="F340" s="407" t="str">
        <f t="shared" si="6"/>
        <v/>
      </c>
      <c r="G340" s="444"/>
    </row>
    <row r="341" spans="1:7">
      <c r="B341" s="491" t="s">
        <v>3078</v>
      </c>
      <c r="C341" s="749" t="s">
        <v>2261</v>
      </c>
      <c r="D341" s="421" t="str">
        <f>_xlfn.IFNA(IF(VLOOKUP($C341,Ingredient_prices!$E:$F,2,FALSE)="Партија 2","Lot 2","Lot 1"),"")</f>
        <v/>
      </c>
      <c r="E341" s="407" t="str">
        <f>IF(SUMIF(Meal_entry_week_2!H$11:H$496,"Choco o clock",Meal_entry_week_2!K$11:K$496)&gt;0,SUMIF(Meal_entry_week_2!H$11:H$496,"Choco o clock",Meal_entry_week_2!K$11:K$496),"")</f>
        <v/>
      </c>
      <c r="F341" s="407" t="str">
        <f t="shared" si="6"/>
        <v/>
      </c>
    </row>
    <row r="342" spans="1:7">
      <c r="B342" s="491" t="s">
        <v>3078</v>
      </c>
      <c r="C342" s="749" t="s">
        <v>484</v>
      </c>
      <c r="D342" s="421" t="str">
        <f>_xlfn.IFNA(IF(VLOOKUP($C342,Ingredient_prices!$E:$F,2,FALSE)="Партија 2","Lot 2","Lot 1"),"")</f>
        <v/>
      </c>
      <c r="E342" s="407" t="str">
        <f>IF(SUMIF(Meal_entry_week_2!H$11:H$496,"Chocolate",Meal_entry_week_2!K$11:K$496)&gt;0,SUMIF(Meal_entry_week_2!H$11:H$496,"Chocolate",Meal_entry_week_2!K$11:K$496),"")</f>
        <v/>
      </c>
      <c r="F342" s="407" t="str">
        <f t="shared" si="6"/>
        <v/>
      </c>
    </row>
    <row r="343" spans="1:7">
      <c r="B343" s="491" t="s">
        <v>3078</v>
      </c>
      <c r="C343" s="749" t="s">
        <v>3345</v>
      </c>
      <c r="D343" s="421" t="str">
        <f>_xlfn.IFNA(IF(VLOOKUP($C343,Ingredient_prices!$E:$F,2,FALSE)="Партија 2","Lot 2","Lot 1"),"")</f>
        <v/>
      </c>
      <c r="E343" s="407" t="str">
        <f>IF(SUMIF(Meal_entry_week_2!H$11:H$496,"Chocolate bar (banana)",Meal_entry_week_2!K$11:K$496)&gt;0,SUMIF(Meal_entry_week_2!H$11:H$496,"Chocolate bar (banana)",Meal_entry_week_2!K$11:K$496),"")</f>
        <v/>
      </c>
      <c r="F343" s="407" t="str">
        <f t="shared" si="6"/>
        <v/>
      </c>
    </row>
    <row r="344" spans="1:7">
      <c r="B344" s="491" t="s">
        <v>3078</v>
      </c>
      <c r="C344" s="749" t="s">
        <v>3348</v>
      </c>
      <c r="D344" s="421" t="str">
        <f>_xlfn.IFNA(IF(VLOOKUP($C344,Ingredient_prices!$E:$F,2,FALSE)="Партија 2","Lot 2","Lot 1"),"")</f>
        <v/>
      </c>
      <c r="E344" s="407" t="str">
        <f>IF(SUMIF(Meal_entry_week_2!H$11:H$496,"Chocolate bar (Fazon)",Meal_entry_week_2!K$11:K$496)&gt;0,SUMIF(Meal_entry_week_2!H$11:H$496,"Chocolate bar (Fazon)",Meal_entry_week_2!K$11:K$496),"")</f>
        <v/>
      </c>
      <c r="F344" s="407" t="str">
        <f t="shared" si="6"/>
        <v/>
      </c>
    </row>
    <row r="345" spans="1:7">
      <c r="B345" s="491" t="s">
        <v>3078</v>
      </c>
      <c r="C345" s="749" t="s">
        <v>3325</v>
      </c>
      <c r="D345" s="421" t="str">
        <f>_xlfn.IFNA(IF(VLOOKUP($C345,Ingredient_prices!$E:$F,2,FALSE)="Партија 2","Lot 2","Lot 1"),"")</f>
        <v/>
      </c>
      <c r="E345" s="407" t="str">
        <f>IF(SUMIF(Meal_entry_week_2!H$11:H$496,"Chocolate egg",Meal_entry_week_2!K$11:K$496)&gt;0,SUMIF(Meal_entry_week_2!H$11:H$496,"Chocolate egg",Meal_entry_week_2!K$11:K$496),"")</f>
        <v/>
      </c>
      <c r="F345" s="407" t="str">
        <f t="shared" si="6"/>
        <v/>
      </c>
    </row>
    <row r="346" spans="1:7">
      <c r="B346" s="491" t="s">
        <v>3078</v>
      </c>
      <c r="C346" s="749" t="s">
        <v>3328</v>
      </c>
      <c r="D346" s="421" t="str">
        <f>_xlfn.IFNA(IF(VLOOKUP($C346,Ingredient_prices!$E:$F,2,FALSE)="Партија 2","Lot 2","Lot 1"),"")</f>
        <v>Lot 2</v>
      </c>
      <c r="E346" s="407" t="str">
        <f>IF(SUMIF(Meal_entry_week_2!H$11:H$496,"Chocolate flakes",Meal_entry_week_2!K$11:K$496)&gt;0,SUMIF(Meal_entry_week_2!H$11:H$496,"Chocolate flakes",Meal_entry_week_2!K$11:K$496),"")</f>
        <v/>
      </c>
      <c r="F346" s="407" t="str">
        <f t="shared" si="6"/>
        <v/>
      </c>
    </row>
    <row r="347" spans="1:7">
      <c r="B347" s="491" t="s">
        <v>3078</v>
      </c>
      <c r="C347" s="749" t="s">
        <v>3327</v>
      </c>
      <c r="D347" s="421" t="str">
        <f>_xlfn.IFNA(IF(VLOOKUP($C347,Ingredient_prices!$E:$F,2,FALSE)="Партија 2","Lot 2","Lot 1"),"")</f>
        <v>Lot 2</v>
      </c>
      <c r="E347" s="407" t="str">
        <f>IF(SUMIF(Meal_entry_week_2!H$11:H$496,"Chocolate for cooking",Meal_entry_week_2!K$11:K$496)&gt;0,SUMIF(Meal_entry_week_2!H$11:H$496,"Chocolate for cooking",Meal_entry_week_2!K$11:K$496),"")</f>
        <v/>
      </c>
      <c r="F347" s="407" t="str">
        <f t="shared" si="6"/>
        <v/>
      </c>
    </row>
    <row r="348" spans="1:7">
      <c r="B348" s="491" t="s">
        <v>3078</v>
      </c>
      <c r="C348" s="749" t="s">
        <v>3339</v>
      </c>
      <c r="D348" s="421" t="str">
        <f>_xlfn.IFNA(IF(VLOOKUP($C348,Ingredient_prices!$E:$F,2,FALSE)="Партија 2","Lot 2","Lot 1"),"")</f>
        <v>Lot 2</v>
      </c>
      <c r="E348" s="407" t="str">
        <f>IF(SUMIF(Meal_entry_week_2!H$11:H$496,"Chocolate pudding",Meal_entry_week_2!K$11:K$496)&gt;0,SUMIF(Meal_entry_week_2!H$11:H$496,"Chocolate pudding",Meal_entry_week_2!K$11:K$496),"")</f>
        <v/>
      </c>
      <c r="F348" s="407" t="str">
        <f t="shared" si="6"/>
        <v/>
      </c>
    </row>
    <row r="349" spans="1:7" s="749" customFormat="1">
      <c r="A349" s="444"/>
      <c r="B349" s="491" t="s">
        <v>3078</v>
      </c>
      <c r="C349" s="749" t="s">
        <v>3329</v>
      </c>
      <c r="D349" s="421" t="str">
        <f>_xlfn.IFNA(IF(VLOOKUP($C349,Ingredient_prices!$E:$F,2,FALSE)="Партија 2","Lot 2","Lot 1"),"")</f>
        <v/>
      </c>
      <c r="E349" s="407" t="str">
        <f>IF(SUMIF(Meal_entry_week_2!H$11:H$496,"Chocolate spread",Meal_entry_week_2!K$11:K$496)&gt;0,SUMIF(Meal_entry_week_2!H$11:H$496,"Chocolate spread",Meal_entry_week_2!K$11:K$496),"")</f>
        <v/>
      </c>
      <c r="F349" s="407" t="str">
        <f t="shared" si="6"/>
        <v/>
      </c>
      <c r="G349" s="444"/>
    </row>
    <row r="350" spans="1:7">
      <c r="B350" s="491" t="s">
        <v>3078</v>
      </c>
      <c r="C350" s="749" t="s">
        <v>3326</v>
      </c>
      <c r="D350" s="421" t="str">
        <f>_xlfn.IFNA(IF(VLOOKUP($C350,Ingredient_prices!$E:$F,2,FALSE)="Партија 2","Lot 2","Lot 1"),"")</f>
        <v/>
      </c>
      <c r="E350" s="407" t="str">
        <f>IF(SUMIF(Meal_entry_week_2!H$11:H$496,"Chocolate with rice",Meal_entry_week_2!K$11:K$496)&gt;0,SUMIF(Meal_entry_week_2!H$11:H$496,"Chocolate with rice",Meal_entry_week_2!K$11:K$496),"")</f>
        <v/>
      </c>
      <c r="F350" s="407" t="str">
        <f t="shared" si="6"/>
        <v/>
      </c>
    </row>
    <row r="351" spans="1:7">
      <c r="B351" s="491" t="s">
        <v>3078</v>
      </c>
      <c r="C351" s="749" t="s">
        <v>1625</v>
      </c>
      <c r="D351" s="421" t="str">
        <f>_xlfn.IFNA(IF(VLOOKUP($C351,Ingredient_prices!$E:$F,2,FALSE)="Партија 2","Lot 2","Lot 1"),"")</f>
        <v/>
      </c>
      <c r="E351" s="407" t="str">
        <f>IF(SUMIF(Meal_entry_week_2!H$11:H$496,"Coco pops",Meal_entry_week_2!K$11:K$496)&gt;0,SUMIF(Meal_entry_week_2!H$11:H$496,"Coco pops",Meal_entry_week_2!K$11:K$496),"")</f>
        <v/>
      </c>
      <c r="F351" s="407" t="str">
        <f t="shared" si="6"/>
        <v/>
      </c>
    </row>
    <row r="352" spans="1:7">
      <c r="B352" s="491" t="s">
        <v>3078</v>
      </c>
      <c r="C352" s="749" t="s">
        <v>3332</v>
      </c>
      <c r="D352" s="421" t="str">
        <f>_xlfn.IFNA(IF(VLOOKUP($C352,Ingredient_prices!$E:$F,2,FALSE)="Партија 2","Lot 2","Lot 1"),"")</f>
        <v>Lot 2</v>
      </c>
      <c r="E352" s="407" t="str">
        <f>IF(SUMIF(Meal_entry_week_2!H$11:H$496,"Cocoa powder, unsweetened",Meal_entry_week_2!K$11:K$496)&gt;0,SUMIF(Meal_entry_week_2!H$11:H$496,"Cocoa powder, unsweetened",Meal_entry_week_2!K$11:K$496),"")</f>
        <v/>
      </c>
      <c r="F352" s="407" t="str">
        <f t="shared" si="6"/>
        <v/>
      </c>
    </row>
    <row r="353" spans="2:6">
      <c r="B353" s="491" t="s">
        <v>3078</v>
      </c>
      <c r="C353" s="749" t="s">
        <v>3346</v>
      </c>
      <c r="D353" s="421" t="str">
        <f>_xlfn.IFNA(IF(VLOOKUP($C353,Ingredient_prices!$E:$F,2,FALSE)="Партија 2","Lot 2","Lot 1"),"")</f>
        <v/>
      </c>
      <c r="E353" s="407" t="str">
        <f>IF(SUMIF(Meal_entry_week_2!H$11:H$496,"Coconut cakes",Meal_entry_week_2!K$11:K$496)&gt;0,SUMIF(Meal_entry_week_2!H$11:H$496,"Coconut cakes",Meal_entry_week_2!K$11:K$496),"")</f>
        <v/>
      </c>
      <c r="F353" s="407" t="str">
        <f t="shared" si="6"/>
        <v/>
      </c>
    </row>
    <row r="354" spans="2:6">
      <c r="B354" s="491" t="s">
        <v>3078</v>
      </c>
      <c r="C354" s="749" t="s">
        <v>3338</v>
      </c>
      <c r="D354" s="421" t="str">
        <f>_xlfn.IFNA(IF(VLOOKUP($C354,Ingredient_prices!$E:$F,2,FALSE)="Партија 2","Lot 2","Lot 1"),"")</f>
        <v/>
      </c>
      <c r="E354" s="407" t="str">
        <f>IF(SUMIF(Meal_entry_week_2!H$11:H$496,"Cream puffs",Meal_entry_week_2!K$11:K$496)&gt;0,SUMIF(Meal_entry_week_2!H$11:H$496,"Cream puffs",Meal_entry_week_2!K$11:K$496),"")</f>
        <v/>
      </c>
      <c r="F354" s="407" t="str">
        <f t="shared" si="6"/>
        <v/>
      </c>
    </row>
    <row r="355" spans="2:6">
      <c r="B355" s="491" t="s">
        <v>3078</v>
      </c>
      <c r="C355" s="749" t="s">
        <v>3335</v>
      </c>
      <c r="D355" s="421" t="str">
        <f>_xlfn.IFNA(IF(VLOOKUP($C355,Ingredient_prices!$E:$F,2,FALSE)="Партија 2","Lot 2","Lot 1"),"")</f>
        <v/>
      </c>
      <c r="E355" s="407" t="str">
        <f>IF(SUMIF(Meal_entry_week_2!H$11:H$496,"Creamy banana",Meal_entry_week_2!K$11:K$496)&gt;0,SUMIF(Meal_entry_week_2!H$11:H$496,"Creamy banana",Meal_entry_week_2!K$11:K$496),"")</f>
        <v/>
      </c>
      <c r="F355" s="407" t="str">
        <f t="shared" si="6"/>
        <v/>
      </c>
    </row>
    <row r="356" spans="2:6">
      <c r="B356" s="491" t="s">
        <v>3078</v>
      </c>
      <c r="C356" s="749" t="s">
        <v>3330</v>
      </c>
      <c r="D356" s="421" t="str">
        <f>_xlfn.IFNA(IF(VLOOKUP($C356,Ingredient_prices!$E:$F,2,FALSE)="Партија 2","Lot 2","Lot 1"),"")</f>
        <v>Lot 2</v>
      </c>
      <c r="E356" s="407">
        <f>IF(SUMIF(Meal_entry_week_2!H$11:H$496,"Euro cream",Meal_entry_week_2!K$11:K$496)&gt;0,SUMIF(Meal_entry_week_2!H$11:H$496,"Euro cream",Meal_entry_week_2!K$11:K$496),"")</f>
        <v>2.7500000000000004</v>
      </c>
      <c r="F356" s="407">
        <f t="shared" si="6"/>
        <v>2.7500000000000004</v>
      </c>
    </row>
    <row r="357" spans="2:6">
      <c r="B357" s="491" t="s">
        <v>3078</v>
      </c>
      <c r="C357" s="749" t="s">
        <v>3331</v>
      </c>
      <c r="D357" s="421" t="str">
        <f>_xlfn.IFNA(IF(VLOOKUP($C357,Ingredient_prices!$E:$F,2,FALSE)="Партија 2","Lot 2","Lot 1"),"")</f>
        <v/>
      </c>
      <c r="E357" s="407" t="str">
        <f>IF(SUMIF(Meal_entry_week_2!H$11:H$496,"Eurocream block",Meal_entry_week_2!K$11:K$496)&gt;0,SUMIF(Meal_entry_week_2!H$11:H$496,"Eurocream block",Meal_entry_week_2!K$11:K$496),"")</f>
        <v/>
      </c>
      <c r="F357" s="407" t="str">
        <f t="shared" si="6"/>
        <v/>
      </c>
    </row>
    <row r="358" spans="2:6">
      <c r="B358" s="491" t="s">
        <v>3078</v>
      </c>
      <c r="C358" s="749" t="s">
        <v>1894</v>
      </c>
      <c r="D358" s="421" t="str">
        <f>_xlfn.IFNA(IF(VLOOKUP($C358,Ingredient_prices!$E:$F,2,FALSE)="Партија 2","Lot 2","Lot 1"),"")</f>
        <v/>
      </c>
      <c r="E358" s="407" t="str">
        <f>IF(SUMIF(Meal_entry_week_2!H$11:H$496,"Golden Pek biscuit",Meal_entry_week_2!K$11:K$496)&gt;0,SUMIF(Meal_entry_week_2!H$11:H$496,"Golden Pek biscuit",Meal_entry_week_2!K$11:K$496),"")</f>
        <v/>
      </c>
      <c r="F358" s="407" t="str">
        <f t="shared" si="6"/>
        <v/>
      </c>
    </row>
    <row r="359" spans="2:6">
      <c r="B359" s="491" t="s">
        <v>3078</v>
      </c>
      <c r="C359" s="749" t="s">
        <v>503</v>
      </c>
      <c r="D359" s="421" t="str">
        <f>_xlfn.IFNA(IF(VLOOKUP($C359,Ingredient_prices!$E:$F,2,FALSE)="Партија 2","Lot 2","Lot 1"),"")</f>
        <v>Lot 2</v>
      </c>
      <c r="E359" s="407" t="str">
        <f>IF(SUMIF(Meal_entry_week_2!H$11:H$496,"Honey",Meal_entry_week_2!K$11:K$496)&gt;0,SUMIF(Meal_entry_week_2!H$11:H$496,"Honey",Meal_entry_week_2!K$11:K$496),"")</f>
        <v/>
      </c>
      <c r="F359" s="407" t="str">
        <f t="shared" si="6"/>
        <v/>
      </c>
    </row>
    <row r="360" spans="2:6">
      <c r="B360" s="491" t="s">
        <v>3078</v>
      </c>
      <c r="C360" s="749" t="s">
        <v>3360</v>
      </c>
      <c r="D360" s="421" t="str">
        <f>_xlfn.IFNA(IF(VLOOKUP($C360,Ingredient_prices!$E:$F,2,FALSE)="Партија 2","Lot 2","Lot 1"),"")</f>
        <v>Lot 2</v>
      </c>
      <c r="E360" s="407">
        <f>IF(SUMIF(Meal_entry_week_2!H$11:H$496,"Icing sugar",Meal_entry_week_2!K$11:K$496)&gt;0,SUMIF(Meal_entry_week_2!H$11:H$496,"Icing sugar",Meal_entry_week_2!K$11:K$496),"")</f>
        <v>0.17600000000000002</v>
      </c>
      <c r="F360" s="407">
        <f t="shared" si="6"/>
        <v>0.17600000000000002</v>
      </c>
    </row>
    <row r="361" spans="2:6">
      <c r="B361" s="491" t="s">
        <v>3078</v>
      </c>
      <c r="C361" s="749" t="s">
        <v>3478</v>
      </c>
      <c r="D361" s="421" t="str">
        <f>_xlfn.IFNA(IF(VLOOKUP($C361,Ingredient_prices!$E:$F,2,FALSE)="Партија 2","Lot 2","Lot 1"),"")</f>
        <v/>
      </c>
      <c r="E361" s="407" t="str">
        <f>IF(SUMIF(Meal_entry_week_2!H$11:H$496,"Jaffa cake",Meal_entry_week_2!K$11:K$496)&gt;0,SUMIF(Meal_entry_week_2!H$11:H$496,"Jaffa cake",Meal_entry_week_2!K$11:K$496),"")</f>
        <v/>
      </c>
      <c r="F361" s="407" t="str">
        <f t="shared" si="6"/>
        <v/>
      </c>
    </row>
    <row r="362" spans="2:6">
      <c r="B362" s="491" t="s">
        <v>3078</v>
      </c>
      <c r="C362" s="749" t="s">
        <v>3354</v>
      </c>
      <c r="D362" s="421" t="str">
        <f>_xlfn.IFNA(IF(VLOOKUP($C362,Ingredient_prices!$E:$F,2,FALSE)="Партија 2","Lot 2","Lot 1"),"")</f>
        <v/>
      </c>
      <c r="E362" s="407" t="str">
        <f>IF(SUMIF(Meal_entry_week_2!H$11:H$496,"Jam mixed",Meal_entry_week_2!K$11:K$496)&gt;0,SUMIF(Meal_entry_week_2!H$11:H$496,"Jam mixed",Meal_entry_week_2!K$11:K$496),"")</f>
        <v/>
      </c>
      <c r="F362" s="407" t="str">
        <f t="shared" si="6"/>
        <v/>
      </c>
    </row>
    <row r="363" spans="2:6">
      <c r="B363" s="491" t="s">
        <v>3078</v>
      </c>
      <c r="C363" s="749" t="s">
        <v>1895</v>
      </c>
      <c r="D363" s="421" t="str">
        <f>_xlfn.IFNA(IF(VLOOKUP($C363,Ingredient_prices!$E:$F,2,FALSE)="Партија 2","Lot 2","Lot 1"),"")</f>
        <v>Lot 2</v>
      </c>
      <c r="E363" s="407" t="str">
        <f>IF(SUMIF(Meal_entry_week_2!H$11:H$496,"Kit Kat milk chocolate",Meal_entry_week_2!K$11:K$496)&gt;0,SUMIF(Meal_entry_week_2!H$11:H$496,"Kit Kat milk chocolate",Meal_entry_week_2!K$11:K$496),"")</f>
        <v/>
      </c>
      <c r="F363" s="407" t="str">
        <f t="shared" si="6"/>
        <v/>
      </c>
    </row>
    <row r="364" spans="2:6">
      <c r="B364" s="491" t="s">
        <v>3078</v>
      </c>
      <c r="C364" s="749" t="s">
        <v>3353</v>
      </c>
      <c r="D364" s="421" t="str">
        <f>_xlfn.IFNA(IF(VLOOKUP($C364,Ingredient_prices!$E:$F,2,FALSE)="Партија 2","Lot 2","Lot 1"),"")</f>
        <v/>
      </c>
      <c r="E364" s="407" t="str">
        <f>IF(SUMIF(Meal_entry_week_2!H$11:H$496,"Marshmallow",Meal_entry_week_2!K$11:K$496)&gt;0,SUMIF(Meal_entry_week_2!H$11:H$496,"Marshmallow",Meal_entry_week_2!K$11:K$496),"")</f>
        <v/>
      </c>
      <c r="F364" s="407" t="str">
        <f t="shared" si="6"/>
        <v/>
      </c>
    </row>
    <row r="365" spans="2:6">
      <c r="B365" s="491" t="s">
        <v>3078</v>
      </c>
      <c r="C365" s="749" t="s">
        <v>1881</v>
      </c>
      <c r="D365" s="421" t="str">
        <f>_xlfn.IFNA(IF(VLOOKUP($C365,Ingredient_prices!$E:$F,2,FALSE)="Партија 2","Lot 2","Lot 1"),"")</f>
        <v>Lot 2</v>
      </c>
      <c r="E365" s="407" t="str">
        <f>IF(SUMIF(Meal_entry_week_2!H$11:H$496,"Milk chocolate",Meal_entry_week_2!K$11:K$496)&gt;0,SUMIF(Meal_entry_week_2!H$11:H$496,"Milk chocolate",Meal_entry_week_2!K$11:K$496),"")</f>
        <v/>
      </c>
      <c r="F365" s="407" t="str">
        <f t="shared" si="6"/>
        <v/>
      </c>
    </row>
    <row r="366" spans="2:6">
      <c r="B366" s="491" t="s">
        <v>3078</v>
      </c>
      <c r="C366" s="749" t="s">
        <v>3355</v>
      </c>
      <c r="D366" s="421" t="str">
        <f>_xlfn.IFNA(IF(VLOOKUP($C366,Ingredient_prices!$E:$F,2,FALSE)="Партија 2","Lot 2","Lot 1"),"")</f>
        <v>Lot 2</v>
      </c>
      <c r="E366" s="407" t="str">
        <f>IF(SUMIF(Meal_entry_week_2!H$11:H$496,"Napolitanke wafers",Meal_entry_week_2!K$11:K$496)&gt;0,SUMIF(Meal_entry_week_2!H$11:H$496,"Napolitanke wafers",Meal_entry_week_2!K$11:K$496),"")</f>
        <v/>
      </c>
      <c r="F366" s="407" t="str">
        <f t="shared" si="6"/>
        <v/>
      </c>
    </row>
    <row r="367" spans="2:6">
      <c r="B367" s="491" t="s">
        <v>3078</v>
      </c>
      <c r="C367" s="749" t="s">
        <v>3336</v>
      </c>
      <c r="D367" s="421" t="str">
        <f>_xlfn.IFNA(IF(VLOOKUP($C367,Ingredient_prices!$E:$F,2,FALSE)="Партија 2","Lot 2","Lot 1"),"")</f>
        <v>Lot 2</v>
      </c>
      <c r="E367" s="407" t="str">
        <f>IF(SUMIF(Meal_entry_week_2!H$11:H$496,"Nesquik",Meal_entry_week_2!K$11:K$496)&gt;0,SUMIF(Meal_entry_week_2!H$11:H$496,"Nesquik",Meal_entry_week_2!K$11:K$496),"")</f>
        <v/>
      </c>
      <c r="F367" s="407" t="str">
        <f t="shared" si="6"/>
        <v/>
      </c>
    </row>
    <row r="368" spans="2:6">
      <c r="B368" s="491" t="s">
        <v>3078</v>
      </c>
      <c r="C368" s="749" t="s">
        <v>3334</v>
      </c>
      <c r="D368" s="421" t="str">
        <f>_xlfn.IFNA(IF(VLOOKUP($C368,Ingredient_prices!$E:$F,2,FALSE)="Партија 2","Lot 2","Lot 1"),"")</f>
        <v>Lot 2</v>
      </c>
      <c r="E368" s="407" t="str">
        <f>IF(SUMIF(Meal_entry_week_2!H$11:H$496,"Noblice biscuit",Meal_entry_week_2!K$11:K$496)&gt;0,SUMIF(Meal_entry_week_2!H$11:H$496,"Noblice biscuit",Meal_entry_week_2!K$11:K$496),"")</f>
        <v/>
      </c>
      <c r="F368" s="407" t="str">
        <f t="shared" si="6"/>
        <v/>
      </c>
    </row>
    <row r="369" spans="2:6">
      <c r="B369" s="491" t="s">
        <v>3078</v>
      </c>
      <c r="C369" s="749" t="s">
        <v>134</v>
      </c>
      <c r="D369" s="421" t="str">
        <f>_xlfn.IFNA(IF(VLOOKUP($C369,Ingredient_prices!$E:$F,2,FALSE)="Партија 2","Lot 2","Lot 1"),"")</f>
        <v>Lot 2</v>
      </c>
      <c r="E369" s="407" t="str">
        <f>IF(SUMIF(Meal_entry_week_2!H$11:H$496,"Nutella",Meal_entry_week_2!K$11:K$496)&gt;0,SUMIF(Meal_entry_week_2!H$11:H$496,"Nutella",Meal_entry_week_2!K$11:K$496),"")</f>
        <v/>
      </c>
      <c r="F369" s="407" t="str">
        <f t="shared" si="6"/>
        <v/>
      </c>
    </row>
    <row r="370" spans="2:6">
      <c r="B370" s="491" t="s">
        <v>3078</v>
      </c>
      <c r="C370" s="749" t="s">
        <v>1897</v>
      </c>
      <c r="D370" s="421" t="str">
        <f>_xlfn.IFNA(IF(VLOOKUP($C370,Ingredient_prices!$E:$F,2,FALSE)="Партија 2","Lot 2","Lot 1"),"")</f>
        <v/>
      </c>
      <c r="E370" s="407" t="str">
        <f>IF(SUMIF(Meal_entry_week_2!H$11:H$496,"Peach compote",Meal_entry_week_2!K$11:K$496)&gt;0,SUMIF(Meal_entry_week_2!H$11:H$496,"Peach compote",Meal_entry_week_2!K$11:K$496),"")</f>
        <v/>
      </c>
      <c r="F370" s="407" t="str">
        <f t="shared" si="6"/>
        <v/>
      </c>
    </row>
    <row r="371" spans="2:6">
      <c r="B371" s="491" t="s">
        <v>3078</v>
      </c>
      <c r="C371" s="749" t="s">
        <v>1898</v>
      </c>
      <c r="D371" s="421" t="str">
        <f>_xlfn.IFNA(IF(VLOOKUP($C371,Ingredient_prices!$E:$F,2,FALSE)="Партија 2","Lot 2","Lot 1"),"")</f>
        <v/>
      </c>
      <c r="E371" s="407" t="str">
        <f>IF(SUMIF(Meal_entry_week_2!H$11:H$496,"Pear compote",Meal_entry_week_2!K$11:K$496)&gt;0,SUMIF(Meal_entry_week_2!H$11:H$496,"Pear compote",Meal_entry_week_2!K$11:K$496),"")</f>
        <v/>
      </c>
      <c r="F371" s="407" t="str">
        <f t="shared" si="6"/>
        <v/>
      </c>
    </row>
    <row r="372" spans="2:6">
      <c r="B372" s="491" t="s">
        <v>3078</v>
      </c>
      <c r="C372" s="749" t="s">
        <v>1896</v>
      </c>
      <c r="D372" s="421" t="str">
        <f>_xlfn.IFNA(IF(VLOOKUP($C372,Ingredient_prices!$E:$F,2,FALSE)="Партија 2","Lot 2","Lot 1"),"")</f>
        <v/>
      </c>
      <c r="E372" s="407" t="str">
        <f>IF(SUMIF(Meal_entry_week_2!H$11:H$496,"Pineapple compote",Meal_entry_week_2!K$11:K$496)&gt;0,SUMIF(Meal_entry_week_2!H$11:H$496,"Pineapple compote",Meal_entry_week_2!K$11:K$496),"")</f>
        <v/>
      </c>
      <c r="F372" s="407" t="str">
        <f t="shared" si="6"/>
        <v/>
      </c>
    </row>
    <row r="373" spans="2:6">
      <c r="B373" s="491" t="s">
        <v>3078</v>
      </c>
      <c r="C373" s="749" t="s">
        <v>3351</v>
      </c>
      <c r="D373" s="421" t="str">
        <f>_xlfn.IFNA(IF(VLOOKUP($C373,Ingredient_prices!$E:$F,2,FALSE)="Партија 2","Lot 2","Lot 1"),"")</f>
        <v>Lot 2</v>
      </c>
      <c r="E373" s="407" t="str">
        <f>IF(SUMIF(Meal_entry_week_2!H$11:H$496,"Plasma biscuit",Meal_entry_week_2!K$11:K$496)&gt;0,SUMIF(Meal_entry_week_2!H$11:H$496,"Plasma biscuit",Meal_entry_week_2!K$11:K$496),"")</f>
        <v/>
      </c>
      <c r="F373" s="407" t="str">
        <f t="shared" si="6"/>
        <v/>
      </c>
    </row>
    <row r="374" spans="2:6">
      <c r="B374" s="491" t="s">
        <v>3078</v>
      </c>
      <c r="C374" s="749" t="s">
        <v>3337</v>
      </c>
      <c r="D374" s="421" t="str">
        <f>_xlfn.IFNA(IF(VLOOKUP($C374,Ingredient_prices!$E:$F,2,FALSE)="Партија 2","Lot 2","Lot 1"),"")</f>
        <v>Lot 2</v>
      </c>
      <c r="E374" s="407" t="str">
        <f>IF(SUMIF(Meal_entry_week_2!H$11:H$496,"Plum jam",Meal_entry_week_2!K$11:K$496)&gt;0,SUMIF(Meal_entry_week_2!H$11:H$496,"Plum jam",Meal_entry_week_2!K$11:K$496),"")</f>
        <v/>
      </c>
      <c r="F374" s="407" t="str">
        <f t="shared" si="6"/>
        <v/>
      </c>
    </row>
    <row r="375" spans="2:6">
      <c r="B375" s="491" t="s">
        <v>3078</v>
      </c>
      <c r="C375" s="749" t="s">
        <v>3357</v>
      </c>
      <c r="D375" s="421" t="str">
        <f>_xlfn.IFNA(IF(VLOOKUP($C375,Ingredient_prices!$E:$F,2,FALSE)="Партија 2","Lot 2","Lot 1"),"")</f>
        <v>Lot 2</v>
      </c>
      <c r="E375" s="407" t="str">
        <f>IF(SUMIF(Meal_entry_week_2!H$11:H$496,"Pudding powder",Meal_entry_week_2!K$11:K$496)&gt;0,SUMIF(Meal_entry_week_2!H$11:H$496,"Pudding powder",Meal_entry_week_2!K$11:K$496),"")</f>
        <v/>
      </c>
      <c r="F375" s="407" t="str">
        <f t="shared" si="6"/>
        <v/>
      </c>
    </row>
    <row r="376" spans="2:6">
      <c r="B376" s="491" t="s">
        <v>3078</v>
      </c>
      <c r="C376" s="749" t="s">
        <v>3347</v>
      </c>
      <c r="D376" s="421" t="str">
        <f>_xlfn.IFNA(IF(VLOOKUP($C376,Ingredient_prices!$E:$F,2,FALSE)="Партија 2","Lot 2","Lot 1"),"")</f>
        <v>Lot 2</v>
      </c>
      <c r="E376" s="407">
        <f>IF(SUMIF(Meal_entry_week_2!H$11:H$496,"Rose hip jam",Meal_entry_week_2!K$11:K$496)&gt;0,SUMIF(Meal_entry_week_2!H$11:H$496,"Rose hip jam",Meal_entry_week_2!K$11:K$496),"")</f>
        <v>1.1000000000000001</v>
      </c>
      <c r="F376" s="407">
        <f t="shared" si="6"/>
        <v>1.1000000000000001</v>
      </c>
    </row>
    <row r="377" spans="2:6">
      <c r="B377" s="491" t="s">
        <v>3078</v>
      </c>
      <c r="C377" s="749" t="s">
        <v>1885</v>
      </c>
      <c r="D377" s="421" t="str">
        <f>_xlfn.IFNA(IF(VLOOKUP($C377,Ingredient_prices!$E:$F,2,FALSE)="Партија 2","Lot 2","Lot 1"),"")</f>
        <v/>
      </c>
      <c r="E377" s="407" t="str">
        <f>IF(SUMIF(Meal_entry_week_2!H$11:H$496,"Strawberry jam",Meal_entry_week_2!K$11:K$496)&gt;0,SUMIF(Meal_entry_week_2!H$11:H$496,"Strawberry jam",Meal_entry_week_2!K$11:K$496),"")</f>
        <v/>
      </c>
      <c r="F377" s="407" t="str">
        <f t="shared" si="6"/>
        <v/>
      </c>
    </row>
    <row r="378" spans="2:6">
      <c r="B378" s="491" t="s">
        <v>3078</v>
      </c>
      <c r="C378" s="749" t="s">
        <v>3340</v>
      </c>
      <c r="D378" s="421" t="str">
        <f>_xlfn.IFNA(IF(VLOOKUP($C378,Ingredient_prices!$E:$F,2,FALSE)="Партија 2","Lot 2","Lot 1"),"")</f>
        <v/>
      </c>
      <c r="E378" s="407" t="str">
        <f>IF(SUMIF(Meal_entry_week_2!H$11:H$496,"Strawberry pudding",Meal_entry_week_2!K$11:K$496)&gt;0,SUMIF(Meal_entry_week_2!H$11:H$496,"Strawberry pudding",Meal_entry_week_2!K$11:K$496),"")</f>
        <v/>
      </c>
      <c r="F378" s="407" t="str">
        <f t="shared" si="6"/>
        <v/>
      </c>
    </row>
    <row r="379" spans="2:6">
      <c r="B379" s="491" t="s">
        <v>3078</v>
      </c>
      <c r="C379" s="749" t="s">
        <v>3359</v>
      </c>
      <c r="D379" s="421" t="str">
        <f>_xlfn.IFNA(IF(VLOOKUP($C379,Ingredient_prices!$E:$F,2,FALSE)="Партија 2","Lot 2","Lot 1"),"")</f>
        <v>Lot 2</v>
      </c>
      <c r="E379" s="407">
        <f>IF(SUMIF(Meal_entry_week_2!H$11:H$496,"Sugar granulated",Meal_entry_week_2!K$11:K$496)&gt;0,SUMIF(Meal_entry_week_2!H$11:H$496,"Sugar granulated",Meal_entry_week_2!K$11:K$496),"")</f>
        <v>2.4200000000000004</v>
      </c>
      <c r="F379" s="407">
        <f t="shared" si="6"/>
        <v>2.4200000000000004</v>
      </c>
    </row>
    <row r="380" spans="2:6">
      <c r="B380" s="491" t="s">
        <v>3078</v>
      </c>
      <c r="C380" s="749" t="s">
        <v>3344</v>
      </c>
      <c r="D380" s="421" t="str">
        <f>_xlfn.IFNA(IF(VLOOKUP($C380,Ingredient_prices!$E:$F,2,FALSE)="Партија 2","Lot 2","Lot 1"),"")</f>
        <v/>
      </c>
      <c r="E380" s="407" t="str">
        <f>IF(SUMIF(Meal_entry_week_2!H$11:H$496,"Tea biscuits",Meal_entry_week_2!K$11:K$496)&gt;0,SUMIF(Meal_entry_week_2!H$11:H$496,"Tea biscuits",Meal_entry_week_2!K$11:K$496),"")</f>
        <v/>
      </c>
      <c r="F380" s="407" t="str">
        <f t="shared" si="6"/>
        <v/>
      </c>
    </row>
    <row r="381" spans="2:6">
      <c r="B381" s="491" t="s">
        <v>3078</v>
      </c>
      <c r="C381" s="749" t="s">
        <v>3358</v>
      </c>
      <c r="D381" s="421" t="str">
        <f>_xlfn.IFNA(IF(VLOOKUP($C381,Ingredient_prices!$E:$F,2,FALSE)="Партија 2","Lot 2","Lot 1"),"")</f>
        <v/>
      </c>
      <c r="E381" s="407" t="str">
        <f>IF(SUMIF(Meal_entry_week_2!H$11:H$496,"Turkish delight",Meal_entry_week_2!K$11:K$496)&gt;0,SUMIF(Meal_entry_week_2!H$11:H$496,"Turkish delight",Meal_entry_week_2!K$11:K$496),"")</f>
        <v/>
      </c>
      <c r="F381" s="407" t="str">
        <f t="shared" ref="F381:F456" si="7">IF(E381="","",E381/1)</f>
        <v/>
      </c>
    </row>
    <row r="382" spans="2:6">
      <c r="B382" s="491" t="s">
        <v>3078</v>
      </c>
      <c r="C382" s="749" t="s">
        <v>3362</v>
      </c>
      <c r="D382" s="421" t="str">
        <f>_xlfn.IFNA(IF(VLOOKUP($C382,Ingredient_prices!$E:$F,2,FALSE)="Партија 2","Lot 2","Lot 1"),"")</f>
        <v>Lot 2</v>
      </c>
      <c r="E382" s="407" t="str">
        <f>IF(SUMIF(Meal_entry_week_2!H$11:H$496,"Vanilla flavoured sugar",Meal_entry_week_2!K$11:K$496)&gt;0,SUMIF(Meal_entry_week_2!H$11:H$496,"Vanilla flavoured sugar",Meal_entry_week_2!K$11:K$496),"")</f>
        <v/>
      </c>
      <c r="F382" s="407" t="str">
        <f t="shared" si="7"/>
        <v/>
      </c>
    </row>
    <row r="383" spans="2:6">
      <c r="B383" s="491" t="s">
        <v>3078</v>
      </c>
      <c r="C383" s="749" t="s">
        <v>3341</v>
      </c>
      <c r="D383" s="421" t="str">
        <f>_xlfn.IFNA(IF(VLOOKUP($C383,Ingredient_prices!$E:$F,2,FALSE)="Партија 2","Lot 2","Lot 1"),"")</f>
        <v>Lot 2</v>
      </c>
      <c r="E383" s="407" t="str">
        <f>IF(SUMIF(Meal_entry_week_2!H$11:H$496,"Vanilla pudding",Meal_entry_week_2!K$11:K$496)&gt;0,SUMIF(Meal_entry_week_2!H$11:H$496,"Vanilla pudding",Meal_entry_week_2!K$11:K$496),"")</f>
        <v/>
      </c>
      <c r="F383" s="407" t="str">
        <f t="shared" si="7"/>
        <v/>
      </c>
    </row>
    <row r="384" spans="2:6">
      <c r="B384" s="491" t="s">
        <v>3078</v>
      </c>
      <c r="C384" s="749" t="s">
        <v>3356</v>
      </c>
      <c r="D384" s="421" t="str">
        <f>_xlfn.IFNA(IF(VLOOKUP($C384,Ingredient_prices!$E:$F,2,FALSE)="Партија 2","Lot 2","Lot 1"),"")</f>
        <v/>
      </c>
      <c r="E384" s="407" t="str">
        <f>IF(SUMIF(Meal_entry_week_2!H$11:H$496,"Wafers",Meal_entry_week_2!K$11:K$496)&gt;0,SUMIF(Meal_entry_week_2!H$11:H$496,"Wafers",Meal_entry_week_2!K$11:K$496),"")</f>
        <v/>
      </c>
      <c r="F384" s="407" t="str">
        <f t="shared" si="7"/>
        <v/>
      </c>
    </row>
    <row r="385" spans="1:7">
      <c r="B385" s="491" t="s">
        <v>3078</v>
      </c>
      <c r="C385" s="749" t="s">
        <v>3488</v>
      </c>
      <c r="D385" s="421" t="str">
        <f>_xlfn.IFNA(IF(VLOOKUP($C385,Ingredient_prices!$E:$F,2,FALSE)="Партија 2","Lot 2","Lot 1"),"")</f>
        <v/>
      </c>
      <c r="E385" s="407" t="str">
        <f>IF(SUMIF(Meal_entry_week_2!H$11:H$496,"Wheat, cooked (with nuts and whipped cream)",Meal_entry_week_2!K$11:K$496)&gt;0,SUMIF(Meal_entry_week_2!H$11:H$496,"Wheat, cooked (with nuts and whipped cream)",Meal_entry_week_2!K$11:K$496),"")</f>
        <v/>
      </c>
      <c r="F385" s="407" t="str">
        <f t="shared" si="7"/>
        <v/>
      </c>
    </row>
    <row r="386" spans="1:7">
      <c r="B386" s="492" t="s">
        <v>3078</v>
      </c>
      <c r="C386" s="492" t="s">
        <v>3361</v>
      </c>
      <c r="D386" s="421" t="str">
        <f>_xlfn.IFNA(IF(VLOOKUP($C386,Ingredient_prices!$E:$F,2,FALSE)="Партија 2","Lot 2","Lot 1"),"")</f>
        <v/>
      </c>
      <c r="E386" s="407" t="str">
        <f>IF(SUMIF(Meal_entry_week_2!H$11:H$496,"Whipping cream",Meal_entry_week_2!K$11:K$496)&gt;0,SUMIF(Meal_entry_week_2!H$11:H$496,"Whipping cream",Meal_entry_week_2!K$11:K$496),"")</f>
        <v/>
      </c>
      <c r="F386" s="407" t="str">
        <f t="shared" si="7"/>
        <v/>
      </c>
    </row>
    <row r="387" spans="1:7" s="749" customFormat="1">
      <c r="A387" s="444"/>
      <c r="B387" s="494" t="s">
        <v>3079</v>
      </c>
      <c r="C387" s="749" t="s">
        <v>3378</v>
      </c>
      <c r="D387" s="421" t="str">
        <f>_xlfn.IFNA(IF(VLOOKUP($C387,Ingredient_prices!$E:$F,2,FALSE)="Партија 2","Lot 2","Lot 1"),"")</f>
        <v>Lot 1</v>
      </c>
      <c r="E387" s="407" t="str">
        <f>IF(SUMIF(Meal_entry_week_2!H$11:H$496,"Bread roll",Meal_entry_week_2!K$11:K$496)&gt;0,SUMIF(Meal_entry_week_2!H$11:H$496,"Bread roll",Meal_entry_week_2!K$11:K$496),"")</f>
        <v/>
      </c>
      <c r="F387" s="407" t="str">
        <f t="shared" si="7"/>
        <v/>
      </c>
      <c r="G387" s="444"/>
    </row>
    <row r="388" spans="1:7">
      <c r="B388" s="491" t="s">
        <v>3079</v>
      </c>
      <c r="C388" s="749" t="s">
        <v>3377</v>
      </c>
      <c r="D388" s="421" t="str">
        <f>_xlfn.IFNA(IF(VLOOKUP($C388,Ingredient_prices!$E:$F,2,FALSE)="Партија 2","Lot 2","Lot 1"),"")</f>
        <v/>
      </c>
      <c r="E388" s="407" t="str">
        <f>IF(SUMIF(Meal_entry_week_2!H$11:H$496,"Bread stick",Meal_entry_week_2!K$11:K$496)&gt;0,SUMIF(Meal_entry_week_2!H$11:H$496,"Bread stick",Meal_entry_week_2!K$11:K$496),"")</f>
        <v/>
      </c>
      <c r="F388" s="407" t="str">
        <f t="shared" si="7"/>
        <v/>
      </c>
    </row>
    <row r="389" spans="1:7">
      <c r="B389" s="491" t="s">
        <v>3079</v>
      </c>
      <c r="C389" s="749" t="s">
        <v>3366</v>
      </c>
      <c r="D389" s="421" t="str">
        <f>_xlfn.IFNA(IF(VLOOKUP($C389,Ingredient_prices!$E:$F,2,FALSE)="Партија 2","Lot 2","Lot 1"),"")</f>
        <v>Lot 1</v>
      </c>
      <c r="E389" s="407">
        <f>IF(SUMIF(Meal_entry_week_2!H$11:H$496,"Bread, half-white",Meal_entry_week_2!K$11:K$496)&gt;0,SUMIF(Meal_entry_week_2!H$11:H$496,"Bread, half-white",Meal_entry_week_2!K$11:K$496),"")</f>
        <v>8.25</v>
      </c>
      <c r="F389" s="407">
        <f t="shared" si="7"/>
        <v>8.25</v>
      </c>
    </row>
    <row r="390" spans="1:7">
      <c r="B390" s="491" t="s">
        <v>3079</v>
      </c>
      <c r="C390" s="749" t="s">
        <v>3365</v>
      </c>
      <c r="D390" s="421" t="str">
        <f>_xlfn.IFNA(IF(VLOOKUP($C390,Ingredient_prices!$E:$F,2,FALSE)="Партија 2","Lot 2","Lot 1"),"")</f>
        <v>Lot 1</v>
      </c>
      <c r="E390" s="407">
        <f>IF(SUMIF(Meal_entry_week_2!H$11:H$496,"Bread, white",Meal_entry_week_2!K$11:K$496)&gt;0,SUMIF(Meal_entry_week_2!H$11:H$496,"Bread, white",Meal_entry_week_2!K$11:K$496),"")</f>
        <v>30.8</v>
      </c>
      <c r="F390" s="407">
        <f t="shared" si="7"/>
        <v>30.8</v>
      </c>
    </row>
    <row r="391" spans="1:7">
      <c r="B391" s="491" t="s">
        <v>3079</v>
      </c>
      <c r="C391" s="749" t="s">
        <v>3368</v>
      </c>
      <c r="D391" s="421" t="str">
        <f>_xlfn.IFNA(IF(VLOOKUP($C391,Ingredient_prices!$E:$F,2,FALSE)="Партија 2","Lot 2","Lot 1"),"")</f>
        <v>Lot 2</v>
      </c>
      <c r="E391" s="407" t="str">
        <f>IF(SUMIF(Meal_entry_week_2!H$11:H$496,"Bread, wholemeal",Meal_entry_week_2!K$11:K$496)&gt;0,SUMIF(Meal_entry_week_2!H$11:H$496,"Bread, wholemeal",Meal_entry_week_2!K$11:K$496),"")</f>
        <v/>
      </c>
      <c r="F391" s="407" t="str">
        <f t="shared" si="7"/>
        <v/>
      </c>
    </row>
    <row r="392" spans="1:7">
      <c r="B392" s="491" t="s">
        <v>3079</v>
      </c>
      <c r="C392" s="749" t="s">
        <v>1951</v>
      </c>
      <c r="D392" s="421" t="str">
        <f>_xlfn.IFNA(IF(VLOOKUP($C392,Ingredient_prices!$E:$F,2,FALSE)="Партија 2","Lot 2","Lot 1"),"")</f>
        <v/>
      </c>
      <c r="E392" s="407" t="str">
        <f>IF(SUMIF(Meal_entry_week_2!H$11:H$496,"Bun with seeds",Meal_entry_week_2!K$11:K$496)&gt;0,SUMIF(Meal_entry_week_2!H$11:H$496,"Bun with seeds",Meal_entry_week_2!K$11:K$496),"")</f>
        <v/>
      </c>
      <c r="F392" s="407" t="str">
        <f t="shared" si="7"/>
        <v/>
      </c>
    </row>
    <row r="393" spans="1:7">
      <c r="B393" s="491" t="s">
        <v>3079</v>
      </c>
      <c r="C393" s="749" t="s">
        <v>1933</v>
      </c>
      <c r="D393" s="421" t="str">
        <f>_xlfn.IFNA(IF(VLOOKUP($C393,Ingredient_prices!$E:$F,2,FALSE)="Партија 2","Lot 2","Lot 1"),"")</f>
        <v/>
      </c>
      <c r="E393" s="407" t="str">
        <f>IF(SUMIF(Meal_entry_week_2!H$11:H$496,"Cakes with seeds",Meal_entry_week_2!K$11:K$496)&gt;0,SUMIF(Meal_entry_week_2!H$11:H$496,"Cakes with seeds",Meal_entry_week_2!K$11:K$496),"")</f>
        <v/>
      </c>
      <c r="F393" s="407" t="str">
        <f t="shared" si="7"/>
        <v/>
      </c>
    </row>
    <row r="394" spans="1:7">
      <c r="B394" s="491" t="s">
        <v>3079</v>
      </c>
      <c r="C394" s="749" t="s">
        <v>3372</v>
      </c>
      <c r="D394" s="421" t="str">
        <f>_xlfn.IFNA(IF(VLOOKUP($C394,Ingredient_prices!$E:$F,2,FALSE)="Партија 2","Lot 2","Lot 1"),"")</f>
        <v>Lot 1</v>
      </c>
      <c r="E394" s="407">
        <f>IF(SUMIF(Meal_entry_week_2!H$11:H$496,"Croissant",Meal_entry_week_2!K$11:K$496)&gt;0,SUMIF(Meal_entry_week_2!H$11:H$496,"Croissant",Meal_entry_week_2!K$11:K$496),"")</f>
        <v>7.7</v>
      </c>
      <c r="F394" s="407">
        <f t="shared" si="7"/>
        <v>7.7</v>
      </c>
    </row>
    <row r="395" spans="1:7">
      <c r="B395" s="491" t="s">
        <v>3079</v>
      </c>
      <c r="C395" s="1" t="s">
        <v>146</v>
      </c>
      <c r="D395" s="421" t="str">
        <f>_xlfn.IFNA(IF(VLOOKUP($C395,Ingredient_prices!$E:$F,2,FALSE)="Партија 2","Lot 2","Lot 1"),"")</f>
        <v/>
      </c>
      <c r="E395" s="407" t="str">
        <f>IF(SUMIF(Meal_entry_week_2!H$11:H$496,"Djevrek",Meal_entry_week_2!K$11:K$496)&gt;0,SUMIF(Meal_entry_week_2!H$11:H$496,"Djevrek",Meal_entry_week_2!K$11:K$496),"")</f>
        <v/>
      </c>
      <c r="F395" s="407" t="str">
        <f t="shared" si="7"/>
        <v/>
      </c>
    </row>
    <row r="396" spans="1:7">
      <c r="B396" s="491" t="s">
        <v>3079</v>
      </c>
      <c r="C396" s="749" t="s">
        <v>3509</v>
      </c>
      <c r="D396" s="421" t="str">
        <f>_xlfn.IFNA(IF(VLOOKUP($C396,Ingredient_prices!$E:$F,2,FALSE)="Партија 2","Lot 2","Lot 1"),"")</f>
        <v/>
      </c>
      <c r="E396" s="407" t="str">
        <f>IF(SUMIF(Meal_entry_week_2!H$11:H$496,"Hot dog bun white",Meal_entry_week_2!K$11:K$496)&gt;0,SUMIF(Meal_entry_week_2!H$11:H$496,"Hot dog bun white",Meal_entry_week_2!K$11:K$496),"")</f>
        <v/>
      </c>
      <c r="F396" s="407" t="str">
        <f t="shared" si="7"/>
        <v/>
      </c>
    </row>
    <row r="397" spans="1:7">
      <c r="B397" s="491" t="s">
        <v>3079</v>
      </c>
      <c r="C397" s="749" t="s">
        <v>3369</v>
      </c>
      <c r="D397" s="421" t="str">
        <f>_xlfn.IFNA(IF(VLOOKUP($C397,Ingredient_prices!$E:$F,2,FALSE)="Партија 2","Lot 2","Lot 1"),"")</f>
        <v/>
      </c>
      <c r="E397" s="407" t="str">
        <f>IF(SUMIF(Meal_entry_week_2!H$11:H$496,"Integral bread stick",Meal_entry_week_2!K$11:K$496)&gt;0,SUMIF(Meal_entry_week_2!H$11:H$496,"Integral bread stick",Meal_entry_week_2!K$11:K$496),"")</f>
        <v/>
      </c>
      <c r="F397" s="407" t="str">
        <f t="shared" si="7"/>
        <v/>
      </c>
    </row>
    <row r="398" spans="1:7">
      <c r="B398" s="491" t="s">
        <v>3079</v>
      </c>
      <c r="C398" s="749" t="s">
        <v>3370</v>
      </c>
      <c r="D398" s="421" t="str">
        <f>_xlfn.IFNA(IF(VLOOKUP($C398,Ingredient_prices!$E:$F,2,FALSE)="Партија 2","Lot 2","Lot 1"),"")</f>
        <v>Lot 1</v>
      </c>
      <c r="E398" s="407">
        <f>IF(SUMIF(Meal_entry_week_2!H$11:H$496,"Kaiserica bun white",Meal_entry_week_2!K$11:K$496)&gt;0,SUMIF(Meal_entry_week_2!H$11:H$496,"Kaiserica bun white",Meal_entry_week_2!K$11:K$496),"")</f>
        <v>6.6</v>
      </c>
      <c r="F398" s="407">
        <f t="shared" si="7"/>
        <v>6.6</v>
      </c>
    </row>
    <row r="399" spans="1:7">
      <c r="B399" s="491" t="s">
        <v>3079</v>
      </c>
      <c r="C399" s="749" t="s">
        <v>3373</v>
      </c>
      <c r="D399" s="421" t="str">
        <f>_xlfn.IFNA(IF(VLOOKUP($C399,Ingredient_prices!$E:$F,2,FALSE)="Партија 2","Lot 2","Lot 1"),"")</f>
        <v/>
      </c>
      <c r="E399" s="407" t="str">
        <f>IF(SUMIF(Meal_entry_week_2!H$11:H$496,"Large bun",Meal_entry_week_2!K$11:K$496)&gt;0,SUMIF(Meal_entry_week_2!H$11:H$496,"Large bun",Meal_entry_week_2!K$11:K$496),"")</f>
        <v/>
      </c>
      <c r="F399" s="407" t="str">
        <f t="shared" si="7"/>
        <v/>
      </c>
    </row>
    <row r="400" spans="1:7">
      <c r="B400" s="491" t="s">
        <v>3079</v>
      </c>
      <c r="C400" s="749" t="s">
        <v>2256</v>
      </c>
      <c r="D400" s="421" t="str">
        <f>_xlfn.IFNA(IF(VLOOKUP($C400,Ingredient_prices!$E:$F,2,FALSE)="Партија 2","Lot 2","Lot 1"),"")</f>
        <v/>
      </c>
      <c r="E400" s="407" t="str">
        <f>IF(SUMIF(Meal_entry_week_2!H$11:H$496,"Pancerote",Meal_entry_week_2!K$11:K$496)&gt;0,SUMIF(Meal_entry_week_2!H$11:H$496,"Pancerote",Meal_entry_week_2!K$11:K$496),"")</f>
        <v/>
      </c>
      <c r="F400" s="407" t="str">
        <f t="shared" si="7"/>
        <v/>
      </c>
    </row>
    <row r="401" spans="2:6">
      <c r="B401" s="491" t="s">
        <v>3079</v>
      </c>
      <c r="C401" s="749" t="s">
        <v>3374</v>
      </c>
      <c r="D401" s="421" t="str">
        <f>_xlfn.IFNA(IF(VLOOKUP($C401,Ingredient_prices!$E:$F,2,FALSE)="Партија 2","Lot 2","Lot 1"),"")</f>
        <v/>
      </c>
      <c r="E401" s="407" t="str">
        <f>IF(SUMIF(Meal_entry_week_2!H$11:H$496,"Pastries (white flour)",Meal_entry_week_2!K$11:K$496)&gt;0,SUMIF(Meal_entry_week_2!H$11:H$496,"Pastries (white flour)",Meal_entry_week_2!K$11:K$496),"")</f>
        <v/>
      </c>
      <c r="F401" s="407" t="str">
        <f t="shared" si="7"/>
        <v/>
      </c>
    </row>
    <row r="402" spans="2:6">
      <c r="B402" s="491" t="s">
        <v>3079</v>
      </c>
      <c r="C402" s="749" t="s">
        <v>3376</v>
      </c>
      <c r="D402" s="421" t="str">
        <f>_xlfn.IFNA(IF(VLOOKUP($C402,Ingredient_prices!$E:$F,2,FALSE)="Партија 2","Lot 2","Lot 1"),"")</f>
        <v/>
      </c>
      <c r="E402" s="407" t="str">
        <f>IF(SUMIF(Meal_entry_week_2!H$11:H$496,"Plaited bun",Meal_entry_week_2!K$11:K$496)&gt;0,SUMIF(Meal_entry_week_2!H$11:H$496,"Plaited bun",Meal_entry_week_2!K$11:K$496),"")</f>
        <v/>
      </c>
      <c r="F402" s="407" t="str">
        <f t="shared" si="7"/>
        <v/>
      </c>
    </row>
    <row r="403" spans="2:6">
      <c r="B403" s="491" t="s">
        <v>3079</v>
      </c>
      <c r="C403" s="749" t="s">
        <v>3375</v>
      </c>
      <c r="D403" s="421" t="str">
        <f>_xlfn.IFNA(IF(VLOOKUP($C403,Ingredient_prices!$E:$F,2,FALSE)="Партија 2","Lot 2","Lot 1"),"")</f>
        <v/>
      </c>
      <c r="E403" s="461" t="str">
        <f>IF(SUMIF(Meal_entry_week_2!H$11:H$496,"Pretzel",Meal_entry_week_2!K$11:K$496)&gt;0,SUMIF(Meal_entry_week_2!H$11:H$496,"Pretzel",Meal_entry_week_2!K$11:K$496),"")</f>
        <v/>
      </c>
      <c r="F403" s="407" t="str">
        <f t="shared" si="7"/>
        <v/>
      </c>
    </row>
    <row r="404" spans="2:6">
      <c r="B404" s="491" t="s">
        <v>3079</v>
      </c>
      <c r="C404" s="749" t="s">
        <v>3367</v>
      </c>
      <c r="D404" s="421" t="str">
        <f>_xlfn.IFNA(IF(VLOOKUP($C404,Ingredient_prices!$E:$F,2,FALSE)="Партија 2","Lot 2","Lot 1"),"")</f>
        <v/>
      </c>
      <c r="E404" s="407" t="str">
        <f>IF(SUMIF(Meal_entry_week_2!H$11:H$496,"Toasted squares",Meal_entry_week_2!K$11:K$496)&gt;0,SUMIF(Meal_entry_week_2!H$11:H$496,"Toasted squares",Meal_entry_week_2!K$11:K$496),"")</f>
        <v/>
      </c>
      <c r="F404" s="407" t="str">
        <f t="shared" si="7"/>
        <v/>
      </c>
    </row>
    <row r="405" spans="2:6">
      <c r="B405" s="492" t="s">
        <v>3079</v>
      </c>
      <c r="C405" s="492" t="s">
        <v>3371</v>
      </c>
      <c r="D405" s="421" t="str">
        <f>_xlfn.IFNA(IF(VLOOKUP($C405,Ingredient_prices!$E:$F,2,FALSE)="Партија 2","Lot 2","Lot 1"),"")</f>
        <v/>
      </c>
      <c r="E405" s="407" t="str">
        <f>IF(SUMIF(Meal_entry_week_2!H$11:H$496,"Wholemeal roll",Meal_entry_week_2!K$11:K$496)&gt;0,SUMIF(Meal_entry_week_2!H$11:H$496,"Wholemeal roll",Meal_entry_week_2!K$11:K$496),"")</f>
        <v/>
      </c>
      <c r="F405" s="407" t="str">
        <f t="shared" si="7"/>
        <v/>
      </c>
    </row>
    <row r="406" spans="2:6">
      <c r="B406" s="749" t="s">
        <v>3080</v>
      </c>
      <c r="C406" s="749" t="s">
        <v>3385</v>
      </c>
      <c r="D406" s="421" t="str">
        <f>_xlfn.IFNA(IF(VLOOKUP($C406,Ingredient_prices!$E:$F,2,FALSE)="Партија 2","Lot 2","Lot 1"),"")</f>
        <v>Lot 1</v>
      </c>
      <c r="E406" s="407" t="str">
        <f>IF(SUMIF(Meal_entry_week_2!H$11:H$496,"Buckwheat paté",Meal_entry_week_2!K$11:K$496)&gt;0,SUMIF(Meal_entry_week_2!H$11:H$496,"Buckwheat paté",Meal_entry_week_2!K$11:K$496),"")</f>
        <v/>
      </c>
      <c r="F406" s="407" t="str">
        <f t="shared" si="7"/>
        <v/>
      </c>
    </row>
    <row r="407" spans="2:6">
      <c r="B407" s="749" t="s">
        <v>3080</v>
      </c>
      <c r="C407" s="749" t="s">
        <v>3390</v>
      </c>
      <c r="D407" s="421" t="str">
        <f>_xlfn.IFNA(IF(VLOOKUP($C407,Ingredient_prices!$E:$F,2,FALSE)="Партија 2","Lot 2","Lot 1"),"")</f>
        <v>Lot 1</v>
      </c>
      <c r="E407" s="407" t="str">
        <f>IF(SUMIF(Meal_entry_week_2!H$11:H$496,"Bun with cheese",Meal_entry_week_2!K$11:K$496)&gt;0,SUMIF(Meal_entry_week_2!H$11:H$496,"Bun with cheese",Meal_entry_week_2!K$11:K$496),"")</f>
        <v/>
      </c>
      <c r="F407" s="407" t="str">
        <f t="shared" si="7"/>
        <v/>
      </c>
    </row>
    <row r="408" spans="2:6">
      <c r="B408" s="749" t="s">
        <v>3080</v>
      </c>
      <c r="C408" s="749" t="s">
        <v>3389</v>
      </c>
      <c r="D408" s="421" t="str">
        <f>_xlfn.IFNA(IF(VLOOKUP($C408,Ingredient_prices!$E:$F,2,FALSE)="Партија 2","Lot 2","Lot 1"),"")</f>
        <v/>
      </c>
      <c r="E408" s="407" t="str">
        <f>IF(SUMIF(Meal_entry_week_2!H$11:H$496,"Bun with crackling",Meal_entry_week_2!K$11:K$496)&gt;0,SUMIF(Meal_entry_week_2!H$11:H$496,"Bun with crackling",Meal_entry_week_2!K$11:K$496),"")</f>
        <v/>
      </c>
      <c r="F408" s="407" t="str">
        <f t="shared" si="7"/>
        <v/>
      </c>
    </row>
    <row r="409" spans="2:6">
      <c r="B409" s="749" t="s">
        <v>3080</v>
      </c>
      <c r="C409" s="749" t="s">
        <v>1912</v>
      </c>
      <c r="D409" s="421" t="str">
        <f>_xlfn.IFNA(IF(VLOOKUP($C409,Ingredient_prices!$E:$F,2,FALSE)="Партија 2","Lot 2","Lot 1"),"")</f>
        <v>Lot 1</v>
      </c>
      <c r="E409" s="407" t="str">
        <f>IF(SUMIF(Meal_entry_week_2!H$11:H$496,"Burek with cheese",Meal_entry_week_2!K$11:K$496)&gt;0,SUMIF(Meal_entry_week_2!H$11:H$496,"Burek with cheese",Meal_entry_week_2!K$11:K$496),"")</f>
        <v/>
      </c>
      <c r="F409" s="407" t="str">
        <f t="shared" si="7"/>
        <v/>
      </c>
    </row>
    <row r="410" spans="2:6">
      <c r="B410" s="749" t="s">
        <v>3080</v>
      </c>
      <c r="C410" s="749" t="s">
        <v>3380</v>
      </c>
      <c r="D410" s="421" t="str">
        <f>_xlfn.IFNA(IF(VLOOKUP($C410,Ingredient_prices!$E:$F,2,FALSE)="Партија 2","Lot 2","Lot 1"),"")</f>
        <v/>
      </c>
      <c r="E410" s="1125" t="str">
        <f>IF(SUMIF(Meal_entry_week_2!H$11:H$496,"Burek with chicken",Meal_entry_week_2!K$11:K$496)&gt;0,SUMIF(Meal_entry_week_2!H$11:H$496,"Burek with chicken",Meal_entry_week_2!K$11:K$496),"")</f>
        <v/>
      </c>
      <c r="F410" s="1125" t="str">
        <f t="shared" si="7"/>
        <v/>
      </c>
    </row>
    <row r="411" spans="2:6">
      <c r="B411" s="749" t="s">
        <v>3080</v>
      </c>
      <c r="C411" s="749" t="s">
        <v>3381</v>
      </c>
      <c r="D411" s="421" t="str">
        <f>_xlfn.IFNA(IF(VLOOKUP($C411,Ingredient_prices!$E:$F,2,FALSE)="Партија 2","Lot 2","Lot 1"),"")</f>
        <v/>
      </c>
      <c r="E411" s="1125" t="str">
        <f>IF(SUMIF(Meal_entry_week_2!H$11:H$496,"Burek with pork",Meal_entry_week_2!K$11:K$496)&gt;0,SUMIF(Meal_entry_week_2!H$11:H$496,"Burek with pork",Meal_entry_week_2!K$11:K$496),"")</f>
        <v/>
      </c>
      <c r="F411" s="1125" t="str">
        <f t="shared" si="7"/>
        <v/>
      </c>
    </row>
    <row r="412" spans="2:6">
      <c r="B412" s="749" t="s">
        <v>3080</v>
      </c>
      <c r="C412" s="1" t="s">
        <v>3379</v>
      </c>
      <c r="D412" s="421" t="str">
        <f>_xlfn.IFNA(IF(VLOOKUP($C412,Ingredient_prices!$E:$F,2,FALSE)="Партија 2","Lot 2","Lot 1"),"")</f>
        <v/>
      </c>
      <c r="E412" s="407" t="str">
        <f>IF(SUMIF(Meal_entry_week_2!H$11:H$496,"Burek with potatoes",Meal_entry_week_2!K$11:K$496)&gt;0,SUMIF(Meal_entry_week_2!H$11:H$496,"Burek with potatoes",Meal_entry_week_2!K$11:K$496),"")</f>
        <v/>
      </c>
      <c r="F412" s="407" t="str">
        <f t="shared" si="7"/>
        <v/>
      </c>
    </row>
    <row r="413" spans="2:6">
      <c r="B413" s="749" t="s">
        <v>3080</v>
      </c>
      <c r="C413" s="749" t="s">
        <v>3383</v>
      </c>
      <c r="D413" s="421" t="str">
        <f>_xlfn.IFNA(IF(VLOOKUP($C413,Ingredient_prices!$E:$F,2,FALSE)="Партија 2","Lot 2","Lot 1"),"")</f>
        <v/>
      </c>
      <c r="E413" s="407" t="str">
        <f>IF(SUMIF(Meal_entry_week_2!H$11:H$496,"Cocktail pastries",Meal_entry_week_2!K$11:K$496)&gt;0,SUMIF(Meal_entry_week_2!H$11:H$496,"Cocktail pastries",Meal_entry_week_2!K$11:K$496),"")</f>
        <v/>
      </c>
      <c r="F413" s="407" t="str">
        <f t="shared" si="7"/>
        <v/>
      </c>
    </row>
    <row r="414" spans="2:6">
      <c r="B414" s="749" t="s">
        <v>3080</v>
      </c>
      <c r="C414" s="749" t="s">
        <v>3384</v>
      </c>
      <c r="D414" s="421" t="str">
        <f>_xlfn.IFNA(IF(VLOOKUP($C414,Ingredient_prices!$E:$F,2,FALSE)="Партија 2","Lot 2","Lot 1"),"")</f>
        <v/>
      </c>
      <c r="E414" s="407" t="str">
        <f>IF(SUMIF(Meal_entry_week_2!H$11:H$496,"Croissant with cheese and ham",Meal_entry_week_2!K$11:K$496)&gt;0,SUMIF(Meal_entry_week_2!H$11:H$496,"Croissant with cheese and ham",Meal_entry_week_2!K$11:K$496),"")</f>
        <v/>
      </c>
      <c r="F414" s="407" t="str">
        <f t="shared" si="7"/>
        <v/>
      </c>
    </row>
    <row r="415" spans="2:6">
      <c r="B415" s="749" t="s">
        <v>3080</v>
      </c>
      <c r="C415" s="749" t="s">
        <v>1989</v>
      </c>
      <c r="D415" s="421" t="str">
        <f>_xlfn.IFNA(IF(VLOOKUP($C415,Ingredient_prices!$E:$F,2,FALSE)="Партија 2","Lot 2","Lot 1"),"")</f>
        <v/>
      </c>
      <c r="E415" s="407" t="str">
        <f>IF(SUMIF(Meal_entry_week_2!H$11:H$496,"Croissant with ham",Meal_entry_week_2!K$11:K$496)&gt;0,SUMIF(Meal_entry_week_2!H$11:H$496,"Croissant with ham",Meal_entry_week_2!K$11:K$496),"")</f>
        <v/>
      </c>
      <c r="F415" s="407" t="str">
        <f t="shared" si="7"/>
        <v/>
      </c>
    </row>
    <row r="416" spans="2:6">
      <c r="B416" s="749" t="s">
        <v>3080</v>
      </c>
      <c r="C416" s="749" t="s">
        <v>1987</v>
      </c>
      <c r="D416" s="421" t="str">
        <f>_xlfn.IFNA(IF(VLOOKUP($C416,Ingredient_prices!$E:$F,2,FALSE)="Партија 2","Lot 2","Lot 1"),"")</f>
        <v/>
      </c>
      <c r="E416" s="407" t="str">
        <f>IF(SUMIF(Meal_entry_week_2!H$11:H$496,"Ham buns",Meal_entry_week_2!K$11:K$496)&gt;0,SUMIF(Meal_entry_week_2!H$11:H$496,"Ham buns",Meal_entry_week_2!K$11:K$496),"")</f>
        <v/>
      </c>
      <c r="F416" s="407" t="str">
        <f t="shared" si="7"/>
        <v/>
      </c>
    </row>
    <row r="417" spans="1:7">
      <c r="B417" s="749" t="s">
        <v>3080</v>
      </c>
      <c r="C417" s="749" t="s">
        <v>3386</v>
      </c>
      <c r="D417" s="421" t="str">
        <f>_xlfn.IFNA(IF(VLOOKUP($C417,Ingredient_prices!$E:$F,2,FALSE)="Партија 2","Lot 2","Lot 1"),"")</f>
        <v/>
      </c>
      <c r="E417" s="407" t="str">
        <f>IF(SUMIF(Meal_entry_week_2!H$11:H$496,"Paté with cheese",Meal_entry_week_2!K$11:K$496)&gt;0,SUMIF(Meal_entry_week_2!H$11:H$496,"Paté with cheese",Meal_entry_week_2!K$11:K$496),"")</f>
        <v/>
      </c>
      <c r="F417" s="407" t="str">
        <f t="shared" si="7"/>
        <v/>
      </c>
    </row>
    <row r="418" spans="1:7">
      <c r="B418" s="749" t="s">
        <v>3080</v>
      </c>
      <c r="C418" s="749" t="s">
        <v>3387</v>
      </c>
      <c r="D418" s="421" t="str">
        <f>_xlfn.IFNA(IF(VLOOKUP($C418,Ingredient_prices!$E:$F,2,FALSE)="Партија 2","Lot 2","Lot 1"),"")</f>
        <v>Lot 1</v>
      </c>
      <c r="E418" s="407" t="str">
        <f>IF(SUMIF(Meal_entry_week_2!H$11:H$496,"Pie with buckwheat flour",Meal_entry_week_2!K$11:K$496)&gt;0,SUMIF(Meal_entry_week_2!H$11:H$496,"Pie with buckwheat flour",Meal_entry_week_2!K$11:K$496),"")</f>
        <v/>
      </c>
      <c r="F418" s="407" t="str">
        <f t="shared" si="7"/>
        <v/>
      </c>
    </row>
    <row r="419" spans="1:7">
      <c r="B419" s="749" t="s">
        <v>3080</v>
      </c>
      <c r="C419" s="749" t="s">
        <v>1990</v>
      </c>
      <c r="D419" s="421" t="str">
        <f>_xlfn.IFNA(IF(VLOOKUP($C419,Ingredient_prices!$E:$F,2,FALSE)="Партија 2","Lot 2","Lot 1"),"")</f>
        <v/>
      </c>
      <c r="E419" s="407" t="str">
        <f>IF(SUMIF(Meal_entry_week_2!H$11:H$496,"Pizza (mini pizza)",Meal_entry_week_2!K$11:K$496)&gt;0,SUMIF(Meal_entry_week_2!H$11:H$496,"Pizza (mini pizza)",Meal_entry_week_2!K$11:K$496),"")</f>
        <v/>
      </c>
      <c r="F419" s="407" t="str">
        <f t="shared" si="7"/>
        <v/>
      </c>
    </row>
    <row r="420" spans="1:7">
      <c r="B420" s="749" t="s">
        <v>3080</v>
      </c>
      <c r="C420" s="749" t="s">
        <v>3388</v>
      </c>
      <c r="D420" s="421" t="str">
        <f>_xlfn.IFNA(IF(VLOOKUP($C420,Ingredient_prices!$E:$F,2,FALSE)="Партија 2","Lot 2","Lot 1"),"")</f>
        <v>Lot 1</v>
      </c>
      <c r="E420" s="407">
        <f>IF(SUMIF(Meal_entry_week_2!H$11:H$496,"Pizza base",Meal_entry_week_2!K$11:K$496)&gt;0,SUMIF(Meal_entry_week_2!H$11:H$496,"Pizza base",Meal_entry_week_2!K$11:K$496),"")</f>
        <v>5.5000000000000009</v>
      </c>
      <c r="F420" s="407">
        <f t="shared" si="7"/>
        <v>5.5000000000000009</v>
      </c>
    </row>
    <row r="421" spans="1:7">
      <c r="B421" s="749" t="s">
        <v>3080</v>
      </c>
      <c r="C421" s="749" t="s">
        <v>3393</v>
      </c>
      <c r="D421" s="421" t="str">
        <f>_xlfn.IFNA(IF(VLOOKUP($C421,Ingredient_prices!$E:$F,2,FALSE)="Партија 2","Lot 2","Lot 1"),"")</f>
        <v/>
      </c>
      <c r="E421" s="407" t="str">
        <f>IF(SUMIF(Meal_entry_week_2!H$11:H$496,"Roll with cheese",Meal_entry_week_2!K$11:K$496)&gt;0,SUMIF(Meal_entry_week_2!H$11:H$496,"Roll with cheese",Meal_entry_week_2!K$11:K$496),"")</f>
        <v/>
      </c>
      <c r="F421" s="407" t="str">
        <f t="shared" si="7"/>
        <v/>
      </c>
    </row>
    <row r="422" spans="1:7" s="491" customFormat="1">
      <c r="A422" s="1126"/>
      <c r="B422" s="749" t="s">
        <v>3080</v>
      </c>
      <c r="C422" s="749" t="s">
        <v>3548</v>
      </c>
      <c r="D422" s="421" t="str">
        <f>_xlfn.IFNA(IF(VLOOKUP($C422,Ingredient_prices!$E:$F,2,FALSE)="Партија 2","Lot 2","Lot 1"),"")</f>
        <v>Lot 1</v>
      </c>
      <c r="E422" s="407" t="str">
        <f>IF(SUMIF(Meal_entry_week_2!H$11:H$496,"Sausage roll",Meal_entry_week_2!K$11:K$496)&gt;0,SUMIF(Meal_entry_week_2!H$11:H$496,"Sausage roll",Meal_entry_week_2!K$11:K$496),"")</f>
        <v/>
      </c>
      <c r="F422" s="407" t="str">
        <f t="shared" si="7"/>
        <v/>
      </c>
      <c r="G422" s="1126"/>
    </row>
    <row r="423" spans="1:7" s="491" customFormat="1">
      <c r="A423" s="1126"/>
      <c r="B423" s="749" t="s">
        <v>3080</v>
      </c>
      <c r="C423" s="749" t="s">
        <v>3382</v>
      </c>
      <c r="D423" s="421" t="str">
        <f>_xlfn.IFNA(IF(VLOOKUP($C423,Ingredient_prices!$E:$F,2,FALSE)="Партија 2","Lot 2","Lot 1"),"")</f>
        <v/>
      </c>
      <c r="E423" s="407" t="str">
        <f>IF(SUMIF(Meal_entry_week_2!H$11:H$496,"Savoury biscuits Tak",Meal_entry_week_2!K$11:K$496)&gt;0,SUMIF(Meal_entry_week_2!H$11:H$496,"Savoury biscuits Tak",Meal_entry_week_2!K$11:K$496),"")</f>
        <v/>
      </c>
      <c r="F423" s="407" t="str">
        <f t="shared" si="7"/>
        <v/>
      </c>
      <c r="G423" s="1126"/>
    </row>
    <row r="424" spans="1:7">
      <c r="B424" s="749" t="s">
        <v>3080</v>
      </c>
      <c r="C424" s="749" t="s">
        <v>3392</v>
      </c>
      <c r="D424" s="421" t="str">
        <f>_xlfn.IFNA(IF(VLOOKUP($C424,Ingredient_prices!$E:$F,2,FALSE)="Партија 2","Lot 2","Lot 1"),"")</f>
        <v>Lot 1</v>
      </c>
      <c r="E424" s="407" t="str">
        <f>IF(SUMIF(Meal_entry_week_2!H$11:H$496,"Spiral bun small",Meal_entry_week_2!K$11:K$496)&gt;0,SUMIF(Meal_entry_week_2!H$11:H$496,"Spiral bun small",Meal_entry_week_2!K$11:K$496),"")</f>
        <v/>
      </c>
      <c r="F424" s="407" t="str">
        <f>IF(E424="","",E424/1)</f>
        <v/>
      </c>
    </row>
    <row r="425" spans="1:7">
      <c r="B425" s="492" t="s">
        <v>3080</v>
      </c>
      <c r="C425" s="492" t="s">
        <v>3391</v>
      </c>
      <c r="D425" s="421" t="str">
        <f>_xlfn.IFNA(IF(VLOOKUP($C425,Ingredient_prices!$E:$F,2,FALSE)="Партија 2","Lot 2","Lot 1"),"")</f>
        <v/>
      </c>
      <c r="E425" s="407" t="str">
        <f>IF(SUMIF(Meal_entry_week_2!H$11:H$496,"Spiral bun with cheese",Meal_entry_week_2!K$11:K$496)&gt;0,SUMIF(Meal_entry_week_2!H$11:H$496,"Spiral bun with cheese",Meal_entry_week_2!K$11:K$496),"")</f>
        <v/>
      </c>
      <c r="F425" s="407" t="str">
        <f t="shared" si="7"/>
        <v/>
      </c>
    </row>
    <row r="426" spans="1:7">
      <c r="B426" s="491" t="s">
        <v>3081</v>
      </c>
      <c r="C426" s="749" t="s">
        <v>3395</v>
      </c>
      <c r="D426" s="421" t="str">
        <f>_xlfn.IFNA(IF(VLOOKUP($C426,Ingredient_prices!$E:$F,2,FALSE)="Партија 2","Lot 2","Lot 1"),"")</f>
        <v/>
      </c>
      <c r="E426" s="407" t="str">
        <f>IF(SUMIF(Meal_entry_week_2!H$11:H$496,"Apple strudel",Meal_entry_week_2!K$11:K$496)&gt;0,SUMIF(Meal_entry_week_2!H$11:H$496,"Apple strudel",Meal_entry_week_2!K$11:K$496),"")</f>
        <v/>
      </c>
      <c r="F426" s="407" t="str">
        <f t="shared" si="7"/>
        <v/>
      </c>
    </row>
    <row r="427" spans="1:7">
      <c r="B427" s="491" t="s">
        <v>3081</v>
      </c>
      <c r="C427" s="749" t="s">
        <v>3398</v>
      </c>
      <c r="D427" s="421" t="str">
        <f>_xlfn.IFNA(IF(VLOOKUP($C427,Ingredient_prices!$E:$F,2,FALSE)="Партија 2","Lot 2","Lot 1"),"")</f>
        <v>Lot 1</v>
      </c>
      <c r="E427" s="407" t="str">
        <f>IF(SUMIF(Meal_entry_week_2!H$11:H$496,"Apple tart",Meal_entry_week_2!K$11:K$496)&gt;0,SUMIF(Meal_entry_week_2!H$11:H$496,"Apple tart",Meal_entry_week_2!K$11:K$496),"")</f>
        <v/>
      </c>
      <c r="F427" s="407" t="str">
        <f t="shared" si="7"/>
        <v/>
      </c>
    </row>
    <row r="428" spans="1:7">
      <c r="B428" s="491" t="s">
        <v>3081</v>
      </c>
      <c r="C428" s="749" t="s">
        <v>1931</v>
      </c>
      <c r="D428" s="421" t="str">
        <f>_xlfn.IFNA(IF(VLOOKUP($C428,Ingredient_prices!$E:$F,2,FALSE)="Партија 2","Lot 2","Lot 1"),"")</f>
        <v>Lot 1</v>
      </c>
      <c r="E428" s="407" t="str">
        <f>IF(SUMIF(Meal_entry_week_2!H$11:H$496,"Cherry pie",Meal_entry_week_2!K$11:K$496)&gt;0,SUMIF(Meal_entry_week_2!H$11:H$496,"Cherry pie",Meal_entry_week_2!K$11:K$496),"")</f>
        <v/>
      </c>
      <c r="F428" s="407" t="str">
        <f t="shared" si="7"/>
        <v/>
      </c>
    </row>
    <row r="429" spans="1:7">
      <c r="B429" s="491" t="s">
        <v>3081</v>
      </c>
      <c r="C429" s="1" t="s">
        <v>1938</v>
      </c>
      <c r="D429" s="421" t="str">
        <f>_xlfn.IFNA(IF(VLOOKUP($C429,Ingredient_prices!$E:$F,2,FALSE)="Партија 2","Lot 2","Lot 1"),"")</f>
        <v>Lot 1</v>
      </c>
      <c r="E429" s="407" t="str">
        <f>IF(SUMIF(Meal_entry_week_2!H$11:H$496,"Cherry roll",Meal_entry_week_2!K$11:K$496)&gt;0,SUMIF(Meal_entry_week_2!H$11:H$496,"Cherry roll",Meal_entry_week_2!K$11:K$496),"")</f>
        <v/>
      </c>
      <c r="F429" s="407" t="str">
        <f t="shared" si="7"/>
        <v/>
      </c>
    </row>
    <row r="430" spans="1:7">
      <c r="B430" s="491" t="s">
        <v>3081</v>
      </c>
      <c r="C430" s="749" t="s">
        <v>3396</v>
      </c>
      <c r="D430" s="421" t="str">
        <f>_xlfn.IFNA(IF(VLOOKUP($C430,Ingredient_prices!$E:$F,2,FALSE)="Партија 2","Lot 2","Lot 1"),"")</f>
        <v/>
      </c>
      <c r="E430" s="407" t="str">
        <f>IF(SUMIF(Meal_entry_week_2!H$11:H$496,"Cherry strudel",Meal_entry_week_2!K$11:K$496)&gt;0,SUMIF(Meal_entry_week_2!H$11:H$496,"Cherry strudel",Meal_entry_week_2!K$11:K$496),"")</f>
        <v/>
      </c>
      <c r="F430" s="407" t="str">
        <f t="shared" si="7"/>
        <v/>
      </c>
    </row>
    <row r="431" spans="1:7">
      <c r="B431" s="491" t="s">
        <v>3081</v>
      </c>
      <c r="C431" s="1" t="s">
        <v>1940</v>
      </c>
      <c r="D431" s="421" t="str">
        <f>_xlfn.IFNA(IF(VLOOKUP($C431,Ingredient_prices!$E:$F,2,FALSE)="Партија 2","Lot 2","Lot 1"),"")</f>
        <v/>
      </c>
      <c r="E431" s="407" t="str">
        <f>IF(SUMIF(Meal_entry_week_2!H$11:H$496,"Cream roll",Meal_entry_week_2!K$11:K$496)&gt;0,SUMIF(Meal_entry_week_2!H$11:H$496,"Cream roll",Meal_entry_week_2!K$11:K$496),"")</f>
        <v/>
      </c>
      <c r="F431" s="407" t="str">
        <f t="shared" si="7"/>
        <v/>
      </c>
    </row>
    <row r="432" spans="1:7">
      <c r="B432" s="491" t="s">
        <v>3081</v>
      </c>
      <c r="C432" s="749" t="s">
        <v>3394</v>
      </c>
      <c r="D432" s="421" t="str">
        <f>_xlfn.IFNA(IF(VLOOKUP($C432,Ingredient_prices!$E:$F,2,FALSE)="Партија 2","Lot 2","Lot 1"),"")</f>
        <v>Lot 1</v>
      </c>
      <c r="E432" s="407" t="str">
        <f>IF(SUMIF(Meal_entry_week_2!H$11:H$496,"Croissant with chocolate",Meal_entry_week_2!K$11:K$496)&gt;0,SUMIF(Meal_entry_week_2!H$11:H$496,"Croissant with chocolate",Meal_entry_week_2!K$11:K$496),"")</f>
        <v/>
      </c>
      <c r="F432" s="407" t="str">
        <f t="shared" si="7"/>
        <v/>
      </c>
    </row>
    <row r="433" spans="1:7">
      <c r="B433" s="491" t="s">
        <v>3081</v>
      </c>
      <c r="C433" s="749" t="s">
        <v>1913</v>
      </c>
      <c r="D433" s="421" t="str">
        <f>_xlfn.IFNA(IF(VLOOKUP($C433,Ingredient_prices!$E:$F,2,FALSE)="Партија 2","Lot 2","Lot 1"),"")</f>
        <v>Lot 1</v>
      </c>
      <c r="E433" s="407" t="str">
        <f>IF(SUMIF(Meal_entry_week_2!H$11:H$496,"Danish pastry (sweet)",Meal_entry_week_2!K$11:K$496)&gt;0,SUMIF(Meal_entry_week_2!H$11:H$496,"Danish pastry (sweet)",Meal_entry_week_2!K$11:K$496),"")</f>
        <v/>
      </c>
      <c r="F433" s="407" t="str">
        <f t="shared" si="7"/>
        <v/>
      </c>
    </row>
    <row r="434" spans="1:7">
      <c r="B434" s="491" t="s">
        <v>3081</v>
      </c>
      <c r="C434" s="749" t="s">
        <v>3399</v>
      </c>
      <c r="D434" s="421" t="str">
        <f>_xlfn.IFNA(IF(VLOOKUP($C434,Ingredient_prices!$E:$F,2,FALSE)="Партија 2","Lot 2","Lot 1"),"")</f>
        <v/>
      </c>
      <c r="E434" s="407" t="str">
        <f>IF(SUMIF(Meal_entry_week_2!H$11:H$496,"Doughnut with jam",Meal_entry_week_2!K$11:K$496)&gt;0,SUMIF(Meal_entry_week_2!H$11:H$496,"Doughnut with jam",Meal_entry_week_2!K$11:K$496),"")</f>
        <v/>
      </c>
      <c r="F434" s="407" t="str">
        <f t="shared" si="7"/>
        <v/>
      </c>
    </row>
    <row r="435" spans="1:7" s="749" customFormat="1">
      <c r="A435" s="444"/>
      <c r="B435" s="491" t="s">
        <v>3081</v>
      </c>
      <c r="C435" s="749" t="s">
        <v>1932</v>
      </c>
      <c r="D435" s="421" t="str">
        <f>_xlfn.IFNA(IF(VLOOKUP($C435,Ingredient_prices!$E:$F,2,FALSE)="Партија 2","Lot 2","Lot 1"),"")</f>
        <v/>
      </c>
      <c r="E435" s="407" t="str">
        <f>IF(SUMIF(Meal_entry_week_2!H$11:H$496,"Pie with cherries and apples",Meal_entry_week_2!K$11:K$496)&gt;0,SUMIF(Meal_entry_week_2!H$11:H$496,"Pie with cherries and apples",Meal_entry_week_2!K$11:K$496),"")</f>
        <v/>
      </c>
      <c r="F435" s="407" t="str">
        <f t="shared" si="7"/>
        <v/>
      </c>
      <c r="G435" s="444"/>
    </row>
    <row r="436" spans="1:7" s="749" customFormat="1">
      <c r="A436" s="444"/>
      <c r="B436" s="491" t="s">
        <v>3081</v>
      </c>
      <c r="C436" s="749" t="s">
        <v>3397</v>
      </c>
      <c r="D436" s="421" t="str">
        <f>_xlfn.IFNA(IF(VLOOKUP($C436,Ingredient_prices!$E:$F,2,FALSE)="Партија 2","Lot 2","Lot 1"),"")</f>
        <v/>
      </c>
      <c r="E436" s="407" t="str">
        <f>IF(SUMIF(Meal_entry_week_2!H$11:H$496,"Square doughnuts with jam",Meal_entry_week_2!K$11:K$496)&gt;0,SUMIF(Meal_entry_week_2!H$11:H$496,"Square doughnuts with jam",Meal_entry_week_2!K$11:K$496),"")</f>
        <v/>
      </c>
      <c r="F436" s="407" t="str">
        <f t="shared" si="7"/>
        <v/>
      </c>
      <c r="G436" s="444"/>
    </row>
    <row r="437" spans="1:7" s="749" customFormat="1">
      <c r="A437" s="444"/>
      <c r="B437" s="492" t="s">
        <v>3081</v>
      </c>
      <c r="C437" s="492" t="s">
        <v>1997</v>
      </c>
      <c r="D437" s="421" t="str">
        <f>_xlfn.IFNA(IF(VLOOKUP($C437,Ingredient_prices!$E:$F,2,FALSE)="Партија 2","Lot 2","Lot 1"),"")</f>
        <v/>
      </c>
      <c r="E437" s="407" t="str">
        <f>IF(SUMIF(Meal_entry_week_2!H$11:H$496,"Strudel with poppy seeds",Meal_entry_week_2!K$11:K$496)&gt;0,SUMIF(Meal_entry_week_2!H$11:H$496,"Strudel with poppy seeds",Meal_entry_week_2!K$11:K$496),"")</f>
        <v/>
      </c>
      <c r="F437" s="407" t="str">
        <f t="shared" si="7"/>
        <v/>
      </c>
      <c r="G437" s="444"/>
    </row>
    <row r="438" spans="1:7" s="749" customFormat="1">
      <c r="A438" s="444"/>
      <c r="B438" s="494" t="s">
        <v>3082</v>
      </c>
      <c r="C438" s="749" t="s">
        <v>3401</v>
      </c>
      <c r="D438" s="421" t="str">
        <f>_xlfn.IFNA(IF(VLOOKUP($C438,Ingredient_prices!$E:$F,2,FALSE)="Партија 2","Lot 2","Lot 1"),"")</f>
        <v/>
      </c>
      <c r="E438" s="407" t="str">
        <f>IF(SUMIF(Meal_entry_week_2!H$11:H$496,"Beef cube flavouring",Meal_entry_week_2!K$11:K$496)&gt;0,SUMIF(Meal_entry_week_2!H$11:H$496,"Beef cube flavouring",Meal_entry_week_2!K$11:K$496),"")</f>
        <v/>
      </c>
      <c r="F438" s="407" t="str">
        <f t="shared" si="7"/>
        <v/>
      </c>
      <c r="G438" s="444"/>
    </row>
    <row r="439" spans="1:7" s="749" customFormat="1">
      <c r="A439" s="444"/>
      <c r="B439" s="491" t="s">
        <v>3082</v>
      </c>
      <c r="C439" s="749" t="s">
        <v>3403</v>
      </c>
      <c r="D439" s="421" t="str">
        <f>_xlfn.IFNA(IF(VLOOKUP($C439,Ingredient_prices!$E:$F,2,FALSE)="Партија 2","Lot 2","Lot 1"),"")</f>
        <v/>
      </c>
      <c r="E439" s="407" t="str">
        <f>IF(SUMIF(Meal_entry_week_2!H$11:H$496,"Beef soup packet",Meal_entry_week_2!K$11:K$496)&gt;0,SUMIF(Meal_entry_week_2!H$11:H$496,"Beef soup packet",Meal_entry_week_2!K$11:K$496),"")</f>
        <v/>
      </c>
      <c r="F439" s="407" t="str">
        <f t="shared" si="7"/>
        <v/>
      </c>
      <c r="G439" s="444"/>
    </row>
    <row r="440" spans="1:7" s="749" customFormat="1">
      <c r="A440" s="444"/>
      <c r="B440" s="491" t="s">
        <v>3082</v>
      </c>
      <c r="C440" s="749" t="s">
        <v>3400</v>
      </c>
      <c r="D440" s="421" t="str">
        <f>_xlfn.IFNA(IF(VLOOKUP($C440,Ingredient_prices!$E:$F,2,FALSE)="Партија 2","Lot 2","Lot 1"),"")</f>
        <v/>
      </c>
      <c r="E440" s="407" t="str">
        <f>IF(SUMIF(Meal_entry_week_2!H$11:H$496,"Ćevapi in a bun",Meal_entry_week_2!K$11:K$496)&gt;0,SUMIF(Meal_entry_week_2!H$11:H$496,"Ćevapi in a bun",Meal_entry_week_2!K$11:K$496),"")</f>
        <v/>
      </c>
      <c r="F440" s="407" t="str">
        <f t="shared" si="7"/>
        <v/>
      </c>
      <c r="G440" s="444"/>
    </row>
    <row r="441" spans="1:7">
      <c r="B441" s="491" t="s">
        <v>3082</v>
      </c>
      <c r="C441" s="749" t="s">
        <v>3406</v>
      </c>
      <c r="D441" s="421" t="str">
        <f>_xlfn.IFNA(IF(VLOOKUP($C441,Ingredient_prices!$E:$F,2,FALSE)="Партија 2","Lot 2","Lot 1"),"")</f>
        <v/>
      </c>
      <c r="E441" s="407" t="str">
        <f>IF(SUMIF(Meal_entry_week_2!H$11:H$496,"Chicken cube flavouring",Meal_entry_week_2!K$11:K$496)&gt;0,SUMIF(Meal_entry_week_2!H$11:H$496,"Chicken cube flavouring",Meal_entry_week_2!K$11:K$496),"")</f>
        <v/>
      </c>
      <c r="F441" s="407" t="str">
        <f t="shared" si="7"/>
        <v/>
      </c>
    </row>
    <row r="442" spans="1:7" s="749" customFormat="1">
      <c r="A442" s="444"/>
      <c r="B442" s="491" t="s">
        <v>3082</v>
      </c>
      <c r="C442" s="749" t="s">
        <v>3402</v>
      </c>
      <c r="D442" s="421" t="str">
        <f>_xlfn.IFNA(IF(VLOOKUP($C442,Ingredient_prices!$E:$F,2,FALSE)="Партија 2","Lot 2","Lot 1"),"")</f>
        <v/>
      </c>
      <c r="E442" s="407" t="str">
        <f>IF(SUMIF(Meal_entry_week_2!H$11:H$496,"Chicken soup packet",Meal_entry_week_2!K$11:K$496)&gt;0,SUMIF(Meal_entry_week_2!H$11:H$496,"Chicken soup packet",Meal_entry_week_2!K$11:K$496),"")</f>
        <v/>
      </c>
      <c r="F442" s="407" t="str">
        <f t="shared" si="7"/>
        <v/>
      </c>
      <c r="G442" s="444"/>
    </row>
    <row r="443" spans="1:7">
      <c r="B443" s="491" t="s">
        <v>3082</v>
      </c>
      <c r="C443" s="749" t="s">
        <v>3405</v>
      </c>
      <c r="D443" s="421" t="str">
        <f>_xlfn.IFNA(IF(VLOOKUP($C443,Ingredient_prices!$E:$F,2,FALSE)="Партија 2","Lot 2","Lot 1"),"")</f>
        <v>Lot 2</v>
      </c>
      <c r="E443" s="407" t="str">
        <f>IF(SUMIF(Meal_entry_week_2!H$11:H$496,"Chicken soup thick packet",Meal_entry_week_2!K$11:K$496)&gt;0,SUMIF(Meal_entry_week_2!H$11:H$496,"Chicken soup thick packet",Meal_entry_week_2!K$11:K$496),"")</f>
        <v/>
      </c>
      <c r="F443" s="407" t="str">
        <f t="shared" si="7"/>
        <v/>
      </c>
    </row>
    <row r="444" spans="1:7">
      <c r="B444" s="491" t="s">
        <v>3082</v>
      </c>
      <c r="C444" s="749" t="s">
        <v>3528</v>
      </c>
      <c r="D444" s="421" t="str">
        <f>_xlfn.IFNA(IF(VLOOKUP($C444,Ingredient_prices!$E:$F,2,FALSE)="Партија 2","Lot 2","Lot 1"),"")</f>
        <v>Lot 1</v>
      </c>
      <c r="E444" s="407" t="str">
        <f>IF(SUMIF(Meal_entry_week_2!H$11:H$496,"Pizza margarita",Meal_entry_week_2!K$11:K$496)&gt;0,SUMIF(Meal_entry_week_2!H$11:H$496,"Pizza margarita",Meal_entry_week_2!K$11:K$496),"")</f>
        <v/>
      </c>
      <c r="F444" s="407" t="str">
        <f t="shared" si="7"/>
        <v/>
      </c>
    </row>
    <row r="445" spans="1:7">
      <c r="B445" s="491" t="s">
        <v>3082</v>
      </c>
      <c r="C445" s="749" t="s">
        <v>1992</v>
      </c>
      <c r="D445" s="421" t="str">
        <f>_xlfn.IFNA(IF(VLOOKUP($C445,Ingredient_prices!$E:$F,2,FALSE)="Партија 2","Lot 2","Lot 1"),"")</f>
        <v/>
      </c>
      <c r="E445" s="407" t="str">
        <f>IF(SUMIF(Meal_entry_week_2!H$11:H$496,"Pizza with cheese",Meal_entry_week_2!K$11:K$496)&gt;0,SUMIF(Meal_entry_week_2!H$11:H$496,"Pizza with cheese",Meal_entry_week_2!K$11:K$496),"")</f>
        <v/>
      </c>
      <c r="F445" s="407" t="str">
        <f t="shared" si="7"/>
        <v/>
      </c>
    </row>
    <row r="446" spans="1:7">
      <c r="B446" s="491" t="s">
        <v>3082</v>
      </c>
      <c r="C446" s="749" t="s">
        <v>1993</v>
      </c>
      <c r="D446" s="421" t="str">
        <f>_xlfn.IFNA(IF(VLOOKUP($C446,Ingredient_prices!$E:$F,2,FALSE)="Партија 2","Lot 2","Lot 1"),"")</f>
        <v/>
      </c>
      <c r="E446" s="407" t="str">
        <f>IF(SUMIF(Meal_entry_week_2!H$11:H$496,"Pizza with cheese, meat and vegetables",Meal_entry_week_2!K$11:K$496)&gt;0,SUMIF(Meal_entry_week_2!H$11:H$496,"Pizza with cheese, meat and vegetables",Meal_entry_week_2!K$11:K$496),"")</f>
        <v/>
      </c>
      <c r="F446" s="407" t="str">
        <f t="shared" si="7"/>
        <v/>
      </c>
    </row>
    <row r="447" spans="1:7">
      <c r="B447" s="491" t="s">
        <v>3082</v>
      </c>
      <c r="C447" s="749" t="s">
        <v>3407</v>
      </c>
      <c r="D447" s="421" t="str">
        <f>_xlfn.IFNA(IF(VLOOKUP($C447,Ingredient_prices!$E:$F,2,FALSE)="Партија 2","Lot 2","Lot 1"),"")</f>
        <v/>
      </c>
      <c r="E447" s="407" t="str">
        <f>IF(SUMIF(Meal_entry_week_2!H$11:H$496,"Pizza with salami",Meal_entry_week_2!K$11:K$496)&gt;0,SUMIF(Meal_entry_week_2!H$11:H$496,"Pizza with salami",Meal_entry_week_2!K$11:K$496),"")</f>
        <v/>
      </c>
      <c r="F447" s="407" t="str">
        <f t="shared" si="7"/>
        <v/>
      </c>
    </row>
    <row r="448" spans="1:7">
      <c r="B448" s="491" t="s">
        <v>3082</v>
      </c>
      <c r="C448" s="749" t="s">
        <v>3409</v>
      </c>
      <c r="D448" s="421" t="str">
        <f>_xlfn.IFNA(IF(VLOOKUP($C448,Ingredient_prices!$E:$F,2,FALSE)="Партија 2","Lot 2","Lot 1"),"")</f>
        <v/>
      </c>
      <c r="E448" s="407" t="str">
        <f>IF(SUMIF(Meal_entry_week_2!H$11:H$496,"Rice pudding",Meal_entry_week_2!K$11:K$496)&gt;0,SUMIF(Meal_entry_week_2!H$11:H$496,"Rice pudding",Meal_entry_week_2!K$11:K$496),"")</f>
        <v/>
      </c>
      <c r="F448" s="407" t="str">
        <f t="shared" si="7"/>
        <v/>
      </c>
    </row>
    <row r="449" spans="1:7">
      <c r="B449" s="491" t="s">
        <v>3082</v>
      </c>
      <c r="C449" s="749" t="s">
        <v>3408</v>
      </c>
      <c r="D449" s="421" t="str">
        <f>_xlfn.IFNA(IF(VLOOKUP($C449,Ingredient_prices!$E:$F,2,FALSE)="Партија 2","Lot 2","Lot 1"),"")</f>
        <v/>
      </c>
      <c r="E449" s="407" t="str">
        <f>IF(SUMIF(Meal_entry_week_2!H$11:H$496,"Sauerkraut cooked",Meal_entry_week_2!K$11:K$496)&gt;0,SUMIF(Meal_entry_week_2!H$11:H$496,"Sauerkraut cooked",Meal_entry_week_2!K$11:K$496),"")</f>
        <v/>
      </c>
      <c r="F449" s="407" t="str">
        <f t="shared" si="7"/>
        <v/>
      </c>
    </row>
    <row r="450" spans="1:7">
      <c r="B450" s="491" t="s">
        <v>3082</v>
      </c>
      <c r="C450" s="749" t="s">
        <v>496</v>
      </c>
      <c r="D450" s="421" t="str">
        <f>_xlfn.IFNA(IF(VLOOKUP($C450,Ingredient_prices!$E:$F,2,FALSE)="Партија 2","Lot 2","Lot 1"),"")</f>
        <v/>
      </c>
      <c r="E450" s="407" t="str">
        <f>IF(SUMIF(Meal_entry_week_2!H$11:H$496,"Soup cubes",Meal_entry_week_2!K$11:K$496)&gt;0,SUMIF(Meal_entry_week_2!H$11:H$496,"Soup cubes",Meal_entry_week_2!K$11:K$496),"")</f>
        <v/>
      </c>
      <c r="F450" s="407" t="str">
        <f t="shared" si="7"/>
        <v/>
      </c>
    </row>
    <row r="451" spans="1:7">
      <c r="B451" s="492" t="s">
        <v>3082</v>
      </c>
      <c r="C451" s="492" t="s">
        <v>3404</v>
      </c>
      <c r="D451" s="421" t="str">
        <f>_xlfn.IFNA(IF(VLOOKUP($C451,Ingredient_prices!$E:$F,2,FALSE)="Партија 2","Lot 2","Lot 1"),"")</f>
        <v/>
      </c>
      <c r="E451" s="407" t="str">
        <f>IF(SUMIF(Meal_entry_week_2!H$11:H$496,"Tomato soup packet",Meal_entry_week_2!K$11:K$496)&gt;0,SUMIF(Meal_entry_week_2!H$11:H$496,"Tomato soup packet",Meal_entry_week_2!K$11:K$496),"")</f>
        <v/>
      </c>
      <c r="F451" s="407" t="str">
        <f t="shared" si="7"/>
        <v/>
      </c>
    </row>
    <row r="452" spans="1:7">
      <c r="B452" s="494" t="s">
        <v>3083</v>
      </c>
      <c r="C452" s="749" t="s">
        <v>3519</v>
      </c>
      <c r="D452" s="421" t="str">
        <f>_xlfn.IFNA(IF(VLOOKUP($C452,Ingredient_prices!$E:$F,2,FALSE)="Партија 2","Lot 2","Lot 1"),"")</f>
        <v/>
      </c>
      <c r="E452" s="407" t="str">
        <f>IF(SUMIF(Meal_entry_week_2!H$11:H$496,"Apple syrup (squash) diluted",Meal_entry_week_2!K$11:K$496)&gt;0,SUMIF(Meal_entry_week_2!H$11:H$496,"Apple syrup (squash) diluted",Meal_entry_week_2!K$11:K$496),"")</f>
        <v/>
      </c>
      <c r="F452" s="407" t="str">
        <f t="shared" si="7"/>
        <v/>
      </c>
    </row>
    <row r="453" spans="1:7">
      <c r="B453" s="491" t="s">
        <v>3083</v>
      </c>
      <c r="C453" s="1" t="s">
        <v>3524</v>
      </c>
      <c r="D453" s="421" t="str">
        <f>_xlfn.IFNA(IF(VLOOKUP($C453,Ingredient_prices!$E:$F,2,FALSE)="Партија 2","Lot 2","Lot 1"),"")</f>
        <v/>
      </c>
      <c r="E453" s="407" t="str">
        <f>IF(SUMIF(Meal_entry_week_2!H$11:H$496,"Apple syrup (squash) undiluted",Meal_entry_week_2!K$11:K$496)&gt;0,SUMIF(Meal_entry_week_2!H$11:H$496,"Apple syrup (squash) undiluted",Meal_entry_week_2!K$11:K$496),"")</f>
        <v/>
      </c>
      <c r="F453" s="407" t="str">
        <f t="shared" si="7"/>
        <v/>
      </c>
    </row>
    <row r="454" spans="1:7">
      <c r="B454" s="491" t="s">
        <v>3083</v>
      </c>
      <c r="C454" s="749" t="s">
        <v>3529</v>
      </c>
      <c r="D454" s="421" t="str">
        <f>_xlfn.IFNA(IF(VLOOKUP($C454,Ingredient_prices!$E:$F,2,FALSE)="Партија 2","Lot 2","Lot 1"),"")</f>
        <v/>
      </c>
      <c r="E454" s="407" t="str">
        <f>IF(SUMIF(Meal_entry_week_2!H$11:H$496,"Blackcurrant syrup (squash) diluted",Meal_entry_week_2!K$11:K$496)&gt;0,SUMIF(Meal_entry_week_2!H$11:H$496,"Blackcurrant syrup (squash) diluted",Meal_entry_week_2!K$11:K$496),"")</f>
        <v/>
      </c>
      <c r="F454" s="407" t="str">
        <f t="shared" si="7"/>
        <v/>
      </c>
    </row>
    <row r="455" spans="1:7">
      <c r="B455" s="491" t="s">
        <v>3083</v>
      </c>
      <c r="C455" s="1" t="s">
        <v>3530</v>
      </c>
      <c r="D455" s="421" t="str">
        <f>_xlfn.IFNA(IF(VLOOKUP($C455,Ingredient_prices!$E:$F,2,FALSE)="Партија 2","Lot 2","Lot 1"),"")</f>
        <v/>
      </c>
      <c r="E455" s="407" t="str">
        <f>IF(SUMIF(Meal_entry_week_2!H$11:H$496,"Blackcurrant syrup (squash) undiluted",Meal_entry_week_2!K$11:K$496)&gt;0,SUMIF(Meal_entry_week_2!H$11:H$496,"Blackcurrant syrup (squash) undiluted",Meal_entry_week_2!K$11:K$496),"")</f>
        <v/>
      </c>
      <c r="F455" s="407" t="str">
        <f t="shared" si="7"/>
        <v/>
      </c>
    </row>
    <row r="456" spans="1:7" s="749" customFormat="1">
      <c r="A456" s="444"/>
      <c r="B456" s="491" t="s">
        <v>3083</v>
      </c>
      <c r="C456" s="749" t="s">
        <v>3518</v>
      </c>
      <c r="D456" s="421" t="str">
        <f>_xlfn.IFNA(IF(VLOOKUP($C456,Ingredient_prices!$E:$F,2,FALSE)="Партија 2","Lot 2","Lot 1"),"")</f>
        <v/>
      </c>
      <c r="E456" s="407" t="str">
        <f>IF(SUMIF(Meal_entry_week_2!H$11:H$496,"Blueberry syrup (squash) diluted",Meal_entry_week_2!K$11:K$496)&gt;0,SUMIF(Meal_entry_week_2!H$11:H$496,"Blueberry syrup (squash) diluted",Meal_entry_week_2!K$11:K$496),"")</f>
        <v/>
      </c>
      <c r="F456" s="407" t="str">
        <f t="shared" si="7"/>
        <v/>
      </c>
      <c r="G456" s="444"/>
    </row>
    <row r="457" spans="1:7">
      <c r="B457" s="491" t="s">
        <v>3083</v>
      </c>
      <c r="C457" s="1" t="s">
        <v>3523</v>
      </c>
      <c r="D457" s="421" t="str">
        <f>_xlfn.IFNA(IF(VLOOKUP($C457,Ingredient_prices!$E:$F,2,FALSE)="Партија 2","Lot 2","Lot 1"),"")</f>
        <v/>
      </c>
      <c r="E457" s="407" t="str">
        <f>IF(SUMIF(Meal_entry_week_2!H$11:H$496,"Blueberry syrup (squash) undiluted",Meal_entry_week_2!K$11:K$496)&gt;0,SUMIF(Meal_entry_week_2!H$11:H$496,"Blueberry syrup (squash) undiluted",Meal_entry_week_2!K$11:K$496),"")</f>
        <v/>
      </c>
      <c r="F457" s="407" t="str">
        <f t="shared" ref="F457:F484" si="8">IF(E457="","",E457/1)</f>
        <v/>
      </c>
    </row>
    <row r="458" spans="1:7">
      <c r="B458" s="491" t="s">
        <v>3083</v>
      </c>
      <c r="C458" s="749" t="s">
        <v>3414</v>
      </c>
      <c r="D458" s="421" t="str">
        <f>_xlfn.IFNA(IF(VLOOKUP($C458,Ingredient_prices!$E:$F,2,FALSE)="Партија 2","Lot 2","Lot 1"),"")</f>
        <v>Lot 2</v>
      </c>
      <c r="E458" s="407">
        <f>IF(SUMIF(Meal_entry_week_2!H$11:H$496,"Cedevita lemon",Meal_entry_week_2!K$11:K$496)&gt;0,SUMIF(Meal_entry_week_2!H$11:H$496,"Cedevita lemon",Meal_entry_week_2!K$11:K$496),"")</f>
        <v>2.7500000000000004</v>
      </c>
      <c r="F458" s="407">
        <f t="shared" si="8"/>
        <v>2.7500000000000004</v>
      </c>
    </row>
    <row r="459" spans="1:7">
      <c r="B459" s="491" t="s">
        <v>3083</v>
      </c>
      <c r="C459" s="749" t="s">
        <v>2739</v>
      </c>
      <c r="D459" s="421" t="str">
        <f>_xlfn.IFNA(IF(VLOOKUP($C459,Ingredient_prices!$E:$F,2,FALSE)="Партија 2","Lot 2","Lot 1"),"")</f>
        <v/>
      </c>
      <c r="E459" s="407" t="str">
        <f>IF(SUMIF(Meal_entry_week_2!H$11:H$496,"Cedevita multivitamin",Meal_entry_week_2!K$11:K$496)&gt;0,SUMIF(Meal_entry_week_2!H$11:H$496,"Cedevita multivitamin",Meal_entry_week_2!K$11:K$496),"")</f>
        <v/>
      </c>
      <c r="F459" s="407" t="str">
        <f t="shared" si="8"/>
        <v/>
      </c>
    </row>
    <row r="460" spans="1:7">
      <c r="B460" s="491" t="s">
        <v>3083</v>
      </c>
      <c r="C460" s="749" t="s">
        <v>3517</v>
      </c>
      <c r="D460" s="421" t="str">
        <f>_xlfn.IFNA(IF(VLOOKUP($C460,Ingredient_prices!$E:$F,2,FALSE)="Партија 2","Lot 2","Lot 1"),"")</f>
        <v>Lot 2</v>
      </c>
      <c r="E460" s="407">
        <f>IF(SUMIF(Meal_entry_week_2!H$11:H$496,"Cedevita orange",Meal_entry_week_2!K$11:K$496)&gt;0,SUMIF(Meal_entry_week_2!H$11:H$496,"Cedevita orange",Meal_entry_week_2!K$11:K$496),"")</f>
        <v>2.7500000000000004</v>
      </c>
      <c r="F460" s="407">
        <f t="shared" si="8"/>
        <v>2.7500000000000004</v>
      </c>
    </row>
    <row r="461" spans="1:7">
      <c r="B461" s="491" t="s">
        <v>3083</v>
      </c>
      <c r="C461" s="749" t="s">
        <v>3522</v>
      </c>
      <c r="D461" s="421" t="str">
        <f>_xlfn.IFNA(IF(VLOOKUP($C461,Ingredient_prices!$E:$F,2,FALSE)="Партија 2","Lot 2","Lot 1"),"")</f>
        <v/>
      </c>
      <c r="E461" s="407" t="str">
        <f>IF(SUMIF(Meal_entry_week_2!H$11:H$496,"Cherry syrup (squash) diluted",Meal_entry_week_2!K$11:K$496)&gt;0,SUMIF(Meal_entry_week_2!H$11:H$496,"Cherry syrup (squash) diluted",Meal_entry_week_2!K$11:K$496),"")</f>
        <v/>
      </c>
      <c r="F461" s="407" t="str">
        <f t="shared" si="8"/>
        <v/>
      </c>
    </row>
    <row r="462" spans="1:7">
      <c r="B462" s="491" t="s">
        <v>3083</v>
      </c>
      <c r="C462" s="1" t="s">
        <v>3526</v>
      </c>
      <c r="D462" s="421" t="str">
        <f>_xlfn.IFNA(IF(VLOOKUP($C462,Ingredient_prices!$E:$F,2,FALSE)="Партија 2","Lot 2","Lot 1"),"")</f>
        <v/>
      </c>
      <c r="E462" s="407" t="str">
        <f>IF(SUMIF(Meal_entry_week_2!H$11:H$496,"Cherry syrup (squash) undiluted",Meal_entry_week_2!K$11:K$496)&gt;0,SUMIF(Meal_entry_week_2!H$11:H$496,"Cherry syrup (squash) undiluted",Meal_entry_week_2!K$11:K$496),"")</f>
        <v/>
      </c>
      <c r="F462" s="407" t="str">
        <f t="shared" si="8"/>
        <v/>
      </c>
    </row>
    <row r="463" spans="1:7">
      <c r="B463" s="491" t="s">
        <v>3083</v>
      </c>
      <c r="C463" s="749" t="s">
        <v>193</v>
      </c>
      <c r="D463" s="421" t="str">
        <f>_xlfn.IFNA(IF(VLOOKUP($C463,Ingredient_prices!$E:$F,2,FALSE)="Партија 2","Lot 2","Lot 1"),"")</f>
        <v/>
      </c>
      <c r="E463" s="407" t="str">
        <f>IF(SUMIF(Meal_entry_week_2!H$11:H$496,"Coca cola",Meal_entry_week_2!K$11:K$496)&gt;0,SUMIF(Meal_entry_week_2!H$11:H$496,"Coca cola",Meal_entry_week_2!K$11:K$496),"")</f>
        <v/>
      </c>
      <c r="F463" s="407" t="str">
        <f t="shared" si="8"/>
        <v/>
      </c>
    </row>
    <row r="464" spans="1:7">
      <c r="B464" s="491" t="s">
        <v>3083</v>
      </c>
      <c r="C464" s="749" t="s">
        <v>1975</v>
      </c>
      <c r="D464" s="421" t="str">
        <f>_xlfn.IFNA(IF(VLOOKUP($C464,Ingredient_prices!$E:$F,2,FALSE)="Партија 2","Lot 2","Lot 1"),"")</f>
        <v/>
      </c>
      <c r="E464" s="407" t="str">
        <f>IF(SUMIF(Meal_entry_week_2!H$11:H$496,"Cocoa instant",Meal_entry_week_2!K$11:K$496)&gt;0,SUMIF(Meal_entry_week_2!H$11:H$496,"Cocoa instant",Meal_entry_week_2!K$11:K$496),"")</f>
        <v/>
      </c>
      <c r="F464" s="407" t="str">
        <f t="shared" si="8"/>
        <v/>
      </c>
    </row>
    <row r="465" spans="2:6">
      <c r="B465" s="491" t="s">
        <v>3083</v>
      </c>
      <c r="C465" s="749" t="s">
        <v>3410</v>
      </c>
      <c r="D465" s="421" t="str">
        <f>_xlfn.IFNA(IF(VLOOKUP($C465,Ingredient_prices!$E:$F,2,FALSE)="Партија 2","Lot 2","Lot 1"),"")</f>
        <v/>
      </c>
      <c r="E465" s="407" t="str">
        <f>IF(SUMIF(Meal_entry_week_2!H$11:H$496,"Cranberry tea",Meal_entry_week_2!K$11:K$496)&gt;0,SUMIF(Meal_entry_week_2!H$11:H$496,"Cranberry tea",Meal_entry_week_2!K$11:K$496),"")</f>
        <v/>
      </c>
      <c r="F465" s="407" t="str">
        <f t="shared" si="8"/>
        <v/>
      </c>
    </row>
    <row r="466" spans="2:6">
      <c r="B466" s="491" t="s">
        <v>3083</v>
      </c>
      <c r="C466" s="749" t="s">
        <v>3412</v>
      </c>
      <c r="D466" s="421" t="str">
        <f>_xlfn.IFNA(IF(VLOOKUP($C466,Ingredient_prices!$E:$F,2,FALSE)="Партија 2","Lot 2","Lot 1"),"")</f>
        <v>Lot 2</v>
      </c>
      <c r="E466" s="407" t="str">
        <f>IF(SUMIF(Meal_entry_week_2!H$11:H$496,"Hibiscus tea",Meal_entry_week_2!K$11:K$496)&gt;0,SUMIF(Meal_entry_week_2!H$11:H$496,"Hibiscus tea",Meal_entry_week_2!K$11:K$496),"")</f>
        <v/>
      </c>
      <c r="F466" s="407" t="str">
        <f t="shared" si="8"/>
        <v/>
      </c>
    </row>
    <row r="467" spans="2:6">
      <c r="B467" s="491" t="s">
        <v>3083</v>
      </c>
      <c r="C467" s="749" t="s">
        <v>3415</v>
      </c>
      <c r="D467" s="421" t="str">
        <f>_xlfn.IFNA(IF(VLOOKUP($C467,Ingredient_prices!$E:$F,2,FALSE)="Партија 2","Lot 2","Lot 1"),"")</f>
        <v/>
      </c>
      <c r="E467" s="407" t="str">
        <f>IF(SUMIF(Meal_entry_week_2!H$11:H$496,"Instant coffee",Meal_entry_week_2!K$11:K$496)&gt;0,SUMIF(Meal_entry_week_2!H$11:H$496,"Instant coffee",Meal_entry_week_2!K$11:K$496),"")</f>
        <v/>
      </c>
      <c r="F467" s="407" t="str">
        <f t="shared" si="8"/>
        <v/>
      </c>
    </row>
    <row r="468" spans="2:6">
      <c r="B468" s="491" t="s">
        <v>3083</v>
      </c>
      <c r="C468" s="749" t="s">
        <v>1977</v>
      </c>
      <c r="D468" s="421" t="str">
        <f>_xlfn.IFNA(IF(VLOOKUP($C468,Ingredient_prices!$E:$F,2,FALSE)="Партија 2","Lot 2","Lot 1"),"")</f>
        <v/>
      </c>
      <c r="E468" s="407" t="str">
        <f>IF(SUMIF(Meal_entry_week_2!H$11:H$496,"Lemonade, made with water",Meal_entry_week_2!K$11:K$496)&gt;0,SUMIF(Meal_entry_week_2!H$11:H$496,"Lemonade, made with water",Meal_entry_week_2!K$11:K$496),"")</f>
        <v/>
      </c>
      <c r="F468" s="407" t="str">
        <f t="shared" si="8"/>
        <v/>
      </c>
    </row>
    <row r="469" spans="2:6">
      <c r="B469" s="491" t="s">
        <v>3083</v>
      </c>
      <c r="C469" s="749" t="s">
        <v>3416</v>
      </c>
      <c r="D469" s="421" t="str">
        <f>_xlfn.IFNA(IF(VLOOKUP($C469,Ingredient_prices!$E:$F,2,FALSE)="Партија 2","Lot 2","Lot 1"),"")</f>
        <v/>
      </c>
      <c r="E469" s="407" t="str">
        <f>IF(SUMIF(Meal_entry_week_2!H$11:H$496,"Mint tea",Meal_entry_week_2!K$11:K$496)&gt;0,SUMIF(Meal_entry_week_2!H$11:H$496,"Mint tea",Meal_entry_week_2!K$11:K$496),"")</f>
        <v/>
      </c>
      <c r="F469" s="407" t="str">
        <f t="shared" si="8"/>
        <v/>
      </c>
    </row>
    <row r="470" spans="2:6">
      <c r="B470" s="491" t="s">
        <v>3083</v>
      </c>
      <c r="C470" s="749" t="s">
        <v>3521</v>
      </c>
      <c r="D470" s="421" t="str">
        <f>_xlfn.IFNA(IF(VLOOKUP($C470,Ingredient_prices!$E:$F,2,FALSE)="Партија 2","Lot 2","Lot 1"),"")</f>
        <v/>
      </c>
      <c r="E470" s="407" t="str">
        <f>IF(SUMIF(Meal_entry_week_2!H$11:H$496,"Orange/lemon syrup (squash) diluted",Meal_entry_week_2!K$11:K$496)&gt;0,SUMIF(Meal_entry_week_2!H$11:H$496,"Orange/lemon syrup (squash) diluted",Meal_entry_week_2!K$11:K$496),"")</f>
        <v/>
      </c>
      <c r="F470" s="407" t="str">
        <f t="shared" si="8"/>
        <v/>
      </c>
    </row>
    <row r="471" spans="2:6">
      <c r="B471" s="491" t="s">
        <v>3083</v>
      </c>
      <c r="C471" s="1288" t="s">
        <v>3527</v>
      </c>
      <c r="D471" s="421" t="str">
        <f>_xlfn.IFNA(IF(VLOOKUP($C471,Ingredient_prices!$E:$F,2,FALSE)="Партија 2","Lot 2","Lot 1"),"")</f>
        <v/>
      </c>
      <c r="E471" s="407" t="str">
        <f>IF(SUMIF(Meal_entry_week_2!H$11:H$496,"Orange/lemon syrup (squash) undiluted",Meal_entry_week_2!K$11:K$496)&gt;0,SUMIF(Meal_entry_week_2!H$11:H$496,"Orange/lemon syrup (squash) undiluted",Meal_entry_week_2!K$11:K$496),"")</f>
        <v/>
      </c>
      <c r="F471" s="407" t="str">
        <f t="shared" si="8"/>
        <v/>
      </c>
    </row>
    <row r="472" spans="2:6">
      <c r="B472" s="491" t="s">
        <v>3083</v>
      </c>
      <c r="C472" s="749" t="s">
        <v>3520</v>
      </c>
      <c r="D472" s="421" t="str">
        <f>_xlfn.IFNA(IF(VLOOKUP($C472,Ingredient_prices!$E:$F,2,FALSE)="Партија 2","Lot 2","Lot 1"),"")</f>
        <v/>
      </c>
      <c r="E472" s="407" t="str">
        <f>IF(SUMIF(Meal_entry_week_2!H$11:H$496,"Raspberry syrup (squash) diluted",Meal_entry_week_2!K$11:K$496)&gt;0,SUMIF(Meal_entry_week_2!H$11:H$496,"Raspberry syrup (squash) diluted",Meal_entry_week_2!K$11:K$496),"")</f>
        <v/>
      </c>
      <c r="F472" s="407" t="str">
        <f t="shared" si="8"/>
        <v/>
      </c>
    </row>
    <row r="473" spans="2:6">
      <c r="B473" s="491" t="s">
        <v>3083</v>
      </c>
      <c r="C473" s="1" t="s">
        <v>3525</v>
      </c>
      <c r="D473" s="421" t="str">
        <f>_xlfn.IFNA(IF(VLOOKUP($C473,Ingredient_prices!$E:$F,2,FALSE)="Партија 2","Lot 2","Lot 1"),"")</f>
        <v/>
      </c>
      <c r="E473" s="407" t="str">
        <f>IF(SUMIF(Meal_entry_week_2!H$11:H$496,"Raspberry syrup (squash) undiluted",Meal_entry_week_2!K$11:K$496)&gt;0,SUMIF(Meal_entry_week_2!H$11:H$496,"Raspberry syrup (squash) undiluted",Meal_entry_week_2!K$11:K$496),"")</f>
        <v/>
      </c>
      <c r="F473" s="407" t="str">
        <f t="shared" si="8"/>
        <v/>
      </c>
    </row>
    <row r="474" spans="2:6">
      <c r="B474" s="491" t="s">
        <v>3083</v>
      </c>
      <c r="C474" s="749" t="s">
        <v>3417</v>
      </c>
      <c r="D474" s="421" t="str">
        <f>_xlfn.IFNA(IF(VLOOKUP($C474,Ingredient_prices!$E:$F,2,FALSE)="Партија 2","Lot 2","Lot 1"),"")</f>
        <v/>
      </c>
      <c r="E474" s="407" t="str">
        <f>IF(SUMIF(Meal_entry_week_2!H$11:H$496,"Rosehip tea",Meal_entry_week_2!K$11:K$496)&gt;0,SUMIF(Meal_entry_week_2!H$11:H$496,"Rosehip tea",Meal_entry_week_2!K$11:K$496),"")</f>
        <v/>
      </c>
      <c r="F474" s="407" t="str">
        <f t="shared" si="8"/>
        <v/>
      </c>
    </row>
    <row r="475" spans="2:6">
      <c r="B475" s="491" t="s">
        <v>3083</v>
      </c>
      <c r="C475" s="749" t="s">
        <v>3418</v>
      </c>
      <c r="D475" s="421" t="str">
        <f>_xlfn.IFNA(IF(VLOOKUP($C475,Ingredient_prices!$E:$F,2,FALSE)="Партија 2","Lot 2","Lot 1"),"")</f>
        <v/>
      </c>
      <c r="E475" s="407" t="str">
        <f>IF(SUMIF(Meal_entry_week_2!H$11:H$496,"Sprite/Fanta",Meal_entry_week_2!K$11:K$496)&gt;0,SUMIF(Meal_entry_week_2!H$11:H$496,"Sprite/Fanta",Meal_entry_week_2!K$11:K$496),"")</f>
        <v/>
      </c>
      <c r="F475" s="407" t="str">
        <f t="shared" si="8"/>
        <v/>
      </c>
    </row>
    <row r="476" spans="2:6">
      <c r="B476" s="491" t="s">
        <v>3083</v>
      </c>
      <c r="C476" s="749" t="s">
        <v>3413</v>
      </c>
      <c r="D476" s="421" t="str">
        <f>_xlfn.IFNA(IF(VLOOKUP($C476,Ingredient_prices!$E:$F,2,FALSE)="Партија 2","Lot 2","Lot 1"),"")</f>
        <v/>
      </c>
      <c r="E476" s="407" t="str">
        <f>IF(SUMIF(Meal_entry_week_2!H$11:H$496,"Strawberry tea",Meal_entry_week_2!K$11:K$496)&gt;0,SUMIF(Meal_entry_week_2!H$11:H$496,"Strawberry tea",Meal_entry_week_2!K$11:K$496),"")</f>
        <v/>
      </c>
      <c r="F476" s="407" t="str">
        <f t="shared" si="8"/>
        <v/>
      </c>
    </row>
    <row r="477" spans="2:6">
      <c r="B477" s="491" t="s">
        <v>3083</v>
      </c>
      <c r="C477" s="749" t="s">
        <v>502</v>
      </c>
      <c r="D477" s="421" t="str">
        <f>_xlfn.IFNA(IF(VLOOKUP($C477,Ingredient_prices!$E:$F,2,FALSE)="Партија 2","Lot 2","Lot 1"),"")</f>
        <v/>
      </c>
      <c r="E477" s="407" t="str">
        <f>IF(SUMIF(Meal_entry_week_2!H$11:H$496,"Tea",Meal_entry_week_2!K$11:K$496)&gt;0,SUMIF(Meal_entry_week_2!H$11:H$496,"Tea",Meal_entry_week_2!K$11:K$496),"")</f>
        <v/>
      </c>
      <c r="F477" s="407" t="str">
        <f t="shared" si="8"/>
        <v/>
      </c>
    </row>
    <row r="478" spans="2:6">
      <c r="B478" s="492" t="s">
        <v>3083</v>
      </c>
      <c r="C478" s="492" t="s">
        <v>3411</v>
      </c>
      <c r="D478" s="421" t="str">
        <f>_xlfn.IFNA(IF(VLOOKUP($C478,Ingredient_prices!$E:$F,2,FALSE)="Партија 2","Lot 2","Lot 1"),"")</f>
        <v/>
      </c>
      <c r="E478" s="407" t="str">
        <f>IF(SUMIF(Meal_entry_week_2!H$11:H$496,"Wild cherry tea",Meal_entry_week_2!K$11:K$496)&gt;0,SUMIF(Meal_entry_week_2!H$11:H$496,"Wild cherry tea",Meal_entry_week_2!K$11:K$496),"")</f>
        <v/>
      </c>
      <c r="F478" s="407" t="str">
        <f t="shared" si="8"/>
        <v/>
      </c>
    </row>
    <row r="479" spans="2:6">
      <c r="B479" s="494" t="s">
        <v>3084</v>
      </c>
      <c r="C479" s="494" t="s">
        <v>1984</v>
      </c>
      <c r="D479" s="421" t="str">
        <f>_xlfn.IFNA(IF(VLOOKUP($C479,Ingredient_prices!$E:$F,2,FALSE)="Партија 2","Lot 2","Lot 1"),"")</f>
        <v>Lot 2</v>
      </c>
      <c r="E479" s="407" t="str">
        <f>IF(SUMIF(Meal_entry_week_2!H$11:H$496,"Apple juice",Meal_entry_week_2!K$11:K$496)&gt;0,SUMIF(Meal_entry_week_2!H$11:H$496,"Apple juice",Meal_entry_week_2!K$11:K$496),"")</f>
        <v/>
      </c>
      <c r="F479" s="407" t="str">
        <f t="shared" si="8"/>
        <v/>
      </c>
    </row>
    <row r="480" spans="2:6">
      <c r="B480" s="491" t="s">
        <v>3084</v>
      </c>
      <c r="C480" s="491" t="s">
        <v>3419</v>
      </c>
      <c r="D480" s="421" t="str">
        <f>_xlfn.IFNA(IF(VLOOKUP($C480,Ingredient_prices!$E:$F,2,FALSE)="Партија 2","Lot 2","Lot 1"),"")</f>
        <v/>
      </c>
      <c r="E480" s="407" t="str">
        <f>IF(SUMIF(Meal_entry_week_2!H$11:H$496,"Blueberry juice",Meal_entry_week_2!K$11:K$496)&gt;0,SUMIF(Meal_entry_week_2!H$11:H$496,"Blueberry juice",Meal_entry_week_2!K$11:K$496),"")</f>
        <v/>
      </c>
      <c r="F480" s="407" t="str">
        <f t="shared" si="8"/>
        <v/>
      </c>
    </row>
    <row r="481" spans="2:6">
      <c r="B481" s="491" t="s">
        <v>3084</v>
      </c>
      <c r="C481" s="491" t="s">
        <v>1983</v>
      </c>
      <c r="D481" s="421" t="str">
        <f>_xlfn.IFNA(IF(VLOOKUP($C481,Ingredient_prices!$E:$F,2,FALSE)="Партија 2","Lot 2","Lot 1"),"")</f>
        <v/>
      </c>
      <c r="E481" s="407" t="str">
        <f>IF(SUMIF(Meal_entry_week_2!H$11:H$496,"Grape juice",Meal_entry_week_2!K$11:K$496)&gt;0,SUMIF(Meal_entry_week_2!H$11:H$496,"Grape juice",Meal_entry_week_2!K$11:K$496),"")</f>
        <v/>
      </c>
      <c r="F481" s="407" t="str">
        <f t="shared" si="8"/>
        <v/>
      </c>
    </row>
    <row r="482" spans="2:6">
      <c r="B482" s="491" t="s">
        <v>3084</v>
      </c>
      <c r="C482" s="491" t="s">
        <v>3422</v>
      </c>
      <c r="D482" s="421" t="str">
        <f>_xlfn.IFNA(IF(VLOOKUP($C482,Ingredient_prices!$E:$F,2,FALSE)="Партија 2","Lot 2","Lot 1"),"")</f>
        <v/>
      </c>
      <c r="E482" s="407" t="str">
        <f>IF(SUMIF(Meal_entry_week_2!H$11:H$496,"Lemon juice 100%, squeezed",Meal_entry_week_2!K$11:K$496)&gt;0,SUMIF(Meal_entry_week_2!H$11:H$496,"Lemon juice 100%, squeezed",Meal_entry_week_2!K$11:K$496),"")</f>
        <v/>
      </c>
      <c r="F482" s="407" t="str">
        <f t="shared" si="8"/>
        <v/>
      </c>
    </row>
    <row r="483" spans="2:6">
      <c r="B483" s="491" t="s">
        <v>3084</v>
      </c>
      <c r="C483" s="491" t="s">
        <v>3423</v>
      </c>
      <c r="D483" s="421" t="str">
        <f>_xlfn.IFNA(IF(VLOOKUP($C483,Ingredient_prices!$E:$F,2,FALSE)="Партија 2","Lot 2","Lot 1"),"")</f>
        <v/>
      </c>
      <c r="E483" s="407" t="str">
        <f>IF(SUMIF(Meal_entry_week_2!H$11:H$496,"Orange juice 100%",Meal_entry_week_2!K$11:K$496)&gt;0,SUMIF(Meal_entry_week_2!H$11:H$496,"Orange juice 100%",Meal_entry_week_2!K$11:K$496),"")</f>
        <v/>
      </c>
      <c r="F483" s="407" t="str">
        <f t="shared" si="8"/>
        <v/>
      </c>
    </row>
    <row r="484" spans="2:6">
      <c r="B484" s="492" t="s">
        <v>3084</v>
      </c>
      <c r="C484" s="492" t="s">
        <v>3420</v>
      </c>
      <c r="D484" s="421" t="str">
        <f>_xlfn.IFNA(IF(VLOOKUP($C484,Ingredient_prices!$E:$F,2,FALSE)="Партија 2","Lot 2","Lot 1"),"")</f>
        <v/>
      </c>
      <c r="E484" s="407" t="str">
        <f>IF(SUMIF(Meal_entry_week_2!H$11:H$496,"Peach juice",Meal_entry_week_2!K$11:K$496)&gt;0,SUMIF(Meal_entry_week_2!H$11:H$496,"Peach juice",Meal_entry_week_2!K$11:K$496),"")</f>
        <v/>
      </c>
      <c r="F484" s="407" t="str">
        <f t="shared" si="8"/>
        <v/>
      </c>
    </row>
  </sheetData>
  <dataValidations count="1">
    <dataValidation type="list" allowBlank="1" showInputMessage="1" showErrorMessage="1" sqref="C4" xr:uid="{0D0AD3CE-35CE-7A43-9923-ECCFC064ABEB}">
      <formula1>Food_category</formula1>
    </dataValidation>
  </dataValidations>
  <hyperlinks>
    <hyperlink ref="C1" location="Sedmica_2_unos_hrane!A3" display="Klinite za Sedmica_2_unos_hrane" xr:uid="{6B815CF6-3EF0-B940-B714-B40A379F794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556D-342A-8A4D-9CD9-0902ADBC295A}">
  <sheetPr codeName="Sheet11"/>
  <dimension ref="A1:X89"/>
  <sheetViews>
    <sheetView workbookViewId="0">
      <pane ySplit="2" topLeftCell="A3" activePane="bottomLeft" state="frozen"/>
      <selection activeCell="P1" sqref="P1"/>
      <selection pane="bottomLeft" activeCell="C3" sqref="C3:C56"/>
    </sheetView>
  </sheetViews>
  <sheetFormatPr baseColWidth="10" defaultRowHeight="14"/>
  <cols>
    <col min="1" max="1" width="14" customWidth="1"/>
    <col min="2" max="2" width="22.33203125" customWidth="1"/>
    <col min="3" max="3" width="34.1640625" customWidth="1"/>
    <col min="4" max="4" width="21.83203125" customWidth="1"/>
    <col min="5" max="5" width="26.1640625" customWidth="1"/>
    <col min="6" max="6" width="28.1640625" customWidth="1"/>
    <col min="7" max="7" width="18.5" customWidth="1"/>
    <col min="8" max="8" width="28.6640625" customWidth="1"/>
    <col min="9" max="9" width="15.33203125" customWidth="1"/>
    <col min="10" max="10" width="30.83203125" customWidth="1"/>
    <col min="11" max="11" width="25.6640625" customWidth="1"/>
    <col min="12" max="12" width="29.83203125" customWidth="1"/>
    <col min="13" max="13" width="23.1640625" customWidth="1"/>
    <col min="14" max="14" width="22.1640625" customWidth="1"/>
    <col min="15" max="15" width="24" customWidth="1"/>
    <col min="16" max="16" width="24.6640625" customWidth="1"/>
    <col min="17" max="19" width="21.6640625" customWidth="1"/>
    <col min="20" max="20" width="32.33203125" customWidth="1"/>
    <col min="21" max="21" width="26.83203125" customWidth="1"/>
    <col min="22" max="22" width="22.1640625" customWidth="1"/>
    <col min="23" max="23" width="22.83203125" customWidth="1"/>
    <col min="24" max="24" width="23.1640625" bestFit="1" customWidth="1"/>
    <col min="25" max="25" width="29" customWidth="1"/>
  </cols>
  <sheetData>
    <row r="1" spans="1:24">
      <c r="C1" s="491"/>
      <c r="D1" s="491"/>
      <c r="E1" s="324" t="s">
        <v>2071</v>
      </c>
      <c r="F1" s="324" t="s">
        <v>2079</v>
      </c>
    </row>
    <row r="2" spans="1:24">
      <c r="A2" t="s">
        <v>66</v>
      </c>
      <c r="B2" s="1083" t="s">
        <v>71</v>
      </c>
      <c r="C2" s="1269" t="s">
        <v>3140</v>
      </c>
      <c r="D2" s="1268" t="s">
        <v>3069</v>
      </c>
      <c r="E2" s="1268" t="s">
        <v>3073</v>
      </c>
      <c r="F2" s="1268" t="s">
        <v>3070</v>
      </c>
      <c r="G2" s="1268" t="s">
        <v>3074</v>
      </c>
      <c r="H2" s="1268" t="s">
        <v>3071</v>
      </c>
      <c r="I2" s="1268" t="s">
        <v>3072</v>
      </c>
      <c r="J2" s="749" t="s">
        <v>3085</v>
      </c>
      <c r="K2" s="749" t="s">
        <v>3075</v>
      </c>
      <c r="L2" s="749" t="s">
        <v>3141</v>
      </c>
      <c r="M2" s="749" t="s">
        <v>3142</v>
      </c>
      <c r="N2" s="749" t="s">
        <v>3076</v>
      </c>
      <c r="O2" s="749" t="s">
        <v>3077</v>
      </c>
      <c r="P2" s="749" t="s">
        <v>3078</v>
      </c>
      <c r="Q2" s="749" t="s">
        <v>3079</v>
      </c>
      <c r="R2" s="749" t="s">
        <v>3080</v>
      </c>
      <c r="S2" s="749" t="s">
        <v>3081</v>
      </c>
      <c r="T2" s="749" t="s">
        <v>3082</v>
      </c>
      <c r="U2" s="749" t="s">
        <v>3083</v>
      </c>
      <c r="V2" s="749" t="s">
        <v>3084</v>
      </c>
      <c r="W2" t="s">
        <v>2074</v>
      </c>
      <c r="X2" s="324"/>
    </row>
    <row r="3" spans="1:24">
      <c r="A3" t="s">
        <v>67</v>
      </c>
      <c r="B3" s="1269" t="s">
        <v>3140</v>
      </c>
      <c r="C3" s="1263" t="s">
        <v>3136</v>
      </c>
      <c r="D3" s="1263" t="s">
        <v>3089</v>
      </c>
      <c r="E3" t="s">
        <v>3160</v>
      </c>
      <c r="F3" s="749" t="s">
        <v>3184</v>
      </c>
      <c r="G3" s="394" t="s">
        <v>3197</v>
      </c>
      <c r="H3" t="s">
        <v>3201</v>
      </c>
      <c r="I3" t="s">
        <v>3208</v>
      </c>
      <c r="J3" t="s">
        <v>3233</v>
      </c>
      <c r="K3" t="s">
        <v>3237</v>
      </c>
      <c r="L3" t="s">
        <v>3246</v>
      </c>
      <c r="M3" t="s">
        <v>3279</v>
      </c>
      <c r="N3" t="s">
        <v>3297</v>
      </c>
      <c r="O3" t="s">
        <v>3315</v>
      </c>
      <c r="P3" t="s">
        <v>3342</v>
      </c>
      <c r="Q3" s="749" t="s">
        <v>3378</v>
      </c>
      <c r="R3" s="749" t="s">
        <v>3385</v>
      </c>
      <c r="S3" t="s">
        <v>3395</v>
      </c>
      <c r="T3" t="s">
        <v>3401</v>
      </c>
      <c r="U3" t="s">
        <v>3519</v>
      </c>
      <c r="V3" t="s">
        <v>1984</v>
      </c>
      <c r="W3" t="s">
        <v>2071</v>
      </c>
      <c r="X3" s="465"/>
    </row>
    <row r="4" spans="1:24">
      <c r="A4" t="s">
        <v>68</v>
      </c>
      <c r="B4" s="1083" t="s">
        <v>3069</v>
      </c>
      <c r="C4" s="1265" t="s">
        <v>3144</v>
      </c>
      <c r="D4" s="1264" t="s">
        <v>3092</v>
      </c>
      <c r="E4" t="s">
        <v>3146</v>
      </c>
      <c r="F4" s="749" t="s">
        <v>3186</v>
      </c>
      <c r="G4" s="394" t="s">
        <v>1861</v>
      </c>
      <c r="H4" t="s">
        <v>1859</v>
      </c>
      <c r="I4" t="s">
        <v>3209</v>
      </c>
      <c r="J4" t="s">
        <v>3234</v>
      </c>
      <c r="K4" t="s">
        <v>3243</v>
      </c>
      <c r="L4" t="s">
        <v>3271</v>
      </c>
      <c r="M4" t="s">
        <v>3286</v>
      </c>
      <c r="N4" t="s">
        <v>3303</v>
      </c>
      <c r="O4" t="s">
        <v>3308</v>
      </c>
      <c r="P4" t="s">
        <v>3480</v>
      </c>
      <c r="Q4" t="s">
        <v>3377</v>
      </c>
      <c r="R4" t="s">
        <v>3390</v>
      </c>
      <c r="S4" t="s">
        <v>3398</v>
      </c>
      <c r="T4" t="s">
        <v>3403</v>
      </c>
      <c r="U4" s="1" t="s">
        <v>3524</v>
      </c>
      <c r="V4" t="s">
        <v>3419</v>
      </c>
      <c r="W4" s="1" t="s">
        <v>2072</v>
      </c>
    </row>
    <row r="5" spans="1:24">
      <c r="A5" t="s">
        <v>69</v>
      </c>
      <c r="B5" s="1083" t="s">
        <v>3073</v>
      </c>
      <c r="C5" s="1265" t="s">
        <v>3135</v>
      </c>
      <c r="D5" s="1264" t="s">
        <v>3091</v>
      </c>
      <c r="E5" t="s">
        <v>3161</v>
      </c>
      <c r="F5" s="749" t="s">
        <v>3185</v>
      </c>
      <c r="G5" s="394" t="s">
        <v>1851</v>
      </c>
      <c r="H5" t="s">
        <v>3207</v>
      </c>
      <c r="I5" t="s">
        <v>3210</v>
      </c>
      <c r="J5" t="s">
        <v>3217</v>
      </c>
      <c r="K5" t="s">
        <v>3242</v>
      </c>
      <c r="L5" t="s">
        <v>3262</v>
      </c>
      <c r="M5" t="s">
        <v>3285</v>
      </c>
      <c r="N5" t="s">
        <v>1966</v>
      </c>
      <c r="O5" t="s">
        <v>3310</v>
      </c>
      <c r="P5" t="s">
        <v>3363</v>
      </c>
      <c r="Q5" t="s">
        <v>3366</v>
      </c>
      <c r="R5" t="s">
        <v>3389</v>
      </c>
      <c r="S5" t="s">
        <v>1931</v>
      </c>
      <c r="T5" t="s">
        <v>3400</v>
      </c>
      <c r="U5" t="s">
        <v>3529</v>
      </c>
      <c r="V5" t="s">
        <v>1983</v>
      </c>
      <c r="W5" s="1" t="s">
        <v>2073</v>
      </c>
    </row>
    <row r="6" spans="1:24">
      <c r="A6" t="s">
        <v>70</v>
      </c>
      <c r="B6" s="1083" t="s">
        <v>3070</v>
      </c>
      <c r="C6" s="1266" t="s">
        <v>3134</v>
      </c>
      <c r="D6" s="1264" t="s">
        <v>1764</v>
      </c>
      <c r="E6" t="s">
        <v>3159</v>
      </c>
      <c r="F6" s="749" t="s">
        <v>3165</v>
      </c>
      <c r="G6" s="394"/>
      <c r="H6" s="749" t="s">
        <v>3206</v>
      </c>
      <c r="I6" s="1268"/>
      <c r="J6" t="s">
        <v>3223</v>
      </c>
      <c r="K6" t="s">
        <v>3244</v>
      </c>
      <c r="L6" t="s">
        <v>3259</v>
      </c>
      <c r="M6" t="s">
        <v>3283</v>
      </c>
      <c r="N6" t="s">
        <v>1969</v>
      </c>
      <c r="O6" t="s">
        <v>3312</v>
      </c>
      <c r="P6" t="s">
        <v>510</v>
      </c>
      <c r="Q6" t="s">
        <v>3365</v>
      </c>
      <c r="R6" t="s">
        <v>1912</v>
      </c>
      <c r="S6" s="1" t="s">
        <v>1938</v>
      </c>
      <c r="T6" t="s">
        <v>3406</v>
      </c>
      <c r="U6" s="1" t="s">
        <v>3530</v>
      </c>
      <c r="V6" t="s">
        <v>3422</v>
      </c>
      <c r="W6" t="s">
        <v>2074</v>
      </c>
    </row>
    <row r="7" spans="1:24">
      <c r="B7" s="1083" t="s">
        <v>3074</v>
      </c>
      <c r="C7" s="1266" t="s">
        <v>3102</v>
      </c>
      <c r="D7" s="1264" t="s">
        <v>3087</v>
      </c>
      <c r="E7" t="s">
        <v>3147</v>
      </c>
      <c r="F7" s="749" t="s">
        <v>3175</v>
      </c>
      <c r="H7" t="s">
        <v>3198</v>
      </c>
      <c r="J7" t="s">
        <v>3216</v>
      </c>
      <c r="K7" t="s">
        <v>3236</v>
      </c>
      <c r="L7" t="s">
        <v>3269</v>
      </c>
      <c r="M7" t="s">
        <v>3284</v>
      </c>
      <c r="N7" t="s">
        <v>3302</v>
      </c>
      <c r="O7" t="s">
        <v>3311</v>
      </c>
      <c r="P7" t="s">
        <v>3479</v>
      </c>
      <c r="Q7" t="s">
        <v>3368</v>
      </c>
      <c r="R7" t="s">
        <v>3380</v>
      </c>
      <c r="S7" t="s">
        <v>3396</v>
      </c>
      <c r="T7" t="s">
        <v>3402</v>
      </c>
      <c r="U7" t="s">
        <v>3518</v>
      </c>
      <c r="V7" t="s">
        <v>3423</v>
      </c>
      <c r="W7" s="465" t="s">
        <v>2075</v>
      </c>
      <c r="X7" s="465"/>
    </row>
    <row r="8" spans="1:24">
      <c r="B8" s="1083" t="s">
        <v>3071</v>
      </c>
      <c r="C8" s="1266" t="s">
        <v>3098</v>
      </c>
      <c r="D8" s="1264" t="s">
        <v>3145</v>
      </c>
      <c r="E8" t="s">
        <v>3162</v>
      </c>
      <c r="F8" s="749" t="s">
        <v>3172</v>
      </c>
      <c r="H8" t="s">
        <v>3474</v>
      </c>
      <c r="J8" t="s">
        <v>3226</v>
      </c>
      <c r="K8" t="s">
        <v>3241</v>
      </c>
      <c r="L8" t="s">
        <v>3263</v>
      </c>
      <c r="M8" t="s">
        <v>3290</v>
      </c>
      <c r="N8" t="s">
        <v>3304</v>
      </c>
      <c r="O8" t="s">
        <v>3309</v>
      </c>
      <c r="P8" t="s">
        <v>3350</v>
      </c>
      <c r="Q8" t="s">
        <v>1951</v>
      </c>
      <c r="R8" t="s">
        <v>3381</v>
      </c>
      <c r="S8" s="1" t="s">
        <v>1940</v>
      </c>
      <c r="T8" t="s">
        <v>3405</v>
      </c>
      <c r="U8" s="1" t="s">
        <v>3523</v>
      </c>
      <c r="V8" t="s">
        <v>3420</v>
      </c>
      <c r="W8" s="1" t="s">
        <v>2076</v>
      </c>
      <c r="X8" s="465"/>
    </row>
    <row r="9" spans="1:24">
      <c r="B9" s="1083" t="s">
        <v>3072</v>
      </c>
      <c r="C9" s="1265" t="s">
        <v>3106</v>
      </c>
      <c r="D9" s="1264" t="s">
        <v>3426</v>
      </c>
      <c r="E9" t="s">
        <v>3150</v>
      </c>
      <c r="F9" s="749" t="s">
        <v>1837</v>
      </c>
      <c r="H9" s="1" t="s">
        <v>3200</v>
      </c>
      <c r="J9" t="s">
        <v>3224</v>
      </c>
      <c r="K9" t="s">
        <v>3240</v>
      </c>
      <c r="L9" t="s">
        <v>3248</v>
      </c>
      <c r="M9" t="s">
        <v>3289</v>
      </c>
      <c r="N9" t="s">
        <v>3305</v>
      </c>
      <c r="O9" t="s">
        <v>1779</v>
      </c>
      <c r="P9" t="s">
        <v>3352</v>
      </c>
      <c r="Q9" t="s">
        <v>1933</v>
      </c>
      <c r="R9" s="1" t="s">
        <v>3379</v>
      </c>
      <c r="S9" t="s">
        <v>3394</v>
      </c>
      <c r="T9" s="749" t="s">
        <v>3528</v>
      </c>
      <c r="U9" t="s">
        <v>3414</v>
      </c>
      <c r="V9" t="s">
        <v>3421</v>
      </c>
      <c r="W9" s="1" t="s">
        <v>2077</v>
      </c>
    </row>
    <row r="10" spans="1:24">
      <c r="B10" s="1083" t="s">
        <v>3085</v>
      </c>
      <c r="C10" s="1266" t="s">
        <v>3105</v>
      </c>
      <c r="D10" s="1264" t="s">
        <v>3096</v>
      </c>
      <c r="E10" t="s">
        <v>3444</v>
      </c>
      <c r="F10" s="749" t="s">
        <v>3465</v>
      </c>
      <c r="H10" t="s">
        <v>3199</v>
      </c>
      <c r="J10" t="s">
        <v>3228</v>
      </c>
      <c r="K10" t="s">
        <v>1880</v>
      </c>
      <c r="L10" t="s">
        <v>3268</v>
      </c>
      <c r="M10" t="s">
        <v>1999</v>
      </c>
      <c r="N10" t="s">
        <v>3295</v>
      </c>
      <c r="O10" t="s">
        <v>27</v>
      </c>
      <c r="P10" t="s">
        <v>3349</v>
      </c>
      <c r="Q10" t="s">
        <v>3372</v>
      </c>
      <c r="R10" t="s">
        <v>3383</v>
      </c>
      <c r="S10" s="749" t="s">
        <v>1913</v>
      </c>
      <c r="T10" t="s">
        <v>1992</v>
      </c>
      <c r="U10" t="s">
        <v>2739</v>
      </c>
      <c r="V10" s="1"/>
      <c r="W10" s="465" t="s">
        <v>2078</v>
      </c>
    </row>
    <row r="11" spans="1:24">
      <c r="B11" s="1083" t="s">
        <v>3075</v>
      </c>
      <c r="C11" s="1266" t="s">
        <v>3115</v>
      </c>
      <c r="D11" s="1264" t="s">
        <v>3097</v>
      </c>
      <c r="E11" t="s">
        <v>3151</v>
      </c>
      <c r="F11" s="749" t="s">
        <v>3169</v>
      </c>
      <c r="H11" t="s">
        <v>3202</v>
      </c>
      <c r="J11" t="s">
        <v>3227</v>
      </c>
      <c r="K11" t="s">
        <v>3238</v>
      </c>
      <c r="L11" t="s">
        <v>3247</v>
      </c>
      <c r="M11" t="s">
        <v>3291</v>
      </c>
      <c r="N11" t="s">
        <v>3296</v>
      </c>
      <c r="O11" t="s">
        <v>1781</v>
      </c>
      <c r="P11" t="s">
        <v>3343</v>
      </c>
      <c r="Q11" s="1" t="s">
        <v>146</v>
      </c>
      <c r="R11" t="s">
        <v>3384</v>
      </c>
      <c r="S11" s="749" t="s">
        <v>3399</v>
      </c>
      <c r="T11" t="s">
        <v>1993</v>
      </c>
      <c r="U11" t="s">
        <v>3517</v>
      </c>
    </row>
    <row r="12" spans="1:24">
      <c r="B12" s="1083" t="s">
        <v>3141</v>
      </c>
      <c r="C12" s="346" t="s">
        <v>3114</v>
      </c>
      <c r="D12" s="1264" t="s">
        <v>3095</v>
      </c>
      <c r="E12" t="s">
        <v>3163</v>
      </c>
      <c r="F12" s="749" t="s">
        <v>3173</v>
      </c>
      <c r="H12" t="s">
        <v>3205</v>
      </c>
      <c r="J12" t="s">
        <v>3225</v>
      </c>
      <c r="K12" t="s">
        <v>3239</v>
      </c>
      <c r="L12" t="s">
        <v>3264</v>
      </c>
      <c r="M12" t="s">
        <v>3280</v>
      </c>
      <c r="N12" t="s">
        <v>3513</v>
      </c>
      <c r="O12" t="s">
        <v>3323</v>
      </c>
      <c r="P12" t="s">
        <v>3333</v>
      </c>
      <c r="Q12" t="s">
        <v>3509</v>
      </c>
      <c r="R12" t="s">
        <v>1989</v>
      </c>
      <c r="S12" t="s">
        <v>1932</v>
      </c>
      <c r="T12" t="s">
        <v>3407</v>
      </c>
      <c r="U12" t="s">
        <v>3522</v>
      </c>
    </row>
    <row r="13" spans="1:24">
      <c r="B13" s="1083" t="s">
        <v>3142</v>
      </c>
      <c r="C13" s="1266" t="s">
        <v>469</v>
      </c>
      <c r="D13" s="1264" t="s">
        <v>1766</v>
      </c>
      <c r="E13" t="s">
        <v>3149</v>
      </c>
      <c r="F13" s="749" t="s">
        <v>3174</v>
      </c>
      <c r="H13" t="s">
        <v>3204</v>
      </c>
      <c r="J13" t="s">
        <v>3460</v>
      </c>
      <c r="K13" s="1"/>
      <c r="L13" t="s">
        <v>3506</v>
      </c>
      <c r="M13" t="s">
        <v>3281</v>
      </c>
      <c r="N13" t="s">
        <v>3306</v>
      </c>
      <c r="O13" t="s">
        <v>3320</v>
      </c>
      <c r="P13" s="749" t="s">
        <v>3477</v>
      </c>
      <c r="Q13" t="s">
        <v>3369</v>
      </c>
      <c r="R13" t="s">
        <v>1987</v>
      </c>
      <c r="S13" t="s">
        <v>3088</v>
      </c>
      <c r="T13" t="s">
        <v>3409</v>
      </c>
      <c r="U13" s="1" t="s">
        <v>3526</v>
      </c>
    </row>
    <row r="14" spans="1:24">
      <c r="B14" s="1083" t="s">
        <v>3143</v>
      </c>
      <c r="C14" s="346" t="s">
        <v>3088</v>
      </c>
      <c r="D14" s="1264" t="s">
        <v>3088</v>
      </c>
      <c r="E14" t="s">
        <v>3088</v>
      </c>
      <c r="F14" t="s">
        <v>3088</v>
      </c>
      <c r="H14" t="s">
        <v>3088</v>
      </c>
      <c r="J14" t="s">
        <v>3088</v>
      </c>
      <c r="L14" t="s">
        <v>3088</v>
      </c>
      <c r="M14" s="749" t="s">
        <v>3088</v>
      </c>
      <c r="N14" t="s">
        <v>3088</v>
      </c>
      <c r="O14" t="s">
        <v>3088</v>
      </c>
      <c r="P14" t="s">
        <v>3364</v>
      </c>
      <c r="Q14" t="s">
        <v>3088</v>
      </c>
      <c r="R14" t="s">
        <v>3088</v>
      </c>
      <c r="S14" t="s">
        <v>3397</v>
      </c>
      <c r="T14" t="s">
        <v>3408</v>
      </c>
      <c r="U14" t="s">
        <v>193</v>
      </c>
    </row>
    <row r="15" spans="1:24">
      <c r="B15" s="1083" t="s">
        <v>3076</v>
      </c>
      <c r="C15" s="346" t="s">
        <v>3099</v>
      </c>
      <c r="D15" s="1264" t="s">
        <v>3093</v>
      </c>
      <c r="E15" t="s">
        <v>1835</v>
      </c>
      <c r="F15" s="749" t="s">
        <v>3192</v>
      </c>
      <c r="H15" t="s">
        <v>3203</v>
      </c>
      <c r="J15" t="s">
        <v>3231</v>
      </c>
      <c r="L15" t="s">
        <v>3272</v>
      </c>
      <c r="M15" t="s">
        <v>1959</v>
      </c>
      <c r="N15" t="s">
        <v>3298</v>
      </c>
      <c r="O15" t="s">
        <v>3321</v>
      </c>
      <c r="P15" t="s">
        <v>3088</v>
      </c>
      <c r="Q15" t="s">
        <v>3370</v>
      </c>
      <c r="R15" t="s">
        <v>3386</v>
      </c>
      <c r="S15" t="s">
        <v>1997</v>
      </c>
      <c r="T15" t="s">
        <v>3088</v>
      </c>
      <c r="U15" t="s">
        <v>1975</v>
      </c>
    </row>
    <row r="16" spans="1:24">
      <c r="B16" s="1083" t="s">
        <v>3077</v>
      </c>
      <c r="C16" s="1266" t="s">
        <v>438</v>
      </c>
      <c r="D16" s="1264" t="s">
        <v>3094</v>
      </c>
      <c r="E16" t="s">
        <v>3148</v>
      </c>
      <c r="F16" s="749" t="s">
        <v>3170</v>
      </c>
      <c r="H16" s="394"/>
      <c r="J16" t="s">
        <v>3230</v>
      </c>
      <c r="L16" t="s">
        <v>3250</v>
      </c>
      <c r="M16" t="s">
        <v>1958</v>
      </c>
      <c r="N16" t="s">
        <v>3299</v>
      </c>
      <c r="O16" t="s">
        <v>1778</v>
      </c>
      <c r="P16" t="s">
        <v>2261</v>
      </c>
      <c r="Q16" t="s">
        <v>3373</v>
      </c>
      <c r="R16" t="s">
        <v>3387</v>
      </c>
      <c r="T16" t="s">
        <v>496</v>
      </c>
      <c r="U16" t="s">
        <v>3410</v>
      </c>
    </row>
    <row r="17" spans="2:21">
      <c r="B17" s="1083" t="s">
        <v>3078</v>
      </c>
      <c r="C17" s="346" t="s">
        <v>3111</v>
      </c>
      <c r="D17" s="1264" t="s">
        <v>3090</v>
      </c>
      <c r="E17" t="s">
        <v>3443</v>
      </c>
      <c r="F17" s="749" t="s">
        <v>3190</v>
      </c>
      <c r="J17" t="s">
        <v>3229</v>
      </c>
      <c r="L17" t="s">
        <v>3254</v>
      </c>
      <c r="M17" t="s">
        <v>1960</v>
      </c>
      <c r="N17" t="s">
        <v>3514</v>
      </c>
      <c r="O17" t="s">
        <v>460</v>
      </c>
      <c r="P17" t="s">
        <v>484</v>
      </c>
      <c r="Q17" t="s">
        <v>2256</v>
      </c>
      <c r="R17" t="s">
        <v>1990</v>
      </c>
      <c r="T17" t="s">
        <v>3404</v>
      </c>
      <c r="U17" t="s">
        <v>3412</v>
      </c>
    </row>
    <row r="18" spans="2:21">
      <c r="B18" s="1083" t="s">
        <v>3079</v>
      </c>
      <c r="C18" s="346" t="s">
        <v>3104</v>
      </c>
      <c r="D18" s="1"/>
      <c r="E18" t="s">
        <v>3156</v>
      </c>
      <c r="F18" s="749" t="s">
        <v>3191</v>
      </c>
      <c r="J18" t="s">
        <v>3232</v>
      </c>
      <c r="L18" t="s">
        <v>3503</v>
      </c>
      <c r="M18" t="s">
        <v>1962</v>
      </c>
      <c r="N18" t="s">
        <v>3249</v>
      </c>
      <c r="O18" t="s">
        <v>3317</v>
      </c>
      <c r="P18" t="s">
        <v>3345</v>
      </c>
      <c r="Q18" t="s">
        <v>3374</v>
      </c>
      <c r="R18" t="s">
        <v>3388</v>
      </c>
      <c r="T18" s="1"/>
      <c r="U18" t="s">
        <v>3415</v>
      </c>
    </row>
    <row r="19" spans="2:21">
      <c r="B19" s="1083" t="s">
        <v>3080</v>
      </c>
      <c r="C19" s="394" t="s">
        <v>3139</v>
      </c>
      <c r="D19" s="1"/>
      <c r="E19" t="s">
        <v>3155</v>
      </c>
      <c r="F19" t="s">
        <v>3188</v>
      </c>
      <c r="J19" t="s">
        <v>3446</v>
      </c>
      <c r="L19" t="s">
        <v>3504</v>
      </c>
      <c r="M19" t="s">
        <v>1963</v>
      </c>
      <c r="N19" t="s">
        <v>3300</v>
      </c>
      <c r="O19" t="s">
        <v>481</v>
      </c>
      <c r="P19" t="s">
        <v>3348</v>
      </c>
      <c r="Q19" t="s">
        <v>3376</v>
      </c>
      <c r="R19" t="s">
        <v>3393</v>
      </c>
      <c r="U19" t="s">
        <v>1977</v>
      </c>
    </row>
    <row r="20" spans="2:21">
      <c r="B20" s="1083" t="s">
        <v>3081</v>
      </c>
      <c r="C20" s="1267" t="s">
        <v>414</v>
      </c>
      <c r="D20" s="1"/>
      <c r="E20" t="s">
        <v>1822</v>
      </c>
      <c r="F20" t="s">
        <v>3189</v>
      </c>
      <c r="J20" t="s">
        <v>3445</v>
      </c>
      <c r="L20" t="s">
        <v>3251</v>
      </c>
      <c r="M20" t="s">
        <v>1964</v>
      </c>
      <c r="N20" t="s">
        <v>495</v>
      </c>
      <c r="O20" t="s">
        <v>1783</v>
      </c>
      <c r="P20" t="s">
        <v>3325</v>
      </c>
      <c r="Q20" t="s">
        <v>3375</v>
      </c>
      <c r="R20" t="s">
        <v>3548</v>
      </c>
      <c r="U20" t="s">
        <v>3416</v>
      </c>
    </row>
    <row r="21" spans="2:21">
      <c r="B21" s="1083" t="s">
        <v>3082</v>
      </c>
      <c r="C21" s="1266" t="s">
        <v>3121</v>
      </c>
      <c r="D21" s="1"/>
      <c r="E21" t="s">
        <v>3164</v>
      </c>
      <c r="F21" t="s">
        <v>3187</v>
      </c>
      <c r="J21" t="s">
        <v>1803</v>
      </c>
      <c r="L21" t="s">
        <v>3276</v>
      </c>
      <c r="M21" s="749" t="s">
        <v>492</v>
      </c>
      <c r="N21" t="s">
        <v>3301</v>
      </c>
      <c r="O21" t="s">
        <v>3440</v>
      </c>
      <c r="P21" t="s">
        <v>3328</v>
      </c>
      <c r="Q21" t="s">
        <v>3367</v>
      </c>
      <c r="R21" t="s">
        <v>3382</v>
      </c>
      <c r="U21" t="s">
        <v>3521</v>
      </c>
    </row>
    <row r="22" spans="2:21">
      <c r="B22" s="1083" t="s">
        <v>3083</v>
      </c>
      <c r="C22" s="346" t="s">
        <v>3118</v>
      </c>
      <c r="D22" s="1"/>
      <c r="E22" t="s">
        <v>3157</v>
      </c>
      <c r="F22" t="s">
        <v>3176</v>
      </c>
      <c r="J22" t="s">
        <v>480</v>
      </c>
      <c r="L22" t="s">
        <v>3256</v>
      </c>
      <c r="M22" s="749" t="s">
        <v>3294</v>
      </c>
      <c r="N22" t="s">
        <v>3307</v>
      </c>
      <c r="O22" t="s">
        <v>1777</v>
      </c>
      <c r="P22" t="s">
        <v>3327</v>
      </c>
      <c r="Q22" t="s">
        <v>3371</v>
      </c>
      <c r="R22" t="s">
        <v>3392</v>
      </c>
      <c r="U22" s="1274" t="s">
        <v>3527</v>
      </c>
    </row>
    <row r="23" spans="2:21">
      <c r="B23" s="1083" t="s">
        <v>3084</v>
      </c>
      <c r="C23" s="346" t="s">
        <v>439</v>
      </c>
      <c r="D23" s="1"/>
      <c r="E23" t="s">
        <v>3154</v>
      </c>
      <c r="F23" t="s">
        <v>3511</v>
      </c>
      <c r="J23" t="s">
        <v>3221</v>
      </c>
      <c r="L23" t="s">
        <v>3257</v>
      </c>
      <c r="M23" s="749" t="s">
        <v>3287</v>
      </c>
      <c r="N23" s="1"/>
      <c r="O23" t="s">
        <v>1791</v>
      </c>
      <c r="P23" t="s">
        <v>3339</v>
      </c>
      <c r="Q23" s="1"/>
      <c r="R23" t="s">
        <v>3391</v>
      </c>
      <c r="U23" t="s">
        <v>3520</v>
      </c>
    </row>
    <row r="24" spans="2:21">
      <c r="C24" s="1266" t="s">
        <v>421</v>
      </c>
      <c r="D24" s="53"/>
      <c r="E24" t="s">
        <v>3153</v>
      </c>
      <c r="F24" t="s">
        <v>3510</v>
      </c>
      <c r="J24" t="s">
        <v>3220</v>
      </c>
      <c r="L24" t="s">
        <v>3277</v>
      </c>
      <c r="M24" s="749" t="s">
        <v>3282</v>
      </c>
      <c r="O24" t="s">
        <v>1789</v>
      </c>
      <c r="P24" t="s">
        <v>3329</v>
      </c>
      <c r="R24" s="1"/>
      <c r="U24" s="1" t="s">
        <v>3525</v>
      </c>
    </row>
    <row r="25" spans="2:21">
      <c r="B25" s="749"/>
      <c r="C25" s="1266" t="s">
        <v>518</v>
      </c>
      <c r="E25" t="s">
        <v>3158</v>
      </c>
      <c r="F25" t="s">
        <v>3512</v>
      </c>
      <c r="J25" t="s">
        <v>3213</v>
      </c>
      <c r="L25" t="s">
        <v>3258</v>
      </c>
      <c r="M25" s="749" t="s">
        <v>3292</v>
      </c>
      <c r="O25" t="s">
        <v>3318</v>
      </c>
      <c r="P25" t="s">
        <v>3326</v>
      </c>
      <c r="U25" t="s">
        <v>3417</v>
      </c>
    </row>
    <row r="26" spans="2:21">
      <c r="B26" s="749"/>
      <c r="C26" s="346" t="s">
        <v>415</v>
      </c>
      <c r="E26" s="394"/>
      <c r="F26" t="s">
        <v>3167</v>
      </c>
      <c r="J26" t="s">
        <v>3215</v>
      </c>
      <c r="L26" t="s">
        <v>3505</v>
      </c>
      <c r="M26" s="749" t="s">
        <v>3293</v>
      </c>
      <c r="O26" t="s">
        <v>1790</v>
      </c>
      <c r="P26" t="s">
        <v>1625</v>
      </c>
      <c r="U26" t="s">
        <v>3088</v>
      </c>
    </row>
    <row r="27" spans="2:21">
      <c r="B27" s="749"/>
      <c r="C27" s="1265" t="s">
        <v>3108</v>
      </c>
      <c r="F27" t="s">
        <v>3464</v>
      </c>
      <c r="J27" t="s">
        <v>3212</v>
      </c>
      <c r="L27" t="s">
        <v>3265</v>
      </c>
      <c r="M27" s="749" t="s">
        <v>3288</v>
      </c>
      <c r="O27" t="s">
        <v>3319</v>
      </c>
      <c r="P27" t="s">
        <v>3332</v>
      </c>
      <c r="U27" t="s">
        <v>3418</v>
      </c>
    </row>
    <row r="28" spans="2:21">
      <c r="B28" s="749"/>
      <c r="C28" s="1266" t="s">
        <v>3128</v>
      </c>
      <c r="F28" t="s">
        <v>1823</v>
      </c>
      <c r="J28" t="s">
        <v>3457</v>
      </c>
      <c r="L28" t="s">
        <v>3266</v>
      </c>
      <c r="M28" s="749" t="s">
        <v>498</v>
      </c>
      <c r="O28" t="s">
        <v>1776</v>
      </c>
      <c r="P28" t="s">
        <v>3346</v>
      </c>
      <c r="U28" t="s">
        <v>3413</v>
      </c>
    </row>
    <row r="29" spans="2:21">
      <c r="B29" s="749"/>
      <c r="C29" s="1265" t="s">
        <v>3107</v>
      </c>
      <c r="F29" t="s">
        <v>3166</v>
      </c>
      <c r="J29" t="s">
        <v>3219</v>
      </c>
      <c r="L29" t="s">
        <v>3270</v>
      </c>
      <c r="M29" s="749" t="s">
        <v>1961</v>
      </c>
      <c r="O29" t="s">
        <v>3316</v>
      </c>
      <c r="P29" t="s">
        <v>3338</v>
      </c>
      <c r="U29" t="s">
        <v>502</v>
      </c>
    </row>
    <row r="30" spans="2:21">
      <c r="B30" s="749"/>
      <c r="C30" s="1265" t="s">
        <v>3109</v>
      </c>
      <c r="F30" t="s">
        <v>91</v>
      </c>
      <c r="J30" t="s">
        <v>1907</v>
      </c>
      <c r="L30" t="s">
        <v>3267</v>
      </c>
      <c r="M30" s="1"/>
      <c r="O30" t="s">
        <v>3313</v>
      </c>
      <c r="P30" t="s">
        <v>3335</v>
      </c>
      <c r="U30" t="s">
        <v>3411</v>
      </c>
    </row>
    <row r="31" spans="2:21">
      <c r="B31" s="749"/>
      <c r="C31" s="1265" t="s">
        <v>3127</v>
      </c>
      <c r="F31" t="s">
        <v>3466</v>
      </c>
      <c r="J31" t="s">
        <v>3456</v>
      </c>
      <c r="L31" t="s">
        <v>3249</v>
      </c>
      <c r="O31" t="s">
        <v>1773</v>
      </c>
      <c r="P31" t="s">
        <v>3330</v>
      </c>
      <c r="U31" s="1"/>
    </row>
    <row r="32" spans="2:21">
      <c r="B32" s="749"/>
      <c r="C32" s="1266" t="s">
        <v>20</v>
      </c>
      <c r="F32" t="s">
        <v>3194</v>
      </c>
      <c r="J32" t="s">
        <v>3214</v>
      </c>
      <c r="L32" t="s">
        <v>3278</v>
      </c>
      <c r="O32" t="s">
        <v>467</v>
      </c>
      <c r="P32" t="s">
        <v>3331</v>
      </c>
    </row>
    <row r="33" spans="2:16">
      <c r="B33" s="749"/>
      <c r="C33" s="1266" t="s">
        <v>3100</v>
      </c>
      <c r="F33" t="s">
        <v>3171</v>
      </c>
      <c r="J33" t="s">
        <v>3222</v>
      </c>
      <c r="L33" t="s">
        <v>1924</v>
      </c>
      <c r="O33" t="s">
        <v>3314</v>
      </c>
      <c r="P33" t="s">
        <v>1894</v>
      </c>
    </row>
    <row r="34" spans="2:16">
      <c r="B34" s="749"/>
      <c r="C34" s="346" t="s">
        <v>3122</v>
      </c>
      <c r="F34" t="s">
        <v>3193</v>
      </c>
      <c r="J34" t="s">
        <v>475</v>
      </c>
      <c r="L34" t="s">
        <v>3253</v>
      </c>
      <c r="O34" t="s">
        <v>1801</v>
      </c>
      <c r="P34" t="s">
        <v>503</v>
      </c>
    </row>
    <row r="35" spans="2:16">
      <c r="B35" s="749"/>
      <c r="C35" s="346" t="s">
        <v>3129</v>
      </c>
      <c r="F35" t="s">
        <v>3183</v>
      </c>
      <c r="J35" t="s">
        <v>1811</v>
      </c>
      <c r="L35" t="s">
        <v>3252</v>
      </c>
      <c r="O35" t="s">
        <v>3322</v>
      </c>
      <c r="P35" t="s">
        <v>3360</v>
      </c>
    </row>
    <row r="36" spans="2:16">
      <c r="B36" s="749"/>
      <c r="C36" s="1266" t="s">
        <v>3113</v>
      </c>
      <c r="F36" s="749" t="s">
        <v>1872</v>
      </c>
      <c r="J36" t="s">
        <v>3455</v>
      </c>
      <c r="L36" t="s">
        <v>3274</v>
      </c>
      <c r="O36" t="s">
        <v>1786</v>
      </c>
      <c r="P36" t="s">
        <v>3478</v>
      </c>
    </row>
    <row r="37" spans="2:16">
      <c r="B37" s="749"/>
      <c r="C37" s="346" t="s">
        <v>3112</v>
      </c>
      <c r="F37" t="s">
        <v>1873</v>
      </c>
      <c r="J37" t="s">
        <v>3454</v>
      </c>
      <c r="L37" t="s">
        <v>3255</v>
      </c>
      <c r="O37" t="s">
        <v>3324</v>
      </c>
      <c r="P37" t="s">
        <v>3354</v>
      </c>
    </row>
    <row r="38" spans="2:16">
      <c r="B38" s="749"/>
      <c r="C38" s="1266" t="s">
        <v>441</v>
      </c>
      <c r="F38" t="s">
        <v>1839</v>
      </c>
      <c r="J38" t="s">
        <v>3453</v>
      </c>
      <c r="L38" t="s">
        <v>3275</v>
      </c>
      <c r="O38" t="s">
        <v>468</v>
      </c>
      <c r="P38" t="s">
        <v>1895</v>
      </c>
    </row>
    <row r="39" spans="2:16">
      <c r="B39" s="749"/>
      <c r="C39" s="1266" t="s">
        <v>3138</v>
      </c>
      <c r="F39" t="s">
        <v>3178</v>
      </c>
      <c r="J39" t="s">
        <v>3218</v>
      </c>
      <c r="L39" t="s">
        <v>1936</v>
      </c>
      <c r="O39" t="s">
        <v>1792</v>
      </c>
      <c r="P39" t="s">
        <v>3353</v>
      </c>
    </row>
    <row r="40" spans="2:16">
      <c r="B40" s="749"/>
      <c r="C40" s="1266" t="s">
        <v>3123</v>
      </c>
      <c r="F40" t="s">
        <v>3177</v>
      </c>
      <c r="J40" t="s">
        <v>1809</v>
      </c>
      <c r="L40" t="s">
        <v>3245</v>
      </c>
      <c r="O40" t="s">
        <v>1785</v>
      </c>
      <c r="P40" t="s">
        <v>1881</v>
      </c>
    </row>
    <row r="41" spans="2:16">
      <c r="B41" s="749"/>
      <c r="C41" s="1265" t="s">
        <v>3103</v>
      </c>
      <c r="F41" t="s">
        <v>1827</v>
      </c>
      <c r="J41" t="s">
        <v>3447</v>
      </c>
      <c r="L41" t="s">
        <v>3260</v>
      </c>
      <c r="O41" s="1"/>
      <c r="P41" t="s">
        <v>3355</v>
      </c>
    </row>
    <row r="42" spans="2:16">
      <c r="B42" s="749"/>
      <c r="C42" s="1266" t="s">
        <v>3131</v>
      </c>
      <c r="F42" t="s">
        <v>3180</v>
      </c>
      <c r="J42" t="s">
        <v>3448</v>
      </c>
      <c r="L42" t="s">
        <v>3273</v>
      </c>
      <c r="P42" t="s">
        <v>3336</v>
      </c>
    </row>
    <row r="43" spans="2:16">
      <c r="B43" s="749"/>
      <c r="C43" s="1266" t="s">
        <v>3132</v>
      </c>
      <c r="F43" t="s">
        <v>3181</v>
      </c>
      <c r="J43" t="s">
        <v>3449</v>
      </c>
      <c r="L43" t="s">
        <v>3261</v>
      </c>
      <c r="P43" t="s">
        <v>3334</v>
      </c>
    </row>
    <row r="44" spans="2:16">
      <c r="B44" s="749"/>
      <c r="C44" s="346" t="s">
        <v>3133</v>
      </c>
      <c r="F44" t="s">
        <v>1831</v>
      </c>
      <c r="J44" t="s">
        <v>3450</v>
      </c>
      <c r="L44" s="1"/>
      <c r="P44" t="s">
        <v>134</v>
      </c>
    </row>
    <row r="45" spans="2:16">
      <c r="B45" s="749"/>
      <c r="C45" s="346" t="s">
        <v>3130</v>
      </c>
      <c r="F45" t="s">
        <v>3179</v>
      </c>
      <c r="J45" t="s">
        <v>3451</v>
      </c>
      <c r="L45" s="749"/>
      <c r="P45" t="s">
        <v>1897</v>
      </c>
    </row>
    <row r="46" spans="2:16">
      <c r="C46" s="346" t="s">
        <v>3125</v>
      </c>
      <c r="F46" t="s">
        <v>3182</v>
      </c>
      <c r="J46" t="s">
        <v>3452</v>
      </c>
      <c r="L46" s="749"/>
      <c r="P46" t="s">
        <v>1898</v>
      </c>
    </row>
    <row r="47" spans="2:16">
      <c r="C47" s="1266" t="s">
        <v>3124</v>
      </c>
      <c r="F47" t="s">
        <v>3195</v>
      </c>
      <c r="J47" t="s">
        <v>3211</v>
      </c>
      <c r="L47" s="749"/>
      <c r="P47" t="s">
        <v>1896</v>
      </c>
    </row>
    <row r="48" spans="2:16">
      <c r="C48" s="1266" t="s">
        <v>3431</v>
      </c>
      <c r="F48" s="394"/>
      <c r="J48" s="1"/>
      <c r="L48" s="749"/>
      <c r="P48" t="s">
        <v>3351</v>
      </c>
    </row>
    <row r="49" spans="3:16">
      <c r="C49" s="1265" t="s">
        <v>3117</v>
      </c>
      <c r="L49" s="749"/>
      <c r="P49" t="s">
        <v>3337</v>
      </c>
    </row>
    <row r="50" spans="3:16">
      <c r="C50" s="346" t="s">
        <v>422</v>
      </c>
      <c r="J50" s="1"/>
      <c r="L50" s="749"/>
      <c r="P50" t="s">
        <v>3357</v>
      </c>
    </row>
    <row r="51" spans="3:16">
      <c r="C51" s="346" t="s">
        <v>3116</v>
      </c>
      <c r="L51" s="749"/>
      <c r="P51" t="s">
        <v>3347</v>
      </c>
    </row>
    <row r="52" spans="3:16">
      <c r="C52" s="1266" t="s">
        <v>3137</v>
      </c>
      <c r="L52" s="749"/>
      <c r="P52" t="s">
        <v>1885</v>
      </c>
    </row>
    <row r="53" spans="3:16">
      <c r="C53" s="1266" t="s">
        <v>3126</v>
      </c>
      <c r="L53" s="749"/>
      <c r="P53" t="s">
        <v>3340</v>
      </c>
    </row>
    <row r="54" spans="3:16">
      <c r="C54" s="1266" t="s">
        <v>3120</v>
      </c>
      <c r="L54" s="749"/>
      <c r="P54" t="s">
        <v>3359</v>
      </c>
    </row>
    <row r="55" spans="3:16">
      <c r="C55" s="1265" t="s">
        <v>3119</v>
      </c>
      <c r="L55" s="749"/>
      <c r="P55" t="s">
        <v>3344</v>
      </c>
    </row>
    <row r="56" spans="3:16">
      <c r="C56" s="1266" t="s">
        <v>3110</v>
      </c>
      <c r="L56" s="749"/>
      <c r="P56" t="s">
        <v>3358</v>
      </c>
    </row>
    <row r="57" spans="3:16">
      <c r="C57" s="394"/>
      <c r="L57" s="749"/>
      <c r="P57" t="s">
        <v>3362</v>
      </c>
    </row>
    <row r="58" spans="3:16">
      <c r="L58" s="749"/>
      <c r="M58" s="749"/>
      <c r="P58" t="s">
        <v>3341</v>
      </c>
    </row>
    <row r="59" spans="3:16">
      <c r="L59" s="749"/>
      <c r="M59" s="749"/>
      <c r="P59" t="s">
        <v>3356</v>
      </c>
    </row>
    <row r="60" spans="3:16">
      <c r="L60" s="749"/>
      <c r="M60" s="749"/>
      <c r="P60" t="s">
        <v>3488</v>
      </c>
    </row>
    <row r="61" spans="3:16">
      <c r="L61" s="749"/>
      <c r="M61" s="749"/>
      <c r="P61" t="s">
        <v>3361</v>
      </c>
    </row>
    <row r="62" spans="3:16">
      <c r="L62" s="749"/>
      <c r="M62" s="749"/>
      <c r="P62" s="1"/>
    </row>
    <row r="63" spans="3:16">
      <c r="L63" s="749"/>
      <c r="M63" s="749"/>
      <c r="P63" s="1"/>
    </row>
    <row r="64" spans="3:16">
      <c r="L64" s="749"/>
      <c r="M64" s="749"/>
    </row>
    <row r="65" spans="12:13">
      <c r="L65" s="749"/>
      <c r="M65" s="749"/>
    </row>
    <row r="66" spans="12:13">
      <c r="L66" s="749"/>
      <c r="M66" s="749"/>
    </row>
    <row r="67" spans="12:13">
      <c r="L67" s="749"/>
      <c r="M67" s="749"/>
    </row>
    <row r="68" spans="12:13">
      <c r="L68" s="749"/>
      <c r="M68" s="749"/>
    </row>
    <row r="69" spans="12:13">
      <c r="L69" s="749"/>
      <c r="M69" s="749"/>
    </row>
    <row r="70" spans="12:13">
      <c r="L70" s="749"/>
      <c r="M70" s="749"/>
    </row>
    <row r="71" spans="12:13">
      <c r="L71" s="749"/>
      <c r="M71" s="749"/>
    </row>
    <row r="72" spans="12:13">
      <c r="L72" s="749"/>
      <c r="M72" s="749"/>
    </row>
    <row r="73" spans="12:13">
      <c r="L73" s="749"/>
      <c r="M73" s="749"/>
    </row>
    <row r="74" spans="12:13">
      <c r="L74" s="749"/>
      <c r="M74" s="749"/>
    </row>
    <row r="75" spans="12:13">
      <c r="L75" s="749"/>
      <c r="M75" s="749"/>
    </row>
    <row r="76" spans="12:13">
      <c r="L76" s="749"/>
      <c r="M76" s="749"/>
    </row>
    <row r="77" spans="12:13">
      <c r="L77" s="749"/>
      <c r="M77" s="749"/>
    </row>
    <row r="78" spans="12:13">
      <c r="L78" s="749"/>
      <c r="M78" s="749"/>
    </row>
    <row r="79" spans="12:13">
      <c r="L79" s="749"/>
      <c r="M79" s="749"/>
    </row>
    <row r="80" spans="12:13">
      <c r="L80" s="749"/>
      <c r="M80" s="749"/>
    </row>
    <row r="81" spans="12:13">
      <c r="L81" s="749"/>
      <c r="M81" s="749"/>
    </row>
    <row r="82" spans="12:13">
      <c r="L82" s="749"/>
      <c r="M82" s="749"/>
    </row>
    <row r="83" spans="12:13">
      <c r="L83" s="749"/>
      <c r="M83" s="749"/>
    </row>
    <row r="84" spans="12:13">
      <c r="L84" s="749"/>
      <c r="M84" s="749"/>
    </row>
    <row r="85" spans="12:13">
      <c r="L85" s="749"/>
      <c r="M85" s="749"/>
    </row>
    <row r="86" spans="12:13">
      <c r="L86" s="749"/>
      <c r="M86" s="749"/>
    </row>
    <row r="87" spans="12:13">
      <c r="L87" s="749"/>
      <c r="M87" s="749"/>
    </row>
    <row r="88" spans="12:13">
      <c r="L88" s="749"/>
      <c r="M88" s="749"/>
    </row>
    <row r="89" spans="12:13">
      <c r="M89" s="749"/>
    </row>
  </sheetData>
  <sortState xmlns:xlrd2="http://schemas.microsoft.com/office/spreadsheetml/2017/richdata2" ref="V3:V12">
    <sortCondition ref="V3:V12"/>
  </sortState>
  <dataValidations count="2">
    <dataValidation type="list" allowBlank="1" showInputMessage="1" showErrorMessage="1" sqref="B2" xr:uid="{DACDD878-CFA8-C942-8011-E0EC0E668F64}">
      <formula1>Food_category</formula1>
    </dataValidation>
    <dataValidation type="list" allowBlank="1" showInputMessage="1" showErrorMessage="1" sqref="W2" xr:uid="{78E6B295-9445-C343-950E-30BCB5A35E46}">
      <formula1>$W$3:$W$13</formula1>
    </dataValidation>
  </dataValidations>
  <hyperlinks>
    <hyperlink ref="F1" location="Sedmica_2_unos_hrane!A3" display="Sedmica_2_uno_hrane" xr:uid="{CB67C04C-E05A-884C-9C65-390C4CA949A9}"/>
    <hyperlink ref="E1" location="Sedmica_1_unos_hrane!A3" display="Sedmica_1_unos_hrane" xr:uid="{BFA9858B-CA65-B744-A452-90FCBE469EA4}"/>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E9AB2-EFDD-9C49-9960-E3B4D1B92447}">
  <sheetPr codeName="Sheet12"/>
  <dimension ref="A1:AL517"/>
  <sheetViews>
    <sheetView topLeftCell="AM1" workbookViewId="0">
      <pane ySplit="3" topLeftCell="A119" activePane="bottomLeft" state="frozen"/>
      <selection pane="bottomLeft" sqref="A1:AL1048576"/>
    </sheetView>
  </sheetViews>
  <sheetFormatPr baseColWidth="10" defaultRowHeight="14"/>
  <cols>
    <col min="1" max="1" width="39.33203125" style="749" hidden="1" customWidth="1"/>
    <col min="2" max="6" width="9.33203125" style="749" hidden="1" customWidth="1"/>
    <col min="7" max="7" width="15" style="749" hidden="1" customWidth="1"/>
    <col min="8" max="8" width="16.5" style="749" hidden="1" customWidth="1"/>
    <col min="9" max="34" width="0" style="749" hidden="1" customWidth="1"/>
    <col min="35" max="36" width="14" style="749" hidden="1" customWidth="1"/>
    <col min="37" max="37" width="41.6640625" style="749" hidden="1" customWidth="1"/>
    <col min="38" max="38" width="42.1640625" style="749" hidden="1" customWidth="1"/>
    <col min="39" max="16384" width="10.83203125" style="749"/>
  </cols>
  <sheetData>
    <row r="1" spans="1:38">
      <c r="A1" s="325" t="s">
        <v>3005</v>
      </c>
      <c r="B1" s="1" t="s">
        <v>216</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I1" s="1">
        <v>7</v>
      </c>
      <c r="AJ1" s="1"/>
      <c r="AK1" s="1">
        <v>8</v>
      </c>
    </row>
    <row r="2" spans="1:38">
      <c r="A2" s="1232" t="s">
        <v>3006</v>
      </c>
      <c r="B2" s="1"/>
      <c r="C2" s="1"/>
      <c r="D2" s="1"/>
      <c r="E2" s="1"/>
      <c r="F2" s="1"/>
      <c r="G2" s="324" t="s">
        <v>2071</v>
      </c>
      <c r="H2" s="1139" t="s">
        <v>2751</v>
      </c>
      <c r="I2" s="1"/>
      <c r="J2" s="1"/>
      <c r="K2" s="1"/>
      <c r="L2" s="1"/>
      <c r="M2" s="1"/>
      <c r="N2" s="1"/>
      <c r="O2" s="1"/>
      <c r="P2" s="1"/>
      <c r="R2" s="1"/>
      <c r="S2" s="1"/>
      <c r="T2" s="1"/>
      <c r="U2" s="1"/>
      <c r="V2" s="1"/>
      <c r="W2" s="1"/>
      <c r="X2" s="1"/>
      <c r="Y2" s="1"/>
      <c r="Z2" s="1"/>
      <c r="AA2" s="1"/>
      <c r="AB2" s="1"/>
      <c r="AC2" s="1"/>
      <c r="AD2" s="1"/>
      <c r="AE2" s="1"/>
      <c r="AF2" s="1"/>
      <c r="AI2" s="324" t="s">
        <v>1357</v>
      </c>
      <c r="AJ2" s="324"/>
      <c r="AK2" s="1"/>
      <c r="AL2" s="464" t="s">
        <v>1798</v>
      </c>
    </row>
    <row r="3" spans="1:38">
      <c r="A3" s="1" t="s">
        <v>237</v>
      </c>
      <c r="B3" s="1" t="s">
        <v>218</v>
      </c>
      <c r="C3" s="1" t="s">
        <v>217</v>
      </c>
      <c r="D3" s="1" t="s">
        <v>72</v>
      </c>
      <c r="E3" s="1" t="s">
        <v>73</v>
      </c>
      <c r="F3" s="1" t="s">
        <v>74</v>
      </c>
      <c r="G3" s="1" t="s">
        <v>219</v>
      </c>
      <c r="H3" s="749" t="s">
        <v>256</v>
      </c>
      <c r="I3" s="749" t="s">
        <v>257</v>
      </c>
      <c r="J3" s="25" t="s">
        <v>258</v>
      </c>
      <c r="K3" s="749" t="s">
        <v>260</v>
      </c>
      <c r="L3" s="749" t="s">
        <v>259</v>
      </c>
      <c r="M3" s="749" t="s">
        <v>261</v>
      </c>
      <c r="N3" s="749" t="s">
        <v>262</v>
      </c>
      <c r="O3" s="749" t="s">
        <v>263</v>
      </c>
      <c r="P3" s="25" t="s">
        <v>264</v>
      </c>
      <c r="Q3" s="749" t="s">
        <v>265</v>
      </c>
      <c r="R3" s="749" t="s">
        <v>266</v>
      </c>
      <c r="S3" s="749" t="s">
        <v>267</v>
      </c>
      <c r="T3" s="749" t="s">
        <v>268</v>
      </c>
      <c r="U3" s="749" t="s">
        <v>269</v>
      </c>
      <c r="V3" s="749" t="s">
        <v>270</v>
      </c>
      <c r="W3" s="26" t="s">
        <v>271</v>
      </c>
      <c r="X3" s="25" t="s">
        <v>272</v>
      </c>
      <c r="Y3" s="749" t="s">
        <v>273</v>
      </c>
      <c r="Z3" s="749" t="s">
        <v>274</v>
      </c>
      <c r="AA3" s="749" t="s">
        <v>275</v>
      </c>
      <c r="AB3" s="749" t="s">
        <v>276</v>
      </c>
      <c r="AC3" s="749" t="s">
        <v>277</v>
      </c>
      <c r="AD3" s="749" t="s">
        <v>278</v>
      </c>
      <c r="AE3" s="749" t="s">
        <v>279</v>
      </c>
      <c r="AF3" s="26" t="s">
        <v>280</v>
      </c>
      <c r="AI3" s="1" t="s">
        <v>219</v>
      </c>
      <c r="AJ3" s="1" t="s">
        <v>1746</v>
      </c>
      <c r="AK3" s="749" t="s">
        <v>1745</v>
      </c>
      <c r="AL3" s="444" t="s">
        <v>1745</v>
      </c>
    </row>
    <row r="4" spans="1:38">
      <c r="A4" s="1233" t="s">
        <v>414</v>
      </c>
      <c r="B4" s="1">
        <v>623</v>
      </c>
      <c r="C4" s="1">
        <v>149</v>
      </c>
      <c r="D4" s="1">
        <v>33.06</v>
      </c>
      <c r="E4" s="1">
        <v>6.36</v>
      </c>
      <c r="F4" s="1">
        <v>0.5</v>
      </c>
      <c r="G4" s="1" t="s">
        <v>220</v>
      </c>
      <c r="H4" s="47" t="s">
        <v>3007</v>
      </c>
      <c r="I4" s="47">
        <v>22</v>
      </c>
      <c r="J4" s="48">
        <v>160.37333333333336</v>
      </c>
      <c r="K4" s="49">
        <v>33.1</v>
      </c>
      <c r="L4" s="49">
        <v>6.3999999999999995</v>
      </c>
      <c r="M4" s="1234">
        <v>2.1</v>
      </c>
      <c r="N4" s="49">
        <v>0.5</v>
      </c>
      <c r="O4" s="49">
        <v>9.0000000000000011E-2</v>
      </c>
      <c r="P4" s="48">
        <v>17</v>
      </c>
      <c r="Q4" s="49">
        <v>401</v>
      </c>
      <c r="R4" s="49">
        <v>20.599999999999998</v>
      </c>
      <c r="S4" s="49">
        <v>25</v>
      </c>
      <c r="T4" s="49">
        <v>160</v>
      </c>
      <c r="U4" s="49">
        <v>1.7</v>
      </c>
      <c r="V4" s="49">
        <v>1.1599999999999999</v>
      </c>
      <c r="W4" s="1234">
        <v>0.29899999999999999</v>
      </c>
      <c r="X4" s="49">
        <v>-0.01</v>
      </c>
      <c r="Y4" s="49">
        <v>0.19999999999999998</v>
      </c>
      <c r="Z4" s="49">
        <v>0.11</v>
      </c>
      <c r="AA4" s="49">
        <v>1.82</v>
      </c>
      <c r="AB4" s="1234">
        <v>1.2350000000000001</v>
      </c>
      <c r="AC4" s="1234">
        <v>3</v>
      </c>
      <c r="AD4" s="1234">
        <v>0</v>
      </c>
      <c r="AE4" s="49">
        <v>8.2099999999999991</v>
      </c>
      <c r="AF4" s="1234">
        <v>0</v>
      </c>
      <c r="AI4" s="1" t="s">
        <v>220</v>
      </c>
      <c r="AJ4" s="1" t="s">
        <v>1747</v>
      </c>
      <c r="AK4" s="47" t="s">
        <v>299</v>
      </c>
      <c r="AL4" s="749" t="s">
        <v>299</v>
      </c>
    </row>
    <row r="5" spans="1:38">
      <c r="A5" s="1" t="s">
        <v>3119</v>
      </c>
      <c r="B5" s="1">
        <v>84</v>
      </c>
      <c r="C5" s="1">
        <v>20</v>
      </c>
      <c r="D5" s="1">
        <v>4.13</v>
      </c>
      <c r="E5" s="1">
        <v>1.88</v>
      </c>
      <c r="F5" s="1">
        <v>0.08</v>
      </c>
      <c r="G5" s="1" t="s">
        <v>220</v>
      </c>
      <c r="H5" s="1" t="s">
        <v>2752</v>
      </c>
      <c r="J5" s="1">
        <v>16</v>
      </c>
      <c r="K5" s="1">
        <v>3.7</v>
      </c>
      <c r="L5" s="1">
        <v>2.13</v>
      </c>
      <c r="M5" s="4">
        <v>2.6</v>
      </c>
      <c r="N5" s="82">
        <v>0.28000000000000003</v>
      </c>
      <c r="O5" s="4">
        <v>5.0000000000000001E-3</v>
      </c>
      <c r="P5" s="4">
        <v>90</v>
      </c>
      <c r="Q5" s="4">
        <v>376</v>
      </c>
      <c r="R5" s="4">
        <v>103</v>
      </c>
      <c r="S5" s="4">
        <v>81</v>
      </c>
      <c r="T5" s="4">
        <v>39</v>
      </c>
      <c r="U5" s="4">
        <v>2.7</v>
      </c>
      <c r="V5" s="4">
        <v>0.3</v>
      </c>
      <c r="W5" s="4">
        <v>7.5999999999999998E-2</v>
      </c>
      <c r="X5" s="4">
        <v>588</v>
      </c>
      <c r="Y5" s="4">
        <v>9.8000000000000004E-2</v>
      </c>
      <c r="Z5" s="4">
        <v>0.16</v>
      </c>
      <c r="AA5" s="4">
        <v>0.68</v>
      </c>
      <c r="AB5" s="4">
        <v>0.09</v>
      </c>
      <c r="AC5" s="4">
        <v>30</v>
      </c>
      <c r="AD5" s="151">
        <v>-4.0000000000000002E-4</v>
      </c>
      <c r="AE5" s="4">
        <v>39</v>
      </c>
      <c r="AF5" s="4">
        <v>0</v>
      </c>
      <c r="AI5" s="1" t="s">
        <v>220</v>
      </c>
      <c r="AJ5" s="1" t="s">
        <v>1747</v>
      </c>
      <c r="AK5" s="1" t="s">
        <v>1</v>
      </c>
      <c r="AL5" s="749" t="s">
        <v>1759</v>
      </c>
    </row>
    <row r="6" spans="1:38">
      <c r="A6" s="325" t="s">
        <v>3120</v>
      </c>
      <c r="B6" s="1">
        <v>84</v>
      </c>
      <c r="C6" s="1">
        <v>20</v>
      </c>
      <c r="D6" s="1">
        <v>4.13</v>
      </c>
      <c r="E6" s="1">
        <v>1.88</v>
      </c>
      <c r="F6" s="1">
        <v>0.08</v>
      </c>
      <c r="G6" s="1" t="s">
        <v>220</v>
      </c>
      <c r="H6" s="1" t="s">
        <v>3008</v>
      </c>
      <c r="I6" s="1">
        <v>22</v>
      </c>
      <c r="J6" s="1">
        <v>16</v>
      </c>
      <c r="K6" s="1">
        <v>3.7</v>
      </c>
      <c r="L6" s="1">
        <v>2.13</v>
      </c>
      <c r="M6" s="4">
        <v>2.6</v>
      </c>
      <c r="N6" s="82">
        <v>0.28000000000000003</v>
      </c>
      <c r="O6" s="4">
        <v>5.0000000000000001E-3</v>
      </c>
      <c r="P6" s="4">
        <v>90</v>
      </c>
      <c r="Q6" s="4">
        <v>376</v>
      </c>
      <c r="R6" s="4">
        <v>103</v>
      </c>
      <c r="S6" s="4">
        <v>81</v>
      </c>
      <c r="T6" s="4">
        <v>39</v>
      </c>
      <c r="U6" s="4">
        <v>2.7</v>
      </c>
      <c r="V6" s="4">
        <v>0.3</v>
      </c>
      <c r="W6" s="4">
        <v>7.5999999999999998E-2</v>
      </c>
      <c r="X6" s="4">
        <v>588</v>
      </c>
      <c r="Y6" s="4">
        <v>9.8000000000000004E-2</v>
      </c>
      <c r="Z6" s="4">
        <v>0.16</v>
      </c>
      <c r="AA6" s="4">
        <v>0.68</v>
      </c>
      <c r="AB6" s="4">
        <v>0.09</v>
      </c>
      <c r="AC6" s="4">
        <v>30</v>
      </c>
      <c r="AD6" s="1234">
        <v>-4.0000000000000002E-4</v>
      </c>
      <c r="AE6" s="4">
        <v>39</v>
      </c>
      <c r="AF6" s="4">
        <v>0</v>
      </c>
      <c r="AI6" s="1" t="s">
        <v>220</v>
      </c>
      <c r="AJ6" s="1" t="s">
        <v>1747</v>
      </c>
      <c r="AK6" s="1" t="s">
        <v>1</v>
      </c>
      <c r="AL6" s="749" t="s">
        <v>1759</v>
      </c>
    </row>
    <row r="7" spans="1:38">
      <c r="A7" s="1233" t="s">
        <v>3121</v>
      </c>
      <c r="B7" s="1">
        <v>131</v>
      </c>
      <c r="C7" s="1">
        <v>31</v>
      </c>
      <c r="D7" s="1">
        <v>6.97</v>
      </c>
      <c r="E7" s="1">
        <v>1.83</v>
      </c>
      <c r="F7" s="1">
        <v>0.22</v>
      </c>
      <c r="G7" s="1" t="s">
        <v>220</v>
      </c>
      <c r="H7" s="27" t="s">
        <v>3009</v>
      </c>
      <c r="I7" s="27">
        <v>22</v>
      </c>
      <c r="J7" s="28">
        <v>33.43</v>
      </c>
      <c r="K7" s="29">
        <v>7.3</v>
      </c>
      <c r="L7" s="29">
        <v>2.1</v>
      </c>
      <c r="M7" s="29">
        <v>3.2</v>
      </c>
      <c r="N7" s="29">
        <v>0.3</v>
      </c>
      <c r="O7" s="29">
        <v>8.900000000000001E-2</v>
      </c>
      <c r="P7" s="30">
        <v>3</v>
      </c>
      <c r="Q7" s="31">
        <v>186</v>
      </c>
      <c r="R7" s="31">
        <v>52.5</v>
      </c>
      <c r="S7" s="31">
        <v>22</v>
      </c>
      <c r="T7" s="31">
        <v>49.5</v>
      </c>
      <c r="U7" s="31">
        <v>1</v>
      </c>
      <c r="V7" s="31">
        <v>0.35</v>
      </c>
      <c r="W7" s="32">
        <v>7.5999999999999998E-2</v>
      </c>
      <c r="X7" s="31">
        <v>25.2</v>
      </c>
      <c r="Y7" s="31">
        <v>9.9000000000000005E-2</v>
      </c>
      <c r="Z7" s="31">
        <v>9.1999999999999998E-2</v>
      </c>
      <c r="AA7" s="31">
        <v>0.499</v>
      </c>
      <c r="AB7" s="31">
        <v>9.0999999999999998E-2</v>
      </c>
      <c r="AC7" s="31">
        <v>64</v>
      </c>
      <c r="AD7" s="1234">
        <v>-4.0000000000000002E-4</v>
      </c>
      <c r="AE7" s="31">
        <v>23.7</v>
      </c>
      <c r="AF7" s="1234">
        <v>-4.0000000000000002E-4</v>
      </c>
      <c r="AI7" s="1" t="s">
        <v>220</v>
      </c>
      <c r="AJ7" s="1" t="s">
        <v>1747</v>
      </c>
      <c r="AK7" s="27" t="s">
        <v>311</v>
      </c>
      <c r="AL7" s="749" t="s">
        <v>311</v>
      </c>
    </row>
    <row r="8" spans="1:38">
      <c r="A8" s="1" t="s">
        <v>3098</v>
      </c>
      <c r="B8" s="1">
        <v>146</v>
      </c>
      <c r="C8" s="1">
        <v>35</v>
      </c>
      <c r="D8" s="1">
        <v>7.18</v>
      </c>
      <c r="E8" s="1">
        <v>2.38</v>
      </c>
      <c r="F8" s="1">
        <v>0.41</v>
      </c>
      <c r="G8" s="1" t="s">
        <v>220</v>
      </c>
      <c r="H8" s="1" t="s">
        <v>2753</v>
      </c>
      <c r="J8" s="1">
        <v>45</v>
      </c>
      <c r="K8" s="1">
        <v>6.1</v>
      </c>
      <c r="L8" s="1">
        <v>5.3</v>
      </c>
      <c r="M8" s="151">
        <v>-4.0000000000000001E-3</v>
      </c>
      <c r="N8" s="1">
        <v>0.6</v>
      </c>
      <c r="O8" s="4">
        <v>0.08</v>
      </c>
      <c r="P8" s="4">
        <v>8</v>
      </c>
      <c r="Q8" s="4">
        <v>393</v>
      </c>
      <c r="R8" s="4">
        <v>44.2</v>
      </c>
      <c r="S8" s="151">
        <v>-4.0000000000000001E-3</v>
      </c>
      <c r="T8" s="4">
        <v>86.9</v>
      </c>
      <c r="U8" s="4">
        <v>0.71</v>
      </c>
      <c r="V8" s="4">
        <v>0.39</v>
      </c>
      <c r="W8" s="4">
        <v>7.0000000000000007E-2</v>
      </c>
      <c r="X8" s="4">
        <v>44.4</v>
      </c>
      <c r="Y8" s="4">
        <v>0.08</v>
      </c>
      <c r="Z8" s="4">
        <v>0.12</v>
      </c>
      <c r="AA8" s="4">
        <v>1.98</v>
      </c>
      <c r="AB8" s="151">
        <v>-4.0000000000000001E-3</v>
      </c>
      <c r="AC8" s="4">
        <v>239</v>
      </c>
      <c r="AD8" s="151">
        <v>-4.0000000000000002E-4</v>
      </c>
      <c r="AE8" s="4">
        <v>121</v>
      </c>
      <c r="AF8" s="4">
        <v>0</v>
      </c>
      <c r="AI8" s="1" t="s">
        <v>220</v>
      </c>
      <c r="AJ8" s="1" t="s">
        <v>1747</v>
      </c>
      <c r="AK8" s="1" t="s">
        <v>3</v>
      </c>
      <c r="AL8" s="749" t="s">
        <v>1760</v>
      </c>
    </row>
    <row r="9" spans="1:38">
      <c r="A9" s="1" t="s">
        <v>3117</v>
      </c>
      <c r="B9" s="1">
        <v>74</v>
      </c>
      <c r="C9" s="1">
        <v>18</v>
      </c>
      <c r="D9" s="1">
        <v>4.3099999999999996</v>
      </c>
      <c r="E9" s="1">
        <v>0.72</v>
      </c>
      <c r="F9" s="1">
        <v>7.0000000000000007E-2</v>
      </c>
      <c r="G9" s="1" t="s">
        <v>220</v>
      </c>
      <c r="H9" s="1" t="s">
        <v>2754</v>
      </c>
      <c r="J9" s="1">
        <v>18</v>
      </c>
      <c r="K9" s="1">
        <v>4.2</v>
      </c>
      <c r="L9" s="1">
        <v>0.72</v>
      </c>
      <c r="M9" s="34">
        <v>1.1000000000000001</v>
      </c>
      <c r="N9" s="1">
        <v>7.0000000000000007E-2</v>
      </c>
      <c r="O9" s="34">
        <v>0.03</v>
      </c>
      <c r="P9" s="34">
        <v>2</v>
      </c>
      <c r="Q9" s="34">
        <v>243</v>
      </c>
      <c r="R9" s="34">
        <v>20</v>
      </c>
      <c r="S9" s="34">
        <v>11.2</v>
      </c>
      <c r="T9" s="34">
        <v>33</v>
      </c>
      <c r="U9" s="34">
        <v>0.27</v>
      </c>
      <c r="V9" s="34">
        <v>0.2</v>
      </c>
      <c r="W9" s="34">
        <v>0.08</v>
      </c>
      <c r="X9" s="34">
        <v>3.7</v>
      </c>
      <c r="Y9" s="34">
        <v>0.05</v>
      </c>
      <c r="Z9" s="34">
        <v>0.02</v>
      </c>
      <c r="AA9" s="34">
        <v>0.35</v>
      </c>
      <c r="AB9" s="34">
        <v>0.05</v>
      </c>
      <c r="AC9" s="34">
        <v>36</v>
      </c>
      <c r="AD9" s="34">
        <v>0</v>
      </c>
      <c r="AE9" s="34">
        <v>5</v>
      </c>
      <c r="AF9" s="34">
        <v>0</v>
      </c>
      <c r="AI9" s="1" t="s">
        <v>220</v>
      </c>
      <c r="AJ9" s="1" t="s">
        <v>1747</v>
      </c>
      <c r="AK9" s="1" t="s">
        <v>1222</v>
      </c>
      <c r="AL9" s="749" t="s">
        <v>1761</v>
      </c>
    </row>
    <row r="10" spans="1:38">
      <c r="A10" s="1" t="s">
        <v>3099</v>
      </c>
      <c r="B10" s="1">
        <v>67</v>
      </c>
      <c r="C10" s="1">
        <v>16</v>
      </c>
      <c r="D10" s="1">
        <v>2.97</v>
      </c>
      <c r="E10" s="1">
        <v>0.69</v>
      </c>
      <c r="F10" s="1">
        <v>0.17</v>
      </c>
      <c r="G10" s="1" t="s">
        <v>220</v>
      </c>
      <c r="H10" s="38" t="s">
        <v>294</v>
      </c>
      <c r="I10" s="38">
        <v>4</v>
      </c>
      <c r="J10" s="39">
        <v>34.893939393939391</v>
      </c>
      <c r="K10" s="40">
        <v>8.2000000000000011</v>
      </c>
      <c r="L10" s="40">
        <v>1.8000000000000003</v>
      </c>
      <c r="M10" s="40">
        <v>3.9000000000000004</v>
      </c>
      <c r="N10" s="40">
        <v>7.0000000000000001E-3</v>
      </c>
      <c r="O10" s="40">
        <v>6.9696969696969702E-2</v>
      </c>
      <c r="P10" s="41">
        <v>0.218</v>
      </c>
      <c r="Q10" s="42">
        <v>15.51</v>
      </c>
      <c r="R10" s="42">
        <v>1.1879999999999999</v>
      </c>
      <c r="S10" s="42">
        <v>0.52800000000000002</v>
      </c>
      <c r="T10" s="42">
        <v>2.31</v>
      </c>
      <c r="U10" s="42">
        <v>1.2999999999999999E-2</v>
      </c>
      <c r="V10" s="42">
        <v>1.7000000000000001E-2</v>
      </c>
      <c r="W10" s="44">
        <v>3.5000000000000003E-2</v>
      </c>
      <c r="X10" s="37">
        <v>14.82</v>
      </c>
      <c r="Y10" s="42">
        <v>3.3E-3</v>
      </c>
      <c r="Z10" s="42">
        <v>3.3E-3</v>
      </c>
      <c r="AA10" s="42">
        <v>2.64E-2</v>
      </c>
      <c r="AB10" s="42">
        <v>0.2</v>
      </c>
      <c r="AC10" s="42">
        <v>1.6830000000000001</v>
      </c>
      <c r="AD10" s="37">
        <v>0</v>
      </c>
      <c r="AE10" s="42">
        <v>49</v>
      </c>
      <c r="AF10" s="37">
        <v>0</v>
      </c>
      <c r="AI10" s="1" t="s">
        <v>220</v>
      </c>
      <c r="AJ10" s="1" t="s">
        <v>1747</v>
      </c>
      <c r="AK10" s="38" t="s">
        <v>294</v>
      </c>
      <c r="AL10" s="749" t="s">
        <v>294</v>
      </c>
    </row>
    <row r="11" spans="1:38">
      <c r="A11" s="1" t="s">
        <v>438</v>
      </c>
      <c r="B11" s="1">
        <v>67</v>
      </c>
      <c r="C11" s="1">
        <v>16</v>
      </c>
      <c r="D11" s="1">
        <v>2.97</v>
      </c>
      <c r="E11" s="1">
        <v>0.69</v>
      </c>
      <c r="F11" s="1">
        <v>0.17</v>
      </c>
      <c r="G11" s="1" t="s">
        <v>220</v>
      </c>
      <c r="H11" s="38" t="s">
        <v>295</v>
      </c>
      <c r="I11" s="38">
        <v>4</v>
      </c>
      <c r="J11" s="39">
        <v>26</v>
      </c>
      <c r="K11" s="40">
        <v>4.6000000000000005</v>
      </c>
      <c r="L11" s="40">
        <v>1.3</v>
      </c>
      <c r="M11" s="40">
        <v>0.129</v>
      </c>
      <c r="N11" s="40">
        <v>0.2</v>
      </c>
      <c r="O11" s="40">
        <v>0.1</v>
      </c>
      <c r="P11" s="41">
        <v>6.6000000000000005</v>
      </c>
      <c r="Q11" s="42">
        <v>470</v>
      </c>
      <c r="R11" s="42">
        <v>36</v>
      </c>
      <c r="S11" s="42">
        <v>16.000000000000004</v>
      </c>
      <c r="T11" s="42">
        <v>70</v>
      </c>
      <c r="U11" s="42">
        <v>0.4</v>
      </c>
      <c r="V11" s="42">
        <v>0.50000000000000011</v>
      </c>
      <c r="W11" s="44">
        <v>3.5000000000000003E-2</v>
      </c>
      <c r="X11" s="37">
        <v>14.82</v>
      </c>
      <c r="Y11" s="42">
        <v>0.1</v>
      </c>
      <c r="Z11" s="42">
        <v>0.1</v>
      </c>
      <c r="AA11" s="42">
        <v>0.8</v>
      </c>
      <c r="AB11" s="42">
        <v>0.2</v>
      </c>
      <c r="AC11" s="42">
        <v>51.000000000000007</v>
      </c>
      <c r="AD11" s="37">
        <v>0</v>
      </c>
      <c r="AE11" s="42">
        <v>20</v>
      </c>
      <c r="AF11" s="37">
        <v>0</v>
      </c>
      <c r="AI11" s="1" t="s">
        <v>220</v>
      </c>
      <c r="AJ11" s="1" t="s">
        <v>1747</v>
      </c>
      <c r="AK11" s="38" t="s">
        <v>295</v>
      </c>
      <c r="AL11" s="749" t="s">
        <v>295</v>
      </c>
    </row>
    <row r="12" spans="1:38">
      <c r="A12" s="1233" t="s">
        <v>3100</v>
      </c>
      <c r="B12" s="10">
        <v>192.5</v>
      </c>
      <c r="C12" s="1">
        <v>46</v>
      </c>
      <c r="D12" s="1">
        <v>9.6</v>
      </c>
      <c r="E12" s="1">
        <v>1.3</v>
      </c>
      <c r="F12" s="1">
        <v>0.3</v>
      </c>
      <c r="G12" s="1" t="s">
        <v>220</v>
      </c>
      <c r="H12" s="749" t="s">
        <v>302</v>
      </c>
      <c r="I12" s="47">
        <v>22</v>
      </c>
      <c r="J12" s="33">
        <v>28</v>
      </c>
      <c r="K12" s="4">
        <v>10</v>
      </c>
      <c r="L12" s="4">
        <v>1.1766666666666665</v>
      </c>
      <c r="M12" s="4">
        <v>1.7</v>
      </c>
      <c r="N12" s="4">
        <v>0.25</v>
      </c>
      <c r="O12" s="4">
        <v>9.5000000000000015E-2</v>
      </c>
      <c r="P12" s="35">
        <v>4</v>
      </c>
      <c r="Q12" s="3">
        <v>146</v>
      </c>
      <c r="R12" s="3">
        <v>23</v>
      </c>
      <c r="S12" s="3">
        <v>10</v>
      </c>
      <c r="T12" s="3">
        <v>29</v>
      </c>
      <c r="U12" s="3">
        <v>0.21</v>
      </c>
      <c r="V12" s="3">
        <v>0.17</v>
      </c>
      <c r="W12" s="36">
        <v>0.04</v>
      </c>
      <c r="X12" s="3">
        <v>0</v>
      </c>
      <c r="Y12" s="3">
        <v>4.9999999999999996E-2</v>
      </c>
      <c r="Z12" s="3">
        <v>0.03</v>
      </c>
      <c r="AA12" s="3">
        <v>0.12</v>
      </c>
      <c r="AB12" s="37">
        <v>7.1999999999999998E-3</v>
      </c>
      <c r="AC12" s="3">
        <v>36</v>
      </c>
      <c r="AD12" s="3">
        <v>0</v>
      </c>
      <c r="AE12" s="3">
        <v>7.3999999999999995</v>
      </c>
      <c r="AF12" s="3">
        <v>0</v>
      </c>
      <c r="AI12" s="1" t="s">
        <v>220</v>
      </c>
      <c r="AJ12" s="1" t="s">
        <v>1747</v>
      </c>
      <c r="AK12" s="749" t="s">
        <v>302</v>
      </c>
      <c r="AL12" s="749" t="s">
        <v>302</v>
      </c>
    </row>
    <row r="13" spans="1:38">
      <c r="A13" s="1" t="s">
        <v>3101</v>
      </c>
      <c r="B13" s="1">
        <v>166</v>
      </c>
      <c r="C13" s="1">
        <v>40</v>
      </c>
      <c r="D13" s="1">
        <v>9.34</v>
      </c>
      <c r="E13" s="1">
        <v>1.1000000000000001</v>
      </c>
      <c r="F13" s="1">
        <v>0.1</v>
      </c>
      <c r="G13" s="1" t="s">
        <v>220</v>
      </c>
      <c r="H13" s="749" t="s">
        <v>302</v>
      </c>
      <c r="I13" s="436">
        <v>4</v>
      </c>
      <c r="J13" s="33">
        <v>28</v>
      </c>
      <c r="K13" s="4">
        <v>10</v>
      </c>
      <c r="L13" s="4">
        <v>1.1766666666666665</v>
      </c>
      <c r="M13" s="4">
        <v>1.7</v>
      </c>
      <c r="N13" s="4">
        <v>0.25</v>
      </c>
      <c r="O13" s="4">
        <v>9.5000000000000015E-2</v>
      </c>
      <c r="P13" s="35">
        <v>4</v>
      </c>
      <c r="Q13" s="3">
        <v>146</v>
      </c>
      <c r="R13" s="3">
        <v>23</v>
      </c>
      <c r="S13" s="3">
        <v>10</v>
      </c>
      <c r="T13" s="3">
        <v>29</v>
      </c>
      <c r="U13" s="3">
        <v>0.21</v>
      </c>
      <c r="V13" s="3">
        <v>0.17</v>
      </c>
      <c r="W13" s="36">
        <v>0.04</v>
      </c>
      <c r="X13" s="3">
        <v>0</v>
      </c>
      <c r="Y13" s="3">
        <v>4.9999999999999996E-2</v>
      </c>
      <c r="Z13" s="3">
        <v>0.03</v>
      </c>
      <c r="AA13" s="3">
        <v>0.12</v>
      </c>
      <c r="AB13" s="37">
        <v>7.1999999999999998E-3</v>
      </c>
      <c r="AC13" s="3">
        <v>36</v>
      </c>
      <c r="AD13" s="3">
        <v>0</v>
      </c>
      <c r="AE13" s="3">
        <v>7.3999999999999995</v>
      </c>
      <c r="AF13" s="3">
        <v>0</v>
      </c>
      <c r="AI13" s="1" t="s">
        <v>220</v>
      </c>
      <c r="AJ13" s="1" t="s">
        <v>1747</v>
      </c>
      <c r="AK13" s="749" t="s">
        <v>302</v>
      </c>
      <c r="AL13" s="749" t="s">
        <v>302</v>
      </c>
    </row>
    <row r="14" spans="1:38">
      <c r="A14" s="1" t="s">
        <v>3102</v>
      </c>
      <c r="B14" s="1">
        <v>180</v>
      </c>
      <c r="C14" s="1">
        <v>43</v>
      </c>
      <c r="D14" s="1">
        <v>9.56</v>
      </c>
      <c r="E14" s="1">
        <v>1.61</v>
      </c>
      <c r="F14" s="1">
        <v>0.17</v>
      </c>
      <c r="G14" s="1" t="s">
        <v>220</v>
      </c>
      <c r="H14" s="27" t="s">
        <v>2755</v>
      </c>
      <c r="I14" s="27">
        <v>4</v>
      </c>
      <c r="J14" s="28">
        <v>38</v>
      </c>
      <c r="K14" s="29">
        <v>6</v>
      </c>
      <c r="L14" s="29">
        <v>2</v>
      </c>
      <c r="M14" s="4">
        <v>2.9</v>
      </c>
      <c r="N14" s="34">
        <v>0.1</v>
      </c>
      <c r="O14" s="34">
        <v>2.2333333333333334E-2</v>
      </c>
      <c r="P14" s="35">
        <v>70</v>
      </c>
      <c r="Q14" s="3">
        <v>400</v>
      </c>
      <c r="R14" s="3">
        <v>10</v>
      </c>
      <c r="S14" s="3">
        <v>14</v>
      </c>
      <c r="T14" s="3">
        <v>40</v>
      </c>
      <c r="U14" s="3">
        <v>0.4</v>
      </c>
      <c r="V14" s="3">
        <v>0.4</v>
      </c>
      <c r="W14" s="36">
        <v>0.02</v>
      </c>
      <c r="X14" s="4">
        <v>1</v>
      </c>
      <c r="Y14" s="3">
        <v>0.05</v>
      </c>
      <c r="Z14" s="3">
        <v>0.05</v>
      </c>
      <c r="AA14" s="37">
        <v>0.1</v>
      </c>
      <c r="AB14" s="3">
        <v>4.4999999999999998E-2</v>
      </c>
      <c r="AC14" s="3">
        <v>19</v>
      </c>
      <c r="AD14" s="151">
        <v>-4.0000000000000002E-4</v>
      </c>
      <c r="AE14" s="3">
        <v>2</v>
      </c>
      <c r="AF14" s="151">
        <v>-4.0000000000000002E-4</v>
      </c>
      <c r="AI14" s="1" t="s">
        <v>220</v>
      </c>
      <c r="AJ14" s="1" t="s">
        <v>1747</v>
      </c>
      <c r="AK14" s="27" t="s">
        <v>291</v>
      </c>
      <c r="AL14" s="749" t="s">
        <v>291</v>
      </c>
    </row>
    <row r="15" spans="1:38">
      <c r="A15" s="1233" t="s">
        <v>3089</v>
      </c>
      <c r="B15" s="1">
        <v>134</v>
      </c>
      <c r="C15" s="1">
        <v>32</v>
      </c>
      <c r="D15" s="1">
        <v>7</v>
      </c>
      <c r="E15" s="1">
        <v>1.1000000000000001</v>
      </c>
      <c r="F15" s="1">
        <v>0.1</v>
      </c>
      <c r="G15" s="1" t="s">
        <v>220</v>
      </c>
      <c r="H15" s="27" t="s">
        <v>3010</v>
      </c>
      <c r="I15" s="27">
        <v>22</v>
      </c>
      <c r="J15" s="28">
        <v>43.4</v>
      </c>
      <c r="K15" s="29">
        <v>7.169999999999999</v>
      </c>
      <c r="L15" s="29">
        <v>2.2999999999999998</v>
      </c>
      <c r="M15" s="34">
        <v>2.9</v>
      </c>
      <c r="N15" s="29">
        <v>0.1</v>
      </c>
      <c r="O15" s="29">
        <v>2.2333333333333334E-2</v>
      </c>
      <c r="P15" s="30">
        <v>54.1</v>
      </c>
      <c r="Q15" s="31">
        <v>266</v>
      </c>
      <c r="R15" s="31">
        <v>18.399999999999999</v>
      </c>
      <c r="S15" s="31">
        <v>16.299999999999997</v>
      </c>
      <c r="T15" s="31">
        <v>31.1</v>
      </c>
      <c r="U15" s="31">
        <v>0.66799999999999993</v>
      </c>
      <c r="V15" s="31">
        <v>0.312</v>
      </c>
      <c r="W15" s="32">
        <v>5.9000000000000004E-2</v>
      </c>
      <c r="X15" s="34">
        <v>1</v>
      </c>
      <c r="Y15" s="31">
        <v>0.01</v>
      </c>
      <c r="Z15" s="31">
        <v>0.01</v>
      </c>
      <c r="AA15" s="31">
        <v>0.1</v>
      </c>
      <c r="AB15" s="31">
        <v>0.04</v>
      </c>
      <c r="AC15" s="31">
        <v>74</v>
      </c>
      <c r="AD15" s="1234">
        <v>-4.0000000000000002E-4</v>
      </c>
      <c r="AE15" s="31">
        <v>5</v>
      </c>
      <c r="AF15" s="1234">
        <v>-4.0000000000000002E-4</v>
      </c>
      <c r="AI15" s="1" t="s">
        <v>220</v>
      </c>
      <c r="AJ15" s="1" t="s">
        <v>1747</v>
      </c>
      <c r="AK15" s="27" t="s">
        <v>291</v>
      </c>
      <c r="AL15" s="749" t="s">
        <v>291</v>
      </c>
    </row>
    <row r="16" spans="1:38">
      <c r="A16" s="82" t="s">
        <v>3103</v>
      </c>
      <c r="B16" s="82">
        <v>166</v>
      </c>
      <c r="G16" s="1" t="s">
        <v>220</v>
      </c>
      <c r="H16" s="749" t="s">
        <v>2756</v>
      </c>
      <c r="J16" s="82">
        <v>45</v>
      </c>
      <c r="K16" s="82">
        <v>9.5</v>
      </c>
      <c r="L16" s="82">
        <v>2</v>
      </c>
      <c r="M16" s="4">
        <v>0</v>
      </c>
      <c r="N16" s="82">
        <v>0.2</v>
      </c>
      <c r="O16" s="4">
        <v>0.02</v>
      </c>
      <c r="P16" s="4">
        <v>7</v>
      </c>
      <c r="Q16" s="4">
        <v>340</v>
      </c>
      <c r="R16" s="4">
        <v>14</v>
      </c>
      <c r="S16" s="4">
        <v>25</v>
      </c>
      <c r="T16" s="4">
        <v>67.5</v>
      </c>
      <c r="U16" s="4">
        <v>1.2</v>
      </c>
      <c r="V16" s="4">
        <v>0.3</v>
      </c>
      <c r="W16" s="4">
        <v>0.17</v>
      </c>
      <c r="X16" s="4">
        <v>366</v>
      </c>
      <c r="Y16" s="4">
        <v>0.09</v>
      </c>
      <c r="Z16" s="4">
        <v>0.09</v>
      </c>
      <c r="AA16" s="4">
        <v>1.33</v>
      </c>
      <c r="AB16" s="4">
        <v>0.27800000000000002</v>
      </c>
      <c r="AC16" s="4">
        <v>23</v>
      </c>
      <c r="AD16" s="151">
        <v>-4.0000000000000002E-4</v>
      </c>
      <c r="AE16" s="4">
        <v>166</v>
      </c>
      <c r="AF16" s="151">
        <v>-4.0000000000000002E-4</v>
      </c>
      <c r="AI16" s="1"/>
      <c r="AJ16" s="1"/>
      <c r="AK16" s="27"/>
    </row>
    <row r="17" spans="1:38">
      <c r="A17" s="1233" t="s">
        <v>3123</v>
      </c>
      <c r="B17" s="1">
        <v>322</v>
      </c>
      <c r="C17" s="1">
        <v>77</v>
      </c>
      <c r="D17" s="1">
        <v>13.62</v>
      </c>
      <c r="E17" s="1">
        <v>5.22</v>
      </c>
      <c r="F17" s="1">
        <v>0.4</v>
      </c>
      <c r="G17" s="1" t="s">
        <v>220</v>
      </c>
      <c r="H17" s="27" t="s">
        <v>3011</v>
      </c>
      <c r="I17" s="27">
        <v>22</v>
      </c>
      <c r="J17" s="28">
        <v>76.003866666666667</v>
      </c>
      <c r="K17" s="29">
        <v>8.9</v>
      </c>
      <c r="L17" s="29">
        <v>6.1</v>
      </c>
      <c r="M17" s="29">
        <v>4.7</v>
      </c>
      <c r="N17" s="29">
        <v>0.7</v>
      </c>
      <c r="O17" s="29">
        <v>0.128</v>
      </c>
      <c r="P17" s="30">
        <v>2</v>
      </c>
      <c r="Q17" s="31">
        <v>163</v>
      </c>
      <c r="R17" s="31">
        <v>35</v>
      </c>
      <c r="S17" s="31">
        <v>25.800000000000004</v>
      </c>
      <c r="T17" s="31">
        <v>91.799999999999983</v>
      </c>
      <c r="U17" s="31">
        <v>1.35</v>
      </c>
      <c r="V17" s="31">
        <v>0.89</v>
      </c>
      <c r="W17" s="32">
        <v>0.17</v>
      </c>
      <c r="X17" s="31">
        <v>29.8</v>
      </c>
      <c r="Y17" s="31">
        <v>0.28306666666666669</v>
      </c>
      <c r="Z17" s="31">
        <v>9.799999999999999E-2</v>
      </c>
      <c r="AA17" s="31">
        <v>1.71</v>
      </c>
      <c r="AB17" s="31">
        <v>7.7066666666666658E-2</v>
      </c>
      <c r="AC17" s="31">
        <v>121</v>
      </c>
      <c r="AD17" s="1234">
        <v>-4.0000000000000002E-4</v>
      </c>
      <c r="AE17" s="31">
        <v>19.3</v>
      </c>
      <c r="AF17" s="1234">
        <v>-4.0000000000000002E-4</v>
      </c>
      <c r="AI17" s="1" t="s">
        <v>220</v>
      </c>
      <c r="AJ17" s="1" t="s">
        <v>1747</v>
      </c>
      <c r="AK17" s="27" t="s">
        <v>306</v>
      </c>
      <c r="AL17" s="749" t="s">
        <v>306</v>
      </c>
    </row>
    <row r="18" spans="1:38">
      <c r="A18" s="1232" t="s">
        <v>469</v>
      </c>
      <c r="B18" s="325">
        <v>96.3</v>
      </c>
      <c r="C18" s="325">
        <v>23</v>
      </c>
      <c r="D18" s="325">
        <v>4.03</v>
      </c>
      <c r="E18" s="325">
        <v>1.77</v>
      </c>
      <c r="F18" s="325">
        <v>0.48</v>
      </c>
      <c r="G18" s="1" t="s">
        <v>220</v>
      </c>
      <c r="H18" s="1" t="s">
        <v>3012</v>
      </c>
      <c r="I18" s="27">
        <v>22</v>
      </c>
      <c r="J18" s="82">
        <v>20</v>
      </c>
      <c r="K18" s="82">
        <v>2.2000000000000002</v>
      </c>
      <c r="L18" s="82">
        <v>1.8</v>
      </c>
      <c r="M18" s="1234">
        <v>2.1</v>
      </c>
      <c r="N18" s="82">
        <v>0.3</v>
      </c>
      <c r="O18" s="4">
        <v>0.1</v>
      </c>
      <c r="P18" s="4">
        <v>25</v>
      </c>
      <c r="Q18" s="4">
        <v>370</v>
      </c>
      <c r="R18" s="4">
        <v>24</v>
      </c>
      <c r="S18" s="4">
        <v>15</v>
      </c>
      <c r="T18" s="4">
        <v>50</v>
      </c>
      <c r="U18" s="4">
        <v>0.6</v>
      </c>
      <c r="V18" s="4">
        <v>0.5</v>
      </c>
      <c r="W18" s="4">
        <v>0.1</v>
      </c>
      <c r="X18" s="4">
        <v>0.9</v>
      </c>
      <c r="Y18" s="4">
        <v>0.1</v>
      </c>
      <c r="Z18" s="4">
        <v>0.06</v>
      </c>
      <c r="AA18" s="4">
        <v>1.2</v>
      </c>
      <c r="AB18" s="1234">
        <v>0.17299999999999999</v>
      </c>
      <c r="AC18" s="4">
        <v>85.9</v>
      </c>
      <c r="AD18" s="1234">
        <v>-4.0000000000000002E-4</v>
      </c>
      <c r="AE18" s="4">
        <v>61.5</v>
      </c>
      <c r="AF18" s="1234">
        <v>-4.0000000000000002E-4</v>
      </c>
      <c r="AI18" s="1" t="s">
        <v>220</v>
      </c>
      <c r="AJ18" s="1" t="s">
        <v>1747</v>
      </c>
      <c r="AK18" s="1" t="s">
        <v>541</v>
      </c>
      <c r="AL18" s="749" t="s">
        <v>1762</v>
      </c>
    </row>
    <row r="19" spans="1:38">
      <c r="A19" s="1" t="s">
        <v>439</v>
      </c>
      <c r="B19" s="1">
        <v>113</v>
      </c>
      <c r="C19" s="1">
        <v>27</v>
      </c>
      <c r="D19" s="1">
        <v>6.1</v>
      </c>
      <c r="E19" s="1">
        <v>2</v>
      </c>
      <c r="F19" s="1">
        <v>0.1</v>
      </c>
      <c r="G19" s="1" t="s">
        <v>220</v>
      </c>
      <c r="H19" s="47" t="s">
        <v>300</v>
      </c>
      <c r="I19" s="47">
        <v>4</v>
      </c>
      <c r="J19" s="48">
        <v>36</v>
      </c>
      <c r="K19" s="49">
        <v>4.0999999999999996</v>
      </c>
      <c r="L19" s="49">
        <v>3.3999999999999995</v>
      </c>
      <c r="M19" s="151">
        <v>-4.0000000000000001E-3</v>
      </c>
      <c r="N19" s="49">
        <v>0.6</v>
      </c>
      <c r="O19" s="49">
        <v>0.1</v>
      </c>
      <c r="P19" s="48">
        <v>5</v>
      </c>
      <c r="Q19" s="49">
        <v>320</v>
      </c>
      <c r="R19" s="49">
        <v>42</v>
      </c>
      <c r="S19" s="49">
        <v>14</v>
      </c>
      <c r="T19" s="49">
        <v>41</v>
      </c>
      <c r="U19" s="49">
        <v>0.4</v>
      </c>
      <c r="V19" s="49">
        <v>0.2</v>
      </c>
      <c r="W19" s="151">
        <v>-4.0000000000000002E-4</v>
      </c>
      <c r="X19" s="49">
        <v>770</v>
      </c>
      <c r="Y19" s="49">
        <v>0.12</v>
      </c>
      <c r="Z19" s="49">
        <v>0.35</v>
      </c>
      <c r="AA19" s="49">
        <v>1.4</v>
      </c>
      <c r="AB19" s="151">
        <v>-4.0000000000000001E-3</v>
      </c>
      <c r="AC19" s="49">
        <v>60</v>
      </c>
      <c r="AD19" s="151">
        <v>-4.0000000000000002E-4</v>
      </c>
      <c r="AE19" s="49">
        <v>110</v>
      </c>
      <c r="AF19" s="151">
        <v>-4.0000000000000002E-4</v>
      </c>
      <c r="AI19" s="1" t="s">
        <v>220</v>
      </c>
      <c r="AJ19" s="1" t="s">
        <v>1747</v>
      </c>
      <c r="AK19" s="47" t="s">
        <v>300</v>
      </c>
      <c r="AL19" s="749" t="s">
        <v>300</v>
      </c>
    </row>
    <row r="20" spans="1:38">
      <c r="A20" s="1" t="s">
        <v>3104</v>
      </c>
      <c r="B20" s="1">
        <v>65</v>
      </c>
      <c r="C20" s="1">
        <v>15</v>
      </c>
      <c r="D20" s="1">
        <v>3.63</v>
      </c>
      <c r="E20" s="1">
        <v>0.65</v>
      </c>
      <c r="F20" s="1">
        <v>0.11</v>
      </c>
      <c r="G20" s="1" t="s">
        <v>220</v>
      </c>
      <c r="H20" s="38" t="s">
        <v>298</v>
      </c>
      <c r="I20" s="38">
        <v>4</v>
      </c>
      <c r="J20" s="39">
        <v>14</v>
      </c>
      <c r="K20" s="40">
        <v>2.6</v>
      </c>
      <c r="L20" s="40">
        <v>0.8</v>
      </c>
      <c r="M20" s="40">
        <v>0.7</v>
      </c>
      <c r="N20" s="40">
        <v>0.1</v>
      </c>
      <c r="O20" s="40">
        <v>0.03</v>
      </c>
      <c r="P20" s="39">
        <v>3</v>
      </c>
      <c r="Q20" s="40">
        <v>361</v>
      </c>
      <c r="R20" s="40">
        <v>25</v>
      </c>
      <c r="S20" s="40">
        <v>3</v>
      </c>
      <c r="T20" s="40">
        <v>25.3</v>
      </c>
      <c r="U20" s="40">
        <v>0.22</v>
      </c>
      <c r="V20" s="40">
        <v>0.1</v>
      </c>
      <c r="W20" s="51">
        <v>0.01</v>
      </c>
      <c r="X20" s="40">
        <v>5.17</v>
      </c>
      <c r="Y20" s="40">
        <v>0.02</v>
      </c>
      <c r="Z20" s="40">
        <v>0.02</v>
      </c>
      <c r="AA20" s="37">
        <v>0</v>
      </c>
      <c r="AB20" s="40">
        <v>0.03</v>
      </c>
      <c r="AC20" s="40">
        <v>9.6</v>
      </c>
      <c r="AD20" s="37">
        <v>0</v>
      </c>
      <c r="AE20" s="40">
        <v>13.7</v>
      </c>
      <c r="AF20" s="37">
        <v>0</v>
      </c>
      <c r="AI20" s="1" t="s">
        <v>220</v>
      </c>
      <c r="AJ20" s="1" t="s">
        <v>1747</v>
      </c>
      <c r="AK20" s="38" t="s">
        <v>298</v>
      </c>
      <c r="AL20" s="749" t="s">
        <v>298</v>
      </c>
    </row>
    <row r="21" spans="1:38">
      <c r="A21" s="1232" t="s">
        <v>3145</v>
      </c>
      <c r="B21" s="1">
        <v>44</v>
      </c>
      <c r="C21" s="1">
        <v>11</v>
      </c>
      <c r="D21" s="1">
        <v>2.2599999999999998</v>
      </c>
      <c r="E21" s="1">
        <v>0.33</v>
      </c>
      <c r="F21" s="1">
        <v>0.2</v>
      </c>
      <c r="G21" s="1" t="s">
        <v>220</v>
      </c>
      <c r="H21" s="38" t="s">
        <v>2991</v>
      </c>
      <c r="I21" s="38">
        <v>22</v>
      </c>
      <c r="J21" s="1141">
        <v>11</v>
      </c>
      <c r="K21" s="40">
        <v>2.2599999999999998</v>
      </c>
      <c r="L21" s="34">
        <v>0.33</v>
      </c>
      <c r="M21" s="34">
        <v>1.2</v>
      </c>
      <c r="N21" s="40">
        <v>9.2999999999999999E-2</v>
      </c>
      <c r="O21" s="40">
        <v>3.2000000000000001E-2</v>
      </c>
      <c r="P21" s="41">
        <v>160</v>
      </c>
      <c r="Q21" s="42">
        <v>65</v>
      </c>
      <c r="R21" s="42">
        <v>12</v>
      </c>
      <c r="S21" s="42">
        <v>5</v>
      </c>
      <c r="T21" s="42">
        <v>13</v>
      </c>
      <c r="U21" s="42">
        <v>0.20800000000000002</v>
      </c>
      <c r="V21" s="42">
        <v>0.11599999999999999</v>
      </c>
      <c r="W21" s="44">
        <v>0.03</v>
      </c>
      <c r="X21" s="42">
        <v>30</v>
      </c>
      <c r="Y21" s="37">
        <v>3.5999999999999999E-3</v>
      </c>
      <c r="Z21" s="42">
        <v>1.2E-2</v>
      </c>
      <c r="AA21" s="37">
        <v>0</v>
      </c>
      <c r="AB21" s="42">
        <v>8.9999999999999993E-3</v>
      </c>
      <c r="AC21" s="42">
        <v>5</v>
      </c>
      <c r="AD21" s="37">
        <v>0</v>
      </c>
      <c r="AE21" s="42">
        <v>2.9099999999999997</v>
      </c>
      <c r="AF21" s="37">
        <v>0</v>
      </c>
      <c r="AI21" s="1" t="s">
        <v>220</v>
      </c>
      <c r="AJ21" s="1" t="s">
        <v>1747</v>
      </c>
      <c r="AK21" s="38" t="s">
        <v>308</v>
      </c>
      <c r="AL21" s="749" t="s">
        <v>308</v>
      </c>
    </row>
    <row r="22" spans="1:38">
      <c r="A22" s="1" t="s">
        <v>3432</v>
      </c>
      <c r="B22" s="1">
        <v>52</v>
      </c>
      <c r="C22" s="1">
        <v>12</v>
      </c>
      <c r="D22" s="1">
        <v>2.16</v>
      </c>
      <c r="E22" s="1">
        <v>0.59</v>
      </c>
      <c r="F22" s="1">
        <v>0.16</v>
      </c>
      <c r="G22" s="1" t="s">
        <v>220</v>
      </c>
      <c r="H22" s="38" t="s">
        <v>298</v>
      </c>
      <c r="I22" s="38">
        <v>4</v>
      </c>
      <c r="J22" s="39">
        <v>14</v>
      </c>
      <c r="K22" s="40">
        <v>2.6</v>
      </c>
      <c r="L22" s="40">
        <v>0.8</v>
      </c>
      <c r="M22" s="40">
        <v>0.7</v>
      </c>
      <c r="N22" s="40">
        <v>0.1</v>
      </c>
      <c r="O22" s="40">
        <v>0.03</v>
      </c>
      <c r="P22" s="39">
        <v>3</v>
      </c>
      <c r="Q22" s="40">
        <v>361</v>
      </c>
      <c r="R22" s="40">
        <v>25</v>
      </c>
      <c r="S22" s="40">
        <v>3</v>
      </c>
      <c r="T22" s="40">
        <v>25.3</v>
      </c>
      <c r="U22" s="40">
        <v>0.22</v>
      </c>
      <c r="V22" s="40">
        <v>0.1</v>
      </c>
      <c r="W22" s="51">
        <v>0.01</v>
      </c>
      <c r="X22" s="40">
        <v>5.17</v>
      </c>
      <c r="Y22" s="40">
        <v>0.02</v>
      </c>
      <c r="Z22" s="40">
        <v>0.02</v>
      </c>
      <c r="AA22" s="37">
        <v>0</v>
      </c>
      <c r="AB22" s="40">
        <v>0.03</v>
      </c>
      <c r="AC22" s="40">
        <v>9.6</v>
      </c>
      <c r="AD22" s="37">
        <v>0</v>
      </c>
      <c r="AE22" s="40">
        <v>13.7</v>
      </c>
      <c r="AF22" s="37">
        <v>0</v>
      </c>
      <c r="AI22" s="1" t="s">
        <v>220</v>
      </c>
      <c r="AJ22" s="1" t="s">
        <v>1747</v>
      </c>
      <c r="AK22" s="38" t="s">
        <v>298</v>
      </c>
      <c r="AL22" s="749" t="s">
        <v>298</v>
      </c>
    </row>
    <row r="23" spans="1:38">
      <c r="A23" s="749" t="s">
        <v>3130</v>
      </c>
      <c r="B23" s="1">
        <v>297</v>
      </c>
      <c r="C23" s="1">
        <v>71</v>
      </c>
      <c r="D23" s="1">
        <v>17.600000000000001</v>
      </c>
      <c r="E23" s="1">
        <v>0.9</v>
      </c>
      <c r="F23" s="1">
        <v>0.2</v>
      </c>
      <c r="G23" s="1" t="s">
        <v>220</v>
      </c>
      <c r="H23" s="749" t="s">
        <v>316</v>
      </c>
      <c r="I23" s="749">
        <v>5</v>
      </c>
      <c r="J23" s="33">
        <v>87</v>
      </c>
      <c r="K23" s="4">
        <v>20.13001073311867</v>
      </c>
      <c r="L23" s="4">
        <v>1.8699892668813292</v>
      </c>
      <c r="M23" s="4">
        <v>1.3000139997200055</v>
      </c>
      <c r="N23" s="4">
        <v>0.1000046665733352</v>
      </c>
      <c r="O23" s="4">
        <v>3.0006066545335761E-2</v>
      </c>
      <c r="P23" s="35">
        <v>4</v>
      </c>
      <c r="Q23" s="3">
        <v>379.00000000000006</v>
      </c>
      <c r="R23" s="3">
        <v>4.9999999999999991</v>
      </c>
      <c r="S23" s="3">
        <v>22</v>
      </c>
      <c r="T23" s="3">
        <v>44</v>
      </c>
      <c r="U23" s="3">
        <v>0.31000046665733355</v>
      </c>
      <c r="V23" s="3">
        <v>0.30001399972000564</v>
      </c>
      <c r="W23" s="58">
        <v>0.27376310000000004</v>
      </c>
      <c r="X23" s="3">
        <v>1</v>
      </c>
      <c r="Y23" s="3">
        <v>0.11997760044799105</v>
      </c>
      <c r="Z23" s="3">
        <v>2.0019599608007841E-2</v>
      </c>
      <c r="AA23" s="3">
        <v>1.4400111997760046</v>
      </c>
      <c r="AB23" s="3">
        <v>0.30001399972000564</v>
      </c>
      <c r="AC23" s="3">
        <v>9.9999999999999982</v>
      </c>
      <c r="AD23" s="37">
        <v>0</v>
      </c>
      <c r="AE23" s="3">
        <v>13</v>
      </c>
      <c r="AF23" s="37">
        <v>0</v>
      </c>
      <c r="AI23" s="1" t="s">
        <v>220</v>
      </c>
      <c r="AJ23" s="1" t="s">
        <v>1747</v>
      </c>
      <c r="AK23" s="749" t="s">
        <v>316</v>
      </c>
      <c r="AL23" s="749" t="s">
        <v>316</v>
      </c>
    </row>
    <row r="24" spans="1:38">
      <c r="A24" s="1" t="s">
        <v>3435</v>
      </c>
      <c r="B24" s="1">
        <v>297</v>
      </c>
      <c r="C24" s="1">
        <v>71</v>
      </c>
      <c r="D24" s="1">
        <v>17.600000000000001</v>
      </c>
      <c r="E24" s="1">
        <v>0.9</v>
      </c>
      <c r="F24" s="1">
        <v>0.2</v>
      </c>
      <c r="G24" s="1" t="s">
        <v>220</v>
      </c>
      <c r="H24" s="749" t="s">
        <v>316</v>
      </c>
      <c r="I24" s="749">
        <v>5</v>
      </c>
      <c r="J24" s="33">
        <v>87</v>
      </c>
      <c r="K24" s="4">
        <v>20.13001073311867</v>
      </c>
      <c r="L24" s="4">
        <v>1.8699892668813292</v>
      </c>
      <c r="M24" s="4">
        <v>1.3000139997200055</v>
      </c>
      <c r="N24" s="4">
        <v>0.1000046665733352</v>
      </c>
      <c r="O24" s="4">
        <v>3.0006066545335761E-2</v>
      </c>
      <c r="P24" s="35">
        <v>4</v>
      </c>
      <c r="Q24" s="3">
        <v>379.00000000000006</v>
      </c>
      <c r="R24" s="3">
        <v>4.9999999999999991</v>
      </c>
      <c r="S24" s="3">
        <v>22</v>
      </c>
      <c r="T24" s="3">
        <v>44</v>
      </c>
      <c r="U24" s="3">
        <v>0.31000046665733355</v>
      </c>
      <c r="V24" s="3">
        <v>0.30001399972000564</v>
      </c>
      <c r="W24" s="58">
        <v>0.27376310000000004</v>
      </c>
      <c r="X24" s="3">
        <v>1</v>
      </c>
      <c r="Y24" s="3">
        <v>0.11997760044799105</v>
      </c>
      <c r="Z24" s="3">
        <v>2.0019599608007841E-2</v>
      </c>
      <c r="AA24" s="3">
        <v>1.4400111997760046</v>
      </c>
      <c r="AB24" s="3">
        <v>0.30001399972000564</v>
      </c>
      <c r="AC24" s="3">
        <v>9.9999999999999982</v>
      </c>
      <c r="AD24" s="37">
        <v>0</v>
      </c>
      <c r="AE24" s="3">
        <v>13</v>
      </c>
      <c r="AF24" s="37">
        <v>0</v>
      </c>
      <c r="AI24" s="1" t="s">
        <v>220</v>
      </c>
      <c r="AJ24" s="1" t="s">
        <v>1747</v>
      </c>
      <c r="AK24" s="749" t="s">
        <v>316</v>
      </c>
      <c r="AL24" s="749" t="s">
        <v>316</v>
      </c>
    </row>
    <row r="25" spans="1:38">
      <c r="A25" s="1233" t="s">
        <v>3124</v>
      </c>
      <c r="B25" s="1">
        <v>364</v>
      </c>
      <c r="C25" s="1">
        <v>87</v>
      </c>
      <c r="D25" s="1">
        <v>20.8</v>
      </c>
      <c r="E25" s="1">
        <v>2.1</v>
      </c>
      <c r="F25" s="1">
        <v>0.1</v>
      </c>
      <c r="G25" s="1" t="s">
        <v>220</v>
      </c>
      <c r="H25" s="749" t="s">
        <v>316</v>
      </c>
      <c r="I25" s="749">
        <v>22</v>
      </c>
      <c r="J25" s="33">
        <v>87</v>
      </c>
      <c r="K25" s="4">
        <v>20.13001073311867</v>
      </c>
      <c r="L25" s="4">
        <v>1.8699892668813292</v>
      </c>
      <c r="M25" s="4">
        <v>1.3000139997200055</v>
      </c>
      <c r="N25" s="4">
        <v>0.1000046665733352</v>
      </c>
      <c r="O25" s="4">
        <v>3.0006066545335761E-2</v>
      </c>
      <c r="P25" s="35">
        <v>4</v>
      </c>
      <c r="Q25" s="3">
        <v>379.00000000000006</v>
      </c>
      <c r="R25" s="3">
        <v>4.9999999999999991</v>
      </c>
      <c r="S25" s="3">
        <v>22</v>
      </c>
      <c r="T25" s="3">
        <v>44</v>
      </c>
      <c r="U25" s="3">
        <v>0.31000046665733355</v>
      </c>
      <c r="V25" s="3">
        <v>0.30001399972000564</v>
      </c>
      <c r="W25" s="58">
        <v>0.27376310000000004</v>
      </c>
      <c r="X25" s="3">
        <v>1</v>
      </c>
      <c r="Y25" s="3">
        <v>0.11997760044799105</v>
      </c>
      <c r="Z25" s="3">
        <v>2.0019599608007841E-2</v>
      </c>
      <c r="AA25" s="3">
        <v>1.4400111997760046</v>
      </c>
      <c r="AB25" s="3">
        <v>0.30001399972000564</v>
      </c>
      <c r="AC25" s="3">
        <v>9.9999999999999982</v>
      </c>
      <c r="AD25" s="37">
        <v>0</v>
      </c>
      <c r="AE25" s="3">
        <v>13</v>
      </c>
      <c r="AF25" s="37">
        <v>0</v>
      </c>
      <c r="AI25" s="1" t="s">
        <v>220</v>
      </c>
      <c r="AJ25" s="1" t="s">
        <v>1747</v>
      </c>
      <c r="AK25" s="749" t="s">
        <v>316</v>
      </c>
      <c r="AL25" s="749" t="s">
        <v>316</v>
      </c>
    </row>
    <row r="26" spans="1:38">
      <c r="A26" s="1" t="s">
        <v>3125</v>
      </c>
      <c r="B26" s="1">
        <v>364</v>
      </c>
      <c r="C26" s="1">
        <v>87</v>
      </c>
      <c r="D26" s="1">
        <v>20.8</v>
      </c>
      <c r="E26" s="1">
        <v>2.1</v>
      </c>
      <c r="F26" s="1">
        <v>0.1</v>
      </c>
      <c r="G26" s="1" t="s">
        <v>220</v>
      </c>
      <c r="H26" s="749" t="s">
        <v>316</v>
      </c>
      <c r="I26" s="749">
        <v>5</v>
      </c>
      <c r="J26" s="33">
        <v>87</v>
      </c>
      <c r="K26" s="4">
        <v>20.13001073311867</v>
      </c>
      <c r="L26" s="4">
        <v>1.8699892668813292</v>
      </c>
      <c r="M26" s="4">
        <v>1.3000139997200055</v>
      </c>
      <c r="N26" s="4">
        <v>0.1000046665733352</v>
      </c>
      <c r="O26" s="4">
        <v>3.0006066545335761E-2</v>
      </c>
      <c r="P26" s="35">
        <v>4</v>
      </c>
      <c r="Q26" s="3">
        <v>379.00000000000006</v>
      </c>
      <c r="R26" s="3">
        <v>4.9999999999999991</v>
      </c>
      <c r="S26" s="3">
        <v>22</v>
      </c>
      <c r="T26" s="3">
        <v>44</v>
      </c>
      <c r="U26" s="3">
        <v>0.31000046665733355</v>
      </c>
      <c r="V26" s="3">
        <v>0.30001399972000564</v>
      </c>
      <c r="W26" s="58">
        <v>0.27376310000000004</v>
      </c>
      <c r="X26" s="3">
        <v>1</v>
      </c>
      <c r="Y26" s="3">
        <v>0.11997760044799105</v>
      </c>
      <c r="Z26" s="3">
        <v>2.0019599608007841E-2</v>
      </c>
      <c r="AA26" s="3">
        <v>1.4400111997760046</v>
      </c>
      <c r="AB26" s="3">
        <v>0.30001399972000564</v>
      </c>
      <c r="AC26" s="3">
        <v>9.9999999999999982</v>
      </c>
      <c r="AD26" s="37">
        <v>0</v>
      </c>
      <c r="AE26" s="3">
        <v>13</v>
      </c>
      <c r="AF26" s="37">
        <v>0</v>
      </c>
      <c r="AI26" s="1" t="s">
        <v>220</v>
      </c>
      <c r="AJ26" s="1" t="s">
        <v>1747</v>
      </c>
      <c r="AK26" s="749" t="s">
        <v>316</v>
      </c>
      <c r="AL26" s="749" t="s">
        <v>316</v>
      </c>
    </row>
    <row r="27" spans="1:38">
      <c r="A27" s="1" t="s">
        <v>3426</v>
      </c>
      <c r="B27" s="1">
        <v>1500</v>
      </c>
      <c r="C27" s="1">
        <v>354</v>
      </c>
      <c r="D27" s="1">
        <v>73.099999999999994</v>
      </c>
      <c r="E27" s="1">
        <v>7.6</v>
      </c>
      <c r="F27" s="1">
        <v>1.7</v>
      </c>
      <c r="G27" s="1" t="s">
        <v>220</v>
      </c>
      <c r="H27" s="1" t="s">
        <v>2758</v>
      </c>
      <c r="I27" s="324" t="s">
        <v>2759</v>
      </c>
      <c r="J27" s="1">
        <v>337</v>
      </c>
      <c r="K27" s="1">
        <v>69.599999999999994</v>
      </c>
      <c r="L27" s="1">
        <v>6.5</v>
      </c>
      <c r="M27" s="4">
        <v>13.6</v>
      </c>
      <c r="N27" s="1">
        <v>0.7</v>
      </c>
      <c r="O27" s="4">
        <v>0.5</v>
      </c>
      <c r="P27" s="4">
        <v>55</v>
      </c>
      <c r="Q27" s="34">
        <v>1001</v>
      </c>
      <c r="R27" s="34">
        <v>65</v>
      </c>
      <c r="S27" s="34">
        <v>65</v>
      </c>
      <c r="T27" s="34">
        <v>168</v>
      </c>
      <c r="U27" s="34">
        <v>1.38</v>
      </c>
      <c r="V27" s="34">
        <v>0.54</v>
      </c>
      <c r="W27" s="34">
        <v>0.19700000000000001</v>
      </c>
      <c r="X27" s="34">
        <v>20</v>
      </c>
      <c r="Y27" s="37">
        <v>0.22800000000000001</v>
      </c>
      <c r="Z27" s="37">
        <v>5.0999999999999997E-2</v>
      </c>
      <c r="AA27" s="37">
        <v>3.51</v>
      </c>
      <c r="AB27" s="37">
        <v>0.76900000000000002</v>
      </c>
      <c r="AC27" s="37">
        <v>25</v>
      </c>
      <c r="AD27" s="37">
        <v>0</v>
      </c>
      <c r="AE27" s="37">
        <v>3.8</v>
      </c>
      <c r="AF27" s="37">
        <v>6.0000000000000001E-3</v>
      </c>
      <c r="AI27" s="1" t="s">
        <v>220</v>
      </c>
      <c r="AJ27" s="1" t="s">
        <v>1747</v>
      </c>
      <c r="AK27" s="1" t="s">
        <v>1225</v>
      </c>
      <c r="AL27" s="749" t="s">
        <v>1763</v>
      </c>
    </row>
    <row r="28" spans="1:38">
      <c r="A28" s="1" t="s">
        <v>3433</v>
      </c>
      <c r="B28" s="1">
        <v>389.1</v>
      </c>
      <c r="C28" s="1">
        <v>93</v>
      </c>
      <c r="D28" s="1">
        <v>21.14</v>
      </c>
      <c r="E28" s="1">
        <v>2.5099999999999998</v>
      </c>
      <c r="F28" s="1">
        <v>0.14000000000000001</v>
      </c>
      <c r="G28" s="1" t="s">
        <v>220</v>
      </c>
      <c r="H28" s="749" t="s">
        <v>316</v>
      </c>
      <c r="I28" s="749">
        <v>5</v>
      </c>
      <c r="J28" s="33">
        <v>87</v>
      </c>
      <c r="K28" s="4">
        <v>20.13001073311867</v>
      </c>
      <c r="L28" s="4">
        <v>1.8699892668813292</v>
      </c>
      <c r="M28" s="4">
        <v>1.3000139997200055</v>
      </c>
      <c r="N28" s="4">
        <v>0.1000046665733352</v>
      </c>
      <c r="O28" s="4">
        <v>3.0006066545335761E-2</v>
      </c>
      <c r="P28" s="35">
        <v>4</v>
      </c>
      <c r="Q28" s="3">
        <v>379.00000000000006</v>
      </c>
      <c r="R28" s="3">
        <v>4.9999999999999991</v>
      </c>
      <c r="S28" s="3">
        <v>22</v>
      </c>
      <c r="T28" s="3">
        <v>44</v>
      </c>
      <c r="U28" s="3">
        <v>0.31000046665733355</v>
      </c>
      <c r="V28" s="3">
        <v>0.30001399972000564</v>
      </c>
      <c r="W28" s="58">
        <v>0.27376310000000004</v>
      </c>
      <c r="X28" s="3">
        <v>1</v>
      </c>
      <c r="Y28" s="3">
        <v>0.11997760044799105</v>
      </c>
      <c r="Z28" s="3">
        <v>2.0019599608007841E-2</v>
      </c>
      <c r="AA28" s="3">
        <v>1.4400111997760046</v>
      </c>
      <c r="AB28" s="3">
        <v>0.30001399972000564</v>
      </c>
      <c r="AC28" s="3">
        <v>9.9999999999999982</v>
      </c>
      <c r="AD28" s="37">
        <v>0</v>
      </c>
      <c r="AE28" s="3">
        <v>13</v>
      </c>
      <c r="AF28" s="37">
        <v>0</v>
      </c>
      <c r="AI28" s="1" t="s">
        <v>220</v>
      </c>
      <c r="AJ28" s="1" t="s">
        <v>1747</v>
      </c>
      <c r="AK28" s="749" t="s">
        <v>316</v>
      </c>
      <c r="AL28" s="749" t="s">
        <v>316</v>
      </c>
    </row>
    <row r="29" spans="1:38">
      <c r="A29" s="1" t="s">
        <v>1764</v>
      </c>
      <c r="B29" s="1">
        <v>559</v>
      </c>
      <c r="C29" s="1">
        <v>133</v>
      </c>
      <c r="D29" s="1">
        <v>19.5</v>
      </c>
      <c r="E29" s="1">
        <v>2.5</v>
      </c>
      <c r="F29" s="9">
        <v>5</v>
      </c>
      <c r="G29" s="1" t="s">
        <v>220</v>
      </c>
      <c r="H29" s="1" t="s">
        <v>2760</v>
      </c>
      <c r="J29" s="1">
        <v>127</v>
      </c>
      <c r="K29" s="1">
        <v>19.5</v>
      </c>
      <c r="L29" s="1">
        <v>2.2000000000000002</v>
      </c>
      <c r="M29" s="4">
        <v>3</v>
      </c>
      <c r="N29" s="9">
        <v>4.5</v>
      </c>
      <c r="O29" s="4">
        <v>2.2999999999999998</v>
      </c>
      <c r="P29" s="4">
        <v>39</v>
      </c>
      <c r="Q29" s="4">
        <v>683</v>
      </c>
      <c r="R29" s="4">
        <v>14</v>
      </c>
      <c r="S29" s="4">
        <v>43</v>
      </c>
      <c r="T29" s="4">
        <v>72</v>
      </c>
      <c r="U29" s="4">
        <v>0.9</v>
      </c>
      <c r="V29" s="4">
        <v>0.67</v>
      </c>
      <c r="W29" s="4">
        <v>0.2</v>
      </c>
      <c r="X29" s="151">
        <v>-4.0000000000000001E-3</v>
      </c>
      <c r="Y29" s="4">
        <v>0.1</v>
      </c>
      <c r="Z29" s="4">
        <v>0.04</v>
      </c>
      <c r="AA29" s="4">
        <v>2.4300000000000002</v>
      </c>
      <c r="AB29" s="4">
        <v>0.18</v>
      </c>
      <c r="AC29" s="4">
        <v>10</v>
      </c>
      <c r="AD29" s="151">
        <v>-4.0000000000000002E-4</v>
      </c>
      <c r="AE29" s="4">
        <v>23.3</v>
      </c>
      <c r="AF29" s="151">
        <v>-4.0000000000000002E-4</v>
      </c>
      <c r="AI29" s="1" t="s">
        <v>220</v>
      </c>
      <c r="AJ29" s="1" t="s">
        <v>1747</v>
      </c>
      <c r="AK29" s="1" t="s">
        <v>212</v>
      </c>
      <c r="AL29" s="749" t="s">
        <v>1764</v>
      </c>
    </row>
    <row r="30" spans="1:38">
      <c r="A30" s="1233" t="s">
        <v>3126</v>
      </c>
      <c r="B30" s="1">
        <v>428</v>
      </c>
      <c r="C30" s="1">
        <v>102</v>
      </c>
      <c r="D30" s="1">
        <v>19.2</v>
      </c>
      <c r="E30" s="1">
        <v>3</v>
      </c>
      <c r="F30" s="9">
        <v>1.2</v>
      </c>
      <c r="G30" s="1" t="s">
        <v>220</v>
      </c>
      <c r="H30" s="47" t="s">
        <v>3013</v>
      </c>
      <c r="I30" s="47">
        <v>22</v>
      </c>
      <c r="J30" s="48">
        <v>86</v>
      </c>
      <c r="K30" s="49">
        <v>16.7</v>
      </c>
      <c r="L30" s="49">
        <v>3.27</v>
      </c>
      <c r="M30" s="49">
        <v>2</v>
      </c>
      <c r="N30" s="49">
        <v>1.35</v>
      </c>
      <c r="O30" s="49">
        <v>0.66720000000000002</v>
      </c>
      <c r="P30" s="48">
        <v>35</v>
      </c>
      <c r="Q30" s="49">
        <v>287</v>
      </c>
      <c r="R30" s="49">
        <v>7</v>
      </c>
      <c r="S30" s="49">
        <v>127</v>
      </c>
      <c r="T30" s="49">
        <v>210</v>
      </c>
      <c r="U30" s="49">
        <v>2.71</v>
      </c>
      <c r="V30" s="49">
        <v>2.21</v>
      </c>
      <c r="W30" s="50">
        <v>0.314</v>
      </c>
      <c r="X30" s="49">
        <v>11</v>
      </c>
      <c r="Y30" s="49">
        <v>0.38519999999999999</v>
      </c>
      <c r="Z30" s="49">
        <v>0.20119999999999996</v>
      </c>
      <c r="AA30" s="49">
        <v>3.6272000000000002</v>
      </c>
      <c r="AB30" s="1234">
        <v>0.16</v>
      </c>
      <c r="AC30" s="49">
        <v>19</v>
      </c>
      <c r="AD30" s="1234">
        <v>-4.0000000000000002E-4</v>
      </c>
      <c r="AE30" s="1234">
        <v>3.1</v>
      </c>
      <c r="AF30" s="1234">
        <v>-4.0000000000000002E-4</v>
      </c>
      <c r="AI30" s="1" t="s">
        <v>220</v>
      </c>
      <c r="AJ30" s="1" t="s">
        <v>1747</v>
      </c>
      <c r="AK30" s="47" t="s">
        <v>297</v>
      </c>
      <c r="AL30" s="749" t="s">
        <v>297</v>
      </c>
    </row>
    <row r="31" spans="1:38">
      <c r="A31" s="1" t="s">
        <v>3090</v>
      </c>
      <c r="C31" s="1"/>
      <c r="D31" s="1"/>
      <c r="E31" s="1"/>
      <c r="F31" s="1"/>
      <c r="G31" s="1" t="s">
        <v>220</v>
      </c>
      <c r="H31" s="749" t="s">
        <v>296</v>
      </c>
      <c r="I31" s="749">
        <v>4</v>
      </c>
      <c r="J31" s="33">
        <v>107.6</v>
      </c>
      <c r="K31" s="4">
        <v>20.6</v>
      </c>
      <c r="L31" s="4">
        <v>3</v>
      </c>
      <c r="M31" s="151">
        <v>-4.0000000000000001E-3</v>
      </c>
      <c r="N31" s="4">
        <v>1.2</v>
      </c>
      <c r="O31" s="151">
        <v>-4.0000000000000001E-3</v>
      </c>
      <c r="P31" s="35">
        <v>20</v>
      </c>
      <c r="Q31" s="3">
        <v>171</v>
      </c>
      <c r="R31" s="3">
        <v>7</v>
      </c>
      <c r="S31" s="3">
        <v>10</v>
      </c>
      <c r="T31" s="3">
        <v>0</v>
      </c>
      <c r="U31" s="3">
        <v>0.6</v>
      </c>
      <c r="V31" s="3">
        <v>0.33</v>
      </c>
      <c r="W31" s="36">
        <v>1.7999999999999999E-2</v>
      </c>
      <c r="X31" s="151">
        <v>-4.0000000000000001E-3</v>
      </c>
      <c r="Y31" s="3">
        <v>0.15</v>
      </c>
      <c r="Z31" s="3">
        <v>0.105</v>
      </c>
      <c r="AA31" s="3">
        <v>1.7</v>
      </c>
      <c r="AB31" s="151">
        <v>-4.0000000000000001E-3</v>
      </c>
      <c r="AC31" s="151">
        <v>-4.0000000000000001E-3</v>
      </c>
      <c r="AD31" s="151">
        <v>-4.0000000000000002E-4</v>
      </c>
      <c r="AE31" s="3">
        <v>13</v>
      </c>
      <c r="AF31" s="151">
        <v>-4.0000000000000002E-4</v>
      </c>
      <c r="AI31" s="1" t="s">
        <v>220</v>
      </c>
      <c r="AJ31" s="1" t="s">
        <v>1747</v>
      </c>
      <c r="AK31" s="749" t="s">
        <v>296</v>
      </c>
      <c r="AL31" s="749" t="s">
        <v>296</v>
      </c>
    </row>
    <row r="32" spans="1:38">
      <c r="A32" s="1232" t="s">
        <v>3105</v>
      </c>
      <c r="B32" s="1">
        <v>103</v>
      </c>
      <c r="C32" s="1">
        <v>25</v>
      </c>
      <c r="D32" s="1">
        <v>5.8</v>
      </c>
      <c r="E32" s="1">
        <v>1.28</v>
      </c>
      <c r="F32" s="1">
        <v>0.1</v>
      </c>
      <c r="G32" s="1" t="s">
        <v>220</v>
      </c>
      <c r="H32" s="38" t="s">
        <v>292</v>
      </c>
      <c r="I32" s="38">
        <v>22</v>
      </c>
      <c r="J32" s="39">
        <v>24</v>
      </c>
      <c r="K32" s="40">
        <v>4.0999999999999996</v>
      </c>
      <c r="L32" s="40">
        <v>1.2</v>
      </c>
      <c r="M32" s="34">
        <v>2.5</v>
      </c>
      <c r="N32" s="40">
        <v>0.2</v>
      </c>
      <c r="O32" s="40">
        <v>0.1</v>
      </c>
      <c r="P32" s="41">
        <v>5</v>
      </c>
      <c r="Q32" s="42">
        <v>320</v>
      </c>
      <c r="R32" s="42">
        <v>42</v>
      </c>
      <c r="S32" s="42">
        <v>14</v>
      </c>
      <c r="T32" s="42">
        <v>40</v>
      </c>
      <c r="U32" s="42">
        <v>0.4</v>
      </c>
      <c r="V32" s="42">
        <v>0.2</v>
      </c>
      <c r="W32" s="44">
        <v>3.833333333333333E-2</v>
      </c>
      <c r="X32" s="42">
        <v>5.5</v>
      </c>
      <c r="Y32" s="42">
        <v>7.0000000000000007E-2</v>
      </c>
      <c r="Z32" s="42">
        <v>0.05</v>
      </c>
      <c r="AA32" s="42">
        <v>0.8</v>
      </c>
      <c r="AB32" s="37">
        <v>3.7999999999999999E-2</v>
      </c>
      <c r="AC32" s="42">
        <v>29.900000000000002</v>
      </c>
      <c r="AD32" s="37">
        <v>0</v>
      </c>
      <c r="AE32" s="42">
        <v>37.4</v>
      </c>
      <c r="AF32" s="37">
        <v>0</v>
      </c>
      <c r="AI32" s="1" t="s">
        <v>220</v>
      </c>
      <c r="AJ32" s="1" t="s">
        <v>1747</v>
      </c>
      <c r="AK32" s="38" t="s">
        <v>292</v>
      </c>
      <c r="AL32" s="749" t="s">
        <v>292</v>
      </c>
    </row>
    <row r="33" spans="1:38">
      <c r="A33" s="1" t="s">
        <v>3106</v>
      </c>
      <c r="B33" s="1">
        <v>130</v>
      </c>
      <c r="C33" s="1">
        <v>31</v>
      </c>
      <c r="D33" s="1">
        <v>7.37</v>
      </c>
      <c r="E33" s="1">
        <v>1.43</v>
      </c>
      <c r="F33" s="1">
        <v>0.16</v>
      </c>
      <c r="G33" s="1" t="s">
        <v>220</v>
      </c>
      <c r="H33" s="38" t="s">
        <v>2946</v>
      </c>
      <c r="I33" s="38" t="s">
        <v>2947</v>
      </c>
      <c r="J33" s="39">
        <v>22</v>
      </c>
      <c r="K33" s="40">
        <v>3.5</v>
      </c>
      <c r="L33" s="40">
        <v>1.6</v>
      </c>
      <c r="M33" s="34">
        <v>2.5</v>
      </c>
      <c r="N33" s="40">
        <v>0.2</v>
      </c>
      <c r="O33" s="40">
        <v>0.1</v>
      </c>
      <c r="P33" s="41">
        <v>6.9</v>
      </c>
      <c r="Q33" s="42">
        <v>290</v>
      </c>
      <c r="R33" s="42">
        <v>37</v>
      </c>
      <c r="S33" s="42">
        <v>14</v>
      </c>
      <c r="T33" s="42">
        <v>30</v>
      </c>
      <c r="U33" s="42">
        <v>0.4</v>
      </c>
      <c r="V33" s="42">
        <v>0.2</v>
      </c>
      <c r="W33" s="58">
        <v>3.833333333333333E-2</v>
      </c>
      <c r="X33" s="42">
        <v>1.3</v>
      </c>
      <c r="Y33" s="42">
        <v>0.13</v>
      </c>
      <c r="Z33" s="42">
        <v>0.05</v>
      </c>
      <c r="AA33" s="42">
        <v>0.6</v>
      </c>
      <c r="AB33" s="37">
        <v>3.7999999999999999E-2</v>
      </c>
      <c r="AC33" s="42">
        <v>39</v>
      </c>
      <c r="AD33" s="37">
        <v>0</v>
      </c>
      <c r="AE33" s="42">
        <v>80</v>
      </c>
      <c r="AF33" s="37">
        <v>0</v>
      </c>
      <c r="AI33" s="1" t="s">
        <v>220</v>
      </c>
      <c r="AJ33" s="1" t="s">
        <v>1747</v>
      </c>
      <c r="AK33" s="38" t="s">
        <v>292</v>
      </c>
      <c r="AL33" s="749" t="s">
        <v>292</v>
      </c>
    </row>
    <row r="34" spans="1:38">
      <c r="A34" s="1" t="s">
        <v>3091</v>
      </c>
      <c r="B34" s="1">
        <v>75</v>
      </c>
      <c r="C34" s="1">
        <v>18</v>
      </c>
      <c r="D34" s="1">
        <v>3.57</v>
      </c>
      <c r="E34" s="1">
        <v>3.57</v>
      </c>
      <c r="F34" s="1">
        <v>0</v>
      </c>
      <c r="G34" s="1" t="s">
        <v>220</v>
      </c>
      <c r="H34" s="749" t="s">
        <v>309</v>
      </c>
      <c r="I34" s="749">
        <v>4</v>
      </c>
      <c r="J34" s="33">
        <v>17</v>
      </c>
      <c r="K34" s="4">
        <v>0.7699763084212794</v>
      </c>
      <c r="L34" s="4">
        <v>1.5200301529183717</v>
      </c>
      <c r="M34" s="4">
        <v>2.1399956924402326</v>
      </c>
      <c r="N34" s="4">
        <v>0.31003661425802281</v>
      </c>
      <c r="O34" s="4">
        <v>5.5998276976093046E-2</v>
      </c>
      <c r="P34" s="35">
        <v>355.00000000000006</v>
      </c>
      <c r="Q34" s="3">
        <v>288</v>
      </c>
      <c r="R34" s="3">
        <v>48</v>
      </c>
      <c r="S34" s="3">
        <v>14.000000000000002</v>
      </c>
      <c r="T34" s="3">
        <v>43</v>
      </c>
      <c r="U34" s="3">
        <v>0.600043075597674</v>
      </c>
      <c r="V34" s="3">
        <v>0.32005169071720874</v>
      </c>
      <c r="W34" s="36">
        <v>0.12998061598104674</v>
      </c>
      <c r="X34" s="3">
        <v>3</v>
      </c>
      <c r="Y34" s="3">
        <v>2.7029937540383374E-2</v>
      </c>
      <c r="Z34" s="3">
        <v>4.996769330174456E-2</v>
      </c>
      <c r="AA34" s="3">
        <v>0.41998707732069784</v>
      </c>
      <c r="AB34" s="3">
        <v>0.20999353866034892</v>
      </c>
      <c r="AC34" s="3">
        <v>31</v>
      </c>
      <c r="AD34" s="37">
        <v>0</v>
      </c>
      <c r="AE34" s="3">
        <v>19.999999999999996</v>
      </c>
      <c r="AF34" s="37">
        <v>0</v>
      </c>
      <c r="AI34" s="1" t="s">
        <v>220</v>
      </c>
      <c r="AJ34" s="1" t="s">
        <v>1747</v>
      </c>
      <c r="AK34" s="749" t="s">
        <v>309</v>
      </c>
      <c r="AL34" s="749" t="s">
        <v>309</v>
      </c>
    </row>
    <row r="35" spans="1:38">
      <c r="A35" s="1" t="s">
        <v>3092</v>
      </c>
      <c r="B35" s="1">
        <v>75</v>
      </c>
      <c r="C35" s="1">
        <v>18</v>
      </c>
      <c r="D35" s="1">
        <v>3.57</v>
      </c>
      <c r="E35" s="1">
        <v>3.57</v>
      </c>
      <c r="F35" s="1">
        <v>0</v>
      </c>
      <c r="G35" s="1" t="s">
        <v>220</v>
      </c>
      <c r="H35" s="749" t="s">
        <v>309</v>
      </c>
      <c r="I35" s="749">
        <v>4</v>
      </c>
      <c r="J35" s="33">
        <v>17</v>
      </c>
      <c r="K35" s="4">
        <v>0.7699763084212794</v>
      </c>
      <c r="L35" s="4">
        <v>1.5200301529183717</v>
      </c>
      <c r="M35" s="4">
        <v>2.1399956924402326</v>
      </c>
      <c r="N35" s="4">
        <v>0.31003661425802281</v>
      </c>
      <c r="O35" s="4">
        <v>5.5998276976093046E-2</v>
      </c>
      <c r="P35" s="35">
        <v>355.00000000000006</v>
      </c>
      <c r="Q35" s="3">
        <v>288</v>
      </c>
      <c r="R35" s="3">
        <v>48</v>
      </c>
      <c r="S35" s="3">
        <v>14.000000000000002</v>
      </c>
      <c r="T35" s="3">
        <v>43</v>
      </c>
      <c r="U35" s="3">
        <v>0.600043075597674</v>
      </c>
      <c r="V35" s="3">
        <v>0.32005169071720874</v>
      </c>
      <c r="W35" s="36">
        <v>0.12998061598104674</v>
      </c>
      <c r="X35" s="3">
        <v>3</v>
      </c>
      <c r="Y35" s="3">
        <v>2.7029937540383374E-2</v>
      </c>
      <c r="Z35" s="3">
        <v>4.996769330174456E-2</v>
      </c>
      <c r="AA35" s="3">
        <v>0.41998707732069784</v>
      </c>
      <c r="AB35" s="3">
        <v>0.20999353866034892</v>
      </c>
      <c r="AC35" s="3">
        <v>31</v>
      </c>
      <c r="AD35" s="37">
        <v>0</v>
      </c>
      <c r="AE35" s="3">
        <v>19.999999999999996</v>
      </c>
      <c r="AF35" s="37">
        <v>0</v>
      </c>
      <c r="AI35" s="1" t="s">
        <v>220</v>
      </c>
      <c r="AJ35" s="1" t="s">
        <v>1747</v>
      </c>
      <c r="AK35" s="749" t="s">
        <v>309</v>
      </c>
      <c r="AL35" s="749" t="s">
        <v>309</v>
      </c>
    </row>
    <row r="36" spans="1:38">
      <c r="A36" s="1" t="s">
        <v>3430</v>
      </c>
      <c r="B36" s="1">
        <v>47</v>
      </c>
      <c r="C36" s="1">
        <v>11</v>
      </c>
      <c r="D36" s="1">
        <v>0.4</v>
      </c>
      <c r="E36" s="1">
        <v>1.3</v>
      </c>
      <c r="F36" s="1">
        <v>0.2</v>
      </c>
      <c r="G36" s="1" t="s">
        <v>220</v>
      </c>
      <c r="H36" s="27" t="s">
        <v>313</v>
      </c>
      <c r="I36" s="27">
        <v>4</v>
      </c>
      <c r="J36" s="28">
        <v>82</v>
      </c>
      <c r="K36" s="29">
        <v>13.5</v>
      </c>
      <c r="L36" s="29">
        <v>2.9</v>
      </c>
      <c r="M36" s="29">
        <v>3.1</v>
      </c>
      <c r="N36" s="29">
        <v>1</v>
      </c>
      <c r="O36" s="29">
        <v>0.1</v>
      </c>
      <c r="P36" s="30">
        <v>7.4000000000000012</v>
      </c>
      <c r="Q36" s="31">
        <v>343.6</v>
      </c>
      <c r="R36" s="31">
        <v>20.8</v>
      </c>
      <c r="S36" s="31">
        <v>30.399999999999995</v>
      </c>
      <c r="T36" s="31">
        <v>86.8</v>
      </c>
      <c r="U36" s="31">
        <v>1</v>
      </c>
      <c r="V36" s="31">
        <v>0.6</v>
      </c>
      <c r="W36" s="151">
        <v>-4.0000000000000002E-4</v>
      </c>
      <c r="X36" s="31">
        <v>268.29999999999995</v>
      </c>
      <c r="Y36" s="31">
        <v>0.19</v>
      </c>
      <c r="Z36" s="31">
        <v>0.11000000000000001</v>
      </c>
      <c r="AA36" s="31">
        <v>2.2999999999999998</v>
      </c>
      <c r="AB36" s="31">
        <v>0.11999999999999998</v>
      </c>
      <c r="AC36" s="31">
        <v>39</v>
      </c>
      <c r="AD36" s="151">
        <v>-4.0000000000000002E-4</v>
      </c>
      <c r="AE36" s="31">
        <v>12.9</v>
      </c>
      <c r="AF36" s="151">
        <v>-4.0000000000000002E-4</v>
      </c>
      <c r="AI36" s="1" t="s">
        <v>220</v>
      </c>
      <c r="AJ36" s="1" t="s">
        <v>1747</v>
      </c>
      <c r="AK36" s="27" t="s">
        <v>313</v>
      </c>
      <c r="AL36" s="749" t="s">
        <v>313</v>
      </c>
    </row>
    <row r="37" spans="1:38">
      <c r="A37" s="1" t="s">
        <v>3428</v>
      </c>
      <c r="B37" s="14">
        <v>263</v>
      </c>
      <c r="C37" s="1">
        <v>63</v>
      </c>
      <c r="D37" s="1">
        <v>9.3000000000000007</v>
      </c>
      <c r="E37" s="1">
        <v>3.4</v>
      </c>
      <c r="F37" s="1">
        <v>1.1000000000000001</v>
      </c>
      <c r="G37" s="1" t="s">
        <v>220</v>
      </c>
      <c r="H37" s="1" t="s">
        <v>2773</v>
      </c>
      <c r="J37" s="1">
        <v>63</v>
      </c>
      <c r="K37" s="1">
        <v>9.3000000000000007</v>
      </c>
      <c r="L37" s="1">
        <v>3.4</v>
      </c>
      <c r="M37" s="34">
        <v>3.1</v>
      </c>
      <c r="N37" s="1">
        <v>1.1000000000000001</v>
      </c>
      <c r="O37" s="34">
        <v>0.1</v>
      </c>
      <c r="P37" s="34">
        <v>7.4</v>
      </c>
      <c r="Q37" s="34">
        <v>344</v>
      </c>
      <c r="R37" s="34">
        <v>20.8</v>
      </c>
      <c r="S37" s="34">
        <v>30.4</v>
      </c>
      <c r="T37" s="34">
        <v>86.8</v>
      </c>
      <c r="U37" s="34">
        <v>1</v>
      </c>
      <c r="V37" s="34">
        <v>0.6</v>
      </c>
      <c r="W37" s="151">
        <v>-4.0000000000000002E-4</v>
      </c>
      <c r="X37" s="34">
        <v>268.3</v>
      </c>
      <c r="Y37" s="34">
        <v>0.19</v>
      </c>
      <c r="Z37" s="34">
        <v>0.11</v>
      </c>
      <c r="AA37" s="34">
        <v>2.2999999999999998</v>
      </c>
      <c r="AB37" s="34">
        <v>0.12</v>
      </c>
      <c r="AC37" s="34">
        <v>39</v>
      </c>
      <c r="AD37" s="151">
        <v>-4.0000000000000002E-4</v>
      </c>
      <c r="AE37" s="34">
        <v>12.9</v>
      </c>
      <c r="AF37" s="151">
        <v>-4.0000000000000002E-4</v>
      </c>
      <c r="AI37" s="1" t="s">
        <v>220</v>
      </c>
      <c r="AJ37" s="1" t="s">
        <v>1747</v>
      </c>
      <c r="AK37" s="1" t="s">
        <v>19</v>
      </c>
      <c r="AL37" s="749" t="s">
        <v>1800</v>
      </c>
    </row>
    <row r="38" spans="1:38">
      <c r="A38" s="1233" t="s">
        <v>3429</v>
      </c>
      <c r="B38" s="1">
        <v>222</v>
      </c>
      <c r="C38" s="1">
        <v>53</v>
      </c>
      <c r="D38" s="1">
        <v>7</v>
      </c>
      <c r="E38" s="1">
        <v>3</v>
      </c>
      <c r="F38" s="1">
        <v>1</v>
      </c>
      <c r="G38" s="1" t="s">
        <v>220</v>
      </c>
      <c r="H38" s="27" t="s">
        <v>2761</v>
      </c>
      <c r="I38" s="27">
        <v>22</v>
      </c>
      <c r="J38" s="28">
        <v>51.9</v>
      </c>
      <c r="K38" s="29">
        <v>7</v>
      </c>
      <c r="L38" s="29">
        <v>2.14</v>
      </c>
      <c r="M38" s="29">
        <v>2.5</v>
      </c>
      <c r="N38" s="29">
        <v>0.28000000000000003</v>
      </c>
      <c r="O38" s="34">
        <v>0.1</v>
      </c>
      <c r="P38" s="30">
        <v>47</v>
      </c>
      <c r="Q38" s="31">
        <v>212</v>
      </c>
      <c r="R38" s="31">
        <v>25</v>
      </c>
      <c r="S38" s="31">
        <v>24</v>
      </c>
      <c r="T38" s="31">
        <v>59</v>
      </c>
      <c r="U38" s="31">
        <v>0.95</v>
      </c>
      <c r="V38" s="31">
        <v>0.45</v>
      </c>
      <c r="W38" s="4">
        <v>9.2999999999999999E-2</v>
      </c>
      <c r="X38" s="31">
        <v>254</v>
      </c>
      <c r="Y38" s="31">
        <v>0.122</v>
      </c>
      <c r="Z38" s="31">
        <v>8.5000000000000006E-2</v>
      </c>
      <c r="AA38" s="31">
        <v>1.82</v>
      </c>
      <c r="AB38" s="31">
        <v>9.6000000000000002E-2</v>
      </c>
      <c r="AC38" s="31">
        <v>29</v>
      </c>
      <c r="AD38" s="1234">
        <v>-4.0000000000000002E-4</v>
      </c>
      <c r="AE38" s="31">
        <v>10.4</v>
      </c>
      <c r="AF38" s="1234">
        <v>-4.0000000000000002E-4</v>
      </c>
      <c r="AI38" s="1" t="s">
        <v>220</v>
      </c>
      <c r="AJ38" s="1" t="s">
        <v>1747</v>
      </c>
      <c r="AK38" s="27" t="s">
        <v>313</v>
      </c>
      <c r="AL38" s="749" t="s">
        <v>313</v>
      </c>
    </row>
    <row r="39" spans="1:38">
      <c r="A39" s="1" t="s">
        <v>3107</v>
      </c>
      <c r="B39" s="1">
        <v>222</v>
      </c>
      <c r="C39" s="1">
        <v>53</v>
      </c>
      <c r="D39" s="1">
        <v>7</v>
      </c>
      <c r="E39" s="1">
        <v>3</v>
      </c>
      <c r="F39" s="1">
        <v>1</v>
      </c>
      <c r="G39" s="1" t="s">
        <v>220</v>
      </c>
      <c r="H39" s="27" t="s">
        <v>313</v>
      </c>
      <c r="I39" s="27">
        <v>4</v>
      </c>
      <c r="J39" s="28">
        <v>82</v>
      </c>
      <c r="K39" s="29">
        <v>13.5</v>
      </c>
      <c r="L39" s="29">
        <v>2.9</v>
      </c>
      <c r="M39" s="29">
        <v>3.1</v>
      </c>
      <c r="N39" s="29">
        <v>1</v>
      </c>
      <c r="O39" s="29">
        <v>0.1</v>
      </c>
      <c r="P39" s="30">
        <v>7.4000000000000012</v>
      </c>
      <c r="Q39" s="31">
        <v>343.6</v>
      </c>
      <c r="R39" s="31">
        <v>20.8</v>
      </c>
      <c r="S39" s="31">
        <v>30.399999999999995</v>
      </c>
      <c r="T39" s="31">
        <v>86.8</v>
      </c>
      <c r="U39" s="31">
        <v>1</v>
      </c>
      <c r="V39" s="31">
        <v>0.6</v>
      </c>
      <c r="W39" s="151">
        <v>-4.0000000000000002E-4</v>
      </c>
      <c r="X39" s="31">
        <v>268.29999999999995</v>
      </c>
      <c r="Y39" s="31">
        <v>0.19</v>
      </c>
      <c r="Z39" s="31">
        <v>0.11000000000000001</v>
      </c>
      <c r="AA39" s="31">
        <v>2.2999999999999998</v>
      </c>
      <c r="AB39" s="31">
        <v>0.11999999999999998</v>
      </c>
      <c r="AC39" s="31">
        <v>39</v>
      </c>
      <c r="AD39" s="151">
        <v>-4.0000000000000002E-4</v>
      </c>
      <c r="AE39" s="31">
        <v>12.9</v>
      </c>
      <c r="AF39" s="151">
        <v>-4.0000000000000002E-4</v>
      </c>
      <c r="AI39" s="1" t="s">
        <v>220</v>
      </c>
      <c r="AJ39" s="1" t="s">
        <v>1747</v>
      </c>
      <c r="AK39" s="27" t="s">
        <v>313</v>
      </c>
      <c r="AL39" s="749" t="s">
        <v>313</v>
      </c>
    </row>
    <row r="40" spans="1:38">
      <c r="A40" s="1" t="s">
        <v>3108</v>
      </c>
      <c r="B40" s="1">
        <v>222</v>
      </c>
      <c r="C40" s="1">
        <v>53</v>
      </c>
      <c r="D40" s="1">
        <v>7</v>
      </c>
      <c r="E40" s="1">
        <v>3</v>
      </c>
      <c r="F40" s="1">
        <v>1</v>
      </c>
      <c r="G40" s="1" t="s">
        <v>220</v>
      </c>
      <c r="H40" s="27" t="s">
        <v>2761</v>
      </c>
      <c r="I40" s="178" t="s">
        <v>2948</v>
      </c>
      <c r="J40" s="28">
        <v>63.3</v>
      </c>
      <c r="K40" s="29">
        <v>12.6</v>
      </c>
      <c r="L40" s="29">
        <v>2.2000000000000002</v>
      </c>
      <c r="M40" s="34">
        <v>2.5</v>
      </c>
      <c r="N40" s="29">
        <v>0.2</v>
      </c>
      <c r="O40" s="34">
        <v>0.12</v>
      </c>
      <c r="P40" s="78">
        <v>37</v>
      </c>
      <c r="Q40" s="37">
        <v>112</v>
      </c>
      <c r="R40" s="31">
        <v>25</v>
      </c>
      <c r="S40" s="31">
        <v>24</v>
      </c>
      <c r="T40" s="31">
        <v>59</v>
      </c>
      <c r="U40" s="31">
        <v>0.95</v>
      </c>
      <c r="V40" s="31">
        <v>0.45</v>
      </c>
      <c r="W40" s="4">
        <v>9.2999999999999999E-2</v>
      </c>
      <c r="X40" s="31">
        <v>254</v>
      </c>
      <c r="Y40" s="31">
        <v>0.122</v>
      </c>
      <c r="Z40" s="31">
        <v>8.5000000000000006E-2</v>
      </c>
      <c r="AA40" s="31">
        <v>1.82</v>
      </c>
      <c r="AB40" s="31">
        <v>9.6000000000000002E-2</v>
      </c>
      <c r="AC40" s="31">
        <v>29</v>
      </c>
      <c r="AD40" s="151">
        <v>-4.0000000000000002E-4</v>
      </c>
      <c r="AE40" s="37">
        <v>6.2</v>
      </c>
      <c r="AF40" s="151">
        <v>-4.0000000000000002E-4</v>
      </c>
      <c r="AI40" s="1" t="s">
        <v>220</v>
      </c>
      <c r="AJ40" s="1" t="s">
        <v>1747</v>
      </c>
      <c r="AK40" s="27" t="s">
        <v>313</v>
      </c>
      <c r="AL40" s="749" t="s">
        <v>313</v>
      </c>
    </row>
    <row r="41" spans="1:38">
      <c r="A41" s="1" t="s">
        <v>3437</v>
      </c>
      <c r="B41" s="1">
        <v>112</v>
      </c>
      <c r="C41" s="1">
        <v>27</v>
      </c>
      <c r="D41" s="1">
        <v>5.74</v>
      </c>
      <c r="E41" s="1">
        <v>0.97</v>
      </c>
      <c r="F41" s="1">
        <v>0.47</v>
      </c>
      <c r="G41" s="1" t="s">
        <v>220</v>
      </c>
      <c r="H41" s="1" t="s">
        <v>11</v>
      </c>
      <c r="J41" s="1">
        <v>33</v>
      </c>
      <c r="K41" s="1">
        <v>7.3</v>
      </c>
      <c r="L41" s="1">
        <v>1.8</v>
      </c>
      <c r="M41" s="4">
        <v>2.6</v>
      </c>
      <c r="N41" s="82">
        <v>0.2</v>
      </c>
      <c r="O41" s="4">
        <v>0.03</v>
      </c>
      <c r="P41" s="4">
        <v>16</v>
      </c>
      <c r="Q41" s="4">
        <v>276</v>
      </c>
      <c r="R41" s="4">
        <v>72</v>
      </c>
      <c r="S41" s="4">
        <v>20</v>
      </c>
      <c r="T41" s="4">
        <v>37</v>
      </c>
      <c r="U41" s="4">
        <v>1.48</v>
      </c>
      <c r="V41" s="4">
        <v>0.39</v>
      </c>
      <c r="W41" s="151">
        <v>-4.0000000000000002E-4</v>
      </c>
      <c r="X41" s="4">
        <v>250</v>
      </c>
      <c r="Y41" s="4">
        <v>0.05</v>
      </c>
      <c r="Z41" s="4">
        <v>0.08</v>
      </c>
      <c r="AA41" s="4">
        <v>0.86</v>
      </c>
      <c r="AB41" s="4">
        <v>0.06</v>
      </c>
      <c r="AC41" s="151">
        <v>-4.0000000000000001E-3</v>
      </c>
      <c r="AD41" s="151">
        <v>-4.0000000000000002E-4</v>
      </c>
      <c r="AE41" s="4">
        <v>22.1</v>
      </c>
      <c r="AF41" s="151">
        <v>-4.0000000000000002E-4</v>
      </c>
      <c r="AI41" s="1" t="s">
        <v>220</v>
      </c>
      <c r="AJ41" s="1" t="s">
        <v>1747</v>
      </c>
      <c r="AK41" s="1" t="s">
        <v>11</v>
      </c>
      <c r="AL41" s="749" t="s">
        <v>417</v>
      </c>
    </row>
    <row r="42" spans="1:38">
      <c r="A42" s="325" t="s">
        <v>3131</v>
      </c>
      <c r="B42" s="10">
        <v>133.9</v>
      </c>
      <c r="C42" s="1">
        <v>32</v>
      </c>
      <c r="D42" s="1">
        <v>7</v>
      </c>
      <c r="E42" s="1">
        <v>0.9</v>
      </c>
      <c r="F42" s="1">
        <v>0.2</v>
      </c>
      <c r="G42" s="1" t="s">
        <v>220</v>
      </c>
      <c r="H42" s="38" t="s">
        <v>2762</v>
      </c>
      <c r="I42" s="1">
        <v>22</v>
      </c>
      <c r="J42" s="1">
        <v>32</v>
      </c>
      <c r="K42" s="1">
        <v>7</v>
      </c>
      <c r="L42" s="1">
        <v>0.9</v>
      </c>
      <c r="M42" s="34">
        <v>0.9</v>
      </c>
      <c r="N42" s="1">
        <v>0.2</v>
      </c>
      <c r="O42" s="34">
        <v>0.05</v>
      </c>
      <c r="P42" s="34">
        <v>30</v>
      </c>
      <c r="Q42" s="34">
        <v>117</v>
      </c>
      <c r="R42" s="34">
        <v>17</v>
      </c>
      <c r="S42" s="34">
        <v>12</v>
      </c>
      <c r="T42" s="34">
        <v>28</v>
      </c>
      <c r="U42" s="34">
        <v>0.7</v>
      </c>
      <c r="V42" s="34">
        <v>0.2</v>
      </c>
      <c r="W42" s="34">
        <v>0.11</v>
      </c>
      <c r="X42" s="34">
        <v>22</v>
      </c>
      <c r="Y42" s="34">
        <v>0.05</v>
      </c>
      <c r="Z42" s="34">
        <v>7.0000000000000007E-2</v>
      </c>
      <c r="AA42" s="34">
        <v>0.89</v>
      </c>
      <c r="AB42" s="34">
        <v>0.25</v>
      </c>
      <c r="AC42" s="34">
        <v>26</v>
      </c>
      <c r="AD42" s="1234">
        <v>-4.0000000000000002E-4</v>
      </c>
      <c r="AE42" s="34">
        <v>151</v>
      </c>
      <c r="AF42" s="37">
        <v>0</v>
      </c>
      <c r="AI42" s="1" t="s">
        <v>220</v>
      </c>
      <c r="AJ42" s="1" t="s">
        <v>1747</v>
      </c>
      <c r="AK42" s="38" t="s">
        <v>12</v>
      </c>
      <c r="AL42" s="749" t="s">
        <v>1765</v>
      </c>
    </row>
    <row r="43" spans="1:38">
      <c r="A43" s="1" t="s">
        <v>1766</v>
      </c>
      <c r="B43" s="10">
        <v>100.4</v>
      </c>
      <c r="C43" s="1">
        <v>24</v>
      </c>
      <c r="D43" s="1">
        <v>5.5</v>
      </c>
      <c r="E43" s="1">
        <v>0.9</v>
      </c>
      <c r="F43" s="1">
        <v>0.15</v>
      </c>
      <c r="G43" s="1" t="s">
        <v>220</v>
      </c>
      <c r="H43" s="1" t="s">
        <v>2763</v>
      </c>
      <c r="I43" s="324" t="s">
        <v>2764</v>
      </c>
      <c r="J43" s="1">
        <v>24</v>
      </c>
      <c r="K43" s="1">
        <v>5.5</v>
      </c>
      <c r="L43" s="1">
        <v>0.9</v>
      </c>
      <c r="M43" s="34">
        <v>1.2</v>
      </c>
      <c r="N43" s="1">
        <v>0.15</v>
      </c>
      <c r="O43" s="151">
        <v>-4.0000000000000001E-3</v>
      </c>
      <c r="P43" s="34">
        <v>2</v>
      </c>
      <c r="Q43" s="34">
        <v>166</v>
      </c>
      <c r="R43" s="34">
        <v>9</v>
      </c>
      <c r="S43" s="34">
        <v>10</v>
      </c>
      <c r="T43" s="34">
        <v>18</v>
      </c>
      <c r="U43" s="34">
        <v>46</v>
      </c>
      <c r="V43" s="34">
        <v>0.12</v>
      </c>
      <c r="W43" s="34">
        <v>6.5000000000000002E-2</v>
      </c>
      <c r="X43" s="34">
        <v>147</v>
      </c>
      <c r="Y43" s="34">
        <v>5.8999999999999997E-2</v>
      </c>
      <c r="Z43" s="34">
        <v>0.03</v>
      </c>
      <c r="AA43" s="34">
        <v>0.47699999999999998</v>
      </c>
      <c r="AB43" s="34">
        <v>0.23300000000000001</v>
      </c>
      <c r="AC43" s="34">
        <v>16</v>
      </c>
      <c r="AD43" s="34">
        <v>0</v>
      </c>
      <c r="AE43" s="34">
        <v>171</v>
      </c>
      <c r="AF43" s="37">
        <v>0</v>
      </c>
      <c r="AI43" s="1" t="s">
        <v>220</v>
      </c>
      <c r="AJ43" s="1" t="s">
        <v>1747</v>
      </c>
      <c r="AK43" s="1" t="s">
        <v>13</v>
      </c>
      <c r="AL43" s="749" t="s">
        <v>1766</v>
      </c>
    </row>
    <row r="44" spans="1:38">
      <c r="A44" s="1" t="s">
        <v>3093</v>
      </c>
      <c r="B44" s="1">
        <v>63</v>
      </c>
      <c r="C44" s="1">
        <v>15</v>
      </c>
      <c r="D44" s="1">
        <v>1.7</v>
      </c>
      <c r="E44" s="1">
        <v>0.8</v>
      </c>
      <c r="F44" s="1">
        <v>0.6</v>
      </c>
      <c r="G44" s="1" t="s">
        <v>220</v>
      </c>
      <c r="H44" s="47" t="s">
        <v>307</v>
      </c>
      <c r="I44" s="47">
        <v>4</v>
      </c>
      <c r="J44" s="48">
        <v>15</v>
      </c>
      <c r="K44" s="49">
        <v>1.7</v>
      </c>
      <c r="L44" s="49">
        <v>0.8</v>
      </c>
      <c r="M44" s="49">
        <v>1.9</v>
      </c>
      <c r="N44" s="49">
        <v>0.8</v>
      </c>
      <c r="O44" s="49">
        <v>0.09</v>
      </c>
      <c r="P44" s="48">
        <v>1250</v>
      </c>
      <c r="Q44" s="49">
        <v>131</v>
      </c>
      <c r="R44" s="49">
        <v>36</v>
      </c>
      <c r="S44" s="34">
        <v>10</v>
      </c>
      <c r="T44" s="49">
        <v>20</v>
      </c>
      <c r="U44" s="49">
        <v>2.6</v>
      </c>
      <c r="V44" s="34">
        <v>0.16</v>
      </c>
      <c r="W44" s="34">
        <v>3.6999999999999998E-2</v>
      </c>
      <c r="X44" s="151">
        <v>-4.0000000000000001E-3</v>
      </c>
      <c r="Y44" s="49">
        <v>0.03</v>
      </c>
      <c r="Z44" s="49">
        <v>0.03</v>
      </c>
      <c r="AA44" s="49">
        <v>0.6</v>
      </c>
      <c r="AB44" s="151">
        <v>-4.0000000000000001E-3</v>
      </c>
      <c r="AC44" s="49">
        <v>16</v>
      </c>
      <c r="AD44" s="34">
        <v>0</v>
      </c>
      <c r="AE44" s="49">
        <v>16</v>
      </c>
      <c r="AF44" s="37">
        <v>0</v>
      </c>
      <c r="AI44" s="1" t="s">
        <v>220</v>
      </c>
      <c r="AJ44" s="1" t="s">
        <v>1747</v>
      </c>
      <c r="AK44" s="47" t="s">
        <v>307</v>
      </c>
      <c r="AL44" s="749" t="s">
        <v>307</v>
      </c>
    </row>
    <row r="45" spans="1:38">
      <c r="A45" s="1" t="s">
        <v>3094</v>
      </c>
      <c r="B45" s="1">
        <v>280</v>
      </c>
      <c r="C45" s="1">
        <v>67</v>
      </c>
      <c r="D45" s="1">
        <v>14.8</v>
      </c>
      <c r="E45" s="1">
        <v>2.8</v>
      </c>
      <c r="F45" s="1">
        <v>0</v>
      </c>
      <c r="G45" s="1" t="s">
        <v>220</v>
      </c>
      <c r="H45" s="1" t="s">
        <v>1226</v>
      </c>
      <c r="J45" s="1">
        <v>67</v>
      </c>
      <c r="K45" s="1">
        <v>14.8</v>
      </c>
      <c r="L45" s="1">
        <v>2.8</v>
      </c>
      <c r="M45" s="151">
        <v>-4.0000000000000001E-3</v>
      </c>
      <c r="N45" s="1">
        <v>0</v>
      </c>
      <c r="O45" s="1142">
        <v>0</v>
      </c>
      <c r="P45" s="34">
        <v>2</v>
      </c>
      <c r="Q45" s="34">
        <v>166</v>
      </c>
      <c r="R45" s="34">
        <v>9</v>
      </c>
      <c r="S45" s="34">
        <v>10</v>
      </c>
      <c r="T45" s="34">
        <v>18</v>
      </c>
      <c r="U45" s="34">
        <v>46</v>
      </c>
      <c r="V45" s="34">
        <v>0.12</v>
      </c>
      <c r="W45" s="34">
        <v>6.5000000000000002E-2</v>
      </c>
      <c r="X45" s="34">
        <v>147</v>
      </c>
      <c r="Y45" s="34">
        <v>5.8999999999999997E-2</v>
      </c>
      <c r="Z45" s="34">
        <v>0.03</v>
      </c>
      <c r="AA45" s="34">
        <v>0.47699999999999998</v>
      </c>
      <c r="AB45" s="34">
        <v>0.23300000000000001</v>
      </c>
      <c r="AC45" s="34">
        <v>16</v>
      </c>
      <c r="AD45" s="34">
        <v>0</v>
      </c>
      <c r="AE45" s="34">
        <v>171</v>
      </c>
      <c r="AF45" s="37">
        <v>0</v>
      </c>
      <c r="AI45" s="1" t="s">
        <v>220</v>
      </c>
      <c r="AJ45" s="1" t="s">
        <v>1747</v>
      </c>
      <c r="AK45" s="1" t="s">
        <v>1226</v>
      </c>
      <c r="AL45" s="749" t="s">
        <v>1767</v>
      </c>
    </row>
    <row r="46" spans="1:38">
      <c r="A46" s="325" t="s">
        <v>3132</v>
      </c>
      <c r="B46" s="1">
        <v>112</v>
      </c>
      <c r="C46" s="1">
        <v>27</v>
      </c>
      <c r="D46" s="1">
        <v>6.32</v>
      </c>
      <c r="E46" s="1">
        <v>1</v>
      </c>
      <c r="F46" s="1">
        <v>0.21</v>
      </c>
      <c r="G46" s="1" t="s">
        <v>220</v>
      </c>
      <c r="H46" s="1" t="s">
        <v>2747</v>
      </c>
      <c r="I46" s="1">
        <v>22</v>
      </c>
      <c r="J46" s="1">
        <v>30</v>
      </c>
      <c r="K46" s="1">
        <v>6.2</v>
      </c>
      <c r="L46" s="1">
        <v>1.3</v>
      </c>
      <c r="M46" s="4">
        <v>1.7</v>
      </c>
      <c r="N46" s="82">
        <v>0.4</v>
      </c>
      <c r="O46" s="4">
        <v>0.08</v>
      </c>
      <c r="P46" s="4">
        <v>5</v>
      </c>
      <c r="Q46" s="4">
        <v>247</v>
      </c>
      <c r="R46" s="4">
        <v>5.8</v>
      </c>
      <c r="S46" s="4">
        <v>12.7</v>
      </c>
      <c r="T46" s="4">
        <v>30.5</v>
      </c>
      <c r="U46" s="4">
        <v>0.48</v>
      </c>
      <c r="V46" s="4">
        <v>0.22</v>
      </c>
      <c r="W46" s="4">
        <v>-4.0000000000000002E-4</v>
      </c>
      <c r="X46" s="4">
        <v>106</v>
      </c>
      <c r="Y46" s="4">
        <v>0.05</v>
      </c>
      <c r="Z46" s="4">
        <v>0.09</v>
      </c>
      <c r="AA46" s="4">
        <v>1.72</v>
      </c>
      <c r="AB46" s="4">
        <v>0.31</v>
      </c>
      <c r="AC46" s="4">
        <v>88</v>
      </c>
      <c r="AD46" s="34">
        <v>0</v>
      </c>
      <c r="AE46" s="4">
        <v>191</v>
      </c>
      <c r="AF46" s="37">
        <v>0</v>
      </c>
      <c r="AI46" s="1" t="s">
        <v>220</v>
      </c>
      <c r="AJ46" s="1" t="s">
        <v>1747</v>
      </c>
      <c r="AK46" s="1" t="s">
        <v>1227</v>
      </c>
      <c r="AL46" s="749" t="s">
        <v>1768</v>
      </c>
    </row>
    <row r="47" spans="1:38">
      <c r="A47" s="1" t="s">
        <v>3133</v>
      </c>
      <c r="B47" s="1">
        <v>112</v>
      </c>
      <c r="C47" s="1">
        <v>27</v>
      </c>
      <c r="D47" s="1">
        <v>6.32</v>
      </c>
      <c r="E47" s="1">
        <v>1</v>
      </c>
      <c r="F47" s="1">
        <v>0.21</v>
      </c>
      <c r="G47" s="1" t="s">
        <v>220</v>
      </c>
      <c r="H47" s="1" t="s">
        <v>2748</v>
      </c>
      <c r="J47" s="1">
        <v>25</v>
      </c>
      <c r="K47" s="1">
        <v>5</v>
      </c>
      <c r="L47" s="1">
        <v>0.9</v>
      </c>
      <c r="M47" s="4">
        <v>0.9</v>
      </c>
      <c r="N47" s="82">
        <v>0.3</v>
      </c>
      <c r="O47" s="4">
        <v>0.05</v>
      </c>
      <c r="P47" s="4">
        <v>30</v>
      </c>
      <c r="Q47" s="4">
        <v>117</v>
      </c>
      <c r="R47" s="4">
        <v>17</v>
      </c>
      <c r="S47" s="4">
        <v>12</v>
      </c>
      <c r="T47" s="4">
        <v>28</v>
      </c>
      <c r="U47" s="4">
        <v>0.7</v>
      </c>
      <c r="V47" s="4">
        <v>0.2</v>
      </c>
      <c r="W47" s="4">
        <v>0.11</v>
      </c>
      <c r="X47" s="4">
        <v>22</v>
      </c>
      <c r="Y47" s="4">
        <v>0.05</v>
      </c>
      <c r="Z47" s="4">
        <v>7.0000000000000007E-2</v>
      </c>
      <c r="AA47" s="4">
        <v>0.89</v>
      </c>
      <c r="AB47" s="4">
        <v>0.25</v>
      </c>
      <c r="AC47" s="4">
        <v>26</v>
      </c>
      <c r="AD47" s="34">
        <v>0</v>
      </c>
      <c r="AE47" s="4">
        <v>151</v>
      </c>
      <c r="AF47" s="37">
        <v>0</v>
      </c>
      <c r="AI47" s="1" t="s">
        <v>220</v>
      </c>
      <c r="AJ47" s="1" t="s">
        <v>1747</v>
      </c>
      <c r="AK47" s="1" t="s">
        <v>1227</v>
      </c>
      <c r="AL47" s="749" t="s">
        <v>1768</v>
      </c>
    </row>
    <row r="48" spans="1:38">
      <c r="A48" s="325" t="s">
        <v>3110</v>
      </c>
      <c r="B48" s="1">
        <v>75</v>
      </c>
      <c r="C48" s="1">
        <v>18</v>
      </c>
      <c r="D48" s="1">
        <v>3.92</v>
      </c>
      <c r="E48" s="1">
        <v>0.88</v>
      </c>
      <c r="F48" s="1">
        <v>0.2</v>
      </c>
      <c r="G48" s="1" t="s">
        <v>220</v>
      </c>
      <c r="H48" s="38" t="s">
        <v>3014</v>
      </c>
      <c r="I48" s="38">
        <v>22</v>
      </c>
      <c r="J48" s="39">
        <v>25.573666666666668</v>
      </c>
      <c r="K48" s="40">
        <v>5.7</v>
      </c>
      <c r="L48" s="40">
        <v>0.7</v>
      </c>
      <c r="M48" s="1234">
        <v>1.2</v>
      </c>
      <c r="N48" s="40">
        <v>0.3</v>
      </c>
      <c r="O48" s="40">
        <v>5.1999999999999998E-2</v>
      </c>
      <c r="P48" s="41">
        <v>10.8</v>
      </c>
      <c r="Q48" s="42">
        <v>241.99999999999997</v>
      </c>
      <c r="R48" s="42">
        <v>8.870000000000001</v>
      </c>
      <c r="S48" s="42">
        <v>9</v>
      </c>
      <c r="T48" s="42">
        <v>29.1</v>
      </c>
      <c r="U48" s="42">
        <v>0.23</v>
      </c>
      <c r="V48" s="42">
        <v>8.4000000000000005E-2</v>
      </c>
      <c r="W48" s="44">
        <v>0.04</v>
      </c>
      <c r="X48" s="42">
        <v>82.7</v>
      </c>
      <c r="Y48" s="42">
        <v>0.04</v>
      </c>
      <c r="Z48" s="42">
        <v>0.02</v>
      </c>
      <c r="AA48" s="42">
        <v>0.82000000000000006</v>
      </c>
      <c r="AB48" s="42">
        <v>0.08</v>
      </c>
      <c r="AC48" s="42">
        <v>28.999999999999996</v>
      </c>
      <c r="AD48" s="37">
        <v>0</v>
      </c>
      <c r="AE48" s="42">
        <v>18.7</v>
      </c>
      <c r="AF48" s="37">
        <v>0</v>
      </c>
      <c r="AI48" s="1" t="s">
        <v>220</v>
      </c>
      <c r="AJ48" s="1" t="s">
        <v>1747</v>
      </c>
      <c r="AK48" s="38" t="s">
        <v>312</v>
      </c>
      <c r="AL48" s="749" t="s">
        <v>312</v>
      </c>
    </row>
    <row r="49" spans="1:38">
      <c r="A49" s="1" t="s">
        <v>3111</v>
      </c>
      <c r="B49" s="1">
        <v>88</v>
      </c>
      <c r="C49" s="1">
        <v>21</v>
      </c>
      <c r="D49" s="1">
        <v>4.41</v>
      </c>
      <c r="E49" s="1">
        <v>1.47</v>
      </c>
      <c r="F49" s="1">
        <v>0.3</v>
      </c>
      <c r="G49" s="1" t="s">
        <v>220</v>
      </c>
      <c r="H49" s="38" t="s">
        <v>312</v>
      </c>
      <c r="I49" s="38">
        <v>4</v>
      </c>
      <c r="J49" s="39">
        <v>25.573666666666668</v>
      </c>
      <c r="K49" s="40">
        <v>5.7</v>
      </c>
      <c r="L49" s="40">
        <v>0.7</v>
      </c>
      <c r="M49" s="151">
        <v>-4.0000000000000001E-3</v>
      </c>
      <c r="N49" s="40">
        <v>0.3</v>
      </c>
      <c r="O49" s="40">
        <v>5.1999999999999998E-2</v>
      </c>
      <c r="P49" s="41">
        <v>10.8</v>
      </c>
      <c r="Q49" s="42">
        <v>241.99999999999997</v>
      </c>
      <c r="R49" s="42">
        <v>8.870000000000001</v>
      </c>
      <c r="S49" s="42">
        <v>9</v>
      </c>
      <c r="T49" s="42">
        <v>29.1</v>
      </c>
      <c r="U49" s="42">
        <v>0.23</v>
      </c>
      <c r="V49" s="42">
        <v>8.4000000000000005E-2</v>
      </c>
      <c r="W49" s="44">
        <v>0.04</v>
      </c>
      <c r="X49" s="42">
        <v>82.7</v>
      </c>
      <c r="Y49" s="42">
        <v>0.04</v>
      </c>
      <c r="Z49" s="42">
        <v>0.02</v>
      </c>
      <c r="AA49" s="42">
        <v>0.82000000000000006</v>
      </c>
      <c r="AB49" s="42">
        <v>0.08</v>
      </c>
      <c r="AC49" s="42">
        <v>28.999999999999996</v>
      </c>
      <c r="AD49" s="37">
        <v>0</v>
      </c>
      <c r="AE49" s="42">
        <v>18.7</v>
      </c>
      <c r="AF49" s="37">
        <v>0</v>
      </c>
      <c r="AI49" s="1" t="s">
        <v>220</v>
      </c>
      <c r="AJ49" s="1" t="s">
        <v>1747</v>
      </c>
      <c r="AK49" s="38" t="s">
        <v>312</v>
      </c>
      <c r="AL49" s="749" t="s">
        <v>312</v>
      </c>
    </row>
    <row r="50" spans="1:38" ht="15">
      <c r="A50" s="1" t="s">
        <v>441</v>
      </c>
      <c r="B50" s="11">
        <v>373</v>
      </c>
      <c r="C50" s="11">
        <v>89</v>
      </c>
      <c r="D50" s="1">
        <v>17</v>
      </c>
      <c r="E50" s="12">
        <v>1.5</v>
      </c>
      <c r="F50" s="1">
        <v>0.5</v>
      </c>
      <c r="G50" s="1" t="s">
        <v>220</v>
      </c>
      <c r="H50" s="749" t="s">
        <v>305</v>
      </c>
      <c r="I50" s="47">
        <v>4</v>
      </c>
      <c r="J50" s="33">
        <v>55</v>
      </c>
      <c r="K50" s="4">
        <v>11.799533799533799</v>
      </c>
      <c r="L50" s="4">
        <v>0.50116550116550118</v>
      </c>
      <c r="M50" s="4">
        <v>4.5011655011655005</v>
      </c>
      <c r="N50" s="4">
        <v>0.4009324009324009</v>
      </c>
      <c r="O50" s="4">
        <v>0.10023310023310023</v>
      </c>
      <c r="P50" s="35">
        <v>0.79953379953379944</v>
      </c>
      <c r="Q50" s="3">
        <v>590</v>
      </c>
      <c r="R50" s="3">
        <v>47.000000000000007</v>
      </c>
      <c r="S50" s="3">
        <v>29</v>
      </c>
      <c r="T50" s="3">
        <v>90</v>
      </c>
      <c r="U50" s="3">
        <v>0.69930069930069927</v>
      </c>
      <c r="V50" s="3">
        <v>0.89976689976689983</v>
      </c>
      <c r="W50" s="3">
        <v>0.10023310023310023</v>
      </c>
      <c r="X50" s="3">
        <v>1.2999999999999999E-2</v>
      </c>
      <c r="Y50" s="3">
        <v>0.13053613053613053</v>
      </c>
      <c r="Z50" s="3">
        <v>9.0909090909090898E-2</v>
      </c>
      <c r="AA50" s="3">
        <v>1.3006993006993006</v>
      </c>
      <c r="AB50" s="3">
        <v>0.10489510489510488</v>
      </c>
      <c r="AC50" s="3">
        <v>87</v>
      </c>
      <c r="AD50" s="3">
        <v>0</v>
      </c>
      <c r="AE50" s="3">
        <v>20</v>
      </c>
      <c r="AF50" s="3">
        <v>0</v>
      </c>
      <c r="AI50" s="1" t="s">
        <v>220</v>
      </c>
      <c r="AJ50" s="1" t="s">
        <v>1747</v>
      </c>
      <c r="AK50" s="749" t="s">
        <v>305</v>
      </c>
      <c r="AL50" s="749" t="s">
        <v>305</v>
      </c>
    </row>
    <row r="51" spans="1:38">
      <c r="A51" s="1233" t="s">
        <v>3134</v>
      </c>
      <c r="B51" s="1">
        <v>1393</v>
      </c>
      <c r="C51" s="1">
        <v>333</v>
      </c>
      <c r="D51" s="1">
        <v>60.27</v>
      </c>
      <c r="E51" s="1">
        <v>23.36</v>
      </c>
      <c r="F51" s="1">
        <v>0.85</v>
      </c>
      <c r="G51" s="1" t="s">
        <v>220</v>
      </c>
      <c r="H51" s="749" t="s">
        <v>290</v>
      </c>
      <c r="I51" s="749">
        <v>22</v>
      </c>
      <c r="J51" s="33">
        <v>324.0916938870742</v>
      </c>
      <c r="K51" s="4">
        <v>62.300046663555761</v>
      </c>
      <c r="L51" s="4">
        <v>21.300046663555765</v>
      </c>
      <c r="M51" s="4">
        <v>18.399906672888473</v>
      </c>
      <c r="N51" s="4">
        <v>1.6000933271115259</v>
      </c>
      <c r="O51" s="4">
        <v>0.19295380307979468</v>
      </c>
      <c r="P51" s="35">
        <v>6.0000000000000009</v>
      </c>
      <c r="Q51" s="3">
        <v>1530</v>
      </c>
      <c r="R51" s="3">
        <v>126</v>
      </c>
      <c r="S51" s="3">
        <v>184</v>
      </c>
      <c r="T51" s="3">
        <v>425</v>
      </c>
      <c r="U51" s="3">
        <v>5.5</v>
      </c>
      <c r="V51" s="3">
        <v>2.7799813345776951</v>
      </c>
      <c r="W51" s="36">
        <v>0.46990200653289782</v>
      </c>
      <c r="X51" s="3">
        <v>1.0800279981334577</v>
      </c>
      <c r="Y51" s="3">
        <v>0.43700419972001869</v>
      </c>
      <c r="Z51" s="3">
        <v>0.14605692953803082</v>
      </c>
      <c r="AA51" s="3">
        <v>2.1000933271115261</v>
      </c>
      <c r="AB51" s="3">
        <v>0.50793280447970135</v>
      </c>
      <c r="AC51" s="3">
        <v>226.00000000000003</v>
      </c>
      <c r="AD51" s="37">
        <v>0</v>
      </c>
      <c r="AE51" s="3">
        <v>2.0398973401773213</v>
      </c>
      <c r="AF51" s="34">
        <v>0</v>
      </c>
      <c r="AI51" s="1" t="s">
        <v>220</v>
      </c>
      <c r="AJ51" s="1" t="s">
        <v>1747</v>
      </c>
      <c r="AK51" s="749" t="s">
        <v>290</v>
      </c>
      <c r="AL51" s="749" t="s">
        <v>290</v>
      </c>
    </row>
    <row r="52" spans="1:38">
      <c r="A52" s="1" t="s">
        <v>3135</v>
      </c>
      <c r="B52" s="1">
        <v>1393</v>
      </c>
      <c r="C52" s="1">
        <v>333</v>
      </c>
      <c r="D52" s="1">
        <v>60.27</v>
      </c>
      <c r="E52" s="1">
        <v>23.36</v>
      </c>
      <c r="F52" s="1">
        <v>0.85</v>
      </c>
      <c r="G52" s="1" t="s">
        <v>220</v>
      </c>
      <c r="H52" s="749" t="s">
        <v>290</v>
      </c>
      <c r="I52" s="749">
        <v>4</v>
      </c>
      <c r="J52" s="33">
        <v>324.0916938870742</v>
      </c>
      <c r="K52" s="4">
        <v>62.300046663555761</v>
      </c>
      <c r="L52" s="4">
        <v>21.300046663555765</v>
      </c>
      <c r="M52" s="4">
        <v>18.399906672888473</v>
      </c>
      <c r="N52" s="4">
        <v>1.6000933271115259</v>
      </c>
      <c r="O52" s="4">
        <v>0.19295380307979468</v>
      </c>
      <c r="P52" s="35">
        <v>6.0000000000000009</v>
      </c>
      <c r="Q52" s="3">
        <v>1530</v>
      </c>
      <c r="R52" s="3">
        <v>126</v>
      </c>
      <c r="S52" s="3">
        <v>184</v>
      </c>
      <c r="T52" s="3">
        <v>425</v>
      </c>
      <c r="U52" s="3">
        <v>5.5</v>
      </c>
      <c r="V52" s="3">
        <v>2.7799813345776951</v>
      </c>
      <c r="W52" s="36">
        <v>0.46990200653289782</v>
      </c>
      <c r="X52" s="3">
        <v>1.0800279981334577</v>
      </c>
      <c r="Y52" s="3">
        <v>0.43700419972001869</v>
      </c>
      <c r="Z52" s="3">
        <v>0.14605692953803082</v>
      </c>
      <c r="AA52" s="3">
        <v>2.1000933271115261</v>
      </c>
      <c r="AB52" s="3">
        <v>0.50793280447970135</v>
      </c>
      <c r="AC52" s="3">
        <v>226.00000000000003</v>
      </c>
      <c r="AD52" s="37">
        <v>0</v>
      </c>
      <c r="AE52" s="3">
        <v>2.0398973401773213</v>
      </c>
      <c r="AF52" s="34">
        <v>0</v>
      </c>
      <c r="AI52" s="1" t="s">
        <v>220</v>
      </c>
      <c r="AJ52" s="1" t="s">
        <v>1747</v>
      </c>
      <c r="AK52" s="749" t="s">
        <v>290</v>
      </c>
      <c r="AL52" s="749" t="s">
        <v>290</v>
      </c>
    </row>
    <row r="53" spans="1:38">
      <c r="A53" s="1" t="s">
        <v>3144</v>
      </c>
      <c r="B53" s="1">
        <v>600</v>
      </c>
      <c r="C53" s="1">
        <v>143</v>
      </c>
      <c r="D53" s="1">
        <v>26.22</v>
      </c>
      <c r="E53" s="1">
        <v>9.01</v>
      </c>
      <c r="F53" s="1">
        <v>0.65</v>
      </c>
      <c r="G53" s="1" t="s">
        <v>220</v>
      </c>
      <c r="H53" s="749" t="s">
        <v>290</v>
      </c>
      <c r="I53" s="749">
        <v>4</v>
      </c>
      <c r="J53" s="33">
        <v>324.0916938870742</v>
      </c>
      <c r="K53" s="4">
        <v>62.300046663555761</v>
      </c>
      <c r="L53" s="4">
        <v>21.300046663555765</v>
      </c>
      <c r="M53" s="4">
        <v>18.399906672888473</v>
      </c>
      <c r="N53" s="4">
        <v>1.6000933271115259</v>
      </c>
      <c r="O53" s="4">
        <v>0.19295380307979468</v>
      </c>
      <c r="P53" s="35">
        <v>6.0000000000000009</v>
      </c>
      <c r="Q53" s="3">
        <v>1530</v>
      </c>
      <c r="R53" s="3">
        <v>126</v>
      </c>
      <c r="S53" s="3">
        <v>184</v>
      </c>
      <c r="T53" s="3">
        <v>425</v>
      </c>
      <c r="U53" s="3">
        <v>5.5</v>
      </c>
      <c r="V53" s="3">
        <v>2.7799813345776951</v>
      </c>
      <c r="W53" s="36">
        <v>0.46990200653289782</v>
      </c>
      <c r="X53" s="3">
        <v>1.0800279981334577</v>
      </c>
      <c r="Y53" s="3">
        <v>0.43700419972001869</v>
      </c>
      <c r="Z53" s="3">
        <v>0.14605692953803082</v>
      </c>
      <c r="AA53" s="3">
        <v>2.1000933271115261</v>
      </c>
      <c r="AB53" s="3">
        <v>0.50793280447970135</v>
      </c>
      <c r="AC53" s="3">
        <v>226.00000000000003</v>
      </c>
      <c r="AD53" s="37">
        <v>0</v>
      </c>
      <c r="AE53" s="3">
        <v>2.0398973401773213</v>
      </c>
      <c r="AF53" s="34">
        <v>0</v>
      </c>
      <c r="AI53" s="1" t="s">
        <v>220</v>
      </c>
      <c r="AJ53" s="1" t="s">
        <v>1747</v>
      </c>
      <c r="AK53" s="749" t="s">
        <v>290</v>
      </c>
      <c r="AL53" s="749" t="s">
        <v>290</v>
      </c>
    </row>
    <row r="54" spans="1:38">
      <c r="A54" s="1" t="s">
        <v>3136</v>
      </c>
      <c r="B54" s="1">
        <v>104</v>
      </c>
      <c r="C54" s="1">
        <v>25</v>
      </c>
      <c r="D54" s="1">
        <v>5.88</v>
      </c>
      <c r="E54" s="1">
        <v>0.98</v>
      </c>
      <c r="F54" s="1">
        <v>0.18</v>
      </c>
      <c r="G54" s="1" t="s">
        <v>220</v>
      </c>
      <c r="H54" s="1" t="s">
        <v>14</v>
      </c>
      <c r="J54" s="1">
        <v>19.600000000000001</v>
      </c>
      <c r="K54" s="1">
        <v>5</v>
      </c>
      <c r="L54" s="1">
        <v>0.9</v>
      </c>
      <c r="M54" s="4">
        <v>2.4</v>
      </c>
      <c r="N54" s="1">
        <v>0.1</v>
      </c>
      <c r="O54" s="151">
        <v>-4.0000000000000001E-3</v>
      </c>
      <c r="P54" s="4">
        <v>3</v>
      </c>
      <c r="Q54" s="4">
        <v>240</v>
      </c>
      <c r="R54" s="4">
        <v>8.4</v>
      </c>
      <c r="S54" s="4">
        <v>10</v>
      </c>
      <c r="T54" s="4">
        <v>30.3</v>
      </c>
      <c r="U54" s="4">
        <v>0.4</v>
      </c>
      <c r="V54" s="4">
        <v>0.16</v>
      </c>
      <c r="W54" s="4">
        <v>0.01</v>
      </c>
      <c r="X54" s="151">
        <v>-4.0000000000000001E-3</v>
      </c>
      <c r="Y54" s="4">
        <v>0.05</v>
      </c>
      <c r="Z54" s="4">
        <v>0.03</v>
      </c>
      <c r="AA54" s="4">
        <v>0.93300000000000005</v>
      </c>
      <c r="AB54" s="4">
        <v>0.08</v>
      </c>
      <c r="AC54" s="4">
        <v>27</v>
      </c>
      <c r="AD54" s="151">
        <v>-4.0000000000000002E-4</v>
      </c>
      <c r="AE54" s="4">
        <v>2</v>
      </c>
      <c r="AF54" s="151">
        <v>-4.0000000000000002E-4</v>
      </c>
      <c r="AI54" s="1" t="s">
        <v>220</v>
      </c>
      <c r="AJ54" s="1" t="s">
        <v>1747</v>
      </c>
      <c r="AK54" s="1" t="s">
        <v>14</v>
      </c>
      <c r="AL54" s="749" t="s">
        <v>1769</v>
      </c>
    </row>
    <row r="55" spans="1:38">
      <c r="A55" s="82" t="s">
        <v>20</v>
      </c>
      <c r="B55" s="1">
        <v>93</v>
      </c>
      <c r="C55" s="1">
        <v>22</v>
      </c>
      <c r="D55" s="1">
        <v>3.26</v>
      </c>
      <c r="E55" s="1">
        <v>3.09</v>
      </c>
      <c r="F55" s="1">
        <v>0.34</v>
      </c>
      <c r="G55" s="1" t="s">
        <v>220</v>
      </c>
      <c r="H55" s="749" t="s">
        <v>2768</v>
      </c>
      <c r="I55" s="324" t="s">
        <v>2442</v>
      </c>
      <c r="J55" s="1">
        <v>25</v>
      </c>
      <c r="K55" s="1">
        <v>3.4</v>
      </c>
      <c r="L55" s="1">
        <v>2.9</v>
      </c>
      <c r="M55" s="4">
        <v>1.7</v>
      </c>
      <c r="N55" s="1">
        <v>0.3</v>
      </c>
      <c r="O55" s="4">
        <v>7.4999999999999997E-2</v>
      </c>
      <c r="P55" s="4">
        <v>8</v>
      </c>
      <c r="Q55" s="4">
        <v>363</v>
      </c>
      <c r="R55" s="4">
        <v>9.0500000000000007</v>
      </c>
      <c r="S55" s="4">
        <v>10.5</v>
      </c>
      <c r="T55" s="4">
        <v>85.1</v>
      </c>
      <c r="U55" s="4">
        <v>0.31</v>
      </c>
      <c r="V55" s="4">
        <v>0.47699999999999998</v>
      </c>
      <c r="W55" s="4">
        <v>0.42</v>
      </c>
      <c r="X55" s="4">
        <v>0.8</v>
      </c>
      <c r="Y55" s="4">
        <v>8.5999999999999993E-2</v>
      </c>
      <c r="Z55" s="4">
        <v>0.44</v>
      </c>
      <c r="AA55" s="4">
        <v>6.05</v>
      </c>
      <c r="AB55" s="34">
        <v>0.104</v>
      </c>
      <c r="AC55" s="4">
        <v>41</v>
      </c>
      <c r="AD55" s="34">
        <v>0.04</v>
      </c>
      <c r="AE55" s="4">
        <v>3.09</v>
      </c>
      <c r="AF55" s="34">
        <v>0.2</v>
      </c>
      <c r="AI55" s="1" t="s">
        <v>220</v>
      </c>
      <c r="AJ55" s="1" t="s">
        <v>1747</v>
      </c>
      <c r="AK55" s="1" t="s">
        <v>24</v>
      </c>
      <c r="AL55" s="749" t="s">
        <v>20</v>
      </c>
    </row>
    <row r="56" spans="1:38">
      <c r="A56" s="1" t="s">
        <v>3112</v>
      </c>
      <c r="B56" s="54"/>
      <c r="C56" s="56">
        <v>48.28</v>
      </c>
      <c r="D56" s="55">
        <v>10.299999999999999</v>
      </c>
      <c r="E56" s="55">
        <v>2.6</v>
      </c>
      <c r="F56" s="55">
        <v>0.5</v>
      </c>
      <c r="G56" s="1" t="s">
        <v>220</v>
      </c>
      <c r="H56" s="47" t="s">
        <v>304</v>
      </c>
      <c r="I56" s="47">
        <v>4</v>
      </c>
      <c r="J56" s="48">
        <v>48.28</v>
      </c>
      <c r="K56" s="49">
        <v>10.299999999999999</v>
      </c>
      <c r="L56" s="49">
        <v>2.6</v>
      </c>
      <c r="M56" s="151">
        <v>-4.0000000000000001E-3</v>
      </c>
      <c r="N56" s="49">
        <v>0.5</v>
      </c>
      <c r="O56" s="49">
        <v>9.9999999999999992E-2</v>
      </c>
      <c r="P56" s="151">
        <v>-4.0000000000000001E-3</v>
      </c>
      <c r="Q56" s="49">
        <v>562</v>
      </c>
      <c r="R56" s="49">
        <v>48.5</v>
      </c>
      <c r="S56" s="49">
        <v>36</v>
      </c>
      <c r="T56" s="49">
        <v>71.100000000000009</v>
      </c>
      <c r="U56" s="49">
        <v>1.2</v>
      </c>
      <c r="V56" s="49">
        <v>1.4000000000000001</v>
      </c>
      <c r="W56" s="151">
        <v>-4.0000000000000002E-4</v>
      </c>
      <c r="X56" s="49">
        <v>2.5</v>
      </c>
      <c r="Y56" s="49">
        <v>9.9999999999999992E-2</v>
      </c>
      <c r="Z56" s="49">
        <v>0.08</v>
      </c>
      <c r="AA56" s="49">
        <v>2.3699999999999997</v>
      </c>
      <c r="AB56" s="151">
        <v>-4.0000000000000001E-3</v>
      </c>
      <c r="AC56" s="49">
        <v>180</v>
      </c>
      <c r="AD56" s="151">
        <v>-4.0000000000000002E-4</v>
      </c>
      <c r="AE56" s="49">
        <v>41</v>
      </c>
      <c r="AF56" s="151">
        <v>-4.0000000000000002E-4</v>
      </c>
      <c r="AI56" s="1" t="s">
        <v>220</v>
      </c>
      <c r="AJ56" s="1" t="s">
        <v>1747</v>
      </c>
      <c r="AK56" s="47" t="s">
        <v>304</v>
      </c>
      <c r="AL56" s="749" t="s">
        <v>304</v>
      </c>
    </row>
    <row r="57" spans="1:38">
      <c r="A57" s="1233" t="s">
        <v>3113</v>
      </c>
      <c r="C57" s="57">
        <v>52</v>
      </c>
      <c r="D57" s="5">
        <v>7.3800000000000008</v>
      </c>
      <c r="E57" s="5">
        <v>4.43</v>
      </c>
      <c r="F57" s="5">
        <v>0.36</v>
      </c>
      <c r="G57" s="1" t="s">
        <v>220</v>
      </c>
      <c r="H57" s="749" t="s">
        <v>303</v>
      </c>
      <c r="I57" s="47">
        <v>22</v>
      </c>
      <c r="J57" s="33">
        <v>52</v>
      </c>
      <c r="K57" s="4">
        <v>7.3800000000000008</v>
      </c>
      <c r="L57" s="4">
        <v>4.43</v>
      </c>
      <c r="M57" s="4">
        <v>4.3</v>
      </c>
      <c r="N57" s="4">
        <v>0.36</v>
      </c>
      <c r="O57" s="4">
        <v>0.04</v>
      </c>
      <c r="P57" s="3">
        <v>37</v>
      </c>
      <c r="Q57" s="3">
        <v>811</v>
      </c>
      <c r="R57" s="3">
        <v>179</v>
      </c>
      <c r="S57" s="3">
        <v>44</v>
      </c>
      <c r="T57" s="3">
        <v>87</v>
      </c>
      <c r="U57" s="3">
        <v>3.64</v>
      </c>
      <c r="V57" s="3">
        <v>0.73</v>
      </c>
      <c r="W57" s="3">
        <v>0.13999999999999999</v>
      </c>
      <c r="X57" s="3">
        <v>467</v>
      </c>
      <c r="Y57" s="3">
        <v>0.13999999999999999</v>
      </c>
      <c r="Z57" s="3">
        <v>0.3</v>
      </c>
      <c r="AA57" s="3">
        <v>2.83</v>
      </c>
      <c r="AB57" s="3">
        <v>0.2</v>
      </c>
      <c r="AC57" s="3">
        <v>149</v>
      </c>
      <c r="AD57" s="37">
        <v>0</v>
      </c>
      <c r="AE57" s="3">
        <v>159</v>
      </c>
      <c r="AF57" s="37">
        <v>0</v>
      </c>
      <c r="AI57" s="1" t="s">
        <v>220</v>
      </c>
      <c r="AJ57" s="1" t="s">
        <v>1747</v>
      </c>
      <c r="AK57" s="749" t="s">
        <v>303</v>
      </c>
      <c r="AL57" s="749" t="s">
        <v>303</v>
      </c>
    </row>
    <row r="58" spans="1:38">
      <c r="A58" s="1" t="s">
        <v>3087</v>
      </c>
      <c r="B58" s="1">
        <v>559</v>
      </c>
      <c r="C58" s="1">
        <v>133</v>
      </c>
      <c r="D58" s="1">
        <v>19.5</v>
      </c>
      <c r="E58" s="1">
        <v>2.5</v>
      </c>
      <c r="F58" s="9">
        <v>5</v>
      </c>
      <c r="G58" s="1" t="s">
        <v>220</v>
      </c>
      <c r="H58" s="1" t="s">
        <v>2760</v>
      </c>
      <c r="J58" s="1">
        <v>127</v>
      </c>
      <c r="K58" s="1">
        <v>19.5</v>
      </c>
      <c r="L58" s="1">
        <v>2.2000000000000002</v>
      </c>
      <c r="M58" s="4">
        <v>3</v>
      </c>
      <c r="N58" s="9">
        <v>4.5</v>
      </c>
      <c r="O58" s="4">
        <v>2.2999999999999998</v>
      </c>
      <c r="P58" s="4">
        <v>39</v>
      </c>
      <c r="Q58" s="4">
        <v>683</v>
      </c>
      <c r="R58" s="4">
        <v>14</v>
      </c>
      <c r="S58" s="4">
        <v>43</v>
      </c>
      <c r="T58" s="4">
        <v>72</v>
      </c>
      <c r="U58" s="4">
        <v>0.9</v>
      </c>
      <c r="V58" s="4">
        <v>0.67</v>
      </c>
      <c r="W58" s="4">
        <v>0.2</v>
      </c>
      <c r="X58" s="151">
        <v>-4.0000000000000001E-3</v>
      </c>
      <c r="Y58" s="4">
        <v>0.1</v>
      </c>
      <c r="Z58" s="4">
        <v>0.04</v>
      </c>
      <c r="AA58" s="4">
        <v>2.4300000000000002</v>
      </c>
      <c r="AB58" s="4">
        <v>0.18</v>
      </c>
      <c r="AC58" s="4">
        <v>10</v>
      </c>
      <c r="AD58" s="151">
        <v>-4.0000000000000002E-4</v>
      </c>
      <c r="AE58" s="4">
        <v>23.3</v>
      </c>
      <c r="AF58" s="151">
        <v>-4.0000000000000002E-4</v>
      </c>
      <c r="AI58" s="1" t="s">
        <v>220</v>
      </c>
      <c r="AJ58" s="1" t="s">
        <v>1747</v>
      </c>
      <c r="AK58" s="1" t="s">
        <v>212</v>
      </c>
      <c r="AL58" s="749" t="s">
        <v>1764</v>
      </c>
    </row>
    <row r="59" spans="1:38">
      <c r="A59" s="1" t="s">
        <v>3434</v>
      </c>
      <c r="B59" s="1">
        <v>222</v>
      </c>
      <c r="C59" s="1">
        <v>53</v>
      </c>
      <c r="D59" s="1">
        <v>7</v>
      </c>
      <c r="E59" s="1">
        <v>3</v>
      </c>
      <c r="F59" s="1">
        <v>1</v>
      </c>
      <c r="G59" s="1" t="s">
        <v>220</v>
      </c>
      <c r="H59" s="27" t="s">
        <v>313</v>
      </c>
      <c r="I59" s="27">
        <v>4</v>
      </c>
      <c r="J59" s="28">
        <v>82</v>
      </c>
      <c r="K59" s="29">
        <v>13.5</v>
      </c>
      <c r="L59" s="29">
        <v>2.9</v>
      </c>
      <c r="M59" s="29">
        <v>3.1</v>
      </c>
      <c r="N59" s="29">
        <v>1</v>
      </c>
      <c r="O59" s="29">
        <v>0.1</v>
      </c>
      <c r="P59" s="30">
        <v>7.4000000000000012</v>
      </c>
      <c r="Q59" s="31">
        <v>343.6</v>
      </c>
      <c r="R59" s="31">
        <v>20.8</v>
      </c>
      <c r="S59" s="31">
        <v>30.399999999999995</v>
      </c>
      <c r="T59" s="31">
        <v>86.8</v>
      </c>
      <c r="U59" s="31">
        <v>1</v>
      </c>
      <c r="V59" s="31">
        <v>0.6</v>
      </c>
      <c r="W59" s="151">
        <v>-4.0000000000000002E-4</v>
      </c>
      <c r="X59" s="31">
        <v>268.29999999999995</v>
      </c>
      <c r="Y59" s="31">
        <v>0.19</v>
      </c>
      <c r="Z59" s="31">
        <v>0.11000000000000001</v>
      </c>
      <c r="AA59" s="31">
        <v>2.2999999999999998</v>
      </c>
      <c r="AB59" s="31">
        <v>0.11999999999999998</v>
      </c>
      <c r="AC59" s="31">
        <v>39</v>
      </c>
      <c r="AD59" s="151">
        <v>-4.0000000000000002E-4</v>
      </c>
      <c r="AE59" s="31">
        <v>12.9</v>
      </c>
      <c r="AF59" s="151">
        <v>-4.0000000000000002E-4</v>
      </c>
      <c r="AI59" s="1" t="s">
        <v>220</v>
      </c>
      <c r="AJ59" s="1" t="s">
        <v>1747</v>
      </c>
      <c r="AK59" s="27" t="s">
        <v>313</v>
      </c>
      <c r="AL59" s="749" t="s">
        <v>313</v>
      </c>
    </row>
    <row r="60" spans="1:38">
      <c r="A60" s="1" t="s">
        <v>421</v>
      </c>
      <c r="B60" s="1">
        <v>255</v>
      </c>
      <c r="C60" s="1">
        <v>61</v>
      </c>
      <c r="D60" s="1">
        <v>14.15</v>
      </c>
      <c r="E60" s="1">
        <v>1.5</v>
      </c>
      <c r="F60" s="1">
        <v>0.3</v>
      </c>
      <c r="G60" s="1" t="s">
        <v>220</v>
      </c>
      <c r="H60" s="1" t="s">
        <v>2765</v>
      </c>
      <c r="I60" s="324" t="s">
        <v>2766</v>
      </c>
      <c r="J60" s="1139">
        <v>29</v>
      </c>
      <c r="K60" s="1139">
        <v>3.3</v>
      </c>
      <c r="L60" s="1139">
        <v>2.1</v>
      </c>
      <c r="M60" s="4">
        <v>2.1</v>
      </c>
      <c r="N60" s="1139">
        <v>0.3</v>
      </c>
      <c r="O60" s="4">
        <v>0.06</v>
      </c>
      <c r="P60" s="4">
        <v>11.2</v>
      </c>
      <c r="Q60" s="4">
        <v>288</v>
      </c>
      <c r="R60" s="4">
        <v>-4.0000000000000001E-3</v>
      </c>
      <c r="S60" s="4">
        <v>9.69</v>
      </c>
      <c r="T60" s="4">
        <v>32.9</v>
      </c>
      <c r="U60" s="4">
        <v>0.64</v>
      </c>
      <c r="V60" s="4">
        <v>0.22</v>
      </c>
      <c r="W60" s="34">
        <v>0.1</v>
      </c>
      <c r="X60" s="4">
        <v>14.6</v>
      </c>
      <c r="Y60" s="4">
        <v>0.06</v>
      </c>
      <c r="Z60" s="4">
        <v>0.06</v>
      </c>
      <c r="AA60" s="4">
        <v>0.5</v>
      </c>
      <c r="AB60" s="4">
        <v>0.24</v>
      </c>
      <c r="AC60" s="4">
        <v>127</v>
      </c>
      <c r="AD60" s="151">
        <v>-4.0000000000000002E-4</v>
      </c>
      <c r="AE60" s="4">
        <v>18</v>
      </c>
      <c r="AF60" s="151">
        <v>-4.0000000000000002E-4</v>
      </c>
      <c r="AI60" s="1" t="s">
        <v>220</v>
      </c>
      <c r="AJ60" s="1" t="s">
        <v>1747</v>
      </c>
      <c r="AK60" s="1" t="s">
        <v>23</v>
      </c>
      <c r="AL60" s="749" t="s">
        <v>1799</v>
      </c>
    </row>
    <row r="61" spans="1:38">
      <c r="A61" s="1" t="s">
        <v>422</v>
      </c>
      <c r="B61" s="1">
        <v>66</v>
      </c>
      <c r="C61" s="1">
        <v>16</v>
      </c>
      <c r="D61" s="1">
        <v>3.4</v>
      </c>
      <c r="E61" s="1">
        <v>0.68</v>
      </c>
      <c r="F61" s="1">
        <v>0.1</v>
      </c>
      <c r="G61" s="1" t="s">
        <v>220</v>
      </c>
      <c r="H61" s="1" t="s">
        <v>2767</v>
      </c>
      <c r="J61" s="1">
        <v>15</v>
      </c>
      <c r="K61" s="1">
        <v>3.76</v>
      </c>
      <c r="L61" s="1">
        <v>1.1000000000000001</v>
      </c>
      <c r="M61" s="4">
        <v>1.63</v>
      </c>
      <c r="N61" s="1">
        <v>0.14000000000000001</v>
      </c>
      <c r="O61" s="151">
        <v>-4.0000000000000001E-3</v>
      </c>
      <c r="P61" s="4">
        <v>32</v>
      </c>
      <c r="Q61" s="4">
        <v>266</v>
      </c>
      <c r="R61" s="4">
        <v>40</v>
      </c>
      <c r="S61" s="4">
        <v>12</v>
      </c>
      <c r="T61" s="4">
        <v>29</v>
      </c>
      <c r="U61" s="4">
        <v>1.25</v>
      </c>
      <c r="V61" s="4">
        <v>0.24</v>
      </c>
      <c r="W61" s="4">
        <v>0.13</v>
      </c>
      <c r="X61" s="4">
        <v>3.9</v>
      </c>
      <c r="Y61" s="4">
        <v>0.04</v>
      </c>
      <c r="Z61" s="4">
        <v>0.03</v>
      </c>
      <c r="AA61" s="4">
        <v>0.25</v>
      </c>
      <c r="AB61" s="4">
        <v>0.06</v>
      </c>
      <c r="AC61" s="4">
        <v>38</v>
      </c>
      <c r="AD61" s="151">
        <v>-4.0000000000000002E-4</v>
      </c>
      <c r="AE61" s="4">
        <v>25.8</v>
      </c>
      <c r="AF61" s="151">
        <v>-4.0000000000000002E-4</v>
      </c>
      <c r="AI61" s="1" t="s">
        <v>220</v>
      </c>
      <c r="AJ61" s="1" t="s">
        <v>1747</v>
      </c>
      <c r="AK61" s="1" t="s">
        <v>15</v>
      </c>
      <c r="AL61" s="749" t="s">
        <v>1770</v>
      </c>
    </row>
    <row r="62" spans="1:38">
      <c r="A62" s="1" t="s">
        <v>20</v>
      </c>
      <c r="B62" s="1">
        <v>93</v>
      </c>
      <c r="C62" s="1">
        <v>22</v>
      </c>
      <c r="D62" s="1">
        <v>3.26</v>
      </c>
      <c r="E62" s="1">
        <v>3.09</v>
      </c>
      <c r="F62" s="1">
        <v>0.34</v>
      </c>
      <c r="G62" s="1" t="s">
        <v>220</v>
      </c>
      <c r="H62" s="749" t="s">
        <v>2768</v>
      </c>
      <c r="I62" s="324" t="s">
        <v>2442</v>
      </c>
      <c r="J62" s="1">
        <v>25</v>
      </c>
      <c r="K62" s="1">
        <v>3.4</v>
      </c>
      <c r="L62" s="1">
        <v>2.9</v>
      </c>
      <c r="M62" s="4">
        <v>1.7</v>
      </c>
      <c r="N62" s="1">
        <v>0.3</v>
      </c>
      <c r="O62" s="4">
        <v>7.4999999999999997E-2</v>
      </c>
      <c r="P62" s="4">
        <v>8</v>
      </c>
      <c r="Q62" s="4">
        <v>363</v>
      </c>
      <c r="R62" s="4">
        <v>9.0500000000000007</v>
      </c>
      <c r="S62" s="4">
        <v>10.5</v>
      </c>
      <c r="T62" s="4">
        <v>85.1</v>
      </c>
      <c r="U62" s="4">
        <v>0.31</v>
      </c>
      <c r="V62" s="4">
        <v>0.47699999999999998</v>
      </c>
      <c r="W62" s="4">
        <v>0.42</v>
      </c>
      <c r="X62" s="4">
        <v>0.8</v>
      </c>
      <c r="Y62" s="4">
        <v>8.5999999999999993E-2</v>
      </c>
      <c r="Z62" s="4">
        <v>0.44</v>
      </c>
      <c r="AA62" s="4">
        <v>6.05</v>
      </c>
      <c r="AB62" s="34">
        <v>0.104</v>
      </c>
      <c r="AC62" s="4">
        <v>41</v>
      </c>
      <c r="AD62" s="34">
        <v>0.04</v>
      </c>
      <c r="AE62" s="4">
        <v>3.09</v>
      </c>
      <c r="AF62" s="34">
        <v>0.2</v>
      </c>
      <c r="AI62" s="1" t="s">
        <v>220</v>
      </c>
      <c r="AJ62" s="1" t="s">
        <v>1747</v>
      </c>
      <c r="AK62" s="1" t="s">
        <v>24</v>
      </c>
      <c r="AL62" s="749" t="s">
        <v>20</v>
      </c>
    </row>
    <row r="63" spans="1:38">
      <c r="A63" s="1" t="s">
        <v>3095</v>
      </c>
      <c r="B63" s="1">
        <v>93</v>
      </c>
      <c r="C63" s="1">
        <v>22</v>
      </c>
      <c r="D63" s="1">
        <v>3.26</v>
      </c>
      <c r="E63" s="1">
        <v>3.09</v>
      </c>
      <c r="F63" s="1">
        <v>0.34</v>
      </c>
      <c r="G63" s="1" t="s">
        <v>220</v>
      </c>
      <c r="H63" s="324" t="s">
        <v>2441</v>
      </c>
      <c r="I63" s="178" t="s">
        <v>2769</v>
      </c>
      <c r="J63" s="1139">
        <v>22</v>
      </c>
      <c r="K63" s="1">
        <v>3.6</v>
      </c>
      <c r="L63" s="1">
        <v>3.6</v>
      </c>
      <c r="M63" s="4">
        <v>3.6</v>
      </c>
      <c r="N63" s="1139">
        <v>0.5</v>
      </c>
      <c r="O63" s="34">
        <v>0.01</v>
      </c>
      <c r="P63" s="34">
        <v>5</v>
      </c>
      <c r="Q63" s="34">
        <v>190</v>
      </c>
      <c r="R63" s="4">
        <v>0</v>
      </c>
      <c r="S63" s="34">
        <v>8</v>
      </c>
      <c r="T63" s="34">
        <v>76</v>
      </c>
      <c r="U63" s="4">
        <v>1.3</v>
      </c>
      <c r="V63" s="34">
        <v>0.93</v>
      </c>
      <c r="W63" s="151">
        <v>-4.0000000000000002E-4</v>
      </c>
      <c r="X63" s="4">
        <v>0</v>
      </c>
      <c r="Y63" s="34">
        <v>0.08</v>
      </c>
      <c r="Z63" s="34">
        <v>0.40200000000000002</v>
      </c>
      <c r="AA63" s="34">
        <v>4.07</v>
      </c>
      <c r="AB63" s="34">
        <v>0.06</v>
      </c>
      <c r="AC63" s="151">
        <v>-4.0000000000000001E-3</v>
      </c>
      <c r="AD63" s="151">
        <v>-4.0000000000000002E-4</v>
      </c>
      <c r="AE63" s="4">
        <v>1</v>
      </c>
      <c r="AF63" s="151">
        <v>-4.0000000000000002E-4</v>
      </c>
      <c r="AI63" s="1" t="s">
        <v>220</v>
      </c>
      <c r="AJ63" s="1" t="s">
        <v>1747</v>
      </c>
      <c r="AK63" s="1" t="s">
        <v>24</v>
      </c>
      <c r="AL63" s="749" t="s">
        <v>20</v>
      </c>
    </row>
    <row r="64" spans="1:38">
      <c r="A64" s="1231" t="s">
        <v>3096</v>
      </c>
      <c r="B64" s="1"/>
      <c r="C64" s="1"/>
      <c r="D64" s="1"/>
      <c r="E64" s="1"/>
      <c r="F64" s="1"/>
      <c r="G64" s="1" t="s">
        <v>220</v>
      </c>
      <c r="H64" s="1140" t="s">
        <v>2757</v>
      </c>
      <c r="I64" s="47"/>
      <c r="J64" s="1141">
        <v>79</v>
      </c>
      <c r="K64" s="34">
        <v>4.5</v>
      </c>
      <c r="L64" s="34">
        <v>0.9</v>
      </c>
      <c r="M64" s="4">
        <v>1.3</v>
      </c>
      <c r="N64" s="34">
        <v>0.03</v>
      </c>
      <c r="O64" s="34">
        <v>0.01</v>
      </c>
      <c r="P64" s="1141">
        <v>393</v>
      </c>
      <c r="Q64" s="4">
        <v>167</v>
      </c>
      <c r="R64" s="4">
        <v>21</v>
      </c>
      <c r="S64" s="4">
        <v>14</v>
      </c>
      <c r="T64" s="4">
        <v>38</v>
      </c>
      <c r="U64" s="4">
        <v>0.46400000000000002</v>
      </c>
      <c r="V64" s="4">
        <v>0.35</v>
      </c>
      <c r="W64" s="4">
        <v>4.2000000000000003E-2</v>
      </c>
      <c r="X64" s="4">
        <v>32</v>
      </c>
      <c r="Y64" s="4">
        <v>3.7999999999999999E-2</v>
      </c>
      <c r="Z64" s="4">
        <v>2.7E-2</v>
      </c>
      <c r="AA64" s="4">
        <v>0.51900000000000002</v>
      </c>
      <c r="AB64" s="4">
        <v>6.3E-2</v>
      </c>
      <c r="AC64" s="4">
        <v>10</v>
      </c>
      <c r="AD64" s="151">
        <v>-4.0000000000000002E-4</v>
      </c>
      <c r="AE64" s="4">
        <v>9.4</v>
      </c>
      <c r="AF64" s="151">
        <v>-4.0000000000000002E-4</v>
      </c>
      <c r="AI64" s="1" t="s">
        <v>220</v>
      </c>
      <c r="AJ64" s="1" t="s">
        <v>1747</v>
      </c>
      <c r="AK64" s="324" t="s">
        <v>1635</v>
      </c>
      <c r="AL64" s="749" t="s">
        <v>1635</v>
      </c>
    </row>
    <row r="65" spans="1:38">
      <c r="A65" s="1233" t="s">
        <v>3115</v>
      </c>
      <c r="B65" s="1">
        <v>173</v>
      </c>
      <c r="C65" s="1">
        <v>41</v>
      </c>
      <c r="D65" s="1">
        <v>9.58</v>
      </c>
      <c r="E65" s="1">
        <v>0.93</v>
      </c>
      <c r="F65" s="1">
        <v>0.24</v>
      </c>
      <c r="G65" s="1" t="s">
        <v>220</v>
      </c>
      <c r="H65" s="749" t="s">
        <v>293</v>
      </c>
      <c r="I65" s="27">
        <v>22</v>
      </c>
      <c r="J65" s="33">
        <v>31.8</v>
      </c>
      <c r="K65" s="4">
        <v>6.6</v>
      </c>
      <c r="L65" s="4">
        <v>0.84000000000000008</v>
      </c>
      <c r="M65" s="4">
        <v>2.17</v>
      </c>
      <c r="N65" s="4">
        <v>0.27</v>
      </c>
      <c r="O65" s="4">
        <v>0.04</v>
      </c>
      <c r="P65" s="35">
        <v>37.6</v>
      </c>
      <c r="Q65" s="3">
        <v>315</v>
      </c>
      <c r="R65" s="3">
        <v>31.9</v>
      </c>
      <c r="S65" s="3">
        <v>11.8</v>
      </c>
      <c r="T65" s="3">
        <v>16.399999999999999</v>
      </c>
      <c r="U65" s="3">
        <v>0.21000000000000002</v>
      </c>
      <c r="V65" s="3">
        <v>0.21999999999999997</v>
      </c>
      <c r="W65" s="36">
        <v>4.4999999999999997E-3</v>
      </c>
      <c r="X65" s="37">
        <v>852</v>
      </c>
      <c r="Y65" s="3">
        <v>0.05</v>
      </c>
      <c r="Z65" s="3">
        <v>0.04</v>
      </c>
      <c r="AA65" s="3">
        <v>0.98000000000000009</v>
      </c>
      <c r="AB65" s="3">
        <v>0.12</v>
      </c>
      <c r="AC65" s="3">
        <v>46.399999999999991</v>
      </c>
      <c r="AD65" s="3">
        <v>0</v>
      </c>
      <c r="AE65" s="3">
        <v>5.44</v>
      </c>
      <c r="AF65" s="3">
        <v>0</v>
      </c>
      <c r="AI65" s="1" t="s">
        <v>220</v>
      </c>
      <c r="AJ65" s="1" t="s">
        <v>1747</v>
      </c>
      <c r="AK65" s="749" t="s">
        <v>293</v>
      </c>
      <c r="AL65" s="749" t="s">
        <v>293</v>
      </c>
    </row>
    <row r="66" spans="1:38">
      <c r="A66" s="1" t="s">
        <v>3114</v>
      </c>
      <c r="B66" s="1">
        <v>173</v>
      </c>
      <c r="C66" s="1">
        <v>41</v>
      </c>
      <c r="D66" s="1">
        <v>9.58</v>
      </c>
      <c r="E66" s="1">
        <v>0.93</v>
      </c>
      <c r="F66" s="1">
        <v>0.24</v>
      </c>
      <c r="G66" s="1" t="s">
        <v>220</v>
      </c>
      <c r="H66" s="749" t="s">
        <v>293</v>
      </c>
      <c r="I66" s="27">
        <v>4</v>
      </c>
      <c r="J66" s="33">
        <v>31.8</v>
      </c>
      <c r="K66" s="4">
        <v>6.6</v>
      </c>
      <c r="L66" s="4">
        <v>0.84000000000000008</v>
      </c>
      <c r="M66" s="4">
        <v>2.17</v>
      </c>
      <c r="N66" s="4">
        <v>0.27</v>
      </c>
      <c r="O66" s="4">
        <v>0.04</v>
      </c>
      <c r="P66" s="35">
        <v>37.6</v>
      </c>
      <c r="Q66" s="3">
        <v>315</v>
      </c>
      <c r="R66" s="3">
        <v>31.9</v>
      </c>
      <c r="S66" s="3">
        <v>11.8</v>
      </c>
      <c r="T66" s="3">
        <v>16.399999999999999</v>
      </c>
      <c r="U66" s="3">
        <v>0.21000000000000002</v>
      </c>
      <c r="V66" s="3">
        <v>0.21999999999999997</v>
      </c>
      <c r="W66" s="36">
        <v>4.4999999999999997E-3</v>
      </c>
      <c r="X66" s="37">
        <v>852</v>
      </c>
      <c r="Y66" s="3">
        <v>0.05</v>
      </c>
      <c r="Z66" s="3">
        <v>0.04</v>
      </c>
      <c r="AA66" s="3">
        <v>0.98000000000000009</v>
      </c>
      <c r="AB66" s="3">
        <v>0.12</v>
      </c>
      <c r="AC66" s="3">
        <v>46.399999999999991</v>
      </c>
      <c r="AD66" s="3">
        <v>0</v>
      </c>
      <c r="AE66" s="3">
        <v>5.44</v>
      </c>
      <c r="AF66" s="3">
        <v>0</v>
      </c>
      <c r="AI66" s="1" t="s">
        <v>220</v>
      </c>
      <c r="AJ66" s="1" t="s">
        <v>1747</v>
      </c>
      <c r="AK66" s="749" t="s">
        <v>293</v>
      </c>
      <c r="AL66" s="749" t="s">
        <v>293</v>
      </c>
    </row>
    <row r="67" spans="1:38">
      <c r="A67" s="1232" t="s">
        <v>518</v>
      </c>
      <c r="B67" s="1">
        <v>1473</v>
      </c>
      <c r="C67" s="1">
        <v>352</v>
      </c>
      <c r="D67" s="1">
        <v>63.35</v>
      </c>
      <c r="E67" s="1">
        <v>24.63</v>
      </c>
      <c r="F67" s="1">
        <v>1.06</v>
      </c>
      <c r="G67" s="1" t="s">
        <v>220</v>
      </c>
      <c r="H67" s="47" t="s">
        <v>3015</v>
      </c>
      <c r="I67" s="47">
        <v>22</v>
      </c>
      <c r="J67" s="49">
        <v>339.99999999999994</v>
      </c>
      <c r="K67" s="49">
        <v>60.1</v>
      </c>
      <c r="L67" s="49">
        <v>24.400000000000002</v>
      </c>
      <c r="M67" s="49">
        <v>18</v>
      </c>
      <c r="N67" s="49">
        <v>1.4999999999999998</v>
      </c>
      <c r="O67" s="49">
        <v>0.3</v>
      </c>
      <c r="P67" s="49">
        <v>101.00000000000001</v>
      </c>
      <c r="Q67" s="49">
        <v>940</v>
      </c>
      <c r="R67" s="49">
        <v>70.100000000000009</v>
      </c>
      <c r="S67" s="49">
        <v>110</v>
      </c>
      <c r="T67" s="49">
        <v>350</v>
      </c>
      <c r="U67" s="49">
        <v>11.1</v>
      </c>
      <c r="V67" s="49">
        <v>3.9</v>
      </c>
      <c r="W67" s="49">
        <v>1.02</v>
      </c>
      <c r="X67" s="49">
        <v>30</v>
      </c>
      <c r="Y67" s="49">
        <v>0.41</v>
      </c>
      <c r="Z67" s="49">
        <v>0.27</v>
      </c>
      <c r="AA67" s="49">
        <v>5.5</v>
      </c>
      <c r="AB67" s="49">
        <v>0.35000000000000003</v>
      </c>
      <c r="AC67" s="49">
        <v>110</v>
      </c>
      <c r="AD67" s="34">
        <v>0</v>
      </c>
      <c r="AE67" s="1234">
        <v>4.5</v>
      </c>
      <c r="AF67" s="34">
        <v>0</v>
      </c>
      <c r="AI67" s="1" t="s">
        <v>220</v>
      </c>
      <c r="AJ67" s="1" t="s">
        <v>1747</v>
      </c>
      <c r="AK67" s="47" t="s">
        <v>368</v>
      </c>
      <c r="AL67" s="749" t="s">
        <v>368</v>
      </c>
    </row>
    <row r="68" spans="1:38">
      <c r="A68" s="1" t="s">
        <v>3116</v>
      </c>
      <c r="B68" s="1">
        <v>97</v>
      </c>
      <c r="C68" s="1">
        <v>23</v>
      </c>
      <c r="D68" s="1">
        <v>3.63</v>
      </c>
      <c r="E68" s="1">
        <v>2.86</v>
      </c>
      <c r="F68" s="1">
        <v>0.39</v>
      </c>
      <c r="G68" s="1" t="s">
        <v>220</v>
      </c>
      <c r="H68" s="47" t="s">
        <v>2770</v>
      </c>
      <c r="I68" s="47">
        <v>4</v>
      </c>
      <c r="J68" s="48">
        <v>13</v>
      </c>
      <c r="K68" s="49">
        <v>0.4</v>
      </c>
      <c r="L68" s="49">
        <v>1.6</v>
      </c>
      <c r="M68" s="49">
        <v>1.3</v>
      </c>
      <c r="N68" s="49">
        <v>0.3</v>
      </c>
      <c r="O68" s="49">
        <v>0.1</v>
      </c>
      <c r="P68" s="48">
        <v>320</v>
      </c>
      <c r="Q68" s="49">
        <v>470</v>
      </c>
      <c r="R68" s="49">
        <v>88</v>
      </c>
      <c r="S68" s="49">
        <v>59</v>
      </c>
      <c r="T68" s="49">
        <v>30</v>
      </c>
      <c r="U68" s="49">
        <v>1.3</v>
      </c>
      <c r="V68" s="49">
        <v>0.9</v>
      </c>
      <c r="W68" s="34">
        <v>0.1</v>
      </c>
      <c r="X68" s="49">
        <v>280</v>
      </c>
      <c r="Y68" s="49">
        <v>0.11000000000000001</v>
      </c>
      <c r="Z68" s="49">
        <v>0.23999999999999996</v>
      </c>
      <c r="AA68" s="49">
        <v>1.8</v>
      </c>
      <c r="AB68" s="34">
        <v>0.19</v>
      </c>
      <c r="AC68" s="49">
        <v>220</v>
      </c>
      <c r="AD68" s="151">
        <v>-4.0000000000000002E-4</v>
      </c>
      <c r="AE68" s="49">
        <v>60</v>
      </c>
      <c r="AF68" s="151">
        <v>-4.0000000000000002E-4</v>
      </c>
      <c r="AI68" s="1" t="s">
        <v>220</v>
      </c>
      <c r="AJ68" s="1" t="s">
        <v>1747</v>
      </c>
      <c r="AK68" s="47" t="s">
        <v>310</v>
      </c>
      <c r="AL68" s="749" t="s">
        <v>310</v>
      </c>
    </row>
    <row r="69" spans="1:38">
      <c r="A69" s="1232" t="s">
        <v>3137</v>
      </c>
      <c r="B69" s="1">
        <v>64</v>
      </c>
      <c r="C69" s="1">
        <v>15</v>
      </c>
      <c r="D69" s="1">
        <v>0.7</v>
      </c>
      <c r="E69" s="1">
        <v>1.9</v>
      </c>
      <c r="F69" s="9">
        <v>0.4</v>
      </c>
      <c r="G69" s="1" t="s">
        <v>220</v>
      </c>
      <c r="H69" s="47" t="s">
        <v>3016</v>
      </c>
      <c r="I69" s="47">
        <v>22</v>
      </c>
      <c r="J69" s="48">
        <v>20.6</v>
      </c>
      <c r="K69" s="49">
        <v>2.9</v>
      </c>
      <c r="L69" s="49">
        <v>2.1</v>
      </c>
      <c r="M69" s="49">
        <v>2</v>
      </c>
      <c r="N69" s="49">
        <v>0.5</v>
      </c>
      <c r="O69" s="4">
        <v>5.7000000000000002E-2</v>
      </c>
      <c r="P69" s="48">
        <v>41</v>
      </c>
      <c r="Q69" s="49">
        <v>449</v>
      </c>
      <c r="R69" s="49">
        <v>219</v>
      </c>
      <c r="S69" s="49">
        <v>26</v>
      </c>
      <c r="T69" s="49">
        <v>46.4</v>
      </c>
      <c r="U69" s="49">
        <v>2</v>
      </c>
      <c r="V69" s="49">
        <v>0.41</v>
      </c>
      <c r="W69" s="4">
        <v>0.1</v>
      </c>
      <c r="X69" s="49">
        <v>608</v>
      </c>
      <c r="Y69" s="49">
        <v>9.4E-2</v>
      </c>
      <c r="Z69" s="49">
        <v>0.224</v>
      </c>
      <c r="AA69" s="49">
        <v>1.07</v>
      </c>
      <c r="AB69" s="4">
        <v>0.19</v>
      </c>
      <c r="AC69" s="49">
        <v>220</v>
      </c>
      <c r="AD69" s="34">
        <v>0</v>
      </c>
      <c r="AE69" s="49">
        <v>19</v>
      </c>
      <c r="AF69" s="34">
        <v>0</v>
      </c>
      <c r="AI69" s="1" t="s">
        <v>220</v>
      </c>
      <c r="AJ69" s="1" t="s">
        <v>1747</v>
      </c>
      <c r="AK69" s="47" t="s">
        <v>310</v>
      </c>
      <c r="AL69" s="749" t="s">
        <v>310</v>
      </c>
    </row>
    <row r="70" spans="1:38">
      <c r="A70" s="1" t="s">
        <v>3117</v>
      </c>
      <c r="B70" s="1">
        <v>70</v>
      </c>
      <c r="C70" s="1">
        <v>17</v>
      </c>
      <c r="D70" s="1">
        <v>3.11</v>
      </c>
      <c r="E70" s="1">
        <v>1.21</v>
      </c>
      <c r="F70" s="1">
        <v>0.32</v>
      </c>
      <c r="G70" s="1" t="s">
        <v>220</v>
      </c>
      <c r="H70" s="1" t="s">
        <v>2771</v>
      </c>
      <c r="J70" s="1">
        <v>20</v>
      </c>
      <c r="K70" s="1">
        <v>3</v>
      </c>
      <c r="L70" s="1">
        <v>2.1</v>
      </c>
      <c r="M70" s="4">
        <v>0.6</v>
      </c>
      <c r="N70" s="1">
        <v>0.2</v>
      </c>
      <c r="O70" s="4">
        <v>0.04</v>
      </c>
      <c r="P70" s="4">
        <v>21</v>
      </c>
      <c r="Q70" s="4">
        <v>210</v>
      </c>
      <c r="R70" s="4">
        <v>23</v>
      </c>
      <c r="S70" s="4">
        <v>13</v>
      </c>
      <c r="T70" s="4">
        <v>31</v>
      </c>
      <c r="U70" s="4">
        <v>1.41</v>
      </c>
      <c r="V70" s="4">
        <v>0.4</v>
      </c>
      <c r="W70" s="4">
        <v>0.18</v>
      </c>
      <c r="X70" s="4">
        <v>14.5</v>
      </c>
      <c r="Y70" s="4">
        <v>0.05</v>
      </c>
      <c r="Z70" s="4">
        <v>0.04</v>
      </c>
      <c r="AA70" s="4">
        <v>0.6</v>
      </c>
      <c r="AB70" s="151">
        <v>-4.0000000000000001E-3</v>
      </c>
      <c r="AC70" s="151">
        <v>-4.0000000000000001E-3</v>
      </c>
      <c r="AD70" s="151">
        <v>-4.0000000000000002E-4</v>
      </c>
      <c r="AE70" s="4">
        <v>20</v>
      </c>
      <c r="AF70" s="151">
        <v>-4.0000000000000002E-4</v>
      </c>
      <c r="AI70" s="1" t="s">
        <v>220</v>
      </c>
      <c r="AJ70" s="1" t="s">
        <v>1747</v>
      </c>
      <c r="AK70" s="1" t="s">
        <v>17</v>
      </c>
      <c r="AL70" s="749" t="s">
        <v>1771</v>
      </c>
    </row>
    <row r="71" spans="1:38">
      <c r="A71" s="1264" t="s">
        <v>3097</v>
      </c>
      <c r="B71" s="1"/>
      <c r="C71" s="1"/>
      <c r="D71" s="1"/>
      <c r="E71" s="1"/>
      <c r="F71" s="1"/>
      <c r="G71" s="1" t="s">
        <v>220</v>
      </c>
      <c r="H71" s="1140" t="s">
        <v>2757</v>
      </c>
      <c r="I71" s="47"/>
      <c r="J71" s="1141">
        <v>79</v>
      </c>
      <c r="K71" s="34">
        <v>4.5</v>
      </c>
      <c r="L71" s="34">
        <v>0.9</v>
      </c>
      <c r="M71" s="4">
        <v>1.3</v>
      </c>
      <c r="N71" s="34">
        <v>0.03</v>
      </c>
      <c r="O71" s="34">
        <v>0.01</v>
      </c>
      <c r="P71" s="1141">
        <v>393</v>
      </c>
      <c r="Q71" s="4">
        <v>167</v>
      </c>
      <c r="R71" s="4">
        <v>21</v>
      </c>
      <c r="S71" s="4">
        <v>14</v>
      </c>
      <c r="T71" s="4">
        <v>38</v>
      </c>
      <c r="U71" s="4">
        <v>0.46400000000000002</v>
      </c>
      <c r="V71" s="4">
        <v>0.35</v>
      </c>
      <c r="W71" s="4">
        <v>4.2000000000000003E-2</v>
      </c>
      <c r="X71" s="4">
        <v>32</v>
      </c>
      <c r="Y71" s="4">
        <v>3.7999999999999999E-2</v>
      </c>
      <c r="Z71" s="4">
        <v>2.7E-2</v>
      </c>
      <c r="AA71" s="4">
        <v>0.51900000000000002</v>
      </c>
      <c r="AB71" s="4">
        <v>6.3E-2</v>
      </c>
      <c r="AC71" s="4">
        <v>10</v>
      </c>
      <c r="AD71" s="151">
        <v>-4.0000000000000002E-4</v>
      </c>
      <c r="AE71" s="4">
        <v>9.4</v>
      </c>
      <c r="AF71" s="151">
        <v>-4.0000000000000002E-4</v>
      </c>
      <c r="AI71" s="1" t="s">
        <v>220</v>
      </c>
      <c r="AJ71" s="1" t="s">
        <v>1747</v>
      </c>
      <c r="AK71" s="324" t="s">
        <v>1635</v>
      </c>
      <c r="AL71" s="749" t="s">
        <v>1635</v>
      </c>
    </row>
    <row r="72" spans="1:38">
      <c r="A72" s="1232" t="s">
        <v>3138</v>
      </c>
      <c r="B72" s="54">
        <f>(B50+B66)/2.2</f>
        <v>248.18181818181816</v>
      </c>
      <c r="C72" s="54">
        <f>(C50+C66)/2.2</f>
        <v>59.090909090909086</v>
      </c>
      <c r="D72" s="54">
        <f>(D50+D66)/2.2</f>
        <v>12.08181818181818</v>
      </c>
      <c r="E72" s="54">
        <f>(E50+E66)/2.2</f>
        <v>1.1045454545454545</v>
      </c>
      <c r="F72" s="54">
        <f>(F50+F66)/2.2</f>
        <v>0.33636363636363631</v>
      </c>
      <c r="G72" s="1" t="s">
        <v>220</v>
      </c>
      <c r="H72" s="1"/>
      <c r="I72" s="47">
        <v>22</v>
      </c>
      <c r="J72" s="54">
        <v>39.454545454545453</v>
      </c>
      <c r="K72" s="54">
        <v>8.3634244543335452</v>
      </c>
      <c r="L72" s="54">
        <v>0.60962068234795508</v>
      </c>
      <c r="M72" s="54">
        <v>3.032347955075227</v>
      </c>
      <c r="N72" s="54">
        <v>0.30496927315109129</v>
      </c>
      <c r="O72" s="54">
        <v>6.3742318287772826E-2</v>
      </c>
      <c r="P72" s="54">
        <v>17.454333545242633</v>
      </c>
      <c r="Q72" s="54">
        <v>411.36363636363632</v>
      </c>
      <c r="R72" s="54">
        <v>35.863636363636367</v>
      </c>
      <c r="S72" s="54">
        <v>18.545454545454543</v>
      </c>
      <c r="T72" s="54">
        <v>48.36363636363636</v>
      </c>
      <c r="U72" s="54">
        <v>0.41331849968213602</v>
      </c>
      <c r="V72" s="54">
        <v>0.50898495443949987</v>
      </c>
      <c r="W72" s="54">
        <v>4.7605954651409189E-2</v>
      </c>
      <c r="X72" s="54">
        <v>387.27863636363634</v>
      </c>
      <c r="Y72" s="54">
        <v>8.2061877516422965E-2</v>
      </c>
      <c r="Z72" s="54">
        <v>5.9504132231404945E-2</v>
      </c>
      <c r="AA72" s="54">
        <v>1.036681500317864</v>
      </c>
      <c r="AB72" s="54">
        <v>0.10222504767959312</v>
      </c>
      <c r="AC72" s="54">
        <v>60.636363636363619</v>
      </c>
      <c r="AD72" s="54">
        <v>0</v>
      </c>
      <c r="AE72" s="54">
        <v>11.563636363636363</v>
      </c>
      <c r="AF72" s="54">
        <v>0</v>
      </c>
      <c r="AI72" s="1"/>
      <c r="AJ72" s="1" t="s">
        <v>1747</v>
      </c>
      <c r="AK72" s="1"/>
    </row>
    <row r="73" spans="1:38">
      <c r="A73" s="1" t="s">
        <v>415</v>
      </c>
      <c r="B73" s="1">
        <v>54</v>
      </c>
      <c r="C73" s="1">
        <v>13</v>
      </c>
      <c r="D73" s="1">
        <v>2.23</v>
      </c>
      <c r="E73" s="1">
        <v>1.35</v>
      </c>
      <c r="F73" s="1">
        <v>0.22</v>
      </c>
      <c r="G73" s="1" t="s">
        <v>220</v>
      </c>
      <c r="H73" s="749" t="s">
        <v>301</v>
      </c>
      <c r="I73" s="47">
        <v>4</v>
      </c>
      <c r="J73" s="33">
        <v>11</v>
      </c>
      <c r="K73" s="4">
        <v>4.5</v>
      </c>
      <c r="L73" s="4">
        <v>1.1000000000000001</v>
      </c>
      <c r="M73" s="34">
        <v>0.65</v>
      </c>
      <c r="N73" s="4">
        <v>0.2</v>
      </c>
      <c r="O73" s="4">
        <v>0.1</v>
      </c>
      <c r="P73" s="35">
        <v>23</v>
      </c>
      <c r="Q73" s="3">
        <v>360</v>
      </c>
      <c r="R73" s="3">
        <v>56</v>
      </c>
      <c r="S73" s="3">
        <v>21</v>
      </c>
      <c r="T73" s="3">
        <v>40</v>
      </c>
      <c r="U73" s="3">
        <v>0.7</v>
      </c>
      <c r="V73" s="3">
        <v>0.5</v>
      </c>
      <c r="W73" s="36">
        <v>2.416666666666667E-2</v>
      </c>
      <c r="X73" s="35">
        <v>6.2</v>
      </c>
      <c r="Y73" s="3">
        <v>0.04</v>
      </c>
      <c r="Z73" s="3">
        <v>0.08</v>
      </c>
      <c r="AA73" s="3">
        <v>0.6</v>
      </c>
      <c r="AB73" s="37">
        <v>4.4999999999999998E-2</v>
      </c>
      <c r="AC73" s="3">
        <v>53</v>
      </c>
      <c r="AD73" s="37">
        <v>0</v>
      </c>
      <c r="AE73" s="3">
        <v>7</v>
      </c>
      <c r="AF73" s="37">
        <v>0</v>
      </c>
      <c r="AI73" s="1" t="s">
        <v>220</v>
      </c>
      <c r="AJ73" s="1" t="s">
        <v>1747</v>
      </c>
      <c r="AK73" s="749" t="s">
        <v>301</v>
      </c>
      <c r="AL73" s="749" t="s">
        <v>301</v>
      </c>
    </row>
    <row r="74" spans="1:38">
      <c r="A74" s="1" t="s">
        <v>3118</v>
      </c>
      <c r="B74" s="1">
        <v>54</v>
      </c>
      <c r="C74" s="1">
        <v>13</v>
      </c>
      <c r="D74" s="1">
        <v>2.23</v>
      </c>
      <c r="E74" s="1">
        <v>1.35</v>
      </c>
      <c r="F74" s="1">
        <v>0.22</v>
      </c>
      <c r="G74" s="1" t="s">
        <v>220</v>
      </c>
      <c r="H74" s="749" t="s">
        <v>301</v>
      </c>
      <c r="I74" s="47">
        <v>4</v>
      </c>
      <c r="J74" s="33">
        <v>11</v>
      </c>
      <c r="K74" s="4">
        <v>4.5</v>
      </c>
      <c r="L74" s="4">
        <v>1.1000000000000001</v>
      </c>
      <c r="M74" s="34">
        <v>0.65</v>
      </c>
      <c r="N74" s="4">
        <v>0.2</v>
      </c>
      <c r="O74" s="4">
        <v>0.1</v>
      </c>
      <c r="P74" s="35">
        <v>23</v>
      </c>
      <c r="Q74" s="3">
        <v>360</v>
      </c>
      <c r="R74" s="3">
        <v>56</v>
      </c>
      <c r="S74" s="3">
        <v>21</v>
      </c>
      <c r="T74" s="3">
        <v>40</v>
      </c>
      <c r="U74" s="3">
        <v>0.7</v>
      </c>
      <c r="V74" s="3">
        <v>0.5</v>
      </c>
      <c r="W74" s="36">
        <v>2.416666666666667E-2</v>
      </c>
      <c r="X74" s="35">
        <v>6.2</v>
      </c>
      <c r="Y74" s="3">
        <v>0.04</v>
      </c>
      <c r="Z74" s="3">
        <v>0.08</v>
      </c>
      <c r="AA74" s="3">
        <v>0.6</v>
      </c>
      <c r="AB74" s="37">
        <v>4.4999999999999998E-2</v>
      </c>
      <c r="AC74" s="3">
        <v>53</v>
      </c>
      <c r="AD74" s="37">
        <v>0</v>
      </c>
      <c r="AE74" s="3">
        <v>7</v>
      </c>
      <c r="AF74" s="37">
        <v>0</v>
      </c>
      <c r="AI74" s="1" t="s">
        <v>220</v>
      </c>
      <c r="AJ74" s="1" t="s">
        <v>1747</v>
      </c>
      <c r="AK74" s="749" t="s">
        <v>301</v>
      </c>
      <c r="AL74" s="749" t="s">
        <v>301</v>
      </c>
    </row>
    <row r="75" spans="1:38">
      <c r="A75" s="24" t="s">
        <v>3139</v>
      </c>
      <c r="B75" s="24">
        <v>97</v>
      </c>
      <c r="C75" s="24">
        <v>23</v>
      </c>
      <c r="D75" s="24">
        <v>3.63</v>
      </c>
      <c r="E75" s="24">
        <v>2.86</v>
      </c>
      <c r="F75" s="24">
        <v>0.39</v>
      </c>
      <c r="G75" s="24" t="s">
        <v>220</v>
      </c>
      <c r="H75" s="24" t="s">
        <v>2772</v>
      </c>
      <c r="J75" s="1">
        <v>22</v>
      </c>
      <c r="K75" s="1">
        <v>3.2</v>
      </c>
      <c r="L75" s="1">
        <v>2</v>
      </c>
      <c r="M75" s="4">
        <v>2.9</v>
      </c>
      <c r="N75" s="1">
        <v>0.7</v>
      </c>
      <c r="O75" s="4">
        <v>0</v>
      </c>
      <c r="P75" s="4">
        <v>4</v>
      </c>
      <c r="Q75" s="4">
        <v>390</v>
      </c>
      <c r="R75" s="4">
        <v>44</v>
      </c>
      <c r="S75" s="4">
        <v>103</v>
      </c>
      <c r="T75" s="4">
        <v>63</v>
      </c>
      <c r="U75" s="4">
        <v>2.4</v>
      </c>
      <c r="V75" s="4">
        <v>0.2</v>
      </c>
      <c r="W75" s="4">
        <v>0.13100000000000001</v>
      </c>
      <c r="X75" s="4">
        <v>200</v>
      </c>
      <c r="Y75" s="4">
        <v>0.04</v>
      </c>
      <c r="Z75" s="4">
        <v>0.1</v>
      </c>
      <c r="AA75" s="4">
        <v>0.5</v>
      </c>
      <c r="AB75" s="4">
        <v>0.122</v>
      </c>
      <c r="AC75" s="4">
        <v>13</v>
      </c>
      <c r="AD75" s="151">
        <v>-4.0000000000000002E-4</v>
      </c>
      <c r="AE75" s="4">
        <v>48</v>
      </c>
      <c r="AF75" s="151">
        <v>-4.0000000000000002E-4</v>
      </c>
      <c r="AI75" s="1" t="s">
        <v>220</v>
      </c>
      <c r="AJ75" s="1" t="s">
        <v>1747</v>
      </c>
      <c r="AK75" s="1" t="s">
        <v>18</v>
      </c>
      <c r="AL75" s="749" t="s">
        <v>1772</v>
      </c>
    </row>
    <row r="76" spans="1:38">
      <c r="A76" s="1" t="s">
        <v>1773</v>
      </c>
      <c r="B76" s="1">
        <v>201</v>
      </c>
      <c r="C76" s="1">
        <v>48</v>
      </c>
      <c r="D76" s="1">
        <v>12.63</v>
      </c>
      <c r="E76" s="1">
        <v>0.54</v>
      </c>
      <c r="F76" s="1">
        <v>0.12</v>
      </c>
      <c r="G76" s="1" t="s">
        <v>221</v>
      </c>
      <c r="H76" s="1" t="s">
        <v>2774</v>
      </c>
      <c r="J76" s="1">
        <v>55</v>
      </c>
      <c r="K76" s="1">
        <v>12.63</v>
      </c>
      <c r="L76" s="1">
        <v>0.54</v>
      </c>
      <c r="M76" s="4">
        <v>1.6</v>
      </c>
      <c r="N76" s="82">
        <v>0.12</v>
      </c>
      <c r="O76" s="4">
        <v>0</v>
      </c>
      <c r="P76" s="4">
        <v>4</v>
      </c>
      <c r="Q76" s="4">
        <v>174</v>
      </c>
      <c r="R76" s="4">
        <v>19</v>
      </c>
      <c r="S76" s="4">
        <v>14</v>
      </c>
      <c r="T76" s="4">
        <v>14</v>
      </c>
      <c r="U76" s="4">
        <v>0.2</v>
      </c>
      <c r="V76" s="4">
        <v>8.2000000000000003E-2</v>
      </c>
      <c r="W76" s="4">
        <v>0.09</v>
      </c>
      <c r="X76" s="4">
        <v>5</v>
      </c>
      <c r="Y76" s="4">
        <v>0.08</v>
      </c>
      <c r="Z76" s="4">
        <v>0.02</v>
      </c>
      <c r="AA76" s="4">
        <v>0.2</v>
      </c>
      <c r="AB76" s="4">
        <v>0.09</v>
      </c>
      <c r="AC76" s="4">
        <v>12.1</v>
      </c>
      <c r="AD76" s="151">
        <v>-4.0000000000000002E-4</v>
      </c>
      <c r="AE76" s="4">
        <v>25</v>
      </c>
      <c r="AF76" s="151">
        <v>-4.0000000000000002E-4</v>
      </c>
      <c r="AI76" s="1" t="s">
        <v>221</v>
      </c>
      <c r="AJ76" s="1" t="s">
        <v>1748</v>
      </c>
      <c r="AK76" s="1" t="s">
        <v>25</v>
      </c>
      <c r="AL76" s="749" t="s">
        <v>1773</v>
      </c>
    </row>
    <row r="77" spans="1:38">
      <c r="A77" s="1" t="s">
        <v>3315</v>
      </c>
      <c r="B77" s="1">
        <v>2497.8000000000002</v>
      </c>
      <c r="C77" s="1">
        <v>597</v>
      </c>
      <c r="D77" s="1">
        <v>19.440000000000001</v>
      </c>
      <c r="E77" s="1">
        <v>22.26</v>
      </c>
      <c r="F77" s="1">
        <v>53</v>
      </c>
      <c r="G77" s="1" t="s">
        <v>221</v>
      </c>
      <c r="H77" s="1" t="s">
        <v>2775</v>
      </c>
      <c r="J77" s="1">
        <v>535</v>
      </c>
      <c r="K77" s="1">
        <v>8.8000000000000007</v>
      </c>
      <c r="L77" s="1">
        <v>19.3</v>
      </c>
      <c r="M77" s="4">
        <v>4.5999999999999996</v>
      </c>
      <c r="N77" s="1">
        <v>46.6</v>
      </c>
      <c r="O77" s="4">
        <v>3.89</v>
      </c>
      <c r="P77" s="4">
        <v>28</v>
      </c>
      <c r="Q77" s="4">
        <v>687</v>
      </c>
      <c r="R77" s="4">
        <v>216</v>
      </c>
      <c r="S77" s="4">
        <v>275</v>
      </c>
      <c r="T77" s="4">
        <v>480</v>
      </c>
      <c r="U77" s="4">
        <v>3.72</v>
      </c>
      <c r="V77" s="4">
        <v>3.12</v>
      </c>
      <c r="W77" s="4">
        <v>1.17</v>
      </c>
      <c r="X77" s="4">
        <v>1</v>
      </c>
      <c r="Y77" s="4">
        <v>0.2</v>
      </c>
      <c r="Z77" s="4">
        <v>0.56000000000000005</v>
      </c>
      <c r="AA77" s="4">
        <v>6.96</v>
      </c>
      <c r="AB77" s="4">
        <v>0.12</v>
      </c>
      <c r="AC77" s="4">
        <v>55</v>
      </c>
      <c r="AD77" s="151">
        <v>-4.0000000000000002E-4</v>
      </c>
      <c r="AE77" s="151">
        <v>-4.0000000000000001E-3</v>
      </c>
      <c r="AF77" s="3">
        <v>0</v>
      </c>
      <c r="AI77" s="1" t="s">
        <v>221</v>
      </c>
      <c r="AJ77" s="1" t="s">
        <v>1748</v>
      </c>
      <c r="AK77" s="1" t="s">
        <v>26</v>
      </c>
      <c r="AL77" s="749" t="s">
        <v>1774</v>
      </c>
    </row>
    <row r="78" spans="1:38">
      <c r="A78" s="1" t="s">
        <v>27</v>
      </c>
      <c r="B78" s="1">
        <v>372</v>
      </c>
      <c r="C78" s="1">
        <v>89</v>
      </c>
      <c r="D78" s="1">
        <v>22.84</v>
      </c>
      <c r="E78" s="1">
        <v>1.0900000000000001</v>
      </c>
      <c r="F78" s="1">
        <v>0.33</v>
      </c>
      <c r="G78" s="1" t="s">
        <v>221</v>
      </c>
      <c r="H78" s="38" t="s">
        <v>286</v>
      </c>
      <c r="I78" s="38">
        <v>3</v>
      </c>
      <c r="J78" s="39">
        <v>88.999999999999986</v>
      </c>
      <c r="K78" s="40">
        <v>22.8</v>
      </c>
      <c r="L78" s="40">
        <v>1.0899999999999999</v>
      </c>
      <c r="M78" s="40">
        <v>1.9</v>
      </c>
      <c r="N78" s="40">
        <v>0.33</v>
      </c>
      <c r="O78" s="40">
        <v>0.11</v>
      </c>
      <c r="P78" s="41">
        <v>1</v>
      </c>
      <c r="Q78" s="42">
        <v>358</v>
      </c>
      <c r="R78" s="42">
        <v>5</v>
      </c>
      <c r="S78" s="42">
        <v>27</v>
      </c>
      <c r="T78" s="42">
        <v>22</v>
      </c>
      <c r="U78" s="42">
        <v>0.26</v>
      </c>
      <c r="V78" s="42">
        <v>0.15</v>
      </c>
      <c r="W78" s="44">
        <v>7.8E-2</v>
      </c>
      <c r="X78" s="42">
        <v>3</v>
      </c>
      <c r="Y78" s="42">
        <v>3.0000000000000002E-2</v>
      </c>
      <c r="Z78" s="42">
        <v>6.9999999999999993E-2</v>
      </c>
      <c r="AA78" s="42">
        <v>0.66</v>
      </c>
      <c r="AB78" s="42">
        <v>0.37000000000000005</v>
      </c>
      <c r="AC78" s="42">
        <v>20</v>
      </c>
      <c r="AD78" s="43">
        <v>0</v>
      </c>
      <c r="AE78" s="42">
        <v>8.6999999999999993</v>
      </c>
      <c r="AF78" s="43">
        <v>0</v>
      </c>
      <c r="AI78" s="1" t="s">
        <v>221</v>
      </c>
      <c r="AJ78" s="1" t="s">
        <v>1748</v>
      </c>
      <c r="AK78" s="38" t="s">
        <v>286</v>
      </c>
      <c r="AL78" s="749" t="s">
        <v>1775</v>
      </c>
    </row>
    <row r="79" spans="1:38">
      <c r="A79" s="1" t="s">
        <v>1776</v>
      </c>
      <c r="B79" s="1">
        <v>164</v>
      </c>
      <c r="C79" s="1">
        <v>39</v>
      </c>
      <c r="D79" s="1">
        <v>9.5399999999999991</v>
      </c>
      <c r="E79" s="1">
        <v>0.91</v>
      </c>
      <c r="F79" s="1">
        <v>0.25</v>
      </c>
      <c r="G79" s="1" t="s">
        <v>221</v>
      </c>
      <c r="H79" s="1" t="s">
        <v>2776</v>
      </c>
      <c r="I79" s="38"/>
      <c r="J79" s="1">
        <v>47.3</v>
      </c>
      <c r="K79" s="1">
        <v>10.9</v>
      </c>
      <c r="L79" s="1">
        <v>0.7</v>
      </c>
      <c r="M79" s="4">
        <v>2.4</v>
      </c>
      <c r="N79" s="1">
        <v>0.1</v>
      </c>
      <c r="O79" s="151">
        <v>-4.0000000000000001E-3</v>
      </c>
      <c r="P79" s="4">
        <v>1.5</v>
      </c>
      <c r="Q79" s="4">
        <v>228.5</v>
      </c>
      <c r="R79" s="4">
        <v>7.7</v>
      </c>
      <c r="S79" s="4">
        <v>9.5</v>
      </c>
      <c r="T79" s="4">
        <v>20</v>
      </c>
      <c r="U79" s="4">
        <v>0.5</v>
      </c>
      <c r="V79" s="4">
        <v>0.1</v>
      </c>
      <c r="W79" s="4">
        <v>0.1</v>
      </c>
      <c r="X79" s="4">
        <v>256.5</v>
      </c>
      <c r="Y79" s="4">
        <v>0.02</v>
      </c>
      <c r="Z79" s="4">
        <v>4.7E-2</v>
      </c>
      <c r="AA79" s="4">
        <v>0.89</v>
      </c>
      <c r="AB79" s="4">
        <v>0.02</v>
      </c>
      <c r="AC79" s="4">
        <v>3</v>
      </c>
      <c r="AD79" s="151">
        <v>-4.0000000000000002E-4</v>
      </c>
      <c r="AE79" s="4">
        <v>8.1</v>
      </c>
      <c r="AF79" s="3">
        <v>0</v>
      </c>
      <c r="AI79" s="1" t="s">
        <v>221</v>
      </c>
      <c r="AJ79" s="1" t="s">
        <v>1748</v>
      </c>
      <c r="AK79" s="1" t="s">
        <v>28</v>
      </c>
      <c r="AL79" s="749" t="s">
        <v>1776</v>
      </c>
    </row>
    <row r="80" spans="1:38">
      <c r="A80" s="1" t="s">
        <v>1777</v>
      </c>
      <c r="B80" s="1">
        <v>142</v>
      </c>
      <c r="C80" s="1">
        <v>34</v>
      </c>
      <c r="D80" s="1">
        <v>8.16</v>
      </c>
      <c r="E80" s="1">
        <v>0.84</v>
      </c>
      <c r="F80" s="1">
        <v>0.19</v>
      </c>
      <c r="G80" s="1" t="s">
        <v>221</v>
      </c>
      <c r="H80" s="1" t="s">
        <v>2777</v>
      </c>
      <c r="J80" s="1">
        <v>34</v>
      </c>
      <c r="K80" s="1">
        <v>7.72</v>
      </c>
      <c r="L80" s="1">
        <v>0.75</v>
      </c>
      <c r="M80" s="4">
        <v>0.7</v>
      </c>
      <c r="N80" s="1">
        <v>0.13</v>
      </c>
      <c r="O80" s="151">
        <v>-4.0000000000000001E-3</v>
      </c>
      <c r="P80" s="4">
        <v>13.3</v>
      </c>
      <c r="Q80" s="4">
        <v>256</v>
      </c>
      <c r="R80" s="4">
        <v>12.3</v>
      </c>
      <c r="S80" s="4">
        <v>12</v>
      </c>
      <c r="T80" s="4">
        <v>15.7</v>
      </c>
      <c r="U80" s="4">
        <v>0.34</v>
      </c>
      <c r="V80" s="4">
        <v>0.18</v>
      </c>
      <c r="W80" s="151">
        <v>-4.0000000000000002E-4</v>
      </c>
      <c r="X80" s="4">
        <v>552</v>
      </c>
      <c r="Y80" s="4">
        <v>0.04</v>
      </c>
      <c r="Z80" s="4">
        <v>2.5999999999999999E-2</v>
      </c>
      <c r="AA80" s="4">
        <v>0.64</v>
      </c>
      <c r="AB80" s="4">
        <v>7.0000000000000007E-2</v>
      </c>
      <c r="AC80" s="4">
        <v>17.7</v>
      </c>
      <c r="AD80" s="151">
        <v>-4.0000000000000002E-4</v>
      </c>
      <c r="AE80" s="4">
        <v>34.200000000000003</v>
      </c>
      <c r="AF80" s="3">
        <v>0</v>
      </c>
      <c r="AI80" s="1" t="s">
        <v>221</v>
      </c>
      <c r="AJ80" s="1" t="s">
        <v>1748</v>
      </c>
      <c r="AK80" s="1" t="s">
        <v>29</v>
      </c>
      <c r="AL80" s="749" t="s">
        <v>1777</v>
      </c>
    </row>
    <row r="81" spans="1:38">
      <c r="A81" s="1" t="s">
        <v>1801</v>
      </c>
      <c r="B81" s="1">
        <v>238</v>
      </c>
      <c r="C81" s="1">
        <v>57</v>
      </c>
      <c r="D81" s="1">
        <v>15.3</v>
      </c>
      <c r="E81" s="1">
        <v>0.4</v>
      </c>
      <c r="F81" s="1">
        <v>0.1</v>
      </c>
      <c r="G81" s="1" t="s">
        <v>221</v>
      </c>
      <c r="H81" s="1" t="s">
        <v>2778</v>
      </c>
      <c r="J81" s="1">
        <v>61.3</v>
      </c>
      <c r="K81" s="1">
        <v>14.8</v>
      </c>
      <c r="L81" s="1">
        <v>0.3</v>
      </c>
      <c r="M81" s="4">
        <v>1.9</v>
      </c>
      <c r="N81" s="1">
        <v>0.1</v>
      </c>
      <c r="O81" s="151">
        <v>-4.0000000000000001E-3</v>
      </c>
      <c r="P81" s="4">
        <v>3.5</v>
      </c>
      <c r="Q81" s="4">
        <v>180.3</v>
      </c>
      <c r="R81" s="4">
        <v>12.5</v>
      </c>
      <c r="S81" s="4">
        <v>7</v>
      </c>
      <c r="T81" s="4">
        <v>19.3</v>
      </c>
      <c r="U81" s="4">
        <v>0.7</v>
      </c>
      <c r="V81" s="151">
        <v>-4.0000000000000001E-3</v>
      </c>
      <c r="W81" s="4">
        <v>0.1</v>
      </c>
      <c r="X81" s="4">
        <v>15.9</v>
      </c>
      <c r="Y81" s="4">
        <v>1.7999999999999999E-2</v>
      </c>
      <c r="Z81" s="4">
        <v>2.1999999999999999E-2</v>
      </c>
      <c r="AA81" s="4">
        <v>0.14000000000000001</v>
      </c>
      <c r="AB81" s="4">
        <v>0.04</v>
      </c>
      <c r="AC81" s="4">
        <v>3</v>
      </c>
      <c r="AD81" s="151">
        <v>-4.0000000000000002E-4</v>
      </c>
      <c r="AE81" s="4">
        <v>14.3</v>
      </c>
      <c r="AF81" s="3">
        <v>0</v>
      </c>
      <c r="AI81" s="1" t="s">
        <v>221</v>
      </c>
      <c r="AJ81" s="1" t="s">
        <v>1748</v>
      </c>
      <c r="AK81" s="1" t="s">
        <v>30</v>
      </c>
      <c r="AL81" s="749" t="s">
        <v>1801</v>
      </c>
    </row>
    <row r="82" spans="1:38">
      <c r="A82" s="1" t="s">
        <v>1778</v>
      </c>
      <c r="B82" s="1">
        <v>134</v>
      </c>
      <c r="C82" s="1">
        <v>32</v>
      </c>
      <c r="D82" s="1">
        <v>8.08</v>
      </c>
      <c r="E82" s="1">
        <v>0.63</v>
      </c>
      <c r="F82" s="1">
        <v>0.1</v>
      </c>
      <c r="G82" s="1" t="s">
        <v>221</v>
      </c>
      <c r="H82" s="1" t="s">
        <v>2779</v>
      </c>
      <c r="J82" s="1">
        <v>33</v>
      </c>
      <c r="K82" s="1">
        <v>8.41</v>
      </c>
      <c r="L82" s="1">
        <v>0.69</v>
      </c>
      <c r="M82" s="4">
        <v>1.4</v>
      </c>
      <c r="N82" s="1">
        <v>0.1</v>
      </c>
      <c r="O82" s="151">
        <v>-4.0000000000000001E-3</v>
      </c>
      <c r="P82" s="151">
        <v>-4.0000000000000001E-3</v>
      </c>
      <c r="Q82" s="4">
        <v>148</v>
      </c>
      <c r="R82" s="4">
        <v>12</v>
      </c>
      <c r="S82" s="4">
        <v>9</v>
      </c>
      <c r="T82" s="4">
        <v>8</v>
      </c>
      <c r="U82" s="4">
        <v>0.06</v>
      </c>
      <c r="V82" s="4">
        <v>7.0000000000000007E-2</v>
      </c>
      <c r="W82" s="4">
        <v>0.05</v>
      </c>
      <c r="X82" s="4">
        <v>2</v>
      </c>
      <c r="Y82" s="4">
        <v>0.04</v>
      </c>
      <c r="Z82" s="4">
        <v>0.02</v>
      </c>
      <c r="AA82" s="4">
        <v>0.27</v>
      </c>
      <c r="AB82" s="4">
        <v>0.04</v>
      </c>
      <c r="AC82" s="4">
        <v>10</v>
      </c>
      <c r="AD82" s="151">
        <v>-4.0000000000000002E-4</v>
      </c>
      <c r="AE82" s="4">
        <v>33.299999999999997</v>
      </c>
      <c r="AF82" s="3">
        <v>0</v>
      </c>
      <c r="AI82" s="1" t="s">
        <v>221</v>
      </c>
      <c r="AJ82" s="1" t="s">
        <v>1748</v>
      </c>
      <c r="AK82" s="1" t="s">
        <v>31</v>
      </c>
      <c r="AL82" s="749" t="s">
        <v>1778</v>
      </c>
    </row>
    <row r="83" spans="1:38">
      <c r="A83" s="1" t="s">
        <v>460</v>
      </c>
      <c r="B83" s="1">
        <v>288</v>
      </c>
      <c r="C83" s="1">
        <v>69</v>
      </c>
      <c r="D83" s="1">
        <v>18.100000000000001</v>
      </c>
      <c r="E83" s="1">
        <v>0.72</v>
      </c>
      <c r="F83" s="1">
        <v>0.16</v>
      </c>
      <c r="G83" s="1" t="s">
        <v>221</v>
      </c>
      <c r="H83" s="1" t="s">
        <v>2780</v>
      </c>
      <c r="J83" s="1">
        <v>60.3</v>
      </c>
      <c r="K83" s="1">
        <v>14.4</v>
      </c>
      <c r="L83" s="1">
        <v>0.55000000000000004</v>
      </c>
      <c r="M83" s="4">
        <v>1.75</v>
      </c>
      <c r="N83" s="82">
        <v>0.1</v>
      </c>
      <c r="O83" s="4">
        <v>0.1</v>
      </c>
      <c r="P83" s="4">
        <v>2</v>
      </c>
      <c r="Q83" s="4">
        <v>262.5</v>
      </c>
      <c r="R83" s="4">
        <v>22.5</v>
      </c>
      <c r="S83" s="4">
        <v>6</v>
      </c>
      <c r="T83" s="4">
        <v>12.5</v>
      </c>
      <c r="U83" s="4">
        <v>0.34</v>
      </c>
      <c r="V83" s="4">
        <v>0.1</v>
      </c>
      <c r="W83" s="4">
        <v>0.1</v>
      </c>
      <c r="X83" s="4">
        <v>4</v>
      </c>
      <c r="Y83" s="4">
        <v>3.5000000000000003E-2</v>
      </c>
      <c r="Z83" s="4">
        <v>2.5000000000000001E-2</v>
      </c>
      <c r="AA83" s="4">
        <v>0.2</v>
      </c>
      <c r="AB83" s="4">
        <v>0.1</v>
      </c>
      <c r="AC83" s="4">
        <v>5.5</v>
      </c>
      <c r="AD83" s="151">
        <v>-4.0000000000000002E-4</v>
      </c>
      <c r="AE83" s="4">
        <v>4</v>
      </c>
      <c r="AF83" s="3">
        <v>0</v>
      </c>
      <c r="AI83" s="1" t="s">
        <v>221</v>
      </c>
      <c r="AJ83" s="1" t="s">
        <v>1748</v>
      </c>
      <c r="AK83" s="1" t="s">
        <v>686</v>
      </c>
      <c r="AL83" s="749" t="s">
        <v>460</v>
      </c>
    </row>
    <row r="84" spans="1:38">
      <c r="A84" s="1233" t="s">
        <v>3308</v>
      </c>
      <c r="B84" s="1">
        <v>218</v>
      </c>
      <c r="C84" s="1">
        <v>52</v>
      </c>
      <c r="D84" s="1">
        <v>13.81</v>
      </c>
      <c r="E84" s="1">
        <v>0.26</v>
      </c>
      <c r="F84" s="1">
        <v>0.17</v>
      </c>
      <c r="G84" s="1" t="s">
        <v>221</v>
      </c>
      <c r="H84" s="749" t="s">
        <v>3017</v>
      </c>
      <c r="I84" s="749">
        <v>22</v>
      </c>
      <c r="J84" s="33">
        <v>45</v>
      </c>
      <c r="K84" s="4">
        <v>10</v>
      </c>
      <c r="L84" s="4">
        <v>0.2</v>
      </c>
      <c r="M84" s="4">
        <v>2.4</v>
      </c>
      <c r="N84" s="4">
        <v>0.3</v>
      </c>
      <c r="O84" s="4">
        <v>7.0000000000000007E-2</v>
      </c>
      <c r="P84" s="35">
        <v>2</v>
      </c>
      <c r="Q84" s="3">
        <v>120</v>
      </c>
      <c r="R84" s="3">
        <v>6</v>
      </c>
      <c r="S84" s="3">
        <v>8.65</v>
      </c>
      <c r="T84" s="3">
        <v>12</v>
      </c>
      <c r="U84" s="3">
        <v>0.3</v>
      </c>
      <c r="V84" s="3">
        <v>0.1</v>
      </c>
      <c r="W84" s="3">
        <v>3.6330000000000001E-2</v>
      </c>
      <c r="X84" s="37">
        <v>3</v>
      </c>
      <c r="Y84" s="3">
        <v>0.02</v>
      </c>
      <c r="Z84" s="3">
        <v>0.02</v>
      </c>
      <c r="AA84" s="3">
        <v>0.3</v>
      </c>
      <c r="AB84" s="3">
        <v>0.11</v>
      </c>
      <c r="AC84" s="3">
        <v>1</v>
      </c>
      <c r="AD84" s="34">
        <v>0</v>
      </c>
      <c r="AE84" s="3">
        <v>10</v>
      </c>
      <c r="AF84" s="3">
        <v>0</v>
      </c>
      <c r="AI84" s="1" t="s">
        <v>221</v>
      </c>
      <c r="AJ84" s="1" t="s">
        <v>1748</v>
      </c>
      <c r="AK84" s="749" t="s">
        <v>285</v>
      </c>
      <c r="AL84" s="749" t="s">
        <v>285</v>
      </c>
    </row>
    <row r="85" spans="1:38">
      <c r="A85" s="1" t="s">
        <v>3309</v>
      </c>
      <c r="B85" s="1">
        <v>218</v>
      </c>
      <c r="C85" s="1">
        <v>52</v>
      </c>
      <c r="D85" s="1">
        <v>13.81</v>
      </c>
      <c r="E85" s="1">
        <v>0.26</v>
      </c>
      <c r="F85" s="1">
        <v>0.17</v>
      </c>
      <c r="G85" s="1" t="s">
        <v>221</v>
      </c>
      <c r="H85" s="749" t="s">
        <v>285</v>
      </c>
      <c r="I85" s="749">
        <v>3</v>
      </c>
      <c r="J85" s="33">
        <v>45</v>
      </c>
      <c r="K85" s="4">
        <v>10</v>
      </c>
      <c r="L85" s="4">
        <v>0.2</v>
      </c>
      <c r="M85" s="4">
        <v>2.4</v>
      </c>
      <c r="N85" s="4">
        <v>0.3</v>
      </c>
      <c r="O85" s="4">
        <v>7.0000000000000007E-2</v>
      </c>
      <c r="P85" s="35">
        <v>2</v>
      </c>
      <c r="Q85" s="3">
        <v>120</v>
      </c>
      <c r="R85" s="3">
        <v>6</v>
      </c>
      <c r="S85" s="3">
        <v>8.65</v>
      </c>
      <c r="T85" s="3">
        <v>12</v>
      </c>
      <c r="U85" s="3">
        <v>0.3</v>
      </c>
      <c r="V85" s="3">
        <v>0.1</v>
      </c>
      <c r="W85" s="3">
        <v>3.6330000000000001E-2</v>
      </c>
      <c r="X85" s="37">
        <v>1.73</v>
      </c>
      <c r="Y85" s="3">
        <v>0.02</v>
      </c>
      <c r="Z85" s="3">
        <v>0.02</v>
      </c>
      <c r="AA85" s="3">
        <v>0.3</v>
      </c>
      <c r="AB85" s="3">
        <v>0.11</v>
      </c>
      <c r="AC85" s="3">
        <v>1</v>
      </c>
      <c r="AD85" s="151">
        <v>-4.0000000000000002E-4</v>
      </c>
      <c r="AE85" s="3">
        <v>10</v>
      </c>
      <c r="AF85" s="3">
        <v>0</v>
      </c>
      <c r="AI85" s="1" t="s">
        <v>221</v>
      </c>
      <c r="AJ85" s="1" t="s">
        <v>1748</v>
      </c>
      <c r="AK85" s="749" t="s">
        <v>285</v>
      </c>
      <c r="AL85" s="749" t="s">
        <v>285</v>
      </c>
    </row>
    <row r="86" spans="1:38">
      <c r="A86" s="1" t="s">
        <v>3310</v>
      </c>
      <c r="B86" s="1">
        <v>218</v>
      </c>
      <c r="C86" s="1">
        <v>52</v>
      </c>
      <c r="D86" s="1">
        <v>13.81</v>
      </c>
      <c r="E86" s="1">
        <v>0.26</v>
      </c>
      <c r="F86" s="1">
        <v>0.17</v>
      </c>
      <c r="G86" s="1" t="s">
        <v>221</v>
      </c>
      <c r="H86" s="749" t="s">
        <v>285</v>
      </c>
      <c r="I86" s="749">
        <v>3</v>
      </c>
      <c r="J86" s="33">
        <v>45</v>
      </c>
      <c r="K86" s="4">
        <v>10</v>
      </c>
      <c r="L86" s="4">
        <v>0.2</v>
      </c>
      <c r="M86" s="4">
        <v>2.4</v>
      </c>
      <c r="N86" s="4">
        <v>0.3</v>
      </c>
      <c r="O86" s="4">
        <v>7.0000000000000007E-2</v>
      </c>
      <c r="P86" s="35">
        <v>2</v>
      </c>
      <c r="Q86" s="3">
        <v>120</v>
      </c>
      <c r="R86" s="3">
        <v>6</v>
      </c>
      <c r="S86" s="3">
        <v>8.65</v>
      </c>
      <c r="T86" s="3">
        <v>12</v>
      </c>
      <c r="U86" s="3">
        <v>0.3</v>
      </c>
      <c r="V86" s="3">
        <v>0.1</v>
      </c>
      <c r="W86" s="3">
        <v>3.6330000000000001E-2</v>
      </c>
      <c r="X86" s="37">
        <v>1.73</v>
      </c>
      <c r="Y86" s="3">
        <v>0.02</v>
      </c>
      <c r="Z86" s="3">
        <v>0.02</v>
      </c>
      <c r="AA86" s="3">
        <v>0.3</v>
      </c>
      <c r="AB86" s="3">
        <v>0.11</v>
      </c>
      <c r="AC86" s="3">
        <v>1</v>
      </c>
      <c r="AD86" s="151">
        <v>-4.0000000000000002E-4</v>
      </c>
      <c r="AE86" s="3">
        <v>10</v>
      </c>
      <c r="AF86" s="3">
        <v>0</v>
      </c>
      <c r="AI86" s="1" t="s">
        <v>221</v>
      </c>
      <c r="AJ86" s="1" t="s">
        <v>1748</v>
      </c>
      <c r="AK86" s="749" t="s">
        <v>285</v>
      </c>
      <c r="AL86" s="749" t="s">
        <v>285</v>
      </c>
    </row>
    <row r="87" spans="1:38">
      <c r="A87" s="1" t="s">
        <v>3311</v>
      </c>
      <c r="B87" s="1">
        <v>218</v>
      </c>
      <c r="C87" s="1">
        <v>52</v>
      </c>
      <c r="D87" s="1">
        <v>13.81</v>
      </c>
      <c r="E87" s="1">
        <v>0.26</v>
      </c>
      <c r="F87" s="1">
        <v>0.17</v>
      </c>
      <c r="G87" s="1" t="s">
        <v>221</v>
      </c>
      <c r="H87" s="749" t="s">
        <v>285</v>
      </c>
      <c r="I87" s="749">
        <v>3</v>
      </c>
      <c r="J87" s="33">
        <v>45</v>
      </c>
      <c r="K87" s="4">
        <v>10</v>
      </c>
      <c r="L87" s="4">
        <v>0.2</v>
      </c>
      <c r="M87" s="4">
        <v>2.4</v>
      </c>
      <c r="N87" s="4">
        <v>0.3</v>
      </c>
      <c r="O87" s="4">
        <v>7.0000000000000007E-2</v>
      </c>
      <c r="P87" s="35">
        <v>2</v>
      </c>
      <c r="Q87" s="3">
        <v>120</v>
      </c>
      <c r="R87" s="3">
        <v>6</v>
      </c>
      <c r="S87" s="3">
        <v>8.65</v>
      </c>
      <c r="T87" s="3">
        <v>12</v>
      </c>
      <c r="U87" s="3">
        <v>0.3</v>
      </c>
      <c r="V87" s="3">
        <v>0.1</v>
      </c>
      <c r="W87" s="3">
        <v>3.6330000000000001E-2</v>
      </c>
      <c r="X87" s="37">
        <v>1.73</v>
      </c>
      <c r="Y87" s="3">
        <v>0.02</v>
      </c>
      <c r="Z87" s="3">
        <v>0.02</v>
      </c>
      <c r="AA87" s="3">
        <v>0.3</v>
      </c>
      <c r="AB87" s="3">
        <v>0.11</v>
      </c>
      <c r="AC87" s="3">
        <v>1</v>
      </c>
      <c r="AD87" s="151">
        <v>-4.0000000000000002E-4</v>
      </c>
      <c r="AE87" s="3">
        <v>10</v>
      </c>
      <c r="AF87" s="3">
        <v>0</v>
      </c>
      <c r="AI87" s="1" t="s">
        <v>221</v>
      </c>
      <c r="AJ87" s="1" t="s">
        <v>1748</v>
      </c>
      <c r="AK87" s="749" t="s">
        <v>285</v>
      </c>
      <c r="AL87" s="749" t="s">
        <v>285</v>
      </c>
    </row>
    <row r="88" spans="1:38">
      <c r="A88" s="1" t="s">
        <v>3439</v>
      </c>
      <c r="B88" s="1">
        <v>200</v>
      </c>
      <c r="C88" s="1">
        <v>48</v>
      </c>
      <c r="D88" s="1">
        <v>12.76</v>
      </c>
      <c r="E88" s="1">
        <v>0.27</v>
      </c>
      <c r="F88" s="1">
        <v>0.13</v>
      </c>
      <c r="G88" s="1" t="s">
        <v>221</v>
      </c>
      <c r="H88" s="38" t="s">
        <v>577</v>
      </c>
      <c r="I88" s="38">
        <v>3</v>
      </c>
      <c r="J88" s="39">
        <v>56</v>
      </c>
      <c r="K88" s="40">
        <v>12</v>
      </c>
      <c r="L88" s="40">
        <v>0.30000000000000004</v>
      </c>
      <c r="M88" s="40">
        <v>2.2000000000000002</v>
      </c>
      <c r="N88" s="40">
        <v>0.39999999999999997</v>
      </c>
      <c r="O88" s="40">
        <v>9.3888888888888883E-2</v>
      </c>
      <c r="P88" s="41">
        <v>3</v>
      </c>
      <c r="Q88" s="42">
        <v>144</v>
      </c>
      <c r="R88" s="42">
        <v>3</v>
      </c>
      <c r="S88" s="42">
        <v>6</v>
      </c>
      <c r="T88" s="42">
        <v>11</v>
      </c>
      <c r="U88" s="42">
        <v>0.06</v>
      </c>
      <c r="V88" s="42">
        <v>0.12000000000000001</v>
      </c>
      <c r="W88" s="44">
        <v>9.9999999999999992E-2</v>
      </c>
      <c r="X88" s="42">
        <v>3</v>
      </c>
      <c r="Y88" s="42">
        <v>3.0000000000000002E-2</v>
      </c>
      <c r="Z88" s="42">
        <v>0.02</v>
      </c>
      <c r="AA88" s="42">
        <v>0.13277777777777777</v>
      </c>
      <c r="AB88" s="42">
        <v>4.9999999999999996E-2</v>
      </c>
      <c r="AC88" s="42">
        <v>2.9000000000000004</v>
      </c>
      <c r="AD88" s="151">
        <v>-4.0000000000000002E-4</v>
      </c>
      <c r="AE88" s="42">
        <v>4</v>
      </c>
      <c r="AF88" s="3">
        <v>0</v>
      </c>
      <c r="AI88" s="1" t="s">
        <v>221</v>
      </c>
      <c r="AJ88" s="1" t="s">
        <v>1748</v>
      </c>
      <c r="AK88" s="38" t="s">
        <v>577</v>
      </c>
      <c r="AL88" s="749" t="s">
        <v>577</v>
      </c>
    </row>
    <row r="89" spans="1:38">
      <c r="A89" s="1" t="s">
        <v>3312</v>
      </c>
      <c r="B89" s="1">
        <v>218</v>
      </c>
      <c r="C89" s="1">
        <v>52</v>
      </c>
      <c r="D89" s="1">
        <v>13.81</v>
      </c>
      <c r="E89" s="1">
        <v>0.26</v>
      </c>
      <c r="F89" s="1">
        <v>0.17</v>
      </c>
      <c r="G89" s="1" t="s">
        <v>221</v>
      </c>
      <c r="H89" s="749" t="s">
        <v>285</v>
      </c>
      <c r="I89" s="749">
        <v>3</v>
      </c>
      <c r="J89" s="33">
        <v>45</v>
      </c>
      <c r="K89" s="4">
        <v>10</v>
      </c>
      <c r="L89" s="4">
        <v>0.2</v>
      </c>
      <c r="M89" s="4">
        <v>2.4</v>
      </c>
      <c r="N89" s="4">
        <v>0.3</v>
      </c>
      <c r="O89" s="4">
        <v>7.0000000000000007E-2</v>
      </c>
      <c r="P89" s="35">
        <v>2</v>
      </c>
      <c r="Q89" s="3">
        <v>120</v>
      </c>
      <c r="R89" s="3">
        <v>6</v>
      </c>
      <c r="S89" s="3">
        <v>8.65</v>
      </c>
      <c r="T89" s="3">
        <v>12</v>
      </c>
      <c r="U89" s="3">
        <v>0.3</v>
      </c>
      <c r="V89" s="3">
        <v>0.1</v>
      </c>
      <c r="W89" s="3">
        <v>3.6330000000000001E-2</v>
      </c>
      <c r="X89" s="37">
        <v>1.73</v>
      </c>
      <c r="Y89" s="3">
        <v>0.02</v>
      </c>
      <c r="Z89" s="3">
        <v>0.02</v>
      </c>
      <c r="AA89" s="3">
        <v>0.3</v>
      </c>
      <c r="AB89" s="3">
        <v>0.11</v>
      </c>
      <c r="AC89" s="3">
        <v>1</v>
      </c>
      <c r="AD89" s="151">
        <v>-4.0000000000000002E-4</v>
      </c>
      <c r="AE89" s="3">
        <v>10</v>
      </c>
      <c r="AF89" s="3">
        <v>0</v>
      </c>
      <c r="AI89" s="1" t="s">
        <v>221</v>
      </c>
      <c r="AJ89" s="1" t="s">
        <v>1748</v>
      </c>
      <c r="AK89" s="749" t="s">
        <v>285</v>
      </c>
      <c r="AL89" s="749" t="s">
        <v>285</v>
      </c>
    </row>
    <row r="90" spans="1:38">
      <c r="A90" s="1" t="s">
        <v>468</v>
      </c>
      <c r="B90" s="1">
        <v>136</v>
      </c>
      <c r="C90" s="1">
        <v>33</v>
      </c>
      <c r="D90" s="1">
        <v>7.68</v>
      </c>
      <c r="E90" s="1">
        <v>0.67</v>
      </c>
      <c r="F90" s="1">
        <v>0.3</v>
      </c>
      <c r="G90" s="1" t="s">
        <v>221</v>
      </c>
      <c r="H90" s="1" t="s">
        <v>2781</v>
      </c>
      <c r="J90" s="1">
        <v>41</v>
      </c>
      <c r="K90" s="1">
        <v>7.68</v>
      </c>
      <c r="L90" s="1">
        <v>0.5</v>
      </c>
      <c r="M90" s="4">
        <v>2</v>
      </c>
      <c r="N90" s="82">
        <v>0.2</v>
      </c>
      <c r="O90" s="4">
        <v>0</v>
      </c>
      <c r="P90" s="4">
        <v>1</v>
      </c>
      <c r="Q90" s="4">
        <v>130</v>
      </c>
      <c r="R90" s="4">
        <v>18</v>
      </c>
      <c r="S90" s="4">
        <v>11</v>
      </c>
      <c r="T90" s="4">
        <v>20</v>
      </c>
      <c r="U90" s="4">
        <v>0.34</v>
      </c>
      <c r="V90" s="4">
        <v>0.2</v>
      </c>
      <c r="W90" s="4">
        <v>0.1</v>
      </c>
      <c r="X90" s="4">
        <v>1</v>
      </c>
      <c r="Y90" s="4">
        <v>0.01</v>
      </c>
      <c r="Z90" s="4">
        <v>0.02</v>
      </c>
      <c r="AA90" s="4">
        <v>0.5</v>
      </c>
      <c r="AB90" s="4">
        <v>7.0000000000000007E-2</v>
      </c>
      <c r="AC90" s="4">
        <v>36</v>
      </c>
      <c r="AD90" s="4">
        <v>0</v>
      </c>
      <c r="AE90" s="4">
        <v>61</v>
      </c>
      <c r="AF90" s="4">
        <v>0</v>
      </c>
      <c r="AI90" s="1" t="s">
        <v>221</v>
      </c>
      <c r="AJ90" s="1" t="s">
        <v>1748</v>
      </c>
      <c r="AK90" s="1" t="s">
        <v>33</v>
      </c>
      <c r="AL90" s="749" t="s">
        <v>468</v>
      </c>
    </row>
    <row r="91" spans="1:38">
      <c r="A91" s="1" t="s">
        <v>1779</v>
      </c>
      <c r="B91" s="1">
        <v>201</v>
      </c>
      <c r="C91" s="1">
        <v>48</v>
      </c>
      <c r="D91" s="1">
        <v>11.12</v>
      </c>
      <c r="E91" s="1">
        <v>1.4</v>
      </c>
      <c r="F91" s="1">
        <v>0.39</v>
      </c>
      <c r="G91" s="1" t="s">
        <v>221</v>
      </c>
      <c r="H91" s="1" t="s">
        <v>2782</v>
      </c>
      <c r="J91" s="1">
        <v>52.2</v>
      </c>
      <c r="K91" s="1">
        <v>11.9</v>
      </c>
      <c r="L91" s="1">
        <v>0.7</v>
      </c>
      <c r="M91" s="4">
        <v>1.9</v>
      </c>
      <c r="N91" s="82">
        <v>0.2</v>
      </c>
      <c r="O91" s="4">
        <v>0.1</v>
      </c>
      <c r="P91" s="4">
        <v>1</v>
      </c>
      <c r="Q91" s="4">
        <v>300</v>
      </c>
      <c r="R91" s="4">
        <v>15.5</v>
      </c>
      <c r="S91" s="4">
        <v>10</v>
      </c>
      <c r="T91" s="4">
        <v>22.4</v>
      </c>
      <c r="U91" s="4">
        <v>0.5</v>
      </c>
      <c r="V91" s="4">
        <v>0.2</v>
      </c>
      <c r="W91" s="4">
        <v>0.1</v>
      </c>
      <c r="X91" s="4">
        <v>255.6</v>
      </c>
      <c r="Y91" s="4">
        <v>3.4000000000000002E-2</v>
      </c>
      <c r="Z91" s="4">
        <v>0.05</v>
      </c>
      <c r="AA91" s="4">
        <v>0.66</v>
      </c>
      <c r="AB91" s="4">
        <v>0.06</v>
      </c>
      <c r="AC91" s="4">
        <v>5</v>
      </c>
      <c r="AD91" s="151">
        <v>-4.0000000000000002E-4</v>
      </c>
      <c r="AE91" s="4">
        <v>8.8000000000000007</v>
      </c>
      <c r="AF91" s="151">
        <v>-4.0000000000000002E-4</v>
      </c>
      <c r="AI91" s="1" t="s">
        <v>221</v>
      </c>
      <c r="AJ91" s="1" t="s">
        <v>1748</v>
      </c>
      <c r="AK91" s="1" t="s">
        <v>50</v>
      </c>
      <c r="AL91" s="749" t="s">
        <v>1779</v>
      </c>
    </row>
    <row r="92" spans="1:38">
      <c r="A92" s="1" t="s">
        <v>3316</v>
      </c>
      <c r="B92" s="1">
        <v>2455</v>
      </c>
      <c r="C92" s="1">
        <v>587</v>
      </c>
      <c r="D92" s="1">
        <v>21.26</v>
      </c>
      <c r="E92" s="1">
        <v>24.35</v>
      </c>
      <c r="F92" s="1">
        <v>49.66</v>
      </c>
      <c r="G92" s="1" t="s">
        <v>221</v>
      </c>
      <c r="H92" s="1" t="s">
        <v>2783</v>
      </c>
      <c r="J92" s="1">
        <v>577</v>
      </c>
      <c r="K92" s="1">
        <v>11</v>
      </c>
      <c r="L92" s="1">
        <v>24</v>
      </c>
      <c r="M92" s="34">
        <v>6.8</v>
      </c>
      <c r="N92" s="1">
        <v>47</v>
      </c>
      <c r="O92" s="4">
        <v>6.9</v>
      </c>
      <c r="P92" s="4">
        <v>800</v>
      </c>
      <c r="Q92" s="4">
        <v>746</v>
      </c>
      <c r="R92" s="4">
        <v>48</v>
      </c>
      <c r="S92" s="4">
        <v>173</v>
      </c>
      <c r="T92" s="4">
        <v>389</v>
      </c>
      <c r="U92" s="4">
        <v>1.7</v>
      </c>
      <c r="V92" s="4">
        <v>3.2</v>
      </c>
      <c r="W92" s="4">
        <v>0.65</v>
      </c>
      <c r="X92" s="34">
        <v>1</v>
      </c>
      <c r="Y92" s="4">
        <v>0.24</v>
      </c>
      <c r="Z92" s="4">
        <v>0.08</v>
      </c>
      <c r="AA92" s="34">
        <v>17.5</v>
      </c>
      <c r="AB92" s="4">
        <v>0.38</v>
      </c>
      <c r="AC92" s="4">
        <v>56.6</v>
      </c>
      <c r="AD92" s="4">
        <v>0</v>
      </c>
      <c r="AE92" s="4">
        <v>0</v>
      </c>
      <c r="AF92" s="4">
        <v>0</v>
      </c>
      <c r="AI92" s="1" t="s">
        <v>221</v>
      </c>
      <c r="AJ92" s="1" t="s">
        <v>1748</v>
      </c>
      <c r="AK92" s="1" t="s">
        <v>766</v>
      </c>
      <c r="AL92" s="749" t="s">
        <v>1780</v>
      </c>
    </row>
    <row r="93" spans="1:38">
      <c r="A93" s="1" t="s">
        <v>481</v>
      </c>
      <c r="B93" s="1">
        <v>255</v>
      </c>
      <c r="C93" s="1">
        <v>61</v>
      </c>
      <c r="D93" s="1">
        <v>14.66</v>
      </c>
      <c r="E93" s="1">
        <v>1.1399999999999999</v>
      </c>
      <c r="F93" s="1">
        <v>0.52</v>
      </c>
      <c r="G93" s="1" t="s">
        <v>221</v>
      </c>
      <c r="H93" s="1" t="s">
        <v>2784</v>
      </c>
      <c r="J93" s="1">
        <v>57.7</v>
      </c>
      <c r="K93" s="1">
        <v>9.3699999999999992</v>
      </c>
      <c r="L93" s="1">
        <v>1.1000000000000001</v>
      </c>
      <c r="M93" s="4">
        <v>2.4</v>
      </c>
      <c r="N93" s="82">
        <v>0.72499999999999998</v>
      </c>
      <c r="O93" s="4">
        <v>3.4500000000000003E-2</v>
      </c>
      <c r="P93" s="4">
        <v>3</v>
      </c>
      <c r="Q93" s="4">
        <v>270</v>
      </c>
      <c r="R93" s="4">
        <v>26.7</v>
      </c>
      <c r="S93" s="4">
        <v>12.2</v>
      </c>
      <c r="T93" s="4">
        <v>47.1</v>
      </c>
      <c r="U93" s="4">
        <v>0.28199999999999997</v>
      </c>
      <c r="V93" s="4">
        <v>9.5799999999999996E-2</v>
      </c>
      <c r="W93" s="4">
        <v>0.17199999999999999</v>
      </c>
      <c r="X93" s="4">
        <v>4</v>
      </c>
      <c r="Y93" s="4">
        <v>0.01</v>
      </c>
      <c r="Z93" s="4">
        <v>0.03</v>
      </c>
      <c r="AA93" s="4">
        <v>0.7</v>
      </c>
      <c r="AB93" s="4">
        <v>0.106</v>
      </c>
      <c r="AC93" s="4">
        <v>36.5</v>
      </c>
      <c r="AD93" s="151">
        <v>-4.0000000000000002E-4</v>
      </c>
      <c r="AE93" s="4">
        <v>59</v>
      </c>
      <c r="AF93" s="151">
        <v>-4.0000000000000002E-4</v>
      </c>
      <c r="AI93" s="1" t="s">
        <v>221</v>
      </c>
      <c r="AJ93" s="1" t="s">
        <v>1748</v>
      </c>
      <c r="AK93" s="1" t="s">
        <v>51</v>
      </c>
      <c r="AL93" s="749" t="s">
        <v>481</v>
      </c>
    </row>
    <row r="94" spans="1:38">
      <c r="A94" s="1" t="s">
        <v>3313</v>
      </c>
      <c r="B94" s="1">
        <v>239</v>
      </c>
      <c r="C94" s="1">
        <v>57</v>
      </c>
      <c r="D94" s="1">
        <v>15.23</v>
      </c>
      <c r="E94" s="1">
        <v>0.36</v>
      </c>
      <c r="F94" s="1">
        <v>0.14000000000000001</v>
      </c>
      <c r="G94" s="1" t="s">
        <v>221</v>
      </c>
      <c r="H94" s="27" t="s">
        <v>288</v>
      </c>
      <c r="I94" s="27">
        <v>3</v>
      </c>
      <c r="J94" s="28">
        <v>48</v>
      </c>
      <c r="K94" s="29">
        <v>11.504</v>
      </c>
      <c r="L94" s="29">
        <v>0.437</v>
      </c>
      <c r="M94" s="29">
        <v>2.6040000000000001</v>
      </c>
      <c r="N94" s="29">
        <v>0.27</v>
      </c>
      <c r="O94" s="29">
        <v>3.6000000000000004E-2</v>
      </c>
      <c r="P94" s="30">
        <v>2</v>
      </c>
      <c r="Q94" s="31">
        <v>106</v>
      </c>
      <c r="R94" s="31">
        <v>9</v>
      </c>
      <c r="S94" s="31">
        <v>7</v>
      </c>
      <c r="T94" s="31">
        <v>10</v>
      </c>
      <c r="U94" s="31">
        <v>0.153</v>
      </c>
      <c r="V94" s="31">
        <v>9.799999999999999E-2</v>
      </c>
      <c r="W94" s="32">
        <v>7.0000000000000007E-2</v>
      </c>
      <c r="X94" s="31">
        <v>3</v>
      </c>
      <c r="Y94" s="31">
        <v>3.1000000000000003E-2</v>
      </c>
      <c r="Z94" s="31">
        <v>3.5000000000000003E-2</v>
      </c>
      <c r="AA94" s="31">
        <v>0.20499999999999999</v>
      </c>
      <c r="AB94" s="31">
        <v>1.4E-2</v>
      </c>
      <c r="AC94" s="31">
        <v>13</v>
      </c>
      <c r="AD94" s="151">
        <v>-4.0000000000000002E-4</v>
      </c>
      <c r="AE94" s="31">
        <v>4.2779999999999996</v>
      </c>
      <c r="AF94" s="151">
        <v>-4.0000000000000002E-4</v>
      </c>
      <c r="AI94" s="1" t="s">
        <v>221</v>
      </c>
      <c r="AJ94" s="1" t="s">
        <v>1748</v>
      </c>
      <c r="AK94" s="27" t="s">
        <v>288</v>
      </c>
      <c r="AL94" s="749" t="s">
        <v>288</v>
      </c>
    </row>
    <row r="95" spans="1:38">
      <c r="A95" s="1" t="s">
        <v>1781</v>
      </c>
      <c r="B95" s="1">
        <v>181</v>
      </c>
      <c r="C95" s="1">
        <v>43</v>
      </c>
      <c r="D95" s="1">
        <v>9.61</v>
      </c>
      <c r="E95" s="1">
        <v>1.39</v>
      </c>
      <c r="F95" s="1">
        <v>0.49</v>
      </c>
      <c r="G95" s="1" t="s">
        <v>221</v>
      </c>
      <c r="H95" s="1" t="s">
        <v>2785</v>
      </c>
      <c r="J95" s="1">
        <v>71.3</v>
      </c>
      <c r="K95" s="1">
        <v>15.7</v>
      </c>
      <c r="L95" s="1">
        <v>1</v>
      </c>
      <c r="M95" s="4">
        <v>2.7</v>
      </c>
      <c r="N95" s="1">
        <v>0.5</v>
      </c>
      <c r="O95" s="34">
        <v>0.06</v>
      </c>
      <c r="P95" s="4">
        <v>1</v>
      </c>
      <c r="Q95" s="4">
        <v>160</v>
      </c>
      <c r="R95" s="4">
        <v>20</v>
      </c>
      <c r="S95" s="4">
        <v>22</v>
      </c>
      <c r="T95" s="4">
        <v>30</v>
      </c>
      <c r="U95" s="4">
        <v>0.4</v>
      </c>
      <c r="V95" s="4">
        <v>0.3</v>
      </c>
      <c r="W95" s="34">
        <v>0.11600000000000001</v>
      </c>
      <c r="X95" s="4">
        <v>11</v>
      </c>
      <c r="Y95" s="4">
        <v>0.03</v>
      </c>
      <c r="Z95" s="4">
        <v>0.05</v>
      </c>
      <c r="AA95" s="4">
        <v>1.2</v>
      </c>
      <c r="AB95" s="4">
        <v>0.06</v>
      </c>
      <c r="AC95" s="4">
        <v>34</v>
      </c>
      <c r="AD95" s="151">
        <v>-4.0000000000000002E-4</v>
      </c>
      <c r="AE95" s="4">
        <v>5</v>
      </c>
      <c r="AF95" s="151">
        <v>-4.0000000000000002E-4</v>
      </c>
      <c r="AI95" s="1" t="s">
        <v>221</v>
      </c>
      <c r="AJ95" s="1" t="s">
        <v>1748</v>
      </c>
      <c r="AK95" s="1" t="s">
        <v>35</v>
      </c>
      <c r="AL95" s="749" t="s">
        <v>1781</v>
      </c>
    </row>
    <row r="96" spans="1:38">
      <c r="A96" s="1" t="s">
        <v>3317</v>
      </c>
      <c r="B96" s="1">
        <v>2637.6</v>
      </c>
      <c r="C96" s="1">
        <v>628</v>
      </c>
      <c r="D96" s="1">
        <v>16.7</v>
      </c>
      <c r="E96" s="1">
        <v>14.95</v>
      </c>
      <c r="F96" s="1">
        <v>60.75</v>
      </c>
      <c r="G96" s="1" t="s">
        <v>221</v>
      </c>
      <c r="H96" s="1" t="s">
        <v>2786</v>
      </c>
      <c r="J96" s="1">
        <v>598</v>
      </c>
      <c r="K96" s="1">
        <v>21.1</v>
      </c>
      <c r="L96" s="1">
        <v>14.9</v>
      </c>
      <c r="M96" s="4">
        <v>8.1999999999999993</v>
      </c>
      <c r="N96" s="1">
        <v>49.3</v>
      </c>
      <c r="O96" s="4">
        <v>3.54</v>
      </c>
      <c r="P96" s="4">
        <v>1.9</v>
      </c>
      <c r="Q96" s="4">
        <v>838</v>
      </c>
      <c r="R96" s="4">
        <v>136</v>
      </c>
      <c r="S96" s="151">
        <v>-4.0000000000000002E-4</v>
      </c>
      <c r="T96" s="4">
        <v>349</v>
      </c>
      <c r="U96" s="4">
        <v>2.8</v>
      </c>
      <c r="V96" s="4">
        <v>2</v>
      </c>
      <c r="W96" s="4">
        <v>1.4</v>
      </c>
      <c r="X96" s="151">
        <v>-4.0000000000000002E-4</v>
      </c>
      <c r="Y96" s="4">
        <v>0.39</v>
      </c>
      <c r="Z96" s="4">
        <v>0.2</v>
      </c>
      <c r="AA96" s="4">
        <v>4.37</v>
      </c>
      <c r="AB96" s="4">
        <v>0.54</v>
      </c>
      <c r="AC96" s="4">
        <v>72</v>
      </c>
      <c r="AD96" s="151">
        <v>-4.0000000000000002E-4</v>
      </c>
      <c r="AE96" s="151">
        <v>-4.0000000000000002E-4</v>
      </c>
      <c r="AF96" s="4">
        <v>0</v>
      </c>
      <c r="AI96" s="1" t="s">
        <v>221</v>
      </c>
      <c r="AJ96" s="1" t="s">
        <v>1748</v>
      </c>
      <c r="AK96" s="1" t="s">
        <v>52</v>
      </c>
      <c r="AL96" s="749" t="s">
        <v>1782</v>
      </c>
    </row>
    <row r="97" spans="1:38">
      <c r="A97" s="1" t="s">
        <v>1783</v>
      </c>
      <c r="B97" s="1">
        <v>121</v>
      </c>
      <c r="C97" s="1">
        <v>29</v>
      </c>
      <c r="D97" s="1">
        <v>9.32</v>
      </c>
      <c r="E97" s="1">
        <v>1.1000000000000001</v>
      </c>
      <c r="F97" s="1">
        <v>0.3</v>
      </c>
      <c r="G97" s="1" t="s">
        <v>221</v>
      </c>
      <c r="H97" s="1" t="s">
        <v>2787</v>
      </c>
      <c r="J97" s="1">
        <v>31.5</v>
      </c>
      <c r="K97" s="1">
        <v>5.5</v>
      </c>
      <c r="L97" s="1">
        <v>0.5</v>
      </c>
      <c r="M97" s="4">
        <v>1.2</v>
      </c>
      <c r="N97" s="1">
        <v>1.1000000000000001</v>
      </c>
      <c r="O97" s="4">
        <v>0.3</v>
      </c>
      <c r="P97" s="4">
        <v>3</v>
      </c>
      <c r="Q97" s="4">
        <v>175</v>
      </c>
      <c r="R97" s="4">
        <v>35.1</v>
      </c>
      <c r="S97" s="4">
        <v>9</v>
      </c>
      <c r="T97" s="4">
        <v>20.7</v>
      </c>
      <c r="U97" s="4">
        <v>0.08</v>
      </c>
      <c r="V97" s="4">
        <v>0.13</v>
      </c>
      <c r="W97" s="4">
        <v>5.2999999999999999E-2</v>
      </c>
      <c r="X97" s="4">
        <v>1.67</v>
      </c>
      <c r="Y97" s="4">
        <v>4.4999999999999998E-2</v>
      </c>
      <c r="Z97" s="4">
        <v>0.03</v>
      </c>
      <c r="AA97" s="4">
        <v>0.23300000000000001</v>
      </c>
      <c r="AB97" s="4">
        <v>0.06</v>
      </c>
      <c r="AC97" s="4">
        <v>32</v>
      </c>
      <c r="AD97" s="151">
        <v>-4.0000000000000002E-4</v>
      </c>
      <c r="AE97" s="4">
        <v>49</v>
      </c>
      <c r="AF97" s="4">
        <v>0</v>
      </c>
      <c r="AI97" s="1" t="s">
        <v>221</v>
      </c>
      <c r="AJ97" s="1" t="s">
        <v>1748</v>
      </c>
      <c r="AK97" s="1" t="s">
        <v>36</v>
      </c>
      <c r="AL97" s="749" t="s">
        <v>1783</v>
      </c>
    </row>
    <row r="98" spans="1:38">
      <c r="A98" s="1" t="s">
        <v>1784</v>
      </c>
      <c r="B98" s="1">
        <v>121</v>
      </c>
      <c r="C98" s="1">
        <v>29</v>
      </c>
      <c r="D98" s="1">
        <v>9.32</v>
      </c>
      <c r="E98" s="1">
        <v>1.1000000000000001</v>
      </c>
      <c r="F98" s="1">
        <v>0.3</v>
      </c>
      <c r="G98" s="1" t="s">
        <v>221</v>
      </c>
      <c r="H98" s="1" t="s">
        <v>37</v>
      </c>
      <c r="J98" s="1">
        <v>29</v>
      </c>
      <c r="K98" s="1">
        <v>9.32</v>
      </c>
      <c r="L98" s="1">
        <v>1.1000000000000001</v>
      </c>
      <c r="M98" s="151">
        <v>-4.0000000000000001E-3</v>
      </c>
      <c r="N98" s="1">
        <v>0.3</v>
      </c>
      <c r="O98" s="151">
        <v>-4.0000000000000001E-3</v>
      </c>
      <c r="P98" s="151">
        <v>-4.0000000000000001E-3</v>
      </c>
      <c r="Q98" s="151">
        <v>-4.0000000000000001E-3</v>
      </c>
      <c r="R98" s="151">
        <v>-4.0000000000000001E-3</v>
      </c>
      <c r="S98" s="151">
        <v>-4.0000000000000001E-3</v>
      </c>
      <c r="T98" s="151">
        <v>-4.0000000000000001E-3</v>
      </c>
      <c r="U98" s="151">
        <v>-4.0000000000000001E-3</v>
      </c>
      <c r="V98" s="151">
        <v>-4.0000000000000001E-3</v>
      </c>
      <c r="W98" s="151">
        <v>-4.0000000000000002E-4</v>
      </c>
      <c r="X98" s="151">
        <v>-4.0000000000000001E-3</v>
      </c>
      <c r="Y98" s="151">
        <v>-4.0000000000000001E-3</v>
      </c>
      <c r="Z98" s="151">
        <v>-4.0000000000000001E-3</v>
      </c>
      <c r="AA98" s="151">
        <v>-4.0000000000000001E-3</v>
      </c>
      <c r="AB98" s="151">
        <v>-4.0000000000000001E-3</v>
      </c>
      <c r="AC98" s="151">
        <v>-4.0000000000000001E-3</v>
      </c>
      <c r="AD98" s="151">
        <v>-4.0000000000000002E-4</v>
      </c>
      <c r="AE98" s="151">
        <v>-4.0000000000000001E-3</v>
      </c>
      <c r="AF98" s="151">
        <v>-4.0000000000000002E-4</v>
      </c>
      <c r="AI98" s="1" t="s">
        <v>221</v>
      </c>
      <c r="AJ98" s="1" t="s">
        <v>1748</v>
      </c>
      <c r="AK98" s="1" t="s">
        <v>37</v>
      </c>
      <c r="AL98" s="749" t="s">
        <v>1784</v>
      </c>
    </row>
    <row r="99" spans="1:38">
      <c r="A99" s="1" t="s">
        <v>1785</v>
      </c>
      <c r="B99" s="1">
        <v>126</v>
      </c>
      <c r="C99" s="1">
        <v>30</v>
      </c>
      <c r="D99" s="1">
        <v>7.55</v>
      </c>
      <c r="E99" s="1">
        <v>0.61</v>
      </c>
      <c r="F99" s="1">
        <v>0.15</v>
      </c>
      <c r="G99" s="1" t="s">
        <v>221</v>
      </c>
      <c r="H99" s="1" t="s">
        <v>2788</v>
      </c>
      <c r="J99" s="1">
        <v>37</v>
      </c>
      <c r="K99" s="1">
        <v>7.55</v>
      </c>
      <c r="L99" s="1">
        <v>0.6</v>
      </c>
      <c r="M99" s="4">
        <v>0.24</v>
      </c>
      <c r="N99" s="1">
        <v>0.217</v>
      </c>
      <c r="O99" s="4">
        <v>4.7E-2</v>
      </c>
      <c r="P99" s="4">
        <v>1</v>
      </c>
      <c r="Q99" s="4">
        <v>137</v>
      </c>
      <c r="R99" s="4">
        <v>9</v>
      </c>
      <c r="S99" s="4">
        <v>3</v>
      </c>
      <c r="T99" s="4">
        <v>12</v>
      </c>
      <c r="U99" s="4">
        <v>0.36</v>
      </c>
      <c r="V99" s="4">
        <v>0.1</v>
      </c>
      <c r="W99" s="4">
        <v>6.5000000000000002E-2</v>
      </c>
      <c r="X99" s="4">
        <v>33</v>
      </c>
      <c r="Y99" s="4">
        <v>4.2999999999999997E-2</v>
      </c>
      <c r="Z99" s="4">
        <v>0.05</v>
      </c>
      <c r="AA99" s="4">
        <v>0.27</v>
      </c>
      <c r="AB99" s="4">
        <v>7.0000000000000007E-2</v>
      </c>
      <c r="AC99" s="4">
        <v>4</v>
      </c>
      <c r="AD99" s="151">
        <v>-4.0000000000000002E-4</v>
      </c>
      <c r="AE99" s="4">
        <v>7.44</v>
      </c>
      <c r="AF99" s="4">
        <v>0</v>
      </c>
      <c r="AI99" s="1" t="s">
        <v>221</v>
      </c>
      <c r="AJ99" s="1" t="s">
        <v>1748</v>
      </c>
      <c r="AK99" s="1" t="s">
        <v>38</v>
      </c>
      <c r="AL99" s="749" t="s">
        <v>1785</v>
      </c>
    </row>
    <row r="100" spans="1:38">
      <c r="A100" s="1" t="s">
        <v>1786</v>
      </c>
      <c r="B100" s="1">
        <v>218</v>
      </c>
      <c r="C100" s="1">
        <v>52</v>
      </c>
      <c r="D100" s="1">
        <v>11.94</v>
      </c>
      <c r="E100" s="1">
        <v>1.2</v>
      </c>
      <c r="F100" s="1">
        <v>0.65</v>
      </c>
      <c r="G100" s="1" t="s">
        <v>221</v>
      </c>
      <c r="H100" s="1" t="s">
        <v>2789</v>
      </c>
      <c r="J100" s="1">
        <v>54.5</v>
      </c>
      <c r="K100" s="1">
        <v>11.3</v>
      </c>
      <c r="L100" s="1">
        <v>1.4</v>
      </c>
      <c r="M100" s="4">
        <v>4.4000000000000004</v>
      </c>
      <c r="N100" s="82">
        <v>1.4</v>
      </c>
      <c r="O100" s="4">
        <v>0.104</v>
      </c>
      <c r="P100" s="4">
        <v>2</v>
      </c>
      <c r="Q100" s="4">
        <v>228</v>
      </c>
      <c r="R100" s="4">
        <v>19.7</v>
      </c>
      <c r="S100" s="4">
        <v>17</v>
      </c>
      <c r="T100" s="4">
        <v>38</v>
      </c>
      <c r="U100" s="4">
        <v>0.55000000000000004</v>
      </c>
      <c r="V100" s="4">
        <v>0.34</v>
      </c>
      <c r="W100" s="4">
        <v>0.105</v>
      </c>
      <c r="X100" s="4">
        <v>3.5</v>
      </c>
      <c r="Y100" s="4">
        <v>0.03</v>
      </c>
      <c r="Z100" s="4">
        <v>0.05</v>
      </c>
      <c r="AA100" s="4">
        <v>0.75</v>
      </c>
      <c r="AB100" s="4">
        <v>0.09</v>
      </c>
      <c r="AC100" s="4">
        <v>44</v>
      </c>
      <c r="AD100" s="4">
        <v>0</v>
      </c>
      <c r="AE100" s="4">
        <v>24</v>
      </c>
      <c r="AF100" s="4">
        <v>0</v>
      </c>
      <c r="AI100" s="1" t="s">
        <v>221</v>
      </c>
      <c r="AJ100" s="1" t="s">
        <v>1748</v>
      </c>
      <c r="AK100" s="1" t="s">
        <v>39</v>
      </c>
      <c r="AL100" s="749" t="s">
        <v>1786</v>
      </c>
    </row>
    <row r="101" spans="1:38">
      <c r="A101" s="1" t="s">
        <v>3440</v>
      </c>
      <c r="B101" s="1">
        <v>223</v>
      </c>
      <c r="C101" s="1">
        <v>53</v>
      </c>
      <c r="D101" s="1">
        <v>13.34</v>
      </c>
      <c r="E101" s="1">
        <v>0.81</v>
      </c>
      <c r="F101" s="1">
        <v>0.31</v>
      </c>
      <c r="G101" s="1" t="s">
        <v>221</v>
      </c>
      <c r="H101" s="38" t="s">
        <v>287</v>
      </c>
      <c r="I101" s="38">
        <v>3</v>
      </c>
      <c r="J101" s="39">
        <v>48.5</v>
      </c>
      <c r="K101" s="40">
        <v>9.19</v>
      </c>
      <c r="L101" s="40">
        <v>0.8</v>
      </c>
      <c r="M101" s="40">
        <v>1.7</v>
      </c>
      <c r="N101" s="40">
        <v>0.18999999999999997</v>
      </c>
      <c r="O101" s="45">
        <v>0</v>
      </c>
      <c r="P101" s="41">
        <v>6.46</v>
      </c>
      <c r="Q101" s="42">
        <v>154</v>
      </c>
      <c r="R101" s="42">
        <v>25.2</v>
      </c>
      <c r="S101" s="42">
        <v>12.4</v>
      </c>
      <c r="T101" s="42">
        <v>23</v>
      </c>
      <c r="U101" s="42">
        <v>8.9636363636363625E-2</v>
      </c>
      <c r="V101" s="42">
        <v>5.9363636363636355E-2</v>
      </c>
      <c r="W101" s="44">
        <v>3.5363636363636361E-2</v>
      </c>
      <c r="X101" s="42">
        <v>3</v>
      </c>
      <c r="Y101" s="42">
        <v>0.09</v>
      </c>
      <c r="Z101" s="42">
        <v>1.9999999999999997E-2</v>
      </c>
      <c r="AA101" s="42">
        <v>0.3</v>
      </c>
      <c r="AB101" s="42">
        <v>0.05</v>
      </c>
      <c r="AC101" s="42">
        <v>26.7</v>
      </c>
      <c r="AD101" s="37">
        <v>0</v>
      </c>
      <c r="AE101" s="42">
        <v>18.7</v>
      </c>
      <c r="AF101" s="37">
        <v>0</v>
      </c>
      <c r="AI101" s="1" t="s">
        <v>221</v>
      </c>
      <c r="AJ101" s="1" t="s">
        <v>1748</v>
      </c>
      <c r="AK101" s="38" t="s">
        <v>287</v>
      </c>
      <c r="AL101" s="749" t="s">
        <v>1787</v>
      </c>
    </row>
    <row r="102" spans="1:38">
      <c r="A102" s="1" t="s">
        <v>3318</v>
      </c>
      <c r="B102" s="10">
        <v>523</v>
      </c>
      <c r="C102" s="1">
        <v>125</v>
      </c>
      <c r="D102" s="1">
        <v>6.26</v>
      </c>
      <c r="E102" s="1">
        <v>0.84</v>
      </c>
      <c r="F102" s="1">
        <v>10.7</v>
      </c>
      <c r="G102" s="1" t="s">
        <v>221</v>
      </c>
      <c r="H102" s="1" t="s">
        <v>2790</v>
      </c>
      <c r="J102" s="1">
        <v>125</v>
      </c>
      <c r="K102" s="1">
        <v>1.3</v>
      </c>
      <c r="L102" s="1">
        <v>0.97</v>
      </c>
      <c r="M102" s="4">
        <v>5.4</v>
      </c>
      <c r="N102" s="1">
        <v>13.2</v>
      </c>
      <c r="O102" s="4">
        <v>1.75</v>
      </c>
      <c r="P102" s="4">
        <v>1680</v>
      </c>
      <c r="Q102" s="4">
        <v>39.299999999999997</v>
      </c>
      <c r="R102" s="4">
        <v>61</v>
      </c>
      <c r="S102" s="4">
        <v>19</v>
      </c>
      <c r="T102" s="4">
        <v>10.6</v>
      </c>
      <c r="U102" s="4">
        <v>0.96</v>
      </c>
      <c r="V102" s="4">
        <v>0.23</v>
      </c>
      <c r="W102" s="4">
        <v>0.21</v>
      </c>
      <c r="X102" s="4">
        <v>30</v>
      </c>
      <c r="Y102" s="4">
        <v>2.1000000000000001E-2</v>
      </c>
      <c r="Z102" s="4">
        <v>7.0000000000000001E-3</v>
      </c>
      <c r="AA102" s="4">
        <v>0.23699999999999999</v>
      </c>
      <c r="AB102" s="4">
        <v>3.1E-2</v>
      </c>
      <c r="AC102" s="4">
        <v>4.7</v>
      </c>
      <c r="AD102" s="4">
        <v>0</v>
      </c>
      <c r="AE102" s="4">
        <v>0</v>
      </c>
      <c r="AF102" s="4">
        <v>0</v>
      </c>
      <c r="AI102" s="1" t="s">
        <v>221</v>
      </c>
      <c r="AJ102" s="1" t="s">
        <v>1748</v>
      </c>
      <c r="AK102" s="1" t="s">
        <v>40</v>
      </c>
      <c r="AL102" s="749" t="s">
        <v>1788</v>
      </c>
    </row>
    <row r="103" spans="1:38">
      <c r="A103" s="1" t="s">
        <v>1789</v>
      </c>
      <c r="B103" s="10">
        <v>2192.4</v>
      </c>
      <c r="C103" s="1">
        <v>524</v>
      </c>
      <c r="D103" s="1">
        <v>49</v>
      </c>
      <c r="E103" s="1">
        <v>6</v>
      </c>
      <c r="F103" s="1">
        <v>36</v>
      </c>
      <c r="G103" s="1" t="s">
        <v>221</v>
      </c>
      <c r="H103" s="1" t="s">
        <v>2791</v>
      </c>
      <c r="J103" s="1">
        <v>525</v>
      </c>
      <c r="K103" s="1">
        <v>28.5</v>
      </c>
      <c r="L103" s="1">
        <v>5.84</v>
      </c>
      <c r="M103" s="4">
        <v>20.8</v>
      </c>
      <c r="N103" s="1">
        <v>36.31</v>
      </c>
      <c r="O103" s="4">
        <v>25.94</v>
      </c>
      <c r="P103" s="4">
        <v>16</v>
      </c>
      <c r="Q103" s="4">
        <v>350</v>
      </c>
      <c r="R103" s="4">
        <v>184</v>
      </c>
      <c r="S103" s="4">
        <v>183</v>
      </c>
      <c r="T103" s="4">
        <v>213</v>
      </c>
      <c r="U103" s="4">
        <v>3.04</v>
      </c>
      <c r="V103" s="4">
        <v>2.15</v>
      </c>
      <c r="W103" s="4">
        <v>1.03</v>
      </c>
      <c r="X103" s="151">
        <v>-4.0000000000000001E-3</v>
      </c>
      <c r="Y103" s="4">
        <v>0.35</v>
      </c>
      <c r="Z103" s="4">
        <v>0.06</v>
      </c>
      <c r="AA103" s="151">
        <v>-4.0000000000000001E-3</v>
      </c>
      <c r="AB103" s="4">
        <v>0.16</v>
      </c>
      <c r="AC103" s="4">
        <v>76</v>
      </c>
      <c r="AD103" s="151">
        <v>-4.0000000000000002E-4</v>
      </c>
      <c r="AE103" s="4">
        <v>3</v>
      </c>
      <c r="AF103" s="151">
        <v>-4.0000000000000002E-4</v>
      </c>
      <c r="AI103" s="1" t="s">
        <v>221</v>
      </c>
      <c r="AJ103" s="1" t="s">
        <v>1748</v>
      </c>
      <c r="AK103" s="1" t="s">
        <v>41</v>
      </c>
      <c r="AL103" s="749" t="s">
        <v>1789</v>
      </c>
    </row>
    <row r="104" spans="1:38">
      <c r="A104" s="1" t="s">
        <v>1790</v>
      </c>
      <c r="B104" s="1">
        <v>262</v>
      </c>
      <c r="C104" s="1">
        <v>63</v>
      </c>
      <c r="D104" s="1">
        <v>15.5</v>
      </c>
      <c r="E104" s="1">
        <v>1.3</v>
      </c>
      <c r="F104" s="1">
        <v>0.3</v>
      </c>
      <c r="G104" s="1" t="s">
        <v>221</v>
      </c>
      <c r="H104" s="1" t="s">
        <v>2792</v>
      </c>
      <c r="J104" s="1">
        <v>46</v>
      </c>
      <c r="K104" s="1">
        <v>11.5</v>
      </c>
      <c r="L104" s="1">
        <v>0.7</v>
      </c>
      <c r="M104" s="4">
        <v>2</v>
      </c>
      <c r="N104" s="82">
        <v>0.3</v>
      </c>
      <c r="O104" s="4">
        <v>0</v>
      </c>
      <c r="P104" s="34">
        <v>1</v>
      </c>
      <c r="Q104" s="4">
        <v>169</v>
      </c>
      <c r="R104" s="4">
        <v>43</v>
      </c>
      <c r="S104" s="4">
        <v>10</v>
      </c>
      <c r="T104" s="4">
        <v>12</v>
      </c>
      <c r="U104" s="4">
        <v>0.09</v>
      </c>
      <c r="V104" s="4">
        <v>0.08</v>
      </c>
      <c r="W104" s="4">
        <v>3.9E-2</v>
      </c>
      <c r="X104" s="4">
        <v>11</v>
      </c>
      <c r="Y104" s="4">
        <v>0.1</v>
      </c>
      <c r="Z104" s="4">
        <v>0.04</v>
      </c>
      <c r="AA104" s="4">
        <v>0.4</v>
      </c>
      <c r="AB104" s="4">
        <v>5.0999999999999997E-2</v>
      </c>
      <c r="AC104" s="4">
        <v>17</v>
      </c>
      <c r="AD104" s="151">
        <v>-4.0000000000000002E-4</v>
      </c>
      <c r="AE104" s="4">
        <v>45</v>
      </c>
      <c r="AF104" s="4">
        <v>0</v>
      </c>
      <c r="AI104" s="1" t="s">
        <v>221</v>
      </c>
      <c r="AJ104" s="1" t="s">
        <v>1748</v>
      </c>
      <c r="AK104" s="1" t="s">
        <v>42</v>
      </c>
      <c r="AL104" s="749" t="s">
        <v>1790</v>
      </c>
    </row>
    <row r="105" spans="1:38">
      <c r="A105" s="1" t="s">
        <v>1791</v>
      </c>
      <c r="B105" s="1">
        <v>185</v>
      </c>
      <c r="C105" s="1">
        <v>44</v>
      </c>
      <c r="D105" s="1">
        <v>10.55</v>
      </c>
      <c r="E105" s="1">
        <v>1.06</v>
      </c>
      <c r="F105" s="1">
        <v>0.32</v>
      </c>
      <c r="G105" s="1" t="s">
        <v>221</v>
      </c>
      <c r="H105" s="1" t="s">
        <v>2793</v>
      </c>
      <c r="J105" s="1">
        <v>44</v>
      </c>
      <c r="K105" s="1">
        <v>10.6</v>
      </c>
      <c r="L105" s="1">
        <v>1.06</v>
      </c>
      <c r="M105" s="4">
        <v>1.7</v>
      </c>
      <c r="N105" s="1">
        <v>0.32</v>
      </c>
      <c r="O105" s="151">
        <v>-4.0000000000000001E-3</v>
      </c>
      <c r="P105" s="4">
        <v>0</v>
      </c>
      <c r="Q105" s="4">
        <v>201</v>
      </c>
      <c r="R105" s="4">
        <v>6</v>
      </c>
      <c r="S105" s="4">
        <v>9</v>
      </c>
      <c r="T105" s="4">
        <v>26</v>
      </c>
      <c r="U105" s="4">
        <v>0.28000000000000003</v>
      </c>
      <c r="V105" s="4">
        <v>0.17</v>
      </c>
      <c r="W105" s="4">
        <v>8.5999999999999993E-2</v>
      </c>
      <c r="X105" s="4">
        <v>17</v>
      </c>
      <c r="Y105" s="4">
        <v>3.4000000000000002E-2</v>
      </c>
      <c r="Z105" s="4">
        <v>2.7E-2</v>
      </c>
      <c r="AA105" s="4">
        <v>1.1299999999999999</v>
      </c>
      <c r="AB105" s="4">
        <v>2.5999999999999999E-2</v>
      </c>
      <c r="AC105" s="4">
        <v>2.6</v>
      </c>
      <c r="AD105" s="151">
        <v>-4.0000000000000002E-4</v>
      </c>
      <c r="AE105" s="4">
        <v>5.4</v>
      </c>
      <c r="AF105" s="151">
        <v>-4.0000000000000002E-4</v>
      </c>
      <c r="AI105" s="1" t="s">
        <v>221</v>
      </c>
      <c r="AJ105" s="1" t="s">
        <v>1748</v>
      </c>
      <c r="AK105" s="1" t="s">
        <v>43</v>
      </c>
      <c r="AL105" s="749" t="s">
        <v>1791</v>
      </c>
    </row>
    <row r="106" spans="1:38">
      <c r="A106" s="1" t="s">
        <v>1792</v>
      </c>
      <c r="B106" s="1">
        <v>2738</v>
      </c>
      <c r="C106" s="1">
        <v>654</v>
      </c>
      <c r="D106" s="1">
        <v>13.71</v>
      </c>
      <c r="E106" s="1">
        <v>15.23</v>
      </c>
      <c r="F106" s="1">
        <v>65.209999999999994</v>
      </c>
      <c r="G106" s="1" t="s">
        <v>221</v>
      </c>
      <c r="H106" s="1" t="s">
        <v>2794</v>
      </c>
      <c r="J106" s="1">
        <v>671</v>
      </c>
      <c r="K106" s="1">
        <v>8.57</v>
      </c>
      <c r="L106" s="1">
        <v>15.8</v>
      </c>
      <c r="M106" s="4">
        <v>5.93</v>
      </c>
      <c r="N106" s="1">
        <v>63.4</v>
      </c>
      <c r="O106" s="4">
        <v>6.68</v>
      </c>
      <c r="P106" s="4">
        <v>4</v>
      </c>
      <c r="Q106" s="4">
        <v>575</v>
      </c>
      <c r="R106" s="4">
        <v>96</v>
      </c>
      <c r="S106" s="4">
        <v>159</v>
      </c>
      <c r="T106" s="4">
        <v>377</v>
      </c>
      <c r="U106" s="4">
        <v>2.73</v>
      </c>
      <c r="V106" s="4">
        <v>3.36</v>
      </c>
      <c r="W106" s="4">
        <v>1.38</v>
      </c>
      <c r="X106" s="4">
        <v>4</v>
      </c>
      <c r="Y106" s="4">
        <v>0.38</v>
      </c>
      <c r="Z106" s="4">
        <v>0.13</v>
      </c>
      <c r="AA106" s="4">
        <v>1.24</v>
      </c>
      <c r="AB106" s="4">
        <v>0.7</v>
      </c>
      <c r="AC106" s="4">
        <v>78</v>
      </c>
      <c r="AD106" s="151">
        <v>-4.0000000000000002E-4</v>
      </c>
      <c r="AE106" s="4">
        <v>5.23</v>
      </c>
      <c r="AF106" s="4">
        <v>0</v>
      </c>
      <c r="AI106" s="1" t="s">
        <v>221</v>
      </c>
      <c r="AJ106" s="1" t="s">
        <v>1748</v>
      </c>
      <c r="AK106" s="1" t="s">
        <v>44</v>
      </c>
      <c r="AL106" s="749" t="s">
        <v>1792</v>
      </c>
    </row>
    <row r="107" spans="1:38">
      <c r="A107" s="1" t="s">
        <v>3319</v>
      </c>
      <c r="B107" s="1">
        <v>262</v>
      </c>
      <c r="C107" s="1">
        <v>63</v>
      </c>
      <c r="D107" s="1">
        <v>15.5</v>
      </c>
      <c r="E107" s="1">
        <v>1.3</v>
      </c>
      <c r="F107" s="1">
        <v>0.3</v>
      </c>
      <c r="G107" s="1" t="s">
        <v>221</v>
      </c>
      <c r="H107" s="1" t="s">
        <v>2795</v>
      </c>
      <c r="J107" s="1">
        <v>46</v>
      </c>
      <c r="K107" s="1">
        <v>11.5</v>
      </c>
      <c r="L107" s="1">
        <v>0.7</v>
      </c>
      <c r="M107" s="4">
        <v>2</v>
      </c>
      <c r="N107" s="82">
        <v>0.3</v>
      </c>
      <c r="O107" s="4">
        <v>0</v>
      </c>
      <c r="P107" s="34">
        <v>1</v>
      </c>
      <c r="Q107" s="4">
        <v>169</v>
      </c>
      <c r="R107" s="4">
        <v>43</v>
      </c>
      <c r="S107" s="4">
        <v>10</v>
      </c>
      <c r="T107" s="4">
        <v>12</v>
      </c>
      <c r="U107" s="4">
        <v>0.09</v>
      </c>
      <c r="V107" s="4">
        <v>0.08</v>
      </c>
      <c r="W107" s="4">
        <v>3.9E-2</v>
      </c>
      <c r="X107" s="4">
        <v>11</v>
      </c>
      <c r="Y107" s="4">
        <v>0.1</v>
      </c>
      <c r="Z107" s="4">
        <v>0.04</v>
      </c>
      <c r="AA107" s="4">
        <v>0.4</v>
      </c>
      <c r="AB107" s="4">
        <v>5.0999999999999997E-2</v>
      </c>
      <c r="AC107" s="4">
        <v>17</v>
      </c>
      <c r="AD107" s="151">
        <v>-4.0000000000000002E-4</v>
      </c>
      <c r="AE107" s="4">
        <v>45</v>
      </c>
      <c r="AF107" s="4">
        <v>0</v>
      </c>
      <c r="AI107" s="1" t="s">
        <v>221</v>
      </c>
      <c r="AJ107" s="1" t="s">
        <v>1748</v>
      </c>
      <c r="AK107" s="1" t="s">
        <v>45</v>
      </c>
      <c r="AL107" s="749" t="s">
        <v>1790</v>
      </c>
    </row>
    <row r="108" spans="1:38">
      <c r="A108" s="1" t="s">
        <v>467</v>
      </c>
      <c r="B108" s="1">
        <v>192</v>
      </c>
      <c r="C108" s="1">
        <v>46</v>
      </c>
      <c r="D108" s="1">
        <v>11.42</v>
      </c>
      <c r="E108" s="1">
        <v>0.7</v>
      </c>
      <c r="F108" s="1">
        <v>0.28000000000000003</v>
      </c>
      <c r="G108" s="1" t="s">
        <v>221</v>
      </c>
      <c r="H108" s="1" t="s">
        <v>2796</v>
      </c>
      <c r="J108" s="1">
        <v>66.7</v>
      </c>
      <c r="K108" s="1">
        <v>15.3</v>
      </c>
      <c r="L108" s="1">
        <v>0.7</v>
      </c>
      <c r="M108" s="4">
        <v>1.6</v>
      </c>
      <c r="N108" s="82">
        <v>0.3</v>
      </c>
      <c r="O108" s="4">
        <v>0.3</v>
      </c>
      <c r="P108" s="4">
        <v>6.3</v>
      </c>
      <c r="Q108" s="4">
        <v>183.3</v>
      </c>
      <c r="R108" s="4">
        <v>16</v>
      </c>
      <c r="S108" s="4">
        <v>8.5</v>
      </c>
      <c r="T108" s="4">
        <v>23.5</v>
      </c>
      <c r="U108" s="4">
        <v>0.5</v>
      </c>
      <c r="V108" s="151">
        <v>-4.0000000000000001E-3</v>
      </c>
      <c r="W108" s="4">
        <v>0.1</v>
      </c>
      <c r="X108" s="4">
        <v>31.9</v>
      </c>
      <c r="Y108" s="4">
        <v>5.2999999999999999E-2</v>
      </c>
      <c r="Z108" s="4">
        <v>3.5000000000000003E-2</v>
      </c>
      <c r="AA108" s="4">
        <v>0.53</v>
      </c>
      <c r="AB108" s="4">
        <v>6.5000000000000002E-2</v>
      </c>
      <c r="AC108" s="4">
        <v>3</v>
      </c>
      <c r="AD108" s="4">
        <v>0</v>
      </c>
      <c r="AE108" s="4">
        <v>5</v>
      </c>
      <c r="AF108" s="4">
        <v>0</v>
      </c>
      <c r="AI108" s="1" t="s">
        <v>221</v>
      </c>
      <c r="AJ108" s="1" t="s">
        <v>1748</v>
      </c>
      <c r="AK108" s="1" t="s">
        <v>46</v>
      </c>
      <c r="AL108" s="749" t="s">
        <v>1793</v>
      </c>
    </row>
    <row r="109" spans="1:38">
      <c r="A109" s="1" t="s">
        <v>3320</v>
      </c>
      <c r="B109" s="1">
        <v>310</v>
      </c>
      <c r="C109" s="1">
        <v>74</v>
      </c>
      <c r="D109" s="1">
        <v>19.18</v>
      </c>
      <c r="E109" s="1">
        <v>0.75</v>
      </c>
      <c r="F109" s="1">
        <v>0.3</v>
      </c>
      <c r="G109" s="1" t="s">
        <v>221</v>
      </c>
      <c r="H109" s="1" t="s">
        <v>2797</v>
      </c>
      <c r="J109" s="1">
        <v>73.099999999999994</v>
      </c>
      <c r="K109" s="1">
        <v>16.3</v>
      </c>
      <c r="L109" s="1">
        <v>1.3</v>
      </c>
      <c r="M109" s="4">
        <v>2</v>
      </c>
      <c r="N109" s="82">
        <v>0.3</v>
      </c>
      <c r="O109" s="4">
        <v>0.1</v>
      </c>
      <c r="P109" s="4">
        <v>2</v>
      </c>
      <c r="Q109" s="4">
        <v>221</v>
      </c>
      <c r="R109" s="4">
        <v>34.700000000000003</v>
      </c>
      <c r="S109" s="4">
        <v>18.5</v>
      </c>
      <c r="T109" s="4">
        <v>18</v>
      </c>
      <c r="U109" s="4">
        <v>0.6</v>
      </c>
      <c r="V109" s="4">
        <v>0.2</v>
      </c>
      <c r="W109" s="4">
        <v>0.1</v>
      </c>
      <c r="X109" s="4">
        <v>24</v>
      </c>
      <c r="Y109" s="4">
        <v>0.06</v>
      </c>
      <c r="Z109" s="4">
        <v>0.05</v>
      </c>
      <c r="AA109" s="4">
        <v>0.45</v>
      </c>
      <c r="AB109" s="4">
        <v>0.11</v>
      </c>
      <c r="AC109" s="4">
        <v>6.7</v>
      </c>
      <c r="AD109" s="151">
        <v>-4.0000000000000002E-4</v>
      </c>
      <c r="AE109" s="4">
        <v>2</v>
      </c>
      <c r="AF109" s="151">
        <v>-4.0000000000000002E-4</v>
      </c>
      <c r="AI109" s="1" t="s">
        <v>221</v>
      </c>
      <c r="AJ109" s="1" t="s">
        <v>1748</v>
      </c>
      <c r="AK109" s="1" t="s">
        <v>47</v>
      </c>
      <c r="AL109" s="749" t="s">
        <v>1794</v>
      </c>
    </row>
    <row r="110" spans="1:38">
      <c r="A110" s="1" t="s">
        <v>3321</v>
      </c>
      <c r="B110" s="1">
        <v>116</v>
      </c>
      <c r="C110" s="1">
        <v>28</v>
      </c>
      <c r="D110" s="1">
        <v>6.4</v>
      </c>
      <c r="E110" s="1">
        <v>0.8</v>
      </c>
      <c r="F110" s="1">
        <v>0.05</v>
      </c>
      <c r="G110" s="1" t="s">
        <v>221</v>
      </c>
      <c r="H110" s="1" t="s">
        <v>2798</v>
      </c>
      <c r="I110" s="749" t="s">
        <v>2799</v>
      </c>
      <c r="J110" s="1">
        <v>59</v>
      </c>
      <c r="K110" s="1">
        <v>11.8</v>
      </c>
      <c r="L110" s="1">
        <v>1</v>
      </c>
      <c r="M110" s="4">
        <v>4</v>
      </c>
      <c r="N110" s="82">
        <v>0.57999999999999996</v>
      </c>
      <c r="O110" s="4">
        <v>0.08</v>
      </c>
      <c r="P110" s="4">
        <v>1.5</v>
      </c>
      <c r="Q110" s="4">
        <v>196</v>
      </c>
      <c r="R110" s="4">
        <v>24.4</v>
      </c>
      <c r="S110" s="4">
        <v>15.5</v>
      </c>
      <c r="T110" s="4">
        <v>32.9</v>
      </c>
      <c r="U110" s="4">
        <v>0.61</v>
      </c>
      <c r="V110" s="4">
        <v>0.26</v>
      </c>
      <c r="W110" s="4">
        <v>0.1</v>
      </c>
      <c r="X110" s="4">
        <v>11.9</v>
      </c>
      <c r="Y110" s="4">
        <v>3.5000000000000003E-2</v>
      </c>
      <c r="Z110" s="4">
        <v>5.3999999999999999E-2</v>
      </c>
      <c r="AA110" s="4">
        <v>0.63700000000000001</v>
      </c>
      <c r="AB110" s="4">
        <v>6.5000000000000002E-2</v>
      </c>
      <c r="AC110" s="4">
        <v>23.7</v>
      </c>
      <c r="AD110" s="4">
        <v>0</v>
      </c>
      <c r="AE110" s="4">
        <v>37.9</v>
      </c>
      <c r="AF110" s="4">
        <v>0</v>
      </c>
      <c r="AI110" s="1" t="s">
        <v>221</v>
      </c>
      <c r="AJ110" s="1" t="s">
        <v>1748</v>
      </c>
      <c r="AK110" s="1" t="s">
        <v>53</v>
      </c>
      <c r="AL110" s="749" t="s">
        <v>1795</v>
      </c>
    </row>
    <row r="111" spans="1:38">
      <c r="A111" s="749" t="s">
        <v>3322</v>
      </c>
      <c r="B111" s="1">
        <v>1252</v>
      </c>
      <c r="C111" s="1">
        <v>299</v>
      </c>
      <c r="D111" s="1">
        <v>79.180000000000007</v>
      </c>
      <c r="E111" s="1">
        <v>3.07</v>
      </c>
      <c r="F111" s="1">
        <v>0.46</v>
      </c>
      <c r="G111" s="1" t="s">
        <v>221</v>
      </c>
      <c r="H111" s="1" t="s">
        <v>2800</v>
      </c>
      <c r="J111" s="1">
        <v>303</v>
      </c>
      <c r="K111" s="1">
        <v>75.5</v>
      </c>
      <c r="L111" s="1">
        <v>2.99</v>
      </c>
      <c r="M111" s="4">
        <v>3.07</v>
      </c>
      <c r="N111" s="82">
        <v>0.57799999999999996</v>
      </c>
      <c r="O111" s="4">
        <v>0.20200000000000001</v>
      </c>
      <c r="P111" s="4">
        <v>19.7</v>
      </c>
      <c r="Q111" s="4">
        <v>773</v>
      </c>
      <c r="R111" s="4">
        <v>63.8</v>
      </c>
      <c r="S111" s="4">
        <v>32.700000000000003</v>
      </c>
      <c r="T111" s="4">
        <v>97</v>
      </c>
      <c r="U111" s="4">
        <v>2.09</v>
      </c>
      <c r="V111" s="4">
        <v>0.253</v>
      </c>
      <c r="W111" s="4">
        <v>0.438</v>
      </c>
      <c r="X111" s="4">
        <v>1</v>
      </c>
      <c r="Y111" s="4">
        <v>7.5300000000000006E-2</v>
      </c>
      <c r="Z111" s="4">
        <v>0.16600000000000001</v>
      </c>
      <c r="AA111" s="4">
        <v>1.01</v>
      </c>
      <c r="AB111" s="4">
        <v>0.17799999999999999</v>
      </c>
      <c r="AC111" s="4">
        <v>27</v>
      </c>
      <c r="AD111" s="151">
        <v>-4.0000000000000002E-4</v>
      </c>
      <c r="AE111" s="4">
        <v>2.72</v>
      </c>
      <c r="AF111" s="151">
        <v>-4.0000000000000002E-4</v>
      </c>
      <c r="AI111" s="1" t="s">
        <v>221</v>
      </c>
      <c r="AJ111" s="1" t="s">
        <v>1748</v>
      </c>
      <c r="AK111" s="1" t="s">
        <v>48</v>
      </c>
      <c r="AL111" s="749" t="s">
        <v>1796</v>
      </c>
    </row>
    <row r="112" spans="1:38">
      <c r="A112" s="1" t="s">
        <v>3314</v>
      </c>
      <c r="B112" s="1">
        <v>1252</v>
      </c>
      <c r="C112" s="1">
        <v>299</v>
      </c>
      <c r="D112" s="1">
        <v>79.180000000000007</v>
      </c>
      <c r="E112" s="1">
        <v>3.07</v>
      </c>
      <c r="F112" s="1">
        <v>0.46</v>
      </c>
      <c r="G112" s="1" t="s">
        <v>221</v>
      </c>
      <c r="H112" s="1" t="s">
        <v>2801</v>
      </c>
      <c r="J112" s="1">
        <v>258</v>
      </c>
      <c r="K112" s="1">
        <v>55.7</v>
      </c>
      <c r="L112" s="1">
        <v>2.7</v>
      </c>
      <c r="M112" s="4">
        <v>7.6</v>
      </c>
      <c r="N112" s="1">
        <v>0.7</v>
      </c>
      <c r="O112" s="4">
        <v>0.17699999999999999</v>
      </c>
      <c r="P112" s="4">
        <v>3</v>
      </c>
      <c r="Q112" s="4">
        <v>416</v>
      </c>
      <c r="R112" s="4">
        <v>41.8</v>
      </c>
      <c r="S112" s="4">
        <v>24</v>
      </c>
      <c r="T112" s="4">
        <v>78.2</v>
      </c>
      <c r="U112" s="4">
        <v>1.1000000000000001</v>
      </c>
      <c r="V112" s="4">
        <v>0.53</v>
      </c>
      <c r="W112" s="4">
        <v>0.38</v>
      </c>
      <c r="X112" s="4">
        <v>42.8</v>
      </c>
      <c r="Y112" s="4">
        <v>0.08</v>
      </c>
      <c r="Z112" s="4">
        <v>0.09</v>
      </c>
      <c r="AA112" s="4">
        <v>1.95</v>
      </c>
      <c r="AB112" s="4">
        <v>0.15</v>
      </c>
      <c r="AC112" s="4">
        <v>4</v>
      </c>
      <c r="AD112" s="4">
        <v>0</v>
      </c>
      <c r="AE112" s="4">
        <v>4</v>
      </c>
      <c r="AF112" s="4">
        <v>0</v>
      </c>
      <c r="AI112" s="1" t="s">
        <v>221</v>
      </c>
      <c r="AJ112" s="1" t="s">
        <v>1748</v>
      </c>
      <c r="AK112" s="1" t="s">
        <v>48</v>
      </c>
      <c r="AL112" s="749" t="s">
        <v>1796</v>
      </c>
    </row>
    <row r="113" spans="1:38">
      <c r="A113" s="1" t="s">
        <v>3323</v>
      </c>
      <c r="B113" s="1">
        <v>263</v>
      </c>
      <c r="C113" s="1">
        <v>63</v>
      </c>
      <c r="D113" s="1">
        <v>16.010000000000002</v>
      </c>
      <c r="E113" s="1">
        <v>1.06</v>
      </c>
      <c r="F113" s="1">
        <v>0.2</v>
      </c>
      <c r="G113" s="1" t="s">
        <v>221</v>
      </c>
      <c r="H113" s="1" t="s">
        <v>2802</v>
      </c>
      <c r="J113" s="1">
        <v>60</v>
      </c>
      <c r="K113" s="1">
        <v>13.3</v>
      </c>
      <c r="L113" s="1">
        <v>0.9</v>
      </c>
      <c r="M113" s="4">
        <v>1.9</v>
      </c>
      <c r="N113" s="1">
        <v>0.31</v>
      </c>
      <c r="O113" s="4">
        <v>7.0000000000000007E-2</v>
      </c>
      <c r="P113" s="4">
        <v>3</v>
      </c>
      <c r="Q113" s="4">
        <v>235</v>
      </c>
      <c r="R113" s="4">
        <v>17</v>
      </c>
      <c r="S113" s="4">
        <v>13</v>
      </c>
      <c r="T113" s="4">
        <v>24</v>
      </c>
      <c r="U113" s="4">
        <v>0.35</v>
      </c>
      <c r="V113" s="4">
        <v>7.4999999999999997E-2</v>
      </c>
      <c r="W113" s="4">
        <v>0.1</v>
      </c>
      <c r="X113" s="4">
        <v>6</v>
      </c>
      <c r="Y113" s="4">
        <v>3.9E-2</v>
      </c>
      <c r="Z113" s="4">
        <v>4.2000000000000003E-2</v>
      </c>
      <c r="AA113" s="4">
        <v>0.40300000000000002</v>
      </c>
      <c r="AB113" s="4">
        <v>4.4999999999999998E-2</v>
      </c>
      <c r="AC113" s="4">
        <v>7</v>
      </c>
      <c r="AD113" s="151">
        <v>-4.0000000000000002E-4</v>
      </c>
      <c r="AE113" s="4">
        <v>15</v>
      </c>
      <c r="AF113" s="4">
        <v>0</v>
      </c>
      <c r="AI113" s="1" t="s">
        <v>221</v>
      </c>
      <c r="AJ113" s="1" t="s">
        <v>1748</v>
      </c>
      <c r="AK113" s="1" t="s">
        <v>49</v>
      </c>
      <c r="AL113" s="749" t="s">
        <v>1797</v>
      </c>
    </row>
    <row r="114" spans="1:38">
      <c r="A114" s="24" t="s">
        <v>3324</v>
      </c>
      <c r="B114" s="24">
        <v>209</v>
      </c>
      <c r="C114" s="24">
        <v>50</v>
      </c>
      <c r="D114" s="24">
        <v>12.18</v>
      </c>
      <c r="E114" s="24">
        <v>1</v>
      </c>
      <c r="F114" s="24">
        <v>0.3</v>
      </c>
      <c r="G114" s="24" t="s">
        <v>221</v>
      </c>
      <c r="H114" s="38" t="s">
        <v>2803</v>
      </c>
      <c r="I114" s="38">
        <v>3</v>
      </c>
      <c r="J114" s="39">
        <v>60</v>
      </c>
      <c r="K114" s="40">
        <v>11.4</v>
      </c>
      <c r="L114" s="40">
        <v>0.93600000000000005</v>
      </c>
      <c r="M114" s="40">
        <v>1.6</v>
      </c>
      <c r="N114" s="40">
        <v>0.42</v>
      </c>
      <c r="O114" s="40">
        <v>9.1999999999999998E-2</v>
      </c>
      <c r="P114" s="41">
        <v>4</v>
      </c>
      <c r="Q114" s="42">
        <v>120</v>
      </c>
      <c r="R114" s="42">
        <v>8</v>
      </c>
      <c r="S114" s="42">
        <v>8</v>
      </c>
      <c r="T114" s="42">
        <v>20</v>
      </c>
      <c r="U114" s="42">
        <v>0.624</v>
      </c>
      <c r="V114" s="42">
        <v>0.104</v>
      </c>
      <c r="W114" s="44">
        <v>0.104</v>
      </c>
      <c r="X114" s="42">
        <v>47</v>
      </c>
      <c r="Y114" s="42">
        <v>0.01</v>
      </c>
      <c r="Z114" s="42">
        <v>0.01</v>
      </c>
      <c r="AA114" s="42">
        <v>4.2000000000000003E-2</v>
      </c>
      <c r="AB114" s="37">
        <v>0.05</v>
      </c>
      <c r="AC114" s="42">
        <v>1</v>
      </c>
      <c r="AD114" s="151">
        <v>-4.0000000000000002E-4</v>
      </c>
      <c r="AE114" s="4">
        <v>6.4</v>
      </c>
      <c r="AF114" s="151">
        <v>-4.0000000000000002E-4</v>
      </c>
      <c r="AI114" s="24" t="s">
        <v>221</v>
      </c>
      <c r="AJ114" s="1" t="s">
        <v>1748</v>
      </c>
      <c r="AK114" s="38" t="s">
        <v>289</v>
      </c>
      <c r="AL114" s="749" t="s">
        <v>289</v>
      </c>
    </row>
    <row r="115" spans="1:38">
      <c r="A115" s="1" t="s">
        <v>3445</v>
      </c>
      <c r="B115" s="1">
        <v>264</v>
      </c>
      <c r="C115" s="1">
        <v>62</v>
      </c>
      <c r="D115" s="1">
        <v>10</v>
      </c>
      <c r="E115" s="1">
        <v>3.3</v>
      </c>
      <c r="F115" s="1">
        <v>1</v>
      </c>
      <c r="G115" s="1" t="s">
        <v>222</v>
      </c>
      <c r="H115" s="1" t="s">
        <v>2804</v>
      </c>
      <c r="J115" s="1">
        <v>68.099999999999994</v>
      </c>
      <c r="K115" s="1">
        <v>10.8</v>
      </c>
      <c r="L115" s="1">
        <v>3.6</v>
      </c>
      <c r="M115" s="4">
        <v>0.56699999999999995</v>
      </c>
      <c r="N115" s="1">
        <v>1.07</v>
      </c>
      <c r="O115" s="22">
        <v>0.7</v>
      </c>
      <c r="P115" s="23">
        <v>42.8</v>
      </c>
      <c r="Q115" s="3">
        <v>154</v>
      </c>
      <c r="R115" s="3">
        <v>10.8</v>
      </c>
      <c r="S115" s="3">
        <v>18</v>
      </c>
      <c r="T115" s="3">
        <v>89</v>
      </c>
      <c r="U115" s="3">
        <v>0.24299999999999999</v>
      </c>
      <c r="V115" s="3">
        <v>0.45300000000000001</v>
      </c>
      <c r="W115" s="1143">
        <v>0.125</v>
      </c>
      <c r="X115" s="78">
        <v>26</v>
      </c>
      <c r="Y115" s="3">
        <v>3.9800000000000002E-2</v>
      </c>
      <c r="Z115" s="3">
        <v>0.16900000000000001</v>
      </c>
      <c r="AA115" s="3">
        <v>0.151</v>
      </c>
      <c r="AB115" s="3">
        <v>2.8500000000000001E-2</v>
      </c>
      <c r="AC115" s="3">
        <v>2.8</v>
      </c>
      <c r="AD115" s="3">
        <v>0.20499999999999999</v>
      </c>
      <c r="AE115" s="37">
        <v>0</v>
      </c>
      <c r="AF115" s="36">
        <v>0.45</v>
      </c>
      <c r="AI115" s="1" t="s">
        <v>222</v>
      </c>
      <c r="AJ115" s="1" t="s">
        <v>1749</v>
      </c>
      <c r="AK115" s="1" t="s">
        <v>1154</v>
      </c>
      <c r="AL115" s="749" t="s">
        <v>1802</v>
      </c>
    </row>
    <row r="116" spans="1:38">
      <c r="A116" s="1" t="s">
        <v>3446</v>
      </c>
      <c r="B116" s="1">
        <v>264</v>
      </c>
      <c r="C116" s="1">
        <v>62</v>
      </c>
      <c r="D116" s="1">
        <v>10</v>
      </c>
      <c r="E116" s="1">
        <v>3.3</v>
      </c>
      <c r="F116" s="1">
        <v>1</v>
      </c>
      <c r="G116" s="1" t="s">
        <v>222</v>
      </c>
      <c r="H116" s="1" t="s">
        <v>2804</v>
      </c>
      <c r="J116" s="1">
        <v>68.099999999999994</v>
      </c>
      <c r="K116" s="1">
        <v>10.8</v>
      </c>
      <c r="L116" s="1">
        <v>3.6</v>
      </c>
      <c r="M116" s="4">
        <v>0.56699999999999995</v>
      </c>
      <c r="N116" s="1">
        <v>1.07</v>
      </c>
      <c r="O116" s="22">
        <v>0.7</v>
      </c>
      <c r="P116" s="23">
        <v>42.8</v>
      </c>
      <c r="Q116" s="3">
        <v>154</v>
      </c>
      <c r="R116" s="3">
        <v>10.8</v>
      </c>
      <c r="S116" s="3">
        <v>18</v>
      </c>
      <c r="T116" s="3">
        <v>89</v>
      </c>
      <c r="U116" s="3">
        <v>0.24299999999999999</v>
      </c>
      <c r="V116" s="3">
        <v>0.45300000000000001</v>
      </c>
      <c r="W116" s="1143">
        <v>0.125</v>
      </c>
      <c r="X116" s="78">
        <v>26</v>
      </c>
      <c r="Y116" s="3">
        <v>3.9800000000000002E-2</v>
      </c>
      <c r="Z116" s="3">
        <v>0.16900000000000001</v>
      </c>
      <c r="AA116" s="3">
        <v>0.151</v>
      </c>
      <c r="AB116" s="3">
        <v>2.8500000000000001E-2</v>
      </c>
      <c r="AC116" s="3">
        <v>2.8</v>
      </c>
      <c r="AD116" s="3">
        <v>0.20499999999999999</v>
      </c>
      <c r="AE116" s="37">
        <v>0</v>
      </c>
      <c r="AF116" s="36">
        <v>0.45</v>
      </c>
      <c r="AI116" s="1" t="s">
        <v>222</v>
      </c>
      <c r="AJ116" s="1" t="s">
        <v>1749</v>
      </c>
      <c r="AK116" s="1" t="s">
        <v>1154</v>
      </c>
      <c r="AL116" s="749" t="s">
        <v>1802</v>
      </c>
    </row>
    <row r="117" spans="1:38">
      <c r="A117" s="1" t="s">
        <v>1803</v>
      </c>
      <c r="B117" s="1">
        <v>385</v>
      </c>
      <c r="C117" s="1">
        <v>92</v>
      </c>
      <c r="D117" s="1">
        <v>10</v>
      </c>
      <c r="E117" s="1">
        <v>3</v>
      </c>
      <c r="F117" s="1">
        <v>4</v>
      </c>
      <c r="G117" s="1" t="s">
        <v>223</v>
      </c>
      <c r="H117" s="1" t="s">
        <v>249</v>
      </c>
      <c r="J117" s="1">
        <v>92</v>
      </c>
      <c r="K117" s="1">
        <v>10</v>
      </c>
      <c r="L117" s="1">
        <v>3</v>
      </c>
      <c r="M117" s="467">
        <v>-4.0000000000000002E-4</v>
      </c>
      <c r="N117" s="1">
        <v>4</v>
      </c>
      <c r="O117" s="4">
        <v>2</v>
      </c>
      <c r="P117" s="4">
        <v>45</v>
      </c>
      <c r="Q117" s="4">
        <v>150</v>
      </c>
      <c r="R117" s="4">
        <v>125</v>
      </c>
      <c r="S117" s="4">
        <v>-4.0000000000000002E-4</v>
      </c>
      <c r="T117" s="4">
        <v>90</v>
      </c>
      <c r="U117" s="4">
        <v>0.2</v>
      </c>
      <c r="V117" s="467">
        <v>-4.0000000000000002E-4</v>
      </c>
      <c r="W117" s="467">
        <v>-4.0000000000000002E-4</v>
      </c>
      <c r="X117" s="4">
        <v>30</v>
      </c>
      <c r="Y117" s="4">
        <v>0.03</v>
      </c>
      <c r="Z117" s="4">
        <v>0.15</v>
      </c>
      <c r="AA117" s="4">
        <v>0.1</v>
      </c>
      <c r="AB117" s="4">
        <v>0.03</v>
      </c>
      <c r="AC117" s="467">
        <v>-4.0000000000000002E-4</v>
      </c>
      <c r="AD117" s="467">
        <v>-4.0000000000000002E-4</v>
      </c>
      <c r="AE117" s="467">
        <v>-4.0000000000000002E-4</v>
      </c>
      <c r="AF117" s="467">
        <v>-4.0000000000000002E-4</v>
      </c>
      <c r="AI117" s="1" t="s">
        <v>223</v>
      </c>
      <c r="AJ117" s="1" t="s">
        <v>1749</v>
      </c>
      <c r="AK117" s="1" t="s">
        <v>249</v>
      </c>
      <c r="AL117" s="749" t="s">
        <v>1803</v>
      </c>
    </row>
    <row r="118" spans="1:38">
      <c r="A118" s="1" t="s">
        <v>3448</v>
      </c>
      <c r="B118" s="1">
        <v>227</v>
      </c>
      <c r="C118" s="1">
        <v>54</v>
      </c>
      <c r="D118" s="1">
        <v>4.2</v>
      </c>
      <c r="E118" s="1">
        <v>3.1</v>
      </c>
      <c r="F118" s="1">
        <v>2.8</v>
      </c>
      <c r="G118" s="1" t="s">
        <v>222</v>
      </c>
      <c r="H118" s="47" t="s">
        <v>2805</v>
      </c>
      <c r="I118" s="47">
        <v>7</v>
      </c>
      <c r="J118" s="1144">
        <v>51</v>
      </c>
      <c r="K118" s="1144">
        <v>4.3</v>
      </c>
      <c r="L118" s="1144">
        <v>4.5</v>
      </c>
      <c r="M118" s="1144">
        <v>0</v>
      </c>
      <c r="N118" s="1144">
        <v>1.5</v>
      </c>
      <c r="O118" s="4">
        <v>0.97</v>
      </c>
      <c r="P118" s="4">
        <v>51</v>
      </c>
      <c r="Q118" s="4">
        <v>167</v>
      </c>
      <c r="R118" s="4">
        <v>157</v>
      </c>
      <c r="S118" s="4">
        <v>14</v>
      </c>
      <c r="T118" s="4">
        <v>119</v>
      </c>
      <c r="U118" s="4">
        <v>0.1</v>
      </c>
      <c r="V118" s="4">
        <v>0.39</v>
      </c>
      <c r="W118" s="1144">
        <v>0.01</v>
      </c>
      <c r="X118" s="1144">
        <v>17</v>
      </c>
      <c r="Y118" s="1144">
        <v>0.03</v>
      </c>
      <c r="Z118" s="1144">
        <v>0.17</v>
      </c>
      <c r="AA118" s="1144">
        <v>0</v>
      </c>
      <c r="AB118" s="1144">
        <v>0.03</v>
      </c>
      <c r="AC118" s="1144">
        <v>9</v>
      </c>
      <c r="AD118" s="1144">
        <v>0.51</v>
      </c>
      <c r="AE118" s="1144">
        <v>2</v>
      </c>
      <c r="AF118" s="1144">
        <v>0.08</v>
      </c>
      <c r="AI118" s="1" t="s">
        <v>222</v>
      </c>
      <c r="AJ118" s="1" t="s">
        <v>1749</v>
      </c>
      <c r="AK118" s="47" t="s">
        <v>320</v>
      </c>
      <c r="AL118" s="749" t="s">
        <v>320</v>
      </c>
    </row>
    <row r="119" spans="1:38">
      <c r="A119" s="325" t="s">
        <v>3450</v>
      </c>
      <c r="B119" s="1">
        <v>227</v>
      </c>
      <c r="C119" s="1">
        <v>54</v>
      </c>
      <c r="D119" s="1">
        <v>4.2</v>
      </c>
      <c r="E119" s="1">
        <v>3.1</v>
      </c>
      <c r="F119" s="1">
        <v>2.8</v>
      </c>
      <c r="G119" s="1" t="s">
        <v>222</v>
      </c>
      <c r="H119" s="47" t="s">
        <v>3018</v>
      </c>
      <c r="I119" s="47">
        <v>22</v>
      </c>
      <c r="J119" s="49">
        <v>56</v>
      </c>
      <c r="K119" s="49">
        <v>3.1999999999999997</v>
      </c>
      <c r="L119" s="49">
        <v>3.6999999999999997</v>
      </c>
      <c r="M119" s="34">
        <v>0</v>
      </c>
      <c r="N119" s="49">
        <v>2.9</v>
      </c>
      <c r="O119" s="49">
        <v>1.9000000000000001</v>
      </c>
      <c r="P119" s="49">
        <v>44</v>
      </c>
      <c r="Q119" s="49">
        <v>162.00000000000003</v>
      </c>
      <c r="R119" s="49">
        <v>142</v>
      </c>
      <c r="S119" s="49">
        <v>12</v>
      </c>
      <c r="T119" s="49">
        <v>113</v>
      </c>
      <c r="U119" s="49">
        <v>0.04</v>
      </c>
      <c r="V119" s="49">
        <v>0.53</v>
      </c>
      <c r="W119" s="1234">
        <v>8.9999999999999993E-3</v>
      </c>
      <c r="X119" s="49">
        <v>32</v>
      </c>
      <c r="Y119" s="49">
        <v>0.02</v>
      </c>
      <c r="Z119" s="49">
        <v>0.17</v>
      </c>
      <c r="AA119" s="49">
        <v>0.9</v>
      </c>
      <c r="AB119" s="49">
        <v>3.3333333333333333E-2</v>
      </c>
      <c r="AC119" s="49">
        <v>12.6</v>
      </c>
      <c r="AD119" s="49">
        <v>0.25</v>
      </c>
      <c r="AE119" s="1234">
        <v>0.5</v>
      </c>
      <c r="AF119" s="49">
        <v>0.02</v>
      </c>
      <c r="AI119" s="1" t="s">
        <v>222</v>
      </c>
      <c r="AJ119" s="1" t="s">
        <v>1749</v>
      </c>
      <c r="AK119" s="47" t="s">
        <v>320</v>
      </c>
      <c r="AL119" s="749" t="s">
        <v>320</v>
      </c>
    </row>
    <row r="120" spans="1:38">
      <c r="A120" s="1" t="s">
        <v>3452</v>
      </c>
      <c r="B120" s="1">
        <v>255</v>
      </c>
      <c r="C120" s="1">
        <v>61</v>
      </c>
      <c r="D120" s="1">
        <v>4.7</v>
      </c>
      <c r="E120" s="1">
        <v>3.5</v>
      </c>
      <c r="F120" s="1">
        <v>3.2</v>
      </c>
      <c r="G120" s="1" t="s">
        <v>222</v>
      </c>
      <c r="H120" s="1" t="s">
        <v>2807</v>
      </c>
      <c r="J120" s="1">
        <v>62</v>
      </c>
      <c r="K120" s="1">
        <v>4.5</v>
      </c>
      <c r="L120" s="1">
        <v>3.2</v>
      </c>
      <c r="M120" s="34">
        <v>0</v>
      </c>
      <c r="N120" s="1">
        <v>3.2</v>
      </c>
      <c r="O120" s="4">
        <v>2.1</v>
      </c>
      <c r="P120" s="4">
        <v>46</v>
      </c>
      <c r="Q120" s="4">
        <v>155</v>
      </c>
      <c r="R120" s="4">
        <v>120</v>
      </c>
      <c r="S120" s="4">
        <v>11</v>
      </c>
      <c r="T120" s="4">
        <v>95</v>
      </c>
      <c r="U120" s="4">
        <v>0.1</v>
      </c>
      <c r="V120" s="4">
        <v>0.59</v>
      </c>
      <c r="W120" s="467">
        <v>-4.0000000000000002E-4</v>
      </c>
      <c r="X120" s="4">
        <v>30</v>
      </c>
      <c r="Y120" s="4">
        <v>0.03</v>
      </c>
      <c r="Z120" s="4">
        <v>0.14000000000000001</v>
      </c>
      <c r="AA120" s="4">
        <v>0.1</v>
      </c>
      <c r="AB120" s="4">
        <v>3.5000000000000003E-2</v>
      </c>
      <c r="AC120" s="4">
        <v>8</v>
      </c>
      <c r="AD120" s="4">
        <v>0.3</v>
      </c>
      <c r="AE120" s="467">
        <v>-4.0000000000000002E-4</v>
      </c>
      <c r="AF120" s="4">
        <v>0.06</v>
      </c>
      <c r="AI120" s="1" t="s">
        <v>222</v>
      </c>
      <c r="AJ120" s="1" t="s">
        <v>1749</v>
      </c>
      <c r="AK120" s="1" t="s">
        <v>55</v>
      </c>
      <c r="AL120" s="749" t="s">
        <v>1804</v>
      </c>
    </row>
    <row r="121" spans="1:38">
      <c r="A121" s="1" t="s">
        <v>3447</v>
      </c>
      <c r="B121" s="1">
        <v>227</v>
      </c>
      <c r="C121" s="1">
        <v>54</v>
      </c>
      <c r="D121" s="1">
        <v>4.2</v>
      </c>
      <c r="E121" s="1">
        <v>3.1</v>
      </c>
      <c r="F121" s="1">
        <v>2.8</v>
      </c>
      <c r="G121" s="1" t="s">
        <v>222</v>
      </c>
      <c r="H121" s="47" t="s">
        <v>2805</v>
      </c>
      <c r="I121" s="47">
        <v>7</v>
      </c>
      <c r="J121" s="1144">
        <v>51</v>
      </c>
      <c r="K121" s="1144">
        <v>4.3</v>
      </c>
      <c r="L121" s="1144">
        <v>4.5</v>
      </c>
      <c r="M121" s="1144">
        <v>0</v>
      </c>
      <c r="N121" s="1144">
        <v>1.5</v>
      </c>
      <c r="O121" s="4">
        <v>0.97</v>
      </c>
      <c r="P121" s="4">
        <v>51</v>
      </c>
      <c r="Q121" s="4">
        <v>167</v>
      </c>
      <c r="R121" s="4">
        <v>157</v>
      </c>
      <c r="S121" s="4">
        <v>14</v>
      </c>
      <c r="T121" s="4">
        <v>119</v>
      </c>
      <c r="U121" s="4">
        <v>0.1</v>
      </c>
      <c r="V121" s="4">
        <v>0.39</v>
      </c>
      <c r="W121" s="1144">
        <v>0.01</v>
      </c>
      <c r="X121" s="1144">
        <v>17</v>
      </c>
      <c r="Y121" s="1144">
        <v>0.03</v>
      </c>
      <c r="Z121" s="1144">
        <v>0.17</v>
      </c>
      <c r="AA121" s="1144">
        <v>0</v>
      </c>
      <c r="AB121" s="1144">
        <v>0.03</v>
      </c>
      <c r="AC121" s="1144">
        <v>9</v>
      </c>
      <c r="AD121" s="1144">
        <v>0.51</v>
      </c>
      <c r="AE121" s="1144">
        <v>2</v>
      </c>
      <c r="AF121" s="1144">
        <v>0.08</v>
      </c>
      <c r="AI121" s="1" t="s">
        <v>222</v>
      </c>
      <c r="AJ121" s="1" t="s">
        <v>1749</v>
      </c>
      <c r="AK121" s="47" t="s">
        <v>320</v>
      </c>
      <c r="AL121" s="749" t="s">
        <v>320</v>
      </c>
    </row>
    <row r="122" spans="1:38">
      <c r="A122" s="1" t="s">
        <v>3458</v>
      </c>
      <c r="B122" s="1">
        <v>227</v>
      </c>
      <c r="C122" s="1">
        <v>54</v>
      </c>
      <c r="D122" s="1">
        <v>4.2</v>
      </c>
      <c r="E122" s="1">
        <v>3.1</v>
      </c>
      <c r="F122" s="1">
        <v>2.8</v>
      </c>
      <c r="G122" s="1" t="s">
        <v>222</v>
      </c>
      <c r="H122" s="47" t="s">
        <v>2806</v>
      </c>
      <c r="I122" s="47">
        <v>7</v>
      </c>
      <c r="J122" s="49">
        <v>56</v>
      </c>
      <c r="K122" s="49">
        <v>3.1999999999999997</v>
      </c>
      <c r="L122" s="49">
        <v>3.6999999999999997</v>
      </c>
      <c r="M122" s="4">
        <v>0</v>
      </c>
      <c r="N122" s="49">
        <v>2.9</v>
      </c>
      <c r="O122" s="49">
        <v>1.9000000000000001</v>
      </c>
      <c r="P122" s="49">
        <v>44</v>
      </c>
      <c r="Q122" s="49">
        <v>162.00000000000003</v>
      </c>
      <c r="R122" s="49">
        <v>142</v>
      </c>
      <c r="S122" s="49">
        <v>12</v>
      </c>
      <c r="T122" s="49">
        <v>113</v>
      </c>
      <c r="U122" s="49">
        <v>0.04</v>
      </c>
      <c r="V122" s="49">
        <v>0.53</v>
      </c>
      <c r="W122" s="142">
        <v>-4.0000000000000002E-4</v>
      </c>
      <c r="X122" s="49">
        <v>32</v>
      </c>
      <c r="Y122" s="49">
        <v>0.02</v>
      </c>
      <c r="Z122" s="49">
        <v>0.17</v>
      </c>
      <c r="AA122" s="49">
        <v>0.9</v>
      </c>
      <c r="AB122" s="49">
        <v>3.3333333333333333E-2</v>
      </c>
      <c r="AC122" s="49">
        <v>12.6</v>
      </c>
      <c r="AD122" s="49">
        <v>0.25</v>
      </c>
      <c r="AE122" s="142">
        <v>-4.0000000000000002E-4</v>
      </c>
      <c r="AF122" s="49">
        <v>0.02</v>
      </c>
      <c r="AI122" s="1" t="s">
        <v>222</v>
      </c>
      <c r="AJ122" s="1" t="s">
        <v>1749</v>
      </c>
      <c r="AK122" s="47" t="s">
        <v>320</v>
      </c>
      <c r="AL122" s="749" t="s">
        <v>320</v>
      </c>
    </row>
    <row r="123" spans="1:38">
      <c r="A123" s="325" t="s">
        <v>3451</v>
      </c>
      <c r="B123" s="1">
        <v>255</v>
      </c>
      <c r="C123" s="1">
        <v>61</v>
      </c>
      <c r="D123" s="1">
        <v>4.7</v>
      </c>
      <c r="E123" s="1">
        <v>3.5</v>
      </c>
      <c r="F123" s="1">
        <v>3.2</v>
      </c>
      <c r="G123" s="1" t="s">
        <v>222</v>
      </c>
      <c r="H123" s="1" t="s">
        <v>3019</v>
      </c>
      <c r="I123" s="47">
        <v>22</v>
      </c>
      <c r="J123" s="1">
        <v>62</v>
      </c>
      <c r="K123" s="1">
        <v>4.5</v>
      </c>
      <c r="L123" s="1">
        <v>3.2</v>
      </c>
      <c r="M123" s="34">
        <v>0</v>
      </c>
      <c r="N123" s="1">
        <v>3.2</v>
      </c>
      <c r="O123" s="4">
        <v>2.1</v>
      </c>
      <c r="P123" s="4">
        <v>46</v>
      </c>
      <c r="Q123" s="4">
        <v>155</v>
      </c>
      <c r="R123" s="4">
        <v>120</v>
      </c>
      <c r="S123" s="4">
        <v>11</v>
      </c>
      <c r="T123" s="4">
        <v>95</v>
      </c>
      <c r="U123" s="4">
        <v>0.1</v>
      </c>
      <c r="V123" s="4">
        <v>0.59</v>
      </c>
      <c r="W123" s="1234">
        <v>8.9999999999999993E-3</v>
      </c>
      <c r="X123" s="4">
        <v>30</v>
      </c>
      <c r="Y123" s="4">
        <v>0.03</v>
      </c>
      <c r="Z123" s="4">
        <v>0.14000000000000001</v>
      </c>
      <c r="AA123" s="4">
        <v>0.1</v>
      </c>
      <c r="AB123" s="4">
        <v>3.5000000000000003E-2</v>
      </c>
      <c r="AC123" s="4">
        <v>8</v>
      </c>
      <c r="AD123" s="4">
        <v>0.3</v>
      </c>
      <c r="AE123" s="1234">
        <v>0.5</v>
      </c>
      <c r="AF123" s="4">
        <v>0.06</v>
      </c>
      <c r="AI123" s="1" t="s">
        <v>222</v>
      </c>
      <c r="AJ123" s="1" t="s">
        <v>1749</v>
      </c>
      <c r="AK123" s="1" t="s">
        <v>55</v>
      </c>
      <c r="AL123" s="749" t="s">
        <v>1804</v>
      </c>
    </row>
    <row r="124" spans="1:38">
      <c r="A124" s="1" t="s">
        <v>3463</v>
      </c>
      <c r="B124" s="1"/>
      <c r="C124" s="1"/>
      <c r="D124" s="1"/>
      <c r="E124" s="15"/>
      <c r="F124" s="1"/>
      <c r="G124" s="1" t="s">
        <v>222</v>
      </c>
      <c r="H124" s="324" t="s">
        <v>2008</v>
      </c>
      <c r="J124" s="1">
        <v>125</v>
      </c>
      <c r="K124" s="1">
        <v>5.7</v>
      </c>
      <c r="L124" s="15">
        <v>3.8</v>
      </c>
      <c r="M124" s="151">
        <v>-4.0000000000000001E-3</v>
      </c>
      <c r="N124" s="1">
        <v>9.6999999999999993</v>
      </c>
      <c r="O124" s="22">
        <v>6.1</v>
      </c>
      <c r="P124" s="151">
        <v>-4.0000000000000001E-3</v>
      </c>
      <c r="Q124" s="151">
        <v>-4.0000000000000001E-3</v>
      </c>
      <c r="R124" s="151">
        <v>-4.0000000000000001E-3</v>
      </c>
      <c r="S124" s="151">
        <v>-4.0000000000000001E-3</v>
      </c>
      <c r="T124" s="151">
        <v>-4.0000000000000001E-3</v>
      </c>
      <c r="U124" s="151">
        <v>-4.0000000000000001E-3</v>
      </c>
      <c r="V124" s="151">
        <v>-4.0000000000000001E-3</v>
      </c>
      <c r="W124" s="151">
        <v>-4.0000000000000001E-3</v>
      </c>
      <c r="X124" s="151">
        <v>-4.0000000000000001E-3</v>
      </c>
      <c r="Y124" s="151">
        <v>-4.0000000000000001E-3</v>
      </c>
      <c r="Z124" s="151">
        <v>-4.0000000000000001E-3</v>
      </c>
      <c r="AA124" s="151">
        <v>-4.0000000000000001E-3</v>
      </c>
      <c r="AB124" s="151">
        <v>-4.0000000000000001E-3</v>
      </c>
      <c r="AC124" s="151">
        <v>-4.0000000000000001E-3</v>
      </c>
      <c r="AD124" s="151">
        <v>-4.0000000000000001E-3</v>
      </c>
      <c r="AE124" s="151">
        <v>-4.0000000000000001E-3</v>
      </c>
      <c r="AF124" s="151">
        <v>-4.0000000000000001E-3</v>
      </c>
      <c r="AI124" s="1" t="s">
        <v>222</v>
      </c>
      <c r="AJ124" s="1" t="s">
        <v>1749</v>
      </c>
      <c r="AK124" s="1" t="s">
        <v>761</v>
      </c>
      <c r="AL124" s="749" t="s">
        <v>1805</v>
      </c>
    </row>
    <row r="125" spans="1:38">
      <c r="A125" s="1" t="s">
        <v>3212</v>
      </c>
      <c r="B125" s="1">
        <v>329</v>
      </c>
      <c r="C125" s="1">
        <v>78</v>
      </c>
      <c r="D125" s="1">
        <v>10.7</v>
      </c>
      <c r="E125" s="15">
        <v>3</v>
      </c>
      <c r="F125" s="1">
        <v>2.6</v>
      </c>
      <c r="G125" s="1" t="s">
        <v>222</v>
      </c>
      <c r="H125" s="1" t="s">
        <v>2808</v>
      </c>
      <c r="J125" s="1">
        <v>78</v>
      </c>
      <c r="K125" s="1">
        <v>10.7</v>
      </c>
      <c r="L125" s="15">
        <v>3</v>
      </c>
      <c r="M125" s="4">
        <v>0.75</v>
      </c>
      <c r="N125" s="1">
        <v>2.6</v>
      </c>
      <c r="O125" s="22">
        <v>1.6</v>
      </c>
      <c r="P125" s="23">
        <v>40</v>
      </c>
      <c r="Q125" s="4">
        <v>156</v>
      </c>
      <c r="R125" s="4">
        <v>119</v>
      </c>
      <c r="S125" s="4">
        <v>12.3</v>
      </c>
      <c r="T125" s="4">
        <v>87.7</v>
      </c>
      <c r="U125" s="4">
        <v>9.5000000000000001E-2</v>
      </c>
      <c r="V125" s="4">
        <v>0.441</v>
      </c>
      <c r="W125" s="4">
        <v>1.4E-2</v>
      </c>
      <c r="X125" s="4">
        <v>19</v>
      </c>
      <c r="Y125" s="4">
        <v>3.5000000000000003E-2</v>
      </c>
      <c r="Z125" s="4">
        <v>0.157</v>
      </c>
      <c r="AA125" s="4">
        <v>0.78200000000000003</v>
      </c>
      <c r="AB125" s="4">
        <v>0.05</v>
      </c>
      <c r="AC125" s="4">
        <v>14.5</v>
      </c>
      <c r="AD125" s="4">
        <v>0.3</v>
      </c>
      <c r="AE125" s="4">
        <v>3.2</v>
      </c>
      <c r="AF125" s="467">
        <v>-4.0000000000000002E-4</v>
      </c>
      <c r="AI125" s="1" t="s">
        <v>222</v>
      </c>
      <c r="AJ125" s="1" t="s">
        <v>1749</v>
      </c>
      <c r="AK125" s="1" t="s">
        <v>761</v>
      </c>
      <c r="AL125" s="749" t="s">
        <v>1805</v>
      </c>
    </row>
    <row r="126" spans="1:38">
      <c r="A126" s="1" t="s">
        <v>3457</v>
      </c>
      <c r="B126" s="1">
        <v>399</v>
      </c>
      <c r="C126" s="1">
        <v>95</v>
      </c>
      <c r="D126" s="1">
        <v>19</v>
      </c>
      <c r="E126" s="1">
        <v>4.4000000000000004</v>
      </c>
      <c r="F126" s="1">
        <v>0.2</v>
      </c>
      <c r="G126" s="1" t="s">
        <v>222</v>
      </c>
      <c r="H126" s="1" t="s">
        <v>2809</v>
      </c>
      <c r="J126" s="1">
        <v>81</v>
      </c>
      <c r="K126" s="1">
        <v>15.8</v>
      </c>
      <c r="L126" s="1">
        <v>2.8</v>
      </c>
      <c r="M126" s="4">
        <v>1</v>
      </c>
      <c r="N126" s="1">
        <v>0.2</v>
      </c>
      <c r="O126" s="251">
        <v>0.1</v>
      </c>
      <c r="P126" s="4">
        <v>45</v>
      </c>
      <c r="Q126" s="4">
        <v>168</v>
      </c>
      <c r="R126" s="4">
        <v>119</v>
      </c>
      <c r="S126" s="4">
        <v>13</v>
      </c>
      <c r="T126" s="4">
        <v>87</v>
      </c>
      <c r="U126" s="4">
        <v>0.105</v>
      </c>
      <c r="V126" s="4">
        <v>0.36199999999999999</v>
      </c>
      <c r="W126" s="4">
        <v>1.7999999999999999E-2</v>
      </c>
      <c r="X126" s="4">
        <v>2</v>
      </c>
      <c r="Y126" s="4">
        <v>3.4000000000000002E-2</v>
      </c>
      <c r="Z126" s="4">
        <v>0.14399999999999999</v>
      </c>
      <c r="AA126" s="4">
        <v>0.60699999999999998</v>
      </c>
      <c r="AB126" s="4">
        <v>0.05</v>
      </c>
      <c r="AC126" s="4">
        <v>11</v>
      </c>
      <c r="AD126" s="4">
        <v>0.3</v>
      </c>
      <c r="AE126" s="4">
        <v>3.19</v>
      </c>
      <c r="AF126" s="467">
        <v>-4.0000000000000002E-4</v>
      </c>
      <c r="AI126" s="1" t="s">
        <v>222</v>
      </c>
      <c r="AJ126" s="1" t="s">
        <v>1749</v>
      </c>
      <c r="AK126" s="1" t="s">
        <v>56</v>
      </c>
      <c r="AL126" s="749" t="s">
        <v>1806</v>
      </c>
    </row>
    <row r="127" spans="1:38">
      <c r="A127" s="1" t="s">
        <v>3219</v>
      </c>
      <c r="B127" s="1">
        <v>1628</v>
      </c>
      <c r="C127" s="1">
        <v>389</v>
      </c>
      <c r="D127" s="1">
        <v>0</v>
      </c>
      <c r="E127" s="1">
        <v>25</v>
      </c>
      <c r="F127" s="1">
        <v>32.14</v>
      </c>
      <c r="G127" s="1" t="s">
        <v>222</v>
      </c>
      <c r="H127" s="749" t="s">
        <v>322</v>
      </c>
      <c r="I127" s="27">
        <v>8</v>
      </c>
      <c r="J127" s="33">
        <v>376</v>
      </c>
      <c r="K127" s="4">
        <v>1.2197340797760672</v>
      </c>
      <c r="L127" s="4">
        <v>30.200139958012599</v>
      </c>
      <c r="M127" s="4">
        <v>0</v>
      </c>
      <c r="N127" s="4">
        <v>27.899930020993704</v>
      </c>
      <c r="O127" s="4">
        <v>17.599720083974809</v>
      </c>
      <c r="P127" s="35">
        <v>417.00000000000006</v>
      </c>
      <c r="Q127" s="3">
        <v>86.500349895031505</v>
      </c>
      <c r="R127" s="3">
        <v>766</v>
      </c>
      <c r="S127" s="3">
        <v>202</v>
      </c>
      <c r="T127" s="3">
        <v>561</v>
      </c>
      <c r="U127" s="3">
        <v>0.34219734079776065</v>
      </c>
      <c r="V127" s="3">
        <v>3.7396780965710286</v>
      </c>
      <c r="W127" s="36">
        <v>0.15115465360391883</v>
      </c>
      <c r="X127" s="35">
        <v>173.00000000000003</v>
      </c>
      <c r="Y127" s="3">
        <v>9.7970608817354796E-3</v>
      </c>
      <c r="Z127" s="3">
        <v>0.44996501049685095</v>
      </c>
      <c r="AA127" s="3">
        <v>0.10006997900629812</v>
      </c>
      <c r="AB127" s="3">
        <v>4.6186144156752977E-2</v>
      </c>
      <c r="AC127" s="3">
        <v>9.0797760671798464</v>
      </c>
      <c r="AD127" s="3">
        <v>0.90202939118264513</v>
      </c>
      <c r="AE127" s="37">
        <v>0</v>
      </c>
      <c r="AF127" s="36">
        <v>0.63400979706088179</v>
      </c>
      <c r="AI127" s="1" t="s">
        <v>222</v>
      </c>
      <c r="AJ127" s="1" t="s">
        <v>1749</v>
      </c>
      <c r="AK127" s="749" t="s">
        <v>322</v>
      </c>
      <c r="AL127" s="749" t="s">
        <v>322</v>
      </c>
    </row>
    <row r="128" spans="1:38">
      <c r="A128" s="1" t="s">
        <v>480</v>
      </c>
      <c r="B128" s="1">
        <v>1983</v>
      </c>
      <c r="C128" s="1">
        <v>481</v>
      </c>
      <c r="D128" s="1">
        <v>3.2</v>
      </c>
      <c r="E128" s="1">
        <v>4.5999999999999996</v>
      </c>
      <c r="F128" s="1">
        <v>50</v>
      </c>
      <c r="G128" s="1" t="s">
        <v>222</v>
      </c>
      <c r="H128" s="1" t="s">
        <v>2810</v>
      </c>
      <c r="J128" s="1">
        <v>481</v>
      </c>
      <c r="K128" s="1">
        <v>3.2</v>
      </c>
      <c r="L128" s="1">
        <v>4.5999999999999996</v>
      </c>
      <c r="M128" s="151">
        <v>-4.0000000000000001E-3</v>
      </c>
      <c r="N128" s="1">
        <v>50</v>
      </c>
      <c r="O128" s="151">
        <v>-4.0000000000000001E-3</v>
      </c>
      <c r="P128" s="151">
        <v>-4.0000000000000001E-3</v>
      </c>
      <c r="Q128" s="151">
        <v>-4.0000000000000001E-3</v>
      </c>
      <c r="R128" s="151">
        <v>-4.0000000000000001E-3</v>
      </c>
      <c r="S128" s="151">
        <v>-4.0000000000000001E-3</v>
      </c>
      <c r="T128" s="151">
        <v>-4.0000000000000001E-3</v>
      </c>
      <c r="U128" s="4">
        <v>0.38</v>
      </c>
      <c r="V128" s="4">
        <v>2.5499999999999998</v>
      </c>
      <c r="W128" s="4">
        <v>0.19</v>
      </c>
      <c r="X128" s="4">
        <v>120</v>
      </c>
      <c r="Y128" s="151">
        <v>-4.0000000000000001E-3</v>
      </c>
      <c r="Z128" s="151">
        <v>-4.0000000000000001E-3</v>
      </c>
      <c r="AA128" s="151">
        <v>-4.0000000000000001E-3</v>
      </c>
      <c r="AB128" s="151">
        <v>-4.0000000000000001E-3</v>
      </c>
      <c r="AC128" s="4">
        <v>30</v>
      </c>
      <c r="AD128" s="4">
        <v>0</v>
      </c>
      <c r="AE128" s="151">
        <v>-4.0000000000000001E-3</v>
      </c>
      <c r="AF128" s="4">
        <v>0.625</v>
      </c>
      <c r="AI128" s="1" t="s">
        <v>222</v>
      </c>
      <c r="AJ128" s="1" t="s">
        <v>1749</v>
      </c>
      <c r="AK128" s="1" t="s">
        <v>57</v>
      </c>
      <c r="AL128" s="749" t="s">
        <v>1864</v>
      </c>
    </row>
    <row r="129" spans="1:38">
      <c r="A129" s="1" t="s">
        <v>3455</v>
      </c>
      <c r="B129" s="1">
        <v>852</v>
      </c>
      <c r="C129" s="1">
        <v>206</v>
      </c>
      <c r="D129" s="1">
        <v>3.9</v>
      </c>
      <c r="E129" s="1">
        <v>2.7</v>
      </c>
      <c r="F129" s="1">
        <v>20</v>
      </c>
      <c r="G129" s="1" t="s">
        <v>222</v>
      </c>
      <c r="H129" s="38" t="s">
        <v>324</v>
      </c>
      <c r="I129" s="38">
        <v>8</v>
      </c>
      <c r="J129" s="39">
        <v>132.00000000000003</v>
      </c>
      <c r="K129" s="40">
        <v>3.2</v>
      </c>
      <c r="L129" s="40">
        <v>2.6</v>
      </c>
      <c r="M129" s="151">
        <v>-4.0000000000000001E-3</v>
      </c>
      <c r="N129" s="40">
        <v>11.999999999999998</v>
      </c>
      <c r="O129" s="51">
        <v>8.4</v>
      </c>
      <c r="P129" s="41">
        <v>39</v>
      </c>
      <c r="Q129" s="42">
        <v>150</v>
      </c>
      <c r="R129" s="42">
        <v>104</v>
      </c>
      <c r="S129" s="42">
        <v>10</v>
      </c>
      <c r="T129" s="42">
        <v>64.000000000000014</v>
      </c>
      <c r="U129" s="34">
        <v>0.1</v>
      </c>
      <c r="V129" s="42">
        <v>0.4</v>
      </c>
      <c r="W129" s="151">
        <v>-4.0000000000000002E-4</v>
      </c>
      <c r="X129" s="41">
        <v>99.200000000000017</v>
      </c>
      <c r="Y129" s="42">
        <v>2.9914529914529919E-2</v>
      </c>
      <c r="Z129" s="42">
        <v>0.17008547008547012</v>
      </c>
      <c r="AA129" s="42">
        <v>0.7</v>
      </c>
      <c r="AB129" s="151">
        <v>-4.0000000000000001E-3</v>
      </c>
      <c r="AC129" s="151">
        <v>-4.0000000000000001E-3</v>
      </c>
      <c r="AD129" s="151">
        <v>-4.0000000000000002E-4</v>
      </c>
      <c r="AE129" s="34">
        <v>0.8</v>
      </c>
      <c r="AF129" s="151">
        <v>-4.0000000000000002E-4</v>
      </c>
      <c r="AI129" s="1" t="s">
        <v>222</v>
      </c>
      <c r="AJ129" s="1" t="s">
        <v>1749</v>
      </c>
      <c r="AK129" s="38" t="s">
        <v>324</v>
      </c>
      <c r="AL129" s="749" t="s">
        <v>324</v>
      </c>
    </row>
    <row r="130" spans="1:38">
      <c r="A130" s="1232" t="s">
        <v>3454</v>
      </c>
      <c r="B130" s="1">
        <v>852</v>
      </c>
      <c r="C130" s="1">
        <v>206</v>
      </c>
      <c r="D130" s="1">
        <v>3.9</v>
      </c>
      <c r="E130" s="1">
        <v>2.7</v>
      </c>
      <c r="F130" s="1">
        <v>20</v>
      </c>
      <c r="G130" s="1" t="s">
        <v>222</v>
      </c>
      <c r="H130" s="27" t="s">
        <v>3020</v>
      </c>
      <c r="I130" s="27">
        <v>22</v>
      </c>
      <c r="J130" s="28">
        <v>204</v>
      </c>
      <c r="K130" s="29">
        <v>3.4</v>
      </c>
      <c r="L130" s="29">
        <v>2.8</v>
      </c>
      <c r="M130" s="34">
        <v>0</v>
      </c>
      <c r="N130" s="29">
        <v>20.001333333333331</v>
      </c>
      <c r="O130" s="59">
        <v>12.133999999999999</v>
      </c>
      <c r="P130" s="30">
        <v>40</v>
      </c>
      <c r="Q130" s="31">
        <v>130</v>
      </c>
      <c r="R130" s="31">
        <v>100</v>
      </c>
      <c r="S130" s="31">
        <v>11</v>
      </c>
      <c r="T130" s="31">
        <v>80</v>
      </c>
      <c r="U130" s="31">
        <v>0.1</v>
      </c>
      <c r="V130" s="31">
        <v>0.4</v>
      </c>
      <c r="W130" s="32">
        <v>2.3333333333333334E-2</v>
      </c>
      <c r="X130" s="30">
        <v>240</v>
      </c>
      <c r="Y130" s="31">
        <v>0.04</v>
      </c>
      <c r="Z130" s="31">
        <v>0.16999999999999998</v>
      </c>
      <c r="AA130" s="31">
        <v>0.7</v>
      </c>
      <c r="AB130" s="31">
        <v>0.04</v>
      </c>
      <c r="AC130" s="31">
        <v>11</v>
      </c>
      <c r="AD130" s="31">
        <v>0.3</v>
      </c>
      <c r="AE130" s="31">
        <v>1</v>
      </c>
      <c r="AF130" s="32">
        <v>0.4</v>
      </c>
      <c r="AI130" s="1" t="s">
        <v>222</v>
      </c>
      <c r="AJ130" s="1" t="s">
        <v>1749</v>
      </c>
      <c r="AK130" s="27" t="s">
        <v>325</v>
      </c>
      <c r="AL130" s="749" t="s">
        <v>325</v>
      </c>
    </row>
    <row r="131" spans="1:38">
      <c r="A131" s="325" t="s">
        <v>3453</v>
      </c>
      <c r="B131" s="1">
        <v>227</v>
      </c>
      <c r="C131" s="1">
        <v>54</v>
      </c>
      <c r="D131" s="1">
        <v>4.2</v>
      </c>
      <c r="E131" s="1">
        <v>3.1</v>
      </c>
      <c r="F131" s="1">
        <v>2.8</v>
      </c>
      <c r="G131" s="1" t="s">
        <v>222</v>
      </c>
      <c r="H131" s="47" t="s">
        <v>3021</v>
      </c>
      <c r="I131" s="47">
        <v>22</v>
      </c>
      <c r="J131" s="48">
        <v>60</v>
      </c>
      <c r="K131" s="49">
        <v>4.8</v>
      </c>
      <c r="L131" s="49">
        <v>3.4</v>
      </c>
      <c r="M131" s="34">
        <v>0</v>
      </c>
      <c r="N131" s="49">
        <v>2.8</v>
      </c>
      <c r="O131" s="49">
        <v>2</v>
      </c>
      <c r="P131" s="48">
        <v>41</v>
      </c>
      <c r="Q131" s="49">
        <v>162</v>
      </c>
      <c r="R131" s="49">
        <v>116</v>
      </c>
      <c r="S131" s="49">
        <v>12</v>
      </c>
      <c r="T131" s="49">
        <v>91</v>
      </c>
      <c r="U131" s="49">
        <v>0.04</v>
      </c>
      <c r="V131" s="49">
        <v>0.44</v>
      </c>
      <c r="W131" s="1234">
        <v>0.01</v>
      </c>
      <c r="X131" s="48">
        <v>26</v>
      </c>
      <c r="Y131" s="49">
        <v>0.04</v>
      </c>
      <c r="Z131" s="49">
        <v>0.14000000000000001</v>
      </c>
      <c r="AA131" s="49">
        <v>0.9</v>
      </c>
      <c r="AB131" s="49">
        <v>0.04</v>
      </c>
      <c r="AC131" s="49">
        <v>11</v>
      </c>
      <c r="AD131" s="49">
        <v>0.27</v>
      </c>
      <c r="AE131" s="1145">
        <v>1</v>
      </c>
      <c r="AF131" s="50">
        <v>0.02</v>
      </c>
      <c r="AI131" s="1" t="s">
        <v>222</v>
      </c>
      <c r="AJ131" s="1" t="s">
        <v>1749</v>
      </c>
      <c r="AK131" s="47" t="s">
        <v>317</v>
      </c>
      <c r="AL131" s="749" t="s">
        <v>317</v>
      </c>
    </row>
    <row r="132" spans="1:38">
      <c r="A132" s="1" t="s">
        <v>3213</v>
      </c>
      <c r="B132" s="1">
        <v>1036</v>
      </c>
      <c r="C132" s="1">
        <v>207</v>
      </c>
      <c r="D132" s="1">
        <v>3.1</v>
      </c>
      <c r="E132" s="1">
        <v>6.7</v>
      </c>
      <c r="F132" s="1">
        <v>23.5</v>
      </c>
      <c r="G132" s="1" t="s">
        <v>222</v>
      </c>
      <c r="H132" s="1" t="s">
        <v>1358</v>
      </c>
      <c r="J132" s="1">
        <v>251</v>
      </c>
      <c r="K132" s="1">
        <v>3.1</v>
      </c>
      <c r="L132" s="1">
        <v>6.7</v>
      </c>
      <c r="M132" s="151">
        <v>-4.0000000000000001E-3</v>
      </c>
      <c r="N132" s="1">
        <v>23.5</v>
      </c>
      <c r="O132" s="4">
        <v>15.9</v>
      </c>
      <c r="P132" s="4">
        <v>1</v>
      </c>
      <c r="Q132" s="151">
        <v>-4.0000000000000001E-3</v>
      </c>
      <c r="R132" s="4">
        <v>126</v>
      </c>
      <c r="S132" s="151">
        <v>-4.0000000000000001E-3</v>
      </c>
      <c r="T132" s="151">
        <v>-4.0000000000000001E-3</v>
      </c>
      <c r="U132" s="151">
        <v>-4.0000000000000001E-3</v>
      </c>
      <c r="V132" s="151">
        <v>-4.0000000000000001E-3</v>
      </c>
      <c r="W132" s="151">
        <v>-4.0000000000000002E-4</v>
      </c>
      <c r="X132" s="4">
        <v>180</v>
      </c>
      <c r="Y132" s="151">
        <v>-4.0000000000000001E-3</v>
      </c>
      <c r="Z132" s="151">
        <v>-4.0000000000000001E-3</v>
      </c>
      <c r="AA132" s="151">
        <v>-4.0000000000000001E-3</v>
      </c>
      <c r="AB132" s="151">
        <v>-4.0000000000000001E-3</v>
      </c>
      <c r="AC132" s="151">
        <v>-4.0000000000000001E-3</v>
      </c>
      <c r="AD132" s="151">
        <v>-4.0000000000000002E-4</v>
      </c>
      <c r="AE132" s="151">
        <v>-4.0000000000000001E-3</v>
      </c>
      <c r="AF132" s="151">
        <v>-4.0000000000000002E-4</v>
      </c>
      <c r="AI132" s="1" t="s">
        <v>222</v>
      </c>
      <c r="AJ132" s="1" t="s">
        <v>1749</v>
      </c>
      <c r="AK132" s="1" t="s">
        <v>1358</v>
      </c>
      <c r="AL132" s="749" t="s">
        <v>1807</v>
      </c>
    </row>
    <row r="133" spans="1:38">
      <c r="A133" s="1" t="s">
        <v>3456</v>
      </c>
      <c r="B133" s="1">
        <v>928</v>
      </c>
      <c r="C133" s="1">
        <v>225</v>
      </c>
      <c r="D133" s="1">
        <v>4.0999999999999996</v>
      </c>
      <c r="E133" s="1">
        <v>2.8</v>
      </c>
      <c r="F133" s="15">
        <v>22</v>
      </c>
      <c r="G133" s="1" t="s">
        <v>222</v>
      </c>
      <c r="H133" s="1" t="s">
        <v>1158</v>
      </c>
      <c r="J133" s="1">
        <v>225</v>
      </c>
      <c r="K133" s="1">
        <v>4.0999999999999996</v>
      </c>
      <c r="L133" s="1">
        <v>2.8</v>
      </c>
      <c r="M133" s="151">
        <v>-4.0000000000000001E-3</v>
      </c>
      <c r="N133" s="15">
        <v>22</v>
      </c>
      <c r="O133" s="4">
        <v>12.5</v>
      </c>
      <c r="P133" s="4">
        <v>39</v>
      </c>
      <c r="Q133" s="151">
        <v>-4.0000000000000001E-3</v>
      </c>
      <c r="R133" s="151">
        <v>-4.0000000000000001E-3</v>
      </c>
      <c r="S133" s="151">
        <v>-4.0000000000000001E-3</v>
      </c>
      <c r="T133" s="151">
        <v>-4.0000000000000001E-3</v>
      </c>
      <c r="U133" s="151">
        <v>-4.0000000000000001E-3</v>
      </c>
      <c r="V133" s="151">
        <v>-4.0000000000000001E-3</v>
      </c>
      <c r="W133" s="151">
        <v>-4.0000000000000002E-4</v>
      </c>
      <c r="X133" s="151">
        <v>-4.0000000000000001E-3</v>
      </c>
      <c r="Y133" s="151">
        <v>-4.0000000000000001E-3</v>
      </c>
      <c r="Z133" s="151">
        <v>-4.0000000000000001E-3</v>
      </c>
      <c r="AA133" s="151">
        <v>-4.0000000000000001E-3</v>
      </c>
      <c r="AB133" s="151">
        <v>-4.0000000000000001E-3</v>
      </c>
      <c r="AC133" s="151">
        <v>-4.0000000000000001E-3</v>
      </c>
      <c r="AD133" s="151">
        <v>-4.0000000000000002E-4</v>
      </c>
      <c r="AE133" s="151">
        <v>-4.0000000000000001E-3</v>
      </c>
      <c r="AF133" s="151">
        <v>-4.0000000000000002E-4</v>
      </c>
      <c r="AI133" s="1" t="s">
        <v>222</v>
      </c>
      <c r="AJ133" s="1" t="s">
        <v>1749</v>
      </c>
      <c r="AK133" s="1" t="s">
        <v>1158</v>
      </c>
      <c r="AL133" s="749" t="s">
        <v>1808</v>
      </c>
    </row>
    <row r="134" spans="1:38">
      <c r="A134" s="1" t="s">
        <v>3214</v>
      </c>
      <c r="B134" s="1"/>
      <c r="C134" s="1"/>
      <c r="D134" s="1"/>
      <c r="E134" s="1"/>
      <c r="F134" s="15"/>
      <c r="G134" s="1" t="s">
        <v>222</v>
      </c>
      <c r="H134" s="324" t="s">
        <v>2811</v>
      </c>
      <c r="J134" s="1">
        <v>65</v>
      </c>
      <c r="K134" s="1">
        <v>9.6999999999999993</v>
      </c>
      <c r="L134" s="1">
        <v>3.2</v>
      </c>
      <c r="M134" s="34">
        <v>0.3</v>
      </c>
      <c r="N134" s="15">
        <v>1.5</v>
      </c>
      <c r="O134" s="34">
        <v>1.59</v>
      </c>
      <c r="P134" s="34">
        <v>85</v>
      </c>
      <c r="Q134" s="34">
        <v>203</v>
      </c>
      <c r="R134" s="34">
        <v>139</v>
      </c>
      <c r="S134" s="34">
        <v>14</v>
      </c>
      <c r="T134" s="34">
        <v>121</v>
      </c>
      <c r="U134" s="34">
        <v>0.20499999999999999</v>
      </c>
      <c r="V134" s="34">
        <v>0.435</v>
      </c>
      <c r="W134" s="34">
        <v>5.8000000000000003E-2</v>
      </c>
      <c r="X134" s="151">
        <v>-4.0000000000000001E-3</v>
      </c>
      <c r="Y134" s="34">
        <v>3.9E-2</v>
      </c>
      <c r="Z134" s="34">
        <v>0.20899999999999999</v>
      </c>
      <c r="AA134" s="34">
        <v>0.13500000000000001</v>
      </c>
      <c r="AB134" s="151">
        <v>-4.0000000000000001E-3</v>
      </c>
      <c r="AC134" s="151">
        <v>-4.0000000000000001E-3</v>
      </c>
      <c r="AD134" s="151">
        <v>-4.0000000000000002E-4</v>
      </c>
      <c r="AE134" s="151">
        <v>-4.0000000000000001E-3</v>
      </c>
      <c r="AF134" s="151">
        <v>-4.0000000000000002E-4</v>
      </c>
      <c r="AI134" s="1"/>
      <c r="AJ134" s="1"/>
      <c r="AK134" s="1"/>
    </row>
    <row r="135" spans="1:38">
      <c r="A135" s="1232" t="s">
        <v>3215</v>
      </c>
      <c r="B135" s="1">
        <v>1259</v>
      </c>
      <c r="C135" s="1">
        <v>301</v>
      </c>
      <c r="D135" s="1">
        <v>6.36</v>
      </c>
      <c r="E135" s="1">
        <v>24.58</v>
      </c>
      <c r="F135" s="1">
        <v>19.72</v>
      </c>
      <c r="G135" s="1" t="s">
        <v>222</v>
      </c>
      <c r="H135" s="38" t="s">
        <v>3022</v>
      </c>
      <c r="I135" s="38">
        <v>22</v>
      </c>
      <c r="J135" s="1235">
        <v>115.5</v>
      </c>
      <c r="K135" s="135">
        <v>4</v>
      </c>
      <c r="L135" s="135">
        <v>1.5249999999999999</v>
      </c>
      <c r="M135" s="135">
        <v>0</v>
      </c>
      <c r="N135" s="135">
        <v>5.5</v>
      </c>
      <c r="O135" s="1236">
        <v>1.8</v>
      </c>
      <c r="P135" s="1235">
        <v>531</v>
      </c>
      <c r="Q135" s="4">
        <v>47.547547547547559</v>
      </c>
      <c r="R135" s="135">
        <v>330</v>
      </c>
      <c r="S135" s="4">
        <v>14.180847514180849</v>
      </c>
      <c r="T135" s="4">
        <v>186.0193526860194</v>
      </c>
      <c r="U135" s="4">
        <v>0.11678345011678345</v>
      </c>
      <c r="V135" s="4">
        <v>0.86753420086753441</v>
      </c>
      <c r="W135" s="60">
        <v>0.27987987987987989</v>
      </c>
      <c r="X135" s="33">
        <v>229.39606272939611</v>
      </c>
      <c r="Y135" s="1236">
        <v>2.7E-2</v>
      </c>
      <c r="Z135" s="4">
        <v>0.35869202535869199</v>
      </c>
      <c r="AA135" s="4">
        <v>3.017206395584775</v>
      </c>
      <c r="AB135" s="1236">
        <v>4.5999999999999999E-2</v>
      </c>
      <c r="AC135" s="4">
        <v>17.517517517517518</v>
      </c>
      <c r="AD135" s="4">
        <v>0.33366700033366709</v>
      </c>
      <c r="AE135" s="1237">
        <v>0</v>
      </c>
      <c r="AF135" s="60">
        <v>0.35035035035035039</v>
      </c>
      <c r="AI135" s="1" t="s">
        <v>222</v>
      </c>
      <c r="AJ135" s="1" t="s">
        <v>1749</v>
      </c>
      <c r="AK135" s="38" t="s">
        <v>323</v>
      </c>
      <c r="AL135" s="749" t="s">
        <v>323</v>
      </c>
    </row>
    <row r="136" spans="1:38">
      <c r="A136" s="1" t="s">
        <v>1809</v>
      </c>
      <c r="B136" s="1">
        <v>2006</v>
      </c>
      <c r="C136" s="1">
        <v>480</v>
      </c>
      <c r="D136" s="1">
        <v>39.799999999999997</v>
      </c>
      <c r="E136" s="1">
        <v>26.3</v>
      </c>
      <c r="F136" s="1">
        <v>25.1</v>
      </c>
      <c r="G136" s="1" t="s">
        <v>222</v>
      </c>
      <c r="H136" s="1" t="s">
        <v>2812</v>
      </c>
      <c r="J136" s="1">
        <v>496</v>
      </c>
      <c r="K136" s="1">
        <v>37.799999999999997</v>
      </c>
      <c r="L136" s="1">
        <v>26.1</v>
      </c>
      <c r="M136" s="151">
        <v>-4.0000000000000001E-3</v>
      </c>
      <c r="N136" s="1">
        <v>26.7</v>
      </c>
      <c r="O136" s="4">
        <v>16.899999999999999</v>
      </c>
      <c r="P136" s="4">
        <v>395</v>
      </c>
      <c r="Q136" s="4">
        <v>1260</v>
      </c>
      <c r="R136" s="4">
        <v>947.6</v>
      </c>
      <c r="S136" s="4">
        <v>88.5</v>
      </c>
      <c r="T136" s="4">
        <v>742.3</v>
      </c>
      <c r="U136" s="4">
        <v>0.6</v>
      </c>
      <c r="V136" s="4">
        <v>3.4</v>
      </c>
      <c r="W136" s="4">
        <v>0.1</v>
      </c>
      <c r="X136" s="4">
        <v>355.3</v>
      </c>
      <c r="Y136" s="4">
        <v>0.28799999999999998</v>
      </c>
      <c r="Z136" s="4">
        <v>1.3779999999999999</v>
      </c>
      <c r="AA136" s="4">
        <v>0.68</v>
      </c>
      <c r="AB136" s="4">
        <v>0.26500000000000001</v>
      </c>
      <c r="AC136" s="4">
        <v>40</v>
      </c>
      <c r="AD136" s="4">
        <v>2</v>
      </c>
      <c r="AE136" s="4">
        <v>6.3</v>
      </c>
      <c r="AF136" s="4">
        <v>0.24</v>
      </c>
      <c r="AI136" s="1" t="s">
        <v>222</v>
      </c>
      <c r="AJ136" s="1" t="s">
        <v>1749</v>
      </c>
      <c r="AK136" s="1" t="s">
        <v>240</v>
      </c>
      <c r="AL136" s="749" t="s">
        <v>1809</v>
      </c>
    </row>
    <row r="137" spans="1:38">
      <c r="A137" s="1233" t="s">
        <v>3221</v>
      </c>
      <c r="B137" s="1">
        <v>234</v>
      </c>
      <c r="C137" s="1">
        <v>56</v>
      </c>
      <c r="D137" s="1">
        <v>4.5</v>
      </c>
      <c r="E137" s="1">
        <v>3.1</v>
      </c>
      <c r="F137" s="1">
        <v>2.8</v>
      </c>
      <c r="G137" s="1" t="s">
        <v>222</v>
      </c>
      <c r="H137" s="749" t="s">
        <v>318</v>
      </c>
      <c r="I137" s="47">
        <v>22</v>
      </c>
      <c r="J137" s="33">
        <v>60</v>
      </c>
      <c r="K137" s="4">
        <v>4.7998600419874036</v>
      </c>
      <c r="L137" s="4">
        <v>3.4002799160251929</v>
      </c>
      <c r="M137" s="4">
        <v>0</v>
      </c>
      <c r="N137" s="4">
        <v>3.0000000000000004</v>
      </c>
      <c r="O137" s="4">
        <v>2</v>
      </c>
      <c r="P137" s="35">
        <v>41</v>
      </c>
      <c r="Q137" s="3">
        <v>162</v>
      </c>
      <c r="R137" s="3">
        <v>116</v>
      </c>
      <c r="S137" s="3">
        <v>12.000000000000002</v>
      </c>
      <c r="T137" s="3">
        <v>91</v>
      </c>
      <c r="U137" s="3">
        <v>3.988803358992303E-2</v>
      </c>
      <c r="V137" s="3">
        <v>0.44016794961511552</v>
      </c>
      <c r="W137" s="731">
        <v>0.01</v>
      </c>
      <c r="X137" s="35">
        <v>26</v>
      </c>
      <c r="Y137" s="3">
        <v>3.988803358992303E-2</v>
      </c>
      <c r="Z137" s="3">
        <v>0.13995801259622115</v>
      </c>
      <c r="AA137" s="3">
        <v>0.8999300209937019</v>
      </c>
      <c r="AB137" s="3">
        <v>3.988803358992303E-2</v>
      </c>
      <c r="AC137" s="3">
        <v>5.0000000000000009</v>
      </c>
      <c r="AD137" s="3">
        <v>0.41987403778866345</v>
      </c>
      <c r="AE137" s="3">
        <v>0</v>
      </c>
      <c r="AF137" s="36">
        <v>2.0293911826452064E-2</v>
      </c>
      <c r="AI137" s="1" t="s">
        <v>222</v>
      </c>
      <c r="AJ137" s="1" t="s">
        <v>1749</v>
      </c>
      <c r="AK137" s="749" t="s">
        <v>318</v>
      </c>
      <c r="AL137" s="749" t="s">
        <v>318</v>
      </c>
    </row>
    <row r="138" spans="1:38">
      <c r="A138" s="1" t="s">
        <v>3220</v>
      </c>
      <c r="B138" s="1">
        <v>251</v>
      </c>
      <c r="C138" s="1">
        <v>60</v>
      </c>
      <c r="D138" s="1">
        <v>4.5</v>
      </c>
      <c r="E138" s="1">
        <v>3.25</v>
      </c>
      <c r="F138" s="1">
        <v>3.25</v>
      </c>
      <c r="G138" s="1" t="s">
        <v>222</v>
      </c>
      <c r="H138" s="27" t="s">
        <v>319</v>
      </c>
      <c r="I138" s="27">
        <v>7</v>
      </c>
      <c r="J138" s="28">
        <v>62.619599999999998</v>
      </c>
      <c r="K138" s="29">
        <v>4.4000000000000004</v>
      </c>
      <c r="L138" s="29">
        <v>3.4</v>
      </c>
      <c r="M138" s="142">
        <v>-4.0000000000000002E-4</v>
      </c>
      <c r="N138" s="29">
        <v>3.5</v>
      </c>
      <c r="O138" s="29">
        <v>2.25</v>
      </c>
      <c r="P138" s="30">
        <v>42.6</v>
      </c>
      <c r="Q138" s="31">
        <v>148</v>
      </c>
      <c r="R138" s="31">
        <v>112</v>
      </c>
      <c r="S138" s="31">
        <v>11.2</v>
      </c>
      <c r="T138" s="31">
        <v>89</v>
      </c>
      <c r="U138" s="31">
        <v>0.06</v>
      </c>
      <c r="V138" s="31">
        <v>0.47</v>
      </c>
      <c r="W138" s="32">
        <v>0.01</v>
      </c>
      <c r="X138" s="30">
        <v>30.9</v>
      </c>
      <c r="Y138" s="31">
        <v>4.2000000000000003E-2</v>
      </c>
      <c r="Z138" s="31">
        <v>0.17319999999999999</v>
      </c>
      <c r="AA138" s="31">
        <v>0.85919999999999996</v>
      </c>
      <c r="AB138" s="31">
        <v>4.7199999999999999E-2</v>
      </c>
      <c r="AC138" s="31">
        <v>11</v>
      </c>
      <c r="AD138" s="31">
        <v>0.45</v>
      </c>
      <c r="AE138" s="31">
        <v>1.2</v>
      </c>
      <c r="AF138" s="32">
        <v>0.1</v>
      </c>
      <c r="AI138" s="1" t="s">
        <v>222</v>
      </c>
      <c r="AJ138" s="1" t="s">
        <v>1749</v>
      </c>
      <c r="AK138" s="27" t="s">
        <v>319</v>
      </c>
      <c r="AL138" s="749" t="s">
        <v>319</v>
      </c>
    </row>
    <row r="139" spans="1:38">
      <c r="A139" s="1" t="s">
        <v>3222</v>
      </c>
      <c r="B139" s="1">
        <v>1718</v>
      </c>
      <c r="C139" s="1">
        <v>411</v>
      </c>
      <c r="D139" s="1">
        <v>2</v>
      </c>
      <c r="E139" s="1">
        <v>40</v>
      </c>
      <c r="F139" s="1">
        <v>27</v>
      </c>
      <c r="G139" s="1" t="s">
        <v>222</v>
      </c>
      <c r="H139" s="1" t="s">
        <v>2813</v>
      </c>
      <c r="J139" s="1">
        <v>401.6</v>
      </c>
      <c r="K139" s="1">
        <v>3.4</v>
      </c>
      <c r="L139" s="1">
        <v>38.5</v>
      </c>
      <c r="M139" s="34">
        <v>0</v>
      </c>
      <c r="N139" s="1">
        <v>26</v>
      </c>
      <c r="O139" s="151">
        <v>-4.0000000000000001E-3</v>
      </c>
      <c r="P139" s="4">
        <v>1430</v>
      </c>
      <c r="Q139" s="4">
        <v>116</v>
      </c>
      <c r="R139" s="4">
        <v>1190</v>
      </c>
      <c r="S139" s="4">
        <v>51</v>
      </c>
      <c r="T139" s="4">
        <v>855</v>
      </c>
      <c r="U139" s="4">
        <v>1</v>
      </c>
      <c r="V139" s="4">
        <v>3.2</v>
      </c>
      <c r="W139" s="151">
        <v>-4.0000000000000002E-4</v>
      </c>
      <c r="X139" s="4">
        <v>230</v>
      </c>
      <c r="Y139" s="4">
        <v>4.4999999999999998E-2</v>
      </c>
      <c r="Z139" s="4">
        <v>0.39</v>
      </c>
      <c r="AA139" s="4">
        <v>0.25</v>
      </c>
      <c r="AB139" s="4">
        <v>0.105</v>
      </c>
      <c r="AC139" s="4">
        <v>20</v>
      </c>
      <c r="AD139" s="4">
        <v>1.5</v>
      </c>
      <c r="AE139" s="151">
        <v>-4.0000000000000001E-3</v>
      </c>
      <c r="AF139" s="4">
        <v>0.27400000000000002</v>
      </c>
      <c r="AI139" s="1" t="s">
        <v>222</v>
      </c>
      <c r="AJ139" s="1" t="s">
        <v>1749</v>
      </c>
      <c r="AK139" s="1" t="s">
        <v>58</v>
      </c>
      <c r="AL139" s="749" t="s">
        <v>1810</v>
      </c>
    </row>
    <row r="140" spans="1:38">
      <c r="A140" s="1" t="s">
        <v>1811</v>
      </c>
      <c r="B140" s="1">
        <v>865</v>
      </c>
      <c r="C140" s="1">
        <v>207</v>
      </c>
      <c r="D140" s="1">
        <v>4.2</v>
      </c>
      <c r="E140" s="1">
        <v>2.5</v>
      </c>
      <c r="F140" s="15">
        <v>20</v>
      </c>
      <c r="G140" s="1" t="s">
        <v>222</v>
      </c>
      <c r="H140" s="1" t="s">
        <v>2814</v>
      </c>
      <c r="J140" s="1">
        <v>207</v>
      </c>
      <c r="K140" s="1">
        <v>4.2</v>
      </c>
      <c r="L140" s="1">
        <v>2.5</v>
      </c>
      <c r="M140" s="151">
        <v>-4.0000000000000001E-3</v>
      </c>
      <c r="N140" s="15">
        <v>20</v>
      </c>
      <c r="O140" s="4">
        <v>12.3</v>
      </c>
      <c r="P140" s="4">
        <v>37</v>
      </c>
      <c r="Q140" s="4">
        <v>122</v>
      </c>
      <c r="R140" s="4">
        <v>90.5</v>
      </c>
      <c r="S140" s="4">
        <v>10.6</v>
      </c>
      <c r="T140" s="4">
        <v>74</v>
      </c>
      <c r="U140" s="4">
        <v>7.0000000000000007E-2</v>
      </c>
      <c r="V140" s="4">
        <v>0.28000000000000003</v>
      </c>
      <c r="W140" s="4">
        <v>2.0500000000000001E-2</v>
      </c>
      <c r="X140" s="4">
        <v>345</v>
      </c>
      <c r="Y140" s="4">
        <v>2.75E-2</v>
      </c>
      <c r="Z140" s="4">
        <v>0.155</v>
      </c>
      <c r="AA140" s="4">
        <v>0.36499999999999999</v>
      </c>
      <c r="AB140" s="4">
        <v>3.5499999999999997E-2</v>
      </c>
      <c r="AC140" s="4">
        <v>3</v>
      </c>
      <c r="AD140" s="4">
        <v>0.4</v>
      </c>
      <c r="AE140" s="4">
        <v>1</v>
      </c>
      <c r="AF140" s="4">
        <v>0.56000000000000005</v>
      </c>
      <c r="AI140" s="1" t="s">
        <v>222</v>
      </c>
      <c r="AJ140" s="1" t="s">
        <v>1749</v>
      </c>
      <c r="AK140" s="1" t="s">
        <v>684</v>
      </c>
      <c r="AL140" s="749" t="s">
        <v>1811</v>
      </c>
    </row>
    <row r="141" spans="1:38">
      <c r="A141" s="1" t="s">
        <v>3223</v>
      </c>
      <c r="B141" s="1">
        <v>1499</v>
      </c>
      <c r="C141" s="1">
        <v>357</v>
      </c>
      <c r="D141" s="1">
        <v>1.43</v>
      </c>
      <c r="E141" s="1">
        <v>24.99</v>
      </c>
      <c r="F141" s="1">
        <v>27.8</v>
      </c>
      <c r="G141" s="1" t="s">
        <v>222</v>
      </c>
      <c r="H141" s="1" t="s">
        <v>2815</v>
      </c>
      <c r="J141" s="1">
        <v>345</v>
      </c>
      <c r="K141" s="1">
        <v>1</v>
      </c>
      <c r="L141" s="1">
        <v>29</v>
      </c>
      <c r="M141" s="34">
        <v>0</v>
      </c>
      <c r="N141" s="1">
        <v>25</v>
      </c>
      <c r="O141" s="4">
        <v>15.8</v>
      </c>
      <c r="P141" s="4">
        <v>1205</v>
      </c>
      <c r="Q141" s="4">
        <v>100</v>
      </c>
      <c r="R141" s="4">
        <v>750</v>
      </c>
      <c r="S141" s="4">
        <v>39</v>
      </c>
      <c r="T141" s="4">
        <v>430</v>
      </c>
      <c r="U141" s="4">
        <v>0.5</v>
      </c>
      <c r="V141" s="4">
        <v>2.2000000000000002</v>
      </c>
      <c r="W141" s="4">
        <v>0.05</v>
      </c>
      <c r="X141" s="4">
        <v>317</v>
      </c>
      <c r="Y141" s="4">
        <v>0.03</v>
      </c>
      <c r="Z141" s="4">
        <v>0.2</v>
      </c>
      <c r="AA141" s="4">
        <v>0.1</v>
      </c>
      <c r="AB141" s="4">
        <v>0.09</v>
      </c>
      <c r="AC141" s="4">
        <v>40</v>
      </c>
      <c r="AD141" s="4">
        <v>2.1</v>
      </c>
      <c r="AE141" s="4">
        <v>1</v>
      </c>
      <c r="AF141" s="4">
        <v>0.19</v>
      </c>
      <c r="AI141" s="1" t="s">
        <v>222</v>
      </c>
      <c r="AJ141" s="1" t="s">
        <v>1749</v>
      </c>
      <c r="AK141" s="1" t="s">
        <v>530</v>
      </c>
      <c r="AL141" s="749" t="s">
        <v>1865</v>
      </c>
    </row>
    <row r="142" spans="1:38">
      <c r="A142" s="325" t="s">
        <v>3216</v>
      </c>
      <c r="B142" s="1">
        <v>1100</v>
      </c>
      <c r="C142" s="1">
        <v>263</v>
      </c>
      <c r="D142" s="1">
        <v>4.21</v>
      </c>
      <c r="E142" s="1">
        <v>14.21</v>
      </c>
      <c r="F142" s="1">
        <v>21.32</v>
      </c>
      <c r="G142" s="1" t="s">
        <v>222</v>
      </c>
      <c r="H142" s="27" t="s">
        <v>3023</v>
      </c>
      <c r="I142" s="27">
        <v>22</v>
      </c>
      <c r="J142" s="28">
        <v>284</v>
      </c>
      <c r="K142" s="29">
        <v>0.81</v>
      </c>
      <c r="L142" s="29">
        <v>15.68</v>
      </c>
      <c r="M142" s="34">
        <v>0</v>
      </c>
      <c r="N142" s="29">
        <v>24.099999999999998</v>
      </c>
      <c r="O142" s="59">
        <v>17.525945945945946</v>
      </c>
      <c r="P142" s="30">
        <v>957</v>
      </c>
      <c r="Q142" s="31">
        <v>57</v>
      </c>
      <c r="R142" s="31">
        <v>248</v>
      </c>
      <c r="S142" s="31">
        <v>17</v>
      </c>
      <c r="T142" s="31">
        <v>223</v>
      </c>
      <c r="U142" s="31">
        <v>0.13999999999999999</v>
      </c>
      <c r="V142" s="31">
        <v>1.0399999999999998</v>
      </c>
      <c r="W142" s="1234">
        <v>3.2000000000000001E-2</v>
      </c>
      <c r="X142" s="30">
        <v>275</v>
      </c>
      <c r="Y142" s="1234">
        <v>0.154</v>
      </c>
      <c r="Z142" s="31">
        <v>0.42999999999999994</v>
      </c>
      <c r="AA142" s="31">
        <v>3.6170270270270275</v>
      </c>
      <c r="AB142" s="1234">
        <v>0.42399999999999999</v>
      </c>
      <c r="AC142" s="31">
        <v>21</v>
      </c>
      <c r="AD142" s="31">
        <v>0.39999999999999997</v>
      </c>
      <c r="AE142" s="1234">
        <v>0</v>
      </c>
      <c r="AF142" s="32">
        <v>0.42000000000000004</v>
      </c>
      <c r="AI142" s="1" t="s">
        <v>222</v>
      </c>
      <c r="AJ142" s="1" t="s">
        <v>1749</v>
      </c>
      <c r="AK142" s="27" t="s">
        <v>321</v>
      </c>
      <c r="AL142" s="749" t="s">
        <v>321</v>
      </c>
    </row>
    <row r="143" spans="1:38">
      <c r="A143" s="82" t="s">
        <v>3224</v>
      </c>
      <c r="B143" s="82">
        <v>1484</v>
      </c>
      <c r="C143" s="82">
        <v>357</v>
      </c>
      <c r="D143" s="82">
        <v>2.2200000000000002</v>
      </c>
      <c r="E143" s="82">
        <v>24.94</v>
      </c>
      <c r="F143" s="82">
        <v>27.44</v>
      </c>
      <c r="G143" s="82" t="s">
        <v>222</v>
      </c>
      <c r="H143" s="1146" t="s">
        <v>2816</v>
      </c>
      <c r="J143" s="82">
        <v>375</v>
      </c>
      <c r="K143" s="1139">
        <v>2.2200000000000002</v>
      </c>
      <c r="L143" s="82">
        <v>23.5</v>
      </c>
      <c r="M143" s="34">
        <v>0</v>
      </c>
      <c r="N143" s="82">
        <v>31</v>
      </c>
      <c r="O143" s="4">
        <v>19.899999999999999</v>
      </c>
      <c r="P143" s="4">
        <v>440</v>
      </c>
      <c r="Q143" s="4">
        <v>90</v>
      </c>
      <c r="R143" s="4">
        <v>885</v>
      </c>
      <c r="S143" s="4">
        <v>32</v>
      </c>
      <c r="T143" s="4">
        <v>520</v>
      </c>
      <c r="U143" s="4">
        <v>0.4</v>
      </c>
      <c r="V143" s="4">
        <v>4</v>
      </c>
      <c r="W143" s="4">
        <v>3.5999999999999997E-2</v>
      </c>
      <c r="X143" s="4">
        <v>276.7</v>
      </c>
      <c r="Y143" s="4">
        <v>0.03</v>
      </c>
      <c r="Z143" s="4">
        <v>0.31</v>
      </c>
      <c r="AA143" s="4">
        <v>6.7</v>
      </c>
      <c r="AB143" s="34">
        <v>0.08</v>
      </c>
      <c r="AC143" s="34">
        <v>21</v>
      </c>
      <c r="AD143" s="34">
        <v>1.54</v>
      </c>
      <c r="AE143" s="4">
        <v>1</v>
      </c>
      <c r="AF143" s="34">
        <v>0.5</v>
      </c>
      <c r="AG143" s="749" t="s">
        <v>2069</v>
      </c>
      <c r="AH143" s="749" t="s">
        <v>2070</v>
      </c>
      <c r="AI143" s="82" t="s">
        <v>222</v>
      </c>
      <c r="AJ143" s="82" t="s">
        <v>1749</v>
      </c>
      <c r="AK143" s="82" t="s">
        <v>531</v>
      </c>
      <c r="AL143" s="749" t="s">
        <v>1866</v>
      </c>
    </row>
    <row r="144" spans="1:38">
      <c r="A144" s="325" t="s">
        <v>3460</v>
      </c>
      <c r="B144" s="1"/>
      <c r="C144" s="1"/>
      <c r="D144" s="1"/>
      <c r="E144" s="1"/>
      <c r="F144" s="1"/>
      <c r="G144" s="1"/>
      <c r="H144" s="324" t="s">
        <v>2817</v>
      </c>
      <c r="I144" s="749">
        <v>22</v>
      </c>
      <c r="J144" s="1">
        <v>296</v>
      </c>
      <c r="K144" s="1139">
        <v>1.4</v>
      </c>
      <c r="L144" s="1">
        <v>27</v>
      </c>
      <c r="M144" s="4">
        <v>0</v>
      </c>
      <c r="N144" s="1139">
        <v>33</v>
      </c>
      <c r="O144" s="34">
        <v>22</v>
      </c>
      <c r="P144" s="4">
        <v>786</v>
      </c>
      <c r="Q144" s="34">
        <v>65</v>
      </c>
      <c r="R144" s="34">
        <v>700</v>
      </c>
      <c r="S144" s="34">
        <v>34</v>
      </c>
      <c r="T144" s="34">
        <v>530</v>
      </c>
      <c r="U144" s="34">
        <v>0.37</v>
      </c>
      <c r="V144" s="34">
        <v>4.0999999999999996</v>
      </c>
      <c r="W144" s="34">
        <v>0.86</v>
      </c>
      <c r="X144" s="34">
        <v>0.26</v>
      </c>
      <c r="Y144" s="34">
        <v>7.0000000000000007E-2</v>
      </c>
      <c r="Z144" s="34">
        <v>0.34</v>
      </c>
      <c r="AA144" s="34">
        <v>0.1</v>
      </c>
      <c r="AB144" s="34">
        <v>0.09</v>
      </c>
      <c r="AC144" s="34">
        <v>20</v>
      </c>
      <c r="AD144" s="34">
        <v>2</v>
      </c>
      <c r="AE144" s="4">
        <v>0</v>
      </c>
      <c r="AF144" s="34">
        <v>0.65</v>
      </c>
      <c r="AI144" s="24"/>
      <c r="AJ144" s="1" t="s">
        <v>1749</v>
      </c>
      <c r="AK144" s="324" t="s">
        <v>1658</v>
      </c>
      <c r="AL144" s="749" t="s">
        <v>1820</v>
      </c>
    </row>
    <row r="145" spans="1:38">
      <c r="A145" s="1" t="s">
        <v>3225</v>
      </c>
      <c r="B145" s="1"/>
      <c r="C145" s="1"/>
      <c r="D145" s="1"/>
      <c r="E145" s="1"/>
      <c r="F145" s="1"/>
      <c r="G145" s="1" t="s">
        <v>222</v>
      </c>
      <c r="H145" s="1147" t="s">
        <v>2818</v>
      </c>
      <c r="I145" s="1"/>
      <c r="J145" s="1">
        <v>375.5</v>
      </c>
      <c r="K145" s="1">
        <v>1</v>
      </c>
      <c r="L145" s="1">
        <v>28.1</v>
      </c>
      <c r="M145" s="34">
        <v>0</v>
      </c>
      <c r="N145" s="82">
        <v>29.1</v>
      </c>
      <c r="O145" s="4">
        <v>18.8</v>
      </c>
      <c r="P145" s="4">
        <v>613</v>
      </c>
      <c r="Q145" s="4">
        <v>120</v>
      </c>
      <c r="R145" s="4">
        <v>990</v>
      </c>
      <c r="S145" s="4">
        <v>25</v>
      </c>
      <c r="T145" s="4">
        <v>610</v>
      </c>
      <c r="U145" s="4">
        <v>0.4</v>
      </c>
      <c r="V145" s="4">
        <v>4</v>
      </c>
      <c r="W145" s="4">
        <v>0.03</v>
      </c>
      <c r="X145" s="4">
        <v>258</v>
      </c>
      <c r="Y145" s="4">
        <v>0.04</v>
      </c>
      <c r="Z145" s="4">
        <v>0.5</v>
      </c>
      <c r="AA145" s="4">
        <v>0.1</v>
      </c>
      <c r="AB145" s="4">
        <v>0.08</v>
      </c>
      <c r="AC145" s="4">
        <v>20</v>
      </c>
      <c r="AD145" s="4">
        <v>1.5</v>
      </c>
      <c r="AE145" s="151">
        <v>-4.0000000000000001E-3</v>
      </c>
      <c r="AF145" s="4">
        <v>0.28100000000000003</v>
      </c>
      <c r="AI145" s="1" t="s">
        <v>222</v>
      </c>
      <c r="AJ145" s="1" t="s">
        <v>1749</v>
      </c>
      <c r="AK145" s="324" t="s">
        <v>1653</v>
      </c>
      <c r="AL145" s="749" t="s">
        <v>1653</v>
      </c>
    </row>
    <row r="146" spans="1:38">
      <c r="A146" s="1" t="s">
        <v>3217</v>
      </c>
      <c r="B146" s="1">
        <v>1259</v>
      </c>
      <c r="C146" s="1">
        <v>301</v>
      </c>
      <c r="D146" s="1">
        <v>6.36</v>
      </c>
      <c r="E146" s="1">
        <v>24.58</v>
      </c>
      <c r="F146" s="1">
        <v>19.72</v>
      </c>
      <c r="G146" s="1" t="s">
        <v>222</v>
      </c>
      <c r="H146" s="38" t="s">
        <v>2819</v>
      </c>
      <c r="I146" s="38">
        <v>8</v>
      </c>
      <c r="J146" s="33">
        <v>236.90357023690362</v>
      </c>
      <c r="K146" s="34">
        <v>0.9</v>
      </c>
      <c r="L146" s="4">
        <v>13.079746413079748</v>
      </c>
      <c r="M146" s="34">
        <v>0</v>
      </c>
      <c r="N146" s="4">
        <v>20.103436770103439</v>
      </c>
      <c r="O146" s="34">
        <v>16.2</v>
      </c>
      <c r="P146" s="1141">
        <v>558</v>
      </c>
      <c r="Q146" s="34">
        <v>71.400000000000006</v>
      </c>
      <c r="R146" s="34">
        <v>720</v>
      </c>
      <c r="S146" s="4">
        <v>14.180847514180849</v>
      </c>
      <c r="T146" s="34">
        <v>354</v>
      </c>
      <c r="U146" s="34">
        <v>0.17</v>
      </c>
      <c r="V146" s="34">
        <v>4</v>
      </c>
      <c r="W146" s="1148">
        <v>0.1</v>
      </c>
      <c r="X146" s="1141">
        <v>254.1</v>
      </c>
      <c r="Y146" s="34">
        <v>0.05</v>
      </c>
      <c r="Z146" s="34">
        <v>0.33</v>
      </c>
      <c r="AA146" s="34">
        <v>5</v>
      </c>
      <c r="AB146" s="34">
        <v>0.09</v>
      </c>
      <c r="AC146" s="34">
        <v>60</v>
      </c>
      <c r="AD146" s="34">
        <v>1.38</v>
      </c>
      <c r="AE146" s="37">
        <v>0.5</v>
      </c>
      <c r="AF146" s="1148">
        <v>0.254</v>
      </c>
      <c r="AI146" s="1" t="s">
        <v>222</v>
      </c>
      <c r="AJ146" s="1" t="s">
        <v>1749</v>
      </c>
      <c r="AK146" s="38" t="s">
        <v>323</v>
      </c>
      <c r="AL146" s="749" t="s">
        <v>323</v>
      </c>
    </row>
    <row r="147" spans="1:38">
      <c r="A147" s="1" t="s">
        <v>3227</v>
      </c>
      <c r="B147" s="1">
        <v>412</v>
      </c>
      <c r="C147" s="1">
        <v>98</v>
      </c>
      <c r="D147" s="1">
        <v>3.38</v>
      </c>
      <c r="E147" s="1">
        <v>11.12</v>
      </c>
      <c r="F147" s="1">
        <v>4.3</v>
      </c>
      <c r="G147" s="1" t="s">
        <v>222</v>
      </c>
      <c r="H147" s="1" t="s">
        <v>2820</v>
      </c>
      <c r="J147" s="1">
        <v>183</v>
      </c>
      <c r="K147" s="1">
        <v>3</v>
      </c>
      <c r="L147" s="1">
        <v>5</v>
      </c>
      <c r="M147" s="34">
        <v>0</v>
      </c>
      <c r="N147" s="1">
        <v>17</v>
      </c>
      <c r="O147" s="4">
        <v>11.4</v>
      </c>
      <c r="P147" s="4">
        <v>472</v>
      </c>
      <c r="Q147" s="4">
        <v>80</v>
      </c>
      <c r="R147" s="4">
        <v>1000</v>
      </c>
      <c r="S147" s="4">
        <v>30</v>
      </c>
      <c r="T147" s="4">
        <v>575</v>
      </c>
      <c r="U147" s="4">
        <v>0.2</v>
      </c>
      <c r="V147" s="4">
        <v>4</v>
      </c>
      <c r="W147" s="4">
        <v>0.86</v>
      </c>
      <c r="X147" s="4">
        <v>152</v>
      </c>
      <c r="Y147" s="4">
        <v>5.5E-2</v>
      </c>
      <c r="Z147" s="4">
        <v>0.375</v>
      </c>
      <c r="AA147" s="4">
        <v>0.1</v>
      </c>
      <c r="AB147" s="4">
        <v>8.5000000000000006E-2</v>
      </c>
      <c r="AC147" s="4">
        <v>20</v>
      </c>
      <c r="AD147" s="4">
        <v>1.75</v>
      </c>
      <c r="AE147" s="4">
        <v>0</v>
      </c>
      <c r="AF147" s="4">
        <v>0.32</v>
      </c>
      <c r="AI147" s="1" t="s">
        <v>222</v>
      </c>
      <c r="AJ147" s="1" t="s">
        <v>1749</v>
      </c>
      <c r="AK147" s="1" t="s">
        <v>60</v>
      </c>
      <c r="AL147" s="749" t="s">
        <v>1813</v>
      </c>
    </row>
    <row r="148" spans="1:38">
      <c r="A148" s="1" t="s">
        <v>3228</v>
      </c>
      <c r="B148" s="1">
        <v>412</v>
      </c>
      <c r="C148" s="1">
        <v>98</v>
      </c>
      <c r="D148" s="1">
        <v>3.38</v>
      </c>
      <c r="E148" s="1">
        <v>11.12</v>
      </c>
      <c r="F148" s="1">
        <v>4.3</v>
      </c>
      <c r="G148" s="1" t="s">
        <v>222</v>
      </c>
      <c r="H148" s="1" t="s">
        <v>2820</v>
      </c>
      <c r="J148" s="1">
        <v>183</v>
      </c>
      <c r="K148" s="1">
        <v>3</v>
      </c>
      <c r="L148" s="1">
        <v>5</v>
      </c>
      <c r="M148" s="34">
        <v>0</v>
      </c>
      <c r="N148" s="1">
        <v>17</v>
      </c>
      <c r="O148" s="4">
        <v>11.4</v>
      </c>
      <c r="P148" s="4">
        <v>472</v>
      </c>
      <c r="Q148" s="4">
        <v>80</v>
      </c>
      <c r="R148" s="4">
        <v>1000</v>
      </c>
      <c r="S148" s="4">
        <v>30</v>
      </c>
      <c r="T148" s="4">
        <v>575</v>
      </c>
      <c r="U148" s="4">
        <v>0.2</v>
      </c>
      <c r="V148" s="4">
        <v>4</v>
      </c>
      <c r="W148" s="4">
        <v>0.86</v>
      </c>
      <c r="X148" s="4">
        <v>152</v>
      </c>
      <c r="Y148" s="4">
        <v>5.5E-2</v>
      </c>
      <c r="Z148" s="4">
        <v>0.375</v>
      </c>
      <c r="AA148" s="4">
        <v>0.1</v>
      </c>
      <c r="AB148" s="4">
        <v>8.5000000000000006E-2</v>
      </c>
      <c r="AC148" s="4">
        <v>20</v>
      </c>
      <c r="AD148" s="4">
        <v>1.75</v>
      </c>
      <c r="AE148" s="4">
        <v>0</v>
      </c>
      <c r="AF148" s="4">
        <v>0.32</v>
      </c>
      <c r="AI148" s="1" t="s">
        <v>222</v>
      </c>
      <c r="AJ148" s="1" t="s">
        <v>1749</v>
      </c>
      <c r="AK148" s="1" t="s">
        <v>60</v>
      </c>
      <c r="AL148" s="749" t="s">
        <v>1813</v>
      </c>
    </row>
    <row r="149" spans="1:38">
      <c r="A149" s="749" t="s">
        <v>3229</v>
      </c>
      <c r="B149" s="1">
        <v>412</v>
      </c>
      <c r="C149" s="1">
        <v>98</v>
      </c>
      <c r="D149" s="1">
        <v>3.38</v>
      </c>
      <c r="E149" s="1">
        <v>11.12</v>
      </c>
      <c r="F149" s="1">
        <v>4.3</v>
      </c>
      <c r="G149" s="1" t="s">
        <v>222</v>
      </c>
      <c r="H149" s="1" t="s">
        <v>2821</v>
      </c>
      <c r="I149" s="324" t="s">
        <v>2822</v>
      </c>
      <c r="J149" s="1">
        <v>98</v>
      </c>
      <c r="K149" s="1">
        <v>3.38</v>
      </c>
      <c r="L149" s="1">
        <v>11.12</v>
      </c>
      <c r="M149" s="34">
        <v>0</v>
      </c>
      <c r="N149" s="1">
        <v>4.3</v>
      </c>
      <c r="O149" s="151">
        <v>-4.0000000000000001E-3</v>
      </c>
      <c r="P149" s="4">
        <v>364</v>
      </c>
      <c r="Q149" s="4">
        <v>104</v>
      </c>
      <c r="R149" s="4">
        <v>83</v>
      </c>
      <c r="S149" s="4">
        <v>8</v>
      </c>
      <c r="T149" s="4">
        <v>159</v>
      </c>
      <c r="U149" s="4">
        <v>7.0000000000000007E-2</v>
      </c>
      <c r="V149" s="4">
        <v>0.4</v>
      </c>
      <c r="W149" s="4">
        <v>2.9000000000000001E-2</v>
      </c>
      <c r="X149" s="34">
        <v>152</v>
      </c>
      <c r="Y149" s="4">
        <v>2.7E-2</v>
      </c>
      <c r="Z149" s="4">
        <v>0.16300000000000001</v>
      </c>
      <c r="AA149" s="4">
        <v>9.9000000000000005E-2</v>
      </c>
      <c r="AB149" s="4">
        <v>4.5999999999999999E-2</v>
      </c>
      <c r="AC149" s="34">
        <v>20</v>
      </c>
      <c r="AD149" s="4">
        <v>0.43</v>
      </c>
      <c r="AE149" s="4">
        <v>0</v>
      </c>
      <c r="AF149" s="34">
        <v>0.32</v>
      </c>
      <c r="AI149" s="1" t="s">
        <v>222</v>
      </c>
      <c r="AJ149" s="1" t="s">
        <v>1749</v>
      </c>
      <c r="AK149" s="1" t="s">
        <v>61</v>
      </c>
      <c r="AL149" s="749" t="s">
        <v>1814</v>
      </c>
    </row>
    <row r="150" spans="1:38">
      <c r="A150" s="1" t="s">
        <v>3226</v>
      </c>
      <c r="B150" s="1">
        <v>1369</v>
      </c>
      <c r="C150" s="1">
        <v>329</v>
      </c>
      <c r="D150" s="1">
        <v>0</v>
      </c>
      <c r="E150" s="1">
        <v>25.3</v>
      </c>
      <c r="F150" s="1">
        <v>25</v>
      </c>
      <c r="G150" s="1" t="s">
        <v>222</v>
      </c>
      <c r="H150" s="1" t="s">
        <v>59</v>
      </c>
      <c r="J150" s="1">
        <v>329</v>
      </c>
      <c r="K150" s="1">
        <v>0</v>
      </c>
      <c r="L150" s="1">
        <v>25.3</v>
      </c>
      <c r="M150" s="34">
        <v>0</v>
      </c>
      <c r="N150" s="1">
        <v>25</v>
      </c>
      <c r="O150" s="34">
        <v>15.8</v>
      </c>
      <c r="P150" s="34">
        <v>1205</v>
      </c>
      <c r="Q150" s="34">
        <v>100</v>
      </c>
      <c r="R150" s="34">
        <v>750</v>
      </c>
      <c r="S150" s="34">
        <v>39</v>
      </c>
      <c r="T150" s="34">
        <v>430</v>
      </c>
      <c r="U150" s="34">
        <v>0.5</v>
      </c>
      <c r="V150" s="34">
        <v>2.2000000000000002</v>
      </c>
      <c r="W150" s="34">
        <v>0.05</v>
      </c>
      <c r="X150" s="34">
        <v>317</v>
      </c>
      <c r="Y150" s="34">
        <v>0.03</v>
      </c>
      <c r="Z150" s="34">
        <v>0.2</v>
      </c>
      <c r="AA150" s="34">
        <v>0.1</v>
      </c>
      <c r="AB150" s="34">
        <v>0.09</v>
      </c>
      <c r="AC150" s="34">
        <v>40</v>
      </c>
      <c r="AD150" s="34">
        <v>2.1</v>
      </c>
      <c r="AE150" s="34">
        <v>1</v>
      </c>
      <c r="AF150" s="34">
        <v>0.19</v>
      </c>
      <c r="AI150" s="1" t="s">
        <v>222</v>
      </c>
      <c r="AJ150" s="1" t="s">
        <v>1749</v>
      </c>
      <c r="AK150" s="1" t="s">
        <v>59</v>
      </c>
      <c r="AL150" s="749" t="s">
        <v>1812</v>
      </c>
    </row>
    <row r="151" spans="1:38">
      <c r="A151" s="749" t="s">
        <v>3230</v>
      </c>
      <c r="B151" s="1">
        <v>1162</v>
      </c>
      <c r="C151" s="1">
        <v>279</v>
      </c>
      <c r="D151" s="1">
        <v>1.6</v>
      </c>
      <c r="E151" s="1">
        <v>23.2</v>
      </c>
      <c r="F151" s="15">
        <v>20</v>
      </c>
      <c r="G151" s="1" t="s">
        <v>222</v>
      </c>
      <c r="H151" s="1" t="s">
        <v>2823</v>
      </c>
      <c r="I151" s="749" t="s">
        <v>2824</v>
      </c>
      <c r="J151" s="1">
        <v>296.60000000000002</v>
      </c>
      <c r="K151" s="1">
        <v>3.8</v>
      </c>
      <c r="L151" s="1">
        <v>22.5</v>
      </c>
      <c r="M151" s="34">
        <v>0</v>
      </c>
      <c r="N151" s="15">
        <v>21.1</v>
      </c>
      <c r="O151" s="4">
        <v>14.9</v>
      </c>
      <c r="P151" s="4">
        <v>672</v>
      </c>
      <c r="Q151" s="34">
        <v>150</v>
      </c>
      <c r="R151" s="34">
        <v>1000</v>
      </c>
      <c r="S151" s="34">
        <v>45</v>
      </c>
      <c r="T151" s="34">
        <v>1200</v>
      </c>
      <c r="U151" s="34">
        <v>0.9</v>
      </c>
      <c r="V151" s="34">
        <v>4</v>
      </c>
      <c r="W151" s="34">
        <v>0.12</v>
      </c>
      <c r="X151" s="34">
        <v>98</v>
      </c>
      <c r="Y151" s="34">
        <v>0.03</v>
      </c>
      <c r="Z151" s="34">
        <v>0.38</v>
      </c>
      <c r="AA151" s="34">
        <v>4.5670000000000002</v>
      </c>
      <c r="AB151" s="34">
        <v>7.0000000000000007E-2</v>
      </c>
      <c r="AC151" s="34">
        <v>3</v>
      </c>
      <c r="AD151" s="34">
        <v>2</v>
      </c>
      <c r="AE151" s="34">
        <v>0</v>
      </c>
      <c r="AF151" s="34">
        <v>0.3</v>
      </c>
      <c r="AI151" s="1" t="s">
        <v>222</v>
      </c>
      <c r="AJ151" s="1" t="s">
        <v>1749</v>
      </c>
      <c r="AK151" s="1" t="s">
        <v>62</v>
      </c>
      <c r="AL151" s="749" t="s">
        <v>1815</v>
      </c>
    </row>
    <row r="152" spans="1:38">
      <c r="A152" s="1" t="s">
        <v>3232</v>
      </c>
      <c r="B152" s="1">
        <v>1620</v>
      </c>
      <c r="C152" s="1">
        <v>390</v>
      </c>
      <c r="D152" s="1">
        <v>3</v>
      </c>
      <c r="E152" s="1">
        <v>27</v>
      </c>
      <c r="F152" s="1">
        <v>30</v>
      </c>
      <c r="G152" s="1" t="s">
        <v>222</v>
      </c>
      <c r="H152" s="324" t="s">
        <v>2825</v>
      </c>
      <c r="I152" s="749" t="s">
        <v>2826</v>
      </c>
      <c r="J152" s="1">
        <v>402</v>
      </c>
      <c r="K152" s="1">
        <v>0.9</v>
      </c>
      <c r="L152" s="1">
        <v>27.7</v>
      </c>
      <c r="M152" s="4">
        <v>0</v>
      </c>
      <c r="N152" s="1">
        <v>32</v>
      </c>
      <c r="O152" s="4">
        <v>21.3</v>
      </c>
      <c r="P152" s="4">
        <v>747</v>
      </c>
      <c r="Q152" s="34">
        <v>95</v>
      </c>
      <c r="R152" s="34">
        <v>817</v>
      </c>
      <c r="S152" s="34">
        <v>35.5</v>
      </c>
      <c r="T152" s="34">
        <v>475</v>
      </c>
      <c r="U152" s="34">
        <v>0.45</v>
      </c>
      <c r="V152" s="34">
        <v>3.1</v>
      </c>
      <c r="W152" s="34">
        <v>0.05</v>
      </c>
      <c r="X152" s="34">
        <v>297</v>
      </c>
      <c r="Y152" s="34">
        <v>0.03</v>
      </c>
      <c r="Z152" s="34">
        <v>0.255</v>
      </c>
      <c r="AA152" s="34">
        <v>3.4</v>
      </c>
      <c r="AB152" s="34">
        <v>0.09</v>
      </c>
      <c r="AC152" s="34">
        <v>40</v>
      </c>
      <c r="AD152" s="34">
        <v>2.1</v>
      </c>
      <c r="AE152" s="34">
        <v>1</v>
      </c>
      <c r="AF152" s="34">
        <v>0.19</v>
      </c>
      <c r="AI152" s="1" t="s">
        <v>222</v>
      </c>
      <c r="AJ152" s="1" t="s">
        <v>1749</v>
      </c>
      <c r="AK152" s="1" t="s">
        <v>63</v>
      </c>
      <c r="AL152" s="749" t="s">
        <v>1816</v>
      </c>
    </row>
    <row r="153" spans="1:38">
      <c r="A153" s="749" t="s">
        <v>3231</v>
      </c>
      <c r="B153" s="1">
        <v>1774</v>
      </c>
      <c r="C153" s="1">
        <v>426</v>
      </c>
      <c r="D153" s="1">
        <v>3.5</v>
      </c>
      <c r="E153" s="1">
        <v>41</v>
      </c>
      <c r="F153" s="1">
        <v>27.5</v>
      </c>
      <c r="G153" s="1" t="s">
        <v>222</v>
      </c>
      <c r="H153" s="1" t="s">
        <v>2827</v>
      </c>
      <c r="J153" s="1">
        <v>426</v>
      </c>
      <c r="K153" s="1">
        <v>3.5</v>
      </c>
      <c r="L153" s="1">
        <v>41</v>
      </c>
      <c r="M153" s="34">
        <v>0</v>
      </c>
      <c r="N153" s="1">
        <v>27.5</v>
      </c>
      <c r="O153" s="4">
        <v>17.100000000000001</v>
      </c>
      <c r="P153" s="4">
        <v>668</v>
      </c>
      <c r="Q153" s="34">
        <v>116</v>
      </c>
      <c r="R153" s="34">
        <v>1190</v>
      </c>
      <c r="S153" s="34">
        <v>51</v>
      </c>
      <c r="T153" s="34">
        <v>855</v>
      </c>
      <c r="U153" s="34">
        <v>1</v>
      </c>
      <c r="V153" s="34">
        <v>3.2</v>
      </c>
      <c r="W153" s="151">
        <v>-4.0000000000000002E-4</v>
      </c>
      <c r="X153" s="34">
        <v>230</v>
      </c>
      <c r="Y153" s="34">
        <v>4.4999999999999998E-2</v>
      </c>
      <c r="Z153" s="34">
        <v>0.39</v>
      </c>
      <c r="AA153" s="34">
        <v>0.25</v>
      </c>
      <c r="AB153" s="34">
        <v>0.105</v>
      </c>
      <c r="AC153" s="34">
        <v>20</v>
      </c>
      <c r="AD153" s="34">
        <v>1.5</v>
      </c>
      <c r="AE153" s="151">
        <v>-4.0000000000000001E-3</v>
      </c>
      <c r="AF153" s="34">
        <v>0.27400000000000002</v>
      </c>
      <c r="AI153" s="1" t="s">
        <v>222</v>
      </c>
      <c r="AJ153" s="1" t="s">
        <v>1749</v>
      </c>
      <c r="AK153" s="1" t="s">
        <v>64</v>
      </c>
      <c r="AL153" s="749" t="s">
        <v>1817</v>
      </c>
    </row>
    <row r="154" spans="1:38">
      <c r="A154" s="1" t="s">
        <v>3233</v>
      </c>
      <c r="B154" s="1">
        <v>1152</v>
      </c>
      <c r="C154" s="1">
        <v>279</v>
      </c>
      <c r="D154" s="15">
        <v>4</v>
      </c>
      <c r="E154" s="15">
        <v>5</v>
      </c>
      <c r="F154" s="15">
        <v>27</v>
      </c>
      <c r="G154" s="1" t="s">
        <v>222</v>
      </c>
      <c r="H154" s="324" t="s">
        <v>2828</v>
      </c>
      <c r="J154" s="1">
        <v>252</v>
      </c>
      <c r="K154" s="15">
        <v>2</v>
      </c>
      <c r="L154" s="15">
        <v>7</v>
      </c>
      <c r="M154" s="34">
        <v>0</v>
      </c>
      <c r="N154" s="15">
        <v>24.5</v>
      </c>
      <c r="O154" s="4">
        <v>19.600000000000001</v>
      </c>
      <c r="P154" s="34">
        <v>1150</v>
      </c>
      <c r="Q154" s="34">
        <v>135</v>
      </c>
      <c r="R154" s="34">
        <v>500</v>
      </c>
      <c r="S154" s="34">
        <v>23</v>
      </c>
      <c r="T154" s="34">
        <v>750</v>
      </c>
      <c r="U154" s="34">
        <v>0.1</v>
      </c>
      <c r="V154" s="34">
        <v>3</v>
      </c>
      <c r="W154" s="34">
        <v>0.12</v>
      </c>
      <c r="X154" s="34">
        <v>225</v>
      </c>
      <c r="Y154" s="34">
        <v>0.03</v>
      </c>
      <c r="Z154" s="34">
        <v>0.2</v>
      </c>
      <c r="AA154" s="34">
        <v>0.1</v>
      </c>
      <c r="AB154" s="34">
        <v>0.06</v>
      </c>
      <c r="AC154" s="151">
        <v>-4.0000000000000001E-3</v>
      </c>
      <c r="AD154" s="34">
        <v>0.6</v>
      </c>
      <c r="AE154" s="34">
        <v>1</v>
      </c>
      <c r="AF154" s="34">
        <v>0.4</v>
      </c>
      <c r="AI154" s="1" t="s">
        <v>222</v>
      </c>
      <c r="AJ154" s="1" t="s">
        <v>1749</v>
      </c>
      <c r="AK154" s="324" t="s">
        <v>1655</v>
      </c>
      <c r="AL154" s="749" t="s">
        <v>1655</v>
      </c>
    </row>
    <row r="155" spans="1:38">
      <c r="A155" s="1" t="s">
        <v>3234</v>
      </c>
      <c r="B155" s="1">
        <v>1152</v>
      </c>
      <c r="C155" s="1">
        <v>279</v>
      </c>
      <c r="D155" s="15">
        <v>4</v>
      </c>
      <c r="E155" s="15">
        <v>5</v>
      </c>
      <c r="F155" s="15">
        <v>27</v>
      </c>
      <c r="G155" s="1" t="s">
        <v>222</v>
      </c>
      <c r="H155" s="1" t="s">
        <v>2829</v>
      </c>
      <c r="J155" s="1">
        <v>279</v>
      </c>
      <c r="K155" s="15">
        <v>4</v>
      </c>
      <c r="L155" s="15">
        <v>5</v>
      </c>
      <c r="M155" s="34">
        <v>0</v>
      </c>
      <c r="N155" s="15">
        <v>27</v>
      </c>
      <c r="O155" s="34">
        <v>10.1</v>
      </c>
      <c r="P155" s="34">
        <v>858</v>
      </c>
      <c r="Q155" s="34">
        <v>127.5</v>
      </c>
      <c r="R155" s="34">
        <v>575</v>
      </c>
      <c r="S155" s="34">
        <v>24.5</v>
      </c>
      <c r="T155" s="34">
        <v>825</v>
      </c>
      <c r="U155" s="34">
        <v>0.22</v>
      </c>
      <c r="V155" s="34">
        <v>2.8</v>
      </c>
      <c r="W155" s="34">
        <v>0.23499999999999999</v>
      </c>
      <c r="X155" s="34">
        <v>182.5</v>
      </c>
      <c r="Y155" s="34">
        <v>0.06</v>
      </c>
      <c r="Z155" s="34">
        <v>0.315</v>
      </c>
      <c r="AA155" s="34">
        <v>0.1</v>
      </c>
      <c r="AB155" s="34">
        <v>4.2500000000000003E-2</v>
      </c>
      <c r="AC155" s="34">
        <v>7</v>
      </c>
      <c r="AD155" s="34">
        <v>0.8</v>
      </c>
      <c r="AE155" s="34">
        <v>1</v>
      </c>
      <c r="AF155" s="34">
        <v>0.29249999999999998</v>
      </c>
      <c r="AI155" s="1" t="s">
        <v>222</v>
      </c>
      <c r="AJ155" s="1" t="s">
        <v>1749</v>
      </c>
      <c r="AK155" s="1" t="s">
        <v>65</v>
      </c>
      <c r="AL155" s="749" t="s">
        <v>1818</v>
      </c>
    </row>
    <row r="156" spans="1:38">
      <c r="A156" s="1" t="s">
        <v>475</v>
      </c>
      <c r="B156" s="1">
        <v>1300</v>
      </c>
      <c r="C156" s="1">
        <v>317</v>
      </c>
      <c r="D156" s="1">
        <v>2</v>
      </c>
      <c r="E156" s="1">
        <v>3</v>
      </c>
      <c r="F156" s="1">
        <v>32</v>
      </c>
      <c r="G156" s="1" t="s">
        <v>222</v>
      </c>
      <c r="H156" s="1" t="s">
        <v>2830</v>
      </c>
      <c r="J156" s="1">
        <v>347</v>
      </c>
      <c r="K156" s="1">
        <v>4.1500000000000004</v>
      </c>
      <c r="L156" s="1">
        <v>1.65</v>
      </c>
      <c r="M156" s="4">
        <v>0</v>
      </c>
      <c r="N156" s="1">
        <v>36</v>
      </c>
      <c r="O156" s="34">
        <v>17.7</v>
      </c>
      <c r="P156" s="34">
        <v>37</v>
      </c>
      <c r="Q156" s="34">
        <v>122</v>
      </c>
      <c r="R156" s="34">
        <v>90.5</v>
      </c>
      <c r="S156" s="34">
        <v>10.6</v>
      </c>
      <c r="T156" s="34">
        <v>74</v>
      </c>
      <c r="U156" s="34">
        <v>7.0000000000000007E-2</v>
      </c>
      <c r="V156" s="34">
        <v>0.28000000000000003</v>
      </c>
      <c r="W156" s="34">
        <v>0.02</v>
      </c>
      <c r="X156" s="34">
        <v>180</v>
      </c>
      <c r="Y156" s="34">
        <v>2.75E-2</v>
      </c>
      <c r="Z156" s="34">
        <v>0.155</v>
      </c>
      <c r="AA156" s="34">
        <v>0.36</v>
      </c>
      <c r="AB156" s="34">
        <v>3.5499999999999997E-2</v>
      </c>
      <c r="AC156" s="34">
        <v>3</v>
      </c>
      <c r="AD156" s="34">
        <v>0.4</v>
      </c>
      <c r="AE156" s="34">
        <v>1</v>
      </c>
      <c r="AF156" s="34">
        <v>0.56000000000000005</v>
      </c>
      <c r="AI156" s="1" t="s">
        <v>222</v>
      </c>
      <c r="AJ156" s="1" t="s">
        <v>1749</v>
      </c>
      <c r="AK156" s="1" t="s">
        <v>520</v>
      </c>
      <c r="AL156" s="749" t="s">
        <v>1819</v>
      </c>
    </row>
    <row r="157" spans="1:38">
      <c r="A157" s="24" t="s">
        <v>3218</v>
      </c>
      <c r="B157" s="24"/>
      <c r="C157" s="24"/>
      <c r="D157" s="24"/>
      <c r="E157" s="24"/>
      <c r="F157" s="24"/>
      <c r="G157" s="24" t="s">
        <v>222</v>
      </c>
      <c r="H157" s="1149" t="s">
        <v>2831</v>
      </c>
      <c r="J157" s="1">
        <v>343</v>
      </c>
      <c r="K157" s="1">
        <v>71</v>
      </c>
      <c r="L157" s="1">
        <v>12.2</v>
      </c>
      <c r="M157" s="34">
        <v>0</v>
      </c>
      <c r="N157" s="1">
        <v>1</v>
      </c>
      <c r="O157" s="4">
        <v>0.6</v>
      </c>
      <c r="P157" s="4">
        <v>645</v>
      </c>
      <c r="Q157" s="4">
        <v>931</v>
      </c>
      <c r="R157" s="4">
        <v>446</v>
      </c>
      <c r="S157" s="4">
        <v>90</v>
      </c>
      <c r="T157" s="4">
        <v>288</v>
      </c>
      <c r="U157" s="4">
        <v>1</v>
      </c>
      <c r="V157" s="4">
        <v>2.86</v>
      </c>
      <c r="W157" s="4">
        <v>0.28999999999999998</v>
      </c>
      <c r="X157" s="4">
        <v>15</v>
      </c>
      <c r="Y157" s="4">
        <v>0.49</v>
      </c>
      <c r="Z157" s="4">
        <v>2.75</v>
      </c>
      <c r="AA157" s="4">
        <v>0.8</v>
      </c>
      <c r="AB157" s="4">
        <v>0.6</v>
      </c>
      <c r="AC157" s="4">
        <v>12</v>
      </c>
      <c r="AD157" s="4">
        <v>2</v>
      </c>
      <c r="AE157" s="34">
        <v>0.9</v>
      </c>
      <c r="AF157" s="151">
        <v>-4.0000000000000002E-4</v>
      </c>
      <c r="AI157" s="1"/>
      <c r="AJ157" s="1"/>
      <c r="AK157" s="1"/>
    </row>
    <row r="158" spans="1:38">
      <c r="A158" s="749" t="s">
        <v>3209</v>
      </c>
      <c r="B158" s="1">
        <v>217</v>
      </c>
      <c r="C158" s="1">
        <v>52</v>
      </c>
      <c r="D158" s="1">
        <v>0.73</v>
      </c>
      <c r="E158" s="1">
        <v>10.9</v>
      </c>
      <c r="F158" s="1">
        <v>0.17</v>
      </c>
      <c r="G158" s="1" t="s">
        <v>224</v>
      </c>
      <c r="H158" s="1" t="s">
        <v>2832</v>
      </c>
      <c r="J158" s="1">
        <v>48</v>
      </c>
      <c r="K158" s="1">
        <v>0.77600000000000002</v>
      </c>
      <c r="L158" s="1">
        <v>10.71</v>
      </c>
      <c r="M158" s="4">
        <v>0</v>
      </c>
      <c r="N158" s="82">
        <v>0.19600000000000001</v>
      </c>
      <c r="O158" s="4">
        <v>5.8999999999999997E-2</v>
      </c>
      <c r="P158" s="4">
        <v>169</v>
      </c>
      <c r="Q158" s="4">
        <v>152</v>
      </c>
      <c r="R158" s="4">
        <v>10</v>
      </c>
      <c r="S158" s="4">
        <v>11</v>
      </c>
      <c r="T158" s="4">
        <v>20</v>
      </c>
      <c r="U158" s="4">
        <v>0.2</v>
      </c>
      <c r="V158" s="4">
        <v>2.1000000000000001E-2</v>
      </c>
      <c r="W158" s="4">
        <v>0.13</v>
      </c>
      <c r="X158" s="151">
        <v>-4.0000000000000001E-3</v>
      </c>
      <c r="Y158" s="4">
        <v>2.1999999999999999E-2</v>
      </c>
      <c r="Z158" s="4">
        <v>0.36699999999999999</v>
      </c>
      <c r="AA158" s="4">
        <v>2.75</v>
      </c>
      <c r="AB158" s="4">
        <v>0.13</v>
      </c>
      <c r="AC158" s="4">
        <v>14</v>
      </c>
      <c r="AD158" s="4">
        <v>0.1</v>
      </c>
      <c r="AE158" s="151">
        <v>-4.0000000000000001E-3</v>
      </c>
      <c r="AF158" s="151">
        <v>-4.0000000000000002E-4</v>
      </c>
      <c r="AI158" s="1" t="s">
        <v>224</v>
      </c>
      <c r="AJ158" s="1" t="s">
        <v>1750</v>
      </c>
      <c r="AK158" s="1" t="s">
        <v>54</v>
      </c>
      <c r="AL158" s="749" t="s">
        <v>1867</v>
      </c>
    </row>
    <row r="159" spans="1:38">
      <c r="A159" s="1233" t="s">
        <v>3208</v>
      </c>
      <c r="B159" s="1">
        <v>614</v>
      </c>
      <c r="C159" s="1">
        <v>147</v>
      </c>
      <c r="D159" s="1">
        <v>0.77</v>
      </c>
      <c r="E159" s="1">
        <v>12.58</v>
      </c>
      <c r="F159" s="1">
        <v>9.94</v>
      </c>
      <c r="G159" s="1" t="s">
        <v>224</v>
      </c>
      <c r="H159" s="749" t="s">
        <v>326</v>
      </c>
      <c r="I159" s="749">
        <v>22</v>
      </c>
      <c r="J159" s="33">
        <v>141.99999999999997</v>
      </c>
      <c r="K159" s="4">
        <v>0.80018674136321188</v>
      </c>
      <c r="L159" s="4">
        <v>12.600373482726422</v>
      </c>
      <c r="M159" s="34">
        <v>0</v>
      </c>
      <c r="N159" s="4">
        <v>9.9000933706816046</v>
      </c>
      <c r="O159" s="4">
        <v>2.600373482726424</v>
      </c>
      <c r="P159" s="35">
        <v>140</v>
      </c>
      <c r="Q159" s="3">
        <v>129.99999999999997</v>
      </c>
      <c r="R159" s="3">
        <v>39.999999999999993</v>
      </c>
      <c r="S159" s="3">
        <v>13</v>
      </c>
      <c r="T159" s="3">
        <v>209.99999999999997</v>
      </c>
      <c r="U159" s="3">
        <v>2</v>
      </c>
      <c r="V159" s="3">
        <v>1.399626517273576</v>
      </c>
      <c r="W159" s="36">
        <v>7.0028011204481794E-2</v>
      </c>
      <c r="X159" s="3">
        <v>193.99999999999997</v>
      </c>
      <c r="Y159" s="3">
        <v>7.0028011204481794E-2</v>
      </c>
      <c r="Z159" s="3">
        <v>0.450046685340803</v>
      </c>
      <c r="AA159" s="3">
        <v>5.0420168067226892E-2</v>
      </c>
      <c r="AB159" s="3">
        <v>0.12044817927170867</v>
      </c>
      <c r="AC159" s="3">
        <v>20.999999999999996</v>
      </c>
      <c r="AD159" s="3">
        <v>2</v>
      </c>
      <c r="AE159" s="3">
        <v>0</v>
      </c>
      <c r="AF159" s="3">
        <v>1.7497665732959851</v>
      </c>
      <c r="AI159" s="1" t="s">
        <v>224</v>
      </c>
      <c r="AJ159" s="1" t="s">
        <v>1750</v>
      </c>
      <c r="AK159" s="749" t="s">
        <v>326</v>
      </c>
      <c r="AL159" s="749" t="s">
        <v>326</v>
      </c>
    </row>
    <row r="160" spans="1:38">
      <c r="A160" s="24" t="s">
        <v>3210</v>
      </c>
      <c r="B160" s="24">
        <v>1346</v>
      </c>
      <c r="C160" s="24">
        <v>322</v>
      </c>
      <c r="D160" s="24">
        <v>3.59</v>
      </c>
      <c r="E160" s="24">
        <v>15.86</v>
      </c>
      <c r="F160" s="24">
        <v>26.54</v>
      </c>
      <c r="G160" s="24" t="s">
        <v>224</v>
      </c>
      <c r="H160" s="749" t="s">
        <v>327</v>
      </c>
      <c r="I160" s="749">
        <v>6</v>
      </c>
      <c r="J160" s="33">
        <v>361</v>
      </c>
      <c r="K160" s="4">
        <v>0.19930069930069932</v>
      </c>
      <c r="L160" s="4">
        <v>16.6993006993007</v>
      </c>
      <c r="M160" s="34">
        <v>0</v>
      </c>
      <c r="N160" s="4">
        <v>32.6013986013986</v>
      </c>
      <c r="O160" s="4">
        <v>10.699300699300698</v>
      </c>
      <c r="P160" s="3">
        <v>40</v>
      </c>
      <c r="Q160" s="3">
        <v>102</v>
      </c>
      <c r="R160" s="3">
        <v>150</v>
      </c>
      <c r="S160" s="151">
        <v>-4.0000000000000001E-3</v>
      </c>
      <c r="T160" s="3">
        <v>619</v>
      </c>
      <c r="U160" s="3">
        <v>5.8986013986013983</v>
      </c>
      <c r="V160" s="151">
        <v>-4.0000000000000001E-3</v>
      </c>
      <c r="W160" s="151">
        <v>-4.0000000000000002E-4</v>
      </c>
      <c r="X160" s="3">
        <v>540</v>
      </c>
      <c r="Y160" s="3">
        <v>0.19930069930069932</v>
      </c>
      <c r="Z160" s="3">
        <v>0.5</v>
      </c>
      <c r="AA160" s="151">
        <v>-4.0000000000000001E-3</v>
      </c>
      <c r="AB160" s="3">
        <v>0.16083916083916083</v>
      </c>
      <c r="AC160" s="3">
        <v>160</v>
      </c>
      <c r="AD160" s="3">
        <v>3.8006993006993013</v>
      </c>
      <c r="AE160" s="3">
        <v>0</v>
      </c>
      <c r="AF160" s="3">
        <v>4.8986013986013983</v>
      </c>
      <c r="AI160" s="24" t="s">
        <v>224</v>
      </c>
      <c r="AJ160" s="1" t="s">
        <v>1750</v>
      </c>
      <c r="AK160" s="749" t="s">
        <v>327</v>
      </c>
      <c r="AL160" s="749" t="s">
        <v>327</v>
      </c>
    </row>
    <row r="161" spans="1:38">
      <c r="A161" s="749" t="s">
        <v>3172</v>
      </c>
      <c r="B161" s="1">
        <v>1100</v>
      </c>
      <c r="C161" s="1">
        <v>263</v>
      </c>
      <c r="D161" s="1">
        <v>3.72</v>
      </c>
      <c r="E161" s="1">
        <v>17.88</v>
      </c>
      <c r="F161" s="1">
        <v>19.75</v>
      </c>
      <c r="G161" s="1" t="s">
        <v>225</v>
      </c>
      <c r="H161" s="329" t="s">
        <v>2953</v>
      </c>
      <c r="I161" s="47">
        <v>13</v>
      </c>
      <c r="J161" s="4">
        <v>263</v>
      </c>
      <c r="K161" s="4">
        <v>3.72</v>
      </c>
      <c r="L161" s="4">
        <v>17.88</v>
      </c>
      <c r="M161" s="34">
        <v>0</v>
      </c>
      <c r="N161" s="4">
        <v>19.75</v>
      </c>
      <c r="O161" s="74">
        <v>9.4</v>
      </c>
      <c r="P161" s="37">
        <v>707</v>
      </c>
      <c r="Q161" s="37">
        <v>274.00000000000006</v>
      </c>
      <c r="R161" s="37">
        <v>18</v>
      </c>
      <c r="S161" s="37">
        <v>23</v>
      </c>
      <c r="T161" s="37">
        <v>138</v>
      </c>
      <c r="U161" s="37">
        <v>1</v>
      </c>
      <c r="V161" s="37">
        <v>1</v>
      </c>
      <c r="W161" s="68">
        <v>3.2000000000000001E-2</v>
      </c>
      <c r="X161" s="37">
        <v>0</v>
      </c>
      <c r="Y161" s="37">
        <v>0.28460000000000002</v>
      </c>
      <c r="Z161" s="37">
        <v>0.28970000000000001</v>
      </c>
      <c r="AA161" s="37">
        <v>5.4992000000000001</v>
      </c>
      <c r="AB161" s="37">
        <v>0.4723</v>
      </c>
      <c r="AC161" s="37">
        <v>1.7141999999999999</v>
      </c>
      <c r="AD161" s="37">
        <v>0.62570000000000003</v>
      </c>
      <c r="AE161" s="37">
        <v>0</v>
      </c>
      <c r="AF161" s="68">
        <v>0.36430000000000001</v>
      </c>
      <c r="AI161" s="1" t="s">
        <v>225</v>
      </c>
      <c r="AJ161" s="1" t="s">
        <v>1751</v>
      </c>
      <c r="AK161" s="66" t="s">
        <v>336</v>
      </c>
      <c r="AL161" s="749" t="s">
        <v>336</v>
      </c>
    </row>
    <row r="162" spans="1:38">
      <c r="A162" s="1" t="s">
        <v>3158</v>
      </c>
      <c r="B162" s="1">
        <v>485</v>
      </c>
      <c r="C162" s="1">
        <v>116</v>
      </c>
      <c r="D162" s="1">
        <v>0</v>
      </c>
      <c r="E162" s="1">
        <v>21.8</v>
      </c>
      <c r="F162" s="1">
        <v>3.2</v>
      </c>
      <c r="G162" s="1" t="s">
        <v>225</v>
      </c>
      <c r="H162" s="749" t="s">
        <v>2952</v>
      </c>
      <c r="I162" s="363"/>
      <c r="J162" s="4">
        <v>139</v>
      </c>
      <c r="K162" s="34">
        <v>0</v>
      </c>
      <c r="L162" s="4">
        <v>29.1</v>
      </c>
      <c r="M162" s="34">
        <v>0</v>
      </c>
      <c r="N162" s="4">
        <v>1.96</v>
      </c>
      <c r="O162" s="67">
        <v>0.65</v>
      </c>
      <c r="P162" s="3">
        <v>62</v>
      </c>
      <c r="Q162" s="3">
        <v>141</v>
      </c>
      <c r="R162" s="3">
        <v>9</v>
      </c>
      <c r="S162" s="3">
        <v>15</v>
      </c>
      <c r="T162" s="3">
        <v>134</v>
      </c>
      <c r="U162" s="3">
        <v>0.86</v>
      </c>
      <c r="V162" s="3">
        <v>2.9</v>
      </c>
      <c r="W162" s="4">
        <v>6.4000000000000001E-2</v>
      </c>
      <c r="X162" s="4">
        <v>9</v>
      </c>
      <c r="Y162" s="4">
        <v>0.04</v>
      </c>
      <c r="Z162" s="4">
        <v>9.8000000000000004E-2</v>
      </c>
      <c r="AA162" s="4">
        <v>5.43</v>
      </c>
      <c r="AB162" s="4">
        <v>0.20499999999999999</v>
      </c>
      <c r="AC162" s="4">
        <v>10</v>
      </c>
      <c r="AD162" s="4">
        <v>1.3</v>
      </c>
      <c r="AE162" s="37">
        <v>0</v>
      </c>
      <c r="AF162" s="4">
        <v>0.63</v>
      </c>
      <c r="AI162" s="1" t="s">
        <v>225</v>
      </c>
      <c r="AJ162" s="1" t="s">
        <v>1751</v>
      </c>
      <c r="AK162" s="61" t="s">
        <v>333</v>
      </c>
      <c r="AL162" s="749" t="s">
        <v>333</v>
      </c>
    </row>
    <row r="163" spans="1:38">
      <c r="A163" s="749" t="s">
        <v>3173</v>
      </c>
      <c r="B163" s="1">
        <v>2190</v>
      </c>
      <c r="C163" s="1">
        <v>524</v>
      </c>
      <c r="D163" s="1">
        <v>0</v>
      </c>
      <c r="E163" s="1">
        <v>40.799999999999997</v>
      </c>
      <c r="F163" s="1">
        <v>40</v>
      </c>
      <c r="G163" s="1" t="s">
        <v>225</v>
      </c>
      <c r="H163" s="1" t="s">
        <v>2951</v>
      </c>
      <c r="J163" s="1">
        <v>523</v>
      </c>
      <c r="K163" s="1">
        <v>0</v>
      </c>
      <c r="L163" s="1">
        <v>40.799999999999997</v>
      </c>
      <c r="M163" s="34">
        <v>0</v>
      </c>
      <c r="N163" s="1">
        <v>40</v>
      </c>
      <c r="O163" s="4">
        <v>14.1</v>
      </c>
      <c r="P163" s="4">
        <v>230</v>
      </c>
      <c r="Q163" s="4">
        <v>360</v>
      </c>
      <c r="R163" s="4">
        <v>30</v>
      </c>
      <c r="S163" s="4">
        <v>23</v>
      </c>
      <c r="T163" s="4">
        <v>235</v>
      </c>
      <c r="U163" s="4">
        <v>1.4</v>
      </c>
      <c r="V163" s="4">
        <v>2</v>
      </c>
      <c r="W163" s="4">
        <v>0.06</v>
      </c>
      <c r="X163" s="151">
        <v>-4.0000000000000001E-3</v>
      </c>
      <c r="Y163" s="4">
        <v>0.22</v>
      </c>
      <c r="Z163" s="4">
        <v>0.19</v>
      </c>
      <c r="AA163" s="4">
        <v>2</v>
      </c>
      <c r="AB163" s="4">
        <v>0.55000000000000004</v>
      </c>
      <c r="AC163" s="4">
        <v>2</v>
      </c>
      <c r="AD163" s="4">
        <v>1</v>
      </c>
      <c r="AE163" s="37">
        <v>0</v>
      </c>
      <c r="AF163" s="4">
        <v>0.6</v>
      </c>
      <c r="AI163" s="1" t="s">
        <v>225</v>
      </c>
      <c r="AJ163" s="1" t="s">
        <v>1751</v>
      </c>
      <c r="AK163" s="1" t="s">
        <v>80</v>
      </c>
      <c r="AL163" s="749" t="s">
        <v>1868</v>
      </c>
    </row>
    <row r="164" spans="1:38">
      <c r="A164" s="1" t="s">
        <v>3174</v>
      </c>
      <c r="B164" s="1">
        <v>2190</v>
      </c>
      <c r="C164" s="1">
        <v>524</v>
      </c>
      <c r="D164" s="1">
        <v>0</v>
      </c>
      <c r="E164" s="1">
        <v>40.799999999999997</v>
      </c>
      <c r="F164" s="1">
        <v>40</v>
      </c>
      <c r="G164" s="1" t="s">
        <v>225</v>
      </c>
      <c r="H164" s="1" t="s">
        <v>2951</v>
      </c>
      <c r="J164" s="1">
        <v>523</v>
      </c>
      <c r="K164" s="1">
        <v>0</v>
      </c>
      <c r="L164" s="1">
        <v>40.799999999999997</v>
      </c>
      <c r="M164" s="34">
        <v>0</v>
      </c>
      <c r="N164" s="1">
        <v>40</v>
      </c>
      <c r="O164" s="4">
        <v>14.1</v>
      </c>
      <c r="P164" s="4">
        <v>230</v>
      </c>
      <c r="Q164" s="4">
        <v>360</v>
      </c>
      <c r="R164" s="4">
        <v>30</v>
      </c>
      <c r="S164" s="4">
        <v>23</v>
      </c>
      <c r="T164" s="4">
        <v>235</v>
      </c>
      <c r="U164" s="4">
        <v>1.4</v>
      </c>
      <c r="V164" s="4">
        <v>2</v>
      </c>
      <c r="W164" s="4">
        <v>0.06</v>
      </c>
      <c r="X164" s="151">
        <v>-4.0000000000000001E-3</v>
      </c>
      <c r="Y164" s="4">
        <v>0.22</v>
      </c>
      <c r="Z164" s="4">
        <v>0.19</v>
      </c>
      <c r="AA164" s="4">
        <v>2</v>
      </c>
      <c r="AB164" s="4">
        <v>0.55000000000000004</v>
      </c>
      <c r="AC164" s="4">
        <v>2</v>
      </c>
      <c r="AD164" s="4">
        <v>1</v>
      </c>
      <c r="AE164" s="37">
        <v>0</v>
      </c>
      <c r="AF164" s="4">
        <v>0.6</v>
      </c>
      <c r="AI164" s="1" t="s">
        <v>225</v>
      </c>
      <c r="AJ164" s="1" t="s">
        <v>1751</v>
      </c>
      <c r="AK164" s="1" t="s">
        <v>80</v>
      </c>
      <c r="AL164" s="749" t="s">
        <v>1868</v>
      </c>
    </row>
    <row r="165" spans="1:38">
      <c r="A165" s="749" t="s">
        <v>3165</v>
      </c>
      <c r="B165" s="1"/>
      <c r="E165" s="1"/>
      <c r="F165" s="1"/>
      <c r="G165" s="1"/>
      <c r="H165" s="324" t="s">
        <v>2068</v>
      </c>
      <c r="J165" s="1">
        <v>200</v>
      </c>
      <c r="K165" s="1">
        <v>0.1</v>
      </c>
      <c r="L165" s="1">
        <v>34.200000000000003</v>
      </c>
      <c r="M165" s="4">
        <v>0</v>
      </c>
      <c r="N165" s="1">
        <v>5.3</v>
      </c>
      <c r="O165" s="4">
        <v>2.7</v>
      </c>
      <c r="P165" s="4">
        <v>2056</v>
      </c>
      <c r="Q165" s="151">
        <v>-4.0000000000000001E-3</v>
      </c>
      <c r="R165" s="151">
        <v>-4.0000000000000001E-3</v>
      </c>
      <c r="S165" s="151">
        <v>-4.0000000000000001E-3</v>
      </c>
      <c r="T165" s="151">
        <v>-4.0000000000000001E-3</v>
      </c>
      <c r="U165" s="151">
        <v>-4.0000000000000001E-3</v>
      </c>
      <c r="V165" s="151">
        <v>-4.0000000000000001E-3</v>
      </c>
      <c r="W165" s="151">
        <v>-4.0000000000000002E-4</v>
      </c>
      <c r="X165" s="151">
        <v>-4.0000000000000001E-3</v>
      </c>
      <c r="Y165" s="151">
        <v>-4.0000000000000001E-3</v>
      </c>
      <c r="Z165" s="151">
        <v>-4.0000000000000001E-3</v>
      </c>
      <c r="AA165" s="151">
        <v>-4.0000000000000001E-3</v>
      </c>
      <c r="AB165" s="151">
        <v>-4.0000000000000001E-3</v>
      </c>
      <c r="AC165" s="151">
        <v>-4.0000000000000001E-3</v>
      </c>
      <c r="AD165" s="151">
        <v>-4.0000000000000002E-4</v>
      </c>
      <c r="AE165" s="151">
        <v>-4.0000000000000001E-3</v>
      </c>
      <c r="AF165" s="151">
        <v>-4.0000000000000002E-4</v>
      </c>
      <c r="AI165" s="1"/>
      <c r="AJ165" s="1"/>
      <c r="AK165" s="1"/>
    </row>
    <row r="166" spans="1:38">
      <c r="A166" s="749" t="s">
        <v>3464</v>
      </c>
      <c r="B166" s="1">
        <v>506</v>
      </c>
      <c r="C166" s="1">
        <v>121</v>
      </c>
      <c r="D166" s="1">
        <v>1</v>
      </c>
      <c r="E166" s="1">
        <v>15</v>
      </c>
      <c r="F166" s="1">
        <v>6</v>
      </c>
      <c r="G166" s="1" t="s">
        <v>225</v>
      </c>
      <c r="H166" s="1" t="s">
        <v>2956</v>
      </c>
      <c r="J166" s="1">
        <v>112.8</v>
      </c>
      <c r="K166" s="1">
        <v>0.3</v>
      </c>
      <c r="L166" s="1">
        <v>19.399999999999999</v>
      </c>
      <c r="M166" s="34">
        <v>0</v>
      </c>
      <c r="N166" s="1">
        <v>3.7</v>
      </c>
      <c r="O166" s="4">
        <v>1.32</v>
      </c>
      <c r="P166" s="4">
        <v>1725</v>
      </c>
      <c r="Q166" s="4">
        <v>357</v>
      </c>
      <c r="R166" s="4">
        <v>5</v>
      </c>
      <c r="S166" s="4">
        <v>23.5</v>
      </c>
      <c r="T166" s="4">
        <v>326</v>
      </c>
      <c r="U166" s="4">
        <v>0.4</v>
      </c>
      <c r="V166" s="4">
        <v>1.28</v>
      </c>
      <c r="W166" s="4">
        <v>0.04</v>
      </c>
      <c r="X166" s="151">
        <v>-4.0000000000000001E-3</v>
      </c>
      <c r="Y166" s="4">
        <v>1.04</v>
      </c>
      <c r="Z166" s="4">
        <v>0.105</v>
      </c>
      <c r="AA166" s="4">
        <v>11.2</v>
      </c>
      <c r="AB166" s="4">
        <v>0.3</v>
      </c>
      <c r="AC166" s="4">
        <v>0.66</v>
      </c>
      <c r="AD166" s="4">
        <v>0.4</v>
      </c>
      <c r="AE166" s="4">
        <v>27</v>
      </c>
      <c r="AF166" s="4">
        <v>0.43</v>
      </c>
      <c r="AI166" s="1" t="s">
        <v>225</v>
      </c>
      <c r="AJ166" s="1" t="s">
        <v>1751</v>
      </c>
      <c r="AK166" s="1" t="s">
        <v>557</v>
      </c>
      <c r="AL166" s="749" t="s">
        <v>1869</v>
      </c>
    </row>
    <row r="167" spans="1:38">
      <c r="A167" s="1" t="s">
        <v>1822</v>
      </c>
      <c r="B167" s="1">
        <v>561</v>
      </c>
      <c r="C167" s="1">
        <v>134</v>
      </c>
      <c r="D167" s="1">
        <v>2.4700000000000002</v>
      </c>
      <c r="E167" s="1">
        <v>21.39</v>
      </c>
      <c r="F167" s="1">
        <v>3.65</v>
      </c>
      <c r="G167" s="1" t="s">
        <v>225</v>
      </c>
      <c r="H167" s="1" t="s">
        <v>81</v>
      </c>
      <c r="J167" s="1">
        <v>101</v>
      </c>
      <c r="K167" s="1">
        <v>0.9</v>
      </c>
      <c r="L167" s="1">
        <v>16.5</v>
      </c>
      <c r="M167" s="34">
        <v>0</v>
      </c>
      <c r="N167" s="1">
        <v>3.5</v>
      </c>
      <c r="O167" s="4">
        <v>1.68</v>
      </c>
      <c r="P167" s="4">
        <v>77</v>
      </c>
      <c r="Q167" s="4">
        <v>370</v>
      </c>
      <c r="R167" s="4">
        <v>11.9</v>
      </c>
      <c r="S167" s="4">
        <v>19.8</v>
      </c>
      <c r="T167" s="4">
        <v>430</v>
      </c>
      <c r="U167" s="4">
        <v>29</v>
      </c>
      <c r="V167" s="4">
        <v>5.3</v>
      </c>
      <c r="W167" s="4">
        <v>6.6</v>
      </c>
      <c r="X167" s="4">
        <v>15</v>
      </c>
      <c r="Y167" s="4">
        <v>310</v>
      </c>
      <c r="Z167" s="4">
        <v>3.2</v>
      </c>
      <c r="AA167" s="4">
        <v>21</v>
      </c>
      <c r="AB167" s="4">
        <v>0.59</v>
      </c>
      <c r="AC167" s="4">
        <v>139</v>
      </c>
      <c r="AD167" s="4">
        <v>40</v>
      </c>
      <c r="AE167" s="4">
        <v>23</v>
      </c>
      <c r="AF167" s="4">
        <v>1.1000000000000001</v>
      </c>
      <c r="AI167" s="1" t="s">
        <v>225</v>
      </c>
      <c r="AJ167" s="1" t="s">
        <v>1751</v>
      </c>
      <c r="AK167" s="1" t="s">
        <v>81</v>
      </c>
      <c r="AL167" s="749" t="s">
        <v>1822</v>
      </c>
    </row>
    <row r="168" spans="1:38">
      <c r="A168" s="1" t="s">
        <v>1823</v>
      </c>
      <c r="B168" s="1">
        <v>1359</v>
      </c>
      <c r="C168" s="1">
        <v>325</v>
      </c>
      <c r="D168" s="1">
        <v>2</v>
      </c>
      <c r="E168" s="1">
        <v>14</v>
      </c>
      <c r="F168" s="1">
        <v>29</v>
      </c>
      <c r="G168" s="1" t="s">
        <v>225</v>
      </c>
      <c r="H168" s="1" t="s">
        <v>2957</v>
      </c>
      <c r="J168" s="1">
        <v>346</v>
      </c>
      <c r="K168" s="1">
        <v>2.2999999999999998</v>
      </c>
      <c r="L168" s="1">
        <v>10.6</v>
      </c>
      <c r="M168" s="151">
        <v>-4.0000000000000001E-3</v>
      </c>
      <c r="N168" s="1">
        <v>32.700000000000003</v>
      </c>
      <c r="O168" s="23">
        <v>11.9</v>
      </c>
      <c r="P168" s="23">
        <v>660</v>
      </c>
      <c r="Q168" s="4">
        <v>180</v>
      </c>
      <c r="R168" s="4">
        <v>28.2</v>
      </c>
      <c r="S168" s="4">
        <v>8.0500000000000007</v>
      </c>
      <c r="T168" s="4">
        <v>162</v>
      </c>
      <c r="U168" s="4">
        <v>3.16</v>
      </c>
      <c r="V168" s="4">
        <v>1.48</v>
      </c>
      <c r="W168" s="4">
        <v>0.32500000000000001</v>
      </c>
      <c r="X168" s="34">
        <v>990</v>
      </c>
      <c r="Y168" s="4">
        <v>0.59899999999999998</v>
      </c>
      <c r="Z168" s="4">
        <v>0.8</v>
      </c>
      <c r="AA168" s="4">
        <v>11.6</v>
      </c>
      <c r="AB168" s="4">
        <v>0.3</v>
      </c>
      <c r="AC168" s="4">
        <v>132</v>
      </c>
      <c r="AD168" s="4">
        <v>6</v>
      </c>
      <c r="AE168" s="4">
        <v>10.5</v>
      </c>
      <c r="AF168" s="4">
        <v>0.8</v>
      </c>
      <c r="AI168" s="1" t="s">
        <v>225</v>
      </c>
      <c r="AJ168" s="1" t="s">
        <v>1751</v>
      </c>
      <c r="AK168" s="1" t="s">
        <v>251</v>
      </c>
      <c r="AL168" s="749" t="s">
        <v>1823</v>
      </c>
    </row>
    <row r="169" spans="1:38">
      <c r="A169" s="1" t="s">
        <v>3166</v>
      </c>
      <c r="B169" s="1">
        <v>1359</v>
      </c>
      <c r="C169" s="1">
        <v>325</v>
      </c>
      <c r="D169" s="1">
        <v>2</v>
      </c>
      <c r="E169" s="1">
        <v>14</v>
      </c>
      <c r="F169" s="1">
        <v>29</v>
      </c>
      <c r="G169" s="1" t="s">
        <v>225</v>
      </c>
      <c r="H169" s="1" t="s">
        <v>2958</v>
      </c>
      <c r="J169" s="1">
        <v>314</v>
      </c>
      <c r="K169" s="1139">
        <v>2</v>
      </c>
      <c r="L169" s="1">
        <v>14.2</v>
      </c>
      <c r="M169" s="151">
        <v>-4.0000000000000001E-3</v>
      </c>
      <c r="N169" s="1">
        <v>28.6</v>
      </c>
      <c r="O169" s="283">
        <v>10</v>
      </c>
      <c r="P169" s="23">
        <v>596</v>
      </c>
      <c r="Q169" s="4">
        <v>238</v>
      </c>
      <c r="R169" s="4">
        <v>51</v>
      </c>
      <c r="S169" s="4">
        <v>15</v>
      </c>
      <c r="T169" s="4">
        <v>92</v>
      </c>
      <c r="U169" s="4">
        <v>0.45</v>
      </c>
      <c r="V169" s="4">
        <v>0.5</v>
      </c>
      <c r="W169" s="151">
        <v>-4.0000000000000002E-4</v>
      </c>
      <c r="X169" s="151">
        <v>-4.0000000000000001E-3</v>
      </c>
      <c r="Y169" s="151">
        <v>-4.0000000000000001E-3</v>
      </c>
      <c r="Z169" s="4">
        <v>0.6</v>
      </c>
      <c r="AA169" s="151">
        <v>-4.0000000000000001E-3</v>
      </c>
      <c r="AB169" s="151">
        <v>-4.0000000000000001E-3</v>
      </c>
      <c r="AC169" s="4">
        <v>0.06</v>
      </c>
      <c r="AD169" s="151">
        <v>-4.0000000000000002E-4</v>
      </c>
      <c r="AE169" s="4">
        <v>9.5</v>
      </c>
      <c r="AF169" s="151">
        <v>-4.0000000000000002E-4</v>
      </c>
      <c r="AI169" s="1" t="s">
        <v>225</v>
      </c>
      <c r="AJ169" s="1" t="s">
        <v>1751</v>
      </c>
      <c r="AK169" s="1" t="s">
        <v>251</v>
      </c>
      <c r="AL169" s="749" t="s">
        <v>1823</v>
      </c>
    </row>
    <row r="170" spans="1:38">
      <c r="A170" s="749" t="s">
        <v>3159</v>
      </c>
      <c r="B170" s="1">
        <v>748</v>
      </c>
      <c r="C170" s="1">
        <v>179</v>
      </c>
      <c r="D170" s="1">
        <v>0</v>
      </c>
      <c r="E170" s="1">
        <v>19.600000000000001</v>
      </c>
      <c r="F170" s="1">
        <v>11.2</v>
      </c>
      <c r="G170" s="1" t="s">
        <v>225</v>
      </c>
      <c r="H170" s="66" t="s">
        <v>2959</v>
      </c>
      <c r="I170" s="749">
        <v>13</v>
      </c>
      <c r="J170" s="4">
        <v>154.6</v>
      </c>
      <c r="K170" s="376">
        <v>0.01</v>
      </c>
      <c r="L170" s="4">
        <v>21.1</v>
      </c>
      <c r="M170" s="34">
        <v>0</v>
      </c>
      <c r="N170" s="29">
        <v>7.8</v>
      </c>
      <c r="O170" s="67">
        <v>3.28</v>
      </c>
      <c r="P170" s="3">
        <v>65</v>
      </c>
      <c r="Q170" s="3">
        <v>325</v>
      </c>
      <c r="R170" s="3">
        <v>5</v>
      </c>
      <c r="S170" s="3">
        <v>22</v>
      </c>
      <c r="T170" s="3">
        <v>170</v>
      </c>
      <c r="U170" s="3">
        <v>2.1</v>
      </c>
      <c r="V170" s="3">
        <v>4.8</v>
      </c>
      <c r="W170" s="4">
        <v>8.3000000000000004E-2</v>
      </c>
      <c r="X170" s="3">
        <v>0</v>
      </c>
      <c r="Y170" s="4">
        <v>4.5999999999999999E-2</v>
      </c>
      <c r="Z170" s="3">
        <v>0.17399999999999999</v>
      </c>
      <c r="AA170" s="4">
        <v>10</v>
      </c>
      <c r="AB170" s="4">
        <v>0.36</v>
      </c>
      <c r="AC170" s="4">
        <v>7.3</v>
      </c>
      <c r="AD170" s="4">
        <v>1.4</v>
      </c>
      <c r="AE170" s="151">
        <v>-4.0000000000000001E-3</v>
      </c>
      <c r="AF170" s="151">
        <v>-4.0000000000000002E-4</v>
      </c>
      <c r="AI170" s="1" t="s">
        <v>225</v>
      </c>
      <c r="AJ170" s="1" t="s">
        <v>1751</v>
      </c>
      <c r="AK170" s="61" t="s">
        <v>328</v>
      </c>
      <c r="AL170" s="749" t="s">
        <v>328</v>
      </c>
    </row>
    <row r="171" spans="1:38">
      <c r="A171" s="749" t="s">
        <v>3160</v>
      </c>
      <c r="B171" s="1">
        <v>1284</v>
      </c>
      <c r="C171" s="1">
        <v>307</v>
      </c>
      <c r="D171" s="1">
        <v>1</v>
      </c>
      <c r="E171" s="1">
        <v>19</v>
      </c>
      <c r="F171" s="1">
        <v>25</v>
      </c>
      <c r="G171" s="1" t="s">
        <v>225</v>
      </c>
      <c r="H171" s="1" t="s">
        <v>2960</v>
      </c>
      <c r="J171" s="1">
        <v>307</v>
      </c>
      <c r="K171" s="1">
        <v>1</v>
      </c>
      <c r="L171" s="1">
        <v>19</v>
      </c>
      <c r="M171" s="34">
        <v>0</v>
      </c>
      <c r="N171" s="4">
        <v>17.100000000000001</v>
      </c>
      <c r="O171" s="67">
        <v>7.95</v>
      </c>
      <c r="P171" s="3">
        <v>89</v>
      </c>
      <c r="Q171" s="3">
        <v>329</v>
      </c>
      <c r="R171" s="3">
        <v>9</v>
      </c>
      <c r="S171" s="3">
        <v>25</v>
      </c>
      <c r="T171" s="3">
        <v>150</v>
      </c>
      <c r="U171" s="3">
        <v>2.7</v>
      </c>
      <c r="V171" s="3">
        <v>3.17</v>
      </c>
      <c r="W171" s="68">
        <v>5.4000000000000006E-2</v>
      </c>
      <c r="X171" s="3">
        <v>12</v>
      </c>
      <c r="Y171" s="3">
        <v>0.08</v>
      </c>
      <c r="Z171" s="3">
        <v>0.19</v>
      </c>
      <c r="AA171" s="3">
        <v>8.6</v>
      </c>
      <c r="AB171" s="3">
        <v>0.41</v>
      </c>
      <c r="AC171" s="3">
        <v>11</v>
      </c>
      <c r="AD171" s="3">
        <v>5</v>
      </c>
      <c r="AE171" s="3">
        <v>0</v>
      </c>
      <c r="AF171" s="69">
        <v>0.4</v>
      </c>
      <c r="AI171" s="1" t="s">
        <v>225</v>
      </c>
      <c r="AJ171" s="1" t="s">
        <v>1751</v>
      </c>
      <c r="AK171" s="1" t="s">
        <v>252</v>
      </c>
      <c r="AL171" s="749" t="s">
        <v>1824</v>
      </c>
    </row>
    <row r="172" spans="1:38">
      <c r="A172" s="325" t="s">
        <v>3161</v>
      </c>
      <c r="B172" s="1"/>
      <c r="C172" s="23">
        <v>206.99999999999997</v>
      </c>
      <c r="D172" s="5">
        <v>3.6977203374618559E-2</v>
      </c>
      <c r="E172" s="5">
        <v>20.500089750493625</v>
      </c>
      <c r="F172" s="5">
        <v>13.998025489140192</v>
      </c>
      <c r="G172" s="1" t="s">
        <v>225</v>
      </c>
      <c r="H172" s="66" t="s">
        <v>331</v>
      </c>
      <c r="I172" s="27">
        <v>22</v>
      </c>
      <c r="J172" s="4">
        <v>206.99999999999997</v>
      </c>
      <c r="K172" s="4">
        <v>3.6977203374618559E-2</v>
      </c>
      <c r="L172" s="4">
        <v>20.500089750493625</v>
      </c>
      <c r="M172" s="4">
        <v>0</v>
      </c>
      <c r="N172" s="4">
        <v>13.998025489140192</v>
      </c>
      <c r="O172" s="67">
        <v>6.245018847603661</v>
      </c>
      <c r="P172" s="4">
        <v>71</v>
      </c>
      <c r="Q172" s="3">
        <v>363.00000000000006</v>
      </c>
      <c r="R172" s="3">
        <v>6</v>
      </c>
      <c r="S172" s="3">
        <v>24</v>
      </c>
      <c r="T172" s="3">
        <v>196</v>
      </c>
      <c r="U172" s="3">
        <v>2.2399928199605097</v>
      </c>
      <c r="V172" s="3">
        <v>5.0859809728953511</v>
      </c>
      <c r="W172" s="69">
        <v>0.10500807754442651</v>
      </c>
      <c r="X172" s="3">
        <v>17</v>
      </c>
      <c r="Y172" s="3">
        <v>5.4029797163884397E-2</v>
      </c>
      <c r="Z172" s="3">
        <v>0.22796625381439597</v>
      </c>
      <c r="AA172" s="3">
        <v>6.4659845629150956</v>
      </c>
      <c r="AB172" s="3">
        <v>0.19996409980254892</v>
      </c>
      <c r="AC172" s="3">
        <v>2</v>
      </c>
      <c r="AD172" s="3">
        <v>4.3999281996050978</v>
      </c>
      <c r="AE172" s="43">
        <v>0</v>
      </c>
      <c r="AF172" s="70">
        <v>0</v>
      </c>
      <c r="AI172" s="1" t="s">
        <v>225</v>
      </c>
      <c r="AJ172" s="1" t="s">
        <v>1751</v>
      </c>
      <c r="AK172" s="66" t="s">
        <v>331</v>
      </c>
      <c r="AL172" s="749" t="s">
        <v>331</v>
      </c>
    </row>
    <row r="173" spans="1:38">
      <c r="A173" s="1" t="s">
        <v>3146</v>
      </c>
      <c r="B173" s="1">
        <v>895</v>
      </c>
      <c r="C173" s="1">
        <v>214</v>
      </c>
      <c r="D173" s="1">
        <v>0</v>
      </c>
      <c r="E173" s="1">
        <v>18.8</v>
      </c>
      <c r="F173" s="1">
        <v>15.4</v>
      </c>
      <c r="G173" s="1" t="s">
        <v>225</v>
      </c>
      <c r="H173" s="66" t="s">
        <v>330</v>
      </c>
      <c r="I173" s="27">
        <v>13</v>
      </c>
      <c r="J173" s="4">
        <v>229</v>
      </c>
      <c r="K173" s="4">
        <v>0.4</v>
      </c>
      <c r="L173" s="4">
        <v>18.3</v>
      </c>
      <c r="M173" s="4">
        <v>0</v>
      </c>
      <c r="N173" s="4">
        <v>17.100000000000001</v>
      </c>
      <c r="O173" s="67">
        <v>7.95</v>
      </c>
      <c r="P173" s="3">
        <v>89</v>
      </c>
      <c r="Q173" s="3">
        <v>329</v>
      </c>
      <c r="R173" s="3">
        <v>9</v>
      </c>
      <c r="S173" s="3">
        <v>25</v>
      </c>
      <c r="T173" s="3">
        <v>150</v>
      </c>
      <c r="U173" s="3">
        <v>2.7</v>
      </c>
      <c r="V173" s="3">
        <v>3.17</v>
      </c>
      <c r="W173" s="68">
        <v>5.4000000000000006E-2</v>
      </c>
      <c r="X173" s="3">
        <v>12</v>
      </c>
      <c r="Y173" s="3">
        <v>0.08</v>
      </c>
      <c r="Z173" s="3">
        <v>0.19</v>
      </c>
      <c r="AA173" s="3">
        <v>8.6</v>
      </c>
      <c r="AB173" s="3">
        <v>0.41</v>
      </c>
      <c r="AC173" s="3">
        <v>11</v>
      </c>
      <c r="AD173" s="3">
        <v>5</v>
      </c>
      <c r="AE173" s="3">
        <v>0</v>
      </c>
      <c r="AF173" s="69">
        <v>0.4</v>
      </c>
      <c r="AI173" s="1" t="s">
        <v>225</v>
      </c>
      <c r="AJ173" s="1" t="s">
        <v>1751</v>
      </c>
      <c r="AK173" s="66" t="s">
        <v>330</v>
      </c>
      <c r="AL173" s="749" t="s">
        <v>330</v>
      </c>
    </row>
    <row r="174" spans="1:38">
      <c r="A174" s="1" t="s">
        <v>3147</v>
      </c>
      <c r="B174" s="1">
        <v>539</v>
      </c>
      <c r="C174" s="1">
        <v>129</v>
      </c>
      <c r="D174" s="1">
        <v>0</v>
      </c>
      <c r="E174" s="1">
        <v>20.7</v>
      </c>
      <c r="F174" s="1">
        <v>5.0999999999999996</v>
      </c>
      <c r="G174" s="1" t="s">
        <v>225</v>
      </c>
      <c r="H174" s="64" t="s">
        <v>329</v>
      </c>
      <c r="I174" s="47">
        <v>13</v>
      </c>
      <c r="J174" s="49">
        <v>154.63666666666666</v>
      </c>
      <c r="K174" s="40">
        <v>0.01</v>
      </c>
      <c r="L174" s="49">
        <v>21.1</v>
      </c>
      <c r="M174" s="45">
        <v>0</v>
      </c>
      <c r="N174" s="49">
        <v>7.8</v>
      </c>
      <c r="O174" s="65">
        <v>3.2800000000000002</v>
      </c>
      <c r="P174" s="49">
        <v>65</v>
      </c>
      <c r="Q174" s="49">
        <v>325</v>
      </c>
      <c r="R174" s="49">
        <v>5</v>
      </c>
      <c r="S174" s="49">
        <v>22</v>
      </c>
      <c r="T174" s="49">
        <v>170</v>
      </c>
      <c r="U174" s="49">
        <v>2.1</v>
      </c>
      <c r="V174" s="49">
        <v>4.8</v>
      </c>
      <c r="W174" s="65">
        <v>8.299999999999999E-2</v>
      </c>
      <c r="X174" s="42">
        <v>4</v>
      </c>
      <c r="Y174" s="49">
        <v>4.5999999999999999E-2</v>
      </c>
      <c r="Z174" s="49">
        <v>0.17400000000000002</v>
      </c>
      <c r="AA174" s="49">
        <v>10</v>
      </c>
      <c r="AB174" s="49">
        <v>0.36000000000000004</v>
      </c>
      <c r="AC174" s="49">
        <v>7.3</v>
      </c>
      <c r="AD174" s="49">
        <v>1.4</v>
      </c>
      <c r="AE174" s="43">
        <v>0</v>
      </c>
      <c r="AF174" s="73">
        <v>0.215</v>
      </c>
      <c r="AI174" s="1" t="s">
        <v>225</v>
      </c>
      <c r="AJ174" s="1" t="s">
        <v>1751</v>
      </c>
      <c r="AK174" s="64" t="s">
        <v>329</v>
      </c>
      <c r="AL174" s="749" t="s">
        <v>329</v>
      </c>
    </row>
    <row r="175" spans="1:38">
      <c r="A175" s="1" t="s">
        <v>3175</v>
      </c>
      <c r="B175" s="1">
        <v>644</v>
      </c>
      <c r="C175" s="1">
        <v>154</v>
      </c>
      <c r="D175" s="1">
        <v>2.74</v>
      </c>
      <c r="E175" s="1">
        <v>31.1</v>
      </c>
      <c r="F175" s="1">
        <v>2</v>
      </c>
      <c r="G175" s="1" t="s">
        <v>225</v>
      </c>
      <c r="H175" s="1" t="s">
        <v>2970</v>
      </c>
      <c r="I175" s="27">
        <v>14</v>
      </c>
      <c r="J175" s="1">
        <v>154</v>
      </c>
      <c r="K175" s="1">
        <v>2.74</v>
      </c>
      <c r="L175" s="1">
        <v>31.1</v>
      </c>
      <c r="M175" s="34">
        <v>0</v>
      </c>
      <c r="N175" s="1">
        <v>2</v>
      </c>
      <c r="O175" s="34">
        <v>0.95</v>
      </c>
      <c r="P175" s="34">
        <v>2790</v>
      </c>
      <c r="Q175" s="34">
        <v>235</v>
      </c>
      <c r="R175" s="34">
        <v>8</v>
      </c>
      <c r="S175" s="34">
        <v>19</v>
      </c>
      <c r="T175" s="34">
        <v>181</v>
      </c>
      <c r="U175" s="34">
        <v>2.42</v>
      </c>
      <c r="V175" s="34">
        <v>4.93</v>
      </c>
      <c r="W175" s="34">
        <v>7.3999999999999996E-2</v>
      </c>
      <c r="X175" s="34">
        <v>0</v>
      </c>
      <c r="Y175" s="34">
        <v>6.5000000000000002E-2</v>
      </c>
      <c r="Z175" s="34">
        <v>0.16300000000000001</v>
      </c>
      <c r="AA175" s="34">
        <v>5.1639999999999997</v>
      </c>
      <c r="AB175" s="34">
        <v>0.38600000000000001</v>
      </c>
      <c r="AC175" s="34">
        <v>10</v>
      </c>
      <c r="AD175" s="34">
        <v>1.59</v>
      </c>
      <c r="AE175" s="34">
        <v>0</v>
      </c>
      <c r="AF175" s="34">
        <v>0</v>
      </c>
      <c r="AI175" s="1" t="s">
        <v>225</v>
      </c>
      <c r="AJ175" s="1" t="s">
        <v>1751</v>
      </c>
      <c r="AK175" s="1" t="s">
        <v>82</v>
      </c>
      <c r="AL175" s="749" t="s">
        <v>1825</v>
      </c>
    </row>
    <row r="176" spans="1:38">
      <c r="A176" s="1" t="s">
        <v>3167</v>
      </c>
      <c r="B176" s="10">
        <v>280.3</v>
      </c>
      <c r="C176" s="1">
        <v>67</v>
      </c>
      <c r="D176" s="1">
        <v>1.6</v>
      </c>
      <c r="E176" s="1">
        <v>14.3</v>
      </c>
      <c r="F176" s="1">
        <v>0.6</v>
      </c>
      <c r="G176" s="1" t="s">
        <v>225</v>
      </c>
      <c r="H176" s="1" t="s">
        <v>2961</v>
      </c>
      <c r="J176" s="1">
        <v>67</v>
      </c>
      <c r="K176" s="1">
        <v>1.6</v>
      </c>
      <c r="L176" s="1">
        <v>14.3</v>
      </c>
      <c r="M176" s="34">
        <v>0</v>
      </c>
      <c r="N176" s="1139">
        <v>1.71</v>
      </c>
      <c r="O176" s="34">
        <v>0.62</v>
      </c>
      <c r="P176" s="34">
        <v>692</v>
      </c>
      <c r="Q176" s="151">
        <v>-4.0000000000000001E-3</v>
      </c>
      <c r="R176" s="151">
        <v>-4.0000000000000001E-3</v>
      </c>
      <c r="S176" s="151">
        <v>-4.0000000000000001E-3</v>
      </c>
      <c r="T176" s="151">
        <v>-4.0000000000000001E-3</v>
      </c>
      <c r="U176" s="151">
        <v>-4.0000000000000001E-3</v>
      </c>
      <c r="V176" s="151">
        <v>-4.0000000000000001E-3</v>
      </c>
      <c r="W176" s="151">
        <v>-4.0000000000000002E-4</v>
      </c>
      <c r="X176" s="151">
        <v>-4.0000000000000001E-3</v>
      </c>
      <c r="Y176" s="151">
        <v>-4.0000000000000001E-3</v>
      </c>
      <c r="Z176" s="151">
        <v>-4.0000000000000001E-3</v>
      </c>
      <c r="AA176" s="151">
        <v>-4.0000000000000001E-3</v>
      </c>
      <c r="AB176" s="151">
        <v>-4.0000000000000001E-3</v>
      </c>
      <c r="AC176" s="151">
        <v>-4.0000000000000001E-3</v>
      </c>
      <c r="AD176" s="151">
        <v>-4.0000000000000002E-4</v>
      </c>
      <c r="AE176" s="34">
        <v>0</v>
      </c>
      <c r="AF176" s="151">
        <v>-4.0000000000000002E-4</v>
      </c>
      <c r="AI176" s="1" t="s">
        <v>225</v>
      </c>
      <c r="AJ176" s="1" t="s">
        <v>1751</v>
      </c>
      <c r="AK176" s="1" t="s">
        <v>83</v>
      </c>
      <c r="AL176" s="749" t="s">
        <v>1870</v>
      </c>
    </row>
    <row r="177" spans="1:38">
      <c r="A177" s="749" t="s">
        <v>3177</v>
      </c>
      <c r="B177" s="1">
        <v>1160</v>
      </c>
      <c r="C177" s="1">
        <v>280</v>
      </c>
      <c r="D177" s="1">
        <v>1</v>
      </c>
      <c r="E177" s="1">
        <v>15</v>
      </c>
      <c r="F177" s="1">
        <v>24</v>
      </c>
      <c r="G177" s="1" t="s">
        <v>225</v>
      </c>
      <c r="H177" s="1" t="s">
        <v>2966</v>
      </c>
      <c r="J177" s="1">
        <v>260</v>
      </c>
      <c r="K177" s="1139">
        <v>1</v>
      </c>
      <c r="L177" s="1">
        <v>19.100000000000001</v>
      </c>
      <c r="M177" s="34">
        <v>0</v>
      </c>
      <c r="N177" s="1">
        <v>20.399999999999999</v>
      </c>
      <c r="O177" s="4">
        <v>9</v>
      </c>
      <c r="P177" s="4">
        <v>837</v>
      </c>
      <c r="Q177" s="4">
        <v>350</v>
      </c>
      <c r="R177" s="4">
        <v>13.9</v>
      </c>
      <c r="S177" s="4">
        <v>24.4</v>
      </c>
      <c r="T177" s="4">
        <v>218</v>
      </c>
      <c r="U177" s="4">
        <v>1.6</v>
      </c>
      <c r="V177" s="4">
        <v>2.9</v>
      </c>
      <c r="W177" s="4">
        <v>0.127</v>
      </c>
      <c r="X177" s="151">
        <v>-4.0000000000000001E-3</v>
      </c>
      <c r="Y177" s="151">
        <v>-4.0000000000000001E-3</v>
      </c>
      <c r="Z177" s="151">
        <v>-4.0000000000000001E-3</v>
      </c>
      <c r="AA177" s="151">
        <v>-4.0000000000000001E-3</v>
      </c>
      <c r="AB177" s="151">
        <v>-4.0000000000000001E-3</v>
      </c>
      <c r="AC177" s="151">
        <v>-4.0000000000000001E-3</v>
      </c>
      <c r="AD177" s="151">
        <v>-4.0000000000000002E-4</v>
      </c>
      <c r="AE177" s="34">
        <v>0</v>
      </c>
      <c r="AF177" s="151">
        <v>-4.0000000000000002E-4</v>
      </c>
      <c r="AI177" s="1" t="s">
        <v>225</v>
      </c>
      <c r="AJ177" s="1" t="s">
        <v>1751</v>
      </c>
      <c r="AK177" s="1" t="s">
        <v>84</v>
      </c>
      <c r="AL177" s="749" t="s">
        <v>1826</v>
      </c>
    </row>
    <row r="178" spans="1:38">
      <c r="A178" s="1" t="s">
        <v>1827</v>
      </c>
      <c r="B178" s="1">
        <v>1883</v>
      </c>
      <c r="C178" s="1">
        <v>450</v>
      </c>
      <c r="D178" s="1">
        <v>5</v>
      </c>
      <c r="E178" s="1">
        <v>24</v>
      </c>
      <c r="F178" s="1">
        <v>37</v>
      </c>
      <c r="G178" s="1" t="s">
        <v>225</v>
      </c>
      <c r="H178" s="1" t="s">
        <v>2963</v>
      </c>
      <c r="J178" s="1">
        <v>514</v>
      </c>
      <c r="K178" s="1139">
        <v>5</v>
      </c>
      <c r="L178" s="1">
        <v>24.1</v>
      </c>
      <c r="M178" s="151">
        <v>-4.0000000000000001E-3</v>
      </c>
      <c r="N178" s="1">
        <v>44.4</v>
      </c>
      <c r="O178" s="4">
        <v>16.95</v>
      </c>
      <c r="P178" s="151">
        <v>-4.0000000000000001E-3</v>
      </c>
      <c r="Q178" s="151">
        <v>-4.0000000000000001E-3</v>
      </c>
      <c r="R178" s="4">
        <v>6</v>
      </c>
      <c r="S178" s="151">
        <v>-4.0000000000000001E-3</v>
      </c>
      <c r="T178" s="4">
        <v>133</v>
      </c>
      <c r="U178" s="4">
        <v>1.5</v>
      </c>
      <c r="V178" s="151">
        <v>-4.0000000000000001E-3</v>
      </c>
      <c r="W178" s="151">
        <v>-4.0000000000000002E-4</v>
      </c>
      <c r="X178" s="4">
        <v>9</v>
      </c>
      <c r="Y178" s="4">
        <v>0.48</v>
      </c>
      <c r="Z178" s="4">
        <v>0.12</v>
      </c>
      <c r="AA178" s="4">
        <v>5.83</v>
      </c>
      <c r="AB178" s="151">
        <v>-4.0000000000000001E-3</v>
      </c>
      <c r="AC178" s="151">
        <v>-4.0000000000000001E-3</v>
      </c>
      <c r="AD178" s="151">
        <v>-4.0000000000000002E-4</v>
      </c>
      <c r="AE178" s="34">
        <v>0</v>
      </c>
      <c r="AF178" s="151">
        <v>-4.0000000000000002E-4</v>
      </c>
      <c r="AI178" s="1" t="s">
        <v>225</v>
      </c>
      <c r="AJ178" s="1" t="s">
        <v>1751</v>
      </c>
      <c r="AK178" s="1" t="s">
        <v>560</v>
      </c>
      <c r="AL178" s="749" t="s">
        <v>1827</v>
      </c>
    </row>
    <row r="179" spans="1:38">
      <c r="A179" s="1" t="s">
        <v>3176</v>
      </c>
      <c r="B179" s="1">
        <v>1940</v>
      </c>
      <c r="C179" s="1">
        <v>469</v>
      </c>
      <c r="D179" s="1">
        <v>0.9</v>
      </c>
      <c r="E179" s="1">
        <v>24</v>
      </c>
      <c r="F179" s="1">
        <v>41</v>
      </c>
      <c r="G179" s="1" t="s">
        <v>225</v>
      </c>
      <c r="H179" s="1" t="s">
        <v>2965</v>
      </c>
      <c r="J179" s="1">
        <v>490</v>
      </c>
      <c r="K179" s="1">
        <v>1.6</v>
      </c>
      <c r="L179" s="1">
        <v>22.58</v>
      </c>
      <c r="M179" s="151">
        <v>-4.0000000000000001E-3</v>
      </c>
      <c r="N179" s="1">
        <v>43.81</v>
      </c>
      <c r="O179" s="4">
        <v>17.46</v>
      </c>
      <c r="P179" s="4">
        <v>1189</v>
      </c>
      <c r="Q179" s="4">
        <v>226</v>
      </c>
      <c r="R179" s="4">
        <v>9</v>
      </c>
      <c r="S179" s="4">
        <v>9</v>
      </c>
      <c r="T179" s="4">
        <v>165</v>
      </c>
      <c r="U179" s="4">
        <v>0.91</v>
      </c>
      <c r="V179" s="4">
        <v>1.8140000000000001</v>
      </c>
      <c r="W179" s="4">
        <v>0.05</v>
      </c>
      <c r="X179" s="4">
        <v>16</v>
      </c>
      <c r="Y179" s="4">
        <v>0.32300000000000001</v>
      </c>
      <c r="Z179" s="4">
        <v>7.3999999999999996E-2</v>
      </c>
      <c r="AA179" s="4">
        <v>4.6900000000000004</v>
      </c>
      <c r="AB179" s="4">
        <v>0.17499999999999999</v>
      </c>
      <c r="AC179" s="151">
        <v>-4.0000000000000001E-3</v>
      </c>
      <c r="AD179" s="4">
        <v>1.4</v>
      </c>
      <c r="AE179" s="34">
        <v>0</v>
      </c>
      <c r="AF179" s="151">
        <v>-4.0000000000000002E-4</v>
      </c>
      <c r="AI179" s="1" t="s">
        <v>225</v>
      </c>
      <c r="AJ179" s="1" t="s">
        <v>1751</v>
      </c>
      <c r="AK179" s="1" t="s">
        <v>559</v>
      </c>
      <c r="AL179" s="749" t="s">
        <v>1828</v>
      </c>
    </row>
    <row r="180" spans="1:38">
      <c r="A180" s="749" t="s">
        <v>3178</v>
      </c>
      <c r="B180" s="10">
        <v>925.5</v>
      </c>
      <c r="C180" s="1">
        <v>221.2</v>
      </c>
      <c r="D180" s="1">
        <v>3</v>
      </c>
      <c r="E180" s="1">
        <v>15</v>
      </c>
      <c r="F180" s="1">
        <v>17</v>
      </c>
      <c r="G180" s="1" t="s">
        <v>225</v>
      </c>
      <c r="H180" s="1" t="s">
        <v>2972</v>
      </c>
      <c r="J180" s="1">
        <v>221.2</v>
      </c>
      <c r="K180" s="1">
        <v>3</v>
      </c>
      <c r="L180" s="1">
        <v>15</v>
      </c>
      <c r="M180" s="34">
        <v>0</v>
      </c>
      <c r="N180" s="1">
        <v>17</v>
      </c>
      <c r="O180" s="34">
        <v>5.5</v>
      </c>
      <c r="P180" s="34">
        <v>698</v>
      </c>
      <c r="Q180" s="34">
        <v>328</v>
      </c>
      <c r="R180" s="34">
        <v>19</v>
      </c>
      <c r="S180" s="34">
        <v>22</v>
      </c>
      <c r="T180" s="34">
        <v>185</v>
      </c>
      <c r="U180" s="34">
        <v>1.91</v>
      </c>
      <c r="V180" s="34">
        <v>3.14</v>
      </c>
      <c r="W180" s="34">
        <v>8.7999999999999995E-2</v>
      </c>
      <c r="X180" s="34">
        <v>28</v>
      </c>
      <c r="Y180" s="34">
        <v>0.377</v>
      </c>
      <c r="Z180" s="34">
        <v>0.21</v>
      </c>
      <c r="AA180" s="34">
        <v>7.7370000000000001</v>
      </c>
      <c r="AB180" s="34">
        <v>0.28199999999999997</v>
      </c>
      <c r="AC180" s="34">
        <v>1</v>
      </c>
      <c r="AD180" s="34">
        <v>1.1599999999999999</v>
      </c>
      <c r="AE180" s="34">
        <v>0</v>
      </c>
      <c r="AF180" s="34">
        <v>1.4</v>
      </c>
      <c r="AI180" s="1" t="s">
        <v>225</v>
      </c>
      <c r="AJ180" s="1" t="s">
        <v>1751</v>
      </c>
      <c r="AK180" s="1" t="s">
        <v>85</v>
      </c>
      <c r="AL180" s="749" t="s">
        <v>1829</v>
      </c>
    </row>
    <row r="181" spans="1:38">
      <c r="A181" s="749" t="s">
        <v>3179</v>
      </c>
      <c r="B181" s="10">
        <v>2150.6</v>
      </c>
      <c r="C181" s="1">
        <v>514</v>
      </c>
      <c r="D181" s="1">
        <v>0</v>
      </c>
      <c r="E181" s="1">
        <v>20.9</v>
      </c>
      <c r="F181" s="1">
        <v>47.8</v>
      </c>
      <c r="G181" s="1" t="s">
        <v>225</v>
      </c>
      <c r="H181" s="1" t="s">
        <v>2964</v>
      </c>
      <c r="J181" s="1">
        <v>472</v>
      </c>
      <c r="K181" s="1139">
        <v>0</v>
      </c>
      <c r="L181" s="1">
        <v>22</v>
      </c>
      <c r="M181" s="34">
        <v>0</v>
      </c>
      <c r="N181" s="1">
        <v>43.8</v>
      </c>
      <c r="O181" s="4">
        <v>16.3</v>
      </c>
      <c r="P181" s="151">
        <v>-4.0000000000000001E-3</v>
      </c>
      <c r="Q181" s="151">
        <v>-4.0000000000000001E-3</v>
      </c>
      <c r="R181" s="151">
        <v>-4.0000000000000001E-3</v>
      </c>
      <c r="S181" s="151">
        <v>-4.0000000000000001E-3</v>
      </c>
      <c r="T181" s="151">
        <v>-4.0000000000000001E-3</v>
      </c>
      <c r="U181" s="151">
        <v>-4.0000000000000001E-3</v>
      </c>
      <c r="V181" s="151">
        <v>-4.0000000000000001E-3</v>
      </c>
      <c r="W181" s="151">
        <v>-4.0000000000000002E-4</v>
      </c>
      <c r="X181" s="151">
        <v>-4.0000000000000001E-3</v>
      </c>
      <c r="Y181" s="151">
        <v>-4.0000000000000001E-3</v>
      </c>
      <c r="Z181" s="151">
        <v>-4.0000000000000001E-3</v>
      </c>
      <c r="AA181" s="151">
        <v>-4.0000000000000001E-3</v>
      </c>
      <c r="AB181" s="151">
        <v>-4.0000000000000001E-3</v>
      </c>
      <c r="AC181" s="151">
        <v>-4.0000000000000001E-3</v>
      </c>
      <c r="AD181" s="151">
        <v>-4.0000000000000002E-4</v>
      </c>
      <c r="AE181" s="34">
        <v>0</v>
      </c>
      <c r="AF181" s="151">
        <v>-4.0000000000000002E-4</v>
      </c>
      <c r="AI181" s="1" t="s">
        <v>225</v>
      </c>
      <c r="AJ181" s="1" t="s">
        <v>1751</v>
      </c>
      <c r="AK181" s="1" t="s">
        <v>86</v>
      </c>
      <c r="AL181" s="749" t="s">
        <v>1830</v>
      </c>
    </row>
    <row r="182" spans="1:38">
      <c r="A182" s="1" t="s">
        <v>1831</v>
      </c>
      <c r="B182" s="10">
        <v>1217.5</v>
      </c>
      <c r="C182" s="1">
        <v>291</v>
      </c>
      <c r="D182" s="1">
        <v>1</v>
      </c>
      <c r="E182" s="1">
        <v>11</v>
      </c>
      <c r="F182" s="1">
        <v>27</v>
      </c>
      <c r="G182" s="1" t="s">
        <v>225</v>
      </c>
      <c r="H182" s="1" t="s">
        <v>2969</v>
      </c>
      <c r="J182" s="1">
        <v>291</v>
      </c>
      <c r="K182" s="1">
        <v>1</v>
      </c>
      <c r="L182" s="1">
        <v>11</v>
      </c>
      <c r="M182" s="34">
        <v>0</v>
      </c>
      <c r="N182" s="1">
        <v>27</v>
      </c>
      <c r="O182" s="34">
        <v>9</v>
      </c>
      <c r="P182" s="4">
        <v>800</v>
      </c>
      <c r="Q182" s="4">
        <v>100</v>
      </c>
      <c r="R182" s="4">
        <v>3</v>
      </c>
      <c r="S182" s="34">
        <v>10</v>
      </c>
      <c r="T182" s="4">
        <v>100</v>
      </c>
      <c r="U182" s="4">
        <v>2</v>
      </c>
      <c r="V182" s="34">
        <v>1.3</v>
      </c>
      <c r="W182" s="34">
        <v>0.17599999999999999</v>
      </c>
      <c r="X182" s="34">
        <v>0</v>
      </c>
      <c r="Y182" s="4">
        <v>7.0000000000000007E-2</v>
      </c>
      <c r="Z182" s="4">
        <v>0.1</v>
      </c>
      <c r="AA182" s="4">
        <v>1.6</v>
      </c>
      <c r="AB182" s="34">
        <v>0.18</v>
      </c>
      <c r="AC182" s="34">
        <v>1</v>
      </c>
      <c r="AD182" s="34">
        <v>0.66</v>
      </c>
      <c r="AE182" s="34">
        <v>0</v>
      </c>
      <c r="AF182" s="34">
        <v>1.1000000000000001</v>
      </c>
      <c r="AI182" s="1" t="s">
        <v>225</v>
      </c>
      <c r="AJ182" s="1" t="s">
        <v>1751</v>
      </c>
      <c r="AK182" s="1" t="s">
        <v>87</v>
      </c>
      <c r="AL182" s="749" t="s">
        <v>1831</v>
      </c>
    </row>
    <row r="183" spans="1:38">
      <c r="A183" s="749" t="s">
        <v>3180</v>
      </c>
      <c r="B183" s="1">
        <v>1618</v>
      </c>
      <c r="C183" s="1">
        <v>387</v>
      </c>
      <c r="D183" s="1">
        <v>2</v>
      </c>
      <c r="E183" s="1">
        <v>21.9</v>
      </c>
      <c r="F183" s="1">
        <v>31.3</v>
      </c>
      <c r="G183" s="1" t="s">
        <v>225</v>
      </c>
      <c r="H183" s="1" t="s">
        <v>2962</v>
      </c>
      <c r="J183" s="1">
        <v>363</v>
      </c>
      <c r="K183" s="1139">
        <v>2</v>
      </c>
      <c r="L183" s="1">
        <v>14.7</v>
      </c>
      <c r="M183" s="151">
        <v>-4.0000000000000001E-3</v>
      </c>
      <c r="N183" s="1">
        <v>33.799999999999997</v>
      </c>
      <c r="O183" s="4">
        <v>12.5</v>
      </c>
      <c r="P183" s="4">
        <v>1342</v>
      </c>
      <c r="Q183" s="4">
        <v>136</v>
      </c>
      <c r="R183" s="4">
        <v>9</v>
      </c>
      <c r="S183" s="151">
        <v>-4.0000000000000001E-3</v>
      </c>
      <c r="T183" s="4">
        <v>172</v>
      </c>
      <c r="U183" s="4">
        <v>2.5</v>
      </c>
      <c r="V183" s="151">
        <v>-4.0000000000000001E-3</v>
      </c>
      <c r="W183" s="151">
        <v>-4.0000000000000002E-4</v>
      </c>
      <c r="X183" s="151">
        <v>-4.0000000000000001E-3</v>
      </c>
      <c r="Y183" s="4">
        <v>0.21299999999999999</v>
      </c>
      <c r="Z183" s="4">
        <v>0.19</v>
      </c>
      <c r="AA183" s="4">
        <v>3</v>
      </c>
      <c r="AB183" s="151">
        <v>-4.0000000000000001E-3</v>
      </c>
      <c r="AC183" s="4">
        <v>1</v>
      </c>
      <c r="AD183" s="151">
        <v>-4.0000000000000002E-4</v>
      </c>
      <c r="AE183" s="34">
        <v>0</v>
      </c>
      <c r="AF183" s="151">
        <v>-4.0000000000000002E-4</v>
      </c>
      <c r="AI183" s="1" t="s">
        <v>225</v>
      </c>
      <c r="AJ183" s="1" t="s">
        <v>1751</v>
      </c>
      <c r="AK183" s="1" t="s">
        <v>88</v>
      </c>
      <c r="AL183" s="749" t="s">
        <v>1832</v>
      </c>
    </row>
    <row r="184" spans="1:38">
      <c r="A184" s="749" t="s">
        <v>3181</v>
      </c>
      <c r="B184" s="1">
        <v>2144</v>
      </c>
      <c r="C184" s="1">
        <v>513</v>
      </c>
      <c r="D184" s="1">
        <v>0</v>
      </c>
      <c r="E184" s="1">
        <v>21.3</v>
      </c>
      <c r="F184" s="1">
        <v>47.5</v>
      </c>
      <c r="G184" s="1" t="s">
        <v>225</v>
      </c>
      <c r="H184" s="1" t="s">
        <v>2971</v>
      </c>
      <c r="J184" s="1">
        <v>513</v>
      </c>
      <c r="K184" s="1">
        <v>0</v>
      </c>
      <c r="L184" s="1">
        <v>21.3</v>
      </c>
      <c r="M184" s="34">
        <v>0</v>
      </c>
      <c r="N184" s="1">
        <v>47.5</v>
      </c>
      <c r="O184" s="34">
        <v>15</v>
      </c>
      <c r="P184" s="34">
        <v>1890</v>
      </c>
      <c r="Q184" s="34">
        <v>340</v>
      </c>
      <c r="R184" s="34">
        <v>10</v>
      </c>
      <c r="S184" s="34">
        <v>22</v>
      </c>
      <c r="T184" s="34">
        <v>229</v>
      </c>
      <c r="U184" s="34">
        <v>1.52</v>
      </c>
      <c r="V184" s="34">
        <v>4.2</v>
      </c>
      <c r="W184" s="34">
        <v>0.16</v>
      </c>
      <c r="X184" s="34">
        <v>0</v>
      </c>
      <c r="Y184" s="34">
        <v>0.93</v>
      </c>
      <c r="Z184" s="34">
        <v>0.33</v>
      </c>
      <c r="AA184" s="34">
        <v>5.6</v>
      </c>
      <c r="AB184" s="34">
        <v>0.55000000000000004</v>
      </c>
      <c r="AC184" s="34">
        <v>2</v>
      </c>
      <c r="AD184" s="34">
        <v>2.8</v>
      </c>
      <c r="AE184" s="34">
        <v>0</v>
      </c>
      <c r="AF184" s="151">
        <v>-4.0000000000000002E-4</v>
      </c>
      <c r="AI184" s="1" t="s">
        <v>225</v>
      </c>
      <c r="AJ184" s="1" t="s">
        <v>1751</v>
      </c>
      <c r="AK184" s="1" t="s">
        <v>89</v>
      </c>
      <c r="AL184" s="749" t="s">
        <v>1833</v>
      </c>
    </row>
    <row r="185" spans="1:38">
      <c r="A185" s="749" t="s">
        <v>3182</v>
      </c>
      <c r="B185" s="1">
        <v>2238</v>
      </c>
      <c r="C185" s="1">
        <v>535</v>
      </c>
      <c r="D185" s="1">
        <v>0</v>
      </c>
      <c r="E185" s="1">
        <v>21</v>
      </c>
      <c r="F185" s="1">
        <v>50</v>
      </c>
      <c r="G185" s="1" t="s">
        <v>225</v>
      </c>
      <c r="H185" s="1" t="s">
        <v>2967</v>
      </c>
      <c r="J185" s="1">
        <v>508</v>
      </c>
      <c r="K185" s="1">
        <v>0</v>
      </c>
      <c r="L185" s="1">
        <v>26</v>
      </c>
      <c r="M185" s="34">
        <v>0</v>
      </c>
      <c r="N185" s="1">
        <v>44.9</v>
      </c>
      <c r="O185" s="4">
        <v>18.2</v>
      </c>
      <c r="P185" s="4">
        <v>1553</v>
      </c>
      <c r="Q185" s="4">
        <v>480</v>
      </c>
      <c r="R185" s="4">
        <v>20.8</v>
      </c>
      <c r="S185" s="4">
        <v>25.8</v>
      </c>
      <c r="T185" s="4">
        <v>218</v>
      </c>
      <c r="U185" s="4">
        <v>1.7</v>
      </c>
      <c r="V185" s="4">
        <v>3.3</v>
      </c>
      <c r="W185" s="4">
        <v>0.16800000000000001</v>
      </c>
      <c r="X185" s="151">
        <v>-4.0000000000000001E-3</v>
      </c>
      <c r="Y185" s="151">
        <v>-4.0000000000000001E-3</v>
      </c>
      <c r="Z185" s="151">
        <v>-4.0000000000000001E-3</v>
      </c>
      <c r="AA185" s="151">
        <v>-4.0000000000000001E-3</v>
      </c>
      <c r="AB185" s="151">
        <v>-4.0000000000000001E-3</v>
      </c>
      <c r="AC185" s="151">
        <v>-4.0000000000000001E-3</v>
      </c>
      <c r="AD185" s="151">
        <v>-4.0000000000000002E-4</v>
      </c>
      <c r="AE185" s="34">
        <v>0</v>
      </c>
      <c r="AF185" s="151">
        <v>-4.0000000000000002E-4</v>
      </c>
      <c r="AI185" s="1" t="s">
        <v>225</v>
      </c>
      <c r="AJ185" s="1" t="s">
        <v>1751</v>
      </c>
      <c r="AK185" s="1" t="s">
        <v>757</v>
      </c>
      <c r="AL185" s="749" t="s">
        <v>1834</v>
      </c>
    </row>
    <row r="186" spans="1:38">
      <c r="A186" s="749" t="s">
        <v>3162</v>
      </c>
      <c r="B186" s="10">
        <v>1251</v>
      </c>
      <c r="C186" s="1">
        <v>299</v>
      </c>
      <c r="D186" s="1">
        <v>0</v>
      </c>
      <c r="E186" s="1">
        <v>29.9</v>
      </c>
      <c r="F186" s="1">
        <v>19.100000000000001</v>
      </c>
      <c r="G186" s="1" t="s">
        <v>225</v>
      </c>
      <c r="H186" s="1" t="s">
        <v>2968</v>
      </c>
      <c r="I186" s="1">
        <v>13</v>
      </c>
      <c r="J186" s="1">
        <v>299</v>
      </c>
      <c r="K186" s="1">
        <v>0</v>
      </c>
      <c r="L186" s="1">
        <v>29.9</v>
      </c>
      <c r="M186" s="34">
        <v>0</v>
      </c>
      <c r="N186" s="1">
        <v>19.100000000000001</v>
      </c>
      <c r="O186" s="4">
        <v>7.56</v>
      </c>
      <c r="P186" s="4">
        <v>372</v>
      </c>
      <c r="Q186" s="4">
        <v>240</v>
      </c>
      <c r="R186" s="4">
        <v>17</v>
      </c>
      <c r="S186" s="4">
        <v>20</v>
      </c>
      <c r="T186" s="4">
        <v>181</v>
      </c>
      <c r="U186" s="4">
        <v>2.5099999999999998</v>
      </c>
      <c r="V186" s="4">
        <v>6.92</v>
      </c>
      <c r="W186" s="4">
        <v>0.10299999999999999</v>
      </c>
      <c r="X186" s="4">
        <v>0</v>
      </c>
      <c r="Y186" s="4">
        <v>0.06</v>
      </c>
      <c r="Z186" s="4">
        <v>0.17699999999999999</v>
      </c>
      <c r="AA186" s="4">
        <v>4.2370000000000001</v>
      </c>
      <c r="AB186" s="4">
        <v>0.29299999999999998</v>
      </c>
      <c r="AC186" s="4">
        <v>9</v>
      </c>
      <c r="AD186" s="4">
        <v>2.2000000000000002</v>
      </c>
      <c r="AE186" s="4">
        <v>0</v>
      </c>
      <c r="AF186" s="4">
        <v>0.3</v>
      </c>
      <c r="AI186" s="1" t="s">
        <v>225</v>
      </c>
      <c r="AJ186" s="1" t="s">
        <v>1751</v>
      </c>
      <c r="AK186" s="1" t="s">
        <v>90</v>
      </c>
      <c r="AL186" s="749" t="s">
        <v>1871</v>
      </c>
    </row>
    <row r="187" spans="1:38">
      <c r="A187" s="1232" t="s">
        <v>3443</v>
      </c>
      <c r="B187" s="1">
        <v>878</v>
      </c>
      <c r="C187" s="1">
        <v>210</v>
      </c>
      <c r="D187" s="1">
        <v>0</v>
      </c>
      <c r="E187" s="1">
        <v>18.8</v>
      </c>
      <c r="F187" s="1">
        <v>15.4</v>
      </c>
      <c r="G187" s="1" t="s">
        <v>225</v>
      </c>
      <c r="H187" s="66" t="s">
        <v>337</v>
      </c>
      <c r="I187" s="47">
        <v>22</v>
      </c>
      <c r="J187" s="34">
        <v>174.4</v>
      </c>
      <c r="K187" s="34">
        <v>0.32</v>
      </c>
      <c r="L187" s="34">
        <v>14.4</v>
      </c>
      <c r="M187" s="34">
        <v>0</v>
      </c>
      <c r="N187" s="34">
        <v>12.8</v>
      </c>
      <c r="O187" s="74">
        <v>4.0004666900011667</v>
      </c>
      <c r="P187" s="34">
        <v>54.4</v>
      </c>
      <c r="Q187" s="37">
        <v>195.2</v>
      </c>
      <c r="R187" s="37">
        <v>12</v>
      </c>
      <c r="S187" s="37">
        <v>12.8</v>
      </c>
      <c r="T187" s="37">
        <v>128.80000000000001</v>
      </c>
      <c r="U187" s="37">
        <v>0.70400000000000007</v>
      </c>
      <c r="V187" s="37">
        <v>1.5279999999999998</v>
      </c>
      <c r="W187" s="68">
        <v>2.5600000000000001E-2</v>
      </c>
      <c r="X187" s="37">
        <v>0</v>
      </c>
      <c r="Y187" s="37">
        <v>0.2656</v>
      </c>
      <c r="Z187" s="37">
        <v>0.27039999999999997</v>
      </c>
      <c r="AA187" s="37">
        <v>5.1327999999999996</v>
      </c>
      <c r="AB187" s="37">
        <v>0.44080000000000003</v>
      </c>
      <c r="AC187" s="37">
        <v>1.6</v>
      </c>
      <c r="AD187" s="37">
        <v>0.58399999999999996</v>
      </c>
      <c r="AE187" s="37">
        <v>0</v>
      </c>
      <c r="AF187" s="68">
        <v>0.34</v>
      </c>
      <c r="AI187" s="1" t="s">
        <v>225</v>
      </c>
      <c r="AJ187" s="1" t="s">
        <v>1751</v>
      </c>
      <c r="AK187" s="66" t="s">
        <v>337</v>
      </c>
      <c r="AL187" s="749" t="s">
        <v>337</v>
      </c>
    </row>
    <row r="188" spans="1:38">
      <c r="A188" s="1" t="s">
        <v>91</v>
      </c>
      <c r="B188" s="1">
        <v>1735</v>
      </c>
      <c r="C188" s="1">
        <v>415</v>
      </c>
      <c r="D188" s="1">
        <v>0</v>
      </c>
      <c r="E188" s="1">
        <v>13.9</v>
      </c>
      <c r="F188" s="1">
        <v>39.9</v>
      </c>
      <c r="G188" s="1" t="s">
        <v>225</v>
      </c>
      <c r="H188" s="1" t="s">
        <v>2973</v>
      </c>
      <c r="J188" s="1">
        <v>309</v>
      </c>
      <c r="K188" s="1">
        <v>0.4</v>
      </c>
      <c r="L188" s="1">
        <v>12</v>
      </c>
      <c r="M188" s="34">
        <v>0</v>
      </c>
      <c r="N188" s="1">
        <v>29.2</v>
      </c>
      <c r="O188" s="4">
        <v>11.8</v>
      </c>
      <c r="P188" s="34">
        <v>156</v>
      </c>
      <c r="Q188" s="49">
        <v>163</v>
      </c>
      <c r="R188" s="34">
        <v>21</v>
      </c>
      <c r="S188" s="49">
        <v>11</v>
      </c>
      <c r="T188" s="34">
        <v>180</v>
      </c>
      <c r="U188" s="4">
        <v>0.97</v>
      </c>
      <c r="V188" s="4">
        <v>1.85</v>
      </c>
      <c r="W188" s="4">
        <v>0.1</v>
      </c>
      <c r="X188" s="49">
        <v>0</v>
      </c>
      <c r="Y188" s="34">
        <v>0.7</v>
      </c>
      <c r="Z188" s="34">
        <v>0.17</v>
      </c>
      <c r="AA188" s="34">
        <v>7</v>
      </c>
      <c r="AB188" s="49">
        <v>0.13</v>
      </c>
      <c r="AC188" s="49">
        <v>3</v>
      </c>
      <c r="AD188" s="49">
        <v>1.48</v>
      </c>
      <c r="AE188" s="49">
        <v>0</v>
      </c>
      <c r="AF188" s="49">
        <v>1</v>
      </c>
      <c r="AI188" s="1" t="s">
        <v>225</v>
      </c>
      <c r="AJ188" s="1" t="s">
        <v>1751</v>
      </c>
      <c r="AK188" s="1" t="s">
        <v>91</v>
      </c>
      <c r="AL188" s="749" t="s">
        <v>91</v>
      </c>
    </row>
    <row r="189" spans="1:38">
      <c r="A189" s="749" t="s">
        <v>3183</v>
      </c>
      <c r="B189" s="10">
        <v>962.3</v>
      </c>
      <c r="C189" s="1">
        <v>230</v>
      </c>
      <c r="D189" s="1">
        <v>0</v>
      </c>
      <c r="E189" s="1">
        <v>19</v>
      </c>
      <c r="F189" s="1">
        <v>17</v>
      </c>
      <c r="G189" s="1" t="s">
        <v>225</v>
      </c>
      <c r="H189" s="1" t="s">
        <v>2956</v>
      </c>
      <c r="J189" s="1">
        <v>112.8</v>
      </c>
      <c r="K189" s="1">
        <v>0.3</v>
      </c>
      <c r="L189" s="1">
        <v>19.399999999999999</v>
      </c>
      <c r="M189" s="34">
        <v>0</v>
      </c>
      <c r="N189" s="1">
        <v>3.7</v>
      </c>
      <c r="O189" s="4">
        <v>1.32</v>
      </c>
      <c r="P189" s="4">
        <v>1725</v>
      </c>
      <c r="Q189" s="4">
        <v>357</v>
      </c>
      <c r="R189" s="4">
        <v>5</v>
      </c>
      <c r="S189" s="4">
        <v>23.5</v>
      </c>
      <c r="T189" s="4">
        <v>326</v>
      </c>
      <c r="U189" s="4">
        <v>0.4</v>
      </c>
      <c r="V189" s="4">
        <v>1.28</v>
      </c>
      <c r="W189" s="4">
        <v>0.04</v>
      </c>
      <c r="X189" s="151">
        <v>-4.0000000000000001E-3</v>
      </c>
      <c r="Y189" s="4">
        <v>1.04</v>
      </c>
      <c r="Z189" s="4">
        <v>0.105</v>
      </c>
      <c r="AA189" s="4">
        <v>11.2</v>
      </c>
      <c r="AB189" s="4">
        <v>0.3</v>
      </c>
      <c r="AC189" s="4">
        <v>0.66</v>
      </c>
      <c r="AD189" s="4">
        <v>0.4</v>
      </c>
      <c r="AE189" s="4">
        <v>27</v>
      </c>
      <c r="AF189" s="4">
        <v>0.43</v>
      </c>
      <c r="AI189" s="1" t="s">
        <v>225</v>
      </c>
      <c r="AJ189" s="1" t="s">
        <v>1751</v>
      </c>
      <c r="AK189" s="1" t="s">
        <v>558</v>
      </c>
      <c r="AL189" s="749" t="s">
        <v>1821</v>
      </c>
    </row>
    <row r="190" spans="1:38">
      <c r="A190" s="1" t="s">
        <v>1835</v>
      </c>
      <c r="B190" s="10">
        <v>1610.8</v>
      </c>
      <c r="C190" s="1">
        <v>385</v>
      </c>
      <c r="D190" s="1">
        <v>18.600000000000001</v>
      </c>
      <c r="E190" s="1">
        <v>41.6</v>
      </c>
      <c r="F190" s="1">
        <v>18.899999999999999</v>
      </c>
      <c r="G190" s="1" t="s">
        <v>225</v>
      </c>
      <c r="H190" s="1" t="s">
        <v>2974</v>
      </c>
      <c r="J190" s="1">
        <v>135</v>
      </c>
      <c r="K190" s="1">
        <v>1.2</v>
      </c>
      <c r="L190" s="1">
        <v>22.1</v>
      </c>
      <c r="M190" s="34">
        <v>0</v>
      </c>
      <c r="N190" s="1">
        <v>4.7</v>
      </c>
      <c r="O190" s="34">
        <v>1.58</v>
      </c>
      <c r="P190" s="34">
        <v>68</v>
      </c>
      <c r="Q190" s="34">
        <v>218</v>
      </c>
      <c r="R190" s="34">
        <v>18</v>
      </c>
      <c r="S190" s="34">
        <v>13</v>
      </c>
      <c r="T190" s="34">
        <v>240</v>
      </c>
      <c r="U190" s="34">
        <v>7.4</v>
      </c>
      <c r="V190" s="34">
        <v>3.2</v>
      </c>
      <c r="W190" s="151">
        <v>-4.0000000000000002E-4</v>
      </c>
      <c r="X190" s="34">
        <v>14</v>
      </c>
      <c r="Y190" s="34">
        <v>0.32</v>
      </c>
      <c r="Z190" s="34">
        <v>2.5</v>
      </c>
      <c r="AA190" s="34">
        <v>-4.0000000000000001E-3</v>
      </c>
      <c r="AB190" s="34">
        <v>0.8</v>
      </c>
      <c r="AC190" s="34">
        <v>380</v>
      </c>
      <c r="AD190" s="34">
        <v>26</v>
      </c>
      <c r="AE190" s="34">
        <v>28</v>
      </c>
      <c r="AF190" s="34">
        <v>0.9</v>
      </c>
      <c r="AI190" s="1" t="s">
        <v>225</v>
      </c>
      <c r="AJ190" s="1" t="s">
        <v>1751</v>
      </c>
      <c r="AK190" s="1" t="s">
        <v>92</v>
      </c>
      <c r="AL190" s="749" t="s">
        <v>1835</v>
      </c>
    </row>
    <row r="191" spans="1:38">
      <c r="A191" s="1" t="s">
        <v>3148</v>
      </c>
      <c r="B191" s="1">
        <v>674</v>
      </c>
      <c r="C191" s="1">
        <v>161</v>
      </c>
      <c r="D191" s="1">
        <v>0</v>
      </c>
      <c r="E191" s="1">
        <v>19.3</v>
      </c>
      <c r="F191" s="1">
        <v>8.6999999999999993</v>
      </c>
      <c r="G191" s="1" t="s">
        <v>225</v>
      </c>
      <c r="H191" s="66" t="s">
        <v>332</v>
      </c>
      <c r="I191" s="38">
        <v>13</v>
      </c>
      <c r="J191" s="4">
        <v>167</v>
      </c>
      <c r="K191" s="34">
        <v>0</v>
      </c>
      <c r="L191" s="4">
        <v>31.300209937018899</v>
      </c>
      <c r="M191" s="34">
        <v>0</v>
      </c>
      <c r="N191" s="4">
        <v>4.5003498950314906</v>
      </c>
      <c r="O191" s="67">
        <v>1.2001399580125964</v>
      </c>
      <c r="P191" s="3">
        <v>481</v>
      </c>
      <c r="Q191" s="3">
        <v>335</v>
      </c>
      <c r="R191" s="3">
        <v>19</v>
      </c>
      <c r="S191" s="3">
        <v>37</v>
      </c>
      <c r="T191" s="3">
        <v>253</v>
      </c>
      <c r="U191" s="3">
        <v>1.3198040587823654</v>
      </c>
      <c r="V191" s="3">
        <v>2.1903428971308609</v>
      </c>
      <c r="W191" s="68">
        <v>6.1446999999999995E-3</v>
      </c>
      <c r="X191" s="3">
        <v>23.000000000000004</v>
      </c>
      <c r="Y191" s="3">
        <v>6.9979006298110574E-2</v>
      </c>
      <c r="Z191" s="3">
        <v>0.16025192442267322</v>
      </c>
      <c r="AA191" s="3">
        <v>17.699790062981108</v>
      </c>
      <c r="AB191" s="3">
        <v>0.3100069979006298</v>
      </c>
      <c r="AC191" s="3">
        <v>23.000000000000004</v>
      </c>
      <c r="AD191" s="3">
        <v>0.3799860041987404</v>
      </c>
      <c r="AE191" s="37">
        <v>0</v>
      </c>
      <c r="AF191" s="69">
        <v>0.62981105668299509</v>
      </c>
      <c r="AI191" s="1" t="s">
        <v>225</v>
      </c>
      <c r="AJ191" s="1" t="s">
        <v>1751</v>
      </c>
      <c r="AK191" s="66" t="s">
        <v>332</v>
      </c>
      <c r="AL191" s="749" t="s">
        <v>332</v>
      </c>
    </row>
    <row r="192" spans="1:38">
      <c r="A192" s="1" t="s">
        <v>3169</v>
      </c>
      <c r="B192" s="1">
        <v>1109</v>
      </c>
      <c r="C192" s="1">
        <v>268</v>
      </c>
      <c r="D192" s="1">
        <v>3.6</v>
      </c>
      <c r="E192" s="1">
        <v>9.4</v>
      </c>
      <c r="F192" s="1">
        <v>24</v>
      </c>
      <c r="G192" s="1" t="s">
        <v>225</v>
      </c>
      <c r="H192" s="1" t="s">
        <v>2975</v>
      </c>
      <c r="J192" s="1">
        <v>268</v>
      </c>
      <c r="K192" s="1">
        <v>3.6</v>
      </c>
      <c r="L192" s="1">
        <v>9.4</v>
      </c>
      <c r="M192" s="151">
        <v>-4.0000000000000001E-3</v>
      </c>
      <c r="N192" s="1">
        <v>24</v>
      </c>
      <c r="O192" s="34">
        <v>7</v>
      </c>
      <c r="P192" s="34">
        <v>386</v>
      </c>
      <c r="Q192" s="34">
        <v>95</v>
      </c>
      <c r="R192" s="34">
        <v>10</v>
      </c>
      <c r="S192" s="34">
        <v>13</v>
      </c>
      <c r="T192" s="34">
        <v>175</v>
      </c>
      <c r="U192" s="34">
        <v>9.19</v>
      </c>
      <c r="V192" s="34">
        <v>2.14</v>
      </c>
      <c r="W192" s="34">
        <v>0.18</v>
      </c>
      <c r="X192" s="151">
        <v>-4.0000000000000001E-3</v>
      </c>
      <c r="Y192" s="34">
        <v>0.05</v>
      </c>
      <c r="Z192" s="34">
        <v>1.4</v>
      </c>
      <c r="AA192" s="34">
        <v>7.52</v>
      </c>
      <c r="AB192" s="34">
        <v>0.26</v>
      </c>
      <c r="AC192" s="34">
        <v>321</v>
      </c>
      <c r="AD192" s="34">
        <v>8.07</v>
      </c>
      <c r="AE192" s="34">
        <v>10</v>
      </c>
      <c r="AF192" s="151">
        <v>-4.0000000000000002E-4</v>
      </c>
      <c r="AI192" s="1" t="s">
        <v>225</v>
      </c>
      <c r="AJ192" s="1" t="s">
        <v>1751</v>
      </c>
      <c r="AK192" s="1" t="s">
        <v>93</v>
      </c>
      <c r="AL192" s="749" t="s">
        <v>1836</v>
      </c>
    </row>
    <row r="193" spans="1:38">
      <c r="A193" s="1" t="s">
        <v>1837</v>
      </c>
      <c r="B193" s="1">
        <v>397</v>
      </c>
      <c r="C193" s="1">
        <v>95</v>
      </c>
      <c r="D193" s="1">
        <v>0.8</v>
      </c>
      <c r="E193" s="15">
        <v>19</v>
      </c>
      <c r="F193" s="1">
        <v>1.6</v>
      </c>
      <c r="G193" s="1" t="s">
        <v>225</v>
      </c>
      <c r="H193" s="1" t="s">
        <v>2976</v>
      </c>
      <c r="J193" s="1">
        <v>94</v>
      </c>
      <c r="K193" s="82">
        <v>0.8</v>
      </c>
      <c r="L193" s="1220">
        <v>19.399999999999999</v>
      </c>
      <c r="M193" s="4">
        <v>0</v>
      </c>
      <c r="N193" s="82">
        <v>1.7</v>
      </c>
      <c r="O193" s="4">
        <v>0.56999999999999995</v>
      </c>
      <c r="P193" s="4">
        <v>675</v>
      </c>
      <c r="Q193" s="4">
        <v>475</v>
      </c>
      <c r="R193" s="4">
        <v>8</v>
      </c>
      <c r="S193" s="4">
        <v>32</v>
      </c>
      <c r="T193" s="4">
        <v>287</v>
      </c>
      <c r="U193" s="4">
        <v>0.56999999999999995</v>
      </c>
      <c r="V193" s="4">
        <v>0.6</v>
      </c>
      <c r="W193" s="34">
        <v>5.7000000000000002E-2</v>
      </c>
      <c r="X193" s="34">
        <v>10</v>
      </c>
      <c r="Y193" s="34">
        <v>0.13</v>
      </c>
      <c r="Z193" s="34">
        <v>0.32</v>
      </c>
      <c r="AA193" s="34">
        <v>0.11</v>
      </c>
      <c r="AB193" s="34">
        <v>0.128</v>
      </c>
      <c r="AC193" s="34">
        <v>4</v>
      </c>
      <c r="AD193" s="34">
        <v>0.09</v>
      </c>
      <c r="AE193" s="34">
        <v>5.7</v>
      </c>
      <c r="AF193" s="34">
        <v>0.1</v>
      </c>
      <c r="AI193" s="1" t="s">
        <v>225</v>
      </c>
      <c r="AJ193" s="1" t="s">
        <v>1751</v>
      </c>
      <c r="AK193" s="1" t="s">
        <v>94</v>
      </c>
      <c r="AL193" s="749" t="s">
        <v>1837</v>
      </c>
    </row>
    <row r="194" spans="1:38">
      <c r="A194" s="749" t="s">
        <v>3163</v>
      </c>
      <c r="B194" s="1">
        <v>498</v>
      </c>
      <c r="C194" s="1">
        <v>119</v>
      </c>
      <c r="D194" s="1">
        <v>0</v>
      </c>
      <c r="E194" s="1">
        <v>20.6</v>
      </c>
      <c r="F194" s="1">
        <v>3.4</v>
      </c>
      <c r="G194" s="1" t="s">
        <v>225</v>
      </c>
      <c r="H194" s="66" t="s">
        <v>332</v>
      </c>
      <c r="I194" s="38">
        <v>13</v>
      </c>
      <c r="J194" s="4">
        <v>167</v>
      </c>
      <c r="K194" s="34">
        <v>0</v>
      </c>
      <c r="L194" s="4">
        <v>31.300209937018899</v>
      </c>
      <c r="M194" s="34">
        <v>0</v>
      </c>
      <c r="N194" s="4">
        <v>4.5003498950314906</v>
      </c>
      <c r="O194" s="67">
        <v>1.2001399580125964</v>
      </c>
      <c r="P194" s="3">
        <v>481</v>
      </c>
      <c r="Q194" s="3">
        <v>335</v>
      </c>
      <c r="R194" s="3">
        <v>19</v>
      </c>
      <c r="S194" s="3">
        <v>37</v>
      </c>
      <c r="T194" s="3">
        <v>253</v>
      </c>
      <c r="U194" s="3">
        <v>1.3198040587823654</v>
      </c>
      <c r="V194" s="3">
        <v>2.1903428971308609</v>
      </c>
      <c r="W194" s="68">
        <v>6.1446999999999995E-3</v>
      </c>
      <c r="X194" s="3">
        <v>23.000000000000004</v>
      </c>
      <c r="Y194" s="3">
        <v>6.9979006298110574E-2</v>
      </c>
      <c r="Z194" s="3">
        <v>0.16025192442267322</v>
      </c>
      <c r="AA194" s="3">
        <v>17.699790062981108</v>
      </c>
      <c r="AB194" s="3">
        <v>0.3100069979006298</v>
      </c>
      <c r="AC194" s="3">
        <v>23.000000000000004</v>
      </c>
      <c r="AD194" s="3">
        <v>0.3799860041987404</v>
      </c>
      <c r="AE194" s="37">
        <v>0</v>
      </c>
      <c r="AF194" s="69">
        <v>0.62981105668299509</v>
      </c>
      <c r="AI194" s="1" t="s">
        <v>225</v>
      </c>
      <c r="AJ194" s="1" t="s">
        <v>1751</v>
      </c>
      <c r="AK194" s="66" t="s">
        <v>332</v>
      </c>
      <c r="AL194" s="749" t="s">
        <v>332</v>
      </c>
    </row>
    <row r="195" spans="1:38">
      <c r="A195" s="749" t="s">
        <v>3149</v>
      </c>
      <c r="B195" s="1">
        <v>674</v>
      </c>
      <c r="C195" s="1">
        <v>161</v>
      </c>
      <c r="D195" s="1">
        <v>0</v>
      </c>
      <c r="E195" s="1">
        <v>19.3</v>
      </c>
      <c r="F195" s="1">
        <v>8.6999999999999993</v>
      </c>
      <c r="G195" s="1" t="s">
        <v>225</v>
      </c>
      <c r="H195" s="66" t="s">
        <v>332</v>
      </c>
      <c r="I195" s="38">
        <v>13</v>
      </c>
      <c r="J195" s="4">
        <v>167</v>
      </c>
      <c r="K195" s="34">
        <v>0</v>
      </c>
      <c r="L195" s="4">
        <v>31.300209937018899</v>
      </c>
      <c r="M195" s="34">
        <v>0</v>
      </c>
      <c r="N195" s="4">
        <v>4.5003498950314906</v>
      </c>
      <c r="O195" s="67">
        <v>1.2001399580125964</v>
      </c>
      <c r="P195" s="3">
        <v>481</v>
      </c>
      <c r="Q195" s="3">
        <v>335</v>
      </c>
      <c r="R195" s="3">
        <v>19</v>
      </c>
      <c r="S195" s="3">
        <v>37</v>
      </c>
      <c r="T195" s="3">
        <v>253</v>
      </c>
      <c r="U195" s="3">
        <v>1.3198040587823654</v>
      </c>
      <c r="V195" s="3">
        <v>2.1903428971308609</v>
      </c>
      <c r="W195" s="68">
        <v>6.1446999999999995E-3</v>
      </c>
      <c r="X195" s="3">
        <v>23.000000000000004</v>
      </c>
      <c r="Y195" s="3">
        <v>6.9979006298110574E-2</v>
      </c>
      <c r="Z195" s="3">
        <v>0.16025192442267322</v>
      </c>
      <c r="AA195" s="3">
        <v>17.699790062981108</v>
      </c>
      <c r="AB195" s="3">
        <v>0.3100069979006298</v>
      </c>
      <c r="AC195" s="3">
        <v>23.000000000000004</v>
      </c>
      <c r="AD195" s="3">
        <v>0.3799860041987404</v>
      </c>
      <c r="AE195" s="37">
        <v>0</v>
      </c>
      <c r="AF195" s="69">
        <v>0.62981105668299509</v>
      </c>
      <c r="AI195" s="1" t="s">
        <v>225</v>
      </c>
      <c r="AJ195" s="1" t="s">
        <v>1751</v>
      </c>
      <c r="AK195" s="66" t="s">
        <v>332</v>
      </c>
      <c r="AL195" s="749" t="s">
        <v>332</v>
      </c>
    </row>
    <row r="196" spans="1:38">
      <c r="A196" s="1" t="s">
        <v>3465</v>
      </c>
      <c r="B196" s="10">
        <v>1179.9000000000001</v>
      </c>
      <c r="C196" s="1">
        <v>282</v>
      </c>
      <c r="D196" s="1">
        <v>0</v>
      </c>
      <c r="E196" s="1">
        <v>12</v>
      </c>
      <c r="F196" s="1">
        <v>25</v>
      </c>
      <c r="G196" s="1" t="s">
        <v>225</v>
      </c>
      <c r="H196" s="1" t="s">
        <v>2978</v>
      </c>
      <c r="J196" s="1221">
        <v>262</v>
      </c>
      <c r="K196" s="1139">
        <v>0.2</v>
      </c>
      <c r="L196" s="1">
        <v>12</v>
      </c>
      <c r="M196" s="34">
        <v>0</v>
      </c>
      <c r="N196" s="1139">
        <v>21</v>
      </c>
      <c r="O196" s="34">
        <v>6.5</v>
      </c>
      <c r="P196" s="34">
        <v>668</v>
      </c>
      <c r="Q196" s="151">
        <v>-4.0000000000000001E-3</v>
      </c>
      <c r="R196" s="151">
        <v>-4.0000000000000001E-3</v>
      </c>
      <c r="S196" s="151">
        <v>-4.0000000000000001E-3</v>
      </c>
      <c r="T196" s="151">
        <v>-4.0000000000000001E-3</v>
      </c>
      <c r="U196" s="151">
        <v>-4.0000000000000001E-3</v>
      </c>
      <c r="V196" s="151">
        <v>-4.0000000000000001E-3</v>
      </c>
      <c r="W196" s="151">
        <v>-4.0000000000000002E-4</v>
      </c>
      <c r="X196" s="151">
        <v>-4.0000000000000001E-3</v>
      </c>
      <c r="Y196" s="151">
        <v>-4.0000000000000001E-3</v>
      </c>
      <c r="Z196" s="151">
        <v>-4.0000000000000001E-3</v>
      </c>
      <c r="AA196" s="151">
        <v>-4.0000000000000001E-3</v>
      </c>
      <c r="AB196" s="151">
        <v>-4.0000000000000001E-3</v>
      </c>
      <c r="AC196" s="151">
        <v>-4.0000000000000001E-3</v>
      </c>
      <c r="AD196" s="151">
        <v>-4.0000000000000002E-4</v>
      </c>
      <c r="AE196" s="151">
        <v>-4.0000000000000001E-3</v>
      </c>
      <c r="AF196" s="151">
        <v>-4.0000000000000002E-4</v>
      </c>
      <c r="AI196" s="1" t="s">
        <v>225</v>
      </c>
      <c r="AJ196" s="1" t="s">
        <v>1751</v>
      </c>
      <c r="AK196" s="1" t="s">
        <v>95</v>
      </c>
      <c r="AL196" s="749" t="s">
        <v>1838</v>
      </c>
    </row>
    <row r="197" spans="1:38">
      <c r="A197" s="1" t="s">
        <v>3150</v>
      </c>
      <c r="B197" s="1">
        <v>961</v>
      </c>
      <c r="C197" s="1">
        <v>230</v>
      </c>
      <c r="D197" s="1">
        <v>0</v>
      </c>
      <c r="E197" s="1">
        <v>17.600000000000001</v>
      </c>
      <c r="F197" s="1">
        <v>17.7</v>
      </c>
      <c r="G197" s="1" t="s">
        <v>225</v>
      </c>
      <c r="H197" s="66" t="s">
        <v>334</v>
      </c>
      <c r="I197" s="38">
        <v>13</v>
      </c>
      <c r="J197" s="4">
        <v>167</v>
      </c>
      <c r="K197" s="34">
        <v>0</v>
      </c>
      <c r="L197" s="4">
        <v>31.3</v>
      </c>
      <c r="M197" s="34">
        <v>0</v>
      </c>
      <c r="N197" s="4">
        <v>4.5</v>
      </c>
      <c r="O197" s="67">
        <v>1.2</v>
      </c>
      <c r="P197" s="3">
        <v>481</v>
      </c>
      <c r="Q197" s="3">
        <v>335</v>
      </c>
      <c r="R197" s="3">
        <v>19</v>
      </c>
      <c r="S197" s="3">
        <v>37</v>
      </c>
      <c r="T197" s="3">
        <v>253</v>
      </c>
      <c r="U197" s="3">
        <v>1.32</v>
      </c>
      <c r="V197" s="3">
        <v>2.19</v>
      </c>
      <c r="W197" s="68">
        <v>0</v>
      </c>
      <c r="X197" s="3">
        <v>0</v>
      </c>
      <c r="Y197" s="3">
        <v>7.0000000000000007E-2</v>
      </c>
      <c r="Z197" s="3">
        <v>0.16</v>
      </c>
      <c r="AA197" s="3">
        <v>17.7</v>
      </c>
      <c r="AB197" s="3">
        <v>0.31</v>
      </c>
      <c r="AC197" s="3">
        <v>23</v>
      </c>
      <c r="AD197" s="3">
        <v>0.38</v>
      </c>
      <c r="AE197" s="37">
        <v>0</v>
      </c>
      <c r="AF197" s="69">
        <v>0.57999999999999996</v>
      </c>
      <c r="AI197" s="1" t="s">
        <v>225</v>
      </c>
      <c r="AJ197" s="1" t="s">
        <v>1751</v>
      </c>
      <c r="AK197" s="66" t="s">
        <v>334</v>
      </c>
      <c r="AL197" s="749" t="s">
        <v>332</v>
      </c>
    </row>
    <row r="198" spans="1:38">
      <c r="A198" s="1" t="s">
        <v>3151</v>
      </c>
      <c r="B198" s="1">
        <v>485</v>
      </c>
      <c r="C198" s="1">
        <v>116</v>
      </c>
      <c r="D198" s="1">
        <v>0</v>
      </c>
      <c r="E198" s="1">
        <v>21.8</v>
      </c>
      <c r="F198" s="1">
        <v>3.2</v>
      </c>
      <c r="G198" s="1" t="s">
        <v>225</v>
      </c>
      <c r="H198" s="61" t="s">
        <v>2977</v>
      </c>
      <c r="I198" s="27">
        <v>13</v>
      </c>
      <c r="J198" s="29">
        <v>104</v>
      </c>
      <c r="K198" s="34">
        <v>0</v>
      </c>
      <c r="L198" s="29">
        <v>22.799999999999997</v>
      </c>
      <c r="M198" s="34">
        <v>0</v>
      </c>
      <c r="N198" s="29">
        <v>1.5</v>
      </c>
      <c r="O198" s="62">
        <v>0.28899999999999998</v>
      </c>
      <c r="P198" s="37">
        <v>63</v>
      </c>
      <c r="Q198" s="37">
        <v>220</v>
      </c>
      <c r="R198" s="37">
        <v>11</v>
      </c>
      <c r="S198" s="37">
        <v>25</v>
      </c>
      <c r="T198" s="37">
        <v>198</v>
      </c>
      <c r="U198" s="37">
        <v>0.9</v>
      </c>
      <c r="V198" s="37">
        <v>0.8</v>
      </c>
      <c r="W198" s="34">
        <v>0.1</v>
      </c>
      <c r="X198" s="34">
        <v>7</v>
      </c>
      <c r="Y198" s="34">
        <v>0.19</v>
      </c>
      <c r="Z198" s="34">
        <v>0.14000000000000001</v>
      </c>
      <c r="AA198" s="34">
        <v>15.9</v>
      </c>
      <c r="AB198" s="34">
        <v>0.82</v>
      </c>
      <c r="AC198" s="34">
        <v>23</v>
      </c>
      <c r="AD198" s="34">
        <v>0.28000000000000003</v>
      </c>
      <c r="AE198" s="34">
        <v>0</v>
      </c>
      <c r="AF198" s="34">
        <v>1.5</v>
      </c>
      <c r="AI198" s="1" t="s">
        <v>225</v>
      </c>
      <c r="AJ198" s="1" t="s">
        <v>1751</v>
      </c>
      <c r="AK198" s="61" t="s">
        <v>333</v>
      </c>
      <c r="AL198" s="749" t="s">
        <v>333</v>
      </c>
    </row>
    <row r="199" spans="1:38">
      <c r="A199" s="1233" t="s">
        <v>3444</v>
      </c>
      <c r="B199" s="1">
        <v>485</v>
      </c>
      <c r="C199" s="1">
        <v>116</v>
      </c>
      <c r="D199" s="1">
        <v>0</v>
      </c>
      <c r="E199" s="1">
        <v>21.8</v>
      </c>
      <c r="F199" s="1">
        <v>3.2</v>
      </c>
      <c r="G199" s="1" t="s">
        <v>225</v>
      </c>
      <c r="H199" s="61" t="s">
        <v>333</v>
      </c>
      <c r="I199" s="27">
        <v>22</v>
      </c>
      <c r="J199" s="29">
        <v>104</v>
      </c>
      <c r="K199" s="34">
        <v>0</v>
      </c>
      <c r="L199" s="29">
        <v>22.799999999999997</v>
      </c>
      <c r="M199" s="34">
        <v>0</v>
      </c>
      <c r="N199" s="29">
        <v>1.5</v>
      </c>
      <c r="O199" s="62">
        <v>0.28899999999999998</v>
      </c>
      <c r="P199" s="31">
        <v>33.799999999999997</v>
      </c>
      <c r="Q199" s="31">
        <v>392.00000000000006</v>
      </c>
      <c r="R199" s="31">
        <v>6.2</v>
      </c>
      <c r="S199" s="31">
        <v>30.1</v>
      </c>
      <c r="T199" s="31">
        <v>243</v>
      </c>
      <c r="U199" s="31">
        <v>0.64</v>
      </c>
      <c r="V199" s="31">
        <v>1</v>
      </c>
      <c r="W199" s="49">
        <v>0.1</v>
      </c>
      <c r="X199" s="49">
        <v>7</v>
      </c>
      <c r="Y199" s="49">
        <v>0.19</v>
      </c>
      <c r="Z199" s="49">
        <v>0.14000000000000001</v>
      </c>
      <c r="AA199" s="49">
        <v>15.9</v>
      </c>
      <c r="AB199" s="49">
        <v>0.82</v>
      </c>
      <c r="AC199" s="49">
        <v>23</v>
      </c>
      <c r="AD199" s="49">
        <v>0.28000000000000003</v>
      </c>
      <c r="AE199" s="49">
        <v>0</v>
      </c>
      <c r="AF199" s="49">
        <v>1.5</v>
      </c>
      <c r="AI199" s="1" t="s">
        <v>225</v>
      </c>
      <c r="AJ199" s="1" t="s">
        <v>1751</v>
      </c>
      <c r="AK199" s="61" t="s">
        <v>333</v>
      </c>
      <c r="AL199" s="749" t="s">
        <v>333</v>
      </c>
    </row>
    <row r="200" spans="1:38">
      <c r="A200" s="1" t="s">
        <v>1872</v>
      </c>
      <c r="B200" s="10">
        <v>954</v>
      </c>
      <c r="C200" s="1">
        <v>228</v>
      </c>
      <c r="D200" s="1">
        <v>1.8</v>
      </c>
      <c r="E200" s="1">
        <v>10.1</v>
      </c>
      <c r="F200" s="1">
        <v>20.100000000000001</v>
      </c>
      <c r="G200" s="1" t="s">
        <v>225</v>
      </c>
      <c r="H200" s="1" t="s">
        <v>96</v>
      </c>
      <c r="J200" s="1">
        <v>228</v>
      </c>
      <c r="K200" s="1">
        <v>1.8</v>
      </c>
      <c r="L200" s="1">
        <v>10.1</v>
      </c>
      <c r="M200" s="151">
        <v>-4.0000000000000001E-3</v>
      </c>
      <c r="N200" s="1">
        <v>20.100000000000001</v>
      </c>
      <c r="O200" s="34">
        <v>9</v>
      </c>
      <c r="P200" s="151">
        <v>-4.0000000000000001E-3</v>
      </c>
      <c r="Q200" s="151">
        <v>-4.0000000000000001E-3</v>
      </c>
      <c r="R200" s="151">
        <v>-4.0000000000000001E-3</v>
      </c>
      <c r="S200" s="151">
        <v>-4.0000000000000001E-3</v>
      </c>
      <c r="T200" s="151">
        <v>-4.0000000000000001E-3</v>
      </c>
      <c r="U200" s="151">
        <v>-4.0000000000000001E-3</v>
      </c>
      <c r="V200" s="151">
        <v>-4.0000000000000001E-3</v>
      </c>
      <c r="W200" s="151">
        <v>-4.0000000000000002E-4</v>
      </c>
      <c r="X200" s="151">
        <v>-4.0000000000000001E-3</v>
      </c>
      <c r="Y200" s="151">
        <v>-4.0000000000000001E-3</v>
      </c>
      <c r="Z200" s="151">
        <v>-4.0000000000000001E-3</v>
      </c>
      <c r="AA200" s="151">
        <v>-4.0000000000000001E-3</v>
      </c>
      <c r="AB200" s="151">
        <v>-4.0000000000000001E-3</v>
      </c>
      <c r="AC200" s="151">
        <v>-4.0000000000000001E-3</v>
      </c>
      <c r="AD200" s="151">
        <v>-4.0000000000000002E-4</v>
      </c>
      <c r="AE200" s="151">
        <v>-4.0000000000000001E-3</v>
      </c>
      <c r="AF200" s="151">
        <v>-4.0000000000000002E-4</v>
      </c>
      <c r="AI200" s="1" t="s">
        <v>225</v>
      </c>
      <c r="AJ200" s="1" t="s">
        <v>1751</v>
      </c>
      <c r="AK200" s="1" t="s">
        <v>96</v>
      </c>
      <c r="AL200" s="749" t="s">
        <v>1872</v>
      </c>
    </row>
    <row r="201" spans="1:38">
      <c r="A201" s="1" t="s">
        <v>1873</v>
      </c>
      <c r="B201" s="1">
        <v>2190</v>
      </c>
      <c r="C201" s="1">
        <v>523</v>
      </c>
      <c r="D201" s="1">
        <v>1</v>
      </c>
      <c r="E201" s="1">
        <v>17</v>
      </c>
      <c r="F201" s="1">
        <v>47</v>
      </c>
      <c r="G201" s="1" t="s">
        <v>225</v>
      </c>
      <c r="H201" s="1" t="s">
        <v>97</v>
      </c>
      <c r="J201" s="1">
        <v>523</v>
      </c>
      <c r="K201" s="1">
        <v>1</v>
      </c>
      <c r="L201" s="1">
        <v>17</v>
      </c>
      <c r="M201" s="151">
        <v>-4.0000000000000001E-3</v>
      </c>
      <c r="N201" s="1">
        <v>47</v>
      </c>
      <c r="O201" s="151">
        <v>-4.0000000000000001E-3</v>
      </c>
      <c r="P201" s="151">
        <v>-4.0000000000000001E-3</v>
      </c>
      <c r="Q201" s="151">
        <v>-4.0000000000000001E-3</v>
      </c>
      <c r="R201" s="151">
        <v>-4.0000000000000001E-3</v>
      </c>
      <c r="S201" s="151">
        <v>-4.0000000000000001E-3</v>
      </c>
      <c r="T201" s="151">
        <v>-4.0000000000000001E-3</v>
      </c>
      <c r="U201" s="151">
        <v>-4.0000000000000001E-3</v>
      </c>
      <c r="V201" s="151">
        <v>-4.0000000000000001E-3</v>
      </c>
      <c r="W201" s="151">
        <v>-4.0000000000000002E-4</v>
      </c>
      <c r="X201" s="151">
        <v>-4.0000000000000001E-3</v>
      </c>
      <c r="Y201" s="151">
        <v>-4.0000000000000001E-3</v>
      </c>
      <c r="Z201" s="151">
        <v>-4.0000000000000001E-3</v>
      </c>
      <c r="AA201" s="151">
        <v>-4.0000000000000001E-3</v>
      </c>
      <c r="AB201" s="151">
        <v>-4.0000000000000001E-3</v>
      </c>
      <c r="AC201" s="151">
        <v>-4.0000000000000001E-3</v>
      </c>
      <c r="AD201" s="151">
        <v>-4.0000000000000002E-4</v>
      </c>
      <c r="AE201" s="151">
        <v>-4.0000000000000001E-3</v>
      </c>
      <c r="AF201" s="151">
        <v>-4.0000000000000002E-4</v>
      </c>
      <c r="AI201" s="1" t="s">
        <v>225</v>
      </c>
      <c r="AJ201" s="1" t="s">
        <v>1751</v>
      </c>
      <c r="AK201" s="1" t="s">
        <v>97</v>
      </c>
      <c r="AL201" s="749" t="s">
        <v>1873</v>
      </c>
    </row>
    <row r="202" spans="1:38">
      <c r="A202" s="1" t="s">
        <v>1839</v>
      </c>
      <c r="B202" s="1">
        <v>823</v>
      </c>
      <c r="C202" s="1">
        <v>197</v>
      </c>
      <c r="D202" s="1">
        <v>0.7</v>
      </c>
      <c r="E202" s="1">
        <v>16.600000000000001</v>
      </c>
      <c r="F202" s="1">
        <v>13.8</v>
      </c>
      <c r="G202" s="1" t="s">
        <v>225</v>
      </c>
      <c r="H202" s="1" t="s">
        <v>98</v>
      </c>
      <c r="J202" s="1">
        <v>197</v>
      </c>
      <c r="K202" s="1">
        <v>0.7</v>
      </c>
      <c r="L202" s="1">
        <v>16.600000000000001</v>
      </c>
      <c r="M202" s="151">
        <v>-4.0000000000000001E-3</v>
      </c>
      <c r="N202" s="1">
        <v>13.8</v>
      </c>
      <c r="O202" s="151">
        <v>-4.0000000000000001E-3</v>
      </c>
      <c r="P202" s="151">
        <v>-4.0000000000000001E-3</v>
      </c>
      <c r="Q202" s="151">
        <v>-4.0000000000000001E-3</v>
      </c>
      <c r="R202" s="151">
        <v>-4.0000000000000001E-3</v>
      </c>
      <c r="S202" s="151">
        <v>-4.0000000000000001E-3</v>
      </c>
      <c r="T202" s="151">
        <v>-4.0000000000000001E-3</v>
      </c>
      <c r="U202" s="151">
        <v>-4.0000000000000001E-3</v>
      </c>
      <c r="V202" s="151">
        <v>-4.0000000000000001E-3</v>
      </c>
      <c r="W202" s="151">
        <v>-4.0000000000000002E-4</v>
      </c>
      <c r="X202" s="151">
        <v>-4.0000000000000001E-3</v>
      </c>
      <c r="Y202" s="151">
        <v>-4.0000000000000001E-3</v>
      </c>
      <c r="Z202" s="151">
        <v>-4.0000000000000001E-3</v>
      </c>
      <c r="AA202" s="151">
        <v>-4.0000000000000001E-3</v>
      </c>
      <c r="AB202" s="151">
        <v>-4.0000000000000001E-3</v>
      </c>
      <c r="AC202" s="151">
        <v>-4.0000000000000001E-3</v>
      </c>
      <c r="AD202" s="151">
        <v>-4.0000000000000002E-4</v>
      </c>
      <c r="AE202" s="151">
        <v>-4.0000000000000001E-3</v>
      </c>
      <c r="AF202" s="151">
        <v>-4.0000000000000002E-4</v>
      </c>
      <c r="AI202" s="1" t="s">
        <v>225</v>
      </c>
      <c r="AJ202" s="1" t="s">
        <v>1751</v>
      </c>
      <c r="AK202" s="1" t="s">
        <v>98</v>
      </c>
      <c r="AL202" s="749" t="s">
        <v>1839</v>
      </c>
    </row>
    <row r="203" spans="1:38">
      <c r="A203" s="749" t="s">
        <v>3184</v>
      </c>
      <c r="B203" s="1">
        <v>2115</v>
      </c>
      <c r="C203" s="1">
        <v>506</v>
      </c>
      <c r="D203" s="1">
        <v>0</v>
      </c>
      <c r="E203" s="1">
        <v>14</v>
      </c>
      <c r="F203" s="1">
        <v>50</v>
      </c>
      <c r="G203" s="1" t="s">
        <v>225</v>
      </c>
      <c r="H203" s="66" t="s">
        <v>343</v>
      </c>
      <c r="I203" s="47">
        <v>14</v>
      </c>
      <c r="J203" s="4">
        <v>794</v>
      </c>
      <c r="K203" s="34">
        <v>0.39</v>
      </c>
      <c r="L203" s="4">
        <v>2.5</v>
      </c>
      <c r="M203" s="34">
        <v>0</v>
      </c>
      <c r="N203" s="4">
        <v>88.7</v>
      </c>
      <c r="O203" s="67">
        <v>30.230000000000004</v>
      </c>
      <c r="P203" s="3">
        <v>22</v>
      </c>
      <c r="Q203" s="3">
        <v>45</v>
      </c>
      <c r="R203" s="3">
        <v>2</v>
      </c>
      <c r="S203" s="3">
        <v>3</v>
      </c>
      <c r="T203" s="3">
        <v>43</v>
      </c>
      <c r="U203" s="3">
        <v>0.5</v>
      </c>
      <c r="V203" s="3">
        <v>0.22000000000000003</v>
      </c>
      <c r="W203" s="68">
        <v>0.03</v>
      </c>
      <c r="X203" s="3">
        <v>5</v>
      </c>
      <c r="Y203" s="3">
        <v>0.2</v>
      </c>
      <c r="Z203" s="3">
        <v>0.08</v>
      </c>
      <c r="AA203" s="3">
        <v>1.6</v>
      </c>
      <c r="AB203" s="3">
        <v>0.2</v>
      </c>
      <c r="AC203" s="3">
        <v>1</v>
      </c>
      <c r="AD203" s="3">
        <v>0.18000000000000002</v>
      </c>
      <c r="AE203" s="3">
        <v>0.1</v>
      </c>
      <c r="AF203" s="69">
        <v>0</v>
      </c>
      <c r="AI203" s="1" t="s">
        <v>225</v>
      </c>
      <c r="AJ203" s="1" t="s">
        <v>1751</v>
      </c>
      <c r="AK203" s="66" t="s">
        <v>343</v>
      </c>
      <c r="AL203" s="749" t="s">
        <v>1840</v>
      </c>
    </row>
    <row r="204" spans="1:38">
      <c r="A204" s="749" t="s">
        <v>3185</v>
      </c>
      <c r="B204" s="1"/>
      <c r="C204" s="1"/>
      <c r="D204" s="1"/>
      <c r="E204" s="1"/>
      <c r="F204" s="1"/>
      <c r="G204" s="1" t="s">
        <v>225</v>
      </c>
      <c r="H204" s="395" t="s">
        <v>1525</v>
      </c>
      <c r="I204" s="47"/>
      <c r="J204" s="4">
        <v>417</v>
      </c>
      <c r="K204" s="4">
        <v>1.3</v>
      </c>
      <c r="L204" s="4">
        <v>12.6</v>
      </c>
      <c r="M204" s="4">
        <v>0</v>
      </c>
      <c r="N204" s="4">
        <v>39.700000000000003</v>
      </c>
      <c r="O204" s="4">
        <v>13.2</v>
      </c>
      <c r="P204" s="151">
        <v>-4.0000000000000001E-3</v>
      </c>
      <c r="Q204" s="3">
        <v>198</v>
      </c>
      <c r="R204" s="3">
        <v>5</v>
      </c>
      <c r="S204" s="3">
        <v>12</v>
      </c>
      <c r="T204" s="3">
        <v>144</v>
      </c>
      <c r="U204" s="3">
        <v>0.4</v>
      </c>
      <c r="V204" s="3">
        <v>1.2</v>
      </c>
      <c r="W204" s="37">
        <v>0.04</v>
      </c>
      <c r="X204" s="4">
        <v>37</v>
      </c>
      <c r="Y204" s="3">
        <v>0.3</v>
      </c>
      <c r="Z204" s="3">
        <v>0.08</v>
      </c>
      <c r="AA204" s="3">
        <v>4</v>
      </c>
      <c r="AB204" s="3">
        <v>0.3</v>
      </c>
      <c r="AC204" s="4">
        <v>-4.0000000000000002E-4</v>
      </c>
      <c r="AD204" s="3">
        <v>0.5</v>
      </c>
      <c r="AE204" s="4">
        <v>-4.0000000000000002E-4</v>
      </c>
      <c r="AF204" s="3">
        <v>0.6</v>
      </c>
      <c r="AI204" s="1" t="s">
        <v>225</v>
      </c>
      <c r="AJ204" s="1" t="s">
        <v>1751</v>
      </c>
      <c r="AK204" s="395" t="s">
        <v>1525</v>
      </c>
      <c r="AL204" s="749" t="s">
        <v>1525</v>
      </c>
    </row>
    <row r="205" spans="1:38">
      <c r="A205" s="749" t="s">
        <v>3186</v>
      </c>
      <c r="B205" s="1">
        <v>1337</v>
      </c>
      <c r="C205" s="1">
        <v>323</v>
      </c>
      <c r="D205" s="1">
        <v>2</v>
      </c>
      <c r="E205" s="1">
        <v>17.2</v>
      </c>
      <c r="F205" s="1">
        <v>27.3</v>
      </c>
      <c r="G205" s="1" t="s">
        <v>225</v>
      </c>
      <c r="H205" s="1" t="s">
        <v>758</v>
      </c>
      <c r="J205" s="1">
        <v>323</v>
      </c>
      <c r="K205" s="1">
        <v>2</v>
      </c>
      <c r="L205" s="1">
        <v>17.2</v>
      </c>
      <c r="M205" s="151">
        <v>-4.0000000000000001E-3</v>
      </c>
      <c r="N205" s="1">
        <v>27.3</v>
      </c>
      <c r="O205" s="151">
        <v>-4.0000000000000001E-3</v>
      </c>
      <c r="P205" s="151">
        <v>-4.0000000000000001E-3</v>
      </c>
      <c r="Q205" s="151">
        <v>-4.0000000000000001E-3</v>
      </c>
      <c r="R205" s="151">
        <v>-4.0000000000000001E-3</v>
      </c>
      <c r="S205" s="151">
        <v>-4.0000000000000001E-3</v>
      </c>
      <c r="T205" s="151">
        <v>-4.0000000000000001E-3</v>
      </c>
      <c r="U205" s="151">
        <v>-4.0000000000000001E-3</v>
      </c>
      <c r="V205" s="151">
        <v>-4.0000000000000001E-3</v>
      </c>
      <c r="W205" s="151">
        <v>-4.0000000000000002E-4</v>
      </c>
      <c r="X205" s="151">
        <v>-4.0000000000000001E-3</v>
      </c>
      <c r="Y205" s="151">
        <v>-4.0000000000000001E-3</v>
      </c>
      <c r="Z205" s="151">
        <v>-4.0000000000000001E-3</v>
      </c>
      <c r="AA205" s="151">
        <v>-4.0000000000000001E-3</v>
      </c>
      <c r="AB205" s="151">
        <v>-4.0000000000000001E-3</v>
      </c>
      <c r="AC205" s="151">
        <v>-4.0000000000000001E-3</v>
      </c>
      <c r="AD205" s="151">
        <v>-4.0000000000000002E-4</v>
      </c>
      <c r="AE205" s="151">
        <v>-4.0000000000000001E-3</v>
      </c>
      <c r="AF205" s="151">
        <v>-4.0000000000000002E-4</v>
      </c>
      <c r="AI205" s="1" t="s">
        <v>225</v>
      </c>
      <c r="AJ205" s="1" t="s">
        <v>1751</v>
      </c>
      <c r="AK205" s="1" t="s">
        <v>758</v>
      </c>
      <c r="AL205" s="749" t="s">
        <v>1841</v>
      </c>
    </row>
    <row r="206" spans="1:38">
      <c r="A206" s="1" t="s">
        <v>3469</v>
      </c>
      <c r="B206" s="1">
        <v>3277</v>
      </c>
      <c r="C206" s="1">
        <v>784</v>
      </c>
      <c r="D206" s="1">
        <v>0</v>
      </c>
      <c r="E206" s="1">
        <v>3.2</v>
      </c>
      <c r="F206" s="1">
        <v>85.4</v>
      </c>
      <c r="G206" s="1" t="s">
        <v>225</v>
      </c>
      <c r="H206" s="66" t="s">
        <v>343</v>
      </c>
      <c r="I206" s="47">
        <v>14</v>
      </c>
      <c r="J206" s="4">
        <v>794</v>
      </c>
      <c r="K206" s="34">
        <v>0.39</v>
      </c>
      <c r="L206" s="4">
        <v>2.5</v>
      </c>
      <c r="M206" s="34">
        <v>0</v>
      </c>
      <c r="N206" s="4">
        <v>88.7</v>
      </c>
      <c r="O206" s="67">
        <v>30.230000000000004</v>
      </c>
      <c r="P206" s="3">
        <v>22</v>
      </c>
      <c r="Q206" s="3">
        <v>45</v>
      </c>
      <c r="R206" s="3">
        <v>2</v>
      </c>
      <c r="S206" s="3">
        <v>3</v>
      </c>
      <c r="T206" s="3">
        <v>43</v>
      </c>
      <c r="U206" s="3">
        <v>0.5</v>
      </c>
      <c r="V206" s="3">
        <v>0.22000000000000003</v>
      </c>
      <c r="W206" s="68">
        <v>0.03</v>
      </c>
      <c r="X206" s="3">
        <v>5</v>
      </c>
      <c r="Y206" s="3">
        <v>0.2</v>
      </c>
      <c r="Z206" s="3">
        <v>0.08</v>
      </c>
      <c r="AA206" s="3">
        <v>1.6</v>
      </c>
      <c r="AB206" s="3">
        <v>0.2</v>
      </c>
      <c r="AC206" s="3">
        <v>1</v>
      </c>
      <c r="AD206" s="3">
        <v>0.18000000000000002</v>
      </c>
      <c r="AE206" s="3">
        <v>0.1</v>
      </c>
      <c r="AF206" s="69">
        <v>0</v>
      </c>
      <c r="AI206" s="1" t="s">
        <v>225</v>
      </c>
      <c r="AJ206" s="1" t="s">
        <v>1751</v>
      </c>
      <c r="AK206" s="66" t="s">
        <v>343</v>
      </c>
      <c r="AL206" s="749" t="s">
        <v>1840</v>
      </c>
    </row>
    <row r="207" spans="1:38">
      <c r="A207" s="1" t="s">
        <v>3187</v>
      </c>
      <c r="B207" s="1">
        <v>640</v>
      </c>
      <c r="C207" s="1">
        <v>153</v>
      </c>
      <c r="D207" s="1">
        <v>0</v>
      </c>
      <c r="E207" s="1">
        <v>28</v>
      </c>
      <c r="F207" s="1">
        <v>4.5999999999999996</v>
      </c>
      <c r="G207" s="1" t="s">
        <v>225</v>
      </c>
      <c r="H207" s="1" t="s">
        <v>99</v>
      </c>
      <c r="J207" s="1">
        <v>153</v>
      </c>
      <c r="K207" s="1">
        <v>0</v>
      </c>
      <c r="L207" s="1">
        <v>28</v>
      </c>
      <c r="M207" s="151">
        <v>-4.0000000000000001E-3</v>
      </c>
      <c r="N207" s="1">
        <v>4.5999999999999996</v>
      </c>
      <c r="O207" s="151">
        <v>-4.0000000000000001E-3</v>
      </c>
      <c r="P207" s="151">
        <v>-4.0000000000000001E-3</v>
      </c>
      <c r="Q207" s="151">
        <v>-4.0000000000000001E-3</v>
      </c>
      <c r="R207" s="151">
        <v>-4.0000000000000001E-3</v>
      </c>
      <c r="S207" s="151">
        <v>-4.0000000000000001E-3</v>
      </c>
      <c r="T207" s="151">
        <v>-4.0000000000000001E-3</v>
      </c>
      <c r="U207" s="151">
        <v>-4.0000000000000001E-3</v>
      </c>
      <c r="V207" s="151">
        <v>-4.0000000000000001E-3</v>
      </c>
      <c r="W207" s="151">
        <v>-4.0000000000000002E-4</v>
      </c>
      <c r="X207" s="151">
        <v>-4.0000000000000001E-3</v>
      </c>
      <c r="Y207" s="151">
        <v>-4.0000000000000001E-3</v>
      </c>
      <c r="Z207" s="151">
        <v>-4.0000000000000001E-3</v>
      </c>
      <c r="AA207" s="151">
        <v>-4.0000000000000001E-3</v>
      </c>
      <c r="AB207" s="151">
        <v>-4.0000000000000001E-3</v>
      </c>
      <c r="AC207" s="151">
        <v>-4.0000000000000001E-3</v>
      </c>
      <c r="AD207" s="151">
        <v>-4.0000000000000002E-4</v>
      </c>
      <c r="AE207" s="151">
        <v>-4.0000000000000001E-3</v>
      </c>
      <c r="AF207" s="151">
        <v>-4.0000000000000002E-4</v>
      </c>
      <c r="AI207" s="1" t="s">
        <v>225</v>
      </c>
      <c r="AJ207" s="1" t="s">
        <v>1751</v>
      </c>
      <c r="AK207" s="1" t="s">
        <v>99</v>
      </c>
      <c r="AL207" s="749" t="s">
        <v>1842</v>
      </c>
    </row>
    <row r="208" spans="1:38">
      <c r="A208" s="749" t="s">
        <v>3188</v>
      </c>
      <c r="B208" s="1">
        <v>1722</v>
      </c>
      <c r="C208" s="1">
        <v>412</v>
      </c>
      <c r="D208" s="1">
        <v>0</v>
      </c>
      <c r="E208" s="1">
        <v>21.1</v>
      </c>
      <c r="F208" s="1">
        <v>36.4</v>
      </c>
      <c r="G208" s="1" t="s">
        <v>225</v>
      </c>
      <c r="H208" s="1" t="s">
        <v>100</v>
      </c>
      <c r="J208" s="1">
        <v>412</v>
      </c>
      <c r="K208" s="1">
        <v>0</v>
      </c>
      <c r="L208" s="1">
        <v>21.1</v>
      </c>
      <c r="M208" s="151">
        <v>-4.0000000000000001E-3</v>
      </c>
      <c r="N208" s="1">
        <v>36.4</v>
      </c>
      <c r="O208" s="151">
        <v>-4.0000000000000001E-3</v>
      </c>
      <c r="P208" s="151">
        <v>-4.0000000000000001E-3</v>
      </c>
      <c r="Q208" s="151">
        <v>-4.0000000000000001E-3</v>
      </c>
      <c r="R208" s="151">
        <v>-4.0000000000000001E-3</v>
      </c>
      <c r="S208" s="151">
        <v>-4.0000000000000001E-3</v>
      </c>
      <c r="T208" s="151">
        <v>-4.0000000000000001E-3</v>
      </c>
      <c r="U208" s="151">
        <v>-4.0000000000000001E-3</v>
      </c>
      <c r="V208" s="151">
        <v>-4.0000000000000001E-3</v>
      </c>
      <c r="W208" s="151">
        <v>-4.0000000000000002E-4</v>
      </c>
      <c r="X208" s="151">
        <v>-4.0000000000000001E-3</v>
      </c>
      <c r="Y208" s="151">
        <v>-4.0000000000000001E-3</v>
      </c>
      <c r="Z208" s="151">
        <v>-4.0000000000000001E-3</v>
      </c>
      <c r="AA208" s="151">
        <v>-4.0000000000000001E-3</v>
      </c>
      <c r="AB208" s="151">
        <v>-4.0000000000000001E-3</v>
      </c>
      <c r="AC208" s="151">
        <v>-4.0000000000000001E-3</v>
      </c>
      <c r="AD208" s="151">
        <v>-4.0000000000000002E-4</v>
      </c>
      <c r="AE208" s="151">
        <v>-4.0000000000000001E-3</v>
      </c>
      <c r="AF208" s="151">
        <v>-4.0000000000000002E-4</v>
      </c>
      <c r="AI208" s="1" t="s">
        <v>225</v>
      </c>
      <c r="AJ208" s="1" t="s">
        <v>1751</v>
      </c>
      <c r="AK208" s="1" t="s">
        <v>100</v>
      </c>
      <c r="AL208" s="749" t="s">
        <v>1843</v>
      </c>
    </row>
    <row r="209" spans="1:38">
      <c r="A209" s="749" t="s">
        <v>3189</v>
      </c>
      <c r="B209" s="1">
        <v>1814</v>
      </c>
      <c r="C209" s="1">
        <v>434</v>
      </c>
      <c r="D209" s="1">
        <v>0</v>
      </c>
      <c r="E209" s="1">
        <v>22.8</v>
      </c>
      <c r="F209" s="1">
        <v>38.1</v>
      </c>
      <c r="G209" s="1" t="s">
        <v>225</v>
      </c>
      <c r="H209" s="1" t="s">
        <v>101</v>
      </c>
      <c r="J209" s="1">
        <v>434</v>
      </c>
      <c r="K209" s="1">
        <v>0</v>
      </c>
      <c r="L209" s="1">
        <v>22.8</v>
      </c>
      <c r="M209" s="151">
        <v>-4.0000000000000001E-3</v>
      </c>
      <c r="N209" s="1">
        <v>38.1</v>
      </c>
      <c r="O209" s="151">
        <v>-4.0000000000000001E-3</v>
      </c>
      <c r="P209" s="151">
        <v>-4.0000000000000001E-3</v>
      </c>
      <c r="Q209" s="151">
        <v>-4.0000000000000001E-3</v>
      </c>
      <c r="R209" s="151">
        <v>-4.0000000000000001E-3</v>
      </c>
      <c r="S209" s="151">
        <v>-4.0000000000000001E-3</v>
      </c>
      <c r="T209" s="151">
        <v>-4.0000000000000001E-3</v>
      </c>
      <c r="U209" s="151">
        <v>-4.0000000000000001E-3</v>
      </c>
      <c r="V209" s="151">
        <v>-4.0000000000000001E-3</v>
      </c>
      <c r="W209" s="151">
        <v>-4.0000000000000002E-4</v>
      </c>
      <c r="X209" s="151">
        <v>-4.0000000000000001E-3</v>
      </c>
      <c r="Y209" s="151">
        <v>-4.0000000000000001E-3</v>
      </c>
      <c r="Z209" s="151">
        <v>-4.0000000000000001E-3</v>
      </c>
      <c r="AA209" s="151">
        <v>-4.0000000000000001E-3</v>
      </c>
      <c r="AB209" s="151">
        <v>-4.0000000000000001E-3</v>
      </c>
      <c r="AC209" s="151">
        <v>-4.0000000000000001E-3</v>
      </c>
      <c r="AD209" s="151">
        <v>-4.0000000000000002E-4</v>
      </c>
      <c r="AE209" s="151">
        <v>-4.0000000000000001E-3</v>
      </c>
      <c r="AF209" s="151">
        <v>-4.0000000000000002E-4</v>
      </c>
      <c r="AI209" s="1" t="s">
        <v>225</v>
      </c>
      <c r="AJ209" s="1" t="s">
        <v>1751</v>
      </c>
      <c r="AK209" s="1" t="s">
        <v>101</v>
      </c>
      <c r="AL209" s="749" t="s">
        <v>1844</v>
      </c>
    </row>
    <row r="210" spans="1:38">
      <c r="A210" s="1" t="s">
        <v>3170</v>
      </c>
      <c r="B210" s="1">
        <v>1069</v>
      </c>
      <c r="C210" s="1">
        <v>258</v>
      </c>
      <c r="D210" s="1">
        <v>3</v>
      </c>
      <c r="E210" s="1">
        <v>12</v>
      </c>
      <c r="F210" s="1">
        <v>22</v>
      </c>
      <c r="G210" s="1" t="s">
        <v>225</v>
      </c>
      <c r="H210" s="1" t="s">
        <v>102</v>
      </c>
      <c r="J210" s="1">
        <v>258</v>
      </c>
      <c r="K210" s="1">
        <v>3</v>
      </c>
      <c r="L210" s="1">
        <v>12</v>
      </c>
      <c r="M210" s="151">
        <v>-4.0000000000000001E-3</v>
      </c>
      <c r="N210" s="1">
        <v>22</v>
      </c>
      <c r="O210" s="151">
        <v>-4.0000000000000001E-3</v>
      </c>
      <c r="P210" s="151">
        <v>-4.0000000000000001E-3</v>
      </c>
      <c r="Q210" s="151">
        <v>-4.0000000000000001E-3</v>
      </c>
      <c r="R210" s="151">
        <v>-4.0000000000000001E-3</v>
      </c>
      <c r="S210" s="151">
        <v>-4.0000000000000001E-3</v>
      </c>
      <c r="T210" s="151">
        <v>-4.0000000000000001E-3</v>
      </c>
      <c r="U210" s="151">
        <v>-4.0000000000000001E-3</v>
      </c>
      <c r="V210" s="151">
        <v>-4.0000000000000001E-3</v>
      </c>
      <c r="W210" s="151">
        <v>-4.0000000000000002E-4</v>
      </c>
      <c r="X210" s="151">
        <v>-4.0000000000000001E-3</v>
      </c>
      <c r="Y210" s="151">
        <v>-4.0000000000000001E-3</v>
      </c>
      <c r="Z210" s="151">
        <v>-4.0000000000000001E-3</v>
      </c>
      <c r="AA210" s="151">
        <v>-4.0000000000000001E-3</v>
      </c>
      <c r="AB210" s="151">
        <v>-4.0000000000000001E-3</v>
      </c>
      <c r="AC210" s="151">
        <v>-4.0000000000000001E-3</v>
      </c>
      <c r="AD210" s="151">
        <v>-4.0000000000000002E-4</v>
      </c>
      <c r="AE210" s="151">
        <v>-4.0000000000000001E-3</v>
      </c>
      <c r="AF210" s="151">
        <v>-4.0000000000000002E-4</v>
      </c>
      <c r="AI210" s="1" t="s">
        <v>225</v>
      </c>
      <c r="AJ210" s="1" t="s">
        <v>1751</v>
      </c>
      <c r="AK210" s="1" t="s">
        <v>102</v>
      </c>
      <c r="AL210" s="749" t="s">
        <v>1845</v>
      </c>
    </row>
    <row r="211" spans="1:38">
      <c r="A211" s="749" t="s">
        <v>3190</v>
      </c>
      <c r="B211" s="1">
        <v>321.5</v>
      </c>
      <c r="C211" s="1">
        <v>76</v>
      </c>
      <c r="D211" s="1">
        <v>3.1</v>
      </c>
      <c r="E211" s="1">
        <v>13.7</v>
      </c>
      <c r="F211" s="1">
        <v>1.2</v>
      </c>
      <c r="G211" s="1" t="s">
        <v>225</v>
      </c>
      <c r="H211" s="324" t="s">
        <v>2360</v>
      </c>
      <c r="J211" s="1">
        <v>129</v>
      </c>
      <c r="K211" s="1">
        <v>0.8</v>
      </c>
      <c r="L211" s="1">
        <v>15.6</v>
      </c>
      <c r="M211" s="151">
        <v>-4.0000000000000001E-3</v>
      </c>
      <c r="N211" s="1">
        <v>7.1</v>
      </c>
      <c r="O211" s="151">
        <v>-4.0000000000000001E-3</v>
      </c>
      <c r="P211" s="151">
        <v>-4.0000000000000001E-3</v>
      </c>
      <c r="Q211" s="151">
        <v>-4.0000000000000001E-3</v>
      </c>
      <c r="R211" s="151">
        <v>-4.0000000000000001E-3</v>
      </c>
      <c r="S211" s="151">
        <v>-4.0000000000000001E-3</v>
      </c>
      <c r="T211" s="151">
        <v>-4.0000000000000001E-3</v>
      </c>
      <c r="U211" s="151">
        <v>-4.0000000000000001E-3</v>
      </c>
      <c r="V211" s="151">
        <v>-4.0000000000000001E-3</v>
      </c>
      <c r="W211" s="151">
        <v>-4.0000000000000002E-4</v>
      </c>
      <c r="X211" s="151">
        <v>-4.0000000000000001E-3</v>
      </c>
      <c r="Y211" s="151">
        <v>-4.0000000000000001E-3</v>
      </c>
      <c r="Z211" s="151">
        <v>-4.0000000000000001E-3</v>
      </c>
      <c r="AA211" s="151">
        <v>-4.0000000000000001E-3</v>
      </c>
      <c r="AB211" s="151">
        <v>-4.0000000000000001E-3</v>
      </c>
      <c r="AC211" s="151">
        <v>-4.0000000000000001E-3</v>
      </c>
      <c r="AD211" s="151">
        <v>-4.0000000000000002E-4</v>
      </c>
      <c r="AE211" s="151">
        <v>-4.0000000000000001E-3</v>
      </c>
      <c r="AF211" s="151">
        <v>-4.0000000000000002E-4</v>
      </c>
      <c r="AI211" s="1" t="s">
        <v>225</v>
      </c>
      <c r="AJ211" s="1" t="s">
        <v>1751</v>
      </c>
      <c r="AK211" s="1" t="s">
        <v>103</v>
      </c>
      <c r="AL211" s="749" t="s">
        <v>1874</v>
      </c>
    </row>
    <row r="212" spans="1:38">
      <c r="A212" s="749" t="s">
        <v>3191</v>
      </c>
      <c r="B212" s="1">
        <v>321.5</v>
      </c>
      <c r="C212" s="1">
        <v>76</v>
      </c>
      <c r="D212" s="1">
        <v>3.1</v>
      </c>
      <c r="E212" s="1">
        <v>13.7</v>
      </c>
      <c r="F212" s="1">
        <v>1.2</v>
      </c>
      <c r="G212" s="1" t="s">
        <v>225</v>
      </c>
      <c r="H212" s="1" t="s">
        <v>103</v>
      </c>
      <c r="J212" s="1">
        <v>76</v>
      </c>
      <c r="K212" s="1">
        <v>3.1</v>
      </c>
      <c r="L212" s="1">
        <v>13.7</v>
      </c>
      <c r="M212" s="151">
        <v>-4.0000000000000001E-3</v>
      </c>
      <c r="N212" s="1">
        <v>1.2</v>
      </c>
      <c r="O212" s="151">
        <v>-4.0000000000000001E-3</v>
      </c>
      <c r="P212" s="151">
        <v>-4.0000000000000001E-3</v>
      </c>
      <c r="Q212" s="151">
        <v>-4.0000000000000001E-3</v>
      </c>
      <c r="R212" s="151">
        <v>-4.0000000000000001E-3</v>
      </c>
      <c r="S212" s="151">
        <v>-4.0000000000000001E-3</v>
      </c>
      <c r="T212" s="151">
        <v>-4.0000000000000001E-3</v>
      </c>
      <c r="U212" s="151">
        <v>-4.0000000000000001E-3</v>
      </c>
      <c r="V212" s="151">
        <v>-4.0000000000000001E-3</v>
      </c>
      <c r="W212" s="151">
        <v>-4.0000000000000002E-4</v>
      </c>
      <c r="X212" s="151">
        <v>-4.0000000000000001E-3</v>
      </c>
      <c r="Y212" s="151">
        <v>-4.0000000000000001E-3</v>
      </c>
      <c r="Z212" s="151">
        <v>-4.0000000000000001E-3</v>
      </c>
      <c r="AA212" s="151">
        <v>-4.0000000000000001E-3</v>
      </c>
      <c r="AB212" s="151">
        <v>-4.0000000000000001E-3</v>
      </c>
      <c r="AC212" s="151">
        <v>-4.0000000000000001E-3</v>
      </c>
      <c r="AD212" s="151">
        <v>-4.0000000000000002E-4</v>
      </c>
      <c r="AE212" s="151">
        <v>-4.0000000000000001E-3</v>
      </c>
      <c r="AF212" s="151">
        <v>-4.0000000000000002E-4</v>
      </c>
      <c r="AI212" s="1" t="s">
        <v>225</v>
      </c>
      <c r="AJ212" s="1" t="s">
        <v>1751</v>
      </c>
      <c r="AK212" s="1" t="s">
        <v>103</v>
      </c>
      <c r="AL212" s="749" t="s">
        <v>1874</v>
      </c>
    </row>
    <row r="213" spans="1:38">
      <c r="A213" s="749" t="s">
        <v>3192</v>
      </c>
      <c r="B213" s="1">
        <v>468</v>
      </c>
      <c r="C213" s="1">
        <v>112</v>
      </c>
      <c r="D213" s="1">
        <v>6.1</v>
      </c>
      <c r="E213" s="1">
        <v>8.1</v>
      </c>
      <c r="F213" s="1">
        <v>6.2</v>
      </c>
      <c r="G213" s="1" t="s">
        <v>225</v>
      </c>
      <c r="H213" s="1" t="s">
        <v>104</v>
      </c>
      <c r="J213" s="1">
        <v>112</v>
      </c>
      <c r="K213" s="1">
        <v>6.1</v>
      </c>
      <c r="L213" s="1">
        <v>8.1</v>
      </c>
      <c r="M213" s="151">
        <v>-4.0000000000000001E-3</v>
      </c>
      <c r="N213" s="1">
        <v>6.2</v>
      </c>
      <c r="O213" s="151">
        <v>-4.0000000000000001E-3</v>
      </c>
      <c r="P213" s="151">
        <v>-4.0000000000000001E-3</v>
      </c>
      <c r="Q213" s="151">
        <v>-4.0000000000000001E-3</v>
      </c>
      <c r="R213" s="151">
        <v>-4.0000000000000001E-3</v>
      </c>
      <c r="S213" s="151">
        <v>-4.0000000000000001E-3</v>
      </c>
      <c r="T213" s="151">
        <v>-4.0000000000000001E-3</v>
      </c>
      <c r="U213" s="151">
        <v>-4.0000000000000001E-3</v>
      </c>
      <c r="V213" s="151">
        <v>-4.0000000000000001E-3</v>
      </c>
      <c r="W213" s="151">
        <v>-4.0000000000000002E-4</v>
      </c>
      <c r="X213" s="151">
        <v>-4.0000000000000001E-3</v>
      </c>
      <c r="Y213" s="151">
        <v>-4.0000000000000001E-3</v>
      </c>
      <c r="Z213" s="151">
        <v>-4.0000000000000001E-3</v>
      </c>
      <c r="AA213" s="151">
        <v>-4.0000000000000001E-3</v>
      </c>
      <c r="AB213" s="151">
        <v>-4.0000000000000001E-3</v>
      </c>
      <c r="AC213" s="151">
        <v>-4.0000000000000001E-3</v>
      </c>
      <c r="AD213" s="151">
        <v>-4.0000000000000002E-4</v>
      </c>
      <c r="AE213" s="151">
        <v>-4.0000000000000001E-3</v>
      </c>
      <c r="AF213" s="151">
        <v>-4.0000000000000002E-4</v>
      </c>
      <c r="AI213" s="1" t="s">
        <v>225</v>
      </c>
      <c r="AJ213" s="1" t="s">
        <v>1751</v>
      </c>
      <c r="AK213" s="1" t="s">
        <v>104</v>
      </c>
      <c r="AL213" s="749" t="s">
        <v>1846</v>
      </c>
    </row>
    <row r="214" spans="1:38">
      <c r="A214" s="749" t="s">
        <v>3193</v>
      </c>
      <c r="B214" s="10">
        <v>1029.3</v>
      </c>
      <c r="C214" s="1">
        <v>246</v>
      </c>
      <c r="D214" s="16">
        <v>1</v>
      </c>
      <c r="E214" s="16">
        <v>13</v>
      </c>
      <c r="F214" s="16">
        <v>19</v>
      </c>
      <c r="G214" s="1" t="s">
        <v>225</v>
      </c>
      <c r="H214" s="71" t="s">
        <v>341</v>
      </c>
      <c r="I214" s="38">
        <v>13</v>
      </c>
      <c r="J214" s="40">
        <v>361</v>
      </c>
      <c r="K214" s="34">
        <v>0</v>
      </c>
      <c r="L214" s="40">
        <v>20.89</v>
      </c>
      <c r="M214" s="34">
        <v>0</v>
      </c>
      <c r="N214" s="40">
        <v>30.859999999999996</v>
      </c>
      <c r="O214" s="72">
        <v>9.2420000000000009</v>
      </c>
      <c r="P214" s="42">
        <v>91</v>
      </c>
      <c r="Q214" s="42">
        <v>265</v>
      </c>
      <c r="R214" s="42">
        <v>19</v>
      </c>
      <c r="S214" s="42">
        <v>18</v>
      </c>
      <c r="T214" s="42">
        <v>162</v>
      </c>
      <c r="U214" s="42">
        <v>1.43</v>
      </c>
      <c r="V214" s="42">
        <v>3.2600000000000002</v>
      </c>
      <c r="W214" s="73">
        <v>0.11400000000000002</v>
      </c>
      <c r="X214" s="37">
        <v>0.5</v>
      </c>
      <c r="Y214" s="42">
        <v>0.41799999999999998</v>
      </c>
      <c r="Z214" s="42">
        <v>0.32800000000000001</v>
      </c>
      <c r="AA214" s="37">
        <v>1.5827500000000001</v>
      </c>
      <c r="AB214" s="42">
        <v>0.59</v>
      </c>
      <c r="AC214" s="37">
        <v>0</v>
      </c>
      <c r="AD214" s="42">
        <v>0.45</v>
      </c>
      <c r="AE214" s="37">
        <v>0</v>
      </c>
      <c r="AF214" s="73">
        <v>2.2000000000000002</v>
      </c>
      <c r="AI214" s="1" t="s">
        <v>225</v>
      </c>
      <c r="AJ214" s="1" t="s">
        <v>1751</v>
      </c>
      <c r="AK214" s="71" t="s">
        <v>341</v>
      </c>
      <c r="AL214" s="749" t="s">
        <v>341</v>
      </c>
    </row>
    <row r="215" spans="1:38">
      <c r="A215" s="749" t="s">
        <v>3164</v>
      </c>
      <c r="B215" s="1">
        <v>1170</v>
      </c>
      <c r="C215" s="1">
        <v>280</v>
      </c>
      <c r="D215" s="1">
        <v>0</v>
      </c>
      <c r="E215" s="1">
        <v>16</v>
      </c>
      <c r="F215" s="1">
        <v>24</v>
      </c>
      <c r="G215" s="1" t="s">
        <v>225</v>
      </c>
      <c r="H215" s="61" t="s">
        <v>339</v>
      </c>
      <c r="I215" s="27">
        <v>13</v>
      </c>
      <c r="J215" s="29">
        <v>217</v>
      </c>
      <c r="K215" s="34">
        <v>0</v>
      </c>
      <c r="L215" s="29">
        <v>17.492000000000001</v>
      </c>
      <c r="M215" s="34">
        <v>0</v>
      </c>
      <c r="N215" s="29">
        <v>16.501999999999999</v>
      </c>
      <c r="O215" s="62">
        <v>6.4980000000000002</v>
      </c>
      <c r="P215" s="31">
        <v>74</v>
      </c>
      <c r="Q215" s="31">
        <v>291</v>
      </c>
      <c r="R215" s="31">
        <v>9</v>
      </c>
      <c r="S215" s="31">
        <v>25</v>
      </c>
      <c r="T215" s="31">
        <v>149</v>
      </c>
      <c r="U215" s="31">
        <v>1.8</v>
      </c>
      <c r="V215" s="31">
        <v>3.5</v>
      </c>
      <c r="W215" s="63">
        <v>0.1</v>
      </c>
      <c r="X215" s="31">
        <v>9</v>
      </c>
      <c r="Y215" s="31">
        <v>0.97499999999999998</v>
      </c>
      <c r="Z215" s="31">
        <v>0.19800000000000001</v>
      </c>
      <c r="AA215" s="31">
        <v>7.9329999999999998</v>
      </c>
      <c r="AB215" s="31">
        <v>0.39200000000000002</v>
      </c>
      <c r="AC215" s="31">
        <v>1</v>
      </c>
      <c r="AD215" s="31">
        <v>0.6</v>
      </c>
      <c r="AE215" s="151">
        <v>-4.0000000000000001E-3</v>
      </c>
      <c r="AF215" s="151">
        <v>-4.0000000000000002E-4</v>
      </c>
      <c r="AI215" s="1" t="s">
        <v>225</v>
      </c>
      <c r="AJ215" s="1" t="s">
        <v>1751</v>
      </c>
      <c r="AK215" s="61" t="s">
        <v>339</v>
      </c>
      <c r="AL215" s="749" t="s">
        <v>339</v>
      </c>
    </row>
    <row r="216" spans="1:38">
      <c r="A216" s="1" t="s">
        <v>3153</v>
      </c>
      <c r="B216" s="1">
        <v>502</v>
      </c>
      <c r="C216" s="1">
        <v>120</v>
      </c>
      <c r="D216" s="1">
        <v>0</v>
      </c>
      <c r="E216" s="1">
        <v>21</v>
      </c>
      <c r="F216" s="1">
        <v>3.4</v>
      </c>
      <c r="G216" s="1" t="s">
        <v>225</v>
      </c>
      <c r="H216" s="71" t="s">
        <v>342</v>
      </c>
      <c r="I216" s="38">
        <v>13</v>
      </c>
      <c r="J216" s="40">
        <v>285</v>
      </c>
      <c r="K216" s="40">
        <v>0.2</v>
      </c>
      <c r="L216" s="40">
        <v>23.357000000000003</v>
      </c>
      <c r="M216" s="34">
        <v>0</v>
      </c>
      <c r="N216" s="40">
        <v>21.565999999999999</v>
      </c>
      <c r="O216" s="75">
        <v>3</v>
      </c>
      <c r="P216" s="42">
        <v>88</v>
      </c>
      <c r="Q216" s="42">
        <v>319</v>
      </c>
      <c r="R216" s="42">
        <v>12</v>
      </c>
      <c r="S216" s="42">
        <v>30</v>
      </c>
      <c r="T216" s="42">
        <v>178</v>
      </c>
      <c r="U216" s="42">
        <v>2.4</v>
      </c>
      <c r="V216" s="42">
        <v>4.6410000000000009</v>
      </c>
      <c r="W216" s="73">
        <v>0.127</v>
      </c>
      <c r="X216" s="42">
        <v>10</v>
      </c>
      <c r="Y216" s="42">
        <v>0.94599999999999995</v>
      </c>
      <c r="Z216" s="42">
        <v>0.254</v>
      </c>
      <c r="AA216" s="42">
        <v>9.66</v>
      </c>
      <c r="AB216" s="42">
        <v>0.36000000000000004</v>
      </c>
      <c r="AC216" s="42">
        <v>1</v>
      </c>
      <c r="AD216" s="42">
        <v>0.7</v>
      </c>
      <c r="AE216" s="43">
        <v>0</v>
      </c>
      <c r="AF216" s="73">
        <v>0.37</v>
      </c>
      <c r="AI216" s="1" t="s">
        <v>225</v>
      </c>
      <c r="AJ216" s="1" t="s">
        <v>1751</v>
      </c>
      <c r="AK216" s="71" t="s">
        <v>342</v>
      </c>
      <c r="AL216" s="749" t="s">
        <v>342</v>
      </c>
    </row>
    <row r="217" spans="1:38">
      <c r="A217" s="1" t="s">
        <v>3171</v>
      </c>
      <c r="B217" s="1"/>
      <c r="C217" s="1"/>
      <c r="D217" s="1"/>
      <c r="E217" s="1"/>
      <c r="F217" s="1"/>
      <c r="G217" s="1" t="s">
        <v>225</v>
      </c>
      <c r="H217" s="329" t="s">
        <v>1526</v>
      </c>
      <c r="I217" s="27"/>
      <c r="J217" s="4">
        <v>230</v>
      </c>
      <c r="K217" s="4">
        <v>0</v>
      </c>
      <c r="L217" s="4">
        <v>25</v>
      </c>
      <c r="M217" s="4"/>
      <c r="N217" s="4">
        <v>15</v>
      </c>
      <c r="O217" s="67"/>
      <c r="P217" s="3"/>
      <c r="Q217" s="3"/>
      <c r="R217" s="31"/>
      <c r="S217" s="31"/>
      <c r="T217" s="31"/>
      <c r="U217" s="31"/>
      <c r="V217" s="31"/>
      <c r="W217" s="63"/>
      <c r="X217" s="31"/>
      <c r="Y217" s="31"/>
      <c r="Z217" s="31"/>
      <c r="AA217" s="31"/>
      <c r="AB217" s="31"/>
      <c r="AC217" s="31"/>
      <c r="AD217" s="31"/>
      <c r="AE217" s="151"/>
      <c r="AF217" s="151"/>
      <c r="AI217" s="1" t="s">
        <v>225</v>
      </c>
      <c r="AJ217" s="1" t="s">
        <v>1751</v>
      </c>
      <c r="AK217" s="329" t="s">
        <v>1526</v>
      </c>
      <c r="AL217" s="749" t="s">
        <v>1526</v>
      </c>
    </row>
    <row r="218" spans="1:38">
      <c r="A218" s="1" t="s">
        <v>3466</v>
      </c>
      <c r="B218" s="1">
        <v>1431</v>
      </c>
      <c r="C218" s="1">
        <v>342</v>
      </c>
      <c r="D218" s="1">
        <v>1.7</v>
      </c>
      <c r="E218" s="1">
        <v>13.3</v>
      </c>
      <c r="F218" s="1">
        <v>30.9</v>
      </c>
      <c r="G218" s="1" t="s">
        <v>225</v>
      </c>
      <c r="H218" s="66" t="s">
        <v>336</v>
      </c>
      <c r="I218" s="47">
        <v>13</v>
      </c>
      <c r="J218" s="34">
        <v>186.85</v>
      </c>
      <c r="K218" s="34">
        <v>0.34300000000000003</v>
      </c>
      <c r="L218" s="34">
        <v>15.4278</v>
      </c>
      <c r="M218" s="34">
        <v>0</v>
      </c>
      <c r="N218" s="34">
        <v>13.714</v>
      </c>
      <c r="O218" s="74">
        <v>5.0000000000000009</v>
      </c>
      <c r="P218" s="3">
        <v>741</v>
      </c>
      <c r="Q218" s="3">
        <v>274.00000000000006</v>
      </c>
      <c r="R218" s="3">
        <v>18</v>
      </c>
      <c r="S218" s="3">
        <v>23</v>
      </c>
      <c r="T218" s="3">
        <v>138</v>
      </c>
      <c r="U218" s="3">
        <v>1</v>
      </c>
      <c r="V218" s="3">
        <v>1</v>
      </c>
      <c r="W218" s="69">
        <v>3.2000000000000001E-2</v>
      </c>
      <c r="X218" s="37">
        <v>0</v>
      </c>
      <c r="Y218" s="37">
        <v>0.28460000000000002</v>
      </c>
      <c r="Z218" s="37">
        <v>0.28970000000000001</v>
      </c>
      <c r="AA218" s="37">
        <v>5.4992000000000001</v>
      </c>
      <c r="AB218" s="37">
        <v>0.4723</v>
      </c>
      <c r="AC218" s="37">
        <v>1.7141999999999999</v>
      </c>
      <c r="AD218" s="37">
        <v>0.62570000000000003</v>
      </c>
      <c r="AE218" s="37">
        <v>0</v>
      </c>
      <c r="AF218" s="68">
        <v>0.36430000000000001</v>
      </c>
      <c r="AI218" s="1" t="s">
        <v>225</v>
      </c>
      <c r="AJ218" s="1" t="s">
        <v>1751</v>
      </c>
      <c r="AK218" s="66" t="s">
        <v>336</v>
      </c>
      <c r="AL218" s="749" t="s">
        <v>336</v>
      </c>
    </row>
    <row r="219" spans="1:38">
      <c r="A219" s="1" t="s">
        <v>3154</v>
      </c>
      <c r="B219" s="1">
        <v>502</v>
      </c>
      <c r="C219" s="1">
        <v>120</v>
      </c>
      <c r="D219" s="1">
        <v>0</v>
      </c>
      <c r="E219" s="1">
        <v>21</v>
      </c>
      <c r="F219" s="1">
        <v>3.4</v>
      </c>
      <c r="G219" s="1" t="s">
        <v>225</v>
      </c>
      <c r="H219" s="71" t="s">
        <v>342</v>
      </c>
      <c r="I219" s="38">
        <v>13</v>
      </c>
      <c r="J219" s="40">
        <v>285</v>
      </c>
      <c r="K219" s="40">
        <v>0.2</v>
      </c>
      <c r="L219" s="40">
        <v>23.357000000000003</v>
      </c>
      <c r="M219" s="34">
        <v>0</v>
      </c>
      <c r="N219" s="40">
        <v>21.565999999999999</v>
      </c>
      <c r="O219" s="75">
        <v>3</v>
      </c>
      <c r="P219" s="42">
        <v>88</v>
      </c>
      <c r="Q219" s="42">
        <v>319</v>
      </c>
      <c r="R219" s="42">
        <v>12</v>
      </c>
      <c r="S219" s="42">
        <v>30</v>
      </c>
      <c r="T219" s="42">
        <v>178</v>
      </c>
      <c r="U219" s="42">
        <v>2.4</v>
      </c>
      <c r="V219" s="42">
        <v>4.6410000000000009</v>
      </c>
      <c r="W219" s="73">
        <v>0.127</v>
      </c>
      <c r="X219" s="42">
        <v>10</v>
      </c>
      <c r="Y219" s="42">
        <v>0.94599999999999995</v>
      </c>
      <c r="Z219" s="42">
        <v>0.254</v>
      </c>
      <c r="AA219" s="42">
        <v>9.66</v>
      </c>
      <c r="AB219" s="42">
        <v>0.36000000000000004</v>
      </c>
      <c r="AC219" s="42">
        <v>1</v>
      </c>
      <c r="AD219" s="42">
        <v>0.7</v>
      </c>
      <c r="AE219" s="43">
        <v>0</v>
      </c>
      <c r="AF219" s="73">
        <v>0.37</v>
      </c>
      <c r="AI219" s="1" t="s">
        <v>225</v>
      </c>
      <c r="AJ219" s="1" t="s">
        <v>1751</v>
      </c>
      <c r="AK219" s="71" t="s">
        <v>342</v>
      </c>
      <c r="AL219" s="749" t="s">
        <v>342</v>
      </c>
    </row>
    <row r="220" spans="1:38">
      <c r="A220" s="325" t="s">
        <v>3155</v>
      </c>
      <c r="B220" s="10">
        <v>1673.6</v>
      </c>
      <c r="C220" s="1">
        <v>400</v>
      </c>
      <c r="D220" s="1">
        <v>9.8000000000000007</v>
      </c>
      <c r="E220" s="1">
        <v>18.8</v>
      </c>
      <c r="F220" s="1">
        <v>32.1</v>
      </c>
      <c r="G220" s="1" t="s">
        <v>225</v>
      </c>
      <c r="H220" s="64" t="s">
        <v>3024</v>
      </c>
      <c r="I220" s="47">
        <v>22</v>
      </c>
      <c r="J220" s="49">
        <v>241.70000000000002</v>
      </c>
      <c r="K220" s="49">
        <v>0.4</v>
      </c>
      <c r="L220" s="49">
        <v>17.5</v>
      </c>
      <c r="M220" s="34">
        <v>0</v>
      </c>
      <c r="N220" s="49">
        <v>18.899999999999999</v>
      </c>
      <c r="O220" s="65">
        <v>7.2499999999999991</v>
      </c>
      <c r="P220" s="49">
        <v>51</v>
      </c>
      <c r="Q220" s="49">
        <v>241.99999999999997</v>
      </c>
      <c r="R220" s="49">
        <v>7.5</v>
      </c>
      <c r="S220" s="49">
        <v>21</v>
      </c>
      <c r="T220" s="49">
        <v>164</v>
      </c>
      <c r="U220" s="49">
        <v>1.4</v>
      </c>
      <c r="V220" s="1234">
        <v>2.5</v>
      </c>
      <c r="W220" s="1234">
        <v>0.05</v>
      </c>
      <c r="X220" s="1234">
        <v>2</v>
      </c>
      <c r="Y220" s="49">
        <v>0.505</v>
      </c>
      <c r="Z220" s="49">
        <v>0.14000000000000001</v>
      </c>
      <c r="AA220" s="49">
        <v>2.8</v>
      </c>
      <c r="AB220" s="1234">
        <v>0.43</v>
      </c>
      <c r="AC220" s="49">
        <v>3</v>
      </c>
      <c r="AD220" s="49">
        <v>1</v>
      </c>
      <c r="AE220" s="1234">
        <v>0.67</v>
      </c>
      <c r="AF220" s="1234">
        <v>0.5</v>
      </c>
      <c r="AI220" s="1" t="s">
        <v>225</v>
      </c>
      <c r="AJ220" s="1" t="s">
        <v>1751</v>
      </c>
      <c r="AK220" s="64" t="s">
        <v>338</v>
      </c>
      <c r="AL220" s="749" t="s">
        <v>1847</v>
      </c>
    </row>
    <row r="221" spans="1:38">
      <c r="A221" s="1" t="s">
        <v>3156</v>
      </c>
      <c r="B221" s="1">
        <v>502</v>
      </c>
      <c r="C221" s="1">
        <v>120</v>
      </c>
      <c r="D221" s="1">
        <v>0</v>
      </c>
      <c r="E221" s="1">
        <v>21</v>
      </c>
      <c r="F221" s="1">
        <v>3.4</v>
      </c>
      <c r="G221" s="1" t="s">
        <v>225</v>
      </c>
      <c r="H221" s="71" t="s">
        <v>342</v>
      </c>
      <c r="I221" s="38">
        <v>13</v>
      </c>
      <c r="J221" s="40">
        <v>285</v>
      </c>
      <c r="K221" s="40">
        <v>0.2</v>
      </c>
      <c r="L221" s="40">
        <v>23.357000000000003</v>
      </c>
      <c r="M221" s="34">
        <v>0</v>
      </c>
      <c r="N221" s="40">
        <v>21.565999999999999</v>
      </c>
      <c r="O221" s="75">
        <v>3</v>
      </c>
      <c r="P221" s="42">
        <v>88</v>
      </c>
      <c r="Q221" s="42">
        <v>319</v>
      </c>
      <c r="R221" s="42">
        <v>12</v>
      </c>
      <c r="S221" s="42">
        <v>30</v>
      </c>
      <c r="T221" s="42">
        <v>178</v>
      </c>
      <c r="U221" s="42">
        <v>2.4</v>
      </c>
      <c r="V221" s="42">
        <v>4.6410000000000009</v>
      </c>
      <c r="W221" s="73">
        <v>0.127</v>
      </c>
      <c r="X221" s="42">
        <v>10</v>
      </c>
      <c r="Y221" s="42">
        <v>0.94599999999999995</v>
      </c>
      <c r="Z221" s="42">
        <v>0.254</v>
      </c>
      <c r="AA221" s="42">
        <v>9.66</v>
      </c>
      <c r="AB221" s="42">
        <v>0.36000000000000004</v>
      </c>
      <c r="AC221" s="42">
        <v>1</v>
      </c>
      <c r="AD221" s="42">
        <v>0.7</v>
      </c>
      <c r="AE221" s="43">
        <v>0</v>
      </c>
      <c r="AF221" s="73">
        <v>0.37</v>
      </c>
      <c r="AI221" s="1" t="s">
        <v>225</v>
      </c>
      <c r="AJ221" s="1" t="s">
        <v>1751</v>
      </c>
      <c r="AK221" s="71" t="s">
        <v>342</v>
      </c>
      <c r="AL221" s="749" t="s">
        <v>342</v>
      </c>
    </row>
    <row r="222" spans="1:38">
      <c r="A222" s="749" t="s">
        <v>3183</v>
      </c>
      <c r="B222" s="1"/>
      <c r="C222" s="1"/>
      <c r="D222" s="1"/>
      <c r="E222" s="1"/>
      <c r="F222" s="1"/>
      <c r="G222" s="1" t="s">
        <v>225</v>
      </c>
      <c r="H222" s="71" t="s">
        <v>2833</v>
      </c>
      <c r="I222" s="38"/>
      <c r="J222" s="4">
        <v>113</v>
      </c>
      <c r="K222" s="34">
        <v>0.3</v>
      </c>
      <c r="L222" s="4">
        <v>21.2</v>
      </c>
      <c r="M222" s="34">
        <v>0</v>
      </c>
      <c r="N222" s="4">
        <v>3.5</v>
      </c>
      <c r="O222" s="67">
        <v>1.36</v>
      </c>
      <c r="P222" s="3">
        <v>61</v>
      </c>
      <c r="Q222" s="3">
        <v>338</v>
      </c>
      <c r="R222" s="3">
        <v>7.7</v>
      </c>
      <c r="S222" s="3">
        <v>26</v>
      </c>
      <c r="T222" s="3">
        <v>208</v>
      </c>
      <c r="U222" s="3">
        <v>0.46700000000000003</v>
      </c>
      <c r="V222" s="34">
        <v>1.28</v>
      </c>
      <c r="W222" s="34">
        <v>0.04</v>
      </c>
      <c r="X222" s="151">
        <v>-4.0000000000000001E-3</v>
      </c>
      <c r="Y222" s="37">
        <v>1.04</v>
      </c>
      <c r="Z222" s="37">
        <v>0.105</v>
      </c>
      <c r="AA222" s="37">
        <v>11.2</v>
      </c>
      <c r="AB222" s="37">
        <v>0.3</v>
      </c>
      <c r="AC222" s="37">
        <v>0.66</v>
      </c>
      <c r="AD222" s="37">
        <v>0.4</v>
      </c>
      <c r="AE222" s="37">
        <v>27</v>
      </c>
      <c r="AF222" s="68">
        <v>0.43</v>
      </c>
      <c r="AI222" s="1"/>
      <c r="AJ222" s="1"/>
      <c r="AK222" s="71"/>
    </row>
    <row r="223" spans="1:38">
      <c r="A223" s="1233" t="s">
        <v>3194</v>
      </c>
      <c r="B223" s="1">
        <v>1881</v>
      </c>
      <c r="C223" s="1">
        <v>450</v>
      </c>
      <c r="D223" s="1">
        <v>1.4</v>
      </c>
      <c r="E223" s="1">
        <v>20.8</v>
      </c>
      <c r="F223" s="1">
        <v>40.200000000000003</v>
      </c>
      <c r="G223" s="1" t="s">
        <v>225</v>
      </c>
      <c r="H223" s="71" t="s">
        <v>341</v>
      </c>
      <c r="I223" s="38">
        <v>22</v>
      </c>
      <c r="J223" s="40">
        <v>361</v>
      </c>
      <c r="K223" s="34">
        <v>0</v>
      </c>
      <c r="L223" s="40">
        <v>20.89</v>
      </c>
      <c r="M223" s="34">
        <v>0</v>
      </c>
      <c r="N223" s="40">
        <v>30.859999999999996</v>
      </c>
      <c r="O223" s="72">
        <v>9.2420000000000009</v>
      </c>
      <c r="P223" s="42">
        <v>91</v>
      </c>
      <c r="Q223" s="42">
        <v>265</v>
      </c>
      <c r="R223" s="42">
        <v>19</v>
      </c>
      <c r="S223" s="42">
        <v>18</v>
      </c>
      <c r="T223" s="42">
        <v>162</v>
      </c>
      <c r="U223" s="42">
        <v>1.43</v>
      </c>
      <c r="V223" s="42">
        <v>3.2600000000000002</v>
      </c>
      <c r="W223" s="73">
        <v>0.11400000000000002</v>
      </c>
      <c r="X223" s="37">
        <v>0.5</v>
      </c>
      <c r="Y223" s="42">
        <v>0.41799999999999998</v>
      </c>
      <c r="Z223" s="42">
        <v>0.32800000000000001</v>
      </c>
      <c r="AA223" s="37">
        <v>1.5827500000000001</v>
      </c>
      <c r="AB223" s="42">
        <v>0.59</v>
      </c>
      <c r="AC223" s="37">
        <v>0</v>
      </c>
      <c r="AD223" s="42">
        <v>0.45</v>
      </c>
      <c r="AE223" s="37">
        <v>0</v>
      </c>
      <c r="AF223" s="73">
        <v>2.2000000000000002</v>
      </c>
      <c r="AI223" s="1" t="s">
        <v>225</v>
      </c>
      <c r="AJ223" s="1" t="s">
        <v>1751</v>
      </c>
      <c r="AK223" s="71" t="s">
        <v>341</v>
      </c>
      <c r="AL223" s="749" t="s">
        <v>341</v>
      </c>
    </row>
    <row r="224" spans="1:38">
      <c r="A224" s="1233" t="s">
        <v>3157</v>
      </c>
      <c r="B224" s="1"/>
      <c r="C224" s="77">
        <v>270.10000000000002</v>
      </c>
      <c r="D224" s="76">
        <v>1.6999999999999997</v>
      </c>
      <c r="E224" s="76">
        <v>15.200000000000001</v>
      </c>
      <c r="F224" s="76">
        <v>20</v>
      </c>
      <c r="G224" s="1" t="s">
        <v>225</v>
      </c>
      <c r="H224" s="64" t="s">
        <v>3025</v>
      </c>
      <c r="I224" s="47">
        <v>22</v>
      </c>
      <c r="J224" s="49">
        <v>270.10000000000002</v>
      </c>
      <c r="K224" s="49">
        <v>1.6999999999999997</v>
      </c>
      <c r="L224" s="49">
        <v>15.200000000000001</v>
      </c>
      <c r="M224" s="34">
        <v>0</v>
      </c>
      <c r="N224" s="49">
        <v>20</v>
      </c>
      <c r="O224" s="65">
        <v>8.6</v>
      </c>
      <c r="P224" s="1234">
        <v>56</v>
      </c>
      <c r="Q224" s="1234">
        <v>287</v>
      </c>
      <c r="R224" s="49">
        <v>21</v>
      </c>
      <c r="S224" s="1234">
        <v>19</v>
      </c>
      <c r="T224" s="1234">
        <v>175</v>
      </c>
      <c r="U224" s="49">
        <v>1.4000000000000001</v>
      </c>
      <c r="V224" s="1234">
        <v>2.2000000000000002</v>
      </c>
      <c r="W224" s="1234">
        <v>4.4999999999999998E-2</v>
      </c>
      <c r="X224" s="1234">
        <v>2</v>
      </c>
      <c r="Y224" s="49">
        <v>0.28999999999999998</v>
      </c>
      <c r="Z224" s="49">
        <v>0.21</v>
      </c>
      <c r="AA224" s="49">
        <v>2.6999999999999997</v>
      </c>
      <c r="AB224" s="1234">
        <v>0.38300000000000001</v>
      </c>
      <c r="AC224" s="1234">
        <v>5</v>
      </c>
      <c r="AD224" s="1234">
        <v>0.7</v>
      </c>
      <c r="AE224" s="1234">
        <v>0.7</v>
      </c>
      <c r="AF224" s="1234">
        <v>0.5</v>
      </c>
      <c r="AI224" s="1" t="s">
        <v>225</v>
      </c>
      <c r="AJ224" s="1" t="s">
        <v>1751</v>
      </c>
      <c r="AK224" s="64" t="s">
        <v>340</v>
      </c>
      <c r="AL224" s="749" t="s">
        <v>340</v>
      </c>
    </row>
    <row r="225" spans="1:38">
      <c r="A225" s="749" t="s">
        <v>3195</v>
      </c>
      <c r="B225" s="1">
        <v>1163</v>
      </c>
      <c r="C225" s="1">
        <v>281</v>
      </c>
      <c r="D225" s="1">
        <v>1</v>
      </c>
      <c r="E225" s="1">
        <v>13</v>
      </c>
      <c r="F225" s="1">
        <v>25</v>
      </c>
      <c r="G225" s="1" t="s">
        <v>226</v>
      </c>
      <c r="H225" s="1" t="s">
        <v>1375</v>
      </c>
      <c r="J225" s="1">
        <v>281</v>
      </c>
      <c r="K225" s="1">
        <v>1</v>
      </c>
      <c r="L225" s="1">
        <v>13</v>
      </c>
      <c r="M225" s="151">
        <v>-4.0000000000000001E-3</v>
      </c>
      <c r="N225" s="1">
        <v>25</v>
      </c>
      <c r="O225" s="4">
        <v>9</v>
      </c>
      <c r="P225" s="4">
        <v>786</v>
      </c>
      <c r="Q225" s="151">
        <v>-4.0000000000000001E-3</v>
      </c>
      <c r="R225" s="151">
        <v>-4.0000000000000001E-3</v>
      </c>
      <c r="S225" s="151">
        <v>-4.0000000000000001E-3</v>
      </c>
      <c r="T225" s="151">
        <v>-4.0000000000000001E-3</v>
      </c>
      <c r="U225" s="151">
        <v>-4.0000000000000001E-3</v>
      </c>
      <c r="V225" s="151">
        <v>-4.0000000000000001E-3</v>
      </c>
      <c r="W225" s="151">
        <v>-4.0000000000000002E-4</v>
      </c>
      <c r="X225" s="151">
        <v>-4.0000000000000001E-3</v>
      </c>
      <c r="Y225" s="151">
        <v>-4.0000000000000001E-3</v>
      </c>
      <c r="Z225" s="151">
        <v>-4.0000000000000001E-3</v>
      </c>
      <c r="AA225" s="151">
        <v>-4.0000000000000001E-3</v>
      </c>
      <c r="AB225" s="151">
        <v>-4.0000000000000001E-3</v>
      </c>
      <c r="AC225" s="151">
        <v>-4.0000000000000001E-3</v>
      </c>
      <c r="AD225" s="151">
        <v>-4.0000000000000002E-4</v>
      </c>
      <c r="AE225" s="151">
        <v>-4.0000000000000001E-3</v>
      </c>
      <c r="AF225" s="151">
        <v>-4.0000000000000002E-4</v>
      </c>
      <c r="AI225" s="1" t="s">
        <v>226</v>
      </c>
      <c r="AJ225" s="1" t="s">
        <v>1751</v>
      </c>
      <c r="AK225" s="1" t="s">
        <v>1375</v>
      </c>
      <c r="AL225" s="749" t="s">
        <v>1848</v>
      </c>
    </row>
    <row r="226" spans="1:38">
      <c r="A226" s="749" t="s">
        <v>3511</v>
      </c>
      <c r="B226" s="1">
        <v>1325</v>
      </c>
      <c r="C226" s="1">
        <v>320</v>
      </c>
      <c r="D226" s="1">
        <v>2.2000000000000002</v>
      </c>
      <c r="E226" s="1">
        <v>11.1</v>
      </c>
      <c r="F226" s="1">
        <v>28.9</v>
      </c>
      <c r="G226" s="1" t="s">
        <v>226</v>
      </c>
      <c r="H226" s="1" t="s">
        <v>759</v>
      </c>
      <c r="J226" s="1">
        <v>320</v>
      </c>
      <c r="K226" s="1">
        <v>2.2000000000000002</v>
      </c>
      <c r="L226" s="1">
        <v>11.1</v>
      </c>
      <c r="M226" s="151">
        <v>-4.0000000000000001E-3</v>
      </c>
      <c r="N226" s="1">
        <v>28.9</v>
      </c>
      <c r="O226" s="151">
        <v>-4.0000000000000001E-3</v>
      </c>
      <c r="P226" s="151">
        <v>-4.0000000000000001E-3</v>
      </c>
      <c r="Q226" s="151">
        <v>-4.0000000000000001E-3</v>
      </c>
      <c r="R226" s="151">
        <v>-4.0000000000000001E-3</v>
      </c>
      <c r="S226" s="151">
        <v>-4.0000000000000001E-3</v>
      </c>
      <c r="T226" s="151">
        <v>-4.0000000000000001E-3</v>
      </c>
      <c r="U226" s="151">
        <v>-4.0000000000000001E-3</v>
      </c>
      <c r="V226" s="151">
        <v>-4.0000000000000001E-3</v>
      </c>
      <c r="W226" s="151">
        <v>-4.0000000000000002E-4</v>
      </c>
      <c r="X226" s="151">
        <v>-4.0000000000000001E-3</v>
      </c>
      <c r="Y226" s="151">
        <v>-4.0000000000000001E-3</v>
      </c>
      <c r="Z226" s="151">
        <v>-4.0000000000000001E-3</v>
      </c>
      <c r="AA226" s="151">
        <v>-4.0000000000000001E-3</v>
      </c>
      <c r="AB226" s="151">
        <v>-4.0000000000000001E-3</v>
      </c>
      <c r="AC226" s="151">
        <v>-4.0000000000000001E-3</v>
      </c>
      <c r="AD226" s="151">
        <v>-4.0000000000000002E-4</v>
      </c>
      <c r="AE226" s="151">
        <v>-4.0000000000000001E-3</v>
      </c>
      <c r="AF226" s="151">
        <v>-4.0000000000000002E-4</v>
      </c>
      <c r="AI226" s="1" t="s">
        <v>226</v>
      </c>
      <c r="AJ226" s="1" t="s">
        <v>1751</v>
      </c>
      <c r="AK226" s="1" t="s">
        <v>759</v>
      </c>
      <c r="AL226" s="749" t="s">
        <v>1875</v>
      </c>
    </row>
    <row r="227" spans="1:38">
      <c r="A227" s="491" t="s">
        <v>3510</v>
      </c>
      <c r="B227" s="1">
        <v>1079</v>
      </c>
      <c r="C227" s="1">
        <v>258</v>
      </c>
      <c r="D227" s="1">
        <v>6.8</v>
      </c>
      <c r="E227" s="1">
        <v>12.9</v>
      </c>
      <c r="F227" s="1">
        <v>19.600000000000001</v>
      </c>
      <c r="G227" s="1" t="s">
        <v>225</v>
      </c>
      <c r="H227" s="66" t="s">
        <v>344</v>
      </c>
      <c r="I227" s="749">
        <v>14</v>
      </c>
      <c r="J227" s="4">
        <v>283</v>
      </c>
      <c r="K227" s="4">
        <v>6.8</v>
      </c>
      <c r="L227" s="4">
        <v>13.1</v>
      </c>
      <c r="M227" s="34">
        <v>0</v>
      </c>
      <c r="N227" s="4">
        <v>25.7</v>
      </c>
      <c r="O227" s="67">
        <v>9.09</v>
      </c>
      <c r="P227" s="3">
        <v>822</v>
      </c>
      <c r="Q227" s="3">
        <v>23.8</v>
      </c>
      <c r="R227" s="3">
        <v>44.3</v>
      </c>
      <c r="S227" s="3">
        <v>20</v>
      </c>
      <c r="T227" s="3">
        <v>162</v>
      </c>
      <c r="U227" s="3">
        <v>1.6</v>
      </c>
      <c r="V227" s="3">
        <v>1.1100000000000001</v>
      </c>
      <c r="W227" s="69">
        <v>7.8E-2</v>
      </c>
      <c r="X227" s="37">
        <v>0</v>
      </c>
      <c r="Y227" s="3">
        <v>7.0000000000000007E-2</v>
      </c>
      <c r="Z227" s="3">
        <v>0.11000000000000001</v>
      </c>
      <c r="AA227" s="3">
        <v>3.1</v>
      </c>
      <c r="AB227" s="37">
        <v>9.69E-2</v>
      </c>
      <c r="AC227" s="37">
        <v>2.1</v>
      </c>
      <c r="AD227" s="37">
        <v>0.16200000000000001</v>
      </c>
      <c r="AE227" s="37">
        <v>0</v>
      </c>
      <c r="AF227" s="68">
        <v>0.1575</v>
      </c>
      <c r="AI227" s="1" t="s">
        <v>225</v>
      </c>
      <c r="AJ227" s="1" t="s">
        <v>1751</v>
      </c>
      <c r="AK227" s="66" t="s">
        <v>344</v>
      </c>
      <c r="AL227" s="749" t="s">
        <v>1849</v>
      </c>
    </row>
    <row r="228" spans="1:38">
      <c r="A228" s="492" t="s">
        <v>3512</v>
      </c>
      <c r="B228" s="336">
        <v>1338.9</v>
      </c>
      <c r="C228" s="110">
        <v>320</v>
      </c>
      <c r="D228" s="110">
        <v>2</v>
      </c>
      <c r="E228" s="110">
        <v>11</v>
      </c>
      <c r="F228" s="110">
        <v>29</v>
      </c>
      <c r="G228" s="24" t="s">
        <v>225</v>
      </c>
      <c r="H228" s="110" t="s">
        <v>105</v>
      </c>
      <c r="J228" s="110">
        <v>320</v>
      </c>
      <c r="K228" s="110">
        <v>2</v>
      </c>
      <c r="L228" s="110">
        <v>11</v>
      </c>
      <c r="M228" s="151">
        <v>-4.0000000000000001E-3</v>
      </c>
      <c r="N228" s="110">
        <v>29</v>
      </c>
      <c r="O228" s="151">
        <v>-4.0000000000000001E-3</v>
      </c>
      <c r="P228" s="151">
        <v>-4.0000000000000001E-3</v>
      </c>
      <c r="Q228" s="151">
        <v>-4.0000000000000001E-3</v>
      </c>
      <c r="R228" s="151">
        <v>-4.0000000000000001E-3</v>
      </c>
      <c r="S228" s="151">
        <v>-4.0000000000000001E-3</v>
      </c>
      <c r="T228" s="151">
        <v>-4.0000000000000001E-3</v>
      </c>
      <c r="U228" s="151">
        <v>-4.0000000000000001E-3</v>
      </c>
      <c r="V228" s="151">
        <v>-4.0000000000000001E-3</v>
      </c>
      <c r="W228" s="151">
        <v>-4.0000000000000002E-4</v>
      </c>
      <c r="X228" s="151">
        <v>-4.0000000000000001E-3</v>
      </c>
      <c r="Y228" s="151">
        <v>-4.0000000000000001E-3</v>
      </c>
      <c r="Z228" s="151">
        <v>-4.0000000000000001E-3</v>
      </c>
      <c r="AA228" s="151">
        <v>-4.0000000000000001E-3</v>
      </c>
      <c r="AB228" s="151">
        <v>-4.0000000000000001E-3</v>
      </c>
      <c r="AC228" s="151">
        <v>-4.0000000000000001E-3</v>
      </c>
      <c r="AD228" s="151">
        <v>-4.0000000000000002E-4</v>
      </c>
      <c r="AE228" s="151">
        <v>-4.0000000000000001E-3</v>
      </c>
      <c r="AF228" s="151">
        <v>-4.0000000000000002E-4</v>
      </c>
      <c r="AI228" s="24" t="s">
        <v>225</v>
      </c>
      <c r="AJ228" s="1" t="s">
        <v>1751</v>
      </c>
      <c r="AK228" s="110" t="s">
        <v>105</v>
      </c>
      <c r="AL228" s="749" t="s">
        <v>1876</v>
      </c>
    </row>
    <row r="229" spans="1:38">
      <c r="A229" s="1" t="s">
        <v>3198</v>
      </c>
      <c r="B229" s="1">
        <v>784</v>
      </c>
      <c r="C229" s="10">
        <v>187.4</v>
      </c>
      <c r="D229" s="1">
        <v>24</v>
      </c>
      <c r="E229" s="1">
        <v>4.4000000000000004</v>
      </c>
      <c r="F229" s="1">
        <v>6.4</v>
      </c>
      <c r="G229" s="1" t="s">
        <v>227</v>
      </c>
      <c r="H229" s="1" t="s">
        <v>554</v>
      </c>
      <c r="J229" s="10">
        <v>187.4</v>
      </c>
      <c r="K229" s="1">
        <v>24</v>
      </c>
      <c r="L229" s="1">
        <v>4.4000000000000004</v>
      </c>
      <c r="M229" s="151">
        <v>-4.0000000000000001E-3</v>
      </c>
      <c r="N229" s="1">
        <v>6.4</v>
      </c>
      <c r="O229" s="151">
        <v>-4.0000000000000001E-3</v>
      </c>
      <c r="P229" s="151">
        <v>-4.0000000000000001E-3</v>
      </c>
      <c r="Q229" s="151">
        <v>-4.0000000000000001E-3</v>
      </c>
      <c r="R229" s="151">
        <v>-4.0000000000000001E-3</v>
      </c>
      <c r="S229" s="151">
        <v>-4.0000000000000001E-3</v>
      </c>
      <c r="T229" s="151">
        <v>-4.0000000000000001E-3</v>
      </c>
      <c r="U229" s="151">
        <v>-4.0000000000000001E-3</v>
      </c>
      <c r="V229" s="151">
        <v>-4.0000000000000001E-3</v>
      </c>
      <c r="W229" s="151">
        <v>-4.0000000000000002E-4</v>
      </c>
      <c r="X229" s="151">
        <v>-4.0000000000000001E-3</v>
      </c>
      <c r="Y229" s="151">
        <v>-4.0000000000000001E-3</v>
      </c>
      <c r="Z229" s="151">
        <v>-4.0000000000000001E-3</v>
      </c>
      <c r="AA229" s="151">
        <v>-4.0000000000000001E-3</v>
      </c>
      <c r="AB229" s="151">
        <v>-4.0000000000000001E-3</v>
      </c>
      <c r="AC229" s="151">
        <v>-4.0000000000000001E-3</v>
      </c>
      <c r="AD229" s="151">
        <v>-4.0000000000000002E-4</v>
      </c>
      <c r="AE229" s="151">
        <v>-4.0000000000000001E-3</v>
      </c>
      <c r="AF229" s="151">
        <v>-4.0000000000000002E-4</v>
      </c>
      <c r="AI229" s="1" t="s">
        <v>227</v>
      </c>
      <c r="AJ229" s="1" t="s">
        <v>445</v>
      </c>
      <c r="AK229" s="1" t="s">
        <v>554</v>
      </c>
      <c r="AL229" s="749" t="s">
        <v>1850</v>
      </c>
    </row>
    <row r="230" spans="1:38">
      <c r="A230" s="1" t="s">
        <v>3471</v>
      </c>
      <c r="B230" s="1">
        <v>496.8</v>
      </c>
      <c r="C230" s="1">
        <v>118.4</v>
      </c>
      <c r="D230" s="1">
        <v>0</v>
      </c>
      <c r="E230" s="1">
        <v>18</v>
      </c>
      <c r="F230" s="1">
        <v>5.13</v>
      </c>
      <c r="G230" s="1" t="s">
        <v>227</v>
      </c>
      <c r="H230" s="1" t="s">
        <v>106</v>
      </c>
      <c r="J230" s="1">
        <v>118.4</v>
      </c>
      <c r="K230" s="1">
        <v>0</v>
      </c>
      <c r="L230" s="1">
        <v>18</v>
      </c>
      <c r="M230" s="34">
        <v>0</v>
      </c>
      <c r="N230" s="1">
        <v>5.13</v>
      </c>
      <c r="O230" s="34">
        <v>1.2</v>
      </c>
      <c r="P230" s="34">
        <v>101</v>
      </c>
      <c r="Q230" s="34">
        <v>294</v>
      </c>
      <c r="R230" s="34">
        <v>41</v>
      </c>
      <c r="S230" s="151">
        <v>-4.0000000000000001E-3</v>
      </c>
      <c r="T230" s="34">
        <v>142</v>
      </c>
      <c r="U230" s="34">
        <v>0.5</v>
      </c>
      <c r="V230" s="34">
        <v>0.28999999999999998</v>
      </c>
      <c r="W230" s="34">
        <v>2.1000000000000001E-2</v>
      </c>
      <c r="X230" s="34">
        <v>10</v>
      </c>
      <c r="Y230" s="34">
        <v>0.1</v>
      </c>
      <c r="Z230" s="34">
        <v>0.2</v>
      </c>
      <c r="AA230" s="34">
        <v>3</v>
      </c>
      <c r="AB230" s="34">
        <v>0.22</v>
      </c>
      <c r="AC230" s="34">
        <v>12</v>
      </c>
      <c r="AD230" s="34">
        <v>1.3</v>
      </c>
      <c r="AE230" s="34">
        <v>0</v>
      </c>
      <c r="AF230" s="34">
        <v>0.27</v>
      </c>
      <c r="AI230" s="1" t="s">
        <v>227</v>
      </c>
      <c r="AJ230" s="1" t="s">
        <v>445</v>
      </c>
      <c r="AK230" s="1" t="s">
        <v>106</v>
      </c>
      <c r="AL230" s="749" t="s">
        <v>1851</v>
      </c>
    </row>
    <row r="231" spans="1:38">
      <c r="A231" s="1" t="s">
        <v>1851</v>
      </c>
      <c r="B231" s="1">
        <v>686</v>
      </c>
      <c r="C231" s="10">
        <v>164</v>
      </c>
      <c r="D231" s="1">
        <v>0.2</v>
      </c>
      <c r="E231" s="1">
        <v>28</v>
      </c>
      <c r="F231" s="1">
        <v>5.7</v>
      </c>
      <c r="G231" s="1" t="s">
        <v>227</v>
      </c>
      <c r="H231" s="1" t="s">
        <v>2992</v>
      </c>
      <c r="J231" s="1">
        <v>118.4</v>
      </c>
      <c r="K231" s="1">
        <v>0</v>
      </c>
      <c r="L231" s="1">
        <v>18</v>
      </c>
      <c r="M231" s="34">
        <v>0</v>
      </c>
      <c r="N231" s="1">
        <v>5.13</v>
      </c>
      <c r="O231" s="34">
        <v>1.2</v>
      </c>
      <c r="P231" s="34">
        <v>101</v>
      </c>
      <c r="Q231" s="34">
        <v>294</v>
      </c>
      <c r="R231" s="34">
        <v>41</v>
      </c>
      <c r="S231" s="151">
        <v>-4.0000000000000001E-3</v>
      </c>
      <c r="T231" s="34">
        <v>142</v>
      </c>
      <c r="U231" s="34">
        <v>0.5</v>
      </c>
      <c r="V231" s="34">
        <v>0.28999999999999998</v>
      </c>
      <c r="W231" s="34">
        <v>2.1000000000000001E-2</v>
      </c>
      <c r="X231" s="34">
        <v>10</v>
      </c>
      <c r="Y231" s="34">
        <v>0.1</v>
      </c>
      <c r="Z231" s="34">
        <v>0.2</v>
      </c>
      <c r="AA231" s="34">
        <v>3</v>
      </c>
      <c r="AB231" s="34">
        <v>0.22</v>
      </c>
      <c r="AC231" s="34">
        <v>12</v>
      </c>
      <c r="AD231" s="34">
        <v>1.3</v>
      </c>
      <c r="AE231" s="34">
        <v>0</v>
      </c>
      <c r="AF231" s="34">
        <v>0.27</v>
      </c>
      <c r="AI231" s="1" t="s">
        <v>227</v>
      </c>
      <c r="AJ231" s="1" t="s">
        <v>445</v>
      </c>
      <c r="AK231" s="1" t="s">
        <v>107</v>
      </c>
      <c r="AL231" s="749" t="s">
        <v>1852</v>
      </c>
    </row>
    <row r="232" spans="1:38">
      <c r="A232" s="749" t="s">
        <v>3199</v>
      </c>
      <c r="B232" s="1">
        <v>1607</v>
      </c>
      <c r="C232" s="1">
        <v>389</v>
      </c>
      <c r="D232" s="1">
        <v>0</v>
      </c>
      <c r="E232" s="1">
        <v>14</v>
      </c>
      <c r="F232" s="1">
        <v>37</v>
      </c>
      <c r="G232" s="1" t="s">
        <v>227</v>
      </c>
      <c r="H232" s="1" t="s">
        <v>760</v>
      </c>
      <c r="J232" s="1">
        <v>389</v>
      </c>
      <c r="K232" s="1">
        <v>0</v>
      </c>
      <c r="L232" s="1">
        <v>14</v>
      </c>
      <c r="M232" s="151">
        <v>-4.0000000000000001E-3</v>
      </c>
      <c r="N232" s="1">
        <v>37</v>
      </c>
      <c r="O232" s="151">
        <v>-4.0000000000000001E-3</v>
      </c>
      <c r="P232" s="151">
        <v>-4.0000000000000001E-3</v>
      </c>
      <c r="Q232" s="151">
        <v>-4.0000000000000001E-3</v>
      </c>
      <c r="R232" s="151">
        <v>-4.0000000000000001E-3</v>
      </c>
      <c r="S232" s="151">
        <v>-4.0000000000000001E-3</v>
      </c>
      <c r="T232" s="151">
        <v>-4.0000000000000001E-3</v>
      </c>
      <c r="U232" s="151">
        <v>-4.0000000000000001E-3</v>
      </c>
      <c r="V232" s="151">
        <v>-4.0000000000000001E-3</v>
      </c>
      <c r="W232" s="151">
        <v>-4.0000000000000002E-4</v>
      </c>
      <c r="X232" s="151">
        <v>-4.0000000000000001E-3</v>
      </c>
      <c r="Y232" s="151">
        <v>-4.0000000000000001E-3</v>
      </c>
      <c r="Z232" s="151">
        <v>-4.0000000000000001E-3</v>
      </c>
      <c r="AA232" s="151">
        <v>-4.0000000000000001E-3</v>
      </c>
      <c r="AB232" s="151">
        <v>-4.0000000000000001E-3</v>
      </c>
      <c r="AC232" s="151">
        <v>-4.0000000000000001E-3</v>
      </c>
      <c r="AD232" s="151">
        <v>-4.0000000000000002E-4</v>
      </c>
      <c r="AE232" s="151">
        <v>-4.0000000000000001E-3</v>
      </c>
      <c r="AF232" s="4">
        <v>25</v>
      </c>
      <c r="AG232" s="749" t="s">
        <v>1644</v>
      </c>
      <c r="AI232" s="1" t="s">
        <v>227</v>
      </c>
      <c r="AJ232" s="1" t="s">
        <v>445</v>
      </c>
      <c r="AK232" s="1" t="s">
        <v>760</v>
      </c>
      <c r="AL232" s="749" t="s">
        <v>1860</v>
      </c>
    </row>
    <row r="233" spans="1:38">
      <c r="A233" s="749" t="s">
        <v>3474</v>
      </c>
      <c r="B233" s="10">
        <v>861.9</v>
      </c>
      <c r="C233" s="1">
        <v>206</v>
      </c>
      <c r="D233" s="1">
        <v>17</v>
      </c>
      <c r="E233" s="1">
        <v>13</v>
      </c>
      <c r="F233" s="1">
        <v>10</v>
      </c>
      <c r="G233" s="1" t="s">
        <v>227</v>
      </c>
      <c r="H233" s="1" t="s">
        <v>555</v>
      </c>
      <c r="J233" s="1">
        <v>206</v>
      </c>
      <c r="K233" s="1">
        <v>17</v>
      </c>
      <c r="L233" s="1">
        <v>13</v>
      </c>
      <c r="M233" s="151">
        <v>-4.0000000000000001E-3</v>
      </c>
      <c r="N233" s="1">
        <v>10</v>
      </c>
      <c r="O233" s="151">
        <v>-4.0000000000000001E-3</v>
      </c>
      <c r="P233" s="151">
        <v>-4.0000000000000001E-3</v>
      </c>
      <c r="Q233" s="151">
        <v>-4.0000000000000001E-3</v>
      </c>
      <c r="R233" s="151">
        <v>-4.0000000000000001E-3</v>
      </c>
      <c r="S233" s="151">
        <v>-4.0000000000000001E-3</v>
      </c>
      <c r="T233" s="151">
        <v>-4.0000000000000001E-3</v>
      </c>
      <c r="U233" s="151">
        <v>-4.0000000000000001E-3</v>
      </c>
      <c r="V233" s="151">
        <v>-4.0000000000000001E-3</v>
      </c>
      <c r="W233" s="151">
        <v>-4.0000000000000002E-4</v>
      </c>
      <c r="X233" s="151">
        <v>-4.0000000000000001E-3</v>
      </c>
      <c r="Y233" s="151">
        <v>-4.0000000000000001E-3</v>
      </c>
      <c r="Z233" s="151">
        <v>-4.0000000000000001E-3</v>
      </c>
      <c r="AA233" s="151">
        <v>-4.0000000000000001E-3</v>
      </c>
      <c r="AB233" s="151">
        <v>-4.0000000000000001E-3</v>
      </c>
      <c r="AC233" s="151">
        <v>-4.0000000000000001E-3</v>
      </c>
      <c r="AD233" s="151">
        <v>-4.0000000000000002E-4</v>
      </c>
      <c r="AE233" s="151">
        <v>-4.0000000000000001E-3</v>
      </c>
      <c r="AF233" s="151">
        <v>-4.0000000000000002E-4</v>
      </c>
      <c r="AI233" s="1" t="s">
        <v>227</v>
      </c>
      <c r="AJ233" s="1" t="s">
        <v>445</v>
      </c>
      <c r="AK233" s="1" t="s">
        <v>555</v>
      </c>
      <c r="AL233" s="749" t="s">
        <v>1853</v>
      </c>
    </row>
    <row r="234" spans="1:38">
      <c r="A234" s="1" t="s">
        <v>3200</v>
      </c>
      <c r="B234" s="1">
        <v>592</v>
      </c>
      <c r="C234" s="1">
        <v>140</v>
      </c>
      <c r="D234" s="1">
        <v>20.2</v>
      </c>
      <c r="E234" s="1">
        <v>11.8</v>
      </c>
      <c r="F234" s="1">
        <v>1.3</v>
      </c>
      <c r="G234" s="1" t="s">
        <v>227</v>
      </c>
      <c r="H234" s="66" t="s">
        <v>345</v>
      </c>
      <c r="I234" s="749">
        <v>12</v>
      </c>
      <c r="J234" s="4">
        <v>155.7013</v>
      </c>
      <c r="K234" s="4">
        <v>3.6739999999999999</v>
      </c>
      <c r="L234" s="4">
        <v>15.5581</v>
      </c>
      <c r="M234" s="4">
        <v>0.33500000000000002</v>
      </c>
      <c r="N234" s="4">
        <v>8.7988999999999997</v>
      </c>
      <c r="O234" s="4">
        <v>0.95940000000000003</v>
      </c>
      <c r="P234" s="3">
        <v>465.55869999999993</v>
      </c>
      <c r="Q234" s="3">
        <v>279.2088</v>
      </c>
      <c r="R234" s="3">
        <v>38.965899999999998</v>
      </c>
      <c r="S234" s="3">
        <v>4.8956999999999997</v>
      </c>
      <c r="T234" s="3">
        <v>131.17240000000001</v>
      </c>
      <c r="U234" s="3">
        <v>0.64450000000000007</v>
      </c>
      <c r="V234" s="3">
        <v>0.30880000000000002</v>
      </c>
      <c r="W234" s="3">
        <v>3.9300000000000002E-2</v>
      </c>
      <c r="X234" s="3">
        <v>25.028400000000001</v>
      </c>
      <c r="Y234" s="3">
        <v>9.9100000000000008E-2</v>
      </c>
      <c r="Z234" s="3">
        <v>0.1895</v>
      </c>
      <c r="AA234" s="3">
        <v>2.6934999999999998</v>
      </c>
      <c r="AB234" s="3">
        <v>0.19689999999999996</v>
      </c>
      <c r="AC234" s="3">
        <v>11.1671</v>
      </c>
      <c r="AD234" s="3">
        <v>1.1402000000000001</v>
      </c>
      <c r="AE234" s="3">
        <v>0.92710000000000004</v>
      </c>
      <c r="AF234" s="3">
        <v>0</v>
      </c>
      <c r="AI234" s="1" t="s">
        <v>227</v>
      </c>
      <c r="AJ234" s="1" t="s">
        <v>445</v>
      </c>
      <c r="AK234" s="66" t="s">
        <v>345</v>
      </c>
      <c r="AL234" s="749" t="s">
        <v>345</v>
      </c>
    </row>
    <row r="235" spans="1:38">
      <c r="A235" s="1" t="s">
        <v>1855</v>
      </c>
      <c r="B235" s="1">
        <v>1325</v>
      </c>
      <c r="C235" s="1">
        <v>320</v>
      </c>
      <c r="D235" s="1">
        <v>1.8</v>
      </c>
      <c r="E235" s="1">
        <v>13</v>
      </c>
      <c r="F235" s="1">
        <v>29</v>
      </c>
      <c r="G235" s="1" t="s">
        <v>227</v>
      </c>
      <c r="H235" s="1" t="s">
        <v>556</v>
      </c>
      <c r="J235" s="1">
        <v>320</v>
      </c>
      <c r="K235" s="1">
        <v>1.8</v>
      </c>
      <c r="L235" s="1">
        <v>13</v>
      </c>
      <c r="M235" s="151">
        <v>-4.0000000000000001E-3</v>
      </c>
      <c r="N235" s="1">
        <v>29</v>
      </c>
      <c r="O235" s="151">
        <v>-4.0000000000000001E-3</v>
      </c>
      <c r="P235" s="151">
        <v>-4.0000000000000001E-3</v>
      </c>
      <c r="Q235" s="151">
        <v>-4.0000000000000001E-3</v>
      </c>
      <c r="R235" s="151">
        <v>-4.0000000000000001E-3</v>
      </c>
      <c r="S235" s="151">
        <v>-4.0000000000000001E-3</v>
      </c>
      <c r="T235" s="151">
        <v>-4.0000000000000001E-3</v>
      </c>
      <c r="U235" s="151">
        <v>-4.0000000000000001E-3</v>
      </c>
      <c r="V235" s="151">
        <v>-4.0000000000000001E-3</v>
      </c>
      <c r="W235" s="151">
        <v>-4.0000000000000002E-4</v>
      </c>
      <c r="X235" s="151">
        <v>-4.0000000000000001E-3</v>
      </c>
      <c r="Y235" s="151">
        <v>-4.0000000000000001E-3</v>
      </c>
      <c r="Z235" s="151">
        <v>-4.0000000000000001E-3</v>
      </c>
      <c r="AA235" s="151">
        <v>-4.0000000000000001E-3</v>
      </c>
      <c r="AB235" s="151">
        <v>-4.0000000000000001E-3</v>
      </c>
      <c r="AC235" s="151">
        <v>-4.0000000000000001E-3</v>
      </c>
      <c r="AD235" s="151">
        <v>-4.0000000000000002E-4</v>
      </c>
      <c r="AE235" s="151">
        <v>-4.0000000000000001E-3</v>
      </c>
      <c r="AF235" s="151">
        <v>-4.0000000000000002E-4</v>
      </c>
      <c r="AI235" s="1" t="s">
        <v>227</v>
      </c>
      <c r="AJ235" s="1" t="s">
        <v>445</v>
      </c>
      <c r="AK235" s="1" t="s">
        <v>556</v>
      </c>
      <c r="AL235" s="749" t="s">
        <v>1854</v>
      </c>
    </row>
    <row r="236" spans="1:38">
      <c r="A236" s="7" t="s">
        <v>1855</v>
      </c>
      <c r="B236" s="1">
        <v>1118.7</v>
      </c>
      <c r="C236" s="1">
        <v>270.89999999999998</v>
      </c>
      <c r="D236" s="1">
        <v>0.8</v>
      </c>
      <c r="E236" s="1">
        <v>8.1999999999999993</v>
      </c>
      <c r="F236" s="1">
        <v>26.1</v>
      </c>
      <c r="G236" s="1" t="s">
        <v>227</v>
      </c>
      <c r="H236" s="7" t="s">
        <v>108</v>
      </c>
      <c r="J236" s="1">
        <v>270.89999999999998</v>
      </c>
      <c r="K236" s="1">
        <v>0.8</v>
      </c>
      <c r="L236" s="1">
        <v>8.1999999999999993</v>
      </c>
      <c r="M236" s="151">
        <v>-4.0000000000000001E-3</v>
      </c>
      <c r="N236" s="1">
        <v>26.1</v>
      </c>
      <c r="O236" s="151">
        <v>-4.0000000000000001E-3</v>
      </c>
      <c r="P236" s="151">
        <v>-4.0000000000000001E-3</v>
      </c>
      <c r="Q236" s="151">
        <v>-4.0000000000000001E-3</v>
      </c>
      <c r="R236" s="151">
        <v>-4.0000000000000001E-3</v>
      </c>
      <c r="S236" s="151">
        <v>-4.0000000000000001E-3</v>
      </c>
      <c r="T236" s="151">
        <v>-4.0000000000000001E-3</v>
      </c>
      <c r="U236" s="151">
        <v>-4.0000000000000001E-3</v>
      </c>
      <c r="V236" s="151">
        <v>-4.0000000000000001E-3</v>
      </c>
      <c r="W236" s="151">
        <v>-4.0000000000000002E-4</v>
      </c>
      <c r="X236" s="151">
        <v>-4.0000000000000001E-3</v>
      </c>
      <c r="Y236" s="151">
        <v>-4.0000000000000001E-3</v>
      </c>
      <c r="Z236" s="151">
        <v>-4.0000000000000001E-3</v>
      </c>
      <c r="AA236" s="151">
        <v>-4.0000000000000001E-3</v>
      </c>
      <c r="AB236" s="151">
        <v>-4.0000000000000001E-3</v>
      </c>
      <c r="AC236" s="151">
        <v>-4.0000000000000001E-3</v>
      </c>
      <c r="AD236" s="151">
        <v>-4.0000000000000002E-4</v>
      </c>
      <c r="AE236" s="151">
        <v>-4.0000000000000001E-3</v>
      </c>
      <c r="AF236" s="151">
        <v>-4.0000000000000002E-4</v>
      </c>
      <c r="AI236" s="1" t="s">
        <v>227</v>
      </c>
      <c r="AJ236" s="1" t="s">
        <v>445</v>
      </c>
      <c r="AK236" s="7" t="s">
        <v>108</v>
      </c>
      <c r="AL236" s="749" t="s">
        <v>1855</v>
      </c>
    </row>
    <row r="237" spans="1:38">
      <c r="A237" s="1" t="s">
        <v>1856</v>
      </c>
      <c r="B237" s="10">
        <v>753.1</v>
      </c>
      <c r="C237" s="1">
        <v>180</v>
      </c>
      <c r="D237" s="1">
        <v>4</v>
      </c>
      <c r="E237" s="1">
        <v>17</v>
      </c>
      <c r="F237" s="1">
        <v>11</v>
      </c>
      <c r="G237" s="1" t="s">
        <v>227</v>
      </c>
      <c r="H237" s="1" t="s">
        <v>109</v>
      </c>
      <c r="J237" s="1">
        <v>180</v>
      </c>
      <c r="K237" s="1">
        <v>4</v>
      </c>
      <c r="L237" s="1">
        <v>17</v>
      </c>
      <c r="M237" s="151">
        <v>-4.0000000000000001E-3</v>
      </c>
      <c r="N237" s="1">
        <v>11</v>
      </c>
      <c r="O237" s="151">
        <v>-4.0000000000000001E-3</v>
      </c>
      <c r="P237" s="151">
        <v>-4.0000000000000001E-3</v>
      </c>
      <c r="Q237" s="151">
        <v>-4.0000000000000001E-3</v>
      </c>
      <c r="R237" s="151">
        <v>-4.0000000000000001E-3</v>
      </c>
      <c r="S237" s="151">
        <v>-4.0000000000000001E-3</v>
      </c>
      <c r="T237" s="151">
        <v>-4.0000000000000001E-3</v>
      </c>
      <c r="U237" s="151">
        <v>-4.0000000000000001E-3</v>
      </c>
      <c r="V237" s="151">
        <v>-4.0000000000000001E-3</v>
      </c>
      <c r="W237" s="151">
        <v>-4.0000000000000002E-4</v>
      </c>
      <c r="X237" s="151">
        <v>-4.0000000000000001E-3</v>
      </c>
      <c r="Y237" s="151">
        <v>-4.0000000000000001E-3</v>
      </c>
      <c r="Z237" s="151">
        <v>-4.0000000000000001E-3</v>
      </c>
      <c r="AA237" s="151">
        <v>-4.0000000000000001E-3</v>
      </c>
      <c r="AB237" s="151">
        <v>-4.0000000000000001E-3</v>
      </c>
      <c r="AC237" s="151">
        <v>-4.0000000000000001E-3</v>
      </c>
      <c r="AD237" s="151">
        <v>-4.0000000000000002E-4</v>
      </c>
      <c r="AE237" s="151">
        <v>-4.0000000000000001E-3</v>
      </c>
      <c r="AF237" s="151">
        <v>-4.0000000000000002E-4</v>
      </c>
      <c r="AI237" s="1" t="s">
        <v>227</v>
      </c>
      <c r="AJ237" s="1" t="s">
        <v>445</v>
      </c>
      <c r="AK237" s="1" t="s">
        <v>109</v>
      </c>
      <c r="AL237" s="749" t="s">
        <v>1856</v>
      </c>
    </row>
    <row r="238" spans="1:38">
      <c r="A238" s="749" t="s">
        <v>3207</v>
      </c>
      <c r="B238" s="10">
        <v>1079.5</v>
      </c>
      <c r="C238" s="1">
        <v>258</v>
      </c>
      <c r="D238" s="1">
        <v>23.3</v>
      </c>
      <c r="E238" s="1">
        <v>14.6</v>
      </c>
      <c r="F238" s="15">
        <v>12</v>
      </c>
      <c r="G238" s="1" t="s">
        <v>227</v>
      </c>
      <c r="H238" s="1" t="s">
        <v>110</v>
      </c>
      <c r="I238" s="38">
        <v>12</v>
      </c>
      <c r="J238" s="1">
        <v>258</v>
      </c>
      <c r="K238" s="1">
        <v>23.3</v>
      </c>
      <c r="L238" s="1">
        <v>14.6</v>
      </c>
      <c r="M238" s="34">
        <v>1.1299999999999999</v>
      </c>
      <c r="N238" s="15">
        <v>12</v>
      </c>
      <c r="O238" s="72">
        <v>1.1000000000000001</v>
      </c>
      <c r="P238" s="42">
        <v>452</v>
      </c>
      <c r="Q238" s="42">
        <v>225</v>
      </c>
      <c r="R238" s="42">
        <v>19</v>
      </c>
      <c r="S238" s="42">
        <v>28</v>
      </c>
      <c r="T238" s="42">
        <v>140</v>
      </c>
      <c r="U238" s="42">
        <v>0.32</v>
      </c>
      <c r="V238" s="42">
        <v>0.49</v>
      </c>
      <c r="W238" s="73">
        <v>5.8999999999999997E-2</v>
      </c>
      <c r="X238" s="42">
        <v>54</v>
      </c>
      <c r="Y238" s="42">
        <v>0.09</v>
      </c>
      <c r="Z238" s="42">
        <v>7.0000000000000007E-2</v>
      </c>
      <c r="AA238" s="42">
        <v>3.3</v>
      </c>
      <c r="AB238" s="42">
        <v>7.0000000000000007E-2</v>
      </c>
      <c r="AC238" s="42">
        <v>9</v>
      </c>
      <c r="AD238" s="42">
        <v>1.25</v>
      </c>
      <c r="AE238" s="43">
        <v>0</v>
      </c>
      <c r="AF238" s="73">
        <v>0.87</v>
      </c>
      <c r="AI238" s="1" t="s">
        <v>227</v>
      </c>
      <c r="AJ238" s="1" t="s">
        <v>445</v>
      </c>
      <c r="AK238" s="1" t="s">
        <v>110</v>
      </c>
      <c r="AL238" s="749" t="s">
        <v>1857</v>
      </c>
    </row>
    <row r="239" spans="1:38">
      <c r="A239" s="1" t="s">
        <v>3201</v>
      </c>
      <c r="B239" s="1">
        <v>871</v>
      </c>
      <c r="C239" s="1">
        <v>208</v>
      </c>
      <c r="D239" s="1">
        <v>0</v>
      </c>
      <c r="E239" s="1">
        <v>24.62</v>
      </c>
      <c r="F239" s="1">
        <v>11.45</v>
      </c>
      <c r="G239" s="1" t="s">
        <v>227</v>
      </c>
      <c r="H239" s="1" t="s">
        <v>2954</v>
      </c>
      <c r="J239" s="1">
        <v>208</v>
      </c>
      <c r="K239" s="1">
        <v>0</v>
      </c>
      <c r="L239" s="1">
        <v>24.62</v>
      </c>
      <c r="M239" s="151">
        <v>-4.0000000000000001E-3</v>
      </c>
      <c r="N239" s="1">
        <v>11.45</v>
      </c>
      <c r="O239" s="151">
        <v>-4.0000000000000001E-3</v>
      </c>
      <c r="P239" s="151">
        <v>-4.0000000000000001E-3</v>
      </c>
      <c r="Q239" s="151">
        <v>-4.0000000000000001E-3</v>
      </c>
      <c r="R239" s="151">
        <v>-4.0000000000000001E-3</v>
      </c>
      <c r="S239" s="151">
        <v>-4.0000000000000001E-3</v>
      </c>
      <c r="T239" s="151">
        <v>-4.0000000000000001E-3</v>
      </c>
      <c r="U239" s="151">
        <v>-4.0000000000000001E-3</v>
      </c>
      <c r="V239" s="151">
        <v>-4.0000000000000001E-3</v>
      </c>
      <c r="W239" s="151">
        <v>-4.0000000000000002E-4</v>
      </c>
      <c r="X239" s="151">
        <v>-4.0000000000000001E-3</v>
      </c>
      <c r="Y239" s="151">
        <v>-4.0000000000000001E-3</v>
      </c>
      <c r="Z239" s="151">
        <v>-4.0000000000000001E-3</v>
      </c>
      <c r="AA239" s="151">
        <v>-4.0000000000000001E-3</v>
      </c>
      <c r="AB239" s="151">
        <v>-4.0000000000000001E-3</v>
      </c>
      <c r="AC239" s="151">
        <v>-4.0000000000000001E-3</v>
      </c>
      <c r="AD239" s="151">
        <v>-4.0000000000000002E-4</v>
      </c>
      <c r="AE239" s="151">
        <v>-4.0000000000000001E-3</v>
      </c>
      <c r="AF239" s="4">
        <v>4.8</v>
      </c>
      <c r="AG239" s="749" t="s">
        <v>1644</v>
      </c>
      <c r="AI239" s="1" t="s">
        <v>227</v>
      </c>
      <c r="AJ239" s="1" t="s">
        <v>445</v>
      </c>
      <c r="AK239" s="1" t="s">
        <v>111</v>
      </c>
      <c r="AL239" s="749" t="s">
        <v>1858</v>
      </c>
    </row>
    <row r="240" spans="1:38">
      <c r="A240" s="1" t="s">
        <v>1859</v>
      </c>
      <c r="B240" s="1">
        <v>1396</v>
      </c>
      <c r="C240" s="1">
        <v>334</v>
      </c>
      <c r="D240" s="1">
        <v>0</v>
      </c>
      <c r="E240" s="1">
        <v>19.7</v>
      </c>
      <c r="F240" s="1">
        <v>28.3</v>
      </c>
      <c r="G240" s="1" t="s">
        <v>227</v>
      </c>
      <c r="H240" s="1" t="s">
        <v>112</v>
      </c>
      <c r="J240" s="1">
        <v>334</v>
      </c>
      <c r="K240" s="1">
        <v>0</v>
      </c>
      <c r="L240" s="1">
        <v>19.7</v>
      </c>
      <c r="M240" s="151">
        <v>-4.0000000000000001E-3</v>
      </c>
      <c r="N240" s="1">
        <v>28.3</v>
      </c>
      <c r="O240" s="151">
        <v>-4.0000000000000001E-3</v>
      </c>
      <c r="P240" s="151">
        <v>-4.0000000000000001E-3</v>
      </c>
      <c r="Q240" s="151">
        <v>-4.0000000000000001E-3</v>
      </c>
      <c r="R240" s="151">
        <v>-4.0000000000000001E-3</v>
      </c>
      <c r="S240" s="151">
        <v>-4.0000000000000001E-3</v>
      </c>
      <c r="T240" s="151">
        <v>-4.0000000000000001E-3</v>
      </c>
      <c r="U240" s="151">
        <v>-4.0000000000000001E-3</v>
      </c>
      <c r="V240" s="151">
        <v>-4.0000000000000001E-3</v>
      </c>
      <c r="W240" s="151">
        <v>-4.0000000000000002E-4</v>
      </c>
      <c r="X240" s="151">
        <v>-4.0000000000000001E-3</v>
      </c>
      <c r="Y240" s="151">
        <v>-4.0000000000000001E-3</v>
      </c>
      <c r="Z240" s="151">
        <v>-4.0000000000000001E-3</v>
      </c>
      <c r="AA240" s="151">
        <v>-4.0000000000000001E-3</v>
      </c>
      <c r="AB240" s="151">
        <v>-4.0000000000000001E-3</v>
      </c>
      <c r="AC240" s="151">
        <v>-4.0000000000000001E-3</v>
      </c>
      <c r="AD240" s="151">
        <v>-4.0000000000000002E-4</v>
      </c>
      <c r="AE240" s="151">
        <v>-4.0000000000000001E-3</v>
      </c>
      <c r="AF240" s="4">
        <v>4.8</v>
      </c>
      <c r="AG240" s="749" t="s">
        <v>1644</v>
      </c>
      <c r="AI240" s="1" t="s">
        <v>227</v>
      </c>
      <c r="AJ240" s="1" t="s">
        <v>445</v>
      </c>
      <c r="AK240" s="1" t="s">
        <v>112</v>
      </c>
      <c r="AL240" s="749" t="s">
        <v>1859</v>
      </c>
    </row>
    <row r="241" spans="1:38">
      <c r="A241" s="1" t="s">
        <v>3202</v>
      </c>
      <c r="B241" s="1">
        <v>1607</v>
      </c>
      <c r="C241" s="1">
        <v>389</v>
      </c>
      <c r="D241" s="1">
        <v>0</v>
      </c>
      <c r="E241" s="1">
        <v>14</v>
      </c>
      <c r="F241" s="1">
        <v>37</v>
      </c>
      <c r="G241" s="1" t="s">
        <v>227</v>
      </c>
      <c r="H241" s="1" t="s">
        <v>760</v>
      </c>
      <c r="J241" s="1">
        <v>389</v>
      </c>
      <c r="K241" s="1">
        <v>0</v>
      </c>
      <c r="L241" s="1">
        <v>14</v>
      </c>
      <c r="M241" s="151">
        <v>-4.0000000000000001E-3</v>
      </c>
      <c r="N241" s="1">
        <v>37</v>
      </c>
      <c r="O241" s="151">
        <v>-4.0000000000000001E-3</v>
      </c>
      <c r="P241" s="151">
        <v>-4.0000000000000001E-3</v>
      </c>
      <c r="Q241" s="151">
        <v>-4.0000000000000001E-3</v>
      </c>
      <c r="R241" s="151">
        <v>-4.0000000000000001E-3</v>
      </c>
      <c r="S241" s="151">
        <v>-4.0000000000000001E-3</v>
      </c>
      <c r="T241" s="151">
        <v>-4.0000000000000001E-3</v>
      </c>
      <c r="U241" s="151">
        <v>-4.0000000000000001E-3</v>
      </c>
      <c r="V241" s="151">
        <v>-4.0000000000000001E-3</v>
      </c>
      <c r="W241" s="151">
        <v>-4.0000000000000002E-4</v>
      </c>
      <c r="X241" s="151">
        <v>-4.0000000000000001E-3</v>
      </c>
      <c r="Y241" s="151">
        <v>-4.0000000000000001E-3</v>
      </c>
      <c r="Z241" s="151">
        <v>-4.0000000000000001E-3</v>
      </c>
      <c r="AA241" s="151">
        <v>-4.0000000000000001E-3</v>
      </c>
      <c r="AB241" s="151">
        <v>-4.0000000000000001E-3</v>
      </c>
      <c r="AC241" s="151">
        <v>-4.0000000000000001E-3</v>
      </c>
      <c r="AD241" s="151">
        <v>-4.0000000000000002E-4</v>
      </c>
      <c r="AE241" s="151">
        <v>-4.0000000000000001E-3</v>
      </c>
      <c r="AF241" s="4">
        <v>25</v>
      </c>
      <c r="AG241" s="749" t="s">
        <v>1644</v>
      </c>
      <c r="AI241" s="1" t="s">
        <v>227</v>
      </c>
      <c r="AJ241" s="1" t="s">
        <v>445</v>
      </c>
      <c r="AK241" s="1" t="s">
        <v>760</v>
      </c>
      <c r="AL241" s="749" t="s">
        <v>1860</v>
      </c>
    </row>
    <row r="242" spans="1:38">
      <c r="A242" s="1233" t="s">
        <v>1861</v>
      </c>
      <c r="B242" s="82">
        <v>397</v>
      </c>
      <c r="C242" s="82">
        <v>95</v>
      </c>
      <c r="D242" s="82">
        <v>0</v>
      </c>
      <c r="E242" s="82">
        <v>16.399999999999999</v>
      </c>
      <c r="F242" s="82">
        <v>2.8</v>
      </c>
      <c r="G242" s="82" t="s">
        <v>227</v>
      </c>
      <c r="H242" s="398" t="s">
        <v>2082</v>
      </c>
      <c r="I242" s="749">
        <v>22</v>
      </c>
      <c r="J242" s="82">
        <v>95</v>
      </c>
      <c r="K242" s="82">
        <v>0</v>
      </c>
      <c r="L242" s="82">
        <v>16.399999999999999</v>
      </c>
      <c r="M242" s="4">
        <v>0</v>
      </c>
      <c r="N242" s="82">
        <v>2.8</v>
      </c>
      <c r="O242" s="4">
        <v>0.7</v>
      </c>
      <c r="P242" s="4">
        <v>43</v>
      </c>
      <c r="Q242" s="4">
        <v>358</v>
      </c>
      <c r="R242" s="4">
        <v>14</v>
      </c>
      <c r="S242" s="4">
        <v>23</v>
      </c>
      <c r="T242" s="4">
        <v>209</v>
      </c>
      <c r="U242" s="4">
        <v>0.3</v>
      </c>
      <c r="V242" s="4">
        <v>0.5</v>
      </c>
      <c r="W242" s="4">
        <v>0</v>
      </c>
      <c r="X242" s="4">
        <v>15</v>
      </c>
      <c r="Y242" s="4">
        <v>0.2</v>
      </c>
      <c r="Z242" s="4">
        <v>0.1</v>
      </c>
      <c r="AA242" s="4">
        <v>1.9</v>
      </c>
      <c r="AB242" s="4">
        <v>0.1</v>
      </c>
      <c r="AC242" s="4">
        <v>10</v>
      </c>
      <c r="AD242" s="4">
        <v>2.2000000000000002</v>
      </c>
      <c r="AE242" s="4">
        <v>0.7</v>
      </c>
      <c r="AF242" s="4">
        <v>0.3</v>
      </c>
      <c r="AG242" s="749" t="s">
        <v>1644</v>
      </c>
      <c r="AI242" s="82" t="s">
        <v>227</v>
      </c>
      <c r="AJ242" s="82" t="s">
        <v>445</v>
      </c>
      <c r="AK242" s="82" t="s">
        <v>113</v>
      </c>
      <c r="AL242" s="749" t="s">
        <v>1861</v>
      </c>
    </row>
    <row r="243" spans="1:38">
      <c r="A243" s="1" t="s">
        <v>3472</v>
      </c>
      <c r="B243" s="1">
        <v>958</v>
      </c>
      <c r="C243" s="1">
        <v>229</v>
      </c>
      <c r="D243" s="1">
        <v>8</v>
      </c>
      <c r="E243" s="1">
        <v>18.100000000000001</v>
      </c>
      <c r="F243" s="1">
        <v>13.3</v>
      </c>
      <c r="G243" s="1" t="s">
        <v>227</v>
      </c>
      <c r="H243" s="1" t="s">
        <v>114</v>
      </c>
      <c r="J243" s="1">
        <v>229</v>
      </c>
      <c r="K243" s="1">
        <v>8</v>
      </c>
      <c r="L243" s="1">
        <v>18.100000000000001</v>
      </c>
      <c r="M243" s="151">
        <v>-4.0000000000000001E-3</v>
      </c>
      <c r="N243" s="1">
        <v>13.3</v>
      </c>
      <c r="O243" s="151">
        <v>-4.0000000000000001E-3</v>
      </c>
      <c r="P243" s="151">
        <v>-4.0000000000000001E-3</v>
      </c>
      <c r="Q243" s="151">
        <v>-4.0000000000000001E-3</v>
      </c>
      <c r="R243" s="151">
        <v>-4.0000000000000001E-3</v>
      </c>
      <c r="S243" s="151">
        <v>-4.0000000000000001E-3</v>
      </c>
      <c r="T243" s="151">
        <v>-4.0000000000000001E-3</v>
      </c>
      <c r="U243" s="151">
        <v>-4.0000000000000001E-3</v>
      </c>
      <c r="V243" s="151">
        <v>-4.0000000000000001E-3</v>
      </c>
      <c r="W243" s="151">
        <v>-4.0000000000000002E-4</v>
      </c>
      <c r="X243" s="151">
        <v>-4.0000000000000001E-3</v>
      </c>
      <c r="Y243" s="151">
        <v>-4.0000000000000001E-3</v>
      </c>
      <c r="Z243" s="151">
        <v>-4.0000000000000001E-3</v>
      </c>
      <c r="AA243" s="151">
        <v>-4.0000000000000001E-3</v>
      </c>
      <c r="AB243" s="151">
        <v>-4.0000000000000001E-3</v>
      </c>
      <c r="AC243" s="151">
        <v>-4.0000000000000001E-3</v>
      </c>
      <c r="AD243" s="151">
        <v>-4.0000000000000002E-4</v>
      </c>
      <c r="AE243" s="151">
        <v>-4.0000000000000001E-3</v>
      </c>
      <c r="AF243" s="151">
        <v>-4.0000000000000002E-4</v>
      </c>
      <c r="AI243" s="1" t="s">
        <v>227</v>
      </c>
      <c r="AJ243" s="1" t="s">
        <v>445</v>
      </c>
      <c r="AK243" s="1" t="s">
        <v>114</v>
      </c>
      <c r="AL243" s="749" t="s">
        <v>1861</v>
      </c>
    </row>
    <row r="244" spans="1:38">
      <c r="A244" s="1" t="s">
        <v>3197</v>
      </c>
      <c r="B244" s="1"/>
      <c r="C244" s="1"/>
      <c r="D244" s="1"/>
      <c r="E244" s="1"/>
      <c r="F244" s="1"/>
      <c r="G244" s="1"/>
      <c r="H244" s="398" t="s">
        <v>2082</v>
      </c>
      <c r="I244" s="749" t="s">
        <v>2415</v>
      </c>
      <c r="J244" s="82">
        <v>95</v>
      </c>
      <c r="K244" s="82">
        <v>0</v>
      </c>
      <c r="L244" s="82">
        <v>16.399999999999999</v>
      </c>
      <c r="M244" s="4">
        <v>0</v>
      </c>
      <c r="N244" s="82">
        <v>2.8</v>
      </c>
      <c r="O244" s="4">
        <v>0.7</v>
      </c>
      <c r="P244" s="4">
        <v>43</v>
      </c>
      <c r="Q244" s="4">
        <v>358</v>
      </c>
      <c r="R244" s="4">
        <v>14</v>
      </c>
      <c r="S244" s="4">
        <v>23</v>
      </c>
      <c r="T244" s="4">
        <v>209</v>
      </c>
      <c r="U244" s="4">
        <v>0.3</v>
      </c>
      <c r="V244" s="4">
        <v>0.5</v>
      </c>
      <c r="W244" s="4">
        <v>0</v>
      </c>
      <c r="X244" s="4">
        <v>15</v>
      </c>
      <c r="Y244" s="4">
        <v>0.2</v>
      </c>
      <c r="Z244" s="4">
        <v>0.1</v>
      </c>
      <c r="AA244" s="4">
        <v>1.9</v>
      </c>
      <c r="AB244" s="4">
        <v>0.1</v>
      </c>
      <c r="AC244" s="4">
        <v>10</v>
      </c>
      <c r="AD244" s="4">
        <v>2.2000000000000002</v>
      </c>
      <c r="AE244" s="4">
        <v>0.7</v>
      </c>
      <c r="AF244" s="4">
        <v>12.5</v>
      </c>
      <c r="AG244" s="749" t="s">
        <v>1644</v>
      </c>
      <c r="AI244" s="82" t="s">
        <v>227</v>
      </c>
      <c r="AJ244" s="82" t="s">
        <v>445</v>
      </c>
      <c r="AK244" s="82" t="s">
        <v>113</v>
      </c>
      <c r="AL244" s="749" t="s">
        <v>1861</v>
      </c>
    </row>
    <row r="245" spans="1:38">
      <c r="A245" s="1" t="s">
        <v>3203</v>
      </c>
      <c r="B245" s="82">
        <v>778</v>
      </c>
      <c r="C245" s="82">
        <v>186</v>
      </c>
      <c r="D245" s="82">
        <v>0</v>
      </c>
      <c r="E245" s="82">
        <v>26.6</v>
      </c>
      <c r="F245" s="82">
        <v>8.09</v>
      </c>
      <c r="G245" s="82" t="s">
        <v>227</v>
      </c>
      <c r="H245" s="398" t="s">
        <v>2083</v>
      </c>
      <c r="I245" s="749" t="s">
        <v>1644</v>
      </c>
      <c r="J245" s="82">
        <v>186</v>
      </c>
      <c r="K245" s="82">
        <v>0</v>
      </c>
      <c r="L245" s="82">
        <v>26.6</v>
      </c>
      <c r="M245" s="4">
        <v>-4.0000000000000001E-3</v>
      </c>
      <c r="N245" s="82">
        <v>8.09</v>
      </c>
      <c r="O245" s="4">
        <v>-4.0000000000000001E-3</v>
      </c>
      <c r="P245" s="4">
        <v>-4.0000000000000001E-3</v>
      </c>
      <c r="Q245" s="4">
        <v>-4.0000000000000001E-3</v>
      </c>
      <c r="R245" s="4">
        <v>-4.0000000000000001E-3</v>
      </c>
      <c r="S245" s="4">
        <v>-4.0000000000000001E-3</v>
      </c>
      <c r="T245" s="4">
        <v>-4.0000000000000001E-3</v>
      </c>
      <c r="U245" s="4">
        <v>-4.0000000000000001E-3</v>
      </c>
      <c r="V245" s="4">
        <v>-4.0000000000000001E-3</v>
      </c>
      <c r="W245" s="4">
        <v>-4.0000000000000002E-4</v>
      </c>
      <c r="X245" s="4">
        <v>-4.0000000000000001E-3</v>
      </c>
      <c r="Y245" s="4">
        <v>-4.0000000000000001E-3</v>
      </c>
      <c r="Z245" s="4">
        <v>-4.0000000000000001E-3</v>
      </c>
      <c r="AA245" s="4">
        <v>-4.0000000000000001E-3</v>
      </c>
      <c r="AB245" s="4">
        <v>-4.0000000000000001E-3</v>
      </c>
      <c r="AC245" s="4">
        <v>-4.0000000000000001E-3</v>
      </c>
      <c r="AD245" s="4">
        <v>-4.0000000000000002E-4</v>
      </c>
      <c r="AE245" s="4">
        <v>-4.0000000000000001E-3</v>
      </c>
      <c r="AF245" s="4">
        <v>5.9</v>
      </c>
      <c r="AG245" s="398" t="s">
        <v>2081</v>
      </c>
      <c r="AI245" s="82" t="s">
        <v>227</v>
      </c>
      <c r="AJ245" s="82" t="s">
        <v>445</v>
      </c>
      <c r="AK245" s="82" t="s">
        <v>250</v>
      </c>
      <c r="AL245" s="749" t="s">
        <v>1862</v>
      </c>
    </row>
    <row r="246" spans="1:38">
      <c r="A246" s="24" t="s">
        <v>3204</v>
      </c>
      <c r="B246" s="1150">
        <v>377</v>
      </c>
      <c r="C246" s="1150">
        <v>90</v>
      </c>
      <c r="D246" s="1150">
        <v>0</v>
      </c>
      <c r="E246" s="1150">
        <v>19.68</v>
      </c>
      <c r="F246" s="1150">
        <v>0.90900000000000003</v>
      </c>
      <c r="G246" s="1150" t="s">
        <v>227</v>
      </c>
      <c r="H246" s="483" t="s">
        <v>2084</v>
      </c>
      <c r="I246" s="749" t="s">
        <v>1644</v>
      </c>
      <c r="J246" s="1150">
        <v>128</v>
      </c>
      <c r="K246" s="1150">
        <v>0</v>
      </c>
      <c r="L246" s="1150">
        <v>23.6</v>
      </c>
      <c r="M246" s="4">
        <v>0</v>
      </c>
      <c r="N246" s="1151">
        <v>3</v>
      </c>
      <c r="O246" s="4">
        <v>0.8</v>
      </c>
      <c r="P246" s="4">
        <v>377</v>
      </c>
      <c r="Q246" s="4">
        <v>237</v>
      </c>
      <c r="R246" s="4">
        <v>14</v>
      </c>
      <c r="S246" s="4">
        <v>33</v>
      </c>
      <c r="T246" s="4">
        <v>217</v>
      </c>
      <c r="U246" s="4">
        <v>1</v>
      </c>
      <c r="V246" s="4">
        <v>0.5</v>
      </c>
      <c r="W246" s="4">
        <v>0</v>
      </c>
      <c r="X246" s="4">
        <v>6</v>
      </c>
      <c r="Y246" s="4">
        <v>0</v>
      </c>
      <c r="Z246" s="4">
        <v>0</v>
      </c>
      <c r="AA246" s="4">
        <v>5.2</v>
      </c>
      <c r="AB246" s="4">
        <v>0.2</v>
      </c>
      <c r="AC246" s="4">
        <v>2</v>
      </c>
      <c r="AD246" s="4">
        <v>1.2</v>
      </c>
      <c r="AE246" s="4">
        <v>0</v>
      </c>
      <c r="AF246" s="4">
        <v>5.9</v>
      </c>
      <c r="AG246" s="398" t="s">
        <v>2081</v>
      </c>
      <c r="AI246" s="1150" t="s">
        <v>227</v>
      </c>
      <c r="AJ246" s="82" t="s">
        <v>445</v>
      </c>
      <c r="AK246" s="1150" t="s">
        <v>115</v>
      </c>
      <c r="AL246" s="749" t="s">
        <v>1863</v>
      </c>
    </row>
    <row r="247" spans="1:38">
      <c r="A247" s="1" t="s">
        <v>3240</v>
      </c>
      <c r="B247" s="1">
        <v>3007</v>
      </c>
      <c r="C247" s="1">
        <v>719</v>
      </c>
      <c r="D247" s="1">
        <v>0.9</v>
      </c>
      <c r="E247" s="1">
        <v>0.9</v>
      </c>
      <c r="F247" s="1">
        <v>80.5</v>
      </c>
      <c r="G247" s="1" t="s">
        <v>228</v>
      </c>
      <c r="H247" s="66" t="s">
        <v>347</v>
      </c>
      <c r="I247" s="47">
        <v>16</v>
      </c>
      <c r="J247" s="4">
        <v>760.00000000000011</v>
      </c>
      <c r="K247" s="4">
        <v>0.40056022408963587</v>
      </c>
      <c r="L247" s="4">
        <v>0.70028011204481799</v>
      </c>
      <c r="M247" s="151">
        <v>-4.0000000000000001E-3</v>
      </c>
      <c r="N247" s="4">
        <v>84</v>
      </c>
      <c r="O247" s="67">
        <v>35.568627450980394</v>
      </c>
      <c r="P247" s="4">
        <v>940.00000000000011</v>
      </c>
      <c r="Q247" s="4">
        <v>5</v>
      </c>
      <c r="R247" s="4">
        <v>4.0000000000000009</v>
      </c>
      <c r="S247" s="4">
        <v>1.0000000000000002</v>
      </c>
      <c r="T247" s="4">
        <v>12.000000000000002</v>
      </c>
      <c r="U247" s="4">
        <v>0.29971988795518206</v>
      </c>
      <c r="V247" s="151">
        <v>-4.0000000000000001E-3</v>
      </c>
      <c r="W247" s="67">
        <v>3.9215686274509803E-2</v>
      </c>
      <c r="X247" s="3">
        <v>0</v>
      </c>
      <c r="Y247" s="151">
        <v>-4.0000000000000001E-3</v>
      </c>
      <c r="Z247" s="151">
        <v>-4.0000000000000001E-3</v>
      </c>
      <c r="AA247" s="151">
        <v>-4.0000000000000001E-3</v>
      </c>
      <c r="AB247" s="151">
        <v>-4.0000000000000001E-3</v>
      </c>
      <c r="AC247" s="3">
        <v>2.0000000000000004</v>
      </c>
      <c r="AD247" s="3">
        <v>0</v>
      </c>
      <c r="AE247" s="3">
        <v>0</v>
      </c>
      <c r="AF247" s="69">
        <v>0</v>
      </c>
      <c r="AI247" s="1" t="s">
        <v>228</v>
      </c>
      <c r="AJ247" s="1" t="s">
        <v>1752</v>
      </c>
      <c r="AK247" s="66" t="s">
        <v>347</v>
      </c>
      <c r="AL247" s="749" t="s">
        <v>1877</v>
      </c>
    </row>
    <row r="248" spans="1:38">
      <c r="A248" s="1233" t="s">
        <v>3242</v>
      </c>
      <c r="B248" s="1">
        <v>2251</v>
      </c>
      <c r="C248" s="1">
        <v>547</v>
      </c>
      <c r="D248" s="1">
        <v>0.54</v>
      </c>
      <c r="E248" s="1">
        <v>0.51</v>
      </c>
      <c r="F248" s="1">
        <v>60</v>
      </c>
      <c r="G248" s="1" t="s">
        <v>228</v>
      </c>
      <c r="H248" s="1" t="s">
        <v>3026</v>
      </c>
      <c r="I248" s="1">
        <v>22</v>
      </c>
      <c r="J248" s="1">
        <v>547</v>
      </c>
      <c r="K248" s="1">
        <v>0.54</v>
      </c>
      <c r="L248" s="1">
        <v>0.51</v>
      </c>
      <c r="M248" s="1238">
        <v>0</v>
      </c>
      <c r="N248" s="1">
        <v>60</v>
      </c>
      <c r="O248" s="1234">
        <v>19.899999999999999</v>
      </c>
      <c r="P248" s="1238">
        <v>674</v>
      </c>
      <c r="Q248" s="1238">
        <v>30</v>
      </c>
      <c r="R248" s="1238">
        <v>21</v>
      </c>
      <c r="S248" s="1238">
        <v>2</v>
      </c>
      <c r="T248" s="1238">
        <v>16</v>
      </c>
      <c r="U248" s="1238">
        <v>0</v>
      </c>
      <c r="V248" s="1238">
        <v>0</v>
      </c>
      <c r="W248" s="1238">
        <v>0</v>
      </c>
      <c r="X248" s="1234">
        <v>1650</v>
      </c>
      <c r="Y248" s="1238">
        <v>7.0000000000000001E-3</v>
      </c>
      <c r="Z248" s="1238">
        <v>2.5999999999999999E-2</v>
      </c>
      <c r="AA248" s="1238">
        <v>1.6E-2</v>
      </c>
      <c r="AB248" s="1238">
        <v>3.75</v>
      </c>
      <c r="AC248" s="1238">
        <v>1</v>
      </c>
      <c r="AD248" s="1238">
        <v>0</v>
      </c>
      <c r="AE248" s="1238">
        <v>0.1</v>
      </c>
      <c r="AF248" s="1234">
        <v>7.5</v>
      </c>
      <c r="AI248" s="1" t="s">
        <v>228</v>
      </c>
      <c r="AJ248" s="1" t="s">
        <v>1752</v>
      </c>
      <c r="AK248" s="1" t="s">
        <v>116</v>
      </c>
      <c r="AL248" s="749" t="s">
        <v>1878</v>
      </c>
    </row>
    <row r="249" spans="1:38">
      <c r="A249" s="1" t="s">
        <v>3241</v>
      </c>
      <c r="B249" s="1">
        <v>2960</v>
      </c>
      <c r="C249" s="1">
        <v>720</v>
      </c>
      <c r="D249" s="1">
        <v>0</v>
      </c>
      <c r="E249" s="1">
        <v>0</v>
      </c>
      <c r="F249" s="1">
        <v>80</v>
      </c>
      <c r="G249" s="1" t="s">
        <v>228</v>
      </c>
      <c r="H249" s="66" t="s">
        <v>1228</v>
      </c>
      <c r="I249" s="47">
        <v>16</v>
      </c>
      <c r="J249" s="79">
        <v>720</v>
      </c>
      <c r="K249" s="4">
        <v>0.40056022408963587</v>
      </c>
      <c r="L249" s="4">
        <v>0.70028011204481799</v>
      </c>
      <c r="M249" s="151">
        <v>-4.0000000000000001E-3</v>
      </c>
      <c r="N249" s="79">
        <v>80</v>
      </c>
      <c r="O249" s="67">
        <v>35.568627450980394</v>
      </c>
      <c r="P249" s="4">
        <v>940.00000000000011</v>
      </c>
      <c r="Q249" s="4">
        <v>5</v>
      </c>
      <c r="R249" s="4">
        <v>4.0000000000000009</v>
      </c>
      <c r="S249" s="4">
        <v>1.0000000000000002</v>
      </c>
      <c r="T249" s="4">
        <v>12.000000000000002</v>
      </c>
      <c r="U249" s="4">
        <v>0.29971988795518206</v>
      </c>
      <c r="V249" s="151">
        <v>-4.0000000000000001E-3</v>
      </c>
      <c r="W249" s="67">
        <v>3.9215686274509803E-2</v>
      </c>
      <c r="X249" s="3">
        <v>0</v>
      </c>
      <c r="Y249" s="151">
        <v>-4.0000000000000001E-3</v>
      </c>
      <c r="Z249" s="151">
        <v>-4.0000000000000001E-3</v>
      </c>
      <c r="AA249" s="151">
        <v>-4.0000000000000001E-3</v>
      </c>
      <c r="AB249" s="151">
        <v>-4.0000000000000001E-3</v>
      </c>
      <c r="AC249" s="3">
        <v>2.0000000000000004</v>
      </c>
      <c r="AD249" s="3">
        <v>0</v>
      </c>
      <c r="AE249" s="3">
        <v>0</v>
      </c>
      <c r="AF249" s="69">
        <v>0</v>
      </c>
      <c r="AI249" s="1" t="s">
        <v>228</v>
      </c>
      <c r="AJ249" s="1" t="s">
        <v>1752</v>
      </c>
      <c r="AK249" s="66" t="s">
        <v>1228</v>
      </c>
      <c r="AL249" s="749" t="s">
        <v>1879</v>
      </c>
    </row>
    <row r="250" spans="1:38">
      <c r="A250" s="1" t="s">
        <v>3236</v>
      </c>
      <c r="B250" s="1">
        <v>3007</v>
      </c>
      <c r="C250" s="1">
        <v>719</v>
      </c>
      <c r="D250" s="1">
        <v>0.9</v>
      </c>
      <c r="E250" s="1">
        <v>0.9</v>
      </c>
      <c r="F250" s="1">
        <v>80.5</v>
      </c>
      <c r="G250" s="1" t="s">
        <v>228</v>
      </c>
      <c r="H250" s="66" t="s">
        <v>347</v>
      </c>
      <c r="I250" s="47">
        <v>16</v>
      </c>
      <c r="J250" s="4">
        <v>760.00000000000011</v>
      </c>
      <c r="K250" s="4">
        <v>0.40056022408963587</v>
      </c>
      <c r="L250" s="4">
        <v>0.70028011204481799</v>
      </c>
      <c r="M250" s="151">
        <v>-4.0000000000000001E-3</v>
      </c>
      <c r="N250" s="4">
        <v>84</v>
      </c>
      <c r="O250" s="67">
        <v>35.568627450980394</v>
      </c>
      <c r="P250" s="4">
        <v>940.00000000000011</v>
      </c>
      <c r="Q250" s="4">
        <v>5</v>
      </c>
      <c r="R250" s="4">
        <v>4.0000000000000009</v>
      </c>
      <c r="S250" s="4">
        <v>1.0000000000000002</v>
      </c>
      <c r="T250" s="4">
        <v>12.000000000000002</v>
      </c>
      <c r="U250" s="4">
        <v>0.29971988795518206</v>
      </c>
      <c r="V250" s="151">
        <v>-4.0000000000000001E-3</v>
      </c>
      <c r="W250" s="67">
        <v>3.9215686274509803E-2</v>
      </c>
      <c r="X250" s="3">
        <v>0</v>
      </c>
      <c r="Y250" s="151">
        <v>-4.0000000000000001E-3</v>
      </c>
      <c r="Z250" s="151">
        <v>-4.0000000000000001E-3</v>
      </c>
      <c r="AA250" s="151">
        <v>-4.0000000000000001E-3</v>
      </c>
      <c r="AB250" s="151">
        <v>-4.0000000000000001E-3</v>
      </c>
      <c r="AC250" s="3">
        <v>2.0000000000000004</v>
      </c>
      <c r="AD250" s="3">
        <v>0</v>
      </c>
      <c r="AE250" s="3">
        <v>0</v>
      </c>
      <c r="AF250" s="69">
        <v>0</v>
      </c>
      <c r="AI250" s="1" t="s">
        <v>228</v>
      </c>
      <c r="AJ250" s="1" t="s">
        <v>1752</v>
      </c>
      <c r="AK250" s="66" t="s">
        <v>347</v>
      </c>
      <c r="AL250" s="749" t="s">
        <v>1877</v>
      </c>
    </row>
    <row r="251" spans="1:38">
      <c r="A251" s="1" t="s">
        <v>3243</v>
      </c>
      <c r="B251" s="1">
        <v>2251</v>
      </c>
      <c r="C251" s="1">
        <v>547</v>
      </c>
      <c r="D251" s="1">
        <v>0.54</v>
      </c>
      <c r="E251" s="1">
        <v>0.51</v>
      </c>
      <c r="F251" s="1">
        <v>60</v>
      </c>
      <c r="G251" s="1" t="s">
        <v>228</v>
      </c>
      <c r="H251" s="1" t="s">
        <v>116</v>
      </c>
      <c r="J251" s="1">
        <v>547</v>
      </c>
      <c r="K251" s="1">
        <v>0.54</v>
      </c>
      <c r="L251" s="1">
        <v>0.51</v>
      </c>
      <c r="M251" s="151">
        <v>-4.0000000000000001E-3</v>
      </c>
      <c r="N251" s="1">
        <v>60</v>
      </c>
      <c r="O251" s="151">
        <v>-4.0000000000000001E-3</v>
      </c>
      <c r="P251" s="151">
        <v>-4.0000000000000001E-3</v>
      </c>
      <c r="Q251" s="151">
        <v>-4.0000000000000001E-3</v>
      </c>
      <c r="R251" s="151">
        <v>-4.0000000000000001E-3</v>
      </c>
      <c r="S251" s="151">
        <v>-4.0000000000000001E-3</v>
      </c>
      <c r="T251" s="151">
        <v>-4.0000000000000001E-3</v>
      </c>
      <c r="U251" s="151">
        <v>-4.0000000000000001E-3</v>
      </c>
      <c r="V251" s="151">
        <v>-4.0000000000000001E-3</v>
      </c>
      <c r="W251" s="151">
        <v>-4.0000000000000002E-4</v>
      </c>
      <c r="X251" s="151">
        <v>-4.0000000000000001E-3</v>
      </c>
      <c r="Y251" s="151">
        <v>-4.0000000000000001E-3</v>
      </c>
      <c r="Z251" s="151">
        <v>-4.0000000000000001E-3</v>
      </c>
      <c r="AA251" s="151">
        <v>-4.0000000000000001E-3</v>
      </c>
      <c r="AB251" s="151">
        <v>-4.0000000000000001E-3</v>
      </c>
      <c r="AC251" s="151">
        <v>-4.0000000000000001E-3</v>
      </c>
      <c r="AD251" s="151">
        <v>-4.0000000000000002E-4</v>
      </c>
      <c r="AE251" s="151">
        <v>-4.0000000000000001E-3</v>
      </c>
      <c r="AF251" s="151">
        <v>-4.0000000000000002E-4</v>
      </c>
      <c r="AI251" s="1" t="s">
        <v>228</v>
      </c>
      <c r="AJ251" s="1" t="s">
        <v>1752</v>
      </c>
      <c r="AK251" s="1" t="s">
        <v>116</v>
      </c>
      <c r="AL251" s="749" t="s">
        <v>1878</v>
      </c>
    </row>
    <row r="252" spans="1:38">
      <c r="A252" s="1" t="s">
        <v>3244</v>
      </c>
      <c r="B252" s="1">
        <v>2960</v>
      </c>
      <c r="C252" s="1">
        <v>720</v>
      </c>
      <c r="D252" s="1">
        <v>0</v>
      </c>
      <c r="E252" s="1">
        <v>0</v>
      </c>
      <c r="F252" s="1">
        <v>80</v>
      </c>
      <c r="G252" s="1" t="s">
        <v>228</v>
      </c>
      <c r="H252" s="66" t="s">
        <v>1228</v>
      </c>
      <c r="I252" s="47">
        <v>16</v>
      </c>
      <c r="J252" s="79">
        <v>720</v>
      </c>
      <c r="K252" s="4">
        <v>0.40056022408963587</v>
      </c>
      <c r="L252" s="4">
        <v>0.70028011204481799</v>
      </c>
      <c r="M252" s="151">
        <v>-4.0000000000000001E-3</v>
      </c>
      <c r="N252" s="79">
        <v>80</v>
      </c>
      <c r="O252" s="67">
        <v>35.568627450980394</v>
      </c>
      <c r="P252" s="4">
        <v>940.00000000000011</v>
      </c>
      <c r="Q252" s="4">
        <v>5</v>
      </c>
      <c r="R252" s="4">
        <v>4.0000000000000009</v>
      </c>
      <c r="S252" s="4">
        <v>1.0000000000000002</v>
      </c>
      <c r="T252" s="4">
        <v>12.000000000000002</v>
      </c>
      <c r="U252" s="4">
        <v>0.29971988795518206</v>
      </c>
      <c r="V252" s="151">
        <v>-4.0000000000000001E-3</v>
      </c>
      <c r="W252" s="67">
        <v>3.9215686274509803E-2</v>
      </c>
      <c r="X252" s="3">
        <v>0</v>
      </c>
      <c r="Y252" s="151">
        <v>-4.0000000000000001E-3</v>
      </c>
      <c r="Z252" s="151">
        <v>-4.0000000000000001E-3</v>
      </c>
      <c r="AA252" s="151">
        <v>-4.0000000000000001E-3</v>
      </c>
      <c r="AB252" s="151">
        <v>-4.0000000000000001E-3</v>
      </c>
      <c r="AC252" s="3">
        <v>2.0000000000000004</v>
      </c>
      <c r="AD252" s="3">
        <v>0</v>
      </c>
      <c r="AE252" s="3">
        <v>0</v>
      </c>
      <c r="AF252" s="69">
        <v>0</v>
      </c>
      <c r="AI252" s="1" t="s">
        <v>228</v>
      </c>
      <c r="AJ252" s="1" t="s">
        <v>1752</v>
      </c>
      <c r="AK252" s="66" t="s">
        <v>1228</v>
      </c>
      <c r="AL252" s="749" t="s">
        <v>1879</v>
      </c>
    </row>
    <row r="253" spans="1:38">
      <c r="A253" s="1" t="s">
        <v>3237</v>
      </c>
      <c r="B253" s="1">
        <v>2999</v>
      </c>
      <c r="C253" s="1">
        <v>717</v>
      </c>
      <c r="D253" s="1">
        <v>0.06</v>
      </c>
      <c r="E253" s="1">
        <v>0.85</v>
      </c>
      <c r="F253" s="1">
        <v>81.11</v>
      </c>
      <c r="G253" s="1" t="s">
        <v>228</v>
      </c>
      <c r="H253" s="61" t="s">
        <v>346</v>
      </c>
      <c r="I253" s="27">
        <v>16</v>
      </c>
      <c r="J253" s="29">
        <v>733.9860000000001</v>
      </c>
      <c r="K253" s="29">
        <v>0.6</v>
      </c>
      <c r="L253" s="29">
        <v>0.5</v>
      </c>
      <c r="M253" s="151">
        <v>-4.0000000000000001E-3</v>
      </c>
      <c r="N253" s="29">
        <v>82.5</v>
      </c>
      <c r="O253" s="62">
        <v>52.8</v>
      </c>
      <c r="P253" s="31">
        <v>14</v>
      </c>
      <c r="Q253" s="31">
        <v>19.600000000000001</v>
      </c>
      <c r="R253" s="31">
        <v>15</v>
      </c>
      <c r="S253" s="31">
        <v>1.6</v>
      </c>
      <c r="T253" s="31">
        <v>24</v>
      </c>
      <c r="U253" s="31">
        <v>0.04</v>
      </c>
      <c r="V253" s="31">
        <v>0.15</v>
      </c>
      <c r="W253" s="63">
        <v>4.0000000000000001E-3</v>
      </c>
      <c r="X253" s="31">
        <v>708</v>
      </c>
      <c r="Y253" s="31">
        <v>8.0000000000000002E-3</v>
      </c>
      <c r="Z253" s="31">
        <v>3.5999999999999997E-2</v>
      </c>
      <c r="AA253" s="31">
        <v>0.21800000000000003</v>
      </c>
      <c r="AB253" s="31">
        <v>4.0000000000000001E-3</v>
      </c>
      <c r="AC253" s="31">
        <v>3</v>
      </c>
      <c r="AD253" s="151">
        <v>-4.0000000000000002E-4</v>
      </c>
      <c r="AE253" s="151">
        <v>-4.0000000000000001E-3</v>
      </c>
      <c r="AF253" s="63">
        <v>3.8259999999999996</v>
      </c>
      <c r="AI253" s="1" t="s">
        <v>228</v>
      </c>
      <c r="AJ253" s="1" t="s">
        <v>1752</v>
      </c>
      <c r="AK253" s="61" t="s">
        <v>346</v>
      </c>
      <c r="AL253" s="749" t="s">
        <v>346</v>
      </c>
    </row>
    <row r="254" spans="1:38">
      <c r="A254" s="1" t="s">
        <v>3238</v>
      </c>
      <c r="B254" s="1">
        <v>3774</v>
      </c>
      <c r="C254" s="1">
        <v>902</v>
      </c>
      <c r="D254" s="1">
        <v>0</v>
      </c>
      <c r="E254" s="1">
        <v>0</v>
      </c>
      <c r="F254" s="1">
        <v>100</v>
      </c>
      <c r="G254" s="1" t="s">
        <v>228</v>
      </c>
      <c r="H254" s="71" t="s">
        <v>335</v>
      </c>
      <c r="I254" s="38">
        <v>13</v>
      </c>
      <c r="J254" s="40">
        <v>881</v>
      </c>
      <c r="K254" s="34">
        <v>0</v>
      </c>
      <c r="L254" s="40">
        <v>0.1</v>
      </c>
      <c r="M254" s="34">
        <v>0</v>
      </c>
      <c r="N254" s="40">
        <v>99.700000000000017</v>
      </c>
      <c r="O254" s="72">
        <v>39.36</v>
      </c>
      <c r="P254" s="42">
        <v>1</v>
      </c>
      <c r="Q254" s="42">
        <v>1</v>
      </c>
      <c r="R254" s="42">
        <v>1</v>
      </c>
      <c r="S254" s="42">
        <v>1</v>
      </c>
      <c r="T254" s="42">
        <v>3</v>
      </c>
      <c r="U254" s="42">
        <v>0.06</v>
      </c>
      <c r="V254" s="42">
        <v>0.10999999999999999</v>
      </c>
      <c r="W254" s="73">
        <v>0.02</v>
      </c>
      <c r="X254" s="42">
        <v>9</v>
      </c>
      <c r="Y254" s="37">
        <v>0</v>
      </c>
      <c r="Z254" s="37">
        <v>0</v>
      </c>
      <c r="AA254" s="42">
        <v>1.7999999999999999E-2</v>
      </c>
      <c r="AB254" s="42">
        <v>0.02</v>
      </c>
      <c r="AC254" s="37">
        <v>0</v>
      </c>
      <c r="AD254" s="37">
        <v>0</v>
      </c>
      <c r="AE254" s="37">
        <v>0</v>
      </c>
      <c r="AF254" s="73">
        <v>2.5</v>
      </c>
      <c r="AI254" s="1" t="s">
        <v>228</v>
      </c>
      <c r="AJ254" s="1" t="s">
        <v>1752</v>
      </c>
      <c r="AK254" s="71" t="s">
        <v>335</v>
      </c>
      <c r="AL254" s="749" t="s">
        <v>335</v>
      </c>
    </row>
    <row r="255" spans="1:38">
      <c r="A255" s="1" t="s">
        <v>1880</v>
      </c>
      <c r="B255" s="1">
        <v>3699</v>
      </c>
      <c r="C255" s="1">
        <v>884</v>
      </c>
      <c r="D255" s="1">
        <v>0</v>
      </c>
      <c r="E255" s="1">
        <v>0</v>
      </c>
      <c r="F255" s="1">
        <v>100</v>
      </c>
      <c r="G255" s="1" t="s">
        <v>228</v>
      </c>
      <c r="H255" s="1" t="s">
        <v>117</v>
      </c>
      <c r="J255" s="1">
        <v>884</v>
      </c>
      <c r="K255" s="1">
        <v>0</v>
      </c>
      <c r="L255" s="1">
        <v>0</v>
      </c>
      <c r="M255" s="151">
        <v>-4.0000000000000001E-3</v>
      </c>
      <c r="N255" s="1">
        <v>100</v>
      </c>
      <c r="O255" s="151">
        <v>-4.0000000000000001E-3</v>
      </c>
      <c r="P255" s="151">
        <v>-4.0000000000000001E-3</v>
      </c>
      <c r="Q255" s="151">
        <v>-4.0000000000000001E-3</v>
      </c>
      <c r="R255" s="151">
        <v>-4.0000000000000001E-3</v>
      </c>
      <c r="S255" s="151">
        <v>-4.0000000000000001E-3</v>
      </c>
      <c r="T255" s="151">
        <v>-4.0000000000000001E-3</v>
      </c>
      <c r="U255" s="151">
        <v>-4.0000000000000001E-3</v>
      </c>
      <c r="V255" s="151">
        <v>-4.0000000000000001E-3</v>
      </c>
      <c r="W255" s="151">
        <v>-4.0000000000000002E-4</v>
      </c>
      <c r="X255" s="151">
        <v>-4.0000000000000001E-3</v>
      </c>
      <c r="Y255" s="151">
        <v>-4.0000000000000001E-3</v>
      </c>
      <c r="Z255" s="151">
        <v>-4.0000000000000001E-3</v>
      </c>
      <c r="AA255" s="151">
        <v>-4.0000000000000001E-3</v>
      </c>
      <c r="AB255" s="151">
        <v>-4.0000000000000001E-3</v>
      </c>
      <c r="AC255" s="151">
        <v>-4.0000000000000001E-3</v>
      </c>
      <c r="AD255" s="151">
        <v>-4.0000000000000002E-4</v>
      </c>
      <c r="AE255" s="151">
        <v>-4.0000000000000001E-3</v>
      </c>
      <c r="AF255" s="151">
        <v>-4.0000000000000002E-4</v>
      </c>
      <c r="AI255" s="1" t="s">
        <v>228</v>
      </c>
      <c r="AJ255" s="1" t="s">
        <v>1752</v>
      </c>
      <c r="AK255" s="1" t="s">
        <v>117</v>
      </c>
      <c r="AL255" s="749" t="s">
        <v>1880</v>
      </c>
    </row>
    <row r="256" spans="1:38">
      <c r="A256" s="1239" t="s">
        <v>3239</v>
      </c>
      <c r="B256" s="24">
        <v>3699</v>
      </c>
      <c r="C256" s="24">
        <v>884</v>
      </c>
      <c r="D256" s="24">
        <v>0</v>
      </c>
      <c r="E256" s="24">
        <v>0</v>
      </c>
      <c r="F256" s="24">
        <v>100</v>
      </c>
      <c r="G256" s="24" t="s">
        <v>228</v>
      </c>
      <c r="H256" s="749" t="s">
        <v>350</v>
      </c>
      <c r="I256" s="47">
        <v>22</v>
      </c>
      <c r="J256" s="3">
        <v>884.32100000000014</v>
      </c>
      <c r="K256" s="3">
        <v>0.1</v>
      </c>
      <c r="L256" s="3">
        <v>0.1</v>
      </c>
      <c r="M256" s="3">
        <v>0</v>
      </c>
      <c r="N256" s="3">
        <v>99.499999999999986</v>
      </c>
      <c r="O256" s="69">
        <v>6.7900000000000009</v>
      </c>
      <c r="P256" s="3">
        <v>0.1</v>
      </c>
      <c r="Q256" s="3">
        <v>0</v>
      </c>
      <c r="R256" s="3">
        <v>0.2</v>
      </c>
      <c r="S256" s="3">
        <v>1</v>
      </c>
      <c r="T256" s="3">
        <v>0</v>
      </c>
      <c r="U256" s="3">
        <v>0.1</v>
      </c>
      <c r="V256" s="3">
        <v>0</v>
      </c>
      <c r="W256" s="69">
        <v>0</v>
      </c>
      <c r="X256" s="3">
        <v>0</v>
      </c>
      <c r="Y256" s="3">
        <v>0</v>
      </c>
      <c r="Z256" s="3">
        <v>0</v>
      </c>
      <c r="AA256" s="3">
        <v>0</v>
      </c>
      <c r="AB256" s="3">
        <v>0</v>
      </c>
      <c r="AC256" s="3">
        <v>0</v>
      </c>
      <c r="AD256" s="3">
        <v>0</v>
      </c>
      <c r="AE256" s="3">
        <v>0</v>
      </c>
      <c r="AF256" s="3">
        <v>0</v>
      </c>
      <c r="AI256" s="24" t="s">
        <v>228</v>
      </c>
      <c r="AJ256" s="1" t="s">
        <v>1752</v>
      </c>
      <c r="AK256" s="749" t="s">
        <v>350</v>
      </c>
      <c r="AL256" s="749" t="s">
        <v>350</v>
      </c>
    </row>
    <row r="257" spans="1:38">
      <c r="A257" s="1" t="s">
        <v>3476</v>
      </c>
      <c r="B257" s="1"/>
      <c r="C257" s="1"/>
      <c r="D257" s="1"/>
      <c r="E257" s="1"/>
      <c r="F257" s="1"/>
      <c r="G257" s="1"/>
      <c r="H257" s="749" t="s">
        <v>2067</v>
      </c>
      <c r="I257" s="47"/>
      <c r="J257" s="3">
        <v>448</v>
      </c>
      <c r="K257" s="3">
        <v>60</v>
      </c>
      <c r="L257" s="3">
        <v>6</v>
      </c>
      <c r="M257" s="151">
        <v>-4.0000000000000001E-3</v>
      </c>
      <c r="N257" s="3">
        <v>20</v>
      </c>
      <c r="O257" s="3">
        <v>10</v>
      </c>
      <c r="P257" s="3">
        <v>275</v>
      </c>
      <c r="Q257" s="151">
        <v>-4.0000000000000001E-3</v>
      </c>
      <c r="R257" s="151">
        <v>-4.0000000000000001E-3</v>
      </c>
      <c r="S257" s="151">
        <v>-4.0000000000000001E-3</v>
      </c>
      <c r="T257" s="151">
        <v>-4.0000000000000001E-3</v>
      </c>
      <c r="U257" s="151">
        <v>-4.0000000000000001E-3</v>
      </c>
      <c r="V257" s="151">
        <v>-4.0000000000000001E-3</v>
      </c>
      <c r="W257" s="151">
        <v>-4.0000000000000001E-3</v>
      </c>
      <c r="X257" s="151">
        <v>-4.0000000000000001E-3</v>
      </c>
      <c r="Y257" s="151">
        <v>-4.0000000000000001E-3</v>
      </c>
      <c r="Z257" s="151">
        <v>-4.0000000000000001E-3</v>
      </c>
      <c r="AA257" s="151">
        <v>-4.0000000000000001E-3</v>
      </c>
      <c r="AB257" s="151">
        <v>-4.0000000000000001E-3</v>
      </c>
      <c r="AC257" s="151">
        <v>-4.0000000000000001E-3</v>
      </c>
      <c r="AD257" s="151">
        <v>-4.0000000000000001E-3</v>
      </c>
      <c r="AE257" s="151">
        <v>-4.0000000000000001E-3</v>
      </c>
      <c r="AF257" s="151">
        <v>-4.0000000000000001E-3</v>
      </c>
      <c r="AI257" s="1"/>
      <c r="AJ257" s="1"/>
    </row>
    <row r="258" spans="1:38">
      <c r="A258" s="749" t="s">
        <v>3343</v>
      </c>
      <c r="B258" s="1">
        <v>1700</v>
      </c>
      <c r="C258" s="1">
        <v>406</v>
      </c>
      <c r="D258" s="1">
        <v>99.9</v>
      </c>
      <c r="E258" s="1">
        <v>0</v>
      </c>
      <c r="F258" s="1">
        <v>0</v>
      </c>
      <c r="G258" s="1" t="s">
        <v>229</v>
      </c>
      <c r="H258" s="749" t="s">
        <v>282</v>
      </c>
      <c r="I258" s="749">
        <v>2</v>
      </c>
      <c r="J258" s="33">
        <v>409.89503149055281</v>
      </c>
      <c r="K258" s="4">
        <v>99.850244926522038</v>
      </c>
      <c r="L258" s="34">
        <v>0</v>
      </c>
      <c r="M258" s="34">
        <v>0</v>
      </c>
      <c r="N258" s="4">
        <v>0</v>
      </c>
      <c r="O258" s="34">
        <v>0</v>
      </c>
      <c r="P258" s="35">
        <v>0.1429</v>
      </c>
      <c r="Q258" s="3">
        <v>2</v>
      </c>
      <c r="R258" s="3">
        <v>1</v>
      </c>
      <c r="S258" s="3">
        <v>0</v>
      </c>
      <c r="T258" s="3">
        <v>0</v>
      </c>
      <c r="U258" s="3">
        <v>0.28971308607417773</v>
      </c>
      <c r="V258" s="3">
        <v>2.0293911826452064E-2</v>
      </c>
      <c r="W258" s="36">
        <v>1.4695591322603219E-2</v>
      </c>
      <c r="X258" s="37">
        <v>0</v>
      </c>
      <c r="Y258" s="37">
        <v>0</v>
      </c>
      <c r="Z258" s="37">
        <v>2.7150999999999998E-3</v>
      </c>
      <c r="AA258" s="37">
        <v>0</v>
      </c>
      <c r="AB258" s="37">
        <v>0</v>
      </c>
      <c r="AC258" s="37">
        <v>0</v>
      </c>
      <c r="AD258" s="37">
        <v>0</v>
      </c>
      <c r="AE258" s="37">
        <v>0</v>
      </c>
      <c r="AF258" s="37">
        <v>0</v>
      </c>
      <c r="AI258" s="1" t="s">
        <v>229</v>
      </c>
      <c r="AJ258" s="1" t="s">
        <v>1753</v>
      </c>
      <c r="AK258" s="749" t="s">
        <v>282</v>
      </c>
      <c r="AL258" s="749" t="s">
        <v>282</v>
      </c>
    </row>
    <row r="259" spans="1:38">
      <c r="A259" s="1" t="s">
        <v>3477</v>
      </c>
      <c r="B259" s="1">
        <v>1870</v>
      </c>
      <c r="C259" s="10">
        <v>446.9</v>
      </c>
      <c r="D259" s="1">
        <v>73</v>
      </c>
      <c r="E259" s="1">
        <v>5.2</v>
      </c>
      <c r="F259" s="1">
        <v>12.5</v>
      </c>
      <c r="G259" s="1" t="s">
        <v>229</v>
      </c>
      <c r="H259" s="1" t="s">
        <v>139</v>
      </c>
      <c r="J259" s="10">
        <v>446.9</v>
      </c>
      <c r="K259" s="1">
        <v>73</v>
      </c>
      <c r="L259" s="1">
        <v>5.2</v>
      </c>
      <c r="M259" s="151">
        <v>-4.0000000000000001E-3</v>
      </c>
      <c r="N259" s="1">
        <v>12.5</v>
      </c>
      <c r="O259" s="151">
        <v>-4.0000000000000001E-3</v>
      </c>
      <c r="P259" s="151">
        <v>-4.0000000000000001E-3</v>
      </c>
      <c r="Q259" s="151">
        <v>-4.0000000000000001E-3</v>
      </c>
      <c r="R259" s="151">
        <v>-4.0000000000000001E-3</v>
      </c>
      <c r="S259" s="151">
        <v>-4.0000000000000001E-3</v>
      </c>
      <c r="T259" s="151">
        <v>-4.0000000000000001E-3</v>
      </c>
      <c r="U259" s="151">
        <v>-4.0000000000000001E-3</v>
      </c>
      <c r="V259" s="151">
        <v>-4.0000000000000001E-3</v>
      </c>
      <c r="W259" s="151">
        <v>-4.0000000000000002E-4</v>
      </c>
      <c r="X259" s="151">
        <v>-4.0000000000000001E-3</v>
      </c>
      <c r="Y259" s="151">
        <v>-4.0000000000000001E-3</v>
      </c>
      <c r="Z259" s="151">
        <v>-4.0000000000000001E-3</v>
      </c>
      <c r="AA259" s="151">
        <v>-4.0000000000000001E-3</v>
      </c>
      <c r="AB259" s="151">
        <v>-4.0000000000000001E-3</v>
      </c>
      <c r="AC259" s="151">
        <v>-4.0000000000000001E-3</v>
      </c>
      <c r="AD259" s="151">
        <v>-4.0000000000000002E-4</v>
      </c>
      <c r="AE259" s="151">
        <v>-4.0000000000000001E-3</v>
      </c>
      <c r="AF259" s="151">
        <v>-4.0000000000000002E-4</v>
      </c>
      <c r="AI259" s="1" t="s">
        <v>230</v>
      </c>
      <c r="AJ259" s="1" t="s">
        <v>1754</v>
      </c>
      <c r="AK259" s="1" t="s">
        <v>139</v>
      </c>
      <c r="AL259" s="749" t="s">
        <v>1909</v>
      </c>
    </row>
    <row r="260" spans="1:38">
      <c r="A260" s="1" t="s">
        <v>2261</v>
      </c>
      <c r="B260" s="1"/>
      <c r="C260" s="1"/>
      <c r="D260" s="1"/>
      <c r="E260" s="1"/>
      <c r="F260" s="1"/>
      <c r="G260" s="1"/>
      <c r="H260" s="324" t="s">
        <v>2262</v>
      </c>
      <c r="J260" s="4">
        <v>459</v>
      </c>
      <c r="K260" s="4">
        <v>63.2</v>
      </c>
      <c r="L260" s="151">
        <v>-4.0000000000000001E-3</v>
      </c>
      <c r="M260" s="34">
        <v>4.7</v>
      </c>
      <c r="N260" s="4">
        <v>18.7</v>
      </c>
      <c r="O260" s="34">
        <v>9.4</v>
      </c>
      <c r="P260" s="3">
        <v>287</v>
      </c>
      <c r="Q260" s="151">
        <v>-4.0000000000000001E-3</v>
      </c>
      <c r="R260" s="151">
        <v>-4.0000000000000001E-3</v>
      </c>
      <c r="S260" s="151">
        <v>-4.0000000000000001E-3</v>
      </c>
      <c r="T260" s="3">
        <v>30</v>
      </c>
      <c r="U260" s="151">
        <v>-4.0000000000000001E-3</v>
      </c>
      <c r="V260" s="151">
        <v>-4.0000000000000001E-3</v>
      </c>
      <c r="W260" s="151">
        <v>-4.0000000000000001E-3</v>
      </c>
      <c r="X260" s="151">
        <v>-4.0000000000000001E-3</v>
      </c>
      <c r="Y260" s="151">
        <v>-4.0000000000000001E-3</v>
      </c>
      <c r="Z260" s="151">
        <v>-4.0000000000000001E-3</v>
      </c>
      <c r="AA260" s="151">
        <v>-4.0000000000000001E-3</v>
      </c>
      <c r="AB260" s="151">
        <v>-4.0000000000000001E-3</v>
      </c>
      <c r="AC260" s="37">
        <v>0.21</v>
      </c>
      <c r="AD260" s="151">
        <v>-4.0000000000000002E-4</v>
      </c>
      <c r="AE260" s="151">
        <v>-4.0000000000000001E-3</v>
      </c>
      <c r="AF260" s="37">
        <v>12</v>
      </c>
      <c r="AI260" s="1"/>
      <c r="AJ260" s="1"/>
    </row>
    <row r="261" spans="1:38">
      <c r="A261" s="1231" t="s">
        <v>3344</v>
      </c>
      <c r="C261" s="1"/>
      <c r="D261" s="1"/>
      <c r="E261" s="1"/>
      <c r="F261" s="1"/>
      <c r="G261" s="1" t="s">
        <v>229</v>
      </c>
      <c r="H261" s="324" t="s">
        <v>1627</v>
      </c>
      <c r="J261" s="4">
        <v>463</v>
      </c>
      <c r="K261" s="4">
        <v>69</v>
      </c>
      <c r="L261" s="4">
        <v>7.5</v>
      </c>
      <c r="M261" s="4">
        <v>2.2000000000000002</v>
      </c>
      <c r="N261" s="4">
        <v>17</v>
      </c>
      <c r="O261" s="4">
        <v>8.6999999999999993</v>
      </c>
      <c r="P261" s="4">
        <v>204</v>
      </c>
      <c r="Q261" s="151">
        <v>-4.0000000000000001E-3</v>
      </c>
      <c r="R261" s="151">
        <v>-4.0000000000000001E-3</v>
      </c>
      <c r="S261" s="151">
        <v>-4.0000000000000001E-3</v>
      </c>
      <c r="T261" s="151">
        <v>-4.0000000000000001E-3</v>
      </c>
      <c r="U261" s="151">
        <v>-4.0000000000000001E-3</v>
      </c>
      <c r="V261" s="151">
        <v>-4.0000000000000001E-3</v>
      </c>
      <c r="W261" s="151">
        <v>-4.0000000000000002E-4</v>
      </c>
      <c r="X261" s="151">
        <v>-4.0000000000000001E-3</v>
      </c>
      <c r="Y261" s="151">
        <v>-4.0000000000000001E-3</v>
      </c>
      <c r="Z261" s="151">
        <v>-4.0000000000000001E-3</v>
      </c>
      <c r="AA261" s="151">
        <v>-4.0000000000000001E-3</v>
      </c>
      <c r="AB261" s="151">
        <v>-4.0000000000000001E-3</v>
      </c>
      <c r="AC261" s="151">
        <v>-4.0000000000000001E-3</v>
      </c>
      <c r="AD261" s="151">
        <v>-4.0000000000000002E-4</v>
      </c>
      <c r="AE261" s="151">
        <v>-4.0000000000000001E-3</v>
      </c>
      <c r="AF261" s="151">
        <v>-4.0000000000000002E-4</v>
      </c>
      <c r="AI261" s="1" t="s">
        <v>229</v>
      </c>
      <c r="AJ261" s="1" t="s">
        <v>1753</v>
      </c>
      <c r="AK261" s="324" t="s">
        <v>1627</v>
      </c>
      <c r="AL261" s="749" t="s">
        <v>1627</v>
      </c>
    </row>
    <row r="262" spans="1:38">
      <c r="A262" s="1" t="s">
        <v>484</v>
      </c>
      <c r="B262" s="1">
        <v>2140</v>
      </c>
      <c r="C262" s="1">
        <v>512</v>
      </c>
      <c r="D262" s="1">
        <v>51</v>
      </c>
      <c r="E262" s="1">
        <v>5</v>
      </c>
      <c r="F262" s="1">
        <v>32</v>
      </c>
      <c r="G262" s="1" t="s">
        <v>229</v>
      </c>
      <c r="H262" s="1" t="s">
        <v>118</v>
      </c>
      <c r="J262" s="1">
        <v>512</v>
      </c>
      <c r="K262" s="1">
        <v>51</v>
      </c>
      <c r="L262" s="1">
        <v>5</v>
      </c>
      <c r="M262" s="151">
        <v>-4.0000000000000001E-3</v>
      </c>
      <c r="N262" s="1">
        <v>32</v>
      </c>
      <c r="O262" s="151">
        <v>-4.0000000000000001E-3</v>
      </c>
      <c r="P262" s="151">
        <v>-4.0000000000000001E-3</v>
      </c>
      <c r="Q262" s="151">
        <v>-4.0000000000000001E-3</v>
      </c>
      <c r="R262" s="151">
        <v>-4.0000000000000001E-3</v>
      </c>
      <c r="S262" s="151">
        <v>-4.0000000000000001E-3</v>
      </c>
      <c r="T262" s="151">
        <v>-4.0000000000000001E-3</v>
      </c>
      <c r="U262" s="151">
        <v>-4.0000000000000001E-3</v>
      </c>
      <c r="V262" s="151">
        <v>-4.0000000000000001E-3</v>
      </c>
      <c r="W262" s="151">
        <v>-4.0000000000000002E-4</v>
      </c>
      <c r="X262" s="151">
        <v>-4.0000000000000001E-3</v>
      </c>
      <c r="Y262" s="151">
        <v>-4.0000000000000001E-3</v>
      </c>
      <c r="Z262" s="151">
        <v>-4.0000000000000001E-3</v>
      </c>
      <c r="AA262" s="151">
        <v>-4.0000000000000001E-3</v>
      </c>
      <c r="AB262" s="151">
        <v>-4.0000000000000001E-3</v>
      </c>
      <c r="AC262" s="151">
        <v>-4.0000000000000001E-3</v>
      </c>
      <c r="AD262" s="151">
        <v>-4.0000000000000002E-4</v>
      </c>
      <c r="AE262" s="151">
        <v>-4.0000000000000001E-3</v>
      </c>
      <c r="AF262" s="151">
        <v>-4.0000000000000002E-4</v>
      </c>
      <c r="AI262" s="1" t="s">
        <v>229</v>
      </c>
      <c r="AJ262" s="1" t="s">
        <v>1753</v>
      </c>
      <c r="AK262" s="1" t="s">
        <v>118</v>
      </c>
      <c r="AL262" s="749" t="s">
        <v>484</v>
      </c>
    </row>
    <row r="263" spans="1:38">
      <c r="A263" s="749" t="s">
        <v>3325</v>
      </c>
      <c r="B263" s="1"/>
      <c r="C263" s="1"/>
      <c r="D263" s="1"/>
      <c r="E263" s="1"/>
      <c r="F263" s="1"/>
      <c r="G263" s="1"/>
      <c r="H263" s="1" t="s">
        <v>2067</v>
      </c>
      <c r="J263" s="1">
        <v>546</v>
      </c>
      <c r="K263" s="1">
        <v>57.1</v>
      </c>
      <c r="L263" s="1">
        <v>5.6</v>
      </c>
      <c r="M263" s="151">
        <v>-4.0000000000000001E-3</v>
      </c>
      <c r="N263" s="1">
        <v>32.5</v>
      </c>
      <c r="O263" s="4">
        <v>20.2</v>
      </c>
      <c r="P263" s="4">
        <v>79</v>
      </c>
      <c r="Q263" s="151">
        <v>-4.0000000000000001E-3</v>
      </c>
      <c r="R263" s="151">
        <v>-4.0000000000000001E-3</v>
      </c>
      <c r="S263" s="151">
        <v>-4.0000000000000001E-3</v>
      </c>
      <c r="T263" s="151">
        <v>-4.0000000000000001E-3</v>
      </c>
      <c r="U263" s="151">
        <v>-4.0000000000000001E-3</v>
      </c>
      <c r="V263" s="151">
        <v>-4.0000000000000001E-3</v>
      </c>
      <c r="W263" s="151">
        <v>-4.0000000000000001E-3</v>
      </c>
      <c r="X263" s="151">
        <v>-4.0000000000000001E-3</v>
      </c>
      <c r="Y263" s="151">
        <v>-4.0000000000000001E-3</v>
      </c>
      <c r="Z263" s="151">
        <v>-4.0000000000000001E-3</v>
      </c>
      <c r="AA263" s="151">
        <v>-4.0000000000000001E-3</v>
      </c>
      <c r="AB263" s="151">
        <v>-4.0000000000000001E-3</v>
      </c>
      <c r="AC263" s="151">
        <v>-4.0000000000000001E-3</v>
      </c>
      <c r="AD263" s="151">
        <v>-4.0000000000000001E-3</v>
      </c>
      <c r="AE263" s="151">
        <v>-4.0000000000000001E-3</v>
      </c>
      <c r="AF263" s="151">
        <v>-4.0000000000000001E-3</v>
      </c>
      <c r="AI263" s="1"/>
      <c r="AJ263" s="1"/>
      <c r="AK263" s="1"/>
    </row>
    <row r="264" spans="1:38">
      <c r="A264" s="1" t="s">
        <v>1881</v>
      </c>
      <c r="B264" s="1">
        <v>2207</v>
      </c>
      <c r="C264" s="1">
        <v>528</v>
      </c>
      <c r="D264" s="1">
        <v>51</v>
      </c>
      <c r="E264" s="1">
        <v>9</v>
      </c>
      <c r="F264" s="1">
        <v>32</v>
      </c>
      <c r="G264" s="1" t="s">
        <v>229</v>
      </c>
      <c r="H264" s="1" t="s">
        <v>254</v>
      </c>
      <c r="J264" s="1">
        <v>528</v>
      </c>
      <c r="K264" s="1">
        <v>51</v>
      </c>
      <c r="L264" s="1">
        <v>9</v>
      </c>
      <c r="M264" s="151">
        <v>-4.0000000000000001E-3</v>
      </c>
      <c r="N264" s="1">
        <v>32</v>
      </c>
      <c r="O264" s="151">
        <v>-4.0000000000000001E-3</v>
      </c>
      <c r="P264" s="151">
        <v>-4.0000000000000001E-3</v>
      </c>
      <c r="Q264" s="151">
        <v>-4.0000000000000001E-3</v>
      </c>
      <c r="R264" s="151">
        <v>-4.0000000000000001E-3</v>
      </c>
      <c r="S264" s="151">
        <v>-4.0000000000000001E-3</v>
      </c>
      <c r="T264" s="151">
        <v>-4.0000000000000001E-3</v>
      </c>
      <c r="U264" s="151">
        <v>-4.0000000000000001E-3</v>
      </c>
      <c r="V264" s="151">
        <v>-4.0000000000000001E-3</v>
      </c>
      <c r="W264" s="151">
        <v>-4.0000000000000002E-4</v>
      </c>
      <c r="X264" s="151">
        <v>-4.0000000000000001E-3</v>
      </c>
      <c r="Y264" s="151">
        <v>-4.0000000000000001E-3</v>
      </c>
      <c r="Z264" s="151">
        <v>-4.0000000000000001E-3</v>
      </c>
      <c r="AA264" s="151">
        <v>-4.0000000000000001E-3</v>
      </c>
      <c r="AB264" s="151">
        <v>-4.0000000000000001E-3</v>
      </c>
      <c r="AC264" s="151">
        <v>-4.0000000000000001E-3</v>
      </c>
      <c r="AD264" s="151">
        <v>-4.0000000000000002E-4</v>
      </c>
      <c r="AE264" s="151">
        <v>-4.0000000000000001E-3</v>
      </c>
      <c r="AF264" s="151">
        <v>-4.0000000000000002E-4</v>
      </c>
      <c r="AI264" s="1" t="s">
        <v>229</v>
      </c>
      <c r="AJ264" s="1" t="s">
        <v>1753</v>
      </c>
      <c r="AK264" s="1" t="s">
        <v>254</v>
      </c>
      <c r="AL264" s="749" t="s">
        <v>1881</v>
      </c>
    </row>
    <row r="265" spans="1:38">
      <c r="A265" s="1" t="s">
        <v>3327</v>
      </c>
      <c r="B265" s="1">
        <v>2358</v>
      </c>
      <c r="C265" s="1">
        <v>564</v>
      </c>
      <c r="D265" s="1">
        <v>63.5</v>
      </c>
      <c r="E265" s="1">
        <v>14.11</v>
      </c>
      <c r="F265" s="1">
        <v>28.22</v>
      </c>
      <c r="G265" s="1" t="s">
        <v>229</v>
      </c>
      <c r="H265" s="38" t="s">
        <v>353</v>
      </c>
      <c r="I265" s="38">
        <v>17</v>
      </c>
      <c r="J265" s="40">
        <v>491</v>
      </c>
      <c r="K265" s="40">
        <v>63.3</v>
      </c>
      <c r="L265" s="40">
        <v>4</v>
      </c>
      <c r="M265" s="40">
        <v>0.9</v>
      </c>
      <c r="N265" s="40">
        <v>27</v>
      </c>
      <c r="O265" s="72">
        <v>17.399999999999999</v>
      </c>
      <c r="P265" s="42">
        <v>12.8</v>
      </c>
      <c r="Q265" s="42">
        <v>417</v>
      </c>
      <c r="R265" s="42">
        <v>64</v>
      </c>
      <c r="S265" s="42">
        <v>121</v>
      </c>
      <c r="T265" s="42">
        <v>140</v>
      </c>
      <c r="U265" s="42">
        <v>2.7600000000000002</v>
      </c>
      <c r="V265" s="42">
        <v>2.2000000000000002</v>
      </c>
      <c r="W265" s="73">
        <v>0.95399999999999996</v>
      </c>
      <c r="X265" s="42">
        <v>3.08</v>
      </c>
      <c r="Y265" s="42">
        <v>7.4999999999999997E-2</v>
      </c>
      <c r="Z265" s="42">
        <v>0.14500000000000002</v>
      </c>
      <c r="AA265" s="42">
        <v>1.48</v>
      </c>
      <c r="AB265" s="42">
        <v>0.05</v>
      </c>
      <c r="AC265" s="42">
        <v>7</v>
      </c>
      <c r="AD265" s="43">
        <v>0</v>
      </c>
      <c r="AE265" s="43">
        <v>0</v>
      </c>
      <c r="AF265" s="43">
        <v>0</v>
      </c>
      <c r="AI265" s="1" t="s">
        <v>229</v>
      </c>
      <c r="AJ265" s="1" t="s">
        <v>1753</v>
      </c>
      <c r="AK265" s="38" t="s">
        <v>353</v>
      </c>
      <c r="AL265" s="749" t="s">
        <v>353</v>
      </c>
    </row>
    <row r="266" spans="1:38">
      <c r="A266" s="1231" t="s">
        <v>3326</v>
      </c>
      <c r="C266" s="82"/>
      <c r="D266" s="82"/>
      <c r="E266" s="82"/>
      <c r="F266" s="82"/>
      <c r="G266" s="82" t="s">
        <v>229</v>
      </c>
      <c r="H266" s="749" t="s">
        <v>1629</v>
      </c>
      <c r="J266" s="4">
        <v>521</v>
      </c>
      <c r="K266" s="4">
        <v>59</v>
      </c>
      <c r="L266" s="4">
        <v>7.8</v>
      </c>
      <c r="M266" s="4">
        <v>2.2000000000000002</v>
      </c>
      <c r="N266" s="4">
        <v>28</v>
      </c>
      <c r="O266" s="4">
        <v>16</v>
      </c>
      <c r="P266" s="3">
        <v>145</v>
      </c>
      <c r="Q266" s="151">
        <v>-4.0000000000000001E-3</v>
      </c>
      <c r="R266" s="151">
        <v>-4.0000000000000001E-3</v>
      </c>
      <c r="S266" s="151">
        <v>-4.0000000000000001E-3</v>
      </c>
      <c r="T266" s="151">
        <v>-4.0000000000000001E-3</v>
      </c>
      <c r="U266" s="151">
        <v>-4.0000000000000001E-3</v>
      </c>
      <c r="V266" s="151">
        <v>-4.0000000000000001E-3</v>
      </c>
      <c r="W266" s="151">
        <v>-4.0000000000000002E-4</v>
      </c>
      <c r="X266" s="151">
        <v>-4.0000000000000001E-3</v>
      </c>
      <c r="Y266" s="151">
        <v>-4.0000000000000001E-3</v>
      </c>
      <c r="Z266" s="151">
        <v>-4.0000000000000001E-3</v>
      </c>
      <c r="AA266" s="151">
        <v>-4.0000000000000001E-3</v>
      </c>
      <c r="AB266" s="151">
        <v>-4.0000000000000001E-3</v>
      </c>
      <c r="AC266" s="151">
        <v>-4.0000000000000001E-3</v>
      </c>
      <c r="AD266" s="151">
        <v>-4.0000000000000002E-4</v>
      </c>
      <c r="AE266" s="151">
        <v>-4.0000000000000001E-3</v>
      </c>
      <c r="AF266" s="151">
        <v>-4.0000000000000002E-4</v>
      </c>
      <c r="AI266" s="82" t="s">
        <v>229</v>
      </c>
      <c r="AJ266" s="1" t="s">
        <v>1753</v>
      </c>
      <c r="AK266" s="749" t="s">
        <v>1629</v>
      </c>
      <c r="AL266" s="749" t="s">
        <v>1882</v>
      </c>
    </row>
    <row r="267" spans="1:38">
      <c r="A267" s="1231" t="s">
        <v>3328</v>
      </c>
      <c r="B267" s="1231"/>
      <c r="C267" s="82"/>
      <c r="D267" s="82"/>
      <c r="E267" s="82"/>
      <c r="F267" s="82"/>
      <c r="G267" s="82" t="s">
        <v>229</v>
      </c>
      <c r="H267" s="324" t="s">
        <v>1630</v>
      </c>
      <c r="I267" s="749" t="s">
        <v>1639</v>
      </c>
      <c r="J267" s="4">
        <v>388</v>
      </c>
      <c r="K267" s="4">
        <v>79.5</v>
      </c>
      <c r="L267" s="4">
        <v>10</v>
      </c>
      <c r="M267" s="4">
        <v>5.2</v>
      </c>
      <c r="N267" s="4">
        <v>2.8</v>
      </c>
      <c r="O267" s="4">
        <v>1.2</v>
      </c>
      <c r="P267" s="3">
        <v>342</v>
      </c>
      <c r="Q267" s="151">
        <v>-4.0000000000000001E-3</v>
      </c>
      <c r="R267" s="151">
        <v>-4.0000000000000001E-3</v>
      </c>
      <c r="S267" s="151">
        <v>-4.0000000000000001E-3</v>
      </c>
      <c r="T267" s="4">
        <v>0.03</v>
      </c>
      <c r="U267" s="151">
        <v>-4.0000000000000001E-3</v>
      </c>
      <c r="V267" s="151">
        <v>-4.0000000000000001E-3</v>
      </c>
      <c r="W267" s="151">
        <v>-4.0000000000000002E-4</v>
      </c>
      <c r="X267" s="151">
        <v>-4.0000000000000001E-3</v>
      </c>
      <c r="Y267" s="4">
        <v>0.16</v>
      </c>
      <c r="Z267" s="4">
        <v>0.3</v>
      </c>
      <c r="AA267" s="4">
        <v>2.4</v>
      </c>
      <c r="AB267" s="4">
        <v>0.21</v>
      </c>
      <c r="AC267" s="4">
        <v>30</v>
      </c>
      <c r="AD267" s="4">
        <v>0.3</v>
      </c>
      <c r="AE267" s="4">
        <v>12</v>
      </c>
      <c r="AF267" s="4">
        <v>12</v>
      </c>
      <c r="AI267" s="82" t="s">
        <v>229</v>
      </c>
      <c r="AJ267" s="1" t="s">
        <v>1753</v>
      </c>
      <c r="AK267" s="324" t="s">
        <v>1630</v>
      </c>
      <c r="AL267" s="749" t="s">
        <v>1630</v>
      </c>
    </row>
    <row r="268" spans="1:38">
      <c r="A268" s="749" t="s">
        <v>3345</v>
      </c>
      <c r="B268" s="1">
        <v>1550</v>
      </c>
      <c r="C268" s="1">
        <v>371</v>
      </c>
      <c r="D268" s="1">
        <v>74.2</v>
      </c>
      <c r="E268" s="1">
        <v>1.5</v>
      </c>
      <c r="F268" s="1">
        <v>7.6</v>
      </c>
      <c r="G268" s="1" t="s">
        <v>229</v>
      </c>
      <c r="H268" s="1" t="s">
        <v>119</v>
      </c>
      <c r="J268" s="1">
        <v>371</v>
      </c>
      <c r="K268" s="1">
        <v>74.2</v>
      </c>
      <c r="L268" s="1">
        <v>1.5</v>
      </c>
      <c r="M268" s="151">
        <v>-4.0000000000000001E-3</v>
      </c>
      <c r="N268" s="1">
        <v>7.6</v>
      </c>
      <c r="O268" s="4">
        <v>4.4000000000000004</v>
      </c>
      <c r="P268" s="151">
        <v>-4.0000000000000001E-3</v>
      </c>
      <c r="Q268" s="151">
        <v>-4.0000000000000001E-3</v>
      </c>
      <c r="R268" s="151">
        <v>-4.0000000000000001E-3</v>
      </c>
      <c r="S268" s="151">
        <v>-4.0000000000000001E-3</v>
      </c>
      <c r="T268" s="151">
        <v>-4.0000000000000001E-3</v>
      </c>
      <c r="U268" s="151">
        <v>-4.0000000000000001E-3</v>
      </c>
      <c r="V268" s="151">
        <v>-4.0000000000000001E-3</v>
      </c>
      <c r="W268" s="151">
        <v>-4.0000000000000002E-4</v>
      </c>
      <c r="X268" s="151">
        <v>-4.0000000000000001E-3</v>
      </c>
      <c r="Y268" s="151">
        <v>-4.0000000000000001E-3</v>
      </c>
      <c r="Z268" s="151">
        <v>-4.0000000000000001E-3</v>
      </c>
      <c r="AA268" s="151">
        <v>-4.0000000000000001E-3</v>
      </c>
      <c r="AB268" s="151">
        <v>-4.0000000000000001E-3</v>
      </c>
      <c r="AC268" s="151">
        <v>-4.0000000000000001E-3</v>
      </c>
      <c r="AD268" s="151">
        <v>-4.0000000000000002E-4</v>
      </c>
      <c r="AE268" s="151">
        <v>-4.0000000000000001E-3</v>
      </c>
      <c r="AF268" s="151">
        <v>-4.0000000000000002E-4</v>
      </c>
      <c r="AI268" s="1" t="s">
        <v>229</v>
      </c>
      <c r="AJ268" s="1" t="s">
        <v>1753</v>
      </c>
      <c r="AK268" s="1" t="s">
        <v>119</v>
      </c>
      <c r="AL268" s="749" t="s">
        <v>1883</v>
      </c>
    </row>
    <row r="269" spans="1:38">
      <c r="A269" s="1" t="s">
        <v>3329</v>
      </c>
      <c r="B269" s="1">
        <v>2232</v>
      </c>
      <c r="C269" s="1">
        <v>534</v>
      </c>
      <c r="D269" s="1">
        <v>59</v>
      </c>
      <c r="E269" s="1">
        <v>7</v>
      </c>
      <c r="F269" s="1">
        <v>30</v>
      </c>
      <c r="G269" s="1" t="s">
        <v>229</v>
      </c>
      <c r="H269" s="749" t="s">
        <v>351</v>
      </c>
      <c r="I269" s="38">
        <v>17</v>
      </c>
      <c r="J269" s="4">
        <v>523.90066666666667</v>
      </c>
      <c r="K269" s="4">
        <v>59</v>
      </c>
      <c r="L269" s="4">
        <v>7</v>
      </c>
      <c r="M269" s="4">
        <v>4.5</v>
      </c>
      <c r="N269" s="4">
        <v>30</v>
      </c>
      <c r="O269" s="67">
        <v>21</v>
      </c>
      <c r="P269" s="3">
        <v>10</v>
      </c>
      <c r="Q269" s="3">
        <v>20</v>
      </c>
      <c r="R269" s="3">
        <v>148</v>
      </c>
      <c r="S269" s="3">
        <v>130</v>
      </c>
      <c r="T269" s="3">
        <v>183</v>
      </c>
      <c r="U269" s="3">
        <v>1.6</v>
      </c>
      <c r="V269" s="3">
        <v>1.48</v>
      </c>
      <c r="W269" s="151">
        <v>-4.0000000000000002E-4</v>
      </c>
      <c r="X269" s="3">
        <v>400</v>
      </c>
      <c r="Y269" s="3">
        <v>0.1</v>
      </c>
      <c r="Z269" s="3">
        <v>0.2</v>
      </c>
      <c r="AA269" s="3">
        <v>1.6</v>
      </c>
      <c r="AB269" s="3">
        <v>5.9999999999999991E-2</v>
      </c>
      <c r="AC269" s="3">
        <v>73</v>
      </c>
      <c r="AD269" s="3">
        <v>0</v>
      </c>
      <c r="AE269" s="3">
        <v>1</v>
      </c>
      <c r="AF269" s="3">
        <v>0</v>
      </c>
      <c r="AI269" s="1" t="s">
        <v>229</v>
      </c>
      <c r="AJ269" s="1" t="s">
        <v>1753</v>
      </c>
      <c r="AK269" s="749" t="s">
        <v>351</v>
      </c>
      <c r="AL269" s="749" t="s">
        <v>1884</v>
      </c>
    </row>
    <row r="270" spans="1:38">
      <c r="A270" s="749" t="s">
        <v>3346</v>
      </c>
      <c r="C270" s="1"/>
      <c r="D270" s="1"/>
      <c r="E270" s="1"/>
      <c r="F270" s="1"/>
      <c r="G270" s="1" t="s">
        <v>229</v>
      </c>
      <c r="H270" s="324" t="s">
        <v>1536</v>
      </c>
      <c r="I270" s="38"/>
      <c r="J270" s="4">
        <v>354</v>
      </c>
      <c r="K270" s="4">
        <v>46</v>
      </c>
      <c r="L270" s="4">
        <v>8</v>
      </c>
      <c r="M270" s="151">
        <v>-4.0000000000000001E-3</v>
      </c>
      <c r="N270" s="4">
        <v>15</v>
      </c>
      <c r="O270" s="151">
        <v>-4.0000000000000001E-3</v>
      </c>
      <c r="P270" s="151">
        <v>-4.0000000000000001E-3</v>
      </c>
      <c r="Q270" s="151">
        <v>-4.0000000000000001E-3</v>
      </c>
      <c r="R270" s="151">
        <v>-4.0000000000000001E-3</v>
      </c>
      <c r="S270" s="151">
        <v>-4.0000000000000001E-3</v>
      </c>
      <c r="T270" s="151">
        <v>-4.0000000000000001E-3</v>
      </c>
      <c r="U270" s="151">
        <v>-4.0000000000000001E-3</v>
      </c>
      <c r="V270" s="151">
        <v>-4.0000000000000001E-3</v>
      </c>
      <c r="W270" s="151">
        <v>-4.0000000000000001E-3</v>
      </c>
      <c r="X270" s="151">
        <v>-4.0000000000000001E-3</v>
      </c>
      <c r="Y270" s="151">
        <v>-4.0000000000000001E-3</v>
      </c>
      <c r="Z270" s="151">
        <v>-4.0000000000000001E-3</v>
      </c>
      <c r="AA270" s="151">
        <v>-4.0000000000000001E-3</v>
      </c>
      <c r="AB270" s="151">
        <v>-4.0000000000000001E-3</v>
      </c>
      <c r="AC270" s="151">
        <v>-4.0000000000000001E-3</v>
      </c>
      <c r="AD270" s="151">
        <v>-4.0000000000000001E-3</v>
      </c>
      <c r="AE270" s="151">
        <v>-4.0000000000000001E-3</v>
      </c>
      <c r="AF270" s="151">
        <v>-4.0000000000000001E-3</v>
      </c>
      <c r="AI270" s="1" t="s">
        <v>229</v>
      </c>
      <c r="AJ270" s="1" t="s">
        <v>1753</v>
      </c>
      <c r="AK270" s="324" t="s">
        <v>1536</v>
      </c>
      <c r="AL270" s="749" t="s">
        <v>1536</v>
      </c>
    </row>
    <row r="271" spans="1:38">
      <c r="A271" s="1" t="s">
        <v>1885</v>
      </c>
      <c r="B271" s="11">
        <v>1032</v>
      </c>
      <c r="C271" s="11">
        <v>247</v>
      </c>
      <c r="D271" s="13">
        <v>60</v>
      </c>
      <c r="E271" s="13">
        <v>0.4</v>
      </c>
      <c r="F271" s="13">
        <v>0</v>
      </c>
      <c r="G271" s="1" t="s">
        <v>229</v>
      </c>
      <c r="H271" s="1" t="s">
        <v>687</v>
      </c>
      <c r="J271" s="11">
        <v>247</v>
      </c>
      <c r="K271" s="13">
        <v>60</v>
      </c>
      <c r="L271" s="13">
        <v>0.4</v>
      </c>
      <c r="M271" s="151">
        <v>-4.0000000000000001E-3</v>
      </c>
      <c r="N271" s="13">
        <v>0</v>
      </c>
      <c r="O271" s="151">
        <v>-4.0000000000000001E-3</v>
      </c>
      <c r="P271" s="151">
        <v>-4.0000000000000001E-3</v>
      </c>
      <c r="Q271" s="151">
        <v>-4.0000000000000001E-3</v>
      </c>
      <c r="R271" s="151">
        <v>-4.0000000000000001E-3</v>
      </c>
      <c r="S271" s="151">
        <v>-4.0000000000000001E-3</v>
      </c>
      <c r="T271" s="151">
        <v>-4.0000000000000001E-3</v>
      </c>
      <c r="U271" s="151">
        <v>-4.0000000000000001E-3</v>
      </c>
      <c r="V271" s="151">
        <v>-4.0000000000000001E-3</v>
      </c>
      <c r="W271" s="151">
        <v>-4.0000000000000002E-4</v>
      </c>
      <c r="X271" s="151">
        <v>-4.0000000000000001E-3</v>
      </c>
      <c r="Y271" s="151">
        <v>-4.0000000000000001E-3</v>
      </c>
      <c r="Z271" s="151">
        <v>-4.0000000000000001E-3</v>
      </c>
      <c r="AA271" s="151">
        <v>-4.0000000000000001E-3</v>
      </c>
      <c r="AB271" s="151">
        <v>-4.0000000000000001E-3</v>
      </c>
      <c r="AC271" s="151">
        <v>-4.0000000000000001E-3</v>
      </c>
      <c r="AD271" s="151">
        <v>-4.0000000000000002E-4</v>
      </c>
      <c r="AE271" s="151">
        <v>-4.0000000000000001E-3</v>
      </c>
      <c r="AF271" s="151">
        <v>-4.0000000000000002E-4</v>
      </c>
      <c r="AI271" s="1" t="s">
        <v>229</v>
      </c>
      <c r="AJ271" s="1" t="s">
        <v>1753</v>
      </c>
      <c r="AK271" s="1" t="s">
        <v>687</v>
      </c>
      <c r="AL271" s="749" t="s">
        <v>1885</v>
      </c>
    </row>
    <row r="272" spans="1:38">
      <c r="A272" s="1" t="s">
        <v>510</v>
      </c>
      <c r="B272" s="17">
        <v>1184</v>
      </c>
      <c r="C272" s="1">
        <v>283</v>
      </c>
      <c r="D272" s="1">
        <v>70</v>
      </c>
      <c r="E272" s="1">
        <v>0.4</v>
      </c>
      <c r="F272" s="1">
        <v>0.05</v>
      </c>
      <c r="G272" s="1" t="s">
        <v>229</v>
      </c>
      <c r="H272" s="1" t="s">
        <v>131</v>
      </c>
      <c r="J272" s="1">
        <v>283</v>
      </c>
      <c r="K272" s="1">
        <v>70</v>
      </c>
      <c r="L272" s="1">
        <v>0.4</v>
      </c>
      <c r="M272" s="151">
        <v>-4.0000000000000001E-3</v>
      </c>
      <c r="N272" s="1">
        <v>0.05</v>
      </c>
      <c r="O272" s="151">
        <v>-4.0000000000000001E-3</v>
      </c>
      <c r="P272" s="151">
        <v>-4.0000000000000001E-3</v>
      </c>
      <c r="Q272" s="151">
        <v>-4.0000000000000001E-3</v>
      </c>
      <c r="R272" s="151">
        <v>-4.0000000000000001E-3</v>
      </c>
      <c r="S272" s="151">
        <v>-4.0000000000000001E-3</v>
      </c>
      <c r="T272" s="151">
        <v>-4.0000000000000001E-3</v>
      </c>
      <c r="U272" s="151">
        <v>-4.0000000000000001E-3</v>
      </c>
      <c r="V272" s="151">
        <v>-4.0000000000000001E-3</v>
      </c>
      <c r="W272" s="151">
        <v>-4.0000000000000002E-4</v>
      </c>
      <c r="X272" s="151">
        <v>-4.0000000000000001E-3</v>
      </c>
      <c r="Y272" s="151">
        <v>-4.0000000000000001E-3</v>
      </c>
      <c r="Z272" s="151">
        <v>-4.0000000000000001E-3</v>
      </c>
      <c r="AA272" s="151">
        <v>-4.0000000000000001E-3</v>
      </c>
      <c r="AB272" s="151">
        <v>-4.0000000000000001E-3</v>
      </c>
      <c r="AC272" s="151">
        <v>-4.0000000000000001E-3</v>
      </c>
      <c r="AD272" s="151">
        <v>-4.0000000000000002E-4</v>
      </c>
      <c r="AE272" s="151">
        <v>-4.0000000000000001E-3</v>
      </c>
      <c r="AF272" s="151">
        <v>-4.0000000000000002E-4</v>
      </c>
      <c r="AI272" s="1" t="s">
        <v>229</v>
      </c>
      <c r="AJ272" s="1" t="s">
        <v>1753</v>
      </c>
      <c r="AK272" s="1" t="s">
        <v>131</v>
      </c>
      <c r="AL272" s="749" t="s">
        <v>1900</v>
      </c>
    </row>
    <row r="273" spans="1:38">
      <c r="A273" s="1" t="s">
        <v>3347</v>
      </c>
      <c r="B273" s="17">
        <v>1184</v>
      </c>
      <c r="C273" s="1">
        <v>283</v>
      </c>
      <c r="D273" s="1">
        <v>70</v>
      </c>
      <c r="E273" s="1">
        <v>0.4</v>
      </c>
      <c r="F273" s="1">
        <v>0.05</v>
      </c>
      <c r="G273" s="1" t="s">
        <v>229</v>
      </c>
      <c r="H273" s="1" t="s">
        <v>1359</v>
      </c>
      <c r="J273" s="1">
        <v>226</v>
      </c>
      <c r="K273" s="1">
        <v>55</v>
      </c>
      <c r="L273" s="1">
        <v>1.3</v>
      </c>
      <c r="M273" s="151">
        <v>-4.0000000000000001E-3</v>
      </c>
      <c r="N273" s="1">
        <v>0.1</v>
      </c>
      <c r="O273" s="4">
        <v>0</v>
      </c>
      <c r="P273" s="151">
        <v>-4.0000000000000001E-3</v>
      </c>
      <c r="Q273" s="151">
        <v>-4.0000000000000001E-3</v>
      </c>
      <c r="R273" s="151">
        <v>-4.0000000000000001E-3</v>
      </c>
      <c r="S273" s="151">
        <v>-4.0000000000000001E-3</v>
      </c>
      <c r="T273" s="151">
        <v>-4.0000000000000001E-3</v>
      </c>
      <c r="U273" s="151">
        <v>-4.0000000000000001E-3</v>
      </c>
      <c r="V273" s="151">
        <v>-4.0000000000000001E-3</v>
      </c>
      <c r="W273" s="151">
        <v>-4.0000000000000002E-4</v>
      </c>
      <c r="X273" s="151">
        <v>-4.0000000000000001E-3</v>
      </c>
      <c r="Y273" s="151">
        <v>-4.0000000000000001E-3</v>
      </c>
      <c r="Z273" s="151">
        <v>-4.0000000000000001E-3</v>
      </c>
      <c r="AA273" s="151">
        <v>-4.0000000000000001E-3</v>
      </c>
      <c r="AB273" s="151">
        <v>-4.0000000000000001E-3</v>
      </c>
      <c r="AC273" s="151">
        <v>-4.0000000000000001E-3</v>
      </c>
      <c r="AD273" s="151">
        <v>-4.0000000000000002E-4</v>
      </c>
      <c r="AE273" s="151">
        <v>-4.0000000000000001E-3</v>
      </c>
      <c r="AF273" s="151">
        <v>-4.0000000000000002E-4</v>
      </c>
      <c r="AI273" s="1" t="s">
        <v>229</v>
      </c>
      <c r="AJ273" s="1" t="s">
        <v>1753</v>
      </c>
      <c r="AK273" s="1" t="s">
        <v>1359</v>
      </c>
      <c r="AL273" s="749" t="s">
        <v>1947</v>
      </c>
    </row>
    <row r="274" spans="1:38">
      <c r="A274" s="1" t="s">
        <v>3330</v>
      </c>
      <c r="B274" s="1">
        <v>2272</v>
      </c>
      <c r="C274" s="1">
        <v>546</v>
      </c>
      <c r="D274" s="1">
        <v>58.5</v>
      </c>
      <c r="E274" s="1">
        <v>6.5</v>
      </c>
      <c r="F274" s="1">
        <v>31.5</v>
      </c>
      <c r="G274" s="1" t="s">
        <v>229</v>
      </c>
      <c r="H274" s="749" t="s">
        <v>351</v>
      </c>
      <c r="I274" s="38">
        <v>17</v>
      </c>
      <c r="J274" s="4">
        <v>523.90066666666667</v>
      </c>
      <c r="K274" s="4">
        <v>59</v>
      </c>
      <c r="L274" s="4">
        <v>7</v>
      </c>
      <c r="M274" s="4">
        <v>4.5</v>
      </c>
      <c r="N274" s="4">
        <v>30</v>
      </c>
      <c r="O274" s="67">
        <v>21</v>
      </c>
      <c r="P274" s="3">
        <v>10</v>
      </c>
      <c r="Q274" s="3">
        <v>20</v>
      </c>
      <c r="R274" s="3">
        <v>148</v>
      </c>
      <c r="S274" s="3">
        <v>130</v>
      </c>
      <c r="T274" s="3">
        <v>183</v>
      </c>
      <c r="U274" s="3">
        <v>1.6</v>
      </c>
      <c r="V274" s="3">
        <v>1.48</v>
      </c>
      <c r="W274" s="151">
        <v>-4.0000000000000002E-4</v>
      </c>
      <c r="X274" s="3">
        <v>400</v>
      </c>
      <c r="Y274" s="3">
        <v>0.1</v>
      </c>
      <c r="Z274" s="3">
        <v>0.2</v>
      </c>
      <c r="AA274" s="3">
        <v>1.6</v>
      </c>
      <c r="AB274" s="3">
        <v>5.9999999999999991E-2</v>
      </c>
      <c r="AC274" s="3">
        <v>73</v>
      </c>
      <c r="AD274" s="3">
        <v>0</v>
      </c>
      <c r="AE274" s="3">
        <v>1</v>
      </c>
      <c r="AF274" s="3">
        <v>0</v>
      </c>
      <c r="AI274" s="1" t="s">
        <v>229</v>
      </c>
      <c r="AJ274" s="1" t="s">
        <v>1753</v>
      </c>
      <c r="AK274" s="749" t="s">
        <v>351</v>
      </c>
      <c r="AL274" s="749" t="s">
        <v>1884</v>
      </c>
    </row>
    <row r="275" spans="1:38">
      <c r="A275" s="1" t="s">
        <v>3331</v>
      </c>
      <c r="B275" s="17">
        <v>2251</v>
      </c>
      <c r="C275" s="1">
        <v>538</v>
      </c>
      <c r="D275" s="1">
        <v>51</v>
      </c>
      <c r="E275" s="1">
        <v>19</v>
      </c>
      <c r="F275" s="1">
        <v>30.5</v>
      </c>
      <c r="G275" s="1" t="s">
        <v>229</v>
      </c>
      <c r="H275" s="1" t="s">
        <v>120</v>
      </c>
      <c r="J275" s="1">
        <v>538</v>
      </c>
      <c r="K275" s="1">
        <v>51</v>
      </c>
      <c r="L275" s="1">
        <v>19</v>
      </c>
      <c r="M275" s="151">
        <v>-4.0000000000000001E-3</v>
      </c>
      <c r="N275" s="1">
        <v>30.5</v>
      </c>
      <c r="O275" s="151">
        <v>-4.0000000000000001E-3</v>
      </c>
      <c r="P275" s="151">
        <v>-4.0000000000000001E-3</v>
      </c>
      <c r="Q275" s="151">
        <v>-4.0000000000000001E-3</v>
      </c>
      <c r="R275" s="151">
        <v>-4.0000000000000001E-3</v>
      </c>
      <c r="S275" s="151">
        <v>-4.0000000000000001E-3</v>
      </c>
      <c r="T275" s="151">
        <v>-4.0000000000000001E-3</v>
      </c>
      <c r="U275" s="151">
        <v>-4.0000000000000001E-3</v>
      </c>
      <c r="V275" s="151">
        <v>-4.0000000000000001E-3</v>
      </c>
      <c r="W275" s="151">
        <v>-4.0000000000000002E-4</v>
      </c>
      <c r="X275" s="151">
        <v>-4.0000000000000001E-3</v>
      </c>
      <c r="Y275" s="151">
        <v>-4.0000000000000001E-3</v>
      </c>
      <c r="Z275" s="151">
        <v>-4.0000000000000001E-3</v>
      </c>
      <c r="AA275" s="151">
        <v>-4.0000000000000001E-3</v>
      </c>
      <c r="AB275" s="151">
        <v>-4.0000000000000001E-3</v>
      </c>
      <c r="AC275" s="151">
        <v>-4.0000000000000001E-3</v>
      </c>
      <c r="AD275" s="151">
        <v>-4.0000000000000002E-4</v>
      </c>
      <c r="AE275" s="151">
        <v>-4.0000000000000001E-3</v>
      </c>
      <c r="AF275" s="151">
        <v>-4.0000000000000002E-4</v>
      </c>
      <c r="AI275" s="1" t="s">
        <v>229</v>
      </c>
      <c r="AJ275" s="1" t="s">
        <v>1753</v>
      </c>
      <c r="AK275" s="1" t="s">
        <v>120</v>
      </c>
      <c r="AL275" s="749" t="s">
        <v>1886</v>
      </c>
    </row>
    <row r="276" spans="1:38">
      <c r="A276" s="749" t="s">
        <v>3348</v>
      </c>
      <c r="B276" s="14">
        <v>2181</v>
      </c>
      <c r="C276" s="1">
        <v>521</v>
      </c>
      <c r="D276" s="1">
        <v>58.8</v>
      </c>
      <c r="E276" s="1">
        <v>8.5</v>
      </c>
      <c r="F276" s="1">
        <v>27.6</v>
      </c>
      <c r="G276" s="1" t="s">
        <v>229</v>
      </c>
      <c r="H276" s="1" t="s">
        <v>121</v>
      </c>
      <c r="J276" s="1">
        <v>521</v>
      </c>
      <c r="K276" s="1">
        <v>58.8</v>
      </c>
      <c r="L276" s="1">
        <v>8.5</v>
      </c>
      <c r="M276" s="151">
        <v>-4.0000000000000001E-3</v>
      </c>
      <c r="N276" s="1">
        <v>27.6</v>
      </c>
      <c r="O276" s="151">
        <v>-4.0000000000000001E-3</v>
      </c>
      <c r="P276" s="151">
        <v>-4.0000000000000001E-3</v>
      </c>
      <c r="Q276" s="151">
        <v>-4.0000000000000001E-3</v>
      </c>
      <c r="R276" s="151">
        <v>-4.0000000000000001E-3</v>
      </c>
      <c r="S276" s="151">
        <v>-4.0000000000000001E-3</v>
      </c>
      <c r="T276" s="151">
        <v>-4.0000000000000001E-3</v>
      </c>
      <c r="U276" s="151">
        <v>-4.0000000000000001E-3</v>
      </c>
      <c r="V276" s="151">
        <v>-4.0000000000000001E-3</v>
      </c>
      <c r="W276" s="151">
        <v>-4.0000000000000002E-4</v>
      </c>
      <c r="X276" s="151">
        <v>-4.0000000000000001E-3</v>
      </c>
      <c r="Y276" s="151">
        <v>-4.0000000000000001E-3</v>
      </c>
      <c r="Z276" s="151">
        <v>-4.0000000000000001E-3</v>
      </c>
      <c r="AA276" s="151">
        <v>-4.0000000000000001E-3</v>
      </c>
      <c r="AB276" s="151">
        <v>-4.0000000000000001E-3</v>
      </c>
      <c r="AC276" s="151">
        <v>-4.0000000000000001E-3</v>
      </c>
      <c r="AD276" s="151">
        <v>-4.0000000000000002E-4</v>
      </c>
      <c r="AE276" s="151">
        <v>-4.0000000000000001E-3</v>
      </c>
      <c r="AF276" s="151">
        <v>-4.0000000000000002E-4</v>
      </c>
      <c r="AI276" s="1" t="s">
        <v>229</v>
      </c>
      <c r="AJ276" s="1" t="s">
        <v>1753</v>
      </c>
      <c r="AK276" s="1" t="s">
        <v>121</v>
      </c>
      <c r="AL276" s="749" t="s">
        <v>1887</v>
      </c>
    </row>
    <row r="277" spans="1:38">
      <c r="A277" s="1" t="s">
        <v>3478</v>
      </c>
      <c r="B277" s="1">
        <v>1595</v>
      </c>
      <c r="C277" s="1">
        <v>378</v>
      </c>
      <c r="D277" s="1">
        <v>69</v>
      </c>
      <c r="E277" s="1">
        <v>4.0999999999999996</v>
      </c>
      <c r="F277" s="1">
        <v>9</v>
      </c>
      <c r="G277" s="1" t="s">
        <v>229</v>
      </c>
      <c r="H277" s="1" t="s">
        <v>122</v>
      </c>
      <c r="J277" s="1">
        <v>378</v>
      </c>
      <c r="K277" s="1">
        <v>69</v>
      </c>
      <c r="L277" s="1">
        <v>4.0999999999999996</v>
      </c>
      <c r="M277" s="4">
        <v>1.7</v>
      </c>
      <c r="N277" s="1">
        <v>9</v>
      </c>
      <c r="O277" s="151">
        <v>-4.0000000000000001E-3</v>
      </c>
      <c r="P277" s="151">
        <v>-4.0000000000000001E-3</v>
      </c>
      <c r="Q277" s="151">
        <v>-4.0000000000000001E-3</v>
      </c>
      <c r="R277" s="151">
        <v>-4.0000000000000001E-3</v>
      </c>
      <c r="S277" s="151">
        <v>-4.0000000000000001E-3</v>
      </c>
      <c r="T277" s="151">
        <v>-4.0000000000000001E-3</v>
      </c>
      <c r="U277" s="151">
        <v>-4.0000000000000001E-3</v>
      </c>
      <c r="V277" s="151">
        <v>-4.0000000000000001E-3</v>
      </c>
      <c r="W277" s="151">
        <v>-4.0000000000000002E-4</v>
      </c>
      <c r="X277" s="151">
        <v>-4.0000000000000001E-3</v>
      </c>
      <c r="Y277" s="151">
        <v>-4.0000000000000001E-3</v>
      </c>
      <c r="Z277" s="151">
        <v>-4.0000000000000001E-3</v>
      </c>
      <c r="AA277" s="151">
        <v>-4.0000000000000001E-3</v>
      </c>
      <c r="AB277" s="151">
        <v>-4.0000000000000001E-3</v>
      </c>
      <c r="AC277" s="151">
        <v>-4.0000000000000001E-3</v>
      </c>
      <c r="AD277" s="151">
        <v>-4.0000000000000002E-4</v>
      </c>
      <c r="AE277" s="151">
        <v>-4.0000000000000001E-3</v>
      </c>
      <c r="AF277" s="151">
        <v>-4.0000000000000002E-4</v>
      </c>
      <c r="AI277" s="1" t="s">
        <v>229</v>
      </c>
      <c r="AJ277" s="1" t="s">
        <v>1753</v>
      </c>
      <c r="AK277" s="1" t="s">
        <v>122</v>
      </c>
      <c r="AL277" s="749" t="s">
        <v>1888</v>
      </c>
    </row>
    <row r="278" spans="1:38">
      <c r="A278" s="1" t="s">
        <v>3332</v>
      </c>
      <c r="B278" s="1">
        <v>952</v>
      </c>
      <c r="C278" s="1">
        <v>228</v>
      </c>
      <c r="D278" s="1">
        <v>57.9</v>
      </c>
      <c r="E278" s="1">
        <v>19.600000000000001</v>
      </c>
      <c r="F278" s="1">
        <v>13.7</v>
      </c>
      <c r="G278" s="1" t="s">
        <v>229</v>
      </c>
      <c r="H278" s="749" t="s">
        <v>352</v>
      </c>
      <c r="I278" s="38">
        <v>17</v>
      </c>
      <c r="J278" s="4">
        <v>402.96503496503499</v>
      </c>
      <c r="K278" s="4">
        <v>17.6993006993007</v>
      </c>
      <c r="L278" s="4">
        <v>22.503496503496503</v>
      </c>
      <c r="M278" s="4">
        <v>24</v>
      </c>
      <c r="N278" s="4">
        <v>21.9020979020979</v>
      </c>
      <c r="O278" s="67">
        <v>8.0699300699300718</v>
      </c>
      <c r="P278" s="3">
        <v>21</v>
      </c>
      <c r="Q278" s="3">
        <v>1523.9999999999998</v>
      </c>
      <c r="R278" s="3">
        <v>128</v>
      </c>
      <c r="S278" s="3">
        <v>499</v>
      </c>
      <c r="T278" s="3">
        <v>734</v>
      </c>
      <c r="U278" s="3">
        <v>13.860139860139862</v>
      </c>
      <c r="V278" s="3">
        <v>6.8111888111888117</v>
      </c>
      <c r="W278" s="69">
        <v>3.7902097902097904</v>
      </c>
      <c r="X278" s="3">
        <v>4</v>
      </c>
      <c r="Y278" s="3">
        <v>7.6923076923076927E-2</v>
      </c>
      <c r="Z278" s="3">
        <v>0.23776223776223776</v>
      </c>
      <c r="AA278" s="3">
        <v>7.06993006993007</v>
      </c>
      <c r="AB278" s="3">
        <v>0.11888111888111888</v>
      </c>
      <c r="AC278" s="3">
        <v>32</v>
      </c>
      <c r="AD278" s="3">
        <v>1.1818181818181819</v>
      </c>
      <c r="AE278" s="37">
        <v>0</v>
      </c>
      <c r="AF278" s="37">
        <v>0</v>
      </c>
      <c r="AI278" s="1" t="s">
        <v>229</v>
      </c>
      <c r="AJ278" s="1" t="s">
        <v>1753</v>
      </c>
      <c r="AK278" s="749" t="s">
        <v>352</v>
      </c>
      <c r="AL278" s="749" t="s">
        <v>352</v>
      </c>
    </row>
    <row r="279" spans="1:38">
      <c r="A279" s="1" t="s">
        <v>3333</v>
      </c>
      <c r="B279" s="1">
        <v>1819</v>
      </c>
      <c r="C279" s="1">
        <v>433</v>
      </c>
      <c r="D279" s="1">
        <v>78.8</v>
      </c>
      <c r="E279" s="1">
        <v>2.4</v>
      </c>
      <c r="F279" s="1">
        <v>12.9</v>
      </c>
      <c r="G279" s="1" t="s">
        <v>229</v>
      </c>
      <c r="H279" s="1" t="s">
        <v>152</v>
      </c>
      <c r="J279" s="1">
        <v>433</v>
      </c>
      <c r="K279" s="1">
        <v>78.8</v>
      </c>
      <c r="L279" s="1">
        <v>2.4</v>
      </c>
      <c r="M279" s="151">
        <v>-4.0000000000000001E-3</v>
      </c>
      <c r="N279" s="1">
        <v>12.9</v>
      </c>
      <c r="O279" s="151">
        <v>-4.0000000000000001E-3</v>
      </c>
      <c r="P279" s="151">
        <v>-4.0000000000000001E-3</v>
      </c>
      <c r="Q279" s="151">
        <v>-4.0000000000000001E-3</v>
      </c>
      <c r="R279" s="151">
        <v>-4.0000000000000001E-3</v>
      </c>
      <c r="S279" s="151">
        <v>-4.0000000000000001E-3</v>
      </c>
      <c r="T279" s="151">
        <v>-4.0000000000000001E-3</v>
      </c>
      <c r="U279" s="151">
        <v>-4.0000000000000001E-3</v>
      </c>
      <c r="V279" s="151">
        <v>-4.0000000000000001E-3</v>
      </c>
      <c r="W279" s="151">
        <v>-4.0000000000000002E-4</v>
      </c>
      <c r="X279" s="151">
        <v>-4.0000000000000001E-3</v>
      </c>
      <c r="Y279" s="151">
        <v>-4.0000000000000001E-3</v>
      </c>
      <c r="Z279" s="151">
        <v>-4.0000000000000001E-3</v>
      </c>
      <c r="AA279" s="151">
        <v>-4.0000000000000001E-3</v>
      </c>
      <c r="AB279" s="151">
        <v>-4.0000000000000001E-3</v>
      </c>
      <c r="AC279" s="151">
        <v>-4.0000000000000001E-3</v>
      </c>
      <c r="AD279" s="151">
        <v>-4.0000000000000002E-4</v>
      </c>
      <c r="AE279" s="151">
        <v>-4.0000000000000001E-3</v>
      </c>
      <c r="AF279" s="151">
        <v>-4.0000000000000002E-4</v>
      </c>
      <c r="AI279" s="1" t="s">
        <v>230</v>
      </c>
      <c r="AJ279" s="1" t="s">
        <v>1753</v>
      </c>
      <c r="AK279" s="1" t="s">
        <v>152</v>
      </c>
      <c r="AL279" s="749" t="s">
        <v>1889</v>
      </c>
    </row>
    <row r="280" spans="1:38">
      <c r="A280" s="749" t="s">
        <v>3349</v>
      </c>
      <c r="B280" s="17">
        <v>1841</v>
      </c>
      <c r="C280" s="1">
        <v>440</v>
      </c>
      <c r="D280" s="1">
        <v>67</v>
      </c>
      <c r="E280" s="1">
        <v>7.9</v>
      </c>
      <c r="F280" s="1">
        <v>14.5</v>
      </c>
      <c r="G280" s="1" t="s">
        <v>229</v>
      </c>
      <c r="H280" s="1" t="s">
        <v>150</v>
      </c>
      <c r="J280" s="1">
        <v>440</v>
      </c>
      <c r="K280" s="1">
        <v>67</v>
      </c>
      <c r="L280" s="1">
        <v>7.9</v>
      </c>
      <c r="M280" s="151">
        <v>-4.0000000000000001E-3</v>
      </c>
      <c r="N280" s="1">
        <v>14.5</v>
      </c>
      <c r="O280" s="151">
        <v>-4.0000000000000001E-3</v>
      </c>
      <c r="P280" s="151">
        <v>-4.0000000000000001E-3</v>
      </c>
      <c r="Q280" s="151">
        <v>-4.0000000000000001E-3</v>
      </c>
      <c r="R280" s="151">
        <v>-4.0000000000000001E-3</v>
      </c>
      <c r="S280" s="151">
        <v>-4.0000000000000001E-3</v>
      </c>
      <c r="T280" s="151">
        <v>-4.0000000000000001E-3</v>
      </c>
      <c r="U280" s="151">
        <v>-4.0000000000000001E-3</v>
      </c>
      <c r="V280" s="151">
        <v>-4.0000000000000001E-3</v>
      </c>
      <c r="W280" s="151">
        <v>-4.0000000000000002E-4</v>
      </c>
      <c r="X280" s="151">
        <v>-4.0000000000000001E-3</v>
      </c>
      <c r="Y280" s="151">
        <v>-4.0000000000000001E-3</v>
      </c>
      <c r="Z280" s="151">
        <v>-4.0000000000000001E-3</v>
      </c>
      <c r="AA280" s="151">
        <v>-4.0000000000000001E-3</v>
      </c>
      <c r="AB280" s="151">
        <v>-4.0000000000000001E-3</v>
      </c>
      <c r="AC280" s="151">
        <v>-4.0000000000000001E-3</v>
      </c>
      <c r="AD280" s="151">
        <v>-4.0000000000000002E-4</v>
      </c>
      <c r="AE280" s="151">
        <v>-4.0000000000000001E-3</v>
      </c>
      <c r="AF280" s="151">
        <v>-4.0000000000000002E-4</v>
      </c>
      <c r="AI280" s="1" t="s">
        <v>230</v>
      </c>
      <c r="AJ280" s="1" t="s">
        <v>1753</v>
      </c>
      <c r="AK280" s="1" t="s">
        <v>150</v>
      </c>
      <c r="AL280" s="749" t="s">
        <v>1890</v>
      </c>
    </row>
    <row r="281" spans="1:38">
      <c r="A281" s="1" t="s">
        <v>3334</v>
      </c>
      <c r="B281" s="1">
        <v>2074</v>
      </c>
      <c r="C281" s="1">
        <v>495</v>
      </c>
      <c r="D281" s="1">
        <v>63.2</v>
      </c>
      <c r="E281" s="15">
        <v>12</v>
      </c>
      <c r="F281" s="1">
        <v>23.5</v>
      </c>
      <c r="G281" s="1" t="s">
        <v>229</v>
      </c>
      <c r="H281" s="1" t="s">
        <v>123</v>
      </c>
      <c r="J281" s="1">
        <v>495</v>
      </c>
      <c r="K281" s="1">
        <v>63.2</v>
      </c>
      <c r="L281" s="15">
        <v>12</v>
      </c>
      <c r="M281" s="151">
        <v>-4.0000000000000001E-3</v>
      </c>
      <c r="N281" s="1">
        <v>23.5</v>
      </c>
      <c r="O281" s="151">
        <v>-4.0000000000000001E-3</v>
      </c>
      <c r="P281" s="151">
        <v>-4.0000000000000001E-3</v>
      </c>
      <c r="Q281" s="151">
        <v>-4.0000000000000001E-3</v>
      </c>
      <c r="R281" s="151">
        <v>-4.0000000000000001E-3</v>
      </c>
      <c r="S281" s="151">
        <v>-4.0000000000000001E-3</v>
      </c>
      <c r="T281" s="151">
        <v>-4.0000000000000001E-3</v>
      </c>
      <c r="U281" s="151">
        <v>-4.0000000000000001E-3</v>
      </c>
      <c r="V281" s="151">
        <v>-4.0000000000000001E-3</v>
      </c>
      <c r="W281" s="151">
        <v>-4.0000000000000002E-4</v>
      </c>
      <c r="X281" s="151">
        <v>-4.0000000000000001E-3</v>
      </c>
      <c r="Y281" s="151">
        <v>-4.0000000000000001E-3</v>
      </c>
      <c r="Z281" s="151">
        <v>-4.0000000000000001E-3</v>
      </c>
      <c r="AA281" s="151">
        <v>-4.0000000000000001E-3</v>
      </c>
      <c r="AB281" s="151">
        <v>-4.0000000000000001E-3</v>
      </c>
      <c r="AC281" s="151">
        <v>-4.0000000000000001E-3</v>
      </c>
      <c r="AD281" s="151">
        <v>-4.0000000000000002E-4</v>
      </c>
      <c r="AE281" s="151">
        <v>-4.0000000000000001E-3</v>
      </c>
      <c r="AF281" s="151">
        <v>-4.0000000000000002E-4</v>
      </c>
      <c r="AI281" s="1" t="s">
        <v>229</v>
      </c>
      <c r="AJ281" s="1" t="s">
        <v>1753</v>
      </c>
      <c r="AK281" s="1" t="s">
        <v>123</v>
      </c>
      <c r="AL281" s="749" t="s">
        <v>1891</v>
      </c>
    </row>
    <row r="282" spans="1:38">
      <c r="A282" s="1" t="s">
        <v>3350</v>
      </c>
      <c r="B282" s="1">
        <v>1836</v>
      </c>
      <c r="C282" s="1">
        <v>437.2</v>
      </c>
      <c r="D282" s="1">
        <v>70.400000000000006</v>
      </c>
      <c r="E282" s="1">
        <v>11.9</v>
      </c>
      <c r="F282" s="1">
        <v>12</v>
      </c>
      <c r="G282" s="1" t="s">
        <v>229</v>
      </c>
      <c r="H282" s="1" t="s">
        <v>124</v>
      </c>
      <c r="I282" s="749" t="s">
        <v>1638</v>
      </c>
      <c r="J282" s="1">
        <v>437.2</v>
      </c>
      <c r="K282" s="1">
        <v>70.400000000000006</v>
      </c>
      <c r="L282" s="1">
        <v>11.9</v>
      </c>
      <c r="M282" s="4">
        <v>3</v>
      </c>
      <c r="N282" s="1">
        <v>12</v>
      </c>
      <c r="O282" s="4">
        <v>5.7</v>
      </c>
      <c r="P282" s="4">
        <v>377</v>
      </c>
      <c r="Q282" s="151">
        <v>-4.0000000000000001E-3</v>
      </c>
      <c r="R282" s="151">
        <v>-4.0000000000000001E-3</v>
      </c>
      <c r="S282" s="151">
        <v>-4.0000000000000001E-3</v>
      </c>
      <c r="T282" s="4">
        <v>130</v>
      </c>
      <c r="U282" s="4">
        <v>2.1</v>
      </c>
      <c r="V282" s="151">
        <v>-4.0000000000000001E-3</v>
      </c>
      <c r="W282" s="151">
        <v>-4.0000000000000002E-4</v>
      </c>
      <c r="X282" s="151">
        <v>-4.0000000000000001E-3</v>
      </c>
      <c r="Y282" s="4">
        <v>0.9</v>
      </c>
      <c r="Z282" s="151">
        <v>-4.0000000000000001E-3</v>
      </c>
      <c r="AA282" s="4">
        <v>18</v>
      </c>
      <c r="AB282" s="4">
        <v>2</v>
      </c>
      <c r="AC282" s="4">
        <v>95.8</v>
      </c>
      <c r="AD282" s="151">
        <v>-4.0000000000000002E-4</v>
      </c>
      <c r="AE282" s="4">
        <v>13</v>
      </c>
      <c r="AF282" s="151">
        <v>-4.0000000000000002E-4</v>
      </c>
      <c r="AI282" s="1" t="s">
        <v>229</v>
      </c>
      <c r="AJ282" s="1" t="s">
        <v>1753</v>
      </c>
      <c r="AK282" s="1" t="s">
        <v>124</v>
      </c>
      <c r="AL282" s="749" t="s">
        <v>1892</v>
      </c>
    </row>
    <row r="283" spans="1:38">
      <c r="A283" s="1" t="s">
        <v>3351</v>
      </c>
      <c r="B283" s="1">
        <v>1836</v>
      </c>
      <c r="C283" s="1">
        <v>437.2</v>
      </c>
      <c r="D283" s="1">
        <v>70.400000000000006</v>
      </c>
      <c r="E283" s="1">
        <v>11.9</v>
      </c>
      <c r="F283" s="1">
        <v>12</v>
      </c>
      <c r="G283" s="1" t="s">
        <v>229</v>
      </c>
      <c r="H283" s="1" t="s">
        <v>124</v>
      </c>
      <c r="I283" s="749" t="s">
        <v>1638</v>
      </c>
      <c r="J283" s="1">
        <v>437.2</v>
      </c>
      <c r="K283" s="1">
        <v>70.400000000000006</v>
      </c>
      <c r="L283" s="1">
        <v>11.9</v>
      </c>
      <c r="M283" s="4">
        <v>3</v>
      </c>
      <c r="N283" s="1">
        <v>12</v>
      </c>
      <c r="O283" s="4">
        <v>5.7</v>
      </c>
      <c r="P283" s="4">
        <v>377</v>
      </c>
      <c r="Q283" s="151">
        <v>-4.0000000000000001E-3</v>
      </c>
      <c r="R283" s="151">
        <v>-4.0000000000000001E-3</v>
      </c>
      <c r="S283" s="151">
        <v>-4.0000000000000001E-3</v>
      </c>
      <c r="T283" s="4">
        <v>130</v>
      </c>
      <c r="U283" s="4">
        <v>2.1</v>
      </c>
      <c r="V283" s="151">
        <v>-4.0000000000000001E-3</v>
      </c>
      <c r="W283" s="151">
        <v>-4.0000000000000002E-4</v>
      </c>
      <c r="X283" s="151">
        <v>-4.0000000000000001E-3</v>
      </c>
      <c r="Y283" s="4">
        <v>0.9</v>
      </c>
      <c r="Z283" s="151">
        <v>-4.0000000000000001E-3</v>
      </c>
      <c r="AA283" s="4">
        <v>18</v>
      </c>
      <c r="AB283" s="4">
        <v>2</v>
      </c>
      <c r="AC283" s="4">
        <v>95.8</v>
      </c>
      <c r="AD283" s="151">
        <v>-4.0000000000000002E-4</v>
      </c>
      <c r="AE283" s="4">
        <v>13</v>
      </c>
      <c r="AF283" s="151">
        <v>-4.0000000000000002E-4</v>
      </c>
      <c r="AI283" s="1" t="s">
        <v>229</v>
      </c>
      <c r="AJ283" s="1" t="s">
        <v>1753</v>
      </c>
      <c r="AK283" s="1" t="s">
        <v>124</v>
      </c>
      <c r="AL283" s="749" t="s">
        <v>1892</v>
      </c>
    </row>
    <row r="284" spans="1:38">
      <c r="A284" s="749" t="s">
        <v>3352</v>
      </c>
      <c r="B284" s="1">
        <v>1894</v>
      </c>
      <c r="C284" s="1">
        <v>453</v>
      </c>
      <c r="D284" s="1">
        <v>58.2</v>
      </c>
      <c r="E284" s="1">
        <v>9.9</v>
      </c>
      <c r="F284" s="1">
        <v>18.100000000000001</v>
      </c>
      <c r="G284" s="1" t="s">
        <v>229</v>
      </c>
      <c r="H284" s="1" t="s">
        <v>125</v>
      </c>
      <c r="J284" s="1">
        <v>453</v>
      </c>
      <c r="K284" s="1">
        <v>58.2</v>
      </c>
      <c r="L284" s="1">
        <v>9.9</v>
      </c>
      <c r="M284" s="151">
        <v>-4.0000000000000001E-3</v>
      </c>
      <c r="N284" s="1">
        <v>18.100000000000001</v>
      </c>
      <c r="O284" s="151">
        <v>-4.0000000000000001E-3</v>
      </c>
      <c r="P284" s="151">
        <v>-4.0000000000000001E-3</v>
      </c>
      <c r="Q284" s="151">
        <v>-4.0000000000000001E-3</v>
      </c>
      <c r="R284" s="151">
        <v>-4.0000000000000001E-3</v>
      </c>
      <c r="S284" s="151">
        <v>-4.0000000000000001E-3</v>
      </c>
      <c r="T284" s="151">
        <v>-4.0000000000000001E-3</v>
      </c>
      <c r="U284" s="151">
        <v>-4.0000000000000001E-3</v>
      </c>
      <c r="V284" s="151">
        <v>-4.0000000000000001E-3</v>
      </c>
      <c r="W284" s="151">
        <v>-4.0000000000000002E-4</v>
      </c>
      <c r="X284" s="151">
        <v>-4.0000000000000001E-3</v>
      </c>
      <c r="Y284" s="151">
        <v>-4.0000000000000001E-3</v>
      </c>
      <c r="Z284" s="151">
        <v>-4.0000000000000001E-3</v>
      </c>
      <c r="AA284" s="151">
        <v>-4.0000000000000001E-3</v>
      </c>
      <c r="AB284" s="151">
        <v>-4.0000000000000001E-3</v>
      </c>
      <c r="AC284" s="151">
        <v>-4.0000000000000001E-3</v>
      </c>
      <c r="AD284" s="151">
        <v>-4.0000000000000002E-4</v>
      </c>
      <c r="AE284" s="151">
        <v>-4.0000000000000001E-3</v>
      </c>
      <c r="AF284" s="151">
        <v>-4.0000000000000002E-4</v>
      </c>
      <c r="AI284" s="1" t="s">
        <v>229</v>
      </c>
      <c r="AJ284" s="1" t="s">
        <v>1753</v>
      </c>
      <c r="AK284" s="1" t="s">
        <v>125</v>
      </c>
      <c r="AL284" s="749" t="s">
        <v>1893</v>
      </c>
    </row>
    <row r="285" spans="1:38">
      <c r="A285" s="1" t="s">
        <v>1894</v>
      </c>
      <c r="B285" s="1">
        <v>1777</v>
      </c>
      <c r="C285" s="1">
        <v>425</v>
      </c>
      <c r="D285" s="1">
        <v>75.3</v>
      </c>
      <c r="E285" s="1">
        <v>8.1999999999999993</v>
      </c>
      <c r="F285" s="1">
        <v>10.1</v>
      </c>
      <c r="G285" s="1" t="s">
        <v>229</v>
      </c>
      <c r="H285" s="1" t="s">
        <v>138</v>
      </c>
      <c r="J285" s="1">
        <v>425</v>
      </c>
      <c r="K285" s="1">
        <v>75.3</v>
      </c>
      <c r="L285" s="1">
        <v>8.1999999999999993</v>
      </c>
      <c r="M285" s="151">
        <v>-4.0000000000000001E-3</v>
      </c>
      <c r="N285" s="1">
        <v>10.1</v>
      </c>
      <c r="O285" s="151">
        <v>-4.0000000000000001E-3</v>
      </c>
      <c r="P285" s="151">
        <v>-4.0000000000000001E-3</v>
      </c>
      <c r="Q285" s="151">
        <v>-4.0000000000000001E-3</v>
      </c>
      <c r="R285" s="151">
        <v>-4.0000000000000001E-3</v>
      </c>
      <c r="S285" s="151">
        <v>-4.0000000000000001E-3</v>
      </c>
      <c r="T285" s="151">
        <v>-4.0000000000000001E-3</v>
      </c>
      <c r="U285" s="151">
        <v>-4.0000000000000001E-3</v>
      </c>
      <c r="V285" s="151">
        <v>-4.0000000000000001E-3</v>
      </c>
      <c r="W285" s="151">
        <v>-4.0000000000000002E-4</v>
      </c>
      <c r="X285" s="151">
        <v>-4.0000000000000001E-3</v>
      </c>
      <c r="Y285" s="151">
        <v>-4.0000000000000001E-3</v>
      </c>
      <c r="Z285" s="151">
        <v>-4.0000000000000001E-3</v>
      </c>
      <c r="AA285" s="151">
        <v>-4.0000000000000001E-3</v>
      </c>
      <c r="AB285" s="151">
        <v>-4.0000000000000001E-3</v>
      </c>
      <c r="AC285" s="151">
        <v>-4.0000000000000001E-3</v>
      </c>
      <c r="AD285" s="151">
        <v>-4.0000000000000002E-4</v>
      </c>
      <c r="AE285" s="151">
        <v>-4.0000000000000001E-3</v>
      </c>
      <c r="AF285" s="151">
        <v>-4.0000000000000002E-4</v>
      </c>
      <c r="AI285" s="1" t="s">
        <v>229</v>
      </c>
      <c r="AJ285" s="1" t="s">
        <v>1753</v>
      </c>
      <c r="AK285" s="1" t="s">
        <v>138</v>
      </c>
      <c r="AL285" s="749" t="s">
        <v>1894</v>
      </c>
    </row>
    <row r="286" spans="1:38">
      <c r="A286" s="1" t="s">
        <v>1895</v>
      </c>
      <c r="B286" s="14">
        <v>2181</v>
      </c>
      <c r="C286" s="1">
        <v>521</v>
      </c>
      <c r="D286" s="1">
        <v>58.8</v>
      </c>
      <c r="E286" s="1">
        <v>8.5</v>
      </c>
      <c r="F286" s="1">
        <v>27.6</v>
      </c>
      <c r="G286" s="1" t="s">
        <v>229</v>
      </c>
      <c r="H286" s="1" t="s">
        <v>126</v>
      </c>
      <c r="J286" s="1">
        <v>521</v>
      </c>
      <c r="K286" s="1">
        <v>58.8</v>
      </c>
      <c r="L286" s="1">
        <v>8.5</v>
      </c>
      <c r="M286" s="151">
        <v>-4.0000000000000001E-3</v>
      </c>
      <c r="N286" s="1">
        <v>27.6</v>
      </c>
      <c r="O286" s="151">
        <v>-4.0000000000000001E-3</v>
      </c>
      <c r="P286" s="151">
        <v>-4.0000000000000001E-3</v>
      </c>
      <c r="Q286" s="151">
        <v>-4.0000000000000001E-3</v>
      </c>
      <c r="R286" s="151">
        <v>-4.0000000000000001E-3</v>
      </c>
      <c r="S286" s="151">
        <v>-4.0000000000000001E-3</v>
      </c>
      <c r="T286" s="151">
        <v>-4.0000000000000001E-3</v>
      </c>
      <c r="U286" s="151">
        <v>-4.0000000000000001E-3</v>
      </c>
      <c r="V286" s="151">
        <v>-4.0000000000000001E-3</v>
      </c>
      <c r="W286" s="151">
        <v>-4.0000000000000002E-4</v>
      </c>
      <c r="X286" s="151">
        <v>-4.0000000000000001E-3</v>
      </c>
      <c r="Y286" s="151">
        <v>-4.0000000000000001E-3</v>
      </c>
      <c r="Z286" s="151">
        <v>-4.0000000000000001E-3</v>
      </c>
      <c r="AA286" s="151">
        <v>-4.0000000000000001E-3</v>
      </c>
      <c r="AB286" s="151">
        <v>-4.0000000000000001E-3</v>
      </c>
      <c r="AC286" s="151">
        <v>-4.0000000000000001E-3</v>
      </c>
      <c r="AD286" s="151">
        <v>-4.0000000000000002E-4</v>
      </c>
      <c r="AE286" s="151">
        <v>-4.0000000000000001E-3</v>
      </c>
      <c r="AF286" s="151">
        <v>-4.0000000000000002E-4</v>
      </c>
      <c r="AI286" s="1" t="s">
        <v>229</v>
      </c>
      <c r="AJ286" s="1" t="s">
        <v>1753</v>
      </c>
      <c r="AK286" s="1" t="s">
        <v>126</v>
      </c>
      <c r="AL286" s="749" t="s">
        <v>1895</v>
      </c>
    </row>
    <row r="287" spans="1:38">
      <c r="A287" s="1" t="s">
        <v>1896</v>
      </c>
      <c r="B287" s="1">
        <v>322</v>
      </c>
      <c r="C287" s="1">
        <v>77</v>
      </c>
      <c r="D287" s="1">
        <v>20.2</v>
      </c>
      <c r="E287" s="1">
        <v>0.3</v>
      </c>
      <c r="F287" s="1">
        <v>0</v>
      </c>
      <c r="G287" s="1" t="s">
        <v>229</v>
      </c>
      <c r="H287" s="1" t="s">
        <v>127</v>
      </c>
      <c r="J287" s="1">
        <v>77</v>
      </c>
      <c r="K287" s="1">
        <v>20.2</v>
      </c>
      <c r="L287" s="1">
        <v>0.3</v>
      </c>
      <c r="M287" s="151">
        <v>-4.0000000000000001E-3</v>
      </c>
      <c r="N287" s="1">
        <v>0</v>
      </c>
      <c r="O287" s="151">
        <v>-4.0000000000000001E-3</v>
      </c>
      <c r="P287" s="151">
        <v>-4.0000000000000001E-3</v>
      </c>
      <c r="Q287" s="151">
        <v>-4.0000000000000001E-3</v>
      </c>
      <c r="R287" s="151">
        <v>-4.0000000000000001E-3</v>
      </c>
      <c r="S287" s="151">
        <v>-4.0000000000000001E-3</v>
      </c>
      <c r="T287" s="151">
        <v>-4.0000000000000002E-4</v>
      </c>
      <c r="U287" s="151">
        <v>-4.0000000000000002E-4</v>
      </c>
      <c r="V287" s="151">
        <v>-4.0000000000000002E-4</v>
      </c>
      <c r="W287" s="151">
        <v>-4.0000000000000002E-4</v>
      </c>
      <c r="X287" s="151">
        <v>-4.0000000000000002E-4</v>
      </c>
      <c r="Y287" s="151">
        <v>-4.0000000000000002E-4</v>
      </c>
      <c r="Z287" s="151">
        <v>-4.0000000000000002E-4</v>
      </c>
      <c r="AA287" s="151">
        <v>-4.0000000000000002E-4</v>
      </c>
      <c r="AB287" s="151">
        <v>-4.0000000000000002E-4</v>
      </c>
      <c r="AC287" s="151">
        <v>-4.0000000000000002E-4</v>
      </c>
      <c r="AD287" s="151">
        <v>-4.0000000000000002E-4</v>
      </c>
      <c r="AE287" s="151">
        <v>-4.0000000000000002E-4</v>
      </c>
      <c r="AF287" s="151">
        <v>-4.0000000000000002E-4</v>
      </c>
      <c r="AI287" s="1" t="s">
        <v>229</v>
      </c>
      <c r="AJ287" s="1" t="s">
        <v>1753</v>
      </c>
      <c r="AK287" s="1" t="s">
        <v>127</v>
      </c>
      <c r="AL287" s="749" t="s">
        <v>1896</v>
      </c>
    </row>
    <row r="288" spans="1:38">
      <c r="A288" s="1" t="s">
        <v>3481</v>
      </c>
      <c r="B288" s="1">
        <v>364</v>
      </c>
      <c r="C288" s="1">
        <v>87</v>
      </c>
      <c r="D288" s="1">
        <v>22.9</v>
      </c>
      <c r="E288" s="1">
        <v>0.4</v>
      </c>
      <c r="F288" s="1">
        <v>0</v>
      </c>
      <c r="G288" s="1" t="s">
        <v>229</v>
      </c>
      <c r="H288" s="1" t="s">
        <v>128</v>
      </c>
      <c r="J288" s="1">
        <v>87</v>
      </c>
      <c r="K288" s="1">
        <v>22.9</v>
      </c>
      <c r="L288" s="1">
        <v>0.4</v>
      </c>
      <c r="M288" s="151">
        <v>-4.0000000000000001E-3</v>
      </c>
      <c r="N288" s="1">
        <v>0</v>
      </c>
      <c r="O288" s="151">
        <v>-4.0000000000000001E-3</v>
      </c>
      <c r="P288" s="151">
        <v>-4.0000000000000001E-3</v>
      </c>
      <c r="Q288" s="151">
        <v>-4.0000000000000001E-3</v>
      </c>
      <c r="R288" s="151">
        <v>-4.0000000000000001E-3</v>
      </c>
      <c r="S288" s="151">
        <v>-4.0000000000000001E-3</v>
      </c>
      <c r="T288" s="151">
        <v>-4.0000000000000002E-4</v>
      </c>
      <c r="U288" s="151">
        <v>-4.0000000000000002E-4</v>
      </c>
      <c r="V288" s="151">
        <v>-4.0000000000000002E-4</v>
      </c>
      <c r="W288" s="151">
        <v>-4.0000000000000002E-4</v>
      </c>
      <c r="X288" s="151">
        <v>-4.0000000000000002E-4</v>
      </c>
      <c r="Y288" s="151">
        <v>-4.0000000000000002E-4</v>
      </c>
      <c r="Z288" s="151">
        <v>-4.0000000000000002E-4</v>
      </c>
      <c r="AA288" s="151">
        <v>-4.0000000000000002E-4</v>
      </c>
      <c r="AB288" s="151">
        <v>-4.0000000000000002E-4</v>
      </c>
      <c r="AC288" s="151">
        <v>-4.0000000000000002E-4</v>
      </c>
      <c r="AD288" s="151">
        <v>-4.0000000000000002E-4</v>
      </c>
      <c r="AE288" s="151">
        <v>-4.0000000000000002E-4</v>
      </c>
      <c r="AF288" s="151">
        <v>-4.0000000000000002E-4</v>
      </c>
      <c r="AI288" s="1" t="s">
        <v>229</v>
      </c>
      <c r="AJ288" s="1" t="s">
        <v>1753</v>
      </c>
      <c r="AK288" s="1" t="s">
        <v>128</v>
      </c>
      <c r="AL288" s="749" t="s">
        <v>1897</v>
      </c>
    </row>
    <row r="289" spans="1:38">
      <c r="A289" s="1" t="s">
        <v>1898</v>
      </c>
      <c r="B289" s="1">
        <v>322</v>
      </c>
      <c r="C289" s="1">
        <v>77</v>
      </c>
      <c r="D289" s="1">
        <v>20</v>
      </c>
      <c r="E289" s="1">
        <v>0.4</v>
      </c>
      <c r="F289" s="1">
        <v>0</v>
      </c>
      <c r="G289" s="1" t="s">
        <v>229</v>
      </c>
      <c r="H289" s="1" t="s">
        <v>129</v>
      </c>
      <c r="J289" s="1">
        <v>77</v>
      </c>
      <c r="K289" s="1">
        <v>20</v>
      </c>
      <c r="L289" s="1">
        <v>0.4</v>
      </c>
      <c r="M289" s="151">
        <v>-4.0000000000000001E-3</v>
      </c>
      <c r="N289" s="1">
        <v>0</v>
      </c>
      <c r="O289" s="151">
        <v>-4.0000000000000001E-3</v>
      </c>
      <c r="P289" s="151">
        <v>-4.0000000000000001E-3</v>
      </c>
      <c r="Q289" s="151">
        <v>-4.0000000000000001E-3</v>
      </c>
      <c r="R289" s="151">
        <v>-4.0000000000000001E-3</v>
      </c>
      <c r="S289" s="151">
        <v>-4.0000000000000001E-3</v>
      </c>
      <c r="T289" s="151">
        <v>-4.0000000000000002E-4</v>
      </c>
      <c r="U289" s="151">
        <v>-4.0000000000000002E-4</v>
      </c>
      <c r="V289" s="151">
        <v>-4.0000000000000002E-4</v>
      </c>
      <c r="W289" s="151">
        <v>-4.0000000000000002E-4</v>
      </c>
      <c r="X289" s="151">
        <v>-4.0000000000000002E-4</v>
      </c>
      <c r="Y289" s="151">
        <v>-4.0000000000000002E-4</v>
      </c>
      <c r="Z289" s="151">
        <v>-4.0000000000000002E-4</v>
      </c>
      <c r="AA289" s="151">
        <v>-4.0000000000000002E-4</v>
      </c>
      <c r="AB289" s="151">
        <v>-4.0000000000000002E-4</v>
      </c>
      <c r="AC289" s="151">
        <v>-4.0000000000000002E-4</v>
      </c>
      <c r="AD289" s="151">
        <v>-4.0000000000000002E-4</v>
      </c>
      <c r="AE289" s="151">
        <v>-4.0000000000000002E-4</v>
      </c>
      <c r="AF289" s="151">
        <v>-4.0000000000000002E-4</v>
      </c>
      <c r="AI289" s="1" t="s">
        <v>229</v>
      </c>
      <c r="AJ289" s="1" t="s">
        <v>1753</v>
      </c>
      <c r="AK289" s="1" t="s">
        <v>129</v>
      </c>
      <c r="AL289" s="749" t="s">
        <v>1898</v>
      </c>
    </row>
    <row r="290" spans="1:38">
      <c r="A290" s="1" t="s">
        <v>3335</v>
      </c>
      <c r="B290" s="1">
        <v>1550</v>
      </c>
      <c r="C290" s="1">
        <v>371</v>
      </c>
      <c r="D290" s="1">
        <v>74.2</v>
      </c>
      <c r="E290" s="1">
        <v>1.5</v>
      </c>
      <c r="F290" s="1">
        <v>7.6</v>
      </c>
      <c r="G290" s="1" t="s">
        <v>229</v>
      </c>
      <c r="H290" s="1" t="s">
        <v>119</v>
      </c>
      <c r="J290" s="1">
        <v>371</v>
      </c>
      <c r="K290" s="1">
        <v>74.2</v>
      </c>
      <c r="L290" s="1">
        <v>1.5</v>
      </c>
      <c r="M290" s="151">
        <v>-4.0000000000000001E-3</v>
      </c>
      <c r="N290" s="1">
        <v>7.6</v>
      </c>
      <c r="O290" s="4">
        <v>4.4000000000000004</v>
      </c>
      <c r="P290" s="151">
        <v>-4.0000000000000001E-3</v>
      </c>
      <c r="Q290" s="151">
        <v>-4.0000000000000001E-3</v>
      </c>
      <c r="R290" s="151">
        <v>-4.0000000000000001E-3</v>
      </c>
      <c r="S290" s="151">
        <v>-4.0000000000000001E-3</v>
      </c>
      <c r="T290" s="151">
        <v>-4.0000000000000001E-3</v>
      </c>
      <c r="U290" s="151">
        <v>-4.0000000000000001E-3</v>
      </c>
      <c r="V290" s="151">
        <v>-4.0000000000000001E-3</v>
      </c>
      <c r="W290" s="151">
        <v>-4.0000000000000002E-4</v>
      </c>
      <c r="X290" s="151">
        <v>-4.0000000000000001E-3</v>
      </c>
      <c r="Y290" s="151">
        <v>-4.0000000000000001E-3</v>
      </c>
      <c r="Z290" s="151">
        <v>-4.0000000000000001E-3</v>
      </c>
      <c r="AA290" s="151">
        <v>-4.0000000000000001E-3</v>
      </c>
      <c r="AB290" s="151">
        <v>-4.0000000000000001E-3</v>
      </c>
      <c r="AC290" s="151">
        <v>-4.0000000000000001E-3</v>
      </c>
      <c r="AD290" s="151">
        <v>-4.0000000000000002E-4</v>
      </c>
      <c r="AE290" s="151">
        <v>-4.0000000000000001E-3</v>
      </c>
      <c r="AF290" s="151">
        <v>-4.0000000000000002E-4</v>
      </c>
      <c r="AI290" s="1" t="s">
        <v>229</v>
      </c>
      <c r="AJ290" s="1" t="s">
        <v>1753</v>
      </c>
      <c r="AK290" s="1" t="s">
        <v>119</v>
      </c>
      <c r="AL290" s="749" t="s">
        <v>1883</v>
      </c>
    </row>
    <row r="291" spans="1:38">
      <c r="A291" s="1" t="s">
        <v>3394</v>
      </c>
      <c r="B291" s="15"/>
      <c r="C291" s="15"/>
      <c r="D291" s="15"/>
      <c r="E291" s="15"/>
      <c r="F291" s="15"/>
      <c r="G291" s="1" t="s">
        <v>229</v>
      </c>
      <c r="H291" s="324" t="s">
        <v>1640</v>
      </c>
      <c r="J291" s="15">
        <v>377</v>
      </c>
      <c r="K291" s="15">
        <v>44.4</v>
      </c>
      <c r="L291" s="15">
        <v>6.1</v>
      </c>
      <c r="M291" s="151">
        <v>-4.0000000000000001E-3</v>
      </c>
      <c r="N291" s="15">
        <v>18.899999999999999</v>
      </c>
      <c r="O291" s="151">
        <v>-4.0000000000000001E-3</v>
      </c>
      <c r="P291" s="151">
        <v>-4.0000000000000001E-3</v>
      </c>
      <c r="Q291" s="151">
        <v>-4.0000000000000001E-3</v>
      </c>
      <c r="R291" s="151">
        <v>-4.0000000000000001E-3</v>
      </c>
      <c r="S291" s="151">
        <v>-4.0000000000000001E-3</v>
      </c>
      <c r="T291" s="151">
        <v>-4.0000000000000001E-3</v>
      </c>
      <c r="U291" s="151">
        <v>-4.0000000000000001E-3</v>
      </c>
      <c r="V291" s="151">
        <v>-4.0000000000000001E-3</v>
      </c>
      <c r="W291" s="151">
        <v>-4.0000000000000002E-4</v>
      </c>
      <c r="X291" s="151">
        <v>-4.0000000000000001E-3</v>
      </c>
      <c r="Y291" s="151">
        <v>-4.0000000000000001E-3</v>
      </c>
      <c r="Z291" s="151">
        <v>-4.0000000000000001E-3</v>
      </c>
      <c r="AA291" s="151">
        <v>-4.0000000000000001E-3</v>
      </c>
      <c r="AB291" s="151">
        <v>-4.0000000000000001E-3</v>
      </c>
      <c r="AC291" s="151">
        <v>-4.0000000000000001E-3</v>
      </c>
      <c r="AD291" s="151">
        <v>-4.0000000000000002E-4</v>
      </c>
      <c r="AE291" s="151">
        <v>-4.0000000000000001E-3</v>
      </c>
      <c r="AF291" s="151">
        <v>-4.0000000000000002E-4</v>
      </c>
      <c r="AI291" s="1" t="s">
        <v>229</v>
      </c>
      <c r="AJ291" s="1" t="s">
        <v>1753</v>
      </c>
      <c r="AK291" s="324" t="s">
        <v>1640</v>
      </c>
      <c r="AL291" s="749" t="s">
        <v>1899</v>
      </c>
    </row>
    <row r="292" spans="1:38">
      <c r="A292" s="1" t="s">
        <v>3480</v>
      </c>
      <c r="B292" s="1"/>
      <c r="D292" s="1"/>
      <c r="E292" s="1"/>
      <c r="F292" s="1"/>
      <c r="G292" s="1" t="s">
        <v>229</v>
      </c>
      <c r="H292" s="324" t="s">
        <v>1538</v>
      </c>
      <c r="J292" s="1">
        <v>300</v>
      </c>
      <c r="K292" s="1">
        <v>40</v>
      </c>
      <c r="L292" s="1">
        <v>3.3</v>
      </c>
      <c r="M292" s="151">
        <v>-4.0000000000000002E-4</v>
      </c>
      <c r="N292" s="1">
        <v>8</v>
      </c>
      <c r="O292" s="151">
        <v>-4.0000000000000002E-4</v>
      </c>
      <c r="P292" s="4">
        <v>175</v>
      </c>
      <c r="Q292" s="151">
        <v>-4.0000000000000002E-4</v>
      </c>
      <c r="R292" s="151">
        <v>-4.0000000000000002E-4</v>
      </c>
      <c r="S292" s="151">
        <v>-4.0000000000000002E-4</v>
      </c>
      <c r="T292" s="151">
        <v>-4.0000000000000002E-4</v>
      </c>
      <c r="U292" s="151">
        <v>-4.0000000000000002E-4</v>
      </c>
      <c r="V292" s="151">
        <v>-4.0000000000000002E-4</v>
      </c>
      <c r="W292" s="151">
        <v>-4.0000000000000002E-4</v>
      </c>
      <c r="X292" s="151">
        <v>-4.0000000000000002E-4</v>
      </c>
      <c r="Y292" s="151">
        <v>-4.0000000000000002E-4</v>
      </c>
      <c r="Z292" s="151">
        <v>-4.0000000000000002E-4</v>
      </c>
      <c r="AA292" s="151">
        <v>-4.0000000000000002E-4</v>
      </c>
      <c r="AB292" s="151">
        <v>-4.0000000000000002E-4</v>
      </c>
      <c r="AC292" s="151">
        <v>-4.0000000000000002E-4</v>
      </c>
      <c r="AD292" s="151">
        <v>-4.0000000000000002E-4</v>
      </c>
      <c r="AE292" s="151">
        <v>-4.0000000000000002E-4</v>
      </c>
      <c r="AF292" s="151">
        <v>-4.0000000000000002E-4</v>
      </c>
      <c r="AI292" s="1" t="s">
        <v>229</v>
      </c>
      <c r="AJ292" s="1" t="s">
        <v>1753</v>
      </c>
      <c r="AK292" s="324" t="s">
        <v>1538</v>
      </c>
      <c r="AL292" s="749" t="s">
        <v>1538</v>
      </c>
    </row>
    <row r="293" spans="1:38">
      <c r="A293" s="1" t="s">
        <v>3353</v>
      </c>
      <c r="B293" s="1">
        <v>1371</v>
      </c>
      <c r="C293" s="1">
        <v>328</v>
      </c>
      <c r="D293" s="1">
        <v>80</v>
      </c>
      <c r="E293" s="1">
        <v>2</v>
      </c>
      <c r="F293" s="1">
        <v>0</v>
      </c>
      <c r="G293" s="1" t="s">
        <v>229</v>
      </c>
      <c r="H293" s="1" t="s">
        <v>130</v>
      </c>
      <c r="J293" s="1">
        <v>328</v>
      </c>
      <c r="K293" s="1">
        <v>80</v>
      </c>
      <c r="L293" s="1">
        <v>2</v>
      </c>
      <c r="M293" s="151">
        <v>-4.0000000000000001E-3</v>
      </c>
      <c r="N293" s="1">
        <v>0</v>
      </c>
      <c r="O293" s="151">
        <v>-4.0000000000000001E-3</v>
      </c>
      <c r="P293" s="151">
        <v>-4.0000000000000001E-3</v>
      </c>
      <c r="Q293" s="151">
        <v>-4.0000000000000001E-3</v>
      </c>
      <c r="R293" s="151">
        <v>-4.0000000000000001E-3</v>
      </c>
      <c r="S293" s="151">
        <v>-4.0000000000000001E-3</v>
      </c>
      <c r="T293" s="151">
        <v>-4.0000000000000001E-3</v>
      </c>
      <c r="U293" s="151">
        <v>-4.0000000000000001E-3</v>
      </c>
      <c r="V293" s="151">
        <v>-4.0000000000000001E-3</v>
      </c>
      <c r="W293" s="151">
        <v>-4.0000000000000002E-4</v>
      </c>
      <c r="X293" s="151">
        <v>-4.0000000000000001E-3</v>
      </c>
      <c r="Y293" s="151">
        <v>-4.0000000000000001E-3</v>
      </c>
      <c r="Z293" s="151">
        <v>-4.0000000000000001E-3</v>
      </c>
      <c r="AA293" s="151">
        <v>-4.0000000000000001E-3</v>
      </c>
      <c r="AB293" s="151">
        <v>-4.0000000000000001E-3</v>
      </c>
      <c r="AC293" s="151">
        <v>-4.0000000000000001E-3</v>
      </c>
      <c r="AD293" s="151">
        <v>-4.0000000000000002E-4</v>
      </c>
      <c r="AE293" s="151">
        <v>-4.0000000000000001E-3</v>
      </c>
      <c r="AF293" s="151">
        <v>-4.0000000000000002E-4</v>
      </c>
      <c r="AI293" s="1" t="s">
        <v>229</v>
      </c>
      <c r="AJ293" s="1" t="s">
        <v>1753</v>
      </c>
      <c r="AK293" s="1" t="s">
        <v>130</v>
      </c>
      <c r="AL293" s="749" t="s">
        <v>130</v>
      </c>
    </row>
    <row r="294" spans="1:38">
      <c r="A294" s="749" t="s">
        <v>3354</v>
      </c>
      <c r="B294" s="17">
        <v>1184</v>
      </c>
      <c r="C294" s="1">
        <v>283</v>
      </c>
      <c r="D294" s="1">
        <v>70</v>
      </c>
      <c r="E294" s="1">
        <v>0.4</v>
      </c>
      <c r="F294" s="1">
        <v>0.05</v>
      </c>
      <c r="G294" s="1" t="s">
        <v>229</v>
      </c>
      <c r="H294" s="1" t="s">
        <v>1359</v>
      </c>
      <c r="J294" s="1">
        <v>226</v>
      </c>
      <c r="K294" s="1">
        <v>55</v>
      </c>
      <c r="L294" s="1">
        <v>1.3</v>
      </c>
      <c r="M294" s="151">
        <v>-4.0000000000000001E-3</v>
      </c>
      <c r="N294" s="1">
        <v>0.1</v>
      </c>
      <c r="O294" s="4">
        <v>0</v>
      </c>
      <c r="P294" s="151">
        <v>-4.0000000000000001E-3</v>
      </c>
      <c r="Q294" s="151">
        <v>-4.0000000000000001E-3</v>
      </c>
      <c r="R294" s="151">
        <v>-4.0000000000000001E-3</v>
      </c>
      <c r="S294" s="151">
        <v>-4.0000000000000001E-3</v>
      </c>
      <c r="T294" s="151">
        <v>-4.0000000000000001E-3</v>
      </c>
      <c r="U294" s="151">
        <v>-4.0000000000000001E-3</v>
      </c>
      <c r="V294" s="151">
        <v>-4.0000000000000001E-3</v>
      </c>
      <c r="W294" s="151">
        <v>-4.0000000000000002E-4</v>
      </c>
      <c r="X294" s="151">
        <v>-4.0000000000000001E-3</v>
      </c>
      <c r="Y294" s="151">
        <v>-4.0000000000000001E-3</v>
      </c>
      <c r="Z294" s="151">
        <v>-4.0000000000000001E-3</v>
      </c>
      <c r="AA294" s="151">
        <v>-4.0000000000000001E-3</v>
      </c>
      <c r="AB294" s="151">
        <v>-4.0000000000000001E-3</v>
      </c>
      <c r="AC294" s="151">
        <v>-4.0000000000000001E-3</v>
      </c>
      <c r="AD294" s="151">
        <v>-4.0000000000000002E-4</v>
      </c>
      <c r="AE294" s="151">
        <v>-4.0000000000000001E-3</v>
      </c>
      <c r="AF294" s="151">
        <v>-4.0000000000000002E-4</v>
      </c>
      <c r="AI294" s="1" t="s">
        <v>229</v>
      </c>
      <c r="AJ294" s="1" t="s">
        <v>1753</v>
      </c>
      <c r="AK294" s="1" t="s">
        <v>1359</v>
      </c>
      <c r="AL294" s="749" t="s">
        <v>1947</v>
      </c>
    </row>
    <row r="295" spans="1:38">
      <c r="A295" s="1" t="s">
        <v>503</v>
      </c>
      <c r="B295" s="1">
        <v>1272</v>
      </c>
      <c r="C295" s="1">
        <v>304</v>
      </c>
      <c r="D295" s="1">
        <v>82.4</v>
      </c>
      <c r="E295" s="1">
        <v>0.3</v>
      </c>
      <c r="F295" s="1">
        <v>0</v>
      </c>
      <c r="G295" s="1" t="s">
        <v>229</v>
      </c>
      <c r="H295" s="1" t="s">
        <v>132</v>
      </c>
      <c r="J295" s="1">
        <v>304</v>
      </c>
      <c r="K295" s="1">
        <v>82.4</v>
      </c>
      <c r="L295" s="1">
        <v>0.3</v>
      </c>
      <c r="M295" s="4">
        <v>0.2</v>
      </c>
      <c r="N295" s="1">
        <v>0</v>
      </c>
      <c r="O295" s="4">
        <v>0</v>
      </c>
      <c r="P295" s="4">
        <v>4</v>
      </c>
      <c r="Q295" s="4">
        <v>52</v>
      </c>
      <c r="R295" s="4">
        <v>6</v>
      </c>
      <c r="S295" s="4">
        <v>2</v>
      </c>
      <c r="T295" s="4">
        <v>4</v>
      </c>
      <c r="U295" s="4">
        <v>0.42</v>
      </c>
      <c r="V295" s="4">
        <v>0.22</v>
      </c>
      <c r="W295" s="4">
        <v>3.5999999999999997E-2</v>
      </c>
      <c r="X295" s="4">
        <v>0</v>
      </c>
      <c r="Y295" s="4">
        <v>0</v>
      </c>
      <c r="Z295" s="4">
        <v>3.7999999999999999E-2</v>
      </c>
      <c r="AA295" s="4">
        <v>0.121</v>
      </c>
      <c r="AB295" s="4">
        <v>0</v>
      </c>
      <c r="AC295" s="4">
        <v>2</v>
      </c>
      <c r="AD295" s="4">
        <v>-4.0000000000000002E-4</v>
      </c>
      <c r="AE295" s="4">
        <v>0</v>
      </c>
      <c r="AF295" s="4">
        <v>0</v>
      </c>
      <c r="AI295" s="1" t="s">
        <v>229</v>
      </c>
      <c r="AJ295" s="1" t="s">
        <v>1753</v>
      </c>
      <c r="AK295" s="1" t="s">
        <v>132</v>
      </c>
      <c r="AL295" s="749" t="s">
        <v>503</v>
      </c>
    </row>
    <row r="296" spans="1:38">
      <c r="A296" s="1" t="s">
        <v>3355</v>
      </c>
      <c r="B296" s="1">
        <v>2299</v>
      </c>
      <c r="C296" s="1">
        <v>550</v>
      </c>
      <c r="D296" s="1">
        <v>62</v>
      </c>
      <c r="E296" s="1">
        <v>4</v>
      </c>
      <c r="F296" s="1">
        <v>32</v>
      </c>
      <c r="G296" s="1" t="s">
        <v>229</v>
      </c>
      <c r="H296" s="1" t="s">
        <v>253</v>
      </c>
      <c r="J296" s="1">
        <v>550</v>
      </c>
      <c r="K296" s="1">
        <v>62</v>
      </c>
      <c r="L296" s="1">
        <v>4</v>
      </c>
      <c r="M296" s="151">
        <v>-4.0000000000000001E-3</v>
      </c>
      <c r="N296" s="1">
        <v>32</v>
      </c>
      <c r="O296" s="151">
        <v>-4.0000000000000001E-3</v>
      </c>
      <c r="P296" s="151">
        <v>-4.0000000000000001E-3</v>
      </c>
      <c r="Q296" s="151">
        <v>-4.0000000000000001E-3</v>
      </c>
      <c r="R296" s="151">
        <v>-4.0000000000000001E-3</v>
      </c>
      <c r="S296" s="151">
        <v>-4.0000000000000001E-3</v>
      </c>
      <c r="T296" s="151">
        <v>-4.0000000000000001E-3</v>
      </c>
      <c r="U296" s="151">
        <v>-4.0000000000000001E-3</v>
      </c>
      <c r="V296" s="151">
        <v>-4.0000000000000001E-3</v>
      </c>
      <c r="W296" s="151">
        <v>-4.0000000000000002E-4</v>
      </c>
      <c r="X296" s="151">
        <v>-4.0000000000000001E-3</v>
      </c>
      <c r="Y296" s="151">
        <v>-4.0000000000000001E-3</v>
      </c>
      <c r="Z296" s="151">
        <v>-4.0000000000000001E-3</v>
      </c>
      <c r="AA296" s="151">
        <v>-4.0000000000000001E-3</v>
      </c>
      <c r="AB296" s="151">
        <v>-4.0000000000000001E-3</v>
      </c>
      <c r="AC296" s="151">
        <v>-4.0000000000000001E-3</v>
      </c>
      <c r="AD296" s="151">
        <v>-4.0000000000000002E-4</v>
      </c>
      <c r="AE296" s="151">
        <v>-4.0000000000000001E-3</v>
      </c>
      <c r="AF296" s="151">
        <v>-4.0000000000000002E-4</v>
      </c>
      <c r="AI296" s="1" t="s">
        <v>229</v>
      </c>
      <c r="AJ296" s="1" t="s">
        <v>1753</v>
      </c>
      <c r="AK296" s="1" t="s">
        <v>253</v>
      </c>
      <c r="AL296" s="749" t="s">
        <v>1901</v>
      </c>
    </row>
    <row r="297" spans="1:38">
      <c r="A297" s="1" t="s">
        <v>3336</v>
      </c>
      <c r="B297" s="1">
        <v>1594</v>
      </c>
      <c r="C297" s="1">
        <v>377</v>
      </c>
      <c r="D297" s="1">
        <v>78.3</v>
      </c>
      <c r="E297" s="1">
        <v>4.5999999999999996</v>
      </c>
      <c r="F297" s="1">
        <v>3.6</v>
      </c>
      <c r="G297" s="1" t="s">
        <v>229</v>
      </c>
      <c r="H297" s="1" t="s">
        <v>133</v>
      </c>
      <c r="J297" s="1">
        <v>377</v>
      </c>
      <c r="K297" s="1">
        <v>79</v>
      </c>
      <c r="L297" s="1">
        <v>5</v>
      </c>
      <c r="M297" s="135">
        <v>6.5</v>
      </c>
      <c r="N297" s="1">
        <v>3</v>
      </c>
      <c r="O297" s="135">
        <v>1.5</v>
      </c>
      <c r="P297" s="135">
        <v>157</v>
      </c>
      <c r="Q297" s="135">
        <v>850</v>
      </c>
      <c r="R297" s="151">
        <v>-4.0000000000000001E-3</v>
      </c>
      <c r="S297" s="151">
        <v>-4.0000000000000001E-3</v>
      </c>
      <c r="T297" s="135">
        <v>170</v>
      </c>
      <c r="U297" s="135">
        <v>17</v>
      </c>
      <c r="V297" s="135">
        <v>7.6</v>
      </c>
      <c r="W297" s="151">
        <v>-4.0000000000000002E-4</v>
      </c>
      <c r="X297" s="151">
        <v>-4.0000000000000001E-3</v>
      </c>
      <c r="Y297" s="135">
        <v>0.7</v>
      </c>
      <c r="Z297" s="151">
        <v>-4.0000000000000001E-3</v>
      </c>
      <c r="AA297" s="151">
        <v>-4.0000000000000001E-3</v>
      </c>
      <c r="AB297" s="151">
        <v>-4.0000000000000001E-3</v>
      </c>
      <c r="AC297" s="151">
        <v>-4.0000000000000001E-3</v>
      </c>
      <c r="AD297" s="151">
        <v>-4.0000000000000002E-4</v>
      </c>
      <c r="AE297" s="4">
        <v>95</v>
      </c>
      <c r="AF297" s="135">
        <v>11</v>
      </c>
      <c r="AI297" s="1" t="s">
        <v>229</v>
      </c>
      <c r="AJ297" s="1" t="s">
        <v>1753</v>
      </c>
      <c r="AK297" s="1" t="s">
        <v>133</v>
      </c>
      <c r="AL297" s="749" t="s">
        <v>1902</v>
      </c>
    </row>
    <row r="298" spans="1:38">
      <c r="A298" s="1" t="s">
        <v>134</v>
      </c>
      <c r="B298" s="1">
        <v>2273</v>
      </c>
      <c r="C298" s="1">
        <v>544</v>
      </c>
      <c r="D298" s="1">
        <v>57.3</v>
      </c>
      <c r="E298" s="1">
        <v>6</v>
      </c>
      <c r="F298" s="1">
        <v>31.6</v>
      </c>
      <c r="G298" s="1" t="s">
        <v>229</v>
      </c>
      <c r="H298" s="749" t="s">
        <v>351</v>
      </c>
      <c r="I298" s="38">
        <v>17</v>
      </c>
      <c r="J298" s="4">
        <v>523.90066666666667</v>
      </c>
      <c r="K298" s="4">
        <v>59</v>
      </c>
      <c r="L298" s="4">
        <v>6.3</v>
      </c>
      <c r="M298" s="4">
        <v>4.5</v>
      </c>
      <c r="N298" s="4">
        <v>30.9</v>
      </c>
      <c r="O298" s="67">
        <v>10.6</v>
      </c>
      <c r="P298" s="3">
        <v>40</v>
      </c>
      <c r="Q298" s="3">
        <v>20</v>
      </c>
      <c r="R298" s="3">
        <v>148</v>
      </c>
      <c r="S298" s="3">
        <v>130</v>
      </c>
      <c r="T298" s="3">
        <v>183</v>
      </c>
      <c r="U298" s="3">
        <v>1.6</v>
      </c>
      <c r="V298" s="3">
        <v>1.48</v>
      </c>
      <c r="W298" s="151">
        <v>-4.0000000000000002E-4</v>
      </c>
      <c r="X298" s="3">
        <v>400</v>
      </c>
      <c r="Y298" s="3">
        <v>0.1</v>
      </c>
      <c r="Z298" s="3">
        <v>0.2</v>
      </c>
      <c r="AA298" s="3">
        <v>1.6</v>
      </c>
      <c r="AB298" s="3">
        <v>5.9999999999999991E-2</v>
      </c>
      <c r="AC298" s="3">
        <v>73</v>
      </c>
      <c r="AD298" s="3">
        <v>0</v>
      </c>
      <c r="AE298" s="3">
        <v>1</v>
      </c>
      <c r="AF298" s="3">
        <v>0</v>
      </c>
      <c r="AI298" s="1" t="s">
        <v>229</v>
      </c>
      <c r="AJ298" s="1" t="s">
        <v>1753</v>
      </c>
      <c r="AK298" s="749" t="s">
        <v>351</v>
      </c>
      <c r="AL298" s="749" t="s">
        <v>1884</v>
      </c>
    </row>
    <row r="299" spans="1:38">
      <c r="A299" s="1" t="s">
        <v>3356</v>
      </c>
      <c r="B299" s="1"/>
      <c r="C299" s="1"/>
      <c r="D299" s="1"/>
      <c r="E299" s="1"/>
      <c r="F299" s="1"/>
      <c r="G299" s="1" t="s">
        <v>229</v>
      </c>
      <c r="H299" s="324" t="s">
        <v>1568</v>
      </c>
      <c r="J299" s="1">
        <v>359</v>
      </c>
      <c r="K299" s="1">
        <v>81</v>
      </c>
      <c r="L299" s="1">
        <v>12.4</v>
      </c>
      <c r="M299" s="4">
        <v>2</v>
      </c>
      <c r="N299" s="1">
        <v>2.4</v>
      </c>
      <c r="O299" s="4">
        <v>0.7</v>
      </c>
      <c r="P299" s="4">
        <v>118</v>
      </c>
      <c r="Q299" s="151">
        <v>-4.0000000000000001E-3</v>
      </c>
      <c r="R299" s="151">
        <v>-4.0000000000000001E-3</v>
      </c>
      <c r="S299" s="151">
        <v>-4.0000000000000001E-3</v>
      </c>
      <c r="T299" s="151">
        <v>-4.0000000000000001E-3</v>
      </c>
      <c r="U299" s="151">
        <v>-4.0000000000000001E-3</v>
      </c>
      <c r="V299" s="151">
        <v>-4.0000000000000001E-3</v>
      </c>
      <c r="W299" s="151">
        <v>-4.0000000000000002E-4</v>
      </c>
      <c r="X299" s="151">
        <v>-4.0000000000000001E-3</v>
      </c>
      <c r="Y299" s="151">
        <v>-4.0000000000000001E-3</v>
      </c>
      <c r="Z299" s="151">
        <v>-4.0000000000000001E-3</v>
      </c>
      <c r="AA299" s="151">
        <v>-4.0000000000000001E-3</v>
      </c>
      <c r="AB299" s="151">
        <v>-4.0000000000000001E-3</v>
      </c>
      <c r="AC299" s="151">
        <v>-4.0000000000000001E-3</v>
      </c>
      <c r="AD299" s="151">
        <v>-4.0000000000000002E-4</v>
      </c>
      <c r="AE299" s="151">
        <v>-4.0000000000000001E-3</v>
      </c>
      <c r="AF299" s="151">
        <v>-4.0000000000000002E-4</v>
      </c>
      <c r="AI299" s="1" t="s">
        <v>229</v>
      </c>
      <c r="AJ299" s="1" t="s">
        <v>1753</v>
      </c>
      <c r="AK299" s="324" t="s">
        <v>1568</v>
      </c>
      <c r="AL299" s="749" t="s">
        <v>1903</v>
      </c>
    </row>
    <row r="300" spans="1:38">
      <c r="A300" s="749" t="s">
        <v>510</v>
      </c>
      <c r="B300" s="17">
        <v>1184</v>
      </c>
      <c r="C300" s="1">
        <v>283</v>
      </c>
      <c r="D300" s="1">
        <v>70</v>
      </c>
      <c r="E300" s="1">
        <v>0.4</v>
      </c>
      <c r="F300" s="1">
        <v>0.05</v>
      </c>
      <c r="G300" s="1" t="s">
        <v>229</v>
      </c>
      <c r="H300" s="324" t="s">
        <v>1648</v>
      </c>
      <c r="J300" s="1">
        <v>240</v>
      </c>
      <c r="K300" s="1">
        <v>60</v>
      </c>
      <c r="L300" s="1">
        <v>0</v>
      </c>
      <c r="M300" s="151">
        <v>-4.0000000000000001E-3</v>
      </c>
      <c r="N300" s="1">
        <v>0.05</v>
      </c>
      <c r="O300" s="4">
        <v>0</v>
      </c>
      <c r="P300" s="151">
        <v>-4.0000000000000001E-3</v>
      </c>
      <c r="Q300" s="151">
        <v>-4.0000000000000001E-3</v>
      </c>
      <c r="R300" s="151">
        <v>-4.0000000000000001E-3</v>
      </c>
      <c r="S300" s="151">
        <v>-4.0000000000000001E-3</v>
      </c>
      <c r="T300" s="151">
        <v>-4.0000000000000001E-3</v>
      </c>
      <c r="U300" s="151">
        <v>-4.0000000000000001E-3</v>
      </c>
      <c r="V300" s="151">
        <v>-4.0000000000000001E-3</v>
      </c>
      <c r="W300" s="151">
        <v>-4.0000000000000002E-4</v>
      </c>
      <c r="X300" s="151">
        <v>-4.0000000000000001E-3</v>
      </c>
      <c r="Y300" s="151">
        <v>-4.0000000000000001E-3</v>
      </c>
      <c r="Z300" s="151">
        <v>-4.0000000000000001E-3</v>
      </c>
      <c r="AA300" s="151">
        <v>-4.0000000000000001E-3</v>
      </c>
      <c r="AB300" s="151">
        <v>-4.0000000000000001E-3</v>
      </c>
      <c r="AC300" s="151">
        <v>-4.0000000000000001E-3</v>
      </c>
      <c r="AD300" s="151">
        <v>-4.0000000000000002E-4</v>
      </c>
      <c r="AE300" s="151">
        <v>-4.0000000000000001E-3</v>
      </c>
      <c r="AF300" s="151">
        <v>-4.0000000000000002E-4</v>
      </c>
      <c r="AI300" s="1" t="s">
        <v>229</v>
      </c>
      <c r="AJ300" s="1" t="s">
        <v>1753</v>
      </c>
      <c r="AK300" s="324" t="s">
        <v>1648</v>
      </c>
      <c r="AL300" s="749" t="s">
        <v>1648</v>
      </c>
    </row>
    <row r="301" spans="1:38">
      <c r="A301" s="749" t="s">
        <v>3337</v>
      </c>
      <c r="B301" s="17">
        <v>1184</v>
      </c>
      <c r="C301" s="1">
        <v>283</v>
      </c>
      <c r="D301" s="1">
        <v>70</v>
      </c>
      <c r="E301" s="1">
        <v>0.4</v>
      </c>
      <c r="F301" s="1">
        <v>0.05</v>
      </c>
      <c r="G301" s="1" t="s">
        <v>229</v>
      </c>
      <c r="H301" s="324" t="s">
        <v>1648</v>
      </c>
      <c r="J301" s="1">
        <v>240</v>
      </c>
      <c r="K301" s="1">
        <v>60</v>
      </c>
      <c r="L301" s="1">
        <v>0</v>
      </c>
      <c r="M301" s="151">
        <v>-4.0000000000000001E-3</v>
      </c>
      <c r="N301" s="1">
        <v>0</v>
      </c>
      <c r="O301" s="4">
        <v>0</v>
      </c>
      <c r="P301" s="151">
        <v>-4.0000000000000001E-3</v>
      </c>
      <c r="Q301" s="151">
        <v>-4.0000000000000001E-3</v>
      </c>
      <c r="R301" s="151">
        <v>-4.0000000000000001E-3</v>
      </c>
      <c r="S301" s="151">
        <v>-4.0000000000000001E-3</v>
      </c>
      <c r="T301" s="151">
        <v>-4.0000000000000001E-3</v>
      </c>
      <c r="U301" s="151">
        <v>-4.0000000000000001E-3</v>
      </c>
      <c r="V301" s="151">
        <v>-4.0000000000000001E-3</v>
      </c>
      <c r="W301" s="151">
        <v>-4.0000000000000002E-4</v>
      </c>
      <c r="X301" s="151">
        <v>-4.0000000000000001E-3</v>
      </c>
      <c r="Y301" s="151">
        <v>-4.0000000000000001E-3</v>
      </c>
      <c r="Z301" s="151">
        <v>-4.0000000000000001E-3</v>
      </c>
      <c r="AA301" s="151">
        <v>-4.0000000000000001E-3</v>
      </c>
      <c r="AB301" s="151">
        <v>-4.0000000000000001E-3</v>
      </c>
      <c r="AC301" s="151">
        <v>-4.0000000000000001E-3</v>
      </c>
      <c r="AD301" s="151">
        <v>-4.0000000000000002E-4</v>
      </c>
      <c r="AE301" s="151">
        <v>-4.0000000000000001E-3</v>
      </c>
      <c r="AF301" s="151">
        <v>-4.0000000000000002E-4</v>
      </c>
      <c r="AI301" s="1" t="s">
        <v>229</v>
      </c>
      <c r="AJ301" s="1" t="s">
        <v>1753</v>
      </c>
      <c r="AK301" s="324" t="s">
        <v>1648</v>
      </c>
      <c r="AL301" s="749" t="s">
        <v>1648</v>
      </c>
    </row>
    <row r="302" spans="1:38">
      <c r="A302" s="1" t="s">
        <v>3338</v>
      </c>
      <c r="B302" s="1"/>
      <c r="C302" s="1"/>
      <c r="D302" s="1"/>
      <c r="E302" s="1"/>
      <c r="F302" s="1"/>
      <c r="G302" s="1" t="s">
        <v>229</v>
      </c>
      <c r="H302" s="324" t="s">
        <v>1537</v>
      </c>
      <c r="I302" s="38"/>
      <c r="J302" s="4">
        <v>190</v>
      </c>
      <c r="K302" s="4">
        <v>27</v>
      </c>
      <c r="L302" s="4">
        <v>3.1</v>
      </c>
      <c r="M302" s="151">
        <v>-4.0000000000000001E-3</v>
      </c>
      <c r="N302" s="4">
        <v>7.7</v>
      </c>
      <c r="O302" s="67">
        <v>1.5</v>
      </c>
      <c r="P302" s="3">
        <v>122</v>
      </c>
      <c r="Q302" s="151">
        <v>-4.0000000000000001E-3</v>
      </c>
      <c r="R302" s="151">
        <v>-4.0000000000000001E-3</v>
      </c>
      <c r="S302" s="151">
        <v>-4.0000000000000001E-3</v>
      </c>
      <c r="T302" s="151">
        <v>-4.0000000000000001E-3</v>
      </c>
      <c r="U302" s="151">
        <v>-4.0000000000000001E-3</v>
      </c>
      <c r="V302" s="151">
        <v>-4.0000000000000001E-3</v>
      </c>
      <c r="W302" s="151">
        <v>-4.0000000000000001E-3</v>
      </c>
      <c r="X302" s="151">
        <v>-4.0000000000000001E-3</v>
      </c>
      <c r="Y302" s="151">
        <v>-4.0000000000000001E-3</v>
      </c>
      <c r="Z302" s="151">
        <v>-4.0000000000000001E-3</v>
      </c>
      <c r="AA302" s="151">
        <v>-4.0000000000000001E-3</v>
      </c>
      <c r="AB302" s="151">
        <v>-4.0000000000000001E-3</v>
      </c>
      <c r="AC302" s="151">
        <v>-4.0000000000000001E-3</v>
      </c>
      <c r="AD302" s="151">
        <v>-4.0000000000000001E-3</v>
      </c>
      <c r="AE302" s="151">
        <v>-4.0000000000000001E-3</v>
      </c>
      <c r="AF302" s="151">
        <v>-4.0000000000000001E-3</v>
      </c>
      <c r="AI302" s="1" t="s">
        <v>229</v>
      </c>
      <c r="AJ302" s="1" t="s">
        <v>1753</v>
      </c>
      <c r="AK302" s="324" t="s">
        <v>1537</v>
      </c>
      <c r="AL302" s="749" t="s">
        <v>1904</v>
      </c>
    </row>
    <row r="303" spans="1:38">
      <c r="A303" s="1" t="s">
        <v>3339</v>
      </c>
      <c r="B303" s="1">
        <v>560</v>
      </c>
      <c r="C303" s="1">
        <v>134</v>
      </c>
      <c r="D303" s="1">
        <v>21</v>
      </c>
      <c r="E303" s="1">
        <v>3.5</v>
      </c>
      <c r="F303" s="1">
        <v>4</v>
      </c>
      <c r="G303" s="1" t="s">
        <v>229</v>
      </c>
      <c r="H303" s="38" t="s">
        <v>354</v>
      </c>
      <c r="I303" s="38">
        <v>17</v>
      </c>
      <c r="J303" s="40">
        <v>362</v>
      </c>
      <c r="K303" s="40">
        <v>82.700000000000017</v>
      </c>
      <c r="L303" s="40">
        <v>2.0000000000000004</v>
      </c>
      <c r="M303" s="34">
        <v>0.29160000000000003</v>
      </c>
      <c r="N303" s="40">
        <v>2.0000000000000004</v>
      </c>
      <c r="O303" s="72">
        <v>1.1000000000000001</v>
      </c>
      <c r="P303" s="42">
        <v>12.4</v>
      </c>
      <c r="Q303" s="37">
        <v>19.116</v>
      </c>
      <c r="R303" s="42">
        <v>34.700000000000003</v>
      </c>
      <c r="S303" s="42">
        <v>57.1</v>
      </c>
      <c r="T303" s="42">
        <v>113.99999999999999</v>
      </c>
      <c r="U303" s="42">
        <v>3.3000000000000003</v>
      </c>
      <c r="V303" s="42">
        <v>0.30000000000000004</v>
      </c>
      <c r="W303" s="68">
        <v>2.8673999999999995E-2</v>
      </c>
      <c r="X303" s="37">
        <v>0</v>
      </c>
      <c r="Y303" s="37">
        <v>8.1000000000000006E-4</v>
      </c>
      <c r="Z303" s="37">
        <v>4.4549999999999998E-3</v>
      </c>
      <c r="AA303" s="42">
        <v>0.19007633587786257</v>
      </c>
      <c r="AB303" s="37">
        <v>9.7199999999999999E-4</v>
      </c>
      <c r="AC303" s="37">
        <v>0.24299999999999997</v>
      </c>
      <c r="AD303" s="37">
        <v>0</v>
      </c>
      <c r="AE303" s="37">
        <v>0</v>
      </c>
      <c r="AF303" s="37">
        <v>0</v>
      </c>
      <c r="AI303" s="1" t="s">
        <v>229</v>
      </c>
      <c r="AJ303" s="1" t="s">
        <v>1753</v>
      </c>
      <c r="AK303" s="38" t="s">
        <v>354</v>
      </c>
      <c r="AL303" s="749" t="s">
        <v>354</v>
      </c>
    </row>
    <row r="304" spans="1:38">
      <c r="A304" s="8" t="s">
        <v>3340</v>
      </c>
      <c r="B304" s="1">
        <v>380</v>
      </c>
      <c r="C304" s="1">
        <v>90</v>
      </c>
      <c r="D304" s="1">
        <v>17</v>
      </c>
      <c r="E304" s="1">
        <v>2.5</v>
      </c>
      <c r="F304" s="1">
        <v>1.3</v>
      </c>
      <c r="G304" s="1" t="s">
        <v>229</v>
      </c>
      <c r="H304" s="8" t="s">
        <v>135</v>
      </c>
      <c r="J304" s="1">
        <v>90</v>
      </c>
      <c r="K304" s="1">
        <v>17</v>
      </c>
      <c r="L304" s="1">
        <v>2.5</v>
      </c>
      <c r="M304" s="151">
        <v>-4.0000000000000001E-3</v>
      </c>
      <c r="N304" s="1">
        <v>1.3</v>
      </c>
      <c r="O304" s="151">
        <v>-4.0000000000000001E-3</v>
      </c>
      <c r="P304" s="151">
        <v>-4.0000000000000001E-3</v>
      </c>
      <c r="Q304" s="151">
        <v>-4.0000000000000001E-3</v>
      </c>
      <c r="R304" s="151">
        <v>-4.0000000000000001E-3</v>
      </c>
      <c r="S304" s="151">
        <v>-4.0000000000000001E-3</v>
      </c>
      <c r="T304" s="151">
        <v>-4.0000000000000001E-3</v>
      </c>
      <c r="U304" s="151">
        <v>-4.0000000000000001E-3</v>
      </c>
      <c r="V304" s="151">
        <v>-4.0000000000000001E-3</v>
      </c>
      <c r="W304" s="151">
        <v>-4.0000000000000002E-4</v>
      </c>
      <c r="X304" s="151">
        <v>-4.0000000000000001E-3</v>
      </c>
      <c r="Y304" s="151">
        <v>-4.0000000000000001E-3</v>
      </c>
      <c r="Z304" s="151">
        <v>-4.0000000000000001E-3</v>
      </c>
      <c r="AA304" s="151">
        <v>-4.0000000000000001E-3</v>
      </c>
      <c r="AB304" s="151">
        <v>-4.0000000000000001E-3</v>
      </c>
      <c r="AC304" s="151">
        <v>-4.0000000000000001E-3</v>
      </c>
      <c r="AD304" s="151">
        <v>-4.0000000000000002E-4</v>
      </c>
      <c r="AE304" s="151">
        <v>-4.0000000000000001E-3</v>
      </c>
      <c r="AF304" s="151">
        <v>-4.0000000000000002E-4</v>
      </c>
      <c r="AI304" s="1" t="s">
        <v>229</v>
      </c>
      <c r="AJ304" s="1" t="s">
        <v>1753</v>
      </c>
      <c r="AK304" s="8" t="s">
        <v>135</v>
      </c>
      <c r="AL304" s="749" t="s">
        <v>1905</v>
      </c>
    </row>
    <row r="305" spans="1:38">
      <c r="A305" s="8" t="s">
        <v>3341</v>
      </c>
      <c r="B305" s="1">
        <v>380</v>
      </c>
      <c r="C305" s="1">
        <v>90</v>
      </c>
      <c r="D305" s="1">
        <v>17</v>
      </c>
      <c r="E305" s="1">
        <v>2.5</v>
      </c>
      <c r="F305" s="1">
        <v>1.3</v>
      </c>
      <c r="G305" s="1" t="s">
        <v>229</v>
      </c>
      <c r="H305" s="8" t="s">
        <v>135</v>
      </c>
      <c r="J305" s="1">
        <v>90</v>
      </c>
      <c r="K305" s="1">
        <v>17</v>
      </c>
      <c r="L305" s="1">
        <v>2.5</v>
      </c>
      <c r="M305" s="151">
        <v>-4.0000000000000001E-3</v>
      </c>
      <c r="N305" s="1">
        <v>1.3</v>
      </c>
      <c r="O305" s="151">
        <v>-4.0000000000000001E-3</v>
      </c>
      <c r="P305" s="151">
        <v>-4.0000000000000001E-3</v>
      </c>
      <c r="Q305" s="151">
        <v>-4.0000000000000001E-3</v>
      </c>
      <c r="R305" s="151">
        <v>-4.0000000000000001E-3</v>
      </c>
      <c r="S305" s="151">
        <v>-4.0000000000000001E-3</v>
      </c>
      <c r="T305" s="151">
        <v>-4.0000000000000001E-3</v>
      </c>
      <c r="U305" s="151">
        <v>-4.0000000000000001E-3</v>
      </c>
      <c r="V305" s="151">
        <v>-4.0000000000000001E-3</v>
      </c>
      <c r="W305" s="151">
        <v>-4.0000000000000002E-4</v>
      </c>
      <c r="X305" s="151">
        <v>-4.0000000000000001E-3</v>
      </c>
      <c r="Y305" s="151">
        <v>-4.0000000000000001E-3</v>
      </c>
      <c r="Z305" s="151">
        <v>-4.0000000000000001E-3</v>
      </c>
      <c r="AA305" s="151">
        <v>-4.0000000000000001E-3</v>
      </c>
      <c r="AB305" s="151">
        <v>-4.0000000000000001E-3</v>
      </c>
      <c r="AC305" s="151">
        <v>-4.0000000000000001E-3</v>
      </c>
      <c r="AD305" s="151">
        <v>-4.0000000000000002E-4</v>
      </c>
      <c r="AE305" s="151">
        <v>-4.0000000000000001E-3</v>
      </c>
      <c r="AF305" s="151">
        <v>-4.0000000000000002E-4</v>
      </c>
      <c r="AI305" s="1" t="s">
        <v>229</v>
      </c>
      <c r="AJ305" s="1" t="s">
        <v>1753</v>
      </c>
      <c r="AK305" s="8" t="s">
        <v>135</v>
      </c>
      <c r="AL305" s="749" t="s">
        <v>1905</v>
      </c>
    </row>
    <row r="306" spans="1:38">
      <c r="A306" s="749" t="s">
        <v>3357</v>
      </c>
      <c r="B306" s="1">
        <v>1588</v>
      </c>
      <c r="C306" s="1">
        <v>380</v>
      </c>
      <c r="D306" s="1">
        <v>95</v>
      </c>
      <c r="E306" s="1">
        <v>0</v>
      </c>
      <c r="F306" s="1">
        <v>0</v>
      </c>
      <c r="G306" s="1" t="s">
        <v>229</v>
      </c>
      <c r="H306" s="47" t="s">
        <v>355</v>
      </c>
      <c r="I306" s="47">
        <v>17</v>
      </c>
      <c r="J306" s="49">
        <v>340</v>
      </c>
      <c r="K306" s="49">
        <v>87.5</v>
      </c>
      <c r="L306" s="49">
        <v>0.3</v>
      </c>
      <c r="M306" s="49">
        <v>1.6</v>
      </c>
      <c r="N306" s="49">
        <v>0.1</v>
      </c>
      <c r="O306" s="151">
        <v>-4.0000000000000001E-3</v>
      </c>
      <c r="P306" s="49">
        <v>1</v>
      </c>
      <c r="Q306" s="49">
        <v>6</v>
      </c>
      <c r="R306" s="49">
        <v>10</v>
      </c>
      <c r="S306" s="49">
        <v>4</v>
      </c>
      <c r="T306" s="151">
        <v>-4.0000000000000001E-3</v>
      </c>
      <c r="U306" s="49">
        <v>0.2</v>
      </c>
      <c r="V306" s="151">
        <v>-4.0000000000000001E-3</v>
      </c>
      <c r="W306" s="151">
        <v>-4.0000000000000002E-4</v>
      </c>
      <c r="X306" s="151">
        <v>-4.0000000000000001E-3</v>
      </c>
      <c r="Y306" s="151">
        <v>-4.0000000000000001E-3</v>
      </c>
      <c r="Z306" s="151">
        <v>-4.0000000000000001E-3</v>
      </c>
      <c r="AA306" s="49">
        <v>6.6666666666666666E-2</v>
      </c>
      <c r="AB306" s="151">
        <v>-4.0000000000000001E-3</v>
      </c>
      <c r="AC306" s="151">
        <v>-4.0000000000000001E-3</v>
      </c>
      <c r="AD306" s="151">
        <v>-4.0000000000000002E-4</v>
      </c>
      <c r="AE306" s="151">
        <v>-4.0000000000000001E-3</v>
      </c>
      <c r="AF306" s="151">
        <v>-4.0000000000000002E-4</v>
      </c>
      <c r="AI306" s="1" t="s">
        <v>229</v>
      </c>
      <c r="AJ306" s="1" t="s">
        <v>1753</v>
      </c>
      <c r="AK306" s="47" t="s">
        <v>355</v>
      </c>
      <c r="AL306" s="749" t="s">
        <v>1906</v>
      </c>
    </row>
    <row r="307" spans="1:38">
      <c r="A307" s="1" t="s">
        <v>3358</v>
      </c>
      <c r="B307" s="1">
        <v>1700</v>
      </c>
      <c r="C307" s="1">
        <v>406</v>
      </c>
      <c r="D307" s="1">
        <v>99.9</v>
      </c>
      <c r="E307" s="1">
        <v>0</v>
      </c>
      <c r="F307" s="1">
        <v>0</v>
      </c>
      <c r="G307" s="1" t="s">
        <v>229</v>
      </c>
      <c r="H307" s="324" t="s">
        <v>1652</v>
      </c>
      <c r="I307" s="749" t="s">
        <v>1644</v>
      </c>
      <c r="J307" s="33">
        <v>419</v>
      </c>
      <c r="K307" s="4">
        <v>94</v>
      </c>
      <c r="L307" s="34">
        <v>3.2</v>
      </c>
      <c r="M307" s="34">
        <v>3.2</v>
      </c>
      <c r="N307" s="4">
        <v>1</v>
      </c>
      <c r="O307" s="34">
        <v>0.65</v>
      </c>
      <c r="P307" s="35">
        <v>0</v>
      </c>
      <c r="Q307" s="3">
        <v>2</v>
      </c>
      <c r="R307" s="3">
        <v>0</v>
      </c>
      <c r="S307" s="3">
        <v>0</v>
      </c>
      <c r="T307" s="3">
        <v>0</v>
      </c>
      <c r="U307" s="3">
        <v>0.28971308607417773</v>
      </c>
      <c r="V307" s="3">
        <v>2.0293911826452064E-2</v>
      </c>
      <c r="W307" s="36">
        <v>1.4695591322603219E-2</v>
      </c>
      <c r="X307" s="37">
        <v>0</v>
      </c>
      <c r="Y307" s="37">
        <v>0</v>
      </c>
      <c r="Z307" s="37">
        <v>2.7150999999999998E-3</v>
      </c>
      <c r="AA307" s="37">
        <v>0</v>
      </c>
      <c r="AB307" s="37">
        <v>0</v>
      </c>
      <c r="AC307" s="37">
        <v>0</v>
      </c>
      <c r="AD307" s="37">
        <v>0</v>
      </c>
      <c r="AE307" s="37">
        <v>0</v>
      </c>
      <c r="AF307" s="37">
        <v>0</v>
      </c>
      <c r="AI307" s="1" t="s">
        <v>229</v>
      </c>
      <c r="AJ307" s="1" t="s">
        <v>1753</v>
      </c>
      <c r="AK307" s="324" t="s">
        <v>1652</v>
      </c>
      <c r="AL307" s="749" t="s">
        <v>1652</v>
      </c>
    </row>
    <row r="308" spans="1:38">
      <c r="A308" s="1233" t="s">
        <v>3359</v>
      </c>
      <c r="B308" s="1">
        <v>1700</v>
      </c>
      <c r="C308" s="1">
        <v>406</v>
      </c>
      <c r="D308" s="1">
        <v>99.9</v>
      </c>
      <c r="E308" s="1">
        <v>0</v>
      </c>
      <c r="F308" s="1">
        <v>0</v>
      </c>
      <c r="G308" s="1" t="s">
        <v>229</v>
      </c>
      <c r="H308" s="749" t="s">
        <v>282</v>
      </c>
      <c r="I308" s="749">
        <v>22</v>
      </c>
      <c r="J308" s="33">
        <v>409.89503149055281</v>
      </c>
      <c r="K308" s="4">
        <v>99.850244926522038</v>
      </c>
      <c r="L308" s="34">
        <v>0</v>
      </c>
      <c r="M308" s="34">
        <v>0</v>
      </c>
      <c r="N308" s="4">
        <v>0</v>
      </c>
      <c r="O308" s="34">
        <v>0</v>
      </c>
      <c r="P308" s="35">
        <v>0.1429</v>
      </c>
      <c r="Q308" s="3">
        <v>2</v>
      </c>
      <c r="R308" s="3">
        <v>1</v>
      </c>
      <c r="S308" s="3">
        <v>0</v>
      </c>
      <c r="T308" s="3">
        <v>0</v>
      </c>
      <c r="U308" s="3">
        <v>0.28971308607417773</v>
      </c>
      <c r="V308" s="3">
        <v>2.0293911826452064E-2</v>
      </c>
      <c r="W308" s="36">
        <v>1.4695591322603219E-2</v>
      </c>
      <c r="X308" s="37">
        <v>0</v>
      </c>
      <c r="Y308" s="37">
        <v>0</v>
      </c>
      <c r="Z308" s="37">
        <v>2.7150999999999998E-3</v>
      </c>
      <c r="AA308" s="37">
        <v>0</v>
      </c>
      <c r="AB308" s="37">
        <v>0</v>
      </c>
      <c r="AC308" s="37">
        <v>0</v>
      </c>
      <c r="AD308" s="37">
        <v>0</v>
      </c>
      <c r="AE308" s="37">
        <v>0</v>
      </c>
      <c r="AF308" s="37">
        <v>0</v>
      </c>
      <c r="AI308" s="1" t="s">
        <v>229</v>
      </c>
      <c r="AJ308" s="1" t="s">
        <v>1753</v>
      </c>
      <c r="AK308" s="749" t="s">
        <v>282</v>
      </c>
      <c r="AL308" s="749" t="s">
        <v>282</v>
      </c>
    </row>
    <row r="309" spans="1:38">
      <c r="A309" s="1233" t="s">
        <v>3360</v>
      </c>
      <c r="B309" s="1">
        <v>1683</v>
      </c>
      <c r="C309" s="1">
        <v>396</v>
      </c>
      <c r="D309" s="1">
        <v>99.9</v>
      </c>
      <c r="E309" s="1">
        <v>0</v>
      </c>
      <c r="F309" s="1">
        <v>0</v>
      </c>
      <c r="G309" s="1" t="s">
        <v>229</v>
      </c>
      <c r="H309" s="38" t="s">
        <v>283</v>
      </c>
      <c r="I309" s="38">
        <v>22</v>
      </c>
      <c r="J309" s="39">
        <v>405</v>
      </c>
      <c r="K309" s="40">
        <v>99.8</v>
      </c>
      <c r="L309" s="34">
        <v>0</v>
      </c>
      <c r="M309" s="34">
        <v>0</v>
      </c>
      <c r="N309" s="40">
        <v>9.9999999999999992E-2</v>
      </c>
      <c r="O309" s="34">
        <v>0</v>
      </c>
      <c r="P309" s="41">
        <v>4.0000000000000001E-3</v>
      </c>
      <c r="Q309" s="42">
        <v>2</v>
      </c>
      <c r="R309" s="42">
        <v>1</v>
      </c>
      <c r="S309" s="43">
        <v>0</v>
      </c>
      <c r="T309" s="43">
        <v>0</v>
      </c>
      <c r="U309" s="42">
        <v>0.28749999999999998</v>
      </c>
      <c r="V309" s="42">
        <v>2.4999999999999998E-2</v>
      </c>
      <c r="W309" s="44">
        <v>1.2499999999999999E-2</v>
      </c>
      <c r="X309" s="37">
        <v>0</v>
      </c>
      <c r="Y309" s="37">
        <v>0</v>
      </c>
      <c r="Z309" s="42">
        <v>0</v>
      </c>
      <c r="AA309" s="37">
        <v>0</v>
      </c>
      <c r="AB309" s="37">
        <v>0</v>
      </c>
      <c r="AC309" s="37">
        <v>0</v>
      </c>
      <c r="AD309" s="37">
        <v>0</v>
      </c>
      <c r="AE309" s="37">
        <v>0</v>
      </c>
      <c r="AF309" s="37">
        <v>0</v>
      </c>
      <c r="AI309" s="1" t="s">
        <v>229</v>
      </c>
      <c r="AJ309" s="1" t="s">
        <v>1753</v>
      </c>
      <c r="AK309" s="38" t="s">
        <v>283</v>
      </c>
      <c r="AL309" s="749" t="s">
        <v>283</v>
      </c>
    </row>
    <row r="310" spans="1:38">
      <c r="A310" s="82" t="s">
        <v>1907</v>
      </c>
      <c r="B310" s="82">
        <v>929</v>
      </c>
      <c r="C310" s="82">
        <v>222</v>
      </c>
      <c r="D310" s="82">
        <v>22.2</v>
      </c>
      <c r="E310" s="82">
        <v>4.0999999999999996</v>
      </c>
      <c r="F310" s="82">
        <v>13</v>
      </c>
      <c r="G310" s="1" t="s">
        <v>229</v>
      </c>
      <c r="H310" s="82" t="s">
        <v>505</v>
      </c>
      <c r="I310" s="38"/>
      <c r="J310" s="82">
        <v>222</v>
      </c>
      <c r="K310" s="82">
        <v>22.2</v>
      </c>
      <c r="L310" s="82">
        <v>4.0999999999999996</v>
      </c>
      <c r="M310" s="151">
        <v>-4.0000000000000001E-3</v>
      </c>
      <c r="N310" s="82">
        <v>13</v>
      </c>
      <c r="O310" s="151">
        <v>-4.0000000000000001E-3</v>
      </c>
      <c r="P310" s="151">
        <v>-4.0000000000000001E-3</v>
      </c>
      <c r="Q310" s="151">
        <v>-4.0000000000000001E-3</v>
      </c>
      <c r="R310" s="151">
        <v>-4.0000000000000001E-3</v>
      </c>
      <c r="S310" s="151">
        <v>-4.0000000000000001E-3</v>
      </c>
      <c r="T310" s="151">
        <v>-4.0000000000000001E-3</v>
      </c>
      <c r="U310" s="151">
        <v>-4.0000000000000001E-3</v>
      </c>
      <c r="V310" s="151">
        <v>-4.0000000000000001E-3</v>
      </c>
      <c r="W310" s="151">
        <v>-4.0000000000000002E-4</v>
      </c>
      <c r="X310" s="151">
        <v>-4.0000000000000001E-3</v>
      </c>
      <c r="Y310" s="151">
        <v>-4.0000000000000001E-3</v>
      </c>
      <c r="Z310" s="151">
        <v>-4.0000000000000001E-3</v>
      </c>
      <c r="AA310" s="151">
        <v>-4.0000000000000001E-3</v>
      </c>
      <c r="AB310" s="151">
        <v>-4.0000000000000001E-3</v>
      </c>
      <c r="AC310" s="151">
        <v>-4.0000000000000001E-3</v>
      </c>
      <c r="AD310" s="151">
        <v>-4.0000000000000002E-4</v>
      </c>
      <c r="AE310" s="151">
        <v>-4.0000000000000001E-3</v>
      </c>
      <c r="AF310" s="151">
        <v>-4.0000000000000002E-4</v>
      </c>
      <c r="AI310" s="1" t="s">
        <v>229</v>
      </c>
      <c r="AJ310" s="1" t="s">
        <v>1753</v>
      </c>
      <c r="AK310" s="82" t="s">
        <v>505</v>
      </c>
      <c r="AL310" s="749" t="s">
        <v>1907</v>
      </c>
    </row>
    <row r="311" spans="1:38">
      <c r="A311" s="82" t="s">
        <v>3361</v>
      </c>
      <c r="B311" s="82"/>
      <c r="C311" s="82"/>
      <c r="D311" s="82"/>
      <c r="E311" s="82"/>
      <c r="F311" s="82"/>
      <c r="G311" s="1" t="s">
        <v>229</v>
      </c>
      <c r="H311" s="324" t="s">
        <v>1569</v>
      </c>
      <c r="I311" s="38"/>
      <c r="J311" s="82">
        <v>257</v>
      </c>
      <c r="K311" s="82">
        <v>12.5</v>
      </c>
      <c r="L311" s="82">
        <v>3.2</v>
      </c>
      <c r="M311" s="4">
        <v>0</v>
      </c>
      <c r="N311" s="82">
        <v>22.2</v>
      </c>
      <c r="O311" s="151">
        <v>-4.0000000000000001E-3</v>
      </c>
      <c r="P311" s="4">
        <v>130</v>
      </c>
      <c r="Q311" s="4">
        <v>147</v>
      </c>
      <c r="R311" s="4">
        <v>101</v>
      </c>
      <c r="S311" s="4">
        <v>11</v>
      </c>
      <c r="T311" s="4">
        <v>89</v>
      </c>
      <c r="U311" s="4">
        <v>0.05</v>
      </c>
      <c r="V311" s="4">
        <v>0.37</v>
      </c>
      <c r="W311" s="4">
        <v>0.01</v>
      </c>
      <c r="X311" s="151">
        <v>-4.0000000000000001E-3</v>
      </c>
      <c r="Y311" s="4">
        <v>3.6999999999999998E-2</v>
      </c>
      <c r="Z311" s="4">
        <v>6.5000000000000002E-2</v>
      </c>
      <c r="AA311" s="4">
        <v>7.0000000000000007E-2</v>
      </c>
      <c r="AB311" s="4">
        <v>4.1000000000000002E-2</v>
      </c>
      <c r="AC311" s="151">
        <v>-4.0000000000000001E-3</v>
      </c>
      <c r="AD311" s="4">
        <v>0.28999999999999998</v>
      </c>
      <c r="AE311" s="4">
        <v>0</v>
      </c>
      <c r="AF311" s="151">
        <v>-4.0000000000000002E-4</v>
      </c>
      <c r="AI311" s="1" t="s">
        <v>229</v>
      </c>
      <c r="AJ311" s="1" t="s">
        <v>1753</v>
      </c>
      <c r="AK311" s="324" t="s">
        <v>1569</v>
      </c>
      <c r="AL311" s="749" t="s">
        <v>1569</v>
      </c>
    </row>
    <row r="312" spans="1:38">
      <c r="A312" s="325" t="s">
        <v>3362</v>
      </c>
      <c r="B312" s="1">
        <v>1677</v>
      </c>
      <c r="C312" s="1">
        <v>395</v>
      </c>
      <c r="D312" s="1">
        <v>99</v>
      </c>
      <c r="E312" s="1">
        <v>0</v>
      </c>
      <c r="F312" s="1">
        <v>0</v>
      </c>
      <c r="G312" s="1" t="s">
        <v>229</v>
      </c>
      <c r="H312" s="38" t="s">
        <v>284</v>
      </c>
      <c r="I312" s="38">
        <v>22</v>
      </c>
      <c r="J312" s="39">
        <v>400</v>
      </c>
      <c r="K312" s="40">
        <v>99.699999999999989</v>
      </c>
      <c r="L312" s="45">
        <v>0</v>
      </c>
      <c r="M312" s="45">
        <v>0</v>
      </c>
      <c r="N312" s="40">
        <v>0.19999999999999998</v>
      </c>
      <c r="O312" s="45">
        <v>0</v>
      </c>
      <c r="P312" s="41">
        <v>2E-3</v>
      </c>
      <c r="Q312" s="42">
        <v>2</v>
      </c>
      <c r="R312" s="42">
        <v>1</v>
      </c>
      <c r="S312" s="42">
        <v>0</v>
      </c>
      <c r="T312" s="42">
        <v>0</v>
      </c>
      <c r="U312" s="42">
        <v>0.3</v>
      </c>
      <c r="V312" s="43">
        <v>0</v>
      </c>
      <c r="W312" s="46">
        <v>0</v>
      </c>
      <c r="X312" s="37">
        <v>0</v>
      </c>
      <c r="Y312" s="37">
        <v>0</v>
      </c>
      <c r="Z312" s="37">
        <v>0</v>
      </c>
      <c r="AA312" s="37">
        <v>0</v>
      </c>
      <c r="AB312" s="37">
        <v>0</v>
      </c>
      <c r="AC312" s="37">
        <v>0</v>
      </c>
      <c r="AD312" s="37">
        <v>0</v>
      </c>
      <c r="AE312" s="37">
        <v>0</v>
      </c>
      <c r="AF312" s="37">
        <v>0</v>
      </c>
      <c r="AI312" s="1" t="s">
        <v>229</v>
      </c>
      <c r="AJ312" s="1" t="s">
        <v>1753</v>
      </c>
      <c r="AK312" s="38" t="s">
        <v>284</v>
      </c>
      <c r="AL312" s="749" t="s">
        <v>284</v>
      </c>
    </row>
    <row r="313" spans="1:38">
      <c r="A313" s="1" t="s">
        <v>3363</v>
      </c>
      <c r="B313" s="1"/>
      <c r="C313" s="1"/>
      <c r="D313" s="1"/>
      <c r="E313" s="1"/>
      <c r="F313" s="1"/>
      <c r="G313" s="1" t="s">
        <v>229</v>
      </c>
      <c r="H313" s="324" t="s">
        <v>1659</v>
      </c>
      <c r="I313" s="324"/>
      <c r="J313" s="1">
        <v>190</v>
      </c>
      <c r="K313" s="1">
        <v>47</v>
      </c>
      <c r="L313" s="1">
        <v>0.6</v>
      </c>
      <c r="M313" s="151">
        <v>-4.0000000000000001E-3</v>
      </c>
      <c r="N313" s="1">
        <v>0.4</v>
      </c>
      <c r="O313" s="1152">
        <v>0.2</v>
      </c>
      <c r="P313" s="151">
        <v>-4.0000000000000001E-3</v>
      </c>
      <c r="Q313" s="151">
        <v>-4.0000000000000001E-3</v>
      </c>
      <c r="R313" s="151">
        <v>-4.0000000000000001E-3</v>
      </c>
      <c r="S313" s="151">
        <v>-4.0000000000000001E-3</v>
      </c>
      <c r="T313" s="151">
        <v>-4.0000000000000001E-3</v>
      </c>
      <c r="U313" s="151">
        <v>-4.0000000000000001E-3</v>
      </c>
      <c r="V313" s="151">
        <v>-4.0000000000000001E-3</v>
      </c>
      <c r="W313" s="151">
        <v>-4.0000000000000002E-4</v>
      </c>
      <c r="X313" s="151">
        <v>-4.0000000000000001E-3</v>
      </c>
      <c r="Y313" s="151">
        <v>-4.0000000000000001E-3</v>
      </c>
      <c r="Z313" s="151">
        <v>-4.0000000000000001E-3</v>
      </c>
      <c r="AA313" s="151">
        <v>-4.0000000000000001E-3</v>
      </c>
      <c r="AB313" s="151">
        <v>-4.0000000000000001E-3</v>
      </c>
      <c r="AC313" s="151">
        <v>-4.0000000000000001E-3</v>
      </c>
      <c r="AD313" s="151">
        <v>-4.0000000000000002E-4</v>
      </c>
      <c r="AE313" s="151">
        <v>-4.0000000000000001E-3</v>
      </c>
      <c r="AF313" s="151">
        <v>-4.0000000000000002E-4</v>
      </c>
      <c r="AI313" s="1"/>
      <c r="AJ313" s="1" t="s">
        <v>1753</v>
      </c>
      <c r="AK313" s="324" t="s">
        <v>1659</v>
      </c>
      <c r="AL313" s="749" t="s">
        <v>1659</v>
      </c>
    </row>
    <row r="314" spans="1:38">
      <c r="A314" s="1" t="s">
        <v>3364</v>
      </c>
      <c r="B314" s="1"/>
      <c r="C314" s="1"/>
      <c r="D314" s="1"/>
      <c r="E314" s="1"/>
      <c r="F314" s="1"/>
      <c r="G314" s="1" t="s">
        <v>229</v>
      </c>
      <c r="H314" s="324" t="s">
        <v>1659</v>
      </c>
      <c r="I314" s="324"/>
      <c r="J314" s="1">
        <v>190</v>
      </c>
      <c r="K314" s="1">
        <v>47</v>
      </c>
      <c r="L314" s="1">
        <v>0.6</v>
      </c>
      <c r="M314" s="151">
        <v>-4.0000000000000001E-3</v>
      </c>
      <c r="N314" s="1">
        <v>0.4</v>
      </c>
      <c r="O314" s="1152">
        <v>0.2</v>
      </c>
      <c r="P314" s="151">
        <v>-4.0000000000000001E-3</v>
      </c>
      <c r="Q314" s="151">
        <v>-4.0000000000000001E-3</v>
      </c>
      <c r="R314" s="151">
        <v>-4.0000000000000001E-3</v>
      </c>
      <c r="S314" s="151">
        <v>-4.0000000000000001E-3</v>
      </c>
      <c r="T314" s="151">
        <v>-4.0000000000000001E-3</v>
      </c>
      <c r="U314" s="151">
        <v>-4.0000000000000001E-3</v>
      </c>
      <c r="V314" s="151">
        <v>-4.0000000000000001E-3</v>
      </c>
      <c r="W314" s="151">
        <v>-4.0000000000000002E-4</v>
      </c>
      <c r="X314" s="151">
        <v>-4.0000000000000001E-3</v>
      </c>
      <c r="Y314" s="151">
        <v>-4.0000000000000001E-3</v>
      </c>
      <c r="Z314" s="151">
        <v>-4.0000000000000001E-3</v>
      </c>
      <c r="AA314" s="151">
        <v>-4.0000000000000001E-3</v>
      </c>
      <c r="AB314" s="151">
        <v>-4.0000000000000001E-3</v>
      </c>
      <c r="AC314" s="151">
        <v>-4.0000000000000001E-3</v>
      </c>
      <c r="AD314" s="151">
        <v>-4.0000000000000002E-4</v>
      </c>
      <c r="AE314" s="151">
        <v>-4.0000000000000001E-3</v>
      </c>
      <c r="AF314" s="151">
        <v>-4.0000000000000002E-4</v>
      </c>
      <c r="AI314" s="1"/>
      <c r="AJ314" s="1" t="s">
        <v>1753</v>
      </c>
      <c r="AK314" s="324" t="s">
        <v>1659</v>
      </c>
      <c r="AL314" s="749" t="s">
        <v>1659</v>
      </c>
    </row>
    <row r="315" spans="1:38">
      <c r="A315" s="24" t="s">
        <v>3488</v>
      </c>
      <c r="B315" s="24">
        <v>1778</v>
      </c>
      <c r="C315" s="24">
        <v>425</v>
      </c>
      <c r="D315" s="24">
        <v>62</v>
      </c>
      <c r="E315" s="24">
        <v>11.2</v>
      </c>
      <c r="F315" s="24">
        <v>17</v>
      </c>
      <c r="G315" s="24" t="s">
        <v>229</v>
      </c>
      <c r="H315" s="24" t="s">
        <v>137</v>
      </c>
      <c r="I315" s="492"/>
      <c r="J315" s="1">
        <v>425</v>
      </c>
      <c r="K315" s="1">
        <v>62</v>
      </c>
      <c r="L315" s="1">
        <v>11.2</v>
      </c>
      <c r="M315" s="151">
        <v>-4.0000000000000001E-3</v>
      </c>
      <c r="N315" s="1">
        <v>17</v>
      </c>
      <c r="O315" s="151">
        <v>-4.0000000000000001E-3</v>
      </c>
      <c r="P315" s="151">
        <v>-4.0000000000000001E-3</v>
      </c>
      <c r="Q315" s="151">
        <v>-4.0000000000000001E-3</v>
      </c>
      <c r="R315" s="151">
        <v>-4.0000000000000001E-3</v>
      </c>
      <c r="S315" s="151">
        <v>-4.0000000000000001E-3</v>
      </c>
      <c r="T315" s="151">
        <v>-4.0000000000000001E-3</v>
      </c>
      <c r="U315" s="151">
        <v>-4.0000000000000001E-3</v>
      </c>
      <c r="V315" s="151">
        <v>-4.0000000000000001E-3</v>
      </c>
      <c r="W315" s="151">
        <v>-4.0000000000000002E-4</v>
      </c>
      <c r="X315" s="151">
        <v>-4.0000000000000001E-3</v>
      </c>
      <c r="Y315" s="151">
        <v>-4.0000000000000001E-3</v>
      </c>
      <c r="Z315" s="151">
        <v>-4.0000000000000001E-3</v>
      </c>
      <c r="AA315" s="151">
        <v>-4.0000000000000001E-3</v>
      </c>
      <c r="AB315" s="151">
        <v>-4.0000000000000001E-3</v>
      </c>
      <c r="AC315" s="151">
        <v>-4.0000000000000001E-3</v>
      </c>
      <c r="AD315" s="151">
        <v>-4.0000000000000002E-4</v>
      </c>
      <c r="AE315" s="151">
        <v>-4.0000000000000001E-3</v>
      </c>
      <c r="AF315" s="151">
        <v>-4.0000000000000002E-4</v>
      </c>
      <c r="AI315" s="1" t="s">
        <v>229</v>
      </c>
      <c r="AJ315" s="1" t="s">
        <v>1753</v>
      </c>
      <c r="AK315" s="1" t="s">
        <v>137</v>
      </c>
      <c r="AL315" s="749" t="s">
        <v>1908</v>
      </c>
    </row>
    <row r="316" spans="1:38">
      <c r="A316" s="1233" t="s">
        <v>3245</v>
      </c>
      <c r="B316" s="1">
        <v>1463</v>
      </c>
      <c r="C316" s="1">
        <v>350</v>
      </c>
      <c r="D316" s="1">
        <v>80.099999999999994</v>
      </c>
      <c r="E316" s="1">
        <v>9.8000000000000007</v>
      </c>
      <c r="F316" s="1">
        <v>1.2</v>
      </c>
      <c r="G316" s="1" t="s">
        <v>230</v>
      </c>
      <c r="H316" s="66" t="s">
        <v>376</v>
      </c>
      <c r="I316" s="38">
        <v>22</v>
      </c>
      <c r="J316" s="4">
        <v>355.89976689976686</v>
      </c>
      <c r="K316" s="4">
        <v>77.899766899766902</v>
      </c>
      <c r="L316" s="4">
        <v>9.5</v>
      </c>
      <c r="M316" s="4">
        <v>2.5011655011655014</v>
      </c>
      <c r="N316" s="4">
        <v>1.1002331002331001</v>
      </c>
      <c r="O316" s="67">
        <v>0.16083916083916083</v>
      </c>
      <c r="P316" s="3">
        <v>2.8997668997668997</v>
      </c>
      <c r="Q316" s="3">
        <v>158</v>
      </c>
      <c r="R316" s="3">
        <v>24</v>
      </c>
      <c r="S316" s="3">
        <v>24.799533799533801</v>
      </c>
      <c r="T316" s="3">
        <v>105.99999999999999</v>
      </c>
      <c r="U316" s="3">
        <v>0.89044289044289038</v>
      </c>
      <c r="V316" s="3">
        <v>0.69930069930069927</v>
      </c>
      <c r="W316" s="69">
        <v>0.50116550116550118</v>
      </c>
      <c r="X316" s="3">
        <v>0</v>
      </c>
      <c r="Y316" s="3">
        <v>0.14918414918414918</v>
      </c>
      <c r="Z316" s="3">
        <v>3.9627039627039624E-2</v>
      </c>
      <c r="AA316" s="3">
        <v>1.3100233100233101</v>
      </c>
      <c r="AB316" s="3">
        <v>6.9930069930069921E-2</v>
      </c>
      <c r="AC316" s="3">
        <v>16.400932400932401</v>
      </c>
      <c r="AD316" s="3">
        <v>9.0909090909090898E-2</v>
      </c>
      <c r="AE316" s="3">
        <v>0</v>
      </c>
      <c r="AF316" s="69">
        <v>0</v>
      </c>
      <c r="AI316" s="1" t="s">
        <v>230</v>
      </c>
      <c r="AJ316" s="1" t="s">
        <v>1754</v>
      </c>
      <c r="AK316" s="66" t="s">
        <v>376</v>
      </c>
      <c r="AL316" s="749" t="s">
        <v>376</v>
      </c>
    </row>
    <row r="317" spans="1:38">
      <c r="A317" s="1" t="s">
        <v>3260</v>
      </c>
      <c r="B317" s="1">
        <v>1329</v>
      </c>
      <c r="C317" s="1">
        <v>318</v>
      </c>
      <c r="D317" s="1">
        <v>65.8</v>
      </c>
      <c r="E317" s="1">
        <v>13.2</v>
      </c>
      <c r="F317" s="1">
        <v>2</v>
      </c>
      <c r="G317" s="1" t="s">
        <v>230</v>
      </c>
      <c r="H317" s="1" t="s">
        <v>553</v>
      </c>
      <c r="J317" s="1">
        <v>318</v>
      </c>
      <c r="K317" s="1">
        <v>65.8</v>
      </c>
      <c r="L317" s="1">
        <v>13.2</v>
      </c>
      <c r="M317" s="151">
        <v>-4.0000000000000001E-3</v>
      </c>
      <c r="N317" s="1">
        <v>2</v>
      </c>
      <c r="O317" s="151">
        <v>-4.0000000000000001E-3</v>
      </c>
      <c r="P317" s="151">
        <v>-4.0000000000000001E-3</v>
      </c>
      <c r="Q317" s="151">
        <v>-4.0000000000000001E-3</v>
      </c>
      <c r="R317" s="151">
        <v>-4.0000000000000001E-3</v>
      </c>
      <c r="S317" s="151">
        <v>-4.0000000000000001E-3</v>
      </c>
      <c r="T317" s="151">
        <v>-4.0000000000000001E-3</v>
      </c>
      <c r="U317" s="151">
        <v>-4.0000000000000001E-3</v>
      </c>
      <c r="V317" s="151">
        <v>-4.0000000000000001E-3</v>
      </c>
      <c r="W317" s="151">
        <v>-4.0000000000000002E-4</v>
      </c>
      <c r="X317" s="151">
        <v>-4.0000000000000001E-3</v>
      </c>
      <c r="Y317" s="151">
        <v>-4.0000000000000001E-3</v>
      </c>
      <c r="Z317" s="151">
        <v>-4.0000000000000001E-3</v>
      </c>
      <c r="AA317" s="151">
        <v>-4.0000000000000001E-3</v>
      </c>
      <c r="AB317" s="151">
        <v>-4.0000000000000001E-3</v>
      </c>
      <c r="AC317" s="151">
        <v>-4.0000000000000001E-3</v>
      </c>
      <c r="AD317" s="151">
        <v>-4.0000000000000002E-4</v>
      </c>
      <c r="AE317" s="151">
        <v>-4.0000000000000001E-3</v>
      </c>
      <c r="AF317" s="151">
        <v>-4.0000000000000002E-4</v>
      </c>
      <c r="AI317" s="1" t="s">
        <v>230</v>
      </c>
      <c r="AJ317" s="1" t="s">
        <v>1754</v>
      </c>
      <c r="AK317" s="1" t="s">
        <v>553</v>
      </c>
      <c r="AL317" s="749" t="s">
        <v>1935</v>
      </c>
    </row>
    <row r="318" spans="1:38">
      <c r="A318" s="1" t="s">
        <v>1936</v>
      </c>
      <c r="B318" s="1">
        <v>1409</v>
      </c>
      <c r="C318" s="1">
        <v>337</v>
      </c>
      <c r="D318" s="1">
        <v>74.8</v>
      </c>
      <c r="E318" s="1">
        <v>11.3</v>
      </c>
      <c r="F318" s="1">
        <v>1.2</v>
      </c>
      <c r="G318" s="1" t="s">
        <v>230</v>
      </c>
      <c r="H318" s="1" t="s">
        <v>762</v>
      </c>
      <c r="J318" s="1">
        <v>337</v>
      </c>
      <c r="K318" s="1">
        <v>74.8</v>
      </c>
      <c r="L318" s="1">
        <v>11.3</v>
      </c>
      <c r="M318" s="151">
        <v>-4.0000000000000001E-3</v>
      </c>
      <c r="N318" s="1">
        <v>1.2</v>
      </c>
      <c r="O318" s="151">
        <v>-4.0000000000000001E-3</v>
      </c>
      <c r="P318" s="151">
        <v>-4.0000000000000001E-3</v>
      </c>
      <c r="Q318" s="151">
        <v>-4.0000000000000001E-3</v>
      </c>
      <c r="R318" s="151">
        <v>-4.0000000000000001E-3</v>
      </c>
      <c r="S318" s="151">
        <v>-4.0000000000000001E-3</v>
      </c>
      <c r="T318" s="151">
        <v>-4.0000000000000001E-3</v>
      </c>
      <c r="U318" s="151">
        <v>-4.0000000000000001E-3</v>
      </c>
      <c r="V318" s="151">
        <v>-4.0000000000000001E-3</v>
      </c>
      <c r="W318" s="151">
        <v>-4.0000000000000002E-4</v>
      </c>
      <c r="X318" s="151">
        <v>-4.0000000000000001E-3</v>
      </c>
      <c r="Y318" s="151">
        <v>-4.0000000000000001E-3</v>
      </c>
      <c r="Z318" s="151">
        <v>-4.0000000000000001E-3</v>
      </c>
      <c r="AA318" s="151">
        <v>-4.0000000000000001E-3</v>
      </c>
      <c r="AB318" s="151">
        <v>-4.0000000000000001E-3</v>
      </c>
      <c r="AC318" s="151">
        <v>-4.0000000000000001E-3</v>
      </c>
      <c r="AD318" s="151">
        <v>-4.0000000000000002E-4</v>
      </c>
      <c r="AE318" s="151">
        <v>-4.0000000000000001E-3</v>
      </c>
      <c r="AF318" s="151">
        <v>-4.0000000000000002E-4</v>
      </c>
      <c r="AI318" s="1" t="s">
        <v>230</v>
      </c>
      <c r="AJ318" s="1" t="s">
        <v>1754</v>
      </c>
      <c r="AK318" s="1" t="s">
        <v>762</v>
      </c>
      <c r="AL318" s="749" t="s">
        <v>1936</v>
      </c>
    </row>
    <row r="319" spans="1:38">
      <c r="A319" s="1" t="s">
        <v>3379</v>
      </c>
      <c r="B319" s="1">
        <v>1156</v>
      </c>
      <c r="C319" s="1">
        <v>276</v>
      </c>
      <c r="D319" s="1">
        <v>35.9</v>
      </c>
      <c r="E319" s="15">
        <v>5</v>
      </c>
      <c r="F319" s="1">
        <v>11.6</v>
      </c>
      <c r="G319" s="1" t="s">
        <v>230</v>
      </c>
      <c r="H319" s="1" t="s">
        <v>140</v>
      </c>
      <c r="J319" s="1">
        <v>276</v>
      </c>
      <c r="K319" s="1">
        <v>35.9</v>
      </c>
      <c r="L319" s="15">
        <v>5</v>
      </c>
      <c r="M319" s="151">
        <v>-4.0000000000000001E-3</v>
      </c>
      <c r="N319" s="1">
        <v>11.6</v>
      </c>
      <c r="O319" s="151">
        <v>-4.0000000000000001E-3</v>
      </c>
      <c r="P319" s="151">
        <v>-4.0000000000000001E-3</v>
      </c>
      <c r="Q319" s="151">
        <v>-4.0000000000000001E-3</v>
      </c>
      <c r="R319" s="151">
        <v>-4.0000000000000001E-3</v>
      </c>
      <c r="S319" s="151">
        <v>-4.0000000000000001E-3</v>
      </c>
      <c r="T319" s="151">
        <v>-4.0000000000000001E-3</v>
      </c>
      <c r="U319" s="151">
        <v>-4.0000000000000001E-3</v>
      </c>
      <c r="V319" s="151">
        <v>-4.0000000000000001E-3</v>
      </c>
      <c r="W319" s="151">
        <v>-4.0000000000000002E-4</v>
      </c>
      <c r="X319" s="151">
        <v>-4.0000000000000001E-3</v>
      </c>
      <c r="Y319" s="151">
        <v>-4.0000000000000001E-3</v>
      </c>
      <c r="Z319" s="151">
        <v>-4.0000000000000001E-3</v>
      </c>
      <c r="AA319" s="151">
        <v>-4.0000000000000001E-3</v>
      </c>
      <c r="AB319" s="151">
        <v>-4.0000000000000001E-3</v>
      </c>
      <c r="AC319" s="151">
        <v>-4.0000000000000001E-3</v>
      </c>
      <c r="AD319" s="151">
        <v>-4.0000000000000002E-4</v>
      </c>
      <c r="AE319" s="151">
        <v>-4.0000000000000001E-3</v>
      </c>
      <c r="AF319" s="151">
        <v>-4.0000000000000002E-4</v>
      </c>
      <c r="AI319" s="1" t="s">
        <v>230</v>
      </c>
      <c r="AJ319" s="1" t="s">
        <v>1754</v>
      </c>
      <c r="AK319" s="1" t="s">
        <v>140</v>
      </c>
      <c r="AL319" s="749" t="s">
        <v>1948</v>
      </c>
    </row>
    <row r="320" spans="1:38">
      <c r="A320" s="1" t="s">
        <v>3381</v>
      </c>
      <c r="B320" s="1">
        <v>1092</v>
      </c>
      <c r="C320" s="1">
        <v>260</v>
      </c>
      <c r="D320" s="1">
        <v>33.5</v>
      </c>
      <c r="E320" s="15">
        <v>13.3</v>
      </c>
      <c r="F320" s="1">
        <v>13.1</v>
      </c>
      <c r="G320" s="1" t="s">
        <v>230</v>
      </c>
      <c r="H320" s="1" t="s">
        <v>141</v>
      </c>
      <c r="I320" s="38"/>
      <c r="J320" s="1">
        <v>260</v>
      </c>
      <c r="K320" s="1">
        <v>33.5</v>
      </c>
      <c r="L320" s="15">
        <v>13.3</v>
      </c>
      <c r="M320" s="151">
        <v>-4.0000000000000001E-3</v>
      </c>
      <c r="N320" s="1">
        <v>13.1</v>
      </c>
      <c r="O320" s="151">
        <v>-4.0000000000000001E-3</v>
      </c>
      <c r="P320" s="151">
        <v>-4.0000000000000001E-3</v>
      </c>
      <c r="Q320" s="151">
        <v>-4.0000000000000001E-3</v>
      </c>
      <c r="R320" s="151">
        <v>-4.0000000000000001E-3</v>
      </c>
      <c r="S320" s="151">
        <v>-4.0000000000000001E-3</v>
      </c>
      <c r="T320" s="151">
        <v>-4.0000000000000001E-3</v>
      </c>
      <c r="U320" s="151">
        <v>-4.0000000000000001E-3</v>
      </c>
      <c r="V320" s="151">
        <v>-4.0000000000000001E-3</v>
      </c>
      <c r="W320" s="151">
        <v>-4.0000000000000002E-4</v>
      </c>
      <c r="X320" s="151">
        <v>-4.0000000000000001E-3</v>
      </c>
      <c r="Y320" s="151">
        <v>-4.0000000000000001E-3</v>
      </c>
      <c r="Z320" s="151">
        <v>-4.0000000000000001E-3</v>
      </c>
      <c r="AA320" s="151">
        <v>-4.0000000000000001E-3</v>
      </c>
      <c r="AB320" s="151">
        <v>-4.0000000000000001E-3</v>
      </c>
      <c r="AC320" s="151">
        <v>-4.0000000000000001E-3</v>
      </c>
      <c r="AD320" s="151">
        <v>-4.0000000000000002E-4</v>
      </c>
      <c r="AE320" s="151">
        <v>-4.0000000000000001E-3</v>
      </c>
      <c r="AF320" s="151">
        <v>-4.0000000000000002E-4</v>
      </c>
      <c r="AI320" s="1" t="s">
        <v>230</v>
      </c>
      <c r="AJ320" s="1" t="s">
        <v>1754</v>
      </c>
      <c r="AK320" s="1" t="s">
        <v>141</v>
      </c>
      <c r="AL320" s="749" t="s">
        <v>1910</v>
      </c>
    </row>
    <row r="321" spans="1:38">
      <c r="A321" s="1" t="s">
        <v>3380</v>
      </c>
      <c r="B321" s="1">
        <v>1323</v>
      </c>
      <c r="C321" s="1">
        <v>315</v>
      </c>
      <c r="D321" s="15">
        <v>34</v>
      </c>
      <c r="E321" s="1">
        <v>7.9</v>
      </c>
      <c r="F321" s="1">
        <v>13.6</v>
      </c>
      <c r="G321" s="1" t="s">
        <v>230</v>
      </c>
      <c r="H321" s="1" t="s">
        <v>142</v>
      </c>
      <c r="J321" s="1">
        <v>315</v>
      </c>
      <c r="K321" s="15">
        <v>34</v>
      </c>
      <c r="L321" s="1">
        <v>7.9</v>
      </c>
      <c r="M321" s="151">
        <v>-4.0000000000000001E-3</v>
      </c>
      <c r="N321" s="1">
        <v>13.6</v>
      </c>
      <c r="O321" s="151">
        <v>-4.0000000000000001E-3</v>
      </c>
      <c r="P321" s="151">
        <v>-4.0000000000000001E-3</v>
      </c>
      <c r="Q321" s="151">
        <v>-4.0000000000000001E-3</v>
      </c>
      <c r="R321" s="151">
        <v>-4.0000000000000001E-3</v>
      </c>
      <c r="S321" s="151">
        <v>-4.0000000000000001E-3</v>
      </c>
      <c r="T321" s="151">
        <v>-4.0000000000000001E-3</v>
      </c>
      <c r="U321" s="151">
        <v>-4.0000000000000001E-3</v>
      </c>
      <c r="V321" s="151">
        <v>-4.0000000000000001E-3</v>
      </c>
      <c r="W321" s="151">
        <v>-4.0000000000000002E-4</v>
      </c>
      <c r="X321" s="151">
        <v>-4.0000000000000001E-3</v>
      </c>
      <c r="Y321" s="151">
        <v>-4.0000000000000001E-3</v>
      </c>
      <c r="Z321" s="151">
        <v>-4.0000000000000001E-3</v>
      </c>
      <c r="AA321" s="151">
        <v>-4.0000000000000001E-3</v>
      </c>
      <c r="AB321" s="151">
        <v>-4.0000000000000001E-3</v>
      </c>
      <c r="AC321" s="151">
        <v>-4.0000000000000001E-3</v>
      </c>
      <c r="AD321" s="151">
        <v>-4.0000000000000002E-4</v>
      </c>
      <c r="AE321" s="151">
        <v>-4.0000000000000001E-3</v>
      </c>
      <c r="AF321" s="151">
        <v>-4.0000000000000002E-4</v>
      </c>
      <c r="AI321" s="1" t="s">
        <v>230</v>
      </c>
      <c r="AJ321" s="1" t="s">
        <v>1754</v>
      </c>
      <c r="AK321" s="1" t="s">
        <v>142</v>
      </c>
      <c r="AL321" s="749" t="s">
        <v>1911</v>
      </c>
    </row>
    <row r="322" spans="1:38">
      <c r="A322" s="1" t="s">
        <v>1912</v>
      </c>
      <c r="B322" s="1">
        <v>1230</v>
      </c>
      <c r="C322" s="1">
        <v>292</v>
      </c>
      <c r="D322" s="1">
        <v>37.1</v>
      </c>
      <c r="E322" s="15">
        <v>10.3</v>
      </c>
      <c r="F322" s="1">
        <v>11.5</v>
      </c>
      <c r="G322" s="1" t="s">
        <v>230</v>
      </c>
      <c r="H322" s="1" t="s">
        <v>143</v>
      </c>
      <c r="J322" s="1">
        <v>292</v>
      </c>
      <c r="K322" s="1">
        <v>37.1</v>
      </c>
      <c r="L322" s="15">
        <v>10.3</v>
      </c>
      <c r="M322" s="151">
        <v>-4.0000000000000001E-3</v>
      </c>
      <c r="N322" s="1">
        <v>11.5</v>
      </c>
      <c r="O322" s="151">
        <v>-4.0000000000000001E-3</v>
      </c>
      <c r="P322" s="151">
        <v>-4.0000000000000001E-3</v>
      </c>
      <c r="Q322" s="151">
        <v>-4.0000000000000001E-3</v>
      </c>
      <c r="R322" s="151">
        <v>-4.0000000000000001E-3</v>
      </c>
      <c r="S322" s="151">
        <v>-4.0000000000000001E-3</v>
      </c>
      <c r="T322" s="151">
        <v>-4.0000000000000001E-3</v>
      </c>
      <c r="U322" s="151">
        <v>-4.0000000000000001E-3</v>
      </c>
      <c r="V322" s="151">
        <v>-4.0000000000000001E-3</v>
      </c>
      <c r="W322" s="151">
        <v>-4.0000000000000002E-4</v>
      </c>
      <c r="X322" s="151">
        <v>-4.0000000000000001E-3</v>
      </c>
      <c r="Y322" s="151">
        <v>-4.0000000000000001E-3</v>
      </c>
      <c r="Z322" s="151">
        <v>-4.0000000000000001E-3</v>
      </c>
      <c r="AA322" s="151">
        <v>-4.0000000000000001E-3</v>
      </c>
      <c r="AB322" s="151">
        <v>-4.0000000000000001E-3</v>
      </c>
      <c r="AC322" s="151">
        <v>-4.0000000000000001E-3</v>
      </c>
      <c r="AD322" s="151">
        <v>-4.0000000000000002E-4</v>
      </c>
      <c r="AE322" s="151">
        <v>-4.0000000000000001E-3</v>
      </c>
      <c r="AF322" s="151">
        <v>-4.0000000000000002E-4</v>
      </c>
      <c r="AI322" s="1" t="s">
        <v>230</v>
      </c>
      <c r="AJ322" s="1" t="s">
        <v>1754</v>
      </c>
      <c r="AK322" s="1" t="s">
        <v>143</v>
      </c>
      <c r="AL322" s="749" t="s">
        <v>1912</v>
      </c>
    </row>
    <row r="323" spans="1:38">
      <c r="A323" s="1" t="s">
        <v>1625</v>
      </c>
      <c r="B323" s="13">
        <v>494</v>
      </c>
      <c r="C323" s="13">
        <v>117</v>
      </c>
      <c r="D323" s="13">
        <v>85</v>
      </c>
      <c r="E323" s="13">
        <v>5.5</v>
      </c>
      <c r="F323" s="13">
        <v>2.5</v>
      </c>
      <c r="G323" s="1" t="s">
        <v>230</v>
      </c>
      <c r="H323" s="1" t="s">
        <v>144</v>
      </c>
      <c r="J323" s="13">
        <v>117</v>
      </c>
      <c r="K323" s="13">
        <v>85</v>
      </c>
      <c r="L323" s="13">
        <v>5.5</v>
      </c>
      <c r="M323" s="151">
        <v>-4.0000000000000001E-3</v>
      </c>
      <c r="N323" s="13">
        <v>2.5</v>
      </c>
      <c r="O323" s="151">
        <v>-4.0000000000000001E-3</v>
      </c>
      <c r="P323" s="151">
        <v>-4.0000000000000001E-3</v>
      </c>
      <c r="Q323" s="151">
        <v>-4.0000000000000001E-3</v>
      </c>
      <c r="R323" s="151">
        <v>-4.0000000000000001E-3</v>
      </c>
      <c r="S323" s="151">
        <v>-4.0000000000000001E-3</v>
      </c>
      <c r="T323" s="151">
        <v>-4.0000000000000001E-3</v>
      </c>
      <c r="U323" s="151">
        <v>-4.0000000000000001E-3</v>
      </c>
      <c r="V323" s="151">
        <v>-4.0000000000000001E-3</v>
      </c>
      <c r="W323" s="151">
        <v>-4.0000000000000002E-4</v>
      </c>
      <c r="X323" s="151">
        <v>-4.0000000000000001E-3</v>
      </c>
      <c r="Y323" s="151">
        <v>-4.0000000000000001E-3</v>
      </c>
      <c r="Z323" s="151">
        <v>-4.0000000000000001E-3</v>
      </c>
      <c r="AA323" s="151">
        <v>-4.0000000000000001E-3</v>
      </c>
      <c r="AB323" s="151">
        <v>-4.0000000000000001E-3</v>
      </c>
      <c r="AC323" s="151">
        <v>-4.0000000000000001E-3</v>
      </c>
      <c r="AD323" s="151">
        <v>-4.0000000000000002E-4</v>
      </c>
      <c r="AE323" s="151">
        <v>-4.0000000000000001E-3</v>
      </c>
      <c r="AF323" s="151">
        <v>-4.0000000000000002E-4</v>
      </c>
      <c r="AI323" s="1" t="s">
        <v>230</v>
      </c>
      <c r="AJ323" s="1" t="s">
        <v>1754</v>
      </c>
      <c r="AK323" s="1" t="s">
        <v>144</v>
      </c>
      <c r="AL323" s="749" t="s">
        <v>144</v>
      </c>
    </row>
    <row r="324" spans="1:38">
      <c r="A324" s="1" t="s">
        <v>1913</v>
      </c>
      <c r="B324" s="1">
        <v>1198</v>
      </c>
      <c r="C324" s="1">
        <v>286</v>
      </c>
      <c r="D324" s="1">
        <v>35</v>
      </c>
      <c r="E324" s="1">
        <v>4.4000000000000004</v>
      </c>
      <c r="F324" s="1">
        <v>14.3</v>
      </c>
      <c r="G324" s="1" t="s">
        <v>230</v>
      </c>
      <c r="H324" s="1" t="s">
        <v>145</v>
      </c>
      <c r="J324" s="1">
        <v>286</v>
      </c>
      <c r="K324" s="1">
        <v>35</v>
      </c>
      <c r="L324" s="1">
        <v>4.4000000000000004</v>
      </c>
      <c r="M324" s="151">
        <v>-4.0000000000000001E-3</v>
      </c>
      <c r="N324" s="1">
        <v>14.3</v>
      </c>
      <c r="O324" s="151">
        <v>-4.0000000000000001E-3</v>
      </c>
      <c r="P324" s="151">
        <v>-4.0000000000000001E-3</v>
      </c>
      <c r="Q324" s="151">
        <v>-4.0000000000000001E-3</v>
      </c>
      <c r="R324" s="151">
        <v>-4.0000000000000001E-3</v>
      </c>
      <c r="S324" s="151">
        <v>-4.0000000000000001E-3</v>
      </c>
      <c r="T324" s="151">
        <v>-4.0000000000000001E-3</v>
      </c>
      <c r="U324" s="151">
        <v>-4.0000000000000001E-3</v>
      </c>
      <c r="V324" s="151">
        <v>-4.0000000000000001E-3</v>
      </c>
      <c r="W324" s="151">
        <v>-4.0000000000000002E-4</v>
      </c>
      <c r="X324" s="151">
        <v>-4.0000000000000001E-3</v>
      </c>
      <c r="Y324" s="151">
        <v>-4.0000000000000001E-3</v>
      </c>
      <c r="Z324" s="151">
        <v>-4.0000000000000001E-3</v>
      </c>
      <c r="AA324" s="151">
        <v>-4.0000000000000001E-3</v>
      </c>
      <c r="AB324" s="151">
        <v>-4.0000000000000001E-3</v>
      </c>
      <c r="AC324" s="151">
        <v>-4.0000000000000001E-3</v>
      </c>
      <c r="AD324" s="151">
        <v>-4.0000000000000002E-4</v>
      </c>
      <c r="AE324" s="151">
        <v>-4.0000000000000001E-3</v>
      </c>
      <c r="AF324" s="151">
        <v>-4.0000000000000002E-4</v>
      </c>
      <c r="AI324" s="1" t="s">
        <v>230</v>
      </c>
      <c r="AJ324" s="1" t="s">
        <v>1754</v>
      </c>
      <c r="AK324" s="1" t="s">
        <v>145</v>
      </c>
      <c r="AL324" s="749" t="s">
        <v>1913</v>
      </c>
    </row>
    <row r="325" spans="1:38">
      <c r="A325" s="1" t="s">
        <v>146</v>
      </c>
      <c r="B325" s="17">
        <v>1343</v>
      </c>
      <c r="C325" s="1">
        <v>321</v>
      </c>
      <c r="D325" s="1">
        <v>43</v>
      </c>
      <c r="E325" s="1">
        <v>6.7</v>
      </c>
      <c r="F325" s="1">
        <v>13</v>
      </c>
      <c r="G325" s="1" t="s">
        <v>230</v>
      </c>
      <c r="H325" s="1" t="s">
        <v>146</v>
      </c>
      <c r="J325" s="1">
        <v>321</v>
      </c>
      <c r="K325" s="1">
        <v>43</v>
      </c>
      <c r="L325" s="1">
        <v>6.7</v>
      </c>
      <c r="M325" s="151">
        <v>-4.0000000000000001E-3</v>
      </c>
      <c r="N325" s="1">
        <v>13</v>
      </c>
      <c r="O325" s="151">
        <v>-4.0000000000000001E-3</v>
      </c>
      <c r="P325" s="151">
        <v>-4.0000000000000001E-3</v>
      </c>
      <c r="Q325" s="151">
        <v>-4.0000000000000001E-3</v>
      </c>
      <c r="R325" s="151">
        <v>-4.0000000000000001E-3</v>
      </c>
      <c r="S325" s="151">
        <v>-4.0000000000000001E-3</v>
      </c>
      <c r="T325" s="151">
        <v>-4.0000000000000001E-3</v>
      </c>
      <c r="U325" s="151">
        <v>-4.0000000000000001E-3</v>
      </c>
      <c r="V325" s="151">
        <v>-4.0000000000000001E-3</v>
      </c>
      <c r="W325" s="151">
        <v>-4.0000000000000002E-4</v>
      </c>
      <c r="X325" s="151">
        <v>-4.0000000000000001E-3</v>
      </c>
      <c r="Y325" s="151">
        <v>-4.0000000000000001E-3</v>
      </c>
      <c r="Z325" s="151">
        <v>-4.0000000000000001E-3</v>
      </c>
      <c r="AA325" s="151">
        <v>-4.0000000000000001E-3</v>
      </c>
      <c r="AB325" s="151">
        <v>-4.0000000000000001E-3</v>
      </c>
      <c r="AC325" s="151">
        <v>-4.0000000000000001E-3</v>
      </c>
      <c r="AD325" s="151">
        <v>-4.0000000000000002E-4</v>
      </c>
      <c r="AE325" s="151">
        <v>-4.0000000000000001E-3</v>
      </c>
      <c r="AF325" s="151">
        <v>-4.0000000000000002E-4</v>
      </c>
      <c r="AI325" s="1" t="s">
        <v>230</v>
      </c>
      <c r="AJ325" s="1" t="s">
        <v>1754</v>
      </c>
      <c r="AK325" s="1" t="s">
        <v>146</v>
      </c>
      <c r="AL325" s="749" t="s">
        <v>1949</v>
      </c>
    </row>
    <row r="326" spans="1:38">
      <c r="A326" s="749" t="s">
        <v>3367</v>
      </c>
      <c r="B326" s="1">
        <v>1640</v>
      </c>
      <c r="C326" s="1">
        <v>392</v>
      </c>
      <c r="D326" s="1">
        <v>72</v>
      </c>
      <c r="E326" s="1">
        <v>11.5</v>
      </c>
      <c r="F326" s="1">
        <v>5</v>
      </c>
      <c r="G326" s="1" t="s">
        <v>230</v>
      </c>
      <c r="H326" s="1" t="s">
        <v>147</v>
      </c>
      <c r="J326" s="1">
        <v>392</v>
      </c>
      <c r="K326" s="1">
        <v>72</v>
      </c>
      <c r="L326" s="1">
        <v>11.5</v>
      </c>
      <c r="M326" s="151">
        <v>-4.0000000000000001E-3</v>
      </c>
      <c r="N326" s="1">
        <v>5</v>
      </c>
      <c r="O326" s="151">
        <v>-4.0000000000000001E-3</v>
      </c>
      <c r="P326" s="151">
        <v>-4.0000000000000001E-3</v>
      </c>
      <c r="Q326" s="151">
        <v>-4.0000000000000001E-3</v>
      </c>
      <c r="R326" s="151">
        <v>-4.0000000000000001E-3</v>
      </c>
      <c r="S326" s="151">
        <v>-4.0000000000000001E-3</v>
      </c>
      <c r="T326" s="151">
        <v>-4.0000000000000001E-3</v>
      </c>
      <c r="U326" s="151">
        <v>-4.0000000000000001E-3</v>
      </c>
      <c r="V326" s="151">
        <v>-4.0000000000000001E-3</v>
      </c>
      <c r="W326" s="151">
        <v>-4.0000000000000002E-4</v>
      </c>
      <c r="X326" s="151">
        <v>-4.0000000000000001E-3</v>
      </c>
      <c r="Y326" s="151">
        <v>-4.0000000000000001E-3</v>
      </c>
      <c r="Z326" s="151">
        <v>-4.0000000000000001E-3</v>
      </c>
      <c r="AA326" s="151">
        <v>-4.0000000000000001E-3</v>
      </c>
      <c r="AB326" s="151">
        <v>-4.0000000000000001E-3</v>
      </c>
      <c r="AC326" s="151">
        <v>-4.0000000000000001E-3</v>
      </c>
      <c r="AD326" s="151">
        <v>-4.0000000000000002E-4</v>
      </c>
      <c r="AE326" s="151">
        <v>-4.0000000000000001E-3</v>
      </c>
      <c r="AF326" s="151">
        <v>-4.0000000000000002E-4</v>
      </c>
      <c r="AI326" s="1" t="s">
        <v>230</v>
      </c>
      <c r="AJ326" s="1" t="s">
        <v>1754</v>
      </c>
      <c r="AK326" s="1" t="s">
        <v>147</v>
      </c>
      <c r="AL326" s="749" t="s">
        <v>1914</v>
      </c>
    </row>
    <row r="327" spans="1:38">
      <c r="A327" s="1" t="s">
        <v>3261</v>
      </c>
      <c r="B327" s="1">
        <v>1392</v>
      </c>
      <c r="C327" s="1">
        <v>333</v>
      </c>
      <c r="D327" s="1">
        <v>70</v>
      </c>
      <c r="E327" s="1">
        <v>11</v>
      </c>
      <c r="F327" s="1">
        <v>1</v>
      </c>
      <c r="G327" s="1" t="s">
        <v>230</v>
      </c>
      <c r="H327" s="64" t="s">
        <v>377</v>
      </c>
      <c r="I327" s="47">
        <v>10</v>
      </c>
      <c r="J327" s="49">
        <v>357.79</v>
      </c>
      <c r="K327" s="49">
        <v>70</v>
      </c>
      <c r="L327" s="49">
        <v>9.1999999999999993</v>
      </c>
      <c r="M327" s="49">
        <v>2.7</v>
      </c>
      <c r="N327" s="49">
        <v>1.2</v>
      </c>
      <c r="O327" s="65">
        <v>0.19499999999999998</v>
      </c>
      <c r="P327" s="49">
        <v>1.4000000000000001</v>
      </c>
      <c r="Q327" s="49">
        <v>117</v>
      </c>
      <c r="R327" s="49">
        <v>16.7</v>
      </c>
      <c r="S327" s="49">
        <v>6</v>
      </c>
      <c r="T327" s="49">
        <v>68.100000000000009</v>
      </c>
      <c r="U327" s="49">
        <v>0.6</v>
      </c>
      <c r="V327" s="49">
        <v>3.3000000000000003</v>
      </c>
      <c r="W327" s="65">
        <v>0.41000000000000003</v>
      </c>
      <c r="X327" s="151">
        <v>-4.0000000000000001E-3</v>
      </c>
      <c r="Y327" s="49">
        <v>0.21</v>
      </c>
      <c r="Z327" s="49">
        <v>4.4999999999999998E-2</v>
      </c>
      <c r="AA327" s="49">
        <v>1.83</v>
      </c>
      <c r="AB327" s="49">
        <v>8.4999999999999992E-2</v>
      </c>
      <c r="AC327" s="49">
        <v>42</v>
      </c>
      <c r="AD327" s="151">
        <v>-4.0000000000000002E-4</v>
      </c>
      <c r="AE327" s="151">
        <v>-4.0000000000000001E-3</v>
      </c>
      <c r="AF327" s="151">
        <v>-4.0000000000000002E-4</v>
      </c>
      <c r="AI327" s="1" t="s">
        <v>230</v>
      </c>
      <c r="AJ327" s="1" t="s">
        <v>1754</v>
      </c>
      <c r="AK327" s="64" t="s">
        <v>377</v>
      </c>
      <c r="AL327" s="749" t="s">
        <v>377</v>
      </c>
    </row>
    <row r="328" spans="1:38">
      <c r="A328" s="749" t="s">
        <v>3262</v>
      </c>
      <c r="B328" s="1"/>
      <c r="C328" s="1"/>
      <c r="D328" s="1"/>
      <c r="E328" s="1"/>
      <c r="F328" s="1"/>
      <c r="G328" s="1" t="s">
        <v>230</v>
      </c>
      <c r="H328" s="396" t="s">
        <v>1535</v>
      </c>
      <c r="I328" s="47"/>
      <c r="J328" s="49">
        <v>354</v>
      </c>
      <c r="K328" s="49">
        <v>64.7</v>
      </c>
      <c r="L328" s="49">
        <v>14.7</v>
      </c>
      <c r="M328" s="151">
        <v>-4.0000000000000001E-3</v>
      </c>
      <c r="N328" s="49">
        <v>4</v>
      </c>
      <c r="O328" s="151">
        <v>-4.0000000000000001E-3</v>
      </c>
      <c r="P328" s="151">
        <v>-4.0000000000000001E-3</v>
      </c>
      <c r="Q328" s="151">
        <v>-4.0000000000000001E-3</v>
      </c>
      <c r="R328" s="151">
        <v>-4.0000000000000001E-3</v>
      </c>
      <c r="S328" s="151">
        <v>-4.0000000000000001E-3</v>
      </c>
      <c r="T328" s="151">
        <v>-4.0000000000000001E-3</v>
      </c>
      <c r="U328" s="151">
        <v>-4.0000000000000001E-3</v>
      </c>
      <c r="V328" s="151">
        <v>-4.0000000000000001E-3</v>
      </c>
      <c r="W328" s="151">
        <v>-4.0000000000000001E-3</v>
      </c>
      <c r="X328" s="151">
        <v>-4.0000000000000001E-3</v>
      </c>
      <c r="Y328" s="151">
        <v>-4.0000000000000001E-3</v>
      </c>
      <c r="Z328" s="151">
        <v>-4.0000000000000001E-3</v>
      </c>
      <c r="AA328" s="151">
        <v>-4.0000000000000001E-3</v>
      </c>
      <c r="AB328" s="151">
        <v>-4.0000000000000001E-3</v>
      </c>
      <c r="AC328" s="151">
        <v>-4.0000000000000001E-3</v>
      </c>
      <c r="AD328" s="151">
        <v>-4.0000000000000002E-4</v>
      </c>
      <c r="AE328" s="151">
        <v>-4.0000000000000001E-3</v>
      </c>
      <c r="AF328" s="151">
        <v>-4.0000000000000002E-4</v>
      </c>
      <c r="AI328" s="1" t="s">
        <v>230</v>
      </c>
      <c r="AJ328" s="1" t="s">
        <v>1754</v>
      </c>
      <c r="AK328" s="396" t="s">
        <v>1535</v>
      </c>
      <c r="AL328" s="749" t="s">
        <v>1535</v>
      </c>
    </row>
    <row r="329" spans="1:38">
      <c r="A329" s="1233" t="s">
        <v>3365</v>
      </c>
      <c r="B329" s="1">
        <v>1104</v>
      </c>
      <c r="C329" s="1">
        <v>258</v>
      </c>
      <c r="D329" s="1">
        <v>52.2</v>
      </c>
      <c r="E329" s="1">
        <v>8</v>
      </c>
      <c r="F329" s="1">
        <v>1.8</v>
      </c>
      <c r="G329" s="1" t="s">
        <v>230</v>
      </c>
      <c r="H329" s="749" t="s">
        <v>378</v>
      </c>
      <c r="I329" s="27">
        <v>22</v>
      </c>
      <c r="J329" s="33">
        <v>262.89999999999998</v>
      </c>
      <c r="K329" s="4">
        <v>50.8</v>
      </c>
      <c r="L329" s="4">
        <v>6.8</v>
      </c>
      <c r="M329" s="4">
        <v>4.3</v>
      </c>
      <c r="N329" s="4">
        <v>0.5</v>
      </c>
      <c r="O329" s="80">
        <v>0.1</v>
      </c>
      <c r="P329" s="35">
        <v>510</v>
      </c>
      <c r="Q329" s="3">
        <v>115</v>
      </c>
      <c r="R329" s="3">
        <v>97</v>
      </c>
      <c r="S329" s="3">
        <v>24</v>
      </c>
      <c r="T329" s="3">
        <v>0</v>
      </c>
      <c r="U329" s="3">
        <v>1.5</v>
      </c>
      <c r="V329" s="3">
        <v>3.8</v>
      </c>
      <c r="W329" s="36">
        <v>0.318</v>
      </c>
      <c r="X329" s="78">
        <v>0</v>
      </c>
      <c r="Y329" s="3">
        <v>0.2</v>
      </c>
      <c r="Z329" s="3">
        <v>0.08</v>
      </c>
      <c r="AA329" s="37">
        <v>2.81</v>
      </c>
      <c r="AB329" s="37">
        <v>5.6000000000000001E-2</v>
      </c>
      <c r="AC329" s="3">
        <v>27</v>
      </c>
      <c r="AD329" s="3">
        <v>0</v>
      </c>
      <c r="AE329" s="37">
        <v>0.1</v>
      </c>
      <c r="AF329" s="36">
        <v>0.11</v>
      </c>
      <c r="AI329" s="1" t="s">
        <v>230</v>
      </c>
      <c r="AJ329" s="1" t="s">
        <v>1754</v>
      </c>
      <c r="AK329" s="749" t="s">
        <v>378</v>
      </c>
      <c r="AL329" s="749" t="s">
        <v>378</v>
      </c>
    </row>
    <row r="330" spans="1:38">
      <c r="A330" s="1" t="s">
        <v>3368</v>
      </c>
      <c r="B330" s="1">
        <v>1141</v>
      </c>
      <c r="C330" s="1">
        <v>269</v>
      </c>
      <c r="D330" s="1">
        <v>49.9</v>
      </c>
      <c r="E330" s="1">
        <v>8.5</v>
      </c>
      <c r="F330" s="1">
        <v>3.9</v>
      </c>
      <c r="G330" s="1" t="s">
        <v>230</v>
      </c>
      <c r="H330" s="47" t="s">
        <v>379</v>
      </c>
      <c r="I330" s="47">
        <v>9</v>
      </c>
      <c r="J330" s="48">
        <v>198</v>
      </c>
      <c r="K330" s="49">
        <v>38.747</v>
      </c>
      <c r="L330" s="49">
        <v>7.2949999999999999</v>
      </c>
      <c r="M330" s="49">
        <v>8.1150000000000002</v>
      </c>
      <c r="N330" s="49">
        <v>1.2010000000000001</v>
      </c>
      <c r="O330" s="50">
        <v>0.16800000000000001</v>
      </c>
      <c r="P330" s="48">
        <v>527</v>
      </c>
      <c r="Q330" s="49">
        <v>291</v>
      </c>
      <c r="R330" s="49">
        <v>37</v>
      </c>
      <c r="S330" s="49">
        <v>1.5429999999999999</v>
      </c>
      <c r="T330" s="49">
        <v>201</v>
      </c>
      <c r="U330" s="49">
        <v>2.028</v>
      </c>
      <c r="V330" s="49">
        <v>1.5319999999999998</v>
      </c>
      <c r="W330" s="50">
        <v>0.23599999999999999</v>
      </c>
      <c r="X330" s="48">
        <v>1</v>
      </c>
      <c r="Y330" s="49">
        <v>0.18</v>
      </c>
      <c r="Z330" s="49">
        <v>0.15</v>
      </c>
      <c r="AA330" s="49">
        <v>1.4930000000000001</v>
      </c>
      <c r="AB330" s="49">
        <v>0.15</v>
      </c>
      <c r="AC330" s="49">
        <v>36</v>
      </c>
      <c r="AD330" s="49">
        <v>0.01</v>
      </c>
      <c r="AE330" s="151">
        <v>-4.0000000000000001E-3</v>
      </c>
      <c r="AF330" s="50">
        <v>0.11</v>
      </c>
      <c r="AI330" s="1" t="s">
        <v>230</v>
      </c>
      <c r="AJ330" s="1" t="s">
        <v>1754</v>
      </c>
      <c r="AK330" s="47" t="s">
        <v>379</v>
      </c>
      <c r="AL330" s="749" t="s">
        <v>379</v>
      </c>
    </row>
    <row r="331" spans="1:38">
      <c r="A331" s="1" t="s">
        <v>3366</v>
      </c>
      <c r="B331" s="1">
        <v>1055</v>
      </c>
      <c r="C331" s="1">
        <v>252</v>
      </c>
      <c r="D331" s="1">
        <v>52</v>
      </c>
      <c r="E331" s="18">
        <v>8</v>
      </c>
      <c r="F331" s="18">
        <v>1.8</v>
      </c>
      <c r="G331" s="1" t="s">
        <v>230</v>
      </c>
      <c r="H331" s="1" t="s">
        <v>1229</v>
      </c>
      <c r="J331" s="4">
        <f>AVERAGE(J329:J330)</f>
        <v>230.45</v>
      </c>
      <c r="K331" s="4">
        <f>AVERAGE(K329:K330)</f>
        <v>44.773499999999999</v>
      </c>
      <c r="L331" s="4">
        <f t="shared" ref="L331" si="0">AVERAGE(L329:L330)</f>
        <v>7.0474999999999994</v>
      </c>
      <c r="M331" s="4">
        <f>AVERAGE(M329:M330)</f>
        <v>6.2074999999999996</v>
      </c>
      <c r="N331" s="4">
        <f t="shared" ref="N331:AD331" si="1">AVERAGE(N329:N330)</f>
        <v>0.85050000000000003</v>
      </c>
      <c r="O331" s="4">
        <f t="shared" si="1"/>
        <v>0.13400000000000001</v>
      </c>
      <c r="P331" s="4">
        <f t="shared" si="1"/>
        <v>518.5</v>
      </c>
      <c r="Q331" s="4">
        <f t="shared" si="1"/>
        <v>203</v>
      </c>
      <c r="R331" s="4">
        <f t="shared" si="1"/>
        <v>67</v>
      </c>
      <c r="S331" s="4">
        <f t="shared" si="1"/>
        <v>12.7715</v>
      </c>
      <c r="T331" s="4">
        <f t="shared" si="1"/>
        <v>100.5</v>
      </c>
      <c r="U331" s="4">
        <f t="shared" si="1"/>
        <v>1.764</v>
      </c>
      <c r="V331" s="4">
        <f t="shared" si="1"/>
        <v>2.6659999999999999</v>
      </c>
      <c r="W331" s="4">
        <f t="shared" si="1"/>
        <v>0.27700000000000002</v>
      </c>
      <c r="X331" s="4">
        <f t="shared" si="1"/>
        <v>0.5</v>
      </c>
      <c r="Y331" s="4">
        <f t="shared" si="1"/>
        <v>0.19</v>
      </c>
      <c r="Z331" s="4">
        <f t="shared" si="1"/>
        <v>0.11499999999999999</v>
      </c>
      <c r="AA331" s="4">
        <f t="shared" si="1"/>
        <v>2.1515</v>
      </c>
      <c r="AB331" s="4">
        <f t="shared" si="1"/>
        <v>0.10299999999999999</v>
      </c>
      <c r="AC331" s="4">
        <f t="shared" si="1"/>
        <v>31.5</v>
      </c>
      <c r="AD331" s="4">
        <f t="shared" si="1"/>
        <v>5.0000000000000001E-3</v>
      </c>
      <c r="AE331" s="79">
        <v>0.1</v>
      </c>
      <c r="AF331" s="4">
        <f t="shared" ref="AF331" si="2">AVERAGE(AF329:AF330)</f>
        <v>0.11</v>
      </c>
      <c r="AI331" s="1" t="s">
        <v>230</v>
      </c>
      <c r="AJ331" s="1" t="s">
        <v>1754</v>
      </c>
      <c r="AK331" s="1" t="s">
        <v>1229</v>
      </c>
      <c r="AL331" s="749" t="s">
        <v>1915</v>
      </c>
    </row>
    <row r="332" spans="1:38">
      <c r="A332" s="1" t="s">
        <v>3490</v>
      </c>
      <c r="B332" s="17"/>
      <c r="C332" s="1"/>
      <c r="D332" s="1"/>
      <c r="E332" s="1"/>
      <c r="F332" s="1"/>
      <c r="G332" s="1" t="s">
        <v>230</v>
      </c>
      <c r="H332" s="324" t="s">
        <v>1662</v>
      </c>
      <c r="J332" s="1">
        <v>250</v>
      </c>
      <c r="K332" s="1">
        <v>48.2</v>
      </c>
      <c r="L332" s="1">
        <v>10.7</v>
      </c>
      <c r="M332" s="151">
        <v>-4.0000000000000001E-3</v>
      </c>
      <c r="N332" s="1">
        <v>3.5</v>
      </c>
      <c r="O332" s="151">
        <v>0.9</v>
      </c>
      <c r="P332" s="151">
        <v>-4.0000000000000001E-3</v>
      </c>
      <c r="Q332" s="151">
        <v>-4.0000000000000001E-3</v>
      </c>
      <c r="R332" s="151">
        <v>-4.0000000000000001E-3</v>
      </c>
      <c r="S332" s="151">
        <v>-4.0000000000000001E-3</v>
      </c>
      <c r="T332" s="151">
        <v>-4.0000000000000001E-3</v>
      </c>
      <c r="U332" s="151">
        <v>-4.0000000000000001E-3</v>
      </c>
      <c r="V332" s="151">
        <v>-4.0000000000000001E-3</v>
      </c>
      <c r="W332" s="151">
        <v>-4.0000000000000002E-4</v>
      </c>
      <c r="X332" s="151">
        <v>-4.0000000000000001E-3</v>
      </c>
      <c r="Y332" s="151">
        <v>-4.0000000000000001E-3</v>
      </c>
      <c r="Z332" s="151">
        <v>-4.0000000000000001E-3</v>
      </c>
      <c r="AA332" s="151">
        <v>-4.0000000000000001E-3</v>
      </c>
      <c r="AB332" s="151">
        <v>-4.0000000000000001E-3</v>
      </c>
      <c r="AC332" s="151">
        <v>-4.0000000000000001E-3</v>
      </c>
      <c r="AD332" s="151">
        <v>-4.0000000000000002E-4</v>
      </c>
      <c r="AE332" s="151">
        <v>-4.0000000000000001E-3</v>
      </c>
      <c r="AF332" s="151">
        <v>-4.0000000000000002E-4</v>
      </c>
      <c r="AI332" s="1" t="s">
        <v>230</v>
      </c>
      <c r="AJ332" s="1" t="s">
        <v>1754</v>
      </c>
      <c r="AK332" s="324" t="s">
        <v>1662</v>
      </c>
      <c r="AL332" s="749" t="s">
        <v>1662</v>
      </c>
    </row>
    <row r="333" spans="1:38">
      <c r="A333" s="1" t="s">
        <v>1916</v>
      </c>
      <c r="B333" s="1">
        <v>1734</v>
      </c>
      <c r="C333" s="1">
        <v>416</v>
      </c>
      <c r="D333" s="1">
        <v>34.299999999999997</v>
      </c>
      <c r="E333" s="1">
        <v>9.1999999999999993</v>
      </c>
      <c r="F333" s="1">
        <v>25.4</v>
      </c>
      <c r="G333" s="1" t="s">
        <v>230</v>
      </c>
      <c r="H333" s="1" t="s">
        <v>151</v>
      </c>
      <c r="J333" s="1">
        <v>416</v>
      </c>
      <c r="K333" s="1">
        <v>34.299999999999997</v>
      </c>
      <c r="L333" s="1">
        <v>9.1999999999999993</v>
      </c>
      <c r="M333" s="151">
        <v>-4.0000000000000001E-3</v>
      </c>
      <c r="N333" s="1">
        <v>25.4</v>
      </c>
      <c r="O333" s="151">
        <v>-4.0000000000000001E-3</v>
      </c>
      <c r="P333" s="151">
        <v>-4.0000000000000001E-3</v>
      </c>
      <c r="Q333" s="151">
        <v>-4.0000000000000001E-3</v>
      </c>
      <c r="R333" s="151">
        <v>-4.0000000000000001E-3</v>
      </c>
      <c r="S333" s="151">
        <v>-4.0000000000000001E-3</v>
      </c>
      <c r="T333" s="151">
        <v>-4.0000000000000001E-3</v>
      </c>
      <c r="U333" s="151">
        <v>-4.0000000000000001E-3</v>
      </c>
      <c r="V333" s="151">
        <v>-4.0000000000000001E-3</v>
      </c>
      <c r="W333" s="151">
        <v>-4.0000000000000002E-4</v>
      </c>
      <c r="X333" s="151">
        <v>-4.0000000000000001E-3</v>
      </c>
      <c r="Y333" s="151">
        <v>-4.0000000000000001E-3</v>
      </c>
      <c r="Z333" s="151">
        <v>-4.0000000000000001E-3</v>
      </c>
      <c r="AA333" s="151">
        <v>-4.0000000000000001E-3</v>
      </c>
      <c r="AB333" s="151">
        <v>-4.0000000000000001E-3</v>
      </c>
      <c r="AC333" s="151">
        <v>-4.0000000000000001E-3</v>
      </c>
      <c r="AD333" s="151">
        <v>-4.0000000000000002E-4</v>
      </c>
      <c r="AE333" s="151">
        <v>-4.0000000000000001E-3</v>
      </c>
      <c r="AF333" s="151">
        <v>-4.0000000000000002E-4</v>
      </c>
      <c r="AI333" s="1" t="s">
        <v>230</v>
      </c>
      <c r="AJ333" s="1" t="s">
        <v>1754</v>
      </c>
      <c r="AK333" s="1" t="s">
        <v>151</v>
      </c>
      <c r="AL333" s="749" t="s">
        <v>1916</v>
      </c>
    </row>
    <row r="334" spans="1:38">
      <c r="A334" s="82" t="s">
        <v>3246</v>
      </c>
      <c r="B334" s="82"/>
      <c r="C334" s="82"/>
      <c r="D334" s="82"/>
      <c r="E334" s="82"/>
      <c r="F334" s="82"/>
      <c r="G334" s="1" t="s">
        <v>230</v>
      </c>
      <c r="H334" s="398" t="s">
        <v>1610</v>
      </c>
      <c r="J334" s="82">
        <v>354</v>
      </c>
      <c r="K334" s="82">
        <v>73</v>
      </c>
      <c r="L334" s="82">
        <v>12.5</v>
      </c>
      <c r="M334" s="4">
        <v>17.3</v>
      </c>
      <c r="N334" s="82">
        <v>2.2999999999999998</v>
      </c>
      <c r="O334" s="4">
        <v>0.5</v>
      </c>
      <c r="P334" s="4">
        <v>4</v>
      </c>
      <c r="Q334" s="4">
        <v>452</v>
      </c>
      <c r="R334" s="4">
        <v>33</v>
      </c>
      <c r="S334" s="4">
        <v>133</v>
      </c>
      <c r="T334" s="4">
        <v>264</v>
      </c>
      <c r="U334" s="4">
        <v>3.6</v>
      </c>
      <c r="V334" s="4">
        <v>2.8</v>
      </c>
      <c r="W334" s="4">
        <v>0.5</v>
      </c>
      <c r="X334" s="4">
        <v>22</v>
      </c>
      <c r="Y334" s="4">
        <v>0.65</v>
      </c>
      <c r="Z334" s="4">
        <v>0.28999999999999998</v>
      </c>
      <c r="AA334" s="4">
        <v>4.5999999999999996</v>
      </c>
      <c r="AB334" s="4">
        <v>0.32</v>
      </c>
      <c r="AC334" s="4">
        <v>11.6</v>
      </c>
      <c r="AD334" s="4">
        <v>0</v>
      </c>
      <c r="AE334" s="4">
        <v>0</v>
      </c>
      <c r="AF334" s="4">
        <v>0</v>
      </c>
      <c r="AI334" s="1" t="s">
        <v>230</v>
      </c>
      <c r="AJ334" s="1" t="s">
        <v>1754</v>
      </c>
      <c r="AK334" s="398" t="s">
        <v>1610</v>
      </c>
      <c r="AL334" s="749" t="s">
        <v>1610</v>
      </c>
    </row>
    <row r="335" spans="1:38">
      <c r="A335" s="749" t="s">
        <v>3382</v>
      </c>
      <c r="B335" s="1">
        <v>1891</v>
      </c>
      <c r="C335" s="1">
        <v>450</v>
      </c>
      <c r="D335" s="15">
        <v>64</v>
      </c>
      <c r="E335" s="15">
        <v>9</v>
      </c>
      <c r="F335" s="15">
        <v>18</v>
      </c>
      <c r="G335" s="1" t="s">
        <v>230</v>
      </c>
      <c r="H335" s="1" t="s">
        <v>153</v>
      </c>
      <c r="J335" s="1">
        <v>450</v>
      </c>
      <c r="K335" s="15">
        <v>64</v>
      </c>
      <c r="L335" s="15">
        <v>9</v>
      </c>
      <c r="M335" s="151">
        <v>-4.0000000000000001E-3</v>
      </c>
      <c r="N335" s="15">
        <v>18</v>
      </c>
      <c r="O335" s="151">
        <v>-4.0000000000000001E-3</v>
      </c>
      <c r="P335" s="151">
        <v>-4.0000000000000001E-3</v>
      </c>
      <c r="Q335" s="151">
        <v>-4.0000000000000001E-3</v>
      </c>
      <c r="R335" s="151">
        <v>-4.0000000000000001E-3</v>
      </c>
      <c r="S335" s="151">
        <v>-4.0000000000000001E-3</v>
      </c>
      <c r="T335" s="151">
        <v>-4.0000000000000001E-3</v>
      </c>
      <c r="U335" s="151">
        <v>-4.0000000000000001E-3</v>
      </c>
      <c r="V335" s="151">
        <v>-4.0000000000000001E-3</v>
      </c>
      <c r="W335" s="151">
        <v>-4.0000000000000002E-4</v>
      </c>
      <c r="X335" s="151">
        <v>-4.0000000000000001E-3</v>
      </c>
      <c r="Y335" s="151">
        <v>-4.0000000000000001E-3</v>
      </c>
      <c r="Z335" s="151">
        <v>-4.0000000000000001E-3</v>
      </c>
      <c r="AA335" s="151">
        <v>-4.0000000000000001E-3</v>
      </c>
      <c r="AB335" s="151">
        <v>-4.0000000000000001E-3</v>
      </c>
      <c r="AC335" s="151">
        <v>-4.0000000000000001E-3</v>
      </c>
      <c r="AD335" s="151">
        <v>-4.0000000000000002E-4</v>
      </c>
      <c r="AE335" s="151">
        <v>-4.0000000000000001E-3</v>
      </c>
      <c r="AF335" s="151">
        <v>-4.0000000000000002E-4</v>
      </c>
      <c r="AI335" s="1" t="s">
        <v>230</v>
      </c>
      <c r="AJ335" s="1" t="s">
        <v>1754</v>
      </c>
      <c r="AK335" s="1" t="s">
        <v>153</v>
      </c>
      <c r="AL335" s="749" t="s">
        <v>1917</v>
      </c>
    </row>
    <row r="336" spans="1:38">
      <c r="A336" s="749" t="s">
        <v>3378</v>
      </c>
      <c r="B336" s="1">
        <v>1126</v>
      </c>
      <c r="C336" s="1">
        <v>265</v>
      </c>
      <c r="D336" s="1">
        <v>56</v>
      </c>
      <c r="E336" s="1">
        <v>8</v>
      </c>
      <c r="F336" s="1">
        <v>1</v>
      </c>
      <c r="G336" s="1" t="s">
        <v>230</v>
      </c>
      <c r="H336" s="1" t="s">
        <v>154</v>
      </c>
      <c r="J336" s="1">
        <v>265</v>
      </c>
      <c r="K336" s="1">
        <v>56</v>
      </c>
      <c r="L336" s="1">
        <v>8</v>
      </c>
      <c r="M336" s="151">
        <v>-4.0000000000000001E-3</v>
      </c>
      <c r="N336" s="1">
        <v>1</v>
      </c>
      <c r="O336" s="151">
        <v>-4.0000000000000001E-3</v>
      </c>
      <c r="P336" s="151">
        <v>-4.0000000000000001E-3</v>
      </c>
      <c r="Q336" s="151">
        <v>-4.0000000000000001E-3</v>
      </c>
      <c r="R336" s="151">
        <v>-4.0000000000000001E-3</v>
      </c>
      <c r="S336" s="151">
        <v>-4.0000000000000001E-3</v>
      </c>
      <c r="T336" s="151">
        <v>-4.0000000000000001E-3</v>
      </c>
      <c r="U336" s="151">
        <v>-4.0000000000000001E-3</v>
      </c>
      <c r="V336" s="151">
        <v>-4.0000000000000001E-3</v>
      </c>
      <c r="W336" s="151">
        <v>-4.0000000000000002E-4</v>
      </c>
      <c r="X336" s="151">
        <v>-4.0000000000000001E-3</v>
      </c>
      <c r="Y336" s="151">
        <v>-4.0000000000000001E-3</v>
      </c>
      <c r="Z336" s="151">
        <v>-4.0000000000000001E-3</v>
      </c>
      <c r="AA336" s="151">
        <v>-4.0000000000000001E-3</v>
      </c>
      <c r="AB336" s="151">
        <v>-4.0000000000000001E-3</v>
      </c>
      <c r="AC336" s="151">
        <v>-4.0000000000000001E-3</v>
      </c>
      <c r="AD336" s="151">
        <v>-4.0000000000000002E-4</v>
      </c>
      <c r="AE336" s="151">
        <v>-4.0000000000000001E-3</v>
      </c>
      <c r="AF336" s="151">
        <v>-4.0000000000000002E-4</v>
      </c>
      <c r="AI336" s="1" t="s">
        <v>230</v>
      </c>
      <c r="AJ336" s="1" t="s">
        <v>1754</v>
      </c>
      <c r="AK336" s="1" t="s">
        <v>154</v>
      </c>
      <c r="AL336" s="749" t="s">
        <v>1918</v>
      </c>
    </row>
    <row r="337" spans="1:38">
      <c r="A337" s="749" t="s">
        <v>3370</v>
      </c>
      <c r="B337" s="1">
        <v>1126</v>
      </c>
      <c r="C337" s="1">
        <v>265</v>
      </c>
      <c r="D337" s="1">
        <v>56</v>
      </c>
      <c r="E337" s="1">
        <v>8</v>
      </c>
      <c r="F337" s="1">
        <v>1</v>
      </c>
      <c r="G337" s="1" t="s">
        <v>230</v>
      </c>
      <c r="H337" s="1" t="s">
        <v>154</v>
      </c>
      <c r="J337" s="1">
        <v>265</v>
      </c>
      <c r="K337" s="1">
        <v>56</v>
      </c>
      <c r="L337" s="1">
        <v>8</v>
      </c>
      <c r="M337" s="151">
        <v>-4.0000000000000001E-3</v>
      </c>
      <c r="N337" s="1">
        <v>1</v>
      </c>
      <c r="O337" s="151">
        <v>-4.0000000000000001E-3</v>
      </c>
      <c r="P337" s="151">
        <v>-4.0000000000000001E-3</v>
      </c>
      <c r="Q337" s="151">
        <v>-4.0000000000000001E-3</v>
      </c>
      <c r="R337" s="151">
        <v>-4.0000000000000001E-3</v>
      </c>
      <c r="S337" s="151">
        <v>-4.0000000000000001E-3</v>
      </c>
      <c r="T337" s="151">
        <v>-4.0000000000000001E-3</v>
      </c>
      <c r="U337" s="151">
        <v>-4.0000000000000001E-3</v>
      </c>
      <c r="V337" s="151">
        <v>-4.0000000000000001E-3</v>
      </c>
      <c r="W337" s="151">
        <v>-4.0000000000000002E-4</v>
      </c>
      <c r="X337" s="151">
        <v>-4.0000000000000001E-3</v>
      </c>
      <c r="Y337" s="151">
        <v>-4.0000000000000001E-3</v>
      </c>
      <c r="Z337" s="151">
        <v>-4.0000000000000001E-3</v>
      </c>
      <c r="AA337" s="151">
        <v>-4.0000000000000001E-3</v>
      </c>
      <c r="AB337" s="151">
        <v>-4.0000000000000001E-3</v>
      </c>
      <c r="AC337" s="151">
        <v>-4.0000000000000001E-3</v>
      </c>
      <c r="AD337" s="151">
        <v>-4.0000000000000002E-4</v>
      </c>
      <c r="AE337" s="151">
        <v>-4.0000000000000001E-3</v>
      </c>
      <c r="AF337" s="151">
        <v>-4.0000000000000002E-4</v>
      </c>
      <c r="AI337" s="1" t="s">
        <v>230</v>
      </c>
      <c r="AJ337" s="1" t="s">
        <v>1754</v>
      </c>
      <c r="AK337" s="1" t="s">
        <v>154</v>
      </c>
      <c r="AL337" s="749" t="s">
        <v>1918</v>
      </c>
    </row>
    <row r="338" spans="1:38">
      <c r="A338" s="749" t="s">
        <v>3509</v>
      </c>
      <c r="B338" s="1">
        <v>1126</v>
      </c>
      <c r="C338" s="1">
        <v>265</v>
      </c>
      <c r="D338" s="1">
        <v>56</v>
      </c>
      <c r="E338" s="1">
        <v>8</v>
      </c>
      <c r="F338" s="1">
        <v>1</v>
      </c>
      <c r="G338" s="1" t="s">
        <v>230</v>
      </c>
      <c r="H338" s="1" t="s">
        <v>154</v>
      </c>
      <c r="J338" s="1">
        <v>265</v>
      </c>
      <c r="K338" s="1">
        <v>56</v>
      </c>
      <c r="L338" s="1">
        <v>8</v>
      </c>
      <c r="M338" s="151">
        <v>-4.0000000000000001E-3</v>
      </c>
      <c r="N338" s="1">
        <v>1</v>
      </c>
      <c r="O338" s="151">
        <v>-4.0000000000000001E-3</v>
      </c>
      <c r="P338" s="151">
        <v>-4.0000000000000001E-3</v>
      </c>
      <c r="Q338" s="151">
        <v>-4.0000000000000001E-3</v>
      </c>
      <c r="R338" s="151">
        <v>-4.0000000000000001E-3</v>
      </c>
      <c r="S338" s="151">
        <v>-4.0000000000000001E-3</v>
      </c>
      <c r="T338" s="151">
        <v>-4.0000000000000001E-3</v>
      </c>
      <c r="U338" s="151">
        <v>-4.0000000000000001E-3</v>
      </c>
      <c r="V338" s="151">
        <v>-4.0000000000000001E-3</v>
      </c>
      <c r="W338" s="151">
        <v>-4.0000000000000002E-4</v>
      </c>
      <c r="X338" s="151">
        <v>-4.0000000000000001E-3</v>
      </c>
      <c r="Y338" s="151">
        <v>-4.0000000000000001E-3</v>
      </c>
      <c r="Z338" s="151">
        <v>-4.0000000000000001E-3</v>
      </c>
      <c r="AA338" s="151">
        <v>-4.0000000000000001E-3</v>
      </c>
      <c r="AB338" s="151">
        <v>-4.0000000000000001E-3</v>
      </c>
      <c r="AC338" s="151">
        <v>-4.0000000000000001E-3</v>
      </c>
      <c r="AD338" s="151">
        <v>-4.0000000000000002E-4</v>
      </c>
      <c r="AE338" s="151">
        <v>-4.0000000000000001E-3</v>
      </c>
      <c r="AF338" s="151">
        <v>-4.0000000000000002E-4</v>
      </c>
      <c r="AI338" s="1" t="s">
        <v>230</v>
      </c>
      <c r="AJ338" s="1" t="s">
        <v>1754</v>
      </c>
      <c r="AK338" s="1" t="s">
        <v>154</v>
      </c>
      <c r="AL338" s="749" t="s">
        <v>1918</v>
      </c>
    </row>
    <row r="339" spans="1:38">
      <c r="A339" s="749" t="s">
        <v>1951</v>
      </c>
      <c r="B339" s="1">
        <v>1590</v>
      </c>
      <c r="C339" s="1">
        <v>381</v>
      </c>
      <c r="D339" s="1">
        <v>36.1</v>
      </c>
      <c r="E339" s="1">
        <v>12.1</v>
      </c>
      <c r="F339" s="1">
        <v>19.5</v>
      </c>
      <c r="G339" s="1" t="s">
        <v>230</v>
      </c>
      <c r="H339" s="1" t="s">
        <v>155</v>
      </c>
      <c r="J339" s="1">
        <v>381</v>
      </c>
      <c r="K339" s="1">
        <v>36.1</v>
      </c>
      <c r="L339" s="1">
        <v>12.1</v>
      </c>
      <c r="M339" s="151">
        <v>-4.0000000000000001E-3</v>
      </c>
      <c r="N339" s="1">
        <v>19.5</v>
      </c>
      <c r="O339" s="151">
        <v>-4.0000000000000001E-3</v>
      </c>
      <c r="P339" s="151">
        <v>-4.0000000000000001E-3</v>
      </c>
      <c r="Q339" s="151">
        <v>-4.0000000000000001E-3</v>
      </c>
      <c r="R339" s="151">
        <v>-4.0000000000000001E-3</v>
      </c>
      <c r="S339" s="151">
        <v>-4.0000000000000001E-3</v>
      </c>
      <c r="T339" s="151">
        <v>-4.0000000000000001E-3</v>
      </c>
      <c r="U339" s="151">
        <v>-4.0000000000000001E-3</v>
      </c>
      <c r="V339" s="151">
        <v>-4.0000000000000001E-3</v>
      </c>
      <c r="W339" s="151">
        <v>-4.0000000000000002E-4</v>
      </c>
      <c r="X339" s="151">
        <v>-4.0000000000000001E-3</v>
      </c>
      <c r="Y339" s="151">
        <v>-4.0000000000000001E-3</v>
      </c>
      <c r="Z339" s="151">
        <v>-4.0000000000000001E-3</v>
      </c>
      <c r="AA339" s="151">
        <v>-4.0000000000000001E-3</v>
      </c>
      <c r="AB339" s="151">
        <v>-4.0000000000000001E-3</v>
      </c>
      <c r="AC339" s="151">
        <v>-4.0000000000000001E-3</v>
      </c>
      <c r="AD339" s="151">
        <v>-4.0000000000000002E-4</v>
      </c>
      <c r="AE339" s="151">
        <v>-4.0000000000000001E-3</v>
      </c>
      <c r="AF339" s="151">
        <v>-4.0000000000000002E-4</v>
      </c>
      <c r="AI339" s="1" t="s">
        <v>230</v>
      </c>
      <c r="AJ339" s="1" t="s">
        <v>1754</v>
      </c>
      <c r="AK339" s="1" t="s">
        <v>155</v>
      </c>
      <c r="AL339" s="749" t="s">
        <v>1951</v>
      </c>
    </row>
    <row r="340" spans="1:38">
      <c r="A340" s="749" t="s">
        <v>3390</v>
      </c>
      <c r="B340" s="1">
        <v>1109</v>
      </c>
      <c r="C340" s="1">
        <v>265</v>
      </c>
      <c r="D340" s="1">
        <v>29</v>
      </c>
      <c r="E340" s="15">
        <v>7.5</v>
      </c>
      <c r="F340" s="1">
        <v>12.5</v>
      </c>
      <c r="G340" s="1" t="s">
        <v>230</v>
      </c>
      <c r="H340" s="1" t="s">
        <v>170</v>
      </c>
      <c r="J340" s="1">
        <v>265</v>
      </c>
      <c r="K340" s="1">
        <v>29</v>
      </c>
      <c r="L340" s="15">
        <v>7.5</v>
      </c>
      <c r="M340" s="151">
        <v>-4.0000000000000001E-3</v>
      </c>
      <c r="N340" s="1">
        <v>12.5</v>
      </c>
      <c r="O340" s="151">
        <v>-4.0000000000000001E-3</v>
      </c>
      <c r="P340" s="151">
        <v>-4.0000000000000001E-3</v>
      </c>
      <c r="Q340" s="151">
        <v>-4.0000000000000001E-3</v>
      </c>
      <c r="R340" s="151">
        <v>-4.0000000000000001E-3</v>
      </c>
      <c r="S340" s="151">
        <v>-4.0000000000000001E-3</v>
      </c>
      <c r="T340" s="151">
        <v>-4.0000000000000001E-3</v>
      </c>
      <c r="U340" s="151">
        <v>-4.0000000000000001E-3</v>
      </c>
      <c r="V340" s="151">
        <v>-4.0000000000000001E-3</v>
      </c>
      <c r="W340" s="151">
        <v>-4.0000000000000002E-4</v>
      </c>
      <c r="X340" s="151">
        <v>-4.0000000000000001E-3</v>
      </c>
      <c r="Y340" s="151">
        <v>-4.0000000000000001E-3</v>
      </c>
      <c r="Z340" s="151">
        <v>-4.0000000000000001E-3</v>
      </c>
      <c r="AA340" s="151">
        <v>-4.0000000000000001E-3</v>
      </c>
      <c r="AB340" s="151">
        <v>-4.0000000000000001E-3</v>
      </c>
      <c r="AC340" s="151">
        <v>-4.0000000000000001E-3</v>
      </c>
      <c r="AD340" s="151">
        <v>-4.0000000000000002E-4</v>
      </c>
      <c r="AE340" s="151">
        <v>-4.0000000000000001E-3</v>
      </c>
      <c r="AF340" s="151">
        <v>-4.0000000000000002E-4</v>
      </c>
      <c r="AI340" s="1" t="s">
        <v>230</v>
      </c>
      <c r="AJ340" s="1" t="s">
        <v>1754</v>
      </c>
      <c r="AK340" s="1" t="s">
        <v>170</v>
      </c>
      <c r="AL340" s="749" t="s">
        <v>1937</v>
      </c>
    </row>
    <row r="341" spans="1:38">
      <c r="A341" s="1" t="s">
        <v>3498</v>
      </c>
      <c r="B341" s="1">
        <v>1590</v>
      </c>
      <c r="C341" s="1">
        <v>381</v>
      </c>
      <c r="D341" s="1">
        <v>36.1</v>
      </c>
      <c r="E341" s="1">
        <v>12.1</v>
      </c>
      <c r="F341" s="1">
        <v>19.5</v>
      </c>
      <c r="G341" s="1" t="s">
        <v>230</v>
      </c>
      <c r="H341" s="1" t="s">
        <v>155</v>
      </c>
      <c r="J341" s="1">
        <v>381</v>
      </c>
      <c r="K341" s="1">
        <v>36.1</v>
      </c>
      <c r="L341" s="1">
        <v>12.1</v>
      </c>
      <c r="M341" s="151">
        <v>-4.0000000000000001E-3</v>
      </c>
      <c r="N341" s="1">
        <v>19.5</v>
      </c>
      <c r="O341" s="151">
        <v>-4.0000000000000001E-3</v>
      </c>
      <c r="P341" s="151">
        <v>-4.0000000000000001E-3</v>
      </c>
      <c r="Q341" s="151">
        <v>-4.0000000000000001E-3</v>
      </c>
      <c r="R341" s="151">
        <v>-4.0000000000000001E-3</v>
      </c>
      <c r="S341" s="151">
        <v>-4.0000000000000001E-3</v>
      </c>
      <c r="T341" s="151">
        <v>-4.0000000000000001E-3</v>
      </c>
      <c r="U341" s="151">
        <v>-4.0000000000000001E-3</v>
      </c>
      <c r="V341" s="151">
        <v>-4.0000000000000001E-3</v>
      </c>
      <c r="W341" s="151">
        <v>-4.0000000000000002E-4</v>
      </c>
      <c r="X341" s="151">
        <v>-4.0000000000000001E-3</v>
      </c>
      <c r="Y341" s="151">
        <v>-4.0000000000000001E-3</v>
      </c>
      <c r="Z341" s="151">
        <v>-4.0000000000000001E-3</v>
      </c>
      <c r="AA341" s="151">
        <v>-4.0000000000000001E-3</v>
      </c>
      <c r="AB341" s="151">
        <v>-4.0000000000000001E-3</v>
      </c>
      <c r="AC341" s="151">
        <v>-4.0000000000000001E-3</v>
      </c>
      <c r="AD341" s="151">
        <v>-4.0000000000000002E-4</v>
      </c>
      <c r="AE341" s="151">
        <v>-4.0000000000000001E-3</v>
      </c>
      <c r="AF341" s="151">
        <v>-4.0000000000000002E-4</v>
      </c>
      <c r="AI341" s="1" t="s">
        <v>230</v>
      </c>
      <c r="AJ341" s="1" t="s">
        <v>1754</v>
      </c>
      <c r="AK341" s="1" t="s">
        <v>155</v>
      </c>
      <c r="AL341" s="749" t="s">
        <v>1951</v>
      </c>
    </row>
    <row r="342" spans="1:38">
      <c r="A342" s="749" t="s">
        <v>3371</v>
      </c>
      <c r="B342" s="1">
        <v>1050</v>
      </c>
      <c r="C342" s="1">
        <v>251</v>
      </c>
      <c r="D342" s="1">
        <v>38.299999999999997</v>
      </c>
      <c r="E342" s="1">
        <v>12.5</v>
      </c>
      <c r="F342" s="1">
        <v>3.4</v>
      </c>
      <c r="G342" s="1" t="s">
        <v>230</v>
      </c>
      <c r="H342" s="1" t="s">
        <v>156</v>
      </c>
      <c r="J342" s="1">
        <v>251</v>
      </c>
      <c r="K342" s="1">
        <v>38.299999999999997</v>
      </c>
      <c r="L342" s="1">
        <v>12.5</v>
      </c>
      <c r="M342" s="151">
        <v>-4.0000000000000001E-3</v>
      </c>
      <c r="N342" s="1">
        <v>3.4</v>
      </c>
      <c r="O342" s="151">
        <v>-4.0000000000000001E-3</v>
      </c>
      <c r="P342" s="151">
        <v>-4.0000000000000001E-3</v>
      </c>
      <c r="Q342" s="151">
        <v>-4.0000000000000001E-3</v>
      </c>
      <c r="R342" s="151">
        <v>-4.0000000000000001E-3</v>
      </c>
      <c r="S342" s="151">
        <v>-4.0000000000000001E-3</v>
      </c>
      <c r="T342" s="151">
        <v>-4.0000000000000001E-3</v>
      </c>
      <c r="U342" s="151">
        <v>-4.0000000000000001E-3</v>
      </c>
      <c r="V342" s="151">
        <v>-4.0000000000000001E-3</v>
      </c>
      <c r="W342" s="151">
        <v>-4.0000000000000002E-4</v>
      </c>
      <c r="X342" s="151">
        <v>-4.0000000000000001E-3</v>
      </c>
      <c r="Y342" s="151">
        <v>-4.0000000000000001E-3</v>
      </c>
      <c r="Z342" s="151">
        <v>-4.0000000000000001E-3</v>
      </c>
      <c r="AA342" s="151">
        <v>-4.0000000000000001E-3</v>
      </c>
      <c r="AB342" s="151">
        <v>-4.0000000000000001E-3</v>
      </c>
      <c r="AC342" s="151">
        <v>-4.0000000000000001E-3</v>
      </c>
      <c r="AD342" s="151">
        <v>-4.0000000000000002E-4</v>
      </c>
      <c r="AE342" s="151">
        <v>-4.0000000000000001E-3</v>
      </c>
      <c r="AF342" s="151">
        <v>-4.0000000000000002E-4</v>
      </c>
      <c r="AI342" s="1" t="s">
        <v>230</v>
      </c>
      <c r="AJ342" s="1" t="s">
        <v>1754</v>
      </c>
      <c r="AK342" s="1" t="s">
        <v>156</v>
      </c>
      <c r="AL342" s="749" t="s">
        <v>1950</v>
      </c>
    </row>
    <row r="343" spans="1:38">
      <c r="A343" s="749" t="s">
        <v>3263</v>
      </c>
      <c r="B343" s="17">
        <v>2017</v>
      </c>
      <c r="C343" s="1">
        <v>482</v>
      </c>
      <c r="D343" s="1">
        <v>44</v>
      </c>
      <c r="E343" s="1">
        <v>3.9</v>
      </c>
      <c r="F343" s="1">
        <v>33</v>
      </c>
      <c r="G343" s="1" t="s">
        <v>230</v>
      </c>
      <c r="H343" s="27" t="s">
        <v>367</v>
      </c>
      <c r="I343" s="27">
        <v>10</v>
      </c>
      <c r="J343" s="28">
        <v>482</v>
      </c>
      <c r="K343" s="29">
        <v>44</v>
      </c>
      <c r="L343" s="29">
        <v>3.9</v>
      </c>
      <c r="M343" s="151">
        <v>-4.0000000000000001E-3</v>
      </c>
      <c r="N343" s="29">
        <v>33</v>
      </c>
      <c r="O343" s="29">
        <v>28.999999999999996</v>
      </c>
      <c r="P343" s="30">
        <v>260</v>
      </c>
      <c r="Q343" s="31">
        <v>325</v>
      </c>
      <c r="R343" s="31">
        <v>14.000000000000002</v>
      </c>
      <c r="S343" s="151">
        <v>-4.0000000000000001E-3</v>
      </c>
      <c r="T343" s="31">
        <v>104</v>
      </c>
      <c r="U343" s="31">
        <v>1.9</v>
      </c>
      <c r="V343" s="151">
        <v>-4.0000000000000001E-3</v>
      </c>
      <c r="W343" s="32">
        <v>0.31</v>
      </c>
      <c r="X343" s="151">
        <v>-4.0000000000000001E-3</v>
      </c>
      <c r="Y343" s="31">
        <v>0.03</v>
      </c>
      <c r="Z343" s="31">
        <v>0.03</v>
      </c>
      <c r="AA343" s="31">
        <v>0.3</v>
      </c>
      <c r="AB343" s="151">
        <v>-4.0000000000000001E-3</v>
      </c>
      <c r="AC343" s="151">
        <v>-4.0000000000000001E-3</v>
      </c>
      <c r="AD343" s="151">
        <v>-4.0000000000000002E-4</v>
      </c>
      <c r="AE343" s="151">
        <v>-4.0000000000000001E-3</v>
      </c>
      <c r="AF343" s="151">
        <v>-4.0000000000000002E-4</v>
      </c>
      <c r="AI343" s="1" t="s">
        <v>230</v>
      </c>
      <c r="AJ343" s="1" t="s">
        <v>1754</v>
      </c>
      <c r="AK343" s="27" t="s">
        <v>367</v>
      </c>
      <c r="AL343" s="749" t="s">
        <v>367</v>
      </c>
    </row>
    <row r="344" spans="1:38">
      <c r="A344" s="749" t="s">
        <v>3383</v>
      </c>
      <c r="B344" s="13">
        <v>1509</v>
      </c>
      <c r="C344" s="13">
        <v>361</v>
      </c>
      <c r="D344" s="13">
        <v>33.4</v>
      </c>
      <c r="E344" s="19">
        <v>7.6</v>
      </c>
      <c r="F344" s="19">
        <v>22</v>
      </c>
      <c r="G344" s="1" t="s">
        <v>230</v>
      </c>
      <c r="H344" s="1" t="s">
        <v>157</v>
      </c>
      <c r="J344" s="13">
        <v>361</v>
      </c>
      <c r="K344" s="13">
        <v>33.4</v>
      </c>
      <c r="L344" s="19">
        <v>7.6</v>
      </c>
      <c r="M344" s="151">
        <v>-4.0000000000000001E-3</v>
      </c>
      <c r="N344" s="19">
        <v>22</v>
      </c>
      <c r="O344" s="151">
        <v>-4.0000000000000001E-3</v>
      </c>
      <c r="P344" s="151">
        <v>-4.0000000000000001E-3</v>
      </c>
      <c r="Q344" s="151">
        <v>-4.0000000000000001E-3</v>
      </c>
      <c r="R344" s="151">
        <v>-4.0000000000000001E-3</v>
      </c>
      <c r="S344" s="151">
        <v>-4.0000000000000001E-3</v>
      </c>
      <c r="T344" s="151">
        <v>-4.0000000000000001E-3</v>
      </c>
      <c r="U344" s="151">
        <v>-4.0000000000000001E-3</v>
      </c>
      <c r="V344" s="151">
        <v>-4.0000000000000001E-3</v>
      </c>
      <c r="W344" s="151">
        <v>-4.0000000000000002E-4</v>
      </c>
      <c r="X344" s="151">
        <v>-4.0000000000000001E-3</v>
      </c>
      <c r="Y344" s="151">
        <v>-4.0000000000000001E-3</v>
      </c>
      <c r="Z344" s="151">
        <v>-4.0000000000000001E-3</v>
      </c>
      <c r="AA344" s="151">
        <v>-4.0000000000000001E-3</v>
      </c>
      <c r="AB344" s="151">
        <v>-4.0000000000000001E-3</v>
      </c>
      <c r="AC344" s="151">
        <v>-4.0000000000000001E-3</v>
      </c>
      <c r="AD344" s="151">
        <v>-4.0000000000000002E-4</v>
      </c>
      <c r="AE344" s="151">
        <v>-4.0000000000000001E-3</v>
      </c>
      <c r="AF344" s="151">
        <v>-4.0000000000000002E-4</v>
      </c>
      <c r="AI344" s="1" t="s">
        <v>230</v>
      </c>
      <c r="AJ344" s="1" t="s">
        <v>1754</v>
      </c>
      <c r="AK344" s="1" t="s">
        <v>157</v>
      </c>
      <c r="AL344" s="749" t="s">
        <v>1919</v>
      </c>
    </row>
    <row r="345" spans="1:38">
      <c r="A345" s="749" t="s">
        <v>3264</v>
      </c>
      <c r="B345" s="1">
        <v>1102</v>
      </c>
      <c r="C345" s="1">
        <v>225</v>
      </c>
      <c r="D345" s="1">
        <v>46</v>
      </c>
      <c r="E345" s="1">
        <v>6.7</v>
      </c>
      <c r="F345" s="1">
        <v>0.45</v>
      </c>
      <c r="G345" s="1" t="s">
        <v>230</v>
      </c>
      <c r="H345" s="1" t="s">
        <v>158</v>
      </c>
      <c r="J345" s="1">
        <v>225</v>
      </c>
      <c r="K345" s="1">
        <v>46</v>
      </c>
      <c r="L345" s="1">
        <v>6.7</v>
      </c>
      <c r="M345" s="151">
        <v>-4.0000000000000001E-3</v>
      </c>
      <c r="N345" s="1">
        <v>0.45</v>
      </c>
      <c r="O345" s="151">
        <v>-4.0000000000000001E-3</v>
      </c>
      <c r="P345" s="151">
        <v>-4.0000000000000001E-3</v>
      </c>
      <c r="Q345" s="151">
        <v>-4.0000000000000001E-3</v>
      </c>
      <c r="R345" s="151">
        <v>-4.0000000000000001E-3</v>
      </c>
      <c r="S345" s="151">
        <v>-4.0000000000000001E-3</v>
      </c>
      <c r="T345" s="151">
        <v>-4.0000000000000001E-3</v>
      </c>
      <c r="U345" s="151">
        <v>-4.0000000000000001E-3</v>
      </c>
      <c r="V345" s="151">
        <v>-4.0000000000000001E-3</v>
      </c>
      <c r="W345" s="151">
        <v>-4.0000000000000002E-4</v>
      </c>
      <c r="X345" s="151">
        <v>-4.0000000000000001E-3</v>
      </c>
      <c r="Y345" s="151">
        <v>-4.0000000000000001E-3</v>
      </c>
      <c r="Z345" s="151">
        <v>-4.0000000000000001E-3</v>
      </c>
      <c r="AA345" s="151">
        <v>-4.0000000000000001E-3</v>
      </c>
      <c r="AB345" s="151">
        <v>-4.0000000000000001E-3</v>
      </c>
      <c r="AC345" s="151">
        <v>-4.0000000000000001E-3</v>
      </c>
      <c r="AD345" s="151">
        <v>-4.0000000000000002E-4</v>
      </c>
      <c r="AE345" s="151">
        <v>-4.0000000000000001E-3</v>
      </c>
      <c r="AF345" s="151">
        <v>-4.0000000000000002E-4</v>
      </c>
      <c r="AI345" s="1" t="s">
        <v>230</v>
      </c>
      <c r="AJ345" s="1" t="s">
        <v>1754</v>
      </c>
      <c r="AK345" s="1" t="s">
        <v>158</v>
      </c>
      <c r="AL345" s="749" t="s">
        <v>1920</v>
      </c>
    </row>
    <row r="346" spans="1:38">
      <c r="A346" s="749" t="s">
        <v>3265</v>
      </c>
      <c r="B346" s="1">
        <v>1102</v>
      </c>
      <c r="C346" s="1">
        <v>225</v>
      </c>
      <c r="D346" s="1">
        <v>46</v>
      </c>
      <c r="E346" s="1">
        <v>6.7</v>
      </c>
      <c r="F346" s="1">
        <v>0.45</v>
      </c>
      <c r="G346" s="1" t="s">
        <v>230</v>
      </c>
      <c r="H346" s="1" t="s">
        <v>158</v>
      </c>
      <c r="J346" s="1">
        <v>225</v>
      </c>
      <c r="K346" s="1">
        <v>46</v>
      </c>
      <c r="L346" s="1">
        <v>6.7</v>
      </c>
      <c r="M346" s="151">
        <v>-4.0000000000000001E-3</v>
      </c>
      <c r="N346" s="1">
        <v>0.45</v>
      </c>
      <c r="O346" s="151">
        <v>-4.0000000000000001E-3</v>
      </c>
      <c r="P346" s="151">
        <v>-4.0000000000000001E-3</v>
      </c>
      <c r="Q346" s="151">
        <v>-4.0000000000000001E-3</v>
      </c>
      <c r="R346" s="151">
        <v>-4.0000000000000001E-3</v>
      </c>
      <c r="S346" s="151">
        <v>-4.0000000000000001E-3</v>
      </c>
      <c r="T346" s="151">
        <v>-4.0000000000000001E-3</v>
      </c>
      <c r="U346" s="151">
        <v>-4.0000000000000001E-3</v>
      </c>
      <c r="V346" s="151">
        <v>-4.0000000000000001E-3</v>
      </c>
      <c r="W346" s="151">
        <v>-4.0000000000000002E-4</v>
      </c>
      <c r="X346" s="151">
        <v>-4.0000000000000001E-3</v>
      </c>
      <c r="Y346" s="151">
        <v>-4.0000000000000001E-3</v>
      </c>
      <c r="Z346" s="151">
        <v>-4.0000000000000001E-3</v>
      </c>
      <c r="AA346" s="151">
        <v>-4.0000000000000001E-3</v>
      </c>
      <c r="AB346" s="151">
        <v>-4.0000000000000001E-3</v>
      </c>
      <c r="AC346" s="151">
        <v>-4.0000000000000001E-3</v>
      </c>
      <c r="AD346" s="151">
        <v>-4.0000000000000002E-4</v>
      </c>
      <c r="AE346" s="151">
        <v>-4.0000000000000001E-3</v>
      </c>
      <c r="AF346" s="151">
        <v>-4.0000000000000002E-4</v>
      </c>
      <c r="AI346" s="1" t="s">
        <v>230</v>
      </c>
      <c r="AJ346" s="1" t="s">
        <v>1754</v>
      </c>
      <c r="AK346" s="1" t="s">
        <v>158</v>
      </c>
      <c r="AL346" s="749" t="s">
        <v>1920</v>
      </c>
    </row>
    <row r="347" spans="1:38">
      <c r="A347" s="749" t="s">
        <v>3266</v>
      </c>
      <c r="B347" s="1">
        <v>1217</v>
      </c>
      <c r="C347" s="1">
        <v>291</v>
      </c>
      <c r="D347" s="1">
        <v>59.17</v>
      </c>
      <c r="E347" s="1">
        <v>11.56</v>
      </c>
      <c r="F347" s="1">
        <v>0.9</v>
      </c>
      <c r="G347" s="1" t="s">
        <v>230</v>
      </c>
      <c r="H347" s="1" t="s">
        <v>532</v>
      </c>
      <c r="J347" s="1">
        <v>291</v>
      </c>
      <c r="K347" s="1">
        <v>59.17</v>
      </c>
      <c r="L347" s="1">
        <v>11.56</v>
      </c>
      <c r="M347" s="151">
        <v>-4.0000000000000001E-3</v>
      </c>
      <c r="N347" s="1">
        <v>0.9</v>
      </c>
      <c r="O347" s="151">
        <v>-4.0000000000000001E-3</v>
      </c>
      <c r="P347" s="151">
        <v>-4.0000000000000001E-3</v>
      </c>
      <c r="Q347" s="151">
        <v>-4.0000000000000001E-3</v>
      </c>
      <c r="R347" s="151">
        <v>-4.0000000000000001E-3</v>
      </c>
      <c r="S347" s="151">
        <v>-4.0000000000000001E-3</v>
      </c>
      <c r="T347" s="151">
        <v>-4.0000000000000001E-3</v>
      </c>
      <c r="U347" s="151">
        <v>-4.0000000000000001E-3</v>
      </c>
      <c r="V347" s="151">
        <v>-4.0000000000000001E-3</v>
      </c>
      <c r="W347" s="151">
        <v>-4.0000000000000002E-4</v>
      </c>
      <c r="X347" s="151">
        <v>-4.0000000000000001E-3</v>
      </c>
      <c r="Y347" s="151">
        <v>-4.0000000000000001E-3</v>
      </c>
      <c r="Z347" s="151">
        <v>-4.0000000000000001E-3</v>
      </c>
      <c r="AA347" s="151">
        <v>-4.0000000000000001E-3</v>
      </c>
      <c r="AB347" s="151">
        <v>-4.0000000000000001E-3</v>
      </c>
      <c r="AC347" s="151">
        <v>-4.0000000000000001E-3</v>
      </c>
      <c r="AD347" s="151">
        <v>-4.0000000000000002E-4</v>
      </c>
      <c r="AE347" s="151">
        <v>-4.0000000000000001E-3</v>
      </c>
      <c r="AF347" s="151">
        <v>-4.0000000000000002E-4</v>
      </c>
      <c r="AI347" s="1" t="s">
        <v>230</v>
      </c>
      <c r="AJ347" s="1" t="s">
        <v>1754</v>
      </c>
      <c r="AK347" s="1" t="s">
        <v>532</v>
      </c>
      <c r="AL347" s="749" t="s">
        <v>1921</v>
      </c>
    </row>
    <row r="348" spans="1:38">
      <c r="A348" s="749" t="s">
        <v>3372</v>
      </c>
      <c r="B348" s="1">
        <v>1715</v>
      </c>
      <c r="C348" s="1">
        <v>410</v>
      </c>
      <c r="D348" s="1">
        <v>35</v>
      </c>
      <c r="E348" s="1">
        <v>5</v>
      </c>
      <c r="F348" s="1">
        <v>25</v>
      </c>
      <c r="G348" s="1" t="s">
        <v>230</v>
      </c>
      <c r="H348" s="1" t="s">
        <v>241</v>
      </c>
      <c r="I348" s="1" t="s">
        <v>1212</v>
      </c>
      <c r="J348" s="1">
        <v>410</v>
      </c>
      <c r="K348" s="1">
        <v>35</v>
      </c>
      <c r="L348" s="1">
        <v>5</v>
      </c>
      <c r="M348" s="151">
        <v>-4.0000000000000001E-3</v>
      </c>
      <c r="N348" s="1">
        <v>25</v>
      </c>
      <c r="O348" s="151">
        <v>-4.0000000000000001E-3</v>
      </c>
      <c r="P348" s="151">
        <v>-4.0000000000000001E-3</v>
      </c>
      <c r="Q348" s="151">
        <v>-4.0000000000000001E-3</v>
      </c>
      <c r="R348" s="151">
        <v>-4.0000000000000001E-3</v>
      </c>
      <c r="S348" s="151">
        <v>-4.0000000000000001E-3</v>
      </c>
      <c r="T348" s="151">
        <v>-4.0000000000000001E-3</v>
      </c>
      <c r="U348" s="151">
        <v>-4.0000000000000001E-3</v>
      </c>
      <c r="V348" s="151">
        <v>-4.0000000000000001E-3</v>
      </c>
      <c r="W348" s="151">
        <v>-4.0000000000000002E-4</v>
      </c>
      <c r="X348" s="151">
        <v>-4.0000000000000001E-3</v>
      </c>
      <c r="Y348" s="151">
        <v>-4.0000000000000001E-3</v>
      </c>
      <c r="Z348" s="151">
        <v>-4.0000000000000001E-3</v>
      </c>
      <c r="AA348" s="151">
        <v>-4.0000000000000001E-3</v>
      </c>
      <c r="AB348" s="151">
        <v>-4.0000000000000001E-3</v>
      </c>
      <c r="AC348" s="151">
        <v>-4.0000000000000001E-3</v>
      </c>
      <c r="AD348" s="151">
        <v>-4.0000000000000002E-4</v>
      </c>
      <c r="AE348" s="151">
        <v>-4.0000000000000001E-3</v>
      </c>
      <c r="AF348" s="151">
        <v>-4.0000000000000002E-4</v>
      </c>
      <c r="AI348" s="1" t="s">
        <v>230</v>
      </c>
      <c r="AJ348" s="1" t="s">
        <v>1754</v>
      </c>
      <c r="AK348" s="1" t="s">
        <v>241</v>
      </c>
      <c r="AL348" s="749" t="s">
        <v>1952</v>
      </c>
    </row>
    <row r="349" spans="1:38">
      <c r="A349" s="749" t="s">
        <v>3399</v>
      </c>
      <c r="B349" s="1">
        <v>1715</v>
      </c>
      <c r="C349" s="1">
        <v>410</v>
      </c>
      <c r="D349" s="1">
        <v>35</v>
      </c>
      <c r="E349" s="1">
        <v>5</v>
      </c>
      <c r="F349" s="1">
        <v>25</v>
      </c>
      <c r="G349" s="1" t="s">
        <v>230</v>
      </c>
      <c r="H349" s="324" t="s">
        <v>2259</v>
      </c>
      <c r="I349" s="1"/>
      <c r="J349" s="1">
        <v>322</v>
      </c>
      <c r="K349" s="1">
        <v>33</v>
      </c>
      <c r="L349" s="1">
        <v>8.6</v>
      </c>
      <c r="M349" s="4">
        <v>3.1</v>
      </c>
      <c r="N349" s="82">
        <v>18</v>
      </c>
      <c r="O349" s="4">
        <v>8.5</v>
      </c>
      <c r="P349" s="4">
        <v>500</v>
      </c>
      <c r="Q349" s="151">
        <v>-4.0000000000000001E-3</v>
      </c>
      <c r="R349" s="151">
        <v>-4.0000000000000001E-3</v>
      </c>
      <c r="S349" s="151">
        <v>-4.0000000000000001E-3</v>
      </c>
      <c r="T349" s="151">
        <v>-4.0000000000000001E-3</v>
      </c>
      <c r="U349" s="151">
        <v>-4.0000000000000001E-3</v>
      </c>
      <c r="V349" s="151">
        <v>-4.0000000000000001E-3</v>
      </c>
      <c r="W349" s="151">
        <v>-4.0000000000000002E-4</v>
      </c>
      <c r="X349" s="151">
        <v>-4.0000000000000001E-3</v>
      </c>
      <c r="Y349" s="151">
        <v>-4.0000000000000001E-3</v>
      </c>
      <c r="Z349" s="151">
        <v>-4.0000000000000001E-3</v>
      </c>
      <c r="AA349" s="151">
        <v>-4.0000000000000001E-3</v>
      </c>
      <c r="AB349" s="151">
        <v>-4.0000000000000001E-3</v>
      </c>
      <c r="AC349" s="151">
        <v>-4.0000000000000001E-3</v>
      </c>
      <c r="AD349" s="151">
        <v>-4.0000000000000002E-4</v>
      </c>
      <c r="AE349" s="151">
        <v>-4.0000000000000001E-3</v>
      </c>
      <c r="AF349" s="151">
        <v>-4.0000000000000002E-4</v>
      </c>
      <c r="AI349" s="1" t="s">
        <v>230</v>
      </c>
      <c r="AJ349" s="1" t="s">
        <v>1754</v>
      </c>
      <c r="AK349" s="1" t="s">
        <v>241</v>
      </c>
      <c r="AL349" s="749" t="s">
        <v>1952</v>
      </c>
    </row>
    <row r="350" spans="1:38">
      <c r="A350" s="749" t="s">
        <v>3267</v>
      </c>
      <c r="B350" s="1">
        <v>1510</v>
      </c>
      <c r="C350" s="1">
        <v>361</v>
      </c>
      <c r="D350" s="1">
        <v>76.849999999999994</v>
      </c>
      <c r="E350" s="1">
        <v>6.93</v>
      </c>
      <c r="F350" s="1">
        <v>3.86</v>
      </c>
      <c r="G350" s="1" t="s">
        <v>230</v>
      </c>
      <c r="H350" s="324" t="s">
        <v>1641</v>
      </c>
      <c r="J350" s="1">
        <v>387</v>
      </c>
      <c r="K350" s="1">
        <v>78</v>
      </c>
      <c r="L350" s="1">
        <v>12</v>
      </c>
      <c r="M350" s="4">
        <v>14.5</v>
      </c>
      <c r="N350" s="1">
        <v>4</v>
      </c>
      <c r="O350" s="4">
        <v>0.6</v>
      </c>
      <c r="P350" s="4">
        <v>8</v>
      </c>
      <c r="Q350" s="4">
        <v>329</v>
      </c>
      <c r="R350" s="4">
        <v>7</v>
      </c>
      <c r="S350" s="4">
        <v>144</v>
      </c>
      <c r="T350" s="4">
        <v>358</v>
      </c>
      <c r="U350" s="4">
        <v>3.2</v>
      </c>
      <c r="V350" s="4">
        <v>-4.0000000000000001E-3</v>
      </c>
      <c r="W350" s="4">
        <v>0.3</v>
      </c>
      <c r="X350" s="4">
        <v>59</v>
      </c>
      <c r="Y350" s="4">
        <v>0.1</v>
      </c>
      <c r="Z350" s="4">
        <v>0.08</v>
      </c>
      <c r="AA350" s="4">
        <v>2.2999999999999998</v>
      </c>
      <c r="AB350" s="4">
        <v>0.16</v>
      </c>
      <c r="AC350" s="4">
        <v>31</v>
      </c>
      <c r="AD350" s="4">
        <v>0</v>
      </c>
      <c r="AE350" s="4">
        <v>0</v>
      </c>
      <c r="AF350" s="4">
        <v>0</v>
      </c>
      <c r="AG350" s="4">
        <v>196</v>
      </c>
      <c r="AH350" s="749" t="s">
        <v>1642</v>
      </c>
      <c r="AI350" s="1" t="s">
        <v>230</v>
      </c>
      <c r="AJ350" s="1" t="s">
        <v>1754</v>
      </c>
      <c r="AK350" s="324" t="s">
        <v>1641</v>
      </c>
      <c r="AL350" s="749" t="s">
        <v>1641</v>
      </c>
    </row>
    <row r="351" spans="1:38">
      <c r="A351" s="1" t="s">
        <v>3247</v>
      </c>
      <c r="B351" s="1">
        <v>1494</v>
      </c>
      <c r="C351" s="1">
        <v>357</v>
      </c>
      <c r="D351" s="1">
        <v>84.1</v>
      </c>
      <c r="E351" s="1">
        <v>7.5</v>
      </c>
      <c r="F351" s="1">
        <v>0.4</v>
      </c>
      <c r="G351" s="1" t="s">
        <v>230</v>
      </c>
      <c r="H351" s="1" t="s">
        <v>1637</v>
      </c>
      <c r="J351" s="1">
        <v>376</v>
      </c>
      <c r="K351" s="1">
        <v>81</v>
      </c>
      <c r="L351" s="1">
        <v>7.7</v>
      </c>
      <c r="M351" s="4">
        <v>5.6</v>
      </c>
      <c r="N351" s="1">
        <v>1</v>
      </c>
      <c r="O351" s="4">
        <v>0.2</v>
      </c>
      <c r="P351" s="4">
        <v>590</v>
      </c>
      <c r="Q351" s="151">
        <v>-4.0000000000000001E-3</v>
      </c>
      <c r="R351" s="151">
        <v>-4.0000000000000001E-3</v>
      </c>
      <c r="S351" s="151">
        <v>-4.0000000000000001E-3</v>
      </c>
      <c r="T351" s="151">
        <v>-4.0000000000000001E-3</v>
      </c>
      <c r="U351" s="4">
        <v>7.9</v>
      </c>
      <c r="V351" s="151">
        <v>-4.0000000000000001E-3</v>
      </c>
      <c r="W351" s="151">
        <v>-4.0000000000000002E-4</v>
      </c>
      <c r="X351" s="151">
        <v>-4.0000000000000001E-3</v>
      </c>
      <c r="Y351" s="4">
        <v>1.3</v>
      </c>
      <c r="Z351" s="4">
        <v>1</v>
      </c>
      <c r="AA351" s="4">
        <v>21</v>
      </c>
      <c r="AB351" s="4">
        <v>2.1</v>
      </c>
      <c r="AC351" s="4">
        <v>175</v>
      </c>
      <c r="AD351" s="4">
        <v>1.18</v>
      </c>
      <c r="AE351" s="151">
        <v>-4.0000000000000001E-3</v>
      </c>
      <c r="AF351" s="151">
        <v>-4.0000000000000002E-4</v>
      </c>
      <c r="AI351" s="1" t="s">
        <v>230</v>
      </c>
      <c r="AJ351" s="1" t="s">
        <v>1754</v>
      </c>
      <c r="AK351" s="1" t="s">
        <v>1637</v>
      </c>
      <c r="AL351" s="749" t="s">
        <v>1637</v>
      </c>
    </row>
    <row r="352" spans="1:38">
      <c r="A352" s="1" t="s">
        <v>3268</v>
      </c>
      <c r="B352" s="1">
        <v>1494</v>
      </c>
      <c r="C352" s="1">
        <v>357</v>
      </c>
      <c r="D352" s="1">
        <v>84.1</v>
      </c>
      <c r="E352" s="1">
        <v>7.5</v>
      </c>
      <c r="F352" s="1">
        <v>0.4</v>
      </c>
      <c r="G352" s="1" t="s">
        <v>230</v>
      </c>
      <c r="H352" s="1" t="s">
        <v>2984</v>
      </c>
      <c r="J352" s="1">
        <v>351</v>
      </c>
      <c r="K352" s="1">
        <v>69</v>
      </c>
      <c r="L352" s="1">
        <v>8.4</v>
      </c>
      <c r="M352" s="4">
        <v>4</v>
      </c>
      <c r="N352" s="1">
        <v>1.1000000000000001</v>
      </c>
      <c r="O352" s="4">
        <v>0</v>
      </c>
      <c r="P352" s="4">
        <v>10</v>
      </c>
      <c r="Q352" s="4">
        <v>5</v>
      </c>
      <c r="R352" s="4">
        <v>81</v>
      </c>
      <c r="S352" s="4">
        <v>45</v>
      </c>
      <c r="T352" s="4">
        <v>111</v>
      </c>
      <c r="U352" s="4">
        <v>1.7</v>
      </c>
      <c r="V352" s="151">
        <v>-4.0000000000000001E-3</v>
      </c>
      <c r="W352" s="151">
        <v>-4.0000000000000002E-4</v>
      </c>
      <c r="X352" s="4">
        <v>16.7</v>
      </c>
      <c r="Y352" s="4">
        <v>0.08</v>
      </c>
      <c r="Z352" s="4">
        <v>7.0000000000000007E-2</v>
      </c>
      <c r="AA352" s="4">
        <v>0.80100000000000005</v>
      </c>
      <c r="AB352" s="4">
        <v>0.04</v>
      </c>
      <c r="AC352" s="4">
        <v>5</v>
      </c>
      <c r="AD352" s="151">
        <v>-4.0000000000000002E-4</v>
      </c>
      <c r="AE352" s="34">
        <v>0</v>
      </c>
      <c r="AF352" s="34">
        <v>0</v>
      </c>
      <c r="AI352" s="1" t="s">
        <v>230</v>
      </c>
      <c r="AJ352" s="1" t="s">
        <v>1754</v>
      </c>
      <c r="AK352" s="1"/>
    </row>
    <row r="353" spans="1:38">
      <c r="A353" s="1231" t="s">
        <v>3248</v>
      </c>
      <c r="B353" s="82">
        <v>1510</v>
      </c>
      <c r="C353" s="82">
        <v>361</v>
      </c>
      <c r="D353" s="82">
        <v>76.849999999999994</v>
      </c>
      <c r="E353" s="82">
        <v>6.93</v>
      </c>
      <c r="F353" s="82">
        <v>3.86</v>
      </c>
      <c r="G353" s="82" t="s">
        <v>230</v>
      </c>
      <c r="H353" s="398" t="s">
        <v>1643</v>
      </c>
      <c r="I353" s="749" t="s">
        <v>1644</v>
      </c>
      <c r="J353" s="82">
        <v>365</v>
      </c>
      <c r="K353" s="82">
        <v>74</v>
      </c>
      <c r="L353" s="82">
        <v>9.4</v>
      </c>
      <c r="M353" s="4">
        <v>7.3</v>
      </c>
      <c r="N353" s="82">
        <v>4.7</v>
      </c>
      <c r="O353" s="4">
        <v>0.7</v>
      </c>
      <c r="P353" s="4">
        <v>35</v>
      </c>
      <c r="Q353" s="4">
        <v>287</v>
      </c>
      <c r="R353" s="4">
        <v>7</v>
      </c>
      <c r="S353" s="4">
        <v>127</v>
      </c>
      <c r="T353" s="4">
        <v>210</v>
      </c>
      <c r="U353" s="4">
        <v>2.7</v>
      </c>
      <c r="V353" s="4">
        <v>2.2000000000000002</v>
      </c>
      <c r="W353" s="4">
        <v>0.3</v>
      </c>
      <c r="X353" s="4">
        <v>64</v>
      </c>
      <c r="Y353" s="4">
        <v>0.4</v>
      </c>
      <c r="Z353" s="4">
        <v>0.2</v>
      </c>
      <c r="AA353" s="4">
        <v>3.6</v>
      </c>
      <c r="AB353" s="4">
        <v>0.6</v>
      </c>
      <c r="AC353" s="4">
        <v>19</v>
      </c>
      <c r="AD353" s="4">
        <v>0</v>
      </c>
      <c r="AE353" s="4">
        <v>0</v>
      </c>
      <c r="AF353" s="4">
        <v>0</v>
      </c>
      <c r="AI353" s="82" t="s">
        <v>230</v>
      </c>
      <c r="AJ353" s="1" t="s">
        <v>1754</v>
      </c>
      <c r="AK353" s="398" t="s">
        <v>1643</v>
      </c>
      <c r="AL353" s="749" t="s">
        <v>1643</v>
      </c>
    </row>
    <row r="354" spans="1:38">
      <c r="A354" s="749" t="s">
        <v>3269</v>
      </c>
      <c r="C354" s="1"/>
      <c r="D354" s="1"/>
      <c r="E354" s="1"/>
      <c r="F354" s="1"/>
      <c r="G354" s="1" t="s">
        <v>230</v>
      </c>
      <c r="H354" s="324" t="s">
        <v>1620</v>
      </c>
      <c r="J354" s="1">
        <v>364</v>
      </c>
      <c r="K354" s="1">
        <v>61</v>
      </c>
      <c r="L354" s="1">
        <v>19.3</v>
      </c>
      <c r="M354" s="4">
        <v>17.399999999999999</v>
      </c>
      <c r="N354" s="82">
        <v>6</v>
      </c>
      <c r="O354" s="4">
        <v>0.63</v>
      </c>
      <c r="P354" s="4">
        <v>24</v>
      </c>
      <c r="Q354" s="4">
        <v>875</v>
      </c>
      <c r="R354" s="4">
        <v>105</v>
      </c>
      <c r="S354" s="4">
        <v>115</v>
      </c>
      <c r="T354" s="4">
        <v>366</v>
      </c>
      <c r="U354" s="4">
        <v>6.2</v>
      </c>
      <c r="V354" s="4">
        <v>3.4</v>
      </c>
      <c r="W354" s="4">
        <v>0.85</v>
      </c>
      <c r="X354" s="4">
        <v>67</v>
      </c>
      <c r="Y354" s="4">
        <v>0.48</v>
      </c>
      <c r="Z354" s="4">
        <v>0.21</v>
      </c>
      <c r="AA354" s="4">
        <v>1.54</v>
      </c>
      <c r="AB354" s="4">
        <v>0.54</v>
      </c>
      <c r="AC354" s="4">
        <v>557</v>
      </c>
      <c r="AD354" s="4">
        <v>0</v>
      </c>
      <c r="AE354" s="4">
        <v>4</v>
      </c>
      <c r="AF354" s="4">
        <v>0</v>
      </c>
      <c r="AI354" s="1" t="s">
        <v>230</v>
      </c>
      <c r="AJ354" s="1" t="s">
        <v>1754</v>
      </c>
      <c r="AK354" s="324" t="s">
        <v>1620</v>
      </c>
      <c r="AL354" s="749" t="s">
        <v>1922</v>
      </c>
    </row>
    <row r="355" spans="1:38">
      <c r="A355" s="749" t="s">
        <v>3373</v>
      </c>
      <c r="B355" s="1">
        <v>1126</v>
      </c>
      <c r="C355" s="1">
        <v>265</v>
      </c>
      <c r="D355" s="1">
        <v>55</v>
      </c>
      <c r="E355" s="1">
        <v>8</v>
      </c>
      <c r="F355" s="1">
        <v>1</v>
      </c>
      <c r="G355" s="1" t="s">
        <v>230</v>
      </c>
      <c r="H355" s="1" t="s">
        <v>159</v>
      </c>
      <c r="J355" s="1">
        <v>265</v>
      </c>
      <c r="K355" s="1">
        <v>55</v>
      </c>
      <c r="L355" s="1">
        <v>8</v>
      </c>
      <c r="M355" s="151">
        <v>-4.0000000000000001E-3</v>
      </c>
      <c r="N355" s="1">
        <v>1</v>
      </c>
      <c r="O355" s="151">
        <v>-4.0000000000000001E-3</v>
      </c>
      <c r="P355" s="151">
        <v>-4.0000000000000001E-3</v>
      </c>
      <c r="Q355" s="151">
        <v>-4.0000000000000001E-3</v>
      </c>
      <c r="R355" s="151">
        <v>-4.0000000000000001E-3</v>
      </c>
      <c r="S355" s="151">
        <v>-4.0000000000000001E-3</v>
      </c>
      <c r="T355" s="151">
        <v>-4.0000000000000001E-3</v>
      </c>
      <c r="U355" s="151">
        <v>-4.0000000000000001E-3</v>
      </c>
      <c r="V355" s="151">
        <v>-4.0000000000000001E-3</v>
      </c>
      <c r="W355" s="151">
        <v>-4.0000000000000002E-4</v>
      </c>
      <c r="X355" s="151">
        <v>-4.0000000000000001E-3</v>
      </c>
      <c r="Y355" s="151">
        <v>-4.0000000000000001E-3</v>
      </c>
      <c r="Z355" s="151">
        <v>-4.0000000000000001E-3</v>
      </c>
      <c r="AA355" s="151">
        <v>-4.0000000000000001E-3</v>
      </c>
      <c r="AB355" s="151">
        <v>-4.0000000000000001E-3</v>
      </c>
      <c r="AC355" s="151">
        <v>-4.0000000000000001E-3</v>
      </c>
      <c r="AD355" s="151">
        <v>-4.0000000000000002E-4</v>
      </c>
      <c r="AE355" s="151">
        <v>-4.0000000000000001E-3</v>
      </c>
      <c r="AF355" s="151">
        <v>-4.0000000000000002E-4</v>
      </c>
      <c r="AI355" s="1" t="s">
        <v>230</v>
      </c>
      <c r="AJ355" s="1" t="s">
        <v>1754</v>
      </c>
      <c r="AK355" s="1" t="s">
        <v>159</v>
      </c>
      <c r="AL355" s="749" t="s">
        <v>1923</v>
      </c>
    </row>
    <row r="356" spans="1:38">
      <c r="A356" s="1" t="s">
        <v>1924</v>
      </c>
      <c r="B356" s="1">
        <v>2305</v>
      </c>
      <c r="C356" s="1">
        <v>551</v>
      </c>
      <c r="D356" s="1">
        <v>45.1</v>
      </c>
      <c r="E356" s="1">
        <v>7.3</v>
      </c>
      <c r="F356" s="1">
        <v>38.1</v>
      </c>
      <c r="G356" s="1" t="s">
        <v>230</v>
      </c>
      <c r="H356" s="1" t="s">
        <v>242</v>
      </c>
      <c r="J356" s="1">
        <v>551</v>
      </c>
      <c r="K356" s="1">
        <v>45.1</v>
      </c>
      <c r="L356" s="1">
        <v>7.3</v>
      </c>
      <c r="M356" s="151">
        <v>-4.0000000000000001E-3</v>
      </c>
      <c r="N356" s="1">
        <v>38.1</v>
      </c>
      <c r="O356" s="151">
        <v>-4.0000000000000001E-3</v>
      </c>
      <c r="P356" s="151">
        <v>-4.0000000000000001E-3</v>
      </c>
      <c r="Q356" s="151">
        <v>-4.0000000000000001E-3</v>
      </c>
      <c r="R356" s="151">
        <v>-4.0000000000000001E-3</v>
      </c>
      <c r="S356" s="151">
        <v>-4.0000000000000001E-3</v>
      </c>
      <c r="T356" s="151">
        <v>-4.0000000000000001E-3</v>
      </c>
      <c r="U356" s="151">
        <v>-4.0000000000000001E-3</v>
      </c>
      <c r="V356" s="151">
        <v>-4.0000000000000001E-3</v>
      </c>
      <c r="W356" s="151">
        <v>-4.0000000000000002E-4</v>
      </c>
      <c r="X356" s="151">
        <v>-4.0000000000000001E-3</v>
      </c>
      <c r="Y356" s="151">
        <v>-4.0000000000000001E-3</v>
      </c>
      <c r="Z356" s="151">
        <v>-4.0000000000000001E-3</v>
      </c>
      <c r="AA356" s="151">
        <v>-4.0000000000000001E-3</v>
      </c>
      <c r="AB356" s="151">
        <v>-4.0000000000000001E-3</v>
      </c>
      <c r="AC356" s="151">
        <v>-4.0000000000000001E-3</v>
      </c>
      <c r="AD356" s="151">
        <v>-4.0000000000000002E-4</v>
      </c>
      <c r="AE356" s="151">
        <v>-4.0000000000000001E-3</v>
      </c>
      <c r="AF356" s="151">
        <v>-4.0000000000000002E-4</v>
      </c>
      <c r="AI356" s="1" t="s">
        <v>230</v>
      </c>
      <c r="AJ356" s="1" t="s">
        <v>1754</v>
      </c>
      <c r="AK356" s="1" t="s">
        <v>242</v>
      </c>
      <c r="AL356" s="749" t="s">
        <v>1924</v>
      </c>
    </row>
    <row r="357" spans="1:38">
      <c r="A357" s="325" t="s">
        <v>3249</v>
      </c>
      <c r="B357" s="1">
        <v>2196</v>
      </c>
      <c r="C357" s="1">
        <v>525</v>
      </c>
      <c r="D357" s="1">
        <v>28.13</v>
      </c>
      <c r="E357" s="1">
        <v>17.989999999999998</v>
      </c>
      <c r="F357" s="1">
        <v>41.56</v>
      </c>
      <c r="G357" s="1" t="s">
        <v>230</v>
      </c>
      <c r="H357" s="749" t="s">
        <v>373</v>
      </c>
      <c r="I357" s="47">
        <v>22</v>
      </c>
      <c r="J357" s="33">
        <v>525</v>
      </c>
      <c r="K357" s="4">
        <v>3.1995133819951338</v>
      </c>
      <c r="L357" s="4">
        <v>20.199513381995136</v>
      </c>
      <c r="M357" s="4">
        <v>20.501216545012166</v>
      </c>
      <c r="N357" s="4">
        <v>43.399026763990264</v>
      </c>
      <c r="O357" s="60">
        <v>5.1411192214111914</v>
      </c>
      <c r="P357" s="35">
        <v>13.999999999999998</v>
      </c>
      <c r="Q357" s="3">
        <v>831.99999999999989</v>
      </c>
      <c r="R357" s="3">
        <v>1357</v>
      </c>
      <c r="S357" s="3">
        <v>395</v>
      </c>
      <c r="T357" s="3">
        <v>935.99999999999989</v>
      </c>
      <c r="U357" s="3">
        <v>8.8004866180048662</v>
      </c>
      <c r="V357" s="3">
        <v>6.7907542579075422</v>
      </c>
      <c r="W357" s="36">
        <v>1.0291970802919705</v>
      </c>
      <c r="X357" s="78">
        <v>0</v>
      </c>
      <c r="Y357" s="3">
        <v>0.45985401459854014</v>
      </c>
      <c r="Z357" s="3">
        <v>0.1508515815085158</v>
      </c>
      <c r="AA357" s="3">
        <v>0.90024330900243299</v>
      </c>
      <c r="AB357" s="3">
        <v>0.44038929440389291</v>
      </c>
      <c r="AC357" s="3">
        <v>57.999999999999993</v>
      </c>
      <c r="AD357" s="37">
        <v>0</v>
      </c>
      <c r="AE357" s="37">
        <v>4.1000000000000002E-2</v>
      </c>
      <c r="AF357" s="58">
        <v>0</v>
      </c>
      <c r="AI357" s="1" t="s">
        <v>230</v>
      </c>
      <c r="AJ357" s="1" t="s">
        <v>1754</v>
      </c>
      <c r="AK357" s="749" t="s">
        <v>373</v>
      </c>
      <c r="AL357" s="749" t="s">
        <v>373</v>
      </c>
    </row>
    <row r="358" spans="1:38">
      <c r="A358" s="749" t="s">
        <v>3506</v>
      </c>
      <c r="B358" s="1">
        <v>1538</v>
      </c>
      <c r="C358" s="1">
        <v>368</v>
      </c>
      <c r="D358" s="1">
        <v>78.599999999999994</v>
      </c>
      <c r="E358" s="1">
        <v>13</v>
      </c>
      <c r="F358" s="1">
        <v>2.4</v>
      </c>
      <c r="G358" s="1" t="s">
        <v>230</v>
      </c>
      <c r="H358" s="749" t="s">
        <v>370</v>
      </c>
      <c r="I358" s="47">
        <v>10</v>
      </c>
      <c r="J358" s="33">
        <v>384.00000000000006</v>
      </c>
      <c r="K358" s="4">
        <v>71.269702276707534</v>
      </c>
      <c r="L358" s="4">
        <v>14.159369527145358</v>
      </c>
      <c r="M358" s="79">
        <v>6</v>
      </c>
      <c r="N358" s="4">
        <v>4.4395796847635731</v>
      </c>
      <c r="O358" s="60">
        <v>1.180385288966725</v>
      </c>
      <c r="P358" s="3">
        <v>21.000000000000004</v>
      </c>
      <c r="Q358" s="3">
        <v>244</v>
      </c>
      <c r="R358" s="3">
        <v>35</v>
      </c>
      <c r="S358" s="3">
        <v>58</v>
      </c>
      <c r="T358" s="3">
        <v>241.00000000000003</v>
      </c>
      <c r="U358" s="3">
        <v>4.0105078809106836</v>
      </c>
      <c r="V358" s="3">
        <v>1.9194395796847636</v>
      </c>
      <c r="W358" s="151">
        <v>-4.0000000000000002E-4</v>
      </c>
      <c r="X358" s="151">
        <v>-4.0000000000000001E-3</v>
      </c>
      <c r="Y358" s="3">
        <v>1.1330998248686515</v>
      </c>
      <c r="Z358" s="3">
        <v>0.42556917688266194</v>
      </c>
      <c r="AA358" s="3">
        <v>8.3905429071803859</v>
      </c>
      <c r="AB358" s="3">
        <v>0.21541155866900175</v>
      </c>
      <c r="AC358" s="3">
        <v>230</v>
      </c>
      <c r="AD358" s="151">
        <v>-4.0000000000000002E-4</v>
      </c>
      <c r="AE358" s="151">
        <v>-4.0000000000000001E-3</v>
      </c>
      <c r="AF358" s="151">
        <v>-4.0000000000000002E-4</v>
      </c>
      <c r="AI358" s="1" t="s">
        <v>230</v>
      </c>
      <c r="AJ358" s="1" t="s">
        <v>1754</v>
      </c>
      <c r="AK358" s="749" t="s">
        <v>370</v>
      </c>
      <c r="AL358" s="749" t="s">
        <v>370</v>
      </c>
    </row>
    <row r="359" spans="1:38">
      <c r="A359" s="1" t="s">
        <v>3250</v>
      </c>
      <c r="B359" s="1">
        <v>1313</v>
      </c>
      <c r="C359" s="1">
        <v>314</v>
      </c>
      <c r="D359" s="1">
        <v>55.8</v>
      </c>
      <c r="E359" s="1">
        <v>11.4</v>
      </c>
      <c r="F359" s="1">
        <v>6.4</v>
      </c>
      <c r="G359" s="1" t="s">
        <v>230</v>
      </c>
      <c r="H359" s="1" t="s">
        <v>1636</v>
      </c>
      <c r="J359" s="1">
        <v>375</v>
      </c>
      <c r="K359" s="1">
        <v>61</v>
      </c>
      <c r="L359" s="1">
        <v>11</v>
      </c>
      <c r="M359" s="4">
        <v>9.3000000000000007</v>
      </c>
      <c r="N359" s="1">
        <v>7.7</v>
      </c>
      <c r="O359" s="4">
        <v>1.2</v>
      </c>
      <c r="P359" s="4">
        <v>75</v>
      </c>
      <c r="Q359" s="151">
        <v>-4.0000000000000001E-3</v>
      </c>
      <c r="R359" s="151">
        <v>-4.0000000000000001E-3</v>
      </c>
      <c r="S359" s="151">
        <v>-4.0000000000000001E-3</v>
      </c>
      <c r="T359" s="4">
        <v>270</v>
      </c>
      <c r="U359" s="151">
        <v>-4.0000000000000001E-3</v>
      </c>
      <c r="V359" s="151">
        <v>-4.0000000000000001E-3</v>
      </c>
      <c r="W359" s="4">
        <v>0.4</v>
      </c>
      <c r="X359" s="151">
        <v>-4.0000000000000001E-3</v>
      </c>
      <c r="Y359" s="4">
        <v>0.4</v>
      </c>
      <c r="Z359" s="151">
        <v>-4.0000000000000001E-3</v>
      </c>
      <c r="AA359" s="151">
        <v>-4.0000000000000001E-3</v>
      </c>
      <c r="AB359" s="151">
        <v>-4.0000000000000001E-3</v>
      </c>
      <c r="AC359" s="151">
        <v>-4.0000000000000001E-3</v>
      </c>
      <c r="AD359" s="151">
        <v>-4.0000000000000002E-4</v>
      </c>
      <c r="AE359" s="151">
        <v>-4.0000000000000001E-3</v>
      </c>
      <c r="AF359" s="151">
        <v>-4.0000000000000002E-4</v>
      </c>
      <c r="AI359" s="1" t="s">
        <v>230</v>
      </c>
      <c r="AJ359" s="1" t="s">
        <v>1754</v>
      </c>
      <c r="AK359" s="1" t="s">
        <v>1636</v>
      </c>
      <c r="AL359" s="749" t="s">
        <v>1925</v>
      </c>
    </row>
    <row r="360" spans="1:38">
      <c r="A360" s="82" t="s">
        <v>3251</v>
      </c>
      <c r="B360" s="82"/>
      <c r="C360" s="82"/>
      <c r="D360" s="82"/>
      <c r="E360" s="82"/>
      <c r="F360" s="82"/>
      <c r="G360" s="82" t="s">
        <v>230</v>
      </c>
      <c r="H360" s="398" t="s">
        <v>1609</v>
      </c>
      <c r="J360" s="82">
        <v>389</v>
      </c>
      <c r="K360" s="82">
        <v>66</v>
      </c>
      <c r="L360" s="82">
        <v>16.899999999999999</v>
      </c>
      <c r="M360" s="4">
        <v>10.6</v>
      </c>
      <c r="N360" s="82">
        <v>6.9</v>
      </c>
      <c r="O360" s="4">
        <v>1.2</v>
      </c>
      <c r="P360" s="4">
        <v>2</v>
      </c>
      <c r="Q360" s="4">
        <v>429</v>
      </c>
      <c r="R360" s="4">
        <v>54</v>
      </c>
      <c r="S360" s="4">
        <v>177</v>
      </c>
      <c r="T360" s="4">
        <v>523</v>
      </c>
      <c r="U360" s="4">
        <v>4.7</v>
      </c>
      <c r="V360" s="4">
        <v>4</v>
      </c>
      <c r="W360" s="4">
        <v>0.63</v>
      </c>
      <c r="X360" s="4">
        <v>0</v>
      </c>
      <c r="Y360" s="4">
        <v>0.76</v>
      </c>
      <c r="Z360" s="4">
        <v>0.14000000000000001</v>
      </c>
      <c r="AA360" s="4">
        <v>0.96</v>
      </c>
      <c r="AB360" s="4">
        <v>0.12</v>
      </c>
      <c r="AC360" s="4">
        <v>56</v>
      </c>
      <c r="AD360" s="4">
        <v>0</v>
      </c>
      <c r="AE360" s="4">
        <v>0</v>
      </c>
      <c r="AF360" s="4">
        <v>0</v>
      </c>
      <c r="AI360" s="82" t="s">
        <v>230</v>
      </c>
      <c r="AJ360" s="1" t="s">
        <v>1754</v>
      </c>
      <c r="AK360" s="398" t="s">
        <v>1609</v>
      </c>
      <c r="AL360" s="749" t="s">
        <v>1926</v>
      </c>
    </row>
    <row r="361" spans="1:38">
      <c r="A361" s="1" t="s">
        <v>3270</v>
      </c>
      <c r="B361" s="1">
        <v>1463</v>
      </c>
      <c r="C361" s="15">
        <v>349.4</v>
      </c>
      <c r="D361" s="1">
        <v>79</v>
      </c>
      <c r="E361" s="1">
        <v>7</v>
      </c>
      <c r="F361" s="1">
        <v>2</v>
      </c>
      <c r="G361" s="1" t="s">
        <v>230</v>
      </c>
      <c r="H361" s="27" t="s">
        <v>372</v>
      </c>
      <c r="I361" s="27">
        <v>10</v>
      </c>
      <c r="J361" s="28">
        <v>183</v>
      </c>
      <c r="K361" s="29">
        <v>40.799999999999997</v>
      </c>
      <c r="L361" s="29">
        <v>4.4000000000000004</v>
      </c>
      <c r="M361" s="29">
        <v>1.3</v>
      </c>
      <c r="N361" s="29">
        <v>1.4000000000000001</v>
      </c>
      <c r="O361" s="59">
        <v>0.17</v>
      </c>
      <c r="P361" s="30">
        <v>1</v>
      </c>
      <c r="Q361" s="31">
        <v>65</v>
      </c>
      <c r="R361" s="31">
        <v>3</v>
      </c>
      <c r="S361" s="135">
        <v>-4.0000000000000001E-3</v>
      </c>
      <c r="T361" s="31">
        <v>50</v>
      </c>
      <c r="U361" s="31">
        <v>0.9</v>
      </c>
      <c r="V361" s="31">
        <v>0.5</v>
      </c>
      <c r="W361" s="151">
        <v>-4.0000000000000002E-4</v>
      </c>
      <c r="X361" s="30">
        <v>34</v>
      </c>
      <c r="Y361" s="31">
        <v>0.18000000000000002</v>
      </c>
      <c r="Z361" s="31">
        <v>4.9999999999999996E-2</v>
      </c>
      <c r="AA361" s="31">
        <v>1</v>
      </c>
      <c r="AB361" s="151">
        <v>-4.0000000000000001E-3</v>
      </c>
      <c r="AC361" s="31">
        <v>5</v>
      </c>
      <c r="AD361" s="151">
        <v>-4.0000000000000002E-4</v>
      </c>
      <c r="AE361" s="151">
        <v>-4.0000000000000001E-3</v>
      </c>
      <c r="AF361" s="151">
        <v>-4.0000000000000002E-4</v>
      </c>
      <c r="AI361" s="1" t="s">
        <v>230</v>
      </c>
      <c r="AJ361" s="1" t="s">
        <v>1754</v>
      </c>
      <c r="AK361" s="27" t="s">
        <v>372</v>
      </c>
      <c r="AL361" s="749" t="s">
        <v>372</v>
      </c>
    </row>
    <row r="362" spans="1:38">
      <c r="A362" s="1" t="s">
        <v>2256</v>
      </c>
      <c r="B362" s="1">
        <v>1240</v>
      </c>
      <c r="C362" s="15">
        <v>296</v>
      </c>
      <c r="D362" s="1">
        <v>29</v>
      </c>
      <c r="E362" s="1">
        <v>8</v>
      </c>
      <c r="F362" s="1">
        <v>15.1</v>
      </c>
      <c r="G362" s="1" t="s">
        <v>230</v>
      </c>
      <c r="H362" s="324" t="s">
        <v>2257</v>
      </c>
      <c r="J362" s="15">
        <v>295</v>
      </c>
      <c r="K362" s="1">
        <v>34.299999999999997</v>
      </c>
      <c r="L362" s="1">
        <v>7.8</v>
      </c>
      <c r="M362" s="151">
        <v>-4.0000000000000001E-3</v>
      </c>
      <c r="N362" s="1">
        <v>14.2</v>
      </c>
      <c r="O362" s="151">
        <v>-4.0000000000000001E-3</v>
      </c>
      <c r="P362" s="151">
        <v>-4.0000000000000001E-3</v>
      </c>
      <c r="Q362" s="151">
        <v>-4.0000000000000001E-3</v>
      </c>
      <c r="R362" s="151">
        <v>-4.0000000000000001E-3</v>
      </c>
      <c r="S362" s="151">
        <v>-4.0000000000000001E-3</v>
      </c>
      <c r="T362" s="151">
        <v>-4.0000000000000001E-3</v>
      </c>
      <c r="U362" s="151">
        <v>-4.0000000000000001E-3</v>
      </c>
      <c r="V362" s="151">
        <v>-4.0000000000000001E-3</v>
      </c>
      <c r="W362" s="151">
        <v>-4.0000000000000002E-4</v>
      </c>
      <c r="X362" s="151">
        <v>-4.0000000000000001E-3</v>
      </c>
      <c r="Y362" s="151">
        <v>-4.0000000000000001E-3</v>
      </c>
      <c r="Z362" s="151">
        <v>-4.0000000000000001E-3</v>
      </c>
      <c r="AA362" s="151">
        <v>-4.0000000000000001E-3</v>
      </c>
      <c r="AB362" s="151">
        <v>-4.0000000000000001E-3</v>
      </c>
      <c r="AC362" s="151">
        <v>-4.0000000000000001E-3</v>
      </c>
      <c r="AD362" s="151">
        <v>-4.0000000000000002E-4</v>
      </c>
      <c r="AE362" s="151">
        <v>-4.0000000000000001E-3</v>
      </c>
      <c r="AF362" s="151">
        <v>-4.0000000000000002E-4</v>
      </c>
      <c r="AI362" s="1" t="s">
        <v>230</v>
      </c>
      <c r="AJ362" s="1" t="s">
        <v>1754</v>
      </c>
      <c r="AK362" s="1" t="s">
        <v>160</v>
      </c>
      <c r="AL362" s="749" t="s">
        <v>1927</v>
      </c>
    </row>
    <row r="363" spans="1:38">
      <c r="A363" s="749" t="s">
        <v>3385</v>
      </c>
      <c r="B363" s="1">
        <v>1240</v>
      </c>
      <c r="C363" s="15">
        <v>296</v>
      </c>
      <c r="D363" s="1">
        <v>29</v>
      </c>
      <c r="E363" s="1">
        <v>8</v>
      </c>
      <c r="F363" s="1">
        <v>15.1</v>
      </c>
      <c r="G363" s="1" t="s">
        <v>230</v>
      </c>
      <c r="H363" s="18" t="s">
        <v>2738</v>
      </c>
      <c r="J363" s="15">
        <v>296</v>
      </c>
      <c r="K363" s="1">
        <v>29</v>
      </c>
      <c r="L363" s="1">
        <v>8</v>
      </c>
      <c r="M363" s="151">
        <v>-4.0000000000000001E-3</v>
      </c>
      <c r="N363" s="1">
        <v>15.1</v>
      </c>
      <c r="O363" s="151">
        <v>-4.0000000000000001E-3</v>
      </c>
      <c r="P363" s="151">
        <v>-4.0000000000000001E-3</v>
      </c>
      <c r="Q363" s="151">
        <v>-4.0000000000000001E-3</v>
      </c>
      <c r="R363" s="151">
        <v>-4.0000000000000001E-3</v>
      </c>
      <c r="S363" s="151">
        <v>-4.0000000000000001E-3</v>
      </c>
      <c r="T363" s="151">
        <v>-4.0000000000000001E-3</v>
      </c>
      <c r="U363" s="151">
        <v>-4.0000000000000001E-3</v>
      </c>
      <c r="V363" s="151">
        <v>-4.0000000000000001E-3</v>
      </c>
      <c r="W363" s="151">
        <v>-4.0000000000000002E-4</v>
      </c>
      <c r="X363" s="151">
        <v>-4.0000000000000001E-3</v>
      </c>
      <c r="Y363" s="151">
        <v>-4.0000000000000001E-3</v>
      </c>
      <c r="Z363" s="151">
        <v>-4.0000000000000001E-3</v>
      </c>
      <c r="AA363" s="151">
        <v>-4.0000000000000001E-3</v>
      </c>
      <c r="AB363" s="151">
        <v>-4.0000000000000001E-3</v>
      </c>
      <c r="AC363" s="151">
        <v>-4.0000000000000001E-3</v>
      </c>
      <c r="AD363" s="151">
        <v>-4.0000000000000002E-4</v>
      </c>
      <c r="AE363" s="151">
        <v>-4.0000000000000001E-3</v>
      </c>
      <c r="AF363" s="151">
        <v>-4.0000000000000002E-4</v>
      </c>
      <c r="AI363" s="1" t="s">
        <v>230</v>
      </c>
      <c r="AJ363" s="1" t="s">
        <v>1754</v>
      </c>
      <c r="AK363" s="1" t="s">
        <v>160</v>
      </c>
      <c r="AL363" s="749" t="s">
        <v>1927</v>
      </c>
    </row>
    <row r="364" spans="1:38">
      <c r="A364" s="749" t="s">
        <v>3386</v>
      </c>
      <c r="B364" s="1">
        <v>1240</v>
      </c>
      <c r="C364" s="15">
        <v>296</v>
      </c>
      <c r="D364" s="1">
        <v>29</v>
      </c>
      <c r="E364" s="1">
        <v>8</v>
      </c>
      <c r="F364" s="1">
        <v>15.1</v>
      </c>
      <c r="G364" s="1" t="s">
        <v>230</v>
      </c>
      <c r="H364" s="1" t="s">
        <v>160</v>
      </c>
      <c r="J364" s="15">
        <v>296</v>
      </c>
      <c r="K364" s="1">
        <v>29</v>
      </c>
      <c r="L364" s="1">
        <v>8</v>
      </c>
      <c r="M364" s="151">
        <v>-4.0000000000000001E-3</v>
      </c>
      <c r="N364" s="1">
        <v>15.1</v>
      </c>
      <c r="O364" s="151">
        <v>-4.0000000000000001E-3</v>
      </c>
      <c r="P364" s="151">
        <v>-4.0000000000000001E-3</v>
      </c>
      <c r="Q364" s="151">
        <v>-4.0000000000000001E-3</v>
      </c>
      <c r="R364" s="151">
        <v>-4.0000000000000001E-3</v>
      </c>
      <c r="S364" s="151">
        <v>-4.0000000000000001E-3</v>
      </c>
      <c r="T364" s="151">
        <v>-4.0000000000000001E-3</v>
      </c>
      <c r="U364" s="151">
        <v>-4.0000000000000001E-3</v>
      </c>
      <c r="V364" s="151">
        <v>-4.0000000000000001E-3</v>
      </c>
      <c r="W364" s="151">
        <v>-4.0000000000000002E-4</v>
      </c>
      <c r="X364" s="151">
        <v>-4.0000000000000001E-3</v>
      </c>
      <c r="Y364" s="151">
        <v>-4.0000000000000001E-3</v>
      </c>
      <c r="Z364" s="151">
        <v>-4.0000000000000001E-3</v>
      </c>
      <c r="AA364" s="151">
        <v>-4.0000000000000001E-3</v>
      </c>
      <c r="AB364" s="151">
        <v>-4.0000000000000001E-3</v>
      </c>
      <c r="AC364" s="151">
        <v>-4.0000000000000001E-3</v>
      </c>
      <c r="AD364" s="151">
        <v>-4.0000000000000002E-4</v>
      </c>
      <c r="AE364" s="151">
        <v>-4.0000000000000001E-3</v>
      </c>
      <c r="AF364" s="151">
        <v>-4.0000000000000002E-4</v>
      </c>
      <c r="AI364" s="1" t="s">
        <v>230</v>
      </c>
      <c r="AJ364" s="1" t="s">
        <v>1754</v>
      </c>
      <c r="AK364" s="1" t="s">
        <v>160</v>
      </c>
      <c r="AL364" s="749" t="s">
        <v>1927</v>
      </c>
    </row>
    <row r="365" spans="1:38">
      <c r="A365" s="749" t="s">
        <v>3374</v>
      </c>
      <c r="B365" s="1">
        <v>1070</v>
      </c>
      <c r="C365" s="1">
        <v>256</v>
      </c>
      <c r="D365" s="1">
        <v>47</v>
      </c>
      <c r="E365" s="1">
        <v>8</v>
      </c>
      <c r="F365" s="1">
        <v>4</v>
      </c>
      <c r="G365" s="1" t="s">
        <v>230</v>
      </c>
      <c r="H365" s="1" t="s">
        <v>243</v>
      </c>
      <c r="J365" s="1">
        <v>256</v>
      </c>
      <c r="K365" s="1">
        <v>47</v>
      </c>
      <c r="L365" s="1">
        <v>8</v>
      </c>
      <c r="M365" s="151">
        <v>-4.0000000000000001E-3</v>
      </c>
      <c r="N365" s="1">
        <v>4</v>
      </c>
      <c r="O365" s="151">
        <v>-4.0000000000000001E-3</v>
      </c>
      <c r="P365" s="151">
        <v>-4.0000000000000001E-3</v>
      </c>
      <c r="Q365" s="151">
        <v>-4.0000000000000001E-3</v>
      </c>
      <c r="R365" s="151">
        <v>-4.0000000000000001E-3</v>
      </c>
      <c r="S365" s="151">
        <v>-4.0000000000000001E-3</v>
      </c>
      <c r="T365" s="151">
        <v>-4.0000000000000001E-3</v>
      </c>
      <c r="U365" s="151">
        <v>-4.0000000000000001E-3</v>
      </c>
      <c r="V365" s="151">
        <v>-4.0000000000000001E-3</v>
      </c>
      <c r="W365" s="151">
        <v>-4.0000000000000002E-4</v>
      </c>
      <c r="X365" s="151">
        <v>-4.0000000000000001E-3</v>
      </c>
      <c r="Y365" s="151">
        <v>-4.0000000000000001E-3</v>
      </c>
      <c r="Z365" s="151">
        <v>-4.0000000000000001E-3</v>
      </c>
      <c r="AA365" s="151">
        <v>-4.0000000000000001E-3</v>
      </c>
      <c r="AB365" s="151">
        <v>-4.0000000000000001E-3</v>
      </c>
      <c r="AC365" s="151">
        <v>-4.0000000000000001E-3</v>
      </c>
      <c r="AD365" s="151">
        <v>-4.0000000000000002E-4</v>
      </c>
      <c r="AE365" s="151">
        <v>-4.0000000000000001E-3</v>
      </c>
      <c r="AF365" s="151">
        <v>-4.0000000000000002E-4</v>
      </c>
      <c r="AI365" s="1" t="s">
        <v>230</v>
      </c>
      <c r="AJ365" s="1" t="s">
        <v>1754</v>
      </c>
      <c r="AK365" s="1" t="s">
        <v>243</v>
      </c>
      <c r="AL365" s="749" t="s">
        <v>1928</v>
      </c>
    </row>
    <row r="366" spans="1:38">
      <c r="A366" s="749" t="s">
        <v>3375</v>
      </c>
      <c r="B366" s="1">
        <v>2068</v>
      </c>
      <c r="C366" s="1">
        <v>494</v>
      </c>
      <c r="D366" s="1">
        <v>53.2</v>
      </c>
      <c r="E366" s="15">
        <v>10</v>
      </c>
      <c r="F366" s="15">
        <v>23.5</v>
      </c>
      <c r="G366" s="1" t="s">
        <v>230</v>
      </c>
      <c r="H366" s="1" t="s">
        <v>244</v>
      </c>
      <c r="J366" s="1">
        <v>494</v>
      </c>
      <c r="K366" s="1">
        <v>53.2</v>
      </c>
      <c r="L366" s="15">
        <v>10</v>
      </c>
      <c r="M366" s="151">
        <v>-4.0000000000000001E-3</v>
      </c>
      <c r="N366" s="15">
        <v>23.5</v>
      </c>
      <c r="O366" s="151">
        <v>-4.0000000000000001E-3</v>
      </c>
      <c r="P366" s="151">
        <v>-4.0000000000000001E-3</v>
      </c>
      <c r="Q366" s="151">
        <v>-4.0000000000000001E-3</v>
      </c>
      <c r="R366" s="151">
        <v>-4.0000000000000001E-3</v>
      </c>
      <c r="S366" s="151">
        <v>-4.0000000000000001E-3</v>
      </c>
      <c r="T366" s="151">
        <v>-4.0000000000000001E-3</v>
      </c>
      <c r="U366" s="151">
        <v>-4.0000000000000001E-3</v>
      </c>
      <c r="V366" s="151">
        <v>-4.0000000000000001E-3</v>
      </c>
      <c r="W366" s="151">
        <v>-4.0000000000000002E-4</v>
      </c>
      <c r="X366" s="151">
        <v>-4.0000000000000001E-3</v>
      </c>
      <c r="Y366" s="151">
        <v>-4.0000000000000001E-3</v>
      </c>
      <c r="Z366" s="151">
        <v>-4.0000000000000001E-3</v>
      </c>
      <c r="AA366" s="151">
        <v>-4.0000000000000001E-3</v>
      </c>
      <c r="AB366" s="151">
        <v>-4.0000000000000001E-3</v>
      </c>
      <c r="AC366" s="151">
        <v>-4.0000000000000001E-3</v>
      </c>
      <c r="AD366" s="151">
        <v>-4.0000000000000002E-4</v>
      </c>
      <c r="AE366" s="151">
        <v>-4.0000000000000001E-3</v>
      </c>
      <c r="AF366" s="151">
        <v>-4.0000000000000002E-4</v>
      </c>
      <c r="AI366" s="1" t="s">
        <v>230</v>
      </c>
      <c r="AJ366" s="1" t="s">
        <v>1754</v>
      </c>
      <c r="AK366" s="1" t="s">
        <v>244</v>
      </c>
      <c r="AL366" s="749" t="s">
        <v>1953</v>
      </c>
    </row>
    <row r="367" spans="1:38">
      <c r="A367" s="1233" t="s">
        <v>3252</v>
      </c>
      <c r="B367" s="1">
        <v>1506</v>
      </c>
      <c r="C367" s="1">
        <v>360</v>
      </c>
      <c r="D367" s="1">
        <v>79.34</v>
      </c>
      <c r="E367" s="1">
        <v>6.61</v>
      </c>
      <c r="F367" s="1">
        <v>0.57999999999999996</v>
      </c>
      <c r="G367" s="1" t="s">
        <v>230</v>
      </c>
      <c r="H367" s="749" t="s">
        <v>374</v>
      </c>
      <c r="I367" s="749">
        <v>22</v>
      </c>
      <c r="J367" s="33">
        <v>364.24450000000002</v>
      </c>
      <c r="K367" s="4">
        <v>79</v>
      </c>
      <c r="L367" s="4">
        <v>8.4</v>
      </c>
      <c r="M367" s="79">
        <v>1.7</v>
      </c>
      <c r="N367" s="4">
        <v>1.2</v>
      </c>
      <c r="O367" s="60">
        <v>0.3</v>
      </c>
      <c r="P367" s="35">
        <v>1.8</v>
      </c>
      <c r="Q367" s="3">
        <v>150</v>
      </c>
      <c r="R367" s="3">
        <v>53</v>
      </c>
      <c r="S367" s="3">
        <v>35</v>
      </c>
      <c r="T367" s="3">
        <v>130</v>
      </c>
      <c r="U367" s="3">
        <v>1.2</v>
      </c>
      <c r="V367" s="3">
        <v>1.7</v>
      </c>
      <c r="W367" s="1234">
        <v>0.17100000000000001</v>
      </c>
      <c r="X367" s="1234">
        <v>0</v>
      </c>
      <c r="Y367" s="3">
        <v>7.0000000000000007E-2</v>
      </c>
      <c r="Z367" s="3">
        <v>0.04</v>
      </c>
      <c r="AA367" s="3">
        <v>2</v>
      </c>
      <c r="AB367" s="3">
        <v>0.10900000000000001</v>
      </c>
      <c r="AC367" s="3">
        <v>31</v>
      </c>
      <c r="AD367" s="37">
        <v>0</v>
      </c>
      <c r="AE367" s="37">
        <v>0</v>
      </c>
      <c r="AF367" s="58">
        <v>0</v>
      </c>
      <c r="AI367" s="1" t="s">
        <v>230</v>
      </c>
      <c r="AJ367" s="1" t="s">
        <v>1754</v>
      </c>
      <c r="AK367" s="749" t="s">
        <v>374</v>
      </c>
      <c r="AL367" s="749" t="s">
        <v>374</v>
      </c>
    </row>
    <row r="368" spans="1:38">
      <c r="A368" s="1" t="s">
        <v>3494</v>
      </c>
      <c r="B368" s="1">
        <v>544</v>
      </c>
      <c r="C368" s="1">
        <v>130</v>
      </c>
      <c r="D368" s="1">
        <v>28.59</v>
      </c>
      <c r="E368" s="1">
        <v>2.38</v>
      </c>
      <c r="F368" s="1">
        <v>0.21</v>
      </c>
      <c r="G368" s="1" t="s">
        <v>230</v>
      </c>
      <c r="H368" s="71" t="s">
        <v>375</v>
      </c>
      <c r="I368" s="38">
        <v>10</v>
      </c>
      <c r="J368" s="40">
        <v>151.00000000000003</v>
      </c>
      <c r="K368" s="40">
        <v>31.1</v>
      </c>
      <c r="L368" s="40">
        <v>2.9099071207430343</v>
      </c>
      <c r="M368" s="40">
        <v>0.82012383900928809</v>
      </c>
      <c r="N368" s="40">
        <v>1.4399380804953561</v>
      </c>
      <c r="O368" s="72">
        <v>0.56006191950464401</v>
      </c>
      <c r="P368" s="42">
        <v>38.6</v>
      </c>
      <c r="Q368" s="42">
        <v>41.699999999999996</v>
      </c>
      <c r="R368" s="42">
        <v>11.100000000000001</v>
      </c>
      <c r="S368" s="42">
        <v>10</v>
      </c>
      <c r="T368" s="42">
        <v>35</v>
      </c>
      <c r="U368" s="42">
        <v>0.10000000000000002</v>
      </c>
      <c r="V368" s="42">
        <v>0.10000000000000002</v>
      </c>
      <c r="W368" s="73">
        <v>0.10000000000000002</v>
      </c>
      <c r="X368" s="37">
        <v>0</v>
      </c>
      <c r="Y368" s="42">
        <v>6.9969040247678013E-2</v>
      </c>
      <c r="Z368" s="42">
        <v>1.888544891640867E-2</v>
      </c>
      <c r="AA368" s="37">
        <v>0.13397999999999999</v>
      </c>
      <c r="AB368" s="42">
        <v>5.0154798761609908E-2</v>
      </c>
      <c r="AC368" s="42">
        <v>3</v>
      </c>
      <c r="AD368" s="37">
        <v>0</v>
      </c>
      <c r="AE368" s="37">
        <v>0</v>
      </c>
      <c r="AF368" s="68">
        <v>0</v>
      </c>
      <c r="AI368" s="1" t="s">
        <v>230</v>
      </c>
      <c r="AJ368" s="1" t="s">
        <v>1754</v>
      </c>
      <c r="AK368" s="71" t="s">
        <v>375</v>
      </c>
      <c r="AL368" s="749" t="s">
        <v>375</v>
      </c>
    </row>
    <row r="369" spans="1:38">
      <c r="A369" s="1" t="s">
        <v>3495</v>
      </c>
      <c r="B369" s="1">
        <v>469</v>
      </c>
      <c r="C369" s="1">
        <v>112</v>
      </c>
      <c r="D369" s="1">
        <v>23.51</v>
      </c>
      <c r="E369" s="1">
        <v>2.3199999999999998</v>
      </c>
      <c r="F369" s="1">
        <v>0.83</v>
      </c>
      <c r="G369" s="1" t="s">
        <v>230</v>
      </c>
      <c r="H369" s="1" t="s">
        <v>162</v>
      </c>
      <c r="J369" s="1">
        <v>112</v>
      </c>
      <c r="K369" s="1">
        <v>23.51</v>
      </c>
      <c r="L369" s="1">
        <v>2.3199999999999998</v>
      </c>
      <c r="M369" s="151">
        <v>-4.0000000000000001E-3</v>
      </c>
      <c r="N369" s="1">
        <v>0.83</v>
      </c>
      <c r="O369" s="151">
        <v>-4.0000000000000001E-3</v>
      </c>
      <c r="P369" s="151">
        <v>-4.0000000000000001E-3</v>
      </c>
      <c r="Q369" s="151">
        <v>-4.0000000000000001E-3</v>
      </c>
      <c r="R369" s="151">
        <v>-4.0000000000000001E-3</v>
      </c>
      <c r="S369" s="151">
        <v>-4.0000000000000001E-3</v>
      </c>
      <c r="T369" s="151">
        <v>-4.0000000000000001E-3</v>
      </c>
      <c r="U369" s="151">
        <v>-4.0000000000000001E-3</v>
      </c>
      <c r="V369" s="151">
        <v>-4.0000000000000001E-3</v>
      </c>
      <c r="W369" s="151">
        <v>-4.0000000000000002E-4</v>
      </c>
      <c r="X369" s="151">
        <v>-4.0000000000000001E-3</v>
      </c>
      <c r="Y369" s="151">
        <v>-4.0000000000000001E-3</v>
      </c>
      <c r="Z369" s="151">
        <v>-4.0000000000000001E-3</v>
      </c>
      <c r="AA369" s="151">
        <v>-4.0000000000000001E-3</v>
      </c>
      <c r="AB369" s="151">
        <v>-4.0000000000000001E-3</v>
      </c>
      <c r="AC369" s="151">
        <v>-4.0000000000000001E-3</v>
      </c>
      <c r="AD369" s="151">
        <v>-4.0000000000000002E-4</v>
      </c>
      <c r="AE369" s="151">
        <v>-4.0000000000000001E-3</v>
      </c>
      <c r="AF369" s="151">
        <v>-4.0000000000000002E-4</v>
      </c>
      <c r="AI369" s="1" t="s">
        <v>230</v>
      </c>
      <c r="AJ369" s="1" t="s">
        <v>1754</v>
      </c>
      <c r="AK369" s="1" t="s">
        <v>162</v>
      </c>
      <c r="AL369" s="749" t="s">
        <v>1929</v>
      </c>
    </row>
    <row r="370" spans="1:38">
      <c r="A370" s="1" t="s">
        <v>3253</v>
      </c>
      <c r="B370" s="1">
        <v>1515</v>
      </c>
      <c r="C370" s="1">
        <v>362</v>
      </c>
      <c r="D370" s="1">
        <v>76.17</v>
      </c>
      <c r="E370" s="1">
        <v>7.5</v>
      </c>
      <c r="F370" s="1">
        <v>2.68</v>
      </c>
      <c r="G370" s="1" t="s">
        <v>230</v>
      </c>
      <c r="H370" s="1" t="s">
        <v>163</v>
      </c>
      <c r="J370" s="1">
        <v>362</v>
      </c>
      <c r="K370" s="1">
        <v>76.17</v>
      </c>
      <c r="L370" s="1">
        <v>7.5</v>
      </c>
      <c r="M370" s="151">
        <v>-4.0000000000000001E-3</v>
      </c>
      <c r="N370" s="1">
        <v>2.68</v>
      </c>
      <c r="O370" s="151">
        <v>-4.0000000000000001E-3</v>
      </c>
      <c r="P370" s="151">
        <v>-4.0000000000000001E-3</v>
      </c>
      <c r="Q370" s="151">
        <v>-4.0000000000000001E-3</v>
      </c>
      <c r="R370" s="151">
        <v>-4.0000000000000001E-3</v>
      </c>
      <c r="S370" s="151">
        <v>-4.0000000000000001E-3</v>
      </c>
      <c r="T370" s="151">
        <v>-4.0000000000000001E-3</v>
      </c>
      <c r="U370" s="151">
        <v>-4.0000000000000001E-3</v>
      </c>
      <c r="V370" s="151">
        <v>-4.0000000000000001E-3</v>
      </c>
      <c r="W370" s="151">
        <v>-4.0000000000000002E-4</v>
      </c>
      <c r="X370" s="151">
        <v>-4.0000000000000001E-3</v>
      </c>
      <c r="Y370" s="151">
        <v>-4.0000000000000001E-3</v>
      </c>
      <c r="Z370" s="151">
        <v>-4.0000000000000001E-3</v>
      </c>
      <c r="AA370" s="151">
        <v>-4.0000000000000001E-3</v>
      </c>
      <c r="AB370" s="151">
        <v>-4.0000000000000001E-3</v>
      </c>
      <c r="AC370" s="151">
        <v>-4.0000000000000001E-3</v>
      </c>
      <c r="AD370" s="151">
        <v>-4.0000000000000002E-4</v>
      </c>
      <c r="AE370" s="151">
        <v>-4.0000000000000001E-3</v>
      </c>
      <c r="AF370" s="151">
        <v>-4.0000000000000002E-4</v>
      </c>
      <c r="AI370" s="1" t="s">
        <v>230</v>
      </c>
      <c r="AJ370" s="1" t="s">
        <v>1754</v>
      </c>
      <c r="AK370" s="1" t="s">
        <v>163</v>
      </c>
      <c r="AL370" s="749" t="s">
        <v>1930</v>
      </c>
    </row>
    <row r="371" spans="1:38">
      <c r="A371" s="749" t="s">
        <v>3262</v>
      </c>
      <c r="B371" s="17">
        <v>1180</v>
      </c>
      <c r="C371" s="1">
        <v>282</v>
      </c>
      <c r="D371" s="1">
        <v>35.299999999999997</v>
      </c>
      <c r="E371" s="1">
        <v>5.9</v>
      </c>
      <c r="F371" s="1">
        <v>13.3</v>
      </c>
      <c r="G371" s="1" t="s">
        <v>230</v>
      </c>
      <c r="H371" s="324" t="s">
        <v>2745</v>
      </c>
      <c r="J371" s="1">
        <v>266</v>
      </c>
      <c r="K371" s="1">
        <v>50</v>
      </c>
      <c r="L371" s="1">
        <v>8.6999999999999993</v>
      </c>
      <c r="M371" s="4">
        <v>3.2</v>
      </c>
      <c r="N371" s="1">
        <v>3.9</v>
      </c>
      <c r="O371" s="4">
        <v>0.9</v>
      </c>
      <c r="P371" s="4">
        <v>390</v>
      </c>
      <c r="Q371" s="4">
        <v>203</v>
      </c>
      <c r="R371" s="4">
        <v>39</v>
      </c>
      <c r="S371" s="151">
        <v>-4.0000000000000001E-3</v>
      </c>
      <c r="T371" s="151">
        <v>-4.0000000000000001E-3</v>
      </c>
      <c r="U371" s="4">
        <v>2.9</v>
      </c>
      <c r="V371" s="151">
        <v>-4.0000000000000001E-3</v>
      </c>
      <c r="W371" s="151">
        <v>-4.0000000000000002E-4</v>
      </c>
      <c r="X371" s="4">
        <v>9.6</v>
      </c>
      <c r="Y371" s="151">
        <v>-4.0000000000000001E-3</v>
      </c>
      <c r="Z371" s="151">
        <v>-4.0000000000000001E-3</v>
      </c>
      <c r="AA371" s="151">
        <v>-4.0000000000000001E-3</v>
      </c>
      <c r="AB371" s="151">
        <v>-4.0000000000000001E-3</v>
      </c>
      <c r="AC371" s="151">
        <v>-4.0000000000000001E-3</v>
      </c>
      <c r="AD371" s="151">
        <v>-4.0000000000000002E-4</v>
      </c>
      <c r="AE371" s="4">
        <v>0</v>
      </c>
      <c r="AF371" s="151">
        <v>-4.0000000000000002E-4</v>
      </c>
      <c r="AI371" s="1" t="s">
        <v>230</v>
      </c>
      <c r="AJ371" s="1" t="s">
        <v>1754</v>
      </c>
      <c r="AK371" s="1" t="s">
        <v>164</v>
      </c>
      <c r="AL371" s="749" t="s">
        <v>1931</v>
      </c>
    </row>
    <row r="372" spans="1:38">
      <c r="A372" s="749" t="s">
        <v>1992</v>
      </c>
      <c r="B372" s="1">
        <v>1117</v>
      </c>
      <c r="C372" s="1">
        <v>267</v>
      </c>
      <c r="D372" s="1">
        <v>32.380000000000003</v>
      </c>
      <c r="E372" s="1">
        <v>12.06</v>
      </c>
      <c r="F372" s="1">
        <v>9.68</v>
      </c>
      <c r="G372" s="1" t="s">
        <v>230</v>
      </c>
      <c r="H372" s="1" t="s">
        <v>209</v>
      </c>
      <c r="J372" s="1">
        <v>267</v>
      </c>
      <c r="K372" s="1">
        <v>32.380000000000003</v>
      </c>
      <c r="L372" s="1">
        <v>12.06</v>
      </c>
      <c r="M372" s="151">
        <v>-4.0000000000000001E-3</v>
      </c>
      <c r="N372" s="1">
        <v>9.68</v>
      </c>
      <c r="O372" s="151">
        <v>-4.0000000000000001E-3</v>
      </c>
      <c r="P372" s="151">
        <v>-4.0000000000000001E-3</v>
      </c>
      <c r="Q372" s="151">
        <v>-4.0000000000000001E-3</v>
      </c>
      <c r="R372" s="151">
        <v>-4.0000000000000001E-3</v>
      </c>
      <c r="S372" s="151">
        <v>-4.0000000000000001E-3</v>
      </c>
      <c r="T372" s="151">
        <v>-4.0000000000000001E-3</v>
      </c>
      <c r="U372" s="151">
        <v>-4.0000000000000001E-3</v>
      </c>
      <c r="V372" s="151">
        <v>-4.0000000000000001E-3</v>
      </c>
      <c r="W372" s="151">
        <v>-4.0000000000000002E-4</v>
      </c>
      <c r="X372" s="151">
        <v>-4.0000000000000001E-3</v>
      </c>
      <c r="Y372" s="151">
        <v>-4.0000000000000001E-3</v>
      </c>
      <c r="Z372" s="151">
        <v>-4.0000000000000001E-3</v>
      </c>
      <c r="AA372" s="151">
        <v>-4.0000000000000001E-3</v>
      </c>
      <c r="AB372" s="151">
        <v>-4.0000000000000001E-3</v>
      </c>
      <c r="AC372" s="151">
        <v>-4.0000000000000001E-3</v>
      </c>
      <c r="AD372" s="151">
        <v>-4.0000000000000002E-4</v>
      </c>
      <c r="AE372" s="151">
        <v>-4.0000000000000001E-3</v>
      </c>
      <c r="AF372" s="151">
        <v>-4.0000000000000002E-4</v>
      </c>
      <c r="AI372" s="1" t="s">
        <v>234</v>
      </c>
      <c r="AJ372" s="1" t="s">
        <v>1758</v>
      </c>
      <c r="AK372" s="1" t="s">
        <v>209</v>
      </c>
      <c r="AL372" s="749" t="s">
        <v>1992</v>
      </c>
    </row>
    <row r="373" spans="1:38">
      <c r="A373" s="1" t="s">
        <v>1931</v>
      </c>
      <c r="B373" s="17">
        <v>1180</v>
      </c>
      <c r="C373" s="1">
        <v>282</v>
      </c>
      <c r="D373" s="1">
        <v>35.299999999999997</v>
      </c>
      <c r="E373" s="1">
        <v>5.9</v>
      </c>
      <c r="F373" s="1">
        <v>13.3</v>
      </c>
      <c r="G373" s="1" t="s">
        <v>230</v>
      </c>
      <c r="H373" s="1" t="s">
        <v>164</v>
      </c>
      <c r="J373" s="1">
        <v>282</v>
      </c>
      <c r="K373" s="1">
        <v>35.299999999999997</v>
      </c>
      <c r="L373" s="1">
        <v>5.9</v>
      </c>
      <c r="M373" s="151">
        <v>-4.0000000000000001E-3</v>
      </c>
      <c r="N373" s="1">
        <v>13.3</v>
      </c>
      <c r="O373" s="151">
        <v>-4.0000000000000001E-3</v>
      </c>
      <c r="P373" s="151">
        <v>-4.0000000000000001E-3</v>
      </c>
      <c r="Q373" s="151">
        <v>-4.0000000000000001E-3</v>
      </c>
      <c r="R373" s="151">
        <v>-4.0000000000000001E-3</v>
      </c>
      <c r="S373" s="151">
        <v>-4.0000000000000001E-3</v>
      </c>
      <c r="T373" s="151">
        <v>-4.0000000000000001E-3</v>
      </c>
      <c r="U373" s="151">
        <v>-4.0000000000000001E-3</v>
      </c>
      <c r="V373" s="151">
        <v>-4.0000000000000001E-3</v>
      </c>
      <c r="W373" s="151">
        <v>-4.0000000000000002E-4</v>
      </c>
      <c r="X373" s="151">
        <v>-4.0000000000000001E-3</v>
      </c>
      <c r="Y373" s="151">
        <v>-4.0000000000000001E-3</v>
      </c>
      <c r="Z373" s="151">
        <v>-4.0000000000000001E-3</v>
      </c>
      <c r="AA373" s="151">
        <v>-4.0000000000000001E-3</v>
      </c>
      <c r="AB373" s="151">
        <v>-4.0000000000000001E-3</v>
      </c>
      <c r="AC373" s="151">
        <v>-4.0000000000000001E-3</v>
      </c>
      <c r="AD373" s="151">
        <v>-4.0000000000000002E-4</v>
      </c>
      <c r="AE373" s="151">
        <v>-4.0000000000000001E-3</v>
      </c>
      <c r="AF373" s="151">
        <v>-4.0000000000000002E-4</v>
      </c>
      <c r="AI373" s="1" t="s">
        <v>230</v>
      </c>
      <c r="AJ373" s="1" t="s">
        <v>1754</v>
      </c>
      <c r="AK373" s="1" t="s">
        <v>164</v>
      </c>
      <c r="AL373" s="749" t="s">
        <v>1931</v>
      </c>
    </row>
    <row r="374" spans="1:38">
      <c r="A374" s="1" t="s">
        <v>1932</v>
      </c>
      <c r="B374" s="17">
        <v>678</v>
      </c>
      <c r="C374" s="1">
        <v>162</v>
      </c>
      <c r="D374" s="1">
        <v>26</v>
      </c>
      <c r="E374" s="1">
        <v>2.9</v>
      </c>
      <c r="F374" s="1">
        <v>5.7</v>
      </c>
      <c r="G374" s="1" t="s">
        <v>230</v>
      </c>
      <c r="H374" s="1" t="s">
        <v>165</v>
      </c>
      <c r="J374" s="1">
        <v>162</v>
      </c>
      <c r="K374" s="1">
        <v>26</v>
      </c>
      <c r="L374" s="1">
        <v>2.9</v>
      </c>
      <c r="M374" s="151">
        <v>-4.0000000000000001E-3</v>
      </c>
      <c r="N374" s="1">
        <v>5.7</v>
      </c>
      <c r="O374" s="151">
        <v>-4.0000000000000001E-3</v>
      </c>
      <c r="P374" s="151">
        <v>-4.0000000000000001E-3</v>
      </c>
      <c r="Q374" s="151">
        <v>-4.0000000000000001E-3</v>
      </c>
      <c r="R374" s="151">
        <v>-4.0000000000000001E-3</v>
      </c>
      <c r="S374" s="151">
        <v>-4.0000000000000001E-3</v>
      </c>
      <c r="T374" s="151">
        <v>-4.0000000000000001E-3</v>
      </c>
      <c r="U374" s="151">
        <v>-4.0000000000000001E-3</v>
      </c>
      <c r="V374" s="151">
        <v>-4.0000000000000001E-3</v>
      </c>
      <c r="W374" s="151">
        <v>-4.0000000000000002E-4</v>
      </c>
      <c r="X374" s="151">
        <v>-4.0000000000000001E-3</v>
      </c>
      <c r="Y374" s="151">
        <v>-4.0000000000000001E-3</v>
      </c>
      <c r="Z374" s="151">
        <v>-4.0000000000000001E-3</v>
      </c>
      <c r="AA374" s="151">
        <v>-4.0000000000000001E-3</v>
      </c>
      <c r="AB374" s="151">
        <v>-4.0000000000000001E-3</v>
      </c>
      <c r="AC374" s="151">
        <v>-4.0000000000000001E-3</v>
      </c>
      <c r="AD374" s="151">
        <v>-4.0000000000000002E-4</v>
      </c>
      <c r="AE374" s="151">
        <v>-4.0000000000000001E-3</v>
      </c>
      <c r="AF374" s="151">
        <v>-4.0000000000000002E-4</v>
      </c>
      <c r="AI374" s="1" t="s">
        <v>230</v>
      </c>
      <c r="AJ374" s="1" t="s">
        <v>1754</v>
      </c>
      <c r="AK374" s="1" t="s">
        <v>165</v>
      </c>
      <c r="AL374" s="749" t="s">
        <v>1932</v>
      </c>
    </row>
    <row r="375" spans="1:38">
      <c r="A375" s="749" t="s">
        <v>3376</v>
      </c>
      <c r="B375" s="1">
        <v>1126</v>
      </c>
      <c r="C375" s="1">
        <v>265</v>
      </c>
      <c r="D375" s="1">
        <v>56</v>
      </c>
      <c r="E375" s="1">
        <v>8</v>
      </c>
      <c r="F375" s="1">
        <v>1</v>
      </c>
      <c r="G375" s="1" t="s">
        <v>230</v>
      </c>
      <c r="H375" s="1" t="s">
        <v>154</v>
      </c>
      <c r="J375" s="1">
        <v>265</v>
      </c>
      <c r="K375" s="1">
        <v>56</v>
      </c>
      <c r="L375" s="1">
        <v>8</v>
      </c>
      <c r="M375" s="151">
        <v>-4.0000000000000001E-3</v>
      </c>
      <c r="N375" s="1">
        <v>1</v>
      </c>
      <c r="O375" s="151">
        <v>-4.0000000000000001E-3</v>
      </c>
      <c r="P375" s="151">
        <v>-4.0000000000000001E-3</v>
      </c>
      <c r="Q375" s="151">
        <v>-4.0000000000000001E-3</v>
      </c>
      <c r="R375" s="151">
        <v>-4.0000000000000001E-3</v>
      </c>
      <c r="S375" s="151">
        <v>-4.0000000000000001E-3</v>
      </c>
      <c r="T375" s="151">
        <v>-4.0000000000000001E-3</v>
      </c>
      <c r="U375" s="151">
        <v>-4.0000000000000001E-3</v>
      </c>
      <c r="V375" s="151">
        <v>-4.0000000000000001E-3</v>
      </c>
      <c r="W375" s="151">
        <v>-4.0000000000000002E-4</v>
      </c>
      <c r="X375" s="151">
        <v>-4.0000000000000001E-3</v>
      </c>
      <c r="Y375" s="151">
        <v>-4.0000000000000001E-3</v>
      </c>
      <c r="Z375" s="151">
        <v>-4.0000000000000001E-3</v>
      </c>
      <c r="AA375" s="151">
        <v>-4.0000000000000001E-3</v>
      </c>
      <c r="AB375" s="151">
        <v>-4.0000000000000001E-3</v>
      </c>
      <c r="AC375" s="151">
        <v>-4.0000000000000001E-3</v>
      </c>
      <c r="AD375" s="151">
        <v>-4.0000000000000002E-4</v>
      </c>
      <c r="AE375" s="151">
        <v>-4.0000000000000001E-3</v>
      </c>
      <c r="AF375" s="151">
        <v>-4.0000000000000002E-4</v>
      </c>
      <c r="AI375" s="1" t="s">
        <v>230</v>
      </c>
      <c r="AJ375" s="1" t="s">
        <v>1754</v>
      </c>
      <c r="AK375" s="1" t="s">
        <v>154</v>
      </c>
      <c r="AL375" s="749" t="s">
        <v>1918</v>
      </c>
    </row>
    <row r="376" spans="1:38">
      <c r="A376" s="749" t="s">
        <v>3388</v>
      </c>
      <c r="B376" s="16">
        <v>1304</v>
      </c>
      <c r="C376" s="10">
        <v>311.7</v>
      </c>
      <c r="D376" s="1">
        <v>52.3</v>
      </c>
      <c r="E376" s="1">
        <v>15</v>
      </c>
      <c r="F376" s="15">
        <v>6</v>
      </c>
      <c r="G376" s="1" t="s">
        <v>230</v>
      </c>
      <c r="H376" s="1" t="s">
        <v>166</v>
      </c>
      <c r="J376" s="10">
        <v>311.7</v>
      </c>
      <c r="K376" s="1">
        <v>52.3</v>
      </c>
      <c r="L376" s="1">
        <v>15</v>
      </c>
      <c r="M376" s="151">
        <v>-4.0000000000000001E-3</v>
      </c>
      <c r="N376" s="15">
        <v>6</v>
      </c>
      <c r="O376" s="151">
        <v>-4.0000000000000001E-3</v>
      </c>
      <c r="P376" s="151">
        <v>-4.0000000000000001E-3</v>
      </c>
      <c r="Q376" s="151">
        <v>-4.0000000000000001E-3</v>
      </c>
      <c r="R376" s="151">
        <v>-4.0000000000000001E-3</v>
      </c>
      <c r="S376" s="151">
        <v>-4.0000000000000001E-3</v>
      </c>
      <c r="T376" s="151">
        <v>-4.0000000000000001E-3</v>
      </c>
      <c r="U376" s="151">
        <v>-4.0000000000000001E-3</v>
      </c>
      <c r="V376" s="151">
        <v>-4.0000000000000001E-3</v>
      </c>
      <c r="W376" s="151">
        <v>-4.0000000000000002E-4</v>
      </c>
      <c r="X376" s="151">
        <v>-4.0000000000000001E-3</v>
      </c>
      <c r="Y376" s="151">
        <v>-4.0000000000000001E-3</v>
      </c>
      <c r="Z376" s="151">
        <v>-4.0000000000000001E-3</v>
      </c>
      <c r="AA376" s="151">
        <v>-4.0000000000000001E-3</v>
      </c>
      <c r="AB376" s="151">
        <v>-4.0000000000000001E-3</v>
      </c>
      <c r="AC376" s="151">
        <v>-4.0000000000000001E-3</v>
      </c>
      <c r="AD376" s="151">
        <v>-4.0000000000000002E-4</v>
      </c>
      <c r="AE376" s="151">
        <v>-4.0000000000000001E-3</v>
      </c>
      <c r="AF376" s="151">
        <v>-4.0000000000000002E-4</v>
      </c>
      <c r="AI376" s="1" t="s">
        <v>230</v>
      </c>
      <c r="AJ376" s="1" t="s">
        <v>1754</v>
      </c>
      <c r="AK376" s="1" t="s">
        <v>166</v>
      </c>
      <c r="AL376" s="749" t="s">
        <v>1954</v>
      </c>
    </row>
    <row r="377" spans="1:38">
      <c r="A377" s="749" t="s">
        <v>1951</v>
      </c>
      <c r="B377" s="1">
        <v>1382</v>
      </c>
      <c r="C377" s="1">
        <v>330</v>
      </c>
      <c r="D377" s="1">
        <v>36.9</v>
      </c>
      <c r="E377" s="1">
        <v>5.5</v>
      </c>
      <c r="F377" s="1">
        <v>17.5</v>
      </c>
      <c r="G377" s="1" t="s">
        <v>230</v>
      </c>
      <c r="H377" s="1" t="s">
        <v>167</v>
      </c>
      <c r="J377" s="1">
        <v>330</v>
      </c>
      <c r="K377" s="1">
        <v>36.9</v>
      </c>
      <c r="L377" s="1">
        <v>5.5</v>
      </c>
      <c r="M377" s="151">
        <v>-4.0000000000000001E-3</v>
      </c>
      <c r="N377" s="1">
        <v>17.5</v>
      </c>
      <c r="O377" s="151">
        <v>-4.0000000000000001E-3</v>
      </c>
      <c r="P377" s="151">
        <v>-4.0000000000000001E-3</v>
      </c>
      <c r="Q377" s="151">
        <v>-4.0000000000000001E-3</v>
      </c>
      <c r="R377" s="151">
        <v>-4.0000000000000001E-3</v>
      </c>
      <c r="S377" s="151">
        <v>-4.0000000000000001E-3</v>
      </c>
      <c r="T377" s="151">
        <v>-4.0000000000000001E-3</v>
      </c>
      <c r="U377" s="151">
        <v>-4.0000000000000001E-3</v>
      </c>
      <c r="V377" s="151">
        <v>-4.0000000000000001E-3</v>
      </c>
      <c r="W377" s="151">
        <v>-4.0000000000000002E-4</v>
      </c>
      <c r="X377" s="151">
        <v>-4.0000000000000001E-3</v>
      </c>
      <c r="Y377" s="151">
        <v>-4.0000000000000001E-3</v>
      </c>
      <c r="Z377" s="151">
        <v>-4.0000000000000001E-3</v>
      </c>
      <c r="AA377" s="151">
        <v>-4.0000000000000001E-3</v>
      </c>
      <c r="AB377" s="151">
        <v>-4.0000000000000001E-3</v>
      </c>
      <c r="AC377" s="151">
        <v>-4.0000000000000001E-3</v>
      </c>
      <c r="AD377" s="151">
        <v>-4.0000000000000002E-4</v>
      </c>
      <c r="AE377" s="151">
        <v>-4.0000000000000001E-3</v>
      </c>
      <c r="AF377" s="151">
        <v>-4.0000000000000002E-4</v>
      </c>
      <c r="AI377" s="1" t="s">
        <v>230</v>
      </c>
      <c r="AJ377" s="1" t="s">
        <v>1754</v>
      </c>
      <c r="AK377" s="1" t="s">
        <v>167</v>
      </c>
      <c r="AL377" s="749" t="s">
        <v>1933</v>
      </c>
    </row>
    <row r="378" spans="1:38">
      <c r="A378" s="749" t="s">
        <v>1992</v>
      </c>
      <c r="B378" s="1">
        <v>1117</v>
      </c>
      <c r="C378" s="1">
        <v>267</v>
      </c>
      <c r="D378" s="1">
        <v>32.380000000000003</v>
      </c>
      <c r="E378" s="1">
        <v>12.06</v>
      </c>
      <c r="F378" s="1">
        <v>9.68</v>
      </c>
      <c r="G378" s="1" t="s">
        <v>230</v>
      </c>
      <c r="H378" s="1" t="s">
        <v>209</v>
      </c>
      <c r="J378" s="1">
        <v>267</v>
      </c>
      <c r="K378" s="1">
        <v>32.380000000000003</v>
      </c>
      <c r="L378" s="1">
        <v>12.06</v>
      </c>
      <c r="M378" s="151">
        <v>-4.0000000000000001E-3</v>
      </c>
      <c r="N378" s="1">
        <v>9.68</v>
      </c>
      <c r="O378" s="151">
        <v>-4.0000000000000001E-3</v>
      </c>
      <c r="P378" s="151">
        <v>-4.0000000000000001E-3</v>
      </c>
      <c r="Q378" s="151">
        <v>-4.0000000000000001E-3</v>
      </c>
      <c r="R378" s="151">
        <v>-4.0000000000000001E-3</v>
      </c>
      <c r="S378" s="151">
        <v>-4.0000000000000001E-3</v>
      </c>
      <c r="T378" s="151">
        <v>-4.0000000000000001E-3</v>
      </c>
      <c r="U378" s="151">
        <v>-4.0000000000000001E-3</v>
      </c>
      <c r="V378" s="151">
        <v>-4.0000000000000001E-3</v>
      </c>
      <c r="W378" s="151">
        <v>-4.0000000000000002E-4</v>
      </c>
      <c r="X378" s="151">
        <v>-4.0000000000000001E-3</v>
      </c>
      <c r="Y378" s="151">
        <v>-4.0000000000000001E-3</v>
      </c>
      <c r="Z378" s="151">
        <v>-4.0000000000000001E-3</v>
      </c>
      <c r="AA378" s="151">
        <v>-4.0000000000000001E-3</v>
      </c>
      <c r="AB378" s="151">
        <v>-4.0000000000000001E-3</v>
      </c>
      <c r="AC378" s="151">
        <v>-4.0000000000000001E-3</v>
      </c>
      <c r="AD378" s="151">
        <v>-4.0000000000000002E-4</v>
      </c>
      <c r="AE378" s="151">
        <v>-4.0000000000000001E-3</v>
      </c>
      <c r="AF378" s="151">
        <v>-4.0000000000000002E-4</v>
      </c>
      <c r="AI378" s="1" t="s">
        <v>234</v>
      </c>
      <c r="AJ378" s="1" t="s">
        <v>1758</v>
      </c>
      <c r="AK378" s="1" t="s">
        <v>209</v>
      </c>
      <c r="AL378" s="749" t="s">
        <v>1992</v>
      </c>
    </row>
    <row r="379" spans="1:38">
      <c r="A379" s="1" t="s">
        <v>3271</v>
      </c>
      <c r="B379" s="17">
        <v>1653</v>
      </c>
      <c r="C379" s="1">
        <v>395</v>
      </c>
      <c r="D379" s="1">
        <v>71.98</v>
      </c>
      <c r="E379" s="1">
        <v>13.35</v>
      </c>
      <c r="F379" s="1">
        <v>5.3</v>
      </c>
      <c r="G379" s="1" t="s">
        <v>230</v>
      </c>
      <c r="H379" s="749" t="s">
        <v>366</v>
      </c>
      <c r="I379" s="27">
        <v>10</v>
      </c>
      <c r="J379" s="33">
        <v>366.00000000000006</v>
      </c>
      <c r="K379" s="4">
        <v>74.900560224089631</v>
      </c>
      <c r="L379" s="4">
        <v>10.5</v>
      </c>
      <c r="M379" s="4">
        <v>5.2997198879551828</v>
      </c>
      <c r="N379" s="4">
        <v>1.0000000000000002</v>
      </c>
      <c r="O379" s="4">
        <v>0.20028011204481794</v>
      </c>
      <c r="P379" s="35">
        <v>450.00000000000006</v>
      </c>
      <c r="Q379" s="3">
        <v>190.00000000000003</v>
      </c>
      <c r="R379" s="3">
        <v>4.5994397759103647</v>
      </c>
      <c r="S379" s="3">
        <v>29.000000000000007</v>
      </c>
      <c r="T379" s="3">
        <v>140</v>
      </c>
      <c r="U379" s="3">
        <v>4.5994397759103647</v>
      </c>
      <c r="V379" s="3">
        <v>1.2002801120448181</v>
      </c>
      <c r="W379" s="36">
        <v>0.12044817927170869</v>
      </c>
      <c r="X379" s="35">
        <v>0.70028011204481799</v>
      </c>
      <c r="Y379" s="3">
        <v>0.20028011204481794</v>
      </c>
      <c r="Z379" s="3">
        <v>5.0420168067226892E-2</v>
      </c>
      <c r="AA379" s="3">
        <v>1.8305322128851542</v>
      </c>
      <c r="AB379" s="3">
        <v>0.10644257703081234</v>
      </c>
      <c r="AC379" s="3">
        <v>16.799719887955185</v>
      </c>
      <c r="AD379" s="3">
        <v>2.5000000000000001E-2</v>
      </c>
      <c r="AE379" s="3">
        <v>0</v>
      </c>
      <c r="AF379" s="36">
        <v>0</v>
      </c>
      <c r="AI379" s="1" t="s">
        <v>230</v>
      </c>
      <c r="AJ379" s="1" t="s">
        <v>1754</v>
      </c>
      <c r="AK379" s="749" t="s">
        <v>366</v>
      </c>
      <c r="AL379" s="749" t="s">
        <v>366</v>
      </c>
    </row>
    <row r="380" spans="1:38">
      <c r="A380" s="749" t="s">
        <v>3272</v>
      </c>
      <c r="C380" s="1"/>
      <c r="D380" s="1"/>
      <c r="E380" s="1"/>
      <c r="F380" s="1"/>
      <c r="G380" s="1" t="s">
        <v>230</v>
      </c>
      <c r="H380" s="1" t="s">
        <v>2608</v>
      </c>
      <c r="I380" s="27"/>
      <c r="J380" s="4">
        <v>357</v>
      </c>
      <c r="K380" s="4">
        <v>70</v>
      </c>
      <c r="L380" s="4">
        <v>10.3</v>
      </c>
      <c r="M380" s="4">
        <v>3.9</v>
      </c>
      <c r="N380" s="4">
        <v>3.4</v>
      </c>
      <c r="O380" s="4">
        <v>0.9</v>
      </c>
      <c r="P380" s="3">
        <v>3</v>
      </c>
      <c r="Q380" s="3">
        <v>301</v>
      </c>
      <c r="R380" s="3">
        <v>15</v>
      </c>
      <c r="S380" s="3">
        <v>120</v>
      </c>
      <c r="T380" s="3">
        <v>294</v>
      </c>
      <c r="U380" s="3">
        <v>6.85</v>
      </c>
      <c r="V380" s="3">
        <v>2.8</v>
      </c>
      <c r="W380" s="3">
        <v>0.6</v>
      </c>
      <c r="X380" s="3">
        <v>0</v>
      </c>
      <c r="Y380" s="3">
        <v>0.57999999999999996</v>
      </c>
      <c r="Z380" s="3">
        <v>0.25</v>
      </c>
      <c r="AA380" s="3">
        <v>2.35</v>
      </c>
      <c r="AB380" s="3">
        <v>0.51900000000000002</v>
      </c>
      <c r="AC380" s="3">
        <v>20</v>
      </c>
      <c r="AD380" s="151">
        <v>-4.0000000000000002E-4</v>
      </c>
      <c r="AE380" s="151">
        <v>-4.0000000000000001E-3</v>
      </c>
      <c r="AF380" s="151">
        <v>-4.0000000000000002E-4</v>
      </c>
      <c r="AI380" s="1"/>
      <c r="AJ380" s="1"/>
    </row>
    <row r="381" spans="1:38">
      <c r="A381" s="749" t="s">
        <v>3273</v>
      </c>
      <c r="B381" s="1">
        <v>1363</v>
      </c>
      <c r="C381" s="1">
        <v>326</v>
      </c>
      <c r="D381" s="1">
        <v>72</v>
      </c>
      <c r="E381" s="1">
        <v>10.199999999999999</v>
      </c>
      <c r="F381" s="1">
        <v>2</v>
      </c>
      <c r="G381" s="1" t="s">
        <v>230</v>
      </c>
      <c r="H381" s="1" t="s">
        <v>168</v>
      </c>
      <c r="J381" s="1">
        <v>326</v>
      </c>
      <c r="K381" s="1">
        <v>72</v>
      </c>
      <c r="L381" s="1">
        <v>10.199999999999999</v>
      </c>
      <c r="M381" s="151">
        <v>-4.0000000000000001E-3</v>
      </c>
      <c r="N381" s="1">
        <v>2</v>
      </c>
      <c r="O381" s="4">
        <v>0.3</v>
      </c>
      <c r="P381" s="151">
        <v>-4.0000000000000001E-3</v>
      </c>
      <c r="Q381" s="151">
        <v>-4.0000000000000001E-3</v>
      </c>
      <c r="R381" s="151">
        <v>-4.0000000000000001E-3</v>
      </c>
      <c r="S381" s="151">
        <v>-4.0000000000000001E-3</v>
      </c>
      <c r="T381" s="151">
        <v>-4.0000000000000001E-3</v>
      </c>
      <c r="U381" s="151">
        <v>-4.0000000000000001E-3</v>
      </c>
      <c r="V381" s="151">
        <v>-4.0000000000000001E-3</v>
      </c>
      <c r="W381" s="151">
        <v>-4.0000000000000002E-4</v>
      </c>
      <c r="X381" s="151">
        <v>-4.0000000000000001E-3</v>
      </c>
      <c r="Y381" s="151">
        <v>-4.0000000000000001E-3</v>
      </c>
      <c r="Z381" s="151">
        <v>-4.0000000000000001E-3</v>
      </c>
      <c r="AA381" s="151">
        <v>-4.0000000000000001E-3</v>
      </c>
      <c r="AB381" s="151">
        <v>-4.0000000000000001E-3</v>
      </c>
      <c r="AC381" s="151">
        <v>-4.0000000000000001E-3</v>
      </c>
      <c r="AD381" s="151">
        <v>-4.0000000000000002E-4</v>
      </c>
      <c r="AE381" s="151">
        <v>-4.0000000000000001E-3</v>
      </c>
      <c r="AF381" s="151">
        <v>-4.0000000000000002E-4</v>
      </c>
      <c r="AI381" s="1" t="s">
        <v>230</v>
      </c>
      <c r="AJ381" s="1" t="s">
        <v>1754</v>
      </c>
      <c r="AK381" s="1" t="s">
        <v>168</v>
      </c>
      <c r="AL381" s="749" t="s">
        <v>1934</v>
      </c>
    </row>
    <row r="382" spans="1:38">
      <c r="A382" s="1" t="s">
        <v>3499</v>
      </c>
      <c r="B382" s="1">
        <v>1392</v>
      </c>
      <c r="C382" s="1">
        <v>333</v>
      </c>
      <c r="D382" s="1">
        <v>70</v>
      </c>
      <c r="E382" s="1">
        <v>11</v>
      </c>
      <c r="F382" s="1">
        <v>1</v>
      </c>
      <c r="G382" s="1" t="s">
        <v>230</v>
      </c>
      <c r="H382" s="64" t="s">
        <v>377</v>
      </c>
      <c r="I382" s="47">
        <v>10</v>
      </c>
      <c r="J382" s="49">
        <v>357.79</v>
      </c>
      <c r="K382" s="49">
        <v>70</v>
      </c>
      <c r="L382" s="49">
        <v>9.1999999999999993</v>
      </c>
      <c r="M382" s="49">
        <v>2.7</v>
      </c>
      <c r="N382" s="49">
        <v>1.2</v>
      </c>
      <c r="O382" s="65">
        <v>0.19499999999999998</v>
      </c>
      <c r="P382" s="49">
        <v>1.4000000000000001</v>
      </c>
      <c r="Q382" s="49">
        <v>117</v>
      </c>
      <c r="R382" s="49">
        <v>16.7</v>
      </c>
      <c r="S382" s="49">
        <v>6</v>
      </c>
      <c r="T382" s="49">
        <v>68.100000000000009</v>
      </c>
      <c r="U382" s="49">
        <v>0.6</v>
      </c>
      <c r="V382" s="49">
        <v>3.3000000000000003</v>
      </c>
      <c r="W382" s="65">
        <v>0.41000000000000003</v>
      </c>
      <c r="X382" s="151">
        <v>-4.0000000000000001E-3</v>
      </c>
      <c r="Y382" s="49">
        <v>0.21</v>
      </c>
      <c r="Z382" s="49">
        <v>4.4999999999999998E-2</v>
      </c>
      <c r="AA382" s="49">
        <v>1.83</v>
      </c>
      <c r="AB382" s="49">
        <v>8.4999999999999992E-2</v>
      </c>
      <c r="AC382" s="49">
        <v>42</v>
      </c>
      <c r="AD382" s="151">
        <v>-4.0000000000000002E-4</v>
      </c>
      <c r="AE382" s="151">
        <v>-4.0000000000000001E-3</v>
      </c>
      <c r="AF382" s="151">
        <v>-4.0000000000000002E-4</v>
      </c>
      <c r="AI382" s="1" t="s">
        <v>230</v>
      </c>
      <c r="AJ382" s="1" t="s">
        <v>1754</v>
      </c>
      <c r="AK382" s="64" t="s">
        <v>377</v>
      </c>
      <c r="AL382" s="749" t="s">
        <v>377</v>
      </c>
    </row>
    <row r="383" spans="1:38">
      <c r="A383" s="749" t="s">
        <v>3392</v>
      </c>
      <c r="B383" s="14">
        <v>1474</v>
      </c>
      <c r="C383" s="20">
        <v>353</v>
      </c>
      <c r="D383" s="20">
        <v>72</v>
      </c>
      <c r="E383" s="20">
        <v>11</v>
      </c>
      <c r="F383" s="20">
        <v>1</v>
      </c>
      <c r="G383" s="1" t="s">
        <v>230</v>
      </c>
      <c r="H383" s="1" t="s">
        <v>169</v>
      </c>
      <c r="J383" s="20">
        <v>353</v>
      </c>
      <c r="K383" s="20">
        <v>72</v>
      </c>
      <c r="L383" s="20">
        <v>11</v>
      </c>
      <c r="M383" s="151">
        <v>-4.0000000000000001E-3</v>
      </c>
      <c r="N383" s="20">
        <v>1</v>
      </c>
      <c r="O383" s="151">
        <v>-4.0000000000000001E-3</v>
      </c>
      <c r="P383" s="151">
        <v>-4.0000000000000001E-3</v>
      </c>
      <c r="Q383" s="151">
        <v>-4.0000000000000001E-3</v>
      </c>
      <c r="R383" s="151">
        <v>-4.0000000000000001E-3</v>
      </c>
      <c r="S383" s="151">
        <v>-4.0000000000000001E-3</v>
      </c>
      <c r="T383" s="151">
        <v>-4.0000000000000001E-3</v>
      </c>
      <c r="U383" s="151">
        <v>-4.0000000000000001E-3</v>
      </c>
      <c r="V383" s="151">
        <v>-4.0000000000000001E-3</v>
      </c>
      <c r="W383" s="151">
        <v>-4.0000000000000002E-4</v>
      </c>
      <c r="X383" s="151">
        <v>-4.0000000000000001E-3</v>
      </c>
      <c r="Y383" s="151">
        <v>-4.0000000000000001E-3</v>
      </c>
      <c r="Z383" s="151">
        <v>-4.0000000000000001E-3</v>
      </c>
      <c r="AA383" s="151">
        <v>-4.0000000000000001E-3</v>
      </c>
      <c r="AB383" s="151">
        <v>-4.0000000000000001E-3</v>
      </c>
      <c r="AC383" s="151">
        <v>-4.0000000000000001E-3</v>
      </c>
      <c r="AD383" s="151">
        <v>-4.0000000000000002E-4</v>
      </c>
      <c r="AE383" s="151">
        <v>-4.0000000000000001E-3</v>
      </c>
      <c r="AF383" s="151">
        <v>-4.0000000000000002E-4</v>
      </c>
      <c r="AI383" s="1" t="s">
        <v>230</v>
      </c>
      <c r="AJ383" s="1" t="s">
        <v>1754</v>
      </c>
      <c r="AK383" s="1" t="s">
        <v>169</v>
      </c>
      <c r="AL383" s="749" t="s">
        <v>1955</v>
      </c>
    </row>
    <row r="384" spans="1:38">
      <c r="A384" s="749" t="s">
        <v>3274</v>
      </c>
      <c r="B384" s="14"/>
      <c r="D384" s="20"/>
      <c r="E384" s="20"/>
      <c r="F384" s="20"/>
      <c r="G384" s="1" t="s">
        <v>230</v>
      </c>
      <c r="H384" s="1" t="s">
        <v>2607</v>
      </c>
      <c r="J384" s="20">
        <v>340</v>
      </c>
      <c r="K384" s="20">
        <v>59</v>
      </c>
      <c r="L384" s="20">
        <v>9.3000000000000007</v>
      </c>
      <c r="M384" s="4">
        <v>18</v>
      </c>
      <c r="N384" s="20">
        <v>2.1</v>
      </c>
      <c r="O384" s="4">
        <v>0.2</v>
      </c>
      <c r="P384" s="4">
        <v>20</v>
      </c>
      <c r="Q384" s="4">
        <v>514</v>
      </c>
      <c r="R384" s="4">
        <v>56</v>
      </c>
      <c r="S384" s="4">
        <v>128</v>
      </c>
      <c r="T384" s="4">
        <v>367</v>
      </c>
      <c r="U384" s="4">
        <v>4.7</v>
      </c>
      <c r="V384" s="4">
        <v>2.5</v>
      </c>
      <c r="W384" s="4">
        <v>0.4</v>
      </c>
      <c r="X384" s="4">
        <v>16.3</v>
      </c>
      <c r="Y384" s="4">
        <v>0.28000000000000003</v>
      </c>
      <c r="Z384" s="4">
        <v>0.33</v>
      </c>
      <c r="AA384" s="4">
        <v>1.65</v>
      </c>
      <c r="AB384" s="4">
        <v>0.27</v>
      </c>
      <c r="AC384" s="4">
        <v>42</v>
      </c>
      <c r="AD384" s="151">
        <v>-4.0000000000000002E-4</v>
      </c>
      <c r="AE384" s="151">
        <v>-4.0000000000000001E-3</v>
      </c>
      <c r="AF384" s="151">
        <v>-4.0000000000000002E-4</v>
      </c>
      <c r="AI384" s="1"/>
      <c r="AJ384" s="1"/>
      <c r="AK384" s="1"/>
    </row>
    <row r="385" spans="1:38">
      <c r="A385" s="1232" t="s">
        <v>3503</v>
      </c>
      <c r="B385" s="1">
        <v>1538</v>
      </c>
      <c r="C385" s="1">
        <v>368</v>
      </c>
      <c r="D385" s="1">
        <v>78.599999999999994</v>
      </c>
      <c r="E385" s="1">
        <v>13</v>
      </c>
      <c r="F385" s="1">
        <v>2.4</v>
      </c>
      <c r="G385" s="1" t="s">
        <v>230</v>
      </c>
      <c r="H385" s="749" t="s">
        <v>3027</v>
      </c>
      <c r="I385" s="47">
        <v>22</v>
      </c>
      <c r="J385" s="33">
        <v>362</v>
      </c>
      <c r="K385" s="4">
        <v>69.910683012259199</v>
      </c>
      <c r="L385" s="4">
        <v>13.297723292469351</v>
      </c>
      <c r="M385" s="79">
        <v>6</v>
      </c>
      <c r="N385" s="4">
        <v>2.7793345008756569</v>
      </c>
      <c r="O385" s="4">
        <v>0.46409807355516636</v>
      </c>
      <c r="P385" s="35">
        <v>17</v>
      </c>
      <c r="Q385" s="3">
        <v>219</v>
      </c>
      <c r="R385" s="3">
        <v>22.999999999999996</v>
      </c>
      <c r="S385" s="3">
        <v>42.000000000000007</v>
      </c>
      <c r="T385" s="3">
        <v>153</v>
      </c>
      <c r="U385" s="3">
        <v>2.970227670753065</v>
      </c>
      <c r="V385" s="3">
        <v>1.2084063047285465</v>
      </c>
      <c r="W385" s="36">
        <v>0.19439579684763575</v>
      </c>
      <c r="X385" s="1234">
        <v>17</v>
      </c>
      <c r="Y385" s="3">
        <v>0.16987740805604204</v>
      </c>
      <c r="Z385" s="3">
        <v>7.3555166374781086E-2</v>
      </c>
      <c r="AA385" s="3">
        <v>3.5026269702276708E-3</v>
      </c>
      <c r="AB385" s="3">
        <v>5.9544658493870396E-2</v>
      </c>
      <c r="AC385" s="3">
        <v>22</v>
      </c>
      <c r="AD385" s="1234">
        <v>0.28999999999999998</v>
      </c>
      <c r="AE385" s="1234">
        <v>0</v>
      </c>
      <c r="AF385" s="1234">
        <v>0.3</v>
      </c>
      <c r="AI385" s="1" t="s">
        <v>230</v>
      </c>
      <c r="AJ385" s="1" t="s">
        <v>1754</v>
      </c>
      <c r="AK385" s="749" t="s">
        <v>371</v>
      </c>
      <c r="AL385" s="749" t="s">
        <v>371</v>
      </c>
    </row>
    <row r="386" spans="1:38">
      <c r="A386" s="749" t="s">
        <v>3504</v>
      </c>
      <c r="B386" s="1">
        <v>1538</v>
      </c>
      <c r="C386" s="1">
        <v>368</v>
      </c>
      <c r="D386" s="1">
        <v>78.599999999999994</v>
      </c>
      <c r="E386" s="1">
        <v>13</v>
      </c>
      <c r="F386" s="1">
        <v>2.4</v>
      </c>
      <c r="G386" s="1" t="s">
        <v>230</v>
      </c>
      <c r="H386" s="749" t="s">
        <v>371</v>
      </c>
      <c r="I386" s="47">
        <v>10</v>
      </c>
      <c r="J386" s="33">
        <v>362</v>
      </c>
      <c r="K386" s="4">
        <v>69.910683012259199</v>
      </c>
      <c r="L386" s="4">
        <v>13.297723292469351</v>
      </c>
      <c r="M386" s="79">
        <v>6</v>
      </c>
      <c r="N386" s="4">
        <v>2.7793345008756569</v>
      </c>
      <c r="O386" s="4">
        <v>0.46409807355516636</v>
      </c>
      <c r="P386" s="35">
        <v>17</v>
      </c>
      <c r="Q386" s="3">
        <v>219</v>
      </c>
      <c r="R386" s="3">
        <v>22.999999999999996</v>
      </c>
      <c r="S386" s="3">
        <v>42.000000000000007</v>
      </c>
      <c r="T386" s="3">
        <v>153</v>
      </c>
      <c r="U386" s="3">
        <v>2.970227670753065</v>
      </c>
      <c r="V386" s="3">
        <v>1.2084063047285465</v>
      </c>
      <c r="W386" s="36">
        <v>0.19439579684763575</v>
      </c>
      <c r="X386" s="151">
        <v>-4.0000000000000001E-3</v>
      </c>
      <c r="Y386" s="3">
        <v>0.16987740805604204</v>
      </c>
      <c r="Z386" s="3">
        <v>7.3555166374781086E-2</v>
      </c>
      <c r="AA386" s="3">
        <v>3.5026269702276708E-3</v>
      </c>
      <c r="AB386" s="3">
        <v>5.9544658493870396E-2</v>
      </c>
      <c r="AC386" s="3">
        <v>22</v>
      </c>
      <c r="AD386" s="151">
        <v>-4.0000000000000002E-4</v>
      </c>
      <c r="AE386" s="151">
        <v>-4.0000000000000001E-3</v>
      </c>
      <c r="AF386" s="151">
        <v>-4.0000000000000002E-4</v>
      </c>
      <c r="AI386" s="1" t="s">
        <v>230</v>
      </c>
      <c r="AJ386" s="1" t="s">
        <v>1754</v>
      </c>
      <c r="AK386" s="749" t="s">
        <v>371</v>
      </c>
      <c r="AL386" s="749" t="s">
        <v>371</v>
      </c>
    </row>
    <row r="387" spans="1:38">
      <c r="A387" s="1" t="s">
        <v>3254</v>
      </c>
      <c r="B387" s="1">
        <v>1566.2</v>
      </c>
      <c r="C387" s="10">
        <v>374.3</v>
      </c>
      <c r="D387" s="1">
        <v>80.400000000000006</v>
      </c>
      <c r="E387" s="1">
        <v>9.5</v>
      </c>
      <c r="F387" s="1">
        <v>1.1000000000000001</v>
      </c>
      <c r="G387" s="1" t="s">
        <v>230</v>
      </c>
      <c r="H387" s="749" t="s">
        <v>371</v>
      </c>
      <c r="I387" s="47">
        <v>10</v>
      </c>
      <c r="J387" s="33">
        <v>362</v>
      </c>
      <c r="K387" s="4">
        <v>69.910683012259199</v>
      </c>
      <c r="L387" s="4">
        <v>13.297723292469351</v>
      </c>
      <c r="M387" s="79">
        <v>6</v>
      </c>
      <c r="N387" s="4">
        <v>2.7793345008756569</v>
      </c>
      <c r="O387" s="4">
        <v>0.46409807355516636</v>
      </c>
      <c r="P387" s="35">
        <v>17</v>
      </c>
      <c r="Q387" s="3">
        <v>219</v>
      </c>
      <c r="R387" s="3">
        <v>22.999999999999996</v>
      </c>
      <c r="S387" s="3">
        <v>42.000000000000007</v>
      </c>
      <c r="T387" s="3">
        <v>153</v>
      </c>
      <c r="U387" s="3">
        <v>2.970227670753065</v>
      </c>
      <c r="V387" s="3">
        <v>1.2084063047285465</v>
      </c>
      <c r="W387" s="36">
        <v>0.19439579684763575</v>
      </c>
      <c r="X387" s="151">
        <v>-4.0000000000000001E-3</v>
      </c>
      <c r="Y387" s="3">
        <v>0.16987740805604204</v>
      </c>
      <c r="Z387" s="3">
        <v>7.3555166374781086E-2</v>
      </c>
      <c r="AA387" s="3">
        <v>3.5026269702276708E-3</v>
      </c>
      <c r="AB387" s="3">
        <v>5.9544658493870396E-2</v>
      </c>
      <c r="AC387" s="3">
        <v>22</v>
      </c>
      <c r="AD387" s="151">
        <v>-4.0000000000000002E-4</v>
      </c>
      <c r="AE387" s="151">
        <v>-4.0000000000000001E-3</v>
      </c>
      <c r="AF387" s="151">
        <v>-4.0000000000000002E-4</v>
      </c>
      <c r="AI387" s="1" t="s">
        <v>230</v>
      </c>
      <c r="AJ387" s="1" t="s">
        <v>1754</v>
      </c>
      <c r="AK387" s="749" t="s">
        <v>371</v>
      </c>
      <c r="AL387" s="749" t="s">
        <v>371</v>
      </c>
    </row>
    <row r="388" spans="1:38">
      <c r="A388" s="749" t="s">
        <v>3393</v>
      </c>
      <c r="B388" s="1">
        <v>1109</v>
      </c>
      <c r="C388" s="1">
        <v>265</v>
      </c>
      <c r="D388" s="1">
        <v>29</v>
      </c>
      <c r="E388" s="15">
        <v>7.5</v>
      </c>
      <c r="F388" s="1">
        <v>12.5</v>
      </c>
      <c r="G388" s="1" t="s">
        <v>230</v>
      </c>
      <c r="H388" s="1" t="s">
        <v>170</v>
      </c>
      <c r="J388" s="1">
        <v>265</v>
      </c>
      <c r="K388" s="1">
        <v>29</v>
      </c>
      <c r="L388" s="15">
        <v>7.5</v>
      </c>
      <c r="M388" s="151">
        <v>-4.0000000000000001E-3</v>
      </c>
      <c r="N388" s="1">
        <v>12.5</v>
      </c>
      <c r="O388" s="151">
        <v>-4.0000000000000001E-3</v>
      </c>
      <c r="P388" s="151">
        <v>-4.0000000000000001E-3</v>
      </c>
      <c r="Q388" s="151">
        <v>-4.0000000000000001E-3</v>
      </c>
      <c r="R388" s="151">
        <v>-4.0000000000000001E-3</v>
      </c>
      <c r="S388" s="151">
        <v>-4.0000000000000001E-3</v>
      </c>
      <c r="T388" s="151">
        <v>-4.0000000000000001E-3</v>
      </c>
      <c r="U388" s="151">
        <v>-4.0000000000000001E-3</v>
      </c>
      <c r="V388" s="151">
        <v>-4.0000000000000001E-3</v>
      </c>
      <c r="W388" s="151">
        <v>-4.0000000000000002E-4</v>
      </c>
      <c r="X388" s="151">
        <v>-4.0000000000000001E-3</v>
      </c>
      <c r="Y388" s="151">
        <v>-4.0000000000000001E-3</v>
      </c>
      <c r="Z388" s="151">
        <v>-4.0000000000000001E-3</v>
      </c>
      <c r="AA388" s="151">
        <v>-4.0000000000000001E-3</v>
      </c>
      <c r="AB388" s="151">
        <v>-4.0000000000000001E-3</v>
      </c>
      <c r="AC388" s="151">
        <v>-4.0000000000000001E-3</v>
      </c>
      <c r="AD388" s="151">
        <v>-4.0000000000000002E-4</v>
      </c>
      <c r="AE388" s="151">
        <v>-4.0000000000000001E-3</v>
      </c>
      <c r="AF388" s="151">
        <v>-4.0000000000000002E-4</v>
      </c>
      <c r="AI388" s="1" t="s">
        <v>230</v>
      </c>
      <c r="AJ388" s="1" t="s">
        <v>1754</v>
      </c>
      <c r="AK388" s="1" t="s">
        <v>170</v>
      </c>
      <c r="AL388" s="749" t="s">
        <v>1937</v>
      </c>
    </row>
    <row r="389" spans="1:38">
      <c r="A389" s="1" t="s">
        <v>1938</v>
      </c>
      <c r="B389" s="1">
        <v>1277</v>
      </c>
      <c r="C389" s="1">
        <v>305</v>
      </c>
      <c r="D389" s="1">
        <v>36.4</v>
      </c>
      <c r="E389" s="15">
        <v>3.8</v>
      </c>
      <c r="F389" s="1">
        <v>11.7</v>
      </c>
      <c r="G389" s="1" t="s">
        <v>230</v>
      </c>
      <c r="H389" s="1" t="s">
        <v>171</v>
      </c>
      <c r="J389" s="1">
        <v>305</v>
      </c>
      <c r="K389" s="1">
        <v>36.4</v>
      </c>
      <c r="L389" s="15">
        <v>3.8</v>
      </c>
      <c r="M389" s="151">
        <v>-4.0000000000000001E-3</v>
      </c>
      <c r="N389" s="1">
        <v>11.7</v>
      </c>
      <c r="O389" s="151">
        <v>-4.0000000000000001E-3</v>
      </c>
      <c r="P389" s="151">
        <v>-4.0000000000000001E-3</v>
      </c>
      <c r="Q389" s="151">
        <v>-4.0000000000000001E-3</v>
      </c>
      <c r="R389" s="151">
        <v>-4.0000000000000001E-3</v>
      </c>
      <c r="S389" s="151">
        <v>-4.0000000000000001E-3</v>
      </c>
      <c r="T389" s="151">
        <v>-4.0000000000000001E-3</v>
      </c>
      <c r="U389" s="151">
        <v>-4.0000000000000001E-3</v>
      </c>
      <c r="V389" s="151">
        <v>-4.0000000000000001E-3</v>
      </c>
      <c r="W389" s="151">
        <v>-4.0000000000000002E-4</v>
      </c>
      <c r="X389" s="151">
        <v>-4.0000000000000001E-3</v>
      </c>
      <c r="Y389" s="151">
        <v>-4.0000000000000001E-3</v>
      </c>
      <c r="Z389" s="151">
        <v>-4.0000000000000001E-3</v>
      </c>
      <c r="AA389" s="151">
        <v>-4.0000000000000001E-3</v>
      </c>
      <c r="AB389" s="151">
        <v>-4.0000000000000001E-3</v>
      </c>
      <c r="AC389" s="151">
        <v>-4.0000000000000001E-3</v>
      </c>
      <c r="AD389" s="151">
        <v>-4.0000000000000002E-4</v>
      </c>
      <c r="AE389" s="151">
        <v>-4.0000000000000001E-3</v>
      </c>
      <c r="AF389" s="151">
        <v>-4.0000000000000002E-4</v>
      </c>
      <c r="AI389" s="1" t="s">
        <v>230</v>
      </c>
      <c r="AJ389" s="1" t="s">
        <v>1754</v>
      </c>
      <c r="AK389" s="1" t="s">
        <v>171</v>
      </c>
      <c r="AL389" s="749" t="s">
        <v>1938</v>
      </c>
    </row>
    <row r="390" spans="1:38">
      <c r="A390" s="1" t="s">
        <v>3548</v>
      </c>
      <c r="B390" s="17">
        <v>1515</v>
      </c>
      <c r="C390" s="1">
        <v>362</v>
      </c>
      <c r="D390" s="1">
        <v>24.4</v>
      </c>
      <c r="E390" s="1">
        <v>9.3699999999999992</v>
      </c>
      <c r="F390" s="1">
        <v>25.1</v>
      </c>
      <c r="G390" s="1" t="s">
        <v>230</v>
      </c>
      <c r="H390" s="1" t="s">
        <v>245</v>
      </c>
      <c r="J390" s="1">
        <v>362</v>
      </c>
      <c r="K390" s="1">
        <v>24.4</v>
      </c>
      <c r="L390" s="1">
        <v>9.3699999999999992</v>
      </c>
      <c r="M390" s="151">
        <v>-4.0000000000000001E-3</v>
      </c>
      <c r="N390" s="1">
        <v>25.1</v>
      </c>
      <c r="O390" s="151">
        <v>-4.0000000000000001E-3</v>
      </c>
      <c r="P390" s="151">
        <v>-4.0000000000000001E-3</v>
      </c>
      <c r="Q390" s="151">
        <v>-4.0000000000000001E-3</v>
      </c>
      <c r="R390" s="151">
        <v>-4.0000000000000001E-3</v>
      </c>
      <c r="S390" s="151">
        <v>-4.0000000000000001E-3</v>
      </c>
      <c r="T390" s="151">
        <v>-4.0000000000000001E-3</v>
      </c>
      <c r="U390" s="151">
        <v>-4.0000000000000001E-3</v>
      </c>
      <c r="V390" s="151">
        <v>-4.0000000000000001E-3</v>
      </c>
      <c r="W390" s="151">
        <v>-4.0000000000000002E-4</v>
      </c>
      <c r="X390" s="151">
        <v>-4.0000000000000001E-3</v>
      </c>
      <c r="Y390" s="151">
        <v>-4.0000000000000001E-3</v>
      </c>
      <c r="Z390" s="151">
        <v>-4.0000000000000001E-3</v>
      </c>
      <c r="AA390" s="151">
        <v>-4.0000000000000001E-3</v>
      </c>
      <c r="AB390" s="151">
        <v>-4.0000000000000001E-3</v>
      </c>
      <c r="AC390" s="151">
        <v>-4.0000000000000001E-3</v>
      </c>
      <c r="AD390" s="151">
        <v>-4.0000000000000002E-4</v>
      </c>
      <c r="AE390" s="151">
        <v>-4.0000000000000001E-3</v>
      </c>
      <c r="AF390" s="151">
        <v>-4.0000000000000002E-4</v>
      </c>
      <c r="AI390" s="1" t="s">
        <v>230</v>
      </c>
      <c r="AJ390" s="1" t="s">
        <v>1754</v>
      </c>
      <c r="AK390" s="1" t="s">
        <v>245</v>
      </c>
      <c r="AL390" s="749" t="s">
        <v>1939</v>
      </c>
    </row>
    <row r="391" spans="1:38">
      <c r="A391" s="1" t="s">
        <v>1940</v>
      </c>
      <c r="B391" s="16">
        <v>1095</v>
      </c>
      <c r="C391" s="1">
        <v>262</v>
      </c>
      <c r="D391" s="1">
        <v>34.6</v>
      </c>
      <c r="E391" s="1">
        <v>4.7</v>
      </c>
      <c r="F391" s="1">
        <v>10.9</v>
      </c>
      <c r="G391" s="1" t="s">
        <v>230</v>
      </c>
      <c r="H391" s="1" t="s">
        <v>172</v>
      </c>
      <c r="J391" s="1">
        <v>262</v>
      </c>
      <c r="K391" s="1">
        <v>34.6</v>
      </c>
      <c r="L391" s="1">
        <v>4.7</v>
      </c>
      <c r="M391" s="151">
        <v>-4.0000000000000001E-3</v>
      </c>
      <c r="N391" s="1">
        <v>10.9</v>
      </c>
      <c r="O391" s="151">
        <v>-4.0000000000000001E-3</v>
      </c>
      <c r="P391" s="151">
        <v>-4.0000000000000001E-3</v>
      </c>
      <c r="Q391" s="151">
        <v>-4.0000000000000001E-3</v>
      </c>
      <c r="R391" s="151">
        <v>-4.0000000000000001E-3</v>
      </c>
      <c r="S391" s="151">
        <v>-4.0000000000000001E-3</v>
      </c>
      <c r="T391" s="151">
        <v>-4.0000000000000001E-3</v>
      </c>
      <c r="U391" s="151">
        <v>-4.0000000000000001E-3</v>
      </c>
      <c r="V391" s="151">
        <v>-4.0000000000000001E-3</v>
      </c>
      <c r="W391" s="151">
        <v>-4.0000000000000002E-4</v>
      </c>
      <c r="X391" s="151">
        <v>-4.0000000000000001E-3</v>
      </c>
      <c r="Y391" s="151">
        <v>-4.0000000000000001E-3</v>
      </c>
      <c r="Z391" s="151">
        <v>-4.0000000000000001E-3</v>
      </c>
      <c r="AA391" s="151">
        <v>-4.0000000000000001E-3</v>
      </c>
      <c r="AB391" s="151">
        <v>-4.0000000000000001E-3</v>
      </c>
      <c r="AC391" s="151">
        <v>-4.0000000000000001E-3</v>
      </c>
      <c r="AD391" s="151">
        <v>-4.0000000000000002E-4</v>
      </c>
      <c r="AE391" s="151">
        <v>-4.0000000000000001E-3</v>
      </c>
      <c r="AF391" s="151">
        <v>-4.0000000000000002E-4</v>
      </c>
      <c r="AI391" s="1" t="s">
        <v>230</v>
      </c>
      <c r="AJ391" s="1" t="s">
        <v>1754</v>
      </c>
      <c r="AK391" s="1" t="s">
        <v>172</v>
      </c>
      <c r="AL391" s="749" t="s">
        <v>1940</v>
      </c>
    </row>
    <row r="392" spans="1:38">
      <c r="A392" s="1" t="s">
        <v>3275</v>
      </c>
      <c r="B392" s="1">
        <v>1446</v>
      </c>
      <c r="C392" s="1">
        <v>346</v>
      </c>
      <c r="D392" s="1">
        <v>30</v>
      </c>
      <c r="E392" s="1">
        <v>52</v>
      </c>
      <c r="F392" s="1">
        <v>2</v>
      </c>
      <c r="G392" s="1" t="s">
        <v>230</v>
      </c>
      <c r="H392" s="1" t="s">
        <v>16</v>
      </c>
      <c r="J392" s="1">
        <v>346</v>
      </c>
      <c r="K392" s="1">
        <v>30</v>
      </c>
      <c r="L392" s="1">
        <v>52</v>
      </c>
      <c r="M392" s="151">
        <v>-4.0000000000000001E-3</v>
      </c>
      <c r="N392" s="1">
        <v>2</v>
      </c>
      <c r="O392" s="151">
        <v>-4.0000000000000001E-3</v>
      </c>
      <c r="P392" s="151">
        <v>-4.0000000000000001E-3</v>
      </c>
      <c r="Q392" s="151">
        <v>-4.0000000000000001E-3</v>
      </c>
      <c r="R392" s="151">
        <v>-4.0000000000000001E-3</v>
      </c>
      <c r="S392" s="151">
        <v>-4.0000000000000001E-3</v>
      </c>
      <c r="T392" s="151">
        <v>-4.0000000000000001E-3</v>
      </c>
      <c r="U392" s="151">
        <v>-4.0000000000000001E-3</v>
      </c>
      <c r="V392" s="151">
        <v>-4.0000000000000001E-3</v>
      </c>
      <c r="W392" s="151">
        <v>-4.0000000000000002E-4</v>
      </c>
      <c r="X392" s="151">
        <v>-4.0000000000000001E-3</v>
      </c>
      <c r="Y392" s="151">
        <v>-4.0000000000000001E-3</v>
      </c>
      <c r="Z392" s="151">
        <v>-4.0000000000000001E-3</v>
      </c>
      <c r="AA392" s="151">
        <v>-4.0000000000000001E-3</v>
      </c>
      <c r="AB392" s="151">
        <v>-4.0000000000000001E-3</v>
      </c>
      <c r="AC392" s="151">
        <v>-4.0000000000000001E-3</v>
      </c>
      <c r="AD392" s="151">
        <v>-4.0000000000000002E-4</v>
      </c>
      <c r="AE392" s="151">
        <v>-4.0000000000000001E-3</v>
      </c>
      <c r="AF392" s="151">
        <v>-4.0000000000000002E-4</v>
      </c>
      <c r="AI392" s="1" t="s">
        <v>230</v>
      </c>
      <c r="AJ392" s="1" t="s">
        <v>1754</v>
      </c>
      <c r="AK392" s="1" t="s">
        <v>16</v>
      </c>
      <c r="AL392" s="749" t="s">
        <v>1941</v>
      </c>
    </row>
    <row r="393" spans="1:38">
      <c r="A393" s="1" t="s">
        <v>3255</v>
      </c>
      <c r="B393" s="1">
        <v>2406</v>
      </c>
      <c r="C393" s="1">
        <v>573</v>
      </c>
      <c r="D393" s="1">
        <v>23.5</v>
      </c>
      <c r="E393" s="1">
        <v>17.7</v>
      </c>
      <c r="F393" s="1">
        <v>49.7</v>
      </c>
      <c r="G393" s="1" t="s">
        <v>230</v>
      </c>
      <c r="H393" s="1" t="s">
        <v>173</v>
      </c>
      <c r="J393" s="1">
        <v>573</v>
      </c>
      <c r="K393" s="1">
        <v>23.5</v>
      </c>
      <c r="L393" s="1">
        <v>17.7</v>
      </c>
      <c r="M393" s="151">
        <v>-4.0000000000000001E-3</v>
      </c>
      <c r="N393" s="1">
        <v>49.7</v>
      </c>
      <c r="O393" s="151">
        <v>-4.0000000000000001E-3</v>
      </c>
      <c r="P393" s="151">
        <v>-4.0000000000000001E-3</v>
      </c>
      <c r="Q393" s="151">
        <v>-4.0000000000000001E-3</v>
      </c>
      <c r="R393" s="151">
        <v>-4.0000000000000001E-3</v>
      </c>
      <c r="S393" s="151">
        <v>-4.0000000000000001E-3</v>
      </c>
      <c r="T393" s="151">
        <v>-4.0000000000000001E-3</v>
      </c>
      <c r="U393" s="151">
        <v>-4.0000000000000001E-3</v>
      </c>
      <c r="V393" s="151">
        <v>-4.0000000000000001E-3</v>
      </c>
      <c r="W393" s="151">
        <v>-4.0000000000000002E-4</v>
      </c>
      <c r="X393" s="151">
        <v>-4.0000000000000001E-3</v>
      </c>
      <c r="Y393" s="151">
        <v>-4.0000000000000001E-3</v>
      </c>
      <c r="Z393" s="151">
        <v>-4.0000000000000001E-3</v>
      </c>
      <c r="AA393" s="151">
        <v>-4.0000000000000001E-3</v>
      </c>
      <c r="AB393" s="151">
        <v>-4.0000000000000001E-3</v>
      </c>
      <c r="AC393" s="151">
        <v>-4.0000000000000001E-3</v>
      </c>
      <c r="AD393" s="151">
        <v>-4.0000000000000002E-4</v>
      </c>
      <c r="AE393" s="151">
        <v>-4.0000000000000001E-3</v>
      </c>
      <c r="AF393" s="151">
        <v>-4.0000000000000002E-4</v>
      </c>
      <c r="AI393" s="1" t="s">
        <v>230</v>
      </c>
      <c r="AJ393" s="1" t="s">
        <v>1754</v>
      </c>
      <c r="AK393" s="1" t="s">
        <v>173</v>
      </c>
      <c r="AL393" s="749" t="s">
        <v>1942</v>
      </c>
    </row>
    <row r="394" spans="1:38">
      <c r="A394" s="1" t="s">
        <v>3505</v>
      </c>
      <c r="B394" s="1">
        <v>1404</v>
      </c>
      <c r="C394" s="1">
        <v>336</v>
      </c>
      <c r="D394" s="1">
        <v>77.400000000000006</v>
      </c>
      <c r="E394" s="1">
        <v>10.8</v>
      </c>
      <c r="F394" s="1">
        <v>0.3</v>
      </c>
      <c r="G394" s="1" t="s">
        <v>230</v>
      </c>
      <c r="H394" s="1" t="s">
        <v>174</v>
      </c>
      <c r="J394" s="1">
        <v>336</v>
      </c>
      <c r="K394" s="1">
        <v>77.400000000000006</v>
      </c>
      <c r="L394" s="1">
        <v>10.8</v>
      </c>
      <c r="M394" s="151">
        <v>-4.0000000000000001E-3</v>
      </c>
      <c r="N394" s="1">
        <v>0.3</v>
      </c>
      <c r="O394" s="151">
        <v>-4.0000000000000001E-3</v>
      </c>
      <c r="P394" s="151">
        <v>-4.0000000000000001E-3</v>
      </c>
      <c r="Q394" s="151">
        <v>-4.0000000000000001E-3</v>
      </c>
      <c r="R394" s="151">
        <v>-4.0000000000000001E-3</v>
      </c>
      <c r="S394" s="151">
        <v>-4.0000000000000001E-3</v>
      </c>
      <c r="T394" s="151">
        <v>-4.0000000000000001E-3</v>
      </c>
      <c r="U394" s="151">
        <v>-4.0000000000000001E-3</v>
      </c>
      <c r="V394" s="151">
        <v>-4.0000000000000001E-3</v>
      </c>
      <c r="W394" s="151">
        <v>-4.0000000000000002E-4</v>
      </c>
      <c r="X394" s="151">
        <v>-4.0000000000000001E-3</v>
      </c>
      <c r="Y394" s="151">
        <v>-4.0000000000000001E-3</v>
      </c>
      <c r="Z394" s="151">
        <v>-4.0000000000000001E-3</v>
      </c>
      <c r="AA394" s="151">
        <v>-4.0000000000000001E-3</v>
      </c>
      <c r="AB394" s="151">
        <v>-4.0000000000000001E-3</v>
      </c>
      <c r="AC394" s="151">
        <v>-4.0000000000000001E-3</v>
      </c>
      <c r="AD394" s="151">
        <v>-4.0000000000000002E-4</v>
      </c>
      <c r="AE394" s="151">
        <v>-4.0000000000000001E-3</v>
      </c>
      <c r="AF394" s="151">
        <v>-4.0000000000000002E-4</v>
      </c>
      <c r="AI394" s="1" t="s">
        <v>230</v>
      </c>
      <c r="AJ394" s="1" t="s">
        <v>1754</v>
      </c>
      <c r="AK394" s="1" t="s">
        <v>174</v>
      </c>
      <c r="AL394" s="749" t="s">
        <v>1943</v>
      </c>
    </row>
    <row r="395" spans="1:38">
      <c r="A395" s="1233" t="s">
        <v>3276</v>
      </c>
      <c r="B395" s="1">
        <v>1479</v>
      </c>
      <c r="C395" s="1">
        <v>349</v>
      </c>
      <c r="D395" s="1">
        <v>72</v>
      </c>
      <c r="E395" s="15">
        <v>11</v>
      </c>
      <c r="F395" s="15">
        <v>1</v>
      </c>
      <c r="G395" s="1" t="s">
        <v>230</v>
      </c>
      <c r="H395" s="1" t="s">
        <v>3028</v>
      </c>
      <c r="I395" s="1">
        <v>22</v>
      </c>
      <c r="J395" s="1">
        <v>349</v>
      </c>
      <c r="K395" s="1">
        <v>72</v>
      </c>
      <c r="L395" s="15">
        <v>11</v>
      </c>
      <c r="M395" s="1234">
        <v>3.6</v>
      </c>
      <c r="N395" s="15">
        <v>1</v>
      </c>
      <c r="O395" s="1234">
        <v>0</v>
      </c>
      <c r="P395" s="1234">
        <v>0</v>
      </c>
      <c r="Q395" s="1240">
        <v>234</v>
      </c>
      <c r="R395" s="1234">
        <v>0</v>
      </c>
      <c r="S395" s="1240">
        <v>60</v>
      </c>
      <c r="T395" s="1240">
        <v>214</v>
      </c>
      <c r="U395" s="1234">
        <v>3.21</v>
      </c>
      <c r="V395" s="1240">
        <v>1.6</v>
      </c>
      <c r="W395" s="1240">
        <v>0.25</v>
      </c>
      <c r="X395" s="1234">
        <v>0</v>
      </c>
      <c r="Y395" s="1234">
        <v>1</v>
      </c>
      <c r="Z395" s="1234">
        <v>0.45500000000000002</v>
      </c>
      <c r="AA395" s="1234">
        <v>5.36</v>
      </c>
      <c r="AB395" s="1241">
        <v>0.1</v>
      </c>
      <c r="AC395" s="1241">
        <v>29</v>
      </c>
      <c r="AD395" s="1242">
        <v>0.4</v>
      </c>
      <c r="AE395" s="1234">
        <v>0</v>
      </c>
      <c r="AF395" s="1242">
        <v>0.3</v>
      </c>
      <c r="AI395" s="1" t="s">
        <v>230</v>
      </c>
      <c r="AJ395" s="1" t="s">
        <v>1754</v>
      </c>
      <c r="AK395" s="1" t="s">
        <v>175</v>
      </c>
      <c r="AL395" s="749" t="s">
        <v>1944</v>
      </c>
    </row>
    <row r="396" spans="1:38">
      <c r="A396" s="1233" t="s">
        <v>3256</v>
      </c>
      <c r="B396" s="1">
        <v>1538</v>
      </c>
      <c r="C396" s="1">
        <v>368</v>
      </c>
      <c r="D396" s="1">
        <v>78.599999999999994</v>
      </c>
      <c r="E396" s="1">
        <v>13</v>
      </c>
      <c r="F396" s="1">
        <v>2.4</v>
      </c>
      <c r="G396" s="1" t="s">
        <v>230</v>
      </c>
      <c r="H396" s="749" t="s">
        <v>3003</v>
      </c>
      <c r="I396" s="47">
        <v>22</v>
      </c>
      <c r="J396" s="33">
        <v>377</v>
      </c>
      <c r="K396" s="4">
        <v>68.2</v>
      </c>
      <c r="L396" s="4">
        <v>14</v>
      </c>
      <c r="M396" s="79">
        <v>2.9</v>
      </c>
      <c r="N396" s="4">
        <v>4.2</v>
      </c>
      <c r="O396" s="60">
        <v>0.9</v>
      </c>
      <c r="P396" s="3">
        <v>21.000000000000004</v>
      </c>
      <c r="Q396" s="3">
        <v>234</v>
      </c>
      <c r="R396" s="3">
        <v>31</v>
      </c>
      <c r="S396" s="3">
        <v>60</v>
      </c>
      <c r="T396" s="3">
        <v>214</v>
      </c>
      <c r="U396" s="3">
        <v>1.9</v>
      </c>
      <c r="V396" s="3">
        <v>1.6</v>
      </c>
      <c r="W396" s="1240">
        <v>0.25</v>
      </c>
      <c r="X396" s="4">
        <v>18</v>
      </c>
      <c r="Y396" s="3">
        <v>0.17</v>
      </c>
      <c r="Z396" s="3">
        <v>0.09</v>
      </c>
      <c r="AA396" s="3">
        <v>4.4000000000000004</v>
      </c>
      <c r="AB396" s="3">
        <v>0.1</v>
      </c>
      <c r="AC396" s="3">
        <v>29</v>
      </c>
      <c r="AD396" s="4">
        <v>0.4</v>
      </c>
      <c r="AE396" s="1234">
        <v>0</v>
      </c>
      <c r="AF396" s="4">
        <v>0.3</v>
      </c>
      <c r="AI396" s="1" t="s">
        <v>176</v>
      </c>
      <c r="AJ396" s="1" t="s">
        <v>1754</v>
      </c>
      <c r="AK396" s="749" t="s">
        <v>370</v>
      </c>
      <c r="AL396" s="749" t="s">
        <v>370</v>
      </c>
    </row>
    <row r="397" spans="1:38">
      <c r="A397" s="1" t="s">
        <v>3277</v>
      </c>
      <c r="B397" s="1">
        <v>1527</v>
      </c>
      <c r="C397" s="10">
        <v>365</v>
      </c>
      <c r="D397" s="1">
        <v>70</v>
      </c>
      <c r="E397" s="1">
        <v>12.8</v>
      </c>
      <c r="F397" s="1">
        <v>1.5</v>
      </c>
      <c r="G397" s="1" t="s">
        <v>230</v>
      </c>
      <c r="H397" s="749" t="s">
        <v>371</v>
      </c>
      <c r="I397" s="47">
        <v>10</v>
      </c>
      <c r="J397" s="33">
        <v>362</v>
      </c>
      <c r="K397" s="4">
        <v>69.910683012259199</v>
      </c>
      <c r="L397" s="4">
        <v>13.297723292469351</v>
      </c>
      <c r="M397" s="79">
        <v>6</v>
      </c>
      <c r="N397" s="4">
        <v>2.7793345008756569</v>
      </c>
      <c r="O397" s="4">
        <v>0.46409807355516636</v>
      </c>
      <c r="P397" s="35">
        <v>17</v>
      </c>
      <c r="Q397" s="3">
        <v>219</v>
      </c>
      <c r="R397" s="3">
        <v>22.999999999999996</v>
      </c>
      <c r="S397" s="3">
        <v>42.000000000000007</v>
      </c>
      <c r="T397" s="3">
        <v>153</v>
      </c>
      <c r="U397" s="3">
        <v>2.970227670753065</v>
      </c>
      <c r="V397" s="3">
        <v>1.2084063047285465</v>
      </c>
      <c r="W397" s="36">
        <v>0.19439579684763575</v>
      </c>
      <c r="X397" s="151">
        <v>-4.0000000000000001E-3</v>
      </c>
      <c r="Y397" s="3">
        <v>0.16987740805604204</v>
      </c>
      <c r="Z397" s="3">
        <v>7.3555166374781086E-2</v>
      </c>
      <c r="AA397" s="3">
        <v>3.5026269702276708E-3</v>
      </c>
      <c r="AB397" s="3">
        <v>5.9544658493870396E-2</v>
      </c>
      <c r="AC397" s="3">
        <v>22</v>
      </c>
      <c r="AD397" s="151">
        <v>-4.0000000000000002E-4</v>
      </c>
      <c r="AE397" s="151">
        <v>-4.0000000000000001E-3</v>
      </c>
      <c r="AF397" s="151">
        <v>-4.0000000000000002E-4</v>
      </c>
      <c r="AI397" s="1" t="s">
        <v>230</v>
      </c>
      <c r="AJ397" s="1" t="s">
        <v>1754</v>
      </c>
      <c r="AK397" s="749" t="s">
        <v>371</v>
      </c>
      <c r="AL397" s="749" t="s">
        <v>371</v>
      </c>
    </row>
    <row r="398" spans="1:38">
      <c r="A398" s="1" t="s">
        <v>3257</v>
      </c>
      <c r="B398" s="1">
        <v>1552</v>
      </c>
      <c r="C398" s="1">
        <v>371</v>
      </c>
      <c r="D398" s="1">
        <v>74.67</v>
      </c>
      <c r="E398" s="1">
        <v>13.04</v>
      </c>
      <c r="F398" s="1">
        <v>1.51</v>
      </c>
      <c r="G398" s="1" t="s">
        <v>230</v>
      </c>
      <c r="H398" s="749" t="s">
        <v>3003</v>
      </c>
      <c r="I398" s="47">
        <v>10</v>
      </c>
      <c r="J398" s="33">
        <v>377</v>
      </c>
      <c r="K398" s="4">
        <v>68.2</v>
      </c>
      <c r="L398" s="4">
        <v>14</v>
      </c>
      <c r="M398" s="79">
        <v>2.9</v>
      </c>
      <c r="N398" s="4">
        <v>4.2</v>
      </c>
      <c r="O398" s="60">
        <v>0.9</v>
      </c>
      <c r="P398" s="3">
        <v>21.000000000000004</v>
      </c>
      <c r="Q398" s="3">
        <v>234</v>
      </c>
      <c r="R398" s="3">
        <v>31</v>
      </c>
      <c r="S398" s="3">
        <v>60</v>
      </c>
      <c r="T398" s="3">
        <v>214</v>
      </c>
      <c r="U398" s="3">
        <v>1.9</v>
      </c>
      <c r="V398" s="3">
        <v>1.6</v>
      </c>
      <c r="W398" s="151">
        <v>-4.0000000000000002E-4</v>
      </c>
      <c r="X398" s="4">
        <v>18</v>
      </c>
      <c r="Y398" s="3">
        <v>0.17</v>
      </c>
      <c r="Z398" s="3">
        <v>0.09</v>
      </c>
      <c r="AA398" s="3">
        <v>4.4000000000000004</v>
      </c>
      <c r="AB398" s="3">
        <v>0.1</v>
      </c>
      <c r="AC398" s="3">
        <v>29</v>
      </c>
      <c r="AD398" s="4">
        <v>0.4</v>
      </c>
      <c r="AE398" s="151">
        <v>-4.0000000000000001E-3</v>
      </c>
      <c r="AF398" s="4">
        <v>0.3</v>
      </c>
      <c r="AI398" s="1" t="s">
        <v>230</v>
      </c>
      <c r="AJ398" s="1" t="s">
        <v>1754</v>
      </c>
      <c r="AK398" s="38" t="s">
        <v>369</v>
      </c>
      <c r="AL398" s="749" t="s">
        <v>369</v>
      </c>
    </row>
    <row r="399" spans="1:38">
      <c r="A399" s="1" t="s">
        <v>3497</v>
      </c>
      <c r="B399" s="1">
        <v>1552</v>
      </c>
      <c r="C399" s="1">
        <v>371</v>
      </c>
      <c r="D399" s="1">
        <v>74.67</v>
      </c>
      <c r="E399" s="1">
        <v>13.04</v>
      </c>
      <c r="F399" s="1">
        <v>1.51</v>
      </c>
      <c r="G399" s="1" t="s">
        <v>230</v>
      </c>
      <c r="H399" s="38" t="s">
        <v>369</v>
      </c>
      <c r="I399" s="38">
        <v>10</v>
      </c>
      <c r="J399" s="39">
        <v>123</v>
      </c>
      <c r="K399" s="40">
        <v>28.900000000000002</v>
      </c>
      <c r="L399" s="40">
        <v>5.3000000000000007</v>
      </c>
      <c r="M399" s="40">
        <v>2</v>
      </c>
      <c r="N399" s="40">
        <v>0.5</v>
      </c>
      <c r="O399" s="51">
        <v>5.6032719836400825E-2</v>
      </c>
      <c r="P399" s="41">
        <v>3.0000000000000004</v>
      </c>
      <c r="Q399" s="42">
        <v>44</v>
      </c>
      <c r="R399" s="42">
        <v>15</v>
      </c>
      <c r="S399" s="42">
        <v>30</v>
      </c>
      <c r="T399" s="42">
        <v>50</v>
      </c>
      <c r="U399" s="42">
        <v>0.6</v>
      </c>
      <c r="V399" s="42">
        <v>0.81002044989775057</v>
      </c>
      <c r="W399" s="44">
        <v>0.17004089979550102</v>
      </c>
      <c r="X399" s="78">
        <v>0</v>
      </c>
      <c r="Y399" s="42">
        <v>3.9979550102249489E-2</v>
      </c>
      <c r="Z399" s="42">
        <v>1.0020449897750512E-2</v>
      </c>
      <c r="AA399" s="42">
        <v>0.70797546012269941</v>
      </c>
      <c r="AB399" s="42">
        <v>1.0020449897750512E-2</v>
      </c>
      <c r="AC399" s="42">
        <v>2</v>
      </c>
      <c r="AD399" s="37">
        <v>0</v>
      </c>
      <c r="AE399" s="37">
        <v>0</v>
      </c>
      <c r="AF399" s="58">
        <v>0</v>
      </c>
      <c r="AI399" s="1" t="s">
        <v>230</v>
      </c>
      <c r="AJ399" s="1" t="s">
        <v>1754</v>
      </c>
      <c r="AK399" s="38" t="s">
        <v>369</v>
      </c>
      <c r="AL399" s="749" t="s">
        <v>369</v>
      </c>
    </row>
    <row r="400" spans="1:38">
      <c r="A400" s="1" t="s">
        <v>3258</v>
      </c>
      <c r="B400" s="1">
        <v>1552.8</v>
      </c>
      <c r="C400" s="10">
        <v>371.1</v>
      </c>
      <c r="D400" s="1">
        <v>76.8</v>
      </c>
      <c r="E400" s="1">
        <v>11.9</v>
      </c>
      <c r="F400" s="1">
        <v>1.2</v>
      </c>
      <c r="G400" s="1" t="s">
        <v>230</v>
      </c>
      <c r="H400" s="749" t="s">
        <v>371</v>
      </c>
      <c r="I400" s="47">
        <v>10</v>
      </c>
      <c r="J400" s="33">
        <v>362</v>
      </c>
      <c r="K400" s="4">
        <v>69.910683012259199</v>
      </c>
      <c r="L400" s="4">
        <v>13.297723292469351</v>
      </c>
      <c r="M400" s="79">
        <v>6</v>
      </c>
      <c r="N400" s="4">
        <v>2.7793345008756569</v>
      </c>
      <c r="O400" s="4">
        <v>0.46409807355516636</v>
      </c>
      <c r="P400" s="35">
        <v>17</v>
      </c>
      <c r="Q400" s="3">
        <v>219</v>
      </c>
      <c r="R400" s="3">
        <v>22.999999999999996</v>
      </c>
      <c r="S400" s="3">
        <v>42.000000000000007</v>
      </c>
      <c r="T400" s="3">
        <v>153</v>
      </c>
      <c r="U400" s="3">
        <v>2.970227670753065</v>
      </c>
      <c r="V400" s="3">
        <v>1.2084063047285465</v>
      </c>
      <c r="W400" s="36">
        <v>0.19439579684763575</v>
      </c>
      <c r="X400" s="151">
        <v>-4.0000000000000001E-3</v>
      </c>
      <c r="Y400" s="3">
        <v>0.16987740805604204</v>
      </c>
      <c r="Z400" s="3">
        <v>7.3555166374781086E-2</v>
      </c>
      <c r="AA400" s="3">
        <v>3.5026269702276708E-3</v>
      </c>
      <c r="AB400" s="3">
        <v>5.9544658493870396E-2</v>
      </c>
      <c r="AC400" s="3">
        <v>22</v>
      </c>
      <c r="AD400" s="151">
        <v>-4.0000000000000002E-4</v>
      </c>
      <c r="AE400" s="151">
        <v>-4.0000000000000001E-3</v>
      </c>
      <c r="AF400" s="151">
        <v>-4.0000000000000002E-4</v>
      </c>
      <c r="AI400" s="1" t="s">
        <v>230</v>
      </c>
      <c r="AJ400" s="1" t="s">
        <v>1754</v>
      </c>
      <c r="AK400" s="749" t="s">
        <v>371</v>
      </c>
      <c r="AL400" s="749" t="s">
        <v>371</v>
      </c>
    </row>
    <row r="401" spans="1:38">
      <c r="A401" s="1" t="s">
        <v>3500</v>
      </c>
      <c r="B401" s="1"/>
      <c r="C401" s="1"/>
      <c r="D401" s="1"/>
      <c r="E401" s="1"/>
      <c r="F401" s="1"/>
      <c r="G401" s="1" t="s">
        <v>230</v>
      </c>
      <c r="H401" s="324" t="s">
        <v>1661</v>
      </c>
      <c r="I401" s="38"/>
      <c r="J401" s="82">
        <v>123</v>
      </c>
      <c r="K401" s="4">
        <v>22</v>
      </c>
      <c r="L401" s="4">
        <v>4</v>
      </c>
      <c r="M401" s="151">
        <v>-4.0000000000000001E-3</v>
      </c>
      <c r="N401" s="4">
        <v>2</v>
      </c>
      <c r="O401" s="151">
        <v>-4.0000000000000001E-3</v>
      </c>
      <c r="P401" s="151">
        <v>-4.0000000000000001E-3</v>
      </c>
      <c r="Q401" s="151">
        <v>-4.0000000000000001E-3</v>
      </c>
      <c r="R401" s="151">
        <v>-4.0000000000000001E-3</v>
      </c>
      <c r="S401" s="151">
        <v>-4.0000000000000001E-3</v>
      </c>
      <c r="T401" s="151">
        <v>-4.0000000000000001E-3</v>
      </c>
      <c r="U401" s="151">
        <v>-4.0000000000000001E-3</v>
      </c>
      <c r="V401" s="151">
        <v>-4.0000000000000001E-3</v>
      </c>
      <c r="W401" s="151">
        <v>-4.0000000000000002E-4</v>
      </c>
      <c r="X401" s="151">
        <v>-4.0000000000000001E-3</v>
      </c>
      <c r="Y401" s="151">
        <v>-4.0000000000000001E-3</v>
      </c>
      <c r="Z401" s="151">
        <v>-4.0000000000000001E-3</v>
      </c>
      <c r="AA401" s="151">
        <v>-4.0000000000000001E-3</v>
      </c>
      <c r="AB401" s="151">
        <v>-4.0000000000000001E-3</v>
      </c>
      <c r="AC401" s="151">
        <v>-4.0000000000000001E-3</v>
      </c>
      <c r="AD401" s="151">
        <v>-4.0000000000000002E-4</v>
      </c>
      <c r="AE401" s="151">
        <v>-4.0000000000000001E-3</v>
      </c>
      <c r="AF401" s="151">
        <v>-4.0000000000000002E-4</v>
      </c>
      <c r="AI401" s="1"/>
      <c r="AJ401" s="1" t="s">
        <v>1754</v>
      </c>
      <c r="AK401" s="324" t="s">
        <v>1661</v>
      </c>
      <c r="AL401" s="749" t="s">
        <v>1661</v>
      </c>
    </row>
    <row r="402" spans="1:38">
      <c r="A402" s="749" t="s">
        <v>3259</v>
      </c>
      <c r="B402" s="17">
        <v>799</v>
      </c>
      <c r="C402" s="1">
        <v>191</v>
      </c>
      <c r="D402" s="1">
        <v>37.4</v>
      </c>
      <c r="E402" s="1">
        <v>3.7</v>
      </c>
      <c r="F402" s="1">
        <v>2.2999999999999998</v>
      </c>
      <c r="G402" s="1" t="s">
        <v>230</v>
      </c>
      <c r="H402" s="1" t="s">
        <v>177</v>
      </c>
      <c r="J402" s="1">
        <v>191</v>
      </c>
      <c r="K402" s="1">
        <v>37.4</v>
      </c>
      <c r="L402" s="1">
        <v>3.7</v>
      </c>
      <c r="M402" s="151">
        <v>-4.0000000000000001E-3</v>
      </c>
      <c r="N402" s="1">
        <v>2.2999999999999998</v>
      </c>
      <c r="O402" s="151">
        <v>-4.0000000000000001E-3</v>
      </c>
      <c r="P402" s="151">
        <v>-4.0000000000000001E-3</v>
      </c>
      <c r="Q402" s="151">
        <v>-4.0000000000000001E-3</v>
      </c>
      <c r="R402" s="151">
        <v>-4.0000000000000001E-3</v>
      </c>
      <c r="S402" s="151">
        <v>-4.0000000000000001E-3</v>
      </c>
      <c r="T402" s="151">
        <v>-4.0000000000000001E-3</v>
      </c>
      <c r="U402" s="151">
        <v>-4.0000000000000001E-3</v>
      </c>
      <c r="V402" s="151">
        <v>-4.0000000000000001E-3</v>
      </c>
      <c r="W402" s="151">
        <v>-4.0000000000000002E-4</v>
      </c>
      <c r="X402" s="151">
        <v>-4.0000000000000001E-3</v>
      </c>
      <c r="Y402" s="151">
        <v>-4.0000000000000001E-3</v>
      </c>
      <c r="Z402" s="151">
        <v>-4.0000000000000001E-3</v>
      </c>
      <c r="AA402" s="151">
        <v>-4.0000000000000001E-3</v>
      </c>
      <c r="AB402" s="151">
        <v>-4.0000000000000001E-3</v>
      </c>
      <c r="AC402" s="151">
        <v>-4.0000000000000001E-3</v>
      </c>
      <c r="AD402" s="151">
        <v>-4.0000000000000002E-4</v>
      </c>
      <c r="AE402" s="151">
        <v>-4.0000000000000001E-3</v>
      </c>
      <c r="AF402" s="151">
        <v>-4.0000000000000002E-4</v>
      </c>
      <c r="AI402" s="1" t="s">
        <v>230</v>
      </c>
      <c r="AJ402" s="1" t="s">
        <v>1754</v>
      </c>
      <c r="AK402" s="1" t="s">
        <v>177</v>
      </c>
      <c r="AL402" s="749" t="s">
        <v>1945</v>
      </c>
    </row>
    <row r="403" spans="1:38">
      <c r="A403" s="24" t="s">
        <v>3278</v>
      </c>
      <c r="B403" s="24">
        <v>1182</v>
      </c>
      <c r="C403" s="24">
        <v>295.5</v>
      </c>
      <c r="D403" s="24">
        <v>22.3</v>
      </c>
      <c r="E403" s="24">
        <v>5.2</v>
      </c>
      <c r="F403" s="24">
        <v>20.9</v>
      </c>
      <c r="G403" s="24" t="s">
        <v>230</v>
      </c>
      <c r="H403" s="24" t="s">
        <v>178</v>
      </c>
      <c r="J403" s="24">
        <v>295.5</v>
      </c>
      <c r="K403" s="24">
        <v>22.3</v>
      </c>
      <c r="L403" s="24">
        <v>5.2</v>
      </c>
      <c r="M403" s="151">
        <v>-4.0000000000000001E-3</v>
      </c>
      <c r="N403" s="24">
        <v>20.9</v>
      </c>
      <c r="O403" s="151">
        <v>-4.0000000000000001E-3</v>
      </c>
      <c r="P403" s="151">
        <v>-4.0000000000000001E-3</v>
      </c>
      <c r="Q403" s="151">
        <v>-4.0000000000000001E-3</v>
      </c>
      <c r="R403" s="151">
        <v>-4.0000000000000001E-3</v>
      </c>
      <c r="S403" s="151">
        <v>-4.0000000000000001E-3</v>
      </c>
      <c r="T403" s="151">
        <v>-4.0000000000000001E-3</v>
      </c>
      <c r="U403" s="151">
        <v>-4.0000000000000001E-3</v>
      </c>
      <c r="V403" s="151">
        <v>-4.0000000000000001E-3</v>
      </c>
      <c r="W403" s="151">
        <v>-4.0000000000000002E-4</v>
      </c>
      <c r="X403" s="151">
        <v>-4.0000000000000001E-3</v>
      </c>
      <c r="Y403" s="151">
        <v>-4.0000000000000001E-3</v>
      </c>
      <c r="Z403" s="151">
        <v>-4.0000000000000001E-3</v>
      </c>
      <c r="AA403" s="151">
        <v>-4.0000000000000001E-3</v>
      </c>
      <c r="AB403" s="151">
        <v>-4.0000000000000001E-3</v>
      </c>
      <c r="AC403" s="151">
        <v>-4.0000000000000001E-3</v>
      </c>
      <c r="AD403" s="151">
        <v>-4.0000000000000002E-4</v>
      </c>
      <c r="AE403" s="151">
        <v>-4.0000000000000001E-3</v>
      </c>
      <c r="AF403" s="151">
        <v>-4.0000000000000002E-4</v>
      </c>
      <c r="AI403" s="24" t="s">
        <v>230</v>
      </c>
      <c r="AJ403" s="1" t="s">
        <v>1754</v>
      </c>
      <c r="AK403" s="24" t="s">
        <v>178</v>
      </c>
      <c r="AL403" s="749" t="s">
        <v>1946</v>
      </c>
    </row>
    <row r="404" spans="1:38">
      <c r="A404" s="1" t="s">
        <v>3279</v>
      </c>
      <c r="B404" s="1">
        <v>325</v>
      </c>
      <c r="C404" s="1">
        <v>78</v>
      </c>
      <c r="D404" s="1">
        <v>11</v>
      </c>
      <c r="E404" s="1">
        <v>1.5</v>
      </c>
      <c r="F404" s="1">
        <v>4</v>
      </c>
      <c r="G404" s="1" t="s">
        <v>231</v>
      </c>
      <c r="H404" s="1" t="s">
        <v>533</v>
      </c>
      <c r="J404" s="1">
        <v>78</v>
      </c>
      <c r="K404" s="1">
        <v>11</v>
      </c>
      <c r="L404" s="1">
        <v>1.5</v>
      </c>
      <c r="M404" s="151">
        <v>-4.0000000000000001E-3</v>
      </c>
      <c r="N404" s="1">
        <v>4</v>
      </c>
      <c r="O404" s="151">
        <v>-4.0000000000000001E-3</v>
      </c>
      <c r="P404" s="151">
        <v>-4.0000000000000001E-3</v>
      </c>
      <c r="Q404" s="151">
        <v>-4.0000000000000001E-3</v>
      </c>
      <c r="R404" s="151">
        <v>-4.0000000000000001E-3</v>
      </c>
      <c r="S404" s="151">
        <v>-4.0000000000000001E-3</v>
      </c>
      <c r="T404" s="151">
        <v>-4.0000000000000001E-3</v>
      </c>
      <c r="U404" s="151">
        <v>-4.0000000000000001E-3</v>
      </c>
      <c r="V404" s="151">
        <v>-4.0000000000000001E-3</v>
      </c>
      <c r="W404" s="151">
        <v>-4.0000000000000002E-4</v>
      </c>
      <c r="X404" s="151">
        <v>-4.0000000000000001E-3</v>
      </c>
      <c r="Y404" s="151">
        <v>-4.0000000000000001E-3</v>
      </c>
      <c r="Z404" s="151">
        <v>-4.0000000000000001E-3</v>
      </c>
      <c r="AA404" s="151">
        <v>-4.0000000000000001E-3</v>
      </c>
      <c r="AB404" s="151">
        <v>-4.0000000000000001E-3</v>
      </c>
      <c r="AC404" s="151">
        <v>-4.0000000000000001E-3</v>
      </c>
      <c r="AD404" s="151">
        <v>-4.0000000000000002E-4</v>
      </c>
      <c r="AE404" s="151">
        <v>-4.0000000000000001E-3</v>
      </c>
      <c r="AF404" s="151">
        <v>-4.0000000000000002E-4</v>
      </c>
      <c r="AI404" s="1" t="s">
        <v>231</v>
      </c>
      <c r="AJ404" s="1" t="s">
        <v>1755</v>
      </c>
      <c r="AK404" s="1" t="s">
        <v>533</v>
      </c>
      <c r="AL404" s="749" t="s">
        <v>1998</v>
      </c>
    </row>
    <row r="405" spans="1:38">
      <c r="A405" s="1" t="s">
        <v>3286</v>
      </c>
      <c r="B405" s="1">
        <v>325</v>
      </c>
      <c r="C405" s="1">
        <v>78</v>
      </c>
      <c r="D405" s="1">
        <v>11</v>
      </c>
      <c r="E405" s="1">
        <v>1.5</v>
      </c>
      <c r="F405" s="1">
        <v>4</v>
      </c>
      <c r="G405" s="1" t="s">
        <v>231</v>
      </c>
      <c r="H405" s="1" t="s">
        <v>533</v>
      </c>
      <c r="J405" s="1">
        <v>78</v>
      </c>
      <c r="K405" s="1">
        <v>11</v>
      </c>
      <c r="L405" s="1">
        <v>1.5</v>
      </c>
      <c r="M405" s="151">
        <v>-4.0000000000000001E-3</v>
      </c>
      <c r="N405" s="1">
        <v>4</v>
      </c>
      <c r="O405" s="151">
        <v>-4.0000000000000001E-3</v>
      </c>
      <c r="P405" s="151">
        <v>-4.0000000000000001E-3</v>
      </c>
      <c r="Q405" s="151">
        <v>-4.0000000000000001E-3</v>
      </c>
      <c r="R405" s="151">
        <v>-4.0000000000000001E-3</v>
      </c>
      <c r="S405" s="151">
        <v>-4.0000000000000001E-3</v>
      </c>
      <c r="T405" s="151">
        <v>-4.0000000000000001E-3</v>
      </c>
      <c r="U405" s="151">
        <v>-4.0000000000000001E-3</v>
      </c>
      <c r="V405" s="151">
        <v>-4.0000000000000001E-3</v>
      </c>
      <c r="W405" s="151">
        <v>-4.0000000000000002E-4</v>
      </c>
      <c r="X405" s="151">
        <v>-4.0000000000000001E-3</v>
      </c>
      <c r="Y405" s="151">
        <v>-4.0000000000000001E-3</v>
      </c>
      <c r="Z405" s="151">
        <v>-4.0000000000000001E-3</v>
      </c>
      <c r="AA405" s="151">
        <v>-4.0000000000000001E-3</v>
      </c>
      <c r="AB405" s="151">
        <v>-4.0000000000000001E-3</v>
      </c>
      <c r="AC405" s="151">
        <v>-4.0000000000000001E-3</v>
      </c>
      <c r="AD405" s="151">
        <v>-4.0000000000000002E-4</v>
      </c>
      <c r="AE405" s="151">
        <v>-4.0000000000000001E-3</v>
      </c>
      <c r="AF405" s="151">
        <v>-4.0000000000000002E-4</v>
      </c>
      <c r="AI405" s="1" t="s">
        <v>231</v>
      </c>
      <c r="AJ405" s="1" t="s">
        <v>1755</v>
      </c>
      <c r="AK405" s="1" t="s">
        <v>533</v>
      </c>
      <c r="AL405" s="749" t="s">
        <v>1998</v>
      </c>
    </row>
    <row r="406" spans="1:38">
      <c r="A406" s="749" t="s">
        <v>3287</v>
      </c>
      <c r="B406" s="1"/>
      <c r="C406" s="1"/>
      <c r="D406" s="1"/>
      <c r="E406" s="1"/>
      <c r="F406" s="1"/>
      <c r="G406" s="1" t="s">
        <v>231</v>
      </c>
      <c r="H406" s="324" t="s">
        <v>1613</v>
      </c>
      <c r="J406" s="1">
        <v>348</v>
      </c>
      <c r="K406" s="1">
        <v>85</v>
      </c>
      <c r="L406" s="1">
        <v>0.4</v>
      </c>
      <c r="M406" s="151">
        <v>-4.0000000000000001E-3</v>
      </c>
      <c r="N406" s="1">
        <v>0.1</v>
      </c>
      <c r="O406" s="4">
        <v>0.1</v>
      </c>
      <c r="P406" s="151">
        <v>-4.0000000000000001E-3</v>
      </c>
      <c r="Q406" s="151">
        <v>-4.0000000000000001E-3</v>
      </c>
      <c r="R406" s="151">
        <v>-4.0000000000000001E-3</v>
      </c>
      <c r="S406" s="151">
        <v>-4.0000000000000001E-3</v>
      </c>
      <c r="T406" s="151">
        <v>-4.0000000000000001E-3</v>
      </c>
      <c r="U406" s="151">
        <v>-4.0000000000000001E-3</v>
      </c>
      <c r="V406" s="151">
        <v>-4.0000000000000001E-3</v>
      </c>
      <c r="W406" s="151">
        <v>-4.0000000000000002E-4</v>
      </c>
      <c r="X406" s="151">
        <v>-4.0000000000000001E-3</v>
      </c>
      <c r="Y406" s="151">
        <v>-4.0000000000000001E-3</v>
      </c>
      <c r="Z406" s="151">
        <v>-4.0000000000000001E-3</v>
      </c>
      <c r="AA406" s="151">
        <v>-4.0000000000000001E-3</v>
      </c>
      <c r="AB406" s="151">
        <v>-4.0000000000000001E-3</v>
      </c>
      <c r="AC406" s="151">
        <v>-4.0000000000000001E-3</v>
      </c>
      <c r="AD406" s="151">
        <v>-4.0000000000000002E-4</v>
      </c>
      <c r="AE406" s="151">
        <v>-4.0000000000000001E-3</v>
      </c>
      <c r="AF406" s="151">
        <v>-4.0000000000000002E-4</v>
      </c>
      <c r="AI406" s="1" t="s">
        <v>231</v>
      </c>
      <c r="AJ406" s="1" t="s">
        <v>1755</v>
      </c>
      <c r="AK406" s="324" t="s">
        <v>1613</v>
      </c>
      <c r="AL406" s="749" t="s">
        <v>1956</v>
      </c>
    </row>
    <row r="407" spans="1:38">
      <c r="A407" s="325" t="s">
        <v>3280</v>
      </c>
      <c r="B407" s="1">
        <v>308</v>
      </c>
      <c r="C407" s="1">
        <v>73</v>
      </c>
      <c r="D407" s="1">
        <v>17.3</v>
      </c>
      <c r="E407" s="1">
        <v>0.6</v>
      </c>
      <c r="F407" s="9">
        <v>0.1</v>
      </c>
      <c r="G407" s="1" t="s">
        <v>231</v>
      </c>
      <c r="H407" s="1" t="s">
        <v>3029</v>
      </c>
      <c r="I407" s="1">
        <v>22</v>
      </c>
      <c r="J407" s="1">
        <v>114</v>
      </c>
      <c r="K407" s="1">
        <v>21.7</v>
      </c>
      <c r="L407" s="1">
        <v>3</v>
      </c>
      <c r="M407" s="1144">
        <v>3.3</v>
      </c>
      <c r="N407" s="9">
        <v>2.4</v>
      </c>
      <c r="O407" s="1144">
        <v>0.44</v>
      </c>
      <c r="P407" s="1144">
        <v>1090</v>
      </c>
      <c r="Q407" s="1144">
        <v>376</v>
      </c>
      <c r="R407" s="1144">
        <v>18.5</v>
      </c>
      <c r="S407" s="1144">
        <v>18</v>
      </c>
      <c r="T407" s="1144">
        <v>34.4</v>
      </c>
      <c r="U407" s="1144">
        <v>0.6</v>
      </c>
      <c r="V407" s="1144">
        <v>0.2</v>
      </c>
      <c r="W407" s="1234">
        <v>6.6000000000000003E-2</v>
      </c>
      <c r="X407" s="1144">
        <v>49.9</v>
      </c>
      <c r="Y407" s="1144">
        <v>0.04</v>
      </c>
      <c r="Z407" s="1144">
        <v>0.05</v>
      </c>
      <c r="AA407" s="1144">
        <v>0.6</v>
      </c>
      <c r="AB407" s="1234">
        <v>0.156</v>
      </c>
      <c r="AC407" s="1234">
        <v>9</v>
      </c>
      <c r="AD407" s="1234">
        <v>0</v>
      </c>
      <c r="AE407" s="1144">
        <v>3.9</v>
      </c>
      <c r="AF407" s="1234">
        <v>0</v>
      </c>
      <c r="AI407" s="1" t="s">
        <v>231</v>
      </c>
      <c r="AJ407" s="1" t="s">
        <v>1755</v>
      </c>
      <c r="AK407" s="1" t="s">
        <v>179</v>
      </c>
      <c r="AL407" s="749" t="s">
        <v>1957</v>
      </c>
    </row>
    <row r="408" spans="1:38">
      <c r="A408" s="1" t="s">
        <v>3281</v>
      </c>
      <c r="B408" s="1">
        <v>308</v>
      </c>
      <c r="C408" s="1">
        <v>73</v>
      </c>
      <c r="D408" s="1">
        <v>17.3</v>
      </c>
      <c r="E408" s="1">
        <v>0.6</v>
      </c>
      <c r="F408" s="9">
        <v>0.1</v>
      </c>
      <c r="G408" s="1" t="s">
        <v>231</v>
      </c>
      <c r="H408" s="1" t="s">
        <v>179</v>
      </c>
      <c r="J408" s="1">
        <v>73</v>
      </c>
      <c r="K408" s="1">
        <v>17.3</v>
      </c>
      <c r="L408" s="1">
        <v>0.6</v>
      </c>
      <c r="M408" s="151">
        <v>-4.0000000000000001E-3</v>
      </c>
      <c r="N408" s="9">
        <v>0.1</v>
      </c>
      <c r="O408" s="151">
        <v>-4.0000000000000001E-3</v>
      </c>
      <c r="P408" s="151">
        <v>-4.0000000000000001E-3</v>
      </c>
      <c r="Q408" s="151">
        <v>-4.0000000000000001E-3</v>
      </c>
      <c r="R408" s="151">
        <v>-4.0000000000000001E-3</v>
      </c>
      <c r="S408" s="151">
        <v>-4.0000000000000001E-3</v>
      </c>
      <c r="T408" s="151">
        <v>-4.0000000000000001E-3</v>
      </c>
      <c r="U408" s="151">
        <v>-4.0000000000000001E-3</v>
      </c>
      <c r="V408" s="151">
        <v>-4.0000000000000001E-3</v>
      </c>
      <c r="W408" s="151">
        <v>-4.0000000000000002E-4</v>
      </c>
      <c r="X408" s="151">
        <v>-4.0000000000000001E-3</v>
      </c>
      <c r="Y408" s="151">
        <v>-4.0000000000000001E-3</v>
      </c>
      <c r="Z408" s="151">
        <v>-4.0000000000000001E-3</v>
      </c>
      <c r="AA408" s="151">
        <v>-4.0000000000000001E-3</v>
      </c>
      <c r="AB408" s="151">
        <v>-4.0000000000000001E-3</v>
      </c>
      <c r="AC408" s="151">
        <v>-4.0000000000000001E-3</v>
      </c>
      <c r="AD408" s="151">
        <v>-4.0000000000000002E-4</v>
      </c>
      <c r="AE408" s="151">
        <v>-4.0000000000000001E-3</v>
      </c>
      <c r="AF408" s="151">
        <v>-4.0000000000000002E-4</v>
      </c>
      <c r="AI408" s="1" t="s">
        <v>231</v>
      </c>
      <c r="AJ408" s="1" t="s">
        <v>1755</v>
      </c>
      <c r="AK408" s="1" t="s">
        <v>179</v>
      </c>
      <c r="AL408" s="749" t="s">
        <v>1957</v>
      </c>
    </row>
    <row r="409" spans="1:38">
      <c r="A409" s="1" t="s">
        <v>1958</v>
      </c>
      <c r="B409" s="1">
        <v>368</v>
      </c>
      <c r="C409" s="1">
        <v>88</v>
      </c>
      <c r="D409" s="1">
        <v>23.53</v>
      </c>
      <c r="E409" s="1">
        <v>0</v>
      </c>
      <c r="F409" s="1">
        <v>0</v>
      </c>
      <c r="G409" s="1" t="s">
        <v>231</v>
      </c>
      <c r="H409" s="1" t="s">
        <v>180</v>
      </c>
      <c r="J409" s="1">
        <v>88</v>
      </c>
      <c r="K409" s="1">
        <v>23.53</v>
      </c>
      <c r="L409" s="1">
        <v>0</v>
      </c>
      <c r="M409" s="151">
        <v>-4.0000000000000001E-3</v>
      </c>
      <c r="N409" s="1">
        <v>0</v>
      </c>
      <c r="O409" s="151">
        <v>-4.0000000000000001E-3</v>
      </c>
      <c r="P409" s="151">
        <v>-4.0000000000000001E-3</v>
      </c>
      <c r="Q409" s="151">
        <v>-4.0000000000000001E-3</v>
      </c>
      <c r="R409" s="151">
        <v>-4.0000000000000001E-3</v>
      </c>
      <c r="S409" s="151">
        <v>-4.0000000000000001E-3</v>
      </c>
      <c r="T409" s="151">
        <v>-4.0000000000000001E-3</v>
      </c>
      <c r="U409" s="151">
        <v>-4.0000000000000001E-3</v>
      </c>
      <c r="V409" s="151">
        <v>-4.0000000000000001E-3</v>
      </c>
      <c r="W409" s="151">
        <v>-4.0000000000000002E-4</v>
      </c>
      <c r="X409" s="151">
        <v>-4.0000000000000001E-3</v>
      </c>
      <c r="Y409" s="151">
        <v>-4.0000000000000001E-3</v>
      </c>
      <c r="Z409" s="151">
        <v>-4.0000000000000001E-3</v>
      </c>
      <c r="AA409" s="151">
        <v>-4.0000000000000001E-3</v>
      </c>
      <c r="AB409" s="151">
        <v>-4.0000000000000001E-3</v>
      </c>
      <c r="AC409" s="151">
        <v>-4.0000000000000001E-3</v>
      </c>
      <c r="AD409" s="151">
        <v>-4.0000000000000002E-4</v>
      </c>
      <c r="AE409" s="151">
        <v>-4.0000000000000001E-3</v>
      </c>
      <c r="AF409" s="151">
        <v>-4.0000000000000002E-4</v>
      </c>
      <c r="AI409" s="1" t="s">
        <v>231</v>
      </c>
      <c r="AJ409" s="1" t="s">
        <v>1755</v>
      </c>
      <c r="AK409" s="1" t="s">
        <v>180</v>
      </c>
      <c r="AL409" s="749" t="s">
        <v>1958</v>
      </c>
    </row>
    <row r="410" spans="1:38">
      <c r="A410" s="1" t="s">
        <v>1959</v>
      </c>
      <c r="B410" s="1">
        <v>326</v>
      </c>
      <c r="C410" s="1">
        <v>78</v>
      </c>
      <c r="D410" s="1">
        <v>18</v>
      </c>
      <c r="E410" s="1">
        <v>1.2</v>
      </c>
      <c r="F410" s="1">
        <v>0.14000000000000001</v>
      </c>
      <c r="G410" s="1" t="s">
        <v>231</v>
      </c>
      <c r="H410" s="1" t="s">
        <v>181</v>
      </c>
      <c r="J410" s="1">
        <v>78</v>
      </c>
      <c r="K410" s="1">
        <v>18</v>
      </c>
      <c r="L410" s="1">
        <v>1.2</v>
      </c>
      <c r="M410" s="151">
        <v>-4.0000000000000001E-3</v>
      </c>
      <c r="N410" s="1">
        <v>0.14000000000000001</v>
      </c>
      <c r="O410" s="151">
        <v>-4.0000000000000001E-3</v>
      </c>
      <c r="P410" s="151">
        <v>-4.0000000000000001E-3</v>
      </c>
      <c r="Q410" s="151">
        <v>-4.0000000000000001E-3</v>
      </c>
      <c r="R410" s="151">
        <v>-4.0000000000000001E-3</v>
      </c>
      <c r="S410" s="151">
        <v>-4.0000000000000001E-3</v>
      </c>
      <c r="T410" s="151">
        <v>-4.0000000000000001E-3</v>
      </c>
      <c r="U410" s="151">
        <v>-4.0000000000000001E-3</v>
      </c>
      <c r="V410" s="151">
        <v>-4.0000000000000001E-3</v>
      </c>
      <c r="W410" s="151">
        <v>-4.0000000000000002E-4</v>
      </c>
      <c r="X410" s="151">
        <v>-4.0000000000000001E-3</v>
      </c>
      <c r="Y410" s="151">
        <v>-4.0000000000000001E-3</v>
      </c>
      <c r="Z410" s="151">
        <v>-4.0000000000000001E-3</v>
      </c>
      <c r="AA410" s="151">
        <v>-4.0000000000000001E-3</v>
      </c>
      <c r="AB410" s="151">
        <v>-4.0000000000000001E-3</v>
      </c>
      <c r="AC410" s="151">
        <v>-4.0000000000000001E-3</v>
      </c>
      <c r="AD410" s="151">
        <v>-4.0000000000000002E-4</v>
      </c>
      <c r="AE410" s="151">
        <v>-4.0000000000000001E-3</v>
      </c>
      <c r="AF410" s="151">
        <v>-4.0000000000000002E-4</v>
      </c>
      <c r="AI410" s="1" t="s">
        <v>231</v>
      </c>
      <c r="AJ410" s="1" t="s">
        <v>1755</v>
      </c>
      <c r="AK410" s="1" t="s">
        <v>181</v>
      </c>
      <c r="AL410" s="749" t="s">
        <v>1959</v>
      </c>
    </row>
    <row r="411" spans="1:38">
      <c r="A411" s="1" t="s">
        <v>1960</v>
      </c>
      <c r="B411" s="1">
        <v>322</v>
      </c>
      <c r="C411" s="1">
        <v>77</v>
      </c>
      <c r="D411" s="1">
        <v>17.8</v>
      </c>
      <c r="E411" s="1">
        <v>1.1000000000000001</v>
      </c>
      <c r="F411" s="1">
        <v>0.1</v>
      </c>
      <c r="G411" s="1" t="s">
        <v>231</v>
      </c>
      <c r="H411" s="1" t="s">
        <v>182</v>
      </c>
      <c r="J411" s="1">
        <v>77</v>
      </c>
      <c r="K411" s="1">
        <v>17.8</v>
      </c>
      <c r="L411" s="1">
        <v>1.1000000000000001</v>
      </c>
      <c r="M411" s="151">
        <v>-4.0000000000000001E-3</v>
      </c>
      <c r="N411" s="1">
        <v>0.1</v>
      </c>
      <c r="O411" s="151">
        <v>-4.0000000000000001E-3</v>
      </c>
      <c r="P411" s="151">
        <v>-4.0000000000000001E-3</v>
      </c>
      <c r="Q411" s="151">
        <v>-4.0000000000000001E-3</v>
      </c>
      <c r="R411" s="151">
        <v>-4.0000000000000001E-3</v>
      </c>
      <c r="S411" s="151">
        <v>-4.0000000000000001E-3</v>
      </c>
      <c r="T411" s="151">
        <v>-4.0000000000000001E-3</v>
      </c>
      <c r="U411" s="151">
        <v>-4.0000000000000001E-3</v>
      </c>
      <c r="V411" s="151">
        <v>-4.0000000000000001E-3</v>
      </c>
      <c r="W411" s="151">
        <v>-4.0000000000000002E-4</v>
      </c>
      <c r="X411" s="151">
        <v>-4.0000000000000001E-3</v>
      </c>
      <c r="Y411" s="151">
        <v>-4.0000000000000001E-3</v>
      </c>
      <c r="Z411" s="151">
        <v>-4.0000000000000001E-3</v>
      </c>
      <c r="AA411" s="151">
        <v>-4.0000000000000001E-3</v>
      </c>
      <c r="AB411" s="151">
        <v>-4.0000000000000001E-3</v>
      </c>
      <c r="AC411" s="151">
        <v>-4.0000000000000001E-3</v>
      </c>
      <c r="AD411" s="151">
        <v>-4.0000000000000002E-4</v>
      </c>
      <c r="AE411" s="151">
        <v>-4.0000000000000001E-3</v>
      </c>
      <c r="AF411" s="151">
        <v>-4.0000000000000002E-4</v>
      </c>
      <c r="AI411" s="1" t="s">
        <v>231</v>
      </c>
      <c r="AJ411" s="1" t="s">
        <v>1755</v>
      </c>
      <c r="AK411" s="1" t="s">
        <v>182</v>
      </c>
      <c r="AL411" s="749" t="s">
        <v>1960</v>
      </c>
    </row>
    <row r="412" spans="1:38">
      <c r="A412" s="749" t="s">
        <v>3288</v>
      </c>
      <c r="B412" s="10">
        <v>110.9</v>
      </c>
      <c r="C412" s="1">
        <v>26.5</v>
      </c>
      <c r="D412" s="1">
        <v>5.5</v>
      </c>
      <c r="E412" s="1">
        <v>0.9</v>
      </c>
      <c r="F412" s="1">
        <v>0.1</v>
      </c>
      <c r="G412" s="1" t="s">
        <v>231</v>
      </c>
      <c r="H412" s="47" t="s">
        <v>348</v>
      </c>
      <c r="I412" s="47" t="s">
        <v>1645</v>
      </c>
      <c r="J412" s="1">
        <v>27</v>
      </c>
      <c r="K412" s="1">
        <v>5.5</v>
      </c>
      <c r="L412" s="1">
        <v>0.9</v>
      </c>
      <c r="M412" s="49">
        <v>0.4</v>
      </c>
      <c r="N412" s="1">
        <v>0.1</v>
      </c>
      <c r="O412" s="4">
        <v>0</v>
      </c>
      <c r="P412" s="77">
        <v>472</v>
      </c>
      <c r="Q412" s="49">
        <v>193</v>
      </c>
      <c r="R412" s="49">
        <v>13</v>
      </c>
      <c r="S412" s="49">
        <v>8</v>
      </c>
      <c r="T412" s="49">
        <v>21</v>
      </c>
      <c r="U412" s="49">
        <v>0.4</v>
      </c>
      <c r="V412" s="151">
        <v>-4.0000000000000001E-3</v>
      </c>
      <c r="W412" s="151">
        <v>-4.0000000000000002E-4</v>
      </c>
      <c r="X412" s="49">
        <v>156</v>
      </c>
      <c r="Y412" s="49">
        <v>0.05</v>
      </c>
      <c r="Z412" s="49">
        <v>0.03</v>
      </c>
      <c r="AA412" s="151">
        <v>-4.0000000000000001E-3</v>
      </c>
      <c r="AB412" s="49">
        <v>0.08</v>
      </c>
      <c r="AC412" s="49">
        <v>18</v>
      </c>
      <c r="AD412" s="135">
        <v>-4.0000000000000002E-4</v>
      </c>
      <c r="AE412" s="49">
        <v>8</v>
      </c>
      <c r="AF412" s="151">
        <v>-4.0000000000000002E-4</v>
      </c>
      <c r="AI412" s="1" t="s">
        <v>231</v>
      </c>
      <c r="AJ412" s="1" t="s">
        <v>1755</v>
      </c>
      <c r="AK412" s="47" t="s">
        <v>348</v>
      </c>
      <c r="AL412" s="749" t="s">
        <v>348</v>
      </c>
    </row>
    <row r="413" spans="1:38" ht="15">
      <c r="A413" s="1" t="s">
        <v>1961</v>
      </c>
      <c r="B413" s="13">
        <v>372</v>
      </c>
      <c r="C413" s="12">
        <v>88</v>
      </c>
      <c r="D413" s="13">
        <v>1</v>
      </c>
      <c r="E413" s="13">
        <v>16.5</v>
      </c>
      <c r="F413" s="13">
        <v>0.5</v>
      </c>
      <c r="G413" s="1" t="s">
        <v>231</v>
      </c>
      <c r="H413" s="1" t="s">
        <v>183</v>
      </c>
      <c r="J413" s="12">
        <v>88</v>
      </c>
      <c r="K413" s="13">
        <v>1</v>
      </c>
      <c r="L413" s="13">
        <v>16.5</v>
      </c>
      <c r="M413" s="151">
        <v>-4.0000000000000001E-3</v>
      </c>
      <c r="N413" s="13">
        <v>0.5</v>
      </c>
      <c r="O413" s="151">
        <v>-4.0000000000000001E-3</v>
      </c>
      <c r="P413" s="151">
        <v>-4.0000000000000001E-3</v>
      </c>
      <c r="Q413" s="151">
        <v>-4.0000000000000001E-3</v>
      </c>
      <c r="R413" s="151">
        <v>-4.0000000000000001E-3</v>
      </c>
      <c r="S413" s="151">
        <v>-4.0000000000000001E-3</v>
      </c>
      <c r="T413" s="151">
        <v>-4.0000000000000001E-3</v>
      </c>
      <c r="U413" s="151">
        <v>-4.0000000000000001E-3</v>
      </c>
      <c r="V413" s="151">
        <v>-4.0000000000000001E-3</v>
      </c>
      <c r="W413" s="151">
        <v>-4.0000000000000002E-4</v>
      </c>
      <c r="X413" s="151">
        <v>-4.0000000000000001E-3</v>
      </c>
      <c r="Y413" s="151">
        <v>-4.0000000000000001E-3</v>
      </c>
      <c r="Z413" s="151">
        <v>-4.0000000000000001E-3</v>
      </c>
      <c r="AA413" s="151">
        <v>-4.0000000000000001E-3</v>
      </c>
      <c r="AB413" s="151">
        <v>-4.0000000000000001E-3</v>
      </c>
      <c r="AC413" s="151">
        <v>-4.0000000000000001E-3</v>
      </c>
      <c r="AD413" s="151">
        <v>-4.0000000000000002E-4</v>
      </c>
      <c r="AE413" s="151">
        <v>-4.0000000000000001E-3</v>
      </c>
      <c r="AF413" s="151">
        <v>-4.0000000000000002E-4</v>
      </c>
      <c r="AI413" s="1" t="s">
        <v>231</v>
      </c>
      <c r="AJ413" s="1" t="s">
        <v>1755</v>
      </c>
      <c r="AK413" s="1" t="s">
        <v>183</v>
      </c>
      <c r="AL413" s="749" t="s">
        <v>1961</v>
      </c>
    </row>
    <row r="414" spans="1:38" ht="15">
      <c r="A414" s="749" t="s">
        <v>3289</v>
      </c>
      <c r="B414" s="144"/>
      <c r="C414" s="1153"/>
      <c r="D414" s="144"/>
      <c r="E414" s="144"/>
      <c r="F414" s="144"/>
      <c r="G414" s="82" t="s">
        <v>231</v>
      </c>
      <c r="H414" s="398" t="s">
        <v>2063</v>
      </c>
      <c r="I414" s="749" t="s">
        <v>2064</v>
      </c>
      <c r="J414" s="82">
        <v>2.4</v>
      </c>
      <c r="K414" s="144">
        <v>0</v>
      </c>
      <c r="L414" s="144">
        <v>0</v>
      </c>
      <c r="M414" s="4">
        <v>0</v>
      </c>
      <c r="N414" s="144">
        <v>0</v>
      </c>
      <c r="O414" s="4">
        <v>0</v>
      </c>
      <c r="P414" s="4">
        <v>6</v>
      </c>
      <c r="Q414" s="4">
        <v>0</v>
      </c>
      <c r="R414" s="4">
        <v>1.5</v>
      </c>
      <c r="S414" s="4">
        <v>0</v>
      </c>
      <c r="T414" s="4">
        <v>0</v>
      </c>
      <c r="U414" s="4">
        <v>0</v>
      </c>
      <c r="V414" s="4">
        <v>0</v>
      </c>
      <c r="W414" s="4">
        <v>0</v>
      </c>
      <c r="X414" s="4">
        <v>0</v>
      </c>
      <c r="Y414" s="4">
        <v>0</v>
      </c>
      <c r="Z414" s="4">
        <v>0</v>
      </c>
      <c r="AA414" s="4">
        <v>0</v>
      </c>
      <c r="AB414" s="4">
        <v>0</v>
      </c>
      <c r="AC414" s="4">
        <v>0</v>
      </c>
      <c r="AD414" s="4">
        <v>0</v>
      </c>
      <c r="AE414" s="4">
        <v>0</v>
      </c>
      <c r="AF414" s="4">
        <v>0</v>
      </c>
      <c r="AI414" s="82"/>
      <c r="AJ414" s="82"/>
      <c r="AK414" s="82"/>
    </row>
    <row r="415" spans="1:38">
      <c r="A415" s="1" t="s">
        <v>1962</v>
      </c>
      <c r="B415" s="1">
        <v>997</v>
      </c>
      <c r="C415" s="1">
        <v>238</v>
      </c>
      <c r="D415" s="1">
        <v>9.23</v>
      </c>
      <c r="E415" s="1">
        <v>0.37</v>
      </c>
      <c r="F415" s="1">
        <v>22.22</v>
      </c>
      <c r="G415" s="1" t="s">
        <v>231</v>
      </c>
      <c r="H415" s="1" t="s">
        <v>184</v>
      </c>
      <c r="J415" s="1">
        <v>238</v>
      </c>
      <c r="K415" s="1">
        <v>9.23</v>
      </c>
      <c r="L415" s="1">
        <v>0.37</v>
      </c>
      <c r="M415" s="151">
        <v>-4.0000000000000001E-3</v>
      </c>
      <c r="N415" s="1">
        <v>22.22</v>
      </c>
      <c r="O415" s="151">
        <v>-4.0000000000000001E-3</v>
      </c>
      <c r="P415" s="151">
        <v>-4.0000000000000001E-3</v>
      </c>
      <c r="Q415" s="151">
        <v>-4.0000000000000001E-3</v>
      </c>
      <c r="R415" s="151">
        <v>-4.0000000000000001E-3</v>
      </c>
      <c r="S415" s="151">
        <v>-4.0000000000000001E-3</v>
      </c>
      <c r="T415" s="151">
        <v>-4.0000000000000001E-3</v>
      </c>
      <c r="U415" s="151">
        <v>-4.0000000000000001E-3</v>
      </c>
      <c r="V415" s="151">
        <v>-4.0000000000000001E-3</v>
      </c>
      <c r="W415" s="151">
        <v>-4.0000000000000002E-4</v>
      </c>
      <c r="X415" s="151">
        <v>-4.0000000000000001E-3</v>
      </c>
      <c r="Y415" s="151">
        <v>-4.0000000000000001E-3</v>
      </c>
      <c r="Z415" s="151">
        <v>-4.0000000000000001E-3</v>
      </c>
      <c r="AA415" s="151">
        <v>-4.0000000000000001E-3</v>
      </c>
      <c r="AB415" s="151">
        <v>-4.0000000000000001E-3</v>
      </c>
      <c r="AC415" s="151">
        <v>-4.0000000000000001E-3</v>
      </c>
      <c r="AD415" s="151">
        <v>-4.0000000000000002E-4</v>
      </c>
      <c r="AE415" s="151">
        <v>-4.0000000000000001E-3</v>
      </c>
      <c r="AF415" s="151">
        <v>-4.0000000000000002E-4</v>
      </c>
      <c r="AI415" s="1" t="s">
        <v>231</v>
      </c>
      <c r="AJ415" s="1" t="s">
        <v>1755</v>
      </c>
      <c r="AK415" s="1" t="s">
        <v>184</v>
      </c>
      <c r="AL415" s="749" t="s">
        <v>1962</v>
      </c>
    </row>
    <row r="416" spans="1:38">
      <c r="A416" s="1232" t="s">
        <v>1963</v>
      </c>
      <c r="B416" s="1">
        <v>2844</v>
      </c>
      <c r="C416" s="1">
        <v>680</v>
      </c>
      <c r="D416" s="1">
        <v>0.56999999999999995</v>
      </c>
      <c r="E416" s="1">
        <v>0.96</v>
      </c>
      <c r="F416" s="1">
        <v>74.849999999999994</v>
      </c>
      <c r="G416" s="1" t="s">
        <v>231</v>
      </c>
      <c r="H416" s="1" t="s">
        <v>3030</v>
      </c>
      <c r="I416" s="1">
        <v>22</v>
      </c>
      <c r="J416" s="1">
        <v>728</v>
      </c>
      <c r="K416" s="1">
        <v>2.17</v>
      </c>
      <c r="L416" s="1">
        <v>1.29</v>
      </c>
      <c r="M416" s="1234">
        <v>0</v>
      </c>
      <c r="N416" s="1">
        <v>80.81</v>
      </c>
      <c r="O416" s="1144">
        <v>7.6</v>
      </c>
      <c r="P416" s="1144">
        <v>491</v>
      </c>
      <c r="Q416" s="1144">
        <v>25</v>
      </c>
      <c r="R416" s="1144">
        <v>18</v>
      </c>
      <c r="S416" s="1144">
        <v>6</v>
      </c>
      <c r="T416" s="1144">
        <v>44</v>
      </c>
      <c r="U416" s="1144">
        <v>0.64</v>
      </c>
      <c r="V416" s="1144">
        <v>0.15</v>
      </c>
      <c r="W416" s="1144">
        <v>0.28999999999999998</v>
      </c>
      <c r="X416" s="1144">
        <v>79</v>
      </c>
      <c r="Y416" s="1144">
        <v>0.04</v>
      </c>
      <c r="Z416" s="1144">
        <v>4.2999999999999997E-2</v>
      </c>
      <c r="AA416" s="1144">
        <v>0.54</v>
      </c>
      <c r="AB416" s="1144">
        <v>0.01</v>
      </c>
      <c r="AC416" s="1144">
        <v>5</v>
      </c>
      <c r="AD416" s="1234">
        <v>0.12</v>
      </c>
      <c r="AE416" s="1234">
        <v>0</v>
      </c>
      <c r="AF416" s="1234">
        <v>0.2</v>
      </c>
      <c r="AI416" s="1" t="s">
        <v>231</v>
      </c>
      <c r="AJ416" s="1" t="s">
        <v>1755</v>
      </c>
      <c r="AK416" s="1" t="s">
        <v>185</v>
      </c>
      <c r="AL416" s="749" t="s">
        <v>1963</v>
      </c>
    </row>
    <row r="417" spans="1:38">
      <c r="A417" s="1" t="s">
        <v>1964</v>
      </c>
      <c r="B417" s="1">
        <v>2902</v>
      </c>
      <c r="C417" s="1">
        <v>705</v>
      </c>
      <c r="D417" s="1">
        <v>2.6</v>
      </c>
      <c r="E417" s="1">
        <v>1.1000000000000001</v>
      </c>
      <c r="F417" s="1">
        <v>76.8</v>
      </c>
      <c r="G417" s="1" t="s">
        <v>231</v>
      </c>
      <c r="H417" s="1" t="s">
        <v>186</v>
      </c>
      <c r="J417" s="1">
        <v>705</v>
      </c>
      <c r="K417" s="1">
        <v>2.6</v>
      </c>
      <c r="L417" s="1">
        <v>1.1000000000000001</v>
      </c>
      <c r="M417" s="151">
        <v>-4.0000000000000001E-3</v>
      </c>
      <c r="N417" s="1">
        <v>76.8</v>
      </c>
      <c r="O417" s="151">
        <v>-4.0000000000000001E-3</v>
      </c>
      <c r="P417" s="151">
        <v>-4.0000000000000001E-3</v>
      </c>
      <c r="Q417" s="151">
        <v>-4.0000000000000001E-3</v>
      </c>
      <c r="R417" s="151">
        <v>-4.0000000000000001E-3</v>
      </c>
      <c r="S417" s="151">
        <v>-4.0000000000000001E-3</v>
      </c>
      <c r="T417" s="151">
        <v>-4.0000000000000001E-3</v>
      </c>
      <c r="U417" s="151">
        <v>-4.0000000000000001E-3</v>
      </c>
      <c r="V417" s="151">
        <v>-4.0000000000000001E-3</v>
      </c>
      <c r="W417" s="151">
        <v>-4.0000000000000002E-4</v>
      </c>
      <c r="X417" s="151">
        <v>-4.0000000000000001E-3</v>
      </c>
      <c r="Y417" s="151">
        <v>-4.0000000000000001E-3</v>
      </c>
      <c r="Z417" s="151">
        <v>-4.0000000000000001E-3</v>
      </c>
      <c r="AA417" s="151">
        <v>-4.0000000000000001E-3</v>
      </c>
      <c r="AB417" s="151">
        <v>-4.0000000000000001E-3</v>
      </c>
      <c r="AC417" s="151">
        <v>-4.0000000000000001E-3</v>
      </c>
      <c r="AD417" s="151">
        <v>-4.0000000000000002E-4</v>
      </c>
      <c r="AE417" s="151">
        <v>-4.0000000000000001E-3</v>
      </c>
      <c r="AF417" s="151">
        <v>-4.0000000000000002E-4</v>
      </c>
      <c r="AI417" s="1" t="s">
        <v>231</v>
      </c>
      <c r="AJ417" s="1" t="s">
        <v>1755</v>
      </c>
      <c r="AK417" s="1" t="s">
        <v>186</v>
      </c>
      <c r="AL417" s="749" t="s">
        <v>1964</v>
      </c>
    </row>
    <row r="418" spans="1:38">
      <c r="A418" s="1154" t="s">
        <v>3290</v>
      </c>
      <c r="B418" s="1"/>
      <c r="C418" s="1"/>
      <c r="D418" s="1"/>
      <c r="E418" s="1"/>
      <c r="F418" s="1"/>
      <c r="G418" s="1" t="s">
        <v>231</v>
      </c>
      <c r="H418" s="1" t="s">
        <v>2834</v>
      </c>
      <c r="J418" s="1">
        <v>119</v>
      </c>
      <c r="K418" s="1">
        <v>15.9</v>
      </c>
      <c r="L418" s="1">
        <v>5.4</v>
      </c>
      <c r="M418" s="4">
        <v>4.9000000000000004</v>
      </c>
      <c r="N418" s="82">
        <v>3.7</v>
      </c>
      <c r="O418" s="4">
        <v>0.53</v>
      </c>
      <c r="P418" s="4">
        <v>443</v>
      </c>
      <c r="Q418" s="4">
        <v>368</v>
      </c>
      <c r="R418" s="4">
        <v>26</v>
      </c>
      <c r="S418" s="4">
        <v>40</v>
      </c>
      <c r="T418" s="4">
        <v>105</v>
      </c>
      <c r="U418" s="4">
        <v>1.6</v>
      </c>
      <c r="V418" s="4">
        <v>0.69</v>
      </c>
      <c r="W418" s="4">
        <v>0.19600000000000001</v>
      </c>
      <c r="X418" s="4">
        <v>0</v>
      </c>
      <c r="Y418" s="4">
        <v>0.09</v>
      </c>
      <c r="Z418" s="4">
        <v>0.1</v>
      </c>
      <c r="AA418" s="4">
        <v>0.43</v>
      </c>
      <c r="AB418" s="4">
        <v>0.115</v>
      </c>
      <c r="AC418" s="4">
        <v>21</v>
      </c>
      <c r="AD418" s="4">
        <v>0</v>
      </c>
      <c r="AE418" s="4">
        <v>0.6</v>
      </c>
      <c r="AF418" s="4">
        <v>0</v>
      </c>
      <c r="AI418" s="1"/>
      <c r="AJ418" s="1"/>
      <c r="AK418" s="1"/>
    </row>
    <row r="419" spans="1:38">
      <c r="A419" s="749" t="s">
        <v>3291</v>
      </c>
      <c r="B419" s="1"/>
      <c r="C419" s="1"/>
      <c r="D419" s="1"/>
      <c r="E419" s="1"/>
      <c r="F419" s="1"/>
      <c r="G419" s="1" t="s">
        <v>231</v>
      </c>
      <c r="H419" s="1" t="s">
        <v>2835</v>
      </c>
      <c r="J419" s="1">
        <v>177</v>
      </c>
      <c r="K419" s="1">
        <v>20</v>
      </c>
      <c r="L419" s="1">
        <v>4.9000000000000004</v>
      </c>
      <c r="M419" s="4">
        <v>4</v>
      </c>
      <c r="N419" s="1">
        <v>8.6</v>
      </c>
      <c r="O419" s="4">
        <v>1.1399999999999999</v>
      </c>
      <c r="P419" s="4">
        <v>242</v>
      </c>
      <c r="Q419" s="4">
        <v>173</v>
      </c>
      <c r="R419" s="4">
        <v>49</v>
      </c>
      <c r="S419" s="4">
        <v>29</v>
      </c>
      <c r="T419" s="4">
        <v>110</v>
      </c>
      <c r="U419" s="4">
        <v>1.56</v>
      </c>
      <c r="V419" s="4">
        <v>1.0900000000000001</v>
      </c>
      <c r="W419" s="4">
        <v>0.224</v>
      </c>
      <c r="X419" s="4">
        <v>0</v>
      </c>
      <c r="Y419" s="4">
        <v>8.8999999999999996E-2</v>
      </c>
      <c r="Z419" s="4">
        <v>5.1999999999999998E-2</v>
      </c>
      <c r="AA419" s="4">
        <v>0.39900000000000002</v>
      </c>
      <c r="AB419" s="4">
        <v>0.39900000000000002</v>
      </c>
      <c r="AC419" s="4">
        <v>59</v>
      </c>
      <c r="AD419" s="4">
        <v>0</v>
      </c>
      <c r="AE419" s="4">
        <v>7.9</v>
      </c>
      <c r="AF419" s="4">
        <v>0</v>
      </c>
      <c r="AI419" s="1"/>
      <c r="AJ419" s="1"/>
      <c r="AK419" s="1"/>
    </row>
    <row r="420" spans="1:38">
      <c r="A420" s="1233" t="s">
        <v>3293</v>
      </c>
      <c r="B420" s="10">
        <v>179.9</v>
      </c>
      <c r="C420" s="1">
        <v>43</v>
      </c>
      <c r="D420" s="1">
        <v>9.1</v>
      </c>
      <c r="E420" s="15">
        <v>2</v>
      </c>
      <c r="F420" s="1">
        <v>0.2</v>
      </c>
      <c r="G420" s="1" t="s">
        <v>231</v>
      </c>
      <c r="H420" s="47" t="s">
        <v>3031</v>
      </c>
      <c r="I420" s="47">
        <v>22</v>
      </c>
      <c r="J420" s="49">
        <v>97.753999999999991</v>
      </c>
      <c r="K420" s="49">
        <v>19.600000000000001</v>
      </c>
      <c r="L420" s="49">
        <v>4.4000000000000004</v>
      </c>
      <c r="M420" s="49">
        <v>3.6</v>
      </c>
      <c r="N420" s="49">
        <v>0.9</v>
      </c>
      <c r="O420" s="65">
        <v>0.16599999999999998</v>
      </c>
      <c r="P420" s="49">
        <v>433</v>
      </c>
      <c r="Q420" s="49">
        <v>798</v>
      </c>
      <c r="R420" s="49">
        <v>19.899999999999999</v>
      </c>
      <c r="S420" s="49">
        <v>30</v>
      </c>
      <c r="T420" s="49">
        <v>41.900000000000006</v>
      </c>
      <c r="U420" s="49">
        <v>0.6</v>
      </c>
      <c r="V420" s="49">
        <v>0.2</v>
      </c>
      <c r="W420" s="65">
        <v>0.15</v>
      </c>
      <c r="X420" s="49">
        <v>61.2</v>
      </c>
      <c r="Y420" s="49">
        <v>0.1</v>
      </c>
      <c r="Z420" s="49">
        <v>0.05</v>
      </c>
      <c r="AA420" s="49">
        <v>1.8</v>
      </c>
      <c r="AB420" s="1234">
        <v>0.35</v>
      </c>
      <c r="AC420" s="49">
        <v>72</v>
      </c>
      <c r="AD420" s="1234">
        <v>0</v>
      </c>
      <c r="AE420" s="49">
        <v>9</v>
      </c>
      <c r="AF420" s="1234">
        <v>0</v>
      </c>
      <c r="AI420" s="1" t="s">
        <v>231</v>
      </c>
      <c r="AJ420" s="1" t="s">
        <v>1755</v>
      </c>
      <c r="AK420" s="47" t="s">
        <v>349</v>
      </c>
      <c r="AL420" s="749" t="s">
        <v>1965</v>
      </c>
    </row>
    <row r="421" spans="1:38">
      <c r="A421" s="1" t="s">
        <v>3282</v>
      </c>
      <c r="B421" s="10">
        <v>110.9</v>
      </c>
      <c r="C421" s="1">
        <v>26.5</v>
      </c>
      <c r="D421" s="1">
        <v>5.5</v>
      </c>
      <c r="E421" s="1">
        <v>0.9</v>
      </c>
      <c r="F421" s="1">
        <v>0.1</v>
      </c>
      <c r="G421" s="1" t="s">
        <v>231</v>
      </c>
      <c r="H421" s="47" t="s">
        <v>348</v>
      </c>
      <c r="I421" s="47">
        <v>16</v>
      </c>
      <c r="J421" s="49">
        <v>21</v>
      </c>
      <c r="K421" s="49">
        <v>4</v>
      </c>
      <c r="L421" s="49">
        <v>1</v>
      </c>
      <c r="M421" s="49">
        <v>0.6</v>
      </c>
      <c r="N421" s="1">
        <v>0.1</v>
      </c>
      <c r="O421" s="151">
        <v>-4.0000000000000001E-3</v>
      </c>
      <c r="P421" s="49">
        <v>365</v>
      </c>
      <c r="Q421" s="49">
        <v>193</v>
      </c>
      <c r="R421" s="49">
        <v>13</v>
      </c>
      <c r="S421" s="49">
        <v>8</v>
      </c>
      <c r="T421" s="49">
        <v>21</v>
      </c>
      <c r="U421" s="49">
        <v>0.4</v>
      </c>
      <c r="V421" s="151">
        <v>-4.0000000000000001E-3</v>
      </c>
      <c r="W421" s="151">
        <v>-4.0000000000000002E-4</v>
      </c>
      <c r="X421" s="49">
        <v>156</v>
      </c>
      <c r="Y421" s="49">
        <v>0.05</v>
      </c>
      <c r="Z421" s="49">
        <v>0.03</v>
      </c>
      <c r="AA421" s="151">
        <v>-4.0000000000000001E-3</v>
      </c>
      <c r="AB421" s="49">
        <v>0.08</v>
      </c>
      <c r="AC421" s="49">
        <v>18</v>
      </c>
      <c r="AD421" s="135">
        <v>-4.0000000000000002E-4</v>
      </c>
      <c r="AE421" s="49">
        <v>8</v>
      </c>
      <c r="AF421" s="151">
        <v>-4.0000000000000002E-4</v>
      </c>
      <c r="AI421" s="1" t="s">
        <v>231</v>
      </c>
      <c r="AJ421" s="1" t="s">
        <v>1755</v>
      </c>
      <c r="AK421" s="47" t="s">
        <v>348</v>
      </c>
      <c r="AL421" s="749" t="s">
        <v>348</v>
      </c>
    </row>
    <row r="422" spans="1:38">
      <c r="A422" s="1233" t="s">
        <v>3283</v>
      </c>
      <c r="B422" s="1">
        <v>391</v>
      </c>
      <c r="C422" s="1">
        <v>92</v>
      </c>
      <c r="D422" s="1">
        <v>23</v>
      </c>
      <c r="E422" s="1">
        <v>0</v>
      </c>
      <c r="F422" s="1">
        <v>0</v>
      </c>
      <c r="G422" s="1" t="s">
        <v>231</v>
      </c>
      <c r="H422" s="38" t="s">
        <v>358</v>
      </c>
      <c r="I422" s="38">
        <v>22</v>
      </c>
      <c r="J422" s="40">
        <v>82</v>
      </c>
      <c r="K422" s="40">
        <v>19.900000000000002</v>
      </c>
      <c r="L422" s="40">
        <v>0.19999999999999998</v>
      </c>
      <c r="M422" s="34">
        <v>4.0000000000000007E-4</v>
      </c>
      <c r="N422" s="34">
        <v>0</v>
      </c>
      <c r="O422" s="74">
        <v>0</v>
      </c>
      <c r="P422" s="42">
        <v>11800</v>
      </c>
      <c r="Q422" s="42">
        <v>49</v>
      </c>
      <c r="R422" s="42">
        <v>8.9999999999999982</v>
      </c>
      <c r="S422" s="42">
        <v>8.9</v>
      </c>
      <c r="T422" s="42">
        <v>8</v>
      </c>
      <c r="U422" s="37">
        <v>2.2540000000000001E-2</v>
      </c>
      <c r="V422" s="37">
        <v>4.0000000000000003E-5</v>
      </c>
      <c r="W422" s="68">
        <v>2.5999999999999998E-5</v>
      </c>
      <c r="X422" s="37">
        <v>0</v>
      </c>
      <c r="Y422" s="37">
        <v>0</v>
      </c>
      <c r="Z422" s="37">
        <v>0</v>
      </c>
      <c r="AA422" s="37">
        <v>0</v>
      </c>
      <c r="AB422" s="37">
        <v>0</v>
      </c>
      <c r="AC422" s="37">
        <v>0</v>
      </c>
      <c r="AD422" s="37">
        <v>0</v>
      </c>
      <c r="AE422" s="37">
        <v>0</v>
      </c>
      <c r="AF422" s="37">
        <v>0</v>
      </c>
      <c r="AI422" s="1" t="s">
        <v>231</v>
      </c>
      <c r="AJ422" s="1" t="s">
        <v>1755</v>
      </c>
      <c r="AK422" s="38" t="s">
        <v>358</v>
      </c>
      <c r="AL422" s="749" t="s">
        <v>358</v>
      </c>
    </row>
    <row r="423" spans="1:38">
      <c r="A423" s="749" t="s">
        <v>1999</v>
      </c>
      <c r="B423" s="1">
        <v>201</v>
      </c>
      <c r="C423" s="1">
        <v>48</v>
      </c>
      <c r="D423" s="1">
        <v>11.29</v>
      </c>
      <c r="E423" s="1">
        <v>1.18</v>
      </c>
      <c r="F423" s="1">
        <v>0.69</v>
      </c>
      <c r="G423" s="1" t="s">
        <v>231</v>
      </c>
      <c r="H423" s="1" t="s">
        <v>187</v>
      </c>
      <c r="J423" s="1">
        <v>48</v>
      </c>
      <c r="K423" s="1">
        <v>11.29</v>
      </c>
      <c r="L423" s="1">
        <v>1.18</v>
      </c>
      <c r="M423" s="151">
        <v>-4.0000000000000001E-3</v>
      </c>
      <c r="N423" s="1">
        <v>0.69</v>
      </c>
      <c r="O423" s="151">
        <v>-4.0000000000000001E-3</v>
      </c>
      <c r="P423" s="151">
        <v>-4.0000000000000001E-3</v>
      </c>
      <c r="Q423" s="151">
        <v>-4.0000000000000001E-3</v>
      </c>
      <c r="R423" s="151">
        <v>-4.0000000000000001E-3</v>
      </c>
      <c r="S423" s="151">
        <v>-4.0000000000000001E-3</v>
      </c>
      <c r="T423" s="151">
        <v>-4.0000000000000001E-3</v>
      </c>
      <c r="U423" s="151">
        <v>-4.0000000000000001E-3</v>
      </c>
      <c r="V423" s="151">
        <v>-4.0000000000000001E-3</v>
      </c>
      <c r="W423" s="151">
        <v>-4.0000000000000002E-4</v>
      </c>
      <c r="X423" s="151">
        <v>-4.0000000000000001E-3</v>
      </c>
      <c r="Y423" s="151">
        <v>-4.0000000000000001E-3</v>
      </c>
      <c r="Z423" s="151">
        <v>-4.0000000000000001E-3</v>
      </c>
      <c r="AA423" s="151">
        <v>-4.0000000000000001E-3</v>
      </c>
      <c r="AB423" s="151">
        <v>-4.0000000000000001E-3</v>
      </c>
      <c r="AC423" s="151">
        <v>-4.0000000000000001E-3</v>
      </c>
      <c r="AD423" s="151">
        <v>-4.0000000000000002E-4</v>
      </c>
      <c r="AE423" s="151">
        <v>-4.0000000000000001E-3</v>
      </c>
      <c r="AF423" s="151">
        <v>-4.0000000000000002E-4</v>
      </c>
      <c r="AI423" s="1" t="s">
        <v>231</v>
      </c>
      <c r="AJ423" s="1" t="s">
        <v>1755</v>
      </c>
      <c r="AK423" s="1" t="s">
        <v>187</v>
      </c>
      <c r="AL423" s="749" t="s">
        <v>1999</v>
      </c>
    </row>
    <row r="424" spans="1:38">
      <c r="A424" s="1" t="s">
        <v>492</v>
      </c>
      <c r="B424" s="1">
        <v>251</v>
      </c>
      <c r="C424" s="1">
        <v>60</v>
      </c>
      <c r="D424" s="1">
        <v>5.83</v>
      </c>
      <c r="E424" s="1">
        <v>3.74</v>
      </c>
      <c r="F424" s="1">
        <v>3.34</v>
      </c>
      <c r="G424" s="1" t="s">
        <v>231</v>
      </c>
      <c r="H424" s="1" t="s">
        <v>188</v>
      </c>
      <c r="J424" s="1">
        <v>60</v>
      </c>
      <c r="K424" s="1">
        <v>5.83</v>
      </c>
      <c r="L424" s="1">
        <v>3.74</v>
      </c>
      <c r="M424" s="151">
        <v>-4.0000000000000001E-3</v>
      </c>
      <c r="N424" s="1">
        <v>3.34</v>
      </c>
      <c r="O424" s="151">
        <v>-4.0000000000000001E-3</v>
      </c>
      <c r="P424" s="151">
        <v>-4.0000000000000001E-3</v>
      </c>
      <c r="Q424" s="151">
        <v>-4.0000000000000001E-3</v>
      </c>
      <c r="R424" s="151">
        <v>-4.0000000000000001E-3</v>
      </c>
      <c r="S424" s="151">
        <v>-4.0000000000000001E-3</v>
      </c>
      <c r="T424" s="151">
        <v>-4.0000000000000001E-3</v>
      </c>
      <c r="U424" s="151">
        <v>-4.0000000000000001E-3</v>
      </c>
      <c r="V424" s="151">
        <v>-4.0000000000000001E-3</v>
      </c>
      <c r="W424" s="151">
        <v>-4.0000000000000002E-4</v>
      </c>
      <c r="X424" s="151">
        <v>-4.0000000000000001E-3</v>
      </c>
      <c r="Y424" s="151">
        <v>-4.0000000000000001E-3</v>
      </c>
      <c r="Z424" s="151">
        <v>-4.0000000000000001E-3</v>
      </c>
      <c r="AA424" s="151">
        <v>-4.0000000000000001E-3</v>
      </c>
      <c r="AB424" s="151">
        <v>-4.0000000000000001E-3</v>
      </c>
      <c r="AC424" s="151">
        <v>-4.0000000000000001E-3</v>
      </c>
      <c r="AD424" s="151">
        <v>-4.0000000000000002E-4</v>
      </c>
      <c r="AE424" s="151">
        <v>-4.0000000000000001E-3</v>
      </c>
      <c r="AF424" s="151">
        <v>-4.0000000000000002E-4</v>
      </c>
      <c r="AI424" s="1" t="s">
        <v>231</v>
      </c>
      <c r="AJ424" s="1" t="s">
        <v>1755</v>
      </c>
      <c r="AK424" s="1" t="s">
        <v>188</v>
      </c>
      <c r="AL424" s="749" t="s">
        <v>492</v>
      </c>
    </row>
    <row r="425" spans="1:38">
      <c r="A425" s="1233" t="s">
        <v>498</v>
      </c>
      <c r="B425" s="14">
        <v>71</v>
      </c>
      <c r="C425" s="1">
        <v>17</v>
      </c>
      <c r="D425" s="20">
        <v>0.93</v>
      </c>
      <c r="E425" s="20">
        <v>0</v>
      </c>
      <c r="F425" s="20">
        <v>0</v>
      </c>
      <c r="G425" s="1" t="s">
        <v>231</v>
      </c>
      <c r="H425" s="38" t="s">
        <v>361</v>
      </c>
      <c r="I425" s="38">
        <v>22</v>
      </c>
      <c r="J425" s="40">
        <v>32</v>
      </c>
      <c r="K425" s="40">
        <v>9.5999999999999979</v>
      </c>
      <c r="L425" s="40">
        <v>0.03</v>
      </c>
      <c r="M425" s="34">
        <v>0</v>
      </c>
      <c r="N425" s="34">
        <v>0</v>
      </c>
      <c r="O425" s="74">
        <v>0</v>
      </c>
      <c r="P425" s="42">
        <v>20</v>
      </c>
      <c r="Q425" s="42">
        <v>88.999999999999986</v>
      </c>
      <c r="R425" s="42">
        <v>14.999999999999998</v>
      </c>
      <c r="S425" s="42">
        <v>22</v>
      </c>
      <c r="T425" s="42">
        <v>32</v>
      </c>
      <c r="U425" s="42">
        <v>0.5</v>
      </c>
      <c r="V425" s="42">
        <v>6.3E-3</v>
      </c>
      <c r="W425" s="70">
        <v>0</v>
      </c>
      <c r="X425" s="37">
        <v>0</v>
      </c>
      <c r="Y425" s="37">
        <v>0</v>
      </c>
      <c r="Z425" s="37">
        <v>0</v>
      </c>
      <c r="AA425" s="37">
        <v>0</v>
      </c>
      <c r="AB425" s="37">
        <v>0</v>
      </c>
      <c r="AC425" s="37">
        <v>0</v>
      </c>
      <c r="AD425" s="37">
        <v>0</v>
      </c>
      <c r="AE425" s="37">
        <v>0</v>
      </c>
      <c r="AF425" s="37">
        <v>0</v>
      </c>
      <c r="AI425" s="1" t="s">
        <v>232</v>
      </c>
      <c r="AJ425" s="1" t="s">
        <v>1756</v>
      </c>
      <c r="AK425" s="38" t="s">
        <v>361</v>
      </c>
      <c r="AL425" s="749" t="s">
        <v>361</v>
      </c>
    </row>
    <row r="426" spans="1:38">
      <c r="A426" s="1" t="s">
        <v>3284</v>
      </c>
      <c r="B426" s="1"/>
      <c r="C426" s="1"/>
      <c r="D426" s="1"/>
      <c r="E426" s="1"/>
      <c r="F426" s="1"/>
      <c r="G426" s="1" t="s">
        <v>231</v>
      </c>
      <c r="H426" s="324" t="s">
        <v>2062</v>
      </c>
      <c r="I426" s="749">
        <v>19</v>
      </c>
      <c r="J426" s="4">
        <v>133</v>
      </c>
      <c r="K426" s="4">
        <v>33</v>
      </c>
      <c r="L426" s="4">
        <v>0</v>
      </c>
      <c r="M426" s="4">
        <v>0</v>
      </c>
      <c r="N426" s="4">
        <v>0</v>
      </c>
      <c r="O426" s="67">
        <v>0</v>
      </c>
      <c r="P426" s="3">
        <v>7.0000000000000009</v>
      </c>
      <c r="Q426" s="3">
        <v>17</v>
      </c>
      <c r="R426" s="3">
        <v>9.0000000000000018</v>
      </c>
      <c r="S426" s="3">
        <v>3</v>
      </c>
      <c r="T426" s="3">
        <v>0</v>
      </c>
      <c r="U426" s="3">
        <v>0.2</v>
      </c>
      <c r="V426" s="3">
        <v>0.1</v>
      </c>
      <c r="W426" s="69">
        <v>0</v>
      </c>
      <c r="X426" s="37">
        <v>0</v>
      </c>
      <c r="Y426" s="37">
        <v>0</v>
      </c>
      <c r="Z426" s="37">
        <v>0</v>
      </c>
      <c r="AA426" s="37">
        <v>0</v>
      </c>
      <c r="AB426" s="37">
        <v>0</v>
      </c>
      <c r="AC426" s="37">
        <v>0</v>
      </c>
      <c r="AD426" s="37">
        <v>0</v>
      </c>
      <c r="AE426" s="37">
        <v>0</v>
      </c>
      <c r="AF426" s="37">
        <v>0</v>
      </c>
      <c r="AI426" s="1" t="s">
        <v>232</v>
      </c>
      <c r="AJ426" s="1" t="s">
        <v>1756</v>
      </c>
      <c r="AK426" s="749" t="s">
        <v>357</v>
      </c>
      <c r="AL426" s="749" t="s">
        <v>357</v>
      </c>
    </row>
    <row r="427" spans="1:38">
      <c r="A427" s="1" t="s">
        <v>3285</v>
      </c>
      <c r="B427" s="1">
        <v>90</v>
      </c>
      <c r="C427" s="1">
        <v>21</v>
      </c>
      <c r="D427" s="1">
        <v>0.93</v>
      </c>
      <c r="E427" s="1">
        <v>0</v>
      </c>
      <c r="F427" s="1">
        <v>0</v>
      </c>
      <c r="G427" s="1" t="s">
        <v>231</v>
      </c>
      <c r="H427" s="749" t="s">
        <v>357</v>
      </c>
      <c r="I427" s="749">
        <v>19</v>
      </c>
      <c r="J427" s="4">
        <v>26</v>
      </c>
      <c r="K427" s="4">
        <v>7.0000000000000009</v>
      </c>
      <c r="L427" s="4">
        <v>0.4</v>
      </c>
      <c r="M427" s="4">
        <v>0</v>
      </c>
      <c r="N427" s="4">
        <v>0</v>
      </c>
      <c r="O427" s="67">
        <v>0</v>
      </c>
      <c r="P427" s="3">
        <v>7.0000000000000009</v>
      </c>
      <c r="Q427" s="3">
        <v>17</v>
      </c>
      <c r="R427" s="3">
        <v>9.0000000000000018</v>
      </c>
      <c r="S427" s="3">
        <v>3</v>
      </c>
      <c r="T427" s="3">
        <v>0</v>
      </c>
      <c r="U427" s="3">
        <v>0.2</v>
      </c>
      <c r="V427" s="3">
        <v>0.1</v>
      </c>
      <c r="W427" s="69">
        <v>0</v>
      </c>
      <c r="X427" s="37">
        <v>0</v>
      </c>
      <c r="Y427" s="37">
        <v>0</v>
      </c>
      <c r="Z427" s="37">
        <v>0</v>
      </c>
      <c r="AA427" s="37">
        <v>0</v>
      </c>
      <c r="AB427" s="37">
        <v>0</v>
      </c>
      <c r="AC427" s="37">
        <v>0</v>
      </c>
      <c r="AD427" s="37">
        <v>0</v>
      </c>
      <c r="AE427" s="37">
        <v>0</v>
      </c>
      <c r="AF427" s="37">
        <v>0</v>
      </c>
      <c r="AI427" s="1" t="s">
        <v>232</v>
      </c>
      <c r="AJ427" s="1" t="s">
        <v>1756</v>
      </c>
      <c r="AK427" s="749" t="s">
        <v>357</v>
      </c>
      <c r="AL427" s="749" t="s">
        <v>357</v>
      </c>
    </row>
    <row r="428" spans="1:38">
      <c r="A428" s="1231" t="s">
        <v>3294</v>
      </c>
      <c r="B428" s="1"/>
      <c r="C428" s="1"/>
      <c r="D428" s="1"/>
      <c r="E428" s="1"/>
      <c r="F428" s="1"/>
      <c r="G428" s="1" t="s">
        <v>231</v>
      </c>
      <c r="H428" s="1"/>
      <c r="J428" s="1">
        <v>0</v>
      </c>
      <c r="K428" s="1">
        <v>0</v>
      </c>
      <c r="L428" s="1">
        <v>0</v>
      </c>
      <c r="M428" s="4">
        <v>0</v>
      </c>
      <c r="N428" s="1">
        <v>0</v>
      </c>
      <c r="O428" s="151">
        <v>-4.0000000000000001E-3</v>
      </c>
      <c r="P428" s="4">
        <v>27400</v>
      </c>
      <c r="Q428" s="4">
        <v>0</v>
      </c>
      <c r="R428" s="4">
        <v>0</v>
      </c>
      <c r="S428" s="4">
        <v>0</v>
      </c>
      <c r="T428" s="4">
        <v>0</v>
      </c>
      <c r="U428" s="4">
        <v>0</v>
      </c>
      <c r="V428" s="4">
        <v>0</v>
      </c>
      <c r="W428" s="4">
        <v>0</v>
      </c>
      <c r="X428" s="4">
        <v>0</v>
      </c>
      <c r="Y428" s="4">
        <v>0</v>
      </c>
      <c r="Z428" s="4">
        <v>0</v>
      </c>
      <c r="AA428" s="4">
        <v>0</v>
      </c>
      <c r="AB428" s="4">
        <v>0</v>
      </c>
      <c r="AC428" s="4">
        <v>0</v>
      </c>
      <c r="AD428" s="4">
        <v>0</v>
      </c>
      <c r="AE428" s="4">
        <v>0</v>
      </c>
      <c r="AF428" s="4">
        <v>0</v>
      </c>
      <c r="AI428" s="1" t="s">
        <v>231</v>
      </c>
      <c r="AJ428" s="1" t="s">
        <v>1755</v>
      </c>
      <c r="AK428" s="1"/>
    </row>
    <row r="429" spans="1:38" s="492" customFormat="1">
      <c r="A429" s="24" t="s">
        <v>3292</v>
      </c>
      <c r="B429" s="336">
        <v>110.9</v>
      </c>
      <c r="C429" s="24">
        <v>26.5</v>
      </c>
      <c r="D429" s="24">
        <v>5.5</v>
      </c>
      <c r="E429" s="24">
        <v>0.9</v>
      </c>
      <c r="F429" s="24">
        <v>0.1</v>
      </c>
      <c r="G429" s="24" t="s">
        <v>231</v>
      </c>
      <c r="H429" s="340" t="s">
        <v>348</v>
      </c>
      <c r="I429" s="340">
        <v>16</v>
      </c>
      <c r="J429" s="24">
        <v>27</v>
      </c>
      <c r="K429" s="24">
        <v>5.5</v>
      </c>
      <c r="L429" s="24">
        <v>0.9</v>
      </c>
      <c r="M429" s="341">
        <v>0.6</v>
      </c>
      <c r="N429" s="24">
        <v>0.1</v>
      </c>
      <c r="O429" s="342">
        <v>-4.0000000000000001E-3</v>
      </c>
      <c r="P429" s="344">
        <v>472</v>
      </c>
      <c r="Q429" s="341">
        <v>193</v>
      </c>
      <c r="R429" s="341">
        <v>13</v>
      </c>
      <c r="S429" s="341">
        <v>8</v>
      </c>
      <c r="T429" s="341">
        <v>21</v>
      </c>
      <c r="U429" s="341">
        <v>0.4</v>
      </c>
      <c r="V429" s="342">
        <v>-4.0000000000000001E-3</v>
      </c>
      <c r="W429" s="342">
        <v>-4.0000000000000002E-4</v>
      </c>
      <c r="X429" s="341">
        <v>156</v>
      </c>
      <c r="Y429" s="341">
        <v>0.05</v>
      </c>
      <c r="Z429" s="341">
        <v>0.03</v>
      </c>
      <c r="AA429" s="342">
        <v>-4.0000000000000001E-3</v>
      </c>
      <c r="AB429" s="341">
        <v>0.08</v>
      </c>
      <c r="AC429" s="341">
        <v>18</v>
      </c>
      <c r="AD429" s="343">
        <v>-4.0000000000000002E-4</v>
      </c>
      <c r="AE429" s="341">
        <v>8</v>
      </c>
      <c r="AF429" s="342">
        <v>-4.0000000000000002E-4</v>
      </c>
      <c r="AI429" s="24" t="s">
        <v>231</v>
      </c>
      <c r="AJ429" s="1" t="s">
        <v>1755</v>
      </c>
      <c r="AK429" s="340" t="s">
        <v>348</v>
      </c>
      <c r="AL429" s="492" t="s">
        <v>348</v>
      </c>
    </row>
    <row r="430" spans="1:38">
      <c r="A430" s="1" t="s">
        <v>1966</v>
      </c>
      <c r="B430" s="10">
        <v>974.9</v>
      </c>
      <c r="C430" s="1">
        <v>233</v>
      </c>
      <c r="D430" s="1">
        <v>14.7</v>
      </c>
      <c r="E430" s="1">
        <v>9.3000000000000007</v>
      </c>
      <c r="F430" s="1">
        <v>21</v>
      </c>
      <c r="G430" s="1" t="s">
        <v>232</v>
      </c>
      <c r="H430" s="1" t="s">
        <v>189</v>
      </c>
      <c r="J430" s="1">
        <v>233</v>
      </c>
      <c r="K430" s="1">
        <v>14.7</v>
      </c>
      <c r="L430" s="1">
        <v>9.3000000000000007</v>
      </c>
      <c r="M430" s="151">
        <v>-4.0000000000000001E-3</v>
      </c>
      <c r="N430" s="1">
        <v>21</v>
      </c>
      <c r="O430" s="151">
        <v>-4.0000000000000001E-3</v>
      </c>
      <c r="P430" s="151">
        <v>-4.0000000000000001E-3</v>
      </c>
      <c r="Q430" s="151">
        <v>-4.0000000000000001E-3</v>
      </c>
      <c r="R430" s="151">
        <v>-4.0000000000000001E-3</v>
      </c>
      <c r="S430" s="151">
        <v>-4.0000000000000001E-3</v>
      </c>
      <c r="T430" s="151">
        <v>-4.0000000000000001E-3</v>
      </c>
      <c r="U430" s="151">
        <v>-4.0000000000000001E-3</v>
      </c>
      <c r="V430" s="151">
        <v>-4.0000000000000001E-3</v>
      </c>
      <c r="W430" s="151">
        <v>-4.0000000000000002E-4</v>
      </c>
      <c r="X430" s="151">
        <v>-4.0000000000000001E-3</v>
      </c>
      <c r="Y430" s="151">
        <v>-4.0000000000000001E-3</v>
      </c>
      <c r="Z430" s="151">
        <v>-4.0000000000000001E-3</v>
      </c>
      <c r="AA430" s="151">
        <v>-4.0000000000000001E-3</v>
      </c>
      <c r="AB430" s="151">
        <v>-4.0000000000000001E-3</v>
      </c>
      <c r="AC430" s="151">
        <v>-4.0000000000000001E-3</v>
      </c>
      <c r="AD430" s="151">
        <v>-4.0000000000000002E-4</v>
      </c>
      <c r="AE430" s="151">
        <v>-4.0000000000000001E-3</v>
      </c>
      <c r="AF430" s="151">
        <v>-4.0000000000000002E-4</v>
      </c>
      <c r="AI430" s="1" t="s">
        <v>232</v>
      </c>
      <c r="AJ430" s="1" t="s">
        <v>1756</v>
      </c>
      <c r="AK430" s="1" t="s">
        <v>189</v>
      </c>
      <c r="AL430" s="749" t="s">
        <v>1966</v>
      </c>
    </row>
    <row r="431" spans="1:38">
      <c r="A431" s="1" t="s">
        <v>3295</v>
      </c>
      <c r="B431" s="10"/>
      <c r="C431" s="1"/>
      <c r="D431" s="1"/>
      <c r="E431" s="1"/>
      <c r="F431" s="1"/>
      <c r="G431" s="1" t="s">
        <v>232</v>
      </c>
      <c r="H431" s="324" t="s">
        <v>1562</v>
      </c>
      <c r="J431" s="1">
        <v>331</v>
      </c>
      <c r="K431" s="1">
        <v>73</v>
      </c>
      <c r="L431" s="1">
        <v>17</v>
      </c>
      <c r="M431" s="4">
        <v>9</v>
      </c>
      <c r="N431" s="82">
        <v>0.7</v>
      </c>
      <c r="O431" s="4">
        <v>0</v>
      </c>
      <c r="P431" s="4">
        <v>60</v>
      </c>
      <c r="Q431" s="4">
        <v>1193</v>
      </c>
      <c r="R431" s="4">
        <v>79</v>
      </c>
      <c r="S431" s="4">
        <v>77</v>
      </c>
      <c r="T431" s="4">
        <v>414</v>
      </c>
      <c r="U431" s="4">
        <v>6</v>
      </c>
      <c r="V431" s="4">
        <v>3</v>
      </c>
      <c r="W431" s="4">
        <v>0.5</v>
      </c>
      <c r="X431" s="151">
        <v>-4.0000000000000001E-3</v>
      </c>
      <c r="Y431" s="4">
        <v>0.43</v>
      </c>
      <c r="Z431" s="4">
        <v>0.14000000000000001</v>
      </c>
      <c r="AA431" s="4">
        <v>0.8</v>
      </c>
      <c r="AB431" s="4">
        <v>1.7</v>
      </c>
      <c r="AC431" s="151">
        <v>-4.0000000000000001E-3</v>
      </c>
      <c r="AD431" s="4">
        <v>0</v>
      </c>
      <c r="AE431" s="4">
        <v>1.2</v>
      </c>
      <c r="AF431" s="151">
        <v>-4.0000000000000002E-4</v>
      </c>
      <c r="AI431" s="1" t="s">
        <v>232</v>
      </c>
      <c r="AJ431" s="1" t="s">
        <v>1756</v>
      </c>
      <c r="AK431" s="324" t="s">
        <v>1562</v>
      </c>
      <c r="AL431" s="749" t="s">
        <v>1967</v>
      </c>
    </row>
    <row r="432" spans="1:38">
      <c r="A432" s="325" t="s">
        <v>3296</v>
      </c>
      <c r="B432" s="1">
        <v>1050</v>
      </c>
      <c r="C432" s="1">
        <v>251</v>
      </c>
      <c r="D432" s="1">
        <v>63.95</v>
      </c>
      <c r="E432" s="1">
        <v>10.39</v>
      </c>
      <c r="F432" s="1">
        <v>3.26</v>
      </c>
      <c r="G432" s="1" t="s">
        <v>232</v>
      </c>
      <c r="H432" s="749" t="s">
        <v>360</v>
      </c>
      <c r="I432" s="27">
        <v>22</v>
      </c>
      <c r="J432" s="4">
        <v>347.24999999999994</v>
      </c>
      <c r="K432" s="4">
        <v>62.750000000000007</v>
      </c>
      <c r="L432" s="4">
        <v>9.5</v>
      </c>
      <c r="M432" s="4">
        <v>0.01</v>
      </c>
      <c r="N432" s="4">
        <v>6.5</v>
      </c>
      <c r="O432" s="67">
        <v>0.5</v>
      </c>
      <c r="P432" s="3">
        <v>25.5</v>
      </c>
      <c r="Q432" s="3">
        <v>650.5</v>
      </c>
      <c r="R432" s="3">
        <v>127</v>
      </c>
      <c r="S432" s="3">
        <v>6.8400000000000002E-2</v>
      </c>
      <c r="T432" s="3">
        <v>151.5</v>
      </c>
      <c r="U432" s="3">
        <v>10.25</v>
      </c>
      <c r="V432" s="3">
        <v>4.7599999999999997E-4</v>
      </c>
      <c r="W432" s="69">
        <v>5.3200000000000003E-4</v>
      </c>
      <c r="X432" s="3">
        <v>95</v>
      </c>
      <c r="Y432" s="37">
        <v>4.32E-5</v>
      </c>
      <c r="Z432" s="37">
        <v>7.2000000000000002E-5</v>
      </c>
      <c r="AA432" s="3">
        <v>0.5</v>
      </c>
      <c r="AB432" s="37">
        <v>1.164E-4</v>
      </c>
      <c r="AC432" s="37">
        <v>6.8000000000000005E-3</v>
      </c>
      <c r="AD432" s="3">
        <v>0</v>
      </c>
      <c r="AE432" s="3">
        <v>0</v>
      </c>
      <c r="AF432" s="3">
        <v>0</v>
      </c>
      <c r="AI432" s="1" t="s">
        <v>232</v>
      </c>
      <c r="AJ432" s="1" t="s">
        <v>1756</v>
      </c>
      <c r="AK432" s="749" t="s">
        <v>360</v>
      </c>
      <c r="AL432" s="749" t="s">
        <v>360</v>
      </c>
    </row>
    <row r="433" spans="1:38">
      <c r="A433" s="1" t="s">
        <v>3514</v>
      </c>
      <c r="B433" s="1">
        <v>1050</v>
      </c>
      <c r="C433" s="1">
        <v>251</v>
      </c>
      <c r="D433" s="1">
        <v>63.95</v>
      </c>
      <c r="E433" s="1">
        <v>10.39</v>
      </c>
      <c r="F433" s="1">
        <v>3.26</v>
      </c>
      <c r="G433" s="1" t="s">
        <v>232</v>
      </c>
      <c r="H433" s="749" t="s">
        <v>360</v>
      </c>
      <c r="I433" s="27">
        <v>19</v>
      </c>
      <c r="J433" s="4">
        <v>347.24999999999994</v>
      </c>
      <c r="K433" s="4">
        <v>62.750000000000007</v>
      </c>
      <c r="L433" s="4">
        <v>9.5</v>
      </c>
      <c r="M433" s="4">
        <v>0.01</v>
      </c>
      <c r="N433" s="4">
        <v>6.5</v>
      </c>
      <c r="O433" s="67">
        <v>0.5</v>
      </c>
      <c r="P433" s="3">
        <v>25.5</v>
      </c>
      <c r="Q433" s="3">
        <v>650.5</v>
      </c>
      <c r="R433" s="3">
        <v>127</v>
      </c>
      <c r="S433" s="3">
        <v>6.8400000000000002E-2</v>
      </c>
      <c r="T433" s="3">
        <v>151.5</v>
      </c>
      <c r="U433" s="3">
        <v>10.25</v>
      </c>
      <c r="V433" s="3">
        <v>4.7599999999999997E-4</v>
      </c>
      <c r="W433" s="69">
        <v>5.3200000000000003E-4</v>
      </c>
      <c r="X433" s="3">
        <v>95</v>
      </c>
      <c r="Y433" s="37">
        <v>4.32E-5</v>
      </c>
      <c r="Z433" s="37">
        <v>7.2000000000000002E-5</v>
      </c>
      <c r="AA433" s="3">
        <v>0.5</v>
      </c>
      <c r="AB433" s="37">
        <v>1.164E-4</v>
      </c>
      <c r="AC433" s="37">
        <v>6.8000000000000005E-3</v>
      </c>
      <c r="AD433" s="3">
        <v>0</v>
      </c>
      <c r="AE433" s="3">
        <v>0</v>
      </c>
      <c r="AF433" s="3">
        <v>0</v>
      </c>
      <c r="AI433" s="1" t="s">
        <v>232</v>
      </c>
      <c r="AJ433" s="1" t="s">
        <v>1756</v>
      </c>
      <c r="AK433" s="749" t="s">
        <v>360</v>
      </c>
      <c r="AL433" s="749" t="s">
        <v>360</v>
      </c>
    </row>
    <row r="434" spans="1:38">
      <c r="A434" s="1" t="s">
        <v>3297</v>
      </c>
      <c r="B434" s="1">
        <v>976</v>
      </c>
      <c r="C434" s="1">
        <v>233</v>
      </c>
      <c r="D434" s="1">
        <v>47.75</v>
      </c>
      <c r="E434" s="1">
        <v>22.98</v>
      </c>
      <c r="F434" s="1">
        <v>4.07</v>
      </c>
      <c r="G434" s="1" t="s">
        <v>232</v>
      </c>
      <c r="H434" s="1" t="s">
        <v>190</v>
      </c>
      <c r="J434" s="1">
        <v>233</v>
      </c>
      <c r="K434" s="1">
        <v>47.75</v>
      </c>
      <c r="L434" s="1">
        <v>22.98</v>
      </c>
      <c r="M434" s="151">
        <v>-4.0000000000000001E-3</v>
      </c>
      <c r="N434" s="1">
        <v>4.07</v>
      </c>
      <c r="O434" s="151">
        <v>-4.0000000000000001E-3</v>
      </c>
      <c r="P434" s="151">
        <v>-4.0000000000000001E-3</v>
      </c>
      <c r="Q434" s="151">
        <v>-4.0000000000000001E-3</v>
      </c>
      <c r="R434" s="151">
        <v>-4.0000000000000001E-3</v>
      </c>
      <c r="S434" s="151">
        <v>-4.0000000000000001E-3</v>
      </c>
      <c r="T434" s="151">
        <v>-4.0000000000000001E-3</v>
      </c>
      <c r="U434" s="151">
        <v>-4.0000000000000001E-3</v>
      </c>
      <c r="V434" s="151">
        <v>-4.0000000000000001E-3</v>
      </c>
      <c r="W434" s="151">
        <v>-4.0000000000000002E-4</v>
      </c>
      <c r="X434" s="151">
        <v>-4.0000000000000001E-3</v>
      </c>
      <c r="Y434" s="151">
        <v>-4.0000000000000001E-3</v>
      </c>
      <c r="Z434" s="151">
        <v>-4.0000000000000001E-3</v>
      </c>
      <c r="AA434" s="151">
        <v>-4.0000000000000001E-3</v>
      </c>
      <c r="AB434" s="151">
        <v>-4.0000000000000001E-3</v>
      </c>
      <c r="AC434" s="151">
        <v>-4.0000000000000001E-3</v>
      </c>
      <c r="AD434" s="151">
        <v>-4.0000000000000002E-4</v>
      </c>
      <c r="AE434" s="151">
        <v>-4.0000000000000001E-3</v>
      </c>
      <c r="AF434" s="151">
        <v>-4.0000000000000002E-4</v>
      </c>
      <c r="AI434" s="1" t="s">
        <v>232</v>
      </c>
      <c r="AJ434" s="1" t="s">
        <v>1756</v>
      </c>
      <c r="AK434" s="1" t="s">
        <v>190</v>
      </c>
      <c r="AL434" s="749" t="s">
        <v>1968</v>
      </c>
    </row>
    <row r="435" spans="1:38">
      <c r="A435" s="1" t="s">
        <v>1969</v>
      </c>
      <c r="B435" s="1">
        <v>1035</v>
      </c>
      <c r="C435" s="1">
        <v>247</v>
      </c>
      <c r="D435" s="1">
        <v>80.59</v>
      </c>
      <c r="E435" s="1">
        <v>3.99</v>
      </c>
      <c r="F435" s="1">
        <v>1.24</v>
      </c>
      <c r="G435" s="1" t="s">
        <v>232</v>
      </c>
      <c r="H435" s="1" t="s">
        <v>191</v>
      </c>
      <c r="J435" s="1">
        <v>247</v>
      </c>
      <c r="K435" s="1">
        <v>80.59</v>
      </c>
      <c r="L435" s="1">
        <v>3.99</v>
      </c>
      <c r="M435" s="151">
        <v>-4.0000000000000001E-3</v>
      </c>
      <c r="N435" s="1">
        <v>1.24</v>
      </c>
      <c r="O435" s="151">
        <v>-4.0000000000000001E-3</v>
      </c>
      <c r="P435" s="151">
        <v>-4.0000000000000001E-3</v>
      </c>
      <c r="Q435" s="151">
        <v>-4.0000000000000001E-3</v>
      </c>
      <c r="R435" s="151">
        <v>-4.0000000000000001E-3</v>
      </c>
      <c r="S435" s="151">
        <v>-4.0000000000000001E-3</v>
      </c>
      <c r="T435" s="151">
        <v>-4.0000000000000001E-3</v>
      </c>
      <c r="U435" s="151">
        <v>-4.0000000000000001E-3</v>
      </c>
      <c r="V435" s="151">
        <v>-4.0000000000000001E-3</v>
      </c>
      <c r="W435" s="151">
        <v>-4.0000000000000002E-4</v>
      </c>
      <c r="X435" s="151">
        <v>-4.0000000000000001E-3</v>
      </c>
      <c r="Y435" s="151">
        <v>-4.0000000000000001E-3</v>
      </c>
      <c r="Z435" s="151">
        <v>-4.0000000000000001E-3</v>
      </c>
      <c r="AA435" s="151">
        <v>-4.0000000000000001E-3</v>
      </c>
      <c r="AB435" s="151">
        <v>-4.0000000000000001E-3</v>
      </c>
      <c r="AC435" s="151">
        <v>-4.0000000000000001E-3</v>
      </c>
      <c r="AD435" s="151">
        <v>-4.0000000000000002E-4</v>
      </c>
      <c r="AE435" s="151">
        <v>-4.0000000000000001E-3</v>
      </c>
      <c r="AF435" s="151">
        <v>-4.0000000000000002E-4</v>
      </c>
      <c r="AI435" s="1" t="s">
        <v>232</v>
      </c>
      <c r="AJ435" s="1" t="s">
        <v>1756</v>
      </c>
      <c r="AK435" s="1" t="s">
        <v>191</v>
      </c>
      <c r="AL435" s="749" t="s">
        <v>1969</v>
      </c>
    </row>
    <row r="436" spans="1:38">
      <c r="A436" s="325" t="s">
        <v>3513</v>
      </c>
      <c r="B436" s="1">
        <v>583</v>
      </c>
      <c r="C436" s="1">
        <v>137</v>
      </c>
      <c r="D436" s="1">
        <v>32</v>
      </c>
      <c r="E436" s="1">
        <v>8.5</v>
      </c>
      <c r="F436" s="1">
        <v>0.5</v>
      </c>
      <c r="G436" s="1" t="s">
        <v>232</v>
      </c>
      <c r="H436" s="38" t="s">
        <v>365</v>
      </c>
      <c r="I436" s="38">
        <v>22</v>
      </c>
      <c r="J436" s="40">
        <v>290.99999999999994</v>
      </c>
      <c r="K436" s="40">
        <v>55.499999999999993</v>
      </c>
      <c r="L436" s="40">
        <v>10.999999999999998</v>
      </c>
      <c r="M436" s="40">
        <v>0</v>
      </c>
      <c r="N436" s="40">
        <v>2.4</v>
      </c>
      <c r="O436" s="75">
        <v>0</v>
      </c>
      <c r="P436" s="43">
        <v>0</v>
      </c>
      <c r="Q436" s="43">
        <v>0</v>
      </c>
      <c r="R436" s="42">
        <v>135</v>
      </c>
      <c r="S436" s="43">
        <v>0</v>
      </c>
      <c r="T436" s="42">
        <v>70.999999999999986</v>
      </c>
      <c r="U436" s="42">
        <v>2.8999999999999995</v>
      </c>
      <c r="V436" s="43">
        <v>0</v>
      </c>
      <c r="W436" s="70">
        <v>0</v>
      </c>
      <c r="X436" s="43">
        <v>0</v>
      </c>
      <c r="Y436" s="42">
        <v>0.25</v>
      </c>
      <c r="Z436" s="42">
        <v>0.34999999999999992</v>
      </c>
      <c r="AA436" s="42">
        <v>2.7</v>
      </c>
      <c r="AB436" s="43">
        <v>0</v>
      </c>
      <c r="AC436" s="43">
        <v>0</v>
      </c>
      <c r="AD436" s="43">
        <v>0</v>
      </c>
      <c r="AE436" s="42">
        <v>78.499999999999986</v>
      </c>
      <c r="AF436" s="43">
        <v>0</v>
      </c>
      <c r="AI436" s="1" t="s">
        <v>232</v>
      </c>
      <c r="AJ436" s="1" t="s">
        <v>1756</v>
      </c>
      <c r="AK436" s="38" t="s">
        <v>365</v>
      </c>
      <c r="AL436" s="749" t="s">
        <v>1972</v>
      </c>
    </row>
    <row r="437" spans="1:38">
      <c r="A437" s="1" t="s">
        <v>3302</v>
      </c>
      <c r="B437" s="1"/>
      <c r="C437" s="1"/>
      <c r="D437" s="1"/>
      <c r="E437" s="1"/>
      <c r="F437" s="1"/>
      <c r="G437" s="1"/>
      <c r="H437" s="1"/>
      <c r="J437" s="1"/>
      <c r="K437" s="1"/>
      <c r="L437" s="1"/>
      <c r="M437" s="151"/>
      <c r="N437" s="1"/>
      <c r="O437" s="151"/>
      <c r="P437" s="151"/>
      <c r="Q437" s="151"/>
      <c r="R437" s="151"/>
      <c r="S437" s="151"/>
      <c r="T437" s="151"/>
      <c r="U437" s="151"/>
      <c r="V437" s="151"/>
      <c r="W437" s="151"/>
      <c r="X437" s="151"/>
      <c r="Y437" s="151"/>
      <c r="Z437" s="151"/>
      <c r="AA437" s="151"/>
      <c r="AB437" s="151"/>
      <c r="AC437" s="151"/>
      <c r="AD437" s="151"/>
      <c r="AE437" s="151"/>
      <c r="AF437" s="151"/>
      <c r="AI437" s="1"/>
      <c r="AJ437" s="1"/>
      <c r="AK437" s="1"/>
    </row>
    <row r="438" spans="1:38">
      <c r="A438" s="325" t="s">
        <v>3303</v>
      </c>
      <c r="B438" s="14">
        <v>1307</v>
      </c>
      <c r="C438" s="1">
        <v>313</v>
      </c>
      <c r="D438" s="15">
        <v>75</v>
      </c>
      <c r="E438" s="1">
        <v>7.6</v>
      </c>
      <c r="F438" s="1">
        <v>8.36</v>
      </c>
      <c r="G438" s="1" t="s">
        <v>232</v>
      </c>
      <c r="H438" s="27" t="s">
        <v>3032</v>
      </c>
      <c r="I438" s="27">
        <v>22</v>
      </c>
      <c r="J438" s="29">
        <v>374</v>
      </c>
      <c r="K438" s="29">
        <v>71</v>
      </c>
      <c r="L438" s="29">
        <v>9</v>
      </c>
      <c r="M438" s="1234">
        <v>26</v>
      </c>
      <c r="N438" s="29">
        <v>5</v>
      </c>
      <c r="O438" s="1234">
        <v>2.2799999999999998</v>
      </c>
      <c r="P438" s="31">
        <v>22.999999999999996</v>
      </c>
      <c r="Q438" s="31">
        <v>529</v>
      </c>
      <c r="R438" s="31">
        <v>834</v>
      </c>
      <c r="S438" s="31">
        <v>120</v>
      </c>
      <c r="T438" s="31">
        <v>112.99999999999999</v>
      </c>
      <c r="U438" s="31">
        <v>43</v>
      </c>
      <c r="V438" s="31">
        <v>3</v>
      </c>
      <c r="W438" s="63">
        <v>2</v>
      </c>
      <c r="X438" s="1234">
        <v>309</v>
      </c>
      <c r="Y438" s="1234">
        <v>8.9999999999999993E-3</v>
      </c>
      <c r="Z438" s="1234">
        <v>0.42099999999999999</v>
      </c>
      <c r="AA438" s="1234">
        <v>2.0049999999999999</v>
      </c>
      <c r="AB438" s="1234">
        <v>1.74</v>
      </c>
      <c r="AC438" s="31">
        <v>179.99999999999997</v>
      </c>
      <c r="AD438" s="1234">
        <v>0</v>
      </c>
      <c r="AE438" s="31">
        <v>47</v>
      </c>
      <c r="AF438" s="1234">
        <v>0</v>
      </c>
      <c r="AI438" s="1" t="s">
        <v>232</v>
      </c>
      <c r="AJ438" s="1" t="s">
        <v>1756</v>
      </c>
      <c r="AK438" s="27" t="s">
        <v>359</v>
      </c>
      <c r="AL438" s="749" t="s">
        <v>359</v>
      </c>
    </row>
    <row r="439" spans="1:38">
      <c r="A439" s="1233" t="s">
        <v>3304</v>
      </c>
      <c r="B439" s="1">
        <v>1059</v>
      </c>
      <c r="C439" s="1">
        <v>253</v>
      </c>
      <c r="D439" s="1">
        <v>55.82</v>
      </c>
      <c r="E439" s="1">
        <v>19.96</v>
      </c>
      <c r="F439" s="1">
        <v>4.3600000000000003</v>
      </c>
      <c r="G439" s="1" t="s">
        <v>232</v>
      </c>
      <c r="H439" s="1" t="s">
        <v>3033</v>
      </c>
      <c r="I439" s="1">
        <v>22</v>
      </c>
      <c r="J439" s="1">
        <v>253</v>
      </c>
      <c r="K439" s="1">
        <v>55.82</v>
      </c>
      <c r="L439" s="1">
        <v>19.96</v>
      </c>
      <c r="M439" s="1144">
        <v>13.6</v>
      </c>
      <c r="N439" s="1243">
        <v>4.3600000000000003</v>
      </c>
      <c r="O439" s="1144">
        <v>0.23400000000000001</v>
      </c>
      <c r="P439" s="1144">
        <v>208</v>
      </c>
      <c r="Q439" s="1144">
        <v>3308</v>
      </c>
      <c r="R439" s="1144">
        <v>1784</v>
      </c>
      <c r="S439" s="1144">
        <v>451</v>
      </c>
      <c r="T439" s="1144">
        <v>543</v>
      </c>
      <c r="U439" s="1144">
        <v>48.78</v>
      </c>
      <c r="V439" s="1144">
        <v>3.3</v>
      </c>
      <c r="W439" s="1144">
        <v>0.49</v>
      </c>
      <c r="X439" s="1144">
        <v>293</v>
      </c>
      <c r="Y439" s="1144">
        <v>0.41799999999999998</v>
      </c>
      <c r="Z439" s="1144">
        <v>0.28399999999999997</v>
      </c>
      <c r="AA439" s="1144">
        <v>2.8069999999999999</v>
      </c>
      <c r="AB439" s="1144">
        <v>1.71</v>
      </c>
      <c r="AC439" s="1234">
        <v>4.25</v>
      </c>
      <c r="AD439" s="1144">
        <v>0</v>
      </c>
      <c r="AE439" s="1144">
        <v>50</v>
      </c>
      <c r="AF439" s="1144">
        <v>0</v>
      </c>
      <c r="AI439" s="1" t="s">
        <v>232</v>
      </c>
      <c r="AJ439" s="1" t="s">
        <v>1756</v>
      </c>
      <c r="AK439" s="1" t="s">
        <v>246</v>
      </c>
      <c r="AL439" s="749" t="s">
        <v>2000</v>
      </c>
    </row>
    <row r="440" spans="1:38">
      <c r="A440" s="1" t="s">
        <v>3305</v>
      </c>
      <c r="B440" s="1">
        <v>180</v>
      </c>
      <c r="C440" s="1">
        <v>43</v>
      </c>
      <c r="D440" s="1">
        <v>7.02</v>
      </c>
      <c r="E440" s="1">
        <v>3.46</v>
      </c>
      <c r="F440" s="1">
        <v>1.1200000000000001</v>
      </c>
      <c r="G440" s="1" t="s">
        <v>232</v>
      </c>
      <c r="H440" s="1" t="s">
        <v>534</v>
      </c>
      <c r="J440" s="1">
        <v>43</v>
      </c>
      <c r="K440" s="1">
        <v>7.02</v>
      </c>
      <c r="L440" s="1">
        <v>3.46</v>
      </c>
      <c r="M440" s="151">
        <v>-4.0000000000000001E-3</v>
      </c>
      <c r="N440" s="1">
        <v>1.1200000000000001</v>
      </c>
      <c r="O440" s="151">
        <v>-4.0000000000000001E-3</v>
      </c>
      <c r="P440" s="151">
        <v>-4.0000000000000001E-3</v>
      </c>
      <c r="Q440" s="151">
        <v>-4.0000000000000001E-3</v>
      </c>
      <c r="R440" s="151">
        <v>-4.0000000000000001E-3</v>
      </c>
      <c r="S440" s="151">
        <v>-4.0000000000000001E-3</v>
      </c>
      <c r="T440" s="151">
        <v>-4.0000000000000001E-3</v>
      </c>
      <c r="U440" s="151">
        <v>-4.0000000000000001E-3</v>
      </c>
      <c r="V440" s="151">
        <v>-4.0000000000000001E-3</v>
      </c>
      <c r="W440" s="151">
        <v>-4.0000000000000002E-4</v>
      </c>
      <c r="X440" s="151">
        <v>-4.0000000000000001E-3</v>
      </c>
      <c r="Y440" s="151">
        <v>-4.0000000000000001E-3</v>
      </c>
      <c r="Z440" s="151">
        <v>-4.0000000000000001E-3</v>
      </c>
      <c r="AA440" s="151">
        <v>-4.0000000000000001E-3</v>
      </c>
      <c r="AB440" s="151">
        <v>-4.0000000000000001E-3</v>
      </c>
      <c r="AC440" s="151">
        <v>-4.0000000000000001E-3</v>
      </c>
      <c r="AD440" s="151">
        <v>-4.0000000000000002E-4</v>
      </c>
      <c r="AE440" s="151">
        <v>-4.0000000000000001E-3</v>
      </c>
      <c r="AF440" s="151">
        <v>-4.0000000000000002E-4</v>
      </c>
      <c r="AI440" s="1" t="s">
        <v>232</v>
      </c>
      <c r="AJ440" s="1" t="s">
        <v>1756</v>
      </c>
      <c r="AK440" s="1" t="s">
        <v>534</v>
      </c>
      <c r="AL440" s="749" t="s">
        <v>2001</v>
      </c>
    </row>
    <row r="441" spans="1:38">
      <c r="A441" s="749" t="s">
        <v>3306</v>
      </c>
      <c r="B441" s="1">
        <v>1107</v>
      </c>
      <c r="C441" s="1">
        <v>265</v>
      </c>
      <c r="D441" s="1">
        <v>68.92</v>
      </c>
      <c r="E441" s="1">
        <v>9</v>
      </c>
      <c r="F441" s="1">
        <v>4.28</v>
      </c>
      <c r="G441" s="1" t="s">
        <v>232</v>
      </c>
      <c r="H441" s="38" t="s">
        <v>362</v>
      </c>
      <c r="I441" s="38">
        <v>19</v>
      </c>
      <c r="J441" s="40">
        <v>330</v>
      </c>
      <c r="K441" s="40">
        <v>49</v>
      </c>
      <c r="L441" s="40">
        <v>11.000000000000002</v>
      </c>
      <c r="M441" s="34">
        <v>0.129</v>
      </c>
      <c r="N441" s="40">
        <v>10</v>
      </c>
      <c r="O441" s="72">
        <v>3</v>
      </c>
      <c r="P441" s="42">
        <v>15</v>
      </c>
      <c r="Q441" s="42">
        <v>1669</v>
      </c>
      <c r="R441" s="42">
        <v>1576</v>
      </c>
      <c r="S441" s="37">
        <v>0.81</v>
      </c>
      <c r="T441" s="42">
        <v>200</v>
      </c>
      <c r="U441" s="42">
        <v>4.4000000000000004</v>
      </c>
      <c r="V441" s="37">
        <v>8.069999999999999E-3</v>
      </c>
      <c r="W441" s="68">
        <v>1.8989999999999999E-3</v>
      </c>
      <c r="X441" s="42">
        <v>689.99999999999989</v>
      </c>
      <c r="Y441" s="42">
        <v>0.33333333333333337</v>
      </c>
      <c r="Z441" s="37">
        <v>1.6000000000000001E-3</v>
      </c>
      <c r="AA441" s="37">
        <v>1.3899999999999999E-2</v>
      </c>
      <c r="AB441" s="37">
        <v>3.0999999999999999E-3</v>
      </c>
      <c r="AC441" s="37">
        <v>0.71099999999999997</v>
      </c>
      <c r="AD441" s="37">
        <v>0</v>
      </c>
      <c r="AE441" s="42">
        <v>6.2</v>
      </c>
      <c r="AF441" s="37">
        <v>0</v>
      </c>
      <c r="AI441" s="1" t="s">
        <v>232</v>
      </c>
      <c r="AJ441" s="1" t="s">
        <v>1756</v>
      </c>
      <c r="AK441" s="38" t="s">
        <v>362</v>
      </c>
      <c r="AL441" s="749" t="s">
        <v>362</v>
      </c>
    </row>
    <row r="442" spans="1:38">
      <c r="A442" s="325" t="s">
        <v>3298</v>
      </c>
      <c r="B442" s="1">
        <v>1107</v>
      </c>
      <c r="C442" s="1">
        <v>265</v>
      </c>
      <c r="D442" s="1">
        <v>68.92</v>
      </c>
      <c r="E442" s="1">
        <v>9</v>
      </c>
      <c r="F442" s="1">
        <v>4.28</v>
      </c>
      <c r="G442" s="1" t="s">
        <v>232</v>
      </c>
      <c r="H442" s="38" t="s">
        <v>362</v>
      </c>
      <c r="I442" s="38">
        <v>22</v>
      </c>
      <c r="J442" s="40">
        <v>330</v>
      </c>
      <c r="K442" s="40">
        <v>49</v>
      </c>
      <c r="L442" s="40">
        <v>11.000000000000002</v>
      </c>
      <c r="M442" s="34">
        <v>0.129</v>
      </c>
      <c r="N442" s="40">
        <v>10</v>
      </c>
      <c r="O442" s="72">
        <v>3</v>
      </c>
      <c r="P442" s="42">
        <v>15</v>
      </c>
      <c r="Q442" s="42">
        <v>1669</v>
      </c>
      <c r="R442" s="42">
        <v>1576</v>
      </c>
      <c r="S442" s="37">
        <v>0.81</v>
      </c>
      <c r="T442" s="42">
        <v>200</v>
      </c>
      <c r="U442" s="42">
        <v>4.4000000000000004</v>
      </c>
      <c r="V442" s="37">
        <v>8.069999999999999E-3</v>
      </c>
      <c r="W442" s="68">
        <v>1.8989999999999999E-3</v>
      </c>
      <c r="X442" s="42">
        <v>689.99999999999989</v>
      </c>
      <c r="Y442" s="42">
        <v>0.33333333333333337</v>
      </c>
      <c r="Z442" s="37">
        <v>1.6000000000000001E-3</v>
      </c>
      <c r="AA442" s="37">
        <v>1.3899999999999999E-2</v>
      </c>
      <c r="AB442" s="37">
        <v>3.0999999999999999E-3</v>
      </c>
      <c r="AC442" s="37">
        <v>0.71099999999999997</v>
      </c>
      <c r="AD442" s="37">
        <v>0</v>
      </c>
      <c r="AE442" s="42">
        <v>6.2</v>
      </c>
      <c r="AF442" s="37">
        <v>0</v>
      </c>
      <c r="AI442" s="1" t="s">
        <v>232</v>
      </c>
      <c r="AJ442" s="1" t="s">
        <v>1756</v>
      </c>
      <c r="AK442" s="38" t="s">
        <v>362</v>
      </c>
      <c r="AL442" s="749" t="s">
        <v>362</v>
      </c>
    </row>
    <row r="443" spans="1:38">
      <c r="A443" s="1233" t="s">
        <v>3307</v>
      </c>
      <c r="B443" s="1">
        <v>1181</v>
      </c>
      <c r="C443" s="1">
        <v>282</v>
      </c>
      <c r="D443" s="1">
        <v>53.99</v>
      </c>
      <c r="E443" s="1">
        <v>14.14</v>
      </c>
      <c r="F443" s="1">
        <v>12.89</v>
      </c>
      <c r="G443" s="1" t="s">
        <v>232</v>
      </c>
      <c r="H443" s="749" t="s">
        <v>363</v>
      </c>
      <c r="I443" s="47">
        <v>22</v>
      </c>
      <c r="J443" s="4">
        <v>307</v>
      </c>
      <c r="K443" s="4">
        <v>18.333333333333336</v>
      </c>
      <c r="L443" s="4">
        <v>14.777777777777777</v>
      </c>
      <c r="M443" s="4">
        <v>37.44444444444445</v>
      </c>
      <c r="N443" s="4">
        <v>13</v>
      </c>
      <c r="O443" s="67">
        <v>2.1111111111111112</v>
      </c>
      <c r="P443" s="3">
        <v>34</v>
      </c>
      <c r="Q443" s="3">
        <v>2344</v>
      </c>
      <c r="R443" s="3">
        <v>177</v>
      </c>
      <c r="S443" s="3">
        <v>200</v>
      </c>
      <c r="T443" s="3">
        <v>345</v>
      </c>
      <c r="U443" s="3">
        <v>23.555555555555557</v>
      </c>
      <c r="V443" s="3">
        <v>4.1111111111111116</v>
      </c>
      <c r="W443" s="69">
        <v>1.2501000000000001E-3</v>
      </c>
      <c r="X443" s="3">
        <v>2626.2222222222222</v>
      </c>
      <c r="Y443" s="3">
        <v>0.66666666666666663</v>
      </c>
      <c r="Z443" s="3">
        <v>1.7777777777777779</v>
      </c>
      <c r="AA443" s="3">
        <v>6.6600000000000001E-3</v>
      </c>
      <c r="AB443" s="3">
        <v>0.33333333333333331</v>
      </c>
      <c r="AC443" s="3">
        <v>0.20610000000000001</v>
      </c>
      <c r="AD443" s="3">
        <v>0</v>
      </c>
      <c r="AE443" s="3">
        <v>71</v>
      </c>
      <c r="AF443" s="3">
        <v>0</v>
      </c>
      <c r="AI443" s="1" t="s">
        <v>232</v>
      </c>
      <c r="AJ443" s="1" t="s">
        <v>1756</v>
      </c>
      <c r="AK443" s="749" t="s">
        <v>363</v>
      </c>
      <c r="AL443" s="749" t="s">
        <v>1970</v>
      </c>
    </row>
    <row r="444" spans="1:38">
      <c r="A444" s="1233" t="s">
        <v>3299</v>
      </c>
      <c r="B444" s="82">
        <v>151</v>
      </c>
      <c r="C444" s="82">
        <v>36</v>
      </c>
      <c r="D444" s="82">
        <v>6.33</v>
      </c>
      <c r="E444" s="82">
        <v>2.97</v>
      </c>
      <c r="F444" s="82">
        <v>0.79</v>
      </c>
      <c r="G444" s="82" t="s">
        <v>232</v>
      </c>
      <c r="H444" s="405" t="s">
        <v>1649</v>
      </c>
      <c r="I444" s="749">
        <v>22</v>
      </c>
      <c r="J444" s="82">
        <v>292</v>
      </c>
      <c r="K444" s="82">
        <v>51</v>
      </c>
      <c r="L444" s="82">
        <v>27</v>
      </c>
      <c r="M444" s="4">
        <v>27</v>
      </c>
      <c r="N444" s="82">
        <v>5.5</v>
      </c>
      <c r="O444" s="4">
        <v>1.4</v>
      </c>
      <c r="P444" s="4">
        <v>452</v>
      </c>
      <c r="Q444" s="4">
        <v>2683</v>
      </c>
      <c r="R444" s="4">
        <v>1140</v>
      </c>
      <c r="S444" s="4">
        <v>400</v>
      </c>
      <c r="T444" s="4">
        <v>436</v>
      </c>
      <c r="U444" s="4">
        <v>22</v>
      </c>
      <c r="V444" s="4">
        <v>5.4</v>
      </c>
      <c r="W444" s="4">
        <v>0.8</v>
      </c>
      <c r="X444" s="4">
        <v>97</v>
      </c>
      <c r="Y444" s="4">
        <v>0.2</v>
      </c>
      <c r="Z444" s="4">
        <v>2.4</v>
      </c>
      <c r="AA444" s="4">
        <v>9.9</v>
      </c>
      <c r="AB444" s="4">
        <v>0.9</v>
      </c>
      <c r="AC444" s="4">
        <v>180</v>
      </c>
      <c r="AD444" s="4">
        <v>0</v>
      </c>
      <c r="AE444" s="4">
        <v>125</v>
      </c>
      <c r="AF444" s="4">
        <v>0</v>
      </c>
      <c r="AI444" s="82" t="s">
        <v>232</v>
      </c>
      <c r="AJ444" s="1" t="s">
        <v>1756</v>
      </c>
      <c r="AK444" s="405" t="s">
        <v>1649</v>
      </c>
      <c r="AL444" s="749" t="s">
        <v>1649</v>
      </c>
    </row>
    <row r="445" spans="1:38">
      <c r="A445" s="1" t="s">
        <v>3300</v>
      </c>
      <c r="B445" s="1">
        <v>1394</v>
      </c>
      <c r="C445" s="1">
        <v>333</v>
      </c>
      <c r="D445" s="1">
        <v>66.67</v>
      </c>
      <c r="E445" s="1">
        <v>8.33</v>
      </c>
      <c r="F445" s="1">
        <v>16.670000000000002</v>
      </c>
      <c r="G445" s="1" t="s">
        <v>232</v>
      </c>
      <c r="H445" s="1" t="s">
        <v>192</v>
      </c>
      <c r="J445" s="1">
        <v>333</v>
      </c>
      <c r="K445" s="1">
        <v>66.67</v>
      </c>
      <c r="L445" s="1">
        <v>8.33</v>
      </c>
      <c r="M445" s="151">
        <v>-4.0000000000000001E-3</v>
      </c>
      <c r="N445" s="1">
        <v>16.670000000000002</v>
      </c>
      <c r="O445" s="151">
        <v>-4.0000000000000001E-3</v>
      </c>
      <c r="P445" s="151">
        <v>-4.0000000000000001E-3</v>
      </c>
      <c r="Q445" s="151">
        <v>-4.0000000000000001E-3</v>
      </c>
      <c r="R445" s="151">
        <v>-4.0000000000000001E-3</v>
      </c>
      <c r="S445" s="151">
        <v>-4.0000000000000001E-3</v>
      </c>
      <c r="T445" s="151">
        <v>-4.0000000000000001E-3</v>
      </c>
      <c r="U445" s="151">
        <v>-4.0000000000000001E-3</v>
      </c>
      <c r="V445" s="151">
        <v>-4.0000000000000001E-3</v>
      </c>
      <c r="W445" s="151">
        <v>-4.0000000000000002E-4</v>
      </c>
      <c r="X445" s="151">
        <v>-4.0000000000000001E-3</v>
      </c>
      <c r="Y445" s="151">
        <v>-4.0000000000000001E-3</v>
      </c>
      <c r="Z445" s="151">
        <v>-4.0000000000000001E-3</v>
      </c>
      <c r="AA445" s="151">
        <v>-4.0000000000000001E-3</v>
      </c>
      <c r="AB445" s="151">
        <v>-4.0000000000000001E-3</v>
      </c>
      <c r="AC445" s="151">
        <v>-4.0000000000000001E-3</v>
      </c>
      <c r="AD445" s="151">
        <v>-4.0000000000000002E-4</v>
      </c>
      <c r="AE445" s="151">
        <v>-4.0000000000000001E-3</v>
      </c>
      <c r="AF445" s="151">
        <v>-4.0000000000000002E-4</v>
      </c>
      <c r="AI445" s="1" t="s">
        <v>232</v>
      </c>
      <c r="AJ445" s="1" t="s">
        <v>1756</v>
      </c>
      <c r="AK445" s="1" t="s">
        <v>192</v>
      </c>
      <c r="AL445" s="749" t="s">
        <v>1971</v>
      </c>
    </row>
    <row r="446" spans="1:38">
      <c r="A446" s="1" t="s">
        <v>3249</v>
      </c>
      <c r="B446" s="1">
        <v>2196</v>
      </c>
      <c r="C446" s="1">
        <v>525</v>
      </c>
      <c r="D446" s="1">
        <v>28.13</v>
      </c>
      <c r="E446" s="1">
        <v>17.989999999999998</v>
      </c>
      <c r="F446" s="1">
        <v>41.56</v>
      </c>
      <c r="G446" s="1" t="s">
        <v>232</v>
      </c>
      <c r="H446" s="749" t="s">
        <v>373</v>
      </c>
      <c r="I446" s="47">
        <v>10</v>
      </c>
      <c r="J446" s="33">
        <v>525</v>
      </c>
      <c r="K446" s="4">
        <v>3.1995133819951338</v>
      </c>
      <c r="L446" s="4">
        <v>20.199513381995136</v>
      </c>
      <c r="M446" s="4">
        <v>20.501216545012166</v>
      </c>
      <c r="N446" s="4">
        <v>43.399026763990264</v>
      </c>
      <c r="O446" s="60">
        <v>5.1411192214111914</v>
      </c>
      <c r="P446" s="35">
        <v>13.999999999999998</v>
      </c>
      <c r="Q446" s="3">
        <v>831.99999999999989</v>
      </c>
      <c r="R446" s="3">
        <v>1357</v>
      </c>
      <c r="S446" s="3">
        <v>395</v>
      </c>
      <c r="T446" s="3">
        <v>935.99999999999989</v>
      </c>
      <c r="U446" s="3">
        <v>8.8004866180048662</v>
      </c>
      <c r="V446" s="3">
        <v>6.7907542579075422</v>
      </c>
      <c r="W446" s="36">
        <v>1.0291970802919705</v>
      </c>
      <c r="X446" s="78">
        <v>0</v>
      </c>
      <c r="Y446" s="3">
        <v>0.45985401459854014</v>
      </c>
      <c r="Z446" s="3">
        <v>0.1508515815085158</v>
      </c>
      <c r="AA446" s="3">
        <v>0.90024330900243299</v>
      </c>
      <c r="AB446" s="3">
        <v>0.44038929440389291</v>
      </c>
      <c r="AC446" s="3">
        <v>57.999999999999993</v>
      </c>
      <c r="AD446" s="37">
        <v>0</v>
      </c>
      <c r="AE446" s="37">
        <v>4.1000000000000002E-2</v>
      </c>
      <c r="AF446" s="58">
        <v>0</v>
      </c>
      <c r="AI446" s="1" t="s">
        <v>232</v>
      </c>
      <c r="AJ446" s="1" t="s">
        <v>1756</v>
      </c>
      <c r="AK446" s="749" t="s">
        <v>373</v>
      </c>
      <c r="AL446" s="749" t="s">
        <v>373</v>
      </c>
    </row>
    <row r="447" spans="1:38">
      <c r="A447" s="1233" t="s">
        <v>495</v>
      </c>
      <c r="B447" s="1">
        <v>0</v>
      </c>
      <c r="C447" s="1">
        <v>0</v>
      </c>
      <c r="D447" s="1">
        <v>0</v>
      </c>
      <c r="E447" s="1">
        <v>0</v>
      </c>
      <c r="F447" s="1">
        <v>0</v>
      </c>
      <c r="G447" s="1" t="s">
        <v>232</v>
      </c>
      <c r="H447" s="27" t="s">
        <v>281</v>
      </c>
      <c r="I447" s="27">
        <v>22</v>
      </c>
      <c r="J447" s="28">
        <v>0</v>
      </c>
      <c r="K447" s="29">
        <v>0</v>
      </c>
      <c r="L447" s="29">
        <v>0</v>
      </c>
      <c r="M447" s="29">
        <v>0</v>
      </c>
      <c r="N447" s="29">
        <v>0</v>
      </c>
      <c r="O447" s="29">
        <v>0</v>
      </c>
      <c r="P447" s="30">
        <v>38850</v>
      </c>
      <c r="Q447" s="31">
        <v>115.99999999999999</v>
      </c>
      <c r="R447" s="31">
        <v>19</v>
      </c>
      <c r="S447" s="31">
        <v>265</v>
      </c>
      <c r="T447" s="31">
        <v>8</v>
      </c>
      <c r="U447" s="31">
        <v>0.02</v>
      </c>
      <c r="V447" s="31">
        <v>0.1</v>
      </c>
      <c r="W447" s="32">
        <v>0.03</v>
      </c>
      <c r="X447" s="3">
        <v>0</v>
      </c>
      <c r="Y447" s="3">
        <v>0</v>
      </c>
      <c r="Z447" s="3">
        <v>0</v>
      </c>
      <c r="AA447" s="3">
        <v>0</v>
      </c>
      <c r="AB447" s="3">
        <v>0</v>
      </c>
      <c r="AC447" s="3">
        <v>0</v>
      </c>
      <c r="AD447" s="3">
        <v>0</v>
      </c>
      <c r="AE447" s="3">
        <v>0</v>
      </c>
      <c r="AF447" s="3">
        <v>0</v>
      </c>
      <c r="AI447" s="1" t="s">
        <v>232</v>
      </c>
      <c r="AJ447" s="1" t="s">
        <v>1756</v>
      </c>
      <c r="AK447" s="27" t="s">
        <v>281</v>
      </c>
      <c r="AL447" s="749" t="s">
        <v>281</v>
      </c>
    </row>
    <row r="448" spans="1:38">
      <c r="A448" s="1244" t="s">
        <v>3301</v>
      </c>
      <c r="B448" s="24">
        <v>596</v>
      </c>
      <c r="C448" s="24">
        <v>142</v>
      </c>
      <c r="D448" s="24">
        <v>26.8</v>
      </c>
      <c r="E448" s="24">
        <v>5.7</v>
      </c>
      <c r="F448" s="24">
        <v>0.4</v>
      </c>
      <c r="G448" s="24" t="s">
        <v>232</v>
      </c>
      <c r="H448" s="27" t="s">
        <v>3034</v>
      </c>
      <c r="I448" s="27">
        <v>22</v>
      </c>
      <c r="J448" s="29">
        <v>137</v>
      </c>
      <c r="K448" s="29">
        <v>24.5</v>
      </c>
      <c r="L448" s="29">
        <v>8.5</v>
      </c>
      <c r="M448" s="1234">
        <v>-4.0000000000000001E-3</v>
      </c>
      <c r="N448" s="29">
        <v>0.6</v>
      </c>
      <c r="O448" s="1234">
        <v>-4.0000000000000001E-3</v>
      </c>
      <c r="P448" s="31">
        <v>12760</v>
      </c>
      <c r="Q448" s="1234">
        <v>1000</v>
      </c>
      <c r="R448" s="1234">
        <v>0</v>
      </c>
      <c r="S448" s="151">
        <v>-4.0000000000000001E-3</v>
      </c>
      <c r="T448" s="151">
        <v>-4.0000000000000001E-3</v>
      </c>
      <c r="U448" s="1234">
        <v>7.2</v>
      </c>
      <c r="V448" s="151">
        <v>-4.0000000000000001E-3</v>
      </c>
      <c r="W448" s="151">
        <v>-4.0000000000000002E-4</v>
      </c>
      <c r="X448" s="151">
        <v>-4.0000000000000001E-3</v>
      </c>
      <c r="Y448" s="151">
        <v>-4.0000000000000001E-3</v>
      </c>
      <c r="Z448" s="151">
        <v>-4.0000000000000001E-3</v>
      </c>
      <c r="AA448" s="151">
        <v>-4.0000000000000001E-3</v>
      </c>
      <c r="AB448" s="151">
        <v>-4.0000000000000001E-3</v>
      </c>
      <c r="AC448" s="1234">
        <v>-4.0000000000000001E-3</v>
      </c>
      <c r="AD448" s="151">
        <v>-4.0000000000000002E-4</v>
      </c>
      <c r="AE448" s="1234">
        <v>0</v>
      </c>
      <c r="AF448" s="151">
        <v>-4.0000000000000002E-4</v>
      </c>
      <c r="AI448" s="24" t="s">
        <v>232</v>
      </c>
      <c r="AJ448" s="1" t="s">
        <v>1756</v>
      </c>
      <c r="AK448" s="27" t="s">
        <v>364</v>
      </c>
      <c r="AL448" s="749" t="s">
        <v>1973</v>
      </c>
    </row>
    <row r="449" spans="1:38">
      <c r="A449" s="1" t="s">
        <v>502</v>
      </c>
      <c r="B449" s="1">
        <v>4</v>
      </c>
      <c r="C449" s="1">
        <v>1</v>
      </c>
      <c r="D449" s="1">
        <v>0.17</v>
      </c>
      <c r="E449" s="1">
        <v>0.06</v>
      </c>
      <c r="F449" s="1">
        <v>0.16</v>
      </c>
      <c r="G449" s="1" t="s">
        <v>233</v>
      </c>
      <c r="H449" s="1" t="s">
        <v>255</v>
      </c>
      <c r="J449" s="1">
        <v>1</v>
      </c>
      <c r="K449" s="1">
        <v>0.17</v>
      </c>
      <c r="L449" s="1">
        <v>0.06</v>
      </c>
      <c r="M449" s="4">
        <v>0</v>
      </c>
      <c r="N449" s="1">
        <v>0.16</v>
      </c>
      <c r="O449" s="4">
        <v>0</v>
      </c>
      <c r="P449" s="4">
        <v>4</v>
      </c>
      <c r="Q449" s="4">
        <v>20</v>
      </c>
      <c r="R449" s="4">
        <v>3</v>
      </c>
      <c r="S449" s="467">
        <v>-4.0000000000000002E-4</v>
      </c>
      <c r="T449" s="467">
        <v>-4.0000000000000002E-4</v>
      </c>
      <c r="U449" s="467">
        <v>-4.0000000000000002E-4</v>
      </c>
      <c r="V449" s="467">
        <v>-4.0000000000000002E-4</v>
      </c>
      <c r="W449" s="467">
        <v>-4.0000000000000002E-4</v>
      </c>
      <c r="X449" s="467">
        <v>-4.0000000000000002E-4</v>
      </c>
      <c r="Y449" s="467">
        <v>-4.0000000000000002E-4</v>
      </c>
      <c r="Z449" s="467">
        <v>-4.0000000000000002E-4</v>
      </c>
      <c r="AA449" s="467">
        <v>-4.0000000000000002E-4</v>
      </c>
      <c r="AB449" s="467">
        <v>-4.0000000000000002E-4</v>
      </c>
      <c r="AC449" s="467">
        <v>-4.0000000000000002E-4</v>
      </c>
      <c r="AD449" s="467">
        <v>-4.0000000000000002E-4</v>
      </c>
      <c r="AE449" s="467">
        <v>-4.0000000000000002E-4</v>
      </c>
      <c r="AF449" s="467">
        <v>-4.0000000000000002E-4</v>
      </c>
      <c r="AI449" s="1" t="s">
        <v>233</v>
      </c>
      <c r="AJ449" s="1" t="s">
        <v>1757</v>
      </c>
      <c r="AK449" s="1" t="s">
        <v>255</v>
      </c>
      <c r="AL449" s="749" t="s">
        <v>2002</v>
      </c>
    </row>
    <row r="450" spans="1:38">
      <c r="A450" s="1" t="s">
        <v>3410</v>
      </c>
      <c r="B450" s="1">
        <v>4</v>
      </c>
      <c r="C450" s="1">
        <v>1</v>
      </c>
      <c r="D450" s="1">
        <v>0.17</v>
      </c>
      <c r="E450" s="1">
        <v>0.06</v>
      </c>
      <c r="F450" s="1">
        <v>0.16</v>
      </c>
      <c r="G450" s="1" t="s">
        <v>233</v>
      </c>
      <c r="H450" s="1" t="s">
        <v>255</v>
      </c>
      <c r="J450" s="1">
        <v>1</v>
      </c>
      <c r="K450" s="1">
        <v>0.17</v>
      </c>
      <c r="L450" s="1">
        <v>0.06</v>
      </c>
      <c r="M450" s="4">
        <v>0</v>
      </c>
      <c r="N450" s="1">
        <v>0.16</v>
      </c>
      <c r="O450" s="4">
        <v>0</v>
      </c>
      <c r="P450" s="4">
        <v>4</v>
      </c>
      <c r="Q450" s="4">
        <v>20</v>
      </c>
      <c r="R450" s="4">
        <v>3</v>
      </c>
      <c r="S450" s="467">
        <v>-4.0000000000000002E-4</v>
      </c>
      <c r="T450" s="467">
        <v>-4.0000000000000002E-4</v>
      </c>
      <c r="U450" s="467">
        <v>-4.0000000000000002E-4</v>
      </c>
      <c r="V450" s="467">
        <v>-4.0000000000000002E-4</v>
      </c>
      <c r="W450" s="467">
        <v>-4.0000000000000002E-4</v>
      </c>
      <c r="X450" s="467">
        <v>-4.0000000000000002E-4</v>
      </c>
      <c r="Y450" s="467">
        <v>-4.0000000000000002E-4</v>
      </c>
      <c r="Z450" s="467">
        <v>-4.0000000000000002E-4</v>
      </c>
      <c r="AA450" s="467">
        <v>-4.0000000000000002E-4</v>
      </c>
      <c r="AB450" s="467">
        <v>-4.0000000000000002E-4</v>
      </c>
      <c r="AC450" s="467">
        <v>-4.0000000000000002E-4</v>
      </c>
      <c r="AD450" s="467">
        <v>-4.0000000000000002E-4</v>
      </c>
      <c r="AE450" s="467">
        <v>-4.0000000000000002E-4</v>
      </c>
      <c r="AF450" s="467">
        <v>-4.0000000000000002E-4</v>
      </c>
      <c r="AI450" s="1" t="s">
        <v>233</v>
      </c>
      <c r="AJ450" s="1" t="s">
        <v>1757</v>
      </c>
      <c r="AK450" s="1" t="s">
        <v>255</v>
      </c>
      <c r="AL450" s="749" t="s">
        <v>2002</v>
      </c>
    </row>
    <row r="451" spans="1:38">
      <c r="A451" s="749" t="s">
        <v>3411</v>
      </c>
      <c r="B451" s="1">
        <v>4</v>
      </c>
      <c r="C451" s="1">
        <v>1</v>
      </c>
      <c r="D451" s="1">
        <v>0.17</v>
      </c>
      <c r="E451" s="1">
        <v>0.06</v>
      </c>
      <c r="F451" s="1">
        <v>0.16</v>
      </c>
      <c r="G451" s="1" t="s">
        <v>233</v>
      </c>
      <c r="H451" s="1" t="s">
        <v>255</v>
      </c>
      <c r="J451" s="1">
        <v>1</v>
      </c>
      <c r="K451" s="1">
        <v>0.17</v>
      </c>
      <c r="L451" s="1">
        <v>0.06</v>
      </c>
      <c r="M451" s="4">
        <v>0</v>
      </c>
      <c r="N451" s="1">
        <v>0.16</v>
      </c>
      <c r="O451" s="4">
        <v>0</v>
      </c>
      <c r="P451" s="4">
        <v>4</v>
      </c>
      <c r="Q451" s="4">
        <v>20</v>
      </c>
      <c r="R451" s="4">
        <v>3</v>
      </c>
      <c r="S451" s="467">
        <v>-4.0000000000000002E-4</v>
      </c>
      <c r="T451" s="467">
        <v>-4.0000000000000002E-4</v>
      </c>
      <c r="U451" s="467">
        <v>-4.0000000000000002E-4</v>
      </c>
      <c r="V451" s="467">
        <v>-4.0000000000000002E-4</v>
      </c>
      <c r="W451" s="467">
        <v>-4.0000000000000002E-4</v>
      </c>
      <c r="X451" s="467">
        <v>-4.0000000000000002E-4</v>
      </c>
      <c r="Y451" s="467">
        <v>-4.0000000000000002E-4</v>
      </c>
      <c r="Z451" s="467">
        <v>-4.0000000000000002E-4</v>
      </c>
      <c r="AA451" s="467">
        <v>-4.0000000000000002E-4</v>
      </c>
      <c r="AB451" s="467">
        <v>-4.0000000000000002E-4</v>
      </c>
      <c r="AC451" s="467">
        <v>-4.0000000000000002E-4</v>
      </c>
      <c r="AD451" s="467">
        <v>-4.0000000000000002E-4</v>
      </c>
      <c r="AE451" s="467">
        <v>-4.0000000000000002E-4</v>
      </c>
      <c r="AF451" s="467">
        <v>-4.0000000000000002E-4</v>
      </c>
      <c r="AI451" s="1" t="s">
        <v>233</v>
      </c>
      <c r="AJ451" s="1" t="s">
        <v>1757</v>
      </c>
      <c r="AK451" s="1" t="s">
        <v>255</v>
      </c>
      <c r="AL451" s="749" t="s">
        <v>2002</v>
      </c>
    </row>
    <row r="452" spans="1:38">
      <c r="A452" s="749" t="s">
        <v>3413</v>
      </c>
      <c r="B452" s="1">
        <v>4</v>
      </c>
      <c r="C452" s="1">
        <v>1</v>
      </c>
      <c r="D452" s="1">
        <v>0.17</v>
      </c>
      <c r="E452" s="1">
        <v>0.06</v>
      </c>
      <c r="F452" s="1">
        <v>0.16</v>
      </c>
      <c r="G452" s="1" t="s">
        <v>233</v>
      </c>
      <c r="H452" s="1" t="s">
        <v>255</v>
      </c>
      <c r="J452" s="1">
        <v>1</v>
      </c>
      <c r="K452" s="1">
        <v>0.17</v>
      </c>
      <c r="L452" s="1">
        <v>0.06</v>
      </c>
      <c r="M452" s="4">
        <v>0</v>
      </c>
      <c r="N452" s="1">
        <v>0.16</v>
      </c>
      <c r="O452" s="4">
        <v>0</v>
      </c>
      <c r="P452" s="4">
        <v>4</v>
      </c>
      <c r="Q452" s="4">
        <v>20</v>
      </c>
      <c r="R452" s="4">
        <v>3</v>
      </c>
      <c r="S452" s="467">
        <v>-4.0000000000000002E-4</v>
      </c>
      <c r="T452" s="467">
        <v>-4.0000000000000002E-4</v>
      </c>
      <c r="U452" s="467">
        <v>-4.0000000000000002E-4</v>
      </c>
      <c r="V452" s="467">
        <v>-4.0000000000000002E-4</v>
      </c>
      <c r="W452" s="467">
        <v>-4.0000000000000002E-4</v>
      </c>
      <c r="X452" s="467">
        <v>-4.0000000000000002E-4</v>
      </c>
      <c r="Y452" s="467">
        <v>-4.0000000000000002E-4</v>
      </c>
      <c r="Z452" s="467">
        <v>-4.0000000000000002E-4</v>
      </c>
      <c r="AA452" s="467">
        <v>-4.0000000000000002E-4</v>
      </c>
      <c r="AB452" s="467">
        <v>-4.0000000000000002E-4</v>
      </c>
      <c r="AC452" s="467">
        <v>-4.0000000000000002E-4</v>
      </c>
      <c r="AD452" s="467">
        <v>-4.0000000000000002E-4</v>
      </c>
      <c r="AE452" s="467">
        <v>-4.0000000000000002E-4</v>
      </c>
      <c r="AF452" s="467">
        <v>-4.0000000000000002E-4</v>
      </c>
      <c r="AI452" s="1" t="s">
        <v>233</v>
      </c>
      <c r="AJ452" s="1" t="s">
        <v>1757</v>
      </c>
      <c r="AK452" s="1" t="s">
        <v>255</v>
      </c>
      <c r="AL452" s="749" t="s">
        <v>2002</v>
      </c>
    </row>
    <row r="453" spans="1:38">
      <c r="A453" s="749" t="s">
        <v>3416</v>
      </c>
      <c r="B453" s="1">
        <v>4</v>
      </c>
      <c r="C453" s="1">
        <v>1</v>
      </c>
      <c r="D453" s="1">
        <v>0.17</v>
      </c>
      <c r="E453" s="1">
        <v>0.06</v>
      </c>
      <c r="F453" s="1">
        <v>0.16</v>
      </c>
      <c r="G453" s="1" t="s">
        <v>233</v>
      </c>
      <c r="H453" s="1" t="s">
        <v>255</v>
      </c>
      <c r="J453" s="1">
        <v>1</v>
      </c>
      <c r="K453" s="1">
        <v>0.17</v>
      </c>
      <c r="L453" s="1">
        <v>0.06</v>
      </c>
      <c r="M453" s="4">
        <v>0</v>
      </c>
      <c r="N453" s="1">
        <v>0.16</v>
      </c>
      <c r="O453" s="4">
        <v>0</v>
      </c>
      <c r="P453" s="4">
        <v>4</v>
      </c>
      <c r="Q453" s="4">
        <v>20</v>
      </c>
      <c r="R453" s="4">
        <v>3</v>
      </c>
      <c r="S453" s="467">
        <v>-4.0000000000000002E-4</v>
      </c>
      <c r="T453" s="467">
        <v>-4.0000000000000002E-4</v>
      </c>
      <c r="U453" s="467">
        <v>-4.0000000000000002E-4</v>
      </c>
      <c r="V453" s="467">
        <v>-4.0000000000000002E-4</v>
      </c>
      <c r="W453" s="467">
        <v>-4.0000000000000002E-4</v>
      </c>
      <c r="X453" s="467">
        <v>-4.0000000000000002E-4</v>
      </c>
      <c r="Y453" s="467">
        <v>-4.0000000000000002E-4</v>
      </c>
      <c r="Z453" s="467">
        <v>-4.0000000000000002E-4</v>
      </c>
      <c r="AA453" s="467">
        <v>-4.0000000000000002E-4</v>
      </c>
      <c r="AB453" s="467">
        <v>-4.0000000000000002E-4</v>
      </c>
      <c r="AC453" s="467">
        <v>-4.0000000000000002E-4</v>
      </c>
      <c r="AD453" s="467">
        <v>-4.0000000000000002E-4</v>
      </c>
      <c r="AE453" s="467">
        <v>-4.0000000000000002E-4</v>
      </c>
      <c r="AF453" s="467">
        <v>-4.0000000000000002E-4</v>
      </c>
      <c r="AI453" s="1" t="s">
        <v>233</v>
      </c>
      <c r="AJ453" s="1" t="s">
        <v>1757</v>
      </c>
      <c r="AK453" s="1" t="s">
        <v>255</v>
      </c>
      <c r="AL453" s="749" t="s">
        <v>2002</v>
      </c>
    </row>
    <row r="454" spans="1:38">
      <c r="A454" s="749" t="s">
        <v>3412</v>
      </c>
      <c r="B454" s="1">
        <v>4</v>
      </c>
      <c r="C454" s="1">
        <v>1</v>
      </c>
      <c r="D454" s="1">
        <v>0.17</v>
      </c>
      <c r="E454" s="1">
        <v>0.06</v>
      </c>
      <c r="F454" s="1">
        <v>0.16</v>
      </c>
      <c r="G454" s="1" t="s">
        <v>233</v>
      </c>
      <c r="H454" s="1" t="s">
        <v>255</v>
      </c>
      <c r="J454" s="1">
        <v>1</v>
      </c>
      <c r="K454" s="1">
        <v>0.17</v>
      </c>
      <c r="L454" s="1">
        <v>0.06</v>
      </c>
      <c r="M454" s="4">
        <v>0</v>
      </c>
      <c r="N454" s="1">
        <v>0.16</v>
      </c>
      <c r="O454" s="4">
        <v>0</v>
      </c>
      <c r="P454" s="4">
        <v>4</v>
      </c>
      <c r="Q454" s="4">
        <v>20</v>
      </c>
      <c r="R454" s="4">
        <v>3</v>
      </c>
      <c r="S454" s="467">
        <v>-4.0000000000000002E-4</v>
      </c>
      <c r="T454" s="467">
        <v>-4.0000000000000002E-4</v>
      </c>
      <c r="U454" s="467">
        <v>-4.0000000000000002E-4</v>
      </c>
      <c r="V454" s="467">
        <v>-4.0000000000000002E-4</v>
      </c>
      <c r="W454" s="467">
        <v>-4.0000000000000002E-4</v>
      </c>
      <c r="X454" s="467">
        <v>-4.0000000000000002E-4</v>
      </c>
      <c r="Y454" s="467">
        <v>-4.0000000000000002E-4</v>
      </c>
      <c r="Z454" s="467">
        <v>-4.0000000000000002E-4</v>
      </c>
      <c r="AA454" s="467">
        <v>-4.0000000000000002E-4</v>
      </c>
      <c r="AB454" s="467">
        <v>-4.0000000000000002E-4</v>
      </c>
      <c r="AC454" s="467">
        <v>-4.0000000000000002E-4</v>
      </c>
      <c r="AD454" s="467">
        <v>-4.0000000000000002E-4</v>
      </c>
      <c r="AE454" s="467">
        <v>-4.0000000000000002E-4</v>
      </c>
      <c r="AF454" s="467">
        <v>-4.0000000000000002E-4</v>
      </c>
      <c r="AI454" s="1" t="s">
        <v>233</v>
      </c>
      <c r="AJ454" s="1" t="s">
        <v>1757</v>
      </c>
      <c r="AK454" s="1" t="s">
        <v>255</v>
      </c>
      <c r="AL454" s="749" t="s">
        <v>2002</v>
      </c>
    </row>
    <row r="455" spans="1:38">
      <c r="A455" s="749" t="s">
        <v>3515</v>
      </c>
      <c r="B455" s="1">
        <v>4</v>
      </c>
      <c r="C455" s="1">
        <v>1</v>
      </c>
      <c r="D455" s="1">
        <v>0.17</v>
      </c>
      <c r="E455" s="1">
        <v>0.06</v>
      </c>
      <c r="F455" s="1">
        <v>0.16</v>
      </c>
      <c r="G455" s="1" t="s">
        <v>233</v>
      </c>
      <c r="H455" s="1" t="s">
        <v>255</v>
      </c>
      <c r="J455" s="1">
        <v>1</v>
      </c>
      <c r="K455" s="1">
        <v>0.17</v>
      </c>
      <c r="L455" s="1">
        <v>0.06</v>
      </c>
      <c r="M455" s="4">
        <v>0</v>
      </c>
      <c r="N455" s="1">
        <v>0.16</v>
      </c>
      <c r="O455" s="4">
        <v>0</v>
      </c>
      <c r="P455" s="4">
        <v>4</v>
      </c>
      <c r="Q455" s="4">
        <v>20</v>
      </c>
      <c r="R455" s="4">
        <v>3</v>
      </c>
      <c r="S455" s="467">
        <v>-4.0000000000000002E-4</v>
      </c>
      <c r="T455" s="467">
        <v>-4.0000000000000002E-4</v>
      </c>
      <c r="U455" s="467">
        <v>-4.0000000000000002E-4</v>
      </c>
      <c r="V455" s="467">
        <v>-4.0000000000000002E-4</v>
      </c>
      <c r="W455" s="467">
        <v>-4.0000000000000002E-4</v>
      </c>
      <c r="X455" s="467">
        <v>-4.0000000000000002E-4</v>
      </c>
      <c r="Y455" s="467">
        <v>-4.0000000000000002E-4</v>
      </c>
      <c r="Z455" s="467">
        <v>-4.0000000000000002E-4</v>
      </c>
      <c r="AA455" s="467">
        <v>-4.0000000000000002E-4</v>
      </c>
      <c r="AB455" s="467">
        <v>-4.0000000000000002E-4</v>
      </c>
      <c r="AC455" s="467">
        <v>-4.0000000000000002E-4</v>
      </c>
      <c r="AD455" s="467">
        <v>-4.0000000000000002E-4</v>
      </c>
      <c r="AE455" s="467">
        <v>-4.0000000000000002E-4</v>
      </c>
      <c r="AF455" s="467">
        <v>-4.0000000000000002E-4</v>
      </c>
      <c r="AI455" s="1" t="s">
        <v>233</v>
      </c>
      <c r="AJ455" s="1" t="s">
        <v>1757</v>
      </c>
      <c r="AK455" s="1" t="s">
        <v>255</v>
      </c>
      <c r="AL455" s="749" t="s">
        <v>2002</v>
      </c>
    </row>
    <row r="456" spans="1:38">
      <c r="A456" s="1" t="s">
        <v>3414</v>
      </c>
      <c r="B456" s="1">
        <v>184</v>
      </c>
      <c r="C456" s="1">
        <v>44</v>
      </c>
      <c r="D456" s="1">
        <v>12</v>
      </c>
      <c r="E456" s="1">
        <v>0</v>
      </c>
      <c r="F456" s="1">
        <v>0</v>
      </c>
      <c r="G456" s="1" t="s">
        <v>233</v>
      </c>
      <c r="H456" s="18" t="s">
        <v>193</v>
      </c>
      <c r="I456" s="363" t="s">
        <v>2738</v>
      </c>
      <c r="J456" s="1">
        <v>44</v>
      </c>
      <c r="K456" s="1">
        <v>12</v>
      </c>
      <c r="L456" s="1">
        <v>0</v>
      </c>
      <c r="M456" s="467">
        <v>-4.0000000000000002E-4</v>
      </c>
      <c r="N456" s="1">
        <v>0</v>
      </c>
      <c r="O456" s="467">
        <v>-4.0000000000000002E-4</v>
      </c>
      <c r="P456" s="467">
        <v>-4.0000000000000002E-4</v>
      </c>
      <c r="Q456" s="467">
        <v>-4.0000000000000002E-4</v>
      </c>
      <c r="R456" s="467">
        <v>-4.0000000000000002E-4</v>
      </c>
      <c r="S456" s="467">
        <v>-4.0000000000000002E-4</v>
      </c>
      <c r="T456" s="467">
        <v>-4.0000000000000002E-4</v>
      </c>
      <c r="U456" s="467">
        <v>-4.0000000000000002E-4</v>
      </c>
      <c r="V456" s="467">
        <v>-4.0000000000000002E-4</v>
      </c>
      <c r="W456" s="467">
        <v>-4.0000000000000002E-4</v>
      </c>
      <c r="X456" s="467">
        <v>-4.0000000000000002E-4</v>
      </c>
      <c r="Y456" s="467">
        <v>-4.0000000000000002E-4</v>
      </c>
      <c r="Z456" s="467">
        <v>-4.0000000000000002E-4</v>
      </c>
      <c r="AA456" s="467">
        <v>-4.0000000000000002E-4</v>
      </c>
      <c r="AB456" s="467">
        <v>-4.0000000000000002E-4</v>
      </c>
      <c r="AC456" s="467">
        <v>-4.0000000000000002E-4</v>
      </c>
      <c r="AD456" s="467">
        <v>-4.0000000000000002E-4</v>
      </c>
      <c r="AE456" s="467">
        <v>-4.0000000000000002E-4</v>
      </c>
      <c r="AF456" s="467">
        <v>-4.0000000000000002E-4</v>
      </c>
      <c r="AI456" s="1" t="s">
        <v>233</v>
      </c>
      <c r="AJ456" s="1" t="s">
        <v>1757</v>
      </c>
      <c r="AK456" s="1" t="s">
        <v>193</v>
      </c>
      <c r="AL456" s="749" t="s">
        <v>1974</v>
      </c>
    </row>
    <row r="457" spans="1:38">
      <c r="A457" s="1" t="s">
        <v>2739</v>
      </c>
      <c r="B457" s="1">
        <v>184</v>
      </c>
      <c r="C457" s="1">
        <v>44</v>
      </c>
      <c r="D457" s="1">
        <v>12</v>
      </c>
      <c r="E457" s="1">
        <v>0</v>
      </c>
      <c r="F457" s="1">
        <v>0</v>
      </c>
      <c r="G457" s="1" t="s">
        <v>233</v>
      </c>
      <c r="H457" s="18" t="s">
        <v>193</v>
      </c>
      <c r="I457" s="363" t="s">
        <v>2738</v>
      </c>
      <c r="J457" s="1">
        <v>44</v>
      </c>
      <c r="K457" s="1">
        <v>12</v>
      </c>
      <c r="L457" s="1">
        <v>0</v>
      </c>
      <c r="M457" s="467">
        <v>-4.0000000000000002E-4</v>
      </c>
      <c r="N457" s="1">
        <v>0</v>
      </c>
      <c r="O457" s="467">
        <v>-4.0000000000000002E-4</v>
      </c>
      <c r="P457" s="467">
        <v>-4.0000000000000002E-4</v>
      </c>
      <c r="Q457" s="467">
        <v>-4.0000000000000002E-4</v>
      </c>
      <c r="R457" s="467">
        <v>-4.0000000000000002E-4</v>
      </c>
      <c r="S457" s="467">
        <v>-4.0000000000000002E-4</v>
      </c>
      <c r="T457" s="467">
        <v>-4.0000000000000002E-4</v>
      </c>
      <c r="U457" s="467">
        <v>-4.0000000000000002E-4</v>
      </c>
      <c r="V457" s="467">
        <v>-4.0000000000000002E-4</v>
      </c>
      <c r="W457" s="467">
        <v>-4.0000000000000002E-4</v>
      </c>
      <c r="X457" s="467">
        <v>-4.0000000000000002E-4</v>
      </c>
      <c r="Y457" s="467">
        <v>-4.0000000000000002E-4</v>
      </c>
      <c r="Z457" s="467">
        <v>-4.0000000000000002E-4</v>
      </c>
      <c r="AA457" s="467">
        <v>-4.0000000000000002E-4</v>
      </c>
      <c r="AB457" s="467">
        <v>-4.0000000000000002E-4</v>
      </c>
      <c r="AC457" s="467">
        <v>-4.0000000000000002E-4</v>
      </c>
      <c r="AD457" s="467">
        <v>-4.0000000000000002E-4</v>
      </c>
      <c r="AE457" s="467">
        <v>-4.0000000000000002E-4</v>
      </c>
      <c r="AF457" s="467">
        <v>-4.0000000000000002E-4</v>
      </c>
      <c r="AI457" s="1" t="s">
        <v>233</v>
      </c>
      <c r="AJ457" s="1" t="s">
        <v>1757</v>
      </c>
      <c r="AK457" s="1" t="s">
        <v>193</v>
      </c>
      <c r="AL457" s="749" t="s">
        <v>1974</v>
      </c>
    </row>
    <row r="458" spans="1:38">
      <c r="A458" s="1" t="s">
        <v>3517</v>
      </c>
      <c r="B458" s="1">
        <v>184</v>
      </c>
      <c r="C458" s="1">
        <v>44</v>
      </c>
      <c r="D458" s="1">
        <v>12</v>
      </c>
      <c r="E458" s="1">
        <v>0</v>
      </c>
      <c r="F458" s="1">
        <v>0</v>
      </c>
      <c r="G458" s="1" t="s">
        <v>233</v>
      </c>
      <c r="H458" s="18" t="s">
        <v>193</v>
      </c>
      <c r="I458" s="363" t="s">
        <v>2738</v>
      </c>
      <c r="J458" s="1">
        <v>44</v>
      </c>
      <c r="K458" s="1">
        <v>12</v>
      </c>
      <c r="L458" s="1">
        <v>0</v>
      </c>
      <c r="M458" s="467">
        <v>-4.0000000000000002E-4</v>
      </c>
      <c r="N458" s="1">
        <v>0</v>
      </c>
      <c r="O458" s="467">
        <v>-4.0000000000000002E-4</v>
      </c>
      <c r="P458" s="467">
        <v>-4.0000000000000002E-4</v>
      </c>
      <c r="Q458" s="467">
        <v>-4.0000000000000002E-4</v>
      </c>
      <c r="R458" s="467">
        <v>-4.0000000000000002E-4</v>
      </c>
      <c r="S458" s="467">
        <v>-4.0000000000000002E-4</v>
      </c>
      <c r="T458" s="467">
        <v>-4.0000000000000002E-4</v>
      </c>
      <c r="U458" s="467">
        <v>-4.0000000000000002E-4</v>
      </c>
      <c r="V458" s="467">
        <v>-4.0000000000000002E-4</v>
      </c>
      <c r="W458" s="467">
        <v>-4.0000000000000002E-4</v>
      </c>
      <c r="X458" s="467">
        <v>-4.0000000000000002E-4</v>
      </c>
      <c r="Y458" s="467">
        <v>-4.0000000000000002E-4</v>
      </c>
      <c r="Z458" s="467">
        <v>-4.0000000000000002E-4</v>
      </c>
      <c r="AA458" s="467">
        <v>-4.0000000000000002E-4</v>
      </c>
      <c r="AB458" s="467">
        <v>-4.0000000000000002E-4</v>
      </c>
      <c r="AC458" s="467">
        <v>-4.0000000000000002E-4</v>
      </c>
      <c r="AD458" s="467">
        <v>-4.0000000000000002E-4</v>
      </c>
      <c r="AE458" s="467">
        <v>-4.0000000000000002E-4</v>
      </c>
      <c r="AF458" s="467">
        <v>-4.0000000000000002E-4</v>
      </c>
      <c r="AI458" s="1" t="s">
        <v>233</v>
      </c>
      <c r="AJ458" s="1" t="s">
        <v>1757</v>
      </c>
      <c r="AK458" s="1" t="s">
        <v>193</v>
      </c>
      <c r="AL458" s="749" t="s">
        <v>1974</v>
      </c>
    </row>
    <row r="459" spans="1:38">
      <c r="A459" s="1" t="s">
        <v>1975</v>
      </c>
      <c r="B459" s="1">
        <v>1568</v>
      </c>
      <c r="C459" s="1">
        <v>375</v>
      </c>
      <c r="D459" s="1">
        <v>82</v>
      </c>
      <c r="E459" s="1">
        <v>5</v>
      </c>
      <c r="F459" s="1">
        <v>3</v>
      </c>
      <c r="G459" s="1" t="s">
        <v>233</v>
      </c>
      <c r="H459" s="1" t="s">
        <v>204</v>
      </c>
      <c r="J459" s="1">
        <v>375</v>
      </c>
      <c r="K459" s="1">
        <v>82</v>
      </c>
      <c r="L459" s="1">
        <v>5</v>
      </c>
      <c r="M459" s="467">
        <v>-4.0000000000000002E-4</v>
      </c>
      <c r="N459" s="1">
        <v>3</v>
      </c>
      <c r="O459" s="467">
        <v>-4.0000000000000002E-4</v>
      </c>
      <c r="P459" s="467">
        <v>-4.0000000000000002E-4</v>
      </c>
      <c r="Q459" s="467">
        <v>-4.0000000000000002E-4</v>
      </c>
      <c r="R459" s="467">
        <v>-4.0000000000000002E-4</v>
      </c>
      <c r="S459" s="467">
        <v>-4.0000000000000002E-4</v>
      </c>
      <c r="T459" s="467">
        <v>-4.0000000000000002E-4</v>
      </c>
      <c r="U459" s="467">
        <v>-4.0000000000000002E-4</v>
      </c>
      <c r="V459" s="467">
        <v>-4.0000000000000002E-4</v>
      </c>
      <c r="W459" s="467">
        <v>-4.0000000000000002E-4</v>
      </c>
      <c r="X459" s="467">
        <v>-4.0000000000000002E-4</v>
      </c>
      <c r="Y459" s="467">
        <v>-4.0000000000000002E-4</v>
      </c>
      <c r="Z459" s="467">
        <v>-4.0000000000000002E-4</v>
      </c>
      <c r="AA459" s="467">
        <v>-4.0000000000000002E-4</v>
      </c>
      <c r="AB459" s="467">
        <v>-4.0000000000000002E-4</v>
      </c>
      <c r="AC459" s="467">
        <v>-4.0000000000000002E-4</v>
      </c>
      <c r="AD459" s="467">
        <v>-4.0000000000000002E-4</v>
      </c>
      <c r="AE459" s="467">
        <v>-4.0000000000000002E-4</v>
      </c>
      <c r="AF459" s="467">
        <v>-4.0000000000000002E-4</v>
      </c>
      <c r="AI459" s="1" t="s">
        <v>233</v>
      </c>
      <c r="AJ459" s="1" t="s">
        <v>1757</v>
      </c>
      <c r="AK459" s="1" t="s">
        <v>204</v>
      </c>
      <c r="AL459" s="749" t="s">
        <v>1975</v>
      </c>
    </row>
    <row r="460" spans="1:38">
      <c r="A460" s="1" t="s">
        <v>1974</v>
      </c>
      <c r="B460" s="1">
        <v>184</v>
      </c>
      <c r="C460" s="1">
        <v>44</v>
      </c>
      <c r="D460" s="1">
        <v>12</v>
      </c>
      <c r="E460" s="1">
        <v>0</v>
      </c>
      <c r="F460" s="1">
        <v>0</v>
      </c>
      <c r="G460" s="1" t="s">
        <v>233</v>
      </c>
      <c r="H460" s="1" t="s">
        <v>193</v>
      </c>
      <c r="J460" s="1">
        <v>44</v>
      </c>
      <c r="K460" s="1">
        <v>12</v>
      </c>
      <c r="L460" s="1">
        <v>0</v>
      </c>
      <c r="M460" s="467">
        <v>-4.0000000000000002E-4</v>
      </c>
      <c r="N460" s="1">
        <v>0</v>
      </c>
      <c r="O460" s="467">
        <v>-4.0000000000000002E-4</v>
      </c>
      <c r="P460" s="467">
        <v>-4.0000000000000002E-4</v>
      </c>
      <c r="Q460" s="467">
        <v>-4.0000000000000002E-4</v>
      </c>
      <c r="R460" s="467">
        <v>-4.0000000000000002E-4</v>
      </c>
      <c r="S460" s="467">
        <v>-4.0000000000000002E-4</v>
      </c>
      <c r="T460" s="467">
        <v>-4.0000000000000002E-4</v>
      </c>
      <c r="U460" s="467">
        <v>-4.0000000000000002E-4</v>
      </c>
      <c r="V460" s="467">
        <v>-4.0000000000000002E-4</v>
      </c>
      <c r="W460" s="467">
        <v>-4.0000000000000002E-4</v>
      </c>
      <c r="X460" s="467">
        <v>-4.0000000000000002E-4</v>
      </c>
      <c r="Y460" s="467">
        <v>-4.0000000000000002E-4</v>
      </c>
      <c r="Z460" s="467">
        <v>-4.0000000000000002E-4</v>
      </c>
      <c r="AA460" s="467">
        <v>-4.0000000000000002E-4</v>
      </c>
      <c r="AB460" s="467">
        <v>-4.0000000000000002E-4</v>
      </c>
      <c r="AC460" s="467">
        <v>-4.0000000000000002E-4</v>
      </c>
      <c r="AD460" s="467">
        <v>-4.0000000000000002E-4</v>
      </c>
      <c r="AE460" s="467">
        <v>-4.0000000000000002E-4</v>
      </c>
      <c r="AF460" s="467">
        <v>-4.0000000000000002E-4</v>
      </c>
      <c r="AI460" s="1" t="s">
        <v>233</v>
      </c>
      <c r="AJ460" s="1" t="s">
        <v>1757</v>
      </c>
      <c r="AK460" s="1" t="s">
        <v>193</v>
      </c>
      <c r="AL460" s="749" t="s">
        <v>1974</v>
      </c>
    </row>
    <row r="461" spans="1:38">
      <c r="A461" s="1" t="s">
        <v>1976</v>
      </c>
      <c r="B461" s="1">
        <v>92</v>
      </c>
      <c r="C461" s="1">
        <v>22</v>
      </c>
      <c r="D461" s="1">
        <v>6.9</v>
      </c>
      <c r="E461" s="1">
        <v>0.35</v>
      </c>
      <c r="F461" s="1">
        <v>0.24</v>
      </c>
      <c r="G461" s="1" t="s">
        <v>233</v>
      </c>
      <c r="H461" s="1" t="s">
        <v>247</v>
      </c>
      <c r="J461" s="1">
        <v>22</v>
      </c>
      <c r="K461" s="1">
        <v>6.9</v>
      </c>
      <c r="L461" s="1">
        <v>0.35</v>
      </c>
      <c r="M461" s="467">
        <v>-4.0000000000000002E-4</v>
      </c>
      <c r="N461" s="1">
        <v>0.24</v>
      </c>
      <c r="O461" s="467">
        <v>-4.0000000000000002E-4</v>
      </c>
      <c r="P461" s="467">
        <v>-4.0000000000000002E-4</v>
      </c>
      <c r="Q461" s="467">
        <v>-4.0000000000000002E-4</v>
      </c>
      <c r="R461" s="467">
        <v>-4.0000000000000002E-4</v>
      </c>
      <c r="S461" s="467">
        <v>-4.0000000000000002E-4</v>
      </c>
      <c r="T461" s="467">
        <v>-4.0000000000000002E-4</v>
      </c>
      <c r="U461" s="467">
        <v>-4.0000000000000002E-4</v>
      </c>
      <c r="V461" s="467">
        <v>-4.0000000000000002E-4</v>
      </c>
      <c r="W461" s="467">
        <v>-4.0000000000000002E-4</v>
      </c>
      <c r="X461" s="467">
        <v>-4.0000000000000002E-4</v>
      </c>
      <c r="Y461" s="467">
        <v>-4.0000000000000002E-4</v>
      </c>
      <c r="Z461" s="467">
        <v>-4.0000000000000002E-4</v>
      </c>
      <c r="AA461" s="467">
        <v>-4.0000000000000002E-4</v>
      </c>
      <c r="AB461" s="467">
        <v>-4.0000000000000002E-4</v>
      </c>
      <c r="AC461" s="467">
        <v>-4.0000000000000002E-4</v>
      </c>
      <c r="AD461" s="467">
        <v>-4.0000000000000002E-4</v>
      </c>
      <c r="AE461" s="467">
        <v>-4.0000000000000002E-4</v>
      </c>
      <c r="AF461" s="467">
        <v>-4.0000000000000002E-4</v>
      </c>
      <c r="AI461" s="1" t="s">
        <v>233</v>
      </c>
      <c r="AJ461" s="1" t="s">
        <v>1757</v>
      </c>
      <c r="AK461" s="1" t="s">
        <v>247</v>
      </c>
      <c r="AL461" s="749" t="s">
        <v>1976</v>
      </c>
    </row>
    <row r="462" spans="1:38">
      <c r="A462" s="1" t="s">
        <v>1977</v>
      </c>
      <c r="B462" s="1">
        <v>167</v>
      </c>
      <c r="C462" s="1">
        <v>40</v>
      </c>
      <c r="D462" s="1">
        <v>10.41</v>
      </c>
      <c r="E462" s="1">
        <v>0.08</v>
      </c>
      <c r="F462" s="1">
        <v>0.04</v>
      </c>
      <c r="G462" s="1" t="s">
        <v>233</v>
      </c>
      <c r="H462" s="1" t="s">
        <v>194</v>
      </c>
      <c r="J462" s="1">
        <v>40</v>
      </c>
      <c r="K462" s="1">
        <v>10.41</v>
      </c>
      <c r="L462" s="1">
        <v>0.08</v>
      </c>
      <c r="M462" s="467">
        <v>-4.0000000000000002E-4</v>
      </c>
      <c r="N462" s="1">
        <v>0.04</v>
      </c>
      <c r="O462" s="467">
        <v>-4.0000000000000002E-4</v>
      </c>
      <c r="P462" s="467">
        <v>-4.0000000000000002E-4</v>
      </c>
      <c r="Q462" s="467">
        <v>-4.0000000000000002E-4</v>
      </c>
      <c r="R462" s="467">
        <v>-4.0000000000000002E-4</v>
      </c>
      <c r="S462" s="467">
        <v>-4.0000000000000002E-4</v>
      </c>
      <c r="T462" s="467">
        <v>-4.0000000000000002E-4</v>
      </c>
      <c r="U462" s="467">
        <v>-4.0000000000000002E-4</v>
      </c>
      <c r="V462" s="467">
        <v>-4.0000000000000002E-4</v>
      </c>
      <c r="W462" s="467">
        <v>-4.0000000000000002E-4</v>
      </c>
      <c r="X462" s="467">
        <v>-4.0000000000000002E-4</v>
      </c>
      <c r="Y462" s="467">
        <v>-4.0000000000000002E-4</v>
      </c>
      <c r="Z462" s="467">
        <v>-4.0000000000000002E-4</v>
      </c>
      <c r="AA462" s="467">
        <v>-4.0000000000000002E-4</v>
      </c>
      <c r="AB462" s="467">
        <v>-4.0000000000000002E-4</v>
      </c>
      <c r="AC462" s="467">
        <v>-4.0000000000000002E-4</v>
      </c>
      <c r="AD462" s="467">
        <v>-4.0000000000000002E-4</v>
      </c>
      <c r="AE462" s="467">
        <v>-4.0000000000000002E-4</v>
      </c>
      <c r="AF462" s="467">
        <v>-4.0000000000000002E-4</v>
      </c>
      <c r="AI462" s="1" t="s">
        <v>233</v>
      </c>
      <c r="AJ462" s="1" t="s">
        <v>1757</v>
      </c>
      <c r="AK462" s="1" t="s">
        <v>194</v>
      </c>
      <c r="AL462" s="749" t="s">
        <v>1977</v>
      </c>
    </row>
    <row r="463" spans="1:38">
      <c r="A463" s="1" t="s">
        <v>3415</v>
      </c>
      <c r="B463" s="1">
        <v>269</v>
      </c>
      <c r="C463" s="1">
        <v>63</v>
      </c>
      <c r="D463" s="1">
        <v>9</v>
      </c>
      <c r="E463" s="1">
        <v>7</v>
      </c>
      <c r="F463" s="1">
        <v>0.2</v>
      </c>
      <c r="G463" s="1" t="s">
        <v>233</v>
      </c>
      <c r="H463" s="1" t="s">
        <v>195</v>
      </c>
      <c r="J463" s="1">
        <v>63</v>
      </c>
      <c r="K463" s="1">
        <v>9</v>
      </c>
      <c r="L463" s="1">
        <v>7</v>
      </c>
      <c r="M463" s="467">
        <v>-4.0000000000000002E-4</v>
      </c>
      <c r="N463" s="1">
        <v>0.2</v>
      </c>
      <c r="O463" s="467">
        <v>-4.0000000000000002E-4</v>
      </c>
      <c r="P463" s="467">
        <v>-4.0000000000000002E-4</v>
      </c>
      <c r="Q463" s="467">
        <v>-4.0000000000000002E-4</v>
      </c>
      <c r="R463" s="467">
        <v>-4.0000000000000002E-4</v>
      </c>
      <c r="S463" s="467">
        <v>-4.0000000000000002E-4</v>
      </c>
      <c r="T463" s="467">
        <v>-4.0000000000000002E-4</v>
      </c>
      <c r="U463" s="467">
        <v>-4.0000000000000002E-4</v>
      </c>
      <c r="V463" s="467">
        <v>-4.0000000000000002E-4</v>
      </c>
      <c r="W463" s="467">
        <v>-4.0000000000000002E-4</v>
      </c>
      <c r="X463" s="467">
        <v>-4.0000000000000002E-4</v>
      </c>
      <c r="Y463" s="467">
        <v>-4.0000000000000002E-4</v>
      </c>
      <c r="Z463" s="467">
        <v>-4.0000000000000002E-4</v>
      </c>
      <c r="AA463" s="467">
        <v>-4.0000000000000002E-4</v>
      </c>
      <c r="AB463" s="467">
        <v>-4.0000000000000002E-4</v>
      </c>
      <c r="AC463" s="467">
        <v>-4.0000000000000002E-4</v>
      </c>
      <c r="AD463" s="467">
        <v>-4.0000000000000002E-4</v>
      </c>
      <c r="AE463" s="467">
        <v>-4.0000000000000002E-4</v>
      </c>
      <c r="AF463" s="467">
        <v>-4.0000000000000002E-4</v>
      </c>
      <c r="AI463" s="1" t="s">
        <v>233</v>
      </c>
      <c r="AJ463" s="1" t="s">
        <v>1757</v>
      </c>
      <c r="AK463" s="1" t="s">
        <v>195</v>
      </c>
      <c r="AL463" s="749" t="s">
        <v>1978</v>
      </c>
    </row>
    <row r="464" spans="1:38">
      <c r="A464" s="749" t="s">
        <v>3518</v>
      </c>
      <c r="B464" s="1">
        <v>1062</v>
      </c>
      <c r="C464" s="1">
        <v>254</v>
      </c>
      <c r="D464" s="1">
        <v>63.4</v>
      </c>
      <c r="E464" s="1">
        <v>0</v>
      </c>
      <c r="F464" s="1">
        <v>0</v>
      </c>
      <c r="G464" s="1" t="s">
        <v>233</v>
      </c>
      <c r="H464" s="1" t="s">
        <v>196</v>
      </c>
      <c r="I464" s="749" t="s">
        <v>2066</v>
      </c>
      <c r="J464" s="1">
        <f>J501/5</f>
        <v>50.8</v>
      </c>
      <c r="K464" s="1">
        <f t="shared" ref="K464:N464" si="3">K501/5</f>
        <v>12.68</v>
      </c>
      <c r="L464" s="1">
        <f t="shared" si="3"/>
        <v>0</v>
      </c>
      <c r="M464" s="151">
        <v>-4.0000000000000001E-3</v>
      </c>
      <c r="N464" s="1">
        <f t="shared" si="3"/>
        <v>0</v>
      </c>
      <c r="O464" s="151">
        <v>-4.0000000000000001E-3</v>
      </c>
      <c r="P464" s="151">
        <v>-4.0000000000000001E-3</v>
      </c>
      <c r="Q464" s="151">
        <v>-4.0000000000000001E-3</v>
      </c>
      <c r="R464" s="151">
        <v>-4.0000000000000001E-3</v>
      </c>
      <c r="S464" s="151">
        <v>-4.0000000000000001E-3</v>
      </c>
      <c r="T464" s="151">
        <v>-4.0000000000000001E-3</v>
      </c>
      <c r="U464" s="151">
        <v>-4.0000000000000001E-3</v>
      </c>
      <c r="V464" s="151">
        <v>-4.0000000000000001E-3</v>
      </c>
      <c r="W464" s="151">
        <v>-4.0000000000000001E-3</v>
      </c>
      <c r="X464" s="151">
        <v>-4.0000000000000001E-3</v>
      </c>
      <c r="Y464" s="151">
        <v>-4.0000000000000001E-3</v>
      </c>
      <c r="Z464" s="151">
        <v>-4.0000000000000001E-3</v>
      </c>
      <c r="AA464" s="151">
        <v>-4.0000000000000001E-3</v>
      </c>
      <c r="AB464" s="151">
        <v>-4.0000000000000001E-3</v>
      </c>
      <c r="AC464" s="151">
        <v>-4.0000000000000001E-3</v>
      </c>
      <c r="AD464" s="151">
        <v>-4.0000000000000001E-3</v>
      </c>
      <c r="AE464" s="151">
        <v>-4.0000000000000001E-3</v>
      </c>
      <c r="AF464" s="151">
        <v>-4.0000000000000001E-3</v>
      </c>
      <c r="AI464" s="1" t="s">
        <v>233</v>
      </c>
      <c r="AJ464" s="1" t="s">
        <v>1757</v>
      </c>
      <c r="AK464" s="1" t="s">
        <v>196</v>
      </c>
      <c r="AL464" s="749" t="s">
        <v>2003</v>
      </c>
    </row>
    <row r="465" spans="1:38">
      <c r="A465" s="749" t="s">
        <v>3519</v>
      </c>
      <c r="B465" s="1">
        <v>1007</v>
      </c>
      <c r="C465" s="1">
        <v>241</v>
      </c>
      <c r="D465" s="1">
        <v>60.3</v>
      </c>
      <c r="E465" s="1">
        <v>0</v>
      </c>
      <c r="F465" s="1">
        <v>0</v>
      </c>
      <c r="G465" s="1" t="s">
        <v>233</v>
      </c>
      <c r="H465" s="1" t="s">
        <v>197</v>
      </c>
      <c r="I465" s="749" t="s">
        <v>2066</v>
      </c>
      <c r="J465" s="1">
        <f t="shared" ref="J465:N469" si="4">J502/5</f>
        <v>48.2</v>
      </c>
      <c r="K465" s="1">
        <f t="shared" si="4"/>
        <v>12.059999999999999</v>
      </c>
      <c r="L465" s="1">
        <f t="shared" si="4"/>
        <v>0</v>
      </c>
      <c r="M465" s="151">
        <v>-4.0000000000000001E-3</v>
      </c>
      <c r="N465" s="1">
        <f t="shared" si="4"/>
        <v>0</v>
      </c>
      <c r="O465" s="151">
        <v>-4.0000000000000001E-3</v>
      </c>
      <c r="P465" s="151">
        <v>-4.0000000000000001E-3</v>
      </c>
      <c r="Q465" s="151">
        <v>-4.0000000000000001E-3</v>
      </c>
      <c r="R465" s="151">
        <v>-4.0000000000000001E-3</v>
      </c>
      <c r="S465" s="151">
        <v>-4.0000000000000001E-3</v>
      </c>
      <c r="T465" s="151">
        <v>-4.0000000000000001E-3</v>
      </c>
      <c r="U465" s="151">
        <v>-4.0000000000000001E-3</v>
      </c>
      <c r="V465" s="151">
        <v>-4.0000000000000001E-3</v>
      </c>
      <c r="W465" s="151">
        <v>-4.0000000000000001E-3</v>
      </c>
      <c r="X465" s="151">
        <v>-4.0000000000000001E-3</v>
      </c>
      <c r="Y465" s="151">
        <v>-4.0000000000000001E-3</v>
      </c>
      <c r="Z465" s="151">
        <v>-4.0000000000000001E-3</v>
      </c>
      <c r="AA465" s="151">
        <v>-4.0000000000000001E-3</v>
      </c>
      <c r="AB465" s="151">
        <v>-4.0000000000000001E-3</v>
      </c>
      <c r="AC465" s="151">
        <v>-4.0000000000000001E-3</v>
      </c>
      <c r="AD465" s="151">
        <v>-4.0000000000000001E-3</v>
      </c>
      <c r="AE465" s="151">
        <v>-4.0000000000000001E-3</v>
      </c>
      <c r="AF465" s="151">
        <v>-4.0000000000000001E-3</v>
      </c>
      <c r="AI465" s="1" t="s">
        <v>233</v>
      </c>
      <c r="AJ465" s="1" t="s">
        <v>1757</v>
      </c>
      <c r="AK465" s="1" t="s">
        <v>197</v>
      </c>
      <c r="AL465" s="749" t="s">
        <v>1979</v>
      </c>
    </row>
    <row r="466" spans="1:38">
      <c r="A466" s="749" t="s">
        <v>3520</v>
      </c>
      <c r="B466" s="1">
        <v>1012</v>
      </c>
      <c r="C466" s="1">
        <v>242</v>
      </c>
      <c r="D466" s="1">
        <v>60.4</v>
      </c>
      <c r="E466" s="1">
        <v>0</v>
      </c>
      <c r="F466" s="1">
        <v>0</v>
      </c>
      <c r="G466" s="1" t="s">
        <v>233</v>
      </c>
      <c r="H466" s="1" t="s">
        <v>198</v>
      </c>
      <c r="I466" s="749" t="s">
        <v>2066</v>
      </c>
      <c r="J466" s="1">
        <f t="shared" si="4"/>
        <v>48.4</v>
      </c>
      <c r="K466" s="1">
        <f t="shared" si="4"/>
        <v>12.08</v>
      </c>
      <c r="L466" s="1">
        <f t="shared" si="4"/>
        <v>0</v>
      </c>
      <c r="M466" s="151">
        <v>-4.0000000000000001E-3</v>
      </c>
      <c r="N466" s="1">
        <f t="shared" si="4"/>
        <v>0</v>
      </c>
      <c r="O466" s="151">
        <v>-4.0000000000000001E-3</v>
      </c>
      <c r="P466" s="151">
        <v>-4.0000000000000001E-3</v>
      </c>
      <c r="Q466" s="151">
        <v>-4.0000000000000001E-3</v>
      </c>
      <c r="R466" s="151">
        <v>-4.0000000000000001E-3</v>
      </c>
      <c r="S466" s="151">
        <v>-4.0000000000000001E-3</v>
      </c>
      <c r="T466" s="151">
        <v>-4.0000000000000001E-3</v>
      </c>
      <c r="U466" s="151">
        <v>-4.0000000000000001E-3</v>
      </c>
      <c r="V466" s="151">
        <v>-4.0000000000000001E-3</v>
      </c>
      <c r="W466" s="151">
        <v>-4.0000000000000001E-3</v>
      </c>
      <c r="X466" s="151">
        <v>-4.0000000000000001E-3</v>
      </c>
      <c r="Y466" s="151">
        <v>-4.0000000000000001E-3</v>
      </c>
      <c r="Z466" s="151">
        <v>-4.0000000000000001E-3</v>
      </c>
      <c r="AA466" s="151">
        <v>-4.0000000000000001E-3</v>
      </c>
      <c r="AB466" s="151">
        <v>-4.0000000000000001E-3</v>
      </c>
      <c r="AC466" s="151">
        <v>-4.0000000000000001E-3</v>
      </c>
      <c r="AD466" s="151">
        <v>-4.0000000000000001E-3</v>
      </c>
      <c r="AE466" s="151">
        <v>-4.0000000000000001E-3</v>
      </c>
      <c r="AF466" s="151">
        <v>-4.0000000000000001E-3</v>
      </c>
      <c r="AI466" s="1" t="s">
        <v>233</v>
      </c>
      <c r="AJ466" s="1" t="s">
        <v>1757</v>
      </c>
      <c r="AK466" s="1" t="s">
        <v>198</v>
      </c>
      <c r="AL466" s="749" t="s">
        <v>1980</v>
      </c>
    </row>
    <row r="467" spans="1:38">
      <c r="A467" s="749" t="s">
        <v>3521</v>
      </c>
      <c r="B467" s="1">
        <v>1012</v>
      </c>
      <c r="C467" s="1">
        <v>242</v>
      </c>
      <c r="D467" s="1">
        <v>60.4</v>
      </c>
      <c r="E467" s="1">
        <v>0</v>
      </c>
      <c r="F467" s="1">
        <v>0</v>
      </c>
      <c r="G467" s="1" t="s">
        <v>233</v>
      </c>
      <c r="H467" s="1" t="s">
        <v>198</v>
      </c>
      <c r="I467" s="749" t="s">
        <v>2066</v>
      </c>
      <c r="J467" s="1">
        <f t="shared" si="4"/>
        <v>48.4</v>
      </c>
      <c r="K467" s="1">
        <f t="shared" si="4"/>
        <v>12.08</v>
      </c>
      <c r="L467" s="1">
        <f t="shared" si="4"/>
        <v>0</v>
      </c>
      <c r="M467" s="151">
        <v>-4.0000000000000001E-3</v>
      </c>
      <c r="N467" s="1">
        <f t="shared" si="4"/>
        <v>0</v>
      </c>
      <c r="O467" s="151">
        <v>-4.0000000000000001E-3</v>
      </c>
      <c r="P467" s="151">
        <v>-4.0000000000000001E-3</v>
      </c>
      <c r="Q467" s="151">
        <v>-4.0000000000000001E-3</v>
      </c>
      <c r="R467" s="151">
        <v>-4.0000000000000001E-3</v>
      </c>
      <c r="S467" s="151">
        <v>-4.0000000000000001E-3</v>
      </c>
      <c r="T467" s="151">
        <v>-4.0000000000000001E-3</v>
      </c>
      <c r="U467" s="151">
        <v>-4.0000000000000001E-3</v>
      </c>
      <c r="V467" s="151">
        <v>-4.0000000000000001E-3</v>
      </c>
      <c r="W467" s="151">
        <v>-4.0000000000000001E-3</v>
      </c>
      <c r="X467" s="151">
        <v>-4.0000000000000001E-3</v>
      </c>
      <c r="Y467" s="151">
        <v>-4.0000000000000001E-3</v>
      </c>
      <c r="Z467" s="151">
        <v>-4.0000000000000001E-3</v>
      </c>
      <c r="AA467" s="151">
        <v>-4.0000000000000001E-3</v>
      </c>
      <c r="AB467" s="151">
        <v>-4.0000000000000001E-3</v>
      </c>
      <c r="AC467" s="151">
        <v>-4.0000000000000001E-3</v>
      </c>
      <c r="AD467" s="151">
        <v>-4.0000000000000001E-3</v>
      </c>
      <c r="AE467" s="151">
        <v>-4.0000000000000001E-3</v>
      </c>
      <c r="AF467" s="151">
        <v>-4.0000000000000001E-3</v>
      </c>
      <c r="AI467" s="1" t="s">
        <v>233</v>
      </c>
      <c r="AJ467" s="1" t="s">
        <v>1757</v>
      </c>
      <c r="AK467" s="1" t="s">
        <v>198</v>
      </c>
      <c r="AL467" s="749" t="s">
        <v>1980</v>
      </c>
    </row>
    <row r="468" spans="1:38">
      <c r="A468" s="749" t="s">
        <v>3529</v>
      </c>
      <c r="B468" s="1">
        <v>1003</v>
      </c>
      <c r="C468" s="1">
        <v>240</v>
      </c>
      <c r="D468" s="1">
        <v>60.1</v>
      </c>
      <c r="E468" s="1">
        <v>0</v>
      </c>
      <c r="F468" s="1">
        <v>0</v>
      </c>
      <c r="G468" s="1" t="s">
        <v>233</v>
      </c>
      <c r="H468" s="1" t="s">
        <v>199</v>
      </c>
      <c r="I468" s="749" t="s">
        <v>2066</v>
      </c>
      <c r="J468" s="1">
        <f t="shared" si="4"/>
        <v>48</v>
      </c>
      <c r="K468" s="1">
        <f t="shared" si="4"/>
        <v>12.02</v>
      </c>
      <c r="L468" s="1">
        <f t="shared" si="4"/>
        <v>0</v>
      </c>
      <c r="M468" s="151">
        <v>-4.0000000000000001E-3</v>
      </c>
      <c r="N468" s="1">
        <f t="shared" si="4"/>
        <v>0</v>
      </c>
      <c r="O468" s="151">
        <v>-4.0000000000000001E-3</v>
      </c>
      <c r="P468" s="151">
        <v>-4.0000000000000001E-3</v>
      </c>
      <c r="Q468" s="151">
        <v>-4.0000000000000001E-3</v>
      </c>
      <c r="R468" s="151">
        <v>-4.0000000000000001E-3</v>
      </c>
      <c r="S468" s="151">
        <v>-4.0000000000000001E-3</v>
      </c>
      <c r="T468" s="151">
        <v>-4.0000000000000001E-3</v>
      </c>
      <c r="U468" s="151">
        <v>-4.0000000000000001E-3</v>
      </c>
      <c r="V468" s="151">
        <v>-4.0000000000000001E-3</v>
      </c>
      <c r="W468" s="151">
        <v>-4.0000000000000001E-3</v>
      </c>
      <c r="X468" s="151">
        <v>-4.0000000000000001E-3</v>
      </c>
      <c r="Y468" s="151">
        <v>-4.0000000000000001E-3</v>
      </c>
      <c r="Z468" s="151">
        <v>-4.0000000000000001E-3</v>
      </c>
      <c r="AA468" s="151">
        <v>-4.0000000000000001E-3</v>
      </c>
      <c r="AB468" s="151">
        <v>-4.0000000000000001E-3</v>
      </c>
      <c r="AC468" s="151">
        <v>-4.0000000000000001E-3</v>
      </c>
      <c r="AD468" s="151">
        <v>-4.0000000000000001E-3</v>
      </c>
      <c r="AE468" s="151">
        <v>-4.0000000000000001E-3</v>
      </c>
      <c r="AF468" s="151">
        <v>-4.0000000000000001E-3</v>
      </c>
      <c r="AI468" s="1" t="s">
        <v>233</v>
      </c>
      <c r="AJ468" s="1" t="s">
        <v>1757</v>
      </c>
      <c r="AK468" s="1" t="s">
        <v>199</v>
      </c>
      <c r="AL468" s="749" t="s">
        <v>1981</v>
      </c>
    </row>
    <row r="469" spans="1:38">
      <c r="A469" s="749" t="s">
        <v>3522</v>
      </c>
      <c r="B469" s="1">
        <v>1037</v>
      </c>
      <c r="C469" s="1">
        <v>248</v>
      </c>
      <c r="D469" s="1">
        <v>62</v>
      </c>
      <c r="E469" s="1">
        <v>0</v>
      </c>
      <c r="F469" s="1">
        <v>0</v>
      </c>
      <c r="G469" s="1" t="s">
        <v>233</v>
      </c>
      <c r="H469" s="1" t="s">
        <v>200</v>
      </c>
      <c r="I469" s="749" t="s">
        <v>2066</v>
      </c>
      <c r="J469" s="1">
        <f t="shared" si="4"/>
        <v>49.6</v>
      </c>
      <c r="K469" s="1">
        <f t="shared" si="4"/>
        <v>12.4</v>
      </c>
      <c r="L469" s="1">
        <f t="shared" si="4"/>
        <v>0</v>
      </c>
      <c r="M469" s="151">
        <v>-4.0000000000000001E-3</v>
      </c>
      <c r="N469" s="1">
        <f t="shared" si="4"/>
        <v>0</v>
      </c>
      <c r="O469" s="151">
        <v>-4.0000000000000001E-3</v>
      </c>
      <c r="P469" s="151">
        <v>-4.0000000000000001E-3</v>
      </c>
      <c r="Q469" s="151">
        <v>-4.0000000000000001E-3</v>
      </c>
      <c r="R469" s="151">
        <v>-4.0000000000000001E-3</v>
      </c>
      <c r="S469" s="151">
        <v>-4.0000000000000001E-3</v>
      </c>
      <c r="T469" s="151">
        <v>-4.0000000000000001E-3</v>
      </c>
      <c r="U469" s="151">
        <v>-4.0000000000000001E-3</v>
      </c>
      <c r="V469" s="151">
        <v>-4.0000000000000001E-3</v>
      </c>
      <c r="W469" s="151">
        <v>-4.0000000000000001E-3</v>
      </c>
      <c r="X469" s="151">
        <v>-4.0000000000000001E-3</v>
      </c>
      <c r="Y469" s="151">
        <v>-4.0000000000000001E-3</v>
      </c>
      <c r="Z469" s="151">
        <v>-4.0000000000000001E-3</v>
      </c>
      <c r="AA469" s="151">
        <v>-4.0000000000000001E-3</v>
      </c>
      <c r="AB469" s="151">
        <v>-4.0000000000000001E-3</v>
      </c>
      <c r="AC469" s="151">
        <v>-4.0000000000000001E-3</v>
      </c>
      <c r="AD469" s="151">
        <v>-4.0000000000000001E-3</v>
      </c>
      <c r="AE469" s="151">
        <v>-4.0000000000000001E-3</v>
      </c>
      <c r="AF469" s="151">
        <v>-4.0000000000000001E-3</v>
      </c>
      <c r="AI469" s="1" t="s">
        <v>233</v>
      </c>
      <c r="AJ469" s="1" t="s">
        <v>1757</v>
      </c>
      <c r="AK469" s="1" t="s">
        <v>200</v>
      </c>
      <c r="AL469" s="749" t="s">
        <v>1982</v>
      </c>
    </row>
    <row r="470" spans="1:38">
      <c r="A470" s="1" t="s">
        <v>3419</v>
      </c>
      <c r="B470" s="1">
        <v>297</v>
      </c>
      <c r="C470" s="1">
        <v>71</v>
      </c>
      <c r="D470" s="1">
        <v>18</v>
      </c>
      <c r="E470" s="1">
        <v>0</v>
      </c>
      <c r="F470" s="1">
        <v>0</v>
      </c>
      <c r="G470" s="1" t="s">
        <v>233</v>
      </c>
      <c r="H470" s="1" t="s">
        <v>201</v>
      </c>
      <c r="J470" s="1">
        <v>71</v>
      </c>
      <c r="K470" s="1">
        <v>18</v>
      </c>
      <c r="L470" s="1">
        <v>0</v>
      </c>
      <c r="M470" s="467">
        <v>-4.0000000000000002E-4</v>
      </c>
      <c r="N470" s="1">
        <v>0</v>
      </c>
      <c r="O470" s="467">
        <v>-4.0000000000000002E-4</v>
      </c>
      <c r="P470" s="467">
        <v>-4.0000000000000002E-4</v>
      </c>
      <c r="Q470" s="467">
        <v>-4.0000000000000002E-4</v>
      </c>
      <c r="R470" s="467">
        <v>-4.0000000000000002E-4</v>
      </c>
      <c r="S470" s="467">
        <v>-4.0000000000000002E-4</v>
      </c>
      <c r="T470" s="467">
        <v>-4.0000000000000002E-4</v>
      </c>
      <c r="U470" s="467">
        <v>-4.0000000000000002E-4</v>
      </c>
      <c r="V470" s="467">
        <v>-4.0000000000000002E-4</v>
      </c>
      <c r="W470" s="467">
        <v>-4.0000000000000002E-4</v>
      </c>
      <c r="X470" s="467">
        <v>-4.0000000000000002E-4</v>
      </c>
      <c r="Y470" s="467">
        <v>-4.0000000000000002E-4</v>
      </c>
      <c r="Z470" s="467">
        <v>-4.0000000000000002E-4</v>
      </c>
      <c r="AA470" s="467">
        <v>-4.0000000000000002E-4</v>
      </c>
      <c r="AB470" s="467">
        <v>-4.0000000000000002E-4</v>
      </c>
      <c r="AC470" s="467">
        <v>-4.0000000000000002E-4</v>
      </c>
      <c r="AD470" s="467">
        <v>-4.0000000000000002E-4</v>
      </c>
      <c r="AE470" s="467">
        <v>-4.0000000000000002E-4</v>
      </c>
      <c r="AF470" s="467">
        <v>-4.0000000000000002E-4</v>
      </c>
      <c r="AI470" s="1" t="s">
        <v>233</v>
      </c>
      <c r="AJ470" s="1" t="s">
        <v>1757</v>
      </c>
      <c r="AK470" s="1" t="s">
        <v>201</v>
      </c>
      <c r="AL470" s="749" t="s">
        <v>1983</v>
      </c>
    </row>
    <row r="471" spans="1:38">
      <c r="A471" s="1" t="s">
        <v>3420</v>
      </c>
      <c r="B471" s="1">
        <v>297</v>
      </c>
      <c r="C471" s="1">
        <v>71</v>
      </c>
      <c r="D471" s="1">
        <v>18</v>
      </c>
      <c r="E471" s="1">
        <v>0</v>
      </c>
      <c r="F471" s="1">
        <v>0</v>
      </c>
      <c r="G471" s="1" t="s">
        <v>233</v>
      </c>
      <c r="H471" s="1" t="s">
        <v>201</v>
      </c>
      <c r="J471" s="1">
        <v>71</v>
      </c>
      <c r="K471" s="1">
        <v>18</v>
      </c>
      <c r="L471" s="1">
        <v>0</v>
      </c>
      <c r="M471" s="467">
        <v>-4.0000000000000002E-4</v>
      </c>
      <c r="N471" s="1">
        <v>0</v>
      </c>
      <c r="O471" s="467">
        <v>-4.0000000000000002E-4</v>
      </c>
      <c r="P471" s="467">
        <v>-4.0000000000000002E-4</v>
      </c>
      <c r="Q471" s="467">
        <v>-4.0000000000000002E-4</v>
      </c>
      <c r="R471" s="467">
        <v>-4.0000000000000002E-4</v>
      </c>
      <c r="S471" s="467">
        <v>-4.0000000000000002E-4</v>
      </c>
      <c r="T471" s="467">
        <v>-4.0000000000000002E-4</v>
      </c>
      <c r="U471" s="467">
        <v>-4.0000000000000002E-4</v>
      </c>
      <c r="V471" s="467">
        <v>-4.0000000000000002E-4</v>
      </c>
      <c r="W471" s="467">
        <v>-4.0000000000000002E-4</v>
      </c>
      <c r="X471" s="467">
        <v>-4.0000000000000002E-4</v>
      </c>
      <c r="Y471" s="467">
        <v>-4.0000000000000002E-4</v>
      </c>
      <c r="Z471" s="467">
        <v>-4.0000000000000002E-4</v>
      </c>
      <c r="AA471" s="467">
        <v>-4.0000000000000002E-4</v>
      </c>
      <c r="AB471" s="467">
        <v>-4.0000000000000002E-4</v>
      </c>
      <c r="AC471" s="467">
        <v>-4.0000000000000002E-4</v>
      </c>
      <c r="AD471" s="467">
        <v>-4.0000000000000002E-4</v>
      </c>
      <c r="AE471" s="467">
        <v>-4.0000000000000002E-4</v>
      </c>
      <c r="AF471" s="467">
        <v>-4.0000000000000002E-4</v>
      </c>
      <c r="AI471" s="1" t="s">
        <v>233</v>
      </c>
      <c r="AJ471" s="1" t="s">
        <v>1757</v>
      </c>
      <c r="AK471" s="1" t="s">
        <v>201</v>
      </c>
      <c r="AL471" s="749" t="s">
        <v>1983</v>
      </c>
    </row>
    <row r="472" spans="1:38">
      <c r="A472" s="1" t="s">
        <v>1983</v>
      </c>
      <c r="B472" s="1">
        <v>297</v>
      </c>
      <c r="C472" s="1">
        <v>71</v>
      </c>
      <c r="D472" s="1">
        <v>18</v>
      </c>
      <c r="E472" s="1">
        <v>0</v>
      </c>
      <c r="F472" s="1">
        <v>0</v>
      </c>
      <c r="G472" s="1" t="s">
        <v>233</v>
      </c>
      <c r="H472" s="1" t="s">
        <v>201</v>
      </c>
      <c r="J472" s="1">
        <v>71</v>
      </c>
      <c r="K472" s="1">
        <v>18</v>
      </c>
      <c r="L472" s="1">
        <v>0</v>
      </c>
      <c r="M472" s="467">
        <v>-4.0000000000000002E-4</v>
      </c>
      <c r="N472" s="1">
        <v>0</v>
      </c>
      <c r="O472" s="467">
        <v>-4.0000000000000002E-4</v>
      </c>
      <c r="P472" s="467">
        <v>-4.0000000000000002E-4</v>
      </c>
      <c r="Q472" s="467">
        <v>-4.0000000000000002E-4</v>
      </c>
      <c r="R472" s="467">
        <v>-4.0000000000000002E-4</v>
      </c>
      <c r="S472" s="467">
        <v>-4.0000000000000002E-4</v>
      </c>
      <c r="T472" s="467">
        <v>-4.0000000000000002E-4</v>
      </c>
      <c r="U472" s="467">
        <v>-4.0000000000000002E-4</v>
      </c>
      <c r="V472" s="467">
        <v>-4.0000000000000002E-4</v>
      </c>
      <c r="W472" s="467">
        <v>-4.0000000000000002E-4</v>
      </c>
      <c r="X472" s="467">
        <v>-4.0000000000000002E-4</v>
      </c>
      <c r="Y472" s="467">
        <v>-4.0000000000000002E-4</v>
      </c>
      <c r="Z472" s="467">
        <v>-4.0000000000000002E-4</v>
      </c>
      <c r="AA472" s="467">
        <v>-4.0000000000000002E-4</v>
      </c>
      <c r="AB472" s="467">
        <v>-4.0000000000000002E-4</v>
      </c>
      <c r="AC472" s="467">
        <v>-4.0000000000000002E-4</v>
      </c>
      <c r="AD472" s="467">
        <v>-4.0000000000000002E-4</v>
      </c>
      <c r="AE472" s="467">
        <v>-4.0000000000000002E-4</v>
      </c>
      <c r="AF472" s="467">
        <v>-4.0000000000000002E-4</v>
      </c>
      <c r="AI472" s="1" t="s">
        <v>233</v>
      </c>
      <c r="AJ472" s="1" t="s">
        <v>1757</v>
      </c>
      <c r="AK472" s="1" t="s">
        <v>201</v>
      </c>
      <c r="AL472" s="749" t="s">
        <v>1983</v>
      </c>
    </row>
    <row r="473" spans="1:38">
      <c r="A473" s="1" t="s">
        <v>1984</v>
      </c>
      <c r="B473" s="1">
        <v>196</v>
      </c>
      <c r="C473" s="1">
        <v>47</v>
      </c>
      <c r="D473" s="1">
        <v>12</v>
      </c>
      <c r="E473" s="1">
        <v>0</v>
      </c>
      <c r="F473" s="1">
        <v>0</v>
      </c>
      <c r="G473" s="1" t="s">
        <v>233</v>
      </c>
      <c r="H473" s="1" t="s">
        <v>202</v>
      </c>
      <c r="J473" s="1">
        <v>47</v>
      </c>
      <c r="K473" s="1">
        <v>12</v>
      </c>
      <c r="L473" s="1">
        <v>0</v>
      </c>
      <c r="M473" s="467">
        <v>-4.0000000000000002E-4</v>
      </c>
      <c r="N473" s="1">
        <v>0</v>
      </c>
      <c r="O473" s="467">
        <v>-4.0000000000000002E-4</v>
      </c>
      <c r="P473" s="467">
        <v>-4.0000000000000002E-4</v>
      </c>
      <c r="Q473" s="467">
        <v>-4.0000000000000002E-4</v>
      </c>
      <c r="R473" s="467">
        <v>-4.0000000000000002E-4</v>
      </c>
      <c r="S473" s="467">
        <v>-4.0000000000000002E-4</v>
      </c>
      <c r="T473" s="467">
        <v>-4.0000000000000002E-4</v>
      </c>
      <c r="U473" s="467">
        <v>-4.0000000000000002E-4</v>
      </c>
      <c r="V473" s="467">
        <v>-4.0000000000000002E-4</v>
      </c>
      <c r="W473" s="467">
        <v>-4.0000000000000002E-4</v>
      </c>
      <c r="X473" s="467">
        <v>-4.0000000000000002E-4</v>
      </c>
      <c r="Y473" s="467">
        <v>-4.0000000000000002E-4</v>
      </c>
      <c r="Z473" s="467">
        <v>-4.0000000000000002E-4</v>
      </c>
      <c r="AA473" s="467">
        <v>-4.0000000000000002E-4</v>
      </c>
      <c r="AB473" s="467">
        <v>-4.0000000000000002E-4</v>
      </c>
      <c r="AC473" s="467">
        <v>-4.0000000000000002E-4</v>
      </c>
      <c r="AD473" s="467">
        <v>-4.0000000000000002E-4</v>
      </c>
      <c r="AE473" s="467">
        <v>-4.0000000000000002E-4</v>
      </c>
      <c r="AF473" s="467">
        <v>-4.0000000000000002E-4</v>
      </c>
      <c r="AI473" s="1" t="s">
        <v>233</v>
      </c>
      <c r="AJ473" s="1" t="s">
        <v>1757</v>
      </c>
      <c r="AK473" s="1" t="s">
        <v>202</v>
      </c>
      <c r="AL473" s="749" t="s">
        <v>1984</v>
      </c>
    </row>
    <row r="474" spans="1:38">
      <c r="A474" s="1" t="s">
        <v>3423</v>
      </c>
      <c r="B474" s="1">
        <v>153</v>
      </c>
      <c r="C474" s="1">
        <v>36</v>
      </c>
      <c r="D474" s="1">
        <v>9</v>
      </c>
      <c r="E474" s="1">
        <v>0</v>
      </c>
      <c r="F474" s="1">
        <v>0</v>
      </c>
      <c r="G474" s="1" t="s">
        <v>233</v>
      </c>
      <c r="H474" s="749" t="s">
        <v>356</v>
      </c>
      <c r="I474" s="47">
        <v>18</v>
      </c>
      <c r="J474" s="4">
        <v>45</v>
      </c>
      <c r="K474" s="4">
        <v>10.4</v>
      </c>
      <c r="L474" s="4">
        <v>0.7</v>
      </c>
      <c r="M474" s="4">
        <v>0.2</v>
      </c>
      <c r="N474" s="4">
        <v>0.2</v>
      </c>
      <c r="O474" s="67">
        <v>2.4E-2</v>
      </c>
      <c r="P474" s="3">
        <v>1</v>
      </c>
      <c r="Q474" s="3">
        <v>200</v>
      </c>
      <c r="R474" s="3">
        <v>11</v>
      </c>
      <c r="S474" s="3">
        <v>11</v>
      </c>
      <c r="T474" s="3">
        <v>17</v>
      </c>
      <c r="U474" s="3">
        <v>0.2</v>
      </c>
      <c r="V474" s="3">
        <v>0.05</v>
      </c>
      <c r="W474" s="69">
        <v>0.04</v>
      </c>
      <c r="X474" s="3">
        <v>10</v>
      </c>
      <c r="Y474" s="3">
        <v>0.1</v>
      </c>
      <c r="Z474" s="3">
        <v>0.03</v>
      </c>
      <c r="AA474" s="3">
        <v>0.4</v>
      </c>
      <c r="AB474" s="37">
        <v>0.08</v>
      </c>
      <c r="AC474" s="3">
        <v>31</v>
      </c>
      <c r="AD474" s="3">
        <v>0</v>
      </c>
      <c r="AE474" s="3">
        <v>50</v>
      </c>
      <c r="AF474" s="3">
        <v>0</v>
      </c>
      <c r="AI474" s="1" t="s">
        <v>233</v>
      </c>
      <c r="AJ474" s="1" t="s">
        <v>1757</v>
      </c>
      <c r="AK474" s="749" t="s">
        <v>356</v>
      </c>
      <c r="AL474" s="749" t="s">
        <v>356</v>
      </c>
    </row>
    <row r="475" spans="1:38">
      <c r="A475" s="749" t="s">
        <v>3418</v>
      </c>
      <c r="B475" s="1">
        <v>167.4</v>
      </c>
      <c r="C475" s="1">
        <v>40</v>
      </c>
      <c r="D475" s="1">
        <v>10.83</v>
      </c>
      <c r="E475" s="1">
        <v>0</v>
      </c>
      <c r="F475" s="1">
        <v>0</v>
      </c>
      <c r="G475" s="1" t="s">
        <v>233</v>
      </c>
      <c r="H475" s="1" t="s">
        <v>203</v>
      </c>
      <c r="J475" s="1">
        <v>40</v>
      </c>
      <c r="K475" s="1">
        <v>10.83</v>
      </c>
      <c r="L475" s="1">
        <v>0</v>
      </c>
      <c r="M475" s="467">
        <v>-4.0000000000000002E-4</v>
      </c>
      <c r="N475" s="1">
        <v>0</v>
      </c>
      <c r="O475" s="467">
        <v>-4.0000000000000002E-4</v>
      </c>
      <c r="P475" s="467">
        <v>-4.0000000000000002E-4</v>
      </c>
      <c r="Q475" s="467">
        <v>-4.0000000000000002E-4</v>
      </c>
      <c r="R475" s="467">
        <v>-4.0000000000000002E-4</v>
      </c>
      <c r="S475" s="467">
        <v>-4.0000000000000002E-4</v>
      </c>
      <c r="T475" s="467">
        <v>-4.0000000000000002E-4</v>
      </c>
      <c r="U475" s="467">
        <v>-4.0000000000000002E-4</v>
      </c>
      <c r="V475" s="467">
        <v>-4.0000000000000002E-4</v>
      </c>
      <c r="W475" s="467">
        <v>-4.0000000000000002E-4</v>
      </c>
      <c r="X475" s="467">
        <v>-4.0000000000000002E-4</v>
      </c>
      <c r="Y475" s="467">
        <v>-4.0000000000000002E-4</v>
      </c>
      <c r="Z475" s="467">
        <v>-4.0000000000000002E-4</v>
      </c>
      <c r="AA475" s="467">
        <v>-4.0000000000000002E-4</v>
      </c>
      <c r="AB475" s="467">
        <v>-4.0000000000000002E-4</v>
      </c>
      <c r="AC475" s="467">
        <v>-4.0000000000000002E-4</v>
      </c>
      <c r="AD475" s="467">
        <v>-4.0000000000000002E-4</v>
      </c>
      <c r="AE475" s="467">
        <v>-4.0000000000000002E-4</v>
      </c>
      <c r="AF475" s="467">
        <v>-4.0000000000000002E-4</v>
      </c>
      <c r="AI475" s="1" t="s">
        <v>233</v>
      </c>
      <c r="AJ475" s="1" t="s">
        <v>1757</v>
      </c>
      <c r="AK475" s="1" t="s">
        <v>203</v>
      </c>
      <c r="AL475" s="749" t="s">
        <v>203</v>
      </c>
    </row>
    <row r="476" spans="1:38">
      <c r="A476" s="24" t="s">
        <v>3421</v>
      </c>
      <c r="B476" s="24">
        <v>0</v>
      </c>
      <c r="C476" s="24">
        <v>0</v>
      </c>
      <c r="D476" s="24">
        <v>0</v>
      </c>
      <c r="E476" s="24">
        <v>0</v>
      </c>
      <c r="F476" s="24">
        <v>0</v>
      </c>
      <c r="G476" s="24" t="s">
        <v>233</v>
      </c>
      <c r="I476" s="1">
        <v>0</v>
      </c>
      <c r="J476" s="1">
        <v>0</v>
      </c>
      <c r="K476" s="1">
        <v>0</v>
      </c>
      <c r="L476" s="1">
        <v>0</v>
      </c>
      <c r="M476" s="1">
        <v>0</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v>
      </c>
      <c r="AI476" s="24" t="s">
        <v>233</v>
      </c>
      <c r="AJ476" s="1" t="s">
        <v>1757</v>
      </c>
    </row>
    <row r="477" spans="1:38">
      <c r="A477" s="749" t="s">
        <v>3397</v>
      </c>
      <c r="B477" s="1">
        <v>1292</v>
      </c>
      <c r="C477" s="1">
        <v>309</v>
      </c>
      <c r="D477" s="1">
        <v>47.7</v>
      </c>
      <c r="E477" s="1">
        <v>6.3</v>
      </c>
      <c r="F477" s="1">
        <v>9.5</v>
      </c>
      <c r="G477" s="1" t="s">
        <v>234</v>
      </c>
      <c r="H477" s="1" t="s">
        <v>205</v>
      </c>
      <c r="J477" s="1">
        <v>309</v>
      </c>
      <c r="K477" s="1">
        <v>47.7</v>
      </c>
      <c r="L477" s="1">
        <v>6.3</v>
      </c>
      <c r="M477" s="151">
        <v>-4.0000000000000001E-3</v>
      </c>
      <c r="N477" s="1">
        <v>9.5</v>
      </c>
      <c r="O477" s="151">
        <v>-4.0000000000000001E-3</v>
      </c>
      <c r="P477" s="151">
        <v>-4.0000000000000001E-3</v>
      </c>
      <c r="Q477" s="151">
        <v>-4.0000000000000001E-3</v>
      </c>
      <c r="R477" s="151">
        <v>-4.0000000000000001E-3</v>
      </c>
      <c r="S477" s="151">
        <v>-4.0000000000000001E-3</v>
      </c>
      <c r="T477" s="151">
        <v>-4.0000000000000001E-3</v>
      </c>
      <c r="U477" s="151">
        <v>-4.0000000000000001E-3</v>
      </c>
      <c r="V477" s="151">
        <v>-4.0000000000000001E-3</v>
      </c>
      <c r="W477" s="151">
        <v>-4.0000000000000002E-4</v>
      </c>
      <c r="X477" s="151">
        <v>-4.0000000000000001E-3</v>
      </c>
      <c r="Y477" s="151">
        <v>-4.0000000000000001E-3</v>
      </c>
      <c r="Z477" s="151">
        <v>-4.0000000000000001E-3</v>
      </c>
      <c r="AA477" s="151">
        <v>-4.0000000000000001E-3</v>
      </c>
      <c r="AB477" s="151">
        <v>-4.0000000000000001E-3</v>
      </c>
      <c r="AC477" s="151">
        <v>-4.0000000000000001E-3</v>
      </c>
      <c r="AD477" s="151">
        <v>-4.0000000000000002E-4</v>
      </c>
      <c r="AE477" s="151">
        <v>-4.0000000000000001E-3</v>
      </c>
      <c r="AF477" s="151">
        <v>-4.0000000000000002E-4</v>
      </c>
      <c r="AI477" s="1" t="s">
        <v>234</v>
      </c>
      <c r="AJ477" s="1" t="s">
        <v>1758</v>
      </c>
      <c r="AK477" s="1" t="s">
        <v>205</v>
      </c>
      <c r="AL477" s="749" t="s">
        <v>2004</v>
      </c>
    </row>
    <row r="478" spans="1:38">
      <c r="A478" s="749" t="s">
        <v>3400</v>
      </c>
      <c r="B478" s="10">
        <v>991.3</v>
      </c>
      <c r="C478" s="10">
        <v>236.9</v>
      </c>
      <c r="D478" s="10">
        <v>21.9</v>
      </c>
      <c r="E478" s="10">
        <v>12.6</v>
      </c>
      <c r="F478" s="10">
        <v>10.8</v>
      </c>
      <c r="G478" s="1" t="s">
        <v>234</v>
      </c>
      <c r="H478" s="1" t="s">
        <v>763</v>
      </c>
      <c r="J478" s="10">
        <v>236.9</v>
      </c>
      <c r="K478" s="10">
        <v>21.9</v>
      </c>
      <c r="L478" s="10">
        <v>12.6</v>
      </c>
      <c r="M478" s="151">
        <v>-4.0000000000000001E-3</v>
      </c>
      <c r="N478" s="10">
        <v>10.8</v>
      </c>
      <c r="O478" s="151">
        <v>-4.0000000000000001E-3</v>
      </c>
      <c r="P478" s="151">
        <v>-4.0000000000000001E-3</v>
      </c>
      <c r="Q478" s="151">
        <v>-4.0000000000000001E-3</v>
      </c>
      <c r="R478" s="151">
        <v>-4.0000000000000001E-3</v>
      </c>
      <c r="S478" s="151">
        <v>-4.0000000000000001E-3</v>
      </c>
      <c r="T478" s="151">
        <v>-4.0000000000000001E-3</v>
      </c>
      <c r="U478" s="151">
        <v>-4.0000000000000001E-3</v>
      </c>
      <c r="V478" s="151">
        <v>-4.0000000000000001E-3</v>
      </c>
      <c r="W478" s="151">
        <v>-4.0000000000000002E-4</v>
      </c>
      <c r="X478" s="151">
        <v>-4.0000000000000001E-3</v>
      </c>
      <c r="Y478" s="151">
        <v>-4.0000000000000001E-3</v>
      </c>
      <c r="Z478" s="151">
        <v>-4.0000000000000001E-3</v>
      </c>
      <c r="AA478" s="151">
        <v>-4.0000000000000001E-3</v>
      </c>
      <c r="AB478" s="151">
        <v>-4.0000000000000001E-3</v>
      </c>
      <c r="AC478" s="151">
        <v>-4.0000000000000001E-3</v>
      </c>
      <c r="AD478" s="151">
        <v>-4.0000000000000002E-4</v>
      </c>
      <c r="AE478" s="151">
        <v>-4.0000000000000001E-3</v>
      </c>
      <c r="AF478" s="151">
        <v>-4.0000000000000002E-4</v>
      </c>
      <c r="AI478" s="1" t="s">
        <v>234</v>
      </c>
      <c r="AJ478" s="1" t="s">
        <v>1758</v>
      </c>
      <c r="AK478" s="1" t="s">
        <v>763</v>
      </c>
      <c r="AL478" s="749" t="s">
        <v>1985</v>
      </c>
    </row>
    <row r="479" spans="1:38">
      <c r="A479" s="749" t="s">
        <v>3401</v>
      </c>
      <c r="B479" s="1">
        <v>27</v>
      </c>
      <c r="C479" s="1">
        <v>6.4</v>
      </c>
      <c r="D479" s="1">
        <v>0.16</v>
      </c>
      <c r="E479" s="1">
        <v>0.36</v>
      </c>
      <c r="F479" s="1">
        <v>0.48</v>
      </c>
      <c r="G479" s="1" t="s">
        <v>234</v>
      </c>
      <c r="H479" s="1" t="s">
        <v>764</v>
      </c>
      <c r="J479" s="1">
        <v>6.4</v>
      </c>
      <c r="K479" s="1">
        <v>0.16</v>
      </c>
      <c r="L479" s="1">
        <v>0.36</v>
      </c>
      <c r="M479" s="151">
        <v>-4.0000000000000001E-3</v>
      </c>
      <c r="N479" s="1">
        <v>0.48</v>
      </c>
      <c r="O479" s="151">
        <v>-4.0000000000000001E-3</v>
      </c>
      <c r="P479" s="151">
        <v>-4.0000000000000001E-3</v>
      </c>
      <c r="Q479" s="151">
        <v>-4.0000000000000001E-3</v>
      </c>
      <c r="R479" s="151">
        <v>-4.0000000000000001E-3</v>
      </c>
      <c r="S479" s="151">
        <v>-4.0000000000000001E-3</v>
      </c>
      <c r="T479" s="151">
        <v>-4.0000000000000001E-3</v>
      </c>
      <c r="U479" s="151">
        <v>-4.0000000000000001E-3</v>
      </c>
      <c r="V479" s="151">
        <v>-4.0000000000000001E-3</v>
      </c>
      <c r="W479" s="151">
        <v>-4.0000000000000002E-4</v>
      </c>
      <c r="X479" s="151">
        <v>-4.0000000000000001E-3</v>
      </c>
      <c r="Y479" s="151">
        <v>-4.0000000000000001E-3</v>
      </c>
      <c r="Z479" s="151">
        <v>-4.0000000000000001E-3</v>
      </c>
      <c r="AA479" s="151">
        <v>-4.0000000000000001E-3</v>
      </c>
      <c r="AB479" s="151">
        <v>-4.0000000000000001E-3</v>
      </c>
      <c r="AC479" s="151">
        <v>-4.0000000000000001E-3</v>
      </c>
      <c r="AD479" s="151">
        <v>-4.0000000000000002E-4</v>
      </c>
      <c r="AE479" s="151">
        <v>-4.0000000000000001E-3</v>
      </c>
      <c r="AF479" s="151">
        <v>-4.0000000000000002E-4</v>
      </c>
      <c r="AI479" s="1" t="s">
        <v>234</v>
      </c>
      <c r="AJ479" s="1" t="s">
        <v>1758</v>
      </c>
      <c r="AK479" s="1" t="s">
        <v>764</v>
      </c>
      <c r="AL479" s="749" t="s">
        <v>1986</v>
      </c>
    </row>
    <row r="480" spans="1:38">
      <c r="A480" s="1231" t="s">
        <v>3403</v>
      </c>
      <c r="B480" s="1"/>
      <c r="C480" s="1"/>
      <c r="D480" s="1"/>
      <c r="E480" s="1"/>
      <c r="F480" s="1"/>
      <c r="G480" s="1" t="s">
        <v>234</v>
      </c>
      <c r="H480" s="1"/>
      <c r="J480" s="1"/>
      <c r="K480" s="1"/>
      <c r="L480" s="1"/>
      <c r="M480" s="151"/>
      <c r="N480" s="1"/>
      <c r="O480" s="151"/>
      <c r="P480" s="151"/>
      <c r="Q480" s="151"/>
      <c r="R480" s="151"/>
      <c r="S480" s="151"/>
      <c r="T480" s="151"/>
      <c r="U480" s="151"/>
      <c r="V480" s="151"/>
      <c r="W480" s="151"/>
      <c r="X480" s="151"/>
      <c r="Y480" s="151"/>
      <c r="Z480" s="151"/>
      <c r="AA480" s="151"/>
      <c r="AB480" s="151"/>
      <c r="AC480" s="151"/>
      <c r="AD480" s="151"/>
      <c r="AE480" s="151"/>
      <c r="AF480" s="151"/>
      <c r="AI480" s="1"/>
      <c r="AJ480" s="1"/>
      <c r="AK480" s="1"/>
    </row>
    <row r="481" spans="1:38">
      <c r="A481" s="749" t="s">
        <v>3404</v>
      </c>
      <c r="B481" s="1"/>
      <c r="C481" s="1"/>
      <c r="D481" s="1"/>
      <c r="E481" s="1"/>
      <c r="F481" s="1"/>
      <c r="G481" s="1" t="s">
        <v>234</v>
      </c>
      <c r="H481" s="1"/>
      <c r="J481" s="1"/>
      <c r="K481" s="1"/>
      <c r="L481" s="1"/>
      <c r="M481" s="151"/>
      <c r="N481" s="1"/>
      <c r="O481" s="151"/>
      <c r="P481" s="151"/>
      <c r="Q481" s="151"/>
      <c r="R481" s="151"/>
      <c r="S481" s="151"/>
      <c r="T481" s="151"/>
      <c r="U481" s="151"/>
      <c r="V481" s="151"/>
      <c r="W481" s="151"/>
      <c r="X481" s="151"/>
      <c r="Y481" s="151"/>
      <c r="Z481" s="151"/>
      <c r="AA481" s="151"/>
      <c r="AB481" s="151"/>
      <c r="AC481" s="151"/>
      <c r="AD481" s="151"/>
      <c r="AE481" s="151"/>
      <c r="AF481" s="151"/>
      <c r="AI481" s="1"/>
      <c r="AJ481" s="1"/>
      <c r="AK481" s="1"/>
    </row>
    <row r="482" spans="1:38">
      <c r="A482" s="1231" t="s">
        <v>3402</v>
      </c>
      <c r="B482" s="1"/>
      <c r="C482" s="1"/>
      <c r="D482" s="1"/>
      <c r="E482" s="1"/>
      <c r="F482" s="1"/>
      <c r="G482" s="1" t="s">
        <v>234</v>
      </c>
      <c r="H482" s="1"/>
      <c r="J482" s="1"/>
      <c r="K482" s="1"/>
      <c r="L482" s="1"/>
      <c r="M482" s="151"/>
      <c r="N482" s="1"/>
      <c r="O482" s="151"/>
      <c r="P482" s="151"/>
      <c r="Q482" s="151"/>
      <c r="R482" s="151"/>
      <c r="S482" s="151"/>
      <c r="T482" s="151"/>
      <c r="U482" s="151"/>
      <c r="V482" s="151"/>
      <c r="W482" s="151"/>
      <c r="X482" s="151"/>
      <c r="Y482" s="151"/>
      <c r="Z482" s="151"/>
      <c r="AA482" s="151"/>
      <c r="AB482" s="151"/>
      <c r="AC482" s="151"/>
      <c r="AD482" s="151"/>
      <c r="AE482" s="151"/>
      <c r="AF482" s="151"/>
      <c r="AI482" s="1"/>
      <c r="AJ482" s="1"/>
      <c r="AK482" s="1"/>
    </row>
    <row r="483" spans="1:38">
      <c r="A483" s="749" t="s">
        <v>3405</v>
      </c>
      <c r="B483" s="1"/>
      <c r="C483" s="1"/>
      <c r="D483" s="1"/>
      <c r="E483" s="1"/>
      <c r="F483" s="1"/>
      <c r="G483" s="1" t="s">
        <v>234</v>
      </c>
      <c r="H483" s="1" t="s">
        <v>2604</v>
      </c>
      <c r="I483" s="749" t="s">
        <v>2605</v>
      </c>
      <c r="J483" s="1">
        <v>310</v>
      </c>
      <c r="K483" s="1">
        <v>58.6</v>
      </c>
      <c r="L483" s="1">
        <v>8.3000000000000007</v>
      </c>
      <c r="M483" s="4">
        <v>3.9</v>
      </c>
      <c r="N483" s="1">
        <v>4.0999999999999996</v>
      </c>
      <c r="O483" s="4">
        <v>1.4</v>
      </c>
      <c r="P483" s="4">
        <v>5976</v>
      </c>
      <c r="Q483" s="4">
        <v>306</v>
      </c>
      <c r="R483" s="4">
        <v>55</v>
      </c>
      <c r="S483" s="4">
        <v>38</v>
      </c>
      <c r="T483" s="151">
        <v>-4.0000000000000001E-3</v>
      </c>
      <c r="U483" s="4">
        <v>2.44</v>
      </c>
      <c r="V483" s="4">
        <v>1.6</v>
      </c>
      <c r="W483" s="4">
        <v>0.28599999999999998</v>
      </c>
      <c r="X483" s="4">
        <v>8</v>
      </c>
      <c r="Y483" s="4">
        <v>0.57499999999999996</v>
      </c>
      <c r="Z483" s="4">
        <v>0.38100000000000001</v>
      </c>
      <c r="AA483" s="4">
        <v>4.88</v>
      </c>
      <c r="AB483" s="4">
        <v>0.23599999999999999</v>
      </c>
      <c r="AC483" s="4">
        <v>9</v>
      </c>
      <c r="AD483" s="4">
        <v>0.75</v>
      </c>
      <c r="AE483" s="151">
        <v>-4.0000000000000001E-3</v>
      </c>
      <c r="AF483" s="151">
        <v>-4.0000000000000002E-4</v>
      </c>
      <c r="AI483" s="1"/>
      <c r="AJ483" s="1"/>
      <c r="AK483" s="1"/>
    </row>
    <row r="484" spans="1:38">
      <c r="A484" s="1" t="s">
        <v>1987</v>
      </c>
      <c r="B484" s="10">
        <v>552.29999999999995</v>
      </c>
      <c r="C484" s="1">
        <v>132</v>
      </c>
      <c r="D484" s="1">
        <v>14</v>
      </c>
      <c r="E484" s="1">
        <v>4.0999999999999996</v>
      </c>
      <c r="F484" s="15">
        <v>7</v>
      </c>
      <c r="G484" s="1" t="s">
        <v>234</v>
      </c>
      <c r="H484" s="1" t="s">
        <v>206</v>
      </c>
      <c r="J484" s="1">
        <v>132</v>
      </c>
      <c r="K484" s="1">
        <v>14</v>
      </c>
      <c r="L484" s="1">
        <v>4.0999999999999996</v>
      </c>
      <c r="M484" s="151">
        <v>-4.0000000000000001E-3</v>
      </c>
      <c r="N484" s="15">
        <v>7</v>
      </c>
      <c r="O484" s="151">
        <v>-4.0000000000000001E-3</v>
      </c>
      <c r="P484" s="151">
        <v>-4.0000000000000001E-3</v>
      </c>
      <c r="Q484" s="151">
        <v>-4.0000000000000001E-3</v>
      </c>
      <c r="R484" s="151">
        <v>-4.0000000000000001E-3</v>
      </c>
      <c r="S484" s="151">
        <v>-4.0000000000000001E-3</v>
      </c>
      <c r="T484" s="151">
        <v>-4.0000000000000001E-3</v>
      </c>
      <c r="U484" s="151">
        <v>-4.0000000000000001E-3</v>
      </c>
      <c r="V484" s="151">
        <v>-4.0000000000000001E-3</v>
      </c>
      <c r="W484" s="151">
        <v>-4.0000000000000002E-4</v>
      </c>
      <c r="X484" s="151">
        <v>-4.0000000000000001E-3</v>
      </c>
      <c r="Y484" s="151">
        <v>-4.0000000000000001E-3</v>
      </c>
      <c r="Z484" s="151">
        <v>-4.0000000000000001E-3</v>
      </c>
      <c r="AA484" s="151">
        <v>-4.0000000000000001E-3</v>
      </c>
      <c r="AB484" s="151">
        <v>-4.0000000000000001E-3</v>
      </c>
      <c r="AC484" s="151">
        <v>-4.0000000000000001E-3</v>
      </c>
      <c r="AD484" s="151">
        <v>-4.0000000000000002E-4</v>
      </c>
      <c r="AE484" s="151">
        <v>-4.0000000000000001E-3</v>
      </c>
      <c r="AF484" s="151">
        <v>-4.0000000000000002E-4</v>
      </c>
      <c r="AI484" s="1" t="s">
        <v>234</v>
      </c>
      <c r="AJ484" s="1" t="s">
        <v>1758</v>
      </c>
      <c r="AK484" s="1" t="s">
        <v>206</v>
      </c>
      <c r="AL484" s="749" t="s">
        <v>1987</v>
      </c>
    </row>
    <row r="485" spans="1:38">
      <c r="A485" s="1" t="s">
        <v>496</v>
      </c>
      <c r="B485" s="1">
        <v>28</v>
      </c>
      <c r="C485" s="1">
        <v>7.2</v>
      </c>
      <c r="D485" s="1">
        <v>0.24</v>
      </c>
      <c r="E485" s="1">
        <v>0.36</v>
      </c>
      <c r="F485" s="1">
        <v>0.48</v>
      </c>
      <c r="G485" s="1" t="s">
        <v>234</v>
      </c>
      <c r="H485" s="1" t="s">
        <v>765</v>
      </c>
      <c r="J485" s="1">
        <v>7.2</v>
      </c>
      <c r="K485" s="1">
        <v>0.24</v>
      </c>
      <c r="L485" s="1">
        <v>0.36</v>
      </c>
      <c r="M485" s="151">
        <v>-4.0000000000000001E-3</v>
      </c>
      <c r="N485" s="1">
        <v>0.48</v>
      </c>
      <c r="O485" s="151">
        <v>-4.0000000000000001E-3</v>
      </c>
      <c r="P485" s="151">
        <v>-4.0000000000000001E-3</v>
      </c>
      <c r="Q485" s="151">
        <v>-4.0000000000000001E-3</v>
      </c>
      <c r="R485" s="151">
        <v>-4.0000000000000001E-3</v>
      </c>
      <c r="S485" s="151">
        <v>-4.0000000000000001E-3</v>
      </c>
      <c r="T485" s="151">
        <v>-4.0000000000000001E-3</v>
      </c>
      <c r="U485" s="151">
        <v>-4.0000000000000001E-3</v>
      </c>
      <c r="V485" s="151">
        <v>-4.0000000000000001E-3</v>
      </c>
      <c r="W485" s="151">
        <v>-4.0000000000000002E-4</v>
      </c>
      <c r="X485" s="151">
        <v>-4.0000000000000001E-3</v>
      </c>
      <c r="Y485" s="151">
        <v>-4.0000000000000001E-3</v>
      </c>
      <c r="Z485" s="151">
        <v>-4.0000000000000001E-3</v>
      </c>
      <c r="AA485" s="151">
        <v>-4.0000000000000001E-3</v>
      </c>
      <c r="AB485" s="151">
        <v>-4.0000000000000001E-3</v>
      </c>
      <c r="AC485" s="151">
        <v>-4.0000000000000001E-3</v>
      </c>
      <c r="AD485" s="151">
        <v>-4.0000000000000002E-4</v>
      </c>
      <c r="AE485" s="151">
        <v>-4.0000000000000001E-3</v>
      </c>
      <c r="AF485" s="151">
        <v>-4.0000000000000002E-4</v>
      </c>
      <c r="AI485" s="1" t="s">
        <v>234</v>
      </c>
      <c r="AJ485" s="1" t="s">
        <v>1758</v>
      </c>
      <c r="AK485" s="1" t="s">
        <v>765</v>
      </c>
      <c r="AL485" s="749" t="s">
        <v>1988</v>
      </c>
    </row>
    <row r="486" spans="1:38">
      <c r="A486" s="749" t="s">
        <v>3406</v>
      </c>
      <c r="B486" s="1">
        <v>28</v>
      </c>
      <c r="C486" s="1">
        <v>7.2</v>
      </c>
      <c r="D486" s="1">
        <v>0.24</v>
      </c>
      <c r="E486" s="1">
        <v>0.36</v>
      </c>
      <c r="F486" s="1">
        <v>0.48</v>
      </c>
      <c r="G486" s="1" t="s">
        <v>234</v>
      </c>
      <c r="H486" s="1" t="s">
        <v>765</v>
      </c>
      <c r="J486" s="1">
        <v>7.2</v>
      </c>
      <c r="K486" s="1">
        <v>0.24</v>
      </c>
      <c r="L486" s="1">
        <v>0.36</v>
      </c>
      <c r="M486" s="151">
        <v>-4.0000000000000001E-3</v>
      </c>
      <c r="N486" s="1">
        <v>0.48</v>
      </c>
      <c r="O486" s="151">
        <v>-4.0000000000000001E-3</v>
      </c>
      <c r="P486" s="151">
        <v>-4.0000000000000001E-3</v>
      </c>
      <c r="Q486" s="151">
        <v>-4.0000000000000001E-3</v>
      </c>
      <c r="R486" s="151">
        <v>-4.0000000000000001E-3</v>
      </c>
      <c r="S486" s="151">
        <v>-4.0000000000000001E-3</v>
      </c>
      <c r="T486" s="151">
        <v>-4.0000000000000001E-3</v>
      </c>
      <c r="U486" s="151">
        <v>-4.0000000000000001E-3</v>
      </c>
      <c r="V486" s="151">
        <v>-4.0000000000000001E-3</v>
      </c>
      <c r="W486" s="151">
        <v>-4.0000000000000002E-4</v>
      </c>
      <c r="X486" s="151">
        <v>-4.0000000000000001E-3</v>
      </c>
      <c r="Y486" s="151">
        <v>-4.0000000000000001E-3</v>
      </c>
      <c r="Z486" s="151">
        <v>-4.0000000000000001E-3</v>
      </c>
      <c r="AA486" s="151">
        <v>-4.0000000000000001E-3</v>
      </c>
      <c r="AB486" s="151">
        <v>-4.0000000000000001E-3</v>
      </c>
      <c r="AC486" s="151">
        <v>-4.0000000000000001E-3</v>
      </c>
      <c r="AD486" s="151">
        <v>-4.0000000000000002E-4</v>
      </c>
      <c r="AE486" s="151">
        <v>-4.0000000000000001E-3</v>
      </c>
      <c r="AF486" s="151">
        <v>-4.0000000000000002E-4</v>
      </c>
      <c r="AI486" s="1" t="s">
        <v>234</v>
      </c>
      <c r="AJ486" s="1" t="s">
        <v>1758</v>
      </c>
      <c r="AK486" s="1" t="s">
        <v>765</v>
      </c>
      <c r="AL486" s="749" t="s">
        <v>1988</v>
      </c>
    </row>
    <row r="487" spans="1:38">
      <c r="A487" s="749" t="s">
        <v>3384</v>
      </c>
      <c r="B487" s="15">
        <v>1290.4000000000001</v>
      </c>
      <c r="C487" s="15">
        <v>308.5</v>
      </c>
      <c r="D487" s="15">
        <v>26.3</v>
      </c>
      <c r="E487" s="15">
        <v>3.8</v>
      </c>
      <c r="F487" s="15">
        <v>18.8</v>
      </c>
      <c r="G487" s="1" t="s">
        <v>234</v>
      </c>
      <c r="H487" s="1" t="s">
        <v>207</v>
      </c>
      <c r="J487" s="15">
        <v>308.5</v>
      </c>
      <c r="K487" s="15">
        <v>26.3</v>
      </c>
      <c r="L487" s="15">
        <v>3.8</v>
      </c>
      <c r="M487" s="151">
        <v>-4.0000000000000001E-3</v>
      </c>
      <c r="N487" s="15">
        <v>18.8</v>
      </c>
      <c r="O487" s="151">
        <v>-4.0000000000000001E-3</v>
      </c>
      <c r="P487" s="151">
        <v>-4.0000000000000001E-3</v>
      </c>
      <c r="Q487" s="151">
        <v>-4.0000000000000001E-3</v>
      </c>
      <c r="R487" s="151">
        <v>-4.0000000000000001E-3</v>
      </c>
      <c r="S487" s="151">
        <v>-4.0000000000000001E-3</v>
      </c>
      <c r="T487" s="151">
        <v>-4.0000000000000001E-3</v>
      </c>
      <c r="U487" s="151">
        <v>-4.0000000000000001E-3</v>
      </c>
      <c r="V487" s="151">
        <v>-4.0000000000000001E-3</v>
      </c>
      <c r="W487" s="151">
        <v>-4.0000000000000002E-4</v>
      </c>
      <c r="X487" s="151">
        <v>-4.0000000000000001E-3</v>
      </c>
      <c r="Y487" s="151">
        <v>-4.0000000000000001E-3</v>
      </c>
      <c r="Z487" s="151">
        <v>-4.0000000000000001E-3</v>
      </c>
      <c r="AA487" s="151">
        <v>-4.0000000000000001E-3</v>
      </c>
      <c r="AB487" s="151">
        <v>-4.0000000000000001E-3</v>
      </c>
      <c r="AC487" s="151">
        <v>-4.0000000000000001E-3</v>
      </c>
      <c r="AD487" s="151">
        <v>-4.0000000000000002E-4</v>
      </c>
      <c r="AE487" s="151">
        <v>-4.0000000000000001E-3</v>
      </c>
      <c r="AF487" s="151">
        <v>-4.0000000000000002E-4</v>
      </c>
      <c r="AI487" s="1" t="s">
        <v>234</v>
      </c>
      <c r="AJ487" s="1" t="s">
        <v>1758</v>
      </c>
      <c r="AK487" s="1" t="s">
        <v>207</v>
      </c>
      <c r="AL487" s="749" t="s">
        <v>1989</v>
      </c>
    </row>
    <row r="488" spans="1:38">
      <c r="A488" s="1" t="s">
        <v>1989</v>
      </c>
      <c r="B488" s="15">
        <v>1290.4000000000001</v>
      </c>
      <c r="C488" s="15">
        <v>308.5</v>
      </c>
      <c r="D488" s="15">
        <v>26.3</v>
      </c>
      <c r="E488" s="15">
        <v>3.8</v>
      </c>
      <c r="F488" s="15">
        <v>18.8</v>
      </c>
      <c r="G488" s="1" t="s">
        <v>234</v>
      </c>
      <c r="H488" s="1" t="s">
        <v>207</v>
      </c>
      <c r="J488" s="15">
        <v>308.5</v>
      </c>
      <c r="K488" s="15">
        <v>26.3</v>
      </c>
      <c r="L488" s="15">
        <v>3.8</v>
      </c>
      <c r="M488" s="151">
        <v>-4.0000000000000001E-3</v>
      </c>
      <c r="N488" s="15">
        <v>18.8</v>
      </c>
      <c r="O488" s="151">
        <v>-4.0000000000000001E-3</v>
      </c>
      <c r="P488" s="151">
        <v>-4.0000000000000001E-3</v>
      </c>
      <c r="Q488" s="151">
        <v>-4.0000000000000001E-3</v>
      </c>
      <c r="R488" s="151">
        <v>-4.0000000000000001E-3</v>
      </c>
      <c r="S488" s="151">
        <v>-4.0000000000000001E-3</v>
      </c>
      <c r="T488" s="151">
        <v>-4.0000000000000001E-3</v>
      </c>
      <c r="U488" s="151">
        <v>-4.0000000000000001E-3</v>
      </c>
      <c r="V488" s="151">
        <v>-4.0000000000000001E-3</v>
      </c>
      <c r="W488" s="151">
        <v>-4.0000000000000002E-4</v>
      </c>
      <c r="X488" s="151">
        <v>-4.0000000000000001E-3</v>
      </c>
      <c r="Y488" s="151">
        <v>-4.0000000000000001E-3</v>
      </c>
      <c r="Z488" s="151">
        <v>-4.0000000000000001E-3</v>
      </c>
      <c r="AA488" s="151">
        <v>-4.0000000000000001E-3</v>
      </c>
      <c r="AB488" s="151">
        <v>-4.0000000000000001E-3</v>
      </c>
      <c r="AC488" s="151">
        <v>-4.0000000000000001E-3</v>
      </c>
      <c r="AD488" s="151">
        <v>-4.0000000000000002E-4</v>
      </c>
      <c r="AE488" s="151">
        <v>-4.0000000000000001E-3</v>
      </c>
      <c r="AF488" s="151">
        <v>-4.0000000000000002E-4</v>
      </c>
      <c r="AI488" s="1" t="s">
        <v>234</v>
      </c>
      <c r="AJ488" s="1" t="s">
        <v>1758</v>
      </c>
      <c r="AK488" s="1" t="s">
        <v>207</v>
      </c>
      <c r="AL488" s="749" t="s">
        <v>1989</v>
      </c>
    </row>
    <row r="489" spans="1:38">
      <c r="A489" s="1" t="s">
        <v>1990</v>
      </c>
      <c r="B489" s="1">
        <v>1358.7</v>
      </c>
      <c r="C489" s="1">
        <v>323.5</v>
      </c>
      <c r="D489" s="1">
        <v>37.1</v>
      </c>
      <c r="E489" s="1">
        <v>12.8</v>
      </c>
      <c r="F489" s="1">
        <v>14.1</v>
      </c>
      <c r="G489" s="1" t="s">
        <v>234</v>
      </c>
      <c r="H489" s="1" t="s">
        <v>161</v>
      </c>
      <c r="J489" s="1">
        <v>323.5</v>
      </c>
      <c r="K489" s="1">
        <v>37.1</v>
      </c>
      <c r="L489" s="1">
        <v>12.8</v>
      </c>
      <c r="M489" s="151">
        <v>-4.0000000000000001E-3</v>
      </c>
      <c r="N489" s="1">
        <v>14.1</v>
      </c>
      <c r="O489" s="151">
        <v>-4.0000000000000001E-3</v>
      </c>
      <c r="P489" s="151">
        <v>-4.0000000000000001E-3</v>
      </c>
      <c r="Q489" s="151">
        <v>-4.0000000000000001E-3</v>
      </c>
      <c r="R489" s="151">
        <v>-4.0000000000000001E-3</v>
      </c>
      <c r="S489" s="151">
        <v>-4.0000000000000001E-3</v>
      </c>
      <c r="T489" s="151">
        <v>-4.0000000000000001E-3</v>
      </c>
      <c r="U489" s="151">
        <v>-4.0000000000000001E-3</v>
      </c>
      <c r="V489" s="151">
        <v>-4.0000000000000001E-3</v>
      </c>
      <c r="W489" s="151">
        <v>-4.0000000000000002E-4</v>
      </c>
      <c r="X489" s="151">
        <v>-4.0000000000000001E-3</v>
      </c>
      <c r="Y489" s="151">
        <v>-4.0000000000000001E-3</v>
      </c>
      <c r="Z489" s="151">
        <v>-4.0000000000000001E-3</v>
      </c>
      <c r="AA489" s="151">
        <v>-4.0000000000000001E-3</v>
      </c>
      <c r="AB489" s="151">
        <v>-4.0000000000000001E-3</v>
      </c>
      <c r="AC489" s="151">
        <v>-4.0000000000000001E-3</v>
      </c>
      <c r="AD489" s="151">
        <v>-4.0000000000000002E-4</v>
      </c>
      <c r="AE489" s="151">
        <v>-4.0000000000000001E-3</v>
      </c>
      <c r="AF489" s="151">
        <v>-4.0000000000000002E-4</v>
      </c>
      <c r="AI489" s="1" t="s">
        <v>234</v>
      </c>
      <c r="AJ489" s="1" t="s">
        <v>1758</v>
      </c>
      <c r="AK489" s="1" t="s">
        <v>161</v>
      </c>
      <c r="AL489" s="749" t="s">
        <v>1990</v>
      </c>
    </row>
    <row r="490" spans="1:38">
      <c r="A490" s="1" t="s">
        <v>3516</v>
      </c>
      <c r="B490" s="1">
        <v>1358.7</v>
      </c>
      <c r="C490" s="1">
        <v>323.5</v>
      </c>
      <c r="D490" s="1">
        <v>37.1</v>
      </c>
      <c r="E490" s="1">
        <v>12.8</v>
      </c>
      <c r="F490" s="1">
        <v>14.1</v>
      </c>
      <c r="G490" s="1" t="s">
        <v>234</v>
      </c>
      <c r="H490" s="1" t="s">
        <v>161</v>
      </c>
      <c r="J490" s="1">
        <v>323.5</v>
      </c>
      <c r="K490" s="1">
        <v>37.1</v>
      </c>
      <c r="L490" s="1">
        <v>12.8</v>
      </c>
      <c r="M490" s="151">
        <v>-4.0000000000000001E-3</v>
      </c>
      <c r="N490" s="1">
        <v>14.1</v>
      </c>
      <c r="O490" s="151">
        <v>-4.0000000000000001E-3</v>
      </c>
      <c r="P490" s="151">
        <v>-4.0000000000000001E-3</v>
      </c>
      <c r="Q490" s="151">
        <v>-4.0000000000000001E-3</v>
      </c>
      <c r="R490" s="151">
        <v>-4.0000000000000001E-3</v>
      </c>
      <c r="S490" s="151">
        <v>-4.0000000000000001E-3</v>
      </c>
      <c r="T490" s="151">
        <v>-4.0000000000000001E-3</v>
      </c>
      <c r="U490" s="151">
        <v>-4.0000000000000001E-3</v>
      </c>
      <c r="V490" s="151">
        <v>-4.0000000000000001E-3</v>
      </c>
      <c r="W490" s="151">
        <v>-4.0000000000000002E-4</v>
      </c>
      <c r="X490" s="151">
        <v>-4.0000000000000001E-3</v>
      </c>
      <c r="Y490" s="151">
        <v>-4.0000000000000001E-3</v>
      </c>
      <c r="Z490" s="151">
        <v>-4.0000000000000001E-3</v>
      </c>
      <c r="AA490" s="151">
        <v>-4.0000000000000001E-3</v>
      </c>
      <c r="AB490" s="151">
        <v>-4.0000000000000001E-3</v>
      </c>
      <c r="AC490" s="151">
        <v>-4.0000000000000001E-3</v>
      </c>
      <c r="AD490" s="151">
        <v>-4.0000000000000002E-4</v>
      </c>
      <c r="AE490" s="151">
        <v>-4.0000000000000001E-3</v>
      </c>
      <c r="AF490" s="151">
        <v>-4.0000000000000002E-4</v>
      </c>
      <c r="AI490" s="1" t="s">
        <v>234</v>
      </c>
      <c r="AJ490" s="1" t="s">
        <v>1758</v>
      </c>
      <c r="AK490" s="1" t="s">
        <v>161</v>
      </c>
      <c r="AL490" s="749" t="s">
        <v>1990</v>
      </c>
    </row>
    <row r="491" spans="1:38">
      <c r="A491" s="1" t="s">
        <v>3407</v>
      </c>
      <c r="B491" s="1">
        <v>1067</v>
      </c>
      <c r="C491" s="1">
        <v>255</v>
      </c>
      <c r="D491" s="21">
        <v>28028</v>
      </c>
      <c r="E491" s="21">
        <v>14225</v>
      </c>
      <c r="F491" s="1">
        <v>9.86</v>
      </c>
      <c r="G491" s="1" t="s">
        <v>234</v>
      </c>
      <c r="H491" s="1" t="s">
        <v>208</v>
      </c>
      <c r="J491" s="1">
        <v>255</v>
      </c>
      <c r="K491" s="21">
        <v>28028</v>
      </c>
      <c r="L491" s="21">
        <v>14225</v>
      </c>
      <c r="M491" s="151">
        <v>-4.0000000000000001E-3</v>
      </c>
      <c r="N491" s="1">
        <v>9.86</v>
      </c>
      <c r="O491" s="151">
        <v>-4.0000000000000001E-3</v>
      </c>
      <c r="P491" s="151">
        <v>-4.0000000000000001E-3</v>
      </c>
      <c r="Q491" s="151">
        <v>-4.0000000000000001E-3</v>
      </c>
      <c r="R491" s="151">
        <v>-4.0000000000000001E-3</v>
      </c>
      <c r="S491" s="151">
        <v>-4.0000000000000001E-3</v>
      </c>
      <c r="T491" s="151">
        <v>-4.0000000000000001E-3</v>
      </c>
      <c r="U491" s="151">
        <v>-4.0000000000000001E-3</v>
      </c>
      <c r="V491" s="151">
        <v>-4.0000000000000001E-3</v>
      </c>
      <c r="W491" s="151">
        <v>-4.0000000000000002E-4</v>
      </c>
      <c r="X491" s="151">
        <v>-4.0000000000000001E-3</v>
      </c>
      <c r="Y491" s="151">
        <v>-4.0000000000000001E-3</v>
      </c>
      <c r="Z491" s="151">
        <v>-4.0000000000000001E-3</v>
      </c>
      <c r="AA491" s="151">
        <v>-4.0000000000000001E-3</v>
      </c>
      <c r="AB491" s="151">
        <v>-4.0000000000000001E-3</v>
      </c>
      <c r="AC491" s="151">
        <v>-4.0000000000000001E-3</v>
      </c>
      <c r="AD491" s="151">
        <v>-4.0000000000000002E-4</v>
      </c>
      <c r="AE491" s="151">
        <v>-4.0000000000000001E-3</v>
      </c>
      <c r="AF491" s="151">
        <v>-4.0000000000000002E-4</v>
      </c>
      <c r="AI491" s="1" t="s">
        <v>234</v>
      </c>
      <c r="AJ491" s="1" t="s">
        <v>1758</v>
      </c>
      <c r="AK491" s="1" t="s">
        <v>208</v>
      </c>
      <c r="AL491" s="749" t="s">
        <v>1991</v>
      </c>
    </row>
    <row r="492" spans="1:38">
      <c r="A492" s="749" t="s">
        <v>1992</v>
      </c>
      <c r="B492" s="1">
        <v>1117</v>
      </c>
      <c r="C492" s="1">
        <v>267</v>
      </c>
      <c r="D492" s="1">
        <v>32.380000000000003</v>
      </c>
      <c r="E492" s="1">
        <v>12.06</v>
      </c>
      <c r="F492" s="1">
        <v>9.68</v>
      </c>
      <c r="G492" s="1" t="s">
        <v>234</v>
      </c>
      <c r="H492" s="1" t="s">
        <v>209</v>
      </c>
      <c r="J492" s="1">
        <v>267</v>
      </c>
      <c r="K492" s="1">
        <v>32.380000000000003</v>
      </c>
      <c r="L492" s="1">
        <v>12.06</v>
      </c>
      <c r="M492" s="151">
        <v>-4.0000000000000001E-3</v>
      </c>
      <c r="N492" s="1">
        <v>9.68</v>
      </c>
      <c r="O492" s="151">
        <v>-4.0000000000000001E-3</v>
      </c>
      <c r="P492" s="151">
        <v>-4.0000000000000001E-3</v>
      </c>
      <c r="Q492" s="151">
        <v>-4.0000000000000001E-3</v>
      </c>
      <c r="R492" s="151">
        <v>-4.0000000000000001E-3</v>
      </c>
      <c r="S492" s="151">
        <v>-4.0000000000000001E-3</v>
      </c>
      <c r="T492" s="151">
        <v>-4.0000000000000001E-3</v>
      </c>
      <c r="U492" s="151">
        <v>-4.0000000000000001E-3</v>
      </c>
      <c r="V492" s="151">
        <v>-4.0000000000000001E-3</v>
      </c>
      <c r="W492" s="151">
        <v>-4.0000000000000002E-4</v>
      </c>
      <c r="X492" s="151">
        <v>-4.0000000000000001E-3</v>
      </c>
      <c r="Y492" s="151">
        <v>-4.0000000000000001E-3</v>
      </c>
      <c r="Z492" s="151">
        <v>-4.0000000000000001E-3</v>
      </c>
      <c r="AA492" s="151">
        <v>-4.0000000000000001E-3</v>
      </c>
      <c r="AB492" s="151">
        <v>-4.0000000000000001E-3</v>
      </c>
      <c r="AC492" s="151">
        <v>-4.0000000000000001E-3</v>
      </c>
      <c r="AD492" s="151">
        <v>-4.0000000000000002E-4</v>
      </c>
      <c r="AE492" s="151">
        <v>-4.0000000000000001E-3</v>
      </c>
      <c r="AF492" s="151">
        <v>-4.0000000000000002E-4</v>
      </c>
      <c r="AI492" s="1" t="s">
        <v>234</v>
      </c>
      <c r="AJ492" s="1" t="s">
        <v>1758</v>
      </c>
      <c r="AK492" s="1" t="s">
        <v>209</v>
      </c>
      <c r="AL492" s="749" t="s">
        <v>1992</v>
      </c>
    </row>
    <row r="493" spans="1:38">
      <c r="A493" s="1" t="s">
        <v>1993</v>
      </c>
      <c r="B493" s="1">
        <v>975</v>
      </c>
      <c r="C493" s="1">
        <v>233</v>
      </c>
      <c r="D493" s="1">
        <v>26.96</v>
      </c>
      <c r="E493" s="21">
        <v>16456</v>
      </c>
      <c r="F493" s="1">
        <v>6.84</v>
      </c>
      <c r="G493" s="1" t="s">
        <v>234</v>
      </c>
      <c r="H493" s="1" t="s">
        <v>210</v>
      </c>
      <c r="J493" s="1">
        <v>233</v>
      </c>
      <c r="K493" s="1">
        <v>26.96</v>
      </c>
      <c r="L493" s="21">
        <v>16456</v>
      </c>
      <c r="M493" s="151">
        <v>-4.0000000000000001E-3</v>
      </c>
      <c r="N493" s="1">
        <v>6.84</v>
      </c>
      <c r="O493" s="151">
        <v>-4.0000000000000001E-3</v>
      </c>
      <c r="P493" s="151">
        <v>-4.0000000000000001E-3</v>
      </c>
      <c r="Q493" s="151">
        <v>-4.0000000000000001E-3</v>
      </c>
      <c r="R493" s="151">
        <v>-4.0000000000000001E-3</v>
      </c>
      <c r="S493" s="151">
        <v>-4.0000000000000001E-3</v>
      </c>
      <c r="T493" s="151">
        <v>-4.0000000000000001E-3</v>
      </c>
      <c r="U493" s="151">
        <v>-4.0000000000000001E-3</v>
      </c>
      <c r="V493" s="151">
        <v>-4.0000000000000001E-3</v>
      </c>
      <c r="W493" s="151">
        <v>-4.0000000000000002E-4</v>
      </c>
      <c r="X493" s="151">
        <v>-4.0000000000000001E-3</v>
      </c>
      <c r="Y493" s="151">
        <v>-4.0000000000000001E-3</v>
      </c>
      <c r="Z493" s="151">
        <v>-4.0000000000000001E-3</v>
      </c>
      <c r="AA493" s="151">
        <v>-4.0000000000000001E-3</v>
      </c>
      <c r="AB493" s="151">
        <v>-4.0000000000000001E-3</v>
      </c>
      <c r="AC493" s="151">
        <v>-4.0000000000000001E-3</v>
      </c>
      <c r="AD493" s="151">
        <v>-4.0000000000000002E-4</v>
      </c>
      <c r="AE493" s="151">
        <v>-4.0000000000000001E-3</v>
      </c>
      <c r="AF493" s="151">
        <v>-4.0000000000000002E-4</v>
      </c>
      <c r="AI493" s="1" t="s">
        <v>234</v>
      </c>
      <c r="AJ493" s="1" t="s">
        <v>1758</v>
      </c>
      <c r="AK493" s="1" t="s">
        <v>210</v>
      </c>
      <c r="AL493" s="749" t="s">
        <v>1993</v>
      </c>
    </row>
    <row r="494" spans="1:38">
      <c r="A494" s="749" t="s">
        <v>3389</v>
      </c>
      <c r="B494" s="10">
        <v>1811.7</v>
      </c>
      <c r="C494" s="1">
        <v>433</v>
      </c>
      <c r="D494" s="1">
        <v>33</v>
      </c>
      <c r="E494" s="1">
        <v>10</v>
      </c>
      <c r="F494" s="1">
        <v>30</v>
      </c>
      <c r="G494" s="1" t="s">
        <v>234</v>
      </c>
      <c r="H494" s="1" t="s">
        <v>211</v>
      </c>
      <c r="J494" s="1">
        <v>433</v>
      </c>
      <c r="K494" s="1">
        <v>33</v>
      </c>
      <c r="L494" s="1">
        <v>10</v>
      </c>
      <c r="M494" s="151">
        <v>-4.0000000000000001E-3</v>
      </c>
      <c r="N494" s="1">
        <v>30</v>
      </c>
      <c r="O494" s="151">
        <v>-4.0000000000000001E-3</v>
      </c>
      <c r="P494" s="151">
        <v>-4.0000000000000001E-3</v>
      </c>
      <c r="Q494" s="151">
        <v>-4.0000000000000001E-3</v>
      </c>
      <c r="R494" s="151">
        <v>-4.0000000000000001E-3</v>
      </c>
      <c r="S494" s="151">
        <v>-4.0000000000000001E-3</v>
      </c>
      <c r="T494" s="151">
        <v>-4.0000000000000001E-3</v>
      </c>
      <c r="U494" s="151">
        <v>-4.0000000000000001E-3</v>
      </c>
      <c r="V494" s="151">
        <v>-4.0000000000000001E-3</v>
      </c>
      <c r="W494" s="151">
        <v>-4.0000000000000002E-4</v>
      </c>
      <c r="X494" s="151">
        <v>-4.0000000000000001E-3</v>
      </c>
      <c r="Y494" s="151">
        <v>-4.0000000000000001E-3</v>
      </c>
      <c r="Z494" s="151">
        <v>-4.0000000000000001E-3</v>
      </c>
      <c r="AA494" s="151">
        <v>-4.0000000000000001E-3</v>
      </c>
      <c r="AB494" s="151">
        <v>-4.0000000000000001E-3</v>
      </c>
      <c r="AC494" s="151">
        <v>-4.0000000000000001E-3</v>
      </c>
      <c r="AD494" s="151">
        <v>-4.0000000000000002E-4</v>
      </c>
      <c r="AE494" s="151">
        <v>-4.0000000000000001E-3</v>
      </c>
      <c r="AF494" s="151">
        <v>-4.0000000000000002E-4</v>
      </c>
      <c r="AI494" s="1" t="s">
        <v>234</v>
      </c>
      <c r="AJ494" s="1" t="s">
        <v>1758</v>
      </c>
      <c r="AK494" s="1" t="s">
        <v>211</v>
      </c>
      <c r="AL494" s="749" t="s">
        <v>2005</v>
      </c>
    </row>
    <row r="495" spans="1:38">
      <c r="A495" s="749" t="s">
        <v>3392</v>
      </c>
      <c r="B495" s="19">
        <v>1332.1</v>
      </c>
      <c r="C495" s="19">
        <v>318.2</v>
      </c>
      <c r="D495" s="19">
        <v>34.299999999999997</v>
      </c>
      <c r="E495" s="19">
        <v>4.7</v>
      </c>
      <c r="F495" s="19">
        <v>17.100000000000001</v>
      </c>
      <c r="G495" s="1" t="s">
        <v>234</v>
      </c>
      <c r="H495" s="1" t="s">
        <v>213</v>
      </c>
      <c r="J495" s="19">
        <v>318.2</v>
      </c>
      <c r="K495" s="19">
        <v>34.299999999999997</v>
      </c>
      <c r="L495" s="19">
        <v>4.7</v>
      </c>
      <c r="M495" s="151">
        <v>-4.0000000000000001E-3</v>
      </c>
      <c r="N495" s="19">
        <v>17.100000000000001</v>
      </c>
      <c r="O495" s="151">
        <v>-4.0000000000000001E-3</v>
      </c>
      <c r="P495" s="151">
        <v>-4.0000000000000001E-3</v>
      </c>
      <c r="Q495" s="151">
        <v>-4.0000000000000001E-3</v>
      </c>
      <c r="R495" s="151">
        <v>-4.0000000000000001E-3</v>
      </c>
      <c r="S495" s="151">
        <v>-4.0000000000000001E-3</v>
      </c>
      <c r="T495" s="151">
        <v>-4.0000000000000001E-3</v>
      </c>
      <c r="U495" s="151">
        <v>-4.0000000000000001E-3</v>
      </c>
      <c r="V495" s="151">
        <v>-4.0000000000000001E-3</v>
      </c>
      <c r="W495" s="151">
        <v>-4.0000000000000002E-4</v>
      </c>
      <c r="X495" s="151">
        <v>-4.0000000000000001E-3</v>
      </c>
      <c r="Y495" s="151">
        <v>-4.0000000000000001E-3</v>
      </c>
      <c r="Z495" s="151">
        <v>-4.0000000000000001E-3</v>
      </c>
      <c r="AA495" s="151">
        <v>-4.0000000000000001E-3</v>
      </c>
      <c r="AB495" s="151">
        <v>-4.0000000000000001E-3</v>
      </c>
      <c r="AC495" s="151">
        <v>-4.0000000000000001E-3</v>
      </c>
      <c r="AD495" s="151">
        <v>-4.0000000000000002E-4</v>
      </c>
      <c r="AE495" s="151">
        <v>-4.0000000000000001E-3</v>
      </c>
      <c r="AF495" s="151">
        <v>-4.0000000000000002E-4</v>
      </c>
      <c r="AI495" s="1" t="s">
        <v>234</v>
      </c>
      <c r="AJ495" s="1" t="s">
        <v>1758</v>
      </c>
      <c r="AK495" s="1" t="s">
        <v>213</v>
      </c>
      <c r="AL495" s="749" t="s">
        <v>1994</v>
      </c>
    </row>
    <row r="496" spans="1:38">
      <c r="A496" s="749" t="s">
        <v>3408</v>
      </c>
      <c r="B496" s="1">
        <v>527</v>
      </c>
      <c r="C496" s="1">
        <v>126</v>
      </c>
      <c r="D496" s="1">
        <v>10.8</v>
      </c>
      <c r="E496" s="1">
        <v>13</v>
      </c>
      <c r="F496" s="1">
        <v>4.2</v>
      </c>
      <c r="G496" s="1" t="s">
        <v>234</v>
      </c>
      <c r="H496" s="1" t="s">
        <v>214</v>
      </c>
      <c r="J496" s="1">
        <v>126</v>
      </c>
      <c r="K496" s="1">
        <v>10.8</v>
      </c>
      <c r="L496" s="1">
        <v>13</v>
      </c>
      <c r="M496" s="151">
        <v>-4.0000000000000001E-3</v>
      </c>
      <c r="N496" s="1">
        <v>4.2</v>
      </c>
      <c r="O496" s="151">
        <v>-4.0000000000000001E-3</v>
      </c>
      <c r="P496" s="151">
        <v>-4.0000000000000001E-3</v>
      </c>
      <c r="Q496" s="151">
        <v>-4.0000000000000001E-3</v>
      </c>
      <c r="R496" s="151">
        <v>-4.0000000000000001E-3</v>
      </c>
      <c r="S496" s="151">
        <v>-4.0000000000000001E-3</v>
      </c>
      <c r="T496" s="151">
        <v>-4.0000000000000001E-3</v>
      </c>
      <c r="U496" s="151">
        <v>-4.0000000000000001E-3</v>
      </c>
      <c r="V496" s="151">
        <v>-4.0000000000000001E-3</v>
      </c>
      <c r="W496" s="151">
        <v>-4.0000000000000002E-4</v>
      </c>
      <c r="X496" s="151">
        <v>-4.0000000000000001E-3</v>
      </c>
      <c r="Y496" s="151">
        <v>-4.0000000000000001E-3</v>
      </c>
      <c r="Z496" s="151">
        <v>-4.0000000000000001E-3</v>
      </c>
      <c r="AA496" s="151">
        <v>-4.0000000000000001E-3</v>
      </c>
      <c r="AB496" s="151">
        <v>-4.0000000000000001E-3</v>
      </c>
      <c r="AC496" s="151">
        <v>-4.0000000000000001E-3</v>
      </c>
      <c r="AD496" s="151">
        <v>-4.0000000000000002E-4</v>
      </c>
      <c r="AE496" s="151">
        <v>-4.0000000000000001E-3</v>
      </c>
      <c r="AF496" s="151">
        <v>-4.0000000000000002E-4</v>
      </c>
      <c r="AI496" s="1" t="s">
        <v>234</v>
      </c>
      <c r="AJ496" s="1" t="s">
        <v>1758</v>
      </c>
      <c r="AK496" s="1" t="s">
        <v>214</v>
      </c>
      <c r="AL496" s="749" t="s">
        <v>1995</v>
      </c>
    </row>
    <row r="497" spans="1:38">
      <c r="A497" s="749" t="s">
        <v>3409</v>
      </c>
      <c r="B497" s="1">
        <v>451</v>
      </c>
      <c r="C497" s="1">
        <v>108</v>
      </c>
      <c r="D497" s="1">
        <v>18.39</v>
      </c>
      <c r="E497" s="1">
        <v>3.23</v>
      </c>
      <c r="F497" s="1">
        <v>2.15</v>
      </c>
      <c r="G497" s="1" t="s">
        <v>234</v>
      </c>
      <c r="H497" s="1" t="s">
        <v>215</v>
      </c>
      <c r="J497" s="1">
        <v>108</v>
      </c>
      <c r="K497" s="1">
        <v>18.39</v>
      </c>
      <c r="L497" s="1">
        <v>3.23</v>
      </c>
      <c r="M497" s="151">
        <v>-4.0000000000000001E-3</v>
      </c>
      <c r="N497" s="1">
        <v>2.15</v>
      </c>
      <c r="O497" s="151">
        <v>-4.0000000000000001E-3</v>
      </c>
      <c r="P497" s="151">
        <v>-4.0000000000000001E-3</v>
      </c>
      <c r="Q497" s="151">
        <v>-4.0000000000000001E-3</v>
      </c>
      <c r="R497" s="151">
        <v>-4.0000000000000001E-3</v>
      </c>
      <c r="S497" s="151">
        <v>-4.0000000000000001E-3</v>
      </c>
      <c r="T497" s="151">
        <v>-4.0000000000000001E-3</v>
      </c>
      <c r="U497" s="151">
        <v>-4.0000000000000001E-3</v>
      </c>
      <c r="V497" s="151">
        <v>-4.0000000000000001E-3</v>
      </c>
      <c r="W497" s="151">
        <v>-4.0000000000000002E-4</v>
      </c>
      <c r="X497" s="151">
        <v>-4.0000000000000001E-3</v>
      </c>
      <c r="Y497" s="151">
        <v>-4.0000000000000001E-3</v>
      </c>
      <c r="Z497" s="151">
        <v>-4.0000000000000001E-3</v>
      </c>
      <c r="AA497" s="151">
        <v>-4.0000000000000001E-3</v>
      </c>
      <c r="AB497" s="151">
        <v>-4.0000000000000001E-3</v>
      </c>
      <c r="AC497" s="151">
        <v>-4.0000000000000001E-3</v>
      </c>
      <c r="AD497" s="151">
        <v>-4.0000000000000002E-4</v>
      </c>
      <c r="AE497" s="151">
        <v>-4.0000000000000001E-3</v>
      </c>
      <c r="AF497" s="151">
        <v>-4.0000000000000002E-4</v>
      </c>
      <c r="AI497" s="1" t="s">
        <v>234</v>
      </c>
      <c r="AJ497" s="1" t="s">
        <v>1758</v>
      </c>
      <c r="AK497" s="1" t="s">
        <v>215</v>
      </c>
      <c r="AL497" s="749" t="s">
        <v>1996</v>
      </c>
    </row>
    <row r="498" spans="1:38">
      <c r="A498" s="1" t="s">
        <v>3395</v>
      </c>
      <c r="B498" s="17">
        <v>1222</v>
      </c>
      <c r="C498" s="1">
        <v>292</v>
      </c>
      <c r="D498" s="1">
        <v>43</v>
      </c>
      <c r="E498" s="1">
        <v>6.2</v>
      </c>
      <c r="F498" s="1">
        <v>9.1999999999999993</v>
      </c>
      <c r="G498" s="1" t="s">
        <v>234</v>
      </c>
      <c r="H498" s="324" t="s">
        <v>2260</v>
      </c>
      <c r="I498" s="38"/>
      <c r="J498" s="1">
        <v>321</v>
      </c>
      <c r="K498" s="1">
        <v>33.4</v>
      </c>
      <c r="L498" s="1">
        <v>8.1999999999999993</v>
      </c>
      <c r="M498" s="4">
        <v>2.2000000000000002</v>
      </c>
      <c r="N498" s="1">
        <v>15.8</v>
      </c>
      <c r="O498" s="4">
        <v>10.8</v>
      </c>
      <c r="P498" s="4">
        <v>118</v>
      </c>
      <c r="Q498" s="151">
        <v>-4.0000000000000001E-3</v>
      </c>
      <c r="R498" s="151">
        <v>-4.0000000000000001E-3</v>
      </c>
      <c r="S498" s="151">
        <v>-4.0000000000000001E-3</v>
      </c>
      <c r="T498" s="151">
        <v>-4.0000000000000001E-3</v>
      </c>
      <c r="U498" s="151">
        <v>-4.0000000000000001E-3</v>
      </c>
      <c r="V498" s="151">
        <v>-4.0000000000000001E-3</v>
      </c>
      <c r="W498" s="151">
        <v>-4.0000000000000002E-4</v>
      </c>
      <c r="X498" s="151">
        <v>-4.0000000000000001E-3</v>
      </c>
      <c r="Y498" s="151">
        <v>-4.0000000000000001E-3</v>
      </c>
      <c r="Z498" s="151">
        <v>-4.0000000000000001E-3</v>
      </c>
      <c r="AA498" s="151">
        <v>-4.0000000000000001E-3</v>
      </c>
      <c r="AB498" s="151">
        <v>-4.0000000000000001E-3</v>
      </c>
      <c r="AC498" s="151">
        <v>-4.0000000000000001E-3</v>
      </c>
      <c r="AD498" s="151">
        <v>-4.0000000000000002E-4</v>
      </c>
      <c r="AE498" s="151">
        <v>-4.0000000000000001E-3</v>
      </c>
      <c r="AF498" s="151">
        <v>-4.0000000000000002E-4</v>
      </c>
      <c r="AI498" s="1" t="s">
        <v>234</v>
      </c>
      <c r="AJ498" s="1" t="s">
        <v>1758</v>
      </c>
      <c r="AK498" s="1" t="s">
        <v>136</v>
      </c>
      <c r="AL498" s="749" t="s">
        <v>1997</v>
      </c>
    </row>
    <row r="499" spans="1:38">
      <c r="A499" s="1" t="s">
        <v>1997</v>
      </c>
      <c r="B499" s="17">
        <v>1222</v>
      </c>
      <c r="C499" s="1">
        <v>292</v>
      </c>
      <c r="D499" s="1">
        <v>43</v>
      </c>
      <c r="E499" s="1">
        <v>6.2</v>
      </c>
      <c r="F499" s="1">
        <v>9.1999999999999993</v>
      </c>
      <c r="G499" s="1" t="s">
        <v>234</v>
      </c>
      <c r="H499" s="1" t="s">
        <v>136</v>
      </c>
      <c r="I499" s="38"/>
      <c r="J499" s="1">
        <v>292</v>
      </c>
      <c r="K499" s="1">
        <v>43</v>
      </c>
      <c r="L499" s="1">
        <v>6.2</v>
      </c>
      <c r="M499" s="151">
        <v>-4.0000000000000001E-3</v>
      </c>
      <c r="N499" s="1">
        <v>9.1999999999999993</v>
      </c>
      <c r="O499" s="151">
        <v>-4.0000000000000001E-3</v>
      </c>
      <c r="P499" s="151">
        <v>-4.0000000000000001E-3</v>
      </c>
      <c r="Q499" s="151">
        <v>-4.0000000000000001E-3</v>
      </c>
      <c r="R499" s="151">
        <v>-4.0000000000000001E-3</v>
      </c>
      <c r="S499" s="151">
        <v>-4.0000000000000001E-3</v>
      </c>
      <c r="T499" s="151">
        <v>-4.0000000000000001E-3</v>
      </c>
      <c r="U499" s="151">
        <v>-4.0000000000000001E-3</v>
      </c>
      <c r="V499" s="151">
        <v>-4.0000000000000001E-3</v>
      </c>
      <c r="W499" s="151">
        <v>-4.0000000000000002E-4</v>
      </c>
      <c r="X499" s="151">
        <v>-4.0000000000000001E-3</v>
      </c>
      <c r="Y499" s="151">
        <v>-4.0000000000000001E-3</v>
      </c>
      <c r="Z499" s="151">
        <v>-4.0000000000000001E-3</v>
      </c>
      <c r="AA499" s="151">
        <v>-4.0000000000000001E-3</v>
      </c>
      <c r="AB499" s="151">
        <v>-4.0000000000000001E-3</v>
      </c>
      <c r="AC499" s="151">
        <v>-4.0000000000000001E-3</v>
      </c>
      <c r="AD499" s="151">
        <v>-4.0000000000000002E-4</v>
      </c>
      <c r="AE499" s="151">
        <v>-4.0000000000000001E-3</v>
      </c>
      <c r="AF499" s="151">
        <v>-4.0000000000000002E-4</v>
      </c>
      <c r="AI499" s="1" t="s">
        <v>234</v>
      </c>
      <c r="AJ499" s="1" t="s">
        <v>1758</v>
      </c>
      <c r="AK499" s="1" t="s">
        <v>136</v>
      </c>
      <c r="AL499" s="749" t="s">
        <v>1997</v>
      </c>
    </row>
    <row r="500" spans="1:38">
      <c r="A500" s="24" t="s">
        <v>3396</v>
      </c>
      <c r="B500" s="1277">
        <v>1222</v>
      </c>
      <c r="C500" s="24">
        <v>292</v>
      </c>
      <c r="D500" s="24">
        <v>43</v>
      </c>
      <c r="E500" s="24">
        <v>6.2</v>
      </c>
      <c r="F500" s="24">
        <v>9.1999999999999993</v>
      </c>
      <c r="G500" s="24" t="s">
        <v>234</v>
      </c>
      <c r="H500" s="324" t="s">
        <v>2260</v>
      </c>
      <c r="I500" s="38"/>
      <c r="J500" s="1">
        <v>321</v>
      </c>
      <c r="K500" s="1">
        <v>33.4</v>
      </c>
      <c r="L500" s="1">
        <v>8.1999999999999993</v>
      </c>
      <c r="M500" s="4">
        <v>2.2000000000000002</v>
      </c>
      <c r="N500" s="1">
        <v>15.8</v>
      </c>
      <c r="O500" s="4">
        <v>10.8</v>
      </c>
      <c r="P500" s="4">
        <v>118</v>
      </c>
      <c r="Q500" s="151">
        <v>-4.0000000000000001E-3</v>
      </c>
      <c r="R500" s="151">
        <v>-4.0000000000000001E-3</v>
      </c>
      <c r="S500" s="151">
        <v>-4.0000000000000001E-3</v>
      </c>
      <c r="T500" s="151">
        <v>-4.0000000000000001E-3</v>
      </c>
      <c r="U500" s="151">
        <v>-4.0000000000000001E-3</v>
      </c>
      <c r="V500" s="151">
        <v>-4.0000000000000001E-3</v>
      </c>
      <c r="W500" s="151">
        <v>-4.0000000000000002E-4</v>
      </c>
      <c r="X500" s="151">
        <v>-4.0000000000000001E-3</v>
      </c>
      <c r="Y500" s="151">
        <v>-4.0000000000000001E-3</v>
      </c>
      <c r="Z500" s="151">
        <v>-4.0000000000000001E-3</v>
      </c>
      <c r="AA500" s="151">
        <v>-4.0000000000000001E-3</v>
      </c>
      <c r="AB500" s="151">
        <v>-4.0000000000000001E-3</v>
      </c>
      <c r="AC500" s="151">
        <v>-4.0000000000000001E-3</v>
      </c>
      <c r="AD500" s="151">
        <v>-4.0000000000000002E-4</v>
      </c>
      <c r="AE500" s="151">
        <v>-4.0000000000000001E-3</v>
      </c>
      <c r="AF500" s="151">
        <v>-4.0000000000000002E-4</v>
      </c>
      <c r="AI500" s="1" t="s">
        <v>234</v>
      </c>
      <c r="AJ500" s="1" t="s">
        <v>1758</v>
      </c>
      <c r="AK500" s="1" t="s">
        <v>136</v>
      </c>
      <c r="AL500" s="749" t="s">
        <v>1997</v>
      </c>
    </row>
    <row r="501" spans="1:38">
      <c r="A501" s="1" t="s">
        <v>3523</v>
      </c>
      <c r="B501" s="1">
        <v>1062</v>
      </c>
      <c r="C501" s="1">
        <v>254</v>
      </c>
      <c r="D501" s="1">
        <v>63.4</v>
      </c>
      <c r="E501" s="1">
        <v>0</v>
      </c>
      <c r="F501" s="1">
        <v>0</v>
      </c>
      <c r="G501" s="1" t="s">
        <v>233</v>
      </c>
      <c r="H501" s="1" t="s">
        <v>196</v>
      </c>
      <c r="J501" s="1">
        <v>254</v>
      </c>
      <c r="K501" s="1">
        <v>63.4</v>
      </c>
      <c r="L501" s="1">
        <v>0</v>
      </c>
      <c r="M501" s="142">
        <v>-4.0000000000000002E-4</v>
      </c>
      <c r="N501" s="1">
        <v>0</v>
      </c>
      <c r="O501" s="142">
        <v>-4.0000000000000002E-4</v>
      </c>
      <c r="P501" s="142">
        <v>-4.0000000000000002E-4</v>
      </c>
      <c r="Q501" s="142">
        <v>-4.0000000000000002E-4</v>
      </c>
      <c r="R501" s="142">
        <v>-4.0000000000000002E-4</v>
      </c>
      <c r="S501" s="142">
        <v>-4.0000000000000002E-4</v>
      </c>
      <c r="T501" s="142">
        <v>-4.0000000000000002E-4</v>
      </c>
      <c r="U501" s="142">
        <v>-4.0000000000000002E-4</v>
      </c>
      <c r="V501" s="142">
        <v>-4.0000000000000002E-4</v>
      </c>
      <c r="W501" s="142">
        <v>-4.0000000000000002E-4</v>
      </c>
      <c r="X501" s="142">
        <v>-4.0000000000000002E-4</v>
      </c>
      <c r="Y501" s="142">
        <v>-4.0000000000000002E-4</v>
      </c>
      <c r="Z501" s="142">
        <v>-4.0000000000000002E-4</v>
      </c>
      <c r="AA501" s="142">
        <v>-4.0000000000000002E-4</v>
      </c>
      <c r="AB501" s="142">
        <v>-4.0000000000000002E-4</v>
      </c>
      <c r="AC501" s="142">
        <v>-4.0000000000000002E-4</v>
      </c>
      <c r="AD501" s="142">
        <v>-4.0000000000000002E-4</v>
      </c>
      <c r="AE501" s="142">
        <v>-4.0000000000000002E-4</v>
      </c>
      <c r="AF501" s="142">
        <v>-4.0000000000000002E-4</v>
      </c>
      <c r="AI501" s="1" t="s">
        <v>233</v>
      </c>
      <c r="AJ501" s="1" t="s">
        <v>1757</v>
      </c>
      <c r="AK501" s="1" t="s">
        <v>196</v>
      </c>
      <c r="AL501" s="749" t="s">
        <v>2003</v>
      </c>
    </row>
    <row r="502" spans="1:38">
      <c r="A502" s="1" t="s">
        <v>3524</v>
      </c>
      <c r="B502" s="1">
        <v>1007</v>
      </c>
      <c r="C502" s="1">
        <v>241</v>
      </c>
      <c r="D502" s="1">
        <v>60.3</v>
      </c>
      <c r="E502" s="1">
        <v>0</v>
      </c>
      <c r="F502" s="1">
        <v>0</v>
      </c>
      <c r="G502" s="1" t="s">
        <v>233</v>
      </c>
      <c r="H502" s="1" t="s">
        <v>197</v>
      </c>
      <c r="J502" s="1">
        <v>241</v>
      </c>
      <c r="K502" s="1">
        <v>60.3</v>
      </c>
      <c r="L502" s="1">
        <v>0</v>
      </c>
      <c r="M502" s="142">
        <v>-4.0000000000000002E-4</v>
      </c>
      <c r="N502" s="1">
        <v>0</v>
      </c>
      <c r="O502" s="142">
        <v>-4.0000000000000002E-4</v>
      </c>
      <c r="P502" s="142">
        <v>-4.0000000000000002E-4</v>
      </c>
      <c r="Q502" s="142">
        <v>-4.0000000000000002E-4</v>
      </c>
      <c r="R502" s="142">
        <v>-4.0000000000000002E-4</v>
      </c>
      <c r="S502" s="142">
        <v>-4.0000000000000002E-4</v>
      </c>
      <c r="T502" s="142">
        <v>-4.0000000000000002E-4</v>
      </c>
      <c r="U502" s="142">
        <v>-4.0000000000000002E-4</v>
      </c>
      <c r="V502" s="142">
        <v>-4.0000000000000002E-4</v>
      </c>
      <c r="W502" s="142">
        <v>-4.0000000000000002E-4</v>
      </c>
      <c r="X502" s="142">
        <v>-4.0000000000000002E-4</v>
      </c>
      <c r="Y502" s="142">
        <v>-4.0000000000000002E-4</v>
      </c>
      <c r="Z502" s="142">
        <v>-4.0000000000000002E-4</v>
      </c>
      <c r="AA502" s="142">
        <v>-4.0000000000000002E-4</v>
      </c>
      <c r="AB502" s="142">
        <v>-4.0000000000000002E-4</v>
      </c>
      <c r="AC502" s="142">
        <v>-4.0000000000000002E-4</v>
      </c>
      <c r="AD502" s="142">
        <v>-4.0000000000000002E-4</v>
      </c>
      <c r="AE502" s="142">
        <v>-4.0000000000000002E-4</v>
      </c>
      <c r="AF502" s="142">
        <v>-4.0000000000000002E-4</v>
      </c>
      <c r="AI502" s="1" t="s">
        <v>233</v>
      </c>
      <c r="AJ502" s="1" t="s">
        <v>1757</v>
      </c>
      <c r="AK502" s="1" t="s">
        <v>197</v>
      </c>
      <c r="AL502" s="749" t="s">
        <v>1979</v>
      </c>
    </row>
    <row r="503" spans="1:38">
      <c r="A503" s="1" t="s">
        <v>3525</v>
      </c>
      <c r="B503" s="1">
        <v>1012</v>
      </c>
      <c r="C503" s="1">
        <v>242</v>
      </c>
      <c r="D503" s="1">
        <v>60.4</v>
      </c>
      <c r="E503" s="1">
        <v>0</v>
      </c>
      <c r="F503" s="1">
        <v>0</v>
      </c>
      <c r="G503" s="1" t="s">
        <v>233</v>
      </c>
      <c r="H503" s="1" t="s">
        <v>198</v>
      </c>
      <c r="J503" s="1">
        <v>242</v>
      </c>
      <c r="K503" s="1">
        <v>60.4</v>
      </c>
      <c r="L503" s="1">
        <v>0</v>
      </c>
      <c r="M503" s="142">
        <v>-4.0000000000000002E-4</v>
      </c>
      <c r="N503" s="1">
        <v>0</v>
      </c>
      <c r="O503" s="142">
        <v>-4.0000000000000002E-4</v>
      </c>
      <c r="P503" s="142">
        <v>-4.0000000000000002E-4</v>
      </c>
      <c r="Q503" s="142">
        <v>-4.0000000000000002E-4</v>
      </c>
      <c r="R503" s="142">
        <v>-4.0000000000000002E-4</v>
      </c>
      <c r="S503" s="142">
        <v>-4.0000000000000002E-4</v>
      </c>
      <c r="T503" s="142">
        <v>-4.0000000000000002E-4</v>
      </c>
      <c r="U503" s="142">
        <v>-4.0000000000000002E-4</v>
      </c>
      <c r="V503" s="142">
        <v>-4.0000000000000002E-4</v>
      </c>
      <c r="W503" s="142">
        <v>-4.0000000000000002E-4</v>
      </c>
      <c r="X503" s="142">
        <v>-4.0000000000000002E-4</v>
      </c>
      <c r="Y503" s="142">
        <v>-4.0000000000000002E-4</v>
      </c>
      <c r="Z503" s="142">
        <v>-4.0000000000000002E-4</v>
      </c>
      <c r="AA503" s="142">
        <v>-4.0000000000000002E-4</v>
      </c>
      <c r="AB503" s="142">
        <v>-4.0000000000000002E-4</v>
      </c>
      <c r="AC503" s="142">
        <v>-4.0000000000000002E-4</v>
      </c>
      <c r="AD503" s="142">
        <v>-4.0000000000000002E-4</v>
      </c>
      <c r="AE503" s="142">
        <v>-4.0000000000000002E-4</v>
      </c>
      <c r="AF503" s="142">
        <v>-4.0000000000000002E-4</v>
      </c>
      <c r="AI503" s="1" t="s">
        <v>233</v>
      </c>
      <c r="AJ503" s="1" t="s">
        <v>1757</v>
      </c>
      <c r="AK503" s="1" t="s">
        <v>198</v>
      </c>
      <c r="AL503" s="749" t="s">
        <v>1980</v>
      </c>
    </row>
    <row r="504" spans="1:38">
      <c r="A504" s="1231" t="s">
        <v>3527</v>
      </c>
      <c r="B504" s="1">
        <v>1012</v>
      </c>
      <c r="C504" s="1">
        <v>242</v>
      </c>
      <c r="D504" s="1">
        <v>60.4</v>
      </c>
      <c r="E504" s="1">
        <v>0</v>
      </c>
      <c r="F504" s="1">
        <v>0</v>
      </c>
      <c r="G504" s="1" t="s">
        <v>233</v>
      </c>
      <c r="H504" s="1" t="s">
        <v>198</v>
      </c>
      <c r="J504" s="1">
        <v>242</v>
      </c>
      <c r="K504" s="1">
        <v>60.4</v>
      </c>
      <c r="L504" s="1">
        <v>0</v>
      </c>
      <c r="M504" s="142">
        <v>-4.0000000000000002E-4</v>
      </c>
      <c r="N504" s="1">
        <v>0</v>
      </c>
      <c r="O504" s="142">
        <v>-4.0000000000000002E-4</v>
      </c>
      <c r="P504" s="142">
        <v>-4.0000000000000002E-4</v>
      </c>
      <c r="Q504" s="142">
        <v>-4.0000000000000002E-4</v>
      </c>
      <c r="R504" s="142">
        <v>-4.0000000000000002E-4</v>
      </c>
      <c r="S504" s="142">
        <v>-4.0000000000000002E-4</v>
      </c>
      <c r="T504" s="142">
        <v>-4.0000000000000002E-4</v>
      </c>
      <c r="U504" s="142">
        <v>-4.0000000000000002E-4</v>
      </c>
      <c r="V504" s="142">
        <v>-4.0000000000000002E-4</v>
      </c>
      <c r="W504" s="142">
        <v>-4.0000000000000002E-4</v>
      </c>
      <c r="X504" s="142">
        <v>-4.0000000000000002E-4</v>
      </c>
      <c r="Y504" s="142">
        <v>-4.0000000000000002E-4</v>
      </c>
      <c r="Z504" s="142">
        <v>-4.0000000000000002E-4</v>
      </c>
      <c r="AA504" s="142">
        <v>-4.0000000000000002E-4</v>
      </c>
      <c r="AB504" s="142">
        <v>-4.0000000000000002E-4</v>
      </c>
      <c r="AC504" s="142">
        <v>-4.0000000000000002E-4</v>
      </c>
      <c r="AD504" s="142">
        <v>-4.0000000000000002E-4</v>
      </c>
      <c r="AE504" s="142">
        <v>-4.0000000000000002E-4</v>
      </c>
      <c r="AF504" s="142">
        <v>-4.0000000000000002E-4</v>
      </c>
      <c r="AI504" s="1" t="s">
        <v>233</v>
      </c>
      <c r="AJ504" s="1" t="s">
        <v>1757</v>
      </c>
      <c r="AK504" s="1" t="s">
        <v>198</v>
      </c>
      <c r="AL504" s="749" t="s">
        <v>1980</v>
      </c>
    </row>
    <row r="505" spans="1:38">
      <c r="A505" s="1" t="s">
        <v>3530</v>
      </c>
      <c r="B505" s="1">
        <v>1003</v>
      </c>
      <c r="C505" s="1">
        <v>240</v>
      </c>
      <c r="D505" s="1">
        <v>60.1</v>
      </c>
      <c r="E505" s="1">
        <v>0</v>
      </c>
      <c r="F505" s="1">
        <v>0</v>
      </c>
      <c r="G505" s="1" t="s">
        <v>233</v>
      </c>
      <c r="H505" s="1" t="s">
        <v>199</v>
      </c>
      <c r="J505" s="1">
        <v>240</v>
      </c>
      <c r="K505" s="1">
        <v>60.1</v>
      </c>
      <c r="L505" s="1">
        <v>0</v>
      </c>
      <c r="M505" s="142">
        <v>-4.0000000000000002E-4</v>
      </c>
      <c r="N505" s="1">
        <v>0</v>
      </c>
      <c r="O505" s="142">
        <v>-4.0000000000000002E-4</v>
      </c>
      <c r="P505" s="142">
        <v>-4.0000000000000002E-4</v>
      </c>
      <c r="Q505" s="142">
        <v>-4.0000000000000002E-4</v>
      </c>
      <c r="R505" s="142">
        <v>-4.0000000000000002E-4</v>
      </c>
      <c r="S505" s="142">
        <v>-4.0000000000000002E-4</v>
      </c>
      <c r="T505" s="142">
        <v>-4.0000000000000002E-4</v>
      </c>
      <c r="U505" s="142">
        <v>-4.0000000000000002E-4</v>
      </c>
      <c r="V505" s="142">
        <v>-4.0000000000000002E-4</v>
      </c>
      <c r="W505" s="142">
        <v>-4.0000000000000002E-4</v>
      </c>
      <c r="X505" s="142">
        <v>-4.0000000000000002E-4</v>
      </c>
      <c r="Y505" s="142">
        <v>-4.0000000000000002E-4</v>
      </c>
      <c r="Z505" s="142">
        <v>-4.0000000000000002E-4</v>
      </c>
      <c r="AA505" s="142">
        <v>-4.0000000000000002E-4</v>
      </c>
      <c r="AB505" s="142">
        <v>-4.0000000000000002E-4</v>
      </c>
      <c r="AC505" s="142">
        <v>-4.0000000000000002E-4</v>
      </c>
      <c r="AD505" s="142">
        <v>-4.0000000000000002E-4</v>
      </c>
      <c r="AE505" s="142">
        <v>-4.0000000000000002E-4</v>
      </c>
      <c r="AF505" s="142">
        <v>-4.0000000000000002E-4</v>
      </c>
      <c r="AI505" s="1" t="s">
        <v>233</v>
      </c>
      <c r="AJ505" s="1" t="s">
        <v>1757</v>
      </c>
      <c r="AK505" s="1" t="s">
        <v>199</v>
      </c>
      <c r="AL505" s="749" t="s">
        <v>1981</v>
      </c>
    </row>
    <row r="506" spans="1:38">
      <c r="A506" s="1" t="s">
        <v>3526</v>
      </c>
      <c r="B506" s="1">
        <v>1037</v>
      </c>
      <c r="C506" s="1">
        <v>248</v>
      </c>
      <c r="D506" s="1">
        <v>62</v>
      </c>
      <c r="E506" s="1">
        <v>0</v>
      </c>
      <c r="F506" s="1">
        <v>0</v>
      </c>
      <c r="G506" s="1" t="s">
        <v>233</v>
      </c>
      <c r="H506" s="1" t="s">
        <v>200</v>
      </c>
      <c r="J506" s="1">
        <v>248</v>
      </c>
      <c r="K506" s="1">
        <v>62</v>
      </c>
      <c r="L506" s="1">
        <v>0</v>
      </c>
      <c r="M506" s="142">
        <v>-4.0000000000000002E-4</v>
      </c>
      <c r="N506" s="1">
        <v>0</v>
      </c>
      <c r="O506" s="142">
        <v>-4.0000000000000002E-4</v>
      </c>
      <c r="P506" s="142">
        <v>-4.0000000000000002E-4</v>
      </c>
      <c r="Q506" s="142">
        <v>-4.0000000000000002E-4</v>
      </c>
      <c r="R506" s="142">
        <v>-4.0000000000000002E-4</v>
      </c>
      <c r="S506" s="142">
        <v>-4.0000000000000002E-4</v>
      </c>
      <c r="T506" s="142">
        <v>-4.0000000000000002E-4</v>
      </c>
      <c r="U506" s="142">
        <v>-4.0000000000000002E-4</v>
      </c>
      <c r="V506" s="142">
        <v>-4.0000000000000002E-4</v>
      </c>
      <c r="W506" s="142">
        <v>-4.0000000000000002E-4</v>
      </c>
      <c r="X506" s="142">
        <v>-4.0000000000000002E-4</v>
      </c>
      <c r="Y506" s="142">
        <v>-4.0000000000000002E-4</v>
      </c>
      <c r="Z506" s="142">
        <v>-4.0000000000000002E-4</v>
      </c>
      <c r="AA506" s="142">
        <v>-4.0000000000000002E-4</v>
      </c>
      <c r="AB506" s="142">
        <v>-4.0000000000000002E-4</v>
      </c>
      <c r="AC506" s="142">
        <v>-4.0000000000000002E-4</v>
      </c>
      <c r="AD506" s="142">
        <v>-4.0000000000000002E-4</v>
      </c>
      <c r="AE506" s="142">
        <v>-4.0000000000000002E-4</v>
      </c>
      <c r="AF506" s="142">
        <v>-4.0000000000000002E-4</v>
      </c>
      <c r="AI506" s="1" t="s">
        <v>233</v>
      </c>
      <c r="AJ506" s="1" t="s">
        <v>1757</v>
      </c>
      <c r="AK506" s="1" t="s">
        <v>200</v>
      </c>
      <c r="AL506" s="749" t="s">
        <v>1982</v>
      </c>
    </row>
    <row r="507" spans="1:38">
      <c r="A507" s="82" t="s">
        <v>804</v>
      </c>
      <c r="B507" s="82"/>
      <c r="C507" s="82"/>
      <c r="D507" s="82"/>
      <c r="E507" s="82"/>
      <c r="F507" s="82"/>
      <c r="AI507" s="1"/>
      <c r="AJ507" s="1"/>
    </row>
    <row r="508" spans="1:38">
      <c r="A508" s="1" t="s">
        <v>3055</v>
      </c>
      <c r="B508" s="82"/>
      <c r="C508" s="82"/>
      <c r="D508" s="82"/>
      <c r="E508" s="82"/>
      <c r="F508" s="82"/>
      <c r="G508" s="1"/>
      <c r="AI508" s="1"/>
      <c r="AJ508" s="1"/>
    </row>
    <row r="510" spans="1:38">
      <c r="A510" s="749" t="s">
        <v>2842</v>
      </c>
      <c r="G510" s="1" t="s">
        <v>1772</v>
      </c>
    </row>
    <row r="511" spans="1:38">
      <c r="A511" s="749" t="s">
        <v>2842</v>
      </c>
      <c r="G511" s="1" t="s">
        <v>2843</v>
      </c>
    </row>
    <row r="512" spans="1:38">
      <c r="A512" s="749" t="s">
        <v>2842</v>
      </c>
      <c r="G512" s="1" t="s">
        <v>415</v>
      </c>
    </row>
    <row r="513" spans="1:7">
      <c r="A513" s="749" t="s">
        <v>2842</v>
      </c>
      <c r="G513" s="1" t="s">
        <v>2844</v>
      </c>
    </row>
    <row r="514" spans="1:7">
      <c r="A514" s="749" t="s">
        <v>2842</v>
      </c>
      <c r="G514" s="1" t="s">
        <v>2845</v>
      </c>
    </row>
    <row r="515" spans="1:7">
      <c r="A515" s="749" t="s">
        <v>2842</v>
      </c>
      <c r="G515" s="1" t="s">
        <v>2846</v>
      </c>
    </row>
    <row r="516" spans="1:7">
      <c r="A516" s="749" t="s">
        <v>2842</v>
      </c>
      <c r="G516" s="1" t="s">
        <v>420</v>
      </c>
    </row>
    <row r="517" spans="1:7">
      <c r="A517" s="749" t="s">
        <v>2842</v>
      </c>
    </row>
  </sheetData>
  <sheetProtection algorithmName="SHA-512" hashValue="MqIlcWgS1S4rEklBo6xDIv3ZwRNawrZIHlkJxe0UrWAtelb1cCRPXz5n9LwPMFEWoDQ+UbCaZ5dt/A2V0SwEOA==" saltValue="zgwFeawcOXYL79mvgMVdqQ==" spinCount="100000" sheet="1" objects="1" scenarios="1"/>
  <hyperlinks>
    <hyperlink ref="G2" location="Sedmica_1_unos_hrane!A10" display="Sedmica_1_unos_hrane" xr:uid="{EB83910C-7629-9044-9687-31E74600C216}"/>
    <hyperlink ref="H204" r:id="rId1" display="https://www.coolinarika.com/namirnica/slanina/" xr:uid="{1B1FAC49-8453-9048-8A9E-6E92EC74A412}"/>
    <hyperlink ref="H217" r:id="rId2" xr:uid="{3E3F4589-FE96-5943-B334-D3924C375734}"/>
    <hyperlink ref="H328" r:id="rId3" xr:uid="{BEEB4614-A178-D64F-A5FB-E9E080D70102}"/>
    <hyperlink ref="H270" r:id="rId4" xr:uid="{7EE3421D-6CB8-764B-B4ED-1F80DBE5D25D}"/>
    <hyperlink ref="H302" r:id="rId5" xr:uid="{98D1B87A-45B6-6149-AD75-C0EA272EB066}"/>
    <hyperlink ref="H292" r:id="rId6" xr:uid="{D4DA0645-0A83-A34F-AB27-0F217B7C3E6D}"/>
    <hyperlink ref="H431" r:id="rId7" xr:uid="{8B70CBCE-917D-014A-93AF-E05ADAAE4B3E}"/>
    <hyperlink ref="H311" r:id="rId8" xr:uid="{45677FBD-0154-954A-9CC0-864D314A6CD2}"/>
    <hyperlink ref="H360" r:id="rId9" xr:uid="{EAD2B4A7-D4FF-CA46-870A-B4CBA8B6AC7D}"/>
    <hyperlink ref="H334" r:id="rId10" xr:uid="{AB2EF848-F331-F340-820F-D2F912FEAC5A}"/>
    <hyperlink ref="H406" r:id="rId11" xr:uid="{9925EF6A-7027-BC4A-9A35-7DB4172A0A26}"/>
    <hyperlink ref="H354" r:id="rId12" xr:uid="{A62E8B07-40E1-3543-B99F-8A3DA9C252DD}"/>
    <hyperlink ref="H261" r:id="rId13" location="!/products/60001718/keks-cajni-kolutici-800g-soko-stark" xr:uid="{BC51D100-93A0-394D-8368-3088D837A45B}"/>
    <hyperlink ref="H267" r:id="rId14" location="!/products/60000988/pionir-choco-o-clock-zitarice-sa-ukusom-cokolade-200g" xr:uid="{86E96670-FC06-514E-90CF-8B48103E6D11}"/>
    <hyperlink ref="H291" r:id="rId15" xr:uid="{0883F5DA-061B-354C-AEFC-A370650649E5}"/>
    <hyperlink ref="H350" r:id="rId16" xr:uid="{F2D4E6EC-8942-8E45-A83F-A3ED3DA5338E}"/>
    <hyperlink ref="H353" r:id="rId17" xr:uid="{BBEDB8A5-1722-364F-9CA4-E2CED6FE8A5B}"/>
    <hyperlink ref="H301" r:id="rId18" xr:uid="{7A23F611-C173-7140-B384-470DEBFE2318}"/>
    <hyperlink ref="H300" r:id="rId19" xr:uid="{AFC1A074-A422-4C48-8576-E8975B542711}"/>
    <hyperlink ref="H444" r:id="rId20" location="/food-details/170930/nutrients" xr:uid="{42973F8C-93A0-3642-9379-53B5CC1108C0}"/>
    <hyperlink ref="H307" r:id="rId21" location="/food-details/577439/nutrients" xr:uid="{1C78A410-4C36-D248-A04E-92C034E4274E}"/>
    <hyperlink ref="H154" r:id="rId22" location="!/products/60002627/mlekara-subotica-kremsi-sirni-namaz-70-mm-100g +Sirni namaz 40% mlecne masti u suvoj materiji [EuroFIR]" xr:uid="{F2247138-D3A5-294B-ABE7-D9A3A925C4AD}"/>
    <hyperlink ref="H71" r:id="rId23" display="https://www.podravka.hr/proizvod/mijesana-salata/" xr:uid="{A6CD184B-810C-E94D-9820-18731731BFA8}"/>
    <hyperlink ref="H144" r:id="rId24" xr:uid="{3B67E387-8364-3543-B5DA-C06E25292B41}"/>
    <hyperlink ref="H313" r:id="rId25" xr:uid="{E3244CDD-04CC-0C46-902F-8C5E60ABC662}"/>
    <hyperlink ref="H314" r:id="rId26" xr:uid="{38225348-D16C-F241-9A44-ECE84BE12B12}"/>
    <hyperlink ref="H401" r:id="rId27" xr:uid="{FB44BFF0-5296-B248-8830-FBA914972700}"/>
    <hyperlink ref="H332" r:id="rId28" xr:uid="{4D904856-9979-0E45-9B25-97653DDD34A2}"/>
    <hyperlink ref="AI2" location="Week_1_organic!A1" display="Week_1_organic" xr:uid="{C15F2521-6EC3-6A41-BDEF-B83F3C53BE96}"/>
    <hyperlink ref="AK204" r:id="rId29" display="https://www.coolinarika.com/namirnica/slanina/" xr:uid="{5F397589-71BD-A24C-94C9-B0102020C87B}"/>
    <hyperlink ref="AK217" r:id="rId30" xr:uid="{F5F02BCC-0AF0-3043-9561-F9EAEDF5871B}"/>
    <hyperlink ref="AK328" r:id="rId31" xr:uid="{FD6479F5-CBE4-D64A-AC8F-2CE2A7D8414C}"/>
    <hyperlink ref="AK270" r:id="rId32" xr:uid="{5FF3BE94-36E5-1D49-A905-C9430231C3B0}"/>
    <hyperlink ref="AK302" r:id="rId33" xr:uid="{1A9BF97D-E931-5043-9C17-393BFFF3B4A2}"/>
    <hyperlink ref="AK292" r:id="rId34" xr:uid="{EA15B737-BAFB-6045-AC61-B8E0ABA1A222}"/>
    <hyperlink ref="AK431" r:id="rId35" xr:uid="{E095BABF-801B-DD45-B992-2A82501FABFC}"/>
    <hyperlink ref="AK311" r:id="rId36" xr:uid="{C0C034A1-3279-4E48-9E51-F14C2CA95E97}"/>
    <hyperlink ref="AK360" r:id="rId37" xr:uid="{624053F4-66B8-3E48-B8CB-770C2861814A}"/>
    <hyperlink ref="AK334" r:id="rId38" xr:uid="{C27F6A82-4E87-DD4C-ABD9-E19CA11C7D39}"/>
    <hyperlink ref="AK406" r:id="rId39" xr:uid="{390302CA-5FA0-F24D-A304-8EFFE26857B6}"/>
    <hyperlink ref="AK354" r:id="rId40" xr:uid="{5184531F-7BE8-1F49-A2F9-4574F39A67C7}"/>
    <hyperlink ref="AK261" r:id="rId41" location="!/products/60001718/keks-cajni-kolutici-800g-soko-stark" xr:uid="{8A0D475B-F315-D045-83DB-D746D3D9F6AD}"/>
    <hyperlink ref="AK267" r:id="rId42" location="!/products/60000988/pionir-choco-o-clock-zitarice-sa-ukusom-cokolade-200g" xr:uid="{D3E63CB0-F7CA-6047-9899-4D32E14ECB8C}"/>
    <hyperlink ref="AK64" r:id="rId43" xr:uid="{35D389D2-9F6D-CE46-B8C6-B2096ACE59CD}"/>
    <hyperlink ref="AK291" r:id="rId44" xr:uid="{DF7FE6B7-C7C0-5846-A191-558398DED186}"/>
    <hyperlink ref="AK350" r:id="rId45" xr:uid="{C828580B-686F-8B47-AC8B-E67DE400BA68}"/>
    <hyperlink ref="AK353" r:id="rId46" xr:uid="{BE3F265F-49D2-DB4A-832C-37AE74B7DA16}"/>
    <hyperlink ref="AK301" r:id="rId47" xr:uid="{642C66A6-EB9D-A74C-A086-D5ADBB447375}"/>
    <hyperlink ref="AK300" r:id="rId48" xr:uid="{6A05D4C8-1A11-4443-962F-FBE83EB242C1}"/>
    <hyperlink ref="AK444" r:id="rId49" location="/food-details/170930/nutrients" xr:uid="{9D4D0585-C793-9243-9B0F-C148F84A61F5}"/>
    <hyperlink ref="AK307" r:id="rId50" location="/food-details/577439/nutrients" xr:uid="{FD1E8028-3379-894F-A249-B8E140B73D51}"/>
    <hyperlink ref="AK145" r:id="rId51" xr:uid="{25B09FEF-9D84-7F49-A143-D2FFB12484D5}"/>
    <hyperlink ref="AK154" r:id="rId52" location="!/products/60002627/mlekara-subotica-kremsi-sirni-namaz-70-mm-100g" xr:uid="{8BA37FA9-1F9C-3344-9082-4D56B56B9609}"/>
    <hyperlink ref="AK71" r:id="rId53" xr:uid="{D3C976CE-D054-7C4A-8D06-9CED2C8261AF}"/>
    <hyperlink ref="AK144" r:id="rId54" xr:uid="{FCB7A89C-2846-5244-9FE4-233CC79A4B6D}"/>
    <hyperlink ref="AK313" r:id="rId55" xr:uid="{DE13A15D-8883-9445-860C-2588A94119D5}"/>
    <hyperlink ref="AK314" r:id="rId56" xr:uid="{58CDA15C-379A-0F41-97A1-79CA65A3388E}"/>
    <hyperlink ref="AK401" r:id="rId57" xr:uid="{AC37712D-5C81-6549-A924-5328C1E77FFD}"/>
    <hyperlink ref="AK332" r:id="rId58" xr:uid="{EF8EF8BC-CAD1-8947-BEF4-8875482440B8}"/>
    <hyperlink ref="H124" r:id="rId59" xr:uid="{30DFA9FA-0B68-D64E-A540-8C2032E69991}"/>
    <hyperlink ref="H426" r:id="rId60" xr:uid="{AF220AFB-5C51-334D-815C-EFB4EB7A1CAA}"/>
    <hyperlink ref="H414" r:id="rId61" xr:uid="{BC3226BE-02B7-7140-9300-D104F377F6E7}"/>
    <hyperlink ref="H165" r:id="rId62" xr:uid="{20EA6FCC-96F8-F743-9032-A17D5BD74482}"/>
    <hyperlink ref="AG245" r:id="rId63" location="section4" xr:uid="{45AB8542-37E2-824E-BEFB-1F4A15A3D7B7}"/>
    <hyperlink ref="AG246" r:id="rId64" location="section4" xr:uid="{9D87890B-F4F4-8E44-B9FB-6297202E1214}"/>
    <hyperlink ref="H242" r:id="rId65" xr:uid="{E0B8F932-AF42-6C41-AF31-1505E1C76756}"/>
    <hyperlink ref="H245" r:id="rId66" xr:uid="{8E78688C-86C0-3A41-86FC-99729220E886}"/>
    <hyperlink ref="H246" r:id="rId67" xr:uid="{1DDFBEF1-5FF0-4D49-8C1B-EB561E580741}"/>
    <hyperlink ref="H362" r:id="rId68" xr:uid="{958BFA53-9181-4B45-8DAC-15D601B8FDDB}"/>
    <hyperlink ref="H349" r:id="rId69" xr:uid="{9123DF26-5B1A-1342-8C4E-0E41E5BB7E18}"/>
    <hyperlink ref="H498" r:id="rId70" xr:uid="{D11C0316-A0E6-E844-864C-590A46A7E30A}"/>
    <hyperlink ref="H260" r:id="rId71" location="!/products/60007712/pionir-choco-o-clock-300g" xr:uid="{F0F04246-323B-A043-98E5-3A556C74C205}"/>
    <hyperlink ref="H134" r:id="rId72" location="moja-kravica-banana-milkshake-220ml+EuroFIR micronutrients [mean of 3]" xr:uid="{AF37037A-7FE5-0D4B-AE7C-91447F13D4F1}"/>
    <hyperlink ref="H211" r:id="rId73" xr:uid="{A2DB2E40-8560-4B44-8D01-0B1EA8F13C4D}"/>
    <hyperlink ref="H244" r:id="rId74" xr:uid="{E2C16D84-D950-1E40-95A8-3146CB512D99}"/>
    <hyperlink ref="H63" r:id="rId75" location="/food-details/543379/nutrients" xr:uid="{E4FBAD24-5D0C-FD43-8548-D00421C3C6D7}"/>
    <hyperlink ref="H371" r:id="rId76" xr:uid="{F1AA2BBF-1ED7-F644-98C4-0C15181A3D05}"/>
    <hyperlink ref="I60" r:id="rId77" xr:uid="{038E5D24-0421-5041-8A4C-58B7816DD039}"/>
    <hyperlink ref="I55" r:id="rId78" location="/food-details/342623/nutrients" xr:uid="{8DDC59D3-9FB8-4448-8B0A-95D716E6F9B9}"/>
    <hyperlink ref="I62" r:id="rId79" location="/food-details/342623/nutrients" xr:uid="{998E23A9-A46A-FD4B-A746-2289140ECB2D}"/>
    <hyperlink ref="H64" r:id="rId80" display="https://www.podravka.hr/proizvod/mijesana-salata/" xr:uid="{11C8D404-3A31-4D4D-8355-087EE066F68A}"/>
    <hyperlink ref="I27" r:id="rId81" location="/food-details/168446/nutrients" xr:uid="{5219398C-073C-694F-8615-F3DB11B59969}"/>
    <hyperlink ref="I43" r:id="rId82" location="/food-details/170110/nutrients" xr:uid="{34CFAAEF-52A1-8B4D-9A30-C8FAD232CA27}"/>
    <hyperlink ref="H500" r:id="rId83" xr:uid="{B0CEE16D-B0B4-F745-8010-A4D86600CBCA}"/>
    <hyperlink ref="I149" r:id="rId84" xr:uid="{DA480AA6-1ADC-AF4A-BE91-5F5118627A37}"/>
    <hyperlink ref="H152" r:id="rId85" xr:uid="{835E964B-C8D8-2344-8352-9AB51555C535}"/>
    <hyperlink ref="H161" r:id="rId86" display="https://www.building-body.com/tablica-nutritivnih-vrijednosti-mesa-i-mesnih-preradjevina/ + Faširana šnicla (Minced meat steak) [EuroFir]" xr:uid="{714AF5D2-D9B9-1E47-9ED0-8D7CAE6E186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444E-B46E-BA48-994D-B88D3B2983CE}">
  <sheetPr codeName="Sheet14"/>
  <dimension ref="A1:O486"/>
  <sheetViews>
    <sheetView workbookViewId="0">
      <pane ySplit="3" topLeftCell="A105" activePane="bottomLeft" state="frozen"/>
      <selection pane="bottomLeft" activeCell="A143" sqref="A143"/>
    </sheetView>
  </sheetViews>
  <sheetFormatPr baseColWidth="10" defaultRowHeight="14"/>
  <cols>
    <col min="1" max="1" width="44.83203125" style="749" customWidth="1"/>
    <col min="2" max="2" width="15" style="749" customWidth="1"/>
    <col min="3" max="3" width="10.83203125" style="749"/>
    <col min="4" max="8" width="9.1640625" style="749" customWidth="1"/>
    <col min="9" max="10" width="10.83203125" style="1156"/>
    <col min="11" max="12" width="9.1640625" style="749" customWidth="1"/>
    <col min="13" max="16384" width="10.83203125" style="749"/>
  </cols>
  <sheetData>
    <row r="1" spans="1:15">
      <c r="A1" s="1">
        <v>1</v>
      </c>
      <c r="B1" s="1">
        <v>2</v>
      </c>
      <c r="C1" s="749">
        <v>3</v>
      </c>
      <c r="D1" s="749">
        <v>4</v>
      </c>
      <c r="E1" s="749">
        <v>5</v>
      </c>
      <c r="F1" s="749">
        <v>6</v>
      </c>
      <c r="G1" s="749">
        <v>8</v>
      </c>
      <c r="H1" s="749">
        <v>7</v>
      </c>
      <c r="I1" s="1156">
        <v>7</v>
      </c>
      <c r="J1" s="1156">
        <v>8</v>
      </c>
      <c r="K1" s="749">
        <v>11</v>
      </c>
      <c r="L1" s="749">
        <v>12</v>
      </c>
      <c r="M1" s="749" t="s">
        <v>586</v>
      </c>
    </row>
    <row r="2" spans="1:15">
      <c r="A2" s="1"/>
      <c r="B2" s="324" t="s">
        <v>1393</v>
      </c>
      <c r="C2" s="324" t="s">
        <v>1357</v>
      </c>
      <c r="F2" s="363" t="s">
        <v>585</v>
      </c>
    </row>
    <row r="3" spans="1:15">
      <c r="A3" s="1" t="s">
        <v>237</v>
      </c>
      <c r="B3" s="1" t="s">
        <v>219</v>
      </c>
      <c r="D3" s="749" t="s">
        <v>423</v>
      </c>
      <c r="E3" s="749" t="s">
        <v>409</v>
      </c>
      <c r="F3" s="749" t="s">
        <v>408</v>
      </c>
      <c r="G3" s="279" t="s">
        <v>753</v>
      </c>
      <c r="H3" s="279" t="s">
        <v>753</v>
      </c>
      <c r="I3" s="1156" t="s">
        <v>754</v>
      </c>
      <c r="J3" s="1156" t="s">
        <v>754</v>
      </c>
      <c r="K3" s="178" t="s">
        <v>584</v>
      </c>
      <c r="L3" s="178" t="s">
        <v>584</v>
      </c>
      <c r="M3" s="178"/>
    </row>
    <row r="4" spans="1:15" ht="15">
      <c r="A4" s="1" t="s">
        <v>414</v>
      </c>
      <c r="B4" s="1" t="s">
        <v>220</v>
      </c>
      <c r="C4" s="1157" t="s">
        <v>414</v>
      </c>
      <c r="D4" s="1158">
        <v>0.68</v>
      </c>
      <c r="F4" s="22">
        <v>44</v>
      </c>
      <c r="G4" s="278">
        <v>263.34444444444443</v>
      </c>
      <c r="H4" s="278">
        <v>263.34444444444443</v>
      </c>
      <c r="I4" s="1159">
        <v>253</v>
      </c>
      <c r="J4" s="1159">
        <v>253</v>
      </c>
      <c r="K4" s="184">
        <v>209</v>
      </c>
      <c r="L4" s="184">
        <v>209</v>
      </c>
      <c r="M4" s="1" t="s">
        <v>8</v>
      </c>
    </row>
    <row r="5" spans="1:15" ht="15">
      <c r="A5" s="1" t="s">
        <v>3119</v>
      </c>
      <c r="B5" s="1" t="s">
        <v>220</v>
      </c>
      <c r="C5" s="1153" t="s">
        <v>436</v>
      </c>
      <c r="D5" s="1160">
        <v>1.6</v>
      </c>
      <c r="F5" s="96">
        <v>29.1</v>
      </c>
      <c r="G5" s="99">
        <v>90</v>
      </c>
      <c r="H5" s="99">
        <v>90</v>
      </c>
      <c r="I5" s="99">
        <v>90</v>
      </c>
      <c r="J5" s="99">
        <v>90</v>
      </c>
      <c r="K5" s="99">
        <v>90</v>
      </c>
      <c r="L5" s="99">
        <v>90</v>
      </c>
      <c r="M5" s="1139" t="s">
        <v>0</v>
      </c>
    </row>
    <row r="6" spans="1:15" ht="15">
      <c r="A6" s="1" t="s">
        <v>3120</v>
      </c>
      <c r="B6" s="1" t="s">
        <v>220</v>
      </c>
      <c r="C6" s="1153" t="s">
        <v>436</v>
      </c>
      <c r="D6" s="1160">
        <v>1.6</v>
      </c>
      <c r="F6" s="96">
        <v>29.1</v>
      </c>
      <c r="G6" s="99">
        <v>90</v>
      </c>
      <c r="H6" s="99">
        <v>90</v>
      </c>
      <c r="I6" s="99">
        <v>90</v>
      </c>
      <c r="J6" s="99">
        <v>90</v>
      </c>
      <c r="K6" s="99">
        <v>90</v>
      </c>
      <c r="L6" s="99">
        <v>90</v>
      </c>
      <c r="M6" s="1139" t="s">
        <v>0</v>
      </c>
    </row>
    <row r="7" spans="1:15" ht="15">
      <c r="A7" s="1" t="s">
        <v>3121</v>
      </c>
      <c r="B7" s="1" t="s">
        <v>220</v>
      </c>
      <c r="C7" s="1157" t="s">
        <v>424</v>
      </c>
      <c r="D7" s="1161">
        <v>2</v>
      </c>
      <c r="F7" s="96">
        <v>47.13</v>
      </c>
      <c r="G7" s="278">
        <v>130.28399999999999</v>
      </c>
      <c r="H7" s="278">
        <v>130.28399999999999</v>
      </c>
      <c r="I7" s="1159">
        <v>93.5</v>
      </c>
      <c r="J7" s="1159">
        <v>93.5</v>
      </c>
      <c r="K7" s="184">
        <v>84.7</v>
      </c>
      <c r="L7" s="184">
        <v>84.7</v>
      </c>
      <c r="M7" s="1" t="s">
        <v>676</v>
      </c>
    </row>
    <row r="8" spans="1:15" ht="15">
      <c r="A8" s="1" t="s">
        <v>3098</v>
      </c>
      <c r="B8" s="1" t="s">
        <v>220</v>
      </c>
      <c r="C8" s="1157" t="s">
        <v>437</v>
      </c>
      <c r="D8" s="1161">
        <v>1.6</v>
      </c>
      <c r="F8" s="96">
        <v>29.1</v>
      </c>
      <c r="G8" s="99">
        <v>250</v>
      </c>
      <c r="H8" s="99">
        <v>250</v>
      </c>
      <c r="I8" s="99">
        <v>250</v>
      </c>
      <c r="J8" s="99">
        <v>250</v>
      </c>
      <c r="K8" s="99">
        <v>250</v>
      </c>
      <c r="L8" s="99">
        <v>250</v>
      </c>
      <c r="M8" s="1" t="s">
        <v>2</v>
      </c>
    </row>
    <row r="9" spans="1:15" ht="15">
      <c r="A9" s="1" t="s">
        <v>3117</v>
      </c>
      <c r="B9" s="1" t="s">
        <v>220</v>
      </c>
      <c r="C9" s="1157" t="s">
        <v>416</v>
      </c>
      <c r="D9" s="1161">
        <v>2.2200000000000002</v>
      </c>
      <c r="F9" s="96">
        <v>29.1</v>
      </c>
      <c r="G9" s="1123">
        <v>-1E-4</v>
      </c>
      <c r="H9" s="1123">
        <v>-1E-4</v>
      </c>
      <c r="I9" s="1123">
        <v>-1E-4</v>
      </c>
      <c r="J9" s="1123">
        <v>-1E-4</v>
      </c>
      <c r="K9" s="1123">
        <v>-1E-4</v>
      </c>
      <c r="L9" s="1123">
        <v>-1E-4</v>
      </c>
      <c r="M9" s="1" t="s">
        <v>794</v>
      </c>
    </row>
    <row r="10" spans="1:15" ht="15">
      <c r="A10" s="1" t="s">
        <v>3099</v>
      </c>
      <c r="B10" s="1" t="s">
        <v>220</v>
      </c>
      <c r="C10" s="1157" t="s">
        <v>438</v>
      </c>
      <c r="D10" s="1122">
        <v>0.8</v>
      </c>
      <c r="F10" s="22">
        <v>24.85</v>
      </c>
      <c r="G10" s="99">
        <v>199</v>
      </c>
      <c r="H10" s="99">
        <v>199</v>
      </c>
      <c r="I10" s="99">
        <v>199</v>
      </c>
      <c r="J10" s="99">
        <v>199</v>
      </c>
      <c r="K10" s="99">
        <v>199</v>
      </c>
      <c r="L10" s="99">
        <v>199</v>
      </c>
      <c r="M10" s="1" t="s">
        <v>1223</v>
      </c>
      <c r="N10" s="143" t="s">
        <v>566</v>
      </c>
      <c r="O10" s="144" t="s">
        <v>573</v>
      </c>
    </row>
    <row r="11" spans="1:15" ht="15">
      <c r="A11" s="1" t="s">
        <v>438</v>
      </c>
      <c r="B11" s="1" t="s">
        <v>220</v>
      </c>
      <c r="C11" s="1157" t="s">
        <v>438</v>
      </c>
      <c r="D11" s="1122">
        <v>0.8</v>
      </c>
      <c r="F11" s="22">
        <v>24.85</v>
      </c>
      <c r="G11" s="278">
        <v>300.88800000000003</v>
      </c>
      <c r="H11" s="278">
        <v>300.88800000000003</v>
      </c>
      <c r="I11" s="1156">
        <v>88</v>
      </c>
      <c r="J11" s="1156">
        <v>88</v>
      </c>
      <c r="K11" s="749">
        <v>199</v>
      </c>
      <c r="L11" s="749">
        <v>199</v>
      </c>
      <c r="M11" s="1" t="s">
        <v>314</v>
      </c>
      <c r="N11" s="143" t="s">
        <v>567</v>
      </c>
      <c r="O11" s="144" t="s">
        <v>574</v>
      </c>
    </row>
    <row r="12" spans="1:15" ht="15">
      <c r="A12" s="1" t="s">
        <v>3100</v>
      </c>
      <c r="B12" s="1" t="s">
        <v>220</v>
      </c>
      <c r="C12" s="1157" t="s">
        <v>417</v>
      </c>
      <c r="D12" s="1158">
        <v>0.48</v>
      </c>
      <c r="F12" s="22">
        <v>26.5</v>
      </c>
      <c r="G12" s="278">
        <v>39.311975308641976</v>
      </c>
      <c r="H12" s="145">
        <v>150</v>
      </c>
      <c r="I12" s="145">
        <v>150</v>
      </c>
      <c r="J12" s="1162">
        <v>44</v>
      </c>
      <c r="K12" s="145">
        <v>150</v>
      </c>
      <c r="L12" s="180">
        <v>44</v>
      </c>
      <c r="M12" s="1" t="s">
        <v>9</v>
      </c>
      <c r="N12" s="143" t="s">
        <v>568</v>
      </c>
      <c r="O12" s="144" t="s">
        <v>573</v>
      </c>
    </row>
    <row r="13" spans="1:15" ht="15">
      <c r="A13" s="1" t="s">
        <v>3101</v>
      </c>
      <c r="B13" s="1" t="s">
        <v>220</v>
      </c>
      <c r="C13" s="1157" t="s">
        <v>417</v>
      </c>
      <c r="D13" s="1158">
        <v>0.48</v>
      </c>
      <c r="F13" s="22">
        <v>26.5</v>
      </c>
      <c r="G13" s="278">
        <v>39.311975308641976</v>
      </c>
      <c r="H13" s="150">
        <v>150</v>
      </c>
      <c r="I13" s="150">
        <v>150</v>
      </c>
      <c r="J13" s="1162">
        <v>44</v>
      </c>
      <c r="K13" s="150">
        <v>150</v>
      </c>
      <c r="L13" s="180">
        <v>44</v>
      </c>
      <c r="M13" s="1" t="s">
        <v>10</v>
      </c>
      <c r="N13" s="143" t="s">
        <v>569</v>
      </c>
      <c r="O13" s="144">
        <v>100</v>
      </c>
    </row>
    <row r="14" spans="1:15">
      <c r="A14" s="1" t="s">
        <v>3102</v>
      </c>
      <c r="B14" s="1" t="s">
        <v>220</v>
      </c>
      <c r="D14" s="404">
        <v>0.5</v>
      </c>
      <c r="F14" s="96">
        <v>29.1</v>
      </c>
      <c r="G14" s="1123">
        <v>-1E-4</v>
      </c>
      <c r="H14" s="1123">
        <v>-1E-4</v>
      </c>
      <c r="I14" s="1123">
        <v>-1E-4</v>
      </c>
      <c r="J14" s="1123">
        <v>-1E-4</v>
      </c>
      <c r="K14" s="1123">
        <v>-1E-4</v>
      </c>
      <c r="L14" s="1123">
        <v>-1E-4</v>
      </c>
      <c r="M14" s="1" t="s">
        <v>236</v>
      </c>
      <c r="N14" s="143" t="s">
        <v>570</v>
      </c>
      <c r="O14" s="144" t="s">
        <v>573</v>
      </c>
    </row>
    <row r="15" spans="1:15" ht="15">
      <c r="A15" s="1" t="s">
        <v>3089</v>
      </c>
      <c r="B15" s="1" t="s">
        <v>220</v>
      </c>
      <c r="C15" s="1157" t="s">
        <v>434</v>
      </c>
      <c r="D15" s="1161">
        <v>1.6</v>
      </c>
      <c r="F15" s="22">
        <v>31.3</v>
      </c>
      <c r="G15" s="182">
        <v>48</v>
      </c>
      <c r="H15" s="182">
        <v>48</v>
      </c>
      <c r="I15" s="1163">
        <v>69.599999999999994</v>
      </c>
      <c r="J15" s="1163">
        <v>69.599999999999994</v>
      </c>
      <c r="K15" s="181">
        <v>48</v>
      </c>
      <c r="L15" s="182">
        <v>48</v>
      </c>
      <c r="M15" s="1" t="s">
        <v>801</v>
      </c>
      <c r="N15" s="143" t="s">
        <v>571</v>
      </c>
      <c r="O15" s="144" t="s">
        <v>575</v>
      </c>
    </row>
    <row r="16" spans="1:15" ht="15">
      <c r="A16" s="82" t="s">
        <v>3103</v>
      </c>
      <c r="B16" s="1" t="s">
        <v>220</v>
      </c>
      <c r="C16" s="1157"/>
      <c r="D16" s="1164">
        <v>1.4</v>
      </c>
      <c r="F16" s="1123">
        <v>-1E-4</v>
      </c>
      <c r="G16" s="1123">
        <v>-1E-4</v>
      </c>
      <c r="H16" s="1123">
        <v>-1E-4</v>
      </c>
      <c r="I16" s="1123">
        <v>-1E-4</v>
      </c>
      <c r="J16" s="1123">
        <v>-1E-4</v>
      </c>
      <c r="K16" s="1123">
        <v>-1E-4</v>
      </c>
      <c r="L16" s="1123">
        <v>-1E-4</v>
      </c>
      <c r="M16" s="82" t="s">
        <v>2148</v>
      </c>
      <c r="N16" s="143" t="s">
        <v>572</v>
      </c>
      <c r="O16" s="144" t="s">
        <v>576</v>
      </c>
    </row>
    <row r="17" spans="1:15" ht="15">
      <c r="A17" s="1" t="s">
        <v>3123</v>
      </c>
      <c r="B17" s="1" t="s">
        <v>220</v>
      </c>
      <c r="C17" s="1157" t="s">
        <v>426</v>
      </c>
      <c r="D17" s="1161">
        <v>1.25</v>
      </c>
      <c r="F17" s="22">
        <v>26.9</v>
      </c>
      <c r="G17" s="278">
        <v>110.88000000000001</v>
      </c>
      <c r="H17" s="278">
        <v>110.88000000000001</v>
      </c>
      <c r="I17" s="1159">
        <v>93.5</v>
      </c>
      <c r="J17" s="1159">
        <v>93.5</v>
      </c>
      <c r="K17" s="184">
        <v>88</v>
      </c>
      <c r="L17" s="184">
        <v>88</v>
      </c>
      <c r="M17" s="1" t="s">
        <v>783</v>
      </c>
    </row>
    <row r="18" spans="1:15">
      <c r="A18" s="1" t="s">
        <v>469</v>
      </c>
      <c r="B18" s="1" t="s">
        <v>220</v>
      </c>
      <c r="C18" s="5" t="s">
        <v>469</v>
      </c>
      <c r="D18" s="421">
        <v>2.2200000000000002</v>
      </c>
      <c r="F18" s="96">
        <v>29.1</v>
      </c>
      <c r="G18" s="1123">
        <v>-1E-4</v>
      </c>
      <c r="H18" s="1123">
        <v>-1E-4</v>
      </c>
      <c r="I18" s="1123">
        <v>-1E-4</v>
      </c>
      <c r="J18" s="1123">
        <v>-1E-4</v>
      </c>
      <c r="K18" s="1123">
        <v>-1E-4</v>
      </c>
      <c r="L18" s="1123">
        <v>-1E-4</v>
      </c>
      <c r="M18" s="1" t="s">
        <v>540</v>
      </c>
    </row>
    <row r="19" spans="1:15" ht="15">
      <c r="A19" s="1" t="s">
        <v>439</v>
      </c>
      <c r="B19" s="1" t="s">
        <v>220</v>
      </c>
      <c r="C19" s="1165" t="s">
        <v>439</v>
      </c>
      <c r="D19" s="1166">
        <v>0.8</v>
      </c>
      <c r="F19" s="22">
        <v>42.1</v>
      </c>
      <c r="G19" s="1123">
        <v>-1E-4</v>
      </c>
      <c r="H19" s="1123">
        <v>-1E-4</v>
      </c>
      <c r="I19" s="1123">
        <v>-1E-4</v>
      </c>
      <c r="J19" s="1123">
        <v>-1E-4</v>
      </c>
      <c r="K19" s="1123">
        <v>-1E-4</v>
      </c>
      <c r="L19" s="1123">
        <v>-1E-4</v>
      </c>
      <c r="M19" s="1" t="s">
        <v>4</v>
      </c>
    </row>
    <row r="20" spans="1:15" ht="15">
      <c r="A20" s="1" t="s">
        <v>3104</v>
      </c>
      <c r="B20" s="1" t="s">
        <v>220</v>
      </c>
      <c r="C20" s="1157" t="s">
        <v>413</v>
      </c>
      <c r="D20" s="1158">
        <v>1.3</v>
      </c>
      <c r="F20" s="96">
        <v>29.1</v>
      </c>
      <c r="G20" s="99">
        <v>50</v>
      </c>
      <c r="H20" s="99">
        <v>50</v>
      </c>
      <c r="I20" s="99">
        <v>50</v>
      </c>
      <c r="J20" s="99">
        <v>50</v>
      </c>
      <c r="K20" s="99">
        <v>50</v>
      </c>
      <c r="L20" s="99">
        <v>50</v>
      </c>
      <c r="M20" s="1139" t="s">
        <v>5</v>
      </c>
      <c r="O20" s="1" t="s">
        <v>677</v>
      </c>
    </row>
    <row r="21" spans="1:15" ht="15">
      <c r="A21" s="1" t="s">
        <v>3145</v>
      </c>
      <c r="B21" s="1" t="s">
        <v>220</v>
      </c>
      <c r="C21" s="1157" t="s">
        <v>429</v>
      </c>
      <c r="D21" s="1161">
        <v>1.6</v>
      </c>
      <c r="F21" s="22">
        <v>47.4</v>
      </c>
      <c r="G21" s="278">
        <v>140</v>
      </c>
      <c r="H21" s="278">
        <v>140</v>
      </c>
      <c r="I21" s="1159">
        <v>72</v>
      </c>
      <c r="J21" s="1159">
        <v>72</v>
      </c>
      <c r="K21" s="184">
        <v>52.8</v>
      </c>
      <c r="L21" s="184">
        <v>52.8</v>
      </c>
      <c r="M21" s="1" t="s">
        <v>1614</v>
      </c>
    </row>
    <row r="22" spans="1:15" ht="15">
      <c r="A22" s="1" t="s">
        <v>3124</v>
      </c>
      <c r="B22" s="1" t="s">
        <v>220</v>
      </c>
      <c r="C22" s="1157" t="s">
        <v>419</v>
      </c>
      <c r="D22" s="1158">
        <v>0.51</v>
      </c>
      <c r="F22" s="22">
        <v>29.1</v>
      </c>
      <c r="G22" s="278">
        <v>37.422000000000004</v>
      </c>
      <c r="H22" s="145">
        <v>175</v>
      </c>
      <c r="I22" s="145">
        <v>175</v>
      </c>
      <c r="J22" s="1162">
        <v>49.5</v>
      </c>
      <c r="K22" s="145">
        <v>175</v>
      </c>
      <c r="L22" s="180">
        <v>31.9</v>
      </c>
      <c r="M22" s="1139" t="s">
        <v>6</v>
      </c>
    </row>
    <row r="23" spans="1:15" ht="15">
      <c r="A23" s="1" t="s">
        <v>3436</v>
      </c>
      <c r="B23" s="1" t="s">
        <v>220</v>
      </c>
      <c r="C23" s="1157" t="s">
        <v>419</v>
      </c>
      <c r="D23" s="1158">
        <v>0.51</v>
      </c>
      <c r="F23" s="22">
        <v>29.1</v>
      </c>
      <c r="G23" s="278">
        <v>37.422000000000004</v>
      </c>
      <c r="H23" s="145">
        <v>175</v>
      </c>
      <c r="I23" s="145">
        <v>175</v>
      </c>
      <c r="J23" s="1162">
        <v>49.5</v>
      </c>
      <c r="K23" s="145">
        <v>175</v>
      </c>
      <c r="L23" s="180">
        <v>31.9</v>
      </c>
      <c r="M23" s="1139" t="s">
        <v>678</v>
      </c>
    </row>
    <row r="24" spans="1:15" ht="15">
      <c r="A24" s="1" t="s">
        <v>3426</v>
      </c>
      <c r="B24" s="1" t="s">
        <v>220</v>
      </c>
      <c r="C24" s="1157" t="s">
        <v>431</v>
      </c>
      <c r="D24" s="1161">
        <v>2.2000000000000002</v>
      </c>
      <c r="F24" s="22">
        <v>29.1</v>
      </c>
      <c r="G24" s="101">
        <v>652.77777777777783</v>
      </c>
      <c r="H24" s="101">
        <v>652.77777777777783</v>
      </c>
      <c r="I24" s="101">
        <v>652.77777777777783</v>
      </c>
      <c r="J24" s="101">
        <v>652.77777777777783</v>
      </c>
      <c r="K24" s="101">
        <v>652.77777777777783</v>
      </c>
      <c r="L24" s="101">
        <v>652.77777777777783</v>
      </c>
      <c r="M24" s="1139" t="s">
        <v>2749</v>
      </c>
      <c r="O24" s="1"/>
    </row>
    <row r="25" spans="1:15" ht="15">
      <c r="A25" s="1" t="s">
        <v>1764</v>
      </c>
      <c r="B25" s="1" t="s">
        <v>220</v>
      </c>
      <c r="C25" s="1157" t="s">
        <v>427</v>
      </c>
      <c r="D25" s="1161">
        <v>2.6</v>
      </c>
      <c r="F25" s="1123">
        <v>-1E-4</v>
      </c>
      <c r="G25" s="278">
        <v>166.32</v>
      </c>
      <c r="H25" s="278">
        <v>166.32</v>
      </c>
      <c r="I25" s="99">
        <v>333</v>
      </c>
      <c r="J25" s="99">
        <v>333</v>
      </c>
      <c r="K25" s="99">
        <v>333</v>
      </c>
      <c r="L25" s="99">
        <v>333</v>
      </c>
      <c r="M25" s="1139" t="s">
        <v>2750</v>
      </c>
    </row>
    <row r="26" spans="1:15" ht="15">
      <c r="A26" s="1" t="s">
        <v>3087</v>
      </c>
      <c r="B26" s="1" t="s">
        <v>220</v>
      </c>
      <c r="C26" s="1157" t="s">
        <v>427</v>
      </c>
      <c r="D26" s="1161">
        <v>2.6</v>
      </c>
      <c r="F26" s="1123">
        <v>-1E-4</v>
      </c>
      <c r="G26" s="278">
        <v>166.32</v>
      </c>
      <c r="H26" s="278">
        <v>166.32</v>
      </c>
      <c r="I26" s="99">
        <v>333</v>
      </c>
      <c r="J26" s="99">
        <v>333</v>
      </c>
      <c r="K26" s="99">
        <v>333</v>
      </c>
      <c r="L26" s="99">
        <v>333</v>
      </c>
      <c r="M26" s="289" t="s">
        <v>2502</v>
      </c>
    </row>
    <row r="27" spans="1:15" ht="15">
      <c r="A27" s="82" t="s">
        <v>3126</v>
      </c>
      <c r="B27" s="1" t="s">
        <v>220</v>
      </c>
      <c r="C27" s="1165" t="s">
        <v>440</v>
      </c>
      <c r="D27" s="1167">
        <v>2.5</v>
      </c>
      <c r="F27" s="22">
        <v>27.6</v>
      </c>
      <c r="G27" s="278">
        <v>144.14388888888891</v>
      </c>
      <c r="H27" s="278">
        <v>144.14388888888891</v>
      </c>
      <c r="I27" s="1123">
        <v>-1E-4</v>
      </c>
      <c r="J27" s="1123">
        <v>-1E-4</v>
      </c>
      <c r="K27" s="1123">
        <v>-1E-4</v>
      </c>
      <c r="L27" s="1123">
        <v>-1E-4</v>
      </c>
      <c r="M27" s="1" t="s">
        <v>11</v>
      </c>
    </row>
    <row r="28" spans="1:15" ht="15">
      <c r="A28" s="82" t="s">
        <v>3090</v>
      </c>
      <c r="B28" s="1" t="s">
        <v>220</v>
      </c>
      <c r="C28" s="1165" t="s">
        <v>440</v>
      </c>
      <c r="D28" s="1168">
        <v>2.5</v>
      </c>
      <c r="F28" s="22">
        <v>27.6</v>
      </c>
      <c r="G28" s="278">
        <v>144.14388888888891</v>
      </c>
      <c r="H28" s="278">
        <v>144.14388888888891</v>
      </c>
      <c r="I28" s="1123">
        <v>-1E-4</v>
      </c>
      <c r="J28" s="1123">
        <v>-1E-4</v>
      </c>
      <c r="K28" s="1123">
        <v>-1E-4</v>
      </c>
      <c r="L28" s="1123">
        <v>-1E-4</v>
      </c>
      <c r="M28" s="1" t="s">
        <v>755</v>
      </c>
    </row>
    <row r="29" spans="1:15" ht="15">
      <c r="A29" s="82" t="s">
        <v>3105</v>
      </c>
      <c r="B29" s="1" t="s">
        <v>220</v>
      </c>
      <c r="C29" s="1157" t="s">
        <v>411</v>
      </c>
      <c r="D29" s="1158">
        <v>0.48</v>
      </c>
      <c r="F29" s="22">
        <v>28.5</v>
      </c>
      <c r="G29" s="278">
        <v>31.878</v>
      </c>
      <c r="H29" s="145">
        <v>100</v>
      </c>
      <c r="I29" s="145">
        <v>100</v>
      </c>
      <c r="J29" s="180">
        <v>33</v>
      </c>
      <c r="K29" s="145">
        <v>100</v>
      </c>
      <c r="L29" s="180">
        <v>33</v>
      </c>
      <c r="M29" s="1" t="s">
        <v>2746</v>
      </c>
      <c r="N29" s="1" t="s">
        <v>1227</v>
      </c>
    </row>
    <row r="30" spans="1:15" ht="15">
      <c r="A30" s="1" t="s">
        <v>3091</v>
      </c>
      <c r="B30" s="1" t="s">
        <v>220</v>
      </c>
      <c r="C30" s="1157" t="s">
        <v>435</v>
      </c>
      <c r="D30" s="1161">
        <v>1.6</v>
      </c>
      <c r="F30" s="96">
        <v>29.1</v>
      </c>
      <c r="G30" s="180">
        <v>110</v>
      </c>
      <c r="H30" s="180">
        <v>110</v>
      </c>
      <c r="I30" s="180">
        <v>110</v>
      </c>
      <c r="J30" s="180">
        <v>110</v>
      </c>
      <c r="K30" s="180">
        <v>110</v>
      </c>
      <c r="L30" s="180">
        <v>110</v>
      </c>
      <c r="M30" s="1" t="s">
        <v>239</v>
      </c>
    </row>
    <row r="31" spans="1:15" ht="15">
      <c r="A31" s="1" t="s">
        <v>3092</v>
      </c>
      <c r="B31" s="1" t="s">
        <v>220</v>
      </c>
      <c r="C31" s="1157" t="s">
        <v>435</v>
      </c>
      <c r="D31" s="1161">
        <v>1.6</v>
      </c>
      <c r="F31" s="96">
        <v>29.1</v>
      </c>
      <c r="G31" s="180">
        <v>110</v>
      </c>
      <c r="H31" s="180">
        <v>110</v>
      </c>
      <c r="I31" s="180">
        <v>110</v>
      </c>
      <c r="J31" s="180">
        <v>110</v>
      </c>
      <c r="K31" s="180">
        <v>110</v>
      </c>
      <c r="L31" s="180">
        <v>110</v>
      </c>
      <c r="M31" s="1" t="s">
        <v>248</v>
      </c>
    </row>
    <row r="32" spans="1:15" ht="15">
      <c r="A32" s="82" t="s">
        <v>3106</v>
      </c>
      <c r="B32" s="1" t="s">
        <v>220</v>
      </c>
      <c r="C32" s="1157" t="s">
        <v>411</v>
      </c>
      <c r="D32" s="1158">
        <v>0.48</v>
      </c>
      <c r="F32" s="22">
        <v>28.5</v>
      </c>
      <c r="G32" s="278">
        <v>31.878</v>
      </c>
      <c r="H32" s="145">
        <v>100</v>
      </c>
      <c r="I32" s="145">
        <v>100</v>
      </c>
      <c r="J32" s="1162">
        <v>38.5</v>
      </c>
      <c r="K32" s="145">
        <v>100</v>
      </c>
      <c r="L32" s="180">
        <v>33</v>
      </c>
      <c r="M32" s="1" t="s">
        <v>22</v>
      </c>
    </row>
    <row r="33" spans="1:14" ht="15">
      <c r="A33" s="82" t="s">
        <v>3429</v>
      </c>
      <c r="B33" s="1" t="s">
        <v>220</v>
      </c>
      <c r="C33" s="1157" t="s">
        <v>425</v>
      </c>
      <c r="D33" s="1161">
        <v>1.6</v>
      </c>
      <c r="F33" s="96">
        <v>11.5</v>
      </c>
      <c r="G33" s="184">
        <v>66</v>
      </c>
      <c r="H33" s="184">
        <v>66</v>
      </c>
      <c r="I33" s="1159">
        <v>110</v>
      </c>
      <c r="J33" s="1159">
        <v>110</v>
      </c>
      <c r="K33" s="184">
        <v>66</v>
      </c>
      <c r="L33" s="184">
        <v>66</v>
      </c>
      <c r="M33" s="1139" t="s">
        <v>2065</v>
      </c>
    </row>
    <row r="34" spans="1:14" ht="15">
      <c r="A34" s="82" t="s">
        <v>3107</v>
      </c>
      <c r="B34" s="1" t="s">
        <v>220</v>
      </c>
      <c r="C34" s="1157" t="s">
        <v>425</v>
      </c>
      <c r="D34" s="1161">
        <v>1.6</v>
      </c>
      <c r="F34" s="96">
        <v>11.5</v>
      </c>
      <c r="G34" s="184">
        <v>66</v>
      </c>
      <c r="H34" s="184">
        <v>66</v>
      </c>
      <c r="I34" s="1159">
        <v>110</v>
      </c>
      <c r="J34" s="1159">
        <v>110</v>
      </c>
      <c r="K34" s="184">
        <v>66</v>
      </c>
      <c r="L34" s="184">
        <v>66</v>
      </c>
      <c r="M34" s="1139" t="s">
        <v>238</v>
      </c>
    </row>
    <row r="35" spans="1:14" ht="15">
      <c r="A35" s="1" t="s">
        <v>3430</v>
      </c>
      <c r="B35" s="1" t="s">
        <v>220</v>
      </c>
      <c r="C35" s="1157" t="s">
        <v>425</v>
      </c>
      <c r="D35" s="1161">
        <v>1.6</v>
      </c>
      <c r="F35" s="96">
        <v>28.1</v>
      </c>
      <c r="G35" s="184">
        <v>132</v>
      </c>
      <c r="H35" s="184">
        <v>132</v>
      </c>
      <c r="I35" s="184">
        <v>132</v>
      </c>
      <c r="J35" s="184">
        <v>132</v>
      </c>
      <c r="K35" s="184">
        <v>132</v>
      </c>
      <c r="L35" s="184">
        <v>132</v>
      </c>
      <c r="M35" s="1139" t="s">
        <v>812</v>
      </c>
      <c r="N35" s="749" t="s">
        <v>587</v>
      </c>
    </row>
    <row r="36" spans="1:14" ht="15">
      <c r="A36" s="1" t="s">
        <v>3428</v>
      </c>
      <c r="B36" s="1" t="s">
        <v>220</v>
      </c>
      <c r="C36" s="1157" t="s">
        <v>425</v>
      </c>
      <c r="D36" s="1161">
        <v>1.6</v>
      </c>
      <c r="F36" s="96">
        <v>28.1</v>
      </c>
      <c r="G36" s="184">
        <v>132</v>
      </c>
      <c r="H36" s="184">
        <v>132</v>
      </c>
      <c r="I36" s="184">
        <v>132</v>
      </c>
      <c r="J36" s="184">
        <v>132</v>
      </c>
      <c r="K36" s="184">
        <v>132</v>
      </c>
      <c r="L36" s="184">
        <v>132</v>
      </c>
      <c r="M36" s="1139" t="s">
        <v>812</v>
      </c>
      <c r="N36" s="749" t="s">
        <v>587</v>
      </c>
    </row>
    <row r="37" spans="1:14" ht="15">
      <c r="A37" s="1" t="s">
        <v>3108</v>
      </c>
      <c r="B37" s="1" t="s">
        <v>220</v>
      </c>
      <c r="C37" s="1157" t="s">
        <v>425</v>
      </c>
      <c r="D37" s="1161">
        <v>1.6</v>
      </c>
      <c r="F37" s="96">
        <v>28.1</v>
      </c>
      <c r="G37" s="184">
        <v>132</v>
      </c>
      <c r="H37" s="184">
        <v>132</v>
      </c>
      <c r="I37" s="184">
        <v>132</v>
      </c>
      <c r="J37" s="184">
        <v>132</v>
      </c>
      <c r="K37" s="184">
        <v>132</v>
      </c>
      <c r="L37" s="184">
        <v>132</v>
      </c>
      <c r="M37" s="1139" t="s">
        <v>812</v>
      </c>
      <c r="N37" s="749" t="s">
        <v>587</v>
      </c>
    </row>
    <row r="38" spans="1:14" ht="15">
      <c r="A38" s="749" t="s">
        <v>3130</v>
      </c>
      <c r="B38" s="1" t="s">
        <v>220</v>
      </c>
      <c r="C38" s="1157" t="s">
        <v>419</v>
      </c>
      <c r="D38" s="1158">
        <v>0.51</v>
      </c>
      <c r="F38" s="22">
        <v>29.1</v>
      </c>
      <c r="G38" s="278">
        <v>37.422000000000004</v>
      </c>
      <c r="H38" s="145">
        <v>175</v>
      </c>
      <c r="I38" s="145">
        <v>175</v>
      </c>
      <c r="J38" s="1162">
        <v>49.5</v>
      </c>
      <c r="K38" s="145">
        <v>175</v>
      </c>
      <c r="L38" s="180">
        <v>31.9</v>
      </c>
      <c r="M38" s="1139" t="s">
        <v>1622</v>
      </c>
    </row>
    <row r="39" spans="1:14" ht="15">
      <c r="A39" s="1" t="s">
        <v>3437</v>
      </c>
      <c r="B39" s="1" t="s">
        <v>220</v>
      </c>
      <c r="C39" s="1157" t="s">
        <v>417</v>
      </c>
      <c r="D39" s="1158">
        <v>0.48</v>
      </c>
      <c r="F39" s="96">
        <v>29.1</v>
      </c>
      <c r="G39" s="1123">
        <v>-1E-3</v>
      </c>
      <c r="H39" s="1123">
        <v>-1E-3</v>
      </c>
      <c r="I39" s="1169">
        <v>132</v>
      </c>
      <c r="J39" s="1169">
        <v>132</v>
      </c>
      <c r="K39" s="1123">
        <v>-1E-3</v>
      </c>
      <c r="L39" s="1123">
        <v>-1E-3</v>
      </c>
      <c r="M39" s="1139" t="s">
        <v>1433</v>
      </c>
    </row>
    <row r="40" spans="1:14" ht="15">
      <c r="A40" s="1" t="s">
        <v>3131</v>
      </c>
      <c r="B40" s="1" t="s">
        <v>220</v>
      </c>
      <c r="C40" s="1157" t="s">
        <v>418</v>
      </c>
      <c r="D40" s="1158">
        <v>1.2</v>
      </c>
      <c r="F40" s="96">
        <v>29.1</v>
      </c>
      <c r="G40" s="278">
        <v>55</v>
      </c>
      <c r="H40" s="145">
        <v>200</v>
      </c>
      <c r="I40" s="145">
        <v>200</v>
      </c>
      <c r="J40" s="1170">
        <v>77</v>
      </c>
      <c r="K40" s="145">
        <v>200</v>
      </c>
      <c r="L40" s="99">
        <v>130</v>
      </c>
      <c r="M40" s="1" t="s">
        <v>14</v>
      </c>
    </row>
    <row r="41" spans="1:14" ht="15">
      <c r="A41" s="1" t="s">
        <v>1766</v>
      </c>
      <c r="B41" s="1" t="s">
        <v>220</v>
      </c>
      <c r="D41" s="1164">
        <v>1.6</v>
      </c>
      <c r="F41" s="96">
        <v>29.1</v>
      </c>
      <c r="G41" s="1123">
        <v>-1E-4</v>
      </c>
      <c r="H41" s="1123">
        <v>-1E-4</v>
      </c>
      <c r="I41" s="1123">
        <v>-1E-4</v>
      </c>
      <c r="J41" s="1123">
        <v>-1E-4</v>
      </c>
      <c r="K41" s="1123">
        <v>-1E-4</v>
      </c>
      <c r="L41" s="1123">
        <v>-1E-4</v>
      </c>
      <c r="M41" s="1139" t="s">
        <v>24</v>
      </c>
    </row>
    <row r="42" spans="1:14" ht="15">
      <c r="A42" s="1" t="s">
        <v>3093</v>
      </c>
      <c r="B42" s="1" t="s">
        <v>220</v>
      </c>
      <c r="C42" s="1157" t="s">
        <v>430</v>
      </c>
      <c r="D42" s="1161">
        <v>1.6</v>
      </c>
      <c r="F42" s="22">
        <v>55.5</v>
      </c>
      <c r="G42" s="101">
        <v>224.66666666666666</v>
      </c>
      <c r="H42" s="101">
        <v>224.66666666666666</v>
      </c>
      <c r="I42" s="101">
        <v>224.66666666666666</v>
      </c>
      <c r="J42" s="101">
        <v>224.66666666666666</v>
      </c>
      <c r="K42" s="101">
        <v>224.66666666666666</v>
      </c>
      <c r="L42" s="101">
        <v>224.66666666666666</v>
      </c>
      <c r="M42" s="1" t="s">
        <v>315</v>
      </c>
    </row>
    <row r="43" spans="1:14" ht="15">
      <c r="A43" s="1" t="s">
        <v>3094</v>
      </c>
      <c r="B43" s="1" t="s">
        <v>220</v>
      </c>
      <c r="D43" s="1164">
        <v>1.6</v>
      </c>
      <c r="F43" s="96">
        <v>29.1</v>
      </c>
      <c r="G43" s="1124">
        <v>81.599999999999994</v>
      </c>
      <c r="H43" s="1124">
        <v>81.599999999999994</v>
      </c>
      <c r="I43" s="1171">
        <v>102</v>
      </c>
      <c r="J43" s="1171">
        <v>102</v>
      </c>
      <c r="K43" s="1124">
        <v>81.599999999999994</v>
      </c>
      <c r="L43" s="1124">
        <v>81.599999999999994</v>
      </c>
      <c r="M43" s="1" t="s">
        <v>1391</v>
      </c>
    </row>
    <row r="44" spans="1:14" ht="15">
      <c r="A44" s="1" t="s">
        <v>3132</v>
      </c>
      <c r="B44" s="1" t="s">
        <v>220</v>
      </c>
      <c r="C44" s="1157" t="s">
        <v>418</v>
      </c>
      <c r="D44" s="1158">
        <v>3.12</v>
      </c>
      <c r="F44" s="96">
        <v>29.1</v>
      </c>
      <c r="G44" s="99">
        <v>130</v>
      </c>
      <c r="H44" s="145">
        <v>200</v>
      </c>
      <c r="I44" s="145">
        <v>200</v>
      </c>
      <c r="J44" s="99">
        <v>130</v>
      </c>
      <c r="K44" s="145">
        <v>200</v>
      </c>
      <c r="L44" s="99">
        <v>130</v>
      </c>
      <c r="M44" s="1208" t="s">
        <v>1650</v>
      </c>
    </row>
    <row r="45" spans="1:14" ht="15">
      <c r="A45" s="1" t="s">
        <v>3133</v>
      </c>
      <c r="B45" s="1" t="s">
        <v>220</v>
      </c>
      <c r="C45" s="1157" t="s">
        <v>418</v>
      </c>
      <c r="D45" s="1158">
        <v>3.12</v>
      </c>
      <c r="F45" s="96">
        <v>29.1</v>
      </c>
      <c r="G45" s="99">
        <v>130</v>
      </c>
      <c r="H45" s="145">
        <v>200</v>
      </c>
      <c r="I45" s="145">
        <v>200</v>
      </c>
      <c r="J45" s="99">
        <v>130</v>
      </c>
      <c r="K45" s="145">
        <v>200</v>
      </c>
      <c r="L45" s="99">
        <v>130</v>
      </c>
      <c r="M45" s="1" t="s">
        <v>23</v>
      </c>
    </row>
    <row r="46" spans="1:14" ht="15">
      <c r="A46" s="1" t="s">
        <v>3110</v>
      </c>
      <c r="B46" s="1" t="s">
        <v>220</v>
      </c>
      <c r="C46" s="1157" t="s">
        <v>420</v>
      </c>
      <c r="D46" s="1122">
        <v>1.3</v>
      </c>
      <c r="F46" s="22">
        <v>18.71</v>
      </c>
      <c r="G46" s="270">
        <v>73.5</v>
      </c>
      <c r="H46" s="145">
        <v>175</v>
      </c>
      <c r="I46" s="145">
        <v>175</v>
      </c>
      <c r="J46" s="1172">
        <v>77</v>
      </c>
      <c r="K46" s="145">
        <v>175</v>
      </c>
      <c r="L46" s="270">
        <v>73.5</v>
      </c>
      <c r="M46" s="1" t="s">
        <v>679</v>
      </c>
    </row>
    <row r="47" spans="1:14" ht="15">
      <c r="A47" s="1" t="s">
        <v>3111</v>
      </c>
      <c r="B47" s="1" t="s">
        <v>220</v>
      </c>
      <c r="C47" s="1157" t="s">
        <v>420</v>
      </c>
      <c r="D47" s="1122">
        <v>1.3</v>
      </c>
      <c r="F47" s="22">
        <v>18.71</v>
      </c>
      <c r="G47" s="1123">
        <v>-1E-4</v>
      </c>
      <c r="H47" s="1123">
        <v>-1E-4</v>
      </c>
      <c r="I47" s="1123">
        <v>-1E-4</v>
      </c>
      <c r="J47" s="1123">
        <v>-1E-4</v>
      </c>
      <c r="K47" s="1123">
        <v>-1E-4</v>
      </c>
      <c r="L47" s="1123">
        <v>-1E-4</v>
      </c>
      <c r="M47" s="1139" t="s">
        <v>756</v>
      </c>
    </row>
    <row r="48" spans="1:14" ht="15">
      <c r="A48" s="1" t="s">
        <v>441</v>
      </c>
      <c r="B48" s="1" t="s">
        <v>220</v>
      </c>
      <c r="C48" s="1157" t="s">
        <v>441</v>
      </c>
      <c r="D48" s="1122">
        <v>0.46</v>
      </c>
      <c r="F48" s="22">
        <v>21</v>
      </c>
      <c r="G48" s="99">
        <v>176</v>
      </c>
      <c r="H48" s="99">
        <v>176</v>
      </c>
      <c r="I48" s="99">
        <v>176</v>
      </c>
      <c r="J48" s="99">
        <v>176</v>
      </c>
      <c r="K48" s="99">
        <v>176</v>
      </c>
      <c r="L48" s="99">
        <v>176</v>
      </c>
      <c r="M48" s="1" t="s">
        <v>2043</v>
      </c>
    </row>
    <row r="49" spans="1:13" ht="15">
      <c r="A49" s="1" t="s">
        <v>3134</v>
      </c>
      <c r="B49" s="1" t="s">
        <v>220</v>
      </c>
      <c r="C49" s="1157" t="s">
        <v>410</v>
      </c>
      <c r="D49" s="1158">
        <v>0.61</v>
      </c>
      <c r="F49" s="22">
        <v>25.5</v>
      </c>
      <c r="G49" s="280">
        <v>301.39999999999998</v>
      </c>
      <c r="H49" s="145">
        <v>700</v>
      </c>
      <c r="I49" s="145">
        <v>700</v>
      </c>
      <c r="J49" s="1162">
        <v>220</v>
      </c>
      <c r="K49" s="145">
        <v>700</v>
      </c>
      <c r="L49" s="180">
        <v>108.9</v>
      </c>
      <c r="M49" s="1" t="s">
        <v>680</v>
      </c>
    </row>
    <row r="50" spans="1:13" ht="15">
      <c r="A50" s="1" t="s">
        <v>3135</v>
      </c>
      <c r="B50" s="1" t="s">
        <v>220</v>
      </c>
      <c r="C50" s="1157" t="s">
        <v>410</v>
      </c>
      <c r="D50" s="1158">
        <v>0.61</v>
      </c>
      <c r="F50" s="22">
        <v>25.5</v>
      </c>
      <c r="G50" s="280">
        <v>301.39999999999998</v>
      </c>
      <c r="H50" s="145">
        <v>700</v>
      </c>
      <c r="I50" s="145">
        <v>700</v>
      </c>
      <c r="J50" s="1162">
        <v>220</v>
      </c>
      <c r="K50" s="145">
        <v>700</v>
      </c>
      <c r="L50" s="180">
        <v>108.9</v>
      </c>
      <c r="M50" s="1" t="s">
        <v>7</v>
      </c>
    </row>
    <row r="51" spans="1:13" ht="15">
      <c r="A51" s="1" t="s">
        <v>3144</v>
      </c>
      <c r="B51" s="1" t="s">
        <v>220</v>
      </c>
      <c r="C51" s="1157" t="s">
        <v>410</v>
      </c>
      <c r="D51" s="1158">
        <v>0.61</v>
      </c>
      <c r="F51" s="22">
        <v>25.5</v>
      </c>
      <c r="G51" s="280">
        <v>301.39999999999998</v>
      </c>
      <c r="H51" s="145">
        <v>700</v>
      </c>
      <c r="I51" s="145">
        <v>700</v>
      </c>
      <c r="J51" s="1162">
        <v>220</v>
      </c>
      <c r="K51" s="145">
        <v>700</v>
      </c>
      <c r="L51" s="180">
        <v>108.9</v>
      </c>
      <c r="M51" s="1" t="s">
        <v>1232</v>
      </c>
    </row>
    <row r="52" spans="1:13">
      <c r="A52" s="1" t="s">
        <v>3136</v>
      </c>
      <c r="B52" s="1" t="s">
        <v>220</v>
      </c>
      <c r="D52" s="404">
        <v>1</v>
      </c>
      <c r="F52" s="96">
        <v>29.1</v>
      </c>
      <c r="G52" s="1123">
        <v>-1E-4</v>
      </c>
      <c r="H52" s="1123">
        <v>-1E-4</v>
      </c>
      <c r="I52" s="1123">
        <v>-1E-4</v>
      </c>
      <c r="J52" s="1123">
        <v>-1E-4</v>
      </c>
      <c r="K52" s="1123">
        <v>-1E-4</v>
      </c>
      <c r="L52" s="1123">
        <v>-1E-4</v>
      </c>
      <c r="M52" s="1" t="s">
        <v>1351</v>
      </c>
    </row>
    <row r="53" spans="1:13" ht="15">
      <c r="A53" s="1" t="s">
        <v>3112</v>
      </c>
      <c r="B53" s="1" t="s">
        <v>220</v>
      </c>
      <c r="D53" s="1158">
        <v>0.8</v>
      </c>
      <c r="F53" s="22">
        <v>37.4</v>
      </c>
      <c r="G53" s="99">
        <v>229</v>
      </c>
      <c r="H53" s="99">
        <v>229</v>
      </c>
      <c r="I53" s="99">
        <v>229</v>
      </c>
      <c r="J53" s="99">
        <v>229</v>
      </c>
      <c r="K53" s="99">
        <v>229</v>
      </c>
      <c r="L53" s="99">
        <v>229</v>
      </c>
      <c r="M53" s="1" t="s">
        <v>1388</v>
      </c>
    </row>
    <row r="54" spans="1:13" ht="15">
      <c r="A54" s="1" t="s">
        <v>3113</v>
      </c>
      <c r="B54" s="1" t="s">
        <v>220</v>
      </c>
      <c r="D54" s="1158">
        <v>0.8</v>
      </c>
      <c r="F54" s="22">
        <v>31.4</v>
      </c>
      <c r="G54" s="99">
        <v>100</v>
      </c>
      <c r="H54" s="99">
        <v>100</v>
      </c>
      <c r="I54" s="99">
        <v>100</v>
      </c>
      <c r="J54" s="99">
        <v>100</v>
      </c>
      <c r="K54" s="99">
        <v>100</v>
      </c>
      <c r="L54" s="99">
        <v>100</v>
      </c>
      <c r="M54" s="1" t="s">
        <v>681</v>
      </c>
    </row>
    <row r="55" spans="1:13" ht="15">
      <c r="A55" s="82" t="s">
        <v>421</v>
      </c>
      <c r="B55" s="1" t="s">
        <v>220</v>
      </c>
      <c r="C55" s="1157" t="s">
        <v>421</v>
      </c>
      <c r="D55" s="337">
        <v>0.48</v>
      </c>
      <c r="F55" s="96">
        <v>29.1</v>
      </c>
      <c r="G55" s="1123">
        <v>-1E-4</v>
      </c>
      <c r="H55" s="1123">
        <v>-1E-4</v>
      </c>
      <c r="I55" s="1169">
        <v>154</v>
      </c>
      <c r="J55" s="1169">
        <v>154</v>
      </c>
      <c r="K55" s="1123">
        <v>-1E-4</v>
      </c>
      <c r="L55" s="1123">
        <v>-1E-4</v>
      </c>
      <c r="M55" s="1" t="s">
        <v>2374</v>
      </c>
    </row>
    <row r="56" spans="1:13">
      <c r="A56" s="82" t="s">
        <v>422</v>
      </c>
      <c r="B56" s="1" t="s">
        <v>220</v>
      </c>
      <c r="C56" s="5" t="s">
        <v>422</v>
      </c>
      <c r="D56" s="1160">
        <v>0.8</v>
      </c>
      <c r="F56" s="96">
        <v>29.1</v>
      </c>
      <c r="G56" s="1124">
        <v>104.5</v>
      </c>
      <c r="H56" s="1124">
        <v>104.5</v>
      </c>
      <c r="I56" s="1171">
        <v>242</v>
      </c>
      <c r="J56" s="1171">
        <v>242</v>
      </c>
      <c r="K56" s="1124">
        <v>104.5</v>
      </c>
      <c r="L56" s="1124">
        <v>104.5</v>
      </c>
      <c r="M56" s="1" t="s">
        <v>18</v>
      </c>
    </row>
    <row r="57" spans="1:13" ht="15">
      <c r="A57" s="82" t="s">
        <v>20</v>
      </c>
      <c r="B57" s="1" t="s">
        <v>220</v>
      </c>
      <c r="C57" s="1157" t="s">
        <v>20</v>
      </c>
      <c r="D57" s="1158">
        <v>1.1100000000000001</v>
      </c>
      <c r="F57" s="1123">
        <v>-1E-4</v>
      </c>
      <c r="G57" s="1123">
        <v>-1E-4</v>
      </c>
      <c r="H57" s="1123">
        <v>-1E-4</v>
      </c>
      <c r="I57" s="1169">
        <v>264</v>
      </c>
      <c r="J57" s="1169">
        <v>264</v>
      </c>
      <c r="K57" s="1123">
        <v>-1E-4</v>
      </c>
      <c r="L57" s="1123">
        <v>-1E-4</v>
      </c>
    </row>
    <row r="58" spans="1:13" ht="15">
      <c r="A58" s="1" t="s">
        <v>3095</v>
      </c>
      <c r="B58" s="1" t="s">
        <v>220</v>
      </c>
      <c r="C58" s="1157" t="s">
        <v>20</v>
      </c>
      <c r="D58" s="1164">
        <v>1.6</v>
      </c>
      <c r="F58" s="1123">
        <v>-1E-4</v>
      </c>
      <c r="G58" s="1123">
        <v>-1E-4</v>
      </c>
      <c r="H58" s="1123">
        <v>-1E-4</v>
      </c>
      <c r="I58" s="1169">
        <v>264</v>
      </c>
      <c r="J58" s="1169">
        <v>264</v>
      </c>
      <c r="K58" s="1123">
        <v>-1E-4</v>
      </c>
      <c r="L58" s="1123">
        <v>-1E-4</v>
      </c>
    </row>
    <row r="59" spans="1:13" ht="15">
      <c r="A59" s="377" t="s">
        <v>3096</v>
      </c>
      <c r="B59" s="1" t="s">
        <v>220</v>
      </c>
      <c r="C59" s="1157" t="s">
        <v>430</v>
      </c>
      <c r="D59" s="1161">
        <v>1.6</v>
      </c>
      <c r="F59" s="22">
        <v>47.4</v>
      </c>
      <c r="G59" s="1123">
        <v>-1E-4</v>
      </c>
      <c r="H59" s="1123">
        <v>-1E-4</v>
      </c>
      <c r="I59" s="1123">
        <v>-1E-4</v>
      </c>
      <c r="J59" s="1123">
        <v>-1E-4</v>
      </c>
      <c r="K59" s="1123">
        <v>-1E-4</v>
      </c>
      <c r="L59" s="1123">
        <v>-1E-4</v>
      </c>
      <c r="M59" s="1" t="s">
        <v>1224</v>
      </c>
    </row>
    <row r="60" spans="1:13" ht="15">
      <c r="A60" s="1" t="s">
        <v>3115</v>
      </c>
      <c r="B60" s="1" t="s">
        <v>220</v>
      </c>
      <c r="C60" s="1157" t="s">
        <v>412</v>
      </c>
      <c r="D60" s="1158">
        <v>0.46</v>
      </c>
      <c r="F60" s="22">
        <v>30.03</v>
      </c>
      <c r="G60" s="278">
        <v>58.211851851851854</v>
      </c>
      <c r="H60" s="145">
        <v>175</v>
      </c>
      <c r="I60" s="145">
        <v>175</v>
      </c>
      <c r="J60" s="1162">
        <v>49.5</v>
      </c>
      <c r="K60" s="145">
        <v>175</v>
      </c>
      <c r="L60" s="180">
        <v>60.5</v>
      </c>
    </row>
    <row r="61" spans="1:13" ht="15">
      <c r="A61" s="1" t="s">
        <v>3114</v>
      </c>
      <c r="B61" s="1" t="s">
        <v>220</v>
      </c>
      <c r="C61" s="1157" t="s">
        <v>412</v>
      </c>
      <c r="D61" s="1158">
        <v>0.46</v>
      </c>
      <c r="F61" s="22">
        <v>30.03</v>
      </c>
      <c r="G61" s="278">
        <v>58.211851851851854</v>
      </c>
      <c r="H61" s="145">
        <v>175</v>
      </c>
      <c r="I61" s="145">
        <v>175</v>
      </c>
      <c r="J61" s="1162">
        <v>49.5</v>
      </c>
      <c r="K61" s="145">
        <v>175</v>
      </c>
      <c r="L61" s="180">
        <v>60.5</v>
      </c>
    </row>
    <row r="62" spans="1:13" ht="15">
      <c r="A62" s="1" t="s">
        <v>518</v>
      </c>
      <c r="B62" s="1" t="s">
        <v>220</v>
      </c>
      <c r="C62" s="1173" t="s">
        <v>518</v>
      </c>
      <c r="D62" s="1161">
        <v>1.06</v>
      </c>
      <c r="F62" s="96">
        <v>29.1</v>
      </c>
      <c r="G62" s="1123">
        <v>-1E-4</v>
      </c>
      <c r="H62" s="1123">
        <v>-1E-4</v>
      </c>
      <c r="I62" s="1123">
        <v>-1E-4</v>
      </c>
      <c r="J62" s="1123">
        <v>-1E-4</v>
      </c>
      <c r="K62" s="1123">
        <v>-1E-4</v>
      </c>
      <c r="L62" s="1123">
        <v>-1E-4</v>
      </c>
    </row>
    <row r="63" spans="1:13" ht="15">
      <c r="A63" s="1" t="s">
        <v>3116</v>
      </c>
      <c r="B63" s="1" t="s">
        <v>220</v>
      </c>
      <c r="D63" s="1161">
        <v>1.6</v>
      </c>
      <c r="F63" s="96">
        <v>29.1</v>
      </c>
      <c r="G63" s="180">
        <v>56</v>
      </c>
      <c r="H63" s="180">
        <v>56</v>
      </c>
      <c r="I63" s="180">
        <v>56</v>
      </c>
      <c r="J63" s="180">
        <v>56</v>
      </c>
      <c r="K63" s="180">
        <v>56</v>
      </c>
      <c r="L63" s="180">
        <v>56</v>
      </c>
    </row>
    <row r="64" spans="1:13" ht="15">
      <c r="A64" s="1" t="s">
        <v>3137</v>
      </c>
      <c r="B64" s="1" t="s">
        <v>220</v>
      </c>
      <c r="C64" s="1157" t="s">
        <v>428</v>
      </c>
      <c r="D64" s="1161">
        <v>1.6</v>
      </c>
      <c r="E64" s="749" t="s">
        <v>1369</v>
      </c>
      <c r="F64" s="362">
        <v>50</v>
      </c>
      <c r="G64" s="99">
        <v>825</v>
      </c>
      <c r="H64" s="99">
        <v>825</v>
      </c>
      <c r="I64" s="99">
        <v>825</v>
      </c>
      <c r="J64" s="99">
        <v>825</v>
      </c>
      <c r="K64" s="99">
        <v>825</v>
      </c>
      <c r="L64" s="99">
        <v>825</v>
      </c>
    </row>
    <row r="65" spans="1:12" ht="15">
      <c r="A65" s="1" t="s">
        <v>3431</v>
      </c>
      <c r="B65" s="1" t="s">
        <v>220</v>
      </c>
      <c r="C65" s="1157" t="s">
        <v>416</v>
      </c>
      <c r="D65" s="1174">
        <v>2.2200000000000002</v>
      </c>
      <c r="F65" s="96">
        <v>29.1</v>
      </c>
      <c r="G65" s="1123">
        <v>-1E-4</v>
      </c>
      <c r="H65" s="1123">
        <v>-1E-4</v>
      </c>
      <c r="I65" s="1169">
        <v>66</v>
      </c>
      <c r="J65" s="1169">
        <v>66</v>
      </c>
      <c r="K65" s="1123">
        <v>-1E-4</v>
      </c>
      <c r="L65" s="1123">
        <v>-1E-4</v>
      </c>
    </row>
    <row r="66" spans="1:12" ht="15">
      <c r="A66" s="1264" t="s">
        <v>3097</v>
      </c>
      <c r="B66" s="1" t="s">
        <v>220</v>
      </c>
      <c r="C66" s="1157" t="s">
        <v>430</v>
      </c>
      <c r="D66" s="1161">
        <v>1.6</v>
      </c>
      <c r="F66" s="22">
        <v>47.4</v>
      </c>
      <c r="G66" s="1123">
        <v>-1E-4</v>
      </c>
      <c r="H66" s="1123">
        <v>-1E-4</v>
      </c>
      <c r="I66" s="1123">
        <v>-1E-4</v>
      </c>
      <c r="J66" s="1123">
        <v>-1E-4</v>
      </c>
      <c r="K66" s="1123">
        <v>-1E-4</v>
      </c>
      <c r="L66" s="1123">
        <v>-1E-4</v>
      </c>
    </row>
    <row r="67" spans="1:12" ht="15">
      <c r="A67" s="1" t="s">
        <v>3138</v>
      </c>
      <c r="B67" s="1" t="s">
        <v>220</v>
      </c>
      <c r="C67" s="1157" t="s">
        <v>1660</v>
      </c>
      <c r="D67" s="1122">
        <v>0.46</v>
      </c>
      <c r="F67" s="22">
        <v>25</v>
      </c>
      <c r="G67" s="1123">
        <v>-1E-4</v>
      </c>
      <c r="H67" s="1123">
        <v>-1E-4</v>
      </c>
      <c r="I67" s="1123">
        <v>-1E-4</v>
      </c>
      <c r="J67" s="1123">
        <v>-1E-4</v>
      </c>
      <c r="K67" s="1123">
        <v>-1E-4</v>
      </c>
      <c r="L67" s="1123">
        <v>-1E-4</v>
      </c>
    </row>
    <row r="68" spans="1:12" ht="15">
      <c r="A68" s="1" t="s">
        <v>415</v>
      </c>
      <c r="B68" s="1" t="s">
        <v>220</v>
      </c>
      <c r="C68" s="1157" t="s">
        <v>415</v>
      </c>
      <c r="D68" s="1158">
        <v>1</v>
      </c>
      <c r="F68" s="22">
        <v>22.6</v>
      </c>
      <c r="G68" s="180">
        <v>41.8</v>
      </c>
      <c r="H68" s="180">
        <v>41.8</v>
      </c>
      <c r="I68" s="1162">
        <v>70.400000000000006</v>
      </c>
      <c r="J68" s="1162">
        <v>70.400000000000006</v>
      </c>
      <c r="K68" s="180">
        <v>41.8</v>
      </c>
      <c r="L68" s="180">
        <v>41.8</v>
      </c>
    </row>
    <row r="69" spans="1:12" ht="15">
      <c r="A69" s="1" t="s">
        <v>3118</v>
      </c>
      <c r="B69" s="1" t="s">
        <v>220</v>
      </c>
      <c r="C69" s="1157" t="s">
        <v>415</v>
      </c>
      <c r="D69" s="1158">
        <v>1</v>
      </c>
      <c r="F69" s="22">
        <v>22.6</v>
      </c>
      <c r="G69" s="180">
        <v>41.8</v>
      </c>
      <c r="H69" s="180">
        <v>41.8</v>
      </c>
      <c r="I69" s="1162">
        <v>70.400000000000006</v>
      </c>
      <c r="J69" s="1162">
        <v>70.400000000000006</v>
      </c>
      <c r="K69" s="180">
        <v>41.8</v>
      </c>
      <c r="L69" s="180">
        <v>41.8</v>
      </c>
    </row>
    <row r="70" spans="1:12" ht="15">
      <c r="A70" s="24" t="s">
        <v>3139</v>
      </c>
      <c r="B70" s="24" t="s">
        <v>220</v>
      </c>
      <c r="C70" s="1209" t="s">
        <v>436</v>
      </c>
      <c r="D70" s="1160">
        <v>1.6</v>
      </c>
      <c r="F70" s="96">
        <v>29.1</v>
      </c>
      <c r="G70" s="1123">
        <v>-1E-4</v>
      </c>
      <c r="H70" s="1123">
        <v>-1E-4</v>
      </c>
      <c r="I70" s="1123">
        <v>-1E-4</v>
      </c>
      <c r="J70" s="1123">
        <v>-1E-4</v>
      </c>
      <c r="K70" s="1123">
        <v>-1E-4</v>
      </c>
      <c r="L70" s="1123">
        <v>-1E-4</v>
      </c>
    </row>
    <row r="71" spans="1:12">
      <c r="A71" s="1" t="s">
        <v>1773</v>
      </c>
      <c r="B71" s="1" t="s">
        <v>221</v>
      </c>
      <c r="C71" s="5" t="s">
        <v>482</v>
      </c>
      <c r="D71" s="421">
        <v>1.78</v>
      </c>
      <c r="F71" s="96">
        <v>18.899999999999999</v>
      </c>
      <c r="G71" s="1123">
        <v>-1E-4</v>
      </c>
      <c r="H71" s="1123">
        <v>-1E-4</v>
      </c>
      <c r="I71" s="1123">
        <v>-1E-4</v>
      </c>
      <c r="J71" s="1123">
        <v>-1E-4</v>
      </c>
      <c r="K71" s="1123">
        <v>-1E-4</v>
      </c>
      <c r="L71" s="1123">
        <v>-1E-4</v>
      </c>
    </row>
    <row r="72" spans="1:12">
      <c r="A72" s="1" t="s">
        <v>3315</v>
      </c>
      <c r="B72" s="1" t="s">
        <v>221</v>
      </c>
      <c r="C72" s="5" t="s">
        <v>464</v>
      </c>
      <c r="D72" s="421">
        <v>0.88</v>
      </c>
      <c r="F72" s="96">
        <v>18.899999999999999</v>
      </c>
      <c r="G72" s="1123">
        <v>-1E-4</v>
      </c>
      <c r="H72" s="1123">
        <v>-1E-4</v>
      </c>
      <c r="I72" s="1123">
        <v>-1E-4</v>
      </c>
      <c r="J72" s="1123">
        <v>-1E-4</v>
      </c>
      <c r="K72" s="1123">
        <v>-1E-4</v>
      </c>
      <c r="L72" s="1123">
        <v>-1E-4</v>
      </c>
    </row>
    <row r="73" spans="1:12" ht="15">
      <c r="A73" s="1" t="s">
        <v>27</v>
      </c>
      <c r="B73" s="1" t="s">
        <v>221</v>
      </c>
      <c r="C73" s="1157" t="s">
        <v>459</v>
      </c>
      <c r="D73" s="1161">
        <v>1.33</v>
      </c>
      <c r="F73" s="22">
        <v>18.95</v>
      </c>
      <c r="G73" s="278">
        <v>148.72</v>
      </c>
      <c r="H73" s="278">
        <v>148.72</v>
      </c>
      <c r="I73" s="179">
        <v>99</v>
      </c>
      <c r="J73" s="179">
        <v>99</v>
      </c>
      <c r="K73" s="179">
        <v>99</v>
      </c>
      <c r="L73" s="179">
        <v>99</v>
      </c>
    </row>
    <row r="74" spans="1:12">
      <c r="A74" s="1" t="s">
        <v>1776</v>
      </c>
      <c r="B74" s="1" t="s">
        <v>221</v>
      </c>
      <c r="C74" s="5" t="s">
        <v>465</v>
      </c>
      <c r="D74" s="1175">
        <v>0.43</v>
      </c>
      <c r="F74" s="96">
        <v>18.899999999999999</v>
      </c>
      <c r="G74" s="749">
        <v>200</v>
      </c>
      <c r="H74" s="749">
        <v>200</v>
      </c>
      <c r="I74" s="749">
        <v>200</v>
      </c>
      <c r="J74" s="749">
        <v>200</v>
      </c>
      <c r="K74" s="749">
        <v>200</v>
      </c>
      <c r="L74" s="749">
        <v>200</v>
      </c>
    </row>
    <row r="75" spans="1:12">
      <c r="A75" s="1" t="s">
        <v>1777</v>
      </c>
      <c r="B75" s="1" t="s">
        <v>221</v>
      </c>
      <c r="D75" s="404">
        <v>1</v>
      </c>
      <c r="F75" s="96">
        <v>18.899999999999999</v>
      </c>
      <c r="G75" s="1123">
        <v>-1E-4</v>
      </c>
      <c r="H75" s="1123">
        <v>-1E-4</v>
      </c>
      <c r="I75" s="1123">
        <v>-1E-4</v>
      </c>
      <c r="J75" s="1123">
        <v>-1E-4</v>
      </c>
      <c r="K75" s="1123">
        <v>-1E-4</v>
      </c>
      <c r="L75" s="1123">
        <v>-1E-4</v>
      </c>
    </row>
    <row r="76" spans="1:12">
      <c r="A76" s="1" t="s">
        <v>1801</v>
      </c>
      <c r="B76" s="1" t="s">
        <v>221</v>
      </c>
      <c r="C76" s="5" t="s">
        <v>466</v>
      </c>
      <c r="D76" s="1175">
        <v>0.43</v>
      </c>
      <c r="F76" s="96">
        <v>18.899999999999999</v>
      </c>
      <c r="G76" s="1123">
        <v>-1E-4</v>
      </c>
      <c r="H76" s="1123">
        <v>-1E-4</v>
      </c>
      <c r="I76" s="1123">
        <v>-1E-4</v>
      </c>
      <c r="J76" s="1123">
        <v>-1E-4</v>
      </c>
      <c r="K76" s="1123">
        <v>-1E-4</v>
      </c>
      <c r="L76" s="1123">
        <v>-1E-4</v>
      </c>
    </row>
    <row r="77" spans="1:12" ht="15">
      <c r="A77" s="1" t="s">
        <v>1778</v>
      </c>
      <c r="B77" s="1" t="s">
        <v>221</v>
      </c>
      <c r="C77" s="1157" t="s">
        <v>461</v>
      </c>
      <c r="D77" s="1161">
        <v>0.51</v>
      </c>
      <c r="F77" s="96">
        <v>18.899999999999999</v>
      </c>
      <c r="G77" s="1123">
        <v>-1E-4</v>
      </c>
      <c r="H77" s="1123">
        <v>-1E-4</v>
      </c>
      <c r="I77" s="1123">
        <v>-1E-4</v>
      </c>
      <c r="J77" s="1123">
        <v>-1E-4</v>
      </c>
      <c r="K77" s="1123">
        <v>-1E-4</v>
      </c>
      <c r="L77" s="1123">
        <v>-1E-4</v>
      </c>
    </row>
    <row r="78" spans="1:12" ht="15">
      <c r="A78" s="1" t="s">
        <v>460</v>
      </c>
      <c r="B78" s="1" t="s">
        <v>221</v>
      </c>
      <c r="C78" s="1157" t="s">
        <v>460</v>
      </c>
      <c r="D78" s="1161">
        <v>0.42</v>
      </c>
      <c r="F78" s="96">
        <v>18.899999999999999</v>
      </c>
      <c r="G78" s="749">
        <v>390</v>
      </c>
      <c r="H78" s="749">
        <v>390</v>
      </c>
      <c r="I78" s="749">
        <v>390</v>
      </c>
      <c r="J78" s="749">
        <v>390</v>
      </c>
      <c r="K78" s="749">
        <v>390</v>
      </c>
      <c r="L78" s="749">
        <v>390</v>
      </c>
    </row>
    <row r="79" spans="1:12" ht="15">
      <c r="A79" s="1" t="s">
        <v>3308</v>
      </c>
      <c r="B79" s="1" t="s">
        <v>221</v>
      </c>
      <c r="C79" s="1157" t="s">
        <v>458</v>
      </c>
      <c r="D79" s="1161">
        <v>0.43</v>
      </c>
      <c r="F79" s="22">
        <v>21.66</v>
      </c>
      <c r="G79" s="278">
        <v>77.88</v>
      </c>
      <c r="H79" s="278">
        <v>77.88</v>
      </c>
      <c r="I79" s="1176">
        <v>77</v>
      </c>
      <c r="J79" s="1176">
        <v>77</v>
      </c>
      <c r="K79" s="179">
        <v>66</v>
      </c>
      <c r="L79" s="179">
        <v>66</v>
      </c>
    </row>
    <row r="80" spans="1:12" ht="15">
      <c r="A80" s="1" t="s">
        <v>3309</v>
      </c>
      <c r="B80" s="1" t="s">
        <v>221</v>
      </c>
      <c r="C80" s="1157" t="s">
        <v>458</v>
      </c>
      <c r="D80" s="1161">
        <v>0.43</v>
      </c>
      <c r="F80" s="22">
        <v>21.66</v>
      </c>
      <c r="G80" s="1123">
        <v>-1E-4</v>
      </c>
      <c r="H80" s="1123">
        <v>-1E-4</v>
      </c>
      <c r="I80" s="1123">
        <v>-1E-4</v>
      </c>
      <c r="J80" s="1123">
        <v>-1E-4</v>
      </c>
      <c r="K80" s="1123">
        <v>-1E-4</v>
      </c>
      <c r="L80" s="1123">
        <v>-1E-4</v>
      </c>
    </row>
    <row r="81" spans="1:12" ht="15">
      <c r="A81" s="1" t="s">
        <v>3310</v>
      </c>
      <c r="B81" s="1" t="s">
        <v>221</v>
      </c>
      <c r="C81" s="1157" t="s">
        <v>458</v>
      </c>
      <c r="D81" s="1161">
        <v>0.43</v>
      </c>
      <c r="F81" s="22">
        <v>21.66</v>
      </c>
      <c r="G81" s="1123">
        <v>-1E-4</v>
      </c>
      <c r="H81" s="1123">
        <v>-1E-4</v>
      </c>
      <c r="I81" s="1123">
        <v>-1E-4</v>
      </c>
      <c r="J81" s="1123">
        <v>-1E-4</v>
      </c>
      <c r="K81" s="1123">
        <v>-1E-4</v>
      </c>
      <c r="L81" s="1123">
        <v>-1E-4</v>
      </c>
    </row>
    <row r="82" spans="1:12" ht="15">
      <c r="A82" s="1" t="s">
        <v>3311</v>
      </c>
      <c r="B82" s="1" t="s">
        <v>221</v>
      </c>
      <c r="C82" s="1157" t="s">
        <v>458</v>
      </c>
      <c r="D82" s="1161">
        <v>0.43</v>
      </c>
      <c r="F82" s="22">
        <v>21.66</v>
      </c>
      <c r="G82" s="1123">
        <v>-1E-4</v>
      </c>
      <c r="H82" s="1123">
        <v>-1E-4</v>
      </c>
      <c r="I82" s="1123">
        <v>-1E-4</v>
      </c>
      <c r="J82" s="1123">
        <v>-1E-4</v>
      </c>
      <c r="K82" s="1123">
        <v>-1E-4</v>
      </c>
      <c r="L82" s="1123">
        <v>-1E-4</v>
      </c>
    </row>
    <row r="83" spans="1:12" ht="15">
      <c r="A83" s="1" t="s">
        <v>3439</v>
      </c>
      <c r="B83" s="1" t="s">
        <v>221</v>
      </c>
      <c r="C83" s="1157" t="s">
        <v>458</v>
      </c>
      <c r="D83" s="1161">
        <v>0.43</v>
      </c>
      <c r="F83" s="22">
        <v>21.66</v>
      </c>
      <c r="G83" s="749">
        <v>135</v>
      </c>
      <c r="H83" s="749">
        <v>135</v>
      </c>
      <c r="I83" s="749">
        <v>135</v>
      </c>
      <c r="J83" s="749">
        <v>135</v>
      </c>
      <c r="K83" s="749">
        <v>135</v>
      </c>
      <c r="L83" s="749">
        <v>135</v>
      </c>
    </row>
    <row r="84" spans="1:12" ht="15">
      <c r="A84" s="1" t="s">
        <v>3312</v>
      </c>
      <c r="B84" s="1" t="s">
        <v>221</v>
      </c>
      <c r="C84" s="1157" t="s">
        <v>458</v>
      </c>
      <c r="D84" s="1161">
        <v>0.43</v>
      </c>
      <c r="F84" s="22">
        <v>21.66</v>
      </c>
      <c r="G84" s="749">
        <v>165</v>
      </c>
      <c r="H84" s="749">
        <v>165</v>
      </c>
      <c r="I84" s="749">
        <v>165</v>
      </c>
      <c r="J84" s="749">
        <v>165</v>
      </c>
      <c r="K84" s="749">
        <v>165</v>
      </c>
      <c r="L84" s="749">
        <v>165</v>
      </c>
    </row>
    <row r="85" spans="1:12">
      <c r="A85" s="1" t="s">
        <v>468</v>
      </c>
      <c r="B85" s="1" t="s">
        <v>221</v>
      </c>
      <c r="C85" s="5" t="s">
        <v>468</v>
      </c>
      <c r="D85" s="1175">
        <v>0.43</v>
      </c>
      <c r="F85" s="96">
        <v>18.899999999999999</v>
      </c>
      <c r="G85" s="749">
        <v>390</v>
      </c>
      <c r="H85" s="749">
        <v>390</v>
      </c>
      <c r="I85" s="749">
        <v>390</v>
      </c>
      <c r="J85" s="749">
        <v>390</v>
      </c>
      <c r="K85" s="749">
        <v>390</v>
      </c>
      <c r="L85" s="749">
        <v>390</v>
      </c>
    </row>
    <row r="86" spans="1:12">
      <c r="A86" s="1" t="s">
        <v>1779</v>
      </c>
      <c r="B86" s="1" t="s">
        <v>221</v>
      </c>
      <c r="C86" s="5" t="s">
        <v>462</v>
      </c>
      <c r="D86" s="1175">
        <v>0.43</v>
      </c>
      <c r="F86" s="96">
        <v>18.899999999999999</v>
      </c>
      <c r="G86" s="749">
        <v>199</v>
      </c>
      <c r="H86" s="749">
        <v>199</v>
      </c>
      <c r="I86" s="749">
        <v>199</v>
      </c>
      <c r="J86" s="749">
        <v>199</v>
      </c>
      <c r="K86" s="749">
        <v>199</v>
      </c>
      <c r="L86" s="749">
        <v>199</v>
      </c>
    </row>
    <row r="87" spans="1:12">
      <c r="A87" s="1" t="s">
        <v>3316</v>
      </c>
      <c r="B87" s="1" t="s">
        <v>221</v>
      </c>
      <c r="C87" s="5" t="s">
        <v>464</v>
      </c>
      <c r="D87" s="421">
        <v>0.88</v>
      </c>
      <c r="F87" s="96">
        <v>18.899999999999999</v>
      </c>
      <c r="G87" s="1123">
        <v>-1E-4</v>
      </c>
      <c r="H87" s="1123">
        <v>-1E-4</v>
      </c>
      <c r="I87" s="1123">
        <v>-1E-4</v>
      </c>
      <c r="J87" s="1123">
        <v>-1E-4</v>
      </c>
      <c r="K87" s="1123">
        <v>-1E-4</v>
      </c>
      <c r="L87" s="1123">
        <v>-1E-4</v>
      </c>
    </row>
    <row r="88" spans="1:12" ht="15">
      <c r="A88" s="1" t="s">
        <v>481</v>
      </c>
      <c r="B88" s="1" t="s">
        <v>221</v>
      </c>
      <c r="C88" s="1157" t="s">
        <v>481</v>
      </c>
      <c r="D88" s="1174">
        <v>0.43</v>
      </c>
      <c r="F88" s="96">
        <v>18.899999999999999</v>
      </c>
      <c r="G88" s="1123">
        <v>-1E-4</v>
      </c>
      <c r="H88" s="1123">
        <v>-1E-4</v>
      </c>
      <c r="I88" s="1123">
        <v>-1E-4</v>
      </c>
      <c r="J88" s="1123">
        <v>-1E-4</v>
      </c>
      <c r="K88" s="1123">
        <v>-1E-4</v>
      </c>
      <c r="L88" s="1123">
        <v>-1E-4</v>
      </c>
    </row>
    <row r="89" spans="1:12">
      <c r="A89" s="1" t="s">
        <v>3313</v>
      </c>
      <c r="B89" s="1" t="s">
        <v>221</v>
      </c>
      <c r="C89" s="5" t="s">
        <v>466</v>
      </c>
      <c r="D89" s="1175">
        <v>0.43</v>
      </c>
      <c r="F89" s="22">
        <v>26.7</v>
      </c>
      <c r="G89" s="278">
        <v>85.8</v>
      </c>
      <c r="H89" s="278">
        <v>85.8</v>
      </c>
      <c r="I89" s="1176">
        <v>88</v>
      </c>
      <c r="J89" s="1176">
        <v>88</v>
      </c>
      <c r="K89" s="179">
        <v>66</v>
      </c>
      <c r="L89" s="179">
        <v>66</v>
      </c>
    </row>
    <row r="90" spans="1:12">
      <c r="A90" s="1" t="s">
        <v>1781</v>
      </c>
      <c r="B90" s="1" t="s">
        <v>221</v>
      </c>
      <c r="C90" s="5" t="s">
        <v>468</v>
      </c>
      <c r="D90" s="1175">
        <v>0.43</v>
      </c>
      <c r="F90" s="96">
        <v>18.899999999999999</v>
      </c>
      <c r="G90" s="1123">
        <v>-1E-4</v>
      </c>
      <c r="H90" s="1123">
        <v>-1E-4</v>
      </c>
      <c r="I90" s="1123">
        <v>-1E-4</v>
      </c>
      <c r="J90" s="1123">
        <v>-1E-4</v>
      </c>
      <c r="K90" s="1123">
        <v>-1E-4</v>
      </c>
      <c r="L90" s="1123">
        <v>-1E-4</v>
      </c>
    </row>
    <row r="91" spans="1:12">
      <c r="A91" s="1" t="s">
        <v>3317</v>
      </c>
      <c r="B91" s="1" t="s">
        <v>221</v>
      </c>
      <c r="C91" s="5" t="s">
        <v>464</v>
      </c>
      <c r="D91" s="421">
        <v>0.88</v>
      </c>
      <c r="F91" s="96">
        <v>18.899999999999999</v>
      </c>
      <c r="G91" s="1123">
        <v>-1E-4</v>
      </c>
      <c r="H91" s="1123">
        <v>-1E-4</v>
      </c>
      <c r="I91" s="1123">
        <v>-1E-4</v>
      </c>
      <c r="J91" s="1123">
        <v>-1E-4</v>
      </c>
      <c r="K91" s="1123">
        <v>-1E-4</v>
      </c>
      <c r="L91" s="1123">
        <v>-1E-4</v>
      </c>
    </row>
    <row r="92" spans="1:12">
      <c r="A92" s="1" t="s">
        <v>1783</v>
      </c>
      <c r="B92" s="1" t="s">
        <v>221</v>
      </c>
      <c r="C92" s="5" t="s">
        <v>463</v>
      </c>
      <c r="D92" s="1175">
        <v>0.51</v>
      </c>
      <c r="F92" s="96">
        <v>18.899999999999999</v>
      </c>
      <c r="G92" s="749">
        <v>270</v>
      </c>
      <c r="H92" s="749">
        <v>270</v>
      </c>
      <c r="I92" s="1156">
        <v>220</v>
      </c>
      <c r="J92" s="1156">
        <v>220</v>
      </c>
      <c r="K92" s="749">
        <v>270</v>
      </c>
      <c r="L92" s="749">
        <v>270</v>
      </c>
    </row>
    <row r="93" spans="1:12">
      <c r="A93" s="1" t="s">
        <v>1784</v>
      </c>
      <c r="B93" s="1" t="s">
        <v>221</v>
      </c>
      <c r="C93" s="5" t="s">
        <v>463</v>
      </c>
      <c r="D93" s="1175">
        <v>0.51</v>
      </c>
      <c r="F93" s="96">
        <v>18.899999999999999</v>
      </c>
      <c r="G93" s="749">
        <v>270</v>
      </c>
      <c r="H93" s="749">
        <v>270</v>
      </c>
      <c r="I93" s="1156">
        <v>220</v>
      </c>
      <c r="J93" s="1156">
        <v>220</v>
      </c>
      <c r="K93" s="749">
        <v>270</v>
      </c>
      <c r="L93" s="749">
        <v>270</v>
      </c>
    </row>
    <row r="94" spans="1:12">
      <c r="A94" s="1" t="s">
        <v>1785</v>
      </c>
      <c r="B94" s="1" t="s">
        <v>221</v>
      </c>
      <c r="D94" s="404">
        <v>1</v>
      </c>
      <c r="F94" s="96">
        <v>18.899999999999999</v>
      </c>
      <c r="G94" s="1123">
        <v>-1E-4</v>
      </c>
      <c r="H94" s="1123">
        <v>-1E-4</v>
      </c>
      <c r="I94" s="1123">
        <v>-1E-4</v>
      </c>
      <c r="J94" s="1123">
        <v>-1E-4</v>
      </c>
      <c r="K94" s="1123">
        <v>-1E-4</v>
      </c>
      <c r="L94" s="1123">
        <v>-1E-4</v>
      </c>
    </row>
    <row r="95" spans="1:12">
      <c r="A95" s="1" t="s">
        <v>1786</v>
      </c>
      <c r="B95" s="1" t="s">
        <v>221</v>
      </c>
      <c r="C95" s="5" t="s">
        <v>468</v>
      </c>
      <c r="D95" s="1175">
        <v>0.43</v>
      </c>
      <c r="F95" s="96">
        <v>18.899999999999999</v>
      </c>
      <c r="G95" s="1123">
        <v>-1E-4</v>
      </c>
      <c r="H95" s="1123">
        <v>-1E-4</v>
      </c>
      <c r="I95" s="1123">
        <v>-1E-4</v>
      </c>
      <c r="J95" s="1123">
        <v>-1E-4</v>
      </c>
      <c r="K95" s="1123">
        <v>-1E-4</v>
      </c>
      <c r="L95" s="1123">
        <v>-1E-4</v>
      </c>
    </row>
    <row r="96" spans="1:12" ht="15">
      <c r="A96" s="1" t="s">
        <v>3440</v>
      </c>
      <c r="B96" s="1" t="s">
        <v>221</v>
      </c>
      <c r="C96" s="1157" t="s">
        <v>461</v>
      </c>
      <c r="D96" s="1161">
        <v>0.51</v>
      </c>
      <c r="F96" s="22">
        <v>8.3000000000000007</v>
      </c>
      <c r="G96" s="278">
        <v>78.099999999999994</v>
      </c>
      <c r="H96" s="278">
        <v>78.099999999999994</v>
      </c>
      <c r="I96" s="1156">
        <v>110</v>
      </c>
      <c r="J96" s="1156">
        <v>110</v>
      </c>
      <c r="K96" s="749">
        <v>190</v>
      </c>
      <c r="L96" s="749">
        <v>190</v>
      </c>
    </row>
    <row r="97" spans="1:12">
      <c r="A97" s="1" t="s">
        <v>3318</v>
      </c>
      <c r="B97" s="1" t="s">
        <v>221</v>
      </c>
      <c r="D97" s="404">
        <v>1.5</v>
      </c>
      <c r="F97" s="96">
        <v>18.899999999999999</v>
      </c>
      <c r="G97" s="1123">
        <v>-1E-4</v>
      </c>
      <c r="H97" s="1123">
        <v>-1E-4</v>
      </c>
      <c r="I97" s="1123">
        <v>-1E-4</v>
      </c>
      <c r="J97" s="1123">
        <v>-1E-4</v>
      </c>
      <c r="K97" s="1123">
        <v>-1E-4</v>
      </c>
      <c r="L97" s="1123">
        <v>-1E-4</v>
      </c>
    </row>
    <row r="98" spans="1:12">
      <c r="A98" s="1" t="s">
        <v>1789</v>
      </c>
      <c r="B98" s="1" t="s">
        <v>221</v>
      </c>
      <c r="C98" s="5" t="s">
        <v>464</v>
      </c>
      <c r="D98" s="421">
        <v>0.88</v>
      </c>
      <c r="F98" s="96">
        <v>18.899999999999999</v>
      </c>
      <c r="G98" s="1123">
        <v>-1E-4</v>
      </c>
      <c r="H98" s="1123">
        <v>-1E-4</v>
      </c>
      <c r="I98" s="1123">
        <v>-1E-4</v>
      </c>
      <c r="J98" s="1123">
        <v>-1E-4</v>
      </c>
      <c r="K98" s="1123">
        <v>-1E-4</v>
      </c>
      <c r="L98" s="1123">
        <v>-1E-4</v>
      </c>
    </row>
    <row r="99" spans="1:12" ht="15">
      <c r="A99" s="1" t="s">
        <v>1790</v>
      </c>
      <c r="B99" s="1" t="s">
        <v>221</v>
      </c>
      <c r="C99" s="1157" t="s">
        <v>461</v>
      </c>
      <c r="D99" s="1161">
        <v>0.51</v>
      </c>
      <c r="F99" s="96">
        <v>18.899999999999999</v>
      </c>
      <c r="G99" s="278">
        <v>74.8</v>
      </c>
      <c r="H99" s="278">
        <v>74.8</v>
      </c>
      <c r="I99" s="1123">
        <v>-1E-4</v>
      </c>
      <c r="J99" s="1123">
        <v>-1E-4</v>
      </c>
      <c r="K99" s="1123">
        <v>-1E-4</v>
      </c>
      <c r="L99" s="1123">
        <v>-1E-4</v>
      </c>
    </row>
    <row r="100" spans="1:12">
      <c r="A100" s="1" t="s">
        <v>1791</v>
      </c>
      <c r="B100" s="1" t="s">
        <v>221</v>
      </c>
      <c r="C100" s="5" t="s">
        <v>465</v>
      </c>
      <c r="D100" s="1175">
        <v>0.43</v>
      </c>
      <c r="F100" s="96">
        <v>18.899999999999999</v>
      </c>
      <c r="G100" s="1123">
        <v>-1E-4</v>
      </c>
      <c r="H100" s="1123">
        <v>-1E-4</v>
      </c>
      <c r="I100" s="1123">
        <v>-1E-4</v>
      </c>
      <c r="J100" s="1123">
        <v>-1E-4</v>
      </c>
      <c r="K100" s="1123">
        <v>-1E-4</v>
      </c>
      <c r="L100" s="1123">
        <v>-1E-4</v>
      </c>
    </row>
    <row r="101" spans="1:12">
      <c r="A101" s="1" t="s">
        <v>1792</v>
      </c>
      <c r="B101" s="1" t="s">
        <v>221</v>
      </c>
      <c r="C101" s="5" t="s">
        <v>464</v>
      </c>
      <c r="D101" s="421">
        <v>0.88</v>
      </c>
      <c r="F101" s="96">
        <v>18.899999999999999</v>
      </c>
      <c r="G101" s="278">
        <v>1136.52</v>
      </c>
      <c r="H101" s="278">
        <v>1136.52</v>
      </c>
      <c r="I101" s="1156">
        <v>990</v>
      </c>
      <c r="J101" s="1156">
        <v>990</v>
      </c>
      <c r="K101" s="749">
        <v>1850</v>
      </c>
      <c r="L101" s="749">
        <v>1850</v>
      </c>
    </row>
    <row r="102" spans="1:12" ht="15">
      <c r="A102" s="1" t="s">
        <v>3319</v>
      </c>
      <c r="B102" s="1" t="s">
        <v>221</v>
      </c>
      <c r="C102" s="1157" t="s">
        <v>461</v>
      </c>
      <c r="D102" s="1161">
        <v>0.51</v>
      </c>
      <c r="F102" s="96">
        <v>18.899999999999999</v>
      </c>
      <c r="G102" s="179">
        <v>66</v>
      </c>
      <c r="H102" s="179">
        <v>66</v>
      </c>
      <c r="I102" s="1176">
        <v>110</v>
      </c>
      <c r="J102" s="1176">
        <v>110</v>
      </c>
      <c r="K102" s="179">
        <v>66</v>
      </c>
      <c r="L102" s="179">
        <v>66</v>
      </c>
    </row>
    <row r="103" spans="1:12">
      <c r="A103" s="1" t="s">
        <v>467</v>
      </c>
      <c r="B103" s="1" t="s">
        <v>221</v>
      </c>
      <c r="C103" s="5" t="s">
        <v>467</v>
      </c>
      <c r="D103" s="1175">
        <v>0.43</v>
      </c>
      <c r="F103" s="96">
        <v>18.899999999999999</v>
      </c>
      <c r="G103" s="1123">
        <v>-1E-4</v>
      </c>
      <c r="H103" s="1123">
        <v>-1E-4</v>
      </c>
      <c r="I103" s="1123">
        <v>-1E-4</v>
      </c>
      <c r="J103" s="1123">
        <v>-1E-4</v>
      </c>
      <c r="K103" s="1123">
        <v>-1E-4</v>
      </c>
      <c r="L103" s="1123">
        <v>-1E-4</v>
      </c>
    </row>
    <row r="104" spans="1:12">
      <c r="A104" s="1" t="s">
        <v>3320</v>
      </c>
      <c r="B104" s="1" t="s">
        <v>221</v>
      </c>
      <c r="D104" s="1177">
        <v>0.43</v>
      </c>
      <c r="F104" s="96">
        <v>18.899999999999999</v>
      </c>
      <c r="G104" s="1123">
        <v>-1E-4</v>
      </c>
      <c r="H104" s="1123">
        <v>-1E-4</v>
      </c>
      <c r="I104" s="1123">
        <v>-1E-4</v>
      </c>
      <c r="J104" s="1123">
        <v>-1E-4</v>
      </c>
      <c r="K104" s="1123">
        <v>-1E-4</v>
      </c>
      <c r="L104" s="1123">
        <v>-1E-4</v>
      </c>
    </row>
    <row r="105" spans="1:12">
      <c r="A105" s="1" t="s">
        <v>3321</v>
      </c>
      <c r="B105" s="1" t="s">
        <v>221</v>
      </c>
      <c r="C105" s="5" t="s">
        <v>468</v>
      </c>
      <c r="D105" s="1175">
        <v>0.43</v>
      </c>
      <c r="F105" s="96">
        <v>18.899999999999999</v>
      </c>
      <c r="G105" s="1123">
        <v>-1E-4</v>
      </c>
      <c r="H105" s="1123">
        <v>-1E-4</v>
      </c>
      <c r="I105" s="1123">
        <v>-1E-4</v>
      </c>
      <c r="J105" s="1123">
        <v>-1E-4</v>
      </c>
      <c r="K105" s="1123">
        <v>-1E-4</v>
      </c>
      <c r="L105" s="1123">
        <v>-1E-4</v>
      </c>
    </row>
    <row r="106" spans="1:12">
      <c r="A106" s="749" t="s">
        <v>3322</v>
      </c>
      <c r="B106" s="1" t="s">
        <v>221</v>
      </c>
      <c r="D106" s="404">
        <v>1.2</v>
      </c>
      <c r="F106" s="96">
        <v>18.899999999999999</v>
      </c>
      <c r="G106" s="278">
        <v>559.4375</v>
      </c>
      <c r="H106" s="278">
        <v>559.4375</v>
      </c>
      <c r="I106" s="1156">
        <v>432</v>
      </c>
      <c r="J106" s="1156">
        <v>432</v>
      </c>
      <c r="K106" s="749">
        <v>890</v>
      </c>
      <c r="L106" s="749">
        <v>890</v>
      </c>
    </row>
    <row r="107" spans="1:12">
      <c r="A107" s="1" t="s">
        <v>3314</v>
      </c>
      <c r="B107" s="1" t="s">
        <v>221</v>
      </c>
      <c r="D107" s="404">
        <v>1.2</v>
      </c>
      <c r="F107" s="96">
        <v>18.899999999999999</v>
      </c>
      <c r="G107" s="278">
        <v>559.4375</v>
      </c>
      <c r="H107" s="278">
        <v>559.4375</v>
      </c>
      <c r="I107" s="1156">
        <v>432</v>
      </c>
      <c r="J107" s="1156">
        <v>432</v>
      </c>
      <c r="K107" s="749">
        <v>890</v>
      </c>
      <c r="L107" s="749">
        <v>890</v>
      </c>
    </row>
    <row r="108" spans="1:12">
      <c r="A108" s="1" t="s">
        <v>3323</v>
      </c>
      <c r="B108" s="1" t="s">
        <v>221</v>
      </c>
      <c r="C108" s="5" t="s">
        <v>468</v>
      </c>
      <c r="D108" s="1175">
        <v>0.43</v>
      </c>
      <c r="F108" s="96">
        <v>18.899999999999999</v>
      </c>
      <c r="G108" s="1123">
        <v>-1E-4</v>
      </c>
      <c r="H108" s="1123">
        <v>-1E-4</v>
      </c>
      <c r="I108" s="1123">
        <v>-1E-4</v>
      </c>
      <c r="J108" s="1123">
        <v>-1E-4</v>
      </c>
      <c r="K108" s="1123">
        <v>-1E-4</v>
      </c>
      <c r="L108" s="1123">
        <v>-1E-4</v>
      </c>
    </row>
    <row r="109" spans="1:12" ht="15">
      <c r="A109" s="24" t="s">
        <v>3324</v>
      </c>
      <c r="B109" s="24" t="s">
        <v>221</v>
      </c>
      <c r="C109" s="345" t="s">
        <v>507</v>
      </c>
      <c r="D109" s="1178">
        <v>1.2</v>
      </c>
      <c r="E109" s="492"/>
      <c r="F109" s="96">
        <v>0</v>
      </c>
      <c r="G109" s="278">
        <v>392.70000000000005</v>
      </c>
      <c r="H109" s="278">
        <v>392.70000000000005</v>
      </c>
      <c r="I109" s="749">
        <v>966.67</v>
      </c>
      <c r="J109" s="749">
        <v>966.67</v>
      </c>
      <c r="K109" s="749">
        <v>966.67</v>
      </c>
      <c r="L109" s="749">
        <v>966.67</v>
      </c>
    </row>
    <row r="110" spans="1:12" ht="15">
      <c r="A110" s="1" t="s">
        <v>3445</v>
      </c>
      <c r="B110" s="1" t="s">
        <v>222</v>
      </c>
      <c r="C110" s="1121" t="s">
        <v>477</v>
      </c>
      <c r="D110" s="1168">
        <v>1.55</v>
      </c>
      <c r="F110" s="1123">
        <v>-1E-4</v>
      </c>
      <c r="G110" s="278">
        <v>272.61361111111108</v>
      </c>
      <c r="H110" s="278">
        <v>272.61361111111108</v>
      </c>
      <c r="I110" s="183">
        <v>172.79999999999998</v>
      </c>
      <c r="J110" s="183">
        <v>172.79999999999998</v>
      </c>
      <c r="K110" s="183">
        <v>172.79999999999998</v>
      </c>
      <c r="L110" s="183">
        <v>172.79999999999998</v>
      </c>
    </row>
    <row r="111" spans="1:12" ht="15">
      <c r="A111" s="1" t="s">
        <v>3446</v>
      </c>
      <c r="B111" s="1" t="s">
        <v>222</v>
      </c>
      <c r="C111" s="1121" t="s">
        <v>477</v>
      </c>
      <c r="D111" s="1168">
        <v>1.55</v>
      </c>
      <c r="F111" s="1123">
        <v>-1E-4</v>
      </c>
      <c r="G111" s="278">
        <v>272.61361111111108</v>
      </c>
      <c r="H111" s="278">
        <v>272.61361111111108</v>
      </c>
      <c r="I111" s="183">
        <v>172.79999999999998</v>
      </c>
      <c r="J111" s="183">
        <v>172.79999999999998</v>
      </c>
      <c r="K111" s="183">
        <v>172.79999999999998</v>
      </c>
      <c r="L111" s="183">
        <v>172.79999999999998</v>
      </c>
    </row>
    <row r="112" spans="1:12" ht="15">
      <c r="A112" s="1" t="s">
        <v>1803</v>
      </c>
      <c r="B112" s="1" t="s">
        <v>223</v>
      </c>
      <c r="C112" s="1121" t="s">
        <v>477</v>
      </c>
      <c r="D112" s="1168">
        <v>1.55</v>
      </c>
      <c r="F112" s="1123">
        <v>-1E-4</v>
      </c>
      <c r="G112" s="278">
        <v>272.61361111111108</v>
      </c>
      <c r="H112" s="278">
        <v>272.61361111111108</v>
      </c>
      <c r="I112" s="183">
        <v>172.79999999999998</v>
      </c>
      <c r="J112" s="183">
        <v>172.79999999999998</v>
      </c>
      <c r="K112" s="183">
        <v>172.79999999999998</v>
      </c>
      <c r="L112" s="183">
        <v>172.79999999999998</v>
      </c>
    </row>
    <row r="113" spans="1:14" ht="15">
      <c r="A113" s="1" t="s">
        <v>3448</v>
      </c>
      <c r="B113" s="1" t="s">
        <v>222</v>
      </c>
      <c r="C113" s="1173" t="s">
        <v>476</v>
      </c>
      <c r="D113" s="1179">
        <v>2.0299999999999998</v>
      </c>
      <c r="F113" s="22">
        <v>4.5</v>
      </c>
      <c r="G113" s="278">
        <v>97.02</v>
      </c>
      <c r="H113" s="278">
        <v>97.02</v>
      </c>
      <c r="I113" s="1176">
        <v>80.3</v>
      </c>
      <c r="J113" s="1176">
        <v>80.3</v>
      </c>
      <c r="K113" s="179">
        <v>66</v>
      </c>
      <c r="L113" s="179">
        <v>66</v>
      </c>
    </row>
    <row r="114" spans="1:14" ht="15">
      <c r="A114" s="1" t="s">
        <v>3447</v>
      </c>
      <c r="B114" s="1" t="s">
        <v>222</v>
      </c>
      <c r="C114" s="1173" t="s">
        <v>476</v>
      </c>
      <c r="D114" s="1179">
        <v>2.0299999999999998</v>
      </c>
      <c r="F114" s="22">
        <v>4.5</v>
      </c>
      <c r="G114" s="278">
        <v>97.02</v>
      </c>
      <c r="H114" s="278">
        <v>97.02</v>
      </c>
      <c r="I114" s="1176">
        <v>80.3</v>
      </c>
      <c r="J114" s="1176">
        <v>80.3</v>
      </c>
      <c r="K114" s="179">
        <v>66</v>
      </c>
      <c r="L114" s="179">
        <v>66</v>
      </c>
    </row>
    <row r="115" spans="1:14" ht="15">
      <c r="A115" s="1" t="s">
        <v>3450</v>
      </c>
      <c r="B115" s="1" t="s">
        <v>222</v>
      </c>
      <c r="C115" s="1173" t="s">
        <v>476</v>
      </c>
      <c r="D115" s="1179">
        <v>2.0299999999999998</v>
      </c>
      <c r="F115" s="22">
        <v>4.5</v>
      </c>
      <c r="G115" s="278">
        <v>97.02</v>
      </c>
      <c r="H115" s="278">
        <v>97.02</v>
      </c>
      <c r="I115" s="1176">
        <v>80.3</v>
      </c>
      <c r="J115" s="1176">
        <v>80.3</v>
      </c>
      <c r="K115" s="179">
        <v>66</v>
      </c>
      <c r="L115" s="179">
        <v>66</v>
      </c>
    </row>
    <row r="116" spans="1:14" ht="15">
      <c r="A116" s="1" t="s">
        <v>3449</v>
      </c>
      <c r="B116" s="1" t="s">
        <v>222</v>
      </c>
      <c r="C116" s="1173" t="s">
        <v>476</v>
      </c>
      <c r="D116" s="1179">
        <v>2.0299999999999998</v>
      </c>
      <c r="F116" s="22">
        <v>4.5</v>
      </c>
      <c r="G116" s="278">
        <v>97.02</v>
      </c>
      <c r="H116" s="278">
        <v>97.02</v>
      </c>
      <c r="I116" s="1176">
        <v>80.3</v>
      </c>
      <c r="J116" s="1176">
        <v>80.3</v>
      </c>
      <c r="K116" s="179">
        <v>66</v>
      </c>
      <c r="L116" s="179">
        <v>66</v>
      </c>
    </row>
    <row r="117" spans="1:14" ht="15">
      <c r="A117" s="1" t="s">
        <v>3452</v>
      </c>
      <c r="B117" s="1" t="s">
        <v>222</v>
      </c>
      <c r="C117" s="1173" t="s">
        <v>476</v>
      </c>
      <c r="D117" s="1179">
        <v>2.0299999999999998</v>
      </c>
      <c r="F117" s="22">
        <v>4.5</v>
      </c>
      <c r="G117" s="278">
        <v>97.02</v>
      </c>
      <c r="H117" s="278">
        <v>97.02</v>
      </c>
      <c r="I117" s="1176">
        <v>80.3</v>
      </c>
      <c r="J117" s="1176">
        <v>80.3</v>
      </c>
      <c r="K117" s="179">
        <v>66</v>
      </c>
      <c r="L117" s="179">
        <v>66</v>
      </c>
    </row>
    <row r="118" spans="1:14" ht="15">
      <c r="A118" s="1" t="s">
        <v>3451</v>
      </c>
      <c r="B118" s="1" t="s">
        <v>222</v>
      </c>
      <c r="C118" s="1173" t="s">
        <v>476</v>
      </c>
      <c r="D118" s="1179">
        <v>2.0299999999999998</v>
      </c>
      <c r="F118" s="22">
        <v>4.5</v>
      </c>
      <c r="G118" s="278">
        <v>97.02</v>
      </c>
      <c r="H118" s="278">
        <v>97.02</v>
      </c>
      <c r="I118" s="1176">
        <v>80.3</v>
      </c>
      <c r="J118" s="1176">
        <v>80.3</v>
      </c>
      <c r="K118" s="179">
        <v>66</v>
      </c>
      <c r="L118" s="179">
        <v>66</v>
      </c>
    </row>
    <row r="119" spans="1:14" ht="15">
      <c r="A119" s="1" t="s">
        <v>3212</v>
      </c>
      <c r="B119" s="1" t="s">
        <v>222</v>
      </c>
      <c r="C119" s="1173" t="s">
        <v>476</v>
      </c>
      <c r="D119" s="1179">
        <v>2.0299999999999998</v>
      </c>
      <c r="F119" s="22">
        <v>4.5</v>
      </c>
      <c r="G119" s="278">
        <v>290.38080000000002</v>
      </c>
      <c r="H119" s="278">
        <v>290.38080000000002</v>
      </c>
      <c r="I119" s="179">
        <v>336</v>
      </c>
      <c r="J119" s="179">
        <v>336</v>
      </c>
      <c r="K119" s="179">
        <v>336</v>
      </c>
      <c r="L119" s="179">
        <v>336</v>
      </c>
    </row>
    <row r="120" spans="1:14" ht="15">
      <c r="A120" s="1" t="s">
        <v>3457</v>
      </c>
      <c r="B120" s="1" t="s">
        <v>222</v>
      </c>
      <c r="C120" s="1173" t="s">
        <v>476</v>
      </c>
      <c r="D120" s="1179">
        <v>2.0299999999999998</v>
      </c>
      <c r="F120" s="22">
        <v>4.5</v>
      </c>
      <c r="G120" s="749">
        <v>408</v>
      </c>
      <c r="H120" s="749">
        <v>408</v>
      </c>
      <c r="I120" s="749">
        <v>408</v>
      </c>
      <c r="J120" s="749">
        <v>408</v>
      </c>
      <c r="K120" s="749">
        <v>408</v>
      </c>
      <c r="L120" s="749">
        <v>408</v>
      </c>
      <c r="N120" s="1"/>
    </row>
    <row r="121" spans="1:14" ht="15">
      <c r="A121" s="1" t="s">
        <v>3463</v>
      </c>
      <c r="B121" s="1" t="s">
        <v>222</v>
      </c>
      <c r="C121" s="1173" t="s">
        <v>476</v>
      </c>
      <c r="D121" s="1179">
        <v>2.0299999999999998</v>
      </c>
      <c r="F121" s="22">
        <v>4.5</v>
      </c>
      <c r="G121" s="179">
        <v>648</v>
      </c>
      <c r="H121" s="179">
        <v>648</v>
      </c>
      <c r="I121" s="179">
        <v>648</v>
      </c>
      <c r="J121" s="179">
        <v>648</v>
      </c>
      <c r="K121" s="179">
        <v>648</v>
      </c>
      <c r="L121" s="179">
        <v>648</v>
      </c>
    </row>
    <row r="122" spans="1:14" ht="15">
      <c r="A122" s="1" t="s">
        <v>3219</v>
      </c>
      <c r="B122" s="1" t="s">
        <v>222</v>
      </c>
      <c r="C122" s="1173" t="s">
        <v>470</v>
      </c>
      <c r="D122" s="1179">
        <v>8.1</v>
      </c>
      <c r="F122" s="22">
        <v>27.5</v>
      </c>
      <c r="G122" s="179">
        <v>648</v>
      </c>
      <c r="H122" s="179">
        <v>648</v>
      </c>
      <c r="I122" s="179">
        <v>648</v>
      </c>
      <c r="J122" s="179">
        <v>648</v>
      </c>
      <c r="K122" s="179">
        <v>648</v>
      </c>
      <c r="L122" s="179">
        <v>648</v>
      </c>
    </row>
    <row r="123" spans="1:14" ht="15">
      <c r="A123" s="1" t="s">
        <v>480</v>
      </c>
      <c r="B123" s="1" t="s">
        <v>222</v>
      </c>
      <c r="C123" s="1173" t="s">
        <v>480</v>
      </c>
      <c r="D123" s="1161">
        <v>5.5</v>
      </c>
      <c r="F123" s="103">
        <v>18.8</v>
      </c>
      <c r="G123" s="749">
        <v>1998</v>
      </c>
      <c r="H123" s="749">
        <v>1998</v>
      </c>
      <c r="I123" s="749">
        <v>1998</v>
      </c>
      <c r="J123" s="749">
        <v>1998</v>
      </c>
      <c r="K123" s="749">
        <v>1998</v>
      </c>
      <c r="L123" s="749">
        <v>1998</v>
      </c>
    </row>
    <row r="124" spans="1:14" ht="15">
      <c r="A124" s="1" t="s">
        <v>3455</v>
      </c>
      <c r="B124" s="1" t="s">
        <v>222</v>
      </c>
      <c r="C124" s="1173" t="s">
        <v>475</v>
      </c>
      <c r="D124" s="1168">
        <v>5.5</v>
      </c>
      <c r="F124" s="22">
        <v>7.9</v>
      </c>
      <c r="G124" s="749">
        <v>331.43</v>
      </c>
      <c r="H124" s="749">
        <v>331.43</v>
      </c>
      <c r="I124" s="749">
        <v>331.43</v>
      </c>
      <c r="J124" s="749">
        <v>331.43</v>
      </c>
      <c r="K124" s="749">
        <v>331.43</v>
      </c>
      <c r="L124" s="749">
        <v>331.43</v>
      </c>
    </row>
    <row r="125" spans="1:14" ht="15">
      <c r="A125" s="1" t="s">
        <v>3454</v>
      </c>
      <c r="B125" s="1" t="s">
        <v>222</v>
      </c>
      <c r="C125" s="1173" t="s">
        <v>475</v>
      </c>
      <c r="D125" s="1168">
        <v>5.5</v>
      </c>
      <c r="F125" s="22">
        <v>7.9</v>
      </c>
      <c r="G125" s="179">
        <v>132</v>
      </c>
      <c r="H125" s="179">
        <v>132</v>
      </c>
      <c r="I125" s="1176">
        <v>240</v>
      </c>
      <c r="J125" s="1176">
        <v>240</v>
      </c>
      <c r="K125" s="179">
        <v>132</v>
      </c>
      <c r="L125" s="179">
        <v>132</v>
      </c>
    </row>
    <row r="126" spans="1:14" ht="15">
      <c r="A126" s="1" t="s">
        <v>3453</v>
      </c>
      <c r="B126" s="1" t="s">
        <v>222</v>
      </c>
      <c r="C126" s="1173" t="s">
        <v>472</v>
      </c>
      <c r="D126" s="1168">
        <v>1.41</v>
      </c>
      <c r="F126" s="22">
        <v>11.5</v>
      </c>
      <c r="G126" s="278">
        <v>133.40799999999999</v>
      </c>
      <c r="H126" s="278">
        <v>133.40799999999999</v>
      </c>
      <c r="I126" s="749">
        <v>166.67</v>
      </c>
      <c r="J126" s="749">
        <v>166.67</v>
      </c>
      <c r="K126" s="749">
        <v>166.67</v>
      </c>
      <c r="L126" s="749">
        <v>166.67</v>
      </c>
    </row>
    <row r="127" spans="1:14" ht="15">
      <c r="A127" s="1" t="s">
        <v>3213</v>
      </c>
      <c r="B127" s="1" t="s">
        <v>222</v>
      </c>
      <c r="C127" s="1173" t="s">
        <v>475</v>
      </c>
      <c r="D127" s="1168">
        <v>5.5</v>
      </c>
      <c r="F127" s="103">
        <v>18.8</v>
      </c>
      <c r="G127" s="1123">
        <v>-1E-4</v>
      </c>
      <c r="H127" s="1123">
        <v>-1E-4</v>
      </c>
      <c r="I127" s="1123">
        <v>-1E-4</v>
      </c>
      <c r="J127" s="1123">
        <v>-1E-4</v>
      </c>
      <c r="K127" s="1123">
        <v>-1E-4</v>
      </c>
      <c r="L127" s="1123">
        <v>-1E-4</v>
      </c>
    </row>
    <row r="128" spans="1:14" ht="15">
      <c r="A128" s="1" t="s">
        <v>3456</v>
      </c>
      <c r="B128" s="1" t="s">
        <v>222</v>
      </c>
      <c r="C128" s="1173" t="s">
        <v>475</v>
      </c>
      <c r="D128" s="1168">
        <v>5.5</v>
      </c>
      <c r="F128" s="103">
        <v>18.8</v>
      </c>
      <c r="G128" s="1123">
        <v>-1E-4</v>
      </c>
      <c r="H128" s="1123">
        <v>-1E-4</v>
      </c>
      <c r="I128" s="1123">
        <v>-1E-4</v>
      </c>
      <c r="J128" s="1123">
        <v>-1E-4</v>
      </c>
      <c r="K128" s="1123">
        <v>-1E-4</v>
      </c>
      <c r="L128" s="1123">
        <v>-1E-4</v>
      </c>
    </row>
    <row r="129" spans="1:14" ht="15">
      <c r="A129" s="749" t="s">
        <v>3214</v>
      </c>
      <c r="B129" s="1" t="s">
        <v>222</v>
      </c>
      <c r="C129" s="1121" t="s">
        <v>477</v>
      </c>
      <c r="D129" s="1168">
        <v>1.55</v>
      </c>
      <c r="F129" s="1123">
        <v>-1E-4</v>
      </c>
      <c r="G129" s="278">
        <v>272.61361111111108</v>
      </c>
      <c r="H129" s="278">
        <v>272.61361111111108</v>
      </c>
      <c r="I129" s="183">
        <v>172.79999999999998</v>
      </c>
      <c r="J129" s="183">
        <v>172.79999999999998</v>
      </c>
      <c r="K129" s="183">
        <v>172.79999999999998</v>
      </c>
      <c r="L129" s="183">
        <v>172.79999999999998</v>
      </c>
    </row>
    <row r="130" spans="1:14" ht="15">
      <c r="A130" s="1" t="s">
        <v>3215</v>
      </c>
      <c r="B130" s="1" t="s">
        <v>222</v>
      </c>
      <c r="C130" s="1173" t="s">
        <v>470</v>
      </c>
      <c r="D130" s="1179">
        <v>8.1</v>
      </c>
      <c r="F130" s="103">
        <v>18.8</v>
      </c>
      <c r="G130" s="1123">
        <v>-1E-4</v>
      </c>
      <c r="H130" s="1123">
        <v>-1E-4</v>
      </c>
      <c r="I130" s="1123">
        <v>-1E-4</v>
      </c>
      <c r="J130" s="1123">
        <v>-1E-4</v>
      </c>
      <c r="K130" s="1123">
        <v>-1E-4</v>
      </c>
      <c r="L130" s="1123">
        <v>-1E-4</v>
      </c>
    </row>
    <row r="131" spans="1:14" ht="15">
      <c r="A131" s="1" t="s">
        <v>1809</v>
      </c>
      <c r="B131" s="1" t="s">
        <v>222</v>
      </c>
      <c r="C131" s="1153"/>
      <c r="D131" s="1180">
        <v>5</v>
      </c>
      <c r="F131" s="22">
        <v>17.3</v>
      </c>
      <c r="G131" s="1123">
        <v>-1E-3</v>
      </c>
      <c r="H131" s="1123">
        <v>-1E-3</v>
      </c>
      <c r="I131" s="1123">
        <v>-1E-3</v>
      </c>
      <c r="J131" s="1123">
        <v>-1E-3</v>
      </c>
      <c r="K131" s="1123">
        <v>-1E-3</v>
      </c>
      <c r="L131" s="1123">
        <v>-1E-3</v>
      </c>
    </row>
    <row r="132" spans="1:14" ht="15">
      <c r="A132" s="1" t="s">
        <v>3221</v>
      </c>
      <c r="B132" s="1" t="s">
        <v>222</v>
      </c>
      <c r="C132" s="1173" t="s">
        <v>474</v>
      </c>
      <c r="D132" s="1179">
        <v>1.46</v>
      </c>
      <c r="F132" s="22">
        <v>17.3</v>
      </c>
      <c r="G132" s="278">
        <v>83.6</v>
      </c>
      <c r="H132" s="278">
        <v>83.6</v>
      </c>
      <c r="I132" s="1176">
        <v>63.8</v>
      </c>
      <c r="J132" s="1176">
        <v>63.8</v>
      </c>
      <c r="K132" s="179">
        <v>52.8</v>
      </c>
      <c r="L132" s="179">
        <v>52.8</v>
      </c>
      <c r="N132" s="1"/>
    </row>
    <row r="133" spans="1:14" ht="15">
      <c r="A133" s="1" t="s">
        <v>3220</v>
      </c>
      <c r="B133" s="1" t="s">
        <v>222</v>
      </c>
      <c r="C133" s="1173" t="s">
        <v>474</v>
      </c>
      <c r="D133" s="1179">
        <v>1.46</v>
      </c>
      <c r="F133" s="22">
        <v>17.3</v>
      </c>
      <c r="G133" s="749">
        <v>115</v>
      </c>
      <c r="H133" s="749">
        <v>115</v>
      </c>
      <c r="I133" s="749">
        <v>115</v>
      </c>
      <c r="J133" s="749">
        <v>115</v>
      </c>
      <c r="K133" s="749">
        <v>115</v>
      </c>
      <c r="L133" s="749">
        <v>115</v>
      </c>
      <c r="N133" s="1"/>
    </row>
    <row r="134" spans="1:14" ht="15">
      <c r="A134" s="1" t="s">
        <v>3222</v>
      </c>
      <c r="B134" s="1" t="s">
        <v>222</v>
      </c>
      <c r="C134" s="1173" t="s">
        <v>470</v>
      </c>
      <c r="D134" s="1179">
        <v>8.1</v>
      </c>
      <c r="F134" s="22">
        <v>30.1</v>
      </c>
      <c r="G134" s="1123">
        <v>-1E-4</v>
      </c>
      <c r="H134" s="1123">
        <v>-1E-4</v>
      </c>
      <c r="I134" s="1123">
        <v>-1E-4</v>
      </c>
      <c r="J134" s="1123">
        <v>-1E-4</v>
      </c>
      <c r="K134" s="1123">
        <v>-1E-4</v>
      </c>
      <c r="L134" s="1123">
        <v>-1E-4</v>
      </c>
    </row>
    <row r="135" spans="1:14" ht="15">
      <c r="A135" s="1" t="s">
        <v>1811</v>
      </c>
      <c r="B135" s="1" t="s">
        <v>222</v>
      </c>
      <c r="C135" s="1173" t="s">
        <v>475</v>
      </c>
      <c r="D135" s="1168">
        <v>5.5</v>
      </c>
      <c r="F135" s="103">
        <v>18.8</v>
      </c>
      <c r="G135" s="278">
        <v>189</v>
      </c>
      <c r="H135" s="278">
        <v>189</v>
      </c>
      <c r="I135" s="749">
        <v>331.43</v>
      </c>
      <c r="J135" s="749">
        <v>331.43</v>
      </c>
      <c r="K135" s="749">
        <v>331.43</v>
      </c>
      <c r="L135" s="749">
        <v>331.43</v>
      </c>
    </row>
    <row r="136" spans="1:14" ht="15">
      <c r="A136" s="1" t="s">
        <v>3223</v>
      </c>
      <c r="B136" s="1" t="s">
        <v>222</v>
      </c>
      <c r="C136" s="1173" t="s">
        <v>470</v>
      </c>
      <c r="D136" s="1179">
        <v>8.1</v>
      </c>
      <c r="F136" s="22">
        <v>27.5</v>
      </c>
      <c r="G136" s="749">
        <v>1220</v>
      </c>
      <c r="H136" s="749">
        <v>1220</v>
      </c>
      <c r="I136" s="749">
        <v>1220</v>
      </c>
      <c r="J136" s="749">
        <v>1220</v>
      </c>
      <c r="K136" s="749">
        <v>1220</v>
      </c>
      <c r="L136" s="749">
        <v>1220</v>
      </c>
    </row>
    <row r="137" spans="1:14" ht="15">
      <c r="A137" s="1" t="s">
        <v>3224</v>
      </c>
      <c r="B137" s="1" t="s">
        <v>222</v>
      </c>
      <c r="C137" s="1173" t="s">
        <v>470</v>
      </c>
      <c r="D137" s="1179">
        <v>8.1</v>
      </c>
      <c r="F137" s="22">
        <v>27.5</v>
      </c>
      <c r="G137" s="749">
        <v>439</v>
      </c>
      <c r="H137" s="749">
        <v>439</v>
      </c>
      <c r="I137" s="749">
        <v>439</v>
      </c>
      <c r="J137" s="749">
        <v>439</v>
      </c>
      <c r="K137" s="749">
        <v>439</v>
      </c>
      <c r="L137" s="749">
        <v>439</v>
      </c>
    </row>
    <row r="138" spans="1:14" ht="15">
      <c r="A138" s="1" t="s">
        <v>3226</v>
      </c>
      <c r="B138" s="1" t="s">
        <v>222</v>
      </c>
      <c r="C138" s="1173" t="s">
        <v>470</v>
      </c>
      <c r="D138" s="1179">
        <v>8.1</v>
      </c>
      <c r="F138" s="22">
        <v>7.9</v>
      </c>
      <c r="G138" s="1123">
        <v>-1E-4</v>
      </c>
      <c r="H138" s="1123">
        <v>-1E-4</v>
      </c>
      <c r="I138" s="1123">
        <v>-1E-4</v>
      </c>
      <c r="J138" s="1123">
        <v>-1E-4</v>
      </c>
      <c r="K138" s="1123">
        <v>-1E-4</v>
      </c>
      <c r="L138" s="1123">
        <v>-1E-4</v>
      </c>
    </row>
    <row r="139" spans="1:14" ht="15">
      <c r="A139" s="1" t="s">
        <v>3227</v>
      </c>
      <c r="B139" s="1" t="s">
        <v>222</v>
      </c>
      <c r="C139" s="1173" t="s">
        <v>470</v>
      </c>
      <c r="D139" s="1179">
        <v>8.1</v>
      </c>
      <c r="F139" s="22">
        <v>7.9</v>
      </c>
      <c r="G139" s="278">
        <v>302.40000000000003</v>
      </c>
      <c r="H139" s="278">
        <v>302.40000000000003</v>
      </c>
      <c r="I139" s="1171">
        <v>246</v>
      </c>
      <c r="J139" s="1171">
        <v>246</v>
      </c>
      <c r="K139" s="1124">
        <v>198</v>
      </c>
      <c r="L139" s="1124">
        <v>198</v>
      </c>
    </row>
    <row r="140" spans="1:14" ht="15">
      <c r="A140" s="1" t="s">
        <v>3228</v>
      </c>
      <c r="B140" s="1" t="s">
        <v>222</v>
      </c>
      <c r="C140" s="1173" t="s">
        <v>470</v>
      </c>
      <c r="D140" s="1179">
        <v>8.1</v>
      </c>
      <c r="F140" s="22">
        <v>7.9</v>
      </c>
      <c r="G140" s="278">
        <v>302.40000000000003</v>
      </c>
      <c r="H140" s="278">
        <v>302.40000000000003</v>
      </c>
      <c r="I140" s="1171">
        <v>246</v>
      </c>
      <c r="J140" s="1171">
        <v>246</v>
      </c>
      <c r="K140" s="1124">
        <v>198</v>
      </c>
      <c r="L140" s="1124">
        <v>198</v>
      </c>
    </row>
    <row r="141" spans="1:14" ht="15">
      <c r="A141" s="1" t="s">
        <v>3216</v>
      </c>
      <c r="B141" s="1" t="s">
        <v>222</v>
      </c>
      <c r="C141" s="1173" t="s">
        <v>470</v>
      </c>
      <c r="D141" s="1179">
        <v>8.1</v>
      </c>
      <c r="F141" s="22">
        <v>19.7</v>
      </c>
      <c r="G141" s="749">
        <v>625</v>
      </c>
      <c r="H141" s="749">
        <v>625</v>
      </c>
      <c r="I141" s="749">
        <v>625</v>
      </c>
      <c r="J141" s="749">
        <v>625</v>
      </c>
      <c r="K141" s="749">
        <v>625</v>
      </c>
      <c r="L141" s="749">
        <v>625</v>
      </c>
    </row>
    <row r="142" spans="1:14" ht="15">
      <c r="A142" s="1" t="s">
        <v>3225</v>
      </c>
      <c r="B142" s="1" t="s">
        <v>222</v>
      </c>
      <c r="C142" s="1173" t="s">
        <v>470</v>
      </c>
      <c r="D142" s="1179">
        <v>8.1</v>
      </c>
      <c r="F142" s="22">
        <v>27.5</v>
      </c>
      <c r="G142" s="179">
        <v>648</v>
      </c>
      <c r="H142" s="179">
        <v>648</v>
      </c>
      <c r="I142" s="179">
        <v>648</v>
      </c>
      <c r="J142" s="179">
        <v>648</v>
      </c>
      <c r="K142" s="179">
        <v>648</v>
      </c>
      <c r="L142" s="179">
        <v>648</v>
      </c>
    </row>
    <row r="143" spans="1:14" ht="15">
      <c r="A143" s="1" t="s">
        <v>3217</v>
      </c>
      <c r="B143" s="1" t="s">
        <v>222</v>
      </c>
      <c r="C143" s="1173" t="s">
        <v>470</v>
      </c>
      <c r="D143" s="1179">
        <v>8.1</v>
      </c>
      <c r="F143" s="103">
        <v>18.8</v>
      </c>
      <c r="G143" s="1123">
        <v>-1E-4</v>
      </c>
      <c r="H143" s="1123">
        <v>-1E-4</v>
      </c>
      <c r="I143" s="1123">
        <v>-1E-4</v>
      </c>
      <c r="J143" s="1123">
        <v>-1E-4</v>
      </c>
      <c r="K143" s="1123">
        <v>-1E-4</v>
      </c>
      <c r="L143" s="1123">
        <v>-1E-4</v>
      </c>
    </row>
    <row r="144" spans="1:14" ht="15">
      <c r="A144" s="1" t="s">
        <v>3229</v>
      </c>
      <c r="B144" s="1" t="s">
        <v>222</v>
      </c>
      <c r="C144" s="1173" t="s">
        <v>470</v>
      </c>
      <c r="D144" s="1179">
        <v>8.1</v>
      </c>
      <c r="F144" s="22">
        <v>7.9</v>
      </c>
      <c r="G144" s="1124">
        <v>198</v>
      </c>
      <c r="H144" s="1124">
        <v>198</v>
      </c>
      <c r="I144" s="1171">
        <v>246</v>
      </c>
      <c r="J144" s="1171">
        <v>246</v>
      </c>
      <c r="K144" s="1124">
        <v>198</v>
      </c>
      <c r="L144" s="1124">
        <v>198</v>
      </c>
    </row>
    <row r="145" spans="1:12" ht="15">
      <c r="A145" s="749" t="s">
        <v>3230</v>
      </c>
      <c r="B145" s="1" t="s">
        <v>222</v>
      </c>
      <c r="C145" s="1173" t="s">
        <v>470</v>
      </c>
      <c r="D145" s="1179">
        <v>8.1</v>
      </c>
      <c r="F145" s="103">
        <v>18.8</v>
      </c>
      <c r="G145" s="749">
        <v>1364.29</v>
      </c>
      <c r="H145" s="749">
        <v>1364.29</v>
      </c>
      <c r="I145" s="749">
        <v>1364.29</v>
      </c>
      <c r="J145" s="749">
        <v>1364.29</v>
      </c>
      <c r="K145" s="749">
        <v>1364.29</v>
      </c>
      <c r="L145" s="749">
        <v>1364.29</v>
      </c>
    </row>
    <row r="146" spans="1:12" ht="15">
      <c r="A146" s="1" t="s">
        <v>3232</v>
      </c>
      <c r="B146" s="1" t="s">
        <v>222</v>
      </c>
      <c r="C146" s="1173" t="s">
        <v>470</v>
      </c>
      <c r="D146" s="1179">
        <v>8.1</v>
      </c>
      <c r="F146" s="22">
        <v>27.5</v>
      </c>
      <c r="G146" s="278">
        <v>624</v>
      </c>
      <c r="H146" s="278">
        <v>624</v>
      </c>
      <c r="I146" s="1156">
        <v>600</v>
      </c>
      <c r="J146" s="1156">
        <v>600</v>
      </c>
      <c r="K146" s="749">
        <v>1340</v>
      </c>
      <c r="L146" s="749">
        <v>1340</v>
      </c>
    </row>
    <row r="147" spans="1:12" ht="15">
      <c r="A147" s="749" t="s">
        <v>3231</v>
      </c>
      <c r="B147" s="1" t="s">
        <v>222</v>
      </c>
      <c r="C147" s="1173" t="s">
        <v>470</v>
      </c>
      <c r="D147" s="1179">
        <v>8.1</v>
      </c>
      <c r="F147" s="22">
        <v>30.1</v>
      </c>
      <c r="G147" s="1123">
        <v>-1E-4</v>
      </c>
      <c r="H147" s="1123">
        <v>-1E-4</v>
      </c>
      <c r="I147" s="1123">
        <v>-1E-4</v>
      </c>
      <c r="J147" s="1123">
        <v>-1E-4</v>
      </c>
      <c r="K147" s="1123">
        <v>-1E-4</v>
      </c>
      <c r="L147" s="1123">
        <v>-1E-4</v>
      </c>
    </row>
    <row r="148" spans="1:12" ht="15">
      <c r="A148" s="749" t="s">
        <v>3233</v>
      </c>
      <c r="B148" s="1" t="s">
        <v>222</v>
      </c>
      <c r="C148" s="1173" t="s">
        <v>470</v>
      </c>
      <c r="D148" s="1179">
        <v>8.1</v>
      </c>
      <c r="F148" s="103">
        <v>18.8</v>
      </c>
      <c r="G148" s="179">
        <v>336</v>
      </c>
      <c r="H148" s="179">
        <v>336</v>
      </c>
      <c r="I148" s="179">
        <v>336</v>
      </c>
      <c r="J148" s="179">
        <v>336</v>
      </c>
      <c r="K148" s="179">
        <v>336</v>
      </c>
      <c r="L148" s="179">
        <v>336</v>
      </c>
    </row>
    <row r="149" spans="1:12" ht="15">
      <c r="A149" s="1" t="s">
        <v>3234</v>
      </c>
      <c r="B149" s="1" t="s">
        <v>222</v>
      </c>
      <c r="C149" s="1173" t="s">
        <v>470</v>
      </c>
      <c r="D149" s="1179">
        <v>8.1</v>
      </c>
      <c r="F149" s="103">
        <v>18.8</v>
      </c>
      <c r="G149" s="179">
        <v>336</v>
      </c>
      <c r="H149" s="179">
        <v>336</v>
      </c>
      <c r="I149" s="179">
        <v>336</v>
      </c>
      <c r="J149" s="179">
        <v>336</v>
      </c>
      <c r="K149" s="179">
        <v>336</v>
      </c>
      <c r="L149" s="179">
        <v>336</v>
      </c>
    </row>
    <row r="150" spans="1:12" ht="15">
      <c r="A150" s="1" t="s">
        <v>475</v>
      </c>
      <c r="B150" s="1" t="s">
        <v>222</v>
      </c>
      <c r="C150" s="1173" t="s">
        <v>475</v>
      </c>
      <c r="D150" s="1168">
        <v>5.5</v>
      </c>
      <c r="F150" s="103">
        <v>18.8</v>
      </c>
      <c r="G150" s="749">
        <v>331.43</v>
      </c>
      <c r="H150" s="749">
        <v>331.43</v>
      </c>
      <c r="I150" s="749">
        <v>331.43</v>
      </c>
      <c r="J150" s="749">
        <v>331.43</v>
      </c>
      <c r="K150" s="749">
        <v>331.43</v>
      </c>
      <c r="L150" s="749">
        <v>331.43</v>
      </c>
    </row>
    <row r="151" spans="1:12" ht="15">
      <c r="A151" s="749" t="s">
        <v>3460</v>
      </c>
      <c r="B151" s="1" t="s">
        <v>222</v>
      </c>
      <c r="C151" s="1173" t="s">
        <v>470</v>
      </c>
      <c r="D151" s="1179">
        <v>8.1</v>
      </c>
      <c r="F151" s="22">
        <v>27.5</v>
      </c>
      <c r="G151" s="179">
        <v>648</v>
      </c>
      <c r="H151" s="179">
        <v>648</v>
      </c>
      <c r="I151" s="179">
        <v>648</v>
      </c>
      <c r="J151" s="179">
        <v>648</v>
      </c>
      <c r="K151" s="179">
        <v>648</v>
      </c>
      <c r="L151" s="179">
        <v>648</v>
      </c>
    </row>
    <row r="152" spans="1:12" ht="15">
      <c r="A152" s="24" t="s">
        <v>3218</v>
      </c>
      <c r="B152" s="24" t="s">
        <v>222</v>
      </c>
      <c r="C152" s="1173" t="s">
        <v>476</v>
      </c>
      <c r="D152" s="1181">
        <v>2</v>
      </c>
      <c r="F152" s="1120">
        <v>5</v>
      </c>
      <c r="G152" s="179">
        <v>648</v>
      </c>
      <c r="H152" s="179">
        <v>648</v>
      </c>
      <c r="I152" s="179">
        <v>648</v>
      </c>
      <c r="J152" s="179">
        <v>648</v>
      </c>
      <c r="K152" s="179">
        <v>648</v>
      </c>
      <c r="L152" s="179">
        <v>648</v>
      </c>
    </row>
    <row r="153" spans="1:12" ht="15">
      <c r="A153" s="1233" t="s">
        <v>3208</v>
      </c>
      <c r="B153" s="1" t="s">
        <v>224</v>
      </c>
      <c r="C153" s="1173" t="s">
        <v>471</v>
      </c>
      <c r="D153" s="1168">
        <v>3.04</v>
      </c>
      <c r="F153" s="96">
        <v>10.6</v>
      </c>
      <c r="G153" s="278">
        <v>243.57142857142853</v>
      </c>
      <c r="H153" s="278">
        <v>243.57142857142853</v>
      </c>
      <c r="I153" s="1176">
        <v>125.71</v>
      </c>
      <c r="J153" s="1176">
        <v>125.71</v>
      </c>
      <c r="K153" s="179">
        <v>179.67</v>
      </c>
      <c r="L153" s="179">
        <v>179.67</v>
      </c>
    </row>
    <row r="154" spans="1:12" ht="15">
      <c r="A154" s="749" t="s">
        <v>3209</v>
      </c>
      <c r="B154" s="1" t="s">
        <v>224</v>
      </c>
      <c r="C154" s="1173" t="s">
        <v>471</v>
      </c>
      <c r="D154" s="1168">
        <v>3.04</v>
      </c>
      <c r="F154" s="96">
        <v>10.6</v>
      </c>
      <c r="G154" s="278">
        <v>243.57142857142853</v>
      </c>
      <c r="H154" s="278">
        <v>243.57142857142853</v>
      </c>
      <c r="I154" s="1176">
        <v>125.71</v>
      </c>
      <c r="J154" s="1176">
        <v>125.71</v>
      </c>
      <c r="K154" s="179">
        <v>179.67</v>
      </c>
      <c r="L154" s="179">
        <v>179.67</v>
      </c>
    </row>
    <row r="155" spans="1:12" ht="15">
      <c r="A155" s="24" t="s">
        <v>3210</v>
      </c>
      <c r="B155" s="24" t="s">
        <v>224</v>
      </c>
      <c r="C155" s="1173" t="s">
        <v>471</v>
      </c>
      <c r="D155" s="1168">
        <v>3.04</v>
      </c>
      <c r="F155" s="96">
        <v>10.6</v>
      </c>
      <c r="G155" s="278">
        <v>243.57142857142853</v>
      </c>
      <c r="H155" s="278">
        <v>243.57142857142853</v>
      </c>
      <c r="I155" s="1176">
        <v>125.71</v>
      </c>
      <c r="J155" s="1176">
        <v>125.71</v>
      </c>
      <c r="K155" s="179">
        <v>179.67</v>
      </c>
      <c r="L155" s="179">
        <v>179.67</v>
      </c>
    </row>
    <row r="156" spans="1:12" ht="15">
      <c r="A156" s="749" t="s">
        <v>3172</v>
      </c>
      <c r="B156" s="1" t="s">
        <v>225</v>
      </c>
      <c r="D156" s="1182">
        <v>10.65</v>
      </c>
      <c r="F156" s="22">
        <v>28.5</v>
      </c>
      <c r="G156" s="183">
        <v>105</v>
      </c>
      <c r="H156" s="183">
        <v>105</v>
      </c>
      <c r="I156" s="183">
        <v>105</v>
      </c>
      <c r="J156" s="183">
        <v>105</v>
      </c>
      <c r="K156" s="183">
        <v>105</v>
      </c>
      <c r="L156" s="183">
        <v>105</v>
      </c>
    </row>
    <row r="157" spans="1:12" ht="15">
      <c r="A157" s="749" t="s">
        <v>3158</v>
      </c>
      <c r="B157" s="1" t="s">
        <v>225</v>
      </c>
      <c r="C157" s="1121" t="s">
        <v>443</v>
      </c>
      <c r="D157" s="1183">
        <v>3.27</v>
      </c>
      <c r="F157" s="22">
        <v>22.2</v>
      </c>
      <c r="G157" s="183">
        <v>275</v>
      </c>
      <c r="H157" s="183">
        <v>275</v>
      </c>
      <c r="I157" s="1184">
        <v>264</v>
      </c>
      <c r="J157" s="1184">
        <v>264</v>
      </c>
      <c r="K157" s="183">
        <v>275</v>
      </c>
      <c r="L157" s="183">
        <v>275</v>
      </c>
    </row>
    <row r="158" spans="1:12" ht="15">
      <c r="A158" s="749" t="s">
        <v>3173</v>
      </c>
      <c r="B158" s="1" t="s">
        <v>225</v>
      </c>
      <c r="D158" s="1161">
        <v>9.0399999999999991</v>
      </c>
      <c r="F158" s="1123">
        <v>-1E-4</v>
      </c>
      <c r="G158" s="1123">
        <v>-1E-4</v>
      </c>
      <c r="H158" s="1123">
        <v>-1E-4</v>
      </c>
      <c r="I158" s="1123">
        <v>-1E-4</v>
      </c>
      <c r="J158" s="1123">
        <v>-1E-4</v>
      </c>
      <c r="K158" s="1123">
        <v>-1E-4</v>
      </c>
      <c r="L158" s="1123">
        <v>-1E-4</v>
      </c>
    </row>
    <row r="159" spans="1:12" ht="15">
      <c r="A159" s="53" t="s">
        <v>3174</v>
      </c>
      <c r="B159" s="1" t="s">
        <v>225</v>
      </c>
      <c r="D159" s="1161">
        <v>9.0399999999999991</v>
      </c>
      <c r="F159" s="1123">
        <v>-1E-4</v>
      </c>
      <c r="G159" s="1123">
        <v>-1E-4</v>
      </c>
      <c r="H159" s="1123">
        <v>-1E-4</v>
      </c>
      <c r="I159" s="1123">
        <v>-1E-4</v>
      </c>
      <c r="J159" s="1123">
        <v>-1E-4</v>
      </c>
      <c r="K159" s="1123">
        <v>-1E-4</v>
      </c>
      <c r="L159" s="1123">
        <v>-1E-4</v>
      </c>
    </row>
    <row r="160" spans="1:12" ht="15">
      <c r="A160" s="491" t="s">
        <v>3165</v>
      </c>
      <c r="B160" s="1" t="s">
        <v>225</v>
      </c>
      <c r="C160" s="1121" t="s">
        <v>442</v>
      </c>
      <c r="D160" s="1161">
        <v>12.26</v>
      </c>
      <c r="F160" s="103">
        <v>41.5</v>
      </c>
      <c r="G160" s="1123">
        <v>-1E-4</v>
      </c>
      <c r="H160" s="1123">
        <v>-1E-4</v>
      </c>
      <c r="I160" s="1123">
        <v>-1E-4</v>
      </c>
      <c r="J160" s="1123">
        <v>-1E-4</v>
      </c>
      <c r="K160" s="1123">
        <v>-1E-4</v>
      </c>
      <c r="L160" s="1123">
        <v>-1E-4</v>
      </c>
    </row>
    <row r="161" spans="1:12" ht="15">
      <c r="A161" s="749" t="s">
        <v>3183</v>
      </c>
      <c r="B161" s="1" t="s">
        <v>225</v>
      </c>
      <c r="C161" s="1121" t="s">
        <v>450</v>
      </c>
      <c r="D161" s="1161">
        <v>4.9000000000000004</v>
      </c>
      <c r="F161" s="1123">
        <v>-1E-4</v>
      </c>
      <c r="G161" s="278">
        <v>744</v>
      </c>
      <c r="H161" s="278">
        <v>744</v>
      </c>
      <c r="I161" s="749">
        <v>684</v>
      </c>
      <c r="J161" s="749">
        <v>684</v>
      </c>
      <c r="K161" s="749">
        <v>684</v>
      </c>
      <c r="L161" s="749">
        <v>684</v>
      </c>
    </row>
    <row r="162" spans="1:12" ht="15">
      <c r="A162" s="749" t="s">
        <v>3464</v>
      </c>
      <c r="B162" s="1" t="s">
        <v>225</v>
      </c>
      <c r="C162" s="1121" t="s">
        <v>450</v>
      </c>
      <c r="D162" s="1161">
        <v>4.9000000000000004</v>
      </c>
      <c r="F162" s="103">
        <v>41.5</v>
      </c>
      <c r="G162" s="749">
        <v>550</v>
      </c>
      <c r="H162" s="749">
        <v>550</v>
      </c>
      <c r="I162" s="749">
        <v>550</v>
      </c>
      <c r="J162" s="749">
        <v>550</v>
      </c>
      <c r="K162" s="749">
        <v>550</v>
      </c>
      <c r="L162" s="749">
        <v>550</v>
      </c>
    </row>
    <row r="163" spans="1:12" ht="15">
      <c r="A163" s="1" t="s">
        <v>1822</v>
      </c>
      <c r="B163" s="1" t="s">
        <v>225</v>
      </c>
      <c r="C163" s="1121" t="s">
        <v>450</v>
      </c>
      <c r="D163" s="1161">
        <v>4.9000000000000004</v>
      </c>
      <c r="F163" s="103">
        <v>41.5</v>
      </c>
      <c r="G163" s="1123">
        <v>-1E-4</v>
      </c>
      <c r="H163" s="1123">
        <v>-1E-4</v>
      </c>
      <c r="I163" s="1123">
        <v>-1E-4</v>
      </c>
      <c r="J163" s="1123">
        <v>-1E-4</v>
      </c>
      <c r="K163" s="1123">
        <v>-1E-4</v>
      </c>
      <c r="L163" s="1123">
        <v>-1E-4</v>
      </c>
    </row>
    <row r="164" spans="1:12" ht="15">
      <c r="A164" s="1" t="s">
        <v>1823</v>
      </c>
      <c r="B164" s="1" t="s">
        <v>225</v>
      </c>
      <c r="C164" s="1173" t="s">
        <v>452</v>
      </c>
      <c r="D164" s="1161">
        <v>13.35</v>
      </c>
      <c r="F164" s="1123">
        <v>-1E-4</v>
      </c>
      <c r="G164" s="183">
        <v>180</v>
      </c>
      <c r="H164" s="183">
        <v>180</v>
      </c>
      <c r="I164" s="1184">
        <v>240</v>
      </c>
      <c r="J164" s="1184">
        <v>240</v>
      </c>
      <c r="K164" s="183">
        <v>180</v>
      </c>
      <c r="L164" s="183">
        <v>180</v>
      </c>
    </row>
    <row r="165" spans="1:12" ht="15">
      <c r="A165" s="1" t="s">
        <v>3166</v>
      </c>
      <c r="B165" s="1" t="s">
        <v>225</v>
      </c>
      <c r="C165" s="1173" t="s">
        <v>452</v>
      </c>
      <c r="D165" s="1161">
        <v>13.35</v>
      </c>
      <c r="F165" s="1123">
        <v>-1E-4</v>
      </c>
      <c r="G165" s="183">
        <v>180</v>
      </c>
      <c r="H165" s="183">
        <v>180</v>
      </c>
      <c r="I165" s="1184">
        <v>240</v>
      </c>
      <c r="J165" s="1184">
        <v>240</v>
      </c>
      <c r="K165" s="183">
        <v>180</v>
      </c>
      <c r="L165" s="183">
        <v>180</v>
      </c>
    </row>
    <row r="166" spans="1:12" ht="15">
      <c r="A166" s="749" t="s">
        <v>3159</v>
      </c>
      <c r="B166" s="1" t="s">
        <v>225</v>
      </c>
      <c r="C166" s="1121" t="s">
        <v>442</v>
      </c>
      <c r="D166" s="1161">
        <v>12.26</v>
      </c>
      <c r="F166" s="22">
        <v>38</v>
      </c>
      <c r="G166" s="278">
        <v>748</v>
      </c>
      <c r="H166" s="278">
        <v>748</v>
      </c>
      <c r="I166" s="183">
        <v>605</v>
      </c>
      <c r="J166" s="183">
        <v>605</v>
      </c>
      <c r="K166" s="183">
        <v>605</v>
      </c>
      <c r="L166" s="183">
        <v>605</v>
      </c>
    </row>
    <row r="167" spans="1:12" ht="15">
      <c r="A167" s="749" t="s">
        <v>3160</v>
      </c>
      <c r="B167" s="1" t="s">
        <v>225</v>
      </c>
      <c r="C167" s="1121" t="s">
        <v>442</v>
      </c>
      <c r="D167" s="1161">
        <v>12.26</v>
      </c>
      <c r="F167" s="22">
        <v>38</v>
      </c>
      <c r="G167" s="1123">
        <v>-1E-4</v>
      </c>
      <c r="H167" s="1123">
        <v>-1E-4</v>
      </c>
      <c r="I167" s="1123">
        <v>-1E-4</v>
      </c>
      <c r="J167" s="1123">
        <v>-1E-4</v>
      </c>
      <c r="K167" s="1123">
        <v>-1E-4</v>
      </c>
      <c r="L167" s="1123">
        <v>-1E-4</v>
      </c>
    </row>
    <row r="168" spans="1:12" ht="15">
      <c r="A168" s="749" t="s">
        <v>3161</v>
      </c>
      <c r="B168" s="1" t="s">
        <v>225</v>
      </c>
      <c r="C168" s="1121" t="s">
        <v>442</v>
      </c>
      <c r="D168" s="1161">
        <v>12.26</v>
      </c>
      <c r="F168" s="22">
        <v>21.7</v>
      </c>
      <c r="G168" s="278">
        <v>643.09012345679014</v>
      </c>
      <c r="H168" s="278">
        <v>643.09012345679014</v>
      </c>
      <c r="I168" s="1123">
        <v>-1E-4</v>
      </c>
      <c r="J168" s="1123">
        <v>-1E-4</v>
      </c>
      <c r="K168" s="1123">
        <v>-1E-4</v>
      </c>
      <c r="L168" s="1123">
        <v>-1E-4</v>
      </c>
    </row>
    <row r="169" spans="1:12" ht="15">
      <c r="A169" s="1" t="s">
        <v>3146</v>
      </c>
      <c r="B169" s="1" t="s">
        <v>225</v>
      </c>
      <c r="C169" s="1121" t="s">
        <v>442</v>
      </c>
      <c r="D169" s="1161">
        <v>12.26</v>
      </c>
      <c r="F169" s="22">
        <v>34.200000000000003</v>
      </c>
      <c r="G169" s="1123">
        <v>-1E-4</v>
      </c>
      <c r="H169" s="1123">
        <v>-1E-4</v>
      </c>
      <c r="I169" s="1123">
        <v>-1E-4</v>
      </c>
      <c r="J169" s="1123">
        <v>-1E-4</v>
      </c>
      <c r="K169" s="1123">
        <v>-1E-4</v>
      </c>
      <c r="L169" s="1123">
        <v>-1E-4</v>
      </c>
    </row>
    <row r="170" spans="1:12" ht="15">
      <c r="A170" s="1" t="s">
        <v>3147</v>
      </c>
      <c r="B170" s="1" t="s">
        <v>225</v>
      </c>
      <c r="C170" s="1121" t="s">
        <v>442</v>
      </c>
      <c r="D170" s="1161">
        <v>12.26</v>
      </c>
      <c r="F170" s="22">
        <v>34.299999999999997</v>
      </c>
      <c r="G170" s="99">
        <v>748</v>
      </c>
      <c r="H170" s="99">
        <v>748</v>
      </c>
      <c r="I170" s="99">
        <v>748</v>
      </c>
      <c r="J170" s="99">
        <v>748</v>
      </c>
      <c r="K170" s="99">
        <v>748</v>
      </c>
      <c r="L170" s="99">
        <v>748</v>
      </c>
    </row>
    <row r="171" spans="1:12" ht="15">
      <c r="A171" s="1" t="s">
        <v>3175</v>
      </c>
      <c r="B171" s="1" t="s">
        <v>225</v>
      </c>
      <c r="C171" s="1121" t="s">
        <v>442</v>
      </c>
      <c r="D171" s="1161">
        <v>12.26</v>
      </c>
      <c r="F171" s="103">
        <v>41.5</v>
      </c>
      <c r="G171" s="1123">
        <v>-1E-4</v>
      </c>
      <c r="H171" s="1123">
        <v>-1E-4</v>
      </c>
      <c r="I171" s="1123">
        <v>-1E-4</v>
      </c>
      <c r="J171" s="1123">
        <v>-1E-4</v>
      </c>
      <c r="K171" s="1123">
        <v>-1E-4</v>
      </c>
      <c r="L171" s="1123">
        <v>-1E-4</v>
      </c>
    </row>
    <row r="172" spans="1:12" ht="15">
      <c r="A172" s="1" t="s">
        <v>3167</v>
      </c>
      <c r="B172" s="1" t="s">
        <v>225</v>
      </c>
      <c r="C172" s="1121" t="s">
        <v>450</v>
      </c>
      <c r="D172" s="1161">
        <v>4.9000000000000004</v>
      </c>
      <c r="F172" s="1123">
        <v>-1E-4</v>
      </c>
      <c r="G172" s="1123">
        <v>-1E-4</v>
      </c>
      <c r="H172" s="1123">
        <v>-1E-4</v>
      </c>
      <c r="I172" s="1123">
        <v>-1E-4</v>
      </c>
      <c r="J172" s="1123">
        <v>-1E-4</v>
      </c>
      <c r="K172" s="1123">
        <v>-1E-4</v>
      </c>
      <c r="L172" s="1123">
        <v>-1E-4</v>
      </c>
    </row>
    <row r="173" spans="1:12" ht="15">
      <c r="A173" s="749" t="s">
        <v>3177</v>
      </c>
      <c r="B173" s="1" t="s">
        <v>225</v>
      </c>
      <c r="C173" s="1121" t="s">
        <v>446</v>
      </c>
      <c r="D173" s="1161">
        <v>13.35</v>
      </c>
      <c r="F173" s="22">
        <v>33.299999999999997</v>
      </c>
      <c r="G173" s="278">
        <v>503.47148148148148</v>
      </c>
      <c r="H173" s="278">
        <v>503.47148148148148</v>
      </c>
      <c r="I173" s="1184">
        <v>462</v>
      </c>
      <c r="J173" s="1184">
        <v>462</v>
      </c>
      <c r="K173" s="183">
        <v>300</v>
      </c>
      <c r="L173" s="183">
        <v>300</v>
      </c>
    </row>
    <row r="174" spans="1:12" ht="15">
      <c r="A174" s="1" t="s">
        <v>1827</v>
      </c>
      <c r="B174" s="1" t="s">
        <v>225</v>
      </c>
      <c r="C174" s="1121" t="s">
        <v>450</v>
      </c>
      <c r="D174" s="1161">
        <v>4.9000000000000004</v>
      </c>
      <c r="F174" s="22">
        <v>33.299999999999997</v>
      </c>
      <c r="G174" s="1123">
        <v>-1E-4</v>
      </c>
      <c r="H174" s="1123">
        <v>-1E-4</v>
      </c>
      <c r="I174" s="1123">
        <v>-1E-4</v>
      </c>
      <c r="J174" s="1123">
        <v>-1E-4</v>
      </c>
      <c r="K174" s="1123">
        <v>-1E-4</v>
      </c>
      <c r="L174" s="1123">
        <v>-1E-4</v>
      </c>
    </row>
    <row r="175" spans="1:12" ht="15">
      <c r="A175" s="1" t="s">
        <v>3176</v>
      </c>
      <c r="B175" s="1" t="s">
        <v>225</v>
      </c>
      <c r="C175" s="1121" t="s">
        <v>446</v>
      </c>
      <c r="D175" s="1161">
        <v>13.35</v>
      </c>
      <c r="F175" s="22">
        <v>33.299999999999997</v>
      </c>
      <c r="G175" s="278">
        <v>984</v>
      </c>
      <c r="H175" s="278">
        <v>984</v>
      </c>
      <c r="I175" s="749">
        <v>1030</v>
      </c>
      <c r="J175" s="749">
        <v>1030</v>
      </c>
      <c r="K175" s="749">
        <v>1030</v>
      </c>
      <c r="L175" s="749">
        <v>1030</v>
      </c>
    </row>
    <row r="176" spans="1:12" ht="15">
      <c r="A176" s="749" t="s">
        <v>3178</v>
      </c>
      <c r="B176" s="1" t="s">
        <v>225</v>
      </c>
      <c r="C176" s="1121" t="s">
        <v>446</v>
      </c>
      <c r="D176" s="1161">
        <v>13.35</v>
      </c>
      <c r="F176" s="22">
        <v>33.299999999999997</v>
      </c>
      <c r="G176" s="183">
        <v>264</v>
      </c>
      <c r="H176" s="183">
        <v>264</v>
      </c>
      <c r="I176" s="183">
        <v>264</v>
      </c>
      <c r="J176" s="183">
        <v>264</v>
      </c>
      <c r="K176" s="183">
        <v>264</v>
      </c>
      <c r="L176" s="183">
        <v>264</v>
      </c>
    </row>
    <row r="177" spans="1:12" ht="15">
      <c r="A177" s="749" t="s">
        <v>3179</v>
      </c>
      <c r="B177" s="1" t="s">
        <v>225</v>
      </c>
      <c r="C177" s="1121" t="s">
        <v>446</v>
      </c>
      <c r="D177" s="1161">
        <v>13.35</v>
      </c>
      <c r="F177" s="22">
        <v>33.299999999999997</v>
      </c>
      <c r="G177" s="1123">
        <v>-1E-4</v>
      </c>
      <c r="H177" s="1123">
        <v>-1E-4</v>
      </c>
      <c r="I177" s="1123">
        <v>-1E-4</v>
      </c>
      <c r="J177" s="1123">
        <v>-1E-4</v>
      </c>
      <c r="K177" s="1123">
        <v>-1E-4</v>
      </c>
      <c r="L177" s="1123">
        <v>-1E-4</v>
      </c>
    </row>
    <row r="178" spans="1:12" ht="15">
      <c r="A178" s="1" t="s">
        <v>1831</v>
      </c>
      <c r="B178" s="1" t="s">
        <v>225</v>
      </c>
      <c r="C178" s="1121" t="s">
        <v>450</v>
      </c>
      <c r="D178" s="1161">
        <v>4.9000000000000004</v>
      </c>
      <c r="F178" s="22">
        <v>33.299999999999997</v>
      </c>
      <c r="G178" s="749">
        <v>500</v>
      </c>
      <c r="H178" s="749">
        <v>500</v>
      </c>
      <c r="I178" s="749">
        <v>500</v>
      </c>
      <c r="J178" s="749">
        <v>500</v>
      </c>
      <c r="K178" s="749">
        <v>500</v>
      </c>
      <c r="L178" s="749">
        <v>500</v>
      </c>
    </row>
    <row r="179" spans="1:12" ht="15">
      <c r="A179" s="749" t="s">
        <v>3180</v>
      </c>
      <c r="B179" s="1" t="s">
        <v>225</v>
      </c>
      <c r="C179" s="1121" t="s">
        <v>450</v>
      </c>
      <c r="D179" s="1161">
        <v>4.9000000000000004</v>
      </c>
      <c r="F179" s="22">
        <v>33.299999999999997</v>
      </c>
      <c r="G179" s="1123">
        <v>-1E-4</v>
      </c>
      <c r="H179" s="1123">
        <v>-1E-4</v>
      </c>
      <c r="I179" s="1123">
        <v>-1E-4</v>
      </c>
      <c r="J179" s="1123">
        <v>-1E-4</v>
      </c>
      <c r="K179" s="1123">
        <v>-1E-4</v>
      </c>
      <c r="L179" s="1123">
        <v>-1E-4</v>
      </c>
    </row>
    <row r="180" spans="1:12" ht="15">
      <c r="A180" s="749" t="s">
        <v>3181</v>
      </c>
      <c r="B180" s="1" t="s">
        <v>225</v>
      </c>
      <c r="C180" s="1121" t="s">
        <v>450</v>
      </c>
      <c r="D180" s="1161">
        <v>4.9000000000000004</v>
      </c>
      <c r="F180" s="22">
        <v>33.299999999999997</v>
      </c>
      <c r="G180" s="1123">
        <v>-1E-4</v>
      </c>
      <c r="H180" s="1123">
        <v>-1E-4</v>
      </c>
      <c r="I180" s="1123">
        <v>-1E-4</v>
      </c>
      <c r="J180" s="1123">
        <v>-1E-4</v>
      </c>
      <c r="K180" s="1123">
        <v>-1E-4</v>
      </c>
      <c r="L180" s="1123">
        <v>-1E-4</v>
      </c>
    </row>
    <row r="181" spans="1:12" ht="15">
      <c r="A181" s="749" t="s">
        <v>3182</v>
      </c>
      <c r="B181" s="1" t="s">
        <v>225</v>
      </c>
      <c r="C181" s="1121" t="s">
        <v>446</v>
      </c>
      <c r="D181" s="1161">
        <v>13.35</v>
      </c>
      <c r="F181" s="22">
        <v>33.299999999999997</v>
      </c>
      <c r="G181" s="1123">
        <v>-1E-4</v>
      </c>
      <c r="H181" s="1123">
        <v>-1E-4</v>
      </c>
      <c r="I181" s="1123">
        <v>-1E-4</v>
      </c>
      <c r="J181" s="1123">
        <v>-1E-4</v>
      </c>
      <c r="K181" s="1123">
        <v>-1E-4</v>
      </c>
      <c r="L181" s="1123">
        <v>-1E-4</v>
      </c>
    </row>
    <row r="182" spans="1:12" ht="15">
      <c r="A182" s="1" t="s">
        <v>3162</v>
      </c>
      <c r="B182" s="1" t="s">
        <v>225</v>
      </c>
      <c r="C182" s="1121" t="s">
        <v>446</v>
      </c>
      <c r="D182" s="1161">
        <v>13.35</v>
      </c>
      <c r="F182" s="1123">
        <v>-1E-4</v>
      </c>
      <c r="G182" s="1123">
        <v>-1E-4</v>
      </c>
      <c r="H182" s="1123">
        <v>-1E-4</v>
      </c>
      <c r="I182" s="1123">
        <v>-1E-4</v>
      </c>
      <c r="J182" s="1123">
        <v>-1E-4</v>
      </c>
      <c r="K182" s="1123">
        <v>-1E-4</v>
      </c>
      <c r="L182" s="1123">
        <v>-1E-4</v>
      </c>
    </row>
    <row r="183" spans="1:12" ht="15">
      <c r="A183" s="749" t="s">
        <v>3443</v>
      </c>
      <c r="B183" s="1" t="s">
        <v>225</v>
      </c>
      <c r="C183" s="1153"/>
      <c r="D183" s="1161">
        <v>10.65</v>
      </c>
      <c r="F183" s="22">
        <v>23.7</v>
      </c>
      <c r="G183" s="183">
        <v>440.00000000000006</v>
      </c>
      <c r="H183" s="183">
        <v>440.00000000000006</v>
      </c>
      <c r="I183" s="1184">
        <v>627</v>
      </c>
      <c r="J183" s="1184">
        <v>627</v>
      </c>
      <c r="K183" s="183">
        <v>440.00000000000006</v>
      </c>
      <c r="L183" s="183">
        <v>440.00000000000006</v>
      </c>
    </row>
    <row r="184" spans="1:12" ht="15">
      <c r="A184" s="1" t="s">
        <v>91</v>
      </c>
      <c r="B184" s="1" t="s">
        <v>225</v>
      </c>
      <c r="C184" s="1121" t="s">
        <v>450</v>
      </c>
      <c r="D184" s="1161">
        <v>4.9000000000000004</v>
      </c>
      <c r="F184" s="1123">
        <v>-1E-4</v>
      </c>
      <c r="G184" s="1123">
        <v>-1E-4</v>
      </c>
      <c r="H184" s="1123">
        <v>-1E-4</v>
      </c>
      <c r="I184" s="1123">
        <v>-1E-4</v>
      </c>
      <c r="J184" s="1123">
        <v>-1E-4</v>
      </c>
      <c r="K184" s="1123">
        <v>-1E-4</v>
      </c>
      <c r="L184" s="1123">
        <v>-1E-4</v>
      </c>
    </row>
    <row r="185" spans="1:12" ht="15">
      <c r="A185" s="1" t="s">
        <v>1835</v>
      </c>
      <c r="B185" s="1" t="s">
        <v>225</v>
      </c>
      <c r="C185" s="1121" t="s">
        <v>447</v>
      </c>
      <c r="D185" s="1161">
        <v>3.12</v>
      </c>
      <c r="F185" s="103">
        <v>41.5</v>
      </c>
      <c r="G185" s="1123">
        <v>-1E-4</v>
      </c>
      <c r="H185" s="1123">
        <v>-1E-4</v>
      </c>
      <c r="I185" s="1123">
        <v>-1E-4</v>
      </c>
      <c r="J185" s="1123">
        <v>-1E-4</v>
      </c>
      <c r="K185" s="1123">
        <v>-1E-4</v>
      </c>
      <c r="L185" s="1123">
        <v>-1E-4</v>
      </c>
    </row>
    <row r="186" spans="1:12" ht="15">
      <c r="A186" s="749" t="s">
        <v>3148</v>
      </c>
      <c r="B186" s="1" t="s">
        <v>225</v>
      </c>
      <c r="C186" s="1121" t="s">
        <v>443</v>
      </c>
      <c r="D186" s="1183">
        <v>3.27</v>
      </c>
      <c r="F186" s="22">
        <v>39.799999999999997</v>
      </c>
      <c r="G186" s="278">
        <v>297.99</v>
      </c>
      <c r="H186" s="278">
        <v>297.99</v>
      </c>
      <c r="I186" s="183">
        <v>231.00000000000003</v>
      </c>
      <c r="J186" s="183">
        <v>231.00000000000003</v>
      </c>
      <c r="K186" s="183">
        <v>231.00000000000003</v>
      </c>
      <c r="L186" s="183">
        <v>231.00000000000003</v>
      </c>
    </row>
    <row r="187" spans="1:12" ht="15">
      <c r="A187" s="1" t="s">
        <v>3169</v>
      </c>
      <c r="B187" s="1" t="s">
        <v>225</v>
      </c>
      <c r="C187" s="1173" t="s">
        <v>452</v>
      </c>
      <c r="D187" s="1161">
        <v>13.35</v>
      </c>
      <c r="F187" s="1123">
        <v>-1E-4</v>
      </c>
      <c r="G187" s="1123">
        <v>-1E-4</v>
      </c>
      <c r="H187" s="1123">
        <v>-1E-4</v>
      </c>
      <c r="I187" s="1123">
        <v>-1E-4</v>
      </c>
      <c r="J187" s="1123">
        <v>-1E-4</v>
      </c>
      <c r="K187" s="1123">
        <v>-1E-4</v>
      </c>
      <c r="L187" s="1123">
        <v>-1E-4</v>
      </c>
    </row>
    <row r="188" spans="1:12" ht="15">
      <c r="A188" s="1" t="s">
        <v>1837</v>
      </c>
      <c r="B188" s="1" t="s">
        <v>225</v>
      </c>
      <c r="C188" s="1121" t="s">
        <v>447</v>
      </c>
      <c r="D188" s="1161">
        <v>3.12</v>
      </c>
      <c r="F188" s="1123">
        <v>-1E-4</v>
      </c>
      <c r="G188" s="749">
        <v>650</v>
      </c>
      <c r="H188" s="749">
        <v>650</v>
      </c>
      <c r="I188" s="749">
        <v>650</v>
      </c>
      <c r="J188" s="749">
        <v>650</v>
      </c>
      <c r="K188" s="749">
        <v>650</v>
      </c>
      <c r="L188" s="749">
        <v>650</v>
      </c>
    </row>
    <row r="189" spans="1:12" ht="15">
      <c r="A189" s="749" t="s">
        <v>3163</v>
      </c>
      <c r="B189" s="1" t="s">
        <v>225</v>
      </c>
      <c r="C189" s="1121" t="s">
        <v>443</v>
      </c>
      <c r="D189" s="1183">
        <v>3.27</v>
      </c>
      <c r="F189" s="22">
        <v>39.799999999999997</v>
      </c>
      <c r="G189" s="278">
        <v>297.99</v>
      </c>
      <c r="H189" s="278">
        <v>297.99</v>
      </c>
      <c r="I189" s="183">
        <v>231.00000000000003</v>
      </c>
      <c r="J189" s="183">
        <v>231.00000000000003</v>
      </c>
      <c r="K189" s="183">
        <v>231.00000000000003</v>
      </c>
      <c r="L189" s="183">
        <v>231.00000000000003</v>
      </c>
    </row>
    <row r="190" spans="1:12" ht="15">
      <c r="A190" s="749" t="s">
        <v>3149</v>
      </c>
      <c r="B190" s="1" t="s">
        <v>225</v>
      </c>
      <c r="C190" s="1121" t="s">
        <v>443</v>
      </c>
      <c r="D190" s="1183">
        <v>3.27</v>
      </c>
      <c r="F190" s="22">
        <v>39.799999999999997</v>
      </c>
      <c r="G190" s="278">
        <v>297.99</v>
      </c>
      <c r="H190" s="278">
        <v>297.99</v>
      </c>
      <c r="I190" s="183">
        <v>231.00000000000003</v>
      </c>
      <c r="J190" s="183">
        <v>231.00000000000003</v>
      </c>
      <c r="K190" s="183">
        <v>231.00000000000003</v>
      </c>
      <c r="L190" s="183">
        <v>231.00000000000003</v>
      </c>
    </row>
    <row r="191" spans="1:12" ht="15">
      <c r="A191" s="1" t="s">
        <v>3465</v>
      </c>
      <c r="B191" s="1" t="s">
        <v>225</v>
      </c>
      <c r="C191" s="1121" t="s">
        <v>447</v>
      </c>
      <c r="D191" s="1161">
        <v>3.12</v>
      </c>
      <c r="F191" s="1123">
        <v>-1E-4</v>
      </c>
      <c r="G191" s="1123">
        <v>-1E-4</v>
      </c>
      <c r="H191" s="1123">
        <v>-1E-4</v>
      </c>
      <c r="I191" s="1123">
        <v>-1E-4</v>
      </c>
      <c r="J191" s="1123">
        <v>-1E-4</v>
      </c>
      <c r="K191" s="1123">
        <v>-1E-4</v>
      </c>
      <c r="L191" s="1123">
        <v>-1E-4</v>
      </c>
    </row>
    <row r="192" spans="1:12" ht="15">
      <c r="A192" s="1" t="s">
        <v>3150</v>
      </c>
      <c r="B192" s="1" t="s">
        <v>225</v>
      </c>
      <c r="C192" s="1121" t="s">
        <v>443</v>
      </c>
      <c r="D192" s="1183">
        <v>3.27</v>
      </c>
      <c r="F192" s="22">
        <v>22.2</v>
      </c>
      <c r="G192" s="22">
        <v>283.5</v>
      </c>
      <c r="H192" s="22">
        <v>283.5</v>
      </c>
      <c r="I192" s="1169">
        <v>264</v>
      </c>
      <c r="J192" s="1169">
        <v>264</v>
      </c>
      <c r="K192" s="22">
        <v>283.5</v>
      </c>
      <c r="L192" s="22">
        <v>283.5</v>
      </c>
    </row>
    <row r="193" spans="1:14" ht="15">
      <c r="A193" s="1" t="s">
        <v>3151</v>
      </c>
      <c r="B193" s="1" t="s">
        <v>225</v>
      </c>
      <c r="C193" s="1121" t="s">
        <v>443</v>
      </c>
      <c r="D193" s="1183">
        <v>3.27</v>
      </c>
      <c r="F193" s="22">
        <v>22.2</v>
      </c>
      <c r="G193" s="183">
        <v>275</v>
      </c>
      <c r="H193" s="183">
        <v>275</v>
      </c>
      <c r="I193" s="1184">
        <v>264</v>
      </c>
      <c r="J193" s="1184">
        <v>264</v>
      </c>
      <c r="K193" s="183">
        <v>275</v>
      </c>
      <c r="L193" s="183">
        <v>275</v>
      </c>
    </row>
    <row r="194" spans="1:14" ht="15">
      <c r="A194" s="1" t="s">
        <v>3444</v>
      </c>
      <c r="B194" s="1" t="s">
        <v>225</v>
      </c>
      <c r="C194" s="1121" t="s">
        <v>443</v>
      </c>
      <c r="D194" s="1183">
        <v>3.27</v>
      </c>
      <c r="F194" s="22">
        <v>22.2</v>
      </c>
      <c r="G194" s="183">
        <v>275</v>
      </c>
      <c r="H194" s="183">
        <v>275</v>
      </c>
      <c r="I194" s="1184">
        <v>264</v>
      </c>
      <c r="J194" s="1184">
        <v>264</v>
      </c>
      <c r="K194" s="183">
        <v>275</v>
      </c>
      <c r="L194" s="183">
        <v>275</v>
      </c>
    </row>
    <row r="195" spans="1:14" ht="15">
      <c r="A195" s="1" t="s">
        <v>1872</v>
      </c>
      <c r="B195" s="1" t="s">
        <v>225</v>
      </c>
      <c r="C195" s="1121" t="s">
        <v>450</v>
      </c>
      <c r="D195" s="1161">
        <v>4.9000000000000004</v>
      </c>
      <c r="F195" s="1123">
        <v>-1E-4</v>
      </c>
      <c r="G195" s="1123">
        <v>-1E-4</v>
      </c>
      <c r="H195" s="1123">
        <v>-1E-4</v>
      </c>
      <c r="I195" s="1123">
        <v>-1E-4</v>
      </c>
      <c r="J195" s="1123">
        <v>-1E-4</v>
      </c>
      <c r="K195" s="1123">
        <v>-1E-4</v>
      </c>
      <c r="L195" s="1123">
        <v>-1E-4</v>
      </c>
    </row>
    <row r="196" spans="1:14" ht="15">
      <c r="A196" s="1" t="s">
        <v>1873</v>
      </c>
      <c r="B196" s="1" t="s">
        <v>225</v>
      </c>
      <c r="C196" s="1121" t="s">
        <v>450</v>
      </c>
      <c r="D196" s="1161">
        <v>4.9000000000000004</v>
      </c>
      <c r="F196" s="1123">
        <v>-1E-4</v>
      </c>
      <c r="G196" s="1123">
        <v>-1E-4</v>
      </c>
      <c r="H196" s="1123">
        <v>-1E-4</v>
      </c>
      <c r="I196" s="1123">
        <v>-1E-4</v>
      </c>
      <c r="J196" s="1123">
        <v>-1E-4</v>
      </c>
      <c r="K196" s="1123">
        <v>-1E-4</v>
      </c>
      <c r="L196" s="1123">
        <v>-1E-4</v>
      </c>
    </row>
    <row r="197" spans="1:14" ht="15">
      <c r="A197" s="1" t="s">
        <v>1839</v>
      </c>
      <c r="B197" s="1" t="s">
        <v>225</v>
      </c>
      <c r="C197" s="1121" t="s">
        <v>451</v>
      </c>
      <c r="D197" s="1161">
        <v>4.12</v>
      </c>
      <c r="F197" s="1123">
        <v>-1E-4</v>
      </c>
      <c r="G197" s="1123">
        <v>-1E-4</v>
      </c>
      <c r="H197" s="1123">
        <v>-1E-4</v>
      </c>
      <c r="I197" s="1123">
        <v>-1E-4</v>
      </c>
      <c r="J197" s="1123">
        <v>-1E-4</v>
      </c>
      <c r="K197" s="1123">
        <v>-1E-4</v>
      </c>
      <c r="L197" s="1123">
        <v>-1E-4</v>
      </c>
      <c r="N197" s="1"/>
    </row>
    <row r="198" spans="1:14" ht="15">
      <c r="A198" s="749" t="s">
        <v>3184</v>
      </c>
      <c r="B198" s="1" t="s">
        <v>225</v>
      </c>
      <c r="C198" s="1121" t="s">
        <v>450</v>
      </c>
      <c r="D198" s="1161">
        <v>4.9000000000000004</v>
      </c>
      <c r="F198" s="22">
        <v>43.7</v>
      </c>
      <c r="G198" s="183">
        <v>348</v>
      </c>
      <c r="H198" s="183">
        <v>348</v>
      </c>
      <c r="I198" s="183">
        <v>348</v>
      </c>
      <c r="J198" s="183">
        <v>348</v>
      </c>
      <c r="K198" s="183">
        <v>348</v>
      </c>
      <c r="L198" s="183">
        <v>348</v>
      </c>
    </row>
    <row r="199" spans="1:14" ht="15">
      <c r="A199" s="749" t="s">
        <v>3185</v>
      </c>
      <c r="B199" s="1" t="s">
        <v>225</v>
      </c>
      <c r="C199" s="1121" t="s">
        <v>450</v>
      </c>
      <c r="D199" s="1161">
        <v>4.9000000000000004</v>
      </c>
      <c r="F199" s="22">
        <v>43.7</v>
      </c>
      <c r="G199" s="278">
        <v>487.2</v>
      </c>
      <c r="H199" s="278">
        <v>487.2</v>
      </c>
      <c r="I199" s="1123">
        <v>-1E-4</v>
      </c>
      <c r="J199" s="1123">
        <v>-1E-4</v>
      </c>
      <c r="K199" s="1123">
        <v>-1E-4</v>
      </c>
      <c r="L199" s="1123">
        <v>-1E-4</v>
      </c>
    </row>
    <row r="200" spans="1:14" ht="15">
      <c r="A200" s="749" t="s">
        <v>3186</v>
      </c>
      <c r="B200" s="1" t="s">
        <v>225</v>
      </c>
      <c r="C200" s="1121" t="s">
        <v>450</v>
      </c>
      <c r="D200" s="1161">
        <v>4.9000000000000004</v>
      </c>
      <c r="F200" s="22">
        <v>43.7</v>
      </c>
      <c r="G200" s="278">
        <v>487.2</v>
      </c>
      <c r="H200" s="278">
        <v>487.2</v>
      </c>
      <c r="I200" s="1123">
        <v>-1E-4</v>
      </c>
      <c r="J200" s="1123">
        <v>-1E-4</v>
      </c>
      <c r="K200" s="1123">
        <v>-1E-4</v>
      </c>
      <c r="L200" s="1123">
        <v>-1E-4</v>
      </c>
    </row>
    <row r="201" spans="1:14" ht="15">
      <c r="A201" s="1" t="s">
        <v>3469</v>
      </c>
      <c r="B201" s="1" t="s">
        <v>225</v>
      </c>
      <c r="C201" s="1121" t="s">
        <v>450</v>
      </c>
      <c r="D201" s="1161">
        <v>4.9000000000000004</v>
      </c>
      <c r="F201" s="22">
        <v>43.7</v>
      </c>
      <c r="G201" s="749">
        <v>690</v>
      </c>
      <c r="H201" s="749">
        <v>690</v>
      </c>
      <c r="I201" s="749">
        <v>690</v>
      </c>
      <c r="J201" s="749">
        <v>690</v>
      </c>
      <c r="K201" s="749">
        <v>690</v>
      </c>
      <c r="L201" s="749">
        <v>690</v>
      </c>
    </row>
    <row r="202" spans="1:14" ht="15">
      <c r="A202" s="1" t="s">
        <v>3187</v>
      </c>
      <c r="B202" s="1" t="s">
        <v>225</v>
      </c>
      <c r="C202" s="1121" t="s">
        <v>450</v>
      </c>
      <c r="D202" s="1161">
        <v>4.9000000000000004</v>
      </c>
      <c r="F202" s="1123">
        <v>-1E-4</v>
      </c>
      <c r="G202" s="749">
        <v>1200</v>
      </c>
      <c r="H202" s="749">
        <v>1200</v>
      </c>
      <c r="I202" s="749">
        <v>1200</v>
      </c>
      <c r="J202" s="749">
        <v>1200</v>
      </c>
      <c r="K202" s="749">
        <v>1200</v>
      </c>
      <c r="L202" s="749">
        <v>1200</v>
      </c>
    </row>
    <row r="203" spans="1:14" ht="15">
      <c r="A203" s="749" t="s">
        <v>3188</v>
      </c>
      <c r="B203" s="1" t="s">
        <v>225</v>
      </c>
      <c r="C203" s="1121" t="s">
        <v>450</v>
      </c>
      <c r="D203" s="1161">
        <v>4.9000000000000004</v>
      </c>
      <c r="F203" s="1123">
        <v>-1E-4</v>
      </c>
      <c r="G203" s="1123">
        <v>-1E-4</v>
      </c>
      <c r="H203" s="1123">
        <v>-1E-4</v>
      </c>
      <c r="I203" s="1123">
        <v>-1E-4</v>
      </c>
      <c r="J203" s="1123">
        <v>-1E-4</v>
      </c>
      <c r="K203" s="1123">
        <v>-1E-4</v>
      </c>
      <c r="L203" s="1123">
        <v>-1E-4</v>
      </c>
    </row>
    <row r="204" spans="1:14" ht="15">
      <c r="A204" s="749" t="s">
        <v>3189</v>
      </c>
      <c r="B204" s="1" t="s">
        <v>225</v>
      </c>
      <c r="C204" s="1121" t="s">
        <v>450</v>
      </c>
      <c r="D204" s="1161">
        <v>4.9000000000000004</v>
      </c>
      <c r="F204" s="1123">
        <v>-1E-4</v>
      </c>
      <c r="G204" s="749">
        <v>790</v>
      </c>
      <c r="H204" s="749">
        <v>790</v>
      </c>
      <c r="I204" s="749">
        <v>790</v>
      </c>
      <c r="J204" s="749">
        <v>790</v>
      </c>
      <c r="K204" s="749">
        <v>790</v>
      </c>
      <c r="L204" s="749">
        <v>790</v>
      </c>
    </row>
    <row r="205" spans="1:14" ht="15">
      <c r="A205" s="1" t="s">
        <v>3170</v>
      </c>
      <c r="B205" s="1" t="s">
        <v>225</v>
      </c>
      <c r="C205" s="1121" t="s">
        <v>450</v>
      </c>
      <c r="D205" s="1161">
        <v>4.9000000000000004</v>
      </c>
      <c r="F205" s="1123">
        <v>-1E-4</v>
      </c>
      <c r="G205" s="749">
        <v>801</v>
      </c>
      <c r="H205" s="749">
        <v>801</v>
      </c>
      <c r="I205" s="749">
        <v>801</v>
      </c>
      <c r="J205" s="749">
        <v>801</v>
      </c>
      <c r="K205" s="749">
        <v>801</v>
      </c>
      <c r="L205" s="749">
        <v>801</v>
      </c>
    </row>
    <row r="206" spans="1:14" ht="15">
      <c r="A206" s="749" t="s">
        <v>3470</v>
      </c>
      <c r="B206" s="1" t="s">
        <v>225</v>
      </c>
      <c r="C206" s="1121" t="s">
        <v>450</v>
      </c>
      <c r="D206" s="1161">
        <v>4.9000000000000004</v>
      </c>
      <c r="F206" s="1123">
        <v>-1E-4</v>
      </c>
      <c r="G206" s="749">
        <v>801</v>
      </c>
      <c r="H206" s="749">
        <v>801</v>
      </c>
      <c r="I206" s="749">
        <v>801</v>
      </c>
      <c r="J206" s="749">
        <v>801</v>
      </c>
      <c r="K206" s="749">
        <v>801</v>
      </c>
      <c r="L206" s="749">
        <v>801</v>
      </c>
    </row>
    <row r="207" spans="1:14" ht="15">
      <c r="A207" s="749" t="s">
        <v>3191</v>
      </c>
      <c r="B207" s="1" t="s">
        <v>225</v>
      </c>
      <c r="C207" s="1173" t="s">
        <v>452</v>
      </c>
      <c r="D207" s="1161">
        <v>13.35</v>
      </c>
      <c r="F207" s="1123">
        <v>-1E-4</v>
      </c>
      <c r="G207" s="278">
        <v>504</v>
      </c>
      <c r="H207" s="278">
        <v>504</v>
      </c>
      <c r="I207" s="183">
        <v>420</v>
      </c>
      <c r="J207" s="183">
        <v>420</v>
      </c>
      <c r="K207" s="183">
        <v>420</v>
      </c>
      <c r="L207" s="183">
        <v>420</v>
      </c>
    </row>
    <row r="208" spans="1:14" ht="15">
      <c r="A208" s="749" t="s">
        <v>3192</v>
      </c>
      <c r="B208" s="1" t="s">
        <v>225</v>
      </c>
      <c r="C208" s="1121" t="s">
        <v>450</v>
      </c>
      <c r="D208" s="1161">
        <v>4.9000000000000004</v>
      </c>
      <c r="F208" s="1123">
        <v>-1E-4</v>
      </c>
      <c r="G208" s="183">
        <v>264</v>
      </c>
      <c r="H208" s="183">
        <v>264</v>
      </c>
      <c r="I208" s="1184">
        <v>420</v>
      </c>
      <c r="J208" s="1184">
        <v>420</v>
      </c>
      <c r="K208" s="183">
        <v>264</v>
      </c>
      <c r="L208" s="183">
        <v>264</v>
      </c>
    </row>
    <row r="209" spans="1:12" ht="15">
      <c r="A209" s="749" t="s">
        <v>3193</v>
      </c>
      <c r="B209" s="1" t="s">
        <v>225</v>
      </c>
      <c r="C209" s="1121" t="s">
        <v>450</v>
      </c>
      <c r="D209" s="1161">
        <v>4.9000000000000004</v>
      </c>
      <c r="F209" s="22">
        <v>63.6</v>
      </c>
      <c r="G209" s="278">
        <v>441.12592592592591</v>
      </c>
      <c r="H209" s="278">
        <v>441.12592592592591</v>
      </c>
      <c r="I209" s="1184">
        <v>384</v>
      </c>
      <c r="J209" s="1184">
        <v>384</v>
      </c>
      <c r="K209" s="183">
        <v>300</v>
      </c>
      <c r="L209" s="183">
        <v>300</v>
      </c>
    </row>
    <row r="210" spans="1:12" ht="15">
      <c r="A210" s="749" t="s">
        <v>3164</v>
      </c>
      <c r="B210" s="1" t="s">
        <v>225</v>
      </c>
      <c r="C210" s="1121" t="s">
        <v>444</v>
      </c>
      <c r="D210" s="1161">
        <v>9.0399999999999991</v>
      </c>
      <c r="F210" s="22">
        <v>31.6</v>
      </c>
      <c r="G210" s="1123">
        <v>-1E-4</v>
      </c>
      <c r="H210" s="1123">
        <v>-1E-4</v>
      </c>
      <c r="I210" s="1123">
        <v>-1E-4</v>
      </c>
      <c r="J210" s="1123">
        <v>-1E-4</v>
      </c>
      <c r="K210" s="1123">
        <v>-1E-4</v>
      </c>
      <c r="L210" s="1123">
        <v>-1E-4</v>
      </c>
    </row>
    <row r="211" spans="1:12" ht="15">
      <c r="A211" s="1" t="s">
        <v>3153</v>
      </c>
      <c r="B211" s="1" t="s">
        <v>225</v>
      </c>
      <c r="C211" s="1121" t="s">
        <v>444</v>
      </c>
      <c r="D211" s="1161">
        <v>9.0399999999999991</v>
      </c>
      <c r="F211" s="22">
        <v>31.6</v>
      </c>
      <c r="G211" s="1123">
        <v>-1E-4</v>
      </c>
      <c r="H211" s="1123">
        <v>-1E-4</v>
      </c>
      <c r="I211" s="1123">
        <v>-1E-4</v>
      </c>
      <c r="J211" s="1123">
        <v>-1E-4</v>
      </c>
      <c r="K211" s="1123">
        <v>-1E-4</v>
      </c>
      <c r="L211" s="1123">
        <v>-1E-4</v>
      </c>
    </row>
    <row r="212" spans="1:12" ht="15">
      <c r="A212" s="1" t="s">
        <v>3154</v>
      </c>
      <c r="B212" s="1" t="s">
        <v>225</v>
      </c>
      <c r="C212" s="1121" t="s">
        <v>444</v>
      </c>
      <c r="D212" s="1161">
        <v>9.0399999999999991</v>
      </c>
      <c r="F212" s="22">
        <v>31.6</v>
      </c>
      <c r="G212" s="1123">
        <v>-1E-4</v>
      </c>
      <c r="H212" s="1123">
        <v>-1E-4</v>
      </c>
      <c r="I212" s="1123">
        <v>-1E-4</v>
      </c>
      <c r="J212" s="1123">
        <v>-1E-4</v>
      </c>
      <c r="K212" s="1123">
        <v>-1E-4</v>
      </c>
      <c r="L212" s="1123">
        <v>-1E-4</v>
      </c>
    </row>
    <row r="213" spans="1:12" ht="15">
      <c r="A213" s="1" t="s">
        <v>3171</v>
      </c>
      <c r="B213" s="1" t="s">
        <v>225</v>
      </c>
      <c r="C213" s="1121" t="s">
        <v>444</v>
      </c>
      <c r="D213" s="1161">
        <v>9.0399999999999991</v>
      </c>
      <c r="F213" s="1123">
        <v>-1E-4</v>
      </c>
      <c r="G213" s="1123">
        <v>-1E-4</v>
      </c>
      <c r="H213" s="1123">
        <v>-1E-4</v>
      </c>
      <c r="I213" s="1123">
        <v>-1E-4</v>
      </c>
      <c r="J213" s="1123">
        <v>-1E-4</v>
      </c>
      <c r="K213" s="1123">
        <v>-1E-4</v>
      </c>
      <c r="L213" s="1123">
        <v>-1E-4</v>
      </c>
    </row>
    <row r="214" spans="1:12" ht="15">
      <c r="A214" s="1" t="s">
        <v>3466</v>
      </c>
      <c r="B214" s="1" t="s">
        <v>225</v>
      </c>
      <c r="C214" s="1121" t="s">
        <v>444</v>
      </c>
      <c r="D214" s="1161">
        <v>9.0399999999999991</v>
      </c>
      <c r="F214" s="103">
        <v>41.5</v>
      </c>
      <c r="G214" s="749">
        <v>600</v>
      </c>
      <c r="H214" s="749">
        <v>600</v>
      </c>
      <c r="I214" s="749">
        <v>600</v>
      </c>
      <c r="J214" s="749">
        <v>600</v>
      </c>
      <c r="K214" s="749">
        <v>600</v>
      </c>
      <c r="L214" s="749">
        <v>600</v>
      </c>
    </row>
    <row r="215" spans="1:12" ht="15">
      <c r="A215" s="1" t="s">
        <v>3155</v>
      </c>
      <c r="B215" s="1" t="s">
        <v>225</v>
      </c>
      <c r="C215" s="1121" t="s">
        <v>444</v>
      </c>
      <c r="D215" s="1161">
        <v>9.0399999999999991</v>
      </c>
      <c r="F215" s="22">
        <v>36.9</v>
      </c>
      <c r="G215" s="278">
        <v>539.14013888888883</v>
      </c>
      <c r="H215" s="278">
        <v>539.14013888888883</v>
      </c>
      <c r="I215" s="1184">
        <v>616</v>
      </c>
      <c r="J215" s="1184">
        <v>616</v>
      </c>
      <c r="K215" s="183">
        <v>352</v>
      </c>
      <c r="L215" s="183">
        <v>352</v>
      </c>
    </row>
    <row r="216" spans="1:12" ht="15">
      <c r="A216" s="749" t="s">
        <v>3441</v>
      </c>
      <c r="B216" s="1" t="s">
        <v>225</v>
      </c>
      <c r="C216" s="1121" t="s">
        <v>444</v>
      </c>
      <c r="D216" s="1161">
        <v>9.0399999999999991</v>
      </c>
      <c r="F216" s="22">
        <v>36.9</v>
      </c>
      <c r="G216" s="278">
        <v>539.14013888888883</v>
      </c>
      <c r="H216" s="278">
        <v>539.14013888888883</v>
      </c>
      <c r="I216" s="1184">
        <v>616</v>
      </c>
      <c r="J216" s="1184">
        <v>616</v>
      </c>
      <c r="K216" s="183">
        <v>352</v>
      </c>
      <c r="L216" s="183">
        <v>352</v>
      </c>
    </row>
    <row r="217" spans="1:12" ht="15">
      <c r="A217" s="1" t="s">
        <v>3156</v>
      </c>
      <c r="B217" s="1" t="s">
        <v>225</v>
      </c>
      <c r="C217" s="1121" t="s">
        <v>444</v>
      </c>
      <c r="D217" s="1161">
        <v>9.0399999999999991</v>
      </c>
      <c r="F217" s="22">
        <v>31.6</v>
      </c>
      <c r="G217" s="278">
        <v>566.87407407407409</v>
      </c>
      <c r="H217" s="278">
        <v>566.87407407407409</v>
      </c>
      <c r="I217" s="1123">
        <v>-1E-4</v>
      </c>
      <c r="J217" s="1123">
        <v>-1E-4</v>
      </c>
      <c r="K217" s="1123">
        <v>-1E-4</v>
      </c>
      <c r="L217" s="1123">
        <v>-1E-4</v>
      </c>
    </row>
    <row r="218" spans="1:12" ht="15">
      <c r="A218" s="1" t="s">
        <v>3194</v>
      </c>
      <c r="B218" s="1" t="s">
        <v>225</v>
      </c>
      <c r="C218" s="1121" t="s">
        <v>444</v>
      </c>
      <c r="D218" s="1161">
        <v>9.0399999999999991</v>
      </c>
      <c r="F218" s="22">
        <v>54.06</v>
      </c>
      <c r="G218" s="278">
        <v>1663.2</v>
      </c>
      <c r="H218" s="278">
        <v>1663.2</v>
      </c>
      <c r="I218" s="183">
        <v>780</v>
      </c>
      <c r="J218" s="183">
        <v>780</v>
      </c>
      <c r="K218" s="183">
        <v>780</v>
      </c>
      <c r="L218" s="183">
        <v>780</v>
      </c>
    </row>
    <row r="219" spans="1:12" ht="15">
      <c r="A219" s="1" t="s">
        <v>3157</v>
      </c>
      <c r="B219" s="1" t="s">
        <v>225</v>
      </c>
      <c r="C219" s="1121" t="s">
        <v>444</v>
      </c>
      <c r="D219" s="1161">
        <v>9.0399999999999991</v>
      </c>
      <c r="F219" s="22">
        <v>28.5</v>
      </c>
      <c r="G219" s="279">
        <v>526.67999999999995</v>
      </c>
      <c r="H219" s="279">
        <v>526.67999999999995</v>
      </c>
      <c r="I219" s="183">
        <v>330</v>
      </c>
      <c r="J219" s="183">
        <v>330</v>
      </c>
      <c r="K219" s="183">
        <v>330</v>
      </c>
      <c r="L219" s="183">
        <v>330</v>
      </c>
    </row>
    <row r="220" spans="1:12" ht="15">
      <c r="A220" s="1" t="s">
        <v>3195</v>
      </c>
      <c r="B220" s="1" t="s">
        <v>225</v>
      </c>
      <c r="C220" s="1121" t="s">
        <v>450</v>
      </c>
      <c r="D220" s="1161">
        <v>4.9000000000000004</v>
      </c>
      <c r="F220" s="1185">
        <v>25</v>
      </c>
      <c r="G220" s="1123">
        <v>-1E-4</v>
      </c>
      <c r="H220" s="1123">
        <v>-1E-4</v>
      </c>
      <c r="I220" s="1123">
        <v>-1E-4</v>
      </c>
      <c r="J220" s="1123">
        <v>-1E-4</v>
      </c>
      <c r="K220" s="1123">
        <v>-1E-4</v>
      </c>
      <c r="L220" s="1123">
        <v>-1E-4</v>
      </c>
    </row>
    <row r="221" spans="1:12" ht="15">
      <c r="A221" s="491" t="s">
        <v>3511</v>
      </c>
      <c r="B221" s="1" t="s">
        <v>226</v>
      </c>
      <c r="C221" s="1121" t="s">
        <v>449</v>
      </c>
      <c r="D221" s="1161">
        <v>4.5999999999999996</v>
      </c>
      <c r="F221" s="22">
        <v>33.299999999999997</v>
      </c>
      <c r="G221" s="183">
        <v>228</v>
      </c>
      <c r="H221" s="183">
        <v>228</v>
      </c>
      <c r="I221" s="1184">
        <v>240</v>
      </c>
      <c r="J221" s="1184">
        <v>240</v>
      </c>
      <c r="K221" s="183">
        <v>228</v>
      </c>
      <c r="L221" s="183">
        <v>228</v>
      </c>
    </row>
    <row r="222" spans="1:12" ht="15">
      <c r="A222" s="491" t="s">
        <v>3510</v>
      </c>
      <c r="B222" s="1" t="s">
        <v>225</v>
      </c>
      <c r="C222" s="1121" t="s">
        <v>447</v>
      </c>
      <c r="D222" s="1161">
        <v>3.12</v>
      </c>
      <c r="F222" s="22">
        <v>33.299999999999997</v>
      </c>
      <c r="G222" s="749">
        <v>1475</v>
      </c>
      <c r="H222" s="749">
        <v>1475</v>
      </c>
      <c r="I222" s="749">
        <v>1475</v>
      </c>
      <c r="J222" s="749">
        <v>1475</v>
      </c>
      <c r="K222" s="749">
        <v>1475</v>
      </c>
      <c r="L222" s="749">
        <v>1475</v>
      </c>
    </row>
    <row r="223" spans="1:12" ht="15">
      <c r="A223" s="492" t="s">
        <v>3512</v>
      </c>
      <c r="B223" s="24" t="s">
        <v>225</v>
      </c>
      <c r="C223" s="1121" t="s">
        <v>449</v>
      </c>
      <c r="D223" s="1161">
        <v>4.5999999999999996</v>
      </c>
      <c r="F223" s="22">
        <v>33.299999999999997</v>
      </c>
      <c r="G223" s="1123">
        <v>-1E-4</v>
      </c>
      <c r="H223" s="1123">
        <v>-1E-4</v>
      </c>
      <c r="I223" s="1169">
        <v>240</v>
      </c>
      <c r="J223" s="1169">
        <v>240</v>
      </c>
      <c r="K223" s="1123">
        <v>-1E-4</v>
      </c>
      <c r="L223" s="1123">
        <v>-1E-4</v>
      </c>
    </row>
    <row r="224" spans="1:12" ht="15">
      <c r="A224" s="1" t="s">
        <v>3198</v>
      </c>
      <c r="B224" s="1" t="s">
        <v>227</v>
      </c>
      <c r="C224" s="1121" t="s">
        <v>448</v>
      </c>
      <c r="D224" s="1161">
        <v>4.5999999999999996</v>
      </c>
      <c r="F224" s="22">
        <v>21.3</v>
      </c>
      <c r="G224" s="183">
        <v>247.77599999999998</v>
      </c>
      <c r="H224" s="183">
        <v>247.77599999999998</v>
      </c>
      <c r="I224" s="183">
        <v>247.77599999999998</v>
      </c>
      <c r="J224" s="183">
        <v>247.77599999999998</v>
      </c>
      <c r="K224" s="183">
        <v>247.77599999999998</v>
      </c>
      <c r="L224" s="183">
        <v>247.77599999999998</v>
      </c>
    </row>
    <row r="225" spans="1:13" ht="15">
      <c r="A225" s="749" t="s">
        <v>3199</v>
      </c>
      <c r="B225" s="1" t="s">
        <v>227</v>
      </c>
      <c r="C225" s="1121" t="s">
        <v>448</v>
      </c>
      <c r="D225" s="1161">
        <v>4.5999999999999996</v>
      </c>
      <c r="F225" s="1123">
        <v>-1E-4</v>
      </c>
      <c r="G225" s="278">
        <v>774.14400000000012</v>
      </c>
      <c r="H225" s="278">
        <v>774.14400000000012</v>
      </c>
      <c r="I225" s="179">
        <v>635.04</v>
      </c>
      <c r="J225" s="179">
        <v>635.04</v>
      </c>
      <c r="K225" s="179">
        <v>635.04</v>
      </c>
      <c r="L225" s="179">
        <v>635.04</v>
      </c>
    </row>
    <row r="226" spans="1:13" ht="15">
      <c r="A226" s="1" t="s">
        <v>3474</v>
      </c>
      <c r="B226" s="1" t="s">
        <v>227</v>
      </c>
      <c r="C226" s="1121" t="s">
        <v>448</v>
      </c>
      <c r="D226" s="1161">
        <v>4.5999999999999996</v>
      </c>
      <c r="F226" s="22">
        <v>21.3</v>
      </c>
      <c r="G226" s="749">
        <v>605</v>
      </c>
      <c r="H226" s="749">
        <v>605</v>
      </c>
      <c r="I226" s="749">
        <v>605</v>
      </c>
      <c r="J226" s="749">
        <v>605</v>
      </c>
      <c r="K226" s="749">
        <v>605</v>
      </c>
      <c r="L226" s="749">
        <v>605</v>
      </c>
    </row>
    <row r="227" spans="1:13" ht="15">
      <c r="A227" s="1" t="s">
        <v>1851</v>
      </c>
      <c r="B227" s="1" t="s">
        <v>227</v>
      </c>
      <c r="C227" s="1121" t="s">
        <v>445</v>
      </c>
      <c r="D227" s="1161">
        <v>5.36</v>
      </c>
      <c r="F227" s="1123">
        <v>-1E-4</v>
      </c>
      <c r="G227" s="179">
        <v>331.8</v>
      </c>
      <c r="H227" s="179">
        <v>331.8</v>
      </c>
      <c r="I227" s="179">
        <v>331.8</v>
      </c>
      <c r="J227" s="179">
        <v>331.8</v>
      </c>
      <c r="K227" s="179">
        <v>331.8</v>
      </c>
      <c r="L227" s="179">
        <v>331.8</v>
      </c>
    </row>
    <row r="228" spans="1:13" ht="15">
      <c r="A228" s="1" t="s">
        <v>3200</v>
      </c>
      <c r="B228" s="1" t="s">
        <v>227</v>
      </c>
      <c r="C228" s="1121" t="s">
        <v>448</v>
      </c>
      <c r="D228" s="1161">
        <v>4.5999999999999996</v>
      </c>
      <c r="F228" s="1123">
        <v>-1E-4</v>
      </c>
      <c r="G228" s="1123">
        <v>-1E-4</v>
      </c>
      <c r="H228" s="1123">
        <v>-1E-4</v>
      </c>
      <c r="I228" s="1123">
        <v>-1E-4</v>
      </c>
      <c r="J228" s="1123">
        <v>-1E-4</v>
      </c>
      <c r="K228" s="1123">
        <v>-1E-4</v>
      </c>
      <c r="L228" s="1123">
        <v>-1E-4</v>
      </c>
    </row>
    <row r="229" spans="1:13" ht="15">
      <c r="A229" s="1" t="s">
        <v>1855</v>
      </c>
      <c r="B229" s="1" t="s">
        <v>227</v>
      </c>
      <c r="C229" s="1121" t="s">
        <v>448</v>
      </c>
      <c r="D229" s="1161">
        <v>4.5999999999999996</v>
      </c>
      <c r="F229" s="1123">
        <v>-1E-4</v>
      </c>
      <c r="G229" s="1123">
        <v>-1E-4</v>
      </c>
      <c r="H229" s="1123">
        <v>-1E-4</v>
      </c>
      <c r="I229" s="1123">
        <v>-1E-4</v>
      </c>
      <c r="J229" s="1123">
        <v>-1E-4</v>
      </c>
      <c r="K229" s="1123">
        <v>-1E-4</v>
      </c>
      <c r="L229" s="1123">
        <v>-1E-4</v>
      </c>
    </row>
    <row r="230" spans="1:13" ht="15">
      <c r="A230" s="1" t="s">
        <v>1856</v>
      </c>
      <c r="B230" s="1" t="s">
        <v>227</v>
      </c>
      <c r="C230" s="1121" t="s">
        <v>448</v>
      </c>
      <c r="D230" s="1161">
        <v>4.5999999999999996</v>
      </c>
      <c r="F230" s="1123">
        <v>-1E-4</v>
      </c>
      <c r="G230" s="1123">
        <v>-1E-4</v>
      </c>
      <c r="H230" s="1123">
        <v>-1E-4</v>
      </c>
      <c r="I230" s="1123">
        <v>-1E-4</v>
      </c>
      <c r="J230" s="1123">
        <v>-1E-4</v>
      </c>
      <c r="K230" s="1123">
        <v>-1E-4</v>
      </c>
      <c r="L230" s="1123">
        <v>-1E-4</v>
      </c>
    </row>
    <row r="231" spans="1:13" ht="15">
      <c r="A231" s="1" t="s">
        <v>3207</v>
      </c>
      <c r="B231" s="1" t="s">
        <v>227</v>
      </c>
      <c r="C231" s="1121" t="s">
        <v>448</v>
      </c>
      <c r="D231" s="1161">
        <v>4.5999999999999996</v>
      </c>
      <c r="F231" s="22">
        <v>21.3</v>
      </c>
      <c r="G231" s="278">
        <v>332.64</v>
      </c>
      <c r="H231" s="278">
        <v>332.64</v>
      </c>
      <c r="I231" s="183">
        <v>247.77599999999998</v>
      </c>
      <c r="J231" s="183">
        <v>247.77599999999998</v>
      </c>
      <c r="K231" s="183">
        <v>247.77599999999998</v>
      </c>
      <c r="L231" s="183">
        <v>247.77599999999998</v>
      </c>
    </row>
    <row r="232" spans="1:13" ht="15">
      <c r="A232" s="1" t="s">
        <v>3201</v>
      </c>
      <c r="B232" s="1" t="s">
        <v>227</v>
      </c>
      <c r="C232" s="1121" t="s">
        <v>448</v>
      </c>
      <c r="D232" s="1161">
        <v>4.5999999999999996</v>
      </c>
      <c r="F232" s="1123">
        <v>-1E-4</v>
      </c>
      <c r="G232" s="278">
        <v>774.14400000000012</v>
      </c>
      <c r="H232" s="278">
        <v>774.14400000000012</v>
      </c>
      <c r="I232" s="179">
        <v>635.04</v>
      </c>
      <c r="J232" s="179">
        <v>635.04</v>
      </c>
      <c r="K232" s="179">
        <v>635.04</v>
      </c>
      <c r="L232" s="179">
        <v>635.04</v>
      </c>
    </row>
    <row r="233" spans="1:13" ht="15">
      <c r="A233" s="1" t="s">
        <v>1859</v>
      </c>
      <c r="B233" s="1" t="s">
        <v>227</v>
      </c>
      <c r="C233" s="1121" t="s">
        <v>448</v>
      </c>
      <c r="D233" s="1161">
        <v>4.5999999999999996</v>
      </c>
      <c r="F233" s="1123">
        <v>-1E-4</v>
      </c>
      <c r="G233" s="278">
        <v>774.14400000000012</v>
      </c>
      <c r="H233" s="278">
        <v>774.14400000000012</v>
      </c>
      <c r="I233" s="179">
        <v>635.04</v>
      </c>
      <c r="J233" s="179">
        <v>635.04</v>
      </c>
      <c r="K233" s="179">
        <v>635.04</v>
      </c>
      <c r="L233" s="179">
        <v>635.04</v>
      </c>
    </row>
    <row r="234" spans="1:13" ht="15">
      <c r="A234" s="1" t="s">
        <v>3202</v>
      </c>
      <c r="B234" s="1" t="s">
        <v>227</v>
      </c>
      <c r="C234" s="1121" t="s">
        <v>448</v>
      </c>
      <c r="D234" s="1161">
        <v>4.5999999999999996</v>
      </c>
      <c r="F234" s="1123">
        <v>-1E-4</v>
      </c>
      <c r="G234" s="1123">
        <v>-1E-4</v>
      </c>
      <c r="H234" s="1123">
        <v>-1E-4</v>
      </c>
      <c r="I234" s="1123">
        <v>-1E-4</v>
      </c>
      <c r="J234" s="1123">
        <v>-1E-4</v>
      </c>
      <c r="K234" s="1123">
        <v>-1E-4</v>
      </c>
      <c r="L234" s="1123">
        <v>-1E-4</v>
      </c>
    </row>
    <row r="235" spans="1:13" ht="15">
      <c r="A235" s="1" t="s">
        <v>1861</v>
      </c>
      <c r="B235" s="1" t="s">
        <v>227</v>
      </c>
      <c r="C235" s="1121" t="s">
        <v>445</v>
      </c>
      <c r="D235" s="1161">
        <v>5.36</v>
      </c>
      <c r="F235" s="22">
        <v>21.3</v>
      </c>
      <c r="G235" s="278">
        <v>304.92</v>
      </c>
      <c r="H235" s="278">
        <v>304.92</v>
      </c>
      <c r="I235" s="1123">
        <v>-1E-4</v>
      </c>
      <c r="J235" s="1123">
        <v>-1E-4</v>
      </c>
      <c r="K235" s="1123">
        <v>-1E-4</v>
      </c>
      <c r="L235" s="1123">
        <v>-1E-4</v>
      </c>
    </row>
    <row r="236" spans="1:13" ht="15">
      <c r="A236" s="1" t="s">
        <v>3197</v>
      </c>
      <c r="B236" s="1" t="s">
        <v>227</v>
      </c>
      <c r="C236" s="1121" t="s">
        <v>445</v>
      </c>
      <c r="D236" s="1161">
        <v>5.36</v>
      </c>
      <c r="F236" s="22">
        <v>21.3</v>
      </c>
      <c r="G236" s="278">
        <v>304.92</v>
      </c>
      <c r="H236" s="278">
        <v>304.92</v>
      </c>
      <c r="I236" s="1123">
        <v>-1E-4</v>
      </c>
      <c r="J236" s="1123">
        <v>-1E-4</v>
      </c>
      <c r="K236" s="1123">
        <v>-1E-4</v>
      </c>
      <c r="L236" s="1123">
        <v>-1E-4</v>
      </c>
    </row>
    <row r="237" spans="1:13" ht="15">
      <c r="A237" s="53" t="s">
        <v>3203</v>
      </c>
      <c r="B237" s="1" t="s">
        <v>227</v>
      </c>
      <c r="C237" s="1173" t="s">
        <v>453</v>
      </c>
      <c r="D237" s="1161">
        <v>3.29</v>
      </c>
      <c r="F237" s="1123">
        <v>-1E-4</v>
      </c>
      <c r="G237" s="278">
        <v>622.58823529411768</v>
      </c>
      <c r="H237" s="278">
        <v>622.58823529411768</v>
      </c>
      <c r="I237" s="183">
        <v>114.744</v>
      </c>
      <c r="J237" s="183">
        <v>114.744</v>
      </c>
      <c r="K237" s="183">
        <v>114.744</v>
      </c>
      <c r="L237" s="183">
        <v>114.744</v>
      </c>
      <c r="M237" s="749" t="s">
        <v>585</v>
      </c>
    </row>
    <row r="238" spans="1:13" ht="15">
      <c r="A238" s="24" t="s">
        <v>3204</v>
      </c>
      <c r="B238" s="24" t="s">
        <v>227</v>
      </c>
      <c r="C238" s="1173" t="s">
        <v>453</v>
      </c>
      <c r="D238" s="1161">
        <v>3.29</v>
      </c>
      <c r="F238" s="1123">
        <v>-1E-4</v>
      </c>
      <c r="G238" s="1123">
        <v>-1E-4</v>
      </c>
      <c r="H238" s="1123">
        <v>-1E-4</v>
      </c>
      <c r="I238" s="1123">
        <v>-1E-4</v>
      </c>
      <c r="J238" s="1123">
        <v>-1E-4</v>
      </c>
      <c r="K238" s="1123">
        <v>-1E-4</v>
      </c>
      <c r="L238" s="1123">
        <v>-1E-4</v>
      </c>
    </row>
    <row r="239" spans="1:13" ht="15">
      <c r="A239" s="1" t="s">
        <v>3473</v>
      </c>
      <c r="B239" s="1" t="s">
        <v>228</v>
      </c>
      <c r="C239" s="1121" t="s">
        <v>488</v>
      </c>
      <c r="D239" s="1161">
        <v>1.1000000000000001</v>
      </c>
      <c r="F239" s="22">
        <v>14.8</v>
      </c>
      <c r="G239" s="278">
        <v>181.44</v>
      </c>
      <c r="H239" s="278">
        <v>181.44</v>
      </c>
      <c r="I239" s="1184">
        <v>288</v>
      </c>
      <c r="J239" s="1184">
        <v>288</v>
      </c>
      <c r="K239" s="183">
        <v>264</v>
      </c>
      <c r="L239" s="183">
        <v>264</v>
      </c>
    </row>
    <row r="240" spans="1:13" ht="15">
      <c r="A240" s="1" t="s">
        <v>3235</v>
      </c>
      <c r="B240" s="1" t="s">
        <v>228</v>
      </c>
      <c r="C240" s="1121" t="s">
        <v>478</v>
      </c>
      <c r="D240" s="1161">
        <v>4.7300000000000004</v>
      </c>
      <c r="F240" s="22">
        <v>14.8</v>
      </c>
      <c r="G240" s="278">
        <v>181.44</v>
      </c>
      <c r="H240" s="278">
        <v>181.44</v>
      </c>
      <c r="I240" s="1184">
        <v>288</v>
      </c>
      <c r="J240" s="1184">
        <v>288</v>
      </c>
      <c r="K240" s="183">
        <v>264</v>
      </c>
      <c r="L240" s="183">
        <v>264</v>
      </c>
    </row>
    <row r="241" spans="1:12" ht="15">
      <c r="A241" s="1" t="s">
        <v>3242</v>
      </c>
      <c r="B241" s="1" t="s">
        <v>228</v>
      </c>
      <c r="C241" s="1121" t="s">
        <v>478</v>
      </c>
      <c r="D241" s="1161">
        <v>4.7300000000000004</v>
      </c>
      <c r="F241" s="22">
        <v>14.8</v>
      </c>
      <c r="G241" s="278">
        <v>96</v>
      </c>
      <c r="H241" s="278">
        <v>96</v>
      </c>
      <c r="I241" s="1156">
        <v>240</v>
      </c>
      <c r="J241" s="1156">
        <v>240</v>
      </c>
      <c r="K241" s="749">
        <v>352</v>
      </c>
      <c r="L241" s="749">
        <v>352</v>
      </c>
    </row>
    <row r="242" spans="1:12" ht="15">
      <c r="A242" s="1" t="s">
        <v>3243</v>
      </c>
      <c r="B242" s="1" t="s">
        <v>228</v>
      </c>
      <c r="C242" s="1121" t="s">
        <v>488</v>
      </c>
      <c r="D242" s="1161">
        <v>1.1000000000000001</v>
      </c>
      <c r="F242" s="22">
        <v>14.8</v>
      </c>
      <c r="G242" s="278">
        <v>181.44</v>
      </c>
      <c r="H242" s="278">
        <v>181.44</v>
      </c>
      <c r="I242" s="1184">
        <v>288</v>
      </c>
      <c r="J242" s="1184">
        <v>288</v>
      </c>
      <c r="K242" s="183">
        <v>264</v>
      </c>
      <c r="L242" s="183">
        <v>264</v>
      </c>
    </row>
    <row r="243" spans="1:12" ht="15">
      <c r="A243" s="1" t="s">
        <v>3236</v>
      </c>
      <c r="B243" s="1" t="s">
        <v>228</v>
      </c>
      <c r="C243" s="1121" t="s">
        <v>478</v>
      </c>
      <c r="D243" s="1161">
        <v>4.7300000000000004</v>
      </c>
      <c r="F243" s="22">
        <v>14.8</v>
      </c>
      <c r="G243" s="278">
        <v>181.44</v>
      </c>
      <c r="H243" s="278">
        <v>181.44</v>
      </c>
      <c r="I243" s="1184">
        <v>288</v>
      </c>
      <c r="J243" s="1184">
        <v>288</v>
      </c>
      <c r="K243" s="183">
        <v>264</v>
      </c>
      <c r="L243" s="183">
        <v>264</v>
      </c>
    </row>
    <row r="244" spans="1:12" ht="15">
      <c r="A244" s="1" t="s">
        <v>3244</v>
      </c>
      <c r="B244" s="1" t="s">
        <v>228</v>
      </c>
      <c r="C244" s="1121" t="s">
        <v>478</v>
      </c>
      <c r="D244" s="1161">
        <v>4.7300000000000004</v>
      </c>
      <c r="F244" s="22">
        <v>14.8</v>
      </c>
      <c r="G244" s="278">
        <v>96</v>
      </c>
      <c r="H244" s="278">
        <v>96</v>
      </c>
      <c r="I244" s="1156">
        <v>240</v>
      </c>
      <c r="J244" s="1156">
        <v>240</v>
      </c>
      <c r="K244" s="749">
        <v>352</v>
      </c>
      <c r="L244" s="749">
        <v>352</v>
      </c>
    </row>
    <row r="245" spans="1:12" ht="15">
      <c r="A245" s="1" t="s">
        <v>3237</v>
      </c>
      <c r="B245" s="1" t="s">
        <v>228</v>
      </c>
      <c r="C245" s="1121" t="s">
        <v>479</v>
      </c>
      <c r="D245" s="1168">
        <v>8.6999999999999993</v>
      </c>
      <c r="F245" s="22">
        <v>47.1</v>
      </c>
      <c r="G245" s="278">
        <v>1008</v>
      </c>
      <c r="H245" s="278">
        <v>1008</v>
      </c>
      <c r="I245" s="1123">
        <v>-1E-4</v>
      </c>
      <c r="J245" s="1123">
        <v>-1E-4</v>
      </c>
      <c r="K245" s="1123">
        <v>-1E-4</v>
      </c>
      <c r="L245" s="1123">
        <v>-1E-4</v>
      </c>
    </row>
    <row r="246" spans="1:12" ht="15">
      <c r="A246" s="1" t="s">
        <v>3238</v>
      </c>
      <c r="B246" s="1" t="s">
        <v>228</v>
      </c>
      <c r="C246" s="1121" t="s">
        <v>444</v>
      </c>
      <c r="D246" s="1161">
        <v>9.0399999999999991</v>
      </c>
      <c r="F246" s="1123">
        <v>-1E-4</v>
      </c>
      <c r="G246" s="278">
        <v>156.23999999999998</v>
      </c>
      <c r="H246" s="278">
        <v>156.23999999999998</v>
      </c>
      <c r="I246" s="1170">
        <v>104.5</v>
      </c>
      <c r="J246" s="1170">
        <v>104.5</v>
      </c>
      <c r="K246" s="99">
        <v>170</v>
      </c>
      <c r="L246" s="99">
        <v>170</v>
      </c>
    </row>
    <row r="247" spans="1:12" ht="15">
      <c r="A247" s="1" t="s">
        <v>1880</v>
      </c>
      <c r="B247" s="1" t="s">
        <v>228</v>
      </c>
      <c r="C247" s="1173" t="s">
        <v>506</v>
      </c>
      <c r="D247" s="1168">
        <v>4.7</v>
      </c>
      <c r="F247" s="1123">
        <v>-1E-4</v>
      </c>
      <c r="G247" s="1123">
        <v>-1E-4</v>
      </c>
      <c r="H247" s="1123">
        <v>-1E-4</v>
      </c>
      <c r="I247" s="1123">
        <v>-1E-4</v>
      </c>
      <c r="J247" s="1123">
        <v>-1E-4</v>
      </c>
      <c r="K247" s="1123">
        <v>-1E-4</v>
      </c>
      <c r="L247" s="1123">
        <v>-1E-4</v>
      </c>
    </row>
    <row r="248" spans="1:12" ht="15">
      <c r="A248" s="24" t="s">
        <v>3239</v>
      </c>
      <c r="B248" s="24" t="s">
        <v>228</v>
      </c>
      <c r="C248" s="1121" t="s">
        <v>500</v>
      </c>
      <c r="D248" s="1182">
        <v>4.7300000000000004</v>
      </c>
      <c r="F248" s="22">
        <v>27.8</v>
      </c>
      <c r="G248" s="278">
        <v>144.1</v>
      </c>
      <c r="H248" s="278">
        <v>144.1</v>
      </c>
      <c r="I248" s="1184">
        <v>132</v>
      </c>
      <c r="J248" s="1184">
        <v>132</v>
      </c>
      <c r="K248" s="183">
        <v>126.50000000000001</v>
      </c>
      <c r="L248" s="183">
        <v>126.50000000000001</v>
      </c>
    </row>
    <row r="249" spans="1:12" ht="15">
      <c r="A249" s="1" t="s">
        <v>3476</v>
      </c>
      <c r="B249" s="1" t="s">
        <v>229</v>
      </c>
      <c r="C249" s="1121" t="s">
        <v>512</v>
      </c>
      <c r="D249" s="1174">
        <v>2.1800000000000002</v>
      </c>
      <c r="F249" s="1123">
        <v>-1E-4</v>
      </c>
      <c r="G249" s="1123">
        <v>-1E-4</v>
      </c>
      <c r="H249" s="1123">
        <v>-1E-4</v>
      </c>
      <c r="I249" s="1123">
        <v>-1E-4</v>
      </c>
      <c r="J249" s="1123">
        <v>-1E-4</v>
      </c>
      <c r="K249" s="1123">
        <v>-1E-4</v>
      </c>
      <c r="L249" s="1123">
        <v>-1E-4</v>
      </c>
    </row>
    <row r="250" spans="1:12" ht="15">
      <c r="A250" s="1" t="s">
        <v>3343</v>
      </c>
      <c r="B250" s="1" t="s">
        <v>229</v>
      </c>
      <c r="C250" s="1121"/>
      <c r="D250" s="1186">
        <v>1</v>
      </c>
      <c r="F250" s="1123">
        <v>-1E-4</v>
      </c>
      <c r="G250" s="1123">
        <v>-1E-4</v>
      </c>
      <c r="H250" s="1123">
        <v>-1E-4</v>
      </c>
      <c r="I250" s="1123">
        <v>-1E-4</v>
      </c>
      <c r="J250" s="1123">
        <v>-1E-4</v>
      </c>
      <c r="K250" s="1123">
        <v>-1E-4</v>
      </c>
      <c r="L250" s="1123">
        <v>-1E-4</v>
      </c>
    </row>
    <row r="251" spans="1:12" ht="15">
      <c r="A251" s="1135" t="s">
        <v>3344</v>
      </c>
      <c r="B251" s="1" t="s">
        <v>229</v>
      </c>
      <c r="C251" s="1121" t="s">
        <v>512</v>
      </c>
      <c r="D251" s="1174">
        <v>2.1800000000000002</v>
      </c>
      <c r="F251" s="404">
        <v>2.8</v>
      </c>
      <c r="G251" s="1123">
        <v>-1E-4</v>
      </c>
      <c r="H251" s="1123">
        <v>-1E-4</v>
      </c>
      <c r="I251" s="1123">
        <v>-1E-4</v>
      </c>
      <c r="J251" s="1123">
        <v>-1E-4</v>
      </c>
      <c r="K251" s="1123">
        <v>-1E-4</v>
      </c>
      <c r="L251" s="1123">
        <v>-1E-4</v>
      </c>
    </row>
    <row r="252" spans="1:12" ht="15">
      <c r="A252" s="749" t="s">
        <v>2261</v>
      </c>
      <c r="B252" s="1" t="s">
        <v>229</v>
      </c>
      <c r="C252" s="1121" t="s">
        <v>512</v>
      </c>
      <c r="D252" s="1174">
        <v>2.1800000000000002</v>
      </c>
      <c r="F252" s="404">
        <v>2.8</v>
      </c>
      <c r="G252" s="1123">
        <v>-1E-4</v>
      </c>
      <c r="H252" s="1123">
        <v>-1E-4</v>
      </c>
      <c r="I252" s="1123">
        <v>-1E-4</v>
      </c>
      <c r="J252" s="1123">
        <v>-1E-4</v>
      </c>
      <c r="K252" s="1123">
        <v>-1E-4</v>
      </c>
      <c r="L252" s="1123">
        <v>-1E-4</v>
      </c>
    </row>
    <row r="253" spans="1:12" ht="15">
      <c r="A253" s="1" t="s">
        <v>484</v>
      </c>
      <c r="B253" s="1" t="s">
        <v>229</v>
      </c>
      <c r="C253" s="1121" t="s">
        <v>484</v>
      </c>
      <c r="D253" s="1122">
        <v>9.33</v>
      </c>
      <c r="F253" s="1123">
        <v>-1E-4</v>
      </c>
      <c r="G253" s="183">
        <v>810</v>
      </c>
      <c r="H253" s="183">
        <v>810</v>
      </c>
      <c r="I253" s="183">
        <v>810</v>
      </c>
      <c r="J253" s="183">
        <v>810</v>
      </c>
      <c r="K253" s="183">
        <v>810</v>
      </c>
      <c r="L253" s="183">
        <v>810</v>
      </c>
    </row>
    <row r="254" spans="1:12" ht="15">
      <c r="A254" s="749" t="s">
        <v>3325</v>
      </c>
      <c r="B254" s="1" t="s">
        <v>229</v>
      </c>
      <c r="C254" s="1121" t="s">
        <v>484</v>
      </c>
      <c r="D254" s="1122">
        <v>9.33</v>
      </c>
      <c r="F254" s="1123">
        <v>-1E-4</v>
      </c>
      <c r="G254" s="1123">
        <v>-1E-4</v>
      </c>
      <c r="H254" s="1123">
        <v>-1E-4</v>
      </c>
      <c r="I254" s="1123">
        <v>-1E-4</v>
      </c>
      <c r="J254" s="1123">
        <v>-1E-4</v>
      </c>
      <c r="K254" s="1123">
        <v>-1E-4</v>
      </c>
      <c r="L254" s="1123">
        <v>-1E-4</v>
      </c>
    </row>
    <row r="255" spans="1:12" ht="15">
      <c r="A255" s="1" t="s">
        <v>1881</v>
      </c>
      <c r="B255" s="1" t="s">
        <v>229</v>
      </c>
      <c r="C255" s="1121" t="s">
        <v>484</v>
      </c>
      <c r="D255" s="1122">
        <v>9.33</v>
      </c>
      <c r="F255" s="1123">
        <v>-1E-4</v>
      </c>
      <c r="G255" s="183">
        <v>456</v>
      </c>
      <c r="H255" s="183">
        <v>456</v>
      </c>
      <c r="I255" s="183">
        <v>456</v>
      </c>
      <c r="J255" s="183">
        <v>456</v>
      </c>
      <c r="K255" s="183">
        <v>456</v>
      </c>
      <c r="L255" s="183">
        <v>456</v>
      </c>
    </row>
    <row r="256" spans="1:12" ht="15">
      <c r="A256" s="1" t="s">
        <v>3327</v>
      </c>
      <c r="B256" s="1" t="s">
        <v>229</v>
      </c>
      <c r="C256" s="1121" t="s">
        <v>484</v>
      </c>
      <c r="D256" s="1122">
        <v>9.33</v>
      </c>
      <c r="F256" s="1123">
        <v>-1E-4</v>
      </c>
      <c r="G256" s="278">
        <v>1156.68</v>
      </c>
      <c r="H256" s="278">
        <v>1156.68</v>
      </c>
      <c r="I256" s="1184">
        <v>480</v>
      </c>
      <c r="J256" s="1184">
        <v>480</v>
      </c>
      <c r="K256" s="183">
        <v>440</v>
      </c>
      <c r="L256" s="183">
        <v>440</v>
      </c>
    </row>
    <row r="257" spans="1:14" ht="15">
      <c r="A257" s="1135" t="s">
        <v>3326</v>
      </c>
      <c r="B257" s="1" t="s">
        <v>229</v>
      </c>
      <c r="C257" s="1121" t="s">
        <v>484</v>
      </c>
      <c r="D257" s="1187">
        <v>9</v>
      </c>
      <c r="F257" s="1123">
        <v>-1E-4</v>
      </c>
      <c r="G257" s="1123">
        <v>-1E-4</v>
      </c>
      <c r="H257" s="1123">
        <v>-1E-4</v>
      </c>
      <c r="I257" s="1123">
        <v>-1E-4</v>
      </c>
      <c r="J257" s="1123">
        <v>-1E-4</v>
      </c>
      <c r="K257" s="1123">
        <v>-1E-4</v>
      </c>
      <c r="L257" s="1123">
        <v>-1E-4</v>
      </c>
    </row>
    <row r="258" spans="1:14" ht="15">
      <c r="A258" s="1135" t="s">
        <v>3328</v>
      </c>
      <c r="B258" s="1" t="s">
        <v>229</v>
      </c>
      <c r="C258" s="1121" t="s">
        <v>485</v>
      </c>
      <c r="D258" s="1187">
        <v>5</v>
      </c>
      <c r="F258" s="1123">
        <v>-1E-4</v>
      </c>
      <c r="G258" s="1123">
        <v>-1E-4</v>
      </c>
      <c r="H258" s="1123">
        <v>-1E-4</v>
      </c>
      <c r="I258" s="1123">
        <v>-1E-4</v>
      </c>
      <c r="J258" s="1123">
        <v>-1E-4</v>
      </c>
      <c r="K258" s="1123">
        <v>-1E-4</v>
      </c>
      <c r="L258" s="1123">
        <v>-1E-4</v>
      </c>
      <c r="N258" s="1"/>
    </row>
    <row r="259" spans="1:14" ht="15">
      <c r="A259" s="749" t="s">
        <v>3345</v>
      </c>
      <c r="B259" s="1" t="s">
        <v>229</v>
      </c>
      <c r="C259" s="1173" t="s">
        <v>514</v>
      </c>
      <c r="D259" s="1182">
        <v>2.5</v>
      </c>
      <c r="F259" s="749">
        <v>2.8</v>
      </c>
      <c r="G259" s="278">
        <v>136.08000000000001</v>
      </c>
      <c r="H259" s="278">
        <v>136.08000000000001</v>
      </c>
      <c r="I259" s="1184">
        <v>528</v>
      </c>
      <c r="J259" s="1184">
        <v>528</v>
      </c>
      <c r="K259" s="183">
        <v>120</v>
      </c>
      <c r="L259" s="183">
        <v>120</v>
      </c>
    </row>
    <row r="260" spans="1:14" ht="15">
      <c r="A260" s="1" t="s">
        <v>3329</v>
      </c>
      <c r="B260" s="1" t="s">
        <v>229</v>
      </c>
      <c r="C260" s="1121" t="s">
        <v>486</v>
      </c>
      <c r="D260" s="1122">
        <v>0.38</v>
      </c>
      <c r="F260" s="1123">
        <v>-1E-4</v>
      </c>
      <c r="G260" s="1123">
        <v>-1E-4</v>
      </c>
      <c r="H260" s="1123">
        <v>-1E-4</v>
      </c>
      <c r="I260" s="1123">
        <v>-1E-4</v>
      </c>
      <c r="J260" s="1123">
        <v>-1E-4</v>
      </c>
      <c r="K260" s="1123">
        <v>-1E-4</v>
      </c>
      <c r="L260" s="1123">
        <v>-1E-4</v>
      </c>
      <c r="N260" s="1"/>
    </row>
    <row r="261" spans="1:14" ht="15">
      <c r="A261" s="1" t="s">
        <v>3484</v>
      </c>
      <c r="B261" s="1" t="s">
        <v>229</v>
      </c>
      <c r="C261" s="1121" t="s">
        <v>512</v>
      </c>
      <c r="D261" s="1174">
        <v>2.1800000000000002</v>
      </c>
      <c r="F261" s="1123">
        <v>-1E-4</v>
      </c>
      <c r="G261" s="1123">
        <v>-1E-4</v>
      </c>
      <c r="H261" s="1123">
        <v>-1E-4</v>
      </c>
      <c r="I261" s="1123">
        <v>-1E-4</v>
      </c>
      <c r="J261" s="1123">
        <v>-1E-4</v>
      </c>
      <c r="K261" s="1123">
        <v>-1E-4</v>
      </c>
      <c r="L261" s="1123">
        <v>-1E-4</v>
      </c>
    </row>
    <row r="262" spans="1:14" ht="15">
      <c r="A262" s="1" t="s">
        <v>1885</v>
      </c>
      <c r="B262" s="1" t="s">
        <v>229</v>
      </c>
      <c r="C262" s="1157" t="s">
        <v>509</v>
      </c>
      <c r="D262" s="1174">
        <v>0.38</v>
      </c>
      <c r="F262" s="1123">
        <v>-1E-4</v>
      </c>
      <c r="G262" s="749">
        <v>442.86</v>
      </c>
      <c r="H262" s="749">
        <v>442.86</v>
      </c>
      <c r="I262" s="749">
        <v>442.86</v>
      </c>
      <c r="J262" s="749">
        <v>442.86</v>
      </c>
      <c r="K262" s="749">
        <v>442.86</v>
      </c>
      <c r="L262" s="749">
        <v>442.86</v>
      </c>
    </row>
    <row r="263" spans="1:14" ht="15">
      <c r="A263" s="1" t="s">
        <v>510</v>
      </c>
      <c r="B263" s="1" t="s">
        <v>229</v>
      </c>
      <c r="C263" s="1157" t="s">
        <v>510</v>
      </c>
      <c r="D263" s="1174">
        <v>0.38</v>
      </c>
      <c r="F263" s="1123">
        <v>-1E-4</v>
      </c>
      <c r="G263" s="278">
        <v>199.79999999999998</v>
      </c>
      <c r="H263" s="278">
        <v>199.79999999999998</v>
      </c>
      <c r="I263" s="1184">
        <v>138</v>
      </c>
      <c r="J263" s="1184">
        <v>138</v>
      </c>
      <c r="K263" s="183">
        <v>56.4</v>
      </c>
      <c r="L263" s="183">
        <v>56.4</v>
      </c>
    </row>
    <row r="264" spans="1:14" ht="15">
      <c r="A264" s="1" t="s">
        <v>3347</v>
      </c>
      <c r="B264" s="1" t="s">
        <v>229</v>
      </c>
      <c r="C264" s="1157" t="s">
        <v>509</v>
      </c>
      <c r="D264" s="1174">
        <v>0.38</v>
      </c>
      <c r="F264" s="1123">
        <v>-1E-4</v>
      </c>
      <c r="G264" s="1123">
        <v>-1E-4</v>
      </c>
      <c r="H264" s="1123">
        <v>-1E-4</v>
      </c>
      <c r="I264" s="1123">
        <v>-1E-4</v>
      </c>
      <c r="J264" s="1123">
        <v>-1E-4</v>
      </c>
      <c r="K264" s="1123">
        <v>-1E-4</v>
      </c>
      <c r="L264" s="1123">
        <v>-1E-4</v>
      </c>
    </row>
    <row r="265" spans="1:14" ht="15">
      <c r="A265" s="1" t="s">
        <v>3330</v>
      </c>
      <c r="B265" s="1" t="s">
        <v>229</v>
      </c>
      <c r="C265" s="1121" t="s">
        <v>486</v>
      </c>
      <c r="D265" s="1122">
        <v>0.38</v>
      </c>
      <c r="F265" s="22">
        <v>0</v>
      </c>
      <c r="G265" s="278">
        <v>302.39999999999998</v>
      </c>
      <c r="H265" s="278">
        <v>302.39999999999998</v>
      </c>
      <c r="I265" s="1184">
        <v>228</v>
      </c>
      <c r="J265" s="1184">
        <v>228</v>
      </c>
      <c r="K265" s="183">
        <v>166.79999999999998</v>
      </c>
      <c r="L265" s="183">
        <v>166.79999999999998</v>
      </c>
    </row>
    <row r="266" spans="1:14" ht="15">
      <c r="A266" s="1" t="s">
        <v>3331</v>
      </c>
      <c r="B266" s="1" t="s">
        <v>229</v>
      </c>
      <c r="C266" s="1121" t="s">
        <v>486</v>
      </c>
      <c r="D266" s="1122">
        <v>0.38</v>
      </c>
      <c r="F266" s="109">
        <v>0</v>
      </c>
      <c r="G266" s="1123">
        <v>-1E-4</v>
      </c>
      <c r="H266" s="1123">
        <v>-1E-4</v>
      </c>
      <c r="I266" s="1123">
        <v>-1E-4</v>
      </c>
      <c r="J266" s="1123">
        <v>-1E-4</v>
      </c>
      <c r="K266" s="1123">
        <v>-1E-4</v>
      </c>
      <c r="L266" s="1123">
        <v>-1E-4</v>
      </c>
    </row>
    <row r="267" spans="1:14" ht="15">
      <c r="A267" s="1" t="s">
        <v>1887</v>
      </c>
      <c r="B267" s="1" t="s">
        <v>229</v>
      </c>
      <c r="C267" s="1121" t="s">
        <v>512</v>
      </c>
      <c r="D267" s="1174">
        <v>2.1800000000000002</v>
      </c>
      <c r="F267" s="1123">
        <v>-1E-4</v>
      </c>
      <c r="G267" s="1123">
        <v>-1E-4</v>
      </c>
      <c r="H267" s="1123">
        <v>-1E-4</v>
      </c>
      <c r="I267" s="1123">
        <v>-1E-4</v>
      </c>
      <c r="J267" s="1123">
        <v>-1E-4</v>
      </c>
      <c r="K267" s="1123">
        <v>-1E-4</v>
      </c>
      <c r="L267" s="1123">
        <v>-1E-4</v>
      </c>
    </row>
    <row r="268" spans="1:14" ht="15">
      <c r="A268" s="1" t="s">
        <v>3478</v>
      </c>
      <c r="B268" s="1" t="s">
        <v>229</v>
      </c>
      <c r="C268" s="1121" t="s">
        <v>512</v>
      </c>
      <c r="D268" s="1174">
        <v>2.1800000000000002</v>
      </c>
      <c r="F268" s="1123">
        <v>-1E-4</v>
      </c>
      <c r="G268" s="1123">
        <v>-1E-4</v>
      </c>
      <c r="H268" s="1123">
        <v>-1E-4</v>
      </c>
      <c r="I268" s="1123">
        <v>-1E-4</v>
      </c>
      <c r="J268" s="1123">
        <v>-1E-4</v>
      </c>
      <c r="K268" s="1123">
        <v>-1E-4</v>
      </c>
      <c r="L268" s="1123">
        <v>-1E-4</v>
      </c>
    </row>
    <row r="269" spans="1:14" ht="15">
      <c r="A269" s="1" t="s">
        <v>3332</v>
      </c>
      <c r="B269" s="1" t="s">
        <v>229</v>
      </c>
      <c r="C269" s="1121" t="s">
        <v>484</v>
      </c>
      <c r="D269" s="1122">
        <v>9.33</v>
      </c>
      <c r="F269" s="1123">
        <v>-1E-4</v>
      </c>
      <c r="G269" s="278">
        <v>635.03888888888889</v>
      </c>
      <c r="H269" s="278">
        <v>635.03888888888889</v>
      </c>
      <c r="I269" s="1184">
        <v>420</v>
      </c>
      <c r="J269" s="1184">
        <v>420</v>
      </c>
      <c r="K269" s="183">
        <v>360</v>
      </c>
      <c r="L269" s="183">
        <v>360</v>
      </c>
    </row>
    <row r="270" spans="1:14" ht="15">
      <c r="A270" s="1" t="s">
        <v>3333</v>
      </c>
      <c r="B270" s="1" t="s">
        <v>229</v>
      </c>
      <c r="C270" s="1121" t="s">
        <v>512</v>
      </c>
      <c r="D270" s="1174">
        <v>2.1800000000000002</v>
      </c>
      <c r="F270" s="1123">
        <v>-1E-4</v>
      </c>
      <c r="G270" s="1123">
        <v>-1E-4</v>
      </c>
      <c r="H270" s="1123">
        <v>-1E-4</v>
      </c>
      <c r="I270" s="1123">
        <v>-1E-4</v>
      </c>
      <c r="J270" s="1123">
        <v>-1E-4</v>
      </c>
      <c r="K270" s="1123">
        <v>-1E-4</v>
      </c>
      <c r="L270" s="1123">
        <v>-1E-4</v>
      </c>
    </row>
    <row r="271" spans="1:14" ht="15">
      <c r="A271" s="1" t="s">
        <v>3334</v>
      </c>
      <c r="B271" s="1" t="s">
        <v>229</v>
      </c>
      <c r="C271" s="1121" t="s">
        <v>512</v>
      </c>
      <c r="D271" s="1174">
        <v>2.1800000000000002</v>
      </c>
      <c r="F271" s="1123">
        <v>-1E-4</v>
      </c>
      <c r="G271" s="183">
        <v>88.8</v>
      </c>
      <c r="H271" s="183">
        <v>88.8</v>
      </c>
      <c r="I271" s="183">
        <v>88.8</v>
      </c>
      <c r="J271" s="183">
        <v>88.8</v>
      </c>
      <c r="K271" s="183">
        <v>88.8</v>
      </c>
      <c r="L271" s="183">
        <v>88.8</v>
      </c>
    </row>
    <row r="272" spans="1:14" ht="15">
      <c r="A272" s="1" t="s">
        <v>3350</v>
      </c>
      <c r="B272" s="1" t="s">
        <v>229</v>
      </c>
      <c r="C272" s="1121" t="s">
        <v>512</v>
      </c>
      <c r="D272" s="1174">
        <v>2.1800000000000002</v>
      </c>
      <c r="F272" s="22">
        <v>8</v>
      </c>
      <c r="G272" s="278">
        <v>680.40000000000009</v>
      </c>
      <c r="H272" s="278">
        <v>680.40000000000009</v>
      </c>
      <c r="I272" s="1184">
        <v>672</v>
      </c>
      <c r="J272" s="1184">
        <v>672</v>
      </c>
      <c r="K272" s="183">
        <v>640</v>
      </c>
      <c r="L272" s="183">
        <v>640</v>
      </c>
    </row>
    <row r="273" spans="1:14" ht="15">
      <c r="A273" s="1" t="s">
        <v>3482</v>
      </c>
      <c r="B273" s="1" t="s">
        <v>229</v>
      </c>
      <c r="C273" s="1121" t="s">
        <v>512</v>
      </c>
      <c r="D273" s="1174">
        <v>2.1800000000000002</v>
      </c>
      <c r="F273" s="22">
        <v>8</v>
      </c>
      <c r="G273" s="278">
        <v>680.40000000000009</v>
      </c>
      <c r="H273" s="278">
        <v>680.40000000000009</v>
      </c>
      <c r="I273" s="1184">
        <v>672</v>
      </c>
      <c r="J273" s="1184">
        <v>672</v>
      </c>
      <c r="K273" s="183">
        <v>640</v>
      </c>
      <c r="L273" s="183">
        <v>640</v>
      </c>
    </row>
    <row r="274" spans="1:14" ht="15">
      <c r="A274" s="749" t="s">
        <v>3352</v>
      </c>
      <c r="B274" s="1" t="s">
        <v>229</v>
      </c>
      <c r="C274" s="1121" t="s">
        <v>512</v>
      </c>
      <c r="D274" s="1174">
        <v>2.1800000000000002</v>
      </c>
      <c r="F274" s="1123">
        <v>-1E-4</v>
      </c>
      <c r="G274" s="1123">
        <v>-1E-4</v>
      </c>
      <c r="H274" s="1123">
        <v>-1E-4</v>
      </c>
      <c r="I274" s="1123">
        <v>-1E-4</v>
      </c>
      <c r="J274" s="1123">
        <v>-1E-4</v>
      </c>
      <c r="K274" s="1123">
        <v>-1E-4</v>
      </c>
      <c r="L274" s="1123">
        <v>-1E-4</v>
      </c>
    </row>
    <row r="275" spans="1:14" ht="15">
      <c r="A275" s="1" t="s">
        <v>1894</v>
      </c>
      <c r="B275" s="1" t="s">
        <v>229</v>
      </c>
      <c r="C275" s="1121" t="s">
        <v>512</v>
      </c>
      <c r="D275" s="1174">
        <v>2.1800000000000002</v>
      </c>
      <c r="F275" s="22">
        <v>0</v>
      </c>
      <c r="G275" s="749">
        <v>264</v>
      </c>
      <c r="H275" s="749">
        <v>264</v>
      </c>
      <c r="I275" s="749">
        <v>264</v>
      </c>
      <c r="J275" s="749">
        <v>264</v>
      </c>
      <c r="K275" s="749">
        <v>264</v>
      </c>
      <c r="L275" s="749">
        <v>264</v>
      </c>
    </row>
    <row r="276" spans="1:14" ht="15">
      <c r="A276" s="1" t="s">
        <v>1895</v>
      </c>
      <c r="B276" s="1" t="s">
        <v>229</v>
      </c>
      <c r="C276" s="1121" t="s">
        <v>512</v>
      </c>
      <c r="D276" s="1174">
        <v>2.1800000000000002</v>
      </c>
      <c r="F276" s="1123">
        <v>-1E-4</v>
      </c>
      <c r="G276" s="1123">
        <v>-1E-4</v>
      </c>
      <c r="H276" s="1123">
        <v>-1E-4</v>
      </c>
      <c r="I276" s="1123">
        <v>-1E-4</v>
      </c>
      <c r="J276" s="1123">
        <v>-1E-4</v>
      </c>
      <c r="K276" s="1123">
        <v>-1E-4</v>
      </c>
      <c r="L276" s="1123">
        <v>-1E-4</v>
      </c>
    </row>
    <row r="277" spans="1:14" ht="15">
      <c r="A277" s="1" t="s">
        <v>1896</v>
      </c>
      <c r="B277" s="1" t="s">
        <v>229</v>
      </c>
      <c r="C277" s="5" t="s">
        <v>511</v>
      </c>
      <c r="D277" s="1161">
        <v>1.2</v>
      </c>
      <c r="F277" s="1123">
        <v>-1E-4</v>
      </c>
      <c r="G277" s="1123">
        <v>-1E-4</v>
      </c>
      <c r="H277" s="1123">
        <v>-1E-4</v>
      </c>
      <c r="I277" s="1123">
        <v>-1E-4</v>
      </c>
      <c r="J277" s="1123">
        <v>-1E-4</v>
      </c>
      <c r="K277" s="1123">
        <v>-1E-4</v>
      </c>
      <c r="L277" s="1123">
        <v>-1E-4</v>
      </c>
    </row>
    <row r="278" spans="1:14" ht="15">
      <c r="A278" s="1" t="s">
        <v>3481</v>
      </c>
      <c r="B278" s="1" t="s">
        <v>229</v>
      </c>
      <c r="C278" s="5" t="s">
        <v>511</v>
      </c>
      <c r="D278" s="1161">
        <v>1.2</v>
      </c>
      <c r="F278" s="1123">
        <v>-1E-4</v>
      </c>
      <c r="G278" s="1123">
        <v>-1E-4</v>
      </c>
      <c r="H278" s="1123">
        <v>-1E-4</v>
      </c>
      <c r="I278" s="1169">
        <v>324</v>
      </c>
      <c r="J278" s="1169">
        <v>324</v>
      </c>
      <c r="K278" s="1123">
        <v>-1E-4</v>
      </c>
      <c r="L278" s="1123">
        <v>-1E-4</v>
      </c>
    </row>
    <row r="279" spans="1:14" ht="15">
      <c r="A279" s="1" t="s">
        <v>1898</v>
      </c>
      <c r="B279" s="1" t="s">
        <v>229</v>
      </c>
      <c r="C279" s="5" t="s">
        <v>511</v>
      </c>
      <c r="D279" s="1161">
        <v>1.2</v>
      </c>
      <c r="F279" s="1123">
        <v>-1E-4</v>
      </c>
      <c r="G279" s="1123">
        <v>-1E-4</v>
      </c>
      <c r="H279" s="1123">
        <v>-1E-4</v>
      </c>
      <c r="I279" s="1123">
        <v>-1E-4</v>
      </c>
      <c r="J279" s="1123">
        <v>-1E-4</v>
      </c>
      <c r="K279" s="1123">
        <v>-1E-4</v>
      </c>
      <c r="L279" s="1123">
        <v>-1E-4</v>
      </c>
    </row>
    <row r="280" spans="1:14" ht="15">
      <c r="A280" s="1" t="s">
        <v>3483</v>
      </c>
      <c r="B280" s="1" t="s">
        <v>229</v>
      </c>
      <c r="C280" s="1173" t="s">
        <v>514</v>
      </c>
      <c r="D280" s="1182">
        <v>2.5</v>
      </c>
      <c r="F280" s="749">
        <v>2.8</v>
      </c>
      <c r="G280" s="278">
        <v>136.08000000000001</v>
      </c>
      <c r="H280" s="278">
        <v>136.08000000000001</v>
      </c>
      <c r="I280" s="1184">
        <v>528</v>
      </c>
      <c r="J280" s="1184">
        <v>528</v>
      </c>
      <c r="K280" s="183">
        <v>120</v>
      </c>
      <c r="L280" s="183">
        <v>120</v>
      </c>
    </row>
    <row r="281" spans="1:14" ht="15">
      <c r="A281" s="1" t="s">
        <v>3394</v>
      </c>
      <c r="B281" s="1" t="s">
        <v>229</v>
      </c>
      <c r="C281" s="1173"/>
      <c r="D281" s="1188">
        <v>2</v>
      </c>
      <c r="F281" s="1123">
        <v>-1E-4</v>
      </c>
      <c r="G281" s="1123">
        <v>-1E-4</v>
      </c>
      <c r="H281" s="1123">
        <v>-1E-4</v>
      </c>
      <c r="I281" s="1123">
        <v>-1E-4</v>
      </c>
      <c r="J281" s="1123">
        <v>-1E-4</v>
      </c>
      <c r="K281" s="1123">
        <v>-1E-4</v>
      </c>
      <c r="L281" s="1123">
        <v>-1E-4</v>
      </c>
    </row>
    <row r="282" spans="1:14" ht="15">
      <c r="A282" s="1" t="s">
        <v>3480</v>
      </c>
      <c r="B282" s="1" t="s">
        <v>229</v>
      </c>
      <c r="C282" s="1121" t="s">
        <v>512</v>
      </c>
      <c r="D282" s="1174">
        <v>2.1800000000000002</v>
      </c>
      <c r="F282" s="1123">
        <v>-1E-4</v>
      </c>
      <c r="G282" s="1123">
        <v>-1E-4</v>
      </c>
      <c r="H282" s="1123">
        <v>-1E-4</v>
      </c>
      <c r="I282" s="1123">
        <v>-1E-4</v>
      </c>
      <c r="J282" s="1123">
        <v>-1E-4</v>
      </c>
      <c r="K282" s="1123">
        <v>-1E-4</v>
      </c>
      <c r="L282" s="1123">
        <v>-1E-4</v>
      </c>
      <c r="N282" s="1"/>
    </row>
    <row r="283" spans="1:14" ht="15">
      <c r="A283" s="1" t="s">
        <v>3353</v>
      </c>
      <c r="B283" s="1" t="s">
        <v>229</v>
      </c>
      <c r="C283" s="1121" t="s">
        <v>512</v>
      </c>
      <c r="D283" s="1174">
        <v>2.1800000000000002</v>
      </c>
      <c r="F283" s="1123">
        <v>-1E-4</v>
      </c>
      <c r="G283" s="1123">
        <v>-1E-4</v>
      </c>
      <c r="H283" s="1123">
        <v>-1E-4</v>
      </c>
      <c r="I283" s="1123">
        <v>-1E-4</v>
      </c>
      <c r="J283" s="1123">
        <v>-1E-4</v>
      </c>
      <c r="K283" s="1123">
        <v>-1E-4</v>
      </c>
      <c r="L283" s="1123">
        <v>-1E-4</v>
      </c>
      <c r="N283" s="1"/>
    </row>
    <row r="284" spans="1:14" ht="15">
      <c r="A284" s="1" t="s">
        <v>3354</v>
      </c>
      <c r="B284" s="1" t="s">
        <v>229</v>
      </c>
      <c r="C284" s="1157" t="s">
        <v>510</v>
      </c>
      <c r="D284" s="1174">
        <v>0.38</v>
      </c>
      <c r="F284" s="1123">
        <v>-1E-4</v>
      </c>
      <c r="G284" s="278">
        <v>199.79999999999998</v>
      </c>
      <c r="H284" s="278">
        <v>199.79999999999998</v>
      </c>
      <c r="I284" s="1184">
        <v>138</v>
      </c>
      <c r="J284" s="1184">
        <v>138</v>
      </c>
      <c r="K284" s="183">
        <v>56.4</v>
      </c>
      <c r="L284" s="183">
        <v>56.4</v>
      </c>
    </row>
    <row r="285" spans="1:14" ht="15">
      <c r="A285" s="1" t="s">
        <v>503</v>
      </c>
      <c r="B285" s="1" t="s">
        <v>229</v>
      </c>
      <c r="C285" s="1173" t="s">
        <v>503</v>
      </c>
      <c r="D285" s="1168">
        <v>1</v>
      </c>
      <c r="F285" s="1123">
        <v>-1E-4</v>
      </c>
      <c r="G285" s="278">
        <v>617.14285714285711</v>
      </c>
      <c r="H285" s="278">
        <v>617.14285714285711</v>
      </c>
      <c r="I285" s="1176">
        <v>480</v>
      </c>
      <c r="J285" s="1176">
        <v>480</v>
      </c>
      <c r="K285" s="179">
        <v>348</v>
      </c>
      <c r="L285" s="179">
        <v>348</v>
      </c>
    </row>
    <row r="286" spans="1:14" ht="15">
      <c r="A286" s="1" t="s">
        <v>3355</v>
      </c>
      <c r="B286" s="1" t="s">
        <v>229</v>
      </c>
      <c r="C286" s="1121" t="s">
        <v>512</v>
      </c>
      <c r="D286" s="1174">
        <v>2.1800000000000002</v>
      </c>
      <c r="F286" s="1123">
        <v>-1E-4</v>
      </c>
      <c r="G286" s="749">
        <v>97</v>
      </c>
      <c r="H286" s="749">
        <v>97</v>
      </c>
      <c r="I286" s="749">
        <v>97</v>
      </c>
      <c r="J286" s="749">
        <v>97</v>
      </c>
      <c r="K286" s="749">
        <v>97</v>
      </c>
      <c r="L286" s="749">
        <v>97</v>
      </c>
    </row>
    <row r="287" spans="1:14" ht="15">
      <c r="A287" s="1" t="s">
        <v>3336</v>
      </c>
      <c r="B287" s="1" t="s">
        <v>229</v>
      </c>
      <c r="C287" s="1121" t="s">
        <v>484</v>
      </c>
      <c r="D287" s="1122">
        <v>9.33</v>
      </c>
      <c r="F287" s="1123">
        <v>-1E-4</v>
      </c>
      <c r="G287" s="278">
        <v>718.19999999999993</v>
      </c>
      <c r="H287" s="278">
        <v>718.19999999999993</v>
      </c>
      <c r="I287" s="749">
        <v>735</v>
      </c>
      <c r="J287" s="749">
        <v>735</v>
      </c>
      <c r="K287" s="749">
        <v>735</v>
      </c>
      <c r="L287" s="749">
        <v>735</v>
      </c>
      <c r="N287" s="1"/>
    </row>
    <row r="288" spans="1:14" ht="15">
      <c r="A288" s="1" t="s">
        <v>134</v>
      </c>
      <c r="B288" s="1" t="s">
        <v>229</v>
      </c>
      <c r="C288" s="1121" t="s">
        <v>484</v>
      </c>
      <c r="D288" s="1122">
        <v>9.33</v>
      </c>
      <c r="F288" s="109">
        <v>0</v>
      </c>
      <c r="G288" s="1123">
        <v>-1E-4</v>
      </c>
      <c r="H288" s="1123">
        <v>-1E-4</v>
      </c>
      <c r="I288" s="1123">
        <v>-1E-4</v>
      </c>
      <c r="J288" s="1123">
        <v>-1E-4</v>
      </c>
      <c r="K288" s="1123">
        <v>-1E-4</v>
      </c>
      <c r="L288" s="1123">
        <v>-1E-4</v>
      </c>
      <c r="N288" s="1"/>
    </row>
    <row r="289" spans="1:15" ht="15">
      <c r="A289" s="1" t="s">
        <v>3356</v>
      </c>
      <c r="B289" s="1" t="s">
        <v>229</v>
      </c>
      <c r="C289" s="1121" t="s">
        <v>512</v>
      </c>
      <c r="D289" s="1174">
        <v>2.1800000000000002</v>
      </c>
      <c r="F289" s="1123">
        <v>-1E-4</v>
      </c>
      <c r="G289" s="1123">
        <v>-1E-4</v>
      </c>
      <c r="H289" s="1123">
        <v>-1E-4</v>
      </c>
      <c r="I289" s="1123">
        <v>-1E-4</v>
      </c>
      <c r="J289" s="1123">
        <v>-1E-4</v>
      </c>
      <c r="K289" s="1123">
        <v>-1E-4</v>
      </c>
      <c r="L289" s="1123">
        <v>-1E-4</v>
      </c>
    </row>
    <row r="290" spans="1:15" ht="15">
      <c r="A290" s="1" t="s">
        <v>510</v>
      </c>
      <c r="B290" s="1" t="s">
        <v>229</v>
      </c>
      <c r="C290" s="1157" t="s">
        <v>510</v>
      </c>
      <c r="D290" s="1174">
        <v>0.38</v>
      </c>
      <c r="F290" s="1123">
        <v>-1E-4</v>
      </c>
      <c r="G290" s="278">
        <v>199.79999999999998</v>
      </c>
      <c r="H290" s="278">
        <v>199.79999999999998</v>
      </c>
      <c r="I290" s="1184">
        <v>138</v>
      </c>
      <c r="J290" s="1184">
        <v>138</v>
      </c>
      <c r="K290" s="183">
        <v>56.4</v>
      </c>
      <c r="L290" s="183">
        <v>56.4</v>
      </c>
    </row>
    <row r="291" spans="1:15" ht="15">
      <c r="A291" s="1" t="s">
        <v>3337</v>
      </c>
      <c r="B291" s="1" t="s">
        <v>229</v>
      </c>
      <c r="C291" s="1157" t="s">
        <v>510</v>
      </c>
      <c r="D291" s="1174">
        <v>0.38</v>
      </c>
      <c r="F291" s="1123">
        <v>-1E-4</v>
      </c>
      <c r="G291" s="278">
        <v>199.79999999999998</v>
      </c>
      <c r="H291" s="278">
        <v>199.79999999999998</v>
      </c>
      <c r="I291" s="1184">
        <v>138</v>
      </c>
      <c r="J291" s="1184">
        <v>138</v>
      </c>
      <c r="K291" s="183">
        <v>56.4</v>
      </c>
      <c r="L291" s="183">
        <v>56.4</v>
      </c>
    </row>
    <row r="292" spans="1:15" ht="15">
      <c r="A292" s="1" t="s">
        <v>3338</v>
      </c>
      <c r="B292" s="1" t="s">
        <v>229</v>
      </c>
      <c r="C292" s="1121" t="s">
        <v>512</v>
      </c>
      <c r="D292" s="1174">
        <v>2.1800000000000002</v>
      </c>
      <c r="F292" s="1123">
        <v>-1E-4</v>
      </c>
      <c r="G292" s="1123">
        <v>-1E-4</v>
      </c>
      <c r="H292" s="1123">
        <v>-1E-4</v>
      </c>
      <c r="I292" s="1123">
        <v>-1E-4</v>
      </c>
      <c r="J292" s="1123">
        <v>-1E-4</v>
      </c>
      <c r="K292" s="1123">
        <v>-1E-4</v>
      </c>
      <c r="L292" s="1123">
        <v>-1E-4</v>
      </c>
    </row>
    <row r="293" spans="1:15" ht="15">
      <c r="A293" s="1" t="s">
        <v>3339</v>
      </c>
      <c r="B293" s="1" t="s">
        <v>229</v>
      </c>
      <c r="C293" s="1121" t="s">
        <v>513</v>
      </c>
      <c r="D293" s="1174">
        <v>4.91</v>
      </c>
      <c r="F293" s="22">
        <v>12.5</v>
      </c>
      <c r="G293" s="749">
        <v>975</v>
      </c>
      <c r="H293" s="749">
        <v>975</v>
      </c>
      <c r="I293" s="1156">
        <v>110.4</v>
      </c>
      <c r="J293" s="1156">
        <v>110.4</v>
      </c>
      <c r="K293" s="749">
        <v>975</v>
      </c>
      <c r="L293" s="749">
        <v>975</v>
      </c>
      <c r="O293" s="1135"/>
    </row>
    <row r="294" spans="1:15" ht="15">
      <c r="A294" s="8" t="s">
        <v>3340</v>
      </c>
      <c r="B294" s="1" t="s">
        <v>229</v>
      </c>
      <c r="C294" s="1121" t="s">
        <v>513</v>
      </c>
      <c r="D294" s="1174">
        <v>4.91</v>
      </c>
      <c r="F294" s="22">
        <v>39.92</v>
      </c>
      <c r="G294" s="278">
        <v>207.90007716049382</v>
      </c>
      <c r="H294" s="278">
        <v>207.90007716049382</v>
      </c>
      <c r="I294" s="1184">
        <v>110.4</v>
      </c>
      <c r="J294" s="1184">
        <v>110.4</v>
      </c>
      <c r="K294" s="183">
        <v>210</v>
      </c>
      <c r="L294" s="183">
        <v>210</v>
      </c>
      <c r="O294" s="1135"/>
    </row>
    <row r="295" spans="1:15" ht="15">
      <c r="A295" s="8" t="s">
        <v>3341</v>
      </c>
      <c r="B295" s="1" t="s">
        <v>229</v>
      </c>
      <c r="C295" s="1121" t="s">
        <v>513</v>
      </c>
      <c r="D295" s="1174">
        <v>4.91</v>
      </c>
      <c r="F295" s="22">
        <v>39.92</v>
      </c>
      <c r="G295" s="278">
        <v>207.90007716049382</v>
      </c>
      <c r="H295" s="278">
        <v>207.90007716049382</v>
      </c>
      <c r="I295" s="1184">
        <v>110.4</v>
      </c>
      <c r="J295" s="1184">
        <v>110.4</v>
      </c>
      <c r="K295" s="183">
        <v>210</v>
      </c>
      <c r="L295" s="183">
        <v>210</v>
      </c>
    </row>
    <row r="296" spans="1:15" ht="15">
      <c r="A296" s="1" t="s">
        <v>3357</v>
      </c>
      <c r="B296" s="1" t="s">
        <v>229</v>
      </c>
      <c r="C296" s="1121" t="s">
        <v>513</v>
      </c>
      <c r="D296" s="1174">
        <v>4.91</v>
      </c>
      <c r="F296" s="22">
        <v>39.92</v>
      </c>
      <c r="G296" s="749">
        <v>750</v>
      </c>
      <c r="H296" s="749">
        <v>750</v>
      </c>
      <c r="I296" s="749">
        <v>750</v>
      </c>
      <c r="J296" s="749">
        <v>750</v>
      </c>
      <c r="K296" s="749">
        <v>750</v>
      </c>
      <c r="L296" s="749">
        <v>750</v>
      </c>
    </row>
    <row r="297" spans="1:15" ht="15">
      <c r="A297" s="1135" t="s">
        <v>3358</v>
      </c>
      <c r="B297" s="1" t="s">
        <v>229</v>
      </c>
      <c r="C297" s="1121"/>
      <c r="D297" s="1188">
        <v>2</v>
      </c>
      <c r="F297" s="1123">
        <v>-1E-4</v>
      </c>
      <c r="G297" s="1123">
        <v>-1E-4</v>
      </c>
      <c r="H297" s="1123">
        <v>-1E-4</v>
      </c>
      <c r="I297" s="1123">
        <v>-1E-4</v>
      </c>
      <c r="J297" s="1123">
        <v>-1E-4</v>
      </c>
      <c r="K297" s="1123">
        <v>-1E-4</v>
      </c>
      <c r="L297" s="1123">
        <v>-1E-4</v>
      </c>
    </row>
    <row r="298" spans="1:15" ht="15">
      <c r="A298" s="1" t="s">
        <v>3359</v>
      </c>
      <c r="B298" s="1" t="s">
        <v>229</v>
      </c>
      <c r="C298" s="1121" t="s">
        <v>497</v>
      </c>
      <c r="D298" s="1122">
        <v>0.38</v>
      </c>
      <c r="F298" s="22">
        <v>8.6</v>
      </c>
      <c r="G298" s="278">
        <v>108.10799999999999</v>
      </c>
      <c r="H298" s="278">
        <v>108.10799999999999</v>
      </c>
      <c r="I298" s="1176">
        <v>93.5</v>
      </c>
      <c r="J298" s="1176">
        <v>93.5</v>
      </c>
      <c r="K298" s="179">
        <v>88</v>
      </c>
      <c r="L298" s="179">
        <v>88</v>
      </c>
    </row>
    <row r="299" spans="1:15" ht="15">
      <c r="A299" s="1" t="s">
        <v>3360</v>
      </c>
      <c r="B299" s="1" t="s">
        <v>229</v>
      </c>
      <c r="C299" s="1121" t="s">
        <v>497</v>
      </c>
      <c r="D299" s="1122">
        <v>0.38</v>
      </c>
      <c r="F299" s="22">
        <v>5.7</v>
      </c>
      <c r="G299" s="749">
        <v>366</v>
      </c>
      <c r="H299" s="749">
        <v>366</v>
      </c>
      <c r="I299" s="749">
        <v>366</v>
      </c>
      <c r="J299" s="749">
        <v>366</v>
      </c>
      <c r="K299" s="749">
        <v>366</v>
      </c>
      <c r="L299" s="749">
        <v>366</v>
      </c>
    </row>
    <row r="300" spans="1:15" ht="15">
      <c r="A300" s="1" t="s">
        <v>3361</v>
      </c>
      <c r="B300" s="1" t="s">
        <v>229</v>
      </c>
      <c r="C300" s="1121" t="s">
        <v>513</v>
      </c>
      <c r="D300" s="1174">
        <v>4.91</v>
      </c>
      <c r="F300" s="1123">
        <v>-1E-4</v>
      </c>
      <c r="G300" s="1123">
        <v>-1E-4</v>
      </c>
      <c r="H300" s="1123">
        <v>-1E-4</v>
      </c>
      <c r="I300" s="1123">
        <v>-1E-4</v>
      </c>
      <c r="J300" s="1123">
        <v>-1E-4</v>
      </c>
      <c r="K300" s="1123">
        <v>-1E-4</v>
      </c>
      <c r="L300" s="1123">
        <v>-1E-4</v>
      </c>
    </row>
    <row r="301" spans="1:15" ht="15">
      <c r="A301" s="82" t="s">
        <v>1907</v>
      </c>
      <c r="B301" s="1" t="s">
        <v>229</v>
      </c>
      <c r="C301" s="1173" t="s">
        <v>473</v>
      </c>
      <c r="D301" s="1168">
        <v>3.8</v>
      </c>
      <c r="F301" s="1123">
        <v>-1E-4</v>
      </c>
      <c r="G301" s="183">
        <v>21.333333333333332</v>
      </c>
      <c r="H301" s="183">
        <v>21.333333333333332</v>
      </c>
      <c r="I301" s="183">
        <v>21.333333333333332</v>
      </c>
      <c r="J301" s="183">
        <v>21.333333333333332</v>
      </c>
      <c r="K301" s="183">
        <v>21.333333333333332</v>
      </c>
      <c r="L301" s="183">
        <v>21.333333333333332</v>
      </c>
    </row>
    <row r="302" spans="1:15" ht="15">
      <c r="A302" s="749" t="s">
        <v>3395</v>
      </c>
      <c r="B302" s="1" t="s">
        <v>229</v>
      </c>
      <c r="C302" s="1121" t="s">
        <v>515</v>
      </c>
      <c r="D302" s="1174">
        <v>1.2</v>
      </c>
      <c r="F302" s="1123">
        <v>-1E-4</v>
      </c>
      <c r="G302" s="749">
        <v>330</v>
      </c>
      <c r="H302" s="749">
        <v>330</v>
      </c>
      <c r="I302" s="749">
        <v>330</v>
      </c>
      <c r="J302" s="749">
        <v>330</v>
      </c>
      <c r="K302" s="749">
        <v>330</v>
      </c>
      <c r="L302" s="749">
        <v>330</v>
      </c>
    </row>
    <row r="303" spans="1:15" ht="15">
      <c r="A303" s="1" t="s">
        <v>3396</v>
      </c>
      <c r="B303" s="1" t="s">
        <v>229</v>
      </c>
      <c r="C303" s="1121" t="s">
        <v>515</v>
      </c>
      <c r="D303" s="1174">
        <v>1.2</v>
      </c>
      <c r="F303" s="1123">
        <v>-1E-4</v>
      </c>
      <c r="G303" s="749">
        <v>330</v>
      </c>
      <c r="H303" s="749">
        <v>330</v>
      </c>
      <c r="I303" s="749">
        <v>330</v>
      </c>
      <c r="J303" s="749">
        <v>330</v>
      </c>
      <c r="K303" s="749">
        <v>330</v>
      </c>
      <c r="L303" s="749">
        <v>330</v>
      </c>
    </row>
    <row r="304" spans="1:15" ht="15">
      <c r="A304" s="1" t="s">
        <v>1997</v>
      </c>
      <c r="B304" s="1" t="s">
        <v>229</v>
      </c>
      <c r="C304" s="1121" t="s">
        <v>515</v>
      </c>
      <c r="D304" s="1174">
        <v>1.2</v>
      </c>
      <c r="F304" s="1123">
        <v>-1E-4</v>
      </c>
      <c r="G304" s="749">
        <v>330</v>
      </c>
      <c r="H304" s="749">
        <v>330</v>
      </c>
      <c r="I304" s="749">
        <v>330</v>
      </c>
      <c r="J304" s="749">
        <v>330</v>
      </c>
      <c r="K304" s="749">
        <v>330</v>
      </c>
      <c r="L304" s="749">
        <v>330</v>
      </c>
    </row>
    <row r="305" spans="1:12" ht="15">
      <c r="A305" s="1" t="s">
        <v>3362</v>
      </c>
      <c r="B305" s="1" t="s">
        <v>229</v>
      </c>
      <c r="C305" s="1121" t="s">
        <v>497</v>
      </c>
      <c r="D305" s="1122">
        <v>0.38</v>
      </c>
      <c r="F305" s="22">
        <v>7</v>
      </c>
      <c r="G305" s="278">
        <v>604.79999999999995</v>
      </c>
      <c r="H305" s="278">
        <v>604.79999999999995</v>
      </c>
      <c r="I305" s="1156">
        <v>360</v>
      </c>
      <c r="J305" s="1156">
        <v>360</v>
      </c>
      <c r="K305" s="749">
        <v>1500</v>
      </c>
      <c r="L305" s="749">
        <v>1500</v>
      </c>
    </row>
    <row r="306" spans="1:12" ht="15">
      <c r="A306" s="1" t="s">
        <v>3363</v>
      </c>
      <c r="B306" s="1" t="s">
        <v>229</v>
      </c>
      <c r="C306" s="1157" t="s">
        <v>510</v>
      </c>
      <c r="D306" s="1174">
        <v>0.38</v>
      </c>
      <c r="F306" s="1123">
        <v>-1E-4</v>
      </c>
      <c r="G306" s="278">
        <v>199.79999999999998</v>
      </c>
      <c r="H306" s="278">
        <v>199.79999999999998</v>
      </c>
      <c r="I306" s="1184">
        <v>138</v>
      </c>
      <c r="J306" s="1184">
        <v>138</v>
      </c>
      <c r="K306" s="183">
        <v>56.4</v>
      </c>
      <c r="L306" s="183">
        <v>56.4</v>
      </c>
    </row>
    <row r="307" spans="1:12" ht="15">
      <c r="A307" s="1" t="s">
        <v>3364</v>
      </c>
      <c r="B307" s="1" t="s">
        <v>229</v>
      </c>
      <c r="C307" s="1157" t="s">
        <v>510</v>
      </c>
      <c r="D307" s="1174">
        <v>0.38</v>
      </c>
      <c r="F307" s="1123">
        <v>-1E-4</v>
      </c>
      <c r="G307" s="278">
        <v>199.79999999999998</v>
      </c>
      <c r="H307" s="278">
        <v>199.79999999999998</v>
      </c>
      <c r="I307" s="1184">
        <v>138</v>
      </c>
      <c r="J307" s="1184">
        <v>138</v>
      </c>
      <c r="K307" s="183">
        <v>56.4</v>
      </c>
      <c r="L307" s="183">
        <v>56.4</v>
      </c>
    </row>
    <row r="308" spans="1:12" ht="15">
      <c r="A308" s="24" t="s">
        <v>3488</v>
      </c>
      <c r="B308" s="1" t="s">
        <v>229</v>
      </c>
      <c r="C308" s="1121" t="s">
        <v>515</v>
      </c>
      <c r="D308" s="1174">
        <v>1.2</v>
      </c>
      <c r="F308" s="1123">
        <v>-1E-4</v>
      </c>
      <c r="G308" s="1123">
        <v>-1E-4</v>
      </c>
      <c r="H308" s="1123">
        <v>-1E-4</v>
      </c>
      <c r="I308" s="1123">
        <v>-1E-4</v>
      </c>
      <c r="J308" s="1123">
        <v>-1E-4</v>
      </c>
      <c r="K308" s="1123">
        <v>-1E-4</v>
      </c>
      <c r="L308" s="1123">
        <v>-1E-4</v>
      </c>
    </row>
    <row r="309" spans="1:12" ht="15">
      <c r="A309" s="397" t="s">
        <v>1909</v>
      </c>
      <c r="B309" s="397" t="s">
        <v>230</v>
      </c>
      <c r="C309" s="1121" t="s">
        <v>512</v>
      </c>
      <c r="D309" s="1174">
        <v>2.1800000000000002</v>
      </c>
      <c r="F309" s="1123">
        <v>-1E-4</v>
      </c>
      <c r="G309" s="1123">
        <v>-1E-4</v>
      </c>
      <c r="H309" s="1123">
        <v>-1E-4</v>
      </c>
      <c r="I309" s="1123">
        <v>-1E-4</v>
      </c>
      <c r="J309" s="1123">
        <v>-1E-4</v>
      </c>
      <c r="K309" s="1123">
        <v>-1E-4</v>
      </c>
      <c r="L309" s="1123">
        <v>-1E-4</v>
      </c>
    </row>
    <row r="310" spans="1:12" ht="15">
      <c r="A310" s="1" t="s">
        <v>3260</v>
      </c>
      <c r="B310" s="1" t="s">
        <v>230</v>
      </c>
      <c r="C310" s="1121" t="s">
        <v>487</v>
      </c>
      <c r="D310" s="1122">
        <v>1.62</v>
      </c>
      <c r="F310" s="1123">
        <v>-1E-4</v>
      </c>
      <c r="G310" s="1123">
        <v>-1E-4</v>
      </c>
      <c r="H310" s="1123">
        <v>-1E-4</v>
      </c>
      <c r="I310" s="1123">
        <v>-1E-4</v>
      </c>
      <c r="J310" s="1123">
        <v>-1E-4</v>
      </c>
      <c r="K310" s="1123">
        <v>-1E-4</v>
      </c>
      <c r="L310" s="1123">
        <v>-1E-4</v>
      </c>
    </row>
    <row r="311" spans="1:12" ht="15">
      <c r="A311" s="1" t="s">
        <v>3245</v>
      </c>
      <c r="B311" s="1" t="s">
        <v>230</v>
      </c>
      <c r="C311" s="1121" t="s">
        <v>487</v>
      </c>
      <c r="D311" s="1122">
        <v>1.62</v>
      </c>
      <c r="F311" s="749">
        <v>21.7</v>
      </c>
      <c r="G311" s="278">
        <v>46.2</v>
      </c>
      <c r="H311" s="278">
        <v>46.2</v>
      </c>
      <c r="I311" s="1176">
        <v>38.5</v>
      </c>
      <c r="J311" s="1176">
        <v>38.5</v>
      </c>
      <c r="K311" s="179">
        <v>35.200000000000003</v>
      </c>
      <c r="L311" s="179">
        <v>35.200000000000003</v>
      </c>
    </row>
    <row r="312" spans="1:12" ht="15">
      <c r="A312" s="1" t="s">
        <v>1936</v>
      </c>
      <c r="B312" s="1" t="s">
        <v>230</v>
      </c>
      <c r="C312" s="1121" t="s">
        <v>487</v>
      </c>
      <c r="D312" s="1122">
        <v>1.62</v>
      </c>
      <c r="F312" s="1123">
        <v>-1E-4</v>
      </c>
      <c r="G312" s="1123">
        <v>-1E-4</v>
      </c>
      <c r="H312" s="1123">
        <v>-1E-4</v>
      </c>
      <c r="I312" s="1123">
        <v>-1E-4</v>
      </c>
      <c r="J312" s="1123">
        <v>-1E-4</v>
      </c>
      <c r="K312" s="1123">
        <v>-1E-4</v>
      </c>
      <c r="L312" s="1123">
        <v>-1E-4</v>
      </c>
    </row>
    <row r="313" spans="1:12" ht="15">
      <c r="A313" s="1" t="s">
        <v>3379</v>
      </c>
      <c r="B313" s="1" t="s">
        <v>230</v>
      </c>
      <c r="C313" s="1121" t="s">
        <v>517</v>
      </c>
      <c r="D313" s="1174">
        <v>1.2</v>
      </c>
      <c r="F313" s="1123">
        <v>-1E-4</v>
      </c>
      <c r="G313" s="1123">
        <v>-1E-4</v>
      </c>
      <c r="H313" s="1123">
        <v>-1E-4</v>
      </c>
      <c r="I313" s="1123">
        <v>-1E-4</v>
      </c>
      <c r="J313" s="1123">
        <v>-1E-4</v>
      </c>
      <c r="K313" s="1123">
        <v>-1E-4</v>
      </c>
      <c r="L313" s="1123">
        <v>-1E-4</v>
      </c>
    </row>
    <row r="314" spans="1:12" ht="15">
      <c r="A314" s="1" t="s">
        <v>3381</v>
      </c>
      <c r="B314" s="1" t="s">
        <v>230</v>
      </c>
      <c r="C314" s="1189" t="s">
        <v>516</v>
      </c>
      <c r="D314" s="1174">
        <v>1.2</v>
      </c>
      <c r="F314" s="1123">
        <v>-1E-4</v>
      </c>
      <c r="G314" s="278">
        <v>170.86531986531986</v>
      </c>
      <c r="H314" s="278">
        <v>170.86531986531986</v>
      </c>
      <c r="I314" s="1123">
        <v>-1E-4</v>
      </c>
      <c r="J314" s="1123">
        <v>-1E-4</v>
      </c>
      <c r="K314" s="1123">
        <v>-1E-4</v>
      </c>
      <c r="L314" s="1123">
        <v>-1E-4</v>
      </c>
    </row>
    <row r="315" spans="1:12" ht="15">
      <c r="A315" s="1" t="s">
        <v>3380</v>
      </c>
      <c r="B315" s="1" t="s">
        <v>230</v>
      </c>
      <c r="C315" s="1189" t="s">
        <v>516</v>
      </c>
      <c r="D315" s="1174">
        <v>1.2</v>
      </c>
      <c r="F315" s="1123">
        <v>-1E-4</v>
      </c>
      <c r="G315" s="1123">
        <v>-1E-4</v>
      </c>
      <c r="H315" s="1123">
        <v>-1E-4</v>
      </c>
      <c r="I315" s="1123">
        <v>-1E-4</v>
      </c>
      <c r="J315" s="1123">
        <v>-1E-4</v>
      </c>
      <c r="K315" s="1123">
        <v>-1E-4</v>
      </c>
      <c r="L315" s="1123">
        <v>-1E-4</v>
      </c>
    </row>
    <row r="316" spans="1:12" ht="15">
      <c r="A316" s="1" t="s">
        <v>1912</v>
      </c>
      <c r="B316" s="1" t="s">
        <v>230</v>
      </c>
      <c r="C316" s="1121" t="s">
        <v>517</v>
      </c>
      <c r="D316" s="1174">
        <v>1.2</v>
      </c>
      <c r="F316" s="1123">
        <v>-1E-4</v>
      </c>
      <c r="G316" s="278">
        <v>217.65333333333334</v>
      </c>
      <c r="H316" s="278">
        <v>217.65333333333334</v>
      </c>
      <c r="I316" s="1124">
        <v>275</v>
      </c>
      <c r="J316" s="1124">
        <v>275</v>
      </c>
      <c r="K316" s="1124">
        <v>275</v>
      </c>
      <c r="L316" s="1124">
        <v>275</v>
      </c>
    </row>
    <row r="317" spans="1:12" ht="15">
      <c r="A317" s="1" t="s">
        <v>1625</v>
      </c>
      <c r="B317" s="1" t="s">
        <v>230</v>
      </c>
      <c r="C317" s="1121" t="s">
        <v>512</v>
      </c>
      <c r="D317" s="1174">
        <v>2.1800000000000002</v>
      </c>
      <c r="F317" s="1123">
        <v>-1E-4</v>
      </c>
      <c r="G317" s="1123">
        <v>-1E-4</v>
      </c>
      <c r="H317" s="1123">
        <v>-1E-4</v>
      </c>
      <c r="I317" s="1123">
        <v>-1E-4</v>
      </c>
      <c r="J317" s="1123">
        <v>-1E-4</v>
      </c>
      <c r="K317" s="1123">
        <v>-1E-4</v>
      </c>
      <c r="L317" s="1123">
        <v>-1E-4</v>
      </c>
    </row>
    <row r="318" spans="1:12" ht="15">
      <c r="A318" s="1" t="s">
        <v>1913</v>
      </c>
      <c r="B318" s="1" t="s">
        <v>230</v>
      </c>
      <c r="C318" s="1121" t="s">
        <v>515</v>
      </c>
      <c r="D318" s="1174">
        <v>1.2</v>
      </c>
      <c r="F318" s="1123">
        <v>-1E-4</v>
      </c>
      <c r="G318" s="1123">
        <v>-1E-4</v>
      </c>
      <c r="H318" s="1123">
        <v>-1E-4</v>
      </c>
      <c r="I318" s="1123">
        <v>-1E-4</v>
      </c>
      <c r="J318" s="1123">
        <v>-1E-4</v>
      </c>
      <c r="K318" s="1123">
        <v>-1E-4</v>
      </c>
      <c r="L318" s="1123">
        <v>-1E-4</v>
      </c>
    </row>
    <row r="319" spans="1:12" ht="15">
      <c r="A319" s="1" t="s">
        <v>146</v>
      </c>
      <c r="B319" s="1" t="s">
        <v>230</v>
      </c>
      <c r="C319" s="1121" t="s">
        <v>21</v>
      </c>
      <c r="D319" s="1122">
        <v>1.62</v>
      </c>
      <c r="F319" s="1123">
        <v>-1E-4</v>
      </c>
      <c r="G319" s="278">
        <v>100.83333333333334</v>
      </c>
      <c r="H319" s="278">
        <v>100.83333333333334</v>
      </c>
      <c r="I319" s="1169">
        <v>144.38</v>
      </c>
      <c r="J319" s="1169">
        <v>144.38</v>
      </c>
      <c r="K319" s="1123">
        <v>-1E-4</v>
      </c>
      <c r="L319" s="1123">
        <v>-1E-4</v>
      </c>
    </row>
    <row r="320" spans="1:12" ht="15">
      <c r="A320" s="749" t="s">
        <v>3367</v>
      </c>
      <c r="B320" s="1" t="s">
        <v>230</v>
      </c>
      <c r="C320" s="1121" t="s">
        <v>483</v>
      </c>
      <c r="D320" s="1122">
        <v>1.62</v>
      </c>
      <c r="F320" s="1123">
        <v>-1E-4</v>
      </c>
      <c r="G320" s="1123">
        <v>-1E-4</v>
      </c>
      <c r="H320" s="1123">
        <v>-1E-4</v>
      </c>
      <c r="I320" s="1123">
        <v>-1E-4</v>
      </c>
      <c r="J320" s="1123">
        <v>-1E-4</v>
      </c>
      <c r="K320" s="1123">
        <v>-1E-4</v>
      </c>
      <c r="L320" s="1123">
        <v>-1E-4</v>
      </c>
    </row>
    <row r="321" spans="1:14" ht="15">
      <c r="A321" s="1" t="s">
        <v>3261</v>
      </c>
      <c r="B321" s="1" t="s">
        <v>230</v>
      </c>
      <c r="C321" s="1121" t="s">
        <v>487</v>
      </c>
      <c r="D321" s="1122">
        <v>1.62</v>
      </c>
      <c r="F321" s="749">
        <v>47.5</v>
      </c>
      <c r="G321" s="278">
        <v>170.10000000000002</v>
      </c>
      <c r="H321" s="278">
        <v>170.10000000000002</v>
      </c>
      <c r="I321" s="1176">
        <v>72</v>
      </c>
      <c r="J321" s="1176">
        <v>72</v>
      </c>
      <c r="K321" s="179">
        <v>52.8</v>
      </c>
      <c r="L321" s="179">
        <v>52.8</v>
      </c>
    </row>
    <row r="322" spans="1:14" ht="15">
      <c r="A322" s="749" t="s">
        <v>3262</v>
      </c>
      <c r="B322" s="1" t="s">
        <v>230</v>
      </c>
      <c r="C322" s="1121" t="s">
        <v>499</v>
      </c>
      <c r="D322" s="1122">
        <v>2.93</v>
      </c>
      <c r="F322" s="1123">
        <v>-1E-4</v>
      </c>
      <c r="G322" s="1123">
        <v>-1E-4</v>
      </c>
      <c r="H322" s="1123">
        <v>-1E-4</v>
      </c>
      <c r="I322" s="1123">
        <v>-1E-4</v>
      </c>
      <c r="J322" s="1123">
        <v>-1E-4</v>
      </c>
      <c r="K322" s="1123">
        <v>-1E-4</v>
      </c>
      <c r="L322" s="1123">
        <v>-1E-4</v>
      </c>
    </row>
    <row r="323" spans="1:14" ht="15">
      <c r="A323" s="1" t="s">
        <v>3365</v>
      </c>
      <c r="B323" s="1" t="s">
        <v>230</v>
      </c>
      <c r="C323" s="1121" t="s">
        <v>21</v>
      </c>
      <c r="D323" s="1122">
        <v>1.62</v>
      </c>
      <c r="F323" s="107">
        <v>39.4</v>
      </c>
      <c r="G323" s="279">
        <v>56.1</v>
      </c>
      <c r="H323" s="279">
        <v>56.1</v>
      </c>
      <c r="I323" s="1176">
        <v>58.67</v>
      </c>
      <c r="J323" s="1176">
        <v>58.67</v>
      </c>
      <c r="K323" s="179">
        <v>55</v>
      </c>
      <c r="L323" s="179">
        <v>55</v>
      </c>
    </row>
    <row r="324" spans="1:14" ht="15">
      <c r="A324" s="1" t="s">
        <v>3368</v>
      </c>
      <c r="B324" s="1" t="s">
        <v>230</v>
      </c>
      <c r="C324" s="1121" t="s">
        <v>21</v>
      </c>
      <c r="D324" s="1122">
        <v>1.62</v>
      </c>
      <c r="F324" s="108">
        <v>36.200000000000003</v>
      </c>
      <c r="G324" s="1123">
        <v>-1E-4</v>
      </c>
      <c r="H324" s="1123">
        <v>-1E-4</v>
      </c>
      <c r="I324" s="1123">
        <v>-1E-4</v>
      </c>
      <c r="J324" s="1123">
        <v>-1E-4</v>
      </c>
      <c r="K324" s="1123">
        <v>-1E-4</v>
      </c>
      <c r="L324" s="1123">
        <v>-1E-4</v>
      </c>
    </row>
    <row r="325" spans="1:14" ht="15">
      <c r="A325" s="1" t="s">
        <v>3366</v>
      </c>
      <c r="B325" s="1" t="s">
        <v>230</v>
      </c>
      <c r="C325" s="1121" t="s">
        <v>21</v>
      </c>
      <c r="D325" s="1122">
        <v>1.62</v>
      </c>
      <c r="F325" s="108">
        <v>36.200000000000003</v>
      </c>
      <c r="G325" s="1123">
        <v>-1E-4</v>
      </c>
      <c r="H325" s="1123">
        <v>-1E-4</v>
      </c>
      <c r="I325" s="1123">
        <v>-1E-4</v>
      </c>
      <c r="J325" s="1123">
        <v>-1E-4</v>
      </c>
      <c r="K325" s="1123">
        <v>-1E-4</v>
      </c>
      <c r="L325" s="1123">
        <v>-1E-4</v>
      </c>
    </row>
    <row r="326" spans="1:14" ht="15">
      <c r="A326" s="1" t="s">
        <v>3486</v>
      </c>
      <c r="B326" s="1" t="s">
        <v>230</v>
      </c>
      <c r="C326" s="1121" t="s">
        <v>21</v>
      </c>
      <c r="D326" s="1122">
        <v>1.62</v>
      </c>
      <c r="F326" s="1123">
        <v>-1E-4</v>
      </c>
      <c r="G326" s="1123">
        <v>-1E-4</v>
      </c>
      <c r="H326" s="1123">
        <v>-1E-4</v>
      </c>
      <c r="I326" s="1123">
        <v>-1E-4</v>
      </c>
      <c r="J326" s="1123">
        <v>-1E-4</v>
      </c>
      <c r="K326" s="1123">
        <v>-1E-4</v>
      </c>
      <c r="L326" s="1123">
        <v>-1E-4</v>
      </c>
    </row>
    <row r="327" spans="1:14" ht="15">
      <c r="A327" s="749" t="s">
        <v>3369</v>
      </c>
      <c r="B327" s="1" t="s">
        <v>230</v>
      </c>
      <c r="C327" s="1121" t="s">
        <v>21</v>
      </c>
      <c r="D327" s="1122">
        <v>1.62</v>
      </c>
      <c r="F327" s="1123">
        <v>-1E-4</v>
      </c>
      <c r="G327" s="1123">
        <v>-1E-4</v>
      </c>
      <c r="H327" s="1123">
        <v>-1E-4</v>
      </c>
      <c r="I327" s="1123">
        <v>-1E-4</v>
      </c>
      <c r="J327" s="1123">
        <v>-1E-4</v>
      </c>
      <c r="K327" s="1123">
        <v>-1E-4</v>
      </c>
      <c r="L327" s="1123">
        <v>-1E-4</v>
      </c>
    </row>
    <row r="328" spans="1:14" ht="15">
      <c r="A328" s="1" t="s">
        <v>3246</v>
      </c>
      <c r="B328" s="1" t="s">
        <v>230</v>
      </c>
      <c r="C328" s="1121" t="s">
        <v>499</v>
      </c>
      <c r="D328" s="1122">
        <v>2.93</v>
      </c>
      <c r="F328" s="1123">
        <v>-1E-4</v>
      </c>
      <c r="G328" s="1123">
        <v>-1E-4</v>
      </c>
      <c r="H328" s="1123">
        <v>-1E-4</v>
      </c>
      <c r="I328" s="1123">
        <v>-1E-4</v>
      </c>
      <c r="J328" s="1123">
        <v>-1E-4</v>
      </c>
      <c r="K328" s="1123">
        <v>-1E-4</v>
      </c>
      <c r="L328" s="1123">
        <v>-1E-4</v>
      </c>
    </row>
    <row r="329" spans="1:14" ht="15">
      <c r="A329" s="749" t="s">
        <v>3382</v>
      </c>
      <c r="B329" s="1" t="s">
        <v>230</v>
      </c>
      <c r="C329" s="1121" t="s">
        <v>512</v>
      </c>
      <c r="D329" s="1174">
        <v>2.1800000000000002</v>
      </c>
      <c r="F329" s="1123">
        <v>-1E-4</v>
      </c>
      <c r="G329" s="1123">
        <v>-1E-4</v>
      </c>
      <c r="H329" s="1123">
        <v>-1E-4</v>
      </c>
      <c r="I329" s="1123">
        <v>-1E-4</v>
      </c>
      <c r="J329" s="1123">
        <v>-1E-4</v>
      </c>
      <c r="K329" s="1123">
        <v>-1E-4</v>
      </c>
      <c r="L329" s="1123">
        <v>-1E-4</v>
      </c>
    </row>
    <row r="330" spans="1:14" ht="15">
      <c r="A330" s="749" t="s">
        <v>3370</v>
      </c>
      <c r="B330" s="1" t="s">
        <v>230</v>
      </c>
      <c r="C330" s="1121" t="s">
        <v>483</v>
      </c>
      <c r="D330" s="1122">
        <v>1.62</v>
      </c>
      <c r="F330" s="1123">
        <v>-1E-4</v>
      </c>
      <c r="G330" s="278">
        <v>96.25</v>
      </c>
      <c r="H330" s="278">
        <v>96.25</v>
      </c>
      <c r="I330" s="1176">
        <v>158.13</v>
      </c>
      <c r="J330" s="1176">
        <v>158.13</v>
      </c>
      <c r="K330" s="179">
        <v>66</v>
      </c>
      <c r="L330" s="179">
        <v>66</v>
      </c>
    </row>
    <row r="331" spans="1:14" ht="15">
      <c r="A331" s="749" t="s">
        <v>3378</v>
      </c>
      <c r="B331" s="1" t="s">
        <v>230</v>
      </c>
      <c r="C331" s="1121" t="s">
        <v>483</v>
      </c>
      <c r="D331" s="1122">
        <v>1.62</v>
      </c>
      <c r="F331" s="1123">
        <v>-1E-4</v>
      </c>
      <c r="G331" s="278">
        <v>96.25</v>
      </c>
      <c r="H331" s="278">
        <v>96.25</v>
      </c>
      <c r="I331" s="1176">
        <v>158.13</v>
      </c>
      <c r="J331" s="1176">
        <v>158.13</v>
      </c>
      <c r="K331" s="179">
        <v>66</v>
      </c>
      <c r="L331" s="179">
        <v>66</v>
      </c>
    </row>
    <row r="332" spans="1:14" ht="15">
      <c r="A332" s="749" t="s">
        <v>3509</v>
      </c>
      <c r="B332" s="1" t="s">
        <v>230</v>
      </c>
      <c r="C332" s="1121" t="s">
        <v>483</v>
      </c>
      <c r="D332" s="1122">
        <v>1.62</v>
      </c>
      <c r="F332" s="1123">
        <v>-1E-4</v>
      </c>
      <c r="G332" s="278">
        <v>96.25</v>
      </c>
      <c r="H332" s="278">
        <v>96.25</v>
      </c>
      <c r="I332" s="1176">
        <v>158.13</v>
      </c>
      <c r="J332" s="1176">
        <v>158.13</v>
      </c>
      <c r="K332" s="179">
        <v>66</v>
      </c>
      <c r="L332" s="179">
        <v>66</v>
      </c>
    </row>
    <row r="333" spans="1:14" ht="15">
      <c r="A333" s="1" t="s">
        <v>1951</v>
      </c>
      <c r="B333" s="1" t="s">
        <v>230</v>
      </c>
      <c r="C333" s="1121" t="s">
        <v>21</v>
      </c>
      <c r="D333" s="1122">
        <v>1.62</v>
      </c>
      <c r="F333" s="1123">
        <v>-1E-4</v>
      </c>
      <c r="G333" s="1123">
        <v>-1E-4</v>
      </c>
      <c r="H333" s="1123">
        <v>-1E-4</v>
      </c>
      <c r="I333" s="1123">
        <v>-1E-4</v>
      </c>
      <c r="J333" s="1123">
        <v>-1E-4</v>
      </c>
      <c r="K333" s="1123">
        <v>-1E-4</v>
      </c>
      <c r="L333" s="1123">
        <v>-1E-4</v>
      </c>
    </row>
    <row r="334" spans="1:14" ht="15">
      <c r="A334" s="749" t="s">
        <v>3371</v>
      </c>
      <c r="B334" s="1" t="s">
        <v>230</v>
      </c>
      <c r="C334" s="1121" t="s">
        <v>21</v>
      </c>
      <c r="D334" s="1122">
        <v>1.62</v>
      </c>
      <c r="F334" s="1123">
        <v>-1E-4</v>
      </c>
      <c r="G334" s="278">
        <v>137.5</v>
      </c>
      <c r="H334" s="278">
        <v>137.5</v>
      </c>
      <c r="I334" s="1169">
        <v>185.63</v>
      </c>
      <c r="J334" s="1169">
        <v>185.63</v>
      </c>
      <c r="K334" s="1123">
        <v>-1E-4</v>
      </c>
      <c r="L334" s="1123">
        <v>-1E-4</v>
      </c>
    </row>
    <row r="335" spans="1:14" ht="15">
      <c r="A335" s="749" t="s">
        <v>3263</v>
      </c>
      <c r="B335" s="1" t="s">
        <v>230</v>
      </c>
      <c r="C335" s="1121" t="s">
        <v>499</v>
      </c>
      <c r="D335" s="1122">
        <v>2.93</v>
      </c>
      <c r="F335" s="22">
        <v>9.4</v>
      </c>
      <c r="G335" s="278">
        <v>347.76111111111112</v>
      </c>
      <c r="H335" s="278">
        <v>347.76111111111112</v>
      </c>
      <c r="I335" s="1123">
        <v>-1E-4</v>
      </c>
      <c r="J335" s="1123">
        <v>-1E-4</v>
      </c>
      <c r="K335" s="1123">
        <v>-1E-4</v>
      </c>
      <c r="L335" s="1123">
        <v>-1E-4</v>
      </c>
      <c r="N335" s="1"/>
    </row>
    <row r="336" spans="1:14" ht="15">
      <c r="A336" s="1" t="s">
        <v>3383</v>
      </c>
      <c r="B336" s="1" t="s">
        <v>230</v>
      </c>
      <c r="C336" s="1121" t="s">
        <v>483</v>
      </c>
      <c r="D336" s="1122">
        <v>1.62</v>
      </c>
      <c r="F336" s="1123">
        <v>-1E-4</v>
      </c>
      <c r="G336" s="1123">
        <v>-1E-4</v>
      </c>
      <c r="H336" s="1123">
        <v>-1E-4</v>
      </c>
      <c r="I336" s="1123">
        <v>-1E-4</v>
      </c>
      <c r="J336" s="1123">
        <v>-1E-4</v>
      </c>
      <c r="K336" s="1123">
        <v>-1E-4</v>
      </c>
      <c r="L336" s="1123">
        <v>-1E-4</v>
      </c>
    </row>
    <row r="337" spans="1:12" ht="15">
      <c r="A337" s="749" t="s">
        <v>3264</v>
      </c>
      <c r="B337" s="1" t="s">
        <v>230</v>
      </c>
      <c r="C337" s="1173" t="s">
        <v>501</v>
      </c>
      <c r="D337" s="1182">
        <v>1.2</v>
      </c>
      <c r="F337" s="1123">
        <v>-1E-4</v>
      </c>
      <c r="G337" s="278">
        <v>81.61999999999999</v>
      </c>
      <c r="H337" s="278">
        <v>81.61999999999999</v>
      </c>
      <c r="I337" s="179">
        <v>57.2</v>
      </c>
      <c r="J337" s="179">
        <v>57.2</v>
      </c>
      <c r="K337" s="179">
        <v>57.2</v>
      </c>
      <c r="L337" s="179">
        <v>57.2</v>
      </c>
    </row>
    <row r="338" spans="1:12" ht="15">
      <c r="A338" s="749" t="s">
        <v>3265</v>
      </c>
      <c r="B338" s="1" t="s">
        <v>230</v>
      </c>
      <c r="C338" s="1173" t="s">
        <v>501</v>
      </c>
      <c r="D338" s="1182">
        <v>1.2</v>
      </c>
      <c r="F338" s="1123">
        <v>-1E-4</v>
      </c>
      <c r="G338" s="278">
        <v>81.61999999999999</v>
      </c>
      <c r="H338" s="278">
        <v>81.61999999999999</v>
      </c>
      <c r="I338" s="179">
        <v>57.2</v>
      </c>
      <c r="J338" s="179">
        <v>57.2</v>
      </c>
      <c r="K338" s="179">
        <v>57.2</v>
      </c>
      <c r="L338" s="179">
        <v>57.2</v>
      </c>
    </row>
    <row r="339" spans="1:12" ht="15">
      <c r="A339" s="749" t="s">
        <v>3266</v>
      </c>
      <c r="B339" s="1" t="s">
        <v>230</v>
      </c>
      <c r="C339" s="1173" t="s">
        <v>501</v>
      </c>
      <c r="D339" s="1182">
        <v>1.2</v>
      </c>
      <c r="F339" s="1123">
        <v>-1E-4</v>
      </c>
      <c r="G339" s="749">
        <v>132</v>
      </c>
      <c r="H339" s="749">
        <v>132</v>
      </c>
      <c r="I339" s="749">
        <v>132</v>
      </c>
      <c r="J339" s="749">
        <v>132</v>
      </c>
      <c r="K339" s="749">
        <v>132</v>
      </c>
      <c r="L339" s="749">
        <v>132</v>
      </c>
    </row>
    <row r="340" spans="1:12" ht="15">
      <c r="A340" s="749" t="s">
        <v>3372</v>
      </c>
      <c r="B340" s="1" t="s">
        <v>230</v>
      </c>
      <c r="C340" s="1121" t="s">
        <v>483</v>
      </c>
      <c r="D340" s="1122">
        <v>1.62</v>
      </c>
      <c r="F340" s="1123">
        <v>-1E-4</v>
      </c>
      <c r="G340" s="749">
        <v>374</v>
      </c>
      <c r="H340" s="749">
        <v>374</v>
      </c>
      <c r="I340" s="749">
        <v>374</v>
      </c>
      <c r="J340" s="749">
        <v>374</v>
      </c>
      <c r="K340" s="749">
        <v>374</v>
      </c>
      <c r="L340" s="749">
        <v>374</v>
      </c>
    </row>
    <row r="341" spans="1:12" ht="15">
      <c r="A341" s="1" t="s">
        <v>3267</v>
      </c>
      <c r="B341" s="1" t="s">
        <v>230</v>
      </c>
      <c r="C341" s="1121" t="s">
        <v>485</v>
      </c>
      <c r="D341" s="1122">
        <v>3.2</v>
      </c>
      <c r="F341" s="1123">
        <v>-1E-4</v>
      </c>
      <c r="G341" s="278">
        <v>124.74</v>
      </c>
      <c r="H341" s="278">
        <v>124.74</v>
      </c>
      <c r="I341" s="179">
        <v>41.8</v>
      </c>
      <c r="J341" s="179">
        <v>41.8</v>
      </c>
      <c r="K341" s="179">
        <v>41.8</v>
      </c>
      <c r="L341" s="179">
        <v>41.8</v>
      </c>
    </row>
    <row r="342" spans="1:12" ht="15">
      <c r="A342" s="1" t="s">
        <v>3247</v>
      </c>
      <c r="B342" s="1" t="s">
        <v>230</v>
      </c>
      <c r="C342" s="1121" t="s">
        <v>485</v>
      </c>
      <c r="D342" s="1122">
        <v>3.2</v>
      </c>
      <c r="F342" s="1123">
        <v>-1E-4</v>
      </c>
      <c r="G342" s="278">
        <v>249.66148148148147</v>
      </c>
      <c r="H342" s="278">
        <v>249.66148148148147</v>
      </c>
      <c r="I342" s="1124">
        <v>127.2</v>
      </c>
      <c r="J342" s="1124">
        <v>127.2</v>
      </c>
      <c r="K342" s="1124">
        <v>127.2</v>
      </c>
      <c r="L342" s="1124">
        <v>127.2</v>
      </c>
    </row>
    <row r="343" spans="1:12" ht="15">
      <c r="A343" s="1" t="s">
        <v>3268</v>
      </c>
      <c r="B343" s="1" t="s">
        <v>230</v>
      </c>
      <c r="C343" s="1121" t="s">
        <v>485</v>
      </c>
      <c r="D343" s="1122">
        <v>3.2</v>
      </c>
      <c r="F343" s="1123">
        <v>-1E-4</v>
      </c>
      <c r="G343" s="278">
        <v>124.74</v>
      </c>
      <c r="H343" s="278">
        <v>124.74</v>
      </c>
      <c r="I343" s="179">
        <v>41.8</v>
      </c>
      <c r="J343" s="179">
        <v>41.8</v>
      </c>
      <c r="K343" s="179">
        <v>41.8</v>
      </c>
      <c r="L343" s="179">
        <v>41.8</v>
      </c>
    </row>
    <row r="344" spans="1:12" ht="15">
      <c r="A344" s="1" t="s">
        <v>3248</v>
      </c>
      <c r="B344" s="1" t="s">
        <v>230</v>
      </c>
      <c r="C344" s="1121" t="s">
        <v>485</v>
      </c>
      <c r="D344" s="1122">
        <v>3.2</v>
      </c>
      <c r="F344" s="1123">
        <v>-1E-4</v>
      </c>
      <c r="G344" s="278">
        <v>124.74</v>
      </c>
      <c r="H344" s="278">
        <v>124.74</v>
      </c>
      <c r="I344" s="179">
        <v>41.8</v>
      </c>
      <c r="J344" s="179">
        <v>41.8</v>
      </c>
      <c r="K344" s="179">
        <v>41.8</v>
      </c>
      <c r="L344" s="179">
        <v>41.8</v>
      </c>
    </row>
    <row r="345" spans="1:12" ht="15">
      <c r="A345" s="1" t="s">
        <v>3269</v>
      </c>
      <c r="B345" s="1" t="s">
        <v>230</v>
      </c>
      <c r="C345" s="1121" t="s">
        <v>485</v>
      </c>
      <c r="D345" s="1187">
        <v>1.5</v>
      </c>
      <c r="F345" s="1123">
        <v>-1E-4</v>
      </c>
      <c r="G345" s="1123">
        <v>-1E-4</v>
      </c>
      <c r="H345" s="1123">
        <v>-1E-4</v>
      </c>
      <c r="I345" s="1123">
        <v>-1E-4</v>
      </c>
      <c r="J345" s="1123">
        <v>-1E-4</v>
      </c>
      <c r="K345" s="1123">
        <v>-1E-4</v>
      </c>
      <c r="L345" s="1123">
        <v>-1E-4</v>
      </c>
    </row>
    <row r="346" spans="1:12" ht="15">
      <c r="A346" s="1" t="s">
        <v>3373</v>
      </c>
      <c r="B346" s="1" t="s">
        <v>230</v>
      </c>
      <c r="C346" s="1121" t="s">
        <v>21</v>
      </c>
      <c r="D346" s="1122">
        <v>1.62</v>
      </c>
      <c r="F346" s="1123">
        <v>-1E-4</v>
      </c>
      <c r="G346" s="1123">
        <v>-1E-4</v>
      </c>
      <c r="H346" s="1123">
        <v>-1E-4</v>
      </c>
      <c r="I346" s="1123">
        <v>-1E-4</v>
      </c>
      <c r="J346" s="1123">
        <v>-1E-4</v>
      </c>
      <c r="K346" s="1123">
        <v>-1E-4</v>
      </c>
      <c r="L346" s="1123">
        <v>-1E-4</v>
      </c>
    </row>
    <row r="347" spans="1:12" ht="15">
      <c r="A347" s="1" t="s">
        <v>1924</v>
      </c>
      <c r="B347" s="1" t="s">
        <v>230</v>
      </c>
      <c r="C347" s="1173" t="s">
        <v>501</v>
      </c>
      <c r="D347" s="1182">
        <v>1.2</v>
      </c>
      <c r="F347" s="1123">
        <v>-1E-4</v>
      </c>
      <c r="G347" s="1123">
        <v>-1E-4</v>
      </c>
      <c r="H347" s="1123">
        <v>-1E-4</v>
      </c>
      <c r="I347" s="1123">
        <v>-1E-4</v>
      </c>
      <c r="J347" s="1123">
        <v>-1E-4</v>
      </c>
      <c r="K347" s="1123">
        <v>-1E-4</v>
      </c>
      <c r="L347" s="1123">
        <v>-1E-4</v>
      </c>
    </row>
    <row r="348" spans="1:12" ht="15">
      <c r="A348" s="1" t="s">
        <v>3249</v>
      </c>
      <c r="B348" s="1" t="s">
        <v>230</v>
      </c>
      <c r="C348" s="1121" t="s">
        <v>499</v>
      </c>
      <c r="D348" s="1122">
        <v>2.93</v>
      </c>
      <c r="F348" s="22">
        <v>2.2999999999999998</v>
      </c>
      <c r="G348" s="1123">
        <v>-1E-4</v>
      </c>
      <c r="H348" s="1123">
        <v>-1E-4</v>
      </c>
      <c r="I348" s="1123">
        <v>-1E-4</v>
      </c>
      <c r="J348" s="1123">
        <v>-1E-4</v>
      </c>
      <c r="K348" s="1123">
        <v>-1E-4</v>
      </c>
      <c r="L348" s="1123">
        <v>-1E-4</v>
      </c>
    </row>
    <row r="349" spans="1:12" ht="15">
      <c r="A349" s="1" t="s">
        <v>3506</v>
      </c>
      <c r="B349" s="1" t="s">
        <v>230</v>
      </c>
      <c r="C349" s="1121" t="s">
        <v>493</v>
      </c>
      <c r="D349" s="1122">
        <v>3.2</v>
      </c>
      <c r="F349" s="22">
        <v>21</v>
      </c>
      <c r="G349" s="749">
        <v>276</v>
      </c>
      <c r="H349" s="749">
        <v>276</v>
      </c>
      <c r="I349" s="749">
        <v>276</v>
      </c>
      <c r="J349" s="749">
        <v>276</v>
      </c>
      <c r="K349" s="749">
        <v>276</v>
      </c>
      <c r="L349" s="749">
        <v>276</v>
      </c>
    </row>
    <row r="350" spans="1:12" ht="15">
      <c r="A350" s="1" t="s">
        <v>3250</v>
      </c>
      <c r="B350" s="1" t="s">
        <v>230</v>
      </c>
      <c r="C350" s="1121" t="s">
        <v>499</v>
      </c>
      <c r="D350" s="1122">
        <v>2.93</v>
      </c>
      <c r="F350" s="1123">
        <v>-1E-4</v>
      </c>
      <c r="G350" s="1123">
        <v>-1E-4</v>
      </c>
      <c r="H350" s="1123">
        <v>-1E-4</v>
      </c>
      <c r="I350" s="1123">
        <v>-1E-4</v>
      </c>
      <c r="J350" s="1123">
        <v>-1E-4</v>
      </c>
      <c r="K350" s="1123">
        <v>-1E-4</v>
      </c>
      <c r="L350" s="1123">
        <v>-1E-4</v>
      </c>
    </row>
    <row r="351" spans="1:12" ht="15">
      <c r="A351" s="1" t="s">
        <v>3251</v>
      </c>
      <c r="B351" s="1" t="s">
        <v>230</v>
      </c>
      <c r="C351" s="1121" t="s">
        <v>499</v>
      </c>
      <c r="D351" s="1122">
        <v>2.93</v>
      </c>
      <c r="F351" s="1123">
        <v>-1E-4</v>
      </c>
      <c r="G351" s="1123">
        <v>-1E-4</v>
      </c>
      <c r="H351" s="1123">
        <v>-1E-4</v>
      </c>
      <c r="I351" s="1123">
        <v>-1E-4</v>
      </c>
      <c r="J351" s="1123">
        <v>-1E-4</v>
      </c>
      <c r="K351" s="1123">
        <v>-1E-4</v>
      </c>
      <c r="L351" s="1123">
        <v>-1E-4</v>
      </c>
    </row>
    <row r="352" spans="1:12" ht="15">
      <c r="A352" s="1" t="s">
        <v>3270</v>
      </c>
      <c r="B352" s="1" t="s">
        <v>230</v>
      </c>
      <c r="C352" s="1121" t="s">
        <v>485</v>
      </c>
      <c r="D352" s="1122">
        <v>3.2</v>
      </c>
      <c r="F352" s="22">
        <v>31.1</v>
      </c>
      <c r="G352" s="278">
        <v>120.96000000000001</v>
      </c>
      <c r="H352" s="278">
        <v>120.96000000000001</v>
      </c>
      <c r="I352" s="1156">
        <v>50</v>
      </c>
      <c r="J352" s="1156">
        <v>50</v>
      </c>
      <c r="K352" s="749">
        <v>384</v>
      </c>
      <c r="L352" s="749">
        <v>384</v>
      </c>
    </row>
    <row r="353" spans="1:12" ht="15">
      <c r="A353" s="1" t="s">
        <v>2256</v>
      </c>
      <c r="B353" s="1" t="s">
        <v>230</v>
      </c>
      <c r="C353" s="1121" t="s">
        <v>483</v>
      </c>
      <c r="D353" s="1122">
        <v>1.62</v>
      </c>
      <c r="F353" s="1123">
        <v>-1E-4</v>
      </c>
      <c r="G353" s="1123">
        <v>-1E-4</v>
      </c>
      <c r="H353" s="1123">
        <v>-1E-4</v>
      </c>
      <c r="I353" s="1123">
        <v>-1E-4</v>
      </c>
      <c r="J353" s="1123">
        <v>-1E-4</v>
      </c>
      <c r="K353" s="1123">
        <v>-1E-4</v>
      </c>
      <c r="L353" s="1123">
        <v>-1E-4</v>
      </c>
    </row>
    <row r="354" spans="1:12" ht="15">
      <c r="A354" s="1" t="s">
        <v>3386</v>
      </c>
      <c r="B354" s="1" t="s">
        <v>230</v>
      </c>
      <c r="C354" s="1121" t="s">
        <v>517</v>
      </c>
      <c r="D354" s="1174">
        <v>1.2</v>
      </c>
      <c r="F354" s="1123">
        <v>-1E-4</v>
      </c>
      <c r="G354" s="1124">
        <v>209</v>
      </c>
      <c r="H354" s="1124">
        <v>209</v>
      </c>
      <c r="I354" s="1124">
        <v>209</v>
      </c>
      <c r="J354" s="1124">
        <v>209</v>
      </c>
      <c r="K354" s="1124">
        <v>209</v>
      </c>
      <c r="L354" s="1124">
        <v>209</v>
      </c>
    </row>
    <row r="355" spans="1:12" ht="15">
      <c r="A355" s="1" t="s">
        <v>1928</v>
      </c>
      <c r="B355" s="1" t="s">
        <v>230</v>
      </c>
      <c r="C355" s="1121" t="s">
        <v>483</v>
      </c>
      <c r="D355" s="1122">
        <v>1.62</v>
      </c>
      <c r="F355" s="1123">
        <v>-1E-4</v>
      </c>
      <c r="G355" s="1123">
        <v>-1E-4</v>
      </c>
      <c r="H355" s="1123">
        <v>-1E-4</v>
      </c>
      <c r="I355" s="1123">
        <v>-1E-4</v>
      </c>
      <c r="J355" s="1123">
        <v>-1E-4</v>
      </c>
      <c r="K355" s="1123">
        <v>-1E-4</v>
      </c>
      <c r="L355" s="1123">
        <v>-1E-4</v>
      </c>
    </row>
    <row r="356" spans="1:12" ht="15">
      <c r="A356" s="1" t="s">
        <v>3375</v>
      </c>
      <c r="B356" s="1" t="s">
        <v>230</v>
      </c>
      <c r="C356" s="1121" t="s">
        <v>483</v>
      </c>
      <c r="D356" s="1122">
        <v>1.62</v>
      </c>
      <c r="F356" s="1123">
        <v>-1E-4</v>
      </c>
      <c r="G356" s="1123">
        <v>-1E-4</v>
      </c>
      <c r="H356" s="1123">
        <v>-1E-4</v>
      </c>
      <c r="I356" s="1123">
        <v>-1E-4</v>
      </c>
      <c r="J356" s="1123">
        <v>-1E-4</v>
      </c>
      <c r="K356" s="1123">
        <v>-1E-4</v>
      </c>
      <c r="L356" s="1123">
        <v>-1E-4</v>
      </c>
    </row>
    <row r="357" spans="1:12" ht="15">
      <c r="A357" s="1" t="s">
        <v>1990</v>
      </c>
      <c r="B357" s="1" t="s">
        <v>230</v>
      </c>
      <c r="C357" s="1121" t="s">
        <v>517</v>
      </c>
      <c r="D357" s="1174">
        <v>1.2</v>
      </c>
      <c r="F357" s="1123">
        <v>-1E-4</v>
      </c>
      <c r="G357" s="1123">
        <v>-1E-4</v>
      </c>
      <c r="H357" s="1123">
        <v>-1E-4</v>
      </c>
      <c r="I357" s="1123">
        <v>-1E-4</v>
      </c>
      <c r="J357" s="1123">
        <v>-1E-4</v>
      </c>
      <c r="K357" s="1123">
        <v>-1E-4</v>
      </c>
      <c r="L357" s="1123">
        <v>-1E-4</v>
      </c>
    </row>
    <row r="358" spans="1:12" ht="15">
      <c r="A358" s="1" t="s">
        <v>3252</v>
      </c>
      <c r="B358" s="1" t="s">
        <v>230</v>
      </c>
      <c r="C358" s="1121" t="s">
        <v>494</v>
      </c>
      <c r="D358" s="1122">
        <v>4.67</v>
      </c>
      <c r="F358" s="22">
        <v>23.5</v>
      </c>
      <c r="G358" s="278">
        <v>151.19999999999999</v>
      </c>
      <c r="H358" s="278">
        <v>151.19999999999999</v>
      </c>
      <c r="I358" s="1176">
        <v>93.5</v>
      </c>
      <c r="J358" s="1176">
        <v>93.5</v>
      </c>
      <c r="K358" s="179">
        <v>81.400000000000006</v>
      </c>
      <c r="L358" s="179">
        <v>81.400000000000006</v>
      </c>
    </row>
    <row r="359" spans="1:12" ht="15">
      <c r="A359" s="1" t="s">
        <v>3253</v>
      </c>
      <c r="B359" s="1" t="s">
        <v>230</v>
      </c>
      <c r="C359" s="1121" t="s">
        <v>494</v>
      </c>
      <c r="D359" s="1122">
        <v>4.67</v>
      </c>
      <c r="F359" s="22">
        <v>24.5</v>
      </c>
      <c r="G359" s="1123">
        <v>-1E-4</v>
      </c>
      <c r="H359" s="1123">
        <v>-1E-4</v>
      </c>
      <c r="I359" s="1123">
        <v>-1E-4</v>
      </c>
      <c r="J359" s="1123">
        <v>-1E-4</v>
      </c>
      <c r="K359" s="1123">
        <v>-1E-4</v>
      </c>
      <c r="L359" s="1123">
        <v>-1E-4</v>
      </c>
    </row>
    <row r="360" spans="1:12" ht="15">
      <c r="A360" s="749" t="s">
        <v>3549</v>
      </c>
      <c r="B360" s="1" t="s">
        <v>230</v>
      </c>
      <c r="C360" s="1121" t="s">
        <v>21</v>
      </c>
      <c r="D360" s="1187">
        <v>1.62</v>
      </c>
      <c r="F360" s="1132">
        <v>36.200000000000003</v>
      </c>
      <c r="G360" s="1123">
        <v>-1E-4</v>
      </c>
      <c r="H360" s="1123">
        <v>-1E-4</v>
      </c>
      <c r="I360" s="1123">
        <v>-1E-4</v>
      </c>
      <c r="J360" s="1123">
        <v>-1E-4</v>
      </c>
      <c r="K360" s="1123">
        <v>-1E-4</v>
      </c>
      <c r="L360" s="1123">
        <v>-1E-4</v>
      </c>
    </row>
    <row r="361" spans="1:12" ht="15">
      <c r="A361" s="1" t="s">
        <v>1931</v>
      </c>
      <c r="B361" s="1" t="s">
        <v>230</v>
      </c>
      <c r="C361" s="1121" t="s">
        <v>515</v>
      </c>
      <c r="D361" s="1174">
        <v>1.2</v>
      </c>
      <c r="F361" s="1123">
        <v>-1E-4</v>
      </c>
      <c r="G361" s="1123">
        <v>-1E-4</v>
      </c>
      <c r="H361" s="1123">
        <v>-1E-4</v>
      </c>
      <c r="I361" s="1123">
        <v>-1E-4</v>
      </c>
      <c r="J361" s="1123">
        <v>-1E-4</v>
      </c>
      <c r="K361" s="1123">
        <v>-1E-4</v>
      </c>
      <c r="L361" s="1123">
        <v>-1E-4</v>
      </c>
    </row>
    <row r="362" spans="1:12" ht="15">
      <c r="A362" s="1" t="s">
        <v>1932</v>
      </c>
      <c r="B362" s="1" t="s">
        <v>230</v>
      </c>
      <c r="C362" s="1121" t="s">
        <v>515</v>
      </c>
      <c r="D362" s="1174">
        <v>1.2</v>
      </c>
      <c r="F362" s="1123">
        <v>-1E-4</v>
      </c>
      <c r="G362" s="278">
        <v>152.7777777777778</v>
      </c>
      <c r="H362" s="278">
        <v>152.7777777777778</v>
      </c>
      <c r="I362" s="1123">
        <v>-1E-4</v>
      </c>
      <c r="J362" s="1123">
        <v>-1E-4</v>
      </c>
      <c r="K362" s="1123">
        <v>-1E-4</v>
      </c>
      <c r="L362" s="1123">
        <v>-1E-4</v>
      </c>
    </row>
    <row r="363" spans="1:12" ht="15">
      <c r="A363" s="749" t="s">
        <v>3376</v>
      </c>
      <c r="B363" s="1" t="s">
        <v>230</v>
      </c>
      <c r="C363" s="1121" t="s">
        <v>483</v>
      </c>
      <c r="D363" s="1122">
        <v>1.62</v>
      </c>
      <c r="F363" s="1123">
        <v>-1E-4</v>
      </c>
      <c r="G363" s="278">
        <v>96.25</v>
      </c>
      <c r="H363" s="278">
        <v>96.25</v>
      </c>
      <c r="I363" s="1176">
        <v>158.13</v>
      </c>
      <c r="J363" s="1176">
        <v>158.13</v>
      </c>
      <c r="K363" s="179">
        <v>66</v>
      </c>
      <c r="L363" s="179">
        <v>66</v>
      </c>
    </row>
    <row r="364" spans="1:12" ht="15">
      <c r="A364" s="1" t="s">
        <v>3388</v>
      </c>
      <c r="B364" s="1" t="s">
        <v>230</v>
      </c>
      <c r="C364" s="1121" t="s">
        <v>483</v>
      </c>
      <c r="D364" s="1122">
        <v>1.62</v>
      </c>
      <c r="F364" s="1123">
        <v>-1E-4</v>
      </c>
      <c r="G364" s="1123">
        <v>-1E-4</v>
      </c>
      <c r="H364" s="1123">
        <v>-1E-4</v>
      </c>
      <c r="I364" s="1123">
        <v>-1E-4</v>
      </c>
      <c r="J364" s="1123">
        <v>-1E-4</v>
      </c>
      <c r="K364" s="1123">
        <v>-1E-4</v>
      </c>
      <c r="L364" s="1123">
        <v>-1E-4</v>
      </c>
    </row>
    <row r="365" spans="1:12" ht="15">
      <c r="A365" s="1" t="s">
        <v>1933</v>
      </c>
      <c r="B365" s="1" t="s">
        <v>230</v>
      </c>
      <c r="C365" s="1121" t="s">
        <v>483</v>
      </c>
      <c r="D365" s="1122">
        <v>1.62</v>
      </c>
      <c r="F365" s="1123">
        <v>-1E-4</v>
      </c>
      <c r="G365" s="1123">
        <v>-1E-4</v>
      </c>
      <c r="H365" s="1123">
        <v>-1E-4</v>
      </c>
      <c r="I365" s="1123">
        <v>-1E-4</v>
      </c>
      <c r="J365" s="1123">
        <v>-1E-4</v>
      </c>
      <c r="K365" s="1123">
        <v>-1E-4</v>
      </c>
      <c r="L365" s="1123">
        <v>-1E-4</v>
      </c>
    </row>
    <row r="366" spans="1:12" ht="15">
      <c r="A366" s="1" t="s">
        <v>3271</v>
      </c>
      <c r="B366" s="1" t="s">
        <v>230</v>
      </c>
      <c r="C366" s="1121" t="s">
        <v>487</v>
      </c>
      <c r="D366" s="1122">
        <v>1.62</v>
      </c>
      <c r="F366" s="1123">
        <v>-1E-4</v>
      </c>
      <c r="G366" s="278">
        <v>123.9837037037037</v>
      </c>
      <c r="H366" s="278">
        <v>123.9837037037037</v>
      </c>
      <c r="I366" s="1124">
        <v>14.4</v>
      </c>
      <c r="J366" s="1124">
        <v>14.4</v>
      </c>
      <c r="K366" s="1124">
        <v>14.4</v>
      </c>
      <c r="L366" s="1124">
        <v>14.4</v>
      </c>
    </row>
    <row r="367" spans="1:12" ht="15">
      <c r="A367" s="749" t="s">
        <v>3272</v>
      </c>
      <c r="B367" s="1" t="s">
        <v>230</v>
      </c>
      <c r="C367" s="1121" t="s">
        <v>487</v>
      </c>
      <c r="D367" s="1122">
        <v>2.62</v>
      </c>
      <c r="F367" s="1123">
        <v>-1E-4</v>
      </c>
      <c r="G367" s="278"/>
      <c r="H367" s="278"/>
      <c r="I367" s="1124"/>
      <c r="J367" s="1124"/>
      <c r="K367" s="1124"/>
      <c r="L367" s="1124"/>
    </row>
    <row r="368" spans="1:12" ht="15">
      <c r="A368" s="1" t="s">
        <v>3273</v>
      </c>
      <c r="B368" s="1" t="s">
        <v>230</v>
      </c>
      <c r="C368" s="1121" t="s">
        <v>487</v>
      </c>
      <c r="D368" s="1122">
        <v>1.62</v>
      </c>
      <c r="F368" s="1123">
        <v>-1E-4</v>
      </c>
      <c r="G368" s="278">
        <v>177.51</v>
      </c>
      <c r="H368" s="278">
        <v>177.51</v>
      </c>
      <c r="I368" s="1123">
        <v>-1E-4</v>
      </c>
      <c r="J368" s="1123">
        <v>-1E-4</v>
      </c>
      <c r="K368" s="1123">
        <v>-1E-4</v>
      </c>
      <c r="L368" s="1123">
        <v>-1E-4</v>
      </c>
    </row>
    <row r="369" spans="1:13" ht="15">
      <c r="A369" s="749" t="s">
        <v>3399</v>
      </c>
      <c r="B369" s="1" t="s">
        <v>230</v>
      </c>
      <c r="C369" s="1121" t="s">
        <v>483</v>
      </c>
      <c r="D369" s="1122">
        <v>1.62</v>
      </c>
      <c r="F369" s="1123">
        <v>-1E-4</v>
      </c>
      <c r="G369" s="749">
        <v>293.33</v>
      </c>
      <c r="H369" s="749">
        <v>293.33</v>
      </c>
      <c r="I369" s="749">
        <v>293.33</v>
      </c>
      <c r="J369" s="749">
        <v>293.33</v>
      </c>
      <c r="K369" s="749">
        <v>293.33</v>
      </c>
      <c r="L369" s="749">
        <v>293.33</v>
      </c>
    </row>
    <row r="370" spans="1:13" ht="15">
      <c r="A370" s="749" t="s">
        <v>3392</v>
      </c>
      <c r="B370" s="1" t="s">
        <v>230</v>
      </c>
      <c r="C370" s="1121" t="s">
        <v>483</v>
      </c>
      <c r="D370" s="1122">
        <v>1.62</v>
      </c>
      <c r="F370" s="1123">
        <v>-1E-4</v>
      </c>
      <c r="G370" s="749">
        <v>293.33</v>
      </c>
      <c r="H370" s="749">
        <v>293.33</v>
      </c>
      <c r="I370" s="749">
        <v>293.33</v>
      </c>
      <c r="J370" s="749">
        <v>293.33</v>
      </c>
      <c r="K370" s="749">
        <v>293.33</v>
      </c>
      <c r="L370" s="749">
        <v>293.33</v>
      </c>
      <c r="M370" s="1"/>
    </row>
    <row r="371" spans="1:13" ht="15">
      <c r="A371" s="749" t="s">
        <v>3274</v>
      </c>
      <c r="B371" s="1" t="s">
        <v>230</v>
      </c>
      <c r="C371" s="1121" t="s">
        <v>487</v>
      </c>
      <c r="D371" s="1122">
        <v>1.62</v>
      </c>
      <c r="F371" s="1123">
        <v>-1E-4</v>
      </c>
      <c r="I371" s="749"/>
      <c r="J371" s="749"/>
    </row>
    <row r="372" spans="1:13" ht="15">
      <c r="A372" s="1" t="s">
        <v>3503</v>
      </c>
      <c r="B372" s="1" t="s">
        <v>230</v>
      </c>
      <c r="C372" s="1121" t="s">
        <v>493</v>
      </c>
      <c r="D372" s="1122">
        <v>3.2</v>
      </c>
      <c r="F372" s="22">
        <v>18.8</v>
      </c>
      <c r="G372" s="749">
        <v>165</v>
      </c>
      <c r="H372" s="749">
        <v>165</v>
      </c>
      <c r="I372" s="1156">
        <v>90</v>
      </c>
      <c r="J372" s="1156">
        <v>90</v>
      </c>
      <c r="K372" s="749">
        <v>165</v>
      </c>
      <c r="L372" s="749">
        <v>165</v>
      </c>
    </row>
    <row r="373" spans="1:13" ht="15">
      <c r="A373" s="1" t="s">
        <v>3254</v>
      </c>
      <c r="B373" s="1" t="s">
        <v>230</v>
      </c>
      <c r="C373" s="1121" t="s">
        <v>493</v>
      </c>
      <c r="D373" s="1122">
        <v>3.2</v>
      </c>
      <c r="F373" s="22">
        <v>18.8</v>
      </c>
      <c r="G373" s="278">
        <v>185.18977777777781</v>
      </c>
      <c r="H373" s="278">
        <v>185.18977777777781</v>
      </c>
      <c r="I373" s="749">
        <v>165</v>
      </c>
      <c r="J373" s="749">
        <v>165</v>
      </c>
      <c r="K373" s="749">
        <v>165</v>
      </c>
      <c r="L373" s="749">
        <v>165</v>
      </c>
    </row>
    <row r="374" spans="1:13" ht="15">
      <c r="A374" s="749" t="s">
        <v>3504</v>
      </c>
      <c r="B374" s="1" t="s">
        <v>230</v>
      </c>
      <c r="C374" s="1121" t="s">
        <v>493</v>
      </c>
      <c r="D374" s="1122">
        <v>3.2</v>
      </c>
      <c r="F374" s="22">
        <v>18.8</v>
      </c>
      <c r="G374" s="749">
        <v>165</v>
      </c>
      <c r="H374" s="749">
        <v>165</v>
      </c>
      <c r="I374" s="1156">
        <v>90</v>
      </c>
      <c r="J374" s="1156">
        <v>90</v>
      </c>
      <c r="K374" s="749">
        <v>165</v>
      </c>
      <c r="L374" s="749">
        <v>165</v>
      </c>
    </row>
    <row r="375" spans="1:13" ht="15">
      <c r="A375" s="1" t="s">
        <v>3393</v>
      </c>
      <c r="B375" s="1" t="s">
        <v>230</v>
      </c>
      <c r="C375" s="1121" t="s">
        <v>517</v>
      </c>
      <c r="D375" s="1174">
        <v>1.2</v>
      </c>
      <c r="F375" s="1123">
        <v>-1E-4</v>
      </c>
      <c r="G375" s="1123">
        <v>-1E-4</v>
      </c>
      <c r="H375" s="1123">
        <v>-1E-4</v>
      </c>
      <c r="I375" s="1123">
        <v>-1E-4</v>
      </c>
      <c r="J375" s="1123">
        <v>-1E-4</v>
      </c>
      <c r="K375" s="1123">
        <v>-1E-4</v>
      </c>
      <c r="L375" s="1123">
        <v>-1E-4</v>
      </c>
    </row>
    <row r="376" spans="1:13" ht="15">
      <c r="A376" s="1" t="s">
        <v>1938</v>
      </c>
      <c r="B376" s="1" t="s">
        <v>230</v>
      </c>
      <c r="C376" s="1121" t="s">
        <v>515</v>
      </c>
      <c r="D376" s="1174">
        <v>1.2</v>
      </c>
      <c r="F376" s="1123">
        <v>-1E-4</v>
      </c>
      <c r="G376" s="1123">
        <v>-1E-4</v>
      </c>
      <c r="H376" s="1123">
        <v>-1E-4</v>
      </c>
      <c r="I376" s="1123">
        <v>-1E-4</v>
      </c>
      <c r="J376" s="1123">
        <v>-1E-4</v>
      </c>
      <c r="K376" s="1123">
        <v>-1E-4</v>
      </c>
      <c r="L376" s="1123">
        <v>-1E-4</v>
      </c>
    </row>
    <row r="377" spans="1:13" ht="15">
      <c r="A377" s="1" t="s">
        <v>3548</v>
      </c>
      <c r="B377" s="1" t="s">
        <v>230</v>
      </c>
      <c r="C377" s="1189" t="s">
        <v>516</v>
      </c>
      <c r="D377" s="1174">
        <v>1.2</v>
      </c>
      <c r="F377" s="1123">
        <v>-1E-4</v>
      </c>
      <c r="G377" s="1124">
        <v>143</v>
      </c>
      <c r="H377" s="1124">
        <v>143</v>
      </c>
      <c r="I377" s="1124">
        <v>143</v>
      </c>
      <c r="J377" s="1124">
        <v>143</v>
      </c>
      <c r="K377" s="1124">
        <v>143</v>
      </c>
      <c r="L377" s="1124">
        <v>143</v>
      </c>
    </row>
    <row r="378" spans="1:13" ht="15">
      <c r="A378" s="1" t="s">
        <v>1940</v>
      </c>
      <c r="B378" s="1" t="s">
        <v>230</v>
      </c>
      <c r="C378" s="1121" t="s">
        <v>515</v>
      </c>
      <c r="D378" s="1174">
        <v>1.2</v>
      </c>
      <c r="F378" s="1123">
        <v>-1E-4</v>
      </c>
      <c r="G378" s="1123">
        <v>-1E-4</v>
      </c>
      <c r="H378" s="1123">
        <v>-1E-4</v>
      </c>
      <c r="I378" s="1123">
        <v>-1E-4</v>
      </c>
      <c r="J378" s="1123">
        <v>-1E-4</v>
      </c>
      <c r="K378" s="1123">
        <v>-1E-4</v>
      </c>
      <c r="L378" s="1123">
        <v>-1E-4</v>
      </c>
    </row>
    <row r="379" spans="1:13">
      <c r="A379" s="1" t="s">
        <v>3275</v>
      </c>
      <c r="B379" s="1" t="s">
        <v>230</v>
      </c>
      <c r="D379" s="404">
        <v>1.7</v>
      </c>
      <c r="F379" s="96">
        <v>29.1</v>
      </c>
      <c r="G379" s="1123">
        <v>-1E-4</v>
      </c>
      <c r="H379" s="1123">
        <v>-1E-4</v>
      </c>
      <c r="I379" s="1123">
        <v>-1E-4</v>
      </c>
      <c r="J379" s="1123">
        <v>-1E-4</v>
      </c>
      <c r="K379" s="1123">
        <v>-1E-4</v>
      </c>
      <c r="L379" s="1123">
        <v>-1E-4</v>
      </c>
    </row>
    <row r="380" spans="1:13" ht="15">
      <c r="A380" s="1" t="s">
        <v>3255</v>
      </c>
      <c r="B380" s="1" t="s">
        <v>230</v>
      </c>
      <c r="C380" s="1121" t="s">
        <v>499</v>
      </c>
      <c r="D380" s="1122">
        <v>2.93</v>
      </c>
      <c r="F380" s="1123">
        <v>-1E-4</v>
      </c>
      <c r="G380" s="749">
        <v>990</v>
      </c>
      <c r="H380" s="749">
        <v>990</v>
      </c>
      <c r="I380" s="1156">
        <v>300</v>
      </c>
      <c r="J380" s="1156">
        <v>300</v>
      </c>
      <c r="K380" s="749">
        <v>990</v>
      </c>
      <c r="L380" s="749">
        <v>990</v>
      </c>
    </row>
    <row r="381" spans="1:13" ht="15">
      <c r="A381" s="1" t="s">
        <v>3258</v>
      </c>
      <c r="B381" s="1" t="s">
        <v>230</v>
      </c>
      <c r="C381" s="1121" t="s">
        <v>493</v>
      </c>
      <c r="D381" s="1122">
        <v>3.2</v>
      </c>
      <c r="F381" s="22">
        <v>21</v>
      </c>
      <c r="G381" s="1123">
        <v>-1E-4</v>
      </c>
      <c r="H381" s="1123">
        <v>-1E-4</v>
      </c>
      <c r="I381" s="1169">
        <v>90</v>
      </c>
      <c r="J381" s="1169">
        <v>90</v>
      </c>
      <c r="K381" s="1123">
        <v>-1E-4</v>
      </c>
      <c r="L381" s="1123">
        <v>-1E-4</v>
      </c>
    </row>
    <row r="382" spans="1:13" ht="15">
      <c r="A382" s="1" t="s">
        <v>3505</v>
      </c>
      <c r="B382" s="1" t="s">
        <v>230</v>
      </c>
      <c r="C382" s="1121" t="s">
        <v>493</v>
      </c>
      <c r="D382" s="1122">
        <v>3.2</v>
      </c>
      <c r="F382" s="22">
        <v>21</v>
      </c>
      <c r="G382" s="1123">
        <v>-1E-4</v>
      </c>
      <c r="H382" s="1123">
        <v>-1E-4</v>
      </c>
      <c r="I382" s="1123">
        <v>-1E-4</v>
      </c>
      <c r="J382" s="1123">
        <v>-1E-4</v>
      </c>
      <c r="K382" s="1123">
        <v>-1E-4</v>
      </c>
      <c r="L382" s="1123">
        <v>-1E-4</v>
      </c>
    </row>
    <row r="383" spans="1:13" ht="15">
      <c r="A383" s="1" t="s">
        <v>3276</v>
      </c>
      <c r="B383" s="1" t="s">
        <v>230</v>
      </c>
      <c r="C383" s="1121" t="s">
        <v>493</v>
      </c>
      <c r="D383" s="1122">
        <v>3.2</v>
      </c>
      <c r="F383" s="22">
        <v>21</v>
      </c>
      <c r="G383" s="1123">
        <v>-1E-4</v>
      </c>
      <c r="H383" s="1123">
        <v>-1E-4</v>
      </c>
      <c r="I383" s="1123">
        <v>-1E-4</v>
      </c>
      <c r="J383" s="1123">
        <v>-1E-4</v>
      </c>
      <c r="K383" s="1123">
        <v>-1E-4</v>
      </c>
      <c r="L383" s="1123">
        <v>-1E-4</v>
      </c>
    </row>
    <row r="384" spans="1:13" ht="15">
      <c r="A384" s="1" t="s">
        <v>3256</v>
      </c>
      <c r="B384" s="1" t="s">
        <v>230</v>
      </c>
      <c r="C384" s="1121" t="s">
        <v>493</v>
      </c>
      <c r="D384" s="1122">
        <v>3.2</v>
      </c>
      <c r="F384" s="22">
        <v>21</v>
      </c>
      <c r="G384" s="179">
        <v>72</v>
      </c>
      <c r="H384" s="179">
        <v>72</v>
      </c>
      <c r="I384" s="179">
        <v>72</v>
      </c>
      <c r="J384" s="179">
        <v>72</v>
      </c>
      <c r="K384" s="179">
        <v>72</v>
      </c>
      <c r="L384" s="179">
        <v>72</v>
      </c>
    </row>
    <row r="385" spans="1:14" ht="15">
      <c r="A385" s="1" t="s">
        <v>3277</v>
      </c>
      <c r="B385" s="1" t="s">
        <v>230</v>
      </c>
      <c r="C385" s="1121" t="s">
        <v>493</v>
      </c>
      <c r="D385" s="1122">
        <v>3.2</v>
      </c>
      <c r="F385" s="22">
        <v>21</v>
      </c>
      <c r="G385" s="1123">
        <v>-1E-4</v>
      </c>
      <c r="H385" s="1123">
        <v>-1E-4</v>
      </c>
      <c r="I385" s="1169">
        <v>90</v>
      </c>
      <c r="J385" s="1169">
        <v>90</v>
      </c>
      <c r="K385" s="1123">
        <v>-1E-4</v>
      </c>
      <c r="L385" s="1123">
        <v>-1E-4</v>
      </c>
    </row>
    <row r="386" spans="1:14" ht="15">
      <c r="A386" s="1" t="s">
        <v>3257</v>
      </c>
      <c r="B386" s="1" t="s">
        <v>230</v>
      </c>
      <c r="C386" s="1121" t="s">
        <v>493</v>
      </c>
      <c r="D386" s="1122">
        <v>3.2</v>
      </c>
      <c r="F386" s="22">
        <v>25.7</v>
      </c>
      <c r="G386" s="278">
        <v>145.15200000000002</v>
      </c>
      <c r="H386" s="278">
        <v>145.15200000000002</v>
      </c>
      <c r="I386" s="179">
        <v>72</v>
      </c>
      <c r="J386" s="179">
        <v>72</v>
      </c>
      <c r="K386" s="179">
        <v>72</v>
      </c>
      <c r="L386" s="179">
        <v>72</v>
      </c>
    </row>
    <row r="387" spans="1:14" ht="15">
      <c r="A387" s="1" t="s">
        <v>3259</v>
      </c>
      <c r="B387" s="1" t="s">
        <v>230</v>
      </c>
      <c r="C387" s="1121" t="s">
        <v>512</v>
      </c>
      <c r="D387" s="1174">
        <v>2.1800000000000002</v>
      </c>
      <c r="F387" s="1123">
        <v>-1E-4</v>
      </c>
      <c r="G387" s="1123">
        <v>-1E-4</v>
      </c>
      <c r="H387" s="1123">
        <v>-1E-4</v>
      </c>
      <c r="I387" s="1123">
        <v>-1E-4</v>
      </c>
      <c r="J387" s="1123">
        <v>-1E-4</v>
      </c>
      <c r="K387" s="1123">
        <v>-1E-4</v>
      </c>
      <c r="L387" s="1123">
        <v>-1E-4</v>
      </c>
    </row>
    <row r="388" spans="1:14" ht="15">
      <c r="A388" s="1" t="s">
        <v>3278</v>
      </c>
      <c r="B388" s="1" t="s">
        <v>230</v>
      </c>
      <c r="C388" s="1121" t="s">
        <v>483</v>
      </c>
      <c r="D388" s="1122">
        <v>1.62</v>
      </c>
      <c r="F388" s="1123">
        <v>-1E-4</v>
      </c>
      <c r="G388" s="749">
        <v>330</v>
      </c>
      <c r="H388" s="749">
        <v>330</v>
      </c>
      <c r="I388" s="1156">
        <v>275</v>
      </c>
      <c r="J388" s="1156">
        <v>275</v>
      </c>
      <c r="K388" s="749">
        <v>330</v>
      </c>
      <c r="L388" s="749">
        <v>330</v>
      </c>
    </row>
    <row r="389" spans="1:14" ht="15">
      <c r="A389" s="492" t="s">
        <v>3500</v>
      </c>
      <c r="B389" s="24" t="s">
        <v>230</v>
      </c>
      <c r="C389" s="737" t="s">
        <v>483</v>
      </c>
      <c r="D389" s="1122">
        <v>1.62</v>
      </c>
      <c r="F389" s="1123">
        <v>-1E-4</v>
      </c>
      <c r="G389" s="278">
        <v>96.25</v>
      </c>
      <c r="H389" s="278">
        <v>96.25</v>
      </c>
      <c r="I389" s="1176">
        <v>158.13</v>
      </c>
      <c r="J389" s="1176">
        <v>158.13</v>
      </c>
      <c r="K389" s="179">
        <v>66</v>
      </c>
      <c r="L389" s="179">
        <v>66</v>
      </c>
    </row>
    <row r="390" spans="1:14" ht="15">
      <c r="A390" s="1" t="s">
        <v>3279</v>
      </c>
      <c r="B390" s="1" t="s">
        <v>231</v>
      </c>
      <c r="C390" s="1153"/>
      <c r="D390" s="1180">
        <v>1.2</v>
      </c>
      <c r="F390" s="1123">
        <v>-1E-4</v>
      </c>
      <c r="G390" s="278">
        <v>297.95288671023962</v>
      </c>
      <c r="H390" s="278">
        <v>297.95288671023962</v>
      </c>
      <c r="I390" s="749">
        <v>457.14</v>
      </c>
      <c r="J390" s="749">
        <v>457.14</v>
      </c>
      <c r="K390" s="749">
        <v>457.14</v>
      </c>
      <c r="L390" s="749">
        <v>457.14</v>
      </c>
    </row>
    <row r="391" spans="1:14" ht="15">
      <c r="A391" s="1" t="s">
        <v>3286</v>
      </c>
      <c r="B391" s="1" t="s">
        <v>231</v>
      </c>
      <c r="C391" s="1153"/>
      <c r="D391" s="1180">
        <v>1.2</v>
      </c>
      <c r="F391" s="1123">
        <v>-1E-4</v>
      </c>
      <c r="G391" s="278">
        <v>297.95288671023962</v>
      </c>
      <c r="H391" s="278">
        <v>297.95288671023962</v>
      </c>
      <c r="I391" s="749">
        <v>457.14</v>
      </c>
      <c r="J391" s="749">
        <v>457.14</v>
      </c>
      <c r="K391" s="749">
        <v>457.14</v>
      </c>
      <c r="L391" s="749">
        <v>457.14</v>
      </c>
    </row>
    <row r="392" spans="1:14" ht="15">
      <c r="A392" s="1" t="s">
        <v>3287</v>
      </c>
      <c r="B392" s="1" t="s">
        <v>231</v>
      </c>
      <c r="C392" s="1153"/>
      <c r="D392" s="1180">
        <v>1</v>
      </c>
      <c r="F392" s="1123">
        <v>-1E-4</v>
      </c>
      <c r="G392" s="1123">
        <v>-1E-4</v>
      </c>
      <c r="H392" s="1123">
        <v>-1E-4</v>
      </c>
      <c r="I392" s="1123">
        <v>-1E-4</v>
      </c>
      <c r="J392" s="1123">
        <v>-1E-4</v>
      </c>
      <c r="K392" s="1123">
        <v>-1E-4</v>
      </c>
      <c r="L392" s="1123">
        <v>-1E-4</v>
      </c>
    </row>
    <row r="393" spans="1:14" ht="15">
      <c r="A393" s="1" t="s">
        <v>3280</v>
      </c>
      <c r="B393" s="1" t="s">
        <v>231</v>
      </c>
      <c r="C393" s="1157" t="s">
        <v>433</v>
      </c>
      <c r="D393" s="1161">
        <v>1.2</v>
      </c>
      <c r="F393" s="1123">
        <v>-1E-4</v>
      </c>
      <c r="G393" s="278">
        <v>95.256</v>
      </c>
      <c r="H393" s="278">
        <v>95.256</v>
      </c>
      <c r="I393" s="1184">
        <v>120</v>
      </c>
      <c r="J393" s="1184">
        <v>120</v>
      </c>
      <c r="K393" s="183">
        <v>102</v>
      </c>
      <c r="L393" s="183">
        <v>102</v>
      </c>
      <c r="N393" s="1"/>
    </row>
    <row r="394" spans="1:14" ht="15">
      <c r="A394" s="1" t="s">
        <v>3281</v>
      </c>
      <c r="B394" s="1" t="s">
        <v>231</v>
      </c>
      <c r="C394" s="1157" t="s">
        <v>433</v>
      </c>
      <c r="D394" s="1161">
        <v>1.2</v>
      </c>
      <c r="F394" s="1123">
        <v>-1E-4</v>
      </c>
      <c r="G394" s="278">
        <v>95.256</v>
      </c>
      <c r="H394" s="278">
        <v>95.256</v>
      </c>
      <c r="I394" s="1184">
        <v>120</v>
      </c>
      <c r="J394" s="1184">
        <v>120</v>
      </c>
      <c r="K394" s="183">
        <v>102</v>
      </c>
      <c r="L394" s="183">
        <v>102</v>
      </c>
    </row>
    <row r="395" spans="1:14" ht="15">
      <c r="A395" s="1" t="s">
        <v>1958</v>
      </c>
      <c r="B395" s="1" t="s">
        <v>231</v>
      </c>
      <c r="C395" s="1157" t="s">
        <v>433</v>
      </c>
      <c r="D395" s="1161">
        <v>1.2</v>
      </c>
      <c r="F395" s="1123">
        <v>-1E-4</v>
      </c>
      <c r="G395" s="278">
        <v>95.256</v>
      </c>
      <c r="H395" s="278">
        <v>95.256</v>
      </c>
      <c r="I395" s="1184">
        <v>120</v>
      </c>
      <c r="J395" s="1184">
        <v>120</v>
      </c>
      <c r="K395" s="183">
        <v>102</v>
      </c>
      <c r="L395" s="183">
        <v>102</v>
      </c>
    </row>
    <row r="396" spans="1:14" ht="15">
      <c r="A396" s="1" t="s">
        <v>1959</v>
      </c>
      <c r="B396" s="1" t="s">
        <v>231</v>
      </c>
      <c r="C396" s="1157" t="s">
        <v>433</v>
      </c>
      <c r="D396" s="1161">
        <v>1.2</v>
      </c>
      <c r="F396" s="1123">
        <v>-1E-4</v>
      </c>
      <c r="G396" s="278">
        <v>95.256</v>
      </c>
      <c r="H396" s="278">
        <v>95.256</v>
      </c>
      <c r="I396" s="1184">
        <v>120</v>
      </c>
      <c r="J396" s="1184">
        <v>120</v>
      </c>
      <c r="K396" s="183">
        <v>102</v>
      </c>
      <c r="L396" s="183">
        <v>102</v>
      </c>
    </row>
    <row r="397" spans="1:14" ht="15">
      <c r="A397" s="1" t="s">
        <v>1960</v>
      </c>
      <c r="B397" s="1" t="s">
        <v>231</v>
      </c>
      <c r="C397" s="1157" t="s">
        <v>433</v>
      </c>
      <c r="D397" s="1161">
        <v>1.2</v>
      </c>
      <c r="F397" s="1123">
        <v>-1E-4</v>
      </c>
      <c r="G397" s="278">
        <v>95.256</v>
      </c>
      <c r="H397" s="278">
        <v>95.256</v>
      </c>
      <c r="I397" s="1184">
        <v>120</v>
      </c>
      <c r="J397" s="1184">
        <v>120</v>
      </c>
      <c r="K397" s="183">
        <v>102</v>
      </c>
      <c r="L397" s="183">
        <v>102</v>
      </c>
    </row>
    <row r="398" spans="1:14" ht="15">
      <c r="A398" s="749" t="s">
        <v>3288</v>
      </c>
      <c r="B398" s="1" t="s">
        <v>231</v>
      </c>
      <c r="C398" s="1157" t="s">
        <v>432</v>
      </c>
      <c r="D398" s="1161">
        <v>1.4</v>
      </c>
      <c r="F398" s="22">
        <v>16.8</v>
      </c>
      <c r="G398" s="183">
        <v>60</v>
      </c>
      <c r="H398" s="183">
        <v>60</v>
      </c>
      <c r="I398" s="183">
        <v>60</v>
      </c>
      <c r="J398" s="183">
        <v>60</v>
      </c>
      <c r="K398" s="183">
        <v>60</v>
      </c>
      <c r="L398" s="183">
        <v>60</v>
      </c>
    </row>
    <row r="399" spans="1:14" ht="15">
      <c r="A399" s="1" t="s">
        <v>1961</v>
      </c>
      <c r="B399" s="1" t="s">
        <v>231</v>
      </c>
      <c r="C399" s="1121" t="s">
        <v>504</v>
      </c>
      <c r="D399" s="1122">
        <v>4.8</v>
      </c>
      <c r="F399" s="1123">
        <v>-1E-4</v>
      </c>
      <c r="G399" s="278">
        <v>642.6</v>
      </c>
      <c r="H399" s="278">
        <v>642.6</v>
      </c>
      <c r="I399" s="1184">
        <v>114</v>
      </c>
      <c r="J399" s="1184">
        <v>114</v>
      </c>
      <c r="K399" s="183">
        <v>420</v>
      </c>
      <c r="L399" s="183">
        <v>420</v>
      </c>
    </row>
    <row r="400" spans="1:14" ht="15">
      <c r="A400" s="749" t="s">
        <v>3289</v>
      </c>
      <c r="B400" s="1" t="s">
        <v>231</v>
      </c>
      <c r="C400" s="1121" t="s">
        <v>489</v>
      </c>
      <c r="D400" s="1122">
        <v>4.7300000000000004</v>
      </c>
      <c r="F400" s="1123">
        <v>-1E-4</v>
      </c>
      <c r="G400" s="1123">
        <v>-1E-4</v>
      </c>
      <c r="H400" s="1123">
        <v>-1E-4</v>
      </c>
      <c r="I400" s="1123">
        <v>-1E-4</v>
      </c>
      <c r="J400" s="1123">
        <v>-1E-4</v>
      </c>
      <c r="K400" s="1123">
        <v>-1E-4</v>
      </c>
      <c r="L400" s="1123">
        <v>-1E-4</v>
      </c>
    </row>
    <row r="401" spans="1:14" ht="15">
      <c r="A401" s="1" t="s">
        <v>1962</v>
      </c>
      <c r="B401" s="1" t="s">
        <v>231</v>
      </c>
      <c r="C401" s="1121" t="s">
        <v>489</v>
      </c>
      <c r="D401" s="1122">
        <v>4.7300000000000004</v>
      </c>
      <c r="F401" s="1123">
        <v>-1E-4</v>
      </c>
      <c r="G401" s="1123">
        <v>-1E-4</v>
      </c>
      <c r="H401" s="1123">
        <v>-1E-4</v>
      </c>
      <c r="I401" s="1123">
        <v>-1E-4</v>
      </c>
      <c r="J401" s="1123">
        <v>-1E-4</v>
      </c>
      <c r="K401" s="1123">
        <v>-1E-4</v>
      </c>
      <c r="L401" s="1123">
        <v>-1E-4</v>
      </c>
    </row>
    <row r="402" spans="1:14" ht="15">
      <c r="A402" s="1" t="s">
        <v>1963</v>
      </c>
      <c r="B402" s="1" t="s">
        <v>231</v>
      </c>
      <c r="C402" s="1121" t="s">
        <v>489</v>
      </c>
      <c r="D402" s="1122">
        <v>4.7300000000000004</v>
      </c>
      <c r="F402" s="1123">
        <v>-1E-4</v>
      </c>
      <c r="G402" s="278">
        <v>279.71944444444443</v>
      </c>
      <c r="H402" s="278">
        <v>279.71944444444443</v>
      </c>
      <c r="I402" s="183">
        <v>120</v>
      </c>
      <c r="J402" s="183">
        <v>120</v>
      </c>
      <c r="K402" s="183">
        <v>120</v>
      </c>
      <c r="L402" s="183">
        <v>120</v>
      </c>
    </row>
    <row r="403" spans="1:14" ht="15">
      <c r="A403" s="1" t="s">
        <v>1964</v>
      </c>
      <c r="B403" s="1" t="s">
        <v>231</v>
      </c>
      <c r="C403" s="1121" t="s">
        <v>489</v>
      </c>
      <c r="D403" s="1122">
        <v>4.7300000000000004</v>
      </c>
      <c r="F403" s="1123">
        <v>-1E-4</v>
      </c>
      <c r="G403" s="278">
        <v>279.71944444444443</v>
      </c>
      <c r="H403" s="278">
        <v>279.71944444444443</v>
      </c>
      <c r="I403" s="183">
        <v>120</v>
      </c>
      <c r="J403" s="183">
        <v>120</v>
      </c>
      <c r="K403" s="183">
        <v>120</v>
      </c>
      <c r="L403" s="183">
        <v>120</v>
      </c>
    </row>
    <row r="404" spans="1:14" ht="15">
      <c r="A404" s="1154" t="s">
        <v>3290</v>
      </c>
      <c r="B404" s="1" t="s">
        <v>231</v>
      </c>
      <c r="C404" s="1157" t="s">
        <v>432</v>
      </c>
      <c r="D404" s="1161">
        <v>1.4</v>
      </c>
      <c r="F404" s="22">
        <v>20.7</v>
      </c>
      <c r="G404" s="278">
        <v>264.60006313131316</v>
      </c>
      <c r="H404" s="278">
        <v>264.60006313131316</v>
      </c>
      <c r="I404" s="1184">
        <v>120</v>
      </c>
      <c r="J404" s="1184">
        <v>120</v>
      </c>
      <c r="K404" s="183">
        <v>33.6</v>
      </c>
      <c r="L404" s="183">
        <v>33.6</v>
      </c>
      <c r="N404" s="1154"/>
    </row>
    <row r="405" spans="1:14" ht="15">
      <c r="A405" s="749" t="s">
        <v>3291</v>
      </c>
      <c r="B405" s="1" t="s">
        <v>231</v>
      </c>
      <c r="C405" s="1157" t="s">
        <v>432</v>
      </c>
      <c r="D405" s="1161">
        <v>1.4</v>
      </c>
      <c r="F405" s="22">
        <v>20.7</v>
      </c>
      <c r="G405" s="278">
        <v>264.60006313131316</v>
      </c>
      <c r="H405" s="278">
        <v>264.60006313131316</v>
      </c>
      <c r="I405" s="1184">
        <v>120</v>
      </c>
      <c r="J405" s="1184">
        <v>120</v>
      </c>
      <c r="K405" s="183">
        <v>33.6</v>
      </c>
      <c r="L405" s="183">
        <v>33.6</v>
      </c>
      <c r="N405" s="1154"/>
    </row>
    <row r="406" spans="1:14" ht="15">
      <c r="A406" s="749" t="s">
        <v>3293</v>
      </c>
      <c r="B406" s="1" t="s">
        <v>231</v>
      </c>
      <c r="C406" s="1157" t="s">
        <v>432</v>
      </c>
      <c r="D406" s="1161">
        <v>1.4</v>
      </c>
      <c r="F406" s="22">
        <v>20.7</v>
      </c>
      <c r="G406" s="278">
        <v>264.60006313131316</v>
      </c>
      <c r="H406" s="278">
        <v>264.60006313131316</v>
      </c>
      <c r="I406" s="1184">
        <v>120</v>
      </c>
      <c r="J406" s="1184">
        <v>120</v>
      </c>
      <c r="K406" s="183">
        <v>33.6</v>
      </c>
      <c r="L406" s="183">
        <v>33.6</v>
      </c>
    </row>
    <row r="407" spans="1:14" ht="15">
      <c r="A407" s="1" t="s">
        <v>3282</v>
      </c>
      <c r="B407" s="1" t="s">
        <v>231</v>
      </c>
      <c r="C407" s="1157" t="s">
        <v>432</v>
      </c>
      <c r="D407" s="1161">
        <v>1.4</v>
      </c>
      <c r="F407" s="22">
        <v>16.8</v>
      </c>
      <c r="G407" s="183">
        <v>60</v>
      </c>
      <c r="H407" s="183">
        <v>60</v>
      </c>
      <c r="I407" s="183">
        <v>60</v>
      </c>
      <c r="J407" s="183">
        <v>60</v>
      </c>
      <c r="K407" s="183">
        <v>60</v>
      </c>
      <c r="L407" s="183">
        <v>60</v>
      </c>
    </row>
    <row r="408" spans="1:14" ht="15">
      <c r="A408" s="1" t="s">
        <v>3283</v>
      </c>
      <c r="B408" s="1" t="s">
        <v>231</v>
      </c>
      <c r="C408" s="1153"/>
      <c r="D408" s="1180">
        <v>1</v>
      </c>
      <c r="F408" s="1123">
        <v>-0.01</v>
      </c>
      <c r="G408" s="278">
        <v>559.43888888888887</v>
      </c>
      <c r="H408" s="278">
        <v>559.43888888888887</v>
      </c>
      <c r="I408" s="1184">
        <v>300</v>
      </c>
      <c r="J408" s="1184">
        <v>300</v>
      </c>
      <c r="K408" s="183">
        <v>240</v>
      </c>
      <c r="L408" s="183">
        <v>240</v>
      </c>
    </row>
    <row r="409" spans="1:14" ht="15">
      <c r="A409" s="1" t="s">
        <v>3531</v>
      </c>
      <c r="B409" s="1" t="s">
        <v>231</v>
      </c>
      <c r="C409" s="1121" t="s">
        <v>492</v>
      </c>
      <c r="D409" s="1122">
        <v>4.7300000000000004</v>
      </c>
      <c r="F409" s="1123">
        <v>-1E-4</v>
      </c>
      <c r="G409" s="1123">
        <v>-1E-4</v>
      </c>
      <c r="H409" s="1123">
        <v>-1E-4</v>
      </c>
      <c r="I409" s="1123">
        <v>-1E-4</v>
      </c>
      <c r="J409" s="1123">
        <v>-1E-4</v>
      </c>
      <c r="K409" s="1123">
        <v>-1E-4</v>
      </c>
      <c r="L409" s="1123">
        <v>-1E-4</v>
      </c>
    </row>
    <row r="410" spans="1:14" ht="15">
      <c r="A410" s="1" t="s">
        <v>492</v>
      </c>
      <c r="B410" s="1" t="s">
        <v>231</v>
      </c>
      <c r="C410" s="1121" t="s">
        <v>492</v>
      </c>
      <c r="D410" s="1122">
        <v>4.7300000000000004</v>
      </c>
      <c r="F410" s="1123">
        <v>-1E-4</v>
      </c>
      <c r="G410" s="278">
        <v>249.48000000000002</v>
      </c>
      <c r="H410" s="278">
        <v>249.48000000000002</v>
      </c>
      <c r="I410" s="1169">
        <v>102</v>
      </c>
      <c r="J410" s="1169">
        <v>102</v>
      </c>
      <c r="K410" s="1123">
        <v>-1E-4</v>
      </c>
      <c r="L410" s="1123">
        <v>-1E-4</v>
      </c>
    </row>
    <row r="411" spans="1:14" ht="15">
      <c r="A411" s="1" t="s">
        <v>498</v>
      </c>
      <c r="B411" s="1" t="s">
        <v>231</v>
      </c>
      <c r="C411" s="1121" t="s">
        <v>498</v>
      </c>
      <c r="D411" s="1158">
        <v>1.6</v>
      </c>
      <c r="F411" s="22">
        <v>30.8</v>
      </c>
      <c r="G411" s="278">
        <v>60.480000000000004</v>
      </c>
      <c r="H411" s="278">
        <v>60.480000000000004</v>
      </c>
      <c r="I411" s="1184">
        <v>48</v>
      </c>
      <c r="J411" s="1184">
        <v>48</v>
      </c>
      <c r="K411" s="183">
        <v>43.199999999999996</v>
      </c>
      <c r="L411" s="183">
        <v>43.199999999999996</v>
      </c>
    </row>
    <row r="412" spans="1:14" ht="15">
      <c r="A412" s="749" t="s">
        <v>3284</v>
      </c>
      <c r="B412" s="1" t="s">
        <v>231</v>
      </c>
      <c r="C412" s="1121" t="s">
        <v>498</v>
      </c>
      <c r="D412" s="1158">
        <v>1.6</v>
      </c>
      <c r="F412" s="22">
        <v>30.8</v>
      </c>
      <c r="G412" s="278">
        <v>60.480000000000004</v>
      </c>
      <c r="H412" s="278">
        <v>60.480000000000004</v>
      </c>
      <c r="I412" s="1184">
        <v>48</v>
      </c>
      <c r="J412" s="1184">
        <v>48</v>
      </c>
      <c r="K412" s="183">
        <v>43.199999999999996</v>
      </c>
      <c r="L412" s="183">
        <v>43.199999999999996</v>
      </c>
    </row>
    <row r="413" spans="1:14" ht="15">
      <c r="A413" s="1" t="s">
        <v>3285</v>
      </c>
      <c r="B413" s="1" t="s">
        <v>231</v>
      </c>
      <c r="C413" s="1121" t="s">
        <v>498</v>
      </c>
      <c r="D413" s="1158">
        <v>1.6</v>
      </c>
      <c r="F413" s="22">
        <v>30.8</v>
      </c>
      <c r="G413" s="278">
        <v>60.480000000000004</v>
      </c>
      <c r="H413" s="278">
        <v>60.480000000000004</v>
      </c>
      <c r="I413" s="1184">
        <v>48</v>
      </c>
      <c r="J413" s="1184">
        <v>48</v>
      </c>
      <c r="K413" s="183">
        <v>43.199999999999996</v>
      </c>
      <c r="L413" s="183">
        <v>43.199999999999996</v>
      </c>
    </row>
    <row r="414" spans="1:14" ht="15">
      <c r="A414" s="749" t="s">
        <v>3294</v>
      </c>
      <c r="B414" s="1" t="s">
        <v>231</v>
      </c>
      <c r="C414" s="1121" t="s">
        <v>492</v>
      </c>
      <c r="D414" s="1122">
        <v>4.7300000000000004</v>
      </c>
      <c r="F414" s="1123">
        <v>-1E-4</v>
      </c>
      <c r="G414" s="1123">
        <v>-1E-4</v>
      </c>
      <c r="H414" s="1123">
        <v>-1E-4</v>
      </c>
      <c r="I414" s="1123">
        <v>-1E-4</v>
      </c>
      <c r="J414" s="1123">
        <v>-1E-4</v>
      </c>
      <c r="K414" s="1123">
        <v>-1E-4</v>
      </c>
      <c r="L414" s="1123">
        <v>-1E-4</v>
      </c>
    </row>
    <row r="415" spans="1:14" ht="15">
      <c r="A415" s="24" t="s">
        <v>3292</v>
      </c>
      <c r="B415" s="24" t="s">
        <v>231</v>
      </c>
      <c r="C415" s="345" t="s">
        <v>432</v>
      </c>
      <c r="D415" s="1161">
        <v>1.4</v>
      </c>
      <c r="F415" s="22">
        <v>16.8</v>
      </c>
      <c r="G415" s="183">
        <v>60</v>
      </c>
      <c r="H415" s="183">
        <v>60</v>
      </c>
      <c r="I415" s="183">
        <v>60</v>
      </c>
      <c r="J415" s="183">
        <v>60</v>
      </c>
      <c r="K415" s="183">
        <v>60</v>
      </c>
      <c r="L415" s="183">
        <v>60</v>
      </c>
    </row>
    <row r="416" spans="1:14" ht="15">
      <c r="A416" s="397" t="s">
        <v>1966</v>
      </c>
      <c r="B416" s="1" t="s">
        <v>232</v>
      </c>
      <c r="C416" s="1121" t="s">
        <v>491</v>
      </c>
      <c r="D416" s="1122">
        <v>0.87</v>
      </c>
      <c r="F416" s="749">
        <v>32.4</v>
      </c>
      <c r="G416" s="278">
        <v>831.59999999999991</v>
      </c>
      <c r="H416" s="278">
        <v>831.59999999999991</v>
      </c>
      <c r="I416" s="183">
        <v>420</v>
      </c>
      <c r="J416" s="183">
        <v>420</v>
      </c>
      <c r="K416" s="183">
        <v>420</v>
      </c>
      <c r="L416" s="183">
        <v>420</v>
      </c>
    </row>
    <row r="417" spans="1:13" ht="15">
      <c r="A417" s="53" t="s">
        <v>3295</v>
      </c>
      <c r="B417" s="1" t="s">
        <v>232</v>
      </c>
      <c r="C417" s="1121" t="s">
        <v>491</v>
      </c>
      <c r="D417" s="1122">
        <v>0.87</v>
      </c>
      <c r="F417" s="1123">
        <v>-1E-4</v>
      </c>
      <c r="G417" s="1123">
        <v>-1E-4</v>
      </c>
      <c r="H417" s="1123">
        <v>-1E-4</v>
      </c>
      <c r="I417" s="1123">
        <v>-1E-4</v>
      </c>
      <c r="J417" s="1123">
        <v>-1E-4</v>
      </c>
      <c r="K417" s="1123">
        <v>-1E-4</v>
      </c>
      <c r="L417" s="1123">
        <v>-1E-4</v>
      </c>
    </row>
    <row r="418" spans="1:13" ht="15">
      <c r="A418" s="53" t="s">
        <v>3296</v>
      </c>
      <c r="B418" s="1" t="s">
        <v>232</v>
      </c>
      <c r="C418" s="1121" t="s">
        <v>490</v>
      </c>
      <c r="D418" s="1122">
        <v>0.87</v>
      </c>
      <c r="F418" s="22">
        <v>28</v>
      </c>
      <c r="G418" s="278">
        <v>3175.2</v>
      </c>
      <c r="H418" s="278">
        <v>3175.2</v>
      </c>
      <c r="I418" s="183">
        <v>240</v>
      </c>
      <c r="J418" s="183">
        <v>240</v>
      </c>
      <c r="K418" s="183">
        <v>240</v>
      </c>
      <c r="L418" s="183">
        <v>240</v>
      </c>
    </row>
    <row r="419" spans="1:13" ht="15">
      <c r="A419" s="53" t="s">
        <v>3514</v>
      </c>
      <c r="B419" s="1" t="s">
        <v>232</v>
      </c>
      <c r="C419" s="1121" t="s">
        <v>490</v>
      </c>
      <c r="D419" s="1122">
        <v>0.87</v>
      </c>
      <c r="F419" s="22">
        <v>28</v>
      </c>
      <c r="G419" s="278">
        <v>3175.2</v>
      </c>
      <c r="H419" s="278">
        <v>3175.2</v>
      </c>
      <c r="I419" s="183">
        <v>240</v>
      </c>
      <c r="J419" s="183">
        <v>240</v>
      </c>
      <c r="K419" s="183">
        <v>240</v>
      </c>
      <c r="L419" s="183">
        <v>240</v>
      </c>
      <c r="M419" s="749" t="s">
        <v>585</v>
      </c>
    </row>
    <row r="420" spans="1:13" ht="15">
      <c r="A420" s="53" t="s">
        <v>3297</v>
      </c>
      <c r="B420" s="1" t="s">
        <v>232</v>
      </c>
      <c r="C420" s="1121" t="s">
        <v>491</v>
      </c>
      <c r="D420" s="1122">
        <v>0.87</v>
      </c>
      <c r="F420" s="1123">
        <v>-1E-4</v>
      </c>
      <c r="G420" s="278">
        <v>4536</v>
      </c>
      <c r="H420" s="278">
        <v>4536</v>
      </c>
      <c r="I420" s="1169">
        <v>3960</v>
      </c>
      <c r="J420" s="1169">
        <v>3960</v>
      </c>
      <c r="K420" s="1123">
        <v>-1E-4</v>
      </c>
      <c r="L420" s="1123">
        <v>-1E-4</v>
      </c>
    </row>
    <row r="421" spans="1:13" ht="15">
      <c r="A421" s="53" t="s">
        <v>1969</v>
      </c>
      <c r="B421" s="1" t="s">
        <v>232</v>
      </c>
      <c r="C421" s="1121" t="s">
        <v>491</v>
      </c>
      <c r="D421" s="1122">
        <v>0.87</v>
      </c>
      <c r="F421" s="1123">
        <v>-1E-4</v>
      </c>
      <c r="G421" s="278">
        <v>725.75</v>
      </c>
      <c r="H421" s="278">
        <v>725.75</v>
      </c>
      <c r="I421" s="1169">
        <v>960</v>
      </c>
      <c r="J421" s="1169">
        <v>960</v>
      </c>
      <c r="K421" s="1123">
        <v>-1E-4</v>
      </c>
      <c r="L421" s="1123">
        <v>-1E-4</v>
      </c>
    </row>
    <row r="422" spans="1:13" ht="15">
      <c r="A422" s="749" t="s">
        <v>3513</v>
      </c>
      <c r="B422" s="1" t="s">
        <v>232</v>
      </c>
      <c r="C422" s="1121" t="s">
        <v>491</v>
      </c>
      <c r="D422" s="1122">
        <v>0.87</v>
      </c>
      <c r="F422" s="22">
        <v>19.7</v>
      </c>
      <c r="G422" s="749">
        <v>454</v>
      </c>
      <c r="H422" s="749">
        <v>454</v>
      </c>
      <c r="I422" s="1156">
        <v>102</v>
      </c>
      <c r="J422" s="1156">
        <v>102</v>
      </c>
      <c r="K422" s="749">
        <v>454</v>
      </c>
      <c r="L422" s="749">
        <v>454</v>
      </c>
    </row>
    <row r="423" spans="1:13" ht="15">
      <c r="A423" s="53" t="s">
        <v>3302</v>
      </c>
      <c r="B423" s="1" t="s">
        <v>232</v>
      </c>
      <c r="C423" s="1121" t="s">
        <v>491</v>
      </c>
      <c r="D423" s="1122">
        <v>0.87</v>
      </c>
      <c r="F423" s="1123">
        <v>-1E-4</v>
      </c>
      <c r="G423" s="278">
        <v>2419.1666666666665</v>
      </c>
      <c r="H423" s="278">
        <v>2419.1666666666665</v>
      </c>
      <c r="I423" s="1184">
        <v>1320</v>
      </c>
      <c r="J423" s="1184">
        <v>1320</v>
      </c>
      <c r="K423" s="183">
        <v>131.99999999999997</v>
      </c>
      <c r="L423" s="183">
        <v>131.99999999999997</v>
      </c>
    </row>
    <row r="424" spans="1:13" ht="15">
      <c r="A424" s="749" t="s">
        <v>3303</v>
      </c>
      <c r="B424" s="1" t="s">
        <v>232</v>
      </c>
      <c r="C424" s="1121" t="s">
        <v>491</v>
      </c>
      <c r="D424" s="1122">
        <v>0.87</v>
      </c>
      <c r="F424" s="22">
        <v>36.4</v>
      </c>
      <c r="G424" s="278">
        <v>2419.1666666666665</v>
      </c>
      <c r="H424" s="278">
        <v>2419.1666666666665</v>
      </c>
      <c r="I424" s="1184">
        <v>1320</v>
      </c>
      <c r="J424" s="1184">
        <v>1320</v>
      </c>
      <c r="K424" s="183">
        <v>131.99999999999997</v>
      </c>
      <c r="L424" s="183">
        <v>131.99999999999997</v>
      </c>
    </row>
    <row r="425" spans="1:13" ht="15">
      <c r="A425" s="749" t="s">
        <v>3304</v>
      </c>
      <c r="B425" s="1" t="s">
        <v>232</v>
      </c>
      <c r="C425" s="1121" t="s">
        <v>491</v>
      </c>
      <c r="D425" s="1122">
        <v>0.87</v>
      </c>
      <c r="F425" s="22">
        <v>24</v>
      </c>
      <c r="G425" s="278">
        <v>3020.2222222222222</v>
      </c>
      <c r="H425" s="278">
        <v>3020.2222222222222</v>
      </c>
      <c r="I425" s="1156">
        <v>4036.36</v>
      </c>
      <c r="J425" s="1156">
        <v>4036.36</v>
      </c>
      <c r="K425" s="749">
        <v>3700</v>
      </c>
      <c r="L425" s="749">
        <v>3700</v>
      </c>
    </row>
    <row r="426" spans="1:13" ht="15">
      <c r="A426" s="749" t="s">
        <v>3305</v>
      </c>
      <c r="B426" s="1" t="s">
        <v>232</v>
      </c>
      <c r="C426" s="1153"/>
      <c r="D426" s="1153"/>
      <c r="F426" s="1123">
        <v>-1E-4</v>
      </c>
      <c r="G426" s="749">
        <v>300</v>
      </c>
      <c r="H426" s="749">
        <v>300</v>
      </c>
      <c r="I426" s="749">
        <v>300</v>
      </c>
      <c r="J426" s="749">
        <v>300</v>
      </c>
      <c r="K426" s="749">
        <v>300</v>
      </c>
      <c r="L426" s="749">
        <v>300</v>
      </c>
    </row>
    <row r="427" spans="1:13" ht="15">
      <c r="A427" s="749" t="s">
        <v>3306</v>
      </c>
      <c r="B427" s="1" t="s">
        <v>232</v>
      </c>
      <c r="C427" s="1121" t="s">
        <v>491</v>
      </c>
      <c r="D427" s="1122">
        <v>0.87</v>
      </c>
      <c r="F427" s="22">
        <v>12.2</v>
      </c>
      <c r="G427" s="278">
        <v>876.96</v>
      </c>
      <c r="H427" s="278">
        <v>876.96</v>
      </c>
      <c r="I427" s="1184">
        <v>1140</v>
      </c>
      <c r="J427" s="1184">
        <v>1140</v>
      </c>
      <c r="K427" s="183">
        <v>480</v>
      </c>
      <c r="L427" s="183">
        <v>480</v>
      </c>
    </row>
    <row r="428" spans="1:13" ht="15">
      <c r="A428" s="53" t="s">
        <v>3298</v>
      </c>
      <c r="B428" s="1" t="s">
        <v>232</v>
      </c>
      <c r="C428" s="1121" t="s">
        <v>491</v>
      </c>
      <c r="D428" s="1122">
        <v>0.87</v>
      </c>
      <c r="F428" s="22">
        <v>12.2</v>
      </c>
      <c r="G428" s="278">
        <v>876.96</v>
      </c>
      <c r="H428" s="278">
        <v>876.96</v>
      </c>
      <c r="I428" s="1184">
        <v>1140</v>
      </c>
      <c r="J428" s="1184">
        <v>1140</v>
      </c>
      <c r="K428" s="183">
        <v>480</v>
      </c>
      <c r="L428" s="183">
        <v>480</v>
      </c>
    </row>
    <row r="429" spans="1:13" ht="15">
      <c r="A429" s="749" t="s">
        <v>3307</v>
      </c>
      <c r="B429" s="1" t="s">
        <v>232</v>
      </c>
      <c r="C429" s="1121" t="s">
        <v>491</v>
      </c>
      <c r="D429" s="1122">
        <v>0.87</v>
      </c>
      <c r="F429" s="22">
        <v>22.5</v>
      </c>
      <c r="G429" s="278">
        <v>831.59999999999991</v>
      </c>
      <c r="H429" s="278">
        <v>831.59999999999991</v>
      </c>
      <c r="I429" s="749">
        <v>1770</v>
      </c>
      <c r="J429" s="749">
        <v>1770</v>
      </c>
      <c r="K429" s="749">
        <v>1770</v>
      </c>
      <c r="L429" s="749">
        <v>1770</v>
      </c>
    </row>
    <row r="430" spans="1:13" ht="15">
      <c r="A430" s="53" t="s">
        <v>3299</v>
      </c>
      <c r="B430" s="1" t="s">
        <v>232</v>
      </c>
      <c r="C430" s="1121" t="s">
        <v>491</v>
      </c>
      <c r="D430" s="1122">
        <v>0.87</v>
      </c>
      <c r="F430" s="22">
        <v>22.5</v>
      </c>
      <c r="G430" s="1123">
        <v>-1E-4</v>
      </c>
      <c r="H430" s="1123">
        <v>-1E-4</v>
      </c>
      <c r="I430" s="1123">
        <v>-1E-4</v>
      </c>
      <c r="J430" s="1123">
        <v>-1E-4</v>
      </c>
      <c r="K430" s="1123">
        <v>-1E-4</v>
      </c>
      <c r="L430" s="1123">
        <v>-1E-4</v>
      </c>
    </row>
    <row r="431" spans="1:13" ht="15">
      <c r="A431" s="53" t="s">
        <v>3300</v>
      </c>
      <c r="B431" s="1" t="s">
        <v>232</v>
      </c>
      <c r="C431" s="1121" t="s">
        <v>491</v>
      </c>
      <c r="D431" s="1122">
        <v>0.87</v>
      </c>
      <c r="F431" s="22">
        <v>24</v>
      </c>
      <c r="G431" s="1123">
        <v>-1E-4</v>
      </c>
      <c r="H431" s="1123">
        <v>-1E-4</v>
      </c>
      <c r="I431" s="1123">
        <v>-1E-4</v>
      </c>
      <c r="J431" s="1123">
        <v>-1E-4</v>
      </c>
      <c r="K431" s="1123">
        <v>-1E-4</v>
      </c>
      <c r="L431" s="1123">
        <v>-1E-4</v>
      </c>
    </row>
    <row r="432" spans="1:13" ht="15">
      <c r="A432" s="53" t="s">
        <v>3249</v>
      </c>
      <c r="B432" s="1" t="s">
        <v>232</v>
      </c>
      <c r="C432" s="1121" t="s">
        <v>499</v>
      </c>
      <c r="D432" s="1122">
        <v>2.93</v>
      </c>
      <c r="F432" s="22">
        <v>2.2999999999999998</v>
      </c>
      <c r="G432" s="1123">
        <v>-1E-4</v>
      </c>
      <c r="H432" s="1123">
        <v>-1E-4</v>
      </c>
      <c r="I432" s="1123">
        <v>-1E-4</v>
      </c>
      <c r="J432" s="1123">
        <v>-1E-4</v>
      </c>
      <c r="K432" s="1123">
        <v>-1E-4</v>
      </c>
      <c r="L432" s="1123">
        <v>-1E-4</v>
      </c>
    </row>
    <row r="433" spans="1:14" ht="15">
      <c r="A433" s="53" t="s">
        <v>495</v>
      </c>
      <c r="B433" s="1" t="s">
        <v>232</v>
      </c>
      <c r="C433" s="1121" t="s">
        <v>495</v>
      </c>
      <c r="D433" s="1158">
        <v>0.18</v>
      </c>
      <c r="F433" s="22">
        <v>31</v>
      </c>
      <c r="G433" s="278">
        <v>40.824074074074076</v>
      </c>
      <c r="H433" s="278">
        <v>40.824074074074076</v>
      </c>
      <c r="I433" s="1176">
        <v>26.4</v>
      </c>
      <c r="J433" s="1176">
        <v>26.4</v>
      </c>
      <c r="K433" s="179">
        <v>25.3</v>
      </c>
      <c r="L433" s="179">
        <v>25.3</v>
      </c>
    </row>
    <row r="434" spans="1:14" ht="15">
      <c r="A434" s="24" t="s">
        <v>3301</v>
      </c>
      <c r="B434" s="24" t="s">
        <v>232</v>
      </c>
      <c r="C434" s="1121" t="s">
        <v>491</v>
      </c>
      <c r="D434" s="1122">
        <v>0.87</v>
      </c>
      <c r="F434" s="22">
        <v>31.4</v>
      </c>
      <c r="G434" s="278">
        <v>151.19999999999999</v>
      </c>
      <c r="H434" s="278">
        <v>151.19999999999999</v>
      </c>
      <c r="I434" s="183">
        <v>660</v>
      </c>
      <c r="J434" s="183">
        <v>660</v>
      </c>
      <c r="K434" s="183">
        <v>660</v>
      </c>
      <c r="L434" s="183">
        <v>660</v>
      </c>
    </row>
    <row r="435" spans="1:14" ht="15">
      <c r="A435" s="1" t="s">
        <v>502</v>
      </c>
      <c r="B435" s="1" t="s">
        <v>233</v>
      </c>
      <c r="C435" s="1121" t="s">
        <v>502</v>
      </c>
      <c r="D435" s="1161">
        <v>7.5</v>
      </c>
      <c r="F435" s="1123">
        <v>-1E-4</v>
      </c>
      <c r="G435" s="183">
        <v>168</v>
      </c>
      <c r="H435" s="183">
        <v>168</v>
      </c>
      <c r="I435" s="1184">
        <v>384</v>
      </c>
      <c r="J435" s="1184">
        <v>384</v>
      </c>
      <c r="K435" s="183">
        <v>168</v>
      </c>
      <c r="L435" s="183">
        <v>168</v>
      </c>
    </row>
    <row r="436" spans="1:14" ht="15">
      <c r="A436" s="1" t="s">
        <v>3410</v>
      </c>
      <c r="B436" s="1" t="s">
        <v>233</v>
      </c>
      <c r="C436" s="1121" t="s">
        <v>502</v>
      </c>
      <c r="D436" s="1161">
        <v>7.5</v>
      </c>
      <c r="F436" s="1123">
        <v>-1E-4</v>
      </c>
      <c r="G436" s="183">
        <v>168</v>
      </c>
      <c r="H436" s="183">
        <v>168</v>
      </c>
      <c r="I436" s="1184">
        <v>384</v>
      </c>
      <c r="J436" s="1184">
        <v>384</v>
      </c>
      <c r="K436" s="183">
        <v>168</v>
      </c>
      <c r="L436" s="183">
        <v>168</v>
      </c>
    </row>
    <row r="437" spans="1:14" ht="15">
      <c r="A437" s="749" t="s">
        <v>3411</v>
      </c>
      <c r="B437" s="1" t="s">
        <v>233</v>
      </c>
      <c r="C437" s="1121" t="s">
        <v>502</v>
      </c>
      <c r="D437" s="1161">
        <v>7.5</v>
      </c>
      <c r="F437" s="1123">
        <v>-1E-4</v>
      </c>
      <c r="G437" s="183">
        <v>168</v>
      </c>
      <c r="H437" s="183">
        <v>168</v>
      </c>
      <c r="I437" s="1184">
        <v>384</v>
      </c>
      <c r="J437" s="1184">
        <v>384</v>
      </c>
      <c r="K437" s="183">
        <v>168</v>
      </c>
      <c r="L437" s="183">
        <v>168</v>
      </c>
    </row>
    <row r="438" spans="1:14" ht="15">
      <c r="A438" s="749" t="s">
        <v>3413</v>
      </c>
      <c r="B438" s="1" t="s">
        <v>233</v>
      </c>
      <c r="C438" s="1121" t="s">
        <v>502</v>
      </c>
      <c r="D438" s="1161">
        <v>7.5</v>
      </c>
      <c r="F438" s="1123">
        <v>-1E-4</v>
      </c>
      <c r="G438" s="183">
        <v>168</v>
      </c>
      <c r="H438" s="183">
        <v>168</v>
      </c>
      <c r="I438" s="1184">
        <v>384</v>
      </c>
      <c r="J438" s="1184">
        <v>384</v>
      </c>
      <c r="K438" s="183">
        <v>168</v>
      </c>
      <c r="L438" s="183">
        <v>168</v>
      </c>
    </row>
    <row r="439" spans="1:14" ht="15">
      <c r="A439" s="749" t="s">
        <v>3416</v>
      </c>
      <c r="B439" s="1" t="s">
        <v>233</v>
      </c>
      <c r="C439" s="1121" t="s">
        <v>502</v>
      </c>
      <c r="D439" s="1161">
        <v>7.5</v>
      </c>
      <c r="F439" s="1123">
        <v>-1E-4</v>
      </c>
      <c r="G439" s="183">
        <v>168</v>
      </c>
      <c r="H439" s="183">
        <v>168</v>
      </c>
      <c r="I439" s="1184">
        <v>384</v>
      </c>
      <c r="J439" s="1184">
        <v>384</v>
      </c>
      <c r="K439" s="183">
        <v>168</v>
      </c>
      <c r="L439" s="183">
        <v>168</v>
      </c>
    </row>
    <row r="440" spans="1:14" ht="15">
      <c r="A440" s="749" t="s">
        <v>3412</v>
      </c>
      <c r="B440" s="1" t="s">
        <v>233</v>
      </c>
      <c r="C440" s="1121" t="s">
        <v>502</v>
      </c>
      <c r="D440" s="1161">
        <v>7.5</v>
      </c>
      <c r="F440" s="1123">
        <v>-1E-4</v>
      </c>
      <c r="G440" s="183">
        <v>168</v>
      </c>
      <c r="H440" s="183">
        <v>168</v>
      </c>
      <c r="I440" s="1184">
        <v>384</v>
      </c>
      <c r="J440" s="1184">
        <v>384</v>
      </c>
      <c r="K440" s="183">
        <v>168</v>
      </c>
      <c r="L440" s="183">
        <v>168</v>
      </c>
    </row>
    <row r="441" spans="1:14" ht="15">
      <c r="A441" s="749" t="s">
        <v>3532</v>
      </c>
      <c r="B441" s="1" t="s">
        <v>233</v>
      </c>
      <c r="C441" s="1121" t="s">
        <v>502</v>
      </c>
      <c r="D441" s="1161">
        <v>7.5</v>
      </c>
      <c r="F441" s="1123">
        <v>-1E-4</v>
      </c>
      <c r="G441" s="183">
        <v>168</v>
      </c>
      <c r="H441" s="183">
        <v>168</v>
      </c>
      <c r="I441" s="1184">
        <v>384</v>
      </c>
      <c r="J441" s="1184">
        <v>384</v>
      </c>
      <c r="K441" s="183">
        <v>168</v>
      </c>
      <c r="L441" s="183">
        <v>168</v>
      </c>
    </row>
    <row r="442" spans="1:14" ht="15">
      <c r="A442" s="1" t="s">
        <v>3414</v>
      </c>
      <c r="B442" s="1" t="s">
        <v>233</v>
      </c>
      <c r="C442" s="1153"/>
      <c r="D442" s="1190">
        <v>1.2</v>
      </c>
      <c r="F442" s="1123">
        <v>-1E-4</v>
      </c>
      <c r="G442" s="183">
        <v>20.399999999999999</v>
      </c>
      <c r="H442" s="183">
        <v>20.399999999999999</v>
      </c>
      <c r="I442" s="1184">
        <v>26.4</v>
      </c>
      <c r="J442" s="1184">
        <v>26.4</v>
      </c>
      <c r="K442" s="183">
        <v>20.399999999999999</v>
      </c>
      <c r="L442" s="183">
        <v>20.399999999999999</v>
      </c>
    </row>
    <row r="443" spans="1:14" ht="15">
      <c r="A443" s="1" t="s">
        <v>2739</v>
      </c>
      <c r="B443" s="1" t="s">
        <v>233</v>
      </c>
      <c r="C443" s="1153"/>
      <c r="D443" s="1190">
        <v>1.2</v>
      </c>
      <c r="F443" s="1123">
        <v>-1E-4</v>
      </c>
      <c r="G443" s="183">
        <v>20.399999999999999</v>
      </c>
      <c r="H443" s="183">
        <v>20.399999999999999</v>
      </c>
      <c r="I443" s="1184">
        <v>26.4</v>
      </c>
      <c r="J443" s="1184">
        <v>26.4</v>
      </c>
      <c r="K443" s="183">
        <v>20.399999999999999</v>
      </c>
      <c r="L443" s="183">
        <v>20.399999999999999</v>
      </c>
      <c r="N443" s="1" t="s">
        <v>2836</v>
      </c>
    </row>
    <row r="444" spans="1:14" ht="15">
      <c r="A444" s="1" t="s">
        <v>3517</v>
      </c>
      <c r="B444" s="1" t="s">
        <v>233</v>
      </c>
      <c r="C444" s="1153"/>
      <c r="D444" s="1190">
        <v>1.2</v>
      </c>
      <c r="F444" s="1123">
        <v>-1E-4</v>
      </c>
      <c r="G444" s="183">
        <v>20.399999999999999</v>
      </c>
      <c r="H444" s="183">
        <v>20.399999999999999</v>
      </c>
      <c r="I444" s="1184">
        <v>26.4</v>
      </c>
      <c r="J444" s="1184">
        <v>26.4</v>
      </c>
      <c r="K444" s="183">
        <v>20.399999999999999</v>
      </c>
      <c r="L444" s="183">
        <v>20.399999999999999</v>
      </c>
      <c r="N444" s="749" t="s">
        <v>2837</v>
      </c>
    </row>
    <row r="445" spans="1:14" ht="15">
      <c r="A445" s="1" t="s">
        <v>1974</v>
      </c>
      <c r="B445" s="1" t="s">
        <v>233</v>
      </c>
      <c r="C445" s="1153"/>
      <c r="D445" s="1190">
        <v>1.2</v>
      </c>
      <c r="F445" s="1123">
        <v>-1E-4</v>
      </c>
      <c r="G445" s="183">
        <v>20.399999999999999</v>
      </c>
      <c r="H445" s="183">
        <v>20.399999999999999</v>
      </c>
      <c r="I445" s="1184">
        <v>26.4</v>
      </c>
      <c r="J445" s="1184">
        <v>26.4</v>
      </c>
      <c r="K445" s="183">
        <v>20.399999999999999</v>
      </c>
      <c r="L445" s="183">
        <v>20.399999999999999</v>
      </c>
      <c r="N445" s="749" t="s">
        <v>2838</v>
      </c>
    </row>
    <row r="446" spans="1:14" ht="15">
      <c r="A446" s="1" t="s">
        <v>1976</v>
      </c>
      <c r="B446" s="1" t="s">
        <v>233</v>
      </c>
      <c r="C446" s="1157" t="s">
        <v>508</v>
      </c>
      <c r="D446" s="1161">
        <v>1.2</v>
      </c>
      <c r="F446" s="22">
        <v>10.9</v>
      </c>
      <c r="G446" s="1123">
        <v>-1E-4</v>
      </c>
      <c r="H446" s="1123">
        <v>-1E-4</v>
      </c>
      <c r="I446" s="1123">
        <v>-1E-4</v>
      </c>
      <c r="J446" s="1123">
        <v>-1E-4</v>
      </c>
      <c r="K446" s="1123">
        <v>-1E-4</v>
      </c>
      <c r="L446" s="1123">
        <v>-1E-4</v>
      </c>
      <c r="N446" s="749" t="s">
        <v>2839</v>
      </c>
    </row>
    <row r="447" spans="1:14" ht="15">
      <c r="A447" s="1" t="s">
        <v>1977</v>
      </c>
      <c r="B447" s="1" t="s">
        <v>233</v>
      </c>
      <c r="C447" s="1153"/>
      <c r="D447" s="1190">
        <v>1.2</v>
      </c>
      <c r="F447" s="1123">
        <v>-1E-4</v>
      </c>
      <c r="G447" s="1123">
        <v>-1E-4</v>
      </c>
      <c r="H447" s="1123">
        <v>-1E-4</v>
      </c>
      <c r="I447" s="1169">
        <v>25.2</v>
      </c>
      <c r="J447" s="1169">
        <v>25.2</v>
      </c>
      <c r="K447" s="1123">
        <v>-1E-4</v>
      </c>
      <c r="L447" s="1123">
        <v>-1E-4</v>
      </c>
      <c r="N447" s="749" t="s">
        <v>2840</v>
      </c>
    </row>
    <row r="448" spans="1:14" ht="15">
      <c r="A448" s="1" t="s">
        <v>3415</v>
      </c>
      <c r="B448" s="1" t="s">
        <v>233</v>
      </c>
      <c r="C448" s="1153"/>
      <c r="D448" s="1190">
        <v>1.2</v>
      </c>
      <c r="F448" s="1123">
        <v>-1E-4</v>
      </c>
      <c r="G448" s="1123">
        <v>-1E-4</v>
      </c>
      <c r="H448" s="1123">
        <v>-1E-4</v>
      </c>
      <c r="I448" s="1169">
        <v>750</v>
      </c>
      <c r="J448" s="1169">
        <v>750</v>
      </c>
      <c r="K448" s="1123">
        <v>-1E-4</v>
      </c>
      <c r="L448" s="1123">
        <v>-1E-4</v>
      </c>
      <c r="N448" s="749" t="s">
        <v>2841</v>
      </c>
    </row>
    <row r="449" spans="1:12" ht="15">
      <c r="A449" s="1" t="s">
        <v>3523</v>
      </c>
      <c r="B449" s="1" t="s">
        <v>233</v>
      </c>
      <c r="C449" s="1157" t="s">
        <v>519</v>
      </c>
      <c r="D449" s="1161">
        <v>1.2</v>
      </c>
      <c r="F449" s="22">
        <v>10.9</v>
      </c>
      <c r="G449" s="1123">
        <v>-1E-4</v>
      </c>
      <c r="H449" s="1123">
        <v>-1E-4</v>
      </c>
      <c r="I449" s="1123">
        <v>-1E-4</v>
      </c>
      <c r="J449" s="1123">
        <v>-1E-4</v>
      </c>
      <c r="K449" s="1123">
        <v>-1E-4</v>
      </c>
      <c r="L449" s="1123">
        <v>-1E-4</v>
      </c>
    </row>
    <row r="450" spans="1:12" ht="15">
      <c r="A450" s="1" t="s">
        <v>3524</v>
      </c>
      <c r="B450" s="1" t="s">
        <v>233</v>
      </c>
      <c r="C450" s="1157" t="s">
        <v>519</v>
      </c>
      <c r="D450" s="1161">
        <v>1.2</v>
      </c>
      <c r="F450" s="22">
        <v>10.9</v>
      </c>
      <c r="G450" s="278">
        <v>279.71999999999997</v>
      </c>
      <c r="H450" s="278">
        <v>279.71999999999997</v>
      </c>
      <c r="I450" s="1184">
        <v>174</v>
      </c>
      <c r="J450" s="1184">
        <v>174</v>
      </c>
      <c r="K450" s="183">
        <v>88.8</v>
      </c>
      <c r="L450" s="183">
        <v>88.8</v>
      </c>
    </row>
    <row r="451" spans="1:12" ht="15">
      <c r="A451" s="1" t="s">
        <v>3525</v>
      </c>
      <c r="B451" s="1" t="s">
        <v>233</v>
      </c>
      <c r="C451" s="1157" t="s">
        <v>519</v>
      </c>
      <c r="D451" s="1161">
        <v>1.2</v>
      </c>
      <c r="F451" s="22">
        <v>10.9</v>
      </c>
      <c r="G451" s="278">
        <v>279.71999999999997</v>
      </c>
      <c r="H451" s="278">
        <v>279.71999999999997</v>
      </c>
      <c r="I451" s="1184">
        <v>174</v>
      </c>
      <c r="J451" s="1184">
        <v>174</v>
      </c>
      <c r="K451" s="183">
        <v>88.8</v>
      </c>
      <c r="L451" s="183">
        <v>88.8</v>
      </c>
    </row>
    <row r="452" spans="1:12" ht="15">
      <c r="A452" s="1274" t="s">
        <v>3527</v>
      </c>
      <c r="B452" s="1" t="s">
        <v>233</v>
      </c>
      <c r="C452" s="1157" t="s">
        <v>519</v>
      </c>
      <c r="D452" s="1161">
        <v>1.2</v>
      </c>
      <c r="F452" s="22">
        <v>10.9</v>
      </c>
      <c r="G452" s="278">
        <v>279.71999999999997</v>
      </c>
      <c r="H452" s="278">
        <v>279.71999999999997</v>
      </c>
      <c r="I452" s="1184">
        <v>174</v>
      </c>
      <c r="J452" s="1184">
        <v>174</v>
      </c>
      <c r="K452" s="183">
        <v>88.8</v>
      </c>
      <c r="L452" s="183">
        <v>88.8</v>
      </c>
    </row>
    <row r="453" spans="1:12" ht="15">
      <c r="A453" s="1" t="s">
        <v>3530</v>
      </c>
      <c r="B453" s="1" t="s">
        <v>233</v>
      </c>
      <c r="C453" s="1157" t="s">
        <v>519</v>
      </c>
      <c r="D453" s="1161">
        <v>1.2</v>
      </c>
      <c r="F453" s="22">
        <v>10.9</v>
      </c>
      <c r="G453" s="278">
        <v>279.71999999999997</v>
      </c>
      <c r="H453" s="278">
        <v>279.71999999999997</v>
      </c>
      <c r="I453" s="1184">
        <v>174</v>
      </c>
      <c r="J453" s="1184">
        <v>174</v>
      </c>
      <c r="K453" s="183">
        <v>88.8</v>
      </c>
      <c r="L453" s="183">
        <v>88.8</v>
      </c>
    </row>
    <row r="454" spans="1:12" ht="15">
      <c r="A454" s="1" t="s">
        <v>3526</v>
      </c>
      <c r="B454" s="1" t="s">
        <v>233</v>
      </c>
      <c r="C454" s="1157" t="s">
        <v>519</v>
      </c>
      <c r="D454" s="1161">
        <v>1.2</v>
      </c>
      <c r="F454" s="22">
        <v>10.9</v>
      </c>
      <c r="G454" s="1123">
        <v>-1E-4</v>
      </c>
      <c r="H454" s="1123">
        <v>-1E-4</v>
      </c>
      <c r="I454" s="1123">
        <v>-1E-4</v>
      </c>
      <c r="J454" s="1123">
        <v>-1E-4</v>
      </c>
      <c r="K454" s="1123">
        <v>-1E-4</v>
      </c>
      <c r="L454" s="1123">
        <v>-1E-4</v>
      </c>
    </row>
    <row r="455" spans="1:12" ht="15">
      <c r="A455" s="749" t="s">
        <v>3419</v>
      </c>
      <c r="B455" s="1" t="s">
        <v>233</v>
      </c>
      <c r="C455" s="1157" t="s">
        <v>508</v>
      </c>
      <c r="D455" s="1161">
        <v>1.2</v>
      </c>
      <c r="F455" s="96">
        <v>0</v>
      </c>
      <c r="G455" s="749">
        <v>250</v>
      </c>
      <c r="H455" s="749">
        <v>250</v>
      </c>
      <c r="I455" s="749">
        <v>250</v>
      </c>
      <c r="J455" s="749">
        <v>250</v>
      </c>
      <c r="K455" s="749">
        <v>250</v>
      </c>
      <c r="L455" s="749">
        <v>250</v>
      </c>
    </row>
    <row r="456" spans="1:12" ht="15">
      <c r="A456" s="1" t="s">
        <v>3420</v>
      </c>
      <c r="B456" s="1" t="s">
        <v>233</v>
      </c>
      <c r="C456" s="1157" t="s">
        <v>508</v>
      </c>
      <c r="D456" s="1161">
        <v>1.2</v>
      </c>
      <c r="F456" s="96">
        <v>0</v>
      </c>
      <c r="G456" s="749">
        <v>250</v>
      </c>
      <c r="H456" s="749">
        <v>250</v>
      </c>
      <c r="I456" s="749">
        <v>250</v>
      </c>
      <c r="J456" s="749">
        <v>250</v>
      </c>
      <c r="K456" s="749">
        <v>250</v>
      </c>
      <c r="L456" s="749">
        <v>250</v>
      </c>
    </row>
    <row r="457" spans="1:12" ht="15">
      <c r="A457" s="1" t="s">
        <v>1983</v>
      </c>
      <c r="B457" s="1" t="s">
        <v>233</v>
      </c>
      <c r="C457" s="1157" t="s">
        <v>508</v>
      </c>
      <c r="D457" s="1161">
        <v>1.2</v>
      </c>
      <c r="F457" s="96">
        <v>0</v>
      </c>
      <c r="G457" s="749">
        <v>250</v>
      </c>
      <c r="H457" s="749">
        <v>250</v>
      </c>
      <c r="I457" s="749">
        <v>250</v>
      </c>
      <c r="J457" s="749">
        <v>250</v>
      </c>
      <c r="K457" s="749">
        <v>250</v>
      </c>
      <c r="L457" s="749">
        <v>250</v>
      </c>
    </row>
    <row r="458" spans="1:12" ht="15">
      <c r="A458" s="1" t="s">
        <v>1984</v>
      </c>
      <c r="B458" s="1" t="s">
        <v>233</v>
      </c>
      <c r="C458" s="1157" t="s">
        <v>508</v>
      </c>
      <c r="D458" s="1161">
        <v>1.2</v>
      </c>
      <c r="F458" s="96">
        <v>0</v>
      </c>
      <c r="G458" s="278">
        <v>98.28</v>
      </c>
      <c r="H458" s="278">
        <v>98.28</v>
      </c>
      <c r="I458" s="1184">
        <v>28.8</v>
      </c>
      <c r="J458" s="1184">
        <v>28.8</v>
      </c>
      <c r="K458" s="183">
        <v>39.6</v>
      </c>
      <c r="L458" s="183">
        <v>39.6</v>
      </c>
    </row>
    <row r="459" spans="1:12" ht="15">
      <c r="A459" s="1" t="s">
        <v>3423</v>
      </c>
      <c r="B459" s="1" t="s">
        <v>233</v>
      </c>
      <c r="C459" s="1157" t="s">
        <v>508</v>
      </c>
      <c r="D459" s="1161">
        <v>1.2</v>
      </c>
      <c r="F459" s="96">
        <v>0</v>
      </c>
      <c r="G459" s="183">
        <v>42</v>
      </c>
      <c r="H459" s="183">
        <v>42</v>
      </c>
      <c r="I459" s="1184">
        <v>38.4</v>
      </c>
      <c r="J459" s="1184">
        <v>38.4</v>
      </c>
      <c r="K459" s="183">
        <v>42</v>
      </c>
      <c r="L459" s="183">
        <v>42</v>
      </c>
    </row>
    <row r="460" spans="1:12" ht="15">
      <c r="A460" s="1" t="s">
        <v>3418</v>
      </c>
      <c r="B460" s="1" t="s">
        <v>233</v>
      </c>
      <c r="C460" s="1153"/>
      <c r="D460" s="1190">
        <v>1.2</v>
      </c>
      <c r="F460" s="1123">
        <v>-1E-4</v>
      </c>
      <c r="G460" s="1123">
        <v>-1E-4</v>
      </c>
      <c r="H460" s="1123">
        <v>-1E-4</v>
      </c>
      <c r="I460" s="1123">
        <v>-1E-4</v>
      </c>
      <c r="J460" s="1123">
        <v>-1E-4</v>
      </c>
      <c r="K460" s="1123">
        <v>-1E-4</v>
      </c>
      <c r="L460" s="1123">
        <v>-1E-4</v>
      </c>
    </row>
    <row r="461" spans="1:12" ht="15">
      <c r="A461" s="1" t="s">
        <v>1975</v>
      </c>
      <c r="B461" s="1" t="s">
        <v>233</v>
      </c>
      <c r="C461" s="1153"/>
      <c r="D461" s="1190">
        <v>1.2</v>
      </c>
      <c r="F461" s="1123">
        <v>-1E-4</v>
      </c>
      <c r="G461" s="1123">
        <v>-1E-4</v>
      </c>
      <c r="H461" s="1123">
        <v>-1E-4</v>
      </c>
      <c r="I461" s="1123">
        <v>-1E-4</v>
      </c>
      <c r="J461" s="1123">
        <v>-1E-4</v>
      </c>
      <c r="K461" s="1123">
        <v>-1E-4</v>
      </c>
      <c r="L461" s="1123">
        <v>-1E-4</v>
      </c>
    </row>
    <row r="462" spans="1:12" ht="15">
      <c r="A462" s="24" t="s">
        <v>3421</v>
      </c>
      <c r="B462" s="24" t="s">
        <v>233</v>
      </c>
      <c r="C462" s="1153"/>
      <c r="D462" s="1153">
        <v>0</v>
      </c>
      <c r="F462" s="1123">
        <v>-1E-4</v>
      </c>
      <c r="G462" s="749">
        <v>0</v>
      </c>
      <c r="H462" s="749">
        <v>0</v>
      </c>
      <c r="I462" s="749">
        <v>0</v>
      </c>
      <c r="J462" s="749">
        <v>0</v>
      </c>
      <c r="K462" s="749">
        <v>0</v>
      </c>
      <c r="L462" s="749">
        <v>0</v>
      </c>
    </row>
    <row r="463" spans="1:12" ht="15">
      <c r="A463" s="749" t="s">
        <v>3397</v>
      </c>
      <c r="B463" s="1" t="s">
        <v>234</v>
      </c>
      <c r="C463" s="1121" t="s">
        <v>512</v>
      </c>
      <c r="D463" s="1174">
        <v>2.1800000000000002</v>
      </c>
      <c r="F463" s="1123">
        <v>-1E-4</v>
      </c>
      <c r="G463" s="1123">
        <v>-1E-4</v>
      </c>
      <c r="H463" s="1123">
        <v>-1E-4</v>
      </c>
      <c r="I463" s="1123">
        <v>-1E-4</v>
      </c>
      <c r="J463" s="1123">
        <v>-1E-4</v>
      </c>
      <c r="K463" s="1123">
        <v>-1E-4</v>
      </c>
      <c r="L463" s="1123">
        <v>-1E-4</v>
      </c>
    </row>
    <row r="464" spans="1:12" ht="15">
      <c r="A464" s="749" t="s">
        <v>3400</v>
      </c>
      <c r="B464" s="1" t="s">
        <v>235</v>
      </c>
      <c r="C464" s="1189" t="s">
        <v>516</v>
      </c>
      <c r="D464" s="1174">
        <v>1.2</v>
      </c>
      <c r="F464" s="1123">
        <v>-1E-4</v>
      </c>
      <c r="G464" s="1123">
        <v>-1E-4</v>
      </c>
      <c r="H464" s="1123">
        <v>-1E-4</v>
      </c>
      <c r="I464" s="1123">
        <v>-1E-4</v>
      </c>
      <c r="J464" s="1123">
        <v>-1E-4</v>
      </c>
      <c r="K464" s="1123">
        <v>-1E-4</v>
      </c>
      <c r="L464" s="1123">
        <v>-1E-4</v>
      </c>
    </row>
    <row r="465" spans="1:13" ht="15">
      <c r="A465" s="1" t="s">
        <v>3401</v>
      </c>
      <c r="B465" s="1" t="s">
        <v>235</v>
      </c>
      <c r="C465" s="1121" t="s">
        <v>496</v>
      </c>
      <c r="D465" s="1122">
        <v>4.2</v>
      </c>
      <c r="F465" s="749">
        <v>21.8</v>
      </c>
      <c r="G465" s="278">
        <v>790.02</v>
      </c>
      <c r="H465" s="278">
        <v>790.02</v>
      </c>
      <c r="I465" s="749">
        <v>1200</v>
      </c>
      <c r="J465" s="749">
        <v>1200</v>
      </c>
      <c r="K465" s="749">
        <v>1200</v>
      </c>
      <c r="L465" s="749">
        <v>1200</v>
      </c>
    </row>
    <row r="466" spans="1:13" ht="15">
      <c r="A466" s="749" t="s">
        <v>3402</v>
      </c>
      <c r="B466" s="1" t="s">
        <v>235</v>
      </c>
      <c r="C466" s="1121" t="s">
        <v>496</v>
      </c>
      <c r="D466" s="1122">
        <v>4.2</v>
      </c>
      <c r="F466" s="749">
        <v>21.8</v>
      </c>
      <c r="G466" s="1123">
        <v>-1E-4</v>
      </c>
      <c r="H466" s="1123">
        <v>-1E-4</v>
      </c>
      <c r="I466" s="1123">
        <v>-1E-4</v>
      </c>
      <c r="J466" s="1123">
        <v>-1E-4</v>
      </c>
      <c r="K466" s="1123">
        <v>-1E-4</v>
      </c>
      <c r="L466" s="1123">
        <v>-1E-4</v>
      </c>
    </row>
    <row r="467" spans="1:13" ht="15">
      <c r="A467" s="749" t="s">
        <v>3403</v>
      </c>
      <c r="B467" s="1" t="s">
        <v>235</v>
      </c>
      <c r="C467" s="1121" t="s">
        <v>496</v>
      </c>
      <c r="D467" s="1122">
        <v>4.2</v>
      </c>
      <c r="F467" s="749">
        <v>21.8</v>
      </c>
      <c r="G467" s="1123">
        <v>-1E-4</v>
      </c>
      <c r="H467" s="1123">
        <v>-1E-4</v>
      </c>
      <c r="I467" s="1123">
        <v>-1E-4</v>
      </c>
      <c r="J467" s="1123">
        <v>-1E-4</v>
      </c>
      <c r="K467" s="1123">
        <v>-1E-4</v>
      </c>
      <c r="L467" s="1123">
        <v>-1E-4</v>
      </c>
      <c r="M467" s="749" t="s">
        <v>585</v>
      </c>
    </row>
    <row r="468" spans="1:13" ht="15">
      <c r="A468" s="749" t="s">
        <v>3404</v>
      </c>
      <c r="B468" s="1" t="s">
        <v>235</v>
      </c>
      <c r="C468" s="1121" t="s">
        <v>496</v>
      </c>
      <c r="D468" s="1122">
        <v>4.2</v>
      </c>
      <c r="F468" s="749">
        <v>21.8</v>
      </c>
      <c r="G468" s="1123">
        <v>-1E-4</v>
      </c>
      <c r="H468" s="1123">
        <v>-1E-4</v>
      </c>
      <c r="I468" s="1123">
        <v>-1E-4</v>
      </c>
      <c r="J468" s="1123">
        <v>-1E-4</v>
      </c>
      <c r="K468" s="1123">
        <v>-1E-4</v>
      </c>
      <c r="L468" s="1123">
        <v>-1E-4</v>
      </c>
      <c r="M468" s="749" t="s">
        <v>585</v>
      </c>
    </row>
    <row r="469" spans="1:13" ht="15">
      <c r="A469" s="749" t="s">
        <v>3405</v>
      </c>
      <c r="B469" s="1" t="s">
        <v>235</v>
      </c>
      <c r="C469" s="1121" t="s">
        <v>496</v>
      </c>
      <c r="D469" s="1122">
        <v>4.2</v>
      </c>
      <c r="F469" s="749">
        <v>21.8</v>
      </c>
      <c r="G469" s="1123">
        <v>-1E-4</v>
      </c>
      <c r="H469" s="1123">
        <v>-1E-4</v>
      </c>
      <c r="I469" s="1123">
        <v>-1E-4</v>
      </c>
      <c r="J469" s="1123">
        <v>-1E-4</v>
      </c>
      <c r="K469" s="1123">
        <v>-1E-4</v>
      </c>
      <c r="L469" s="1123">
        <v>-1E-4</v>
      </c>
    </row>
    <row r="470" spans="1:13" ht="15">
      <c r="A470" s="1" t="s">
        <v>1987</v>
      </c>
      <c r="B470" s="1" t="s">
        <v>234</v>
      </c>
      <c r="C470" s="1189" t="s">
        <v>516</v>
      </c>
      <c r="D470" s="1174">
        <v>1.2</v>
      </c>
      <c r="F470" s="1123">
        <v>-1E-4</v>
      </c>
      <c r="G470" s="1124">
        <v>66</v>
      </c>
      <c r="H470" s="1124">
        <v>66</v>
      </c>
      <c r="I470" s="1124">
        <v>66</v>
      </c>
      <c r="J470" s="1124">
        <v>66</v>
      </c>
      <c r="K470" s="1124">
        <v>66</v>
      </c>
      <c r="L470" s="1124">
        <v>66</v>
      </c>
    </row>
    <row r="471" spans="1:13" ht="15">
      <c r="A471" s="1" t="s">
        <v>496</v>
      </c>
      <c r="B471" s="1" t="s">
        <v>235</v>
      </c>
      <c r="C471" s="1121" t="s">
        <v>496</v>
      </c>
      <c r="D471" s="1122">
        <v>4.2</v>
      </c>
      <c r="F471" s="749">
        <v>21.8</v>
      </c>
      <c r="G471" s="183">
        <v>84</v>
      </c>
      <c r="H471" s="183">
        <v>84</v>
      </c>
      <c r="I471" s="183">
        <v>84</v>
      </c>
      <c r="J471" s="183">
        <v>84</v>
      </c>
      <c r="K471" s="183">
        <v>84</v>
      </c>
      <c r="L471" s="183">
        <v>84</v>
      </c>
    </row>
    <row r="472" spans="1:13" ht="15">
      <c r="A472" s="749" t="s">
        <v>3406</v>
      </c>
      <c r="B472" s="1" t="s">
        <v>235</v>
      </c>
      <c r="C472" s="1121" t="s">
        <v>496</v>
      </c>
      <c r="D472" s="1122">
        <v>4.2</v>
      </c>
      <c r="F472" s="749">
        <v>21.8</v>
      </c>
      <c r="G472" s="183">
        <v>84</v>
      </c>
      <c r="H472" s="183">
        <v>84</v>
      </c>
      <c r="I472" s="183">
        <v>84</v>
      </c>
      <c r="J472" s="183">
        <v>84</v>
      </c>
      <c r="K472" s="183">
        <v>84</v>
      </c>
      <c r="L472" s="183">
        <v>84</v>
      </c>
    </row>
    <row r="473" spans="1:13" ht="15">
      <c r="A473" s="749" t="s">
        <v>3384</v>
      </c>
      <c r="B473" s="1" t="s">
        <v>234</v>
      </c>
      <c r="C473" s="1189" t="s">
        <v>516</v>
      </c>
      <c r="D473" s="1174">
        <v>1.2</v>
      </c>
      <c r="F473" s="1123">
        <v>-1E-4</v>
      </c>
      <c r="G473" s="1124">
        <v>243.22</v>
      </c>
      <c r="H473" s="1124">
        <v>243.22</v>
      </c>
      <c r="I473" s="1124">
        <v>243.22</v>
      </c>
      <c r="J473" s="1124">
        <v>243.22</v>
      </c>
      <c r="K473" s="1124">
        <v>243.22</v>
      </c>
      <c r="L473" s="1124">
        <v>243.22</v>
      </c>
    </row>
    <row r="474" spans="1:13" ht="15">
      <c r="A474" s="1" t="s">
        <v>1989</v>
      </c>
      <c r="B474" s="1" t="s">
        <v>234</v>
      </c>
      <c r="C474" s="1189" t="s">
        <v>516</v>
      </c>
      <c r="D474" s="1174">
        <v>1.2</v>
      </c>
      <c r="F474" s="1123">
        <v>-1E-4</v>
      </c>
      <c r="G474" s="1124">
        <v>243.22</v>
      </c>
      <c r="H474" s="1124">
        <v>243.22</v>
      </c>
      <c r="I474" s="1124">
        <v>243.22</v>
      </c>
      <c r="J474" s="1124">
        <v>243.22</v>
      </c>
      <c r="K474" s="1124">
        <v>243.22</v>
      </c>
      <c r="L474" s="1124">
        <v>243.22</v>
      </c>
    </row>
    <row r="475" spans="1:13" ht="15">
      <c r="A475" s="1" t="s">
        <v>3407</v>
      </c>
      <c r="B475" s="1" t="s">
        <v>234</v>
      </c>
      <c r="C475" s="1189" t="s">
        <v>516</v>
      </c>
      <c r="D475" s="1174">
        <v>1.2</v>
      </c>
      <c r="F475" s="1123">
        <v>-1E-4</v>
      </c>
      <c r="G475" s="1123">
        <v>-1E-4</v>
      </c>
      <c r="H475" s="1123">
        <v>-1E-4</v>
      </c>
      <c r="I475" s="1123">
        <v>-1E-4</v>
      </c>
      <c r="J475" s="1123">
        <v>-1E-4</v>
      </c>
      <c r="K475" s="1123">
        <v>-1E-4</v>
      </c>
      <c r="L475" s="1123">
        <v>-1E-4</v>
      </c>
    </row>
    <row r="476" spans="1:13" ht="15">
      <c r="A476" s="1" t="s">
        <v>1992</v>
      </c>
      <c r="B476" s="1" t="s">
        <v>234</v>
      </c>
      <c r="C476" s="1121" t="s">
        <v>517</v>
      </c>
      <c r="D476" s="1174">
        <v>1.2</v>
      </c>
      <c r="F476" s="1123">
        <v>-1E-4</v>
      </c>
      <c r="G476" s="1124">
        <v>354</v>
      </c>
      <c r="H476" s="1124">
        <v>354</v>
      </c>
      <c r="I476" s="1124">
        <v>354</v>
      </c>
      <c r="J476" s="1124">
        <v>354</v>
      </c>
      <c r="K476" s="1124">
        <v>354</v>
      </c>
      <c r="L476" s="1124">
        <v>354</v>
      </c>
    </row>
    <row r="477" spans="1:13" ht="15">
      <c r="A477" s="1" t="s">
        <v>1993</v>
      </c>
      <c r="B477" s="1" t="s">
        <v>234</v>
      </c>
      <c r="C477" s="1189" t="s">
        <v>516</v>
      </c>
      <c r="D477" s="1174">
        <v>1.2</v>
      </c>
      <c r="F477" s="1123">
        <v>-1E-4</v>
      </c>
      <c r="G477" s="1124">
        <v>354</v>
      </c>
      <c r="H477" s="1124">
        <v>354</v>
      </c>
      <c r="I477" s="1124">
        <v>354</v>
      </c>
      <c r="J477" s="1124">
        <v>354</v>
      </c>
      <c r="K477" s="1124">
        <v>354</v>
      </c>
      <c r="L477" s="1124">
        <v>354</v>
      </c>
    </row>
    <row r="478" spans="1:13" ht="15">
      <c r="A478" s="749" t="s">
        <v>3389</v>
      </c>
      <c r="B478" s="1" t="s">
        <v>234</v>
      </c>
      <c r="C478" s="1189" t="s">
        <v>516</v>
      </c>
      <c r="D478" s="1174">
        <v>1.2</v>
      </c>
      <c r="F478" s="1123">
        <v>-1E-4</v>
      </c>
      <c r="G478" s="1124">
        <v>438.9</v>
      </c>
      <c r="H478" s="1124">
        <v>438.9</v>
      </c>
      <c r="I478" s="1124">
        <v>438.9</v>
      </c>
      <c r="J478" s="1124">
        <v>438.9</v>
      </c>
      <c r="K478" s="1124">
        <v>438.9</v>
      </c>
      <c r="L478" s="1124">
        <v>438.9</v>
      </c>
    </row>
    <row r="479" spans="1:13" ht="15">
      <c r="A479" s="749" t="s">
        <v>3391</v>
      </c>
      <c r="B479" s="1" t="s">
        <v>234</v>
      </c>
      <c r="C479" s="1121" t="s">
        <v>517</v>
      </c>
      <c r="D479" s="1174">
        <v>1.2</v>
      </c>
      <c r="F479" s="1123">
        <v>-1E-4</v>
      </c>
      <c r="G479" s="1123">
        <v>-1E-4</v>
      </c>
      <c r="H479" s="1123">
        <v>-1E-4</v>
      </c>
      <c r="I479" s="1123">
        <v>-1E-4</v>
      </c>
      <c r="J479" s="1123">
        <v>-1E-4</v>
      </c>
      <c r="K479" s="1123">
        <v>-1E-4</v>
      </c>
      <c r="L479" s="1123">
        <v>-1E-4</v>
      </c>
    </row>
    <row r="480" spans="1:13">
      <c r="A480" s="749" t="s">
        <v>3408</v>
      </c>
      <c r="B480" s="1" t="s">
        <v>234</v>
      </c>
      <c r="F480" s="1123">
        <v>-1E-4</v>
      </c>
      <c r="G480" s="1123">
        <v>-1E-4</v>
      </c>
      <c r="H480" s="1123">
        <v>-1E-4</v>
      </c>
      <c r="I480" s="1123">
        <v>-1E-4</v>
      </c>
      <c r="J480" s="1123">
        <v>-1E-4</v>
      </c>
      <c r="K480" s="1123">
        <v>-1E-4</v>
      </c>
      <c r="L480" s="1123">
        <v>-1E-4</v>
      </c>
    </row>
    <row r="481" spans="1:12">
      <c r="A481" s="749" t="s">
        <v>3409</v>
      </c>
      <c r="B481" s="1" t="s">
        <v>234</v>
      </c>
      <c r="F481" s="1123">
        <v>-1E-4</v>
      </c>
      <c r="G481" s="1123">
        <v>-1E-4</v>
      </c>
      <c r="H481" s="1123">
        <v>-1E-4</v>
      </c>
      <c r="I481" s="1123">
        <v>-1E-4</v>
      </c>
      <c r="J481" s="1123">
        <v>-1E-4</v>
      </c>
      <c r="K481" s="1123">
        <v>-1E-4</v>
      </c>
      <c r="L481" s="1123">
        <v>-1E-4</v>
      </c>
    </row>
    <row r="482" spans="1:12">
      <c r="A482" s="82" t="s">
        <v>804</v>
      </c>
      <c r="B482" s="1"/>
      <c r="D482" s="749">
        <v>9.9999999999999995E-7</v>
      </c>
      <c r="F482" s="749">
        <v>9.9999999999999995E-7</v>
      </c>
      <c r="G482" s="749">
        <v>9.9999999999999995E-7</v>
      </c>
      <c r="H482" s="749">
        <v>9.9999999999999995E-7</v>
      </c>
      <c r="I482" s="749">
        <v>9.9999999999999995E-7</v>
      </c>
      <c r="J482" s="749">
        <v>9.9999999999999995E-7</v>
      </c>
      <c r="K482" s="749">
        <v>9.9999999999999995E-7</v>
      </c>
      <c r="L482" s="749">
        <v>9.9999999999999995E-7</v>
      </c>
    </row>
    <row r="483" spans="1:12">
      <c r="A483" s="82" t="s">
        <v>578</v>
      </c>
      <c r="B483" s="1"/>
      <c r="D483" s="749">
        <v>9.9999999999999995E-7</v>
      </c>
      <c r="F483" s="749">
        <v>9.9999999999999995E-7</v>
      </c>
      <c r="G483" s="749">
        <v>9.9999999999999995E-7</v>
      </c>
      <c r="H483" s="749">
        <v>9.9999999999999995E-7</v>
      </c>
      <c r="I483" s="749">
        <v>9.9999999999999995E-7</v>
      </c>
      <c r="J483" s="749">
        <v>9.9999999999999995E-7</v>
      </c>
      <c r="K483" s="749">
        <v>9.9999999999999995E-7</v>
      </c>
      <c r="L483" s="749">
        <v>9.9999999999999995E-7</v>
      </c>
    </row>
    <row r="484" spans="1:12">
      <c r="A484" s="1" t="s">
        <v>3055</v>
      </c>
      <c r="B484" s="1"/>
      <c r="D484" s="749">
        <v>9.9999999999999995E-7</v>
      </c>
      <c r="F484" s="749">
        <v>9.9999999999999995E-7</v>
      </c>
      <c r="G484" s="749">
        <v>9.9999999999999995E-7</v>
      </c>
      <c r="H484" s="749">
        <v>9.9999999999999995E-7</v>
      </c>
      <c r="I484" s="749">
        <v>9.9999999999999995E-7</v>
      </c>
      <c r="J484" s="749">
        <v>9.9999999999999995E-7</v>
      </c>
      <c r="K484" s="749">
        <v>9.9999999999999995E-7</v>
      </c>
      <c r="L484" s="749">
        <v>9.9999999999999995E-7</v>
      </c>
    </row>
    <row r="485" spans="1:12">
      <c r="A485" s="1"/>
      <c r="B485" s="1"/>
    </row>
    <row r="486" spans="1:12">
      <c r="A486" s="1"/>
      <c r="B486" s="1"/>
    </row>
  </sheetData>
  <dataValidations count="1">
    <dataValidation type="list" allowBlank="1" showInputMessage="1" showErrorMessage="1" sqref="M4" xr:uid="{B5A2CFB8-72DB-7B40-98F6-8F422FE1A01C}">
      <formula1>Food_category</formula1>
    </dataValidation>
  </dataValidations>
  <hyperlinks>
    <hyperlink ref="B2" location="Week_1_conventional!A1" display="Week_1_organic" xr:uid="{3A0E83EA-F4DC-DB47-8508-9F5724F0769B}"/>
    <hyperlink ref="C2" location="Week_1_organic!A1" display="Week_1_organic" xr:uid="{E2EF0D9B-38F3-0F40-90AA-B007ED11210D}"/>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779B-B61D-3F47-8AD1-8B5DF591062A}">
  <sheetPr codeName="Sheet15"/>
  <dimension ref="A1:BA561"/>
  <sheetViews>
    <sheetView workbookViewId="0">
      <pane ySplit="4" topLeftCell="A56" activePane="bottomLeft" state="frozen"/>
      <selection pane="bottomLeft" activeCell="F77" sqref="F77"/>
    </sheetView>
  </sheetViews>
  <sheetFormatPr baseColWidth="10" defaultRowHeight="14"/>
  <cols>
    <col min="1" max="1" width="36.5" customWidth="1"/>
    <col min="2" max="2" width="30.83203125" customWidth="1"/>
    <col min="3" max="3" width="46.6640625" customWidth="1"/>
    <col min="4" max="4" width="34.5" customWidth="1"/>
    <col min="5" max="5" width="25" customWidth="1"/>
    <col min="6" max="6" width="25.83203125" customWidth="1"/>
    <col min="7" max="7" width="14.5" customWidth="1"/>
    <col min="8" max="8" width="32" customWidth="1"/>
    <col min="9" max="9" width="14" customWidth="1"/>
    <col min="11" max="11" width="13.83203125" customWidth="1"/>
    <col min="13" max="13" width="14.6640625" customWidth="1"/>
    <col min="18" max="18" width="27.33203125" customWidth="1"/>
    <col min="19" max="19" width="35.1640625" style="749" customWidth="1"/>
    <col min="20" max="20" width="10.83203125" style="749"/>
    <col min="21" max="21" width="36" style="749" customWidth="1"/>
    <col min="22" max="22" width="9.5" customWidth="1"/>
    <col min="23" max="23" width="36" style="749" customWidth="1"/>
    <col min="24" max="24" width="9.5" customWidth="1"/>
    <col min="25" max="25" width="36" style="749" customWidth="1"/>
    <col min="26" max="26" width="9.5" customWidth="1"/>
    <col min="27" max="27" width="36" style="749" customWidth="1"/>
    <col min="28" max="28" width="9.5" customWidth="1"/>
    <col min="29" max="29" width="36" style="749" customWidth="1"/>
    <col min="30" max="30" width="9.5" customWidth="1"/>
    <col min="31" max="31" width="36" style="749" customWidth="1"/>
    <col min="32" max="32" width="9.5" customWidth="1"/>
    <col min="33" max="33" width="36" style="749" customWidth="1"/>
    <col min="34" max="34" width="9.5" customWidth="1"/>
    <col min="35" max="35" width="36" style="749" customWidth="1"/>
    <col min="36" max="36" width="9.5" customWidth="1"/>
    <col min="37" max="37" width="36" style="749" customWidth="1"/>
    <col min="38" max="38" width="9.5" customWidth="1"/>
    <col min="39" max="39" width="36" style="749" customWidth="1"/>
    <col min="40" max="40" width="9.5" customWidth="1"/>
    <col min="41" max="41" width="36" style="749" customWidth="1"/>
    <col min="42" max="42" width="9.5" customWidth="1"/>
    <col min="43" max="43" width="36" style="749" customWidth="1"/>
    <col min="44" max="44" width="9.5" customWidth="1"/>
    <col min="45" max="45" width="36" style="749" customWidth="1"/>
    <col min="46" max="46" width="9.5" customWidth="1"/>
    <col min="47" max="47" width="36" style="749" customWidth="1"/>
    <col min="48" max="48" width="9.5" customWidth="1"/>
    <col min="49" max="49" width="36" style="749" customWidth="1"/>
    <col min="50" max="50" width="9.5" customWidth="1"/>
    <col min="51" max="51" width="18.83203125" customWidth="1"/>
    <col min="52" max="52" width="18.83203125" style="749" customWidth="1"/>
  </cols>
  <sheetData>
    <row r="1" spans="1:53">
      <c r="A1">
        <v>10</v>
      </c>
      <c r="B1">
        <v>20</v>
      </c>
      <c r="C1">
        <v>30</v>
      </c>
      <c r="D1">
        <v>40</v>
      </c>
      <c r="E1">
        <v>50</v>
      </c>
      <c r="F1">
        <v>60</v>
      </c>
      <c r="G1">
        <v>70</v>
      </c>
      <c r="H1">
        <v>6</v>
      </c>
      <c r="I1">
        <v>7</v>
      </c>
      <c r="J1">
        <v>8</v>
      </c>
      <c r="S1" s="490" t="s">
        <v>675</v>
      </c>
      <c r="T1" s="1">
        <v>17</v>
      </c>
      <c r="U1" s="490" t="s">
        <v>675</v>
      </c>
      <c r="V1" s="247" t="s">
        <v>675</v>
      </c>
      <c r="W1" s="490" t="s">
        <v>675</v>
      </c>
      <c r="Y1" s="490" t="s">
        <v>675</v>
      </c>
      <c r="Z1" s="247"/>
      <c r="AA1" s="490" t="s">
        <v>675</v>
      </c>
      <c r="AC1" s="490" t="s">
        <v>675</v>
      </c>
      <c r="AD1" s="247"/>
      <c r="AE1" s="490" t="s">
        <v>675</v>
      </c>
      <c r="AG1" s="490" t="s">
        <v>675</v>
      </c>
      <c r="AH1" s="247"/>
      <c r="AI1" s="490" t="s">
        <v>675</v>
      </c>
      <c r="AK1" s="490" t="s">
        <v>675</v>
      </c>
      <c r="AL1" s="247"/>
      <c r="AM1" s="490" t="s">
        <v>675</v>
      </c>
      <c r="AO1" s="490" t="s">
        <v>675</v>
      </c>
      <c r="AP1" s="247"/>
      <c r="AQ1" s="490" t="s">
        <v>675</v>
      </c>
      <c r="AS1" s="490" t="s">
        <v>675</v>
      </c>
      <c r="AT1" s="247"/>
      <c r="AU1" s="490" t="s">
        <v>675</v>
      </c>
      <c r="AW1" s="490" t="s">
        <v>675</v>
      </c>
      <c r="AX1" s="247" t="s">
        <v>675</v>
      </c>
      <c r="BA1" s="749" t="s">
        <v>261</v>
      </c>
    </row>
    <row r="2" spans="1:53">
      <c r="C2" s="324" t="s">
        <v>1230</v>
      </c>
      <c r="S2" s="1"/>
      <c r="U2" s="1"/>
      <c r="V2" s="247"/>
      <c r="W2" s="1"/>
      <c r="Y2" s="1"/>
      <c r="Z2" s="247"/>
      <c r="AA2" s="1"/>
      <c r="AC2" s="1"/>
      <c r="AD2" s="247"/>
      <c r="AE2" s="1"/>
      <c r="AG2" s="1"/>
      <c r="AH2" s="247"/>
      <c r="AI2" s="1"/>
      <c r="AK2" s="1"/>
      <c r="AL2" s="247"/>
      <c r="AM2" s="1"/>
      <c r="AO2" s="1"/>
      <c r="AP2" s="247"/>
      <c r="AQ2" s="1"/>
      <c r="AS2" s="1"/>
      <c r="AT2" s="247"/>
      <c r="AU2" s="1"/>
      <c r="AW2" s="1"/>
      <c r="AX2" s="247"/>
    </row>
    <row r="3" spans="1:53">
      <c r="A3" t="s">
        <v>643</v>
      </c>
      <c r="B3" t="s">
        <v>625</v>
      </c>
      <c r="C3" t="s">
        <v>590</v>
      </c>
      <c r="D3" t="s">
        <v>670</v>
      </c>
      <c r="E3" t="s">
        <v>671</v>
      </c>
      <c r="F3" t="s">
        <v>668</v>
      </c>
      <c r="G3" t="s">
        <v>669</v>
      </c>
      <c r="H3" s="1" t="s">
        <v>665</v>
      </c>
      <c r="I3" t="s">
        <v>666</v>
      </c>
      <c r="J3" t="s">
        <v>667</v>
      </c>
      <c r="S3" s="1" t="s">
        <v>237</v>
      </c>
      <c r="T3" s="749" t="s">
        <v>265</v>
      </c>
      <c r="U3" s="1" t="s">
        <v>237</v>
      </c>
      <c r="V3" s="749" t="s">
        <v>266</v>
      </c>
      <c r="W3" s="1" t="s">
        <v>237</v>
      </c>
      <c r="X3" s="749" t="s">
        <v>267</v>
      </c>
      <c r="Y3" s="1" t="s">
        <v>237</v>
      </c>
      <c r="Z3" s="749" t="s">
        <v>268</v>
      </c>
      <c r="AA3" s="1" t="s">
        <v>237</v>
      </c>
      <c r="AB3" s="749" t="s">
        <v>269</v>
      </c>
      <c r="AC3" s="1" t="s">
        <v>237</v>
      </c>
      <c r="AD3" s="749" t="s">
        <v>270</v>
      </c>
      <c r="AE3" s="1" t="s">
        <v>237</v>
      </c>
      <c r="AF3" s="26" t="s">
        <v>271</v>
      </c>
      <c r="AG3" s="1" t="s">
        <v>237</v>
      </c>
      <c r="AH3" s="25" t="s">
        <v>272</v>
      </c>
      <c r="AI3" s="1" t="s">
        <v>237</v>
      </c>
      <c r="AJ3" s="749" t="s">
        <v>273</v>
      </c>
      <c r="AK3" s="1" t="s">
        <v>237</v>
      </c>
      <c r="AL3" s="749" t="s">
        <v>274</v>
      </c>
      <c r="AM3" s="1" t="s">
        <v>237</v>
      </c>
      <c r="AN3" s="749" t="s">
        <v>275</v>
      </c>
      <c r="AO3" s="1" t="s">
        <v>237</v>
      </c>
      <c r="AP3" s="749" t="s">
        <v>276</v>
      </c>
      <c r="AQ3" s="1" t="s">
        <v>237</v>
      </c>
      <c r="AR3" s="749" t="s">
        <v>277</v>
      </c>
      <c r="AS3" s="1" t="s">
        <v>237</v>
      </c>
      <c r="AT3" s="749" t="s">
        <v>278</v>
      </c>
      <c r="AU3" s="1" t="s">
        <v>237</v>
      </c>
      <c r="AV3" s="749" t="s">
        <v>279</v>
      </c>
      <c r="AW3" s="1" t="s">
        <v>237</v>
      </c>
      <c r="AX3" s="26" t="s">
        <v>280</v>
      </c>
      <c r="AY3" s="1233" t="s">
        <v>414</v>
      </c>
      <c r="AZ3" s="1233" t="s">
        <v>3307</v>
      </c>
      <c r="BA3" s="4">
        <v>37.44444444444445</v>
      </c>
    </row>
    <row r="4" spans="1:53">
      <c r="A4" t="s">
        <v>644</v>
      </c>
      <c r="B4" t="s">
        <v>645</v>
      </c>
      <c r="C4" t="s">
        <v>626</v>
      </c>
      <c r="H4" t="s">
        <v>647</v>
      </c>
      <c r="K4" s="248" t="s">
        <v>4044</v>
      </c>
      <c r="S4" s="1233" t="s">
        <v>3304</v>
      </c>
      <c r="T4" s="1144">
        <v>3308</v>
      </c>
      <c r="U4" s="1233" t="s">
        <v>3304</v>
      </c>
      <c r="V4" s="1144">
        <v>1784</v>
      </c>
      <c r="W4" s="1" t="s">
        <v>3332</v>
      </c>
      <c r="X4" s="3">
        <v>499</v>
      </c>
      <c r="Y4" s="749" t="s">
        <v>3230</v>
      </c>
      <c r="Z4" s="34">
        <v>1200</v>
      </c>
      <c r="AA4" s="1233" t="s">
        <v>3304</v>
      </c>
      <c r="AB4" s="1144">
        <v>48.78</v>
      </c>
      <c r="AC4" s="1" t="s">
        <v>3336</v>
      </c>
      <c r="AD4" s="135">
        <v>7.6</v>
      </c>
      <c r="AE4" s="1" t="s">
        <v>1822</v>
      </c>
      <c r="AF4" s="4">
        <v>6.6</v>
      </c>
      <c r="AG4" s="1233" t="s">
        <v>3307</v>
      </c>
      <c r="AH4" s="3">
        <v>2626.2222222222222</v>
      </c>
      <c r="AI4" s="1" t="s">
        <v>1822</v>
      </c>
      <c r="AJ4" s="4">
        <v>310</v>
      </c>
      <c r="AK4" s="1" t="s">
        <v>1822</v>
      </c>
      <c r="AL4" s="4">
        <v>3.2</v>
      </c>
      <c r="AM4" s="1" t="s">
        <v>1822</v>
      </c>
      <c r="AN4" s="4">
        <v>21</v>
      </c>
      <c r="AO4" s="1" t="s">
        <v>3158</v>
      </c>
      <c r="AP4" s="4">
        <v>205</v>
      </c>
      <c r="AQ4" s="749" t="s">
        <v>3269</v>
      </c>
      <c r="AR4" s="4">
        <v>557</v>
      </c>
      <c r="AS4" s="1" t="s">
        <v>1822</v>
      </c>
      <c r="AT4" s="4">
        <v>40</v>
      </c>
      <c r="AU4" s="325" t="s">
        <v>3132</v>
      </c>
      <c r="AV4" s="4">
        <v>191</v>
      </c>
      <c r="AW4" s="749" t="s">
        <v>3199</v>
      </c>
      <c r="AX4" s="4">
        <v>25</v>
      </c>
      <c r="AY4" s="1" t="s">
        <v>3119</v>
      </c>
      <c r="AZ4" s="1233" t="s">
        <v>3299</v>
      </c>
      <c r="BA4" s="4">
        <v>27</v>
      </c>
    </row>
    <row r="5" spans="1:53">
      <c r="A5" s="248" t="s">
        <v>4028</v>
      </c>
      <c r="B5" t="s">
        <v>608</v>
      </c>
      <c r="C5" t="s">
        <v>591</v>
      </c>
      <c r="H5" s="52" t="s">
        <v>648</v>
      </c>
      <c r="K5" s="248" t="s">
        <v>4045</v>
      </c>
      <c r="S5" s="1233" t="s">
        <v>3299</v>
      </c>
      <c r="T5" s="4">
        <v>2683</v>
      </c>
      <c r="U5" s="749" t="s">
        <v>3306</v>
      </c>
      <c r="V5" s="42">
        <v>1576</v>
      </c>
      <c r="W5" s="1233" t="s">
        <v>3304</v>
      </c>
      <c r="X5" s="1144">
        <v>451</v>
      </c>
      <c r="Y5" s="325" t="s">
        <v>3249</v>
      </c>
      <c r="Z5" s="3">
        <v>935.99999999999989</v>
      </c>
      <c r="AA5" s="1" t="s">
        <v>1766</v>
      </c>
      <c r="AB5" s="34">
        <v>46</v>
      </c>
      <c r="AC5" s="749" t="s">
        <v>3162</v>
      </c>
      <c r="AD5" s="4">
        <v>6.92</v>
      </c>
      <c r="AE5" s="1" t="s">
        <v>3332</v>
      </c>
      <c r="AF5" s="234">
        <v>3.7902097902097904</v>
      </c>
      <c r="AG5" s="1233" t="s">
        <v>3242</v>
      </c>
      <c r="AH5" s="1234">
        <v>1650</v>
      </c>
      <c r="AI5" s="1" t="s">
        <v>3247</v>
      </c>
      <c r="AJ5" s="4">
        <v>1.3</v>
      </c>
      <c r="AK5" s="53" t="s">
        <v>3218</v>
      </c>
      <c r="AL5" s="4">
        <v>2.75</v>
      </c>
      <c r="AM5" s="1" t="s">
        <v>3247</v>
      </c>
      <c r="AN5" s="4">
        <v>21</v>
      </c>
      <c r="AO5" s="1233" t="s">
        <v>3242</v>
      </c>
      <c r="AP5" s="1238">
        <v>3.75</v>
      </c>
      <c r="AQ5" s="1" t="s">
        <v>1835</v>
      </c>
      <c r="AR5" s="34">
        <v>380</v>
      </c>
      <c r="AS5" s="1" t="s">
        <v>1835</v>
      </c>
      <c r="AT5" s="34">
        <v>26</v>
      </c>
      <c r="AU5" s="1" t="s">
        <v>1766</v>
      </c>
      <c r="AV5" s="34">
        <v>171</v>
      </c>
      <c r="AW5" s="1" t="s">
        <v>3202</v>
      </c>
      <c r="AX5" s="4">
        <v>25</v>
      </c>
      <c r="AY5" s="325" t="s">
        <v>3120</v>
      </c>
      <c r="AZ5" s="325" t="s">
        <v>3303</v>
      </c>
      <c r="BA5" s="1234">
        <v>26</v>
      </c>
    </row>
    <row r="6" spans="1:53">
      <c r="A6" s="248" t="s">
        <v>4065</v>
      </c>
      <c r="B6" t="s">
        <v>609</v>
      </c>
      <c r="C6" t="s">
        <v>592</v>
      </c>
      <c r="H6" s="52" t="s">
        <v>649</v>
      </c>
      <c r="K6" s="248" t="s">
        <v>4046</v>
      </c>
      <c r="S6" s="1233" t="s">
        <v>3307</v>
      </c>
      <c r="T6" s="3">
        <v>2344</v>
      </c>
      <c r="U6" s="325" t="s">
        <v>3298</v>
      </c>
      <c r="V6" s="42">
        <v>1576</v>
      </c>
      <c r="W6" s="1233" t="s">
        <v>3299</v>
      </c>
      <c r="X6" s="4">
        <v>400</v>
      </c>
      <c r="Y6" s="1" t="s">
        <v>3249</v>
      </c>
      <c r="Z6" s="3">
        <v>935.99999999999989</v>
      </c>
      <c r="AA6" s="1" t="s">
        <v>3094</v>
      </c>
      <c r="AB6" s="34">
        <v>46</v>
      </c>
      <c r="AC6" s="1" t="s">
        <v>3332</v>
      </c>
      <c r="AD6" s="3">
        <v>6.8111888111888117</v>
      </c>
      <c r="AE6" s="325" t="s">
        <v>3303</v>
      </c>
      <c r="AF6" s="238">
        <v>2</v>
      </c>
      <c r="AG6" s="1" t="s">
        <v>1823</v>
      </c>
      <c r="AH6" s="34">
        <v>990</v>
      </c>
      <c r="AI6" s="749" t="s">
        <v>3506</v>
      </c>
      <c r="AJ6" s="3">
        <v>1.1330998248686515</v>
      </c>
      <c r="AK6" s="1" t="s">
        <v>1835</v>
      </c>
      <c r="AL6" s="34">
        <v>2.5</v>
      </c>
      <c r="AM6" s="1" t="s">
        <v>3350</v>
      </c>
      <c r="AN6" s="4">
        <v>18</v>
      </c>
      <c r="AO6" s="1" t="s">
        <v>3247</v>
      </c>
      <c r="AP6" s="4">
        <v>2.1</v>
      </c>
      <c r="AQ6" s="1" t="s">
        <v>3169</v>
      </c>
      <c r="AR6" s="34">
        <v>321</v>
      </c>
      <c r="AS6" s="1" t="s">
        <v>3169</v>
      </c>
      <c r="AT6" s="34">
        <v>8.07</v>
      </c>
      <c r="AU6" s="1" t="s">
        <v>3094</v>
      </c>
      <c r="AV6" s="34">
        <v>171</v>
      </c>
      <c r="AW6" s="1" t="s">
        <v>3197</v>
      </c>
      <c r="AX6" s="4">
        <v>12.5</v>
      </c>
      <c r="AY6" s="1233" t="s">
        <v>3121</v>
      </c>
      <c r="AZ6" s="1" t="s">
        <v>3332</v>
      </c>
      <c r="BA6" s="4">
        <v>24</v>
      </c>
    </row>
    <row r="7" spans="1:53">
      <c r="A7" s="248" t="s">
        <v>4029</v>
      </c>
      <c r="B7" t="s">
        <v>610</v>
      </c>
      <c r="C7" t="s">
        <v>593</v>
      </c>
      <c r="H7" t="s">
        <v>650</v>
      </c>
      <c r="K7" s="248" t="s">
        <v>4047</v>
      </c>
      <c r="S7" s="749" t="s">
        <v>3306</v>
      </c>
      <c r="T7" s="42">
        <v>1669</v>
      </c>
      <c r="U7" s="325" t="s">
        <v>3249</v>
      </c>
      <c r="V7" s="3">
        <v>1357</v>
      </c>
      <c r="W7" s="325" t="s">
        <v>3249</v>
      </c>
      <c r="X7" s="3">
        <v>395</v>
      </c>
      <c r="Y7" s="1" t="s">
        <v>3222</v>
      </c>
      <c r="Z7" s="4">
        <v>855</v>
      </c>
      <c r="AA7" s="325" t="s">
        <v>3303</v>
      </c>
      <c r="AB7" s="31">
        <v>43</v>
      </c>
      <c r="AC7" s="325" t="s">
        <v>3249</v>
      </c>
      <c r="AD7" s="3">
        <v>6.7907542579075422</v>
      </c>
      <c r="AE7" s="1" t="s">
        <v>3317</v>
      </c>
      <c r="AF7" s="60">
        <v>1.4</v>
      </c>
      <c r="AG7" s="1233" t="s">
        <v>3115</v>
      </c>
      <c r="AH7" s="37">
        <v>852</v>
      </c>
      <c r="AI7" s="749" t="s">
        <v>3464</v>
      </c>
      <c r="AJ7" s="4">
        <v>1.04</v>
      </c>
      <c r="AK7" s="1233" t="s">
        <v>3299</v>
      </c>
      <c r="AL7" s="4">
        <v>2.4</v>
      </c>
      <c r="AM7" s="1" t="s">
        <v>3351</v>
      </c>
      <c r="AN7" s="4">
        <v>18</v>
      </c>
      <c r="AO7" s="1" t="s">
        <v>3350</v>
      </c>
      <c r="AP7" s="4">
        <v>2</v>
      </c>
      <c r="AQ7" s="1" t="s">
        <v>3098</v>
      </c>
      <c r="AR7" s="4">
        <v>239</v>
      </c>
      <c r="AS7" s="1" t="s">
        <v>1823</v>
      </c>
      <c r="AT7" s="4">
        <v>6</v>
      </c>
      <c r="AU7" s="82" t="s">
        <v>3103</v>
      </c>
      <c r="AV7" s="4">
        <v>166</v>
      </c>
      <c r="AW7" s="1" t="s">
        <v>2261</v>
      </c>
      <c r="AX7" s="37">
        <v>12</v>
      </c>
      <c r="AY7" s="1" t="s">
        <v>3098</v>
      </c>
      <c r="AZ7" s="1" t="s">
        <v>1789</v>
      </c>
      <c r="BA7" s="4">
        <v>20.8</v>
      </c>
    </row>
    <row r="8" spans="1:53">
      <c r="A8" s="248" t="s">
        <v>4030</v>
      </c>
      <c r="B8" t="s">
        <v>611</v>
      </c>
      <c r="C8" t="s">
        <v>594</v>
      </c>
      <c r="H8" t="s">
        <v>651</v>
      </c>
      <c r="K8" s="248" t="s">
        <v>4048</v>
      </c>
      <c r="S8" s="325" t="s">
        <v>3298</v>
      </c>
      <c r="T8" s="42">
        <v>1669</v>
      </c>
      <c r="U8" s="1" t="s">
        <v>3249</v>
      </c>
      <c r="V8" s="3">
        <v>1357</v>
      </c>
      <c r="W8" s="1" t="s">
        <v>3249</v>
      </c>
      <c r="X8" s="3">
        <v>395</v>
      </c>
      <c r="Y8" s="749" t="s">
        <v>3231</v>
      </c>
      <c r="Z8" s="34">
        <v>855</v>
      </c>
      <c r="AA8" s="1" t="s">
        <v>1822</v>
      </c>
      <c r="AB8" s="4">
        <v>29</v>
      </c>
      <c r="AC8" s="1" t="s">
        <v>3249</v>
      </c>
      <c r="AD8" s="3">
        <v>6.7907542579075422</v>
      </c>
      <c r="AE8" s="1" t="s">
        <v>1792</v>
      </c>
      <c r="AF8" s="4">
        <v>1.38</v>
      </c>
      <c r="AG8" s="1" t="s">
        <v>3114</v>
      </c>
      <c r="AH8" s="37">
        <v>852</v>
      </c>
      <c r="AI8" s="749" t="s">
        <v>3183</v>
      </c>
      <c r="AJ8" s="4">
        <v>1.04</v>
      </c>
      <c r="AK8" s="1233" t="s">
        <v>3307</v>
      </c>
      <c r="AL8" s="3">
        <v>1.7777777777777779</v>
      </c>
      <c r="AM8" s="1" t="s">
        <v>3150</v>
      </c>
      <c r="AN8" s="3">
        <v>17.7</v>
      </c>
      <c r="AO8" s="1" t="s">
        <v>3351</v>
      </c>
      <c r="AP8" s="4">
        <v>2</v>
      </c>
      <c r="AQ8" s="749" t="s">
        <v>3506</v>
      </c>
      <c r="AR8" s="3">
        <v>230</v>
      </c>
      <c r="AS8" s="749" t="s">
        <v>3160</v>
      </c>
      <c r="AT8" s="3">
        <v>5</v>
      </c>
      <c r="AU8" s="1233" t="s">
        <v>3113</v>
      </c>
      <c r="AV8" s="3">
        <v>159</v>
      </c>
      <c r="AW8" s="1310" t="s">
        <v>3328</v>
      </c>
      <c r="AX8" s="4">
        <v>12</v>
      </c>
      <c r="AY8" s="1" t="s">
        <v>3117</v>
      </c>
      <c r="AZ8" s="325" t="s">
        <v>3249</v>
      </c>
      <c r="BA8" s="4">
        <v>20.501216545012166</v>
      </c>
    </row>
    <row r="9" spans="1:53">
      <c r="A9" s="248" t="s">
        <v>4031</v>
      </c>
      <c r="B9" t="s">
        <v>612</v>
      </c>
      <c r="C9" t="s">
        <v>595</v>
      </c>
      <c r="H9" t="s">
        <v>652</v>
      </c>
      <c r="K9" s="248" t="s">
        <v>4049</v>
      </c>
      <c r="S9" s="1233" t="s">
        <v>3134</v>
      </c>
      <c r="T9" s="3">
        <v>1530</v>
      </c>
      <c r="U9" s="1" t="s">
        <v>3222</v>
      </c>
      <c r="V9" s="4">
        <v>1190</v>
      </c>
      <c r="W9" s="1" t="s">
        <v>3315</v>
      </c>
      <c r="X9" s="4">
        <v>275</v>
      </c>
      <c r="Y9" s="1" t="s">
        <v>3234</v>
      </c>
      <c r="Z9" s="34">
        <v>825</v>
      </c>
      <c r="AA9" s="1233" t="s">
        <v>3307</v>
      </c>
      <c r="AB9" s="3">
        <v>23.555555555555557</v>
      </c>
      <c r="AC9" s="1233" t="s">
        <v>3299</v>
      </c>
      <c r="AD9" s="4">
        <v>5.4</v>
      </c>
      <c r="AE9" s="1" t="s">
        <v>3315</v>
      </c>
      <c r="AF9" s="4">
        <v>1.17</v>
      </c>
      <c r="AG9" s="1" t="s">
        <v>439</v>
      </c>
      <c r="AH9" s="49">
        <v>770</v>
      </c>
      <c r="AI9" s="749" t="s">
        <v>3183</v>
      </c>
      <c r="AJ9" s="37">
        <v>1.04</v>
      </c>
      <c r="AK9" s="1" t="s">
        <v>3169</v>
      </c>
      <c r="AL9" s="34">
        <v>1.4</v>
      </c>
      <c r="AM9" s="1" t="s">
        <v>3148</v>
      </c>
      <c r="AN9" s="3">
        <v>17.699790062981108</v>
      </c>
      <c r="AO9" s="325" t="s">
        <v>3303</v>
      </c>
      <c r="AP9" s="1234">
        <v>1.74</v>
      </c>
      <c r="AQ9" s="1233" t="s">
        <v>3134</v>
      </c>
      <c r="AR9" s="3">
        <v>226.00000000000003</v>
      </c>
      <c r="AS9" s="1" t="s">
        <v>3146</v>
      </c>
      <c r="AT9" s="3">
        <v>5</v>
      </c>
      <c r="AU9" s="325" t="s">
        <v>3131</v>
      </c>
      <c r="AV9" s="34">
        <v>151</v>
      </c>
      <c r="AW9" s="1" t="s">
        <v>3336</v>
      </c>
      <c r="AX9" s="135">
        <v>11</v>
      </c>
      <c r="AY9" s="1" t="s">
        <v>3099</v>
      </c>
      <c r="AZ9" s="1" t="s">
        <v>3249</v>
      </c>
      <c r="BA9" s="4">
        <v>20.501216545012166</v>
      </c>
    </row>
    <row r="10" spans="1:53">
      <c r="A10" s="248" t="s">
        <v>4032</v>
      </c>
      <c r="B10" t="s">
        <v>613</v>
      </c>
      <c r="C10" t="s">
        <v>596</v>
      </c>
      <c r="H10" s="52" t="s">
        <v>653</v>
      </c>
      <c r="K10" s="248" t="s">
        <v>4050</v>
      </c>
      <c r="S10" s="1" t="s">
        <v>3135</v>
      </c>
      <c r="T10" s="3">
        <v>1530</v>
      </c>
      <c r="U10" s="749" t="s">
        <v>3231</v>
      </c>
      <c r="V10" s="34">
        <v>1190</v>
      </c>
      <c r="W10" s="1233" t="s">
        <v>495</v>
      </c>
      <c r="X10" s="31">
        <v>265</v>
      </c>
      <c r="Y10" s="1" t="s">
        <v>3233</v>
      </c>
      <c r="Z10" s="34">
        <v>750</v>
      </c>
      <c r="AA10" s="1233" t="s">
        <v>3299</v>
      </c>
      <c r="AB10" s="4">
        <v>22</v>
      </c>
      <c r="AC10" s="1" t="s">
        <v>1822</v>
      </c>
      <c r="AD10" s="4">
        <v>5.3</v>
      </c>
      <c r="AE10" s="1" t="s">
        <v>1789</v>
      </c>
      <c r="AF10" s="60">
        <v>1.03</v>
      </c>
      <c r="AG10" s="1" t="s">
        <v>3237</v>
      </c>
      <c r="AH10" s="31">
        <v>708</v>
      </c>
      <c r="AI10" s="1233" t="s">
        <v>3276</v>
      </c>
      <c r="AJ10" s="1234">
        <v>1</v>
      </c>
      <c r="AK10" s="1" t="s">
        <v>1809</v>
      </c>
      <c r="AL10" s="4">
        <v>1.3779999999999999</v>
      </c>
      <c r="AM10" s="749" t="s">
        <v>3163</v>
      </c>
      <c r="AN10" s="3">
        <v>17.699790062981108</v>
      </c>
      <c r="AO10" s="1233" t="s">
        <v>3304</v>
      </c>
      <c r="AP10" s="1144">
        <v>1.71</v>
      </c>
      <c r="AQ10" s="1" t="s">
        <v>3135</v>
      </c>
      <c r="AR10" s="3">
        <v>226.00000000000003</v>
      </c>
      <c r="AS10" s="325" t="s">
        <v>3161</v>
      </c>
      <c r="AT10" s="3">
        <v>4.3999281996050978</v>
      </c>
      <c r="AU10" s="1" t="s">
        <v>3133</v>
      </c>
      <c r="AV10" s="4">
        <v>151</v>
      </c>
      <c r="AW10" s="1233" t="s">
        <v>3242</v>
      </c>
      <c r="AX10" s="1234">
        <v>7.5</v>
      </c>
      <c r="AY10" s="1" t="s">
        <v>438</v>
      </c>
      <c r="AZ10" s="1233" t="s">
        <v>3134</v>
      </c>
      <c r="BA10" s="4">
        <v>18.399906672888473</v>
      </c>
    </row>
    <row r="11" spans="1:53">
      <c r="A11" s="248" t="s">
        <v>4033</v>
      </c>
      <c r="B11" t="s">
        <v>614</v>
      </c>
      <c r="C11" t="s">
        <v>597</v>
      </c>
      <c r="H11" s="232" t="s">
        <v>654</v>
      </c>
      <c r="K11" s="248" t="s">
        <v>4051</v>
      </c>
      <c r="S11" s="1" t="s">
        <v>3144</v>
      </c>
      <c r="T11" s="3">
        <v>1530</v>
      </c>
      <c r="U11" s="1233" t="s">
        <v>3299</v>
      </c>
      <c r="V11" s="4">
        <v>1140</v>
      </c>
      <c r="W11" s="1" t="s">
        <v>3219</v>
      </c>
      <c r="X11" s="3">
        <v>202</v>
      </c>
      <c r="Y11" s="1" t="s">
        <v>1809</v>
      </c>
      <c r="Z11" s="4">
        <v>742.3</v>
      </c>
      <c r="AA11" s="1" t="s">
        <v>3336</v>
      </c>
      <c r="AB11" s="135">
        <v>17</v>
      </c>
      <c r="AC11" s="325" t="s">
        <v>3161</v>
      </c>
      <c r="AD11" s="3">
        <v>5.0859809728953511</v>
      </c>
      <c r="AE11" s="325" t="s">
        <v>3249</v>
      </c>
      <c r="AF11" s="36">
        <v>1.0291970802919705</v>
      </c>
      <c r="AG11" s="749" t="s">
        <v>3306</v>
      </c>
      <c r="AH11" s="42">
        <v>689.99999999999989</v>
      </c>
      <c r="AI11" s="749" t="s">
        <v>3164</v>
      </c>
      <c r="AJ11" s="31">
        <v>0.97499999999999998</v>
      </c>
      <c r="AK11" s="1" t="s">
        <v>3247</v>
      </c>
      <c r="AL11" s="4">
        <v>1</v>
      </c>
      <c r="AM11" s="749" t="s">
        <v>3149</v>
      </c>
      <c r="AN11" s="3">
        <v>17.699790062981108</v>
      </c>
      <c r="AO11" s="1" t="s">
        <v>3295</v>
      </c>
      <c r="AP11" s="4">
        <v>1.7</v>
      </c>
      <c r="AQ11" s="1" t="s">
        <v>3144</v>
      </c>
      <c r="AR11" s="3">
        <v>226.00000000000003</v>
      </c>
      <c r="AS11" s="53" t="s">
        <v>3210</v>
      </c>
      <c r="AT11" s="3">
        <v>3.8006993006993013</v>
      </c>
      <c r="AU11" s="1233" t="s">
        <v>3299</v>
      </c>
      <c r="AV11" s="4">
        <v>125</v>
      </c>
      <c r="AW11" s="1" t="s">
        <v>3203</v>
      </c>
      <c r="AX11" s="4">
        <v>5.9</v>
      </c>
      <c r="AY11" s="1233" t="s">
        <v>3100</v>
      </c>
      <c r="AZ11" s="1" t="s">
        <v>3135</v>
      </c>
      <c r="BA11" s="4">
        <v>18.399906672888473</v>
      </c>
    </row>
    <row r="12" spans="1:53">
      <c r="A12" s="248" t="s">
        <v>4034</v>
      </c>
      <c r="B12" t="s">
        <v>615</v>
      </c>
      <c r="C12" t="s">
        <v>598</v>
      </c>
      <c r="H12" t="s">
        <v>655</v>
      </c>
      <c r="K12" s="248" t="s">
        <v>4052</v>
      </c>
      <c r="S12" s="1" t="s">
        <v>3332</v>
      </c>
      <c r="T12" s="3">
        <v>1523.9999999999998</v>
      </c>
      <c r="U12" s="1" t="s">
        <v>3227</v>
      </c>
      <c r="V12" s="4">
        <v>1000</v>
      </c>
      <c r="W12" s="1233" t="s">
        <v>3307</v>
      </c>
      <c r="X12" s="3">
        <v>200</v>
      </c>
      <c r="Y12" s="1" t="s">
        <v>3332</v>
      </c>
      <c r="Z12" s="3">
        <v>734</v>
      </c>
      <c r="AA12" s="1" t="s">
        <v>3332</v>
      </c>
      <c r="AB12" s="3">
        <v>13.860139860139862</v>
      </c>
      <c r="AC12" s="1" t="s">
        <v>3175</v>
      </c>
      <c r="AD12" s="34">
        <v>4.93</v>
      </c>
      <c r="AE12" s="1" t="s">
        <v>3249</v>
      </c>
      <c r="AF12" s="36">
        <v>1.0291970802919705</v>
      </c>
      <c r="AG12" s="325" t="s">
        <v>3298</v>
      </c>
      <c r="AH12" s="42">
        <v>689.99999999999989</v>
      </c>
      <c r="AI12" s="1" t="s">
        <v>3153</v>
      </c>
      <c r="AJ12" s="42">
        <v>0.94599999999999995</v>
      </c>
      <c r="AK12" s="1" t="s">
        <v>1823</v>
      </c>
      <c r="AL12" s="4">
        <v>0.8</v>
      </c>
      <c r="AM12" s="1" t="s">
        <v>3316</v>
      </c>
      <c r="AN12" s="34">
        <v>17.5</v>
      </c>
      <c r="AO12" s="1233" t="s">
        <v>414</v>
      </c>
      <c r="AP12" s="1234">
        <v>1.2350000000000001</v>
      </c>
      <c r="AQ12" s="1" t="s">
        <v>3116</v>
      </c>
      <c r="AR12" s="49">
        <v>220</v>
      </c>
      <c r="AS12" s="749" t="s">
        <v>3181</v>
      </c>
      <c r="AT12" s="34">
        <v>2.8</v>
      </c>
      <c r="AU12" s="1" t="s">
        <v>3098</v>
      </c>
      <c r="AV12" s="4">
        <v>121</v>
      </c>
      <c r="AW12" s="53" t="s">
        <v>3204</v>
      </c>
      <c r="AX12" s="4">
        <v>5.9</v>
      </c>
      <c r="AY12" s="1" t="s">
        <v>3101</v>
      </c>
      <c r="AZ12" s="1" t="s">
        <v>3144</v>
      </c>
      <c r="BA12" s="4">
        <v>18.399906672888473</v>
      </c>
    </row>
    <row r="13" spans="1:53">
      <c r="A13" s="248" t="s">
        <v>4035</v>
      </c>
      <c r="B13" t="s">
        <v>616</v>
      </c>
      <c r="C13" t="s">
        <v>599</v>
      </c>
      <c r="H13" s="230" t="s">
        <v>656</v>
      </c>
      <c r="K13" s="248" t="s">
        <v>4053</v>
      </c>
      <c r="S13" s="1" t="s">
        <v>1809</v>
      </c>
      <c r="T13" s="4">
        <v>1260</v>
      </c>
      <c r="U13" s="1" t="s">
        <v>3228</v>
      </c>
      <c r="V13" s="4">
        <v>1000</v>
      </c>
      <c r="W13" s="1233" t="s">
        <v>3134</v>
      </c>
      <c r="X13" s="3">
        <v>184</v>
      </c>
      <c r="Y13" s="53" t="s">
        <v>3210</v>
      </c>
      <c r="Z13" s="3">
        <v>619</v>
      </c>
      <c r="AA13" s="1232" t="s">
        <v>518</v>
      </c>
      <c r="AB13" s="49">
        <v>11.1</v>
      </c>
      <c r="AC13" s="749" t="s">
        <v>3159</v>
      </c>
      <c r="AD13" s="3">
        <v>4.8</v>
      </c>
      <c r="AE13" s="1232" t="s">
        <v>518</v>
      </c>
      <c r="AF13" s="50">
        <v>1.02</v>
      </c>
      <c r="AG13" s="1232" t="s">
        <v>3137</v>
      </c>
      <c r="AH13" s="49">
        <v>608</v>
      </c>
      <c r="AI13" s="1" t="s">
        <v>3154</v>
      </c>
      <c r="AJ13" s="42">
        <v>0.94599999999999995</v>
      </c>
      <c r="AK13" s="1" t="s">
        <v>3166</v>
      </c>
      <c r="AL13" s="4">
        <v>0.6</v>
      </c>
      <c r="AM13" s="1" t="s">
        <v>3151</v>
      </c>
      <c r="AN13" s="34">
        <v>15.9</v>
      </c>
      <c r="AO13" s="1233" t="s">
        <v>3299</v>
      </c>
      <c r="AP13" s="4">
        <v>0.9</v>
      </c>
      <c r="AQ13" s="1232" t="s">
        <v>3137</v>
      </c>
      <c r="AR13" s="49">
        <v>220</v>
      </c>
      <c r="AS13" s="749" t="s">
        <v>3162</v>
      </c>
      <c r="AT13" s="4">
        <v>2.2000000000000002</v>
      </c>
      <c r="AU13" s="1" t="s">
        <v>439</v>
      </c>
      <c r="AV13" s="49">
        <v>110</v>
      </c>
      <c r="AW13" s="53" t="s">
        <v>3210</v>
      </c>
      <c r="AX13" s="3">
        <v>4.8986013986013983</v>
      </c>
      <c r="AY13" s="1" t="s">
        <v>3102</v>
      </c>
      <c r="AZ13" s="1232" t="s">
        <v>518</v>
      </c>
      <c r="BA13" s="49">
        <v>18</v>
      </c>
    </row>
    <row r="14" spans="1:53">
      <c r="A14" s="248" t="s">
        <v>4036</v>
      </c>
      <c r="B14" t="s">
        <v>617</v>
      </c>
      <c r="C14" t="s">
        <v>600</v>
      </c>
      <c r="H14" s="231" t="s">
        <v>657</v>
      </c>
      <c r="K14" s="248" t="s">
        <v>4054</v>
      </c>
      <c r="S14" s="1" t="s">
        <v>3295</v>
      </c>
      <c r="T14" s="4">
        <v>1193</v>
      </c>
      <c r="U14" s="749" t="s">
        <v>3230</v>
      </c>
      <c r="V14" s="34">
        <v>1000</v>
      </c>
      <c r="W14" s="1" t="s">
        <v>3135</v>
      </c>
      <c r="X14" s="3">
        <v>184</v>
      </c>
      <c r="Y14" s="1" t="s">
        <v>3225</v>
      </c>
      <c r="Z14" s="4">
        <v>610</v>
      </c>
      <c r="AA14" s="325" t="s">
        <v>3296</v>
      </c>
      <c r="AB14" s="3">
        <v>10.25</v>
      </c>
      <c r="AC14" s="1" t="s">
        <v>3147</v>
      </c>
      <c r="AD14" s="49">
        <v>4.8</v>
      </c>
      <c r="AE14" s="1" t="s">
        <v>3327</v>
      </c>
      <c r="AF14" s="44">
        <v>0.95399999999999996</v>
      </c>
      <c r="AG14" s="1" t="s">
        <v>3119</v>
      </c>
      <c r="AH14" s="4">
        <v>588</v>
      </c>
      <c r="AI14" s="1" t="s">
        <v>3156</v>
      </c>
      <c r="AJ14" s="42">
        <v>0.94599999999999995</v>
      </c>
      <c r="AK14" s="1" t="s">
        <v>3315</v>
      </c>
      <c r="AL14" s="4">
        <v>0.56000000000000005</v>
      </c>
      <c r="AM14" s="1233" t="s">
        <v>3444</v>
      </c>
      <c r="AN14" s="49">
        <v>15.9</v>
      </c>
      <c r="AO14" s="1" t="s">
        <v>3151</v>
      </c>
      <c r="AP14" s="34">
        <v>0.82</v>
      </c>
      <c r="AQ14" s="1" t="s">
        <v>3112</v>
      </c>
      <c r="AR14" s="49">
        <v>180</v>
      </c>
      <c r="AS14" s="1233" t="s">
        <v>1861</v>
      </c>
      <c r="AT14" s="4">
        <v>2.2000000000000002</v>
      </c>
      <c r="AU14" s="1" t="s">
        <v>3336</v>
      </c>
      <c r="AV14" s="4">
        <v>95</v>
      </c>
      <c r="AW14" s="1" t="s">
        <v>3201</v>
      </c>
      <c r="AX14" s="4">
        <v>4.8</v>
      </c>
      <c r="AY14" s="1233" t="s">
        <v>3089</v>
      </c>
      <c r="AZ14" s="749" t="s">
        <v>3274</v>
      </c>
      <c r="BA14" s="4">
        <v>18</v>
      </c>
    </row>
    <row r="15" spans="1:53">
      <c r="A15" s="248" t="s">
        <v>4037</v>
      </c>
      <c r="B15" t="s">
        <v>618</v>
      </c>
      <c r="C15" t="s">
        <v>601</v>
      </c>
      <c r="H15" s="27" t="s">
        <v>658</v>
      </c>
      <c r="K15" s="248" t="s">
        <v>4055</v>
      </c>
      <c r="S15" s="1" t="s">
        <v>3426</v>
      </c>
      <c r="T15" s="34">
        <v>1001</v>
      </c>
      <c r="U15" s="1" t="s">
        <v>3225</v>
      </c>
      <c r="V15" s="4">
        <v>990</v>
      </c>
      <c r="W15" s="1" t="s">
        <v>3144</v>
      </c>
      <c r="X15" s="3">
        <v>184</v>
      </c>
      <c r="Y15" s="1" t="s">
        <v>3227</v>
      </c>
      <c r="Z15" s="4">
        <v>575</v>
      </c>
      <c r="AA15" s="1" t="s">
        <v>3514</v>
      </c>
      <c r="AB15" s="3">
        <v>10.25</v>
      </c>
      <c r="AC15" s="1" t="s">
        <v>3153</v>
      </c>
      <c r="AD15" s="42">
        <v>4.6410000000000009</v>
      </c>
      <c r="AE15" s="325" t="s">
        <v>3460</v>
      </c>
      <c r="AF15" s="1148">
        <v>0.86</v>
      </c>
      <c r="AG15" s="325" t="s">
        <v>3120</v>
      </c>
      <c r="AH15" s="4">
        <v>588</v>
      </c>
      <c r="AI15" s="749" t="s">
        <v>3181</v>
      </c>
      <c r="AJ15" s="34">
        <v>0.93</v>
      </c>
      <c r="AK15" s="1" t="s">
        <v>3225</v>
      </c>
      <c r="AL15" s="4">
        <v>0.5</v>
      </c>
      <c r="AM15" s="1" t="s">
        <v>1823</v>
      </c>
      <c r="AN15" s="4">
        <v>11.6</v>
      </c>
      <c r="AO15" s="1233" t="s">
        <v>3444</v>
      </c>
      <c r="AP15" s="49">
        <v>0.82</v>
      </c>
      <c r="AQ15" s="1233" t="s">
        <v>3299</v>
      </c>
      <c r="AR15" s="4">
        <v>180</v>
      </c>
      <c r="AS15" s="1" t="s">
        <v>3197</v>
      </c>
      <c r="AT15" s="4">
        <v>2.2000000000000002</v>
      </c>
      <c r="AU15" s="1" t="s">
        <v>3106</v>
      </c>
      <c r="AV15" s="42">
        <v>80</v>
      </c>
      <c r="AW15" s="1" t="s">
        <v>1859</v>
      </c>
      <c r="AX15" s="4">
        <v>4.8</v>
      </c>
      <c r="AY15" s="82" t="s">
        <v>3103</v>
      </c>
      <c r="AZ15" s="749" t="s">
        <v>3269</v>
      </c>
      <c r="BA15" s="4">
        <v>17.399999999999999</v>
      </c>
    </row>
    <row r="16" spans="1:53">
      <c r="A16" s="248" t="s">
        <v>4038</v>
      </c>
      <c r="B16" t="s">
        <v>619</v>
      </c>
      <c r="C16" t="s">
        <v>602</v>
      </c>
      <c r="H16" t="s">
        <v>659</v>
      </c>
      <c r="K16" s="248" t="s">
        <v>4056</v>
      </c>
      <c r="S16" s="1335" t="s">
        <v>3301</v>
      </c>
      <c r="T16" s="1234">
        <v>1000</v>
      </c>
      <c r="U16" s="1" t="s">
        <v>1809</v>
      </c>
      <c r="V16" s="4">
        <v>947.6</v>
      </c>
      <c r="W16" s="1" t="s">
        <v>1789</v>
      </c>
      <c r="X16" s="4">
        <v>183</v>
      </c>
      <c r="Y16" s="1" t="s">
        <v>3228</v>
      </c>
      <c r="Z16" s="4">
        <v>575</v>
      </c>
      <c r="AA16" s="1" t="s">
        <v>3169</v>
      </c>
      <c r="AB16" s="34">
        <v>9.19</v>
      </c>
      <c r="AC16" s="1" t="s">
        <v>3154</v>
      </c>
      <c r="AD16" s="42">
        <v>4.6410000000000009</v>
      </c>
      <c r="AE16" s="1" t="s">
        <v>3227</v>
      </c>
      <c r="AF16" s="4">
        <v>0.86</v>
      </c>
      <c r="AG16" s="1" t="s">
        <v>1777</v>
      </c>
      <c r="AH16" s="4">
        <v>552</v>
      </c>
      <c r="AI16" s="1" t="s">
        <v>3350</v>
      </c>
      <c r="AJ16" s="4">
        <v>0.9</v>
      </c>
      <c r="AK16" s="53" t="s">
        <v>3210</v>
      </c>
      <c r="AL16" s="3">
        <v>0.5</v>
      </c>
      <c r="AM16" s="749" t="s">
        <v>3464</v>
      </c>
      <c r="AN16" s="4">
        <v>11.2</v>
      </c>
      <c r="AO16" s="1" t="s">
        <v>1835</v>
      </c>
      <c r="AP16" s="34">
        <v>0.8</v>
      </c>
      <c r="AQ16" s="325" t="s">
        <v>3303</v>
      </c>
      <c r="AR16" s="31">
        <v>179.99999999999997</v>
      </c>
      <c r="AS16" s="1" t="s">
        <v>3223</v>
      </c>
      <c r="AT16" s="4">
        <v>2.1</v>
      </c>
      <c r="AU16" s="325" t="s">
        <v>3513</v>
      </c>
      <c r="AV16" s="42">
        <v>78.499999999999986</v>
      </c>
      <c r="AW16" s="1" t="s">
        <v>3237</v>
      </c>
      <c r="AX16" s="238">
        <v>3.8259999999999996</v>
      </c>
      <c r="AY16" s="1233" t="s">
        <v>3123</v>
      </c>
      <c r="AZ16" s="82" t="s">
        <v>3246</v>
      </c>
      <c r="BA16" s="4">
        <v>17.3</v>
      </c>
    </row>
    <row r="17" spans="1:53">
      <c r="A17" s="82" t="s">
        <v>4039</v>
      </c>
      <c r="B17" t="s">
        <v>620</v>
      </c>
      <c r="C17" t="s">
        <v>603</v>
      </c>
      <c r="H17" s="27" t="s">
        <v>660</v>
      </c>
      <c r="K17" s="248" t="s">
        <v>4057</v>
      </c>
      <c r="S17" s="1232" t="s">
        <v>518</v>
      </c>
      <c r="T17" s="49">
        <v>940</v>
      </c>
      <c r="U17" s="82" t="s">
        <v>3224</v>
      </c>
      <c r="V17" s="4">
        <v>885</v>
      </c>
      <c r="W17" s="82" t="s">
        <v>3251</v>
      </c>
      <c r="X17" s="4">
        <v>177</v>
      </c>
      <c r="Y17" s="1" t="s">
        <v>3219</v>
      </c>
      <c r="Z17" s="3">
        <v>561</v>
      </c>
      <c r="AA17" s="325" t="s">
        <v>3249</v>
      </c>
      <c r="AB17" s="3">
        <v>8.8004866180048662</v>
      </c>
      <c r="AC17" s="1" t="s">
        <v>3156</v>
      </c>
      <c r="AD17" s="42">
        <v>4.6410000000000009</v>
      </c>
      <c r="AE17" s="1" t="s">
        <v>3228</v>
      </c>
      <c r="AF17" s="60">
        <v>0.86</v>
      </c>
      <c r="AG17" s="53" t="s">
        <v>3210</v>
      </c>
      <c r="AH17" s="3">
        <v>540</v>
      </c>
      <c r="AI17" s="1" t="s">
        <v>3351</v>
      </c>
      <c r="AJ17" s="4">
        <v>0.9</v>
      </c>
      <c r="AK17" s="1233" t="s">
        <v>3276</v>
      </c>
      <c r="AL17" s="1234">
        <v>0.45500000000000002</v>
      </c>
      <c r="AM17" s="749" t="s">
        <v>3183</v>
      </c>
      <c r="AN17" s="4">
        <v>11.2</v>
      </c>
      <c r="AO17" s="1" t="s">
        <v>3426</v>
      </c>
      <c r="AP17" s="37">
        <v>0.76900000000000002</v>
      </c>
      <c r="AQ17" s="1" t="s">
        <v>3247</v>
      </c>
      <c r="AR17" s="4">
        <v>175</v>
      </c>
      <c r="AS17" s="1" t="s">
        <v>3226</v>
      </c>
      <c r="AT17" s="34">
        <v>2.1</v>
      </c>
      <c r="AU17" s="1233" t="s">
        <v>3307</v>
      </c>
      <c r="AV17" s="3">
        <v>71</v>
      </c>
      <c r="AW17" s="1" t="s">
        <v>3238</v>
      </c>
      <c r="AX17" s="236">
        <v>2.5</v>
      </c>
      <c r="AY17" s="1232" t="s">
        <v>469</v>
      </c>
      <c r="AZ17" s="749" t="s">
        <v>3267</v>
      </c>
      <c r="BA17" s="4">
        <v>14.5</v>
      </c>
    </row>
    <row r="18" spans="1:53">
      <c r="A18" s="1" t="s">
        <v>4041</v>
      </c>
      <c r="B18" t="s">
        <v>621</v>
      </c>
      <c r="C18" t="s">
        <v>604</v>
      </c>
      <c r="H18" s="52" t="s">
        <v>661</v>
      </c>
      <c r="K18" s="248" t="s">
        <v>4058</v>
      </c>
      <c r="S18" s="53" t="s">
        <v>3218</v>
      </c>
      <c r="T18" s="4">
        <v>931</v>
      </c>
      <c r="U18" s="325" t="s">
        <v>3303</v>
      </c>
      <c r="V18" s="31">
        <v>834</v>
      </c>
      <c r="W18" s="1" t="s">
        <v>3316</v>
      </c>
      <c r="X18" s="4">
        <v>173</v>
      </c>
      <c r="Y18" s="1233" t="s">
        <v>3304</v>
      </c>
      <c r="Z18" s="1144">
        <v>543</v>
      </c>
      <c r="AA18" s="1" t="s">
        <v>3249</v>
      </c>
      <c r="AB18" s="3">
        <v>8.8004866180048662</v>
      </c>
      <c r="AC18" s="749" t="s">
        <v>3181</v>
      </c>
      <c r="AD18" s="34">
        <v>4.2</v>
      </c>
      <c r="AE18" s="749" t="s">
        <v>3269</v>
      </c>
      <c r="AF18" s="4">
        <v>0.85</v>
      </c>
      <c r="AG18" s="1233" t="s">
        <v>3113</v>
      </c>
      <c r="AH18" s="3">
        <v>467</v>
      </c>
      <c r="AI18" s="82" t="s">
        <v>3251</v>
      </c>
      <c r="AJ18" s="4">
        <v>0.76</v>
      </c>
      <c r="AK18" s="1233" t="s">
        <v>3208</v>
      </c>
      <c r="AL18" s="3">
        <v>0.450046685340803</v>
      </c>
      <c r="AM18" s="749" t="s">
        <v>3183</v>
      </c>
      <c r="AN18" s="37">
        <v>11.2</v>
      </c>
      <c r="AO18" s="1" t="s">
        <v>1792</v>
      </c>
      <c r="AP18" s="4">
        <v>0.7</v>
      </c>
      <c r="AQ18" s="53" t="s">
        <v>3210</v>
      </c>
      <c r="AR18" s="3">
        <v>160</v>
      </c>
      <c r="AS18" s="1" t="s">
        <v>3232</v>
      </c>
      <c r="AT18" s="34">
        <v>2.1</v>
      </c>
      <c r="AU18" s="1232" t="s">
        <v>469</v>
      </c>
      <c r="AV18" s="4">
        <v>61.5</v>
      </c>
      <c r="AW18" s="749" t="s">
        <v>3193</v>
      </c>
      <c r="AX18" s="236">
        <v>2.2000000000000002</v>
      </c>
      <c r="AY18" s="1" t="s">
        <v>439</v>
      </c>
      <c r="AZ18" s="1" t="s">
        <v>3426</v>
      </c>
      <c r="BA18" s="4">
        <v>13.6</v>
      </c>
    </row>
    <row r="19" spans="1:53">
      <c r="A19" s="1" t="s">
        <v>4042</v>
      </c>
      <c r="B19" t="s">
        <v>622</v>
      </c>
      <c r="C19" t="s">
        <v>605</v>
      </c>
      <c r="H19" s="38" t="s">
        <v>662</v>
      </c>
      <c r="K19" s="248" t="s">
        <v>4059</v>
      </c>
      <c r="S19" s="749" t="s">
        <v>3269</v>
      </c>
      <c r="T19" s="4">
        <v>875</v>
      </c>
      <c r="U19" s="1" t="s">
        <v>3232</v>
      </c>
      <c r="V19" s="34">
        <v>817</v>
      </c>
      <c r="W19" s="1" t="s">
        <v>1792</v>
      </c>
      <c r="X19" s="4">
        <v>159</v>
      </c>
      <c r="Y19" s="325" t="s">
        <v>3460</v>
      </c>
      <c r="Z19" s="34">
        <v>530</v>
      </c>
      <c r="AA19" s="1" t="s">
        <v>3247</v>
      </c>
      <c r="AB19" s="4">
        <v>7.9</v>
      </c>
      <c r="AC19" s="1233" t="s">
        <v>3307</v>
      </c>
      <c r="AD19" s="3">
        <v>4.1111111111111116</v>
      </c>
      <c r="AE19" s="1233" t="s">
        <v>3299</v>
      </c>
      <c r="AF19" s="4">
        <v>0.8</v>
      </c>
      <c r="AG19" s="1" t="s">
        <v>3329</v>
      </c>
      <c r="AH19" s="3">
        <v>400</v>
      </c>
      <c r="AI19" s="1" t="s">
        <v>91</v>
      </c>
      <c r="AJ19" s="34">
        <v>0.7</v>
      </c>
      <c r="AK19" s="1" t="s">
        <v>3219</v>
      </c>
      <c r="AL19" s="3">
        <v>0.44996501049685095</v>
      </c>
      <c r="AM19" s="749" t="s">
        <v>3159</v>
      </c>
      <c r="AN19" s="4">
        <v>10</v>
      </c>
      <c r="AO19" s="53" t="s">
        <v>3218</v>
      </c>
      <c r="AP19" s="4">
        <v>0.6</v>
      </c>
      <c r="AQ19" s="1233" t="s">
        <v>3113</v>
      </c>
      <c r="AR19" s="3">
        <v>149</v>
      </c>
      <c r="AS19" s="1" t="s">
        <v>1809</v>
      </c>
      <c r="AT19" s="4">
        <v>2</v>
      </c>
      <c r="AU19" s="1" t="s">
        <v>468</v>
      </c>
      <c r="AV19" s="4">
        <v>61</v>
      </c>
      <c r="AW19" s="1233" t="s">
        <v>3194</v>
      </c>
      <c r="AX19" s="236">
        <v>2.2000000000000002</v>
      </c>
      <c r="AY19" s="1" t="s">
        <v>3104</v>
      </c>
      <c r="AZ19" s="1233" t="s">
        <v>3304</v>
      </c>
      <c r="BA19" s="1144">
        <v>13.6</v>
      </c>
    </row>
    <row r="20" spans="1:53">
      <c r="A20" s="1310" t="s">
        <v>4043</v>
      </c>
      <c r="B20" t="s">
        <v>623</v>
      </c>
      <c r="C20" t="s">
        <v>606</v>
      </c>
      <c r="H20" s="27" t="s">
        <v>663</v>
      </c>
      <c r="K20" s="248" t="s">
        <v>4060</v>
      </c>
      <c r="S20" s="1" t="s">
        <v>3336</v>
      </c>
      <c r="T20" s="135">
        <v>850</v>
      </c>
      <c r="U20" s="1" t="s">
        <v>3219</v>
      </c>
      <c r="V20" s="3">
        <v>766</v>
      </c>
      <c r="W20" s="749" t="s">
        <v>3267</v>
      </c>
      <c r="X20" s="4">
        <v>144</v>
      </c>
      <c r="Y20" s="82" t="s">
        <v>3251</v>
      </c>
      <c r="Z20" s="4">
        <v>523</v>
      </c>
      <c r="AA20" s="1" t="s">
        <v>1835</v>
      </c>
      <c r="AB20" s="34">
        <v>7.4</v>
      </c>
      <c r="AC20" s="325" t="s">
        <v>3460</v>
      </c>
      <c r="AD20" s="34">
        <v>4.0999999999999996</v>
      </c>
      <c r="AE20" s="1" t="s">
        <v>3316</v>
      </c>
      <c r="AF20" s="60">
        <v>0.65</v>
      </c>
      <c r="AG20" s="1" t="s">
        <v>3330</v>
      </c>
      <c r="AH20" s="3">
        <v>400</v>
      </c>
      <c r="AI20" s="1" t="s">
        <v>3336</v>
      </c>
      <c r="AJ20" s="135">
        <v>0.7</v>
      </c>
      <c r="AK20" s="82" t="s">
        <v>20</v>
      </c>
      <c r="AL20" s="4">
        <v>0.44</v>
      </c>
      <c r="AM20" s="1" t="s">
        <v>3147</v>
      </c>
      <c r="AN20" s="49">
        <v>10</v>
      </c>
      <c r="AO20" s="1310" t="s">
        <v>3248</v>
      </c>
      <c r="AP20" s="4">
        <v>0.6</v>
      </c>
      <c r="AQ20" s="1" t="s">
        <v>1822</v>
      </c>
      <c r="AR20" s="4">
        <v>139</v>
      </c>
      <c r="AS20" s="325" t="s">
        <v>3460</v>
      </c>
      <c r="AT20" s="34">
        <v>2</v>
      </c>
      <c r="AU20" s="1" t="s">
        <v>3116</v>
      </c>
      <c r="AV20" s="49">
        <v>60</v>
      </c>
      <c r="AW20" s="1233" t="s">
        <v>3208</v>
      </c>
      <c r="AX20" s="3">
        <v>1.7497665732959851</v>
      </c>
      <c r="AY20" s="1232" t="s">
        <v>3145</v>
      </c>
      <c r="AZ20" s="82" t="s">
        <v>3251</v>
      </c>
      <c r="BA20" s="4">
        <v>10.6</v>
      </c>
    </row>
    <row r="21" spans="1:53">
      <c r="A21" s="1" t="s">
        <v>4040</v>
      </c>
      <c r="B21" t="s">
        <v>624</v>
      </c>
      <c r="C21" t="s">
        <v>607</v>
      </c>
      <c r="H21" s="47" t="s">
        <v>664</v>
      </c>
      <c r="K21" s="248" t="s">
        <v>4061</v>
      </c>
      <c r="S21" s="1" t="s">
        <v>3317</v>
      </c>
      <c r="T21" s="4">
        <v>838</v>
      </c>
      <c r="U21" s="1" t="s">
        <v>3223</v>
      </c>
      <c r="V21" s="4">
        <v>750</v>
      </c>
      <c r="W21" s="82" t="s">
        <v>3246</v>
      </c>
      <c r="X21" s="4">
        <v>133</v>
      </c>
      <c r="Y21" s="82" t="s">
        <v>3224</v>
      </c>
      <c r="Z21" s="4">
        <v>520</v>
      </c>
      <c r="AA21" s="1335" t="s">
        <v>3301</v>
      </c>
      <c r="AB21" s="1234">
        <v>7.2</v>
      </c>
      <c r="AC21" s="82" t="s">
        <v>3224</v>
      </c>
      <c r="AD21" s="4">
        <v>4</v>
      </c>
      <c r="AE21" s="82" t="s">
        <v>3251</v>
      </c>
      <c r="AF21" s="60">
        <v>0.63</v>
      </c>
      <c r="AG21" s="1" t="s">
        <v>134</v>
      </c>
      <c r="AH21" s="3">
        <v>400</v>
      </c>
      <c r="AI21" s="1233" t="s">
        <v>3307</v>
      </c>
      <c r="AJ21" s="3">
        <v>0.66666666666666663</v>
      </c>
      <c r="AK21" s="1" t="s">
        <v>20</v>
      </c>
      <c r="AL21" s="4">
        <v>0.44</v>
      </c>
      <c r="AM21" s="1233" t="s">
        <v>3299</v>
      </c>
      <c r="AN21" s="4">
        <v>9.9</v>
      </c>
      <c r="AO21" s="1" t="s">
        <v>1822</v>
      </c>
      <c r="AP21" s="4">
        <v>0.59</v>
      </c>
      <c r="AQ21" s="1" t="s">
        <v>1823</v>
      </c>
      <c r="AR21" s="4">
        <v>132</v>
      </c>
      <c r="AS21" s="749" t="s">
        <v>3230</v>
      </c>
      <c r="AT21" s="34">
        <v>2</v>
      </c>
      <c r="AU21" s="1" t="s">
        <v>481</v>
      </c>
      <c r="AV21" s="4">
        <v>59</v>
      </c>
      <c r="AW21" s="1" t="s">
        <v>3151</v>
      </c>
      <c r="AX21" s="34">
        <v>1.5</v>
      </c>
      <c r="AY21" s="1" t="s">
        <v>3432</v>
      </c>
      <c r="AZ21" s="1" t="s">
        <v>3250</v>
      </c>
      <c r="BA21" s="4">
        <v>9.3000000000000007</v>
      </c>
    </row>
    <row r="22" spans="1:53">
      <c r="S22" s="325" t="s">
        <v>3249</v>
      </c>
      <c r="T22" s="3">
        <v>831.99999999999989</v>
      </c>
      <c r="U22" s="1" t="s">
        <v>3226</v>
      </c>
      <c r="V22" s="34">
        <v>750</v>
      </c>
      <c r="W22" s="1" t="s">
        <v>3329</v>
      </c>
      <c r="X22" s="3">
        <v>130</v>
      </c>
      <c r="Y22" s="1" t="s">
        <v>3315</v>
      </c>
      <c r="Z22" s="4">
        <v>480</v>
      </c>
      <c r="AA22" s="749" t="s">
        <v>3272</v>
      </c>
      <c r="AB22" s="3">
        <v>6.85</v>
      </c>
      <c r="AC22" s="1" t="s">
        <v>3225</v>
      </c>
      <c r="AD22" s="4">
        <v>4</v>
      </c>
      <c r="AE22" s="749" t="s">
        <v>3272</v>
      </c>
      <c r="AF22" s="36">
        <v>0.6</v>
      </c>
      <c r="AG22" s="1232" t="s">
        <v>3138</v>
      </c>
      <c r="AH22" s="54">
        <v>387.27863636363634</v>
      </c>
      <c r="AI22" s="82" t="s">
        <v>3246</v>
      </c>
      <c r="AJ22" s="4">
        <v>0.65</v>
      </c>
      <c r="AK22" s="325" t="s">
        <v>3216</v>
      </c>
      <c r="AL22" s="31">
        <v>0.42999999999999994</v>
      </c>
      <c r="AM22" s="1" t="s">
        <v>3153</v>
      </c>
      <c r="AN22" s="42">
        <v>9.66</v>
      </c>
      <c r="AO22" s="749" t="s">
        <v>3193</v>
      </c>
      <c r="AP22" s="42">
        <v>0.59</v>
      </c>
      <c r="AQ22" s="1" t="s">
        <v>421</v>
      </c>
      <c r="AR22" s="4">
        <v>127</v>
      </c>
      <c r="AS22" s="53" t="s">
        <v>3218</v>
      </c>
      <c r="AT22" s="4">
        <v>2</v>
      </c>
      <c r="AU22" s="1233" t="s">
        <v>3304</v>
      </c>
      <c r="AV22" s="1144">
        <v>50</v>
      </c>
      <c r="AW22" s="1233" t="s">
        <v>3444</v>
      </c>
      <c r="AX22" s="49">
        <v>1.5</v>
      </c>
      <c r="AY22" s="749" t="s">
        <v>3130</v>
      </c>
      <c r="AZ22" s="1" t="s">
        <v>3295</v>
      </c>
      <c r="BA22" s="4">
        <v>9</v>
      </c>
    </row>
    <row r="23" spans="1:53" ht="15">
      <c r="A23" s="2" t="s">
        <v>79</v>
      </c>
      <c r="B23" t="s">
        <v>627</v>
      </c>
      <c r="C23" t="s">
        <v>628</v>
      </c>
      <c r="D23" t="s">
        <v>646</v>
      </c>
      <c r="E23" t="s">
        <v>629</v>
      </c>
      <c r="F23" t="s">
        <v>630</v>
      </c>
      <c r="G23" t="s">
        <v>631</v>
      </c>
      <c r="H23" t="s">
        <v>632</v>
      </c>
      <c r="I23" t="s">
        <v>633</v>
      </c>
      <c r="J23" t="s">
        <v>634</v>
      </c>
      <c r="K23" t="s">
        <v>635</v>
      </c>
      <c r="L23" t="s">
        <v>636</v>
      </c>
      <c r="M23" t="s">
        <v>637</v>
      </c>
      <c r="N23" t="s">
        <v>638</v>
      </c>
      <c r="O23" t="s">
        <v>639</v>
      </c>
      <c r="P23" t="s">
        <v>640</v>
      </c>
      <c r="Q23" t="s">
        <v>641</v>
      </c>
      <c r="R23" t="s">
        <v>642</v>
      </c>
      <c r="S23" s="1" t="s">
        <v>3249</v>
      </c>
      <c r="T23" s="3">
        <v>831.99999999999989</v>
      </c>
      <c r="U23" s="1" t="s">
        <v>3217</v>
      </c>
      <c r="V23" s="34">
        <v>720</v>
      </c>
      <c r="W23" s="1" t="s">
        <v>3330</v>
      </c>
      <c r="X23" s="3">
        <v>130</v>
      </c>
      <c r="Y23" s="1" t="s">
        <v>3232</v>
      </c>
      <c r="Z23" s="34">
        <v>475</v>
      </c>
      <c r="AA23" s="749" t="s">
        <v>3269</v>
      </c>
      <c r="AB23" s="4">
        <v>6.2</v>
      </c>
      <c r="AC23" s="1" t="s">
        <v>3217</v>
      </c>
      <c r="AD23" s="34">
        <v>4</v>
      </c>
      <c r="AE23" s="1233" t="s">
        <v>3245</v>
      </c>
      <c r="AF23" s="36">
        <v>0.50116550116550118</v>
      </c>
      <c r="AG23" s="82" t="s">
        <v>3103</v>
      </c>
      <c r="AH23" s="4">
        <v>366</v>
      </c>
      <c r="AI23" s="1" t="s">
        <v>1823</v>
      </c>
      <c r="AJ23" s="4">
        <v>0.59899999999999998</v>
      </c>
      <c r="AK23" s="749" t="s">
        <v>3506</v>
      </c>
      <c r="AL23" s="3">
        <v>0.42556917688266194</v>
      </c>
      <c r="AM23" s="1" t="s">
        <v>3154</v>
      </c>
      <c r="AN23" s="42">
        <v>9.66</v>
      </c>
      <c r="AO23" s="1233" t="s">
        <v>3194</v>
      </c>
      <c r="AP23" s="42">
        <v>0.59</v>
      </c>
      <c r="AQ23" s="1233" t="s">
        <v>3123</v>
      </c>
      <c r="AR23" s="31">
        <v>121</v>
      </c>
      <c r="AS23" s="1233" t="s">
        <v>3208</v>
      </c>
      <c r="AT23" s="3">
        <v>2</v>
      </c>
      <c r="AU23" s="1" t="s">
        <v>3423</v>
      </c>
      <c r="AV23" s="3">
        <v>50</v>
      </c>
      <c r="AW23" s="749" t="s">
        <v>3178</v>
      </c>
      <c r="AX23" s="34">
        <v>1.4</v>
      </c>
      <c r="AY23" s="1" t="s">
        <v>3435</v>
      </c>
      <c r="AZ23" s="1" t="s">
        <v>3317</v>
      </c>
      <c r="BA23" s="4">
        <v>8.1999999999999993</v>
      </c>
    </row>
    <row r="24" spans="1:53" ht="15">
      <c r="A24" s="114" t="s">
        <v>263</v>
      </c>
      <c r="S24" s="1233" t="s">
        <v>3113</v>
      </c>
      <c r="T24" s="3">
        <v>811</v>
      </c>
      <c r="U24" s="325" t="s">
        <v>3460</v>
      </c>
      <c r="V24" s="34">
        <v>700</v>
      </c>
      <c r="W24" s="1" t="s">
        <v>134</v>
      </c>
      <c r="X24" s="3">
        <v>130</v>
      </c>
      <c r="Y24" s="1233" t="s">
        <v>3299</v>
      </c>
      <c r="Z24" s="4">
        <v>436</v>
      </c>
      <c r="AA24" s="1" t="s">
        <v>3295</v>
      </c>
      <c r="AB24" s="4">
        <v>6</v>
      </c>
      <c r="AC24" s="1" t="s">
        <v>3227</v>
      </c>
      <c r="AD24" s="4">
        <v>4</v>
      </c>
      <c r="AE24" s="82" t="s">
        <v>3246</v>
      </c>
      <c r="AF24" s="60">
        <v>0.5</v>
      </c>
      <c r="AG24" s="1" t="s">
        <v>1809</v>
      </c>
      <c r="AH24" s="4">
        <v>355.3</v>
      </c>
      <c r="AI24" s="749" t="s">
        <v>3272</v>
      </c>
      <c r="AJ24" s="3">
        <v>0.57999999999999996</v>
      </c>
      <c r="AK24" s="325" t="s">
        <v>3303</v>
      </c>
      <c r="AL24" s="1234">
        <v>0.42099999999999999</v>
      </c>
      <c r="AM24" s="1" t="s">
        <v>3156</v>
      </c>
      <c r="AN24" s="42">
        <v>9.66</v>
      </c>
      <c r="AO24" s="749" t="s">
        <v>3173</v>
      </c>
      <c r="AP24" s="4">
        <v>0.55000000000000004</v>
      </c>
      <c r="AQ24" s="1232" t="s">
        <v>518</v>
      </c>
      <c r="AR24" s="49">
        <v>110</v>
      </c>
      <c r="AS24" s="1" t="s">
        <v>3227</v>
      </c>
      <c r="AT24" s="4">
        <v>1.75</v>
      </c>
      <c r="AU24" s="1" t="s">
        <v>3099</v>
      </c>
      <c r="AV24" s="42">
        <v>49</v>
      </c>
      <c r="AW24" s="1" t="s">
        <v>1822</v>
      </c>
      <c r="AX24" s="4">
        <v>1.1000000000000001</v>
      </c>
      <c r="AY24" s="1233" t="s">
        <v>3124</v>
      </c>
      <c r="AZ24" s="1" t="s">
        <v>3368</v>
      </c>
      <c r="BA24" s="49">
        <v>8.1150000000000002</v>
      </c>
    </row>
    <row r="25" spans="1:53" ht="15">
      <c r="A25" s="112" t="s">
        <v>264</v>
      </c>
      <c r="S25" s="1233" t="s">
        <v>3293</v>
      </c>
      <c r="T25" s="49">
        <v>798</v>
      </c>
      <c r="U25" s="1" t="s">
        <v>3234</v>
      </c>
      <c r="V25" s="34">
        <v>575</v>
      </c>
      <c r="W25" s="749" t="s">
        <v>3274</v>
      </c>
      <c r="X25" s="4">
        <v>128</v>
      </c>
      <c r="Y25" s="1" t="s">
        <v>3223</v>
      </c>
      <c r="Z25" s="4">
        <v>430</v>
      </c>
      <c r="AA25" s="53" t="s">
        <v>3210</v>
      </c>
      <c r="AB25" s="3">
        <v>5.8986013986013983</v>
      </c>
      <c r="AC25" s="1" t="s">
        <v>3228</v>
      </c>
      <c r="AD25" s="4">
        <v>4</v>
      </c>
      <c r="AE25" s="1" t="s">
        <v>3295</v>
      </c>
      <c r="AF25" s="60">
        <v>0.5</v>
      </c>
      <c r="AG25" s="1" t="s">
        <v>1811</v>
      </c>
      <c r="AH25" s="4">
        <v>345</v>
      </c>
      <c r="AI25" s="749" t="s">
        <v>3405</v>
      </c>
      <c r="AJ25" s="4">
        <v>0.57499999999999996</v>
      </c>
      <c r="AK25" s="1" t="s">
        <v>3095</v>
      </c>
      <c r="AL25" s="34">
        <v>0.40200000000000002</v>
      </c>
      <c r="AM25" s="749" t="s">
        <v>3160</v>
      </c>
      <c r="AN25" s="3">
        <v>8.6</v>
      </c>
      <c r="AO25" s="1" t="s">
        <v>3174</v>
      </c>
      <c r="AP25" s="4">
        <v>0.55000000000000004</v>
      </c>
      <c r="AQ25" s="1" t="s">
        <v>3350</v>
      </c>
      <c r="AR25" s="4">
        <v>95.8</v>
      </c>
      <c r="AS25" s="1" t="s">
        <v>3228</v>
      </c>
      <c r="AT25" s="4">
        <v>1.75</v>
      </c>
      <c r="AU25" s="1" t="s">
        <v>1783</v>
      </c>
      <c r="AV25" s="4">
        <v>49</v>
      </c>
      <c r="AW25" s="1" t="s">
        <v>1831</v>
      </c>
      <c r="AX25" s="34">
        <v>1.1000000000000001</v>
      </c>
      <c r="AY25" s="1" t="s">
        <v>3125</v>
      </c>
      <c r="AZ25" s="1" t="s">
        <v>3314</v>
      </c>
      <c r="BA25" s="4">
        <v>7.6</v>
      </c>
    </row>
    <row r="26" spans="1:53" ht="15">
      <c r="A26" s="2" t="s">
        <v>265</v>
      </c>
      <c r="B26" s="248" t="s">
        <v>4066</v>
      </c>
      <c r="C26" s="248"/>
      <c r="D26" s="248"/>
      <c r="E26" s="249"/>
      <c r="F26" s="250"/>
      <c r="G26" s="250"/>
      <c r="H26" s="249"/>
      <c r="I26" s="248"/>
      <c r="J26" s="249"/>
      <c r="K26" s="249"/>
      <c r="L26" s="229"/>
      <c r="M26" s="250"/>
      <c r="N26" s="248"/>
      <c r="O26" s="82"/>
      <c r="P26" s="248"/>
      <c r="Q26" s="248"/>
      <c r="R26" s="229"/>
      <c r="S26" s="749" t="s">
        <v>3322</v>
      </c>
      <c r="T26" s="4">
        <v>773</v>
      </c>
      <c r="U26" s="1" t="s">
        <v>3233</v>
      </c>
      <c r="V26" s="34">
        <v>500</v>
      </c>
      <c r="W26" s="1233" t="s">
        <v>3126</v>
      </c>
      <c r="X26" s="49">
        <v>127</v>
      </c>
      <c r="Y26" s="1" t="s">
        <v>3226</v>
      </c>
      <c r="Z26" s="34">
        <v>430</v>
      </c>
      <c r="AA26" s="1233" t="s">
        <v>3134</v>
      </c>
      <c r="AB26" s="3">
        <v>5.5</v>
      </c>
      <c r="AC26" s="749" t="s">
        <v>3230</v>
      </c>
      <c r="AD26" s="34">
        <v>4</v>
      </c>
      <c r="AE26" s="1233" t="s">
        <v>3304</v>
      </c>
      <c r="AF26" s="1343">
        <v>0.49</v>
      </c>
      <c r="AG26" s="1" t="s">
        <v>3223</v>
      </c>
      <c r="AH26" s="4">
        <v>317</v>
      </c>
      <c r="AI26" s="325" t="s">
        <v>3155</v>
      </c>
      <c r="AJ26" s="49">
        <v>0.505</v>
      </c>
      <c r="AK26" s="1" t="s">
        <v>3222</v>
      </c>
      <c r="AL26" s="4">
        <v>0.39</v>
      </c>
      <c r="AM26" s="1" t="s">
        <v>3146</v>
      </c>
      <c r="AN26" s="3">
        <v>8.6</v>
      </c>
      <c r="AO26" s="749" t="s">
        <v>3181</v>
      </c>
      <c r="AP26" s="34">
        <v>0.55000000000000004</v>
      </c>
      <c r="AQ26" s="1" t="s">
        <v>3351</v>
      </c>
      <c r="AR26" s="4">
        <v>95.8</v>
      </c>
      <c r="AS26" s="1" t="s">
        <v>3175</v>
      </c>
      <c r="AT26" s="34">
        <v>1.59</v>
      </c>
      <c r="AU26" s="53" t="s">
        <v>3139</v>
      </c>
      <c r="AV26" s="4">
        <v>48</v>
      </c>
      <c r="AW26" s="1" t="s">
        <v>91</v>
      </c>
      <c r="AX26" s="49">
        <v>1</v>
      </c>
      <c r="AY26" s="1" t="s">
        <v>3426</v>
      </c>
      <c r="AZ26" s="1310" t="s">
        <v>3248</v>
      </c>
      <c r="BA26" s="4">
        <v>7.3</v>
      </c>
    </row>
    <row r="27" spans="1:53" ht="15">
      <c r="A27" s="2" t="s">
        <v>266</v>
      </c>
      <c r="B27" s="248" t="s">
        <v>4067</v>
      </c>
      <c r="C27" s="229"/>
      <c r="D27" s="249"/>
      <c r="E27" s="229"/>
      <c r="F27" s="248"/>
      <c r="G27" s="229"/>
      <c r="H27" s="82"/>
      <c r="I27" s="248"/>
      <c r="J27" s="249"/>
      <c r="K27" s="248"/>
      <c r="L27" s="250"/>
      <c r="M27" s="82"/>
      <c r="N27" s="248"/>
      <c r="O27" s="249"/>
      <c r="P27" s="250"/>
      <c r="Q27" s="248"/>
      <c r="R27" s="229"/>
      <c r="S27" s="1" t="s">
        <v>3316</v>
      </c>
      <c r="T27" s="4">
        <v>746</v>
      </c>
      <c r="U27" s="53" t="s">
        <v>3218</v>
      </c>
      <c r="V27" s="4">
        <v>446</v>
      </c>
      <c r="W27" s="1310" t="s">
        <v>3248</v>
      </c>
      <c r="X27" s="4">
        <v>127</v>
      </c>
      <c r="Y27" s="1" t="s">
        <v>1822</v>
      </c>
      <c r="Z27" s="4">
        <v>430</v>
      </c>
      <c r="AA27" s="1" t="s">
        <v>3135</v>
      </c>
      <c r="AB27" s="3">
        <v>5.5</v>
      </c>
      <c r="AC27" s="82" t="s">
        <v>3251</v>
      </c>
      <c r="AD27" s="4">
        <v>4</v>
      </c>
      <c r="AE27" s="1233" t="s">
        <v>3134</v>
      </c>
      <c r="AF27" s="234">
        <v>0.46990200653289782</v>
      </c>
      <c r="AG27" s="1" t="s">
        <v>3226</v>
      </c>
      <c r="AH27" s="34">
        <v>317</v>
      </c>
      <c r="AI27" s="53" t="s">
        <v>3218</v>
      </c>
      <c r="AJ27" s="4">
        <v>0.49</v>
      </c>
      <c r="AK27" s="749" t="s">
        <v>3231</v>
      </c>
      <c r="AL27" s="34">
        <v>0.39</v>
      </c>
      <c r="AM27" s="749" t="s">
        <v>3506</v>
      </c>
      <c r="AN27" s="3">
        <v>8.3905429071803859</v>
      </c>
      <c r="AO27" s="1" t="s">
        <v>3317</v>
      </c>
      <c r="AP27" s="4">
        <v>0.54</v>
      </c>
      <c r="AQ27" s="325" t="s">
        <v>3132</v>
      </c>
      <c r="AR27" s="4">
        <v>88</v>
      </c>
      <c r="AS27" s="82" t="s">
        <v>3224</v>
      </c>
      <c r="AT27" s="34">
        <v>1.54</v>
      </c>
      <c r="AU27" s="325" t="s">
        <v>3303</v>
      </c>
      <c r="AV27" s="31">
        <v>47</v>
      </c>
      <c r="AW27" s="1" t="s">
        <v>1835</v>
      </c>
      <c r="AX27" s="34">
        <v>0.9</v>
      </c>
      <c r="AY27" s="1" t="s">
        <v>3433</v>
      </c>
      <c r="AZ27" s="1" t="s">
        <v>3316</v>
      </c>
      <c r="BA27" s="34">
        <v>6.8</v>
      </c>
    </row>
    <row r="28" spans="1:53" ht="15">
      <c r="A28" s="2" t="s">
        <v>267</v>
      </c>
      <c r="B28" s="1310" t="s">
        <v>4068</v>
      </c>
      <c r="C28" s="229"/>
      <c r="D28" s="249"/>
      <c r="E28" s="229"/>
      <c r="F28" s="248"/>
      <c r="G28" s="248"/>
      <c r="H28" s="248"/>
      <c r="I28" s="248"/>
      <c r="J28" s="250"/>
      <c r="K28" s="248"/>
      <c r="L28" s="248"/>
      <c r="M28" s="250"/>
      <c r="N28" s="229"/>
      <c r="O28" s="248"/>
      <c r="P28" s="249"/>
      <c r="Q28" s="248"/>
      <c r="R28" s="248"/>
      <c r="S28" s="1" t="s">
        <v>3315</v>
      </c>
      <c r="T28" s="4">
        <v>687</v>
      </c>
      <c r="U28" s="1232" t="s">
        <v>3215</v>
      </c>
      <c r="V28" s="135">
        <v>330</v>
      </c>
      <c r="W28" s="1" t="s">
        <v>3327</v>
      </c>
      <c r="X28" s="42">
        <v>121</v>
      </c>
      <c r="Y28" s="1233" t="s">
        <v>3134</v>
      </c>
      <c r="Z28" s="3">
        <v>425</v>
      </c>
      <c r="AA28" s="1" t="s">
        <v>3144</v>
      </c>
      <c r="AB28" s="3">
        <v>5.5</v>
      </c>
      <c r="AC28" s="1232" t="s">
        <v>518</v>
      </c>
      <c r="AD28" s="49">
        <v>3.9</v>
      </c>
      <c r="AE28" s="1" t="s">
        <v>3135</v>
      </c>
      <c r="AF28" s="36">
        <v>0.46990200653289782</v>
      </c>
      <c r="AG28" s="325" t="s">
        <v>3303</v>
      </c>
      <c r="AH28" s="1234">
        <v>309</v>
      </c>
      <c r="AI28" s="1" t="s">
        <v>1827</v>
      </c>
      <c r="AJ28" s="4">
        <v>0.48</v>
      </c>
      <c r="AK28" s="749" t="s">
        <v>3405</v>
      </c>
      <c r="AL28" s="4">
        <v>0.38100000000000001</v>
      </c>
      <c r="AM28" s="749" t="s">
        <v>3164</v>
      </c>
      <c r="AN28" s="31">
        <v>7.9329999999999998</v>
      </c>
      <c r="AO28" s="749" t="s">
        <v>3269</v>
      </c>
      <c r="AP28" s="4">
        <v>0.54</v>
      </c>
      <c r="AQ28" s="1" t="s">
        <v>441</v>
      </c>
      <c r="AR28" s="3">
        <v>87</v>
      </c>
      <c r="AS28" s="1" t="s">
        <v>3222</v>
      </c>
      <c r="AT28" s="4">
        <v>1.5</v>
      </c>
      <c r="AU28" s="1" t="s">
        <v>1790</v>
      </c>
      <c r="AV28" s="4">
        <v>45</v>
      </c>
      <c r="AW28" s="749" t="s">
        <v>3207</v>
      </c>
      <c r="AX28" s="236">
        <v>0.87</v>
      </c>
      <c r="AY28" s="1" t="s">
        <v>1764</v>
      </c>
      <c r="AZ28" s="1" t="s">
        <v>3336</v>
      </c>
      <c r="BA28" s="135">
        <v>6.5</v>
      </c>
    </row>
    <row r="29" spans="1:53" ht="15">
      <c r="A29" s="2" t="s">
        <v>268</v>
      </c>
      <c r="B29" s="229" t="s">
        <v>4069</v>
      </c>
      <c r="C29" s="249"/>
      <c r="D29" s="249"/>
      <c r="E29" s="229"/>
      <c r="F29" s="248"/>
      <c r="G29" s="248"/>
      <c r="H29" s="248"/>
      <c r="I29" s="250"/>
      <c r="J29" s="248"/>
      <c r="K29" s="82"/>
      <c r="L29" s="248"/>
      <c r="M29" s="229"/>
      <c r="N29" s="248"/>
      <c r="O29" s="248"/>
      <c r="P29" s="248"/>
      <c r="Q29" s="248"/>
      <c r="R29" s="248"/>
      <c r="S29" s="1" t="s">
        <v>1764</v>
      </c>
      <c r="T29" s="4">
        <v>683</v>
      </c>
      <c r="U29" s="325" t="s">
        <v>3216</v>
      </c>
      <c r="V29" s="31">
        <v>248</v>
      </c>
      <c r="W29" s="749" t="s">
        <v>3272</v>
      </c>
      <c r="X29" s="3">
        <v>120</v>
      </c>
      <c r="Y29" s="1" t="s">
        <v>3135</v>
      </c>
      <c r="Z29" s="3">
        <v>425</v>
      </c>
      <c r="AA29" s="82" t="s">
        <v>3251</v>
      </c>
      <c r="AB29" s="4">
        <v>4.7</v>
      </c>
      <c r="AC29" s="1233" t="s">
        <v>3365</v>
      </c>
      <c r="AD29" s="3">
        <v>3.8</v>
      </c>
      <c r="AE29" s="1" t="s">
        <v>3144</v>
      </c>
      <c r="AF29" s="234">
        <v>0.46990200653289782</v>
      </c>
      <c r="AG29" s="1" t="s">
        <v>3232</v>
      </c>
      <c r="AH29" s="34">
        <v>297</v>
      </c>
      <c r="AI29" s="749" t="s">
        <v>3269</v>
      </c>
      <c r="AJ29" s="4">
        <v>0.48</v>
      </c>
      <c r="AK29" s="749" t="s">
        <v>3230</v>
      </c>
      <c r="AL29" s="34">
        <v>0.38</v>
      </c>
      <c r="AM29" s="749" t="s">
        <v>3178</v>
      </c>
      <c r="AN29" s="34">
        <v>7.7370000000000001</v>
      </c>
      <c r="AO29" s="749" t="s">
        <v>3272</v>
      </c>
      <c r="AP29" s="3">
        <v>0.51900000000000002</v>
      </c>
      <c r="AQ29" s="1232" t="s">
        <v>469</v>
      </c>
      <c r="AR29" s="4">
        <v>85.9</v>
      </c>
      <c r="AS29" s="1" t="s">
        <v>3225</v>
      </c>
      <c r="AT29" s="4">
        <v>1.5</v>
      </c>
      <c r="AU29" s="1" t="s">
        <v>3319</v>
      </c>
      <c r="AV29" s="4">
        <v>45</v>
      </c>
      <c r="AW29" s="1" t="s">
        <v>1823</v>
      </c>
      <c r="AX29" s="4">
        <v>0.8</v>
      </c>
      <c r="AY29" s="1233" t="s">
        <v>3126</v>
      </c>
      <c r="AZ29" s="1" t="s">
        <v>3366</v>
      </c>
      <c r="BA29" s="4">
        <f>AVERAGE(BA27:BA28)</f>
        <v>6.65</v>
      </c>
    </row>
    <row r="30" spans="1:53" ht="15">
      <c r="A30" s="2" t="s">
        <v>269</v>
      </c>
      <c r="B30" s="248" t="s">
        <v>4070</v>
      </c>
      <c r="C30" s="249"/>
      <c r="D30" s="250"/>
      <c r="E30" s="229"/>
      <c r="F30" s="229"/>
      <c r="G30" s="248"/>
      <c r="H30" s="248"/>
      <c r="I30" s="249"/>
      <c r="J30" s="248"/>
      <c r="K30" s="248"/>
      <c r="L30" s="248"/>
      <c r="M30" s="248"/>
      <c r="N30" s="248"/>
      <c r="O30" s="248"/>
      <c r="P30" s="82"/>
      <c r="Q30" s="248"/>
      <c r="R30" s="250"/>
      <c r="S30" s="1" t="s">
        <v>3087</v>
      </c>
      <c r="T30" s="4">
        <v>683</v>
      </c>
      <c r="U30" s="1232" t="s">
        <v>3137</v>
      </c>
      <c r="V30" s="49">
        <v>219</v>
      </c>
      <c r="W30" s="325" t="s">
        <v>3303</v>
      </c>
      <c r="X30" s="31">
        <v>120</v>
      </c>
      <c r="Y30" s="1" t="s">
        <v>3144</v>
      </c>
      <c r="Z30" s="3">
        <v>425</v>
      </c>
      <c r="AA30" s="749" t="s">
        <v>3274</v>
      </c>
      <c r="AB30" s="4">
        <v>4.7</v>
      </c>
      <c r="AC30" s="1" t="s">
        <v>3219</v>
      </c>
      <c r="AD30" s="3">
        <v>3.7396780965710286</v>
      </c>
      <c r="AE30" s="749" t="s">
        <v>3322</v>
      </c>
      <c r="AF30" s="60">
        <v>0.438</v>
      </c>
      <c r="AG30" s="1233" t="s">
        <v>3304</v>
      </c>
      <c r="AH30" s="1144">
        <v>293</v>
      </c>
      <c r="AI30" s="325" t="s">
        <v>3249</v>
      </c>
      <c r="AJ30" s="3">
        <v>0.45985401459854014</v>
      </c>
      <c r="AK30" s="1" t="s">
        <v>3227</v>
      </c>
      <c r="AL30" s="4">
        <v>0.375</v>
      </c>
      <c r="AM30" s="1" t="s">
        <v>3169</v>
      </c>
      <c r="AN30" s="34">
        <v>7.52</v>
      </c>
      <c r="AO30" s="1233" t="s">
        <v>3134</v>
      </c>
      <c r="AP30" s="3">
        <v>0.50793280447970135</v>
      </c>
      <c r="AQ30" s="1" t="s">
        <v>1792</v>
      </c>
      <c r="AR30" s="4">
        <v>78</v>
      </c>
      <c r="AS30" s="749" t="s">
        <v>3231</v>
      </c>
      <c r="AT30" s="34">
        <v>1.5</v>
      </c>
      <c r="AU30" s="1" t="s">
        <v>3112</v>
      </c>
      <c r="AV30" s="49">
        <v>41</v>
      </c>
      <c r="AW30" s="325" t="s">
        <v>3460</v>
      </c>
      <c r="AX30" s="34">
        <v>0.65</v>
      </c>
      <c r="AY30" s="1" t="s">
        <v>3090</v>
      </c>
      <c r="AZ30" s="749" t="s">
        <v>3506</v>
      </c>
      <c r="BA30" s="79">
        <v>6</v>
      </c>
    </row>
    <row r="31" spans="1:53" ht="15">
      <c r="A31" s="2" t="s">
        <v>270</v>
      </c>
      <c r="B31" s="1310" t="s">
        <v>4071</v>
      </c>
      <c r="C31" s="229"/>
      <c r="D31" s="250"/>
      <c r="E31" s="250"/>
      <c r="F31" s="248"/>
      <c r="G31" s="250"/>
      <c r="H31" s="248"/>
      <c r="I31" s="249"/>
      <c r="J31" s="229"/>
      <c r="K31" s="248"/>
      <c r="L31" s="250"/>
      <c r="M31" s="249"/>
      <c r="N31" s="248"/>
      <c r="O31" s="82"/>
      <c r="P31" s="248"/>
      <c r="Q31" s="248"/>
      <c r="R31" s="82"/>
      <c r="S31" s="325" t="s">
        <v>3296</v>
      </c>
      <c r="T31" s="3">
        <v>650.5</v>
      </c>
      <c r="U31" s="1" t="s">
        <v>3315</v>
      </c>
      <c r="V31" s="4">
        <v>216</v>
      </c>
      <c r="W31" s="749" t="s">
        <v>3269</v>
      </c>
      <c r="X31" s="4">
        <v>115</v>
      </c>
      <c r="Y31" s="1" t="s">
        <v>3295</v>
      </c>
      <c r="Z31" s="4">
        <v>414</v>
      </c>
      <c r="AA31" s="1" t="s">
        <v>3271</v>
      </c>
      <c r="AB31" s="3">
        <v>4.5994397759103647</v>
      </c>
      <c r="AC31" s="749" t="s">
        <v>3164</v>
      </c>
      <c r="AD31" s="31">
        <v>3.5</v>
      </c>
      <c r="AE31" s="82" t="s">
        <v>20</v>
      </c>
      <c r="AF31" s="60">
        <v>0.42</v>
      </c>
      <c r="AG31" s="1" t="s">
        <v>3116</v>
      </c>
      <c r="AH31" s="49">
        <v>280</v>
      </c>
      <c r="AI31" s="1" t="s">
        <v>3249</v>
      </c>
      <c r="AJ31" s="3">
        <v>0.45985401459854014</v>
      </c>
      <c r="AK31" s="1" t="s">
        <v>3228</v>
      </c>
      <c r="AL31" s="4">
        <v>0.375</v>
      </c>
      <c r="AM31" s="1" t="s">
        <v>3332</v>
      </c>
      <c r="AN31" s="3">
        <v>7.06993006993007</v>
      </c>
      <c r="AO31" s="1" t="s">
        <v>3135</v>
      </c>
      <c r="AP31" s="3">
        <v>0.50793280447970135</v>
      </c>
      <c r="AQ31" s="1" t="s">
        <v>1789</v>
      </c>
      <c r="AR31" s="4">
        <v>76</v>
      </c>
      <c r="AS31" s="1" t="s">
        <v>91</v>
      </c>
      <c r="AT31" s="49">
        <v>1.48</v>
      </c>
      <c r="AU31" s="1" t="s">
        <v>3119</v>
      </c>
      <c r="AV31" s="4">
        <v>39</v>
      </c>
      <c r="AW31" s="1" t="s">
        <v>3219</v>
      </c>
      <c r="AX31" s="234">
        <v>0.63400979706088179</v>
      </c>
      <c r="AY31" s="1232" t="s">
        <v>3105</v>
      </c>
      <c r="AZ31" s="1232" t="s">
        <v>3503</v>
      </c>
      <c r="BA31" s="79">
        <v>6</v>
      </c>
    </row>
    <row r="32" spans="1:53" ht="15">
      <c r="A32" s="114" t="s">
        <v>271</v>
      </c>
      <c r="B32" s="1" t="s">
        <v>4072</v>
      </c>
      <c r="C32" s="1"/>
      <c r="D32" s="1"/>
      <c r="E32" s="1"/>
      <c r="F32" s="1"/>
      <c r="G32" s="1"/>
      <c r="H32" s="1"/>
      <c r="I32" s="1"/>
      <c r="J32" s="1"/>
      <c r="K32" s="1"/>
      <c r="L32" s="1"/>
      <c r="M32" s="1"/>
      <c r="N32" s="1"/>
      <c r="O32" s="1"/>
      <c r="P32" s="1"/>
      <c r="Q32" s="1"/>
      <c r="R32" s="1"/>
      <c r="S32" s="1" t="s">
        <v>3514</v>
      </c>
      <c r="T32" s="3">
        <v>650.5</v>
      </c>
      <c r="U32" s="1" t="s">
        <v>1789</v>
      </c>
      <c r="V32" s="4">
        <v>184</v>
      </c>
      <c r="W32" s="1232" t="s">
        <v>518</v>
      </c>
      <c r="X32" s="49">
        <v>110</v>
      </c>
      <c r="Y32" s="1" t="s">
        <v>3316</v>
      </c>
      <c r="Z32" s="4">
        <v>389</v>
      </c>
      <c r="AA32" s="749" t="s">
        <v>3306</v>
      </c>
      <c r="AB32" s="42">
        <v>4.4000000000000004</v>
      </c>
      <c r="AC32" s="1" t="s">
        <v>1809</v>
      </c>
      <c r="AD32" s="4">
        <v>3.4</v>
      </c>
      <c r="AE32" s="1" t="s">
        <v>20</v>
      </c>
      <c r="AF32" s="60">
        <v>0.42</v>
      </c>
      <c r="AG32" s="82" t="s">
        <v>3224</v>
      </c>
      <c r="AH32" s="4">
        <v>276.7</v>
      </c>
      <c r="AI32" s="1233" t="s">
        <v>3134</v>
      </c>
      <c r="AJ32" s="3">
        <v>0.43700419972001869</v>
      </c>
      <c r="AK32" s="749" t="s">
        <v>3209</v>
      </c>
      <c r="AL32" s="4">
        <v>0.36699999999999999</v>
      </c>
      <c r="AM32" s="1" t="s">
        <v>91</v>
      </c>
      <c r="AN32" s="34">
        <v>7</v>
      </c>
      <c r="AO32" s="1" t="s">
        <v>3144</v>
      </c>
      <c r="AP32" s="3">
        <v>0.50793280447970135</v>
      </c>
      <c r="AQ32" s="1233" t="s">
        <v>3089</v>
      </c>
      <c r="AR32" s="31">
        <v>74</v>
      </c>
      <c r="AS32" s="749" t="s">
        <v>3159</v>
      </c>
      <c r="AT32" s="4">
        <v>1.4</v>
      </c>
      <c r="AU32" s="325" t="s">
        <v>3120</v>
      </c>
      <c r="AV32" s="4">
        <v>39</v>
      </c>
      <c r="AW32" s="1" t="s">
        <v>3158</v>
      </c>
      <c r="AX32" s="4">
        <v>0.63</v>
      </c>
      <c r="AY32" s="1" t="s">
        <v>3106</v>
      </c>
      <c r="AZ32" s="749" t="s">
        <v>3504</v>
      </c>
      <c r="BA32" s="79">
        <v>6</v>
      </c>
    </row>
    <row r="33" spans="1:53" ht="15">
      <c r="A33" s="112" t="s">
        <v>380</v>
      </c>
      <c r="B33" t="s">
        <v>4064</v>
      </c>
      <c r="S33" s="1" t="s">
        <v>441</v>
      </c>
      <c r="T33" s="3">
        <v>590</v>
      </c>
      <c r="U33" s="1233" t="s">
        <v>3113</v>
      </c>
      <c r="V33" s="3">
        <v>179</v>
      </c>
      <c r="W33" s="53" t="s">
        <v>3139</v>
      </c>
      <c r="X33" s="4">
        <v>103</v>
      </c>
      <c r="Y33" s="1" t="s">
        <v>1792</v>
      </c>
      <c r="Z33" s="4">
        <v>377</v>
      </c>
      <c r="AA33" s="325" t="s">
        <v>3298</v>
      </c>
      <c r="AB33" s="42">
        <v>4.4000000000000004</v>
      </c>
      <c r="AC33" s="749" t="s">
        <v>3269</v>
      </c>
      <c r="AD33" s="4">
        <v>3.4</v>
      </c>
      <c r="AE33" s="1" t="s">
        <v>3261</v>
      </c>
      <c r="AF33" s="50">
        <v>0.41000000000000003</v>
      </c>
      <c r="AG33" s="325" t="s">
        <v>3216</v>
      </c>
      <c r="AH33" s="238">
        <v>275</v>
      </c>
      <c r="AI33" s="1" t="s">
        <v>3135</v>
      </c>
      <c r="AJ33" s="3">
        <v>0.43700419972001869</v>
      </c>
      <c r="AK33" s="1232" t="s">
        <v>3215</v>
      </c>
      <c r="AL33" s="4">
        <v>0.35869202535869199</v>
      </c>
      <c r="AM33" s="1" t="s">
        <v>3315</v>
      </c>
      <c r="AN33" s="4">
        <v>6.96</v>
      </c>
      <c r="AO33" s="749" t="s">
        <v>3172</v>
      </c>
      <c r="AP33" s="37">
        <v>0.4723</v>
      </c>
      <c r="AQ33" s="1" t="s">
        <v>3329</v>
      </c>
      <c r="AR33" s="3">
        <v>73</v>
      </c>
      <c r="AS33" s="1" t="s">
        <v>3147</v>
      </c>
      <c r="AT33" s="49">
        <v>1.4</v>
      </c>
      <c r="AU33" s="1" t="s">
        <v>3321</v>
      </c>
      <c r="AV33" s="4">
        <v>37.9</v>
      </c>
      <c r="AW33" s="1" t="s">
        <v>3148</v>
      </c>
      <c r="AX33" s="234">
        <v>0.62981105668299509</v>
      </c>
      <c r="AY33" s="1" t="s">
        <v>3091</v>
      </c>
      <c r="AZ33" s="1" t="s">
        <v>3254</v>
      </c>
      <c r="BA33" s="79">
        <v>6</v>
      </c>
    </row>
    <row r="34" spans="1:53" ht="15">
      <c r="A34" s="2" t="s">
        <v>273</v>
      </c>
      <c r="B34" t="s">
        <v>4077</v>
      </c>
      <c r="S34" s="1" t="s">
        <v>1792</v>
      </c>
      <c r="T34" s="4">
        <v>575</v>
      </c>
      <c r="U34" s="1233" t="s">
        <v>3307</v>
      </c>
      <c r="V34" s="3">
        <v>177</v>
      </c>
      <c r="W34" s="53" t="s">
        <v>3218</v>
      </c>
      <c r="X34" s="4">
        <v>90</v>
      </c>
      <c r="Y34" s="749" t="s">
        <v>3274</v>
      </c>
      <c r="Z34" s="4">
        <v>367</v>
      </c>
      <c r="AA34" s="749" t="s">
        <v>3506</v>
      </c>
      <c r="AB34" s="3">
        <v>4.0105078809106836</v>
      </c>
      <c r="AC34" s="1" t="s">
        <v>1792</v>
      </c>
      <c r="AD34" s="4">
        <v>3.36</v>
      </c>
      <c r="AE34" s="1" t="s">
        <v>3499</v>
      </c>
      <c r="AF34" s="50">
        <v>0.41000000000000003</v>
      </c>
      <c r="AG34" s="1" t="s">
        <v>3428</v>
      </c>
      <c r="AH34" s="34">
        <v>268.3</v>
      </c>
      <c r="AI34" s="1" t="s">
        <v>3144</v>
      </c>
      <c r="AJ34" s="3">
        <v>0.43700419972001869</v>
      </c>
      <c r="AK34" s="1" t="s">
        <v>439</v>
      </c>
      <c r="AL34" s="49">
        <v>0.35</v>
      </c>
      <c r="AM34" s="82" t="s">
        <v>3224</v>
      </c>
      <c r="AN34" s="4">
        <v>6.7</v>
      </c>
      <c r="AO34" s="1" t="s">
        <v>3466</v>
      </c>
      <c r="AP34" s="37">
        <v>0.4723</v>
      </c>
      <c r="AQ34" s="1" t="s">
        <v>3330</v>
      </c>
      <c r="AR34" s="3">
        <v>73</v>
      </c>
      <c r="AS34" s="1" t="s">
        <v>3176</v>
      </c>
      <c r="AT34" s="4">
        <v>1.4</v>
      </c>
      <c r="AU34" s="1232" t="s">
        <v>3105</v>
      </c>
      <c r="AV34" s="42">
        <v>37.4</v>
      </c>
      <c r="AW34" s="749" t="s">
        <v>3163</v>
      </c>
      <c r="AX34" s="234">
        <v>0.62981105668299509</v>
      </c>
      <c r="AY34" s="1" t="s">
        <v>3092</v>
      </c>
      <c r="AZ34" s="1" t="s">
        <v>3277</v>
      </c>
      <c r="BA34" s="79">
        <v>6</v>
      </c>
    </row>
    <row r="35" spans="1:53" ht="15">
      <c r="A35" s="2" t="s">
        <v>274</v>
      </c>
      <c r="B35" s="248" t="s">
        <v>4078</v>
      </c>
      <c r="C35" s="248"/>
      <c r="D35" s="249"/>
      <c r="E35" s="229"/>
      <c r="F35" s="248"/>
      <c r="G35" s="229"/>
      <c r="H35" s="248"/>
      <c r="I35" s="82"/>
      <c r="J35" s="248"/>
      <c r="K35" s="229"/>
      <c r="L35" s="248"/>
      <c r="M35" s="229"/>
      <c r="N35" s="82"/>
      <c r="O35" s="249"/>
      <c r="P35" s="248"/>
      <c r="Q35" s="250"/>
      <c r="R35" s="249"/>
      <c r="S35" s="1" t="s">
        <v>3112</v>
      </c>
      <c r="T35" s="49">
        <v>562</v>
      </c>
      <c r="U35" s="1" t="s">
        <v>3448</v>
      </c>
      <c r="V35" s="4">
        <v>157</v>
      </c>
      <c r="W35" s="1" t="s">
        <v>1809</v>
      </c>
      <c r="X35" s="4">
        <v>88.5</v>
      </c>
      <c r="Y35" s="749" t="s">
        <v>3269</v>
      </c>
      <c r="Z35" s="4">
        <v>366</v>
      </c>
      <c r="AA35" s="1" t="s">
        <v>3315</v>
      </c>
      <c r="AB35" s="4">
        <v>3.72</v>
      </c>
      <c r="AC35" s="1" t="s">
        <v>3261</v>
      </c>
      <c r="AD35" s="49">
        <v>3.3000000000000003</v>
      </c>
      <c r="AE35" s="1" t="s">
        <v>3250</v>
      </c>
      <c r="AF35" s="60">
        <v>0.4</v>
      </c>
      <c r="AG35" s="1" t="s">
        <v>3430</v>
      </c>
      <c r="AH35" s="31">
        <v>268.29999999999995</v>
      </c>
      <c r="AI35" s="1" t="s">
        <v>3295</v>
      </c>
      <c r="AJ35" s="4">
        <v>0.43</v>
      </c>
      <c r="AK35" s="325" t="s">
        <v>3513</v>
      </c>
      <c r="AL35" s="42">
        <v>0.34999999999999992</v>
      </c>
      <c r="AM35" s="325" t="s">
        <v>3161</v>
      </c>
      <c r="AN35" s="3">
        <v>6.4659845629150956</v>
      </c>
      <c r="AO35" s="1232" t="s">
        <v>3443</v>
      </c>
      <c r="AP35" s="37">
        <v>0.44080000000000003</v>
      </c>
      <c r="AQ35" s="1" t="s">
        <v>134</v>
      </c>
      <c r="AR35" s="3">
        <v>73</v>
      </c>
      <c r="AS35" s="1" t="s">
        <v>3217</v>
      </c>
      <c r="AT35" s="34">
        <v>1.38</v>
      </c>
      <c r="AU35" s="1" t="s">
        <v>1777</v>
      </c>
      <c r="AV35" s="4">
        <v>34.200000000000003</v>
      </c>
      <c r="AW35" s="749" t="s">
        <v>3149</v>
      </c>
      <c r="AX35" s="234">
        <v>0.62981105668299509</v>
      </c>
      <c r="AY35" s="1" t="s">
        <v>3430</v>
      </c>
      <c r="AZ35" s="1" t="s">
        <v>3258</v>
      </c>
      <c r="BA35" s="79">
        <v>6</v>
      </c>
    </row>
    <row r="36" spans="1:53" ht="15">
      <c r="A36" s="2" t="s">
        <v>382</v>
      </c>
      <c r="B36" s="248" t="s">
        <v>4079</v>
      </c>
      <c r="C36" s="82"/>
      <c r="D36" s="248"/>
      <c r="E36" s="250"/>
      <c r="F36" s="82"/>
      <c r="G36" s="248"/>
      <c r="H36" s="248"/>
      <c r="I36" s="250"/>
      <c r="J36" s="82"/>
      <c r="K36" s="248"/>
      <c r="L36" s="229"/>
      <c r="M36" s="248"/>
      <c r="N36" s="249"/>
      <c r="O36" s="248"/>
      <c r="P36" s="82"/>
      <c r="Q36" s="248"/>
      <c r="R36" s="249"/>
      <c r="S36" s="325" t="s">
        <v>3303</v>
      </c>
      <c r="T36" s="31">
        <v>529</v>
      </c>
      <c r="U36" s="1" t="s">
        <v>3447</v>
      </c>
      <c r="V36" s="4">
        <v>157</v>
      </c>
      <c r="W36" s="1" t="s">
        <v>3119</v>
      </c>
      <c r="X36" s="4">
        <v>81</v>
      </c>
      <c r="Y36" s="749" t="s">
        <v>3267</v>
      </c>
      <c r="Z36" s="4">
        <v>358</v>
      </c>
      <c r="AA36" s="1233" t="s">
        <v>3113</v>
      </c>
      <c r="AB36" s="3">
        <v>3.64</v>
      </c>
      <c r="AC36" s="1" t="s">
        <v>3499</v>
      </c>
      <c r="AD36" s="49">
        <v>3.3000000000000003</v>
      </c>
      <c r="AE36" s="749" t="s">
        <v>3274</v>
      </c>
      <c r="AF36" s="4">
        <v>0.4</v>
      </c>
      <c r="AG36" s="1" t="s">
        <v>3107</v>
      </c>
      <c r="AH36" s="31">
        <v>268.29999999999995</v>
      </c>
      <c r="AI36" s="749" t="s">
        <v>3193</v>
      </c>
      <c r="AJ36" s="42">
        <v>0.41799999999999998</v>
      </c>
      <c r="AK36" s="325" t="s">
        <v>3460</v>
      </c>
      <c r="AL36" s="34">
        <v>0.34</v>
      </c>
      <c r="AM36" s="82" t="s">
        <v>20</v>
      </c>
      <c r="AN36" s="4">
        <v>6.05</v>
      </c>
      <c r="AO36" s="325" t="s">
        <v>3249</v>
      </c>
      <c r="AP36" s="3">
        <v>0.44038929440389291</v>
      </c>
      <c r="AQ36" s="1" t="s">
        <v>3317</v>
      </c>
      <c r="AR36" s="4">
        <v>72</v>
      </c>
      <c r="AS36" s="1" t="s">
        <v>3158</v>
      </c>
      <c r="AT36" s="4">
        <v>1.3</v>
      </c>
      <c r="AU36" s="1" t="s">
        <v>1778</v>
      </c>
      <c r="AV36" s="4">
        <v>33.299999999999997</v>
      </c>
      <c r="AW36" s="1" t="s">
        <v>480</v>
      </c>
      <c r="AX36" s="4">
        <v>0.625</v>
      </c>
      <c r="AY36" s="1" t="s">
        <v>3428</v>
      </c>
      <c r="AZ36" s="1" t="s">
        <v>1792</v>
      </c>
      <c r="BA36" s="4">
        <v>5.93</v>
      </c>
    </row>
    <row r="37" spans="1:53" ht="15">
      <c r="A37" s="2" t="s">
        <v>276</v>
      </c>
      <c r="B37" s="82" t="s">
        <v>4080</v>
      </c>
      <c r="C37" s="229"/>
      <c r="D37" s="82"/>
      <c r="E37" s="250"/>
      <c r="F37" s="248"/>
      <c r="G37" s="248"/>
      <c r="H37" s="248"/>
      <c r="I37" s="229"/>
      <c r="J37" s="82"/>
      <c r="K37" s="229"/>
      <c r="L37" s="248"/>
      <c r="M37" s="250"/>
      <c r="N37" s="248"/>
      <c r="O37" s="82"/>
      <c r="P37" s="248"/>
      <c r="Q37" s="249"/>
      <c r="R37" s="229"/>
      <c r="S37" s="749" t="s">
        <v>3274</v>
      </c>
      <c r="T37" s="4">
        <v>514</v>
      </c>
      <c r="U37" s="53" t="s">
        <v>3210</v>
      </c>
      <c r="V37" s="3">
        <v>150</v>
      </c>
      <c r="W37" s="325" t="s">
        <v>3120</v>
      </c>
      <c r="X37" s="4">
        <v>81</v>
      </c>
      <c r="Y37" s="1" t="s">
        <v>3217</v>
      </c>
      <c r="Z37" s="34">
        <v>354</v>
      </c>
      <c r="AA37" s="82" t="s">
        <v>3246</v>
      </c>
      <c r="AB37" s="4">
        <v>3.6</v>
      </c>
      <c r="AC37" s="749" t="s">
        <v>3182</v>
      </c>
      <c r="AD37" s="4">
        <v>3.3</v>
      </c>
      <c r="AE37" s="1" t="s">
        <v>3314</v>
      </c>
      <c r="AF37" s="4">
        <v>0.38</v>
      </c>
      <c r="AG37" s="1" t="s">
        <v>3434</v>
      </c>
      <c r="AH37" s="31">
        <v>268.29999999999995</v>
      </c>
      <c r="AI37" s="1233" t="s">
        <v>3194</v>
      </c>
      <c r="AJ37" s="42">
        <v>0.41799999999999998</v>
      </c>
      <c r="AK37" s="1" t="s">
        <v>3217</v>
      </c>
      <c r="AL37" s="34">
        <v>0.33</v>
      </c>
      <c r="AM37" s="1" t="s">
        <v>20</v>
      </c>
      <c r="AN37" s="4">
        <v>6.05</v>
      </c>
      <c r="AO37" s="1" t="s">
        <v>3249</v>
      </c>
      <c r="AP37" s="3">
        <v>0.44038929440389291</v>
      </c>
      <c r="AQ37" s="1233" t="s">
        <v>3293</v>
      </c>
      <c r="AR37" s="49">
        <v>72</v>
      </c>
      <c r="AS37" s="1" t="s">
        <v>3471</v>
      </c>
      <c r="AT37" s="34">
        <v>1.3</v>
      </c>
      <c r="AU37" s="1" t="s">
        <v>1835</v>
      </c>
      <c r="AV37" s="34">
        <v>28</v>
      </c>
      <c r="AW37" s="749" t="s">
        <v>3173</v>
      </c>
      <c r="AX37" s="4">
        <v>0.6</v>
      </c>
      <c r="AY37" s="1233" t="s">
        <v>3429</v>
      </c>
      <c r="AZ37" s="1" t="s">
        <v>3247</v>
      </c>
      <c r="BA37" s="4">
        <v>5.6</v>
      </c>
    </row>
    <row r="38" spans="1:53" ht="15">
      <c r="A38" s="2" t="s">
        <v>277</v>
      </c>
      <c r="B38" s="248" t="s">
        <v>4081</v>
      </c>
      <c r="C38" s="248"/>
      <c r="D38" s="249"/>
      <c r="E38" s="249"/>
      <c r="F38" s="82"/>
      <c r="G38" s="250"/>
      <c r="H38" s="249"/>
      <c r="I38" s="248"/>
      <c r="J38" s="248"/>
      <c r="K38" s="248"/>
      <c r="L38" s="229"/>
      <c r="M38" s="229"/>
      <c r="N38" s="229"/>
      <c r="O38" s="250"/>
      <c r="P38" s="229"/>
      <c r="Q38" s="229"/>
      <c r="R38" s="248"/>
      <c r="S38" s="749" t="s">
        <v>3182</v>
      </c>
      <c r="T38" s="4">
        <v>480</v>
      </c>
      <c r="U38" s="1" t="s">
        <v>3329</v>
      </c>
      <c r="V38" s="3">
        <v>148</v>
      </c>
      <c r="W38" s="1" t="s">
        <v>3295</v>
      </c>
      <c r="X38" s="4">
        <v>77</v>
      </c>
      <c r="Y38" s="1232" t="s">
        <v>518</v>
      </c>
      <c r="Z38" s="49">
        <v>350</v>
      </c>
      <c r="AA38" s="1" t="s">
        <v>3339</v>
      </c>
      <c r="AB38" s="42">
        <v>3.3000000000000003</v>
      </c>
      <c r="AC38" s="1233" t="s">
        <v>3304</v>
      </c>
      <c r="AD38" s="1144">
        <v>3.3</v>
      </c>
      <c r="AE38" s="1" t="s">
        <v>1823</v>
      </c>
      <c r="AF38" s="4">
        <v>0.32500000000000001</v>
      </c>
      <c r="AG38" s="1" t="s">
        <v>3225</v>
      </c>
      <c r="AH38" s="4">
        <v>258</v>
      </c>
      <c r="AI38" s="1233" t="s">
        <v>3304</v>
      </c>
      <c r="AJ38" s="1144">
        <v>0.41799999999999998</v>
      </c>
      <c r="AK38" s="749" t="s">
        <v>3181</v>
      </c>
      <c r="AL38" s="34">
        <v>0.33</v>
      </c>
      <c r="AM38" s="1" t="s">
        <v>1827</v>
      </c>
      <c r="AN38" s="4">
        <v>5.83</v>
      </c>
      <c r="AO38" s="325" t="s">
        <v>3155</v>
      </c>
      <c r="AP38" s="1234">
        <v>0.43</v>
      </c>
      <c r="AQ38" s="1233" t="s">
        <v>3121</v>
      </c>
      <c r="AR38" s="31">
        <v>64</v>
      </c>
      <c r="AS38" s="1" t="s">
        <v>1851</v>
      </c>
      <c r="AT38" s="34">
        <v>1.3</v>
      </c>
      <c r="AU38" s="749" t="s">
        <v>3464</v>
      </c>
      <c r="AV38" s="4">
        <v>27</v>
      </c>
      <c r="AW38" s="1" t="s">
        <v>3174</v>
      </c>
      <c r="AX38" s="4">
        <v>0.6</v>
      </c>
      <c r="AY38" s="1" t="s">
        <v>3107</v>
      </c>
      <c r="AZ38" s="1" t="s">
        <v>3318</v>
      </c>
      <c r="BA38" s="4">
        <v>5.4</v>
      </c>
    </row>
    <row r="39" spans="1:53" ht="15">
      <c r="A39" s="2" t="s">
        <v>278</v>
      </c>
      <c r="B39" s="52" t="s">
        <v>4082</v>
      </c>
      <c r="C39" s="52"/>
      <c r="G39" s="52"/>
      <c r="H39" s="232"/>
      <c r="J39" s="230"/>
      <c r="K39" s="231"/>
      <c r="L39" s="27"/>
      <c r="N39" s="27"/>
      <c r="O39" s="52"/>
      <c r="P39" s="38"/>
      <c r="Q39" s="27"/>
      <c r="R39" s="47"/>
      <c r="S39" s="1" t="s">
        <v>1837</v>
      </c>
      <c r="T39" s="4">
        <v>475</v>
      </c>
      <c r="U39" s="1" t="s">
        <v>3330</v>
      </c>
      <c r="V39" s="3">
        <v>148</v>
      </c>
      <c r="W39" s="1" t="s">
        <v>3426</v>
      </c>
      <c r="X39" s="34">
        <v>65</v>
      </c>
      <c r="Y39" s="1" t="s">
        <v>3317</v>
      </c>
      <c r="Z39" s="4">
        <v>349</v>
      </c>
      <c r="AA39" s="1233" t="s">
        <v>3276</v>
      </c>
      <c r="AB39" s="1234">
        <v>3.21</v>
      </c>
      <c r="AC39" s="749" t="s">
        <v>3193</v>
      </c>
      <c r="AD39" s="42">
        <v>3.2600000000000002</v>
      </c>
      <c r="AE39" s="1233" t="s">
        <v>3365</v>
      </c>
      <c r="AF39" s="234">
        <v>0.318</v>
      </c>
      <c r="AG39" s="1" t="s">
        <v>1776</v>
      </c>
      <c r="AH39" s="4">
        <v>256.5</v>
      </c>
      <c r="AI39" s="1232" t="s">
        <v>518</v>
      </c>
      <c r="AJ39" s="49">
        <v>0.41</v>
      </c>
      <c r="AK39" s="749" t="s">
        <v>3274</v>
      </c>
      <c r="AL39" s="4">
        <v>0.33</v>
      </c>
      <c r="AM39" s="749" t="s">
        <v>3181</v>
      </c>
      <c r="AN39" s="34">
        <v>5.6</v>
      </c>
      <c r="AO39" s="325" t="s">
        <v>3216</v>
      </c>
      <c r="AP39" s="1234">
        <v>0.42399999999999999</v>
      </c>
      <c r="AQ39" s="1232" t="s">
        <v>3138</v>
      </c>
      <c r="AR39" s="54">
        <v>60.636363636363619</v>
      </c>
      <c r="AS39" s="749" t="s">
        <v>3207</v>
      </c>
      <c r="AT39" s="42">
        <v>1.25</v>
      </c>
      <c r="AU39" s="749" t="s">
        <v>3183</v>
      </c>
      <c r="AV39" s="4">
        <v>27</v>
      </c>
      <c r="AW39" s="749" t="s">
        <v>3185</v>
      </c>
      <c r="AX39" s="3">
        <v>0.6</v>
      </c>
      <c r="AY39" s="1" t="s">
        <v>3108</v>
      </c>
      <c r="AZ39" s="1" t="s">
        <v>3271</v>
      </c>
      <c r="BA39" s="4">
        <v>5.2997198879551828</v>
      </c>
    </row>
    <row r="40" spans="1:53" ht="15">
      <c r="A40" s="2" t="s">
        <v>381</v>
      </c>
      <c r="B40" s="229" t="s">
        <v>4083</v>
      </c>
      <c r="C40" s="249"/>
      <c r="D40" s="249"/>
      <c r="E40" s="229"/>
      <c r="F40" s="229"/>
      <c r="G40" s="248"/>
      <c r="H40" s="248"/>
      <c r="I40" s="249"/>
      <c r="J40" s="82"/>
      <c r="K40" s="249"/>
      <c r="L40" s="229"/>
      <c r="M40" s="249"/>
      <c r="N40" s="229"/>
      <c r="O40" s="229"/>
      <c r="P40" s="248"/>
      <c r="Q40" s="229"/>
      <c r="R40" s="249"/>
      <c r="S40" s="1" t="s">
        <v>438</v>
      </c>
      <c r="T40" s="42">
        <v>470</v>
      </c>
      <c r="U40" s="1" t="s">
        <v>134</v>
      </c>
      <c r="V40" s="3">
        <v>148</v>
      </c>
      <c r="W40" s="1233" t="s">
        <v>3276</v>
      </c>
      <c r="X40" s="1240">
        <v>60</v>
      </c>
      <c r="Y40" s="1233" t="s">
        <v>3307</v>
      </c>
      <c r="Z40" s="3">
        <v>345</v>
      </c>
      <c r="AA40" s="749" t="s">
        <v>3267</v>
      </c>
      <c r="AB40" s="4">
        <v>3.2</v>
      </c>
      <c r="AC40" s="1233" t="s">
        <v>3194</v>
      </c>
      <c r="AD40" s="42">
        <v>3.2600000000000002</v>
      </c>
      <c r="AE40" s="1233" t="s">
        <v>3126</v>
      </c>
      <c r="AF40" s="233">
        <v>0.314</v>
      </c>
      <c r="AG40" s="1" t="s">
        <v>1779</v>
      </c>
      <c r="AH40" s="4">
        <v>255.6</v>
      </c>
      <c r="AI40" s="1310" t="s">
        <v>3248</v>
      </c>
      <c r="AJ40" s="4">
        <v>0.4</v>
      </c>
      <c r="AK40" s="749" t="s">
        <v>3193</v>
      </c>
      <c r="AL40" s="42">
        <v>0.32800000000000001</v>
      </c>
      <c r="AM40" s="1232" t="s">
        <v>518</v>
      </c>
      <c r="AN40" s="49">
        <v>5.5</v>
      </c>
      <c r="AO40" s="749" t="s">
        <v>3160</v>
      </c>
      <c r="AP40" s="3">
        <v>0.41</v>
      </c>
      <c r="AQ40" s="1" t="s">
        <v>439</v>
      </c>
      <c r="AR40" s="49">
        <v>60</v>
      </c>
      <c r="AS40" s="53" t="s">
        <v>3204</v>
      </c>
      <c r="AT40" s="4">
        <v>1.2</v>
      </c>
      <c r="AU40" s="749" t="s">
        <v>3183</v>
      </c>
      <c r="AV40" s="37">
        <v>27</v>
      </c>
      <c r="AW40" s="1" t="s">
        <v>3150</v>
      </c>
      <c r="AX40" s="234">
        <v>0.57999999999999996</v>
      </c>
      <c r="AY40" s="1" t="s">
        <v>3437</v>
      </c>
      <c r="AZ40" s="1310" t="s">
        <v>3328</v>
      </c>
      <c r="BA40" s="4">
        <v>5.2</v>
      </c>
    </row>
    <row r="41" spans="1:53" ht="15">
      <c r="A41" s="114" t="s">
        <v>280</v>
      </c>
      <c r="B41" s="247" t="s">
        <v>4084</v>
      </c>
      <c r="C41" s="229"/>
      <c r="D41" s="248"/>
      <c r="E41" s="82"/>
      <c r="F41" s="82"/>
      <c r="G41" s="248"/>
      <c r="H41" s="249"/>
      <c r="I41" s="248"/>
      <c r="J41" s="249"/>
      <c r="K41" s="229"/>
      <c r="L41" s="248"/>
      <c r="M41" s="248"/>
      <c r="N41" s="229"/>
      <c r="O41" s="82"/>
      <c r="P41" s="248"/>
      <c r="Q41" s="250"/>
      <c r="R41" s="248"/>
      <c r="S41" s="1" t="s">
        <v>3116</v>
      </c>
      <c r="T41" s="49">
        <v>470</v>
      </c>
      <c r="U41" s="325" t="s">
        <v>3450</v>
      </c>
      <c r="V41" s="49">
        <v>142</v>
      </c>
      <c r="W41" s="1233" t="s">
        <v>3256</v>
      </c>
      <c r="X41" s="3">
        <v>60</v>
      </c>
      <c r="Y41" s="749" t="s">
        <v>3464</v>
      </c>
      <c r="Z41" s="4">
        <v>326</v>
      </c>
      <c r="AA41" s="1" t="s">
        <v>1823</v>
      </c>
      <c r="AB41" s="4">
        <v>3.16</v>
      </c>
      <c r="AC41" s="1" t="s">
        <v>3316</v>
      </c>
      <c r="AD41" s="4">
        <v>3.2</v>
      </c>
      <c r="AE41" s="749" t="s">
        <v>3263</v>
      </c>
      <c r="AF41" s="238">
        <v>0.31</v>
      </c>
      <c r="AG41" s="1" t="s">
        <v>3217</v>
      </c>
      <c r="AH41" s="1341">
        <v>254.1</v>
      </c>
      <c r="AI41" s="1" t="s">
        <v>3250</v>
      </c>
      <c r="AJ41" s="4">
        <v>0.4</v>
      </c>
      <c r="AK41" s="1233" t="s">
        <v>3194</v>
      </c>
      <c r="AL41" s="42">
        <v>0.32800000000000001</v>
      </c>
      <c r="AM41" s="749" t="s">
        <v>3172</v>
      </c>
      <c r="AN41" s="37">
        <v>5.4992000000000001</v>
      </c>
      <c r="AO41" s="1" t="s">
        <v>3146</v>
      </c>
      <c r="AP41" s="3">
        <v>0.41</v>
      </c>
      <c r="AQ41" s="1" t="s">
        <v>3217</v>
      </c>
      <c r="AR41" s="34">
        <v>60</v>
      </c>
      <c r="AS41" s="1" t="s">
        <v>3332</v>
      </c>
      <c r="AT41" s="3">
        <v>1.1818181818181819</v>
      </c>
      <c r="AU41" s="1" t="s">
        <v>422</v>
      </c>
      <c r="AV41" s="4">
        <v>25.8</v>
      </c>
      <c r="AW41" s="1" t="s">
        <v>1811</v>
      </c>
      <c r="AX41" s="4">
        <v>0.56000000000000005</v>
      </c>
      <c r="AY41" s="325" t="s">
        <v>3131</v>
      </c>
      <c r="AZ41" s="1154" t="s">
        <v>3290</v>
      </c>
      <c r="BA41" s="4">
        <v>4.9000000000000004</v>
      </c>
    </row>
    <row r="42" spans="1:53">
      <c r="S42" s="82" t="s">
        <v>3246</v>
      </c>
      <c r="T42" s="4">
        <v>452</v>
      </c>
      <c r="U42" s="1" t="s">
        <v>3458</v>
      </c>
      <c r="V42" s="49">
        <v>142</v>
      </c>
      <c r="W42" s="1" t="s">
        <v>3257</v>
      </c>
      <c r="X42" s="3">
        <v>60</v>
      </c>
      <c r="Y42" s="749" t="s">
        <v>3183</v>
      </c>
      <c r="Z42" s="4">
        <v>326</v>
      </c>
      <c r="AA42" s="1" t="s">
        <v>1789</v>
      </c>
      <c r="AB42" s="4">
        <v>3.04</v>
      </c>
      <c r="AC42" s="1" t="s">
        <v>3222</v>
      </c>
      <c r="AD42" s="4">
        <v>3.2</v>
      </c>
      <c r="AE42" s="749" t="s">
        <v>3267</v>
      </c>
      <c r="AF42" s="4">
        <v>0.3</v>
      </c>
      <c r="AG42" s="1233" t="s">
        <v>3429</v>
      </c>
      <c r="AH42" s="31">
        <v>254</v>
      </c>
      <c r="AI42" s="1" t="s">
        <v>3317</v>
      </c>
      <c r="AJ42" s="4">
        <v>0.39</v>
      </c>
      <c r="AK42" s="1" t="s">
        <v>1837</v>
      </c>
      <c r="AL42" s="34">
        <v>0.32</v>
      </c>
      <c r="AM42" s="1" t="s">
        <v>3466</v>
      </c>
      <c r="AN42" s="37">
        <v>5.4992000000000001</v>
      </c>
      <c r="AO42" s="749" t="s">
        <v>3291</v>
      </c>
      <c r="AP42" s="4">
        <v>0.39900000000000002</v>
      </c>
      <c r="AQ42" s="749" t="s">
        <v>3291</v>
      </c>
      <c r="AR42" s="4">
        <v>59</v>
      </c>
      <c r="AS42" s="1" t="s">
        <v>3247</v>
      </c>
      <c r="AT42" s="4">
        <v>1.18</v>
      </c>
      <c r="AU42" s="1" t="s">
        <v>1773</v>
      </c>
      <c r="AV42" s="4">
        <v>25</v>
      </c>
      <c r="AW42" s="1" t="s">
        <v>475</v>
      </c>
      <c r="AX42" s="34">
        <v>0.56000000000000005</v>
      </c>
      <c r="AY42" s="1" t="s">
        <v>1766</v>
      </c>
      <c r="AZ42" s="1233" t="s">
        <v>3123</v>
      </c>
      <c r="BA42" s="29">
        <v>4.7</v>
      </c>
    </row>
    <row r="43" spans="1:53" s="82" customFormat="1" ht="15">
      <c r="A43" s="770" t="s">
        <v>3882</v>
      </c>
      <c r="B43" s="733" t="s">
        <v>4076</v>
      </c>
      <c r="S43" s="1232" t="s">
        <v>3137</v>
      </c>
      <c r="T43" s="49">
        <v>449</v>
      </c>
      <c r="U43" s="1" t="s">
        <v>3214</v>
      </c>
      <c r="V43" s="34">
        <v>139</v>
      </c>
      <c r="W43" s="1" t="s">
        <v>3116</v>
      </c>
      <c r="X43" s="49">
        <v>59</v>
      </c>
      <c r="Y43" s="749" t="s">
        <v>3272</v>
      </c>
      <c r="Z43" s="3">
        <v>294</v>
      </c>
      <c r="AA43" s="1232" t="s">
        <v>3503</v>
      </c>
      <c r="AB43" s="3">
        <v>2.970227670753065</v>
      </c>
      <c r="AC43" s="749" t="s">
        <v>3231</v>
      </c>
      <c r="AD43" s="34">
        <v>3.2</v>
      </c>
      <c r="AE43" s="1310" t="s">
        <v>3248</v>
      </c>
      <c r="AF43" s="4">
        <v>0.3</v>
      </c>
      <c r="AG43" s="1" t="s">
        <v>3108</v>
      </c>
      <c r="AH43" s="31">
        <v>254</v>
      </c>
      <c r="AI43" s="1233" t="s">
        <v>3126</v>
      </c>
      <c r="AJ43" s="49">
        <v>0.38519999999999999</v>
      </c>
      <c r="AK43" s="1" t="s">
        <v>3234</v>
      </c>
      <c r="AL43" s="34">
        <v>0.315</v>
      </c>
      <c r="AM43" s="1" t="s">
        <v>3158</v>
      </c>
      <c r="AN43" s="4">
        <v>5.43</v>
      </c>
      <c r="AO43" s="749" t="s">
        <v>3164</v>
      </c>
      <c r="AP43" s="31">
        <v>0.39200000000000002</v>
      </c>
      <c r="AQ43" s="325" t="s">
        <v>3249</v>
      </c>
      <c r="AR43" s="3">
        <v>57.999999999999993</v>
      </c>
      <c r="AS43" s="749" t="s">
        <v>3178</v>
      </c>
      <c r="AT43" s="34">
        <v>1.1599999999999999</v>
      </c>
      <c r="AU43" s="1" t="s">
        <v>1786</v>
      </c>
      <c r="AV43" s="4">
        <v>24</v>
      </c>
      <c r="AW43" s="82" t="s">
        <v>3224</v>
      </c>
      <c r="AX43" s="34">
        <v>0.5</v>
      </c>
      <c r="AY43" s="1" t="s">
        <v>3093</v>
      </c>
      <c r="AZ43" s="1" t="s">
        <v>2261</v>
      </c>
      <c r="BA43" s="34">
        <v>4.7</v>
      </c>
    </row>
    <row r="44" spans="1:53" s="82" customFormat="1" ht="15">
      <c r="A44" s="771" t="s">
        <v>3883</v>
      </c>
      <c r="B44" s="82" t="s">
        <v>4063</v>
      </c>
      <c r="S44" s="82" t="s">
        <v>3251</v>
      </c>
      <c r="T44" s="4">
        <v>429</v>
      </c>
      <c r="U44" s="1" t="s">
        <v>3317</v>
      </c>
      <c r="V44" s="4">
        <v>136</v>
      </c>
      <c r="W44" s="749" t="s">
        <v>3506</v>
      </c>
      <c r="X44" s="3">
        <v>58</v>
      </c>
      <c r="Y44" s="53" t="s">
        <v>3218</v>
      </c>
      <c r="Z44" s="4">
        <v>288</v>
      </c>
      <c r="AA44" s="749" t="s">
        <v>3504</v>
      </c>
      <c r="AB44" s="3">
        <v>2.970227670753065</v>
      </c>
      <c r="AC44" s="1" t="s">
        <v>1835</v>
      </c>
      <c r="AD44" s="34">
        <v>3.2</v>
      </c>
      <c r="AE44" s="1233" t="s">
        <v>414</v>
      </c>
      <c r="AF44" s="1234">
        <v>0.29899999999999999</v>
      </c>
      <c r="AG44" s="1" t="s">
        <v>3437</v>
      </c>
      <c r="AH44" s="4">
        <v>250</v>
      </c>
      <c r="AI44" s="1" t="s">
        <v>1792</v>
      </c>
      <c r="AJ44" s="4">
        <v>0.38</v>
      </c>
      <c r="AK44" s="82" t="s">
        <v>3224</v>
      </c>
      <c r="AL44" s="4">
        <v>0.31</v>
      </c>
      <c r="AM44" s="1233" t="s">
        <v>3276</v>
      </c>
      <c r="AN44" s="1234">
        <v>5.36</v>
      </c>
      <c r="AO44" s="1" t="s">
        <v>3175</v>
      </c>
      <c r="AP44" s="34">
        <v>0.38600000000000001</v>
      </c>
      <c r="AQ44" s="1" t="s">
        <v>3249</v>
      </c>
      <c r="AR44" s="3">
        <v>57.999999999999993</v>
      </c>
      <c r="AS44" s="1" t="s">
        <v>3200</v>
      </c>
      <c r="AT44" s="3">
        <v>1.1402000000000001</v>
      </c>
      <c r="AU44" s="1233" t="s">
        <v>3121</v>
      </c>
      <c r="AV44" s="31">
        <v>23.7</v>
      </c>
      <c r="AW44" s="325" t="s">
        <v>3155</v>
      </c>
      <c r="AX44" s="1234">
        <v>0.5</v>
      </c>
      <c r="AY44" s="1" t="s">
        <v>3094</v>
      </c>
      <c r="AZ44" s="1" t="s">
        <v>3315</v>
      </c>
      <c r="BA44" s="4">
        <v>4.5999999999999996</v>
      </c>
    </row>
    <row r="45" spans="1:53" s="82" customFormat="1" ht="15">
      <c r="A45" s="770" t="s">
        <v>3884</v>
      </c>
      <c r="B45" s="82" t="s">
        <v>4062</v>
      </c>
      <c r="S45" s="1" t="s">
        <v>3327</v>
      </c>
      <c r="T45" s="42">
        <v>417</v>
      </c>
      <c r="U45" s="325" t="s">
        <v>3513</v>
      </c>
      <c r="V45" s="42">
        <v>135</v>
      </c>
      <c r="W45" s="1" t="s">
        <v>3339</v>
      </c>
      <c r="X45" s="42">
        <v>57.1</v>
      </c>
      <c r="Y45" s="1" t="s">
        <v>1837</v>
      </c>
      <c r="Z45" s="4">
        <v>287</v>
      </c>
      <c r="AA45" s="1" t="s">
        <v>3254</v>
      </c>
      <c r="AB45" s="3">
        <v>2.970227670753065</v>
      </c>
      <c r="AC45" s="749" t="s">
        <v>3160</v>
      </c>
      <c r="AD45" s="3">
        <v>3.17</v>
      </c>
      <c r="AE45" s="53" t="s">
        <v>3218</v>
      </c>
      <c r="AF45" s="4">
        <v>0.28999999999999998</v>
      </c>
      <c r="AG45" s="1232" t="s">
        <v>3454</v>
      </c>
      <c r="AH45" s="238">
        <v>240</v>
      </c>
      <c r="AI45" s="749" t="s">
        <v>3178</v>
      </c>
      <c r="AJ45" s="34">
        <v>0.377</v>
      </c>
      <c r="AK45" s="1233" t="s">
        <v>3113</v>
      </c>
      <c r="AL45" s="3">
        <v>0.3</v>
      </c>
      <c r="AM45" s="53" t="s">
        <v>3204</v>
      </c>
      <c r="AN45" s="4">
        <v>5.2</v>
      </c>
      <c r="AO45" s="1233" t="s">
        <v>3157</v>
      </c>
      <c r="AP45" s="1234">
        <v>0.38300000000000001</v>
      </c>
      <c r="AQ45" s="1" t="s">
        <v>3316</v>
      </c>
      <c r="AR45" s="4">
        <v>56.6</v>
      </c>
      <c r="AS45" s="749" t="s">
        <v>3173</v>
      </c>
      <c r="AT45" s="4">
        <v>1</v>
      </c>
      <c r="AU45" s="1" t="s">
        <v>1764</v>
      </c>
      <c r="AV45" s="4">
        <v>23.3</v>
      </c>
      <c r="AW45" s="1233" t="s">
        <v>3157</v>
      </c>
      <c r="AX45" s="1234">
        <v>0.5</v>
      </c>
      <c r="AY45" s="325" t="s">
        <v>3132</v>
      </c>
      <c r="AZ45" s="1" t="s">
        <v>441</v>
      </c>
      <c r="BA45" s="4">
        <v>4.5011655011655005</v>
      </c>
    </row>
    <row r="46" spans="1:53" s="82" customFormat="1" ht="15">
      <c r="A46" s="770" t="s">
        <v>3885</v>
      </c>
      <c r="B46" s="248" t="s">
        <v>4073</v>
      </c>
      <c r="S46" s="1" t="s">
        <v>3314</v>
      </c>
      <c r="T46" s="4">
        <v>416</v>
      </c>
      <c r="U46" s="1" t="s">
        <v>3332</v>
      </c>
      <c r="V46" s="3">
        <v>128</v>
      </c>
      <c r="W46" s="1" t="s">
        <v>3222</v>
      </c>
      <c r="X46" s="4">
        <v>51</v>
      </c>
      <c r="Y46" s="1" t="s">
        <v>3250</v>
      </c>
      <c r="Z46" s="4">
        <v>270</v>
      </c>
      <c r="AA46" s="1" t="s">
        <v>3277</v>
      </c>
      <c r="AB46" s="3">
        <v>2.970227670753065</v>
      </c>
      <c r="AC46" s="1" t="s">
        <v>3146</v>
      </c>
      <c r="AD46" s="3">
        <v>3.17</v>
      </c>
      <c r="AE46" s="1232" t="s">
        <v>1963</v>
      </c>
      <c r="AF46" s="1144">
        <v>0.28999999999999998</v>
      </c>
      <c r="AG46" s="1" t="s">
        <v>3222</v>
      </c>
      <c r="AH46" s="4">
        <v>230</v>
      </c>
      <c r="AI46" s="1" t="s">
        <v>1789</v>
      </c>
      <c r="AJ46" s="4">
        <v>0.35</v>
      </c>
      <c r="AK46" s="1310" t="s">
        <v>3328</v>
      </c>
      <c r="AL46" s="4">
        <v>0.3</v>
      </c>
      <c r="AM46" s="1" t="s">
        <v>3175</v>
      </c>
      <c r="AN46" s="34">
        <v>5.1639999999999997</v>
      </c>
      <c r="AO46" s="1" t="s">
        <v>3316</v>
      </c>
      <c r="AP46" s="4">
        <v>0.38</v>
      </c>
      <c r="AQ46" s="82" t="s">
        <v>3251</v>
      </c>
      <c r="AR46" s="4">
        <v>56</v>
      </c>
      <c r="AS46" s="1" t="s">
        <v>3174</v>
      </c>
      <c r="AT46" s="4">
        <v>1</v>
      </c>
      <c r="AU46" s="1" t="s">
        <v>3087</v>
      </c>
      <c r="AV46" s="4">
        <v>23.3</v>
      </c>
      <c r="AW46" s="1" t="s">
        <v>3445</v>
      </c>
      <c r="AX46" s="234">
        <v>0.45</v>
      </c>
      <c r="AY46" s="1" t="s">
        <v>3133</v>
      </c>
      <c r="AZ46" s="1" t="s">
        <v>3329</v>
      </c>
      <c r="BA46" s="4">
        <v>4.5</v>
      </c>
    </row>
    <row r="47" spans="1:53" s="82" customFormat="1" ht="15">
      <c r="A47" s="770" t="s">
        <v>3886</v>
      </c>
      <c r="B47" s="248" t="s">
        <v>4074</v>
      </c>
      <c r="S47" s="1232" t="s">
        <v>3138</v>
      </c>
      <c r="T47" s="54">
        <v>411.36363636363632</v>
      </c>
      <c r="U47" s="325" t="s">
        <v>3296</v>
      </c>
      <c r="V47" s="3">
        <v>127</v>
      </c>
      <c r="W47" s="749" t="s">
        <v>3231</v>
      </c>
      <c r="X47" s="34">
        <v>51</v>
      </c>
      <c r="Y47" s="82" t="s">
        <v>3246</v>
      </c>
      <c r="Z47" s="4">
        <v>264</v>
      </c>
      <c r="AA47" s="1" t="s">
        <v>3258</v>
      </c>
      <c r="AB47" s="3">
        <v>2.970227670753065</v>
      </c>
      <c r="AC47" s="749" t="s">
        <v>3178</v>
      </c>
      <c r="AD47" s="34">
        <v>3.14</v>
      </c>
      <c r="AE47" s="749" t="s">
        <v>3405</v>
      </c>
      <c r="AF47" s="4">
        <v>0.28599999999999998</v>
      </c>
      <c r="AG47" s="749" t="s">
        <v>3231</v>
      </c>
      <c r="AH47" s="34">
        <v>230</v>
      </c>
      <c r="AI47" s="749" t="s">
        <v>3306</v>
      </c>
      <c r="AJ47" s="42">
        <v>0.33333333333333337</v>
      </c>
      <c r="AK47" s="82" t="s">
        <v>3246</v>
      </c>
      <c r="AL47" s="4">
        <v>0.28999999999999998</v>
      </c>
      <c r="AM47" s="1232" t="s">
        <v>3443</v>
      </c>
      <c r="AN47" s="37">
        <v>5.1327999999999996</v>
      </c>
      <c r="AO47" s="1" t="s">
        <v>27</v>
      </c>
      <c r="AP47" s="42">
        <v>0.37000000000000005</v>
      </c>
      <c r="AQ47" s="1" t="s">
        <v>3315</v>
      </c>
      <c r="AR47" s="4">
        <v>55</v>
      </c>
      <c r="AS47" s="325" t="s">
        <v>3155</v>
      </c>
      <c r="AT47" s="49">
        <v>1</v>
      </c>
      <c r="AU47" s="1" t="s">
        <v>1822</v>
      </c>
      <c r="AV47" s="4">
        <v>23</v>
      </c>
      <c r="AW47" s="1" t="s">
        <v>3446</v>
      </c>
      <c r="AX47" s="234">
        <v>0.45</v>
      </c>
      <c r="AY47" s="325" t="s">
        <v>3110</v>
      </c>
      <c r="AZ47" s="1" t="s">
        <v>3330</v>
      </c>
      <c r="BA47" s="4">
        <v>4.5</v>
      </c>
    </row>
    <row r="48" spans="1:53" s="82" customFormat="1" ht="15">
      <c r="A48" s="770" t="s">
        <v>3887</v>
      </c>
      <c r="B48" s="1310" t="s">
        <v>4068</v>
      </c>
      <c r="S48" s="1233" t="s">
        <v>414</v>
      </c>
      <c r="T48" s="49">
        <v>401</v>
      </c>
      <c r="U48" s="1" t="s">
        <v>3514</v>
      </c>
      <c r="V48" s="3">
        <v>127</v>
      </c>
      <c r="W48" s="749" t="s">
        <v>3230</v>
      </c>
      <c r="X48" s="34">
        <v>45</v>
      </c>
      <c r="Y48" s="1" t="s">
        <v>3148</v>
      </c>
      <c r="Z48" s="3">
        <v>253</v>
      </c>
      <c r="AA48" s="749" t="s">
        <v>3262</v>
      </c>
      <c r="AB48" s="4">
        <v>2.9</v>
      </c>
      <c r="AC48" s="1" t="s">
        <v>3315</v>
      </c>
      <c r="AD48" s="4">
        <v>3.12</v>
      </c>
      <c r="AE48" s="1232" t="s">
        <v>3215</v>
      </c>
      <c r="AF48" s="60">
        <v>0.27987987987987989</v>
      </c>
      <c r="AG48" s="1232" t="s">
        <v>3215</v>
      </c>
      <c r="AH48" s="1339">
        <v>229.39606272939611</v>
      </c>
      <c r="AI48" s="325" t="s">
        <v>3298</v>
      </c>
      <c r="AJ48" s="42">
        <v>0.33333333333333337</v>
      </c>
      <c r="AK48" s="749" t="s">
        <v>3172</v>
      </c>
      <c r="AL48" s="37">
        <v>0.28970000000000001</v>
      </c>
      <c r="AM48" s="1" t="s">
        <v>3217</v>
      </c>
      <c r="AN48" s="34">
        <v>5</v>
      </c>
      <c r="AO48" s="1" t="s">
        <v>3147</v>
      </c>
      <c r="AP48" s="49">
        <v>0.36000000000000004</v>
      </c>
      <c r="AQ48" s="1" t="s">
        <v>415</v>
      </c>
      <c r="AR48" s="3">
        <v>53</v>
      </c>
      <c r="AS48" s="1" t="s">
        <v>3219</v>
      </c>
      <c r="AT48" s="3">
        <v>0.90202939118264513</v>
      </c>
      <c r="AU48" s="1" t="s">
        <v>3437</v>
      </c>
      <c r="AV48" s="4">
        <v>22.1</v>
      </c>
      <c r="AW48" s="749" t="s">
        <v>3464</v>
      </c>
      <c r="AX48" s="4">
        <v>0.43</v>
      </c>
      <c r="AY48" s="1" t="s">
        <v>3111</v>
      </c>
      <c r="AZ48" s="1" t="s">
        <v>134</v>
      </c>
      <c r="BA48" s="4">
        <v>4.5</v>
      </c>
    </row>
    <row r="49" spans="1:53" s="82" customFormat="1" ht="15">
      <c r="A49" s="770" t="s">
        <v>3888</v>
      </c>
      <c r="B49" s="229" t="s">
        <v>4075</v>
      </c>
      <c r="S49" s="1" t="s">
        <v>3102</v>
      </c>
      <c r="T49" s="3">
        <v>400</v>
      </c>
      <c r="U49" s="1233" t="s">
        <v>3134</v>
      </c>
      <c r="V49" s="3">
        <v>126</v>
      </c>
      <c r="W49" s="1" t="s">
        <v>3268</v>
      </c>
      <c r="X49" s="4">
        <v>45</v>
      </c>
      <c r="Y49" s="749" t="s">
        <v>3163</v>
      </c>
      <c r="Z49" s="3">
        <v>253</v>
      </c>
      <c r="AA49" s="325" t="s">
        <v>3513</v>
      </c>
      <c r="AB49" s="42">
        <v>2.8999999999999995</v>
      </c>
      <c r="AC49" s="1" t="s">
        <v>3232</v>
      </c>
      <c r="AD49" s="34">
        <v>3.1</v>
      </c>
      <c r="AE49" s="1" t="s">
        <v>3366</v>
      </c>
      <c r="AF49" s="60">
        <f>AVERAGE(AF47:AF48)</f>
        <v>0.28293993993993993</v>
      </c>
      <c r="AG49" s="1" t="s">
        <v>3233</v>
      </c>
      <c r="AH49" s="34">
        <v>225</v>
      </c>
      <c r="AI49" s="1" t="s">
        <v>3176</v>
      </c>
      <c r="AJ49" s="4">
        <v>0.32300000000000001</v>
      </c>
      <c r="AK49" s="1" t="s">
        <v>3466</v>
      </c>
      <c r="AL49" s="37">
        <v>0.28970000000000001</v>
      </c>
      <c r="AM49" s="749" t="s">
        <v>3405</v>
      </c>
      <c r="AN49" s="4">
        <v>4.88</v>
      </c>
      <c r="AO49" s="1" t="s">
        <v>3153</v>
      </c>
      <c r="AP49" s="42">
        <v>0.36000000000000004</v>
      </c>
      <c r="AQ49" s="1" t="s">
        <v>3118</v>
      </c>
      <c r="AR49" s="3">
        <v>53</v>
      </c>
      <c r="AS49" s="1" t="s">
        <v>3234</v>
      </c>
      <c r="AT49" s="34">
        <v>0.8</v>
      </c>
      <c r="AU49" s="1" t="s">
        <v>438</v>
      </c>
      <c r="AV49" s="42">
        <v>20</v>
      </c>
      <c r="AW49" s="749" t="s">
        <v>3183</v>
      </c>
      <c r="AX49" s="4">
        <v>0.43</v>
      </c>
      <c r="AY49" s="1" t="s">
        <v>441</v>
      </c>
      <c r="AZ49" s="1" t="s">
        <v>1786</v>
      </c>
      <c r="BA49" s="4">
        <v>4.4000000000000004</v>
      </c>
    </row>
    <row r="50" spans="1:53" s="82" customFormat="1" ht="15">
      <c r="A50" s="770" t="s">
        <v>3889</v>
      </c>
      <c r="B50" s="248" t="s">
        <v>4070</v>
      </c>
      <c r="S50" s="1" t="s">
        <v>3098</v>
      </c>
      <c r="T50" s="4">
        <v>393</v>
      </c>
      <c r="U50" s="1" t="s">
        <v>3135</v>
      </c>
      <c r="V50" s="3">
        <v>126</v>
      </c>
      <c r="W50" s="1233" t="s">
        <v>3113</v>
      </c>
      <c r="X50" s="3">
        <v>44</v>
      </c>
      <c r="Y50" s="749" t="s">
        <v>3149</v>
      </c>
      <c r="Z50" s="3">
        <v>253</v>
      </c>
      <c r="AA50" s="1" t="s">
        <v>3317</v>
      </c>
      <c r="AB50" s="4">
        <v>2.8</v>
      </c>
      <c r="AC50" s="1" t="s">
        <v>3233</v>
      </c>
      <c r="AD50" s="34">
        <v>3</v>
      </c>
      <c r="AE50" s="749" t="s">
        <v>3130</v>
      </c>
      <c r="AF50" s="239">
        <v>0.27376310000000004</v>
      </c>
      <c r="AG50" s="53" t="s">
        <v>3139</v>
      </c>
      <c r="AH50" s="4">
        <v>200</v>
      </c>
      <c r="AI50" s="1" t="s">
        <v>1835</v>
      </c>
      <c r="AJ50" s="34">
        <v>0.32</v>
      </c>
      <c r="AK50" s="1233" t="s">
        <v>3304</v>
      </c>
      <c r="AL50" s="1144">
        <v>0.28399999999999997</v>
      </c>
      <c r="AM50" s="1" t="s">
        <v>3176</v>
      </c>
      <c r="AN50" s="4">
        <v>4.6900000000000004</v>
      </c>
      <c r="AO50" s="1" t="s">
        <v>3154</v>
      </c>
      <c r="AP50" s="42">
        <v>0.36000000000000004</v>
      </c>
      <c r="AQ50" s="1" t="s">
        <v>438</v>
      </c>
      <c r="AR50" s="42">
        <v>51.000000000000007</v>
      </c>
      <c r="AS50" s="749" t="s">
        <v>3405</v>
      </c>
      <c r="AT50" s="4">
        <v>0.75</v>
      </c>
      <c r="AU50" s="1" t="s">
        <v>441</v>
      </c>
      <c r="AV50" s="3">
        <v>20</v>
      </c>
      <c r="AW50" s="749" t="s">
        <v>3183</v>
      </c>
      <c r="AX50" s="239">
        <v>0.43</v>
      </c>
      <c r="AY50" s="1233" t="s">
        <v>3134</v>
      </c>
      <c r="AZ50" s="1233" t="s">
        <v>3113</v>
      </c>
      <c r="BA50" s="4">
        <v>4.3</v>
      </c>
    </row>
    <row r="51" spans="1:53" s="82" customFormat="1" ht="15">
      <c r="A51" s="770" t="s">
        <v>3890</v>
      </c>
      <c r="B51" s="1310" t="s">
        <v>4071</v>
      </c>
      <c r="S51" s="1233" t="s">
        <v>3444</v>
      </c>
      <c r="T51" s="31">
        <v>392.00000000000006</v>
      </c>
      <c r="U51" s="1" t="s">
        <v>3144</v>
      </c>
      <c r="V51" s="3">
        <v>126</v>
      </c>
      <c r="W51" s="1" t="s">
        <v>1764</v>
      </c>
      <c r="X51" s="4">
        <v>43</v>
      </c>
      <c r="Y51" s="1" t="s">
        <v>3150</v>
      </c>
      <c r="Z51" s="3">
        <v>253</v>
      </c>
      <c r="AA51" s="1" t="s">
        <v>3327</v>
      </c>
      <c r="AB51" s="42">
        <v>2.7600000000000002</v>
      </c>
      <c r="AC51" s="1" t="s">
        <v>3295</v>
      </c>
      <c r="AD51" s="4">
        <v>3</v>
      </c>
      <c r="AE51" s="1" t="s">
        <v>3435</v>
      </c>
      <c r="AF51" s="58">
        <v>0.27376310000000004</v>
      </c>
      <c r="AG51" s="1233" t="s">
        <v>3208</v>
      </c>
      <c r="AH51" s="3">
        <v>193.99999999999997</v>
      </c>
      <c r="AI51" s="749" t="s">
        <v>3185</v>
      </c>
      <c r="AJ51" s="3">
        <v>0.3</v>
      </c>
      <c r="AK51" s="1232" t="s">
        <v>3443</v>
      </c>
      <c r="AL51" s="37">
        <v>0.27039999999999997</v>
      </c>
      <c r="AM51" s="82" t="s">
        <v>3246</v>
      </c>
      <c r="AN51" s="4">
        <v>4.5999999999999996</v>
      </c>
      <c r="AO51" s="1" t="s">
        <v>3156</v>
      </c>
      <c r="AP51" s="42">
        <v>0.36000000000000004</v>
      </c>
      <c r="AQ51" s="1233" t="s">
        <v>3115</v>
      </c>
      <c r="AR51" s="3">
        <v>46.399999999999991</v>
      </c>
      <c r="AS51" s="1" t="s">
        <v>3153</v>
      </c>
      <c r="AT51" s="42">
        <v>0.7</v>
      </c>
      <c r="AU51" s="1" t="s">
        <v>3117</v>
      </c>
      <c r="AV51" s="4">
        <v>20</v>
      </c>
      <c r="AW51" s="325" t="s">
        <v>3216</v>
      </c>
      <c r="AX51" s="238">
        <v>0.42000000000000004</v>
      </c>
      <c r="AY51" s="1" t="s">
        <v>3135</v>
      </c>
      <c r="AZ51" s="1233" t="s">
        <v>3365</v>
      </c>
      <c r="BA51" s="4">
        <v>4.3</v>
      </c>
    </row>
    <row r="52" spans="1:53" s="82" customFormat="1" ht="15">
      <c r="A52" s="770" t="s">
        <v>3891</v>
      </c>
      <c r="B52" s="1" t="s">
        <v>4072</v>
      </c>
      <c r="S52" s="53" t="s">
        <v>3139</v>
      </c>
      <c r="T52" s="4">
        <v>390</v>
      </c>
      <c r="U52" s="1" t="s">
        <v>3213</v>
      </c>
      <c r="V52" s="4">
        <v>126</v>
      </c>
      <c r="W52" s="1" t="s">
        <v>3087</v>
      </c>
      <c r="X52" s="4">
        <v>43</v>
      </c>
      <c r="Y52" s="1233" t="s">
        <v>3444</v>
      </c>
      <c r="Z52" s="31">
        <v>243</v>
      </c>
      <c r="AA52" s="1" t="s">
        <v>1792</v>
      </c>
      <c r="AB52" s="4">
        <v>2.73</v>
      </c>
      <c r="AC52" s="325" t="s">
        <v>3303</v>
      </c>
      <c r="AD52" s="31">
        <v>3</v>
      </c>
      <c r="AE52" s="1233" t="s">
        <v>3124</v>
      </c>
      <c r="AF52" s="58">
        <v>0.27376310000000004</v>
      </c>
      <c r="AG52" s="1" t="s">
        <v>3234</v>
      </c>
      <c r="AH52" s="34">
        <v>182.5</v>
      </c>
      <c r="AI52" s="1233" t="s">
        <v>3157</v>
      </c>
      <c r="AJ52" s="49">
        <v>0.28999999999999998</v>
      </c>
      <c r="AK52" s="1232" t="s">
        <v>518</v>
      </c>
      <c r="AL52" s="49">
        <v>0.27</v>
      </c>
      <c r="AM52" s="749" t="s">
        <v>3230</v>
      </c>
      <c r="AN52" s="34">
        <v>4.5670000000000002</v>
      </c>
      <c r="AO52" s="749" t="s">
        <v>3159</v>
      </c>
      <c r="AP52" s="4">
        <v>0.36</v>
      </c>
      <c r="AQ52" s="1" t="s">
        <v>3114</v>
      </c>
      <c r="AR52" s="3">
        <v>46.399999999999991</v>
      </c>
      <c r="AS52" s="1" t="s">
        <v>3154</v>
      </c>
      <c r="AT52" s="42">
        <v>0.7</v>
      </c>
      <c r="AU52" s="1" t="s">
        <v>3091</v>
      </c>
      <c r="AV52" s="3">
        <v>19.999999999999996</v>
      </c>
      <c r="AW52" s="1232" t="s">
        <v>3454</v>
      </c>
      <c r="AX52" s="238">
        <v>0.4</v>
      </c>
      <c r="AY52" s="1" t="s">
        <v>3144</v>
      </c>
      <c r="AZ52" s="1" t="s">
        <v>3321</v>
      </c>
      <c r="BA52" s="4">
        <v>4</v>
      </c>
    </row>
    <row r="53" spans="1:53" s="82" customFormat="1" ht="15">
      <c r="A53" s="770" t="s">
        <v>2990</v>
      </c>
      <c r="B53" s="749" t="s">
        <v>4064</v>
      </c>
      <c r="S53" s="749" t="s">
        <v>3130</v>
      </c>
      <c r="T53" s="3">
        <v>379.00000000000006</v>
      </c>
      <c r="U53" s="1" t="s">
        <v>1803</v>
      </c>
      <c r="V53" s="4">
        <v>125</v>
      </c>
      <c r="W53" s="1232" t="s">
        <v>3503</v>
      </c>
      <c r="X53" s="3">
        <v>42.000000000000007</v>
      </c>
      <c r="Y53" s="749" t="s">
        <v>3506</v>
      </c>
      <c r="Z53" s="3">
        <v>241.00000000000003</v>
      </c>
      <c r="AA53" s="1233" t="s">
        <v>3126</v>
      </c>
      <c r="AB53" s="49">
        <v>2.71</v>
      </c>
      <c r="AC53" s="1" t="s">
        <v>3158</v>
      </c>
      <c r="AD53" s="3">
        <v>2.9</v>
      </c>
      <c r="AE53" s="1" t="s">
        <v>3125</v>
      </c>
      <c r="AF53" s="58">
        <v>0.27376310000000004</v>
      </c>
      <c r="AG53" s="1" t="s">
        <v>3213</v>
      </c>
      <c r="AH53" s="4">
        <v>180</v>
      </c>
      <c r="AI53" s="1" t="s">
        <v>1809</v>
      </c>
      <c r="AJ53" s="4">
        <v>0.28799999999999998</v>
      </c>
      <c r="AK53" s="1" t="s">
        <v>3232</v>
      </c>
      <c r="AL53" s="34">
        <v>0.255</v>
      </c>
      <c r="AM53" s="1233" t="s">
        <v>3256</v>
      </c>
      <c r="AN53" s="3">
        <v>4.4000000000000004</v>
      </c>
      <c r="AO53" s="1232" t="s">
        <v>518</v>
      </c>
      <c r="AP53" s="49">
        <v>0.35000000000000003</v>
      </c>
      <c r="AQ53" s="1" t="s">
        <v>1786</v>
      </c>
      <c r="AR53" s="4">
        <v>44</v>
      </c>
      <c r="AS53" s="1" t="s">
        <v>3156</v>
      </c>
      <c r="AT53" s="42">
        <v>0.7</v>
      </c>
      <c r="AU53" s="1" t="s">
        <v>3092</v>
      </c>
      <c r="AV53" s="3">
        <v>19.999999999999996</v>
      </c>
      <c r="AW53" s="1" t="s">
        <v>3233</v>
      </c>
      <c r="AX53" s="34">
        <v>0.4</v>
      </c>
      <c r="AY53" s="1" t="s">
        <v>3136</v>
      </c>
      <c r="AZ53" s="1" t="s">
        <v>3268</v>
      </c>
      <c r="BA53" s="4">
        <v>4</v>
      </c>
    </row>
    <row r="54" spans="1:53" s="82" customFormat="1" ht="15">
      <c r="A54" s="770" t="s">
        <v>3892</v>
      </c>
      <c r="B54" s="749" t="s">
        <v>4077</v>
      </c>
      <c r="S54" s="1" t="s">
        <v>3435</v>
      </c>
      <c r="T54" s="3">
        <v>379.00000000000006</v>
      </c>
      <c r="U54" s="1" t="s">
        <v>3452</v>
      </c>
      <c r="V54" s="4">
        <v>120</v>
      </c>
      <c r="W54" s="749" t="s">
        <v>3504</v>
      </c>
      <c r="X54" s="3">
        <v>42.000000000000007</v>
      </c>
      <c r="Y54" s="1" t="s">
        <v>1835</v>
      </c>
      <c r="Z54" s="34">
        <v>240</v>
      </c>
      <c r="AA54" s="1" t="s">
        <v>3119</v>
      </c>
      <c r="AB54" s="4">
        <v>2.7</v>
      </c>
      <c r="AC54" s="749" t="s">
        <v>3177</v>
      </c>
      <c r="AD54" s="4">
        <v>2.9</v>
      </c>
      <c r="AE54" s="1" t="s">
        <v>3433</v>
      </c>
      <c r="AF54" s="239">
        <v>0.27376310000000004</v>
      </c>
      <c r="AG54" s="1" t="s">
        <v>475</v>
      </c>
      <c r="AH54" s="34">
        <v>180</v>
      </c>
      <c r="AI54" s="749" t="s">
        <v>3172</v>
      </c>
      <c r="AJ54" s="37">
        <v>0.28460000000000002</v>
      </c>
      <c r="AK54" s="1" t="s">
        <v>3153</v>
      </c>
      <c r="AL54" s="42">
        <v>0.254</v>
      </c>
      <c r="AM54" s="1" t="s">
        <v>3257</v>
      </c>
      <c r="AN54" s="3">
        <v>4.4000000000000004</v>
      </c>
      <c r="AO54" s="1233" t="s">
        <v>3293</v>
      </c>
      <c r="AP54" s="1234">
        <v>0.35</v>
      </c>
      <c r="AQ54" s="1" t="s">
        <v>3261</v>
      </c>
      <c r="AR54" s="49">
        <v>42</v>
      </c>
      <c r="AS54" s="1233" t="s">
        <v>3157</v>
      </c>
      <c r="AT54" s="1234">
        <v>0.7</v>
      </c>
      <c r="AU54" s="1233" t="s">
        <v>3123</v>
      </c>
      <c r="AV54" s="31">
        <v>19.3</v>
      </c>
      <c r="AW54" s="749" t="s">
        <v>3160</v>
      </c>
      <c r="AX54" s="234">
        <v>0.4</v>
      </c>
      <c r="AY54" s="82" t="s">
        <v>20</v>
      </c>
      <c r="AZ54" s="749" t="s">
        <v>3291</v>
      </c>
      <c r="BA54" s="4">
        <v>4</v>
      </c>
    </row>
    <row r="55" spans="1:53" s="82" customFormat="1">
      <c r="A55" s="1295" t="s">
        <v>2985</v>
      </c>
      <c r="B55" s="248" t="s">
        <v>4078</v>
      </c>
      <c r="S55" s="1233" t="s">
        <v>3124</v>
      </c>
      <c r="T55" s="3">
        <v>379.00000000000006</v>
      </c>
      <c r="U55" s="325" t="s">
        <v>3451</v>
      </c>
      <c r="V55" s="4">
        <v>120</v>
      </c>
      <c r="W55" s="1" t="s">
        <v>3254</v>
      </c>
      <c r="X55" s="3">
        <v>42.000000000000007</v>
      </c>
      <c r="Y55" s="749" t="s">
        <v>3173</v>
      </c>
      <c r="Z55" s="4">
        <v>235</v>
      </c>
      <c r="AA55" s="325" t="s">
        <v>3120</v>
      </c>
      <c r="AB55" s="4">
        <v>2.7</v>
      </c>
      <c r="AC55" s="53" t="s">
        <v>3218</v>
      </c>
      <c r="AD55" s="4">
        <v>2.86</v>
      </c>
      <c r="AE55" s="1233" t="s">
        <v>3276</v>
      </c>
      <c r="AF55" s="1240">
        <v>0.25</v>
      </c>
      <c r="AG55" s="1" t="s">
        <v>3219</v>
      </c>
      <c r="AH55" s="234">
        <v>173.00000000000003</v>
      </c>
      <c r="AI55" s="1" t="s">
        <v>3466</v>
      </c>
      <c r="AJ55" s="37">
        <v>0.28460000000000002</v>
      </c>
      <c r="AK55" s="1" t="s">
        <v>3154</v>
      </c>
      <c r="AL55" s="42">
        <v>0.254</v>
      </c>
      <c r="AM55" s="1" t="s">
        <v>3317</v>
      </c>
      <c r="AN55" s="4">
        <v>4.37</v>
      </c>
      <c r="AO55" s="1233" t="s">
        <v>3307</v>
      </c>
      <c r="AP55" s="3">
        <v>0.33333333333333331</v>
      </c>
      <c r="AQ55" s="1" t="s">
        <v>3499</v>
      </c>
      <c r="AR55" s="49">
        <v>42</v>
      </c>
      <c r="AS55" s="1" t="s">
        <v>1831</v>
      </c>
      <c r="AT55" s="34">
        <v>0.66</v>
      </c>
      <c r="AU55" s="1232" t="s">
        <v>3137</v>
      </c>
      <c r="AV55" s="49">
        <v>19</v>
      </c>
      <c r="AW55" s="1" t="s">
        <v>3146</v>
      </c>
      <c r="AX55" s="234">
        <v>0.4</v>
      </c>
      <c r="AY55" s="1" t="s">
        <v>3112</v>
      </c>
      <c r="AZ55" s="1" t="s">
        <v>3099</v>
      </c>
      <c r="BA55" s="40">
        <v>3.9000000000000004</v>
      </c>
    </row>
    <row r="56" spans="1:53" s="82" customFormat="1" ht="15">
      <c r="A56" s="770" t="s">
        <v>3893</v>
      </c>
      <c r="B56" s="248" t="s">
        <v>4079</v>
      </c>
      <c r="S56" s="1" t="s">
        <v>3125</v>
      </c>
      <c r="T56" s="3">
        <v>379.00000000000006</v>
      </c>
      <c r="U56" s="1" t="s">
        <v>3212</v>
      </c>
      <c r="V56" s="4">
        <v>119</v>
      </c>
      <c r="W56" s="1" t="s">
        <v>3277</v>
      </c>
      <c r="X56" s="3">
        <v>42.000000000000007</v>
      </c>
      <c r="Y56" s="1" t="s">
        <v>3174</v>
      </c>
      <c r="Z56" s="4">
        <v>235</v>
      </c>
      <c r="AA56" s="749" t="s">
        <v>3160</v>
      </c>
      <c r="AB56" s="3">
        <v>2.7</v>
      </c>
      <c r="AC56" s="1" t="s">
        <v>3234</v>
      </c>
      <c r="AD56" s="34">
        <v>2.8</v>
      </c>
      <c r="AE56" s="1233" t="s">
        <v>3256</v>
      </c>
      <c r="AF56" s="1240">
        <v>0.25</v>
      </c>
      <c r="AG56" s="749" t="s">
        <v>3288</v>
      </c>
      <c r="AH56" s="49">
        <v>156</v>
      </c>
      <c r="AI56" s="1233" t="s">
        <v>3123</v>
      </c>
      <c r="AJ56" s="31">
        <v>0.28306666666666669</v>
      </c>
      <c r="AK56" s="1" t="s">
        <v>3156</v>
      </c>
      <c r="AL56" s="42">
        <v>0.254</v>
      </c>
      <c r="AM56" s="749" t="s">
        <v>3162</v>
      </c>
      <c r="AN56" s="4">
        <v>4.2370000000000001</v>
      </c>
      <c r="AO56" s="82" t="s">
        <v>3246</v>
      </c>
      <c r="AP56" s="4">
        <v>0.32</v>
      </c>
      <c r="AQ56" s="749" t="s">
        <v>3274</v>
      </c>
      <c r="AR56" s="4">
        <v>42</v>
      </c>
      <c r="AS56" s="749" t="s">
        <v>3172</v>
      </c>
      <c r="AT56" s="37">
        <v>0.62570000000000003</v>
      </c>
      <c r="AU56" s="325" t="s">
        <v>3110</v>
      </c>
      <c r="AV56" s="42">
        <v>18.7</v>
      </c>
      <c r="AW56" s="1" t="s">
        <v>3153</v>
      </c>
      <c r="AX56" s="236">
        <v>0.37</v>
      </c>
      <c r="AY56" s="1233" t="s">
        <v>3113</v>
      </c>
      <c r="AZ56" s="749" t="s">
        <v>3272</v>
      </c>
      <c r="BA56" s="4">
        <v>3.9</v>
      </c>
    </row>
    <row r="57" spans="1:53" s="82" customFormat="1" ht="15">
      <c r="A57" s="770" t="s">
        <v>2986</v>
      </c>
      <c r="B57" s="82" t="s">
        <v>4080</v>
      </c>
      <c r="S57" s="1" t="s">
        <v>3433</v>
      </c>
      <c r="T57" s="3">
        <v>379.00000000000006</v>
      </c>
      <c r="U57" s="1" t="s">
        <v>3457</v>
      </c>
      <c r="V57" s="4">
        <v>119</v>
      </c>
      <c r="W57" s="1" t="s">
        <v>3258</v>
      </c>
      <c r="X57" s="3">
        <v>42.000000000000007</v>
      </c>
      <c r="Y57" s="749" t="s">
        <v>3181</v>
      </c>
      <c r="Z57" s="34">
        <v>229</v>
      </c>
      <c r="AA57" s="1" t="s">
        <v>3146</v>
      </c>
      <c r="AB57" s="3">
        <v>2.7</v>
      </c>
      <c r="AC57" s="82" t="s">
        <v>3246</v>
      </c>
      <c r="AD57" s="4">
        <v>2.8</v>
      </c>
      <c r="AE57" s="1" t="s">
        <v>3368</v>
      </c>
      <c r="AF57" s="233">
        <v>0.23599999999999999</v>
      </c>
      <c r="AG57" s="1" t="s">
        <v>3282</v>
      </c>
      <c r="AH57" s="49">
        <v>156</v>
      </c>
      <c r="AI57" s="749" t="s">
        <v>3274</v>
      </c>
      <c r="AJ57" s="4">
        <v>0.28000000000000003</v>
      </c>
      <c r="AK57" s="749" t="s">
        <v>3272</v>
      </c>
      <c r="AL57" s="3">
        <v>0.25</v>
      </c>
      <c r="AM57" s="1" t="s">
        <v>3095</v>
      </c>
      <c r="AN57" s="34">
        <v>4.07</v>
      </c>
      <c r="AO57" s="1" t="s">
        <v>3148</v>
      </c>
      <c r="AP57" s="3">
        <v>0.3100069979006298</v>
      </c>
      <c r="AQ57" s="82" t="s">
        <v>20</v>
      </c>
      <c r="AR57" s="4">
        <v>41</v>
      </c>
      <c r="AS57" s="1" t="s">
        <v>3466</v>
      </c>
      <c r="AT57" s="37">
        <v>0.62570000000000003</v>
      </c>
      <c r="AU57" s="1" t="s">
        <v>3111</v>
      </c>
      <c r="AV57" s="42">
        <v>18.7</v>
      </c>
      <c r="AW57" s="1" t="s">
        <v>3154</v>
      </c>
      <c r="AX57" s="236">
        <v>0.37</v>
      </c>
      <c r="AY57" s="1" t="s">
        <v>3087</v>
      </c>
      <c r="AZ57" s="749" t="s">
        <v>3405</v>
      </c>
      <c r="BA57" s="4">
        <v>3.9</v>
      </c>
    </row>
    <row r="58" spans="1:53" s="82" customFormat="1" ht="15">
      <c r="A58" s="770" t="s">
        <v>3894</v>
      </c>
      <c r="B58" s="248" t="s">
        <v>4081</v>
      </c>
      <c r="S58" s="1" t="s">
        <v>3119</v>
      </c>
      <c r="T58" s="4">
        <v>376</v>
      </c>
      <c r="U58" s="325" t="s">
        <v>3453</v>
      </c>
      <c r="V58" s="49">
        <v>116</v>
      </c>
      <c r="W58" s="1154" t="s">
        <v>3290</v>
      </c>
      <c r="X58" s="4">
        <v>40</v>
      </c>
      <c r="Y58" s="325" t="s">
        <v>3216</v>
      </c>
      <c r="Z58" s="31">
        <v>223</v>
      </c>
      <c r="AA58" s="1310" t="s">
        <v>3248</v>
      </c>
      <c r="AB58" s="4">
        <v>2.7</v>
      </c>
      <c r="AC58" s="749" t="s">
        <v>3272</v>
      </c>
      <c r="AD58" s="3">
        <v>2.8</v>
      </c>
      <c r="AE58" s="1" t="s">
        <v>3234</v>
      </c>
      <c r="AF58" s="34">
        <v>0.23499999999999999</v>
      </c>
      <c r="AG58" s="53" t="s">
        <v>3292</v>
      </c>
      <c r="AH58" s="233">
        <v>156</v>
      </c>
      <c r="AI58" s="1232" t="s">
        <v>3443</v>
      </c>
      <c r="AJ58" s="37">
        <v>0.2656</v>
      </c>
      <c r="AK58" s="1" t="s">
        <v>3116</v>
      </c>
      <c r="AL58" s="49">
        <v>0.23999999999999996</v>
      </c>
      <c r="AM58" s="749" t="s">
        <v>3185</v>
      </c>
      <c r="AN58" s="3">
        <v>4</v>
      </c>
      <c r="AO58" s="749" t="s">
        <v>3163</v>
      </c>
      <c r="AP58" s="3">
        <v>0.3100069979006298</v>
      </c>
      <c r="AQ58" s="1" t="s">
        <v>20</v>
      </c>
      <c r="AR58" s="4">
        <v>41</v>
      </c>
      <c r="AS58" s="1" t="s">
        <v>3233</v>
      </c>
      <c r="AT58" s="34">
        <v>0.6</v>
      </c>
      <c r="AU58" s="1" t="s">
        <v>3440</v>
      </c>
      <c r="AV58" s="42">
        <v>18.7</v>
      </c>
      <c r="AW58" s="1" t="s">
        <v>3156</v>
      </c>
      <c r="AX58" s="236">
        <v>0.37</v>
      </c>
      <c r="AY58" s="1" t="s">
        <v>3434</v>
      </c>
      <c r="AZ58" s="1" t="s">
        <v>3095</v>
      </c>
      <c r="BA58" s="4">
        <v>3.6</v>
      </c>
    </row>
    <row r="59" spans="1:53" s="82" customFormat="1" ht="15">
      <c r="A59" s="770" t="s">
        <v>2987</v>
      </c>
      <c r="B59" s="491" t="s">
        <v>4082</v>
      </c>
      <c r="S59" s="325" t="s">
        <v>3120</v>
      </c>
      <c r="T59" s="4">
        <v>376</v>
      </c>
      <c r="U59" s="1233" t="s">
        <v>3221</v>
      </c>
      <c r="V59" s="3">
        <v>116</v>
      </c>
      <c r="W59" s="1" t="s">
        <v>3223</v>
      </c>
      <c r="X59" s="4">
        <v>39</v>
      </c>
      <c r="Y59" s="749" t="s">
        <v>3177</v>
      </c>
      <c r="Z59" s="4">
        <v>218</v>
      </c>
      <c r="AA59" s="1" t="s">
        <v>3093</v>
      </c>
      <c r="AB59" s="49">
        <v>2.6</v>
      </c>
      <c r="AC59" s="1233" t="s">
        <v>3134</v>
      </c>
      <c r="AD59" s="3">
        <v>2.7799813345776951</v>
      </c>
      <c r="AE59" s="749" t="s">
        <v>3291</v>
      </c>
      <c r="AF59" s="4">
        <v>0.224</v>
      </c>
      <c r="AG59" s="1" t="s">
        <v>3227</v>
      </c>
      <c r="AH59" s="4">
        <v>152</v>
      </c>
      <c r="AI59" s="325" t="s">
        <v>3513</v>
      </c>
      <c r="AJ59" s="42">
        <v>0.25</v>
      </c>
      <c r="AK59" s="1" t="s">
        <v>3332</v>
      </c>
      <c r="AL59" s="3">
        <v>0.23776223776223776</v>
      </c>
      <c r="AM59" s="1233" t="s">
        <v>3126</v>
      </c>
      <c r="AN59" s="49">
        <v>3.6272000000000002</v>
      </c>
      <c r="AO59" s="749" t="s">
        <v>3149</v>
      </c>
      <c r="AP59" s="3">
        <v>0.3100069979006298</v>
      </c>
      <c r="AQ59" s="1" t="s">
        <v>1809</v>
      </c>
      <c r="AR59" s="4">
        <v>40</v>
      </c>
      <c r="AS59" s="749" t="s">
        <v>3164</v>
      </c>
      <c r="AT59" s="31">
        <v>0.6</v>
      </c>
      <c r="AU59" s="1" t="s">
        <v>421</v>
      </c>
      <c r="AV59" s="4">
        <v>18</v>
      </c>
      <c r="AW59" s="749" t="s">
        <v>3172</v>
      </c>
      <c r="AX59" s="239">
        <v>0.36430000000000001</v>
      </c>
      <c r="AY59" s="1" t="s">
        <v>421</v>
      </c>
      <c r="AZ59" s="1233" t="s">
        <v>3276</v>
      </c>
      <c r="BA59" s="1234">
        <v>3.6</v>
      </c>
    </row>
    <row r="60" spans="1:53" s="82" customFormat="1" ht="15">
      <c r="A60" s="770" t="s">
        <v>2988</v>
      </c>
      <c r="B60" s="229" t="s">
        <v>4083</v>
      </c>
      <c r="S60" s="325" t="s">
        <v>3280</v>
      </c>
      <c r="T60" s="1144">
        <v>376</v>
      </c>
      <c r="U60" s="1" t="s">
        <v>3220</v>
      </c>
      <c r="V60" s="31">
        <v>112</v>
      </c>
      <c r="W60" s="1" t="s">
        <v>3226</v>
      </c>
      <c r="X60" s="34">
        <v>39</v>
      </c>
      <c r="Y60" s="749" t="s">
        <v>3182</v>
      </c>
      <c r="Z60" s="4">
        <v>218</v>
      </c>
      <c r="AA60" s="749" t="s">
        <v>3162</v>
      </c>
      <c r="AB60" s="4">
        <v>2.5099999999999998</v>
      </c>
      <c r="AC60" s="1" t="s">
        <v>3135</v>
      </c>
      <c r="AD60" s="3">
        <v>2.7799813345776951</v>
      </c>
      <c r="AE60" s="1" t="s">
        <v>3318</v>
      </c>
      <c r="AF60" s="4">
        <v>0.21</v>
      </c>
      <c r="AG60" s="1" t="s">
        <v>3228</v>
      </c>
      <c r="AH60" s="4">
        <v>152</v>
      </c>
      <c r="AI60" s="1" t="s">
        <v>3316</v>
      </c>
      <c r="AJ60" s="4">
        <v>0.24</v>
      </c>
      <c r="AK60" s="325" t="s">
        <v>3161</v>
      </c>
      <c r="AL60" s="3">
        <v>0.22796625381439597</v>
      </c>
      <c r="AM60" s="325" t="s">
        <v>3216</v>
      </c>
      <c r="AN60" s="31">
        <v>3.6170270270270275</v>
      </c>
      <c r="AO60" s="325" t="s">
        <v>3132</v>
      </c>
      <c r="AP60" s="4">
        <v>0.31</v>
      </c>
      <c r="AQ60" s="1" t="s">
        <v>3223</v>
      </c>
      <c r="AR60" s="4">
        <v>40</v>
      </c>
      <c r="AS60" s="1232" t="s">
        <v>3443</v>
      </c>
      <c r="AT60" s="37">
        <v>0.58399999999999996</v>
      </c>
      <c r="AU60" s="1" t="s">
        <v>3093</v>
      </c>
      <c r="AV60" s="49">
        <v>16</v>
      </c>
      <c r="AW60" s="1" t="s">
        <v>3466</v>
      </c>
      <c r="AX60" s="239">
        <v>0.36430000000000001</v>
      </c>
      <c r="AY60" s="1" t="s">
        <v>422</v>
      </c>
      <c r="AZ60" s="1233" t="s">
        <v>3293</v>
      </c>
      <c r="BA60" s="49">
        <v>3.6</v>
      </c>
    </row>
    <row r="61" spans="1:53" s="82" customFormat="1" ht="16" thickBot="1">
      <c r="A61" s="1307" t="s">
        <v>2989</v>
      </c>
      <c r="B61" s="490" t="s">
        <v>4084</v>
      </c>
      <c r="S61" s="1232" t="s">
        <v>469</v>
      </c>
      <c r="T61" s="4">
        <v>370</v>
      </c>
      <c r="U61" s="749" t="s">
        <v>3269</v>
      </c>
      <c r="V61" s="4">
        <v>105</v>
      </c>
      <c r="W61" s="749" t="s">
        <v>3405</v>
      </c>
      <c r="X61" s="4">
        <v>38</v>
      </c>
      <c r="Y61" s="53" t="s">
        <v>3204</v>
      </c>
      <c r="Z61" s="4">
        <v>217</v>
      </c>
      <c r="AA61" s="749" t="s">
        <v>3180</v>
      </c>
      <c r="AB61" s="4">
        <v>2.5</v>
      </c>
      <c r="AC61" s="1" t="s">
        <v>3144</v>
      </c>
      <c r="AD61" s="3">
        <v>2.7799813345776951</v>
      </c>
      <c r="AE61" s="1" t="s">
        <v>1764</v>
      </c>
      <c r="AF61" s="4">
        <v>0.2</v>
      </c>
      <c r="AG61" s="749" t="s">
        <v>3229</v>
      </c>
      <c r="AH61" s="34">
        <v>152</v>
      </c>
      <c r="AI61" s="1" t="s">
        <v>3426</v>
      </c>
      <c r="AJ61" s="37">
        <v>0.22800000000000001</v>
      </c>
      <c r="AK61" s="1232" t="s">
        <v>3137</v>
      </c>
      <c r="AL61" s="49">
        <v>0.224</v>
      </c>
      <c r="AM61" s="1310" t="s">
        <v>3248</v>
      </c>
      <c r="AN61" s="4">
        <v>3.6</v>
      </c>
      <c r="AO61" s="1" t="s">
        <v>3150</v>
      </c>
      <c r="AP61" s="3">
        <v>0.31</v>
      </c>
      <c r="AQ61" s="1" t="s">
        <v>3226</v>
      </c>
      <c r="AR61" s="34">
        <v>40</v>
      </c>
      <c r="AS61" s="1" t="s">
        <v>3448</v>
      </c>
      <c r="AT61" s="1144">
        <v>0.51</v>
      </c>
      <c r="AU61" s="1" t="s">
        <v>3323</v>
      </c>
      <c r="AV61" s="4">
        <v>15</v>
      </c>
      <c r="AW61" s="1232" t="s">
        <v>3215</v>
      </c>
      <c r="AX61" s="1339">
        <v>0.35035035035035039</v>
      </c>
      <c r="AY61" s="1" t="s">
        <v>20</v>
      </c>
      <c r="AZ61" s="325" t="s">
        <v>3280</v>
      </c>
      <c r="BA61" s="1144">
        <v>3.3</v>
      </c>
    </row>
    <row r="62" spans="1:53" s="82" customFormat="1">
      <c r="S62" s="1" t="s">
        <v>1822</v>
      </c>
      <c r="T62" s="4">
        <v>370</v>
      </c>
      <c r="U62" s="1" t="s">
        <v>3455</v>
      </c>
      <c r="V62" s="42">
        <v>104</v>
      </c>
      <c r="W62" s="1" t="s">
        <v>3148</v>
      </c>
      <c r="X62" s="3">
        <v>37</v>
      </c>
      <c r="Y62" s="1233" t="s">
        <v>3276</v>
      </c>
      <c r="Z62" s="1240">
        <v>214</v>
      </c>
      <c r="AA62" s="749" t="s">
        <v>3405</v>
      </c>
      <c r="AB62" s="4">
        <v>2.44</v>
      </c>
      <c r="AC62" s="1" t="s">
        <v>3366</v>
      </c>
      <c r="AD62" s="4">
        <f>AVERAGE(AD60:AD61)</f>
        <v>2.7799813345776951</v>
      </c>
      <c r="AE62" s="1" t="s">
        <v>3087</v>
      </c>
      <c r="AF62" s="4">
        <v>0.2</v>
      </c>
      <c r="AG62" s="1" t="s">
        <v>1766</v>
      </c>
      <c r="AH62" s="34">
        <v>147</v>
      </c>
      <c r="AI62" s="749" t="s">
        <v>3173</v>
      </c>
      <c r="AJ62" s="4">
        <v>0.22</v>
      </c>
      <c r="AK62" s="749" t="s">
        <v>3178</v>
      </c>
      <c r="AL62" s="34">
        <v>0.21</v>
      </c>
      <c r="AM62" s="1" t="s">
        <v>3426</v>
      </c>
      <c r="AN62" s="37">
        <v>3.51</v>
      </c>
      <c r="AO62" s="749" t="s">
        <v>3130</v>
      </c>
      <c r="AP62" s="3">
        <v>0.30001399972000564</v>
      </c>
      <c r="AQ62" s="1" t="s">
        <v>3232</v>
      </c>
      <c r="AR62" s="34">
        <v>40</v>
      </c>
      <c r="AS62" s="1" t="s">
        <v>3447</v>
      </c>
      <c r="AT62" s="1144">
        <v>0.51</v>
      </c>
      <c r="AU62" s="1" t="s">
        <v>1801</v>
      </c>
      <c r="AV62" s="4">
        <v>14.3</v>
      </c>
      <c r="AW62" s="1232" t="s">
        <v>3443</v>
      </c>
      <c r="AX62" s="239">
        <v>0.34</v>
      </c>
      <c r="AY62" s="1" t="s">
        <v>3095</v>
      </c>
      <c r="AZ62" s="1233" t="s">
        <v>3121</v>
      </c>
      <c r="BA62" s="29">
        <v>3.2</v>
      </c>
    </row>
    <row r="63" spans="1:53" s="82" customFormat="1">
      <c r="A63" s="286" t="s">
        <v>769</v>
      </c>
      <c r="B63" s="82" t="s">
        <v>4086</v>
      </c>
      <c r="D63" s="82" t="s">
        <v>773</v>
      </c>
      <c r="S63" s="1154" t="s">
        <v>3290</v>
      </c>
      <c r="T63" s="4">
        <v>368</v>
      </c>
      <c r="U63" s="1" t="s">
        <v>3119</v>
      </c>
      <c r="V63" s="4">
        <v>103</v>
      </c>
      <c r="W63" s="749" t="s">
        <v>3163</v>
      </c>
      <c r="X63" s="3">
        <v>37</v>
      </c>
      <c r="Y63" s="1233" t="s">
        <v>3256</v>
      </c>
      <c r="Z63" s="3">
        <v>214</v>
      </c>
      <c r="AA63" s="1" t="s">
        <v>3175</v>
      </c>
      <c r="AB63" s="34">
        <v>2.42</v>
      </c>
      <c r="AC63" s="1" t="s">
        <v>480</v>
      </c>
      <c r="AD63" s="4">
        <v>2.5499999999999998</v>
      </c>
      <c r="AE63" s="1" t="s">
        <v>3426</v>
      </c>
      <c r="AF63" s="34">
        <v>0.19700000000000001</v>
      </c>
      <c r="AG63" s="1" t="s">
        <v>3094</v>
      </c>
      <c r="AH63" s="34">
        <v>147</v>
      </c>
      <c r="AI63" s="1" t="s">
        <v>3174</v>
      </c>
      <c r="AJ63" s="4">
        <v>0.22</v>
      </c>
      <c r="AK63" s="1233" t="s">
        <v>3157</v>
      </c>
      <c r="AL63" s="49">
        <v>0.21</v>
      </c>
      <c r="AM63" s="1" t="s">
        <v>3232</v>
      </c>
      <c r="AN63" s="34">
        <v>3.4</v>
      </c>
      <c r="AO63" s="1" t="s">
        <v>3435</v>
      </c>
      <c r="AP63" s="3">
        <v>0.30001399972000564</v>
      </c>
      <c r="AQ63" s="1" t="s">
        <v>3106</v>
      </c>
      <c r="AR63" s="42">
        <v>39</v>
      </c>
      <c r="AS63" s="749" t="s">
        <v>3185</v>
      </c>
      <c r="AT63" s="3">
        <v>0.5</v>
      </c>
      <c r="AU63" s="1" t="s">
        <v>3104</v>
      </c>
      <c r="AV63" s="40">
        <v>13.7</v>
      </c>
      <c r="AW63" s="1" t="s">
        <v>3227</v>
      </c>
      <c r="AX63" s="4">
        <v>0.32</v>
      </c>
      <c r="AY63" s="1310" t="s">
        <v>3096</v>
      </c>
      <c r="AZ63" s="1" t="s">
        <v>3358</v>
      </c>
      <c r="BA63" s="34">
        <v>3.2</v>
      </c>
    </row>
    <row r="64" spans="1:53" s="82" customFormat="1">
      <c r="A64" s="286" t="s">
        <v>771</v>
      </c>
      <c r="B64" s="82" t="s">
        <v>4085</v>
      </c>
      <c r="D64" s="82" t="s">
        <v>774</v>
      </c>
      <c r="S64" s="325" t="s">
        <v>3161</v>
      </c>
      <c r="T64" s="3">
        <v>363.00000000000006</v>
      </c>
      <c r="U64" s="325" t="s">
        <v>3120</v>
      </c>
      <c r="V64" s="4">
        <v>103</v>
      </c>
      <c r="W64" s="749" t="s">
        <v>3149</v>
      </c>
      <c r="X64" s="3">
        <v>37</v>
      </c>
      <c r="Y64" s="1" t="s">
        <v>3257</v>
      </c>
      <c r="Z64" s="3">
        <v>214</v>
      </c>
      <c r="AA64" s="53" t="s">
        <v>3139</v>
      </c>
      <c r="AB64" s="4">
        <v>2.4</v>
      </c>
      <c r="AC64" s="325" t="s">
        <v>3155</v>
      </c>
      <c r="AD64" s="1234">
        <v>2.5</v>
      </c>
      <c r="AE64" s="1154" t="s">
        <v>3290</v>
      </c>
      <c r="AF64" s="4">
        <v>0.19600000000000001</v>
      </c>
      <c r="AG64" s="1" t="s">
        <v>480</v>
      </c>
      <c r="AH64" s="4">
        <v>120</v>
      </c>
      <c r="AI64" s="749" t="s">
        <v>3180</v>
      </c>
      <c r="AJ64" s="4">
        <v>0.21299999999999999</v>
      </c>
      <c r="AK64" s="749" t="s">
        <v>3269</v>
      </c>
      <c r="AL64" s="4">
        <v>0.21</v>
      </c>
      <c r="AM64" s="749" t="s">
        <v>3207</v>
      </c>
      <c r="AN64" s="42">
        <v>3.3</v>
      </c>
      <c r="AO64" s="1233" t="s">
        <v>3124</v>
      </c>
      <c r="AP64" s="3">
        <v>0.30001399972000564</v>
      </c>
      <c r="AQ64" s="1" t="s">
        <v>3430</v>
      </c>
      <c r="AR64" s="31">
        <v>39</v>
      </c>
      <c r="AS64" s="1" t="s">
        <v>3220</v>
      </c>
      <c r="AT64" s="31">
        <v>0.45</v>
      </c>
      <c r="AU64" s="1" t="s">
        <v>3432</v>
      </c>
      <c r="AV64" s="40">
        <v>13.7</v>
      </c>
      <c r="AW64" s="1" t="s">
        <v>3228</v>
      </c>
      <c r="AX64" s="4">
        <v>0.32</v>
      </c>
      <c r="AY64" s="1233" t="s">
        <v>3115</v>
      </c>
      <c r="AZ64" s="749" t="s">
        <v>3262</v>
      </c>
      <c r="BA64" s="4">
        <v>3.2</v>
      </c>
    </row>
    <row r="65" spans="1:53" s="82" customFormat="1">
      <c r="S65" s="82" t="s">
        <v>20</v>
      </c>
      <c r="T65" s="4">
        <v>363</v>
      </c>
      <c r="U65" s="82" t="s">
        <v>3361</v>
      </c>
      <c r="V65" s="4">
        <v>101</v>
      </c>
      <c r="W65" s="1" t="s">
        <v>3150</v>
      </c>
      <c r="X65" s="3">
        <v>37</v>
      </c>
      <c r="Y65" s="1" t="s">
        <v>1789</v>
      </c>
      <c r="Z65" s="4">
        <v>213</v>
      </c>
      <c r="AA65" s="1" t="s">
        <v>3153</v>
      </c>
      <c r="AB65" s="42">
        <v>2.4</v>
      </c>
      <c r="AC65" s="749" t="s">
        <v>3274</v>
      </c>
      <c r="AD65" s="4">
        <v>2.5</v>
      </c>
      <c r="AE65" s="1232" t="s">
        <v>3503</v>
      </c>
      <c r="AF65" s="36">
        <v>0.19439579684763575</v>
      </c>
      <c r="AG65" s="325" t="s">
        <v>3132</v>
      </c>
      <c r="AH65" s="4">
        <v>106</v>
      </c>
      <c r="AI65" s="1" t="s">
        <v>3261</v>
      </c>
      <c r="AJ65" s="49">
        <v>0.21</v>
      </c>
      <c r="AK65" s="1" t="s">
        <v>3214</v>
      </c>
      <c r="AL65" s="34">
        <v>0.20899999999999999</v>
      </c>
      <c r="AM65" s="491" t="s">
        <v>3510</v>
      </c>
      <c r="AN65" s="3">
        <v>3.1</v>
      </c>
      <c r="AO65" s="1" t="s">
        <v>3125</v>
      </c>
      <c r="AP65" s="3">
        <v>0.30001399972000564</v>
      </c>
      <c r="AQ65" s="1" t="s">
        <v>3428</v>
      </c>
      <c r="AR65" s="34">
        <v>39</v>
      </c>
      <c r="AS65" s="749" t="s">
        <v>3193</v>
      </c>
      <c r="AT65" s="42">
        <v>0.45</v>
      </c>
      <c r="AU65" s="749" t="s">
        <v>3130</v>
      </c>
      <c r="AV65" s="3">
        <v>13</v>
      </c>
      <c r="AW65" s="749" t="s">
        <v>3229</v>
      </c>
      <c r="AX65" s="34">
        <v>0.32</v>
      </c>
      <c r="AY65" s="1" t="s">
        <v>3114</v>
      </c>
      <c r="AZ65" s="1" t="s">
        <v>3430</v>
      </c>
      <c r="BA65" s="29">
        <v>3.1</v>
      </c>
    </row>
    <row r="66" spans="1:53">
      <c r="A66">
        <v>0</v>
      </c>
      <c r="B66" t="s">
        <v>4087</v>
      </c>
      <c r="S66" s="1" t="s">
        <v>20</v>
      </c>
      <c r="T66" s="4">
        <v>363</v>
      </c>
      <c r="U66" s="1232" t="s">
        <v>3454</v>
      </c>
      <c r="V66" s="31">
        <v>100</v>
      </c>
      <c r="W66" s="1" t="s">
        <v>3112</v>
      </c>
      <c r="X66" s="49">
        <v>36</v>
      </c>
      <c r="Y66" s="1233" t="s">
        <v>3126</v>
      </c>
      <c r="Z66" s="49">
        <v>210</v>
      </c>
      <c r="AA66" s="1" t="s">
        <v>3154</v>
      </c>
      <c r="AB66" s="42">
        <v>2.4</v>
      </c>
      <c r="AC66" s="1233" t="s">
        <v>3126</v>
      </c>
      <c r="AD66" s="49">
        <v>2.21</v>
      </c>
      <c r="AE66" s="749" t="s">
        <v>3504</v>
      </c>
      <c r="AF66" s="36">
        <v>0.19439579684763575</v>
      </c>
      <c r="AG66" s="1" t="s">
        <v>3455</v>
      </c>
      <c r="AH66" s="236">
        <v>99.200000000000017</v>
      </c>
      <c r="AI66" s="1" t="s">
        <v>3499</v>
      </c>
      <c r="AJ66" s="49">
        <v>0.21</v>
      </c>
      <c r="AK66" s="1233" t="s">
        <v>3126</v>
      </c>
      <c r="AL66" s="49">
        <v>0.20119999999999996</v>
      </c>
      <c r="AM66" s="1232" t="s">
        <v>3215</v>
      </c>
      <c r="AN66" s="4">
        <v>3.017206395584775</v>
      </c>
      <c r="AO66" s="1" t="s">
        <v>3433</v>
      </c>
      <c r="AP66" s="3">
        <v>0.30001399972000564</v>
      </c>
      <c r="AQ66" s="1" t="s">
        <v>3107</v>
      </c>
      <c r="AR66" s="31">
        <v>39</v>
      </c>
      <c r="AS66" s="1233" t="s">
        <v>3194</v>
      </c>
      <c r="AT66" s="42">
        <v>0.45</v>
      </c>
      <c r="AU66" s="1" t="s">
        <v>3435</v>
      </c>
      <c r="AV66" s="3">
        <v>13</v>
      </c>
      <c r="AW66" s="749" t="s">
        <v>3230</v>
      </c>
      <c r="AX66" s="34">
        <v>0.3</v>
      </c>
      <c r="AY66" s="1232" t="s">
        <v>518</v>
      </c>
      <c r="AZ66" s="1" t="s">
        <v>3428</v>
      </c>
      <c r="BA66" s="34">
        <v>3.1</v>
      </c>
    </row>
    <row r="67" spans="1:53">
      <c r="A67">
        <v>1</v>
      </c>
      <c r="B67" t="s">
        <v>4088</v>
      </c>
      <c r="S67" s="1" t="s">
        <v>3104</v>
      </c>
      <c r="T67" s="40">
        <v>361</v>
      </c>
      <c r="U67" s="1233" t="s">
        <v>3365</v>
      </c>
      <c r="V67" s="3">
        <v>97</v>
      </c>
      <c r="W67" s="1" t="s">
        <v>3232</v>
      </c>
      <c r="X67" s="34">
        <v>35.5</v>
      </c>
      <c r="Y67" s="1310" t="s">
        <v>3248</v>
      </c>
      <c r="Z67" s="4">
        <v>210</v>
      </c>
      <c r="AA67" s="1" t="s">
        <v>3156</v>
      </c>
      <c r="AB67" s="42">
        <v>2.4</v>
      </c>
      <c r="AC67" s="1" t="s">
        <v>3223</v>
      </c>
      <c r="AD67" s="4">
        <v>2.2000000000000002</v>
      </c>
      <c r="AE67" s="1" t="s">
        <v>3254</v>
      </c>
      <c r="AF67" s="234">
        <v>0.19439579684763575</v>
      </c>
      <c r="AG67" s="749" t="s">
        <v>3230</v>
      </c>
      <c r="AH67" s="34">
        <v>98</v>
      </c>
      <c r="AI67" s="1" t="s">
        <v>3271</v>
      </c>
      <c r="AJ67" s="3">
        <v>0.20028011204481794</v>
      </c>
      <c r="AK67" s="1" t="s">
        <v>3317</v>
      </c>
      <c r="AL67" s="4">
        <v>0.2</v>
      </c>
      <c r="AM67" s="749" t="s">
        <v>3180</v>
      </c>
      <c r="AN67" s="4">
        <v>3</v>
      </c>
      <c r="AO67" s="749" t="s">
        <v>3464</v>
      </c>
      <c r="AP67" s="4">
        <v>0.3</v>
      </c>
      <c r="AQ67" s="1" t="s">
        <v>3434</v>
      </c>
      <c r="AR67" s="31">
        <v>39</v>
      </c>
      <c r="AS67" s="749" t="s">
        <v>3229</v>
      </c>
      <c r="AT67" s="4">
        <v>0.43</v>
      </c>
      <c r="AU67" s="1233" t="s">
        <v>3124</v>
      </c>
      <c r="AV67" s="3">
        <v>13</v>
      </c>
      <c r="AW67" s="749" t="s">
        <v>3162</v>
      </c>
      <c r="AX67" s="4">
        <v>0.3</v>
      </c>
      <c r="AY67" s="1" t="s">
        <v>3116</v>
      </c>
      <c r="AZ67" s="1" t="s">
        <v>3107</v>
      </c>
      <c r="BA67" s="29">
        <v>3.1</v>
      </c>
    </row>
    <row r="68" spans="1:53">
      <c r="A68">
        <v>2</v>
      </c>
      <c r="B68" t="s">
        <v>4089</v>
      </c>
      <c r="S68" s="1" t="s">
        <v>3432</v>
      </c>
      <c r="T68" s="40">
        <v>361</v>
      </c>
      <c r="U68" s="1" t="s">
        <v>1792</v>
      </c>
      <c r="V68" s="4">
        <v>96</v>
      </c>
      <c r="W68" s="1233" t="s">
        <v>3252</v>
      </c>
      <c r="X68" s="3">
        <v>35</v>
      </c>
      <c r="Y68" s="1233" t="s">
        <v>3208</v>
      </c>
      <c r="Z68" s="3">
        <v>209.99999999999997</v>
      </c>
      <c r="AA68" s="325" t="s">
        <v>3161</v>
      </c>
      <c r="AB68" s="3">
        <v>2.2399928199605097</v>
      </c>
      <c r="AC68" s="1" t="s">
        <v>3226</v>
      </c>
      <c r="AD68" s="34">
        <v>2.2000000000000002</v>
      </c>
      <c r="AE68" s="1" t="s">
        <v>3277</v>
      </c>
      <c r="AF68" s="234">
        <v>0.19439579684763575</v>
      </c>
      <c r="AG68" s="1233" t="s">
        <v>3299</v>
      </c>
      <c r="AH68" s="4">
        <v>97</v>
      </c>
      <c r="AI68" s="1" t="s">
        <v>3315</v>
      </c>
      <c r="AJ68" s="4">
        <v>0.2</v>
      </c>
      <c r="AK68" s="1" t="s">
        <v>3223</v>
      </c>
      <c r="AL68" s="4">
        <v>0.2</v>
      </c>
      <c r="AM68" s="1" t="s">
        <v>3471</v>
      </c>
      <c r="AN68" s="34">
        <v>3</v>
      </c>
      <c r="AO68" s="1" t="s">
        <v>1823</v>
      </c>
      <c r="AP68" s="4">
        <v>0.3</v>
      </c>
      <c r="AQ68" s="1" t="s">
        <v>422</v>
      </c>
      <c r="AR68" s="4">
        <v>38</v>
      </c>
      <c r="AS68" s="1233" t="s">
        <v>3221</v>
      </c>
      <c r="AT68" s="3">
        <v>0.41987403778866345</v>
      </c>
      <c r="AU68" s="1" t="s">
        <v>3125</v>
      </c>
      <c r="AV68" s="3">
        <v>13</v>
      </c>
      <c r="AW68" s="1233" t="s">
        <v>1861</v>
      </c>
      <c r="AX68" s="4">
        <v>0.3</v>
      </c>
      <c r="AY68" s="1232" t="s">
        <v>3137</v>
      </c>
      <c r="AZ68" s="1" t="s">
        <v>3434</v>
      </c>
      <c r="BA68" s="29">
        <v>3.1</v>
      </c>
    </row>
    <row r="69" spans="1:53">
      <c r="A69">
        <v>3</v>
      </c>
      <c r="B69" t="s">
        <v>4090</v>
      </c>
      <c r="S69" s="1" t="s">
        <v>415</v>
      </c>
      <c r="T69" s="3">
        <v>360</v>
      </c>
      <c r="U69" s="1" t="s">
        <v>1811</v>
      </c>
      <c r="V69" s="4">
        <v>90.5</v>
      </c>
      <c r="W69" s="325" t="s">
        <v>3460</v>
      </c>
      <c r="X69" s="34">
        <v>34</v>
      </c>
      <c r="Y69" s="1233" t="s">
        <v>1861</v>
      </c>
      <c r="Z69" s="4">
        <v>209</v>
      </c>
      <c r="AA69" s="749" t="s">
        <v>3159</v>
      </c>
      <c r="AB69" s="3">
        <v>2.1</v>
      </c>
      <c r="AC69" s="1233" t="s">
        <v>3157</v>
      </c>
      <c r="AD69" s="1234">
        <v>2.2000000000000002</v>
      </c>
      <c r="AE69" s="1" t="s">
        <v>3258</v>
      </c>
      <c r="AF69" s="234">
        <v>0.19439579684763575</v>
      </c>
      <c r="AG69" s="325" t="s">
        <v>3296</v>
      </c>
      <c r="AH69" s="3">
        <v>95</v>
      </c>
      <c r="AI69" s="749" t="s">
        <v>3184</v>
      </c>
      <c r="AJ69" s="3">
        <v>0.2</v>
      </c>
      <c r="AK69" s="1" t="s">
        <v>3226</v>
      </c>
      <c r="AL69" s="34">
        <v>0.2</v>
      </c>
      <c r="AM69" s="1" t="s">
        <v>1851</v>
      </c>
      <c r="AN69" s="34">
        <v>3</v>
      </c>
      <c r="AO69" s="749" t="s">
        <v>3183</v>
      </c>
      <c r="AP69" s="4">
        <v>0.3</v>
      </c>
      <c r="AQ69" s="1" t="s">
        <v>481</v>
      </c>
      <c r="AR69" s="4">
        <v>36.5</v>
      </c>
      <c r="AS69" s="1" t="s">
        <v>1811</v>
      </c>
      <c r="AT69" s="4">
        <v>0.4</v>
      </c>
      <c r="AU69" s="1" t="s">
        <v>3433</v>
      </c>
      <c r="AV69" s="3">
        <v>13</v>
      </c>
      <c r="AW69" s="1232" t="s">
        <v>3503</v>
      </c>
      <c r="AX69" s="1234">
        <v>0.3</v>
      </c>
      <c r="AY69" s="1" t="s">
        <v>3117</v>
      </c>
      <c r="AZ69" s="749" t="s">
        <v>3399</v>
      </c>
      <c r="BA69" s="4">
        <v>3.1</v>
      </c>
    </row>
    <row r="70" spans="1:53">
      <c r="A70">
        <v>4</v>
      </c>
      <c r="B70" t="s">
        <v>4091</v>
      </c>
      <c r="S70" s="1" t="s">
        <v>3118</v>
      </c>
      <c r="T70" s="3">
        <v>360</v>
      </c>
      <c r="U70" s="1" t="s">
        <v>475</v>
      </c>
      <c r="V70" s="34">
        <v>90.5</v>
      </c>
      <c r="W70" s="53" t="s">
        <v>3204</v>
      </c>
      <c r="X70" s="4">
        <v>33</v>
      </c>
      <c r="Y70" s="1" t="s">
        <v>3197</v>
      </c>
      <c r="Z70" s="4">
        <v>209</v>
      </c>
      <c r="AA70" s="1" t="s">
        <v>3147</v>
      </c>
      <c r="AB70" s="49">
        <v>2.1</v>
      </c>
      <c r="AC70" s="1" t="s">
        <v>3327</v>
      </c>
      <c r="AD70" s="42">
        <v>2.2000000000000002</v>
      </c>
      <c r="AE70" s="1" t="s">
        <v>480</v>
      </c>
      <c r="AF70" s="4">
        <v>0.19</v>
      </c>
      <c r="AG70" s="1" t="s">
        <v>3514</v>
      </c>
      <c r="AH70" s="3">
        <v>95</v>
      </c>
      <c r="AI70" s="1" t="s">
        <v>3469</v>
      </c>
      <c r="AJ70" s="3">
        <v>0.2</v>
      </c>
      <c r="AK70" s="1" t="s">
        <v>3233</v>
      </c>
      <c r="AL70" s="34">
        <v>0.2</v>
      </c>
      <c r="AM70" s="1233" t="s">
        <v>3113</v>
      </c>
      <c r="AN70" s="3">
        <v>2.83</v>
      </c>
      <c r="AO70" s="749" t="s">
        <v>3185</v>
      </c>
      <c r="AP70" s="3">
        <v>0.3</v>
      </c>
      <c r="AQ70" s="1" t="s">
        <v>3117</v>
      </c>
      <c r="AR70" s="34">
        <v>36</v>
      </c>
      <c r="AS70" s="1" t="s">
        <v>475</v>
      </c>
      <c r="AT70" s="34">
        <v>0.4</v>
      </c>
      <c r="AU70" s="1" t="s">
        <v>3090</v>
      </c>
      <c r="AV70" s="3">
        <v>13</v>
      </c>
      <c r="AW70" s="1233" t="s">
        <v>3276</v>
      </c>
      <c r="AX70" s="1242">
        <v>0.3</v>
      </c>
      <c r="AY70" s="1264" t="s">
        <v>3097</v>
      </c>
      <c r="AZ70" s="749" t="s">
        <v>3322</v>
      </c>
      <c r="BA70" s="4">
        <v>3.07</v>
      </c>
    </row>
    <row r="71" spans="1:53">
      <c r="A71">
        <v>5</v>
      </c>
      <c r="B71" t="s">
        <v>4092</v>
      </c>
      <c r="S71" s="749" t="s">
        <v>3173</v>
      </c>
      <c r="T71" s="4">
        <v>360</v>
      </c>
      <c r="U71" s="1" t="s">
        <v>3116</v>
      </c>
      <c r="V71" s="49">
        <v>88</v>
      </c>
      <c r="W71" s="749" t="s">
        <v>3322</v>
      </c>
      <c r="X71" s="4">
        <v>32.700000000000003</v>
      </c>
      <c r="Y71" s="749" t="s">
        <v>3183</v>
      </c>
      <c r="Z71" s="3">
        <v>208</v>
      </c>
      <c r="AA71" s="1" t="s">
        <v>3350</v>
      </c>
      <c r="AB71" s="4">
        <v>2.1</v>
      </c>
      <c r="AC71" s="1310" t="s">
        <v>3248</v>
      </c>
      <c r="AD71" s="4">
        <v>2.2000000000000002</v>
      </c>
      <c r="AE71" s="1" t="s">
        <v>3117</v>
      </c>
      <c r="AF71" s="4">
        <v>0.18</v>
      </c>
      <c r="AG71" s="325" t="s">
        <v>3110</v>
      </c>
      <c r="AH71" s="42">
        <v>82.7</v>
      </c>
      <c r="AI71" s="1233" t="s">
        <v>1861</v>
      </c>
      <c r="AJ71" s="4">
        <v>0.2</v>
      </c>
      <c r="AK71" s="1" t="s">
        <v>3471</v>
      </c>
      <c r="AL71" s="34">
        <v>0.2</v>
      </c>
      <c r="AM71" s="1233" t="s">
        <v>3365</v>
      </c>
      <c r="AN71" s="37">
        <v>2.81</v>
      </c>
      <c r="AO71" s="749" t="s">
        <v>3183</v>
      </c>
      <c r="AP71" s="37">
        <v>0.3</v>
      </c>
      <c r="AQ71" s="1233" t="s">
        <v>3100</v>
      </c>
      <c r="AR71" s="3">
        <v>36</v>
      </c>
      <c r="AS71" s="749" t="s">
        <v>3464</v>
      </c>
      <c r="AT71" s="4">
        <v>0.4</v>
      </c>
      <c r="AU71" s="1" t="s">
        <v>3350</v>
      </c>
      <c r="AV71" s="4">
        <v>13</v>
      </c>
      <c r="AW71" s="1233" t="s">
        <v>3256</v>
      </c>
      <c r="AX71" s="4">
        <v>0.3</v>
      </c>
      <c r="AY71" s="1232" t="s">
        <v>3138</v>
      </c>
      <c r="AZ71" s="1232" t="s">
        <v>3138</v>
      </c>
      <c r="BA71" s="54">
        <v>3.032347955075227</v>
      </c>
    </row>
    <row r="72" spans="1:53">
      <c r="S72" s="1" t="s">
        <v>3174</v>
      </c>
      <c r="T72" s="4">
        <v>360</v>
      </c>
      <c r="U72" s="749" t="s">
        <v>3229</v>
      </c>
      <c r="V72" s="4">
        <v>83</v>
      </c>
      <c r="W72" s="82" t="s">
        <v>3224</v>
      </c>
      <c r="X72" s="4">
        <v>32</v>
      </c>
      <c r="Y72" s="1" t="s">
        <v>3368</v>
      </c>
      <c r="Z72" s="49">
        <v>201</v>
      </c>
      <c r="AA72" s="1" t="s">
        <v>3351</v>
      </c>
      <c r="AB72" s="4">
        <v>2.1</v>
      </c>
      <c r="AC72" s="1" t="s">
        <v>3148</v>
      </c>
      <c r="AD72" s="3">
        <v>2.1903428971308609</v>
      </c>
      <c r="AE72" s="1" t="s">
        <v>3169</v>
      </c>
      <c r="AF72" s="34">
        <v>0.18</v>
      </c>
      <c r="AG72" s="1" t="s">
        <v>3111</v>
      </c>
      <c r="AH72" s="42">
        <v>82.7</v>
      </c>
      <c r="AI72" s="1" t="s">
        <v>3197</v>
      </c>
      <c r="AJ72" s="4">
        <v>0.2</v>
      </c>
      <c r="AK72" s="1" t="s">
        <v>1851</v>
      </c>
      <c r="AL72" s="34">
        <v>0.2</v>
      </c>
      <c r="AM72" s="1233" t="s">
        <v>3304</v>
      </c>
      <c r="AN72" s="1144">
        <v>2.8069999999999999</v>
      </c>
      <c r="AO72" s="749" t="s">
        <v>3162</v>
      </c>
      <c r="AP72" s="4">
        <v>0.29299999999999998</v>
      </c>
      <c r="AQ72" s="1" t="s">
        <v>3101</v>
      </c>
      <c r="AR72" s="3">
        <v>36</v>
      </c>
      <c r="AS72" s="749" t="s">
        <v>3183</v>
      </c>
      <c r="AT72" s="4">
        <v>0.4</v>
      </c>
      <c r="AU72" s="1" t="s">
        <v>3351</v>
      </c>
      <c r="AV72" s="4">
        <v>13</v>
      </c>
      <c r="AW72" s="1" t="s">
        <v>3257</v>
      </c>
      <c r="AX72" s="4">
        <v>0.3</v>
      </c>
      <c r="AY72" s="1" t="s">
        <v>415</v>
      </c>
      <c r="AZ72" s="1" t="s">
        <v>1764</v>
      </c>
      <c r="BA72" s="4">
        <v>3</v>
      </c>
    </row>
    <row r="73" spans="1:53">
      <c r="A73" s="1306" t="s">
        <v>3878</v>
      </c>
      <c r="B73" s="287" t="s">
        <v>4093</v>
      </c>
      <c r="D73" s="287" t="s">
        <v>1360</v>
      </c>
      <c r="F73" s="287" t="s">
        <v>4158</v>
      </c>
      <c r="S73" s="1" t="s">
        <v>27</v>
      </c>
      <c r="T73" s="42">
        <v>358</v>
      </c>
      <c r="U73" s="1" t="s">
        <v>3268</v>
      </c>
      <c r="V73" s="4">
        <v>81</v>
      </c>
      <c r="W73" s="1" t="s">
        <v>1837</v>
      </c>
      <c r="X73" s="4">
        <v>32</v>
      </c>
      <c r="Y73" s="749" t="s">
        <v>3306</v>
      </c>
      <c r="Z73" s="42">
        <v>200</v>
      </c>
      <c r="AA73" s="749" t="s">
        <v>3322</v>
      </c>
      <c r="AB73" s="4">
        <v>2.09</v>
      </c>
      <c r="AC73" s="749" t="s">
        <v>3163</v>
      </c>
      <c r="AD73" s="3">
        <v>2.1903428971308609</v>
      </c>
      <c r="AE73" s="1" t="s">
        <v>1831</v>
      </c>
      <c r="AF73" s="1148">
        <v>0.17599999999999999</v>
      </c>
      <c r="AG73" s="1232" t="s">
        <v>1963</v>
      </c>
      <c r="AH73" s="1348">
        <v>79</v>
      </c>
      <c r="AI73" s="1233" t="s">
        <v>3365</v>
      </c>
      <c r="AJ73" s="3">
        <v>0.2</v>
      </c>
      <c r="AK73" s="1" t="s">
        <v>3329</v>
      </c>
      <c r="AL73" s="3">
        <v>0.2</v>
      </c>
      <c r="AM73" s="325" t="s">
        <v>3155</v>
      </c>
      <c r="AN73" s="49">
        <v>2.8</v>
      </c>
      <c r="AO73" s="749" t="s">
        <v>3178</v>
      </c>
      <c r="AP73" s="34">
        <v>0.28199999999999997</v>
      </c>
      <c r="AQ73" s="1" t="s">
        <v>468</v>
      </c>
      <c r="AR73" s="4">
        <v>36</v>
      </c>
      <c r="AS73" s="749" t="s">
        <v>3183</v>
      </c>
      <c r="AT73" s="37">
        <v>0.4</v>
      </c>
      <c r="AU73" s="1" t="s">
        <v>3430</v>
      </c>
      <c r="AV73" s="31">
        <v>12.9</v>
      </c>
      <c r="AW73" s="1" t="s">
        <v>3234</v>
      </c>
      <c r="AX73" s="34">
        <v>0.29249999999999998</v>
      </c>
      <c r="AY73" s="1" t="s">
        <v>3118</v>
      </c>
      <c r="AZ73" s="1" t="s">
        <v>3087</v>
      </c>
      <c r="BA73" s="4">
        <v>3</v>
      </c>
    </row>
    <row r="74" spans="1:53">
      <c r="A74" s="768" t="s">
        <v>3879</v>
      </c>
      <c r="B74" s="287" t="s">
        <v>4094</v>
      </c>
      <c r="D74" s="287" t="s">
        <v>791</v>
      </c>
      <c r="F74" s="287" t="s">
        <v>4159</v>
      </c>
      <c r="S74" s="1233" t="s">
        <v>1861</v>
      </c>
      <c r="T74" s="4">
        <v>358</v>
      </c>
      <c r="U74" s="1" t="s">
        <v>3295</v>
      </c>
      <c r="V74" s="4">
        <v>79</v>
      </c>
      <c r="W74" s="1" t="s">
        <v>3428</v>
      </c>
      <c r="X74" s="34">
        <v>30.4</v>
      </c>
      <c r="Y74" s="325" t="s">
        <v>3298</v>
      </c>
      <c r="Z74" s="42">
        <v>200</v>
      </c>
      <c r="AA74" s="1" t="s">
        <v>3368</v>
      </c>
      <c r="AB74" s="49">
        <v>2.028</v>
      </c>
      <c r="AC74" s="749" t="s">
        <v>3149</v>
      </c>
      <c r="AD74" s="3">
        <v>2.1903428971308609</v>
      </c>
      <c r="AE74" s="1" t="s">
        <v>481</v>
      </c>
      <c r="AF74" s="60">
        <v>0.17199999999999999</v>
      </c>
      <c r="AG74" s="749" t="s">
        <v>3269</v>
      </c>
      <c r="AH74" s="33">
        <v>67</v>
      </c>
      <c r="AI74" s="1233" t="s">
        <v>3299</v>
      </c>
      <c r="AJ74" s="4">
        <v>0.2</v>
      </c>
      <c r="AK74" s="1" t="s">
        <v>3330</v>
      </c>
      <c r="AL74" s="3">
        <v>0.2</v>
      </c>
      <c r="AM74" s="749" t="s">
        <v>3209</v>
      </c>
      <c r="AN74" s="4">
        <v>2.75</v>
      </c>
      <c r="AO74" s="82" t="s">
        <v>3103</v>
      </c>
      <c r="AP74" s="4">
        <v>0.27800000000000002</v>
      </c>
      <c r="AQ74" s="1" t="s">
        <v>3368</v>
      </c>
      <c r="AR74" s="49">
        <v>36</v>
      </c>
      <c r="AS74" s="1233" t="s">
        <v>3276</v>
      </c>
      <c r="AT74" s="1242">
        <v>0.4</v>
      </c>
      <c r="AU74" s="1" t="s">
        <v>3428</v>
      </c>
      <c r="AV74" s="34">
        <v>12.9</v>
      </c>
      <c r="AW74" s="1" t="s">
        <v>3225</v>
      </c>
      <c r="AX74" s="4">
        <v>0.28100000000000003</v>
      </c>
      <c r="AY74" s="24" t="s">
        <v>3139</v>
      </c>
      <c r="AZ74" s="24" t="s">
        <v>3350</v>
      </c>
      <c r="BA74" s="4">
        <v>3</v>
      </c>
    </row>
    <row r="75" spans="1:53">
      <c r="A75" s="768" t="s">
        <v>3880</v>
      </c>
      <c r="B75" s="287" t="s">
        <v>4095</v>
      </c>
      <c r="D75" s="287" t="s">
        <v>792</v>
      </c>
      <c r="F75" s="287" t="s">
        <v>4160</v>
      </c>
      <c r="S75" s="24" t="s">
        <v>3197</v>
      </c>
      <c r="T75" s="4">
        <v>358</v>
      </c>
      <c r="U75" s="24" t="s">
        <v>3437</v>
      </c>
      <c r="V75" s="4">
        <v>72</v>
      </c>
      <c r="W75" s="24" t="s">
        <v>3430</v>
      </c>
      <c r="X75" s="31">
        <v>30.399999999999995</v>
      </c>
      <c r="Y75" s="24" t="s">
        <v>3151</v>
      </c>
      <c r="Z75" s="37">
        <v>198</v>
      </c>
      <c r="AA75" s="1244" t="s">
        <v>3137</v>
      </c>
      <c r="AB75" s="49">
        <v>2</v>
      </c>
      <c r="AC75" s="24" t="s">
        <v>3150</v>
      </c>
      <c r="AD75" s="3">
        <v>2.19</v>
      </c>
      <c r="AE75" s="1239" t="s">
        <v>3252</v>
      </c>
      <c r="AF75" s="1234">
        <v>0.17100000000000001</v>
      </c>
      <c r="AG75" s="1311" t="s">
        <v>3248</v>
      </c>
      <c r="AH75" s="4">
        <v>64</v>
      </c>
      <c r="AI75" s="1239" t="s">
        <v>414</v>
      </c>
      <c r="AJ75" s="49">
        <v>0.19999999999999998</v>
      </c>
      <c r="AK75" s="24" t="s">
        <v>134</v>
      </c>
      <c r="AL75" s="3">
        <v>0.2</v>
      </c>
      <c r="AM75" s="1336" t="s">
        <v>3513</v>
      </c>
      <c r="AN75" s="42">
        <v>2.7</v>
      </c>
      <c r="AO75" s="492" t="s">
        <v>3274</v>
      </c>
      <c r="AP75" s="4">
        <v>0.27</v>
      </c>
      <c r="AQ75" s="24" t="s">
        <v>1781</v>
      </c>
      <c r="AR75" s="4">
        <v>34</v>
      </c>
      <c r="AS75" s="1239" t="s">
        <v>3256</v>
      </c>
      <c r="AT75" s="4">
        <v>0.4</v>
      </c>
      <c r="AU75" s="24" t="s">
        <v>3107</v>
      </c>
      <c r="AV75" s="31">
        <v>12.9</v>
      </c>
      <c r="AW75" s="24" t="s">
        <v>3222</v>
      </c>
      <c r="AX75" s="4">
        <v>0.27400000000000002</v>
      </c>
      <c r="AY75" s="1" t="s">
        <v>1773</v>
      </c>
      <c r="AZ75" s="1" t="s">
        <v>3351</v>
      </c>
      <c r="BA75" s="4">
        <v>3</v>
      </c>
    </row>
    <row r="76" spans="1:53">
      <c r="A76" s="768" t="s">
        <v>3881</v>
      </c>
      <c r="B76" s="287" t="s">
        <v>4096</v>
      </c>
      <c r="D76" s="287" t="s">
        <v>793</v>
      </c>
      <c r="F76" s="287" t="s">
        <v>4161</v>
      </c>
      <c r="S76" s="749" t="s">
        <v>3464</v>
      </c>
      <c r="T76" s="4">
        <v>357</v>
      </c>
      <c r="U76" s="1232" t="s">
        <v>518</v>
      </c>
      <c r="V76" s="49">
        <v>70.100000000000009</v>
      </c>
      <c r="W76" s="1" t="s">
        <v>3107</v>
      </c>
      <c r="X76" s="31">
        <v>30.399999999999995</v>
      </c>
      <c r="Y76" s="325" t="s">
        <v>3161</v>
      </c>
      <c r="Z76" s="3">
        <v>196</v>
      </c>
      <c r="AA76" s="1233" t="s">
        <v>3208</v>
      </c>
      <c r="AB76" s="3">
        <v>2</v>
      </c>
      <c r="AC76" s="1" t="s">
        <v>1789</v>
      </c>
      <c r="AD76" s="4">
        <v>2.15</v>
      </c>
      <c r="AE76" s="1" t="s">
        <v>3497</v>
      </c>
      <c r="AF76" s="236">
        <v>0.17004089979550102</v>
      </c>
      <c r="AG76" s="1233" t="s">
        <v>3293</v>
      </c>
      <c r="AH76" s="49">
        <v>61.2</v>
      </c>
      <c r="AI76" s="53" t="s">
        <v>3210</v>
      </c>
      <c r="AJ76" s="3">
        <v>0.19930069930069932</v>
      </c>
      <c r="AK76" s="1310" t="s">
        <v>3248</v>
      </c>
      <c r="AL76" s="4">
        <v>0.2</v>
      </c>
      <c r="AM76" s="1233" t="s">
        <v>3157</v>
      </c>
      <c r="AN76" s="49">
        <v>2.6999999999999997</v>
      </c>
      <c r="AO76" s="1" t="s">
        <v>1809</v>
      </c>
      <c r="AP76" s="4">
        <v>0.26500000000000001</v>
      </c>
      <c r="AQ76" s="1" t="s">
        <v>1783</v>
      </c>
      <c r="AR76" s="4">
        <v>32</v>
      </c>
      <c r="AS76" s="1" t="s">
        <v>3257</v>
      </c>
      <c r="AT76" s="4">
        <v>0.4</v>
      </c>
      <c r="AU76" s="1" t="s">
        <v>3434</v>
      </c>
      <c r="AV76" s="31">
        <v>12.9</v>
      </c>
      <c r="AW76" s="749" t="s">
        <v>3231</v>
      </c>
      <c r="AX76" s="34">
        <v>0.27400000000000002</v>
      </c>
      <c r="AY76" s="1" t="s">
        <v>3315</v>
      </c>
      <c r="AZ76" s="1" t="s">
        <v>3102</v>
      </c>
      <c r="BA76" s="4">
        <v>2.9</v>
      </c>
    </row>
    <row r="77" spans="1:53">
      <c r="S77" s="749" t="s">
        <v>3183</v>
      </c>
      <c r="T77" s="4">
        <v>357</v>
      </c>
      <c r="U77" s="1" t="s">
        <v>3366</v>
      </c>
      <c r="V77" s="4">
        <f>AVERAGE(V75:V76)</f>
        <v>71.050000000000011</v>
      </c>
      <c r="W77" s="1" t="s">
        <v>3434</v>
      </c>
      <c r="X77" s="31">
        <v>30.399999999999995</v>
      </c>
      <c r="Y77" s="1232" t="s">
        <v>3215</v>
      </c>
      <c r="Z77" s="4">
        <v>186.0193526860194</v>
      </c>
      <c r="AA77" s="1" t="s">
        <v>1831</v>
      </c>
      <c r="AB77" s="4">
        <v>2</v>
      </c>
      <c r="AC77" s="1" t="s">
        <v>3169</v>
      </c>
      <c r="AD77" s="34">
        <v>2.14</v>
      </c>
      <c r="AE77" s="82" t="s">
        <v>3103</v>
      </c>
      <c r="AF77" s="4">
        <v>0.17</v>
      </c>
      <c r="AG77" s="749" t="s">
        <v>3267</v>
      </c>
      <c r="AH77" s="4">
        <v>59</v>
      </c>
      <c r="AI77" s="1" t="s">
        <v>3430</v>
      </c>
      <c r="AJ77" s="31">
        <v>0.19</v>
      </c>
      <c r="AK77" s="749" t="s">
        <v>3164</v>
      </c>
      <c r="AL77" s="31">
        <v>0.19800000000000001</v>
      </c>
      <c r="AM77" s="1" t="s">
        <v>3200</v>
      </c>
      <c r="AN77" s="3">
        <v>2.6934999999999998</v>
      </c>
      <c r="AO77" s="1" t="s">
        <v>3169</v>
      </c>
      <c r="AP77" s="34">
        <v>0.26</v>
      </c>
      <c r="AQ77" s="1" t="s">
        <v>3332</v>
      </c>
      <c r="AR77" s="3">
        <v>32</v>
      </c>
      <c r="AS77" s="325" t="s">
        <v>3216</v>
      </c>
      <c r="AT77" s="31">
        <v>0.39999999999999997</v>
      </c>
      <c r="AU77" s="1310" t="s">
        <v>3328</v>
      </c>
      <c r="AV77" s="4">
        <v>12</v>
      </c>
      <c r="AW77" s="1" t="s">
        <v>3471</v>
      </c>
      <c r="AX77" s="34">
        <v>0.27</v>
      </c>
      <c r="AY77" s="1" t="s">
        <v>27</v>
      </c>
      <c r="AZ77" s="1233" t="s">
        <v>3089</v>
      </c>
      <c r="BA77" s="34">
        <v>2.9</v>
      </c>
    </row>
    <row r="78" spans="1:53">
      <c r="A78" t="s">
        <v>1361</v>
      </c>
      <c r="B78" s="273" t="s">
        <v>1370</v>
      </c>
      <c r="C78" s="287" t="s">
        <v>4093</v>
      </c>
      <c r="F78" s="287" t="s">
        <v>1365</v>
      </c>
      <c r="S78" s="1" t="s">
        <v>1789</v>
      </c>
      <c r="T78" s="4">
        <v>350</v>
      </c>
      <c r="U78" s="1" t="s">
        <v>3426</v>
      </c>
      <c r="V78" s="34">
        <v>65</v>
      </c>
      <c r="W78" s="1233" t="s">
        <v>3444</v>
      </c>
      <c r="X78" s="31">
        <v>30.1</v>
      </c>
      <c r="Y78" s="749" t="s">
        <v>3178</v>
      </c>
      <c r="Z78" s="34">
        <v>185</v>
      </c>
      <c r="AA78" s="749" t="s">
        <v>3178</v>
      </c>
      <c r="AB78" s="34">
        <v>1.91</v>
      </c>
      <c r="AC78" s="1" t="s">
        <v>3317</v>
      </c>
      <c r="AD78" s="4">
        <v>2</v>
      </c>
      <c r="AE78" s="1233" t="s">
        <v>3123</v>
      </c>
      <c r="AF78" s="32">
        <v>0.17</v>
      </c>
      <c r="AG78" s="749" t="s">
        <v>3207</v>
      </c>
      <c r="AH78" s="42">
        <v>54</v>
      </c>
      <c r="AI78" s="1" t="s">
        <v>3428</v>
      </c>
      <c r="AJ78" s="34">
        <v>0.19</v>
      </c>
      <c r="AK78" s="749" t="s">
        <v>3173</v>
      </c>
      <c r="AL78" s="4">
        <v>0.19</v>
      </c>
      <c r="AM78" s="1" t="s">
        <v>1764</v>
      </c>
      <c r="AN78" s="4">
        <v>2.4300000000000002</v>
      </c>
      <c r="AO78" s="325" t="s">
        <v>3131</v>
      </c>
      <c r="AP78" s="34">
        <v>0.25</v>
      </c>
      <c r="AQ78" s="1" t="s">
        <v>3366</v>
      </c>
      <c r="AR78" s="4">
        <f>AVERAGE(AR76:AR77)</f>
        <v>32</v>
      </c>
      <c r="AS78" s="1" t="s">
        <v>3150</v>
      </c>
      <c r="AT78" s="3">
        <v>0.38</v>
      </c>
      <c r="AU78" s="1232" t="s">
        <v>3138</v>
      </c>
      <c r="AV78" s="54">
        <v>11.563636363636363</v>
      </c>
      <c r="AW78" s="1" t="s">
        <v>1851</v>
      </c>
      <c r="AX78" s="34">
        <v>0.27</v>
      </c>
      <c r="AY78" s="1" t="s">
        <v>1776</v>
      </c>
      <c r="AZ78" s="53" t="s">
        <v>3139</v>
      </c>
      <c r="BA78" s="4">
        <v>2.9</v>
      </c>
    </row>
    <row r="79" spans="1:53">
      <c r="A79" t="s">
        <v>1362</v>
      </c>
      <c r="B79" s="273" t="s">
        <v>1371</v>
      </c>
      <c r="C79" s="287" t="s">
        <v>4094</v>
      </c>
      <c r="F79" s="287" t="s">
        <v>1366</v>
      </c>
      <c r="S79" s="749" t="s">
        <v>3177</v>
      </c>
      <c r="T79" s="4">
        <v>350</v>
      </c>
      <c r="U79" s="1" t="s">
        <v>3327</v>
      </c>
      <c r="V79" s="42">
        <v>64</v>
      </c>
      <c r="W79" s="1" t="s">
        <v>3227</v>
      </c>
      <c r="X79" s="4">
        <v>30</v>
      </c>
      <c r="Y79" s="1" t="s">
        <v>3329</v>
      </c>
      <c r="Z79" s="3">
        <v>183</v>
      </c>
      <c r="AA79" s="749" t="s">
        <v>3263</v>
      </c>
      <c r="AB79" s="31">
        <v>1.9</v>
      </c>
      <c r="AC79" s="749" t="s">
        <v>3173</v>
      </c>
      <c r="AD79" s="4">
        <v>2</v>
      </c>
      <c r="AE79" s="749" t="s">
        <v>3182</v>
      </c>
      <c r="AF79" s="4">
        <v>0.16800000000000001</v>
      </c>
      <c r="AG79" s="325" t="s">
        <v>3280</v>
      </c>
      <c r="AH79" s="1144">
        <v>49.9</v>
      </c>
      <c r="AI79" s="1" t="s">
        <v>3107</v>
      </c>
      <c r="AJ79" s="31">
        <v>0.19</v>
      </c>
      <c r="AK79" s="1" t="s">
        <v>3174</v>
      </c>
      <c r="AL79" s="4">
        <v>0.19</v>
      </c>
      <c r="AM79" s="1" t="s">
        <v>3087</v>
      </c>
      <c r="AN79" s="4">
        <v>2.4300000000000002</v>
      </c>
      <c r="AO79" s="1" t="s">
        <v>3133</v>
      </c>
      <c r="AP79" s="4">
        <v>0.25</v>
      </c>
      <c r="AQ79" s="1" t="s">
        <v>3091</v>
      </c>
      <c r="AR79" s="3">
        <v>31</v>
      </c>
      <c r="AS79" s="1" t="s">
        <v>3148</v>
      </c>
      <c r="AT79" s="3">
        <v>0.3799860041987404</v>
      </c>
      <c r="AU79" s="1" t="s">
        <v>1823</v>
      </c>
      <c r="AV79" s="4">
        <v>10.5</v>
      </c>
      <c r="AW79" s="1" t="s">
        <v>3217</v>
      </c>
      <c r="AX79" s="1341">
        <v>0.254</v>
      </c>
      <c r="AY79" s="1" t="s">
        <v>1777</v>
      </c>
      <c r="AZ79" s="1233" t="s">
        <v>3256</v>
      </c>
      <c r="BA79" s="79">
        <v>2.9</v>
      </c>
    </row>
    <row r="80" spans="1:53">
      <c r="A80" t="s">
        <v>1363</v>
      </c>
      <c r="B80" s="273" t="s">
        <v>1372</v>
      </c>
      <c r="C80" s="287" t="s">
        <v>4095</v>
      </c>
      <c r="F80" s="287" t="s">
        <v>1367</v>
      </c>
      <c r="S80" s="1" t="s">
        <v>3428</v>
      </c>
      <c r="T80" s="34">
        <v>344</v>
      </c>
      <c r="U80" s="749" t="s">
        <v>3322</v>
      </c>
      <c r="V80" s="4">
        <v>63.8</v>
      </c>
      <c r="W80" s="1" t="s">
        <v>3228</v>
      </c>
      <c r="X80" s="4">
        <v>30</v>
      </c>
      <c r="Y80" s="1" t="s">
        <v>3330</v>
      </c>
      <c r="Z80" s="3">
        <v>183</v>
      </c>
      <c r="AA80" s="1233" t="s">
        <v>3256</v>
      </c>
      <c r="AB80" s="3">
        <v>1.9</v>
      </c>
      <c r="AC80" s="1" t="s">
        <v>3174</v>
      </c>
      <c r="AD80" s="4">
        <v>2</v>
      </c>
      <c r="AE80" s="749" t="s">
        <v>3181</v>
      </c>
      <c r="AF80" s="34">
        <v>0.16</v>
      </c>
      <c r="AG80" s="53" t="s">
        <v>3324</v>
      </c>
      <c r="AH80" s="42">
        <v>47</v>
      </c>
      <c r="AI80" s="1" t="s">
        <v>3434</v>
      </c>
      <c r="AJ80" s="31">
        <v>0.19</v>
      </c>
      <c r="AK80" s="749" t="s">
        <v>3160</v>
      </c>
      <c r="AL80" s="3">
        <v>0.19</v>
      </c>
      <c r="AM80" s="1310" t="s">
        <v>3328</v>
      </c>
      <c r="AN80" s="4">
        <v>2.4</v>
      </c>
      <c r="AO80" s="1" t="s">
        <v>421</v>
      </c>
      <c r="AP80" s="4">
        <v>0.24</v>
      </c>
      <c r="AQ80" s="1" t="s">
        <v>3092</v>
      </c>
      <c r="AR80" s="3">
        <v>31</v>
      </c>
      <c r="AS80" s="749" t="s">
        <v>3163</v>
      </c>
      <c r="AT80" s="3">
        <v>0.3799860041987404</v>
      </c>
      <c r="AU80" s="1233" t="s">
        <v>3429</v>
      </c>
      <c r="AV80" s="31">
        <v>10.4</v>
      </c>
      <c r="AW80" s="1" t="s">
        <v>1809</v>
      </c>
      <c r="AX80" s="4">
        <v>0.24</v>
      </c>
      <c r="AY80" s="1" t="s">
        <v>1801</v>
      </c>
      <c r="AZ80" s="1" t="s">
        <v>3257</v>
      </c>
      <c r="BA80" s="79">
        <v>2.9</v>
      </c>
    </row>
    <row r="81" spans="1:53">
      <c r="A81" t="s">
        <v>1364</v>
      </c>
      <c r="B81" s="273" t="s">
        <v>1373</v>
      </c>
      <c r="C81" s="287" t="s">
        <v>4096</v>
      </c>
      <c r="F81" s="287" t="s">
        <v>1368</v>
      </c>
      <c r="S81" s="1" t="s">
        <v>3430</v>
      </c>
      <c r="T81" s="31">
        <v>343.6</v>
      </c>
      <c r="U81" s="1" t="s">
        <v>3318</v>
      </c>
      <c r="V81" s="4">
        <v>61</v>
      </c>
      <c r="W81" s="1" t="s">
        <v>3153</v>
      </c>
      <c r="X81" s="42">
        <v>30</v>
      </c>
      <c r="Y81" s="1" t="s">
        <v>134</v>
      </c>
      <c r="Z81" s="3">
        <v>183</v>
      </c>
      <c r="AA81" s="1" t="s">
        <v>3257</v>
      </c>
      <c r="AB81" s="3">
        <v>1.9</v>
      </c>
      <c r="AC81" s="749" t="s">
        <v>3506</v>
      </c>
      <c r="AD81" s="3">
        <v>1.9194395796847636</v>
      </c>
      <c r="AE81" s="1" t="s">
        <v>3219</v>
      </c>
      <c r="AF81" s="234">
        <v>0.15115465360391883</v>
      </c>
      <c r="AG81" s="1" t="s">
        <v>3098</v>
      </c>
      <c r="AH81" s="4">
        <v>44.4</v>
      </c>
      <c r="AI81" s="1" t="s">
        <v>3151</v>
      </c>
      <c r="AJ81" s="34">
        <v>0.19</v>
      </c>
      <c r="AK81" s="1" t="s">
        <v>3146</v>
      </c>
      <c r="AL81" s="3">
        <v>0.19</v>
      </c>
      <c r="AM81" s="1" t="s">
        <v>3112</v>
      </c>
      <c r="AN81" s="49">
        <v>2.3699999999999997</v>
      </c>
      <c r="AO81" s="749" t="s">
        <v>3405</v>
      </c>
      <c r="AP81" s="4">
        <v>0.23599999999999999</v>
      </c>
      <c r="AQ81" s="749" t="s">
        <v>3267</v>
      </c>
      <c r="AR81" s="4">
        <v>31</v>
      </c>
      <c r="AS81" s="749" t="s">
        <v>3149</v>
      </c>
      <c r="AT81" s="3">
        <v>0.3799860041987404</v>
      </c>
      <c r="AU81" s="1233" t="s">
        <v>3308</v>
      </c>
      <c r="AV81" s="3">
        <v>10</v>
      </c>
      <c r="AW81" s="1" t="s">
        <v>3147</v>
      </c>
      <c r="AX81" s="236">
        <v>0.215</v>
      </c>
      <c r="AY81" s="1" t="s">
        <v>1778</v>
      </c>
      <c r="AZ81" s="1" t="s">
        <v>1781</v>
      </c>
      <c r="BA81" s="4">
        <v>2.7</v>
      </c>
    </row>
    <row r="82" spans="1:53">
      <c r="S82" s="1" t="s">
        <v>3107</v>
      </c>
      <c r="T82" s="31">
        <v>343.6</v>
      </c>
      <c r="U82" s="1" t="s">
        <v>415</v>
      </c>
      <c r="V82" s="3">
        <v>56</v>
      </c>
      <c r="W82" s="1" t="s">
        <v>3154</v>
      </c>
      <c r="X82" s="42">
        <v>30</v>
      </c>
      <c r="Y82" s="1" t="s">
        <v>3175</v>
      </c>
      <c r="Z82" s="34">
        <v>181</v>
      </c>
      <c r="AA82" s="749" t="s">
        <v>3164</v>
      </c>
      <c r="AB82" s="31">
        <v>1.8</v>
      </c>
      <c r="AC82" s="1" t="s">
        <v>91</v>
      </c>
      <c r="AD82" s="4">
        <v>1.85</v>
      </c>
      <c r="AE82" s="1233" t="s">
        <v>3293</v>
      </c>
      <c r="AF82" s="233">
        <v>0.15</v>
      </c>
      <c r="AG82" s="1" t="s">
        <v>3314</v>
      </c>
      <c r="AH82" s="4">
        <v>42.8</v>
      </c>
      <c r="AI82" s="1233" t="s">
        <v>3444</v>
      </c>
      <c r="AJ82" s="49">
        <v>0.19</v>
      </c>
      <c r="AK82" s="749" t="s">
        <v>3180</v>
      </c>
      <c r="AL82" s="4">
        <v>0.19</v>
      </c>
      <c r="AM82" s="749" t="s">
        <v>3272</v>
      </c>
      <c r="AN82" s="3">
        <v>2.35</v>
      </c>
      <c r="AO82" s="1" t="s">
        <v>1766</v>
      </c>
      <c r="AP82" s="34">
        <v>0.23300000000000001</v>
      </c>
      <c r="AQ82" s="1233" t="s">
        <v>3252</v>
      </c>
      <c r="AR82" s="3">
        <v>31</v>
      </c>
      <c r="AS82" s="1232" t="s">
        <v>3215</v>
      </c>
      <c r="AT82" s="4">
        <v>0.33366700033366709</v>
      </c>
      <c r="AU82" s="1" t="s">
        <v>3309</v>
      </c>
      <c r="AV82" s="3">
        <v>10</v>
      </c>
      <c r="AW82" s="82" t="s">
        <v>20</v>
      </c>
      <c r="AX82" s="34">
        <v>0.2</v>
      </c>
      <c r="AY82" s="1" t="s">
        <v>460</v>
      </c>
      <c r="AZ82" s="1" t="s">
        <v>3261</v>
      </c>
      <c r="BA82" s="49">
        <v>2.7</v>
      </c>
    </row>
    <row r="83" spans="1:53">
      <c r="B83" s="749" t="s">
        <v>2080</v>
      </c>
      <c r="S83" s="1" t="s">
        <v>3434</v>
      </c>
      <c r="T83" s="31">
        <v>343.6</v>
      </c>
      <c r="U83" s="1" t="s">
        <v>3118</v>
      </c>
      <c r="V83" s="3">
        <v>56</v>
      </c>
      <c r="W83" s="1" t="s">
        <v>3156</v>
      </c>
      <c r="X83" s="42">
        <v>30</v>
      </c>
      <c r="Y83" s="749" t="s">
        <v>3162</v>
      </c>
      <c r="Z83" s="4">
        <v>181</v>
      </c>
      <c r="AA83" s="1" t="s">
        <v>3366</v>
      </c>
      <c r="AB83" s="4">
        <f>AVERAGE(AB81:AB82)</f>
        <v>1.85</v>
      </c>
      <c r="AC83" s="1" t="s">
        <v>3176</v>
      </c>
      <c r="AD83" s="4">
        <v>1.8140000000000001</v>
      </c>
      <c r="AE83" s="1233" t="s">
        <v>3113</v>
      </c>
      <c r="AF83" s="3">
        <v>0.13999999999999999</v>
      </c>
      <c r="AG83" s="749" t="s">
        <v>3185</v>
      </c>
      <c r="AH83" s="4">
        <v>37</v>
      </c>
      <c r="AI83" s="1" t="s">
        <v>3366</v>
      </c>
      <c r="AJ83" s="4">
        <f>AVERAGE(AJ81:AJ82)</f>
        <v>0.19</v>
      </c>
      <c r="AK83" s="1" t="s">
        <v>3200</v>
      </c>
      <c r="AL83" s="3">
        <v>0.1895</v>
      </c>
      <c r="AM83" s="1" t="s">
        <v>3430</v>
      </c>
      <c r="AN83" s="31">
        <v>2.2999999999999998</v>
      </c>
      <c r="AO83" s="1" t="s">
        <v>3094</v>
      </c>
      <c r="AP83" s="34">
        <v>0.23300000000000001</v>
      </c>
      <c r="AQ83" s="1" t="s">
        <v>3423</v>
      </c>
      <c r="AR83" s="3">
        <v>31</v>
      </c>
      <c r="AS83" s="1" t="s">
        <v>3452</v>
      </c>
      <c r="AT83" s="4">
        <v>0.3</v>
      </c>
      <c r="AU83" s="1" t="s">
        <v>3310</v>
      </c>
      <c r="AV83" s="3">
        <v>10</v>
      </c>
      <c r="AW83" s="1" t="s">
        <v>20</v>
      </c>
      <c r="AX83" s="34">
        <v>0.2</v>
      </c>
      <c r="AY83" s="1233" t="s">
        <v>3308</v>
      </c>
      <c r="AZ83" s="1" t="s">
        <v>3499</v>
      </c>
      <c r="BA83" s="49">
        <v>2.7</v>
      </c>
    </row>
    <row r="84" spans="1:53">
      <c r="B84" s="466" t="s">
        <v>2080</v>
      </c>
      <c r="I84" t="s">
        <v>4097</v>
      </c>
      <c r="K84" s="749" t="s">
        <v>4097</v>
      </c>
      <c r="S84" s="82" t="s">
        <v>3103</v>
      </c>
      <c r="T84" s="4">
        <v>340</v>
      </c>
      <c r="U84" s="749" t="s">
        <v>3274</v>
      </c>
      <c r="V84" s="4">
        <v>56</v>
      </c>
      <c r="W84" s="1" t="s">
        <v>3497</v>
      </c>
      <c r="X84" s="42">
        <v>30</v>
      </c>
      <c r="Y84" s="1" t="s">
        <v>91</v>
      </c>
      <c r="Z84" s="34">
        <v>180</v>
      </c>
      <c r="AA84" s="1233" t="s">
        <v>414</v>
      </c>
      <c r="AB84" s="49">
        <v>1.7</v>
      </c>
      <c r="AC84" s="1233" t="s">
        <v>3252</v>
      </c>
      <c r="AD84" s="3">
        <v>1.7</v>
      </c>
      <c r="AE84" s="53" t="s">
        <v>3139</v>
      </c>
      <c r="AF84" s="4">
        <v>0.13100000000000001</v>
      </c>
      <c r="AG84" s="1" t="s">
        <v>3270</v>
      </c>
      <c r="AH84" s="238">
        <v>34</v>
      </c>
      <c r="AI84" s="1" t="s">
        <v>3270</v>
      </c>
      <c r="AJ84" s="31">
        <v>0.18000000000000002</v>
      </c>
      <c r="AK84" s="749" t="s">
        <v>3162</v>
      </c>
      <c r="AL84" s="4">
        <v>0.17699999999999999</v>
      </c>
      <c r="AM84" s="1" t="s">
        <v>3428</v>
      </c>
      <c r="AN84" s="34">
        <v>2.2999999999999998</v>
      </c>
      <c r="AO84" s="1" t="s">
        <v>3471</v>
      </c>
      <c r="AP84" s="34">
        <v>0.22</v>
      </c>
      <c r="AQ84" s="1" t="s">
        <v>3119</v>
      </c>
      <c r="AR84" s="4">
        <v>30</v>
      </c>
      <c r="AS84" s="325" t="s">
        <v>3451</v>
      </c>
      <c r="AT84" s="4">
        <v>0.3</v>
      </c>
      <c r="AU84" s="1" t="s">
        <v>3311</v>
      </c>
      <c r="AV84" s="3">
        <v>10</v>
      </c>
      <c r="AW84" s="1232" t="s">
        <v>1963</v>
      </c>
      <c r="AX84" s="1234">
        <v>0.2</v>
      </c>
      <c r="AY84" s="1" t="s">
        <v>3309</v>
      </c>
      <c r="AZ84" s="1" t="s">
        <v>3313</v>
      </c>
      <c r="BA84" s="29">
        <v>2.6040000000000001</v>
      </c>
    </row>
    <row r="85" spans="1:53">
      <c r="B85" s="399"/>
      <c r="I85" t="s">
        <v>2160</v>
      </c>
      <c r="K85" s="498" t="s">
        <v>2160</v>
      </c>
      <c r="S85" s="749" t="s">
        <v>3181</v>
      </c>
      <c r="T85" s="34">
        <v>340</v>
      </c>
      <c r="U85" s="749" t="s">
        <v>3405</v>
      </c>
      <c r="V85" s="4">
        <v>55</v>
      </c>
      <c r="W85" s="1233" t="s">
        <v>3293</v>
      </c>
      <c r="X85" s="49">
        <v>30</v>
      </c>
      <c r="Y85" s="1" t="s">
        <v>3153</v>
      </c>
      <c r="Z85" s="42">
        <v>178</v>
      </c>
      <c r="AA85" s="1" t="s">
        <v>3316</v>
      </c>
      <c r="AB85" s="4">
        <v>1.7</v>
      </c>
      <c r="AC85" s="1233" t="s">
        <v>3276</v>
      </c>
      <c r="AD85" s="1240">
        <v>1.6</v>
      </c>
      <c r="AE85" s="1" t="s">
        <v>422</v>
      </c>
      <c r="AF85" s="4">
        <v>0.13</v>
      </c>
      <c r="AG85" s="1" t="s">
        <v>1785</v>
      </c>
      <c r="AH85" s="4">
        <v>33</v>
      </c>
      <c r="AI85" s="1" t="s">
        <v>3368</v>
      </c>
      <c r="AJ85" s="49">
        <v>0.18</v>
      </c>
      <c r="AK85" s="1" t="s">
        <v>3147</v>
      </c>
      <c r="AL85" s="49">
        <v>0.17400000000000002</v>
      </c>
      <c r="AM85" s="1" t="s">
        <v>3107</v>
      </c>
      <c r="AN85" s="31">
        <v>2.2999999999999998</v>
      </c>
      <c r="AO85" s="1" t="s">
        <v>1851</v>
      </c>
      <c r="AP85" s="34">
        <v>0.22</v>
      </c>
      <c r="AQ85" s="325" t="s">
        <v>3120</v>
      </c>
      <c r="AR85" s="4">
        <v>30</v>
      </c>
      <c r="AS85" s="1" t="s">
        <v>3212</v>
      </c>
      <c r="AT85" s="4">
        <v>0.3</v>
      </c>
      <c r="AU85" s="1" t="s">
        <v>3312</v>
      </c>
      <c r="AV85" s="3">
        <v>10</v>
      </c>
      <c r="AW85" s="1" t="s">
        <v>3223</v>
      </c>
      <c r="AX85" s="4">
        <v>0.19</v>
      </c>
      <c r="AY85" s="1" t="s">
        <v>3310</v>
      </c>
      <c r="AZ85" s="1" t="s">
        <v>3119</v>
      </c>
      <c r="BA85" s="4">
        <v>2.6</v>
      </c>
    </row>
    <row r="86" spans="1:53">
      <c r="C86" s="498" t="s">
        <v>2173</v>
      </c>
      <c r="D86" s="498" t="s">
        <v>2163</v>
      </c>
      <c r="E86" s="406" t="s">
        <v>2160</v>
      </c>
      <c r="F86" s="498" t="s">
        <v>2165</v>
      </c>
      <c r="G86" s="406" t="s">
        <v>2160</v>
      </c>
      <c r="H86" s="498" t="s">
        <v>2166</v>
      </c>
      <c r="I86" s="406" t="s">
        <v>2175</v>
      </c>
      <c r="J86" s="406" t="s">
        <v>2167</v>
      </c>
      <c r="K86" s="406" t="s">
        <v>2175</v>
      </c>
      <c r="L86" s="406" t="s">
        <v>2168</v>
      </c>
      <c r="M86" s="406" t="s">
        <v>2174</v>
      </c>
      <c r="N86" s="498" t="s">
        <v>2172</v>
      </c>
      <c r="O86" s="498"/>
      <c r="S86" s="749" t="s">
        <v>3183</v>
      </c>
      <c r="T86" s="3">
        <v>338</v>
      </c>
      <c r="U86" s="82" t="s">
        <v>3251</v>
      </c>
      <c r="V86" s="4">
        <v>54</v>
      </c>
      <c r="W86" s="1" t="s">
        <v>3271</v>
      </c>
      <c r="X86" s="3">
        <v>29.000000000000007</v>
      </c>
      <c r="Y86" s="1" t="s">
        <v>3154</v>
      </c>
      <c r="Z86" s="42">
        <v>178</v>
      </c>
      <c r="AA86" s="749" t="s">
        <v>3182</v>
      </c>
      <c r="AB86" s="4">
        <v>1.7</v>
      </c>
      <c r="AC86" s="1233" t="s">
        <v>3256</v>
      </c>
      <c r="AD86" s="3">
        <v>1.6</v>
      </c>
      <c r="AE86" s="749" t="s">
        <v>3209</v>
      </c>
      <c r="AF86" s="4">
        <v>0.13</v>
      </c>
      <c r="AG86" s="1310" t="s">
        <v>3096</v>
      </c>
      <c r="AH86" s="4">
        <v>32</v>
      </c>
      <c r="AI86" s="1233" t="s">
        <v>3256</v>
      </c>
      <c r="AJ86" s="3">
        <v>0.17</v>
      </c>
      <c r="AK86" s="749" t="s">
        <v>3159</v>
      </c>
      <c r="AL86" s="3">
        <v>0.17399999999999999</v>
      </c>
      <c r="AM86" s="1" t="s">
        <v>3434</v>
      </c>
      <c r="AN86" s="31">
        <v>2.2999999999999998</v>
      </c>
      <c r="AO86" s="749" t="s">
        <v>3506</v>
      </c>
      <c r="AP86" s="3">
        <v>0.21541155866900175</v>
      </c>
      <c r="AQ86" s="1" t="s">
        <v>480</v>
      </c>
      <c r="AR86" s="4">
        <v>30</v>
      </c>
      <c r="AS86" s="1" t="s">
        <v>3457</v>
      </c>
      <c r="AT86" s="4">
        <v>0.3</v>
      </c>
      <c r="AU86" s="1" t="s">
        <v>3169</v>
      </c>
      <c r="AV86" s="34">
        <v>10</v>
      </c>
      <c r="AW86" s="1" t="s">
        <v>3226</v>
      </c>
      <c r="AX86" s="34">
        <v>0.19</v>
      </c>
      <c r="AY86" s="1" t="s">
        <v>3311</v>
      </c>
      <c r="AZ86" s="325" t="s">
        <v>3120</v>
      </c>
      <c r="BA86" s="4">
        <v>2.6</v>
      </c>
    </row>
    <row r="87" spans="1:53">
      <c r="C87" s="498"/>
      <c r="D87" s="498" t="s">
        <v>2161</v>
      </c>
      <c r="E87" s="406" t="s">
        <v>2170</v>
      </c>
      <c r="F87" s="498" t="s">
        <v>2164</v>
      </c>
      <c r="G87" s="406" t="s">
        <v>2170</v>
      </c>
      <c r="H87" s="498"/>
      <c r="I87" s="406" t="s">
        <v>2170</v>
      </c>
      <c r="J87" s="406"/>
      <c r="K87" s="406" t="s">
        <v>2169</v>
      </c>
      <c r="L87" s="406"/>
      <c r="M87" s="406" t="s">
        <v>2171</v>
      </c>
      <c r="N87" s="498"/>
      <c r="O87" s="498"/>
      <c r="S87" s="1" t="s">
        <v>3148</v>
      </c>
      <c r="T87" s="3">
        <v>335</v>
      </c>
      <c r="U87" s="1233" t="s">
        <v>3252</v>
      </c>
      <c r="V87" s="3">
        <v>53</v>
      </c>
      <c r="W87" s="1" t="s">
        <v>441</v>
      </c>
      <c r="X87" s="3">
        <v>29</v>
      </c>
      <c r="Y87" s="1" t="s">
        <v>3156</v>
      </c>
      <c r="Z87" s="42">
        <v>178</v>
      </c>
      <c r="AA87" s="1" t="s">
        <v>3268</v>
      </c>
      <c r="AB87" s="4">
        <v>1.7</v>
      </c>
      <c r="AC87" s="1" t="s">
        <v>3257</v>
      </c>
      <c r="AD87" s="3">
        <v>1.6</v>
      </c>
      <c r="AE87" s="1" t="s">
        <v>3091</v>
      </c>
      <c r="AF87" s="234">
        <v>0.12998061598104674</v>
      </c>
      <c r="AG87" s="1264" t="s">
        <v>3097</v>
      </c>
      <c r="AH87" s="4">
        <v>32</v>
      </c>
      <c r="AI87" s="1" t="s">
        <v>3257</v>
      </c>
      <c r="AJ87" s="3">
        <v>0.17</v>
      </c>
      <c r="AK87" s="1" t="s">
        <v>3220</v>
      </c>
      <c r="AL87" s="31">
        <v>0.17319999999999999</v>
      </c>
      <c r="AM87" s="749" t="s">
        <v>3267</v>
      </c>
      <c r="AN87" s="4">
        <v>2.2999999999999998</v>
      </c>
      <c r="AO87" s="1310" t="s">
        <v>3328</v>
      </c>
      <c r="AP87" s="4">
        <v>0.21</v>
      </c>
      <c r="AQ87" s="1310" t="s">
        <v>3328</v>
      </c>
      <c r="AR87" s="4">
        <v>30</v>
      </c>
      <c r="AS87" s="1232" t="s">
        <v>3454</v>
      </c>
      <c r="AT87" s="31">
        <v>0.3</v>
      </c>
      <c r="AU87" s="1" t="s">
        <v>3166</v>
      </c>
      <c r="AV87" s="4">
        <v>9.5</v>
      </c>
      <c r="AW87" s="1" t="s">
        <v>3232</v>
      </c>
      <c r="AX87" s="34">
        <v>0.19</v>
      </c>
      <c r="AY87" s="1" t="s">
        <v>3439</v>
      </c>
      <c r="AZ87" s="1" t="s">
        <v>3437</v>
      </c>
      <c r="BA87" s="4">
        <v>2.6</v>
      </c>
    </row>
    <row r="88" spans="1:53" s="498" customFormat="1">
      <c r="C88" s="498" t="s">
        <v>2102</v>
      </c>
      <c r="D88" s="498" t="s">
        <v>2103</v>
      </c>
      <c r="E88" s="498" t="s">
        <v>2100</v>
      </c>
      <c r="F88" s="498" t="s">
        <v>2097</v>
      </c>
      <c r="G88" s="498" t="s">
        <v>2100</v>
      </c>
      <c r="H88" s="498" t="s">
        <v>2098</v>
      </c>
      <c r="I88" s="498" t="s">
        <v>2100</v>
      </c>
      <c r="J88" s="498" t="s">
        <v>2101</v>
      </c>
      <c r="K88" s="498" t="s">
        <v>4103</v>
      </c>
      <c r="L88" s="498" t="s">
        <v>4101</v>
      </c>
      <c r="M88" s="498" t="s">
        <v>2099</v>
      </c>
      <c r="N88" s="498" t="s">
        <v>4100</v>
      </c>
      <c r="S88" s="749" t="s">
        <v>3163</v>
      </c>
      <c r="T88" s="3">
        <v>335</v>
      </c>
      <c r="U88" s="1233" t="s">
        <v>3121</v>
      </c>
      <c r="V88" s="31">
        <v>52.5</v>
      </c>
      <c r="W88" s="749" t="s">
        <v>3291</v>
      </c>
      <c r="X88" s="4">
        <v>29</v>
      </c>
      <c r="Y88" s="1" t="s">
        <v>3169</v>
      </c>
      <c r="Z88" s="34">
        <v>175</v>
      </c>
      <c r="AA88" s="749" t="s">
        <v>3177</v>
      </c>
      <c r="AB88" s="4">
        <v>1.6</v>
      </c>
      <c r="AC88" s="749" t="s">
        <v>3405</v>
      </c>
      <c r="AD88" s="4">
        <v>1.6</v>
      </c>
      <c r="AE88" s="1" t="s">
        <v>3092</v>
      </c>
      <c r="AF88" s="36">
        <v>0.12998061598104674</v>
      </c>
      <c r="AG88" s="325" t="s">
        <v>3450</v>
      </c>
      <c r="AH88" s="49">
        <v>32</v>
      </c>
      <c r="AI88" s="1232" t="s">
        <v>3503</v>
      </c>
      <c r="AJ88" s="3">
        <v>0.16987740805604204</v>
      </c>
      <c r="AK88" s="1" t="s">
        <v>3455</v>
      </c>
      <c r="AL88" s="42">
        <v>0.17008547008547012</v>
      </c>
      <c r="AM88" s="1" t="s">
        <v>3366</v>
      </c>
      <c r="AN88" s="4">
        <f>AVERAGE(AN86:AN87)</f>
        <v>2.2999999999999998</v>
      </c>
      <c r="AO88" s="1" t="s">
        <v>3091</v>
      </c>
      <c r="AP88" s="3">
        <v>0.20999353866034892</v>
      </c>
      <c r="AQ88" s="1232" t="s">
        <v>3105</v>
      </c>
      <c r="AR88" s="42">
        <v>29.900000000000002</v>
      </c>
      <c r="AS88" s="1310" t="s">
        <v>3328</v>
      </c>
      <c r="AT88" s="4">
        <v>0.3</v>
      </c>
      <c r="AU88" s="1310" t="s">
        <v>3096</v>
      </c>
      <c r="AV88" s="4">
        <v>9.4</v>
      </c>
      <c r="AW88" s="491" t="s">
        <v>3510</v>
      </c>
      <c r="AX88" s="239">
        <v>0.1575</v>
      </c>
      <c r="AY88" s="1" t="s">
        <v>3312</v>
      </c>
      <c r="AZ88" s="1233" t="s">
        <v>3245</v>
      </c>
      <c r="BA88" s="4">
        <v>2.5011655011655014</v>
      </c>
    </row>
    <row r="89" spans="1:53" s="498" customFormat="1">
      <c r="D89" s="498" t="s">
        <v>2104</v>
      </c>
      <c r="E89" s="1351" t="s">
        <v>4099</v>
      </c>
      <c r="F89" s="498" t="s">
        <v>2105</v>
      </c>
      <c r="G89" s="1351" t="s">
        <v>4099</v>
      </c>
      <c r="I89" s="1351" t="s">
        <v>4099</v>
      </c>
      <c r="K89" s="1351" t="s">
        <v>4102</v>
      </c>
      <c r="M89" s="1351" t="s">
        <v>4098</v>
      </c>
      <c r="S89" s="749" t="s">
        <v>3149</v>
      </c>
      <c r="T89" s="3">
        <v>335</v>
      </c>
      <c r="U89" s="1" t="s">
        <v>3166</v>
      </c>
      <c r="V89" s="4">
        <v>51</v>
      </c>
      <c r="W89" s="749" t="s">
        <v>3207</v>
      </c>
      <c r="X89" s="42">
        <v>28</v>
      </c>
      <c r="Y89" s="1233" t="s">
        <v>3157</v>
      </c>
      <c r="Z89" s="1234">
        <v>175</v>
      </c>
      <c r="AA89" s="491" t="s">
        <v>3510</v>
      </c>
      <c r="AB89" s="3">
        <v>1.6</v>
      </c>
      <c r="AC89" s="1" t="s">
        <v>3368</v>
      </c>
      <c r="AD89" s="49">
        <v>1.5319999999999998</v>
      </c>
      <c r="AE89" s="749" t="s">
        <v>3177</v>
      </c>
      <c r="AF89" s="4">
        <v>0.127</v>
      </c>
      <c r="AG89" s="1" t="s">
        <v>3458</v>
      </c>
      <c r="AH89" s="49">
        <v>32</v>
      </c>
      <c r="AI89" s="749" t="s">
        <v>3504</v>
      </c>
      <c r="AJ89" s="3">
        <v>0.16987740805604204</v>
      </c>
      <c r="AK89" s="1" t="s">
        <v>3448</v>
      </c>
      <c r="AL89" s="1144">
        <v>0.17</v>
      </c>
      <c r="AM89" s="1233" t="s">
        <v>3134</v>
      </c>
      <c r="AN89" s="3">
        <v>2.1000933271115261</v>
      </c>
      <c r="AO89" s="1" t="s">
        <v>3092</v>
      </c>
      <c r="AP89" s="3">
        <v>0.20999353866034892</v>
      </c>
      <c r="AQ89" s="1233" t="s">
        <v>3429</v>
      </c>
      <c r="AR89" s="31">
        <v>29</v>
      </c>
      <c r="AS89" s="82" t="s">
        <v>3361</v>
      </c>
      <c r="AT89" s="4">
        <v>0.28999999999999998</v>
      </c>
      <c r="AU89" s="1264" t="s">
        <v>3097</v>
      </c>
      <c r="AV89" s="4">
        <v>9.4</v>
      </c>
      <c r="AW89" s="1233" t="s">
        <v>3365</v>
      </c>
      <c r="AX89" s="234">
        <v>0.11</v>
      </c>
      <c r="AY89" s="1" t="s">
        <v>468</v>
      </c>
      <c r="AZ89" s="1232" t="s">
        <v>3105</v>
      </c>
      <c r="BA89" s="34">
        <v>2.5</v>
      </c>
    </row>
    <row r="90" spans="1:53">
      <c r="D90" t="s">
        <v>811</v>
      </c>
      <c r="S90" s="1" t="s">
        <v>3150</v>
      </c>
      <c r="T90" s="3">
        <v>335</v>
      </c>
      <c r="U90" s="749" t="s">
        <v>3291</v>
      </c>
      <c r="V90" s="4">
        <v>49</v>
      </c>
      <c r="W90" s="1" t="s">
        <v>27</v>
      </c>
      <c r="X90" s="42">
        <v>27</v>
      </c>
      <c r="Y90" s="749" t="s">
        <v>3180</v>
      </c>
      <c r="Z90" s="4">
        <v>172</v>
      </c>
      <c r="AA90" s="1" t="s">
        <v>3329</v>
      </c>
      <c r="AB90" s="3">
        <v>1.6</v>
      </c>
      <c r="AC90" s="1232" t="s">
        <v>3443</v>
      </c>
      <c r="AD90" s="37">
        <v>1.5279999999999998</v>
      </c>
      <c r="AE90" s="1" t="s">
        <v>3153</v>
      </c>
      <c r="AF90" s="236">
        <v>0.127</v>
      </c>
      <c r="AG90" s="1" t="s">
        <v>467</v>
      </c>
      <c r="AH90" s="4">
        <v>31.9</v>
      </c>
      <c r="AI90" s="1" t="s">
        <v>3254</v>
      </c>
      <c r="AJ90" s="3">
        <v>0.16987740805604204</v>
      </c>
      <c r="AK90" s="325" t="s">
        <v>3450</v>
      </c>
      <c r="AL90" s="49">
        <v>0.17</v>
      </c>
      <c r="AM90" s="1" t="s">
        <v>3135</v>
      </c>
      <c r="AN90" s="3">
        <v>2.1000933271115261</v>
      </c>
      <c r="AO90" s="1" t="s">
        <v>3099</v>
      </c>
      <c r="AP90" s="42">
        <v>0.2</v>
      </c>
      <c r="AQ90" s="1" t="s">
        <v>3108</v>
      </c>
      <c r="AR90" s="31">
        <v>29</v>
      </c>
      <c r="AS90" s="1232" t="s">
        <v>3503</v>
      </c>
      <c r="AT90" s="1234">
        <v>0.28999999999999998</v>
      </c>
      <c r="AU90" s="1233" t="s">
        <v>3293</v>
      </c>
      <c r="AV90" s="49">
        <v>9</v>
      </c>
      <c r="AW90" s="1" t="s">
        <v>3368</v>
      </c>
      <c r="AX90" s="233">
        <v>0.11</v>
      </c>
      <c r="AY90" s="1" t="s">
        <v>1779</v>
      </c>
      <c r="AZ90" s="1" t="s">
        <v>3106</v>
      </c>
      <c r="BA90" s="34">
        <v>2.5</v>
      </c>
    </row>
    <row r="91" spans="1:53">
      <c r="A91" s="178" t="s">
        <v>2176</v>
      </c>
      <c r="S91" s="749" t="s">
        <v>3160</v>
      </c>
      <c r="T91" s="3">
        <v>329</v>
      </c>
      <c r="U91" s="1" t="s">
        <v>3112</v>
      </c>
      <c r="V91" s="49">
        <v>48.5</v>
      </c>
      <c r="W91" s="1232" t="s">
        <v>3137</v>
      </c>
      <c r="X91" s="49">
        <v>26</v>
      </c>
      <c r="Y91" s="749" t="s">
        <v>3159</v>
      </c>
      <c r="Z91" s="3">
        <v>170</v>
      </c>
      <c r="AA91" s="1" t="s">
        <v>3330</v>
      </c>
      <c r="AB91" s="3">
        <v>1.6</v>
      </c>
      <c r="AC91" s="1" t="s">
        <v>1823</v>
      </c>
      <c r="AD91" s="4">
        <v>1.48</v>
      </c>
      <c r="AE91" s="1" t="s">
        <v>3154</v>
      </c>
      <c r="AF91" s="236">
        <v>0.127</v>
      </c>
      <c r="AG91" s="1" t="s">
        <v>3220</v>
      </c>
      <c r="AH91" s="238">
        <v>30.9</v>
      </c>
      <c r="AI91" s="1" t="s">
        <v>3277</v>
      </c>
      <c r="AJ91" s="3">
        <v>0.16987740805604204</v>
      </c>
      <c r="AK91" s="1" t="s">
        <v>3447</v>
      </c>
      <c r="AL91" s="1144">
        <v>0.17</v>
      </c>
      <c r="AM91" s="1" t="s">
        <v>3144</v>
      </c>
      <c r="AN91" s="3">
        <v>2.1000933271115261</v>
      </c>
      <c r="AO91" s="1" t="s">
        <v>438</v>
      </c>
      <c r="AP91" s="42">
        <v>0.2</v>
      </c>
      <c r="AQ91" s="1233" t="s">
        <v>3276</v>
      </c>
      <c r="AR91" s="1241">
        <v>29</v>
      </c>
      <c r="AS91" s="1" t="s">
        <v>3151</v>
      </c>
      <c r="AT91" s="34">
        <v>0.28000000000000003</v>
      </c>
      <c r="AU91" s="1" t="s">
        <v>1779</v>
      </c>
      <c r="AV91" s="4">
        <v>8.8000000000000007</v>
      </c>
      <c r="AW91" s="1" t="s">
        <v>3366</v>
      </c>
      <c r="AX91" s="4">
        <f>AVERAGE(AX89:AX90)</f>
        <v>0.11</v>
      </c>
      <c r="AY91" s="1" t="s">
        <v>3316</v>
      </c>
      <c r="AZ91" s="1233" t="s">
        <v>3429</v>
      </c>
      <c r="BA91" s="29">
        <v>2.5</v>
      </c>
    </row>
    <row r="92" spans="1:53">
      <c r="D92" t="s">
        <v>2155</v>
      </c>
      <c r="S92" s="1" t="s">
        <v>3146</v>
      </c>
      <c r="T92" s="3">
        <v>329</v>
      </c>
      <c r="U92" s="1" t="s">
        <v>3091</v>
      </c>
      <c r="V92" s="3">
        <v>48</v>
      </c>
      <c r="W92" s="749" t="s">
        <v>3183</v>
      </c>
      <c r="X92" s="3">
        <v>26</v>
      </c>
      <c r="Y92" s="1" t="s">
        <v>3147</v>
      </c>
      <c r="Z92" s="49">
        <v>170</v>
      </c>
      <c r="AA92" s="1" t="s">
        <v>134</v>
      </c>
      <c r="AB92" s="3">
        <v>1.6</v>
      </c>
      <c r="AC92" s="1" t="s">
        <v>3329</v>
      </c>
      <c r="AD92" s="3">
        <v>1.48</v>
      </c>
      <c r="AE92" s="1" t="s">
        <v>3156</v>
      </c>
      <c r="AF92" s="236">
        <v>0.127</v>
      </c>
      <c r="AG92" s="1232" t="s">
        <v>3145</v>
      </c>
      <c r="AH92" s="42">
        <v>30</v>
      </c>
      <c r="AI92" s="1" t="s">
        <v>3258</v>
      </c>
      <c r="AJ92" s="3">
        <v>0.16987740805604204</v>
      </c>
      <c r="AK92" s="1" t="s">
        <v>3458</v>
      </c>
      <c r="AL92" s="49">
        <v>0.17</v>
      </c>
      <c r="AM92" s="325" t="s">
        <v>3303</v>
      </c>
      <c r="AN92" s="1234">
        <v>2.0049999999999999</v>
      </c>
      <c r="AO92" s="1233" t="s">
        <v>3113</v>
      </c>
      <c r="AP92" s="3">
        <v>0.2</v>
      </c>
      <c r="AQ92" s="1233" t="s">
        <v>3256</v>
      </c>
      <c r="AR92" s="3">
        <v>29</v>
      </c>
      <c r="AS92" s="1233" t="s">
        <v>3444</v>
      </c>
      <c r="AT92" s="49">
        <v>0.28000000000000003</v>
      </c>
      <c r="AU92" s="1" t="s">
        <v>27</v>
      </c>
      <c r="AV92" s="42">
        <v>8.6999999999999993</v>
      </c>
      <c r="AW92" s="1" t="s">
        <v>3220</v>
      </c>
      <c r="AX92" s="238">
        <v>0.1</v>
      </c>
      <c r="AY92" s="1" t="s">
        <v>481</v>
      </c>
      <c r="AZ92" s="1" t="s">
        <v>3108</v>
      </c>
      <c r="BA92" s="34">
        <v>2.5</v>
      </c>
    </row>
    <row r="93" spans="1:53">
      <c r="D93" t="s">
        <v>2159</v>
      </c>
      <c r="S93" s="749" t="s">
        <v>3267</v>
      </c>
      <c r="T93" s="4">
        <v>329</v>
      </c>
      <c r="U93" s="1" t="s">
        <v>3092</v>
      </c>
      <c r="V93" s="3">
        <v>48</v>
      </c>
      <c r="W93" s="1233" t="s">
        <v>3123</v>
      </c>
      <c r="X93" s="31">
        <v>25.800000000000004</v>
      </c>
      <c r="Y93" s="1" t="s">
        <v>3336</v>
      </c>
      <c r="Z93" s="135">
        <v>170</v>
      </c>
      <c r="AA93" s="1154" t="s">
        <v>3290</v>
      </c>
      <c r="AB93" s="4">
        <v>1.6</v>
      </c>
      <c r="AC93" s="1" t="s">
        <v>3330</v>
      </c>
      <c r="AD93" s="3">
        <v>1.48</v>
      </c>
      <c r="AE93" s="1" t="s">
        <v>3445</v>
      </c>
      <c r="AF93" s="1338">
        <v>0.125</v>
      </c>
      <c r="AG93" s="1232" t="s">
        <v>518</v>
      </c>
      <c r="AH93" s="49">
        <v>30</v>
      </c>
      <c r="AI93" s="1310" t="s">
        <v>3328</v>
      </c>
      <c r="AJ93" s="4">
        <v>0.16</v>
      </c>
      <c r="AK93" s="1" t="s">
        <v>91</v>
      </c>
      <c r="AL93" s="34">
        <v>0.17</v>
      </c>
      <c r="AM93" s="749" t="s">
        <v>3173</v>
      </c>
      <c r="AN93" s="4">
        <v>2</v>
      </c>
      <c r="AO93" s="749" t="s">
        <v>3184</v>
      </c>
      <c r="AP93" s="3">
        <v>0.2</v>
      </c>
      <c r="AQ93" s="1" t="s">
        <v>3257</v>
      </c>
      <c r="AR93" s="3">
        <v>29</v>
      </c>
      <c r="AS93" s="325" t="s">
        <v>3453</v>
      </c>
      <c r="AT93" s="49">
        <v>0.27</v>
      </c>
      <c r="AU93" s="1233" t="s">
        <v>414</v>
      </c>
      <c r="AV93" s="49">
        <v>8.2099999999999991</v>
      </c>
      <c r="AW93" s="1" t="s">
        <v>1837</v>
      </c>
      <c r="AX93" s="34">
        <v>0.1</v>
      </c>
      <c r="AY93" s="1" t="s">
        <v>3313</v>
      </c>
      <c r="AZ93" s="1" t="s">
        <v>3136</v>
      </c>
      <c r="BA93" s="4">
        <v>2.4</v>
      </c>
    </row>
    <row r="94" spans="1:53">
      <c r="D94" t="s">
        <v>2156</v>
      </c>
      <c r="S94" s="749" t="s">
        <v>3178</v>
      </c>
      <c r="T94" s="34">
        <v>328</v>
      </c>
      <c r="U94" s="1" t="s">
        <v>3316</v>
      </c>
      <c r="V94" s="4">
        <v>48</v>
      </c>
      <c r="W94" s="749" t="s">
        <v>3182</v>
      </c>
      <c r="X94" s="4">
        <v>25.8</v>
      </c>
      <c r="Y94" s="1" t="s">
        <v>3426</v>
      </c>
      <c r="Z94" s="34">
        <v>168</v>
      </c>
      <c r="AA94" s="749" t="s">
        <v>3291</v>
      </c>
      <c r="AB94" s="4">
        <v>1.56</v>
      </c>
      <c r="AC94" s="1" t="s">
        <v>134</v>
      </c>
      <c r="AD94" s="3">
        <v>1.48</v>
      </c>
      <c r="AE94" s="1" t="s">
        <v>3446</v>
      </c>
      <c r="AF94" s="1143">
        <v>0.125</v>
      </c>
      <c r="AG94" s="1" t="s">
        <v>3318</v>
      </c>
      <c r="AH94" s="4">
        <v>30</v>
      </c>
      <c r="AI94" s="325" t="s">
        <v>3216</v>
      </c>
      <c r="AJ94" s="1234">
        <v>0.154</v>
      </c>
      <c r="AK94" s="1232" t="s">
        <v>3454</v>
      </c>
      <c r="AL94" s="31">
        <v>0.16999999999999998</v>
      </c>
      <c r="AM94" s="1" t="s">
        <v>3174</v>
      </c>
      <c r="AN94" s="4">
        <v>2</v>
      </c>
      <c r="AO94" s="1" t="s">
        <v>3469</v>
      </c>
      <c r="AP94" s="3">
        <v>0.2</v>
      </c>
      <c r="AQ94" s="325" t="s">
        <v>3110</v>
      </c>
      <c r="AR94" s="42">
        <v>28.999999999999996</v>
      </c>
      <c r="AS94" s="325" t="s">
        <v>3450</v>
      </c>
      <c r="AT94" s="49">
        <v>0.25</v>
      </c>
      <c r="AU94" s="1" t="s">
        <v>1776</v>
      </c>
      <c r="AV94" s="4">
        <v>8.1</v>
      </c>
      <c r="AW94" s="1" t="s">
        <v>3448</v>
      </c>
      <c r="AX94" s="1144">
        <v>0.08</v>
      </c>
      <c r="AY94" s="1" t="s">
        <v>1781</v>
      </c>
      <c r="AZ94" s="1" t="s">
        <v>1776</v>
      </c>
      <c r="BA94" s="4">
        <v>2.4</v>
      </c>
    </row>
    <row r="95" spans="1:53">
      <c r="D95" t="s">
        <v>2162</v>
      </c>
      <c r="S95" s="749" t="s">
        <v>3159</v>
      </c>
      <c r="T95" s="3">
        <v>325</v>
      </c>
      <c r="U95" s="1" t="s">
        <v>441</v>
      </c>
      <c r="V95" s="3">
        <v>47.000000000000007</v>
      </c>
      <c r="W95" s="1233" t="s">
        <v>414</v>
      </c>
      <c r="X95" s="49">
        <v>25</v>
      </c>
      <c r="Y95" s="1" t="s">
        <v>3176</v>
      </c>
      <c r="Z95" s="4">
        <v>165</v>
      </c>
      <c r="AA95" s="749" t="s">
        <v>3181</v>
      </c>
      <c r="AB95" s="34">
        <v>1.52</v>
      </c>
      <c r="AC95" s="1" t="s">
        <v>3112</v>
      </c>
      <c r="AD95" s="49">
        <v>1.4000000000000001</v>
      </c>
      <c r="AE95" s="1" t="s">
        <v>3271</v>
      </c>
      <c r="AF95" s="234">
        <v>0.12044817927170869</v>
      </c>
      <c r="AG95" s="1" t="s">
        <v>1803</v>
      </c>
      <c r="AH95" s="4">
        <v>30</v>
      </c>
      <c r="AI95" s="1" t="s">
        <v>3090</v>
      </c>
      <c r="AJ95" s="3">
        <v>0.15</v>
      </c>
      <c r="AK95" s="1" t="s">
        <v>3445</v>
      </c>
      <c r="AL95" s="3">
        <v>0.16900000000000001</v>
      </c>
      <c r="AM95" s="1233" t="s">
        <v>3252</v>
      </c>
      <c r="AN95" s="3">
        <v>2</v>
      </c>
      <c r="AO95" s="53" t="s">
        <v>3204</v>
      </c>
      <c r="AP95" s="4">
        <v>0.2</v>
      </c>
      <c r="AQ95" s="1" t="s">
        <v>3111</v>
      </c>
      <c r="AR95" s="42">
        <v>28.999999999999996</v>
      </c>
      <c r="AS95" s="1" t="s">
        <v>3458</v>
      </c>
      <c r="AT95" s="49">
        <v>0.25</v>
      </c>
      <c r="AU95" s="749" t="s">
        <v>3288</v>
      </c>
      <c r="AV95" s="49">
        <v>8</v>
      </c>
      <c r="AW95" s="1" t="s">
        <v>3447</v>
      </c>
      <c r="AX95" s="1144">
        <v>0.08</v>
      </c>
      <c r="AY95" s="1" t="s">
        <v>3317</v>
      </c>
      <c r="AZ95" s="1233" t="s">
        <v>3308</v>
      </c>
      <c r="BA95" s="4">
        <v>2.4</v>
      </c>
    </row>
    <row r="96" spans="1:53">
      <c r="D96" t="s">
        <v>2157</v>
      </c>
      <c r="S96" s="1" t="s">
        <v>3147</v>
      </c>
      <c r="T96" s="49">
        <v>325</v>
      </c>
      <c r="U96" s="491" t="s">
        <v>3510</v>
      </c>
      <c r="V96" s="3">
        <v>44.3</v>
      </c>
      <c r="W96" s="82" t="s">
        <v>3103</v>
      </c>
      <c r="X96" s="4">
        <v>25</v>
      </c>
      <c r="Y96" s="325" t="s">
        <v>3155</v>
      </c>
      <c r="Z96" s="49">
        <v>164</v>
      </c>
      <c r="AA96" s="1" t="s">
        <v>1827</v>
      </c>
      <c r="AB96" s="4">
        <v>1.5</v>
      </c>
      <c r="AC96" s="1233" t="s">
        <v>3208</v>
      </c>
      <c r="AD96" s="3">
        <v>1.399626517273576</v>
      </c>
      <c r="AE96" s="749" t="s">
        <v>3230</v>
      </c>
      <c r="AF96" s="34">
        <v>0.12</v>
      </c>
      <c r="AG96" s="1" t="s">
        <v>3452</v>
      </c>
      <c r="AH96" s="4">
        <v>30</v>
      </c>
      <c r="AI96" s="1233" t="s">
        <v>3245</v>
      </c>
      <c r="AJ96" s="3">
        <v>0.14918414918414918</v>
      </c>
      <c r="AK96" s="1" t="s">
        <v>3446</v>
      </c>
      <c r="AL96" s="3">
        <v>0.16900000000000001</v>
      </c>
      <c r="AM96" s="1" t="s">
        <v>3098</v>
      </c>
      <c r="AN96" s="4">
        <v>1.98</v>
      </c>
      <c r="AO96" s="325" t="s">
        <v>3161</v>
      </c>
      <c r="AP96" s="3">
        <v>0.19996409980254892</v>
      </c>
      <c r="AQ96" s="1" t="s">
        <v>3136</v>
      </c>
      <c r="AR96" s="4">
        <v>27</v>
      </c>
      <c r="AS96" s="1" t="s">
        <v>3445</v>
      </c>
      <c r="AT96" s="3">
        <v>0.20499999999999999</v>
      </c>
      <c r="AU96" s="1" t="s">
        <v>3282</v>
      </c>
      <c r="AV96" s="49">
        <v>8</v>
      </c>
      <c r="AW96" s="1" t="s">
        <v>3452</v>
      </c>
      <c r="AX96" s="4">
        <v>0.06</v>
      </c>
      <c r="AY96" s="1" t="s">
        <v>1783</v>
      </c>
      <c r="AZ96" s="1" t="s">
        <v>3309</v>
      </c>
      <c r="BA96" s="4">
        <v>2.4</v>
      </c>
    </row>
    <row r="97" spans="1:53">
      <c r="D97" t="s">
        <v>2158</v>
      </c>
      <c r="S97" s="749" t="s">
        <v>3263</v>
      </c>
      <c r="T97" s="31">
        <v>325</v>
      </c>
      <c r="U97" s="1" t="s">
        <v>3098</v>
      </c>
      <c r="V97" s="4">
        <v>44.2</v>
      </c>
      <c r="W97" s="1" t="s">
        <v>3225</v>
      </c>
      <c r="X97" s="4">
        <v>25</v>
      </c>
      <c r="Y97" s="1" t="s">
        <v>1823</v>
      </c>
      <c r="Z97" s="4">
        <v>162</v>
      </c>
      <c r="AA97" s="1233" t="s">
        <v>3365</v>
      </c>
      <c r="AB97" s="3">
        <v>1.5</v>
      </c>
      <c r="AC97" s="1" t="s">
        <v>1831</v>
      </c>
      <c r="AD97" s="34">
        <v>1.3</v>
      </c>
      <c r="AE97" s="1" t="s">
        <v>3233</v>
      </c>
      <c r="AF97" s="34">
        <v>0.12</v>
      </c>
      <c r="AG97" s="325" t="s">
        <v>3451</v>
      </c>
      <c r="AH97" s="4">
        <v>30</v>
      </c>
      <c r="AI97" s="1233" t="s">
        <v>3113</v>
      </c>
      <c r="AJ97" s="3">
        <v>0.13999999999999999</v>
      </c>
      <c r="AK97" s="749" t="s">
        <v>3322</v>
      </c>
      <c r="AL97" s="4">
        <v>0.16600000000000001</v>
      </c>
      <c r="AM97" s="1" t="s">
        <v>3314</v>
      </c>
      <c r="AN97" s="4">
        <v>1.95</v>
      </c>
      <c r="AO97" s="1" t="s">
        <v>3200</v>
      </c>
      <c r="AP97" s="3">
        <v>0.19689999999999996</v>
      </c>
      <c r="AQ97" s="749" t="s">
        <v>3322</v>
      </c>
      <c r="AR97" s="4">
        <v>27</v>
      </c>
      <c r="AS97" s="1" t="s">
        <v>3446</v>
      </c>
      <c r="AT97" s="3">
        <v>0.20499999999999999</v>
      </c>
      <c r="AU97" s="53" t="s">
        <v>3292</v>
      </c>
      <c r="AV97" s="233">
        <v>8</v>
      </c>
      <c r="AW97" s="325" t="s">
        <v>3451</v>
      </c>
      <c r="AX97" s="4">
        <v>0.06</v>
      </c>
      <c r="AY97" s="1" t="s">
        <v>1784</v>
      </c>
      <c r="AZ97" s="1" t="s">
        <v>3310</v>
      </c>
      <c r="BA97" s="4">
        <v>2.4</v>
      </c>
    </row>
    <row r="98" spans="1:53">
      <c r="S98" s="1" t="s">
        <v>439</v>
      </c>
      <c r="T98" s="49">
        <v>320</v>
      </c>
      <c r="U98" s="53" t="s">
        <v>3139</v>
      </c>
      <c r="V98" s="4">
        <v>44</v>
      </c>
      <c r="W98" s="749" t="s">
        <v>3160</v>
      </c>
      <c r="X98" s="3">
        <v>25</v>
      </c>
      <c r="Y98" s="749" t="s">
        <v>3193</v>
      </c>
      <c r="Z98" s="42">
        <v>162</v>
      </c>
      <c r="AA98" s="1" t="s">
        <v>3437</v>
      </c>
      <c r="AB98" s="4">
        <v>1.48</v>
      </c>
      <c r="AC98" s="749" t="s">
        <v>3464</v>
      </c>
      <c r="AD98" s="4">
        <v>1.28</v>
      </c>
      <c r="AE98" s="1" t="s">
        <v>1781</v>
      </c>
      <c r="AF98" s="34">
        <v>0.11600000000000001</v>
      </c>
      <c r="AG98" s="1233" t="s">
        <v>3123</v>
      </c>
      <c r="AH98" s="31">
        <v>29.8</v>
      </c>
      <c r="AI98" s="1" t="s">
        <v>441</v>
      </c>
      <c r="AJ98" s="3">
        <v>0.13053613053613053</v>
      </c>
      <c r="AK98" s="749" t="s">
        <v>3229</v>
      </c>
      <c r="AL98" s="4">
        <v>0.16300000000000001</v>
      </c>
      <c r="AM98" s="1233" t="s">
        <v>1861</v>
      </c>
      <c r="AN98" s="4">
        <v>1.9</v>
      </c>
      <c r="AO98" s="1" t="s">
        <v>3116</v>
      </c>
      <c r="AP98" s="34">
        <v>0.19</v>
      </c>
      <c r="AQ98" s="1233" t="s">
        <v>3365</v>
      </c>
      <c r="AR98" s="3">
        <v>27</v>
      </c>
      <c r="AS98" s="749" t="s">
        <v>3184</v>
      </c>
      <c r="AT98" s="3">
        <v>0.18000000000000002</v>
      </c>
      <c r="AU98" s="749" t="s">
        <v>3291</v>
      </c>
      <c r="AV98" s="4">
        <v>7.9</v>
      </c>
      <c r="AW98" s="1233" t="s">
        <v>3221</v>
      </c>
      <c r="AX98" s="234">
        <v>2.0293911826452064E-2</v>
      </c>
      <c r="AY98" s="1" t="s">
        <v>1785</v>
      </c>
      <c r="AZ98" s="1" t="s">
        <v>3311</v>
      </c>
      <c r="BA98" s="4">
        <v>2.4</v>
      </c>
    </row>
    <row r="99" spans="1:53">
      <c r="A99" t="s">
        <v>4157</v>
      </c>
      <c r="S99" s="1232" t="s">
        <v>3105</v>
      </c>
      <c r="T99" s="42">
        <v>320</v>
      </c>
      <c r="U99" s="1" t="s">
        <v>1790</v>
      </c>
      <c r="V99" s="4">
        <v>43</v>
      </c>
      <c r="W99" s="1" t="s">
        <v>3146</v>
      </c>
      <c r="X99" s="3">
        <v>25</v>
      </c>
      <c r="Y99" s="1233" t="s">
        <v>3194</v>
      </c>
      <c r="Z99" s="42">
        <v>162</v>
      </c>
      <c r="AA99" s="749" t="s">
        <v>3193</v>
      </c>
      <c r="AB99" s="42">
        <v>1.43</v>
      </c>
      <c r="AC99" s="749" t="s">
        <v>3183</v>
      </c>
      <c r="AD99" s="4">
        <v>1.28</v>
      </c>
      <c r="AE99" s="749" t="s">
        <v>3193</v>
      </c>
      <c r="AF99" s="236">
        <v>0.11400000000000002</v>
      </c>
      <c r="AG99" s="749" t="s">
        <v>3178</v>
      </c>
      <c r="AH99" s="34">
        <v>28</v>
      </c>
      <c r="AI99" s="1" t="s">
        <v>3106</v>
      </c>
      <c r="AJ99" s="42">
        <v>0.13</v>
      </c>
      <c r="AK99" s="1" t="s">
        <v>3175</v>
      </c>
      <c r="AL99" s="34">
        <v>0.16300000000000001</v>
      </c>
      <c r="AM99" s="1" t="s">
        <v>3197</v>
      </c>
      <c r="AN99" s="4">
        <v>1.9</v>
      </c>
      <c r="AO99" s="1232" t="s">
        <v>3137</v>
      </c>
      <c r="AP99" s="4">
        <v>0.19</v>
      </c>
      <c r="AQ99" s="1" t="s">
        <v>3440</v>
      </c>
      <c r="AR99" s="42">
        <v>26.7</v>
      </c>
      <c r="AS99" s="1" t="s">
        <v>3469</v>
      </c>
      <c r="AT99" s="3">
        <v>0.18000000000000002</v>
      </c>
      <c r="AU99" s="1" t="s">
        <v>1785</v>
      </c>
      <c r="AV99" s="4">
        <v>7.44</v>
      </c>
      <c r="AW99" s="325" t="s">
        <v>3450</v>
      </c>
      <c r="AX99" s="49">
        <v>0.02</v>
      </c>
      <c r="AY99" s="1" t="s">
        <v>1786</v>
      </c>
      <c r="AZ99" s="1" t="s">
        <v>3312</v>
      </c>
      <c r="BA99" s="4">
        <v>2.4</v>
      </c>
    </row>
    <row r="100" spans="1:53">
      <c r="S100" s="1" t="s">
        <v>3153</v>
      </c>
      <c r="T100" s="42">
        <v>319</v>
      </c>
      <c r="U100" s="1" t="s">
        <v>3319</v>
      </c>
      <c r="V100" s="4">
        <v>43</v>
      </c>
      <c r="W100" s="1" t="s">
        <v>3151</v>
      </c>
      <c r="X100" s="37">
        <v>25</v>
      </c>
      <c r="Y100" s="491" t="s">
        <v>3510</v>
      </c>
      <c r="Z100" s="3">
        <v>162</v>
      </c>
      <c r="AA100" s="1233" t="s">
        <v>3194</v>
      </c>
      <c r="AB100" s="42">
        <v>1.43</v>
      </c>
      <c r="AC100" s="749" t="s">
        <v>3183</v>
      </c>
      <c r="AD100" s="34">
        <v>1.28</v>
      </c>
      <c r="AE100" s="1233" t="s">
        <v>3194</v>
      </c>
      <c r="AF100" s="236">
        <v>0.11400000000000002</v>
      </c>
      <c r="AG100" s="1" t="s">
        <v>3445</v>
      </c>
      <c r="AH100" s="239">
        <v>26</v>
      </c>
      <c r="AI100" s="1" t="s">
        <v>1837</v>
      </c>
      <c r="AJ100" s="34">
        <v>0.13</v>
      </c>
      <c r="AK100" s="1" t="s">
        <v>3148</v>
      </c>
      <c r="AL100" s="3">
        <v>0.16025192442267322</v>
      </c>
      <c r="AM100" s="1" t="s">
        <v>3271</v>
      </c>
      <c r="AN100" s="3">
        <v>1.8305322128851542</v>
      </c>
      <c r="AO100" s="1" t="s">
        <v>1764</v>
      </c>
      <c r="AP100" s="4">
        <v>0.18</v>
      </c>
      <c r="AQ100" s="325" t="s">
        <v>3131</v>
      </c>
      <c r="AR100" s="34">
        <v>26</v>
      </c>
      <c r="AS100" s="491" t="s">
        <v>3510</v>
      </c>
      <c r="AT100" s="37">
        <v>0.16200000000000001</v>
      </c>
      <c r="AU100" s="1233" t="s">
        <v>3100</v>
      </c>
      <c r="AV100" s="3">
        <v>7.3999999999999995</v>
      </c>
      <c r="AW100" s="1" t="s">
        <v>3458</v>
      </c>
      <c r="AX100" s="49">
        <v>0.02</v>
      </c>
      <c r="AY100" s="1" t="s">
        <v>3440</v>
      </c>
      <c r="AZ100" s="1" t="s">
        <v>481</v>
      </c>
      <c r="BA100" s="4">
        <v>2.4</v>
      </c>
    </row>
    <row r="101" spans="1:53">
      <c r="S101" s="1" t="s">
        <v>3154</v>
      </c>
      <c r="T101" s="42">
        <v>319</v>
      </c>
      <c r="U101" s="1" t="s">
        <v>439</v>
      </c>
      <c r="V101" s="49">
        <v>42</v>
      </c>
      <c r="W101" s="749" t="s">
        <v>3164</v>
      </c>
      <c r="X101" s="31">
        <v>25</v>
      </c>
      <c r="Y101" s="1233" t="s">
        <v>414</v>
      </c>
      <c r="Z101" s="49">
        <v>160</v>
      </c>
      <c r="AA101" s="1" t="s">
        <v>3117</v>
      </c>
      <c r="AB101" s="4">
        <v>1.41</v>
      </c>
      <c r="AC101" s="1232" t="s">
        <v>3503</v>
      </c>
      <c r="AD101" s="3">
        <v>1.2084063047285465</v>
      </c>
      <c r="AE101" s="325" t="s">
        <v>3131</v>
      </c>
      <c r="AF101" s="1148">
        <v>0.11</v>
      </c>
      <c r="AG101" s="1" t="s">
        <v>3446</v>
      </c>
      <c r="AH101" s="239">
        <v>26</v>
      </c>
      <c r="AI101" s="1233" t="s">
        <v>3429</v>
      </c>
      <c r="AJ101" s="31">
        <v>0.122</v>
      </c>
      <c r="AK101" s="749" t="s">
        <v>3163</v>
      </c>
      <c r="AL101" s="3">
        <v>0.16025192442267322</v>
      </c>
      <c r="AM101" s="1" t="s">
        <v>3261</v>
      </c>
      <c r="AN101" s="49">
        <v>1.83</v>
      </c>
      <c r="AO101" s="1" t="s">
        <v>3087</v>
      </c>
      <c r="AP101" s="4">
        <v>0.18</v>
      </c>
      <c r="AQ101" s="1" t="s">
        <v>3133</v>
      </c>
      <c r="AR101" s="4">
        <v>26</v>
      </c>
      <c r="AS101" s="1232" t="s">
        <v>1963</v>
      </c>
      <c r="AT101" s="1234">
        <v>0.12</v>
      </c>
      <c r="AU101" s="1" t="s">
        <v>3101</v>
      </c>
      <c r="AV101" s="3">
        <v>7.3999999999999995</v>
      </c>
      <c r="AW101" s="325" t="s">
        <v>3453</v>
      </c>
      <c r="AX101" s="233">
        <v>0.02</v>
      </c>
      <c r="AY101" s="1" t="s">
        <v>3318</v>
      </c>
      <c r="AZ101" s="1" t="s">
        <v>3439</v>
      </c>
      <c r="BA101" s="40">
        <v>2.2000000000000002</v>
      </c>
    </row>
    <row r="102" spans="1:53">
      <c r="S102" s="1" t="s">
        <v>3156</v>
      </c>
      <c r="T102" s="42">
        <v>319</v>
      </c>
      <c r="U102" s="1232" t="s">
        <v>3105</v>
      </c>
      <c r="V102" s="42">
        <v>42</v>
      </c>
      <c r="W102" s="1233" t="s">
        <v>3245</v>
      </c>
      <c r="X102" s="3">
        <v>24.799533799533801</v>
      </c>
      <c r="Y102" s="749" t="s">
        <v>3229</v>
      </c>
      <c r="Z102" s="4">
        <v>159</v>
      </c>
      <c r="AA102" s="1233" t="s">
        <v>3157</v>
      </c>
      <c r="AB102" s="49">
        <v>1.4000000000000001</v>
      </c>
      <c r="AC102" s="749" t="s">
        <v>3504</v>
      </c>
      <c r="AD102" s="3">
        <v>1.2084063047285465</v>
      </c>
      <c r="AE102" s="1" t="s">
        <v>3133</v>
      </c>
      <c r="AF102" s="4">
        <v>0.11</v>
      </c>
      <c r="AG102" s="325" t="s">
        <v>3453</v>
      </c>
      <c r="AH102" s="233">
        <v>26</v>
      </c>
      <c r="AI102" s="1" t="s">
        <v>3108</v>
      </c>
      <c r="AJ102" s="31">
        <v>0.122</v>
      </c>
      <c r="AK102" s="749" t="s">
        <v>3149</v>
      </c>
      <c r="AL102" s="3">
        <v>0.16025192442267322</v>
      </c>
      <c r="AM102" s="1" t="s">
        <v>3499</v>
      </c>
      <c r="AN102" s="49">
        <v>1.83</v>
      </c>
      <c r="AO102" s="1" t="s">
        <v>1831</v>
      </c>
      <c r="AP102" s="34">
        <v>0.18</v>
      </c>
      <c r="AQ102" s="1" t="s">
        <v>3426</v>
      </c>
      <c r="AR102" s="37">
        <v>25</v>
      </c>
      <c r="AS102" s="749" t="s">
        <v>3209</v>
      </c>
      <c r="AT102" s="4">
        <v>0.1</v>
      </c>
      <c r="AU102" s="1" t="s">
        <v>415</v>
      </c>
      <c r="AV102" s="3">
        <v>7</v>
      </c>
      <c r="AW102" s="1" t="s">
        <v>3426</v>
      </c>
      <c r="AX102" s="37">
        <v>6.0000000000000001E-3</v>
      </c>
      <c r="AY102" s="1" t="s">
        <v>1789</v>
      </c>
      <c r="AZ102" s="1310" t="s">
        <v>3344</v>
      </c>
      <c r="BA102" s="4">
        <v>2.2000000000000002</v>
      </c>
    </row>
    <row r="103" spans="1:53">
      <c r="S103" s="1233" t="s">
        <v>3115</v>
      </c>
      <c r="T103" s="3">
        <v>315</v>
      </c>
      <c r="U103" s="1" t="s">
        <v>3314</v>
      </c>
      <c r="V103" s="4">
        <v>41.8</v>
      </c>
      <c r="W103" s="1" t="s">
        <v>3234</v>
      </c>
      <c r="X103" s="34">
        <v>24.5</v>
      </c>
      <c r="Y103" s="1232" t="s">
        <v>3503</v>
      </c>
      <c r="Z103" s="3">
        <v>153</v>
      </c>
      <c r="AA103" s="749" t="s">
        <v>3173</v>
      </c>
      <c r="AB103" s="4">
        <v>1.4</v>
      </c>
      <c r="AC103" s="1" t="s">
        <v>3254</v>
      </c>
      <c r="AD103" s="3">
        <v>1.2084063047285465</v>
      </c>
      <c r="AE103" s="325" t="s">
        <v>3161</v>
      </c>
      <c r="AF103" s="234">
        <v>0.10500807754442651</v>
      </c>
      <c r="AG103" s="1233" t="s">
        <v>3221</v>
      </c>
      <c r="AH103" s="234">
        <v>26</v>
      </c>
      <c r="AI103" s="1" t="s">
        <v>439</v>
      </c>
      <c r="AJ103" s="49">
        <v>0.12</v>
      </c>
      <c r="AK103" s="1" t="s">
        <v>3119</v>
      </c>
      <c r="AL103" s="4">
        <v>0.16</v>
      </c>
      <c r="AM103" s="1233" t="s">
        <v>414</v>
      </c>
      <c r="AN103" s="49">
        <v>1.82</v>
      </c>
      <c r="AO103" s="749" t="s">
        <v>3322</v>
      </c>
      <c r="AP103" s="4">
        <v>0.17799999999999999</v>
      </c>
      <c r="AQ103" s="1" t="s">
        <v>3321</v>
      </c>
      <c r="AR103" s="4">
        <v>23.7</v>
      </c>
      <c r="AS103" s="1233" t="s">
        <v>3245</v>
      </c>
      <c r="AT103" s="3">
        <v>9.0909090909090898E-2</v>
      </c>
      <c r="AU103" s="1" t="s">
        <v>3118</v>
      </c>
      <c r="AV103" s="3">
        <v>7</v>
      </c>
      <c r="AW103" s="1233" t="s">
        <v>414</v>
      </c>
      <c r="AX103" s="1234">
        <v>0</v>
      </c>
      <c r="AY103" s="1" t="s">
        <v>1790</v>
      </c>
      <c r="AZ103" s="1310" t="s">
        <v>3326</v>
      </c>
      <c r="BA103" s="4">
        <v>2.2000000000000002</v>
      </c>
    </row>
    <row r="104" spans="1:53">
      <c r="S104" s="1" t="s">
        <v>3114</v>
      </c>
      <c r="T104" s="3">
        <v>315</v>
      </c>
      <c r="U104" s="1" t="s">
        <v>3471</v>
      </c>
      <c r="V104" s="34">
        <v>41</v>
      </c>
      <c r="W104" s="749" t="s">
        <v>3177</v>
      </c>
      <c r="X104" s="4">
        <v>24.4</v>
      </c>
      <c r="Y104" s="749" t="s">
        <v>3504</v>
      </c>
      <c r="Z104" s="3">
        <v>153</v>
      </c>
      <c r="AA104" s="1" t="s">
        <v>3174</v>
      </c>
      <c r="AB104" s="4">
        <v>1.4</v>
      </c>
      <c r="AC104" s="1" t="s">
        <v>3277</v>
      </c>
      <c r="AD104" s="3">
        <v>1.2084063047285465</v>
      </c>
      <c r="AE104" s="1" t="s">
        <v>1786</v>
      </c>
      <c r="AF104" s="4">
        <v>0.105</v>
      </c>
      <c r="AG104" s="1233" t="s">
        <v>3121</v>
      </c>
      <c r="AH104" s="31">
        <v>25.2</v>
      </c>
      <c r="AI104" s="749" t="s">
        <v>3130</v>
      </c>
      <c r="AJ104" s="3">
        <v>0.11997760044799105</v>
      </c>
      <c r="AK104" s="325" t="s">
        <v>3120</v>
      </c>
      <c r="AL104" s="4">
        <v>0.16</v>
      </c>
      <c r="AM104" s="1233" t="s">
        <v>3429</v>
      </c>
      <c r="AN104" s="31">
        <v>1.82</v>
      </c>
      <c r="AO104" s="1" t="s">
        <v>3176</v>
      </c>
      <c r="AP104" s="4">
        <v>0.17499999999999999</v>
      </c>
      <c r="AQ104" s="1" t="s">
        <v>3148</v>
      </c>
      <c r="AR104" s="3">
        <v>23.000000000000004</v>
      </c>
      <c r="AS104" s="1" t="s">
        <v>1837</v>
      </c>
      <c r="AT104" s="34">
        <v>0.09</v>
      </c>
      <c r="AU104" s="53" t="s">
        <v>3324</v>
      </c>
      <c r="AV104" s="4">
        <v>6.4</v>
      </c>
      <c r="AW104" s="1" t="s">
        <v>3119</v>
      </c>
      <c r="AX104" s="4">
        <v>0</v>
      </c>
      <c r="AY104" s="1" t="s">
        <v>1791</v>
      </c>
      <c r="AZ104" s="1" t="s">
        <v>3395</v>
      </c>
      <c r="BA104" s="4">
        <v>2.2000000000000002</v>
      </c>
    </row>
    <row r="105" spans="1:53">
      <c r="S105" s="749" t="s">
        <v>3405</v>
      </c>
      <c r="T105" s="4">
        <v>306</v>
      </c>
      <c r="U105" s="1" t="s">
        <v>1851</v>
      </c>
      <c r="V105" s="34">
        <v>41</v>
      </c>
      <c r="W105" s="1233" t="s">
        <v>3429</v>
      </c>
      <c r="X105" s="31">
        <v>24</v>
      </c>
      <c r="Y105" s="1" t="s">
        <v>3254</v>
      </c>
      <c r="Z105" s="3">
        <v>153</v>
      </c>
      <c r="AA105" s="325" t="s">
        <v>3155</v>
      </c>
      <c r="AB105" s="49">
        <v>1.4</v>
      </c>
      <c r="AC105" s="1" t="s">
        <v>3258</v>
      </c>
      <c r="AD105" s="3">
        <v>1.2084063047285465</v>
      </c>
      <c r="AE105" s="53" t="s">
        <v>3324</v>
      </c>
      <c r="AF105" s="236">
        <v>0.104</v>
      </c>
      <c r="AG105" s="1" t="s">
        <v>3200</v>
      </c>
      <c r="AH105" s="3">
        <v>25.028400000000001</v>
      </c>
      <c r="AI105" s="1" t="s">
        <v>3435</v>
      </c>
      <c r="AJ105" s="3">
        <v>0.11997760044799105</v>
      </c>
      <c r="AK105" s="1" t="s">
        <v>3150</v>
      </c>
      <c r="AL105" s="3">
        <v>0.16</v>
      </c>
      <c r="AM105" s="1" t="s">
        <v>3108</v>
      </c>
      <c r="AN105" s="31">
        <v>1.82</v>
      </c>
      <c r="AO105" s="1232" t="s">
        <v>469</v>
      </c>
      <c r="AP105" s="1234">
        <v>0.17299999999999999</v>
      </c>
      <c r="AQ105" s="749" t="s">
        <v>3163</v>
      </c>
      <c r="AR105" s="3">
        <v>23.000000000000004</v>
      </c>
      <c r="AS105" s="82" t="s">
        <v>20</v>
      </c>
      <c r="AT105" s="34">
        <v>0.04</v>
      </c>
      <c r="AU105" s="1" t="s">
        <v>1809</v>
      </c>
      <c r="AV105" s="4">
        <v>6.3</v>
      </c>
      <c r="AW105" s="325" t="s">
        <v>3120</v>
      </c>
      <c r="AX105" s="4">
        <v>0</v>
      </c>
      <c r="AY105" s="1" t="s">
        <v>1792</v>
      </c>
      <c r="AZ105" s="53" t="s">
        <v>3396</v>
      </c>
      <c r="BA105" s="4">
        <v>2.2000000000000002</v>
      </c>
    </row>
    <row r="106" spans="1:53">
      <c r="S106" s="749" t="s">
        <v>3272</v>
      </c>
      <c r="T106" s="3">
        <v>301</v>
      </c>
      <c r="U106" s="1" t="s">
        <v>422</v>
      </c>
      <c r="V106" s="4">
        <v>40</v>
      </c>
      <c r="W106" s="1" t="s">
        <v>3108</v>
      </c>
      <c r="X106" s="31">
        <v>24</v>
      </c>
      <c r="Y106" s="1" t="s">
        <v>3277</v>
      </c>
      <c r="Z106" s="3">
        <v>153</v>
      </c>
      <c r="AA106" s="1" t="s">
        <v>3426</v>
      </c>
      <c r="AB106" s="34">
        <v>1.38</v>
      </c>
      <c r="AC106" s="1" t="s">
        <v>3271</v>
      </c>
      <c r="AD106" s="3">
        <v>1.2002801120448181</v>
      </c>
      <c r="AE106" s="749" t="s">
        <v>3162</v>
      </c>
      <c r="AF106" s="4">
        <v>0.10299999999999999</v>
      </c>
      <c r="AG106" s="1" t="s">
        <v>3320</v>
      </c>
      <c r="AH106" s="4">
        <v>24</v>
      </c>
      <c r="AI106" s="1233" t="s">
        <v>3124</v>
      </c>
      <c r="AJ106" s="3">
        <v>0.11997760044799105</v>
      </c>
      <c r="AK106" s="1" t="s">
        <v>3212</v>
      </c>
      <c r="AL106" s="4">
        <v>0.157</v>
      </c>
      <c r="AM106" s="1" t="s">
        <v>3116</v>
      </c>
      <c r="AN106" s="49">
        <v>1.8</v>
      </c>
      <c r="AO106" s="53" t="s">
        <v>3210</v>
      </c>
      <c r="AP106" s="3">
        <v>0.16083916083916083</v>
      </c>
      <c r="AQ106" s="749" t="s">
        <v>3149</v>
      </c>
      <c r="AR106" s="3">
        <v>23.000000000000004</v>
      </c>
      <c r="AS106" s="1" t="s">
        <v>20</v>
      </c>
      <c r="AT106" s="34">
        <v>0.04</v>
      </c>
      <c r="AU106" s="1" t="s">
        <v>3108</v>
      </c>
      <c r="AV106" s="37">
        <v>6.2</v>
      </c>
      <c r="AW106" s="1" t="s">
        <v>3098</v>
      </c>
      <c r="AX106" s="4">
        <v>0</v>
      </c>
      <c r="AY106" s="1" t="s">
        <v>3319</v>
      </c>
      <c r="AZ106" s="1233" t="s">
        <v>3115</v>
      </c>
      <c r="BA106" s="4">
        <v>2.17</v>
      </c>
    </row>
    <row r="107" spans="1:53">
      <c r="S107" s="1" t="s">
        <v>1779</v>
      </c>
      <c r="T107" s="4">
        <v>300</v>
      </c>
      <c r="U107" s="1233" t="s">
        <v>3208</v>
      </c>
      <c r="V107" s="3">
        <v>39.999999999999993</v>
      </c>
      <c r="W107" s="1" t="s">
        <v>3314</v>
      </c>
      <c r="X107" s="4">
        <v>24</v>
      </c>
      <c r="Y107" s="1" t="s">
        <v>3258</v>
      </c>
      <c r="Z107" s="3">
        <v>153</v>
      </c>
      <c r="AA107" s="1233" t="s">
        <v>3123</v>
      </c>
      <c r="AB107" s="31">
        <v>1.35</v>
      </c>
      <c r="AC107" s="749" t="s">
        <v>3185</v>
      </c>
      <c r="AD107" s="3">
        <v>1.2</v>
      </c>
      <c r="AE107" s="1" t="s">
        <v>441</v>
      </c>
      <c r="AF107" s="3">
        <v>0.10023310023310023</v>
      </c>
      <c r="AG107" s="1" t="s">
        <v>3148</v>
      </c>
      <c r="AH107" s="3">
        <v>23.000000000000004</v>
      </c>
      <c r="AI107" s="1" t="s">
        <v>3125</v>
      </c>
      <c r="AJ107" s="3">
        <v>0.11997760044799105</v>
      </c>
      <c r="AK107" s="1" t="s">
        <v>1811</v>
      </c>
      <c r="AL107" s="4">
        <v>0.155</v>
      </c>
      <c r="AM107" s="1233" t="s">
        <v>3293</v>
      </c>
      <c r="AN107" s="49">
        <v>1.8</v>
      </c>
      <c r="AO107" s="1233" t="s">
        <v>3126</v>
      </c>
      <c r="AP107" s="1234">
        <v>0.16</v>
      </c>
      <c r="AQ107" s="82" t="s">
        <v>3103</v>
      </c>
      <c r="AR107" s="4">
        <v>23</v>
      </c>
      <c r="AS107" s="1" t="s">
        <v>3271</v>
      </c>
      <c r="AT107" s="3">
        <v>2.5000000000000001E-2</v>
      </c>
      <c r="AU107" s="749" t="s">
        <v>3306</v>
      </c>
      <c r="AV107" s="42">
        <v>6.2</v>
      </c>
      <c r="AW107" s="1" t="s">
        <v>3117</v>
      </c>
      <c r="AX107" s="34">
        <v>0</v>
      </c>
      <c r="AY107" s="1" t="s">
        <v>467</v>
      </c>
      <c r="AZ107" s="1" t="s">
        <v>3114</v>
      </c>
      <c r="BA107" s="4">
        <v>2.17</v>
      </c>
    </row>
    <row r="108" spans="1:53">
      <c r="S108" s="1" t="s">
        <v>3471</v>
      </c>
      <c r="T108" s="34">
        <v>294</v>
      </c>
      <c r="U108" s="749" t="s">
        <v>3262</v>
      </c>
      <c r="V108" s="4">
        <v>39</v>
      </c>
      <c r="W108" s="325" t="s">
        <v>3161</v>
      </c>
      <c r="X108" s="3">
        <v>24</v>
      </c>
      <c r="Y108" s="325" t="s">
        <v>3296</v>
      </c>
      <c r="Z108" s="3">
        <v>151.5</v>
      </c>
      <c r="AA108" s="1" t="s">
        <v>3150</v>
      </c>
      <c r="AB108" s="3">
        <v>1.32</v>
      </c>
      <c r="AC108" s="1233" t="s">
        <v>414</v>
      </c>
      <c r="AD108" s="49">
        <v>1.1599999999999999</v>
      </c>
      <c r="AE108" s="1" t="s">
        <v>3494</v>
      </c>
      <c r="AF108" s="236">
        <v>0.10000000000000002</v>
      </c>
      <c r="AG108" s="749" t="s">
        <v>3163</v>
      </c>
      <c r="AH108" s="3">
        <v>23.000000000000004</v>
      </c>
      <c r="AI108" s="1" t="s">
        <v>3433</v>
      </c>
      <c r="AJ108" s="3">
        <v>0.11997760044799105</v>
      </c>
      <c r="AK108" s="1" t="s">
        <v>475</v>
      </c>
      <c r="AL108" s="34">
        <v>0.155</v>
      </c>
      <c r="AM108" s="325" t="s">
        <v>3132</v>
      </c>
      <c r="AN108" s="4">
        <v>1.72</v>
      </c>
      <c r="AO108" s="1" t="s">
        <v>1789</v>
      </c>
      <c r="AP108" s="4">
        <v>0.16</v>
      </c>
      <c r="AQ108" s="1" t="s">
        <v>3150</v>
      </c>
      <c r="AR108" s="3">
        <v>23</v>
      </c>
      <c r="AS108" s="1" t="s">
        <v>3368</v>
      </c>
      <c r="AT108" s="49">
        <v>0.01</v>
      </c>
      <c r="AU108" s="325" t="s">
        <v>3298</v>
      </c>
      <c r="AV108" s="42">
        <v>6.2</v>
      </c>
      <c r="AW108" s="1" t="s">
        <v>3099</v>
      </c>
      <c r="AX108" s="37">
        <v>0</v>
      </c>
      <c r="AY108" s="1" t="s">
        <v>3320</v>
      </c>
      <c r="AZ108" s="1" t="s">
        <v>3091</v>
      </c>
      <c r="BA108" s="4">
        <v>2.1399956924402326</v>
      </c>
    </row>
    <row r="109" spans="1:53">
      <c r="S109" s="1" t="s">
        <v>1851</v>
      </c>
      <c r="T109" s="34">
        <v>294</v>
      </c>
      <c r="U109" s="1" t="s">
        <v>3200</v>
      </c>
      <c r="V109" s="3">
        <v>38.965899999999998</v>
      </c>
      <c r="W109" s="1233" t="s">
        <v>3365</v>
      </c>
      <c r="X109" s="3">
        <v>24</v>
      </c>
      <c r="Y109" s="1" t="s">
        <v>3514</v>
      </c>
      <c r="Z109" s="3">
        <v>151.5</v>
      </c>
      <c r="AA109" s="1" t="s">
        <v>3148</v>
      </c>
      <c r="AB109" s="3">
        <v>1.3198040587823654</v>
      </c>
      <c r="AC109" s="491" t="s">
        <v>3510</v>
      </c>
      <c r="AD109" s="3">
        <v>1.1100000000000001</v>
      </c>
      <c r="AE109" s="1232" t="s">
        <v>469</v>
      </c>
      <c r="AF109" s="4">
        <v>0.1</v>
      </c>
      <c r="AG109" s="749" t="s">
        <v>3149</v>
      </c>
      <c r="AH109" s="3">
        <v>23.000000000000004</v>
      </c>
      <c r="AI109" s="1" t="s">
        <v>3116</v>
      </c>
      <c r="AJ109" s="49">
        <v>0.11000000000000001</v>
      </c>
      <c r="AK109" s="325" t="s">
        <v>3249</v>
      </c>
      <c r="AL109" s="3">
        <v>0.1508515815085158</v>
      </c>
      <c r="AM109" s="1233" t="s">
        <v>3123</v>
      </c>
      <c r="AN109" s="31">
        <v>1.71</v>
      </c>
      <c r="AO109" s="749" t="s">
        <v>3267</v>
      </c>
      <c r="AP109" s="4">
        <v>0.16</v>
      </c>
      <c r="AQ109" s="1" t="s">
        <v>3151</v>
      </c>
      <c r="AR109" s="34">
        <v>23</v>
      </c>
      <c r="AS109" s="1" t="s">
        <v>3366</v>
      </c>
      <c r="AT109" s="4">
        <f>AVERAGE(AT107:AT108)</f>
        <v>1.7500000000000002E-2</v>
      </c>
      <c r="AU109" s="1" t="s">
        <v>1837</v>
      </c>
      <c r="AV109" s="34">
        <v>5.7</v>
      </c>
      <c r="AW109" s="1" t="s">
        <v>438</v>
      </c>
      <c r="AX109" s="37">
        <v>0</v>
      </c>
      <c r="AY109" s="1" t="s">
        <v>3321</v>
      </c>
      <c r="AZ109" s="1" t="s">
        <v>3092</v>
      </c>
      <c r="BA109" s="4">
        <v>2.1399956924402326</v>
      </c>
    </row>
    <row r="110" spans="1:53">
      <c r="S110" s="749" t="s">
        <v>3164</v>
      </c>
      <c r="T110" s="31">
        <v>291</v>
      </c>
      <c r="U110" s="1" t="s">
        <v>3106</v>
      </c>
      <c r="V110" s="42">
        <v>37</v>
      </c>
      <c r="W110" s="749" t="s">
        <v>3464</v>
      </c>
      <c r="X110" s="4">
        <v>23.5</v>
      </c>
      <c r="Y110" s="749" t="s">
        <v>3160</v>
      </c>
      <c r="Z110" s="3">
        <v>150</v>
      </c>
      <c r="AA110" s="749" t="s">
        <v>3163</v>
      </c>
      <c r="AB110" s="3">
        <v>1.3198040587823654</v>
      </c>
      <c r="AC110" s="749" t="s">
        <v>3291</v>
      </c>
      <c r="AD110" s="4">
        <v>1.0900000000000001</v>
      </c>
      <c r="AE110" s="1" t="s">
        <v>421</v>
      </c>
      <c r="AF110" s="34">
        <v>0.1</v>
      </c>
      <c r="AG110" s="325" t="s">
        <v>3131</v>
      </c>
      <c r="AH110" s="34">
        <v>22</v>
      </c>
      <c r="AI110" s="1" t="s">
        <v>438</v>
      </c>
      <c r="AJ110" s="42">
        <v>0.1</v>
      </c>
      <c r="AK110" s="1" t="s">
        <v>3249</v>
      </c>
      <c r="AL110" s="3">
        <v>0.1508515815085158</v>
      </c>
      <c r="AM110" s="1" t="s">
        <v>3090</v>
      </c>
      <c r="AN110" s="3">
        <v>1.7</v>
      </c>
      <c r="AO110" s="325" t="s">
        <v>3280</v>
      </c>
      <c r="AP110" s="1234">
        <v>0.156</v>
      </c>
      <c r="AQ110" s="1233" t="s">
        <v>3444</v>
      </c>
      <c r="AR110" s="49">
        <v>23</v>
      </c>
      <c r="AS110" s="1233" t="s">
        <v>414</v>
      </c>
      <c r="AT110" s="1234">
        <v>0</v>
      </c>
      <c r="AU110" s="1233" t="s">
        <v>3115</v>
      </c>
      <c r="AV110" s="3">
        <v>5.44</v>
      </c>
      <c r="AW110" s="1233" t="s">
        <v>3100</v>
      </c>
      <c r="AX110" s="3">
        <v>0</v>
      </c>
      <c r="AY110" s="749" t="s">
        <v>3322</v>
      </c>
      <c r="AZ110" s="1233" t="s">
        <v>414</v>
      </c>
      <c r="BA110" s="1234">
        <v>2.1</v>
      </c>
    </row>
    <row r="111" spans="1:53">
      <c r="S111" s="1" t="s">
        <v>3368</v>
      </c>
      <c r="T111" s="49">
        <v>291</v>
      </c>
      <c r="U111" s="1" t="s">
        <v>3368</v>
      </c>
      <c r="V111" s="49">
        <v>37</v>
      </c>
      <c r="W111" s="749" t="s">
        <v>3183</v>
      </c>
      <c r="X111" s="4">
        <v>23.5</v>
      </c>
      <c r="Y111" s="1" t="s">
        <v>3146</v>
      </c>
      <c r="Z111" s="3">
        <v>150</v>
      </c>
      <c r="AA111" s="749" t="s">
        <v>3149</v>
      </c>
      <c r="AB111" s="3">
        <v>1.3198040587823654</v>
      </c>
      <c r="AC111" s="325" t="s">
        <v>3216</v>
      </c>
      <c r="AD111" s="31">
        <v>1.0399999999999998</v>
      </c>
      <c r="AE111" s="1" t="s">
        <v>3116</v>
      </c>
      <c r="AF111" s="34">
        <v>0.1</v>
      </c>
      <c r="AG111" s="1" t="s">
        <v>3133</v>
      </c>
      <c r="AH111" s="4">
        <v>22</v>
      </c>
      <c r="AI111" s="1232" t="s">
        <v>469</v>
      </c>
      <c r="AJ111" s="4">
        <v>0.1</v>
      </c>
      <c r="AK111" s="1" t="s">
        <v>1803</v>
      </c>
      <c r="AL111" s="4">
        <v>0.15</v>
      </c>
      <c r="AM111" s="749" t="s">
        <v>3274</v>
      </c>
      <c r="AN111" s="4">
        <v>1.65</v>
      </c>
      <c r="AO111" s="1" t="s">
        <v>3314</v>
      </c>
      <c r="AP111" s="4">
        <v>0.15</v>
      </c>
      <c r="AQ111" s="1232" t="s">
        <v>3503</v>
      </c>
      <c r="AR111" s="3">
        <v>22</v>
      </c>
      <c r="AS111" s="1" t="s">
        <v>3117</v>
      </c>
      <c r="AT111" s="34">
        <v>0</v>
      </c>
      <c r="AU111" s="1" t="s">
        <v>3114</v>
      </c>
      <c r="AV111" s="3">
        <v>5.44</v>
      </c>
      <c r="AW111" s="1" t="s">
        <v>3101</v>
      </c>
      <c r="AX111" s="3">
        <v>0</v>
      </c>
      <c r="AY111" s="1" t="s">
        <v>3314</v>
      </c>
      <c r="AZ111" s="1232" t="s">
        <v>469</v>
      </c>
      <c r="BA111" s="1234">
        <v>2.1</v>
      </c>
    </row>
    <row r="112" spans="1:53">
      <c r="S112" s="1" t="s">
        <v>3106</v>
      </c>
      <c r="T112" s="42">
        <v>290</v>
      </c>
      <c r="U112" s="1" t="s">
        <v>438</v>
      </c>
      <c r="V112" s="42">
        <v>36</v>
      </c>
      <c r="W112" s="1" t="s">
        <v>3233</v>
      </c>
      <c r="X112" s="34">
        <v>23</v>
      </c>
      <c r="Y112" s="749" t="s">
        <v>3164</v>
      </c>
      <c r="Z112" s="31">
        <v>149</v>
      </c>
      <c r="AA112" s="1" t="s">
        <v>3095</v>
      </c>
      <c r="AB112" s="4">
        <v>1.3</v>
      </c>
      <c r="AC112" s="749" t="s">
        <v>3172</v>
      </c>
      <c r="AD112" s="37">
        <v>1</v>
      </c>
      <c r="AE112" s="1232" t="s">
        <v>3137</v>
      </c>
      <c r="AF112" s="4">
        <v>0.1</v>
      </c>
      <c r="AG112" s="82" t="s">
        <v>3246</v>
      </c>
      <c r="AH112" s="4">
        <v>22</v>
      </c>
      <c r="AI112" s="1" t="s">
        <v>1764</v>
      </c>
      <c r="AJ112" s="4">
        <v>0.1</v>
      </c>
      <c r="AK112" s="1" t="s">
        <v>3368</v>
      </c>
      <c r="AL112" s="49">
        <v>0.15</v>
      </c>
      <c r="AM112" s="1" t="s">
        <v>1831</v>
      </c>
      <c r="AN112" s="4">
        <v>1.6</v>
      </c>
      <c r="AO112" s="1" t="s">
        <v>3368</v>
      </c>
      <c r="AP112" s="49">
        <v>0.15</v>
      </c>
      <c r="AQ112" s="749" t="s">
        <v>3504</v>
      </c>
      <c r="AR112" s="3">
        <v>22</v>
      </c>
      <c r="AS112" s="1" t="s">
        <v>3099</v>
      </c>
      <c r="AT112" s="37">
        <v>0</v>
      </c>
      <c r="AU112" s="1" t="s">
        <v>1791</v>
      </c>
      <c r="AV112" s="4">
        <v>5.4</v>
      </c>
      <c r="AW112" s="1" t="s">
        <v>3104</v>
      </c>
      <c r="AX112" s="37">
        <v>0</v>
      </c>
      <c r="AY112" s="1" t="s">
        <v>3323</v>
      </c>
      <c r="AZ112" s="1" t="s">
        <v>421</v>
      </c>
      <c r="BA112" s="4">
        <v>2.1</v>
      </c>
    </row>
    <row r="113" spans="19:53">
      <c r="S113" s="1" t="s">
        <v>3091</v>
      </c>
      <c r="T113" s="3">
        <v>288</v>
      </c>
      <c r="U113" s="1" t="s">
        <v>3093</v>
      </c>
      <c r="V113" s="49">
        <v>36</v>
      </c>
      <c r="W113" s="749" t="s">
        <v>3172</v>
      </c>
      <c r="X113" s="37">
        <v>23</v>
      </c>
      <c r="Y113" s="749" t="s">
        <v>3185</v>
      </c>
      <c r="Z113" s="3">
        <v>144</v>
      </c>
      <c r="AA113" s="1" t="s">
        <v>3116</v>
      </c>
      <c r="AB113" s="49">
        <v>1.3</v>
      </c>
      <c r="AC113" s="1233" t="s">
        <v>3444</v>
      </c>
      <c r="AD113" s="31">
        <v>1</v>
      </c>
      <c r="AE113" s="1" t="s">
        <v>1776</v>
      </c>
      <c r="AF113" s="4">
        <v>0.1</v>
      </c>
      <c r="AG113" s="1" t="s">
        <v>3426</v>
      </c>
      <c r="AH113" s="34">
        <v>20</v>
      </c>
      <c r="AI113" s="1" t="s">
        <v>3087</v>
      </c>
      <c r="AJ113" s="4">
        <v>0.1</v>
      </c>
      <c r="AK113" s="1233" t="s">
        <v>3134</v>
      </c>
      <c r="AL113" s="3">
        <v>0.14605692953803082</v>
      </c>
      <c r="AM113" s="749" t="s">
        <v>3184</v>
      </c>
      <c r="AN113" s="3">
        <v>1.6</v>
      </c>
      <c r="AO113" s="749" t="s">
        <v>3209</v>
      </c>
      <c r="AP113" s="4">
        <v>0.13</v>
      </c>
      <c r="AQ113" s="1" t="s">
        <v>3254</v>
      </c>
      <c r="AR113" s="3">
        <v>22</v>
      </c>
      <c r="AS113" s="1" t="s">
        <v>438</v>
      </c>
      <c r="AT113" s="37">
        <v>0</v>
      </c>
      <c r="AU113" s="1" t="s">
        <v>1792</v>
      </c>
      <c r="AV113" s="4">
        <v>5.23</v>
      </c>
      <c r="AW113" s="1232" t="s">
        <v>3145</v>
      </c>
      <c r="AX113" s="37">
        <v>0</v>
      </c>
      <c r="AY113" s="24" t="s">
        <v>3324</v>
      </c>
      <c r="AZ113" s="1239" t="s">
        <v>3126</v>
      </c>
      <c r="BA113" s="49">
        <v>2</v>
      </c>
    </row>
    <row r="114" spans="19:53">
      <c r="S114" s="24" t="s">
        <v>3092</v>
      </c>
      <c r="T114" s="3">
        <v>288</v>
      </c>
      <c r="U114" s="1244" t="s">
        <v>3138</v>
      </c>
      <c r="V114" s="54">
        <v>35.863636363636367</v>
      </c>
      <c r="W114" s="492" t="s">
        <v>3173</v>
      </c>
      <c r="X114" s="4">
        <v>23</v>
      </c>
      <c r="Y114" s="24" t="s">
        <v>3471</v>
      </c>
      <c r="Z114" s="34">
        <v>142</v>
      </c>
      <c r="AA114" s="24" t="s">
        <v>422</v>
      </c>
      <c r="AB114" s="4">
        <v>1.25</v>
      </c>
      <c r="AC114" s="24" t="s">
        <v>3466</v>
      </c>
      <c r="AD114" s="3">
        <v>1</v>
      </c>
      <c r="AE114" s="24" t="s">
        <v>1801</v>
      </c>
      <c r="AF114" s="60">
        <v>0.1</v>
      </c>
      <c r="AG114" s="24" t="s">
        <v>3212</v>
      </c>
      <c r="AH114" s="4">
        <v>19</v>
      </c>
      <c r="AI114" s="24" t="s">
        <v>1790</v>
      </c>
      <c r="AJ114" s="4">
        <v>0.1</v>
      </c>
      <c r="AK114" s="24" t="s">
        <v>3135</v>
      </c>
      <c r="AL114" s="3">
        <v>0.14605692953803082</v>
      </c>
      <c r="AM114" s="24" t="s">
        <v>3469</v>
      </c>
      <c r="AN114" s="3">
        <v>1.6</v>
      </c>
      <c r="AO114" s="24" t="s">
        <v>91</v>
      </c>
      <c r="AP114" s="49">
        <v>0.13</v>
      </c>
      <c r="AQ114" s="24" t="s">
        <v>3277</v>
      </c>
      <c r="AR114" s="3">
        <v>22</v>
      </c>
      <c r="AS114" s="1239" t="s">
        <v>3100</v>
      </c>
      <c r="AT114" s="3">
        <v>0</v>
      </c>
      <c r="AU114" s="24" t="s">
        <v>3117</v>
      </c>
      <c r="AV114" s="34">
        <v>5</v>
      </c>
      <c r="AW114" s="24" t="s">
        <v>3432</v>
      </c>
      <c r="AX114" s="37">
        <v>0</v>
      </c>
      <c r="AY114" s="1" t="s">
        <v>3445</v>
      </c>
      <c r="AZ114" s="1232" t="s">
        <v>3137</v>
      </c>
      <c r="BA114" s="49">
        <v>2</v>
      </c>
    </row>
    <row r="115" spans="19:53">
      <c r="S115" s="1" t="s">
        <v>421</v>
      </c>
      <c r="T115" s="4">
        <v>288</v>
      </c>
      <c r="U115" s="1" t="s">
        <v>1783</v>
      </c>
      <c r="V115" s="4">
        <v>35.1</v>
      </c>
      <c r="W115" s="1" t="s">
        <v>3174</v>
      </c>
      <c r="X115" s="4">
        <v>23</v>
      </c>
      <c r="Y115" s="1" t="s">
        <v>1851</v>
      </c>
      <c r="Z115" s="34">
        <v>142</v>
      </c>
      <c r="AA115" s="82" t="s">
        <v>3103</v>
      </c>
      <c r="AB115" s="4">
        <v>1.2</v>
      </c>
      <c r="AC115" s="1" t="s">
        <v>3095</v>
      </c>
      <c r="AD115" s="34">
        <v>0.93</v>
      </c>
      <c r="AE115" s="1" t="s">
        <v>460</v>
      </c>
      <c r="AF115" s="60">
        <v>0.1</v>
      </c>
      <c r="AG115" s="1233" t="s">
        <v>3256</v>
      </c>
      <c r="AH115" s="33">
        <v>18</v>
      </c>
      <c r="AI115" s="1" t="s">
        <v>3319</v>
      </c>
      <c r="AJ115" s="4">
        <v>0.1</v>
      </c>
      <c r="AK115" s="1" t="s">
        <v>3144</v>
      </c>
      <c r="AL115" s="3">
        <v>0.14605692953803082</v>
      </c>
      <c r="AM115" s="1" t="s">
        <v>3329</v>
      </c>
      <c r="AN115" s="3">
        <v>1.6</v>
      </c>
      <c r="AO115" s="1" t="s">
        <v>1837</v>
      </c>
      <c r="AP115" s="34">
        <v>0.128</v>
      </c>
      <c r="AQ115" s="1" t="s">
        <v>3258</v>
      </c>
      <c r="AR115" s="3">
        <v>22</v>
      </c>
      <c r="AS115" s="1" t="s">
        <v>3101</v>
      </c>
      <c r="AT115" s="3">
        <v>0</v>
      </c>
      <c r="AU115" s="1233" t="s">
        <v>3089</v>
      </c>
      <c r="AV115" s="31">
        <v>5</v>
      </c>
      <c r="AW115" s="749" t="s">
        <v>3130</v>
      </c>
      <c r="AX115" s="58">
        <v>0</v>
      </c>
      <c r="AY115" s="1" t="s">
        <v>3446</v>
      </c>
      <c r="AZ115" s="1" t="s">
        <v>468</v>
      </c>
      <c r="BA115" s="4">
        <v>2</v>
      </c>
    </row>
    <row r="116" spans="19:53">
      <c r="S116" s="1233" t="s">
        <v>3126</v>
      </c>
      <c r="T116" s="49">
        <v>287</v>
      </c>
      <c r="U116" s="1233" t="s">
        <v>3123</v>
      </c>
      <c r="V116" s="31">
        <v>35</v>
      </c>
      <c r="W116" s="1" t="s">
        <v>3466</v>
      </c>
      <c r="X116" s="3">
        <v>23</v>
      </c>
      <c r="Y116" s="749" t="s">
        <v>3207</v>
      </c>
      <c r="Z116" s="42">
        <v>140</v>
      </c>
      <c r="AA116" s="1" t="s">
        <v>3112</v>
      </c>
      <c r="AB116" s="49">
        <v>1.2</v>
      </c>
      <c r="AC116" s="1" t="s">
        <v>3116</v>
      </c>
      <c r="AD116" s="49">
        <v>0.9</v>
      </c>
      <c r="AE116" s="1" t="s">
        <v>468</v>
      </c>
      <c r="AF116" s="60">
        <v>0.1</v>
      </c>
      <c r="AG116" s="1" t="s">
        <v>3257</v>
      </c>
      <c r="AH116" s="33">
        <v>18</v>
      </c>
      <c r="AI116" s="1" t="s">
        <v>3471</v>
      </c>
      <c r="AJ116" s="34">
        <v>0.1</v>
      </c>
      <c r="AK116" s="1" t="s">
        <v>3327</v>
      </c>
      <c r="AL116" s="42">
        <v>0.14500000000000002</v>
      </c>
      <c r="AM116" s="1" t="s">
        <v>3330</v>
      </c>
      <c r="AN116" s="3">
        <v>1.6</v>
      </c>
      <c r="AO116" s="53" t="s">
        <v>3139</v>
      </c>
      <c r="AP116" s="4">
        <v>0.122</v>
      </c>
      <c r="AQ116" s="325" t="s">
        <v>3216</v>
      </c>
      <c r="AR116" s="31">
        <v>21</v>
      </c>
      <c r="AS116" s="1" t="s">
        <v>3104</v>
      </c>
      <c r="AT116" s="37">
        <v>0</v>
      </c>
      <c r="AU116" s="1" t="s">
        <v>1781</v>
      </c>
      <c r="AV116" s="4">
        <v>5</v>
      </c>
      <c r="AW116" s="1" t="s">
        <v>3435</v>
      </c>
      <c r="AX116" s="58">
        <v>0</v>
      </c>
      <c r="AY116" s="1" t="s">
        <v>1803</v>
      </c>
      <c r="AZ116" s="1" t="s">
        <v>1790</v>
      </c>
      <c r="BA116" s="4">
        <v>2</v>
      </c>
    </row>
    <row r="117" spans="19:53">
      <c r="S117" s="1233" t="s">
        <v>3157</v>
      </c>
      <c r="T117" s="1234">
        <v>287</v>
      </c>
      <c r="U117" s="749" t="s">
        <v>3506</v>
      </c>
      <c r="V117" s="3">
        <v>35</v>
      </c>
      <c r="W117" s="1233" t="s">
        <v>1861</v>
      </c>
      <c r="X117" s="4">
        <v>23</v>
      </c>
      <c r="Y117" s="1" t="s">
        <v>3327</v>
      </c>
      <c r="Z117" s="42">
        <v>140</v>
      </c>
      <c r="AA117" s="1233" t="s">
        <v>3252</v>
      </c>
      <c r="AB117" s="3">
        <v>1.2</v>
      </c>
      <c r="AC117" s="1" t="s">
        <v>441</v>
      </c>
      <c r="AD117" s="3">
        <v>0.89976689976689983</v>
      </c>
      <c r="AE117" s="1" t="s">
        <v>1779</v>
      </c>
      <c r="AF117" s="4">
        <v>0.1</v>
      </c>
      <c r="AG117" s="1" t="s">
        <v>1791</v>
      </c>
      <c r="AH117" s="4">
        <v>17</v>
      </c>
      <c r="AI117" s="1" t="s">
        <v>1851</v>
      </c>
      <c r="AJ117" s="34">
        <v>0.1</v>
      </c>
      <c r="AK117" s="1" t="s">
        <v>3457</v>
      </c>
      <c r="AL117" s="4">
        <v>0.14399999999999999</v>
      </c>
      <c r="AM117" s="1" t="s">
        <v>134</v>
      </c>
      <c r="AN117" s="3">
        <v>1.6</v>
      </c>
      <c r="AO117" s="1233" t="s">
        <v>3208</v>
      </c>
      <c r="AP117" s="3">
        <v>0.12044817927170867</v>
      </c>
      <c r="AQ117" s="82" t="s">
        <v>3224</v>
      </c>
      <c r="AR117" s="34">
        <v>21</v>
      </c>
      <c r="AS117" s="1232" t="s">
        <v>3145</v>
      </c>
      <c r="AT117" s="37">
        <v>0</v>
      </c>
      <c r="AU117" s="1" t="s">
        <v>467</v>
      </c>
      <c r="AV117" s="4">
        <v>5</v>
      </c>
      <c r="AW117" s="1233" t="s">
        <v>3124</v>
      </c>
      <c r="AX117" s="37">
        <v>0</v>
      </c>
      <c r="AY117" s="1" t="s">
        <v>3448</v>
      </c>
      <c r="AZ117" s="1" t="s">
        <v>3319</v>
      </c>
      <c r="BA117" s="4">
        <v>2</v>
      </c>
    </row>
    <row r="118" spans="19:53">
      <c r="S118" s="1310" t="s">
        <v>3248</v>
      </c>
      <c r="T118" s="4">
        <v>287</v>
      </c>
      <c r="U118" s="1" t="s">
        <v>3320</v>
      </c>
      <c r="V118" s="4">
        <v>34.700000000000003</v>
      </c>
      <c r="W118" s="1" t="s">
        <v>3197</v>
      </c>
      <c r="X118" s="4">
        <v>23</v>
      </c>
      <c r="Y118" s="1" t="s">
        <v>3271</v>
      </c>
      <c r="Z118" s="3">
        <v>140</v>
      </c>
      <c r="AA118" s="1" t="s">
        <v>3314</v>
      </c>
      <c r="AB118" s="4">
        <v>1.1000000000000001</v>
      </c>
      <c r="AC118" s="1233" t="s">
        <v>3123</v>
      </c>
      <c r="AD118" s="31">
        <v>0.89</v>
      </c>
      <c r="AE118" s="1" t="s">
        <v>467</v>
      </c>
      <c r="AF118" s="4">
        <v>0.1</v>
      </c>
      <c r="AG118" s="1" t="s">
        <v>3448</v>
      </c>
      <c r="AH118" s="1144">
        <v>17</v>
      </c>
      <c r="AI118" s="1" t="s">
        <v>3329</v>
      </c>
      <c r="AJ118" s="3">
        <v>0.1</v>
      </c>
      <c r="AK118" s="1" t="s">
        <v>3452</v>
      </c>
      <c r="AL118" s="4">
        <v>0.14000000000000001</v>
      </c>
      <c r="AM118" s="749" t="s">
        <v>3193</v>
      </c>
      <c r="AN118" s="37">
        <v>1.5827500000000001</v>
      </c>
      <c r="AO118" s="1" t="s">
        <v>3428</v>
      </c>
      <c r="AP118" s="34">
        <v>0.12</v>
      </c>
      <c r="AQ118" s="1154" t="s">
        <v>3290</v>
      </c>
      <c r="AR118" s="4">
        <v>21</v>
      </c>
      <c r="AS118" s="1" t="s">
        <v>3432</v>
      </c>
      <c r="AT118" s="37">
        <v>0</v>
      </c>
      <c r="AU118" s="1232" t="s">
        <v>518</v>
      </c>
      <c r="AV118" s="1234">
        <v>4.5</v>
      </c>
      <c r="AW118" s="1" t="s">
        <v>3125</v>
      </c>
      <c r="AX118" s="37">
        <v>0</v>
      </c>
      <c r="AY118" s="325" t="s">
        <v>3450</v>
      </c>
      <c r="AZ118" s="1" t="s">
        <v>3320</v>
      </c>
      <c r="BA118" s="4">
        <v>2</v>
      </c>
    </row>
    <row r="119" spans="19:53">
      <c r="S119" s="1" t="s">
        <v>3200</v>
      </c>
      <c r="T119" s="3">
        <v>279.2088</v>
      </c>
      <c r="U119" s="1" t="s">
        <v>3339</v>
      </c>
      <c r="V119" s="42">
        <v>34.700000000000003</v>
      </c>
      <c r="W119" s="1233" t="s">
        <v>3121</v>
      </c>
      <c r="X119" s="31">
        <v>22</v>
      </c>
      <c r="Y119" s="749" t="s">
        <v>3172</v>
      </c>
      <c r="Z119" s="37">
        <v>138</v>
      </c>
      <c r="AA119" s="1233" t="s">
        <v>3121</v>
      </c>
      <c r="AB119" s="31">
        <v>1</v>
      </c>
      <c r="AC119" s="1232" t="s">
        <v>3215</v>
      </c>
      <c r="AD119" s="4">
        <v>0.86753420086753441</v>
      </c>
      <c r="AE119" s="1" t="s">
        <v>3320</v>
      </c>
      <c r="AF119" s="4">
        <v>0.1</v>
      </c>
      <c r="AG119" s="1" t="s">
        <v>3447</v>
      </c>
      <c r="AH119" s="1144">
        <v>17</v>
      </c>
      <c r="AI119" s="1" t="s">
        <v>3330</v>
      </c>
      <c r="AJ119" s="3">
        <v>0.1</v>
      </c>
      <c r="AK119" s="325" t="s">
        <v>3451</v>
      </c>
      <c r="AL119" s="4">
        <v>0.14000000000000001</v>
      </c>
      <c r="AM119" s="1233" t="s">
        <v>3194</v>
      </c>
      <c r="AN119" s="37">
        <v>1.5827500000000001</v>
      </c>
      <c r="AO119" s="1233" t="s">
        <v>3115</v>
      </c>
      <c r="AP119" s="3">
        <v>0.12</v>
      </c>
      <c r="AQ119" s="1233" t="s">
        <v>3208</v>
      </c>
      <c r="AR119" s="3">
        <v>20.999999999999996</v>
      </c>
      <c r="AS119" s="749" t="s">
        <v>3130</v>
      </c>
      <c r="AT119" s="37">
        <v>0</v>
      </c>
      <c r="AU119" s="1" t="s">
        <v>3313</v>
      </c>
      <c r="AV119" s="31">
        <v>4.2779999999999996</v>
      </c>
      <c r="AW119" s="1" t="s">
        <v>3433</v>
      </c>
      <c r="AX119" s="37">
        <v>0</v>
      </c>
      <c r="AY119" s="1" t="s">
        <v>3452</v>
      </c>
      <c r="AZ119" s="1" t="s">
        <v>3356</v>
      </c>
      <c r="BA119" s="4">
        <v>2</v>
      </c>
    </row>
    <row r="120" spans="19:53">
      <c r="S120" s="1" t="s">
        <v>3437</v>
      </c>
      <c r="T120" s="4">
        <v>276</v>
      </c>
      <c r="U120" s="82" t="s">
        <v>3246</v>
      </c>
      <c r="V120" s="4">
        <v>33</v>
      </c>
      <c r="W120" s="749" t="s">
        <v>3130</v>
      </c>
      <c r="X120" s="3">
        <v>22</v>
      </c>
      <c r="Y120" s="1" t="s">
        <v>3466</v>
      </c>
      <c r="Z120" s="3">
        <v>138</v>
      </c>
      <c r="AA120" s="1" t="s">
        <v>3430</v>
      </c>
      <c r="AB120" s="31">
        <v>1</v>
      </c>
      <c r="AC120" s="1" t="s">
        <v>3497</v>
      </c>
      <c r="AD120" s="42">
        <v>0.81002044989775057</v>
      </c>
      <c r="AE120" s="1" t="s">
        <v>3321</v>
      </c>
      <c r="AF120" s="4">
        <v>0.1</v>
      </c>
      <c r="AG120" s="325" t="s">
        <v>3161</v>
      </c>
      <c r="AH120" s="3">
        <v>17</v>
      </c>
      <c r="AI120" s="1" t="s">
        <v>134</v>
      </c>
      <c r="AJ120" s="3">
        <v>0.1</v>
      </c>
      <c r="AK120" s="325" t="s">
        <v>3453</v>
      </c>
      <c r="AL120" s="49">
        <v>0.14000000000000001</v>
      </c>
      <c r="AM120" s="749" t="s">
        <v>3269</v>
      </c>
      <c r="AN120" s="4">
        <v>1.54</v>
      </c>
      <c r="AO120" s="1" t="s">
        <v>3114</v>
      </c>
      <c r="AP120" s="3">
        <v>0.12</v>
      </c>
      <c r="AQ120" s="1" t="s">
        <v>27</v>
      </c>
      <c r="AR120" s="42">
        <v>20</v>
      </c>
      <c r="AS120" s="1" t="s">
        <v>3435</v>
      </c>
      <c r="AT120" s="37">
        <v>0</v>
      </c>
      <c r="AU120" s="1" t="s">
        <v>460</v>
      </c>
      <c r="AV120" s="4">
        <v>4</v>
      </c>
      <c r="AW120" s="1232" t="s">
        <v>3105</v>
      </c>
      <c r="AX120" s="37">
        <v>0</v>
      </c>
      <c r="AY120" s="1" t="s">
        <v>3447</v>
      </c>
      <c r="AZ120" s="1" t="s">
        <v>3497</v>
      </c>
      <c r="BA120" s="40">
        <v>2</v>
      </c>
    </row>
    <row r="121" spans="19:53">
      <c r="S121" s="749" t="s">
        <v>3172</v>
      </c>
      <c r="T121" s="37">
        <v>274.00000000000006</v>
      </c>
      <c r="U121" s="1233" t="s">
        <v>3115</v>
      </c>
      <c r="V121" s="3">
        <v>31.9</v>
      </c>
      <c r="W121" s="1" t="s">
        <v>3435</v>
      </c>
      <c r="X121" s="3">
        <v>22</v>
      </c>
      <c r="Y121" s="1" t="s">
        <v>3158</v>
      </c>
      <c r="Z121" s="3">
        <v>134</v>
      </c>
      <c r="AA121" s="1" t="s">
        <v>3428</v>
      </c>
      <c r="AB121" s="34">
        <v>1</v>
      </c>
      <c r="AC121" s="1" t="s">
        <v>3151</v>
      </c>
      <c r="AD121" s="37">
        <v>0.8</v>
      </c>
      <c r="AE121" s="1" t="s">
        <v>3323</v>
      </c>
      <c r="AF121" s="4">
        <v>0.1</v>
      </c>
      <c r="AG121" s="1232" t="s">
        <v>3503</v>
      </c>
      <c r="AH121" s="1234">
        <v>17</v>
      </c>
      <c r="AI121" s="749" t="s">
        <v>3267</v>
      </c>
      <c r="AJ121" s="4">
        <v>0.1</v>
      </c>
      <c r="AK121" s="1" t="s">
        <v>3151</v>
      </c>
      <c r="AL121" s="34">
        <v>0.14000000000000001</v>
      </c>
      <c r="AM121" s="1" t="s">
        <v>3368</v>
      </c>
      <c r="AN121" s="49">
        <v>1.4930000000000001</v>
      </c>
      <c r="AO121" s="1" t="s">
        <v>3315</v>
      </c>
      <c r="AP121" s="4">
        <v>0.12</v>
      </c>
      <c r="AQ121" s="1" t="s">
        <v>3222</v>
      </c>
      <c r="AR121" s="4">
        <v>20</v>
      </c>
      <c r="AS121" s="1233" t="s">
        <v>3124</v>
      </c>
      <c r="AT121" s="37">
        <v>0</v>
      </c>
      <c r="AU121" s="1" t="s">
        <v>3439</v>
      </c>
      <c r="AV121" s="42">
        <v>4</v>
      </c>
      <c r="AW121" s="1" t="s">
        <v>3106</v>
      </c>
      <c r="AX121" s="37">
        <v>0</v>
      </c>
      <c r="AY121" s="1" t="s">
        <v>3458</v>
      </c>
      <c r="AZ121" s="1" t="s">
        <v>3093</v>
      </c>
      <c r="BA121" s="49">
        <v>1.9</v>
      </c>
    </row>
    <row r="122" spans="19:53">
      <c r="S122" s="1" t="s">
        <v>3466</v>
      </c>
      <c r="T122" s="3">
        <v>274.00000000000006</v>
      </c>
      <c r="U122" s="1" t="s">
        <v>3114</v>
      </c>
      <c r="V122" s="3">
        <v>31.9</v>
      </c>
      <c r="W122" s="1233" t="s">
        <v>3124</v>
      </c>
      <c r="X122" s="3">
        <v>22</v>
      </c>
      <c r="Y122" s="1" t="s">
        <v>1827</v>
      </c>
      <c r="Z122" s="4">
        <v>133</v>
      </c>
      <c r="AA122" s="1" t="s">
        <v>3107</v>
      </c>
      <c r="AB122" s="31">
        <v>1</v>
      </c>
      <c r="AC122" s="1233" t="s">
        <v>3113</v>
      </c>
      <c r="AD122" s="3">
        <v>0.73</v>
      </c>
      <c r="AE122" s="1" t="s">
        <v>1809</v>
      </c>
      <c r="AF122" s="4">
        <v>0.1</v>
      </c>
      <c r="AG122" s="1" t="s">
        <v>3268</v>
      </c>
      <c r="AH122" s="4">
        <v>16.7</v>
      </c>
      <c r="AI122" s="1233" t="s">
        <v>3293</v>
      </c>
      <c r="AJ122" s="49">
        <v>0.1</v>
      </c>
      <c r="AK122" s="1233" t="s">
        <v>3444</v>
      </c>
      <c r="AL122" s="49">
        <v>0.14000000000000001</v>
      </c>
      <c r="AM122" s="1" t="s">
        <v>3327</v>
      </c>
      <c r="AN122" s="42">
        <v>1.48</v>
      </c>
      <c r="AO122" s="82" t="s">
        <v>3251</v>
      </c>
      <c r="AP122" s="4">
        <v>0.12</v>
      </c>
      <c r="AQ122" s="325" t="s">
        <v>3460</v>
      </c>
      <c r="AR122" s="34">
        <v>20</v>
      </c>
      <c r="AS122" s="1" t="s">
        <v>3125</v>
      </c>
      <c r="AT122" s="37">
        <v>0</v>
      </c>
      <c r="AU122" s="1" t="s">
        <v>3314</v>
      </c>
      <c r="AV122" s="4">
        <v>4</v>
      </c>
      <c r="AW122" s="1" t="s">
        <v>3091</v>
      </c>
      <c r="AX122" s="37">
        <v>0</v>
      </c>
      <c r="AY122" s="325" t="s">
        <v>3451</v>
      </c>
      <c r="AZ122" s="1" t="s">
        <v>27</v>
      </c>
      <c r="BA122" s="40">
        <v>1.9</v>
      </c>
    </row>
    <row r="123" spans="19:53">
      <c r="S123" s="1" t="s">
        <v>481</v>
      </c>
      <c r="T123" s="4">
        <v>270</v>
      </c>
      <c r="U123" s="1233" t="s">
        <v>3256</v>
      </c>
      <c r="V123" s="3">
        <v>31</v>
      </c>
      <c r="W123" s="1" t="s">
        <v>3125</v>
      </c>
      <c r="X123" s="3">
        <v>22</v>
      </c>
      <c r="Y123" s="1" t="s">
        <v>3200</v>
      </c>
      <c r="Z123" s="3">
        <v>131.17240000000001</v>
      </c>
      <c r="AA123" s="1" t="s">
        <v>3434</v>
      </c>
      <c r="AB123" s="31">
        <v>1</v>
      </c>
      <c r="AC123" s="1233" t="s">
        <v>3245</v>
      </c>
      <c r="AD123" s="3">
        <v>0.69930069930069927</v>
      </c>
      <c r="AE123" s="1" t="s">
        <v>3217</v>
      </c>
      <c r="AF123" s="1341">
        <v>0.1</v>
      </c>
      <c r="AG123" s="749" t="s">
        <v>3274</v>
      </c>
      <c r="AH123" s="4">
        <v>16.3</v>
      </c>
      <c r="AI123" s="1" t="s">
        <v>3423</v>
      </c>
      <c r="AJ123" s="3">
        <v>0.1</v>
      </c>
      <c r="AK123" s="325" t="s">
        <v>3155</v>
      </c>
      <c r="AL123" s="49">
        <v>0.14000000000000001</v>
      </c>
      <c r="AM123" s="749" t="s">
        <v>3130</v>
      </c>
      <c r="AN123" s="3">
        <v>1.4400111997760046</v>
      </c>
      <c r="AO123" s="1" t="s">
        <v>3430</v>
      </c>
      <c r="AP123" s="31">
        <v>0.11999999999999998</v>
      </c>
      <c r="AQ123" s="1" t="s">
        <v>3225</v>
      </c>
      <c r="AR123" s="4">
        <v>20</v>
      </c>
      <c r="AS123" s="1" t="s">
        <v>3426</v>
      </c>
      <c r="AT123" s="37">
        <v>0</v>
      </c>
      <c r="AU123" s="749" t="s">
        <v>3269</v>
      </c>
      <c r="AV123" s="4">
        <v>4</v>
      </c>
      <c r="AW123" s="1" t="s">
        <v>3092</v>
      </c>
      <c r="AX123" s="37">
        <v>0</v>
      </c>
      <c r="AY123" s="1" t="s">
        <v>3463</v>
      </c>
      <c r="AZ123" s="1" t="s">
        <v>1801</v>
      </c>
      <c r="BA123" s="4">
        <v>1.9</v>
      </c>
    </row>
    <row r="124" spans="19:53">
      <c r="S124" s="1233" t="s">
        <v>3089</v>
      </c>
      <c r="T124" s="31">
        <v>266</v>
      </c>
      <c r="U124" s="1" t="s">
        <v>3257</v>
      </c>
      <c r="V124" s="3">
        <v>31</v>
      </c>
      <c r="W124" s="1" t="s">
        <v>3433</v>
      </c>
      <c r="X124" s="3">
        <v>22</v>
      </c>
      <c r="Y124" s="1" t="s">
        <v>3350</v>
      </c>
      <c r="Z124" s="4">
        <v>130</v>
      </c>
      <c r="AA124" s="1" t="s">
        <v>3222</v>
      </c>
      <c r="AB124" s="4">
        <v>1</v>
      </c>
      <c r="AC124" s="1154" t="s">
        <v>3290</v>
      </c>
      <c r="AD124" s="4">
        <v>0.69</v>
      </c>
      <c r="AE124" s="1" t="s">
        <v>91</v>
      </c>
      <c r="AF124" s="4">
        <v>0.1</v>
      </c>
      <c r="AG124" s="1" t="s">
        <v>3176</v>
      </c>
      <c r="AH124" s="4">
        <v>16</v>
      </c>
      <c r="AI124" s="1" t="s">
        <v>3112</v>
      </c>
      <c r="AJ124" s="49">
        <v>9.9999999999999992E-2</v>
      </c>
      <c r="AK124" s="82" t="s">
        <v>3251</v>
      </c>
      <c r="AL124" s="4">
        <v>0.14000000000000001</v>
      </c>
      <c r="AM124" s="1" t="s">
        <v>3435</v>
      </c>
      <c r="AN124" s="3">
        <v>1.4400111997760046</v>
      </c>
      <c r="AO124" s="1" t="s">
        <v>3107</v>
      </c>
      <c r="AP124" s="31">
        <v>0.11999999999999998</v>
      </c>
      <c r="AQ124" s="1" t="s">
        <v>3227</v>
      </c>
      <c r="AR124" s="4">
        <v>20</v>
      </c>
      <c r="AS124" s="1" t="s">
        <v>3433</v>
      </c>
      <c r="AT124" s="37">
        <v>0</v>
      </c>
      <c r="AU124" s="325" t="s">
        <v>3280</v>
      </c>
      <c r="AV124" s="1144">
        <v>3.9</v>
      </c>
      <c r="AW124" s="325" t="s">
        <v>3131</v>
      </c>
      <c r="AX124" s="37">
        <v>0</v>
      </c>
      <c r="AY124" s="1" t="s">
        <v>3212</v>
      </c>
      <c r="AZ124" s="1" t="s">
        <v>1779</v>
      </c>
      <c r="BA124" s="4">
        <v>1.9</v>
      </c>
    </row>
    <row r="125" spans="19:53">
      <c r="S125" s="1" t="s">
        <v>422</v>
      </c>
      <c r="T125" s="4">
        <v>266</v>
      </c>
      <c r="U125" s="749" t="s">
        <v>3173</v>
      </c>
      <c r="V125" s="4">
        <v>30</v>
      </c>
      <c r="W125" s="1" t="s">
        <v>1781</v>
      </c>
      <c r="X125" s="4">
        <v>22</v>
      </c>
      <c r="Y125" s="1" t="s">
        <v>3351</v>
      </c>
      <c r="Z125" s="4">
        <v>130</v>
      </c>
      <c r="AA125" s="749" t="s">
        <v>3231</v>
      </c>
      <c r="AB125" s="34">
        <v>1</v>
      </c>
      <c r="AC125" s="1" t="s">
        <v>1764</v>
      </c>
      <c r="AD125" s="4">
        <v>0.67</v>
      </c>
      <c r="AE125" s="1" t="s">
        <v>3151</v>
      </c>
      <c r="AF125" s="34">
        <v>0.1</v>
      </c>
      <c r="AG125" s="1" t="s">
        <v>1801</v>
      </c>
      <c r="AH125" s="4">
        <v>15.9</v>
      </c>
      <c r="AI125" s="1" t="s">
        <v>3200</v>
      </c>
      <c r="AJ125" s="3">
        <v>9.9100000000000008E-2</v>
      </c>
      <c r="AK125" s="1" t="s">
        <v>3295</v>
      </c>
      <c r="AL125" s="4">
        <v>0.14000000000000001</v>
      </c>
      <c r="AM125" s="1233" t="s">
        <v>3124</v>
      </c>
      <c r="AN125" s="3">
        <v>1.4400111997760046</v>
      </c>
      <c r="AO125" s="1" t="s">
        <v>3434</v>
      </c>
      <c r="AP125" s="31">
        <v>0.11999999999999998</v>
      </c>
      <c r="AQ125" s="1" t="s">
        <v>3228</v>
      </c>
      <c r="AR125" s="4">
        <v>20</v>
      </c>
      <c r="AS125" s="1232" t="s">
        <v>3105</v>
      </c>
      <c r="AT125" s="37">
        <v>0</v>
      </c>
      <c r="AU125" s="1" t="s">
        <v>3426</v>
      </c>
      <c r="AV125" s="37">
        <v>3.8</v>
      </c>
      <c r="AW125" s="1" t="s">
        <v>1766</v>
      </c>
      <c r="AX125" s="37">
        <v>0</v>
      </c>
      <c r="AY125" s="1" t="s">
        <v>3457</v>
      </c>
      <c r="AZ125" s="1" t="s">
        <v>3323</v>
      </c>
      <c r="BA125" s="4">
        <v>1.9</v>
      </c>
    </row>
    <row r="126" spans="19:53">
      <c r="S126" s="749" t="s">
        <v>3193</v>
      </c>
      <c r="T126" s="42">
        <v>265</v>
      </c>
      <c r="U126" s="1" t="s">
        <v>3174</v>
      </c>
      <c r="V126" s="4">
        <v>30</v>
      </c>
      <c r="W126" s="749" t="s">
        <v>3159</v>
      </c>
      <c r="X126" s="3">
        <v>22</v>
      </c>
      <c r="Y126" s="1233" t="s">
        <v>3252</v>
      </c>
      <c r="Z126" s="3">
        <v>130</v>
      </c>
      <c r="AA126" s="53" t="s">
        <v>3218</v>
      </c>
      <c r="AB126" s="4">
        <v>1</v>
      </c>
      <c r="AC126" s="1" t="s">
        <v>3087</v>
      </c>
      <c r="AD126" s="4">
        <v>0.67</v>
      </c>
      <c r="AE126" s="1233" t="s">
        <v>3444</v>
      </c>
      <c r="AF126" s="49">
        <v>0.1</v>
      </c>
      <c r="AG126" s="53" t="s">
        <v>3218</v>
      </c>
      <c r="AH126" s="4">
        <v>15</v>
      </c>
      <c r="AI126" s="1233" t="s">
        <v>3121</v>
      </c>
      <c r="AJ126" s="31">
        <v>9.9000000000000005E-2</v>
      </c>
      <c r="AK126" s="1233" t="s">
        <v>3221</v>
      </c>
      <c r="AL126" s="3">
        <v>0.13995801259622115</v>
      </c>
      <c r="AM126" s="1" t="s">
        <v>3125</v>
      </c>
      <c r="AN126" s="3">
        <v>1.4400111997760046</v>
      </c>
      <c r="AO126" s="1" t="s">
        <v>3332</v>
      </c>
      <c r="AP126" s="3">
        <v>0.11888111888111888</v>
      </c>
      <c r="AQ126" s="749" t="s">
        <v>3229</v>
      </c>
      <c r="AR126" s="34">
        <v>20</v>
      </c>
      <c r="AS126" s="1" t="s">
        <v>3106</v>
      </c>
      <c r="AT126" s="37">
        <v>0</v>
      </c>
      <c r="AU126" s="1" t="s">
        <v>3212</v>
      </c>
      <c r="AV126" s="4">
        <v>3.2</v>
      </c>
      <c r="AW126" s="1" t="s">
        <v>3093</v>
      </c>
      <c r="AX126" s="37">
        <v>0</v>
      </c>
      <c r="AY126" s="1" t="s">
        <v>3219</v>
      </c>
      <c r="AZ126" s="1" t="s">
        <v>460</v>
      </c>
      <c r="BA126" s="4">
        <v>1.75</v>
      </c>
    </row>
    <row r="127" spans="19:53">
      <c r="S127" s="1233" t="s">
        <v>3194</v>
      </c>
      <c r="T127" s="42">
        <v>265</v>
      </c>
      <c r="U127" s="1" t="s">
        <v>1823</v>
      </c>
      <c r="V127" s="4">
        <v>28.2</v>
      </c>
      <c r="W127" s="1" t="s">
        <v>3147</v>
      </c>
      <c r="X127" s="49">
        <v>22</v>
      </c>
      <c r="Y127" s="1232" t="s">
        <v>3443</v>
      </c>
      <c r="Z127" s="37">
        <v>128.80000000000001</v>
      </c>
      <c r="AA127" s="749" t="s">
        <v>3172</v>
      </c>
      <c r="AB127" s="37">
        <v>1</v>
      </c>
      <c r="AC127" s="1" t="s">
        <v>3430</v>
      </c>
      <c r="AD127" s="31">
        <v>0.6</v>
      </c>
      <c r="AE127" s="749" t="s">
        <v>3164</v>
      </c>
      <c r="AF127" s="32">
        <v>0.1</v>
      </c>
      <c r="AG127" s="1" t="s">
        <v>1822</v>
      </c>
      <c r="AH127" s="33">
        <v>15</v>
      </c>
      <c r="AI127" s="1" t="s">
        <v>3119</v>
      </c>
      <c r="AJ127" s="4">
        <v>9.8000000000000004E-2</v>
      </c>
      <c r="AK127" s="1" t="s">
        <v>1792</v>
      </c>
      <c r="AL127" s="4">
        <v>0.13</v>
      </c>
      <c r="AM127" s="1" t="s">
        <v>3433</v>
      </c>
      <c r="AN127" s="3">
        <v>1.4400111997760046</v>
      </c>
      <c r="AO127" s="1154" t="s">
        <v>3290</v>
      </c>
      <c r="AP127" s="4">
        <v>0.115</v>
      </c>
      <c r="AQ127" s="749" t="s">
        <v>3231</v>
      </c>
      <c r="AR127" s="34">
        <v>20</v>
      </c>
      <c r="AS127" s="1" t="s">
        <v>3091</v>
      </c>
      <c r="AT127" s="37">
        <v>0</v>
      </c>
      <c r="AU127" s="1" t="s">
        <v>3457</v>
      </c>
      <c r="AV127" s="4">
        <v>3.19</v>
      </c>
      <c r="AW127" s="1" t="s">
        <v>3094</v>
      </c>
      <c r="AX127" s="58">
        <v>0</v>
      </c>
      <c r="AY127" s="1" t="s">
        <v>480</v>
      </c>
      <c r="AZ127" s="1233" t="s">
        <v>3100</v>
      </c>
      <c r="BA127" s="4">
        <v>1.7</v>
      </c>
    </row>
    <row r="128" spans="19:53">
      <c r="S128" s="1" t="s">
        <v>460</v>
      </c>
      <c r="T128" s="4">
        <v>262.5</v>
      </c>
      <c r="U128" s="1" t="s">
        <v>481</v>
      </c>
      <c r="V128" s="4">
        <v>26.7</v>
      </c>
      <c r="W128" s="749" t="s">
        <v>3178</v>
      </c>
      <c r="X128" s="34">
        <v>22</v>
      </c>
      <c r="Y128" s="1" t="s">
        <v>3214</v>
      </c>
      <c r="Z128" s="34">
        <v>121</v>
      </c>
      <c r="AA128" s="1" t="s">
        <v>3466</v>
      </c>
      <c r="AB128" s="3">
        <v>1</v>
      </c>
      <c r="AC128" s="1" t="s">
        <v>3428</v>
      </c>
      <c r="AD128" s="34">
        <v>0.6</v>
      </c>
      <c r="AE128" s="1" t="s">
        <v>3439</v>
      </c>
      <c r="AF128" s="236">
        <v>9.9999999999999992E-2</v>
      </c>
      <c r="AG128" s="1233" t="s">
        <v>1861</v>
      </c>
      <c r="AH128" s="4">
        <v>15</v>
      </c>
      <c r="AI128" s="325" t="s">
        <v>3120</v>
      </c>
      <c r="AJ128" s="4">
        <v>9.8000000000000004E-2</v>
      </c>
      <c r="AK128" s="1" t="s">
        <v>3098</v>
      </c>
      <c r="AL128" s="4">
        <v>0.12</v>
      </c>
      <c r="AM128" s="1" t="s">
        <v>439</v>
      </c>
      <c r="AN128" s="49">
        <v>1.4</v>
      </c>
      <c r="AO128" s="1233" t="s">
        <v>3308</v>
      </c>
      <c r="AP128" s="3">
        <v>0.11</v>
      </c>
      <c r="AQ128" s="749" t="s">
        <v>3272</v>
      </c>
      <c r="AR128" s="3">
        <v>20</v>
      </c>
      <c r="AS128" s="1" t="s">
        <v>3092</v>
      </c>
      <c r="AT128" s="37">
        <v>0</v>
      </c>
      <c r="AU128" s="1233" t="s">
        <v>3126</v>
      </c>
      <c r="AV128" s="1234">
        <v>3.1</v>
      </c>
      <c r="AW128" s="325" t="s">
        <v>3132</v>
      </c>
      <c r="AX128" s="37">
        <v>0</v>
      </c>
      <c r="AY128" s="1" t="s">
        <v>3455</v>
      </c>
      <c r="AZ128" s="1" t="s">
        <v>3101</v>
      </c>
      <c r="BA128" s="4">
        <v>1.7</v>
      </c>
    </row>
    <row r="129" spans="19:53">
      <c r="S129" s="1" t="s">
        <v>1777</v>
      </c>
      <c r="T129" s="4">
        <v>256</v>
      </c>
      <c r="U129" s="1154" t="s">
        <v>3290</v>
      </c>
      <c r="V129" s="4">
        <v>26</v>
      </c>
      <c r="W129" s="749" t="s">
        <v>3181</v>
      </c>
      <c r="X129" s="34">
        <v>22</v>
      </c>
      <c r="Y129" s="1" t="s">
        <v>3448</v>
      </c>
      <c r="Z129" s="4">
        <v>119</v>
      </c>
      <c r="AA129" s="53" t="s">
        <v>3204</v>
      </c>
      <c r="AB129" s="4">
        <v>1</v>
      </c>
      <c r="AC129" s="1" t="s">
        <v>3107</v>
      </c>
      <c r="AD129" s="31">
        <v>0.6</v>
      </c>
      <c r="AE129" s="1233" t="s">
        <v>3429</v>
      </c>
      <c r="AF129" s="4">
        <v>9.2999999999999999E-2</v>
      </c>
      <c r="AG129" s="1" t="s">
        <v>3197</v>
      </c>
      <c r="AH129" s="33">
        <v>15</v>
      </c>
      <c r="AI129" s="1232" t="s">
        <v>3137</v>
      </c>
      <c r="AJ129" s="49">
        <v>9.4E-2</v>
      </c>
      <c r="AK129" s="1" t="s">
        <v>1827</v>
      </c>
      <c r="AL129" s="4">
        <v>0.12</v>
      </c>
      <c r="AM129" s="82" t="s">
        <v>3103</v>
      </c>
      <c r="AN129" s="4">
        <v>1.33</v>
      </c>
      <c r="AO129" s="1" t="s">
        <v>3309</v>
      </c>
      <c r="AP129" s="3">
        <v>0.11</v>
      </c>
      <c r="AQ129" s="1" t="s">
        <v>3102</v>
      </c>
      <c r="AR129" s="3">
        <v>19</v>
      </c>
      <c r="AS129" s="1" t="s">
        <v>1766</v>
      </c>
      <c r="AT129" s="34">
        <v>0</v>
      </c>
      <c r="AU129" s="82" t="s">
        <v>20</v>
      </c>
      <c r="AV129" s="4">
        <v>3.09</v>
      </c>
      <c r="AW129" s="1" t="s">
        <v>3133</v>
      </c>
      <c r="AX129" s="37">
        <v>0</v>
      </c>
      <c r="AY129" s="1232" t="s">
        <v>3454</v>
      </c>
      <c r="AZ129" s="325" t="s">
        <v>3132</v>
      </c>
      <c r="BA129" s="4">
        <v>1.7</v>
      </c>
    </row>
    <row r="130" spans="19:53">
      <c r="S130" s="325" t="s">
        <v>3132</v>
      </c>
      <c r="T130" s="4">
        <v>247</v>
      </c>
      <c r="U130" s="1" t="s">
        <v>3440</v>
      </c>
      <c r="V130" s="42">
        <v>25.2</v>
      </c>
      <c r="W130" s="1233" t="s">
        <v>498</v>
      </c>
      <c r="X130" s="42">
        <v>22</v>
      </c>
      <c r="Y130" s="1" t="s">
        <v>3447</v>
      </c>
      <c r="Z130" s="4">
        <v>119</v>
      </c>
      <c r="AA130" s="1" t="s">
        <v>91</v>
      </c>
      <c r="AB130" s="4">
        <v>0.97</v>
      </c>
      <c r="AC130" s="1" t="s">
        <v>3434</v>
      </c>
      <c r="AD130" s="31">
        <v>0.6</v>
      </c>
      <c r="AE130" s="1" t="s">
        <v>3108</v>
      </c>
      <c r="AF130" s="60">
        <v>9.2999999999999999E-2</v>
      </c>
      <c r="AG130" s="1" t="s">
        <v>3099</v>
      </c>
      <c r="AH130" s="78">
        <v>14.82</v>
      </c>
      <c r="AI130" s="82" t="s">
        <v>3103</v>
      </c>
      <c r="AJ130" s="4">
        <v>0.09</v>
      </c>
      <c r="AK130" s="1" t="s">
        <v>3366</v>
      </c>
      <c r="AL130" s="4">
        <f>AVERAGE(AL128:AL129)</f>
        <v>0.12</v>
      </c>
      <c r="AM130" s="1233" t="s">
        <v>3245</v>
      </c>
      <c r="AN130" s="3">
        <v>1.3100233100233101</v>
      </c>
      <c r="AO130" s="1" t="s">
        <v>3310</v>
      </c>
      <c r="AP130" s="3">
        <v>0.11</v>
      </c>
      <c r="AQ130" s="1233" t="s">
        <v>3126</v>
      </c>
      <c r="AR130" s="49">
        <v>19</v>
      </c>
      <c r="AS130" s="1" t="s">
        <v>3093</v>
      </c>
      <c r="AT130" s="34">
        <v>0</v>
      </c>
      <c r="AU130" s="1" t="s">
        <v>20</v>
      </c>
      <c r="AV130" s="4">
        <v>3.09</v>
      </c>
      <c r="AW130" s="325" t="s">
        <v>3110</v>
      </c>
      <c r="AX130" s="58">
        <v>0</v>
      </c>
      <c r="AY130" s="325" t="s">
        <v>3453</v>
      </c>
      <c r="AZ130" s="82" t="s">
        <v>20</v>
      </c>
      <c r="BA130" s="4">
        <v>1.7</v>
      </c>
    </row>
    <row r="131" spans="19:53">
      <c r="S131" s="749" t="s">
        <v>3506</v>
      </c>
      <c r="T131" s="3">
        <v>244</v>
      </c>
      <c r="U131" s="1" t="s">
        <v>3104</v>
      </c>
      <c r="V131" s="40">
        <v>25</v>
      </c>
      <c r="W131" s="1" t="s">
        <v>415</v>
      </c>
      <c r="X131" s="3">
        <v>21</v>
      </c>
      <c r="Y131" s="1" t="s">
        <v>3339</v>
      </c>
      <c r="Z131" s="42">
        <v>113.99999999999999</v>
      </c>
      <c r="AA131" s="1" t="s">
        <v>3318</v>
      </c>
      <c r="AB131" s="4">
        <v>0.96</v>
      </c>
      <c r="AC131" s="1" t="s">
        <v>1837</v>
      </c>
      <c r="AD131" s="4">
        <v>0.6</v>
      </c>
      <c r="AE131" s="1" t="s">
        <v>1773</v>
      </c>
      <c r="AF131" s="4">
        <v>0.09</v>
      </c>
      <c r="AG131" s="1" t="s">
        <v>438</v>
      </c>
      <c r="AH131" s="78">
        <v>14.82</v>
      </c>
      <c r="AI131" s="1" t="s">
        <v>3440</v>
      </c>
      <c r="AJ131" s="42">
        <v>0.09</v>
      </c>
      <c r="AK131" s="1" t="s">
        <v>3430</v>
      </c>
      <c r="AL131" s="31">
        <v>0.11000000000000001</v>
      </c>
      <c r="AM131" s="1" t="s">
        <v>441</v>
      </c>
      <c r="AN131" s="3">
        <v>1.3006993006993006</v>
      </c>
      <c r="AO131" s="1" t="s">
        <v>3311</v>
      </c>
      <c r="AP131" s="3">
        <v>0.11</v>
      </c>
      <c r="AQ131" s="1310" t="s">
        <v>3248</v>
      </c>
      <c r="AR131" s="4">
        <v>19</v>
      </c>
      <c r="AS131" s="1" t="s">
        <v>3094</v>
      </c>
      <c r="AT131" s="34">
        <v>0</v>
      </c>
      <c r="AU131" s="1" t="s">
        <v>1789</v>
      </c>
      <c r="AV131" s="4">
        <v>3</v>
      </c>
      <c r="AW131" s="1" t="s">
        <v>3111</v>
      </c>
      <c r="AX131" s="58">
        <v>0</v>
      </c>
      <c r="AY131" s="1" t="s">
        <v>3213</v>
      </c>
      <c r="AZ131" s="1" t="s">
        <v>20</v>
      </c>
      <c r="BA131" s="4">
        <v>1.7</v>
      </c>
    </row>
    <row r="132" spans="19:53">
      <c r="S132" s="1" t="s">
        <v>3117</v>
      </c>
      <c r="T132" s="34">
        <v>243</v>
      </c>
      <c r="U132" s="1" t="s">
        <v>3432</v>
      </c>
      <c r="V132" s="40">
        <v>25</v>
      </c>
      <c r="W132" s="1" t="s">
        <v>3118</v>
      </c>
      <c r="X132" s="3">
        <v>21</v>
      </c>
      <c r="Y132" s="325" t="s">
        <v>3450</v>
      </c>
      <c r="Z132" s="49">
        <v>113</v>
      </c>
      <c r="AA132" s="1233" t="s">
        <v>3429</v>
      </c>
      <c r="AB132" s="31">
        <v>0.95</v>
      </c>
      <c r="AC132" s="1" t="s">
        <v>3452</v>
      </c>
      <c r="AD132" s="4">
        <v>0.59</v>
      </c>
      <c r="AE132" s="749" t="s">
        <v>3178</v>
      </c>
      <c r="AF132" s="34">
        <v>8.7999999999999995E-2</v>
      </c>
      <c r="AG132" s="1" t="s">
        <v>421</v>
      </c>
      <c r="AH132" s="4">
        <v>14.6</v>
      </c>
      <c r="AI132" s="749" t="s">
        <v>3207</v>
      </c>
      <c r="AJ132" s="42">
        <v>0.09</v>
      </c>
      <c r="AK132" s="1" t="s">
        <v>3107</v>
      </c>
      <c r="AL132" s="31">
        <v>0.11000000000000001</v>
      </c>
      <c r="AM132" s="1" t="s">
        <v>1792</v>
      </c>
      <c r="AN132" s="4">
        <v>1.24</v>
      </c>
      <c r="AO132" s="1" t="s">
        <v>3312</v>
      </c>
      <c r="AP132" s="3">
        <v>0.11</v>
      </c>
      <c r="AQ132" s="749" t="s">
        <v>3288</v>
      </c>
      <c r="AR132" s="49">
        <v>18</v>
      </c>
      <c r="AS132" s="325" t="s">
        <v>3132</v>
      </c>
      <c r="AT132" s="34">
        <v>0</v>
      </c>
      <c r="AU132" s="1232" t="s">
        <v>3145</v>
      </c>
      <c r="AV132" s="42">
        <v>2.9099999999999997</v>
      </c>
      <c r="AW132" s="1" t="s">
        <v>441</v>
      </c>
      <c r="AX132" s="3">
        <v>0</v>
      </c>
      <c r="AY132" s="1" t="s">
        <v>3456</v>
      </c>
      <c r="AZ132" s="1" t="s">
        <v>3440</v>
      </c>
      <c r="BA132" s="40">
        <v>1.7</v>
      </c>
    </row>
    <row r="133" spans="19:53">
      <c r="S133" s="325" t="s">
        <v>3110</v>
      </c>
      <c r="T133" s="42">
        <v>241.99999999999997</v>
      </c>
      <c r="U133" s="1233" t="s">
        <v>3429</v>
      </c>
      <c r="V133" s="31">
        <v>25</v>
      </c>
      <c r="W133" s="325" t="s">
        <v>3155</v>
      </c>
      <c r="X133" s="49">
        <v>21</v>
      </c>
      <c r="Y133" s="1" t="s">
        <v>3458</v>
      </c>
      <c r="Z133" s="49">
        <v>113</v>
      </c>
      <c r="AA133" s="1" t="s">
        <v>3108</v>
      </c>
      <c r="AB133" s="31">
        <v>0.95</v>
      </c>
      <c r="AC133" s="325" t="s">
        <v>3451</v>
      </c>
      <c r="AD133" s="4">
        <v>0.59</v>
      </c>
      <c r="AE133" s="1" t="s">
        <v>1791</v>
      </c>
      <c r="AF133" s="4">
        <v>8.5999999999999993E-2</v>
      </c>
      <c r="AG133" s="1" t="s">
        <v>3117</v>
      </c>
      <c r="AH133" s="4">
        <v>14.5</v>
      </c>
      <c r="AI133" s="1154" t="s">
        <v>3290</v>
      </c>
      <c r="AJ133" s="4">
        <v>0.09</v>
      </c>
      <c r="AK133" s="1" t="s">
        <v>3434</v>
      </c>
      <c r="AL133" s="31">
        <v>0.11000000000000001</v>
      </c>
      <c r="AM133" s="1232" t="s">
        <v>469</v>
      </c>
      <c r="AN133" s="4">
        <v>1.2</v>
      </c>
      <c r="AO133" s="1" t="s">
        <v>3320</v>
      </c>
      <c r="AP133" s="4">
        <v>0.11</v>
      </c>
      <c r="AQ133" s="1" t="s">
        <v>3282</v>
      </c>
      <c r="AR133" s="49">
        <v>18</v>
      </c>
      <c r="AS133" s="1" t="s">
        <v>3133</v>
      </c>
      <c r="AT133" s="34">
        <v>0</v>
      </c>
      <c r="AU133" s="749" t="s">
        <v>3322</v>
      </c>
      <c r="AV133" s="4">
        <v>2.72</v>
      </c>
      <c r="AW133" s="1233" t="s">
        <v>3134</v>
      </c>
      <c r="AX133" s="34">
        <v>0</v>
      </c>
      <c r="AY133" s="1" t="s">
        <v>3214</v>
      </c>
      <c r="AZ133" s="1" t="s">
        <v>1791</v>
      </c>
      <c r="BA133" s="4">
        <v>1.7</v>
      </c>
    </row>
    <row r="134" spans="19:53">
      <c r="S134" s="1" t="s">
        <v>3111</v>
      </c>
      <c r="T134" s="42">
        <v>241.99999999999997</v>
      </c>
      <c r="U134" s="1" t="s">
        <v>3108</v>
      </c>
      <c r="V134" s="31">
        <v>25</v>
      </c>
      <c r="W134" s="1" t="s">
        <v>3437</v>
      </c>
      <c r="X134" s="4">
        <v>20</v>
      </c>
      <c r="Y134" s="325" t="s">
        <v>3303</v>
      </c>
      <c r="Z134" s="31">
        <v>112.99999999999999</v>
      </c>
      <c r="AA134" s="1" t="s">
        <v>3176</v>
      </c>
      <c r="AB134" s="4">
        <v>0.91</v>
      </c>
      <c r="AC134" s="1" t="s">
        <v>3426</v>
      </c>
      <c r="AD134" s="34">
        <v>0.54</v>
      </c>
      <c r="AE134" s="749" t="s">
        <v>3159</v>
      </c>
      <c r="AF134" s="4">
        <v>8.3000000000000004E-2</v>
      </c>
      <c r="AG134" s="1" t="s">
        <v>1835</v>
      </c>
      <c r="AH134" s="34">
        <v>14</v>
      </c>
      <c r="AI134" s="749" t="s">
        <v>3291</v>
      </c>
      <c r="AJ134" s="4">
        <v>8.8999999999999996E-2</v>
      </c>
      <c r="AK134" s="491" t="s">
        <v>3510</v>
      </c>
      <c r="AL134" s="3">
        <v>0.11000000000000001</v>
      </c>
      <c r="AM134" s="1" t="s">
        <v>1781</v>
      </c>
      <c r="AN134" s="4">
        <v>1.2</v>
      </c>
      <c r="AO134" s="1233" t="s">
        <v>3252</v>
      </c>
      <c r="AP134" s="3">
        <v>0.10900000000000001</v>
      </c>
      <c r="AQ134" s="53" t="s">
        <v>3292</v>
      </c>
      <c r="AR134" s="233">
        <v>18</v>
      </c>
      <c r="AS134" s="325" t="s">
        <v>3110</v>
      </c>
      <c r="AT134" s="37">
        <v>0</v>
      </c>
      <c r="AU134" s="1233" t="s">
        <v>3134</v>
      </c>
      <c r="AV134" s="3">
        <v>2.0398973401773213</v>
      </c>
      <c r="AW134" s="1" t="s">
        <v>3135</v>
      </c>
      <c r="AX134" s="34">
        <v>0</v>
      </c>
      <c r="AY134" s="1232" t="s">
        <v>3215</v>
      </c>
      <c r="AZ134" s="1" t="s">
        <v>3478</v>
      </c>
      <c r="BA134" s="4">
        <v>1.7</v>
      </c>
    </row>
    <row r="135" spans="19:53">
      <c r="S135" s="325" t="s">
        <v>3155</v>
      </c>
      <c r="T135" s="49">
        <v>241.99999999999997</v>
      </c>
      <c r="U135" s="1" t="s">
        <v>3321</v>
      </c>
      <c r="V135" s="4">
        <v>24.4</v>
      </c>
      <c r="W135" s="749" t="s">
        <v>3162</v>
      </c>
      <c r="X135" s="4">
        <v>20</v>
      </c>
      <c r="Y135" s="1" t="s">
        <v>3268</v>
      </c>
      <c r="Z135" s="4">
        <v>111</v>
      </c>
      <c r="AA135" s="1" t="s">
        <v>1764</v>
      </c>
      <c r="AB135" s="4">
        <v>0.9</v>
      </c>
      <c r="AC135" s="1" t="s">
        <v>3314</v>
      </c>
      <c r="AD135" s="4">
        <v>0.53</v>
      </c>
      <c r="AE135" s="1" t="s">
        <v>3147</v>
      </c>
      <c r="AF135" s="50">
        <v>8.299999999999999E-2</v>
      </c>
      <c r="AG135" s="749" t="s">
        <v>3160</v>
      </c>
      <c r="AH135" s="35">
        <v>12</v>
      </c>
      <c r="AI135" s="82" t="s">
        <v>20</v>
      </c>
      <c r="AJ135" s="4">
        <v>8.5999999999999993E-2</v>
      </c>
      <c r="AK135" s="1233" t="s">
        <v>414</v>
      </c>
      <c r="AL135" s="49">
        <v>0.11</v>
      </c>
      <c r="AM135" s="1" t="s">
        <v>1791</v>
      </c>
      <c r="AN135" s="4">
        <v>1.1299999999999999</v>
      </c>
      <c r="AO135" s="1" t="s">
        <v>3271</v>
      </c>
      <c r="AP135" s="3">
        <v>0.10644257703081234</v>
      </c>
      <c r="AQ135" s="1" t="s">
        <v>1777</v>
      </c>
      <c r="AR135" s="4">
        <v>17.7</v>
      </c>
      <c r="AS135" s="1" t="s">
        <v>3111</v>
      </c>
      <c r="AT135" s="37">
        <v>0</v>
      </c>
      <c r="AU135" s="1" t="s">
        <v>3135</v>
      </c>
      <c r="AV135" s="3">
        <v>2.0398973401773213</v>
      </c>
      <c r="AW135" s="1" t="s">
        <v>3144</v>
      </c>
      <c r="AX135" s="1148">
        <v>0</v>
      </c>
      <c r="AY135" s="1" t="s">
        <v>1809</v>
      </c>
      <c r="AZ135" s="1233" t="s">
        <v>3252</v>
      </c>
      <c r="BA135" s="79">
        <v>1.7</v>
      </c>
    </row>
    <row r="136" spans="19:53">
      <c r="S136" s="1" t="s">
        <v>3136</v>
      </c>
      <c r="T136" s="4">
        <v>240</v>
      </c>
      <c r="U136" s="1232" t="s">
        <v>469</v>
      </c>
      <c r="V136" s="4">
        <v>24</v>
      </c>
      <c r="W136" s="491" t="s">
        <v>3510</v>
      </c>
      <c r="X136" s="3">
        <v>20</v>
      </c>
      <c r="Y136" s="749" t="s">
        <v>3291</v>
      </c>
      <c r="Z136" s="4">
        <v>110</v>
      </c>
      <c r="AA136" s="1" t="s">
        <v>3087</v>
      </c>
      <c r="AB136" s="4">
        <v>0.9</v>
      </c>
      <c r="AC136" s="325" t="s">
        <v>3450</v>
      </c>
      <c r="AD136" s="49">
        <v>0.53</v>
      </c>
      <c r="AE136" s="1" t="s">
        <v>3117</v>
      </c>
      <c r="AF136" s="34">
        <v>0.08</v>
      </c>
      <c r="AG136" s="1" t="s">
        <v>3146</v>
      </c>
      <c r="AH136" s="3">
        <v>12</v>
      </c>
      <c r="AI136" s="1" t="s">
        <v>20</v>
      </c>
      <c r="AJ136" s="4">
        <v>8.5999999999999993E-2</v>
      </c>
      <c r="AK136" s="1" t="s">
        <v>3428</v>
      </c>
      <c r="AL136" s="34">
        <v>0.11</v>
      </c>
      <c r="AM136" s="1232" t="s">
        <v>3137</v>
      </c>
      <c r="AN136" s="49">
        <v>1.07</v>
      </c>
      <c r="AO136" s="1" t="s">
        <v>481</v>
      </c>
      <c r="AP136" s="4">
        <v>0.106</v>
      </c>
      <c r="AQ136" s="1232" t="s">
        <v>3215</v>
      </c>
      <c r="AR136" s="4">
        <v>17.517517517517518</v>
      </c>
      <c r="AS136" s="1" t="s">
        <v>441</v>
      </c>
      <c r="AT136" s="3">
        <v>0</v>
      </c>
      <c r="AU136" s="1" t="s">
        <v>3144</v>
      </c>
      <c r="AV136" s="3">
        <v>2.0398973401773213</v>
      </c>
      <c r="AW136" s="1233" t="s">
        <v>3113</v>
      </c>
      <c r="AX136" s="37">
        <v>0</v>
      </c>
      <c r="AY136" s="1233" t="s">
        <v>3221</v>
      </c>
      <c r="AZ136" s="1" t="s">
        <v>422</v>
      </c>
      <c r="BA136" s="4">
        <v>1.63</v>
      </c>
    </row>
    <row r="137" spans="19:53">
      <c r="S137" s="749" t="s">
        <v>3162</v>
      </c>
      <c r="T137" s="4">
        <v>240</v>
      </c>
      <c r="U137" s="1233" t="s">
        <v>3245</v>
      </c>
      <c r="V137" s="3">
        <v>24</v>
      </c>
      <c r="W137" s="1" t="s">
        <v>1822</v>
      </c>
      <c r="X137" s="4">
        <v>19.8</v>
      </c>
      <c r="Y137" s="1233" t="s">
        <v>3245</v>
      </c>
      <c r="Z137" s="3">
        <v>105.99999999999999</v>
      </c>
      <c r="AA137" s="749" t="s">
        <v>3230</v>
      </c>
      <c r="AB137" s="34">
        <v>0.9</v>
      </c>
      <c r="AC137" s="1" t="s">
        <v>3458</v>
      </c>
      <c r="AD137" s="49">
        <v>0.53</v>
      </c>
      <c r="AE137" s="1" t="s">
        <v>27</v>
      </c>
      <c r="AF137" s="44">
        <v>7.8E-2</v>
      </c>
      <c r="AG137" s="1" t="s">
        <v>3321</v>
      </c>
      <c r="AH137" s="33">
        <v>11.9</v>
      </c>
      <c r="AI137" s="1232" t="s">
        <v>3138</v>
      </c>
      <c r="AJ137" s="54">
        <v>8.2061877516422965E-2</v>
      </c>
      <c r="AK137" s="1" t="s">
        <v>3090</v>
      </c>
      <c r="AL137" s="3">
        <v>0.105</v>
      </c>
      <c r="AM137" s="1232" t="s">
        <v>3138</v>
      </c>
      <c r="AN137" s="54">
        <v>1.036681500317864</v>
      </c>
      <c r="AO137" s="1" t="s">
        <v>3222</v>
      </c>
      <c r="AP137" s="4">
        <v>0.105</v>
      </c>
      <c r="AQ137" s="1" t="s">
        <v>1790</v>
      </c>
      <c r="AR137" s="4">
        <v>17</v>
      </c>
      <c r="AS137" s="1233" t="s">
        <v>3134</v>
      </c>
      <c r="AT137" s="37">
        <v>0</v>
      </c>
      <c r="AU137" s="1" t="s">
        <v>3102</v>
      </c>
      <c r="AV137" s="3">
        <v>2</v>
      </c>
      <c r="AW137" s="1233" t="s">
        <v>3115</v>
      </c>
      <c r="AX137" s="36">
        <v>0</v>
      </c>
      <c r="AY137" s="1" t="s">
        <v>3220</v>
      </c>
      <c r="AZ137" s="1" t="s">
        <v>1773</v>
      </c>
      <c r="BA137" s="4">
        <v>1.6</v>
      </c>
    </row>
    <row r="138" spans="19:53">
      <c r="S138" s="1" t="s">
        <v>3166</v>
      </c>
      <c r="T138" s="4">
        <v>238</v>
      </c>
      <c r="U138" s="1233" t="s">
        <v>3100</v>
      </c>
      <c r="V138" s="3">
        <v>23</v>
      </c>
      <c r="W138" s="1" t="s">
        <v>3318</v>
      </c>
      <c r="X138" s="4">
        <v>19</v>
      </c>
      <c r="Y138" s="1154" t="s">
        <v>3290</v>
      </c>
      <c r="Z138" s="4">
        <v>105</v>
      </c>
      <c r="AA138" s="1" t="s">
        <v>3151</v>
      </c>
      <c r="AB138" s="37">
        <v>0.9</v>
      </c>
      <c r="AC138" s="1232" t="s">
        <v>3138</v>
      </c>
      <c r="AD138" s="54">
        <v>0.50898495443949987</v>
      </c>
      <c r="AE138" s="491" t="s">
        <v>3510</v>
      </c>
      <c r="AF138" s="36">
        <v>7.8E-2</v>
      </c>
      <c r="AG138" s="1233" t="s">
        <v>3126</v>
      </c>
      <c r="AH138" s="48">
        <v>11</v>
      </c>
      <c r="AI138" s="1" t="s">
        <v>3098</v>
      </c>
      <c r="AJ138" s="4">
        <v>0.08</v>
      </c>
      <c r="AK138" s="749" t="s">
        <v>3464</v>
      </c>
      <c r="AL138" s="4">
        <v>0.105</v>
      </c>
      <c r="AM138" s="749" t="s">
        <v>3322</v>
      </c>
      <c r="AN138" s="4">
        <v>1.01</v>
      </c>
      <c r="AO138" s="749" t="s">
        <v>3231</v>
      </c>
      <c r="AP138" s="34">
        <v>0.105</v>
      </c>
      <c r="AQ138" s="1" t="s">
        <v>3319</v>
      </c>
      <c r="AR138" s="4">
        <v>17</v>
      </c>
      <c r="AS138" s="1" t="s">
        <v>3135</v>
      </c>
      <c r="AT138" s="37">
        <v>0</v>
      </c>
      <c r="AU138" s="1" t="s">
        <v>3136</v>
      </c>
      <c r="AV138" s="4">
        <v>2</v>
      </c>
      <c r="AW138" s="1" t="s">
        <v>3114</v>
      </c>
      <c r="AX138" s="36">
        <v>0</v>
      </c>
      <c r="AY138" s="1" t="s">
        <v>3222</v>
      </c>
      <c r="AZ138" s="1" t="s">
        <v>467</v>
      </c>
      <c r="BA138" s="4">
        <v>1.6</v>
      </c>
    </row>
    <row r="139" spans="19:53">
      <c r="S139" s="53" t="s">
        <v>3204</v>
      </c>
      <c r="T139" s="4">
        <v>237</v>
      </c>
      <c r="U139" s="1" t="s">
        <v>3101</v>
      </c>
      <c r="V139" s="3">
        <v>23</v>
      </c>
      <c r="W139" s="1" t="s">
        <v>3175</v>
      </c>
      <c r="X139" s="34">
        <v>19</v>
      </c>
      <c r="Y139" s="749" t="s">
        <v>3263</v>
      </c>
      <c r="Z139" s="31">
        <v>104</v>
      </c>
      <c r="AA139" s="1" t="s">
        <v>3270</v>
      </c>
      <c r="AB139" s="31">
        <v>0.9</v>
      </c>
      <c r="AC139" s="1" t="s">
        <v>438</v>
      </c>
      <c r="AD139" s="42">
        <v>0.50000000000000011</v>
      </c>
      <c r="AE139" s="1" t="s">
        <v>3119</v>
      </c>
      <c r="AF139" s="4">
        <v>7.5999999999999998E-2</v>
      </c>
      <c r="AG139" s="1" t="s">
        <v>1781</v>
      </c>
      <c r="AH139" s="4">
        <v>11</v>
      </c>
      <c r="AI139" s="1" t="s">
        <v>3095</v>
      </c>
      <c r="AJ139" s="34">
        <v>0.08</v>
      </c>
      <c r="AK139" s="749" t="s">
        <v>3183</v>
      </c>
      <c r="AL139" s="4">
        <v>0.105</v>
      </c>
      <c r="AM139" s="1" t="s">
        <v>3270</v>
      </c>
      <c r="AN139" s="31">
        <v>1</v>
      </c>
      <c r="AO139" s="1" t="s">
        <v>441</v>
      </c>
      <c r="AP139" s="3">
        <v>0.10489510489510488</v>
      </c>
      <c r="AQ139" s="1" t="s">
        <v>3271</v>
      </c>
      <c r="AR139" s="3">
        <v>16.799719887955185</v>
      </c>
      <c r="AS139" s="1" t="s">
        <v>3144</v>
      </c>
      <c r="AT139" s="37">
        <v>0</v>
      </c>
      <c r="AU139" s="1" t="s">
        <v>3320</v>
      </c>
      <c r="AV139" s="4">
        <v>2</v>
      </c>
      <c r="AW139" s="1232" t="s">
        <v>518</v>
      </c>
      <c r="AX139" s="34">
        <v>0</v>
      </c>
      <c r="AY139" s="1" t="s">
        <v>1811</v>
      </c>
      <c r="AZ139" s="53" t="s">
        <v>3324</v>
      </c>
      <c r="BA139" s="40">
        <v>1.6</v>
      </c>
    </row>
    <row r="140" spans="19:53">
      <c r="S140" s="1" t="s">
        <v>3323</v>
      </c>
      <c r="T140" s="4">
        <v>235</v>
      </c>
      <c r="U140" s="1" t="s">
        <v>3117</v>
      </c>
      <c r="V140" s="4">
        <v>23</v>
      </c>
      <c r="W140" s="1233" t="s">
        <v>3157</v>
      </c>
      <c r="X140" s="1234">
        <v>19</v>
      </c>
      <c r="Y140" s="1" t="s">
        <v>3366</v>
      </c>
      <c r="Z140" s="4">
        <f>AVERAGE(Z138:Z139)</f>
        <v>104.5</v>
      </c>
      <c r="AA140" s="1233" t="s">
        <v>3245</v>
      </c>
      <c r="AB140" s="3">
        <v>0.89044289044289038</v>
      </c>
      <c r="AC140" s="1232" t="s">
        <v>469</v>
      </c>
      <c r="AD140" s="4">
        <v>0.5</v>
      </c>
      <c r="AE140" s="325" t="s">
        <v>3120</v>
      </c>
      <c r="AF140" s="4">
        <v>7.5999999999999998E-2</v>
      </c>
      <c r="AG140" s="1" t="s">
        <v>1790</v>
      </c>
      <c r="AH140" s="4">
        <v>11</v>
      </c>
      <c r="AI140" s="1" t="s">
        <v>1773</v>
      </c>
      <c r="AJ140" s="4">
        <v>0.08</v>
      </c>
      <c r="AK140" s="749" t="s">
        <v>3183</v>
      </c>
      <c r="AL140" s="37">
        <v>0.105</v>
      </c>
      <c r="AM140" s="1233" t="s">
        <v>3115</v>
      </c>
      <c r="AN140" s="3">
        <v>0.98000000000000009</v>
      </c>
      <c r="AO140" s="82" t="s">
        <v>20</v>
      </c>
      <c r="AP140" s="34">
        <v>0.104</v>
      </c>
      <c r="AQ140" s="1233" t="s">
        <v>3245</v>
      </c>
      <c r="AR140" s="3">
        <v>16.400932400932401</v>
      </c>
      <c r="AS140" s="1233" t="s">
        <v>3113</v>
      </c>
      <c r="AT140" s="37">
        <v>0</v>
      </c>
      <c r="AU140" s="1" t="s">
        <v>3448</v>
      </c>
      <c r="AV140" s="1144">
        <v>2</v>
      </c>
      <c r="AW140" s="1232" t="s">
        <v>3137</v>
      </c>
      <c r="AX140" s="34">
        <v>0</v>
      </c>
      <c r="AY140" s="1" t="s">
        <v>3223</v>
      </c>
      <c r="AZ140" s="749" t="s">
        <v>3357</v>
      </c>
      <c r="BA140" s="49">
        <v>1.6</v>
      </c>
    </row>
    <row r="141" spans="19:53">
      <c r="S141" s="1" t="s">
        <v>3175</v>
      </c>
      <c r="T141" s="34">
        <v>235</v>
      </c>
      <c r="U141" s="1232" t="s">
        <v>3503</v>
      </c>
      <c r="V141" s="3">
        <v>22.999999999999996</v>
      </c>
      <c r="W141" s="1232" t="s">
        <v>3138</v>
      </c>
      <c r="X141" s="54">
        <v>18.545454545454543</v>
      </c>
      <c r="Y141" s="1" t="s">
        <v>1831</v>
      </c>
      <c r="Z141" s="4">
        <v>100</v>
      </c>
      <c r="AA141" s="1" t="s">
        <v>3158</v>
      </c>
      <c r="AB141" s="3">
        <v>0.86</v>
      </c>
      <c r="AC141" s="1" t="s">
        <v>415</v>
      </c>
      <c r="AD141" s="3">
        <v>0.5</v>
      </c>
      <c r="AE141" s="1233" t="s">
        <v>3121</v>
      </c>
      <c r="AF141" s="238">
        <v>7.5999999999999998E-2</v>
      </c>
      <c r="AG141" s="1" t="s">
        <v>3319</v>
      </c>
      <c r="AH141" s="4">
        <v>11</v>
      </c>
      <c r="AI141" s="1" t="s">
        <v>3314</v>
      </c>
      <c r="AJ141" s="4">
        <v>0.08</v>
      </c>
      <c r="AK141" s="1" t="s">
        <v>438</v>
      </c>
      <c r="AL141" s="42">
        <v>0.1</v>
      </c>
      <c r="AM141" s="1" t="s">
        <v>3114</v>
      </c>
      <c r="AN141" s="3">
        <v>0.98000000000000009</v>
      </c>
      <c r="AO141" s="1" t="s">
        <v>20</v>
      </c>
      <c r="AP141" s="34">
        <v>0.104</v>
      </c>
      <c r="AQ141" s="1" t="s">
        <v>1766</v>
      </c>
      <c r="AR141" s="34">
        <v>16</v>
      </c>
      <c r="AS141" s="1233" t="s">
        <v>3115</v>
      </c>
      <c r="AT141" s="3">
        <v>0</v>
      </c>
      <c r="AU141" s="1" t="s">
        <v>3447</v>
      </c>
      <c r="AV141" s="1144">
        <v>2</v>
      </c>
      <c r="AW141" s="1232" t="s">
        <v>3138</v>
      </c>
      <c r="AX141" s="54">
        <v>0</v>
      </c>
      <c r="AY141" s="325" t="s">
        <v>3216</v>
      </c>
      <c r="AZ141" s="1" t="s">
        <v>1778</v>
      </c>
      <c r="BA141" s="4">
        <v>1.4</v>
      </c>
    </row>
    <row r="142" spans="19:53">
      <c r="S142" s="1233" t="s">
        <v>3276</v>
      </c>
      <c r="T142" s="1240">
        <v>234</v>
      </c>
      <c r="U142" s="749" t="s">
        <v>3504</v>
      </c>
      <c r="V142" s="3">
        <v>22.999999999999996</v>
      </c>
      <c r="W142" s="1" t="s">
        <v>3320</v>
      </c>
      <c r="X142" s="4">
        <v>18.5</v>
      </c>
      <c r="Y142" s="749" t="s">
        <v>3322</v>
      </c>
      <c r="Z142" s="4">
        <v>97</v>
      </c>
      <c r="AA142" s="1" t="s">
        <v>3098</v>
      </c>
      <c r="AB142" s="4">
        <v>0.71</v>
      </c>
      <c r="AC142" s="1" t="s">
        <v>3118</v>
      </c>
      <c r="AD142" s="3">
        <v>0.5</v>
      </c>
      <c r="AE142" s="1" t="s">
        <v>3175</v>
      </c>
      <c r="AF142" s="34">
        <v>7.3999999999999996E-2</v>
      </c>
      <c r="AG142" s="1" t="s">
        <v>1837</v>
      </c>
      <c r="AH142" s="1141">
        <v>10</v>
      </c>
      <c r="AI142" s="749" t="s">
        <v>3160</v>
      </c>
      <c r="AJ142" s="3">
        <v>0.08</v>
      </c>
      <c r="AK142" s="53" t="s">
        <v>3139</v>
      </c>
      <c r="AL142" s="4">
        <v>0.1</v>
      </c>
      <c r="AM142" s="82" t="s">
        <v>3251</v>
      </c>
      <c r="AN142" s="4">
        <v>0.96</v>
      </c>
      <c r="AO142" s="1" t="s">
        <v>3366</v>
      </c>
      <c r="AP142" s="4">
        <f>AVERAGE(AP140:AP141)</f>
        <v>0.104</v>
      </c>
      <c r="AQ142" s="1" t="s">
        <v>3093</v>
      </c>
      <c r="AR142" s="49">
        <v>16</v>
      </c>
      <c r="AS142" s="1" t="s">
        <v>3114</v>
      </c>
      <c r="AT142" s="3">
        <v>0</v>
      </c>
      <c r="AU142" s="1" t="s">
        <v>3220</v>
      </c>
      <c r="AV142" s="31">
        <v>1.2</v>
      </c>
      <c r="AW142" s="1" t="s">
        <v>415</v>
      </c>
      <c r="AX142" s="58">
        <v>0</v>
      </c>
      <c r="AY142" s="82" t="s">
        <v>3224</v>
      </c>
      <c r="AZ142" s="749" t="s">
        <v>3130</v>
      </c>
      <c r="BA142" s="4">
        <v>1.3000139997200055</v>
      </c>
    </row>
    <row r="143" spans="19:53">
      <c r="S143" s="1233" t="s">
        <v>3256</v>
      </c>
      <c r="T143" s="3">
        <v>234</v>
      </c>
      <c r="U143" s="1" t="s">
        <v>3254</v>
      </c>
      <c r="V143" s="3">
        <v>22.999999999999996</v>
      </c>
      <c r="W143" s="1" t="s">
        <v>3445</v>
      </c>
      <c r="X143" s="3">
        <v>18</v>
      </c>
      <c r="Y143" s="1" t="s">
        <v>3452</v>
      </c>
      <c r="Z143" s="4">
        <v>95</v>
      </c>
      <c r="AA143" s="1232" t="s">
        <v>3443</v>
      </c>
      <c r="AB143" s="37">
        <v>0.70400000000000007</v>
      </c>
      <c r="AC143" s="1" t="s">
        <v>3166</v>
      </c>
      <c r="AD143" s="4">
        <v>0.5</v>
      </c>
      <c r="AE143" s="1233" t="s">
        <v>3208</v>
      </c>
      <c r="AF143" s="234">
        <v>7.0028011204481794E-2</v>
      </c>
      <c r="AG143" s="1" t="s">
        <v>3153</v>
      </c>
      <c r="AH143" s="42">
        <v>10</v>
      </c>
      <c r="AI143" s="1" t="s">
        <v>3146</v>
      </c>
      <c r="AJ143" s="3">
        <v>0.08</v>
      </c>
      <c r="AK143" s="1" t="s">
        <v>1831</v>
      </c>
      <c r="AL143" s="4">
        <v>0.1</v>
      </c>
      <c r="AM143" s="1" t="s">
        <v>3136</v>
      </c>
      <c r="AN143" s="4">
        <v>0.93300000000000005</v>
      </c>
      <c r="AO143" s="1232" t="s">
        <v>3138</v>
      </c>
      <c r="AP143" s="54">
        <v>0.10222504767959312</v>
      </c>
      <c r="AQ143" s="1" t="s">
        <v>3094</v>
      </c>
      <c r="AR143" s="34">
        <v>16</v>
      </c>
      <c r="AS143" s="1232" t="s">
        <v>518</v>
      </c>
      <c r="AT143" s="34">
        <v>0</v>
      </c>
      <c r="AU143" s="1" t="s">
        <v>3295</v>
      </c>
      <c r="AV143" s="4">
        <v>1.2</v>
      </c>
      <c r="AW143" s="1" t="s">
        <v>3118</v>
      </c>
      <c r="AX143" s="37">
        <v>0</v>
      </c>
      <c r="AY143" s="325" t="s">
        <v>3460</v>
      </c>
      <c r="AZ143" s="1" t="s">
        <v>3435</v>
      </c>
      <c r="BA143" s="4">
        <v>1.3000139997200055</v>
      </c>
    </row>
    <row r="144" spans="19:53">
      <c r="S144" s="1" t="s">
        <v>3257</v>
      </c>
      <c r="T144" s="3">
        <v>234</v>
      </c>
      <c r="U144" s="1" t="s">
        <v>3277</v>
      </c>
      <c r="V144" s="3">
        <v>22.999999999999996</v>
      </c>
      <c r="W144" s="1" t="s">
        <v>3446</v>
      </c>
      <c r="X144" s="3">
        <v>18</v>
      </c>
      <c r="Y144" s="325" t="s">
        <v>3451</v>
      </c>
      <c r="Z144" s="4">
        <v>95</v>
      </c>
      <c r="AA144" s="325" t="s">
        <v>3131</v>
      </c>
      <c r="AB144" s="34">
        <v>0.7</v>
      </c>
      <c r="AC144" s="1233" t="s">
        <v>1861</v>
      </c>
      <c r="AD144" s="4">
        <v>0.5</v>
      </c>
      <c r="AE144" s="1" t="s">
        <v>3098</v>
      </c>
      <c r="AF144" s="4">
        <v>7.0000000000000007E-2</v>
      </c>
      <c r="AG144" s="1" t="s">
        <v>3154</v>
      </c>
      <c r="AH144" s="42">
        <v>10</v>
      </c>
      <c r="AI144" s="1" t="s">
        <v>3268</v>
      </c>
      <c r="AJ144" s="4">
        <v>0.08</v>
      </c>
      <c r="AK144" s="1233" t="s">
        <v>1861</v>
      </c>
      <c r="AL144" s="4">
        <v>0.1</v>
      </c>
      <c r="AM144" s="325" t="s">
        <v>3249</v>
      </c>
      <c r="AN144" s="3">
        <v>0.90024330900243299</v>
      </c>
      <c r="AO144" s="1" t="s">
        <v>460</v>
      </c>
      <c r="AP144" s="4">
        <v>0.1</v>
      </c>
      <c r="AQ144" s="1" t="s">
        <v>3212</v>
      </c>
      <c r="AR144" s="4">
        <v>14.5</v>
      </c>
      <c r="AS144" s="1232" t="s">
        <v>3137</v>
      </c>
      <c r="AT144" s="34">
        <v>0</v>
      </c>
      <c r="AU144" s="1" t="s">
        <v>3095</v>
      </c>
      <c r="AV144" s="4">
        <v>1</v>
      </c>
      <c r="AW144" s="1" t="s">
        <v>3315</v>
      </c>
      <c r="AX144" s="3">
        <v>0</v>
      </c>
      <c r="AY144" s="1" t="s">
        <v>3225</v>
      </c>
      <c r="AZ144" s="1233" t="s">
        <v>3124</v>
      </c>
      <c r="BA144" s="4">
        <v>1.3000139997200055</v>
      </c>
    </row>
    <row r="145" spans="19:53">
      <c r="S145" s="1" t="s">
        <v>1776</v>
      </c>
      <c r="T145" s="4">
        <v>228.5</v>
      </c>
      <c r="U145" s="1" t="s">
        <v>3258</v>
      </c>
      <c r="V145" s="3">
        <v>22.999999999999996</v>
      </c>
      <c r="W145" s="749" t="s">
        <v>3193</v>
      </c>
      <c r="X145" s="42">
        <v>18</v>
      </c>
      <c r="Y145" s="1" t="s">
        <v>3166</v>
      </c>
      <c r="Z145" s="4">
        <v>92</v>
      </c>
      <c r="AA145" s="1" t="s">
        <v>3133</v>
      </c>
      <c r="AB145" s="4">
        <v>0.7</v>
      </c>
      <c r="AC145" s="1" t="s">
        <v>3197</v>
      </c>
      <c r="AD145" s="4">
        <v>0.5</v>
      </c>
      <c r="AE145" s="1" t="s">
        <v>3313</v>
      </c>
      <c r="AF145" s="238">
        <v>7.0000000000000007E-2</v>
      </c>
      <c r="AG145" s="1" t="s">
        <v>3156</v>
      </c>
      <c r="AH145" s="42">
        <v>10</v>
      </c>
      <c r="AI145" s="1" t="s">
        <v>3332</v>
      </c>
      <c r="AJ145" s="3">
        <v>7.6923076923076927E-2</v>
      </c>
      <c r="AK145" s="1" t="s">
        <v>3197</v>
      </c>
      <c r="AL145" s="4">
        <v>0.1</v>
      </c>
      <c r="AM145" s="1" t="s">
        <v>3249</v>
      </c>
      <c r="AN145" s="3">
        <v>0.90024330900243299</v>
      </c>
      <c r="AO145" s="1233" t="s">
        <v>1861</v>
      </c>
      <c r="AP145" s="4">
        <v>0.1</v>
      </c>
      <c r="AQ145" s="749" t="s">
        <v>3209</v>
      </c>
      <c r="AR145" s="4">
        <v>14</v>
      </c>
      <c r="AS145" s="1232" t="s">
        <v>3138</v>
      </c>
      <c r="AT145" s="54">
        <v>0</v>
      </c>
      <c r="AU145" s="1232" t="s">
        <v>3454</v>
      </c>
      <c r="AV145" s="31">
        <v>1</v>
      </c>
      <c r="AW145" s="1" t="s">
        <v>27</v>
      </c>
      <c r="AX145" s="43">
        <v>0</v>
      </c>
      <c r="AY145" s="1" t="s">
        <v>3217</v>
      </c>
      <c r="AZ145" s="1" t="s">
        <v>3125</v>
      </c>
      <c r="BA145" s="4">
        <v>1.3000139997200055</v>
      </c>
    </row>
    <row r="146" spans="19:53">
      <c r="S146" s="1" t="s">
        <v>1786</v>
      </c>
      <c r="T146" s="4">
        <v>228</v>
      </c>
      <c r="U146" s="1" t="s">
        <v>460</v>
      </c>
      <c r="V146" s="4">
        <v>22.5</v>
      </c>
      <c r="W146" s="1233" t="s">
        <v>3194</v>
      </c>
      <c r="X146" s="42">
        <v>18</v>
      </c>
      <c r="Y146" s="1233" t="s">
        <v>3123</v>
      </c>
      <c r="Z146" s="31">
        <v>91.799999999999983</v>
      </c>
      <c r="AA146" s="1" t="s">
        <v>415</v>
      </c>
      <c r="AB146" s="3">
        <v>0.7</v>
      </c>
      <c r="AC146" s="53" t="s">
        <v>3204</v>
      </c>
      <c r="AD146" s="4">
        <v>0.5</v>
      </c>
      <c r="AE146" s="325" t="s">
        <v>3280</v>
      </c>
      <c r="AF146" s="1347">
        <v>6.6000000000000003E-2</v>
      </c>
      <c r="AG146" s="1" t="s">
        <v>3471</v>
      </c>
      <c r="AH146" s="1141">
        <v>10</v>
      </c>
      <c r="AI146" s="749" t="s">
        <v>3322</v>
      </c>
      <c r="AJ146" s="4">
        <v>7.5300000000000006E-2</v>
      </c>
      <c r="AK146" s="1154" t="s">
        <v>3290</v>
      </c>
      <c r="AL146" s="4">
        <v>0.1</v>
      </c>
      <c r="AM146" s="325" t="s">
        <v>3450</v>
      </c>
      <c r="AN146" s="49">
        <v>0.9</v>
      </c>
      <c r="AO146" s="1" t="s">
        <v>3197</v>
      </c>
      <c r="AP146" s="4">
        <v>0.1</v>
      </c>
      <c r="AQ146" s="53" t="s">
        <v>3139</v>
      </c>
      <c r="AR146" s="4">
        <v>13</v>
      </c>
      <c r="AS146" s="1" t="s">
        <v>415</v>
      </c>
      <c r="AT146" s="37">
        <v>0</v>
      </c>
      <c r="AU146" s="325" t="s">
        <v>3453</v>
      </c>
      <c r="AV146" s="1145">
        <v>1</v>
      </c>
      <c r="AW146" s="1" t="s">
        <v>1776</v>
      </c>
      <c r="AX146" s="36">
        <v>0</v>
      </c>
      <c r="AY146" s="1" t="s">
        <v>3227</v>
      </c>
      <c r="AZ146" s="1" t="s">
        <v>3433</v>
      </c>
      <c r="BA146" s="4">
        <v>1.3000139997200055</v>
      </c>
    </row>
    <row r="147" spans="19:53">
      <c r="S147" s="1" t="s">
        <v>3176</v>
      </c>
      <c r="T147" s="4">
        <v>226</v>
      </c>
      <c r="U147" s="1310" t="s">
        <v>3096</v>
      </c>
      <c r="V147" s="4">
        <v>21</v>
      </c>
      <c r="W147" s="325" t="s">
        <v>3280</v>
      </c>
      <c r="X147" s="1144">
        <v>18</v>
      </c>
      <c r="Y147" s="325" t="s">
        <v>3453</v>
      </c>
      <c r="Z147" s="49">
        <v>91</v>
      </c>
      <c r="AA147" s="1" t="s">
        <v>3118</v>
      </c>
      <c r="AB147" s="3">
        <v>0.7</v>
      </c>
      <c r="AC147" s="1" t="s">
        <v>3270</v>
      </c>
      <c r="AD147" s="31">
        <v>0.5</v>
      </c>
      <c r="AE147" s="1" t="s">
        <v>1766</v>
      </c>
      <c r="AF147" s="34">
        <v>6.5000000000000002E-2</v>
      </c>
      <c r="AG147" s="1" t="s">
        <v>1851</v>
      </c>
      <c r="AH147" s="34">
        <v>10</v>
      </c>
      <c r="AI147" s="1" t="s">
        <v>3327</v>
      </c>
      <c r="AJ147" s="42">
        <v>7.4999999999999997E-2</v>
      </c>
      <c r="AK147" s="1" t="s">
        <v>3158</v>
      </c>
      <c r="AL147" s="4">
        <v>9.8000000000000004E-2</v>
      </c>
      <c r="AM147" s="1" t="s">
        <v>3458</v>
      </c>
      <c r="AN147" s="49">
        <v>0.9</v>
      </c>
      <c r="AO147" s="1233" t="s">
        <v>3276</v>
      </c>
      <c r="AP147" s="1241">
        <v>0.1</v>
      </c>
      <c r="AQ147" s="1" t="s">
        <v>3313</v>
      </c>
      <c r="AR147" s="31">
        <v>13</v>
      </c>
      <c r="AS147" s="1" t="s">
        <v>3118</v>
      </c>
      <c r="AT147" s="37">
        <v>0</v>
      </c>
      <c r="AU147" s="1" t="s">
        <v>1811</v>
      </c>
      <c r="AV147" s="4">
        <v>1</v>
      </c>
      <c r="AW147" s="1" t="s">
        <v>1777</v>
      </c>
      <c r="AX147" s="3">
        <v>0</v>
      </c>
      <c r="AY147" s="1" t="s">
        <v>3228</v>
      </c>
      <c r="AZ147" s="1310" t="s">
        <v>3096</v>
      </c>
      <c r="BA147" s="4">
        <v>1.3</v>
      </c>
    </row>
    <row r="148" spans="19:53">
      <c r="S148" s="749" t="s">
        <v>3207</v>
      </c>
      <c r="T148" s="42">
        <v>225</v>
      </c>
      <c r="U148" s="1264" t="s">
        <v>3097</v>
      </c>
      <c r="V148" s="4">
        <v>21</v>
      </c>
      <c r="W148" s="1" t="s">
        <v>1786</v>
      </c>
      <c r="X148" s="4">
        <v>17</v>
      </c>
      <c r="Y148" s="1233" t="s">
        <v>3221</v>
      </c>
      <c r="Z148" s="3">
        <v>91</v>
      </c>
      <c r="AA148" s="1" t="s">
        <v>1801</v>
      </c>
      <c r="AB148" s="4">
        <v>0.7</v>
      </c>
      <c r="AC148" s="749" t="s">
        <v>3207</v>
      </c>
      <c r="AD148" s="42">
        <v>0.49</v>
      </c>
      <c r="AE148" s="1" t="s">
        <v>3094</v>
      </c>
      <c r="AF148" s="34">
        <v>6.5000000000000002E-2</v>
      </c>
      <c r="AG148" s="1" t="s">
        <v>3423</v>
      </c>
      <c r="AH148" s="3">
        <v>10</v>
      </c>
      <c r="AI148" s="1233" t="s">
        <v>3208</v>
      </c>
      <c r="AJ148" s="3">
        <v>7.0028011204481794E-2</v>
      </c>
      <c r="AK148" s="1233" t="s">
        <v>3123</v>
      </c>
      <c r="AL148" s="31">
        <v>9.799999999999999E-2</v>
      </c>
      <c r="AM148" s="325" t="s">
        <v>3453</v>
      </c>
      <c r="AN148" s="49">
        <v>0.9</v>
      </c>
      <c r="AO148" s="1233" t="s">
        <v>3256</v>
      </c>
      <c r="AP148" s="3">
        <v>0.1</v>
      </c>
      <c r="AQ148" s="325" t="s">
        <v>3450</v>
      </c>
      <c r="AR148" s="49">
        <v>12.6</v>
      </c>
      <c r="AS148" s="1" t="s">
        <v>27</v>
      </c>
      <c r="AT148" s="43">
        <v>0</v>
      </c>
      <c r="AU148" s="1" t="s">
        <v>3223</v>
      </c>
      <c r="AV148" s="4">
        <v>1</v>
      </c>
      <c r="AW148" s="1" t="s">
        <v>1801</v>
      </c>
      <c r="AX148" s="3">
        <v>0</v>
      </c>
      <c r="AY148" s="749" t="s">
        <v>3229</v>
      </c>
      <c r="AZ148" s="1" t="s">
        <v>3116</v>
      </c>
      <c r="BA148" s="49">
        <v>1.3</v>
      </c>
    </row>
    <row r="149" spans="19:53">
      <c r="S149" s="1" t="s">
        <v>3320</v>
      </c>
      <c r="T149" s="4">
        <v>221</v>
      </c>
      <c r="U149" s="1" t="s">
        <v>91</v>
      </c>
      <c r="V149" s="34">
        <v>21</v>
      </c>
      <c r="W149" s="325" t="s">
        <v>3216</v>
      </c>
      <c r="X149" s="31">
        <v>17</v>
      </c>
      <c r="Y149" s="1" t="s">
        <v>441</v>
      </c>
      <c r="Z149" s="3">
        <v>90</v>
      </c>
      <c r="AA149" s="1" t="s">
        <v>441</v>
      </c>
      <c r="AB149" s="3">
        <v>0.69930069930069927</v>
      </c>
      <c r="AC149" s="82" t="s">
        <v>20</v>
      </c>
      <c r="AD149" s="4">
        <v>0.47699999999999998</v>
      </c>
      <c r="AE149" s="1" t="s">
        <v>1785</v>
      </c>
      <c r="AF149" s="4">
        <v>6.5000000000000002E-2</v>
      </c>
      <c r="AG149" s="749" t="s">
        <v>3262</v>
      </c>
      <c r="AH149" s="4">
        <v>9.6</v>
      </c>
      <c r="AI149" s="1232" t="s">
        <v>3105</v>
      </c>
      <c r="AJ149" s="42">
        <v>7.0000000000000007E-2</v>
      </c>
      <c r="AK149" s="1233" t="s">
        <v>3121</v>
      </c>
      <c r="AL149" s="31">
        <v>9.1999999999999998E-2</v>
      </c>
      <c r="AM149" s="1233" t="s">
        <v>3221</v>
      </c>
      <c r="AN149" s="3">
        <v>0.8999300209937019</v>
      </c>
      <c r="AO149" s="1" t="s">
        <v>3257</v>
      </c>
      <c r="AP149" s="3">
        <v>0.1</v>
      </c>
      <c r="AQ149" s="1" t="s">
        <v>3458</v>
      </c>
      <c r="AR149" s="49">
        <v>12.6</v>
      </c>
      <c r="AS149" s="1233" t="s">
        <v>3308</v>
      </c>
      <c r="AT149" s="34">
        <v>0</v>
      </c>
      <c r="AU149" s="82" t="s">
        <v>3224</v>
      </c>
      <c r="AV149" s="4">
        <v>1</v>
      </c>
      <c r="AW149" s="1" t="s">
        <v>1778</v>
      </c>
      <c r="AX149" s="3">
        <v>0</v>
      </c>
      <c r="AY149" s="1" t="s">
        <v>3226</v>
      </c>
      <c r="AZ149" s="1264" t="s">
        <v>3097</v>
      </c>
      <c r="BA149" s="4">
        <v>1.3</v>
      </c>
    </row>
    <row r="150" spans="19:53">
      <c r="S150" s="1" t="s">
        <v>3151</v>
      </c>
      <c r="T150" s="37">
        <v>220</v>
      </c>
      <c r="U150" s="1233" t="s">
        <v>3157</v>
      </c>
      <c r="V150" s="49">
        <v>21</v>
      </c>
      <c r="W150" s="1233" t="s">
        <v>3089</v>
      </c>
      <c r="X150" s="31">
        <v>16.299999999999997</v>
      </c>
      <c r="Y150" s="1" t="s">
        <v>1803</v>
      </c>
      <c r="Z150" s="4">
        <v>90</v>
      </c>
      <c r="AA150" s="1233" t="s">
        <v>3089</v>
      </c>
      <c r="AB150" s="31">
        <v>0.66799999999999993</v>
      </c>
      <c r="AC150" s="1" t="s">
        <v>20</v>
      </c>
      <c r="AD150" s="4">
        <v>0.47699999999999998</v>
      </c>
      <c r="AE150" s="1" t="s">
        <v>3158</v>
      </c>
      <c r="AF150" s="4">
        <v>6.4000000000000001E-2</v>
      </c>
      <c r="AG150" s="1" t="s">
        <v>3158</v>
      </c>
      <c r="AH150" s="4">
        <v>9</v>
      </c>
      <c r="AI150" s="325" t="s">
        <v>3460</v>
      </c>
      <c r="AJ150" s="34">
        <v>7.0000000000000007E-2</v>
      </c>
      <c r="AK150" s="1" t="s">
        <v>441</v>
      </c>
      <c r="AL150" s="3">
        <v>9.0909090909090898E-2</v>
      </c>
      <c r="AM150" s="325" t="s">
        <v>3131</v>
      </c>
      <c r="AN150" s="34">
        <v>0.89</v>
      </c>
      <c r="AO150" s="491" t="s">
        <v>3510</v>
      </c>
      <c r="AP150" s="37">
        <v>9.69E-2</v>
      </c>
      <c r="AQ150" s="1" t="s">
        <v>1773</v>
      </c>
      <c r="AR150" s="4">
        <v>12.1</v>
      </c>
      <c r="AS150" s="1" t="s">
        <v>468</v>
      </c>
      <c r="AT150" s="4">
        <v>0</v>
      </c>
      <c r="AU150" s="1" t="s">
        <v>3226</v>
      </c>
      <c r="AV150" s="34">
        <v>1</v>
      </c>
      <c r="AW150" s="1" t="s">
        <v>460</v>
      </c>
      <c r="AX150" s="3">
        <v>0</v>
      </c>
      <c r="AY150" s="749" t="s">
        <v>3230</v>
      </c>
      <c r="AZ150" s="1" t="s">
        <v>3270</v>
      </c>
      <c r="BA150" s="29">
        <v>1.3</v>
      </c>
    </row>
    <row r="151" spans="19:53">
      <c r="S151" s="1232" t="s">
        <v>3503</v>
      </c>
      <c r="T151" s="3">
        <v>219</v>
      </c>
      <c r="U151" s="1233" t="s">
        <v>3242</v>
      </c>
      <c r="V151" s="1238">
        <v>21</v>
      </c>
      <c r="W151" s="1" t="s">
        <v>438</v>
      </c>
      <c r="X151" s="42">
        <v>16.000000000000004</v>
      </c>
      <c r="Y151" s="1" t="s">
        <v>3445</v>
      </c>
      <c r="Z151" s="3">
        <v>89</v>
      </c>
      <c r="AA151" s="1" t="s">
        <v>3200</v>
      </c>
      <c r="AB151" s="3">
        <v>0.64450000000000007</v>
      </c>
      <c r="AC151" s="1" t="s">
        <v>3220</v>
      </c>
      <c r="AD151" s="31">
        <v>0.47</v>
      </c>
      <c r="AE151" s="749" t="s">
        <v>3173</v>
      </c>
      <c r="AF151" s="4">
        <v>0.06</v>
      </c>
      <c r="AG151" s="1" t="s">
        <v>1827</v>
      </c>
      <c r="AH151" s="4">
        <v>9</v>
      </c>
      <c r="AI151" s="1" t="s">
        <v>1831</v>
      </c>
      <c r="AJ151" s="4">
        <v>7.0000000000000007E-2</v>
      </c>
      <c r="AK151" s="82" t="s">
        <v>3103</v>
      </c>
      <c r="AL151" s="4">
        <v>0.09</v>
      </c>
      <c r="AM151" s="1" t="s">
        <v>3133</v>
      </c>
      <c r="AN151" s="4">
        <v>0.89</v>
      </c>
      <c r="AO151" s="1233" t="s">
        <v>3429</v>
      </c>
      <c r="AP151" s="31">
        <v>9.6000000000000002E-2</v>
      </c>
      <c r="AQ151" s="53" t="s">
        <v>3218</v>
      </c>
      <c r="AR151" s="4">
        <v>12</v>
      </c>
      <c r="AS151" s="1" t="s">
        <v>3316</v>
      </c>
      <c r="AT151" s="4">
        <v>0</v>
      </c>
      <c r="AU151" s="1" t="s">
        <v>3232</v>
      </c>
      <c r="AV151" s="34">
        <v>1</v>
      </c>
      <c r="AW151" s="1233" t="s">
        <v>3308</v>
      </c>
      <c r="AX151" s="3">
        <v>0</v>
      </c>
      <c r="AY151" s="1" t="s">
        <v>3232</v>
      </c>
      <c r="AZ151" s="1232" t="s">
        <v>3145</v>
      </c>
      <c r="BA151" s="34">
        <v>1.2</v>
      </c>
    </row>
    <row r="152" spans="19:53">
      <c r="S152" s="749" t="s">
        <v>3504</v>
      </c>
      <c r="T152" s="3">
        <v>219</v>
      </c>
      <c r="U152" s="1" t="s">
        <v>3430</v>
      </c>
      <c r="V152" s="31">
        <v>20.8</v>
      </c>
      <c r="W152" s="1" t="s">
        <v>3321</v>
      </c>
      <c r="X152" s="4">
        <v>15.5</v>
      </c>
      <c r="Y152" s="1" t="s">
        <v>3446</v>
      </c>
      <c r="Z152" s="3">
        <v>89</v>
      </c>
      <c r="AA152" s="1" t="s">
        <v>421</v>
      </c>
      <c r="AB152" s="4">
        <v>0.64</v>
      </c>
      <c r="AC152" s="1" t="s">
        <v>3445</v>
      </c>
      <c r="AD152" s="3">
        <v>0.45300000000000001</v>
      </c>
      <c r="AE152" s="1" t="s">
        <v>3174</v>
      </c>
      <c r="AF152" s="4">
        <v>0.06</v>
      </c>
      <c r="AG152" s="749" t="s">
        <v>3164</v>
      </c>
      <c r="AH152" s="31">
        <v>9</v>
      </c>
      <c r="AI152" s="1" t="s">
        <v>3150</v>
      </c>
      <c r="AJ152" s="3">
        <v>7.0000000000000007E-2</v>
      </c>
      <c r="AK152" s="325" t="s">
        <v>3132</v>
      </c>
      <c r="AL152" s="4">
        <v>0.09</v>
      </c>
      <c r="AM152" s="1" t="s">
        <v>1776</v>
      </c>
      <c r="AN152" s="4">
        <v>0.89</v>
      </c>
      <c r="AO152" s="1" t="s">
        <v>3108</v>
      </c>
      <c r="AP152" s="31">
        <v>9.6000000000000002E-2</v>
      </c>
      <c r="AQ152" s="1" t="s">
        <v>3471</v>
      </c>
      <c r="AR152" s="34">
        <v>12</v>
      </c>
      <c r="AS152" s="1" t="s">
        <v>1786</v>
      </c>
      <c r="AT152" s="4">
        <v>0</v>
      </c>
      <c r="AU152" s="1" t="s">
        <v>3233</v>
      </c>
      <c r="AV152" s="34">
        <v>1</v>
      </c>
      <c r="AW152" s="1" t="s">
        <v>3309</v>
      </c>
      <c r="AX152" s="3">
        <v>0</v>
      </c>
      <c r="AY152" s="749" t="s">
        <v>3231</v>
      </c>
      <c r="AZ152" s="1" t="s">
        <v>1766</v>
      </c>
      <c r="BA152" s="34">
        <v>1.2</v>
      </c>
    </row>
    <row r="153" spans="19:53">
      <c r="S153" s="1" t="s">
        <v>3254</v>
      </c>
      <c r="T153" s="3">
        <v>219</v>
      </c>
      <c r="U153" s="1" t="s">
        <v>3428</v>
      </c>
      <c r="V153" s="34">
        <v>20.8</v>
      </c>
      <c r="W153" s="1232" t="s">
        <v>469</v>
      </c>
      <c r="X153" s="4">
        <v>15</v>
      </c>
      <c r="Y153" s="1" t="s">
        <v>3220</v>
      </c>
      <c r="Z153" s="31">
        <v>89</v>
      </c>
      <c r="AA153" s="1233" t="s">
        <v>3444</v>
      </c>
      <c r="AB153" s="31">
        <v>0.64</v>
      </c>
      <c r="AC153" s="1" t="s">
        <v>3446</v>
      </c>
      <c r="AD153" s="3">
        <v>0.45300000000000001</v>
      </c>
      <c r="AE153" s="1233" t="s">
        <v>3089</v>
      </c>
      <c r="AF153" s="238">
        <v>5.9000000000000004E-2</v>
      </c>
      <c r="AG153" s="1" t="s">
        <v>3238</v>
      </c>
      <c r="AH153" s="42">
        <v>9</v>
      </c>
      <c r="AI153" s="491" t="s">
        <v>3510</v>
      </c>
      <c r="AJ153" s="3">
        <v>7.0000000000000007E-2</v>
      </c>
      <c r="AK153" s="1" t="s">
        <v>3314</v>
      </c>
      <c r="AL153" s="4">
        <v>0.09</v>
      </c>
      <c r="AM153" s="1" t="s">
        <v>3437</v>
      </c>
      <c r="AN153" s="4">
        <v>0.86</v>
      </c>
      <c r="AO153" s="1233" t="s">
        <v>3121</v>
      </c>
      <c r="AP153" s="31">
        <v>9.0999999999999998E-2</v>
      </c>
      <c r="AQ153" s="1" t="s">
        <v>1851</v>
      </c>
      <c r="AR153" s="34">
        <v>12</v>
      </c>
      <c r="AS153" s="1" t="s">
        <v>3440</v>
      </c>
      <c r="AT153" s="37">
        <v>0</v>
      </c>
      <c r="AU153" s="1" t="s">
        <v>3234</v>
      </c>
      <c r="AV153" s="34">
        <v>1</v>
      </c>
      <c r="AW153" s="1" t="s">
        <v>3310</v>
      </c>
      <c r="AX153" s="3">
        <v>0</v>
      </c>
      <c r="AY153" s="1" t="s">
        <v>3233</v>
      </c>
      <c r="AZ153" s="325" t="s">
        <v>3110</v>
      </c>
      <c r="BA153" s="1234">
        <v>1.2</v>
      </c>
    </row>
    <row r="154" spans="19:53">
      <c r="S154" s="1" t="s">
        <v>3277</v>
      </c>
      <c r="T154" s="3">
        <v>219</v>
      </c>
      <c r="U154" s="1" t="s">
        <v>3107</v>
      </c>
      <c r="V154" s="31">
        <v>20.8</v>
      </c>
      <c r="W154" s="1" t="s">
        <v>3158</v>
      </c>
      <c r="X154" s="3">
        <v>15</v>
      </c>
      <c r="Y154" s="82" t="s">
        <v>3361</v>
      </c>
      <c r="Z154" s="4">
        <v>89</v>
      </c>
      <c r="AA154" s="1232" t="s">
        <v>1963</v>
      </c>
      <c r="AB154" s="1144">
        <v>0.64</v>
      </c>
      <c r="AC154" s="1233" t="s">
        <v>3429</v>
      </c>
      <c r="AD154" s="31">
        <v>0.45</v>
      </c>
      <c r="AE154" s="749" t="s">
        <v>3207</v>
      </c>
      <c r="AF154" s="236">
        <v>5.8999999999999997E-2</v>
      </c>
      <c r="AG154" s="749" t="s">
        <v>3405</v>
      </c>
      <c r="AH154" s="4">
        <v>8</v>
      </c>
      <c r="AI154" s="1233" t="s">
        <v>3252</v>
      </c>
      <c r="AJ154" s="3">
        <v>7.0000000000000007E-2</v>
      </c>
      <c r="AK154" s="1233" t="s">
        <v>3256</v>
      </c>
      <c r="AL154" s="3">
        <v>0.09</v>
      </c>
      <c r="AM154" s="1" t="s">
        <v>3220</v>
      </c>
      <c r="AN154" s="31">
        <v>0.85919999999999996</v>
      </c>
      <c r="AO154" s="1" t="s">
        <v>3119</v>
      </c>
      <c r="AP154" s="4">
        <v>0.09</v>
      </c>
      <c r="AQ154" s="82" t="s">
        <v>3246</v>
      </c>
      <c r="AR154" s="4">
        <v>11.6</v>
      </c>
      <c r="AS154" s="1" t="s">
        <v>3318</v>
      </c>
      <c r="AT154" s="4">
        <v>0</v>
      </c>
      <c r="AU154" s="1" t="s">
        <v>475</v>
      </c>
      <c r="AV154" s="34">
        <v>1</v>
      </c>
      <c r="AW154" s="1" t="s">
        <v>3311</v>
      </c>
      <c r="AX154" s="3">
        <v>0</v>
      </c>
      <c r="AY154" s="1" t="s">
        <v>3234</v>
      </c>
      <c r="AZ154" s="1" t="s">
        <v>1783</v>
      </c>
      <c r="BA154" s="4">
        <v>1.2</v>
      </c>
    </row>
    <row r="155" spans="19:53">
      <c r="S155" s="1" t="s">
        <v>3258</v>
      </c>
      <c r="T155" s="3">
        <v>219</v>
      </c>
      <c r="U155" s="1" t="s">
        <v>3434</v>
      </c>
      <c r="V155" s="31">
        <v>20.8</v>
      </c>
      <c r="W155" s="1" t="s">
        <v>3166</v>
      </c>
      <c r="X155" s="4">
        <v>15</v>
      </c>
      <c r="Y155" s="1" t="s">
        <v>3212</v>
      </c>
      <c r="Z155" s="4">
        <v>87.7</v>
      </c>
      <c r="AA155" s="53" t="s">
        <v>3324</v>
      </c>
      <c r="AB155" s="42">
        <v>0.624</v>
      </c>
      <c r="AC155" s="1" t="s">
        <v>3108</v>
      </c>
      <c r="AD155" s="31">
        <v>0.45</v>
      </c>
      <c r="AE155" s="1" t="s">
        <v>3214</v>
      </c>
      <c r="AF155" s="34">
        <v>5.8000000000000003E-2</v>
      </c>
      <c r="AG155" s="1" t="s">
        <v>3151</v>
      </c>
      <c r="AH155" s="34">
        <v>7</v>
      </c>
      <c r="AI155" s="1" t="s">
        <v>3148</v>
      </c>
      <c r="AJ155" s="3">
        <v>6.9979006298110574E-2</v>
      </c>
      <c r="AK155" s="1" t="s">
        <v>3257</v>
      </c>
      <c r="AL155" s="3">
        <v>0.09</v>
      </c>
      <c r="AM155" s="325" t="s">
        <v>3110</v>
      </c>
      <c r="AN155" s="42">
        <v>0.82000000000000006</v>
      </c>
      <c r="AO155" s="325" t="s">
        <v>3120</v>
      </c>
      <c r="AP155" s="4">
        <v>0.09</v>
      </c>
      <c r="AQ155" s="1" t="s">
        <v>3200</v>
      </c>
      <c r="AR155" s="3">
        <v>11.1671</v>
      </c>
      <c r="AS155" s="1" t="s">
        <v>467</v>
      </c>
      <c r="AT155" s="4">
        <v>0</v>
      </c>
      <c r="AU155" s="1" t="s">
        <v>3329</v>
      </c>
      <c r="AV155" s="3">
        <v>1</v>
      </c>
      <c r="AW155" s="1" t="s">
        <v>3439</v>
      </c>
      <c r="AX155" s="3">
        <v>0</v>
      </c>
      <c r="AY155" s="1" t="s">
        <v>475</v>
      </c>
      <c r="AZ155" s="749" t="s">
        <v>3207</v>
      </c>
      <c r="BA155" s="34">
        <v>1.1299999999999999</v>
      </c>
    </row>
    <row r="156" spans="19:53">
      <c r="S156" s="1" t="s">
        <v>1835</v>
      </c>
      <c r="T156" s="34">
        <v>218</v>
      </c>
      <c r="U156" s="749" t="s">
        <v>3182</v>
      </c>
      <c r="V156" s="4">
        <v>20.8</v>
      </c>
      <c r="W156" s="1232" t="s">
        <v>3215</v>
      </c>
      <c r="X156" s="4">
        <v>14.180847514180849</v>
      </c>
      <c r="Y156" s="1233" t="s">
        <v>3113</v>
      </c>
      <c r="Z156" s="3">
        <v>87</v>
      </c>
      <c r="AA156" s="1" t="s">
        <v>3321</v>
      </c>
      <c r="AB156" s="4">
        <v>0.61</v>
      </c>
      <c r="AC156" s="1" t="s">
        <v>3212</v>
      </c>
      <c r="AD156" s="4">
        <v>0.441</v>
      </c>
      <c r="AE156" s="1" t="s">
        <v>1837</v>
      </c>
      <c r="AF156" s="34">
        <v>5.7000000000000002E-2</v>
      </c>
      <c r="AG156" s="1233" t="s">
        <v>3444</v>
      </c>
      <c r="AH156" s="49">
        <v>7</v>
      </c>
      <c r="AI156" s="749" t="s">
        <v>3163</v>
      </c>
      <c r="AJ156" s="3">
        <v>6.9979006298110574E-2</v>
      </c>
      <c r="AK156" s="1233" t="s">
        <v>3429</v>
      </c>
      <c r="AL156" s="31">
        <v>8.5000000000000006E-2</v>
      </c>
      <c r="AM156" s="1" t="s">
        <v>3111</v>
      </c>
      <c r="AN156" s="42">
        <v>0.82000000000000006</v>
      </c>
      <c r="AO156" s="1" t="s">
        <v>1773</v>
      </c>
      <c r="AP156" s="4">
        <v>0.09</v>
      </c>
      <c r="AQ156" s="1" t="s">
        <v>3457</v>
      </c>
      <c r="AR156" s="4">
        <v>11</v>
      </c>
      <c r="AS156" s="1" t="s">
        <v>3321</v>
      </c>
      <c r="AT156" s="4">
        <v>0</v>
      </c>
      <c r="AU156" s="1" t="s">
        <v>3330</v>
      </c>
      <c r="AV156" s="3">
        <v>1</v>
      </c>
      <c r="AW156" s="1" t="s">
        <v>3312</v>
      </c>
      <c r="AX156" s="3">
        <v>0</v>
      </c>
      <c r="AY156" s="24" t="s">
        <v>3218</v>
      </c>
      <c r="AZ156" s="24" t="s">
        <v>3117</v>
      </c>
      <c r="BA156" s="34">
        <v>1.1000000000000001</v>
      </c>
    </row>
    <row r="157" spans="19:53">
      <c r="S157" s="1239" t="s">
        <v>3429</v>
      </c>
      <c r="T157" s="31">
        <v>212</v>
      </c>
      <c r="U157" s="1239" t="s">
        <v>414</v>
      </c>
      <c r="V157" s="49">
        <v>20.599999999999998</v>
      </c>
      <c r="W157" s="24" t="s">
        <v>3217</v>
      </c>
      <c r="X157" s="4">
        <v>14.180847514180849</v>
      </c>
      <c r="Y157" s="24" t="s">
        <v>3457</v>
      </c>
      <c r="Z157" s="4">
        <v>87</v>
      </c>
      <c r="AA157" s="24" t="s">
        <v>3091</v>
      </c>
      <c r="AB157" s="3">
        <v>0.600043075597674</v>
      </c>
      <c r="AC157" s="1239" t="s">
        <v>3221</v>
      </c>
      <c r="AD157" s="3">
        <v>0.44016794961511552</v>
      </c>
      <c r="AE157" s="492" t="s">
        <v>3160</v>
      </c>
      <c r="AF157" s="239">
        <v>5.4000000000000006E-2</v>
      </c>
      <c r="AG157" s="24" t="s">
        <v>415</v>
      </c>
      <c r="AH157" s="234">
        <v>6.2</v>
      </c>
      <c r="AI157" s="492" t="s">
        <v>3149</v>
      </c>
      <c r="AJ157" s="3">
        <v>6.9979006298110574E-2</v>
      </c>
      <c r="AK157" s="24" t="s">
        <v>3108</v>
      </c>
      <c r="AL157" s="31">
        <v>8.5000000000000006E-2</v>
      </c>
      <c r="AM157" s="24" t="s">
        <v>3268</v>
      </c>
      <c r="AN157" s="4">
        <v>0.80100000000000005</v>
      </c>
      <c r="AO157" s="24" t="s">
        <v>1786</v>
      </c>
      <c r="AP157" s="4">
        <v>0.09</v>
      </c>
      <c r="AQ157" s="1244" t="s">
        <v>3454</v>
      </c>
      <c r="AR157" s="31">
        <v>11</v>
      </c>
      <c r="AS157" s="24" t="s">
        <v>3314</v>
      </c>
      <c r="AT157" s="4">
        <v>0</v>
      </c>
      <c r="AU157" s="24" t="s">
        <v>134</v>
      </c>
      <c r="AV157" s="3">
        <v>1</v>
      </c>
      <c r="AW157" s="24" t="s">
        <v>468</v>
      </c>
      <c r="AX157" s="4">
        <v>0</v>
      </c>
      <c r="AY157" s="749" t="s">
        <v>3209</v>
      </c>
      <c r="AZ157" s="1" t="s">
        <v>3457</v>
      </c>
      <c r="BA157" s="4">
        <v>1</v>
      </c>
    </row>
    <row r="158" spans="19:53">
      <c r="S158" s="1" t="s">
        <v>3117</v>
      </c>
      <c r="T158" s="4">
        <v>210</v>
      </c>
      <c r="U158" s="1" t="s">
        <v>3117</v>
      </c>
      <c r="V158" s="34">
        <v>20</v>
      </c>
      <c r="W158" s="1" t="s">
        <v>3091</v>
      </c>
      <c r="X158" s="3">
        <v>14.000000000000002</v>
      </c>
      <c r="Y158" s="1" t="s">
        <v>3098</v>
      </c>
      <c r="Z158" s="4">
        <v>86.9</v>
      </c>
      <c r="AA158" s="1" t="s">
        <v>3092</v>
      </c>
      <c r="AB158" s="3">
        <v>0.600043075597674</v>
      </c>
      <c r="AC158" s="325" t="s">
        <v>3453</v>
      </c>
      <c r="AD158" s="49">
        <v>0.44</v>
      </c>
      <c r="AE158" s="1" t="s">
        <v>3146</v>
      </c>
      <c r="AF158" s="239">
        <v>5.4000000000000006E-2</v>
      </c>
      <c r="AG158" s="1" t="s">
        <v>3118</v>
      </c>
      <c r="AH158" s="234">
        <v>6.2</v>
      </c>
      <c r="AI158" s="1" t="s">
        <v>3494</v>
      </c>
      <c r="AJ158" s="42">
        <v>6.9969040247678013E-2</v>
      </c>
      <c r="AK158" s="1" t="s">
        <v>3437</v>
      </c>
      <c r="AL158" s="4">
        <v>0.08</v>
      </c>
      <c r="AM158" s="1" t="s">
        <v>438</v>
      </c>
      <c r="AN158" s="42">
        <v>0.8</v>
      </c>
      <c r="AO158" s="1" t="s">
        <v>3223</v>
      </c>
      <c r="AP158" s="4">
        <v>0.09</v>
      </c>
      <c r="AQ158" s="325" t="s">
        <v>3453</v>
      </c>
      <c r="AR158" s="49">
        <v>11</v>
      </c>
      <c r="AS158" s="1" t="s">
        <v>480</v>
      </c>
      <c r="AT158" s="4">
        <v>0</v>
      </c>
      <c r="AU158" s="1" t="s">
        <v>3200</v>
      </c>
      <c r="AV158" s="3">
        <v>0.92710000000000004</v>
      </c>
      <c r="AW158" s="1" t="s">
        <v>3316</v>
      </c>
      <c r="AX158" s="4">
        <v>0</v>
      </c>
      <c r="AY158" s="1233" t="s">
        <v>3208</v>
      </c>
      <c r="AZ158" s="325" t="s">
        <v>3131</v>
      </c>
      <c r="BA158" s="34">
        <v>0.9</v>
      </c>
    </row>
    <row r="159" spans="19:53">
      <c r="S159" s="1" t="s">
        <v>3214</v>
      </c>
      <c r="T159" s="34">
        <v>203</v>
      </c>
      <c r="U159" s="1" t="s">
        <v>1781</v>
      </c>
      <c r="V159" s="4">
        <v>20</v>
      </c>
      <c r="W159" s="1" t="s">
        <v>3092</v>
      </c>
      <c r="X159" s="3">
        <v>14.000000000000002</v>
      </c>
      <c r="Y159" s="1" t="s">
        <v>3430</v>
      </c>
      <c r="Z159" s="31">
        <v>86.8</v>
      </c>
      <c r="AA159" s="1232" t="s">
        <v>469</v>
      </c>
      <c r="AB159" s="4">
        <v>0.6</v>
      </c>
      <c r="AC159" s="1" t="s">
        <v>3214</v>
      </c>
      <c r="AD159" s="34">
        <v>0.435</v>
      </c>
      <c r="AE159" s="1" t="s">
        <v>1783</v>
      </c>
      <c r="AF159" s="60">
        <v>5.2999999999999999E-2</v>
      </c>
      <c r="AG159" s="1" t="s">
        <v>3323</v>
      </c>
      <c r="AH159" s="4">
        <v>6</v>
      </c>
      <c r="AI159" s="1" t="s">
        <v>3175</v>
      </c>
      <c r="AJ159" s="34">
        <v>6.5000000000000002E-2</v>
      </c>
      <c r="AK159" s="1" t="s">
        <v>3112</v>
      </c>
      <c r="AL159" s="49">
        <v>0.08</v>
      </c>
      <c r="AM159" s="1232" t="s">
        <v>3105</v>
      </c>
      <c r="AN159" s="42">
        <v>0.8</v>
      </c>
      <c r="AO159" s="325" t="s">
        <v>3460</v>
      </c>
      <c r="AP159" s="34">
        <v>0.09</v>
      </c>
      <c r="AQ159" s="1" t="s">
        <v>3220</v>
      </c>
      <c r="AR159" s="31">
        <v>11</v>
      </c>
      <c r="AS159" s="1" t="s">
        <v>3240</v>
      </c>
      <c r="AT159" s="3">
        <v>0</v>
      </c>
      <c r="AU159" s="53" t="s">
        <v>3218</v>
      </c>
      <c r="AV159" s="34">
        <v>0.9</v>
      </c>
      <c r="AW159" s="1" t="s">
        <v>3317</v>
      </c>
      <c r="AX159" s="4">
        <v>0</v>
      </c>
      <c r="AY159" s="24" t="s">
        <v>3210</v>
      </c>
      <c r="AZ159" s="24" t="s">
        <v>3133</v>
      </c>
      <c r="BA159" s="4">
        <v>0.9</v>
      </c>
    </row>
    <row r="160" spans="19:53">
      <c r="S160" s="24" t="s">
        <v>3366</v>
      </c>
      <c r="T160" s="4">
        <f>AVERAGE(T158:T159)</f>
        <v>206.5</v>
      </c>
      <c r="U160" s="1239" t="s">
        <v>3293</v>
      </c>
      <c r="V160" s="49">
        <v>19.899999999999999</v>
      </c>
      <c r="W160" s="24" t="s">
        <v>3102</v>
      </c>
      <c r="X160" s="3">
        <v>14</v>
      </c>
      <c r="Y160" s="24" t="s">
        <v>3428</v>
      </c>
      <c r="Z160" s="34">
        <v>86.8</v>
      </c>
      <c r="AA160" s="24" t="s">
        <v>3090</v>
      </c>
      <c r="AB160" s="3">
        <v>0.6</v>
      </c>
      <c r="AC160" s="1244" t="s">
        <v>3137</v>
      </c>
      <c r="AD160" s="49">
        <v>0.41</v>
      </c>
      <c r="AE160" s="24" t="s">
        <v>1778</v>
      </c>
      <c r="AF160" s="4">
        <v>0.05</v>
      </c>
      <c r="AG160" s="24" t="s">
        <v>3204</v>
      </c>
      <c r="AH160" s="4">
        <v>6</v>
      </c>
      <c r="AI160" s="24" t="s">
        <v>421</v>
      </c>
      <c r="AJ160" s="4">
        <v>0.06</v>
      </c>
      <c r="AK160" s="24" t="s">
        <v>415</v>
      </c>
      <c r="AL160" s="3">
        <v>0.08</v>
      </c>
      <c r="AM160" s="24" t="s">
        <v>3218</v>
      </c>
      <c r="AN160" s="4">
        <v>0.8</v>
      </c>
      <c r="AO160" s="24" t="s">
        <v>3217</v>
      </c>
      <c r="AP160" s="34">
        <v>0.09</v>
      </c>
      <c r="AQ160" s="492" t="s">
        <v>3160</v>
      </c>
      <c r="AR160" s="3">
        <v>11</v>
      </c>
      <c r="AS160" s="1239" t="s">
        <v>3242</v>
      </c>
      <c r="AT160" s="1238">
        <v>0</v>
      </c>
      <c r="AU160" s="24" t="s">
        <v>3455</v>
      </c>
      <c r="AV160" s="34">
        <v>0.8</v>
      </c>
      <c r="AW160" s="24" t="s">
        <v>1783</v>
      </c>
      <c r="AX160" s="4">
        <v>0</v>
      </c>
      <c r="AY160" s="749" t="s">
        <v>3172</v>
      </c>
      <c r="AZ160" s="1" t="s">
        <v>3327</v>
      </c>
      <c r="BA160" s="40">
        <v>0.9</v>
      </c>
    </row>
    <row r="161" spans="19:53">
      <c r="S161" s="749" t="s">
        <v>3262</v>
      </c>
      <c r="T161" s="4">
        <v>203</v>
      </c>
      <c r="U161" s="1" t="s">
        <v>1786</v>
      </c>
      <c r="V161" s="4">
        <v>19.7</v>
      </c>
      <c r="W161" s="1" t="s">
        <v>439</v>
      </c>
      <c r="X161" s="49">
        <v>14</v>
      </c>
      <c r="Y161" s="1" t="s">
        <v>3107</v>
      </c>
      <c r="Z161" s="31">
        <v>86.8</v>
      </c>
      <c r="AA161" s="1" t="s">
        <v>3320</v>
      </c>
      <c r="AB161" s="4">
        <v>0.6</v>
      </c>
      <c r="AC161" s="1" t="s">
        <v>3102</v>
      </c>
      <c r="AD161" s="3">
        <v>0.4</v>
      </c>
      <c r="AE161" s="1" t="s">
        <v>3223</v>
      </c>
      <c r="AF161" s="67">
        <v>0.05</v>
      </c>
      <c r="AG161" s="1232" t="s">
        <v>3105</v>
      </c>
      <c r="AH161" s="42">
        <v>5.5</v>
      </c>
      <c r="AI161" s="1" t="s">
        <v>3320</v>
      </c>
      <c r="AJ161" s="4">
        <v>0.06</v>
      </c>
      <c r="AK161" s="1" t="s">
        <v>3118</v>
      </c>
      <c r="AL161" s="3">
        <v>0.08</v>
      </c>
      <c r="AM161" s="1" t="s">
        <v>3295</v>
      </c>
      <c r="AN161" s="4">
        <v>0.8</v>
      </c>
      <c r="AO161" s="1" t="s">
        <v>3226</v>
      </c>
      <c r="AP161" s="34">
        <v>0.09</v>
      </c>
      <c r="AQ161" s="1" t="s">
        <v>3146</v>
      </c>
      <c r="AR161" s="3">
        <v>11</v>
      </c>
      <c r="AS161" s="1" t="s">
        <v>3241</v>
      </c>
      <c r="AT161" s="3">
        <v>0</v>
      </c>
      <c r="AU161" s="1233" t="s">
        <v>3157</v>
      </c>
      <c r="AV161" s="1234">
        <v>0.7</v>
      </c>
      <c r="AW161" s="1" t="s">
        <v>1785</v>
      </c>
      <c r="AX161" s="67">
        <v>0</v>
      </c>
      <c r="AY161" s="1" t="s">
        <v>3158</v>
      </c>
      <c r="AZ161" s="1" t="s">
        <v>3494</v>
      </c>
      <c r="BA161" s="40">
        <v>0.82012383900928809</v>
      </c>
    </row>
    <row r="162" spans="19:53">
      <c r="S162" s="1" t="s">
        <v>1791</v>
      </c>
      <c r="T162" s="4">
        <v>201</v>
      </c>
      <c r="U162" s="1" t="s">
        <v>1773</v>
      </c>
      <c r="V162" s="4">
        <v>19</v>
      </c>
      <c r="W162" s="1232" t="s">
        <v>3105</v>
      </c>
      <c r="X162" s="42">
        <v>14</v>
      </c>
      <c r="Y162" s="1" t="s">
        <v>3434</v>
      </c>
      <c r="Z162" s="31">
        <v>86.8</v>
      </c>
      <c r="AA162" s="1" t="s">
        <v>1809</v>
      </c>
      <c r="AB162" s="4">
        <v>0.6</v>
      </c>
      <c r="AC162" s="1" t="s">
        <v>3117</v>
      </c>
      <c r="AD162" s="4">
        <v>0.4</v>
      </c>
      <c r="AE162" s="1" t="s">
        <v>3226</v>
      </c>
      <c r="AF162" s="34">
        <v>0.05</v>
      </c>
      <c r="AG162" s="1" t="s">
        <v>3104</v>
      </c>
      <c r="AH162" s="40">
        <v>5.17</v>
      </c>
      <c r="AI162" s="1" t="s">
        <v>3234</v>
      </c>
      <c r="AJ162" s="34">
        <v>0.06</v>
      </c>
      <c r="AK162" s="1" t="s">
        <v>3316</v>
      </c>
      <c r="AL162" s="4">
        <v>0.08</v>
      </c>
      <c r="AM162" s="1" t="s">
        <v>3212</v>
      </c>
      <c r="AN162" s="4">
        <v>0.78200000000000003</v>
      </c>
      <c r="AO162" s="1" t="s">
        <v>3232</v>
      </c>
      <c r="AP162" s="34">
        <v>0.09</v>
      </c>
      <c r="AQ162" s="1" t="s">
        <v>1764</v>
      </c>
      <c r="AR162" s="4">
        <v>10</v>
      </c>
      <c r="AS162" s="1" t="s">
        <v>3236</v>
      </c>
      <c r="AT162" s="3">
        <v>0</v>
      </c>
      <c r="AU162" s="1233" t="s">
        <v>1861</v>
      </c>
      <c r="AV162" s="4">
        <v>0.7</v>
      </c>
      <c r="AW162" s="1" t="s">
        <v>1786</v>
      </c>
      <c r="AX162" s="4">
        <v>0</v>
      </c>
      <c r="AY162" s="749" t="s">
        <v>3173</v>
      </c>
      <c r="AZ162" s="1" t="s">
        <v>3212</v>
      </c>
      <c r="BA162" s="4">
        <v>0.75</v>
      </c>
    </row>
    <row r="163" spans="19:53">
      <c r="S163" s="1" t="s">
        <v>3423</v>
      </c>
      <c r="T163" s="3">
        <v>200</v>
      </c>
      <c r="U163" s="749" t="s">
        <v>3178</v>
      </c>
      <c r="V163" s="34">
        <v>19</v>
      </c>
      <c r="W163" s="1" t="s">
        <v>3106</v>
      </c>
      <c r="X163" s="42">
        <v>14</v>
      </c>
      <c r="Y163" s="82" t="s">
        <v>20</v>
      </c>
      <c r="Z163" s="4">
        <v>85.1</v>
      </c>
      <c r="AA163" s="1" t="s">
        <v>3261</v>
      </c>
      <c r="AB163" s="49">
        <v>0.6</v>
      </c>
      <c r="AC163" s="1" t="s">
        <v>3455</v>
      </c>
      <c r="AD163" s="42">
        <v>0.4</v>
      </c>
      <c r="AE163" s="1" t="s">
        <v>3232</v>
      </c>
      <c r="AF163" s="34">
        <v>0.05</v>
      </c>
      <c r="AG163" s="1" t="s">
        <v>3432</v>
      </c>
      <c r="AH163" s="40">
        <v>5.17</v>
      </c>
      <c r="AI163" s="749" t="s">
        <v>3162</v>
      </c>
      <c r="AJ163" s="4">
        <v>0.06</v>
      </c>
      <c r="AK163" s="749" t="s">
        <v>3184</v>
      </c>
      <c r="AL163" s="3">
        <v>0.08</v>
      </c>
      <c r="AM163" s="1" t="s">
        <v>1786</v>
      </c>
      <c r="AN163" s="4">
        <v>0.75</v>
      </c>
      <c r="AO163" s="1" t="s">
        <v>3227</v>
      </c>
      <c r="AP163" s="4">
        <v>8.5000000000000006E-2</v>
      </c>
      <c r="AQ163" s="1" t="s">
        <v>3087</v>
      </c>
      <c r="AR163" s="4">
        <v>10</v>
      </c>
      <c r="AS163" s="1" t="s">
        <v>3244</v>
      </c>
      <c r="AT163" s="3">
        <v>0</v>
      </c>
      <c r="AU163" s="1" t="s">
        <v>3197</v>
      </c>
      <c r="AV163" s="4">
        <v>0.7</v>
      </c>
      <c r="AW163" s="1" t="s">
        <v>3440</v>
      </c>
      <c r="AX163" s="37">
        <v>0</v>
      </c>
      <c r="AY163" s="1" t="s">
        <v>3174</v>
      </c>
      <c r="AZ163" s="1" t="s">
        <v>3104</v>
      </c>
      <c r="BA163" s="40">
        <v>0.7</v>
      </c>
    </row>
    <row r="164" spans="19:53">
      <c r="S164" s="749" t="s">
        <v>3185</v>
      </c>
      <c r="T164" s="3">
        <v>198</v>
      </c>
      <c r="U164" s="1" t="s">
        <v>3148</v>
      </c>
      <c r="V164" s="3">
        <v>19</v>
      </c>
      <c r="W164" s="1310" t="s">
        <v>3096</v>
      </c>
      <c r="X164" s="4">
        <v>14</v>
      </c>
      <c r="Y164" s="1" t="s">
        <v>20</v>
      </c>
      <c r="Z164" s="4">
        <v>85.1</v>
      </c>
      <c r="AA164" s="1" t="s">
        <v>3499</v>
      </c>
      <c r="AB164" s="49">
        <v>0.6</v>
      </c>
      <c r="AC164" s="1232" t="s">
        <v>3454</v>
      </c>
      <c r="AD164" s="31">
        <v>0.4</v>
      </c>
      <c r="AE164" s="1" t="s">
        <v>3176</v>
      </c>
      <c r="AF164" s="4">
        <v>0.05</v>
      </c>
      <c r="AG164" s="1" t="s">
        <v>1773</v>
      </c>
      <c r="AH164" s="4">
        <v>5</v>
      </c>
      <c r="AI164" s="1" t="s">
        <v>1766</v>
      </c>
      <c r="AJ164" s="34">
        <v>5.8999999999999997E-2</v>
      </c>
      <c r="AK164" s="749" t="s">
        <v>3185</v>
      </c>
      <c r="AL164" s="3">
        <v>0.08</v>
      </c>
      <c r="AM164" s="1" t="s">
        <v>3497</v>
      </c>
      <c r="AN164" s="42">
        <v>0.70797546012269941</v>
      </c>
      <c r="AO164" s="1" t="s">
        <v>3228</v>
      </c>
      <c r="AP164" s="4">
        <v>8.5000000000000006E-2</v>
      </c>
      <c r="AQ164" s="1310" t="s">
        <v>3096</v>
      </c>
      <c r="AR164" s="4">
        <v>10</v>
      </c>
      <c r="AS164" s="1" t="s">
        <v>3238</v>
      </c>
      <c r="AT164" s="37">
        <v>0</v>
      </c>
      <c r="AU164" s="325" t="s">
        <v>3155</v>
      </c>
      <c r="AV164" s="1234">
        <v>0.67</v>
      </c>
      <c r="AW164" s="1" t="s">
        <v>3318</v>
      </c>
      <c r="AX164" s="4">
        <v>0</v>
      </c>
      <c r="AY164" s="749" t="s">
        <v>3165</v>
      </c>
      <c r="AZ164" s="1" t="s">
        <v>3432</v>
      </c>
      <c r="BA164" s="40">
        <v>0.7</v>
      </c>
    </row>
    <row r="165" spans="19:53">
      <c r="S165" s="1" t="s">
        <v>3321</v>
      </c>
      <c r="T165" s="4">
        <v>196</v>
      </c>
      <c r="U165" s="749" t="s">
        <v>3163</v>
      </c>
      <c r="V165" s="3">
        <v>19</v>
      </c>
      <c r="W165" s="1264" t="s">
        <v>3097</v>
      </c>
      <c r="X165" s="4">
        <v>14</v>
      </c>
      <c r="Y165" s="1232" t="s">
        <v>3454</v>
      </c>
      <c r="Z165" s="31">
        <v>80</v>
      </c>
      <c r="AA165" s="1" t="s">
        <v>3497</v>
      </c>
      <c r="AB165" s="42">
        <v>0.6</v>
      </c>
      <c r="AC165" s="749" t="s">
        <v>3229</v>
      </c>
      <c r="AD165" s="4">
        <v>0.4</v>
      </c>
      <c r="AE165" s="325" t="s">
        <v>3155</v>
      </c>
      <c r="AF165" s="1234">
        <v>0.05</v>
      </c>
      <c r="AG165" s="749" t="s">
        <v>3184</v>
      </c>
      <c r="AH165" s="3">
        <v>5</v>
      </c>
      <c r="AI165" s="1" t="s">
        <v>3094</v>
      </c>
      <c r="AJ165" s="34">
        <v>5.8999999999999997E-2</v>
      </c>
      <c r="AK165" s="1" t="s">
        <v>3469</v>
      </c>
      <c r="AL165" s="3">
        <v>0.08</v>
      </c>
      <c r="AM165" s="1" t="s">
        <v>481</v>
      </c>
      <c r="AN165" s="4">
        <v>0.7</v>
      </c>
      <c r="AO165" s="1" t="s">
        <v>3261</v>
      </c>
      <c r="AP165" s="49">
        <v>8.4999999999999992E-2</v>
      </c>
      <c r="AQ165" s="1264" t="s">
        <v>3097</v>
      </c>
      <c r="AR165" s="4">
        <v>10</v>
      </c>
      <c r="AS165" s="1334" t="s">
        <v>3239</v>
      </c>
      <c r="AT165" s="3">
        <v>0</v>
      </c>
      <c r="AU165" s="1154" t="s">
        <v>3290</v>
      </c>
      <c r="AV165" s="4">
        <v>0.6</v>
      </c>
      <c r="AW165" s="1" t="s">
        <v>1790</v>
      </c>
      <c r="AX165" s="4">
        <v>0</v>
      </c>
      <c r="AY165" s="749" t="s">
        <v>3464</v>
      </c>
      <c r="AZ165" s="1" t="s">
        <v>1777</v>
      </c>
      <c r="BA165" s="4">
        <v>0.7</v>
      </c>
    </row>
    <row r="166" spans="19:53">
      <c r="S166" s="1232" t="s">
        <v>3443</v>
      </c>
      <c r="T166" s="37">
        <v>195.2</v>
      </c>
      <c r="U166" s="749" t="s">
        <v>3149</v>
      </c>
      <c r="V166" s="3">
        <v>19</v>
      </c>
      <c r="W166" s="1" t="s">
        <v>1773</v>
      </c>
      <c r="X166" s="4">
        <v>14</v>
      </c>
      <c r="Y166" s="1" t="s">
        <v>3314</v>
      </c>
      <c r="Z166" s="4">
        <v>78.2</v>
      </c>
      <c r="AA166" s="325" t="s">
        <v>3280</v>
      </c>
      <c r="AB166" s="1144">
        <v>0.6</v>
      </c>
      <c r="AC166" s="1" t="s">
        <v>3098</v>
      </c>
      <c r="AD166" s="4">
        <v>0.39</v>
      </c>
      <c r="AE166" s="1232" t="s">
        <v>3138</v>
      </c>
      <c r="AF166" s="54">
        <v>4.7605954651409189E-2</v>
      </c>
      <c r="AG166" s="1" t="s">
        <v>3469</v>
      </c>
      <c r="AH166" s="3">
        <v>5</v>
      </c>
      <c r="AI166" s="1" t="s">
        <v>3227</v>
      </c>
      <c r="AJ166" s="4">
        <v>5.5E-2</v>
      </c>
      <c r="AK166" s="1233" t="s">
        <v>3365</v>
      </c>
      <c r="AL166" s="3">
        <v>0.08</v>
      </c>
      <c r="AM166" s="1" t="s">
        <v>3455</v>
      </c>
      <c r="AN166" s="42">
        <v>0.7</v>
      </c>
      <c r="AO166" s="1" t="s">
        <v>3499</v>
      </c>
      <c r="AP166" s="49">
        <v>8.4999999999999992E-2</v>
      </c>
      <c r="AQ166" s="1" t="s">
        <v>1778</v>
      </c>
      <c r="AR166" s="4">
        <v>10</v>
      </c>
      <c r="AS166" s="749" t="s">
        <v>3343</v>
      </c>
      <c r="AT166" s="37">
        <v>0</v>
      </c>
      <c r="AU166" s="325" t="s">
        <v>3450</v>
      </c>
      <c r="AV166" s="1234">
        <v>0.5</v>
      </c>
      <c r="AW166" s="1" t="s">
        <v>1792</v>
      </c>
      <c r="AX166" s="4">
        <v>0</v>
      </c>
      <c r="AY166" s="1" t="s">
        <v>1822</v>
      </c>
      <c r="AZ166" s="1" t="s">
        <v>415</v>
      </c>
      <c r="BA166" s="34">
        <v>0.65</v>
      </c>
    </row>
    <row r="167" spans="19:53">
      <c r="S167" s="749" t="s">
        <v>3288</v>
      </c>
      <c r="T167" s="49">
        <v>193</v>
      </c>
      <c r="U167" s="1" t="s">
        <v>3150</v>
      </c>
      <c r="V167" s="3">
        <v>19</v>
      </c>
      <c r="W167" s="1" t="s">
        <v>3448</v>
      </c>
      <c r="X167" s="4">
        <v>14</v>
      </c>
      <c r="Y167" s="1" t="s">
        <v>3095</v>
      </c>
      <c r="Z167" s="34">
        <v>76</v>
      </c>
      <c r="AA167" s="1233" t="s">
        <v>3293</v>
      </c>
      <c r="AB167" s="49">
        <v>0.6</v>
      </c>
      <c r="AC167" s="1" t="s">
        <v>3437</v>
      </c>
      <c r="AD167" s="4">
        <v>0.39</v>
      </c>
      <c r="AE167" s="1233" t="s">
        <v>3157</v>
      </c>
      <c r="AF167" s="1234">
        <v>4.4999999999999998E-2</v>
      </c>
      <c r="AG167" s="1" t="s">
        <v>460</v>
      </c>
      <c r="AH167" s="4">
        <v>4</v>
      </c>
      <c r="AI167" s="1" t="s">
        <v>3228</v>
      </c>
      <c r="AJ167" s="4">
        <v>5.5E-2</v>
      </c>
      <c r="AK167" s="749" t="s">
        <v>3267</v>
      </c>
      <c r="AL167" s="4">
        <v>0.08</v>
      </c>
      <c r="AM167" s="1232" t="s">
        <v>3454</v>
      </c>
      <c r="AN167" s="31">
        <v>0.7</v>
      </c>
      <c r="AO167" s="325" t="s">
        <v>3110</v>
      </c>
      <c r="AP167" s="42">
        <v>0.08</v>
      </c>
      <c r="AQ167" s="1" t="s">
        <v>3158</v>
      </c>
      <c r="AR167" s="4">
        <v>10</v>
      </c>
      <c r="AS167" s="1" t="s">
        <v>3327</v>
      </c>
      <c r="AT167" s="43">
        <v>0</v>
      </c>
      <c r="AU167" s="325" t="s">
        <v>3451</v>
      </c>
      <c r="AV167" s="1234">
        <v>0.5</v>
      </c>
      <c r="AW167" s="1" t="s">
        <v>3319</v>
      </c>
      <c r="AX167" s="4">
        <v>0</v>
      </c>
      <c r="AY167" s="1" t="s">
        <v>1823</v>
      </c>
      <c r="AZ167" s="1" t="s">
        <v>3118</v>
      </c>
      <c r="BA167" s="34">
        <v>0.65</v>
      </c>
    </row>
    <row r="168" spans="19:53">
      <c r="S168" s="1" t="s">
        <v>3282</v>
      </c>
      <c r="T168" s="49">
        <v>193</v>
      </c>
      <c r="U168" s="749" t="s">
        <v>3193</v>
      </c>
      <c r="V168" s="42">
        <v>19</v>
      </c>
      <c r="W168" s="1" t="s">
        <v>3447</v>
      </c>
      <c r="X168" s="4">
        <v>14</v>
      </c>
      <c r="Y168" s="1" t="s">
        <v>1811</v>
      </c>
      <c r="Z168" s="4">
        <v>74</v>
      </c>
      <c r="AA168" s="1" t="s">
        <v>1837</v>
      </c>
      <c r="AB168" s="4">
        <v>0.56999999999999995</v>
      </c>
      <c r="AC168" s="1" t="s">
        <v>3448</v>
      </c>
      <c r="AD168" s="4">
        <v>0.39</v>
      </c>
      <c r="AE168" s="1310" t="s">
        <v>3096</v>
      </c>
      <c r="AF168" s="4">
        <v>4.2000000000000003E-2</v>
      </c>
      <c r="AG168" s="1" t="s">
        <v>481</v>
      </c>
      <c r="AH168" s="4">
        <v>4</v>
      </c>
      <c r="AI168" s="325" t="s">
        <v>3161</v>
      </c>
      <c r="AJ168" s="3">
        <v>5.4029797163884397E-2</v>
      </c>
      <c r="AK168" s="1" t="s">
        <v>3176</v>
      </c>
      <c r="AL168" s="4">
        <v>7.3999999999999996E-2</v>
      </c>
      <c r="AM168" s="1" t="s">
        <v>3119</v>
      </c>
      <c r="AN168" s="4">
        <v>0.68</v>
      </c>
      <c r="AO168" s="1" t="s">
        <v>3111</v>
      </c>
      <c r="AP168" s="42">
        <v>0.08</v>
      </c>
      <c r="AQ168" s="1" t="s">
        <v>3175</v>
      </c>
      <c r="AR168" s="34">
        <v>10</v>
      </c>
      <c r="AS168" s="1" t="s">
        <v>3329</v>
      </c>
      <c r="AT168" s="3">
        <v>0</v>
      </c>
      <c r="AU168" s="1" t="s">
        <v>3217</v>
      </c>
      <c r="AV168" s="37">
        <v>0.5</v>
      </c>
      <c r="AW168" s="1" t="s">
        <v>467</v>
      </c>
      <c r="AX168" s="4">
        <v>0</v>
      </c>
      <c r="AY168" s="1" t="s">
        <v>3166</v>
      </c>
      <c r="AZ168" s="1" t="s">
        <v>3117</v>
      </c>
      <c r="BA168" s="4">
        <v>0.6</v>
      </c>
    </row>
    <row r="169" spans="19:53">
      <c r="S169" s="53" t="s">
        <v>3292</v>
      </c>
      <c r="T169" s="233">
        <v>193</v>
      </c>
      <c r="U169" s="1233" t="s">
        <v>3194</v>
      </c>
      <c r="V169" s="42">
        <v>19</v>
      </c>
      <c r="W169" s="1" t="s">
        <v>3214</v>
      </c>
      <c r="X169" s="34">
        <v>14</v>
      </c>
      <c r="Y169" s="1" t="s">
        <v>475</v>
      </c>
      <c r="Z169" s="34">
        <v>74</v>
      </c>
      <c r="AA169" s="1" t="s">
        <v>1786</v>
      </c>
      <c r="AB169" s="4">
        <v>0.55000000000000004</v>
      </c>
      <c r="AC169" s="1" t="s">
        <v>3447</v>
      </c>
      <c r="AD169" s="4">
        <v>0.39</v>
      </c>
      <c r="AE169" s="1264" t="s">
        <v>3097</v>
      </c>
      <c r="AF169" s="4">
        <v>4.2000000000000003E-2</v>
      </c>
      <c r="AG169" s="1" t="s">
        <v>1792</v>
      </c>
      <c r="AH169" s="4">
        <v>4</v>
      </c>
      <c r="AI169" s="1" t="s">
        <v>467</v>
      </c>
      <c r="AJ169" s="4">
        <v>5.2999999999999999E-2</v>
      </c>
      <c r="AK169" s="1232" t="s">
        <v>3503</v>
      </c>
      <c r="AL169" s="3">
        <v>7.3555166374781086E-2</v>
      </c>
      <c r="AM169" s="325" t="s">
        <v>3120</v>
      </c>
      <c r="AN169" s="4">
        <v>0.68</v>
      </c>
      <c r="AO169" s="1" t="s">
        <v>3136</v>
      </c>
      <c r="AP169" s="4">
        <v>0.08</v>
      </c>
      <c r="AQ169" s="1233" t="s">
        <v>1861</v>
      </c>
      <c r="AR169" s="4">
        <v>10</v>
      </c>
      <c r="AS169" s="1" t="s">
        <v>3330</v>
      </c>
      <c r="AT169" s="3">
        <v>0</v>
      </c>
      <c r="AU169" s="749" t="s">
        <v>3184</v>
      </c>
      <c r="AV169" s="3">
        <v>0.1</v>
      </c>
      <c r="AW169" s="1" t="s">
        <v>3321</v>
      </c>
      <c r="AX169" s="4">
        <v>0</v>
      </c>
      <c r="AY169" s="749" t="s">
        <v>3159</v>
      </c>
      <c r="AZ169" s="1" t="s">
        <v>3282</v>
      </c>
      <c r="BA169" s="49">
        <v>0.6</v>
      </c>
    </row>
    <row r="170" spans="19:53">
      <c r="S170" s="1" t="s">
        <v>3271</v>
      </c>
      <c r="T170" s="3">
        <v>190.00000000000003</v>
      </c>
      <c r="U170" s="749" t="s">
        <v>3207</v>
      </c>
      <c r="V170" s="42">
        <v>19</v>
      </c>
      <c r="W170" s="1" t="s">
        <v>3117</v>
      </c>
      <c r="X170" s="4">
        <v>13</v>
      </c>
      <c r="Y170" s="1" t="s">
        <v>1764</v>
      </c>
      <c r="Z170" s="4">
        <v>72</v>
      </c>
      <c r="AA170" s="1" t="s">
        <v>1776</v>
      </c>
      <c r="AB170" s="4">
        <v>0.5</v>
      </c>
      <c r="AC170" s="82" t="s">
        <v>3361</v>
      </c>
      <c r="AD170" s="4">
        <v>0.37</v>
      </c>
      <c r="AE170" s="1233" t="s">
        <v>3100</v>
      </c>
      <c r="AF170" s="234">
        <v>0.04</v>
      </c>
      <c r="AG170" s="1" t="s">
        <v>3147</v>
      </c>
      <c r="AH170" s="42">
        <v>4</v>
      </c>
      <c r="AI170" s="1" t="s">
        <v>3117</v>
      </c>
      <c r="AJ170" s="34">
        <v>0.05</v>
      </c>
      <c r="AK170" s="749" t="s">
        <v>3504</v>
      </c>
      <c r="AL170" s="3">
        <v>7.3555166374781086E-2</v>
      </c>
      <c r="AM170" s="1" t="s">
        <v>1809</v>
      </c>
      <c r="AN170" s="4">
        <v>0.68</v>
      </c>
      <c r="AO170" s="82" t="s">
        <v>3224</v>
      </c>
      <c r="AP170" s="34">
        <v>0.08</v>
      </c>
      <c r="AQ170" s="1" t="s">
        <v>3197</v>
      </c>
      <c r="AR170" s="4">
        <v>10</v>
      </c>
      <c r="AS170" s="1" t="s">
        <v>134</v>
      </c>
      <c r="AT170" s="3">
        <v>0</v>
      </c>
      <c r="AU170" s="1" t="s">
        <v>3469</v>
      </c>
      <c r="AV170" s="3">
        <v>0.1</v>
      </c>
      <c r="AW170" s="1" t="s">
        <v>3314</v>
      </c>
      <c r="AX170" s="4">
        <v>0</v>
      </c>
      <c r="AY170" s="749" t="s">
        <v>3160</v>
      </c>
      <c r="AZ170" s="53" t="s">
        <v>3292</v>
      </c>
      <c r="BA170" s="233">
        <v>0.6</v>
      </c>
    </row>
    <row r="171" spans="19:53">
      <c r="S171" s="1" t="s">
        <v>3095</v>
      </c>
      <c r="T171" s="34">
        <v>190</v>
      </c>
      <c r="U171" s="1233" t="s">
        <v>495</v>
      </c>
      <c r="V171" s="31">
        <v>19</v>
      </c>
      <c r="W171" s="1" t="s">
        <v>3323</v>
      </c>
      <c r="X171" s="4">
        <v>13</v>
      </c>
      <c r="Y171" s="1" t="s">
        <v>3087</v>
      </c>
      <c r="Z171" s="4">
        <v>72</v>
      </c>
      <c r="AA171" s="1" t="s">
        <v>1779</v>
      </c>
      <c r="AB171" s="4">
        <v>0.5</v>
      </c>
      <c r="AC171" s="1" t="s">
        <v>3457</v>
      </c>
      <c r="AD171" s="4">
        <v>0.36199999999999999</v>
      </c>
      <c r="AE171" s="1" t="s">
        <v>3101</v>
      </c>
      <c r="AF171" s="69">
        <v>0.04</v>
      </c>
      <c r="AG171" s="1" t="s">
        <v>3332</v>
      </c>
      <c r="AH171" s="3">
        <v>4</v>
      </c>
      <c r="AI171" s="1" t="s">
        <v>3102</v>
      </c>
      <c r="AJ171" s="3">
        <v>0.05</v>
      </c>
      <c r="AK171" s="1" t="s">
        <v>3254</v>
      </c>
      <c r="AL171" s="3">
        <v>7.3555166374781086E-2</v>
      </c>
      <c r="AM171" s="1" t="s">
        <v>27</v>
      </c>
      <c r="AN171" s="42">
        <v>0.66</v>
      </c>
      <c r="AO171" s="1" t="s">
        <v>3225</v>
      </c>
      <c r="AP171" s="4">
        <v>0.08</v>
      </c>
      <c r="AQ171" s="749" t="s">
        <v>3130</v>
      </c>
      <c r="AR171" s="3">
        <v>9.9999999999999982</v>
      </c>
      <c r="AS171" s="1" t="s">
        <v>3339</v>
      </c>
      <c r="AT171" s="37">
        <v>0</v>
      </c>
      <c r="AU171" s="1233" t="s">
        <v>3242</v>
      </c>
      <c r="AV171" s="1238">
        <v>0.1</v>
      </c>
      <c r="AW171" s="1" t="s">
        <v>3323</v>
      </c>
      <c r="AX171" s="67">
        <v>0</v>
      </c>
      <c r="AY171" s="325" t="s">
        <v>3161</v>
      </c>
      <c r="AZ171" s="1" t="s">
        <v>3445</v>
      </c>
      <c r="BA171" s="4">
        <v>0.56699999999999995</v>
      </c>
    </row>
    <row r="172" spans="19:53">
      <c r="S172" s="1233" t="s">
        <v>3121</v>
      </c>
      <c r="T172" s="31">
        <v>186</v>
      </c>
      <c r="U172" s="325" t="s">
        <v>3280</v>
      </c>
      <c r="V172" s="1144">
        <v>18.5</v>
      </c>
      <c r="W172" s="1" t="s">
        <v>3457</v>
      </c>
      <c r="X172" s="4">
        <v>13</v>
      </c>
      <c r="Y172" s="1" t="s">
        <v>3112</v>
      </c>
      <c r="Z172" s="49">
        <v>71.100000000000009</v>
      </c>
      <c r="AA172" s="1" t="s">
        <v>467</v>
      </c>
      <c r="AB172" s="4">
        <v>0.5</v>
      </c>
      <c r="AC172" s="1233" t="s">
        <v>3121</v>
      </c>
      <c r="AD172" s="31">
        <v>0.35</v>
      </c>
      <c r="AE172" s="325" t="s">
        <v>3110</v>
      </c>
      <c r="AF172" s="73">
        <v>0.04</v>
      </c>
      <c r="AG172" s="1" t="s">
        <v>422</v>
      </c>
      <c r="AH172" s="4">
        <v>3.9</v>
      </c>
      <c r="AI172" s="1" t="s">
        <v>3437</v>
      </c>
      <c r="AJ172" s="4">
        <v>0.05</v>
      </c>
      <c r="AK172" s="1" t="s">
        <v>3277</v>
      </c>
      <c r="AL172" s="3">
        <v>7.3555166374781086E-2</v>
      </c>
      <c r="AM172" s="1" t="s">
        <v>1779</v>
      </c>
      <c r="AN172" s="4">
        <v>0.66</v>
      </c>
      <c r="AO172" s="749" t="s">
        <v>3288</v>
      </c>
      <c r="AP172" s="49">
        <v>0.08</v>
      </c>
      <c r="AQ172" s="1" t="s">
        <v>3435</v>
      </c>
      <c r="AR172" s="3">
        <v>9.9999999999999982</v>
      </c>
      <c r="AS172" s="1" t="s">
        <v>3358</v>
      </c>
      <c r="AT172" s="37">
        <v>0</v>
      </c>
      <c r="AU172" s="1233" t="s">
        <v>3365</v>
      </c>
      <c r="AV172" s="37">
        <v>0.1</v>
      </c>
      <c r="AW172" s="325" t="s">
        <v>3161</v>
      </c>
      <c r="AX172" s="70">
        <v>0</v>
      </c>
      <c r="AY172" s="1" t="s">
        <v>3146</v>
      </c>
      <c r="AZ172" s="1" t="s">
        <v>3446</v>
      </c>
      <c r="BA172" s="4">
        <v>0.56699999999999995</v>
      </c>
    </row>
    <row r="173" spans="19:53">
      <c r="S173" s="1" t="s">
        <v>467</v>
      </c>
      <c r="T173" s="4">
        <v>183.3</v>
      </c>
      <c r="U173" s="1233" t="s">
        <v>3089</v>
      </c>
      <c r="V173" s="31">
        <v>18.399999999999999</v>
      </c>
      <c r="W173" s="1233" t="s">
        <v>3208</v>
      </c>
      <c r="X173" s="3">
        <v>13</v>
      </c>
      <c r="Y173" s="325" t="s">
        <v>3513</v>
      </c>
      <c r="Z173" s="42">
        <v>70.999999999999986</v>
      </c>
      <c r="AA173" s="1" t="s">
        <v>3223</v>
      </c>
      <c r="AB173" s="4">
        <v>0.5</v>
      </c>
      <c r="AC173" s="1310" t="s">
        <v>3096</v>
      </c>
      <c r="AD173" s="4">
        <v>0.35</v>
      </c>
      <c r="AE173" s="1" t="s">
        <v>3111</v>
      </c>
      <c r="AF173" s="73">
        <v>0.04</v>
      </c>
      <c r="AG173" s="1" t="s">
        <v>3117</v>
      </c>
      <c r="AH173" s="34">
        <v>3.7</v>
      </c>
      <c r="AI173" s="325" t="s">
        <v>3131</v>
      </c>
      <c r="AJ173" s="34">
        <v>0.05</v>
      </c>
      <c r="AK173" s="1" t="s">
        <v>3258</v>
      </c>
      <c r="AL173" s="3">
        <v>7.3555166374781086E-2</v>
      </c>
      <c r="AM173" s="1" t="s">
        <v>1777</v>
      </c>
      <c r="AN173" s="4">
        <v>0.64</v>
      </c>
      <c r="AO173" s="1" t="s">
        <v>3282</v>
      </c>
      <c r="AP173" s="49">
        <v>0.08</v>
      </c>
      <c r="AQ173" s="1233" t="s">
        <v>3124</v>
      </c>
      <c r="AR173" s="3">
        <v>9.9999999999999982</v>
      </c>
      <c r="AS173" s="1233" t="s">
        <v>3359</v>
      </c>
      <c r="AT173" s="37">
        <v>0</v>
      </c>
      <c r="AU173" s="1" t="s">
        <v>3366</v>
      </c>
      <c r="AV173" s="79">
        <v>0.1</v>
      </c>
      <c r="AW173" s="1" t="s">
        <v>3175</v>
      </c>
      <c r="AX173" s="74">
        <v>0</v>
      </c>
      <c r="AY173" s="1" t="s">
        <v>3147</v>
      </c>
      <c r="AZ173" s="749" t="s">
        <v>3288</v>
      </c>
      <c r="BA173" s="49">
        <v>0.4</v>
      </c>
    </row>
    <row r="174" spans="19:53">
      <c r="S174" s="1" t="s">
        <v>1801</v>
      </c>
      <c r="T174" s="4">
        <v>180.3</v>
      </c>
      <c r="U174" s="1" t="s">
        <v>468</v>
      </c>
      <c r="V174" s="4">
        <v>18</v>
      </c>
      <c r="W174" s="1" t="s">
        <v>1835</v>
      </c>
      <c r="X174" s="34">
        <v>13</v>
      </c>
      <c r="Y174" s="1" t="s">
        <v>438</v>
      </c>
      <c r="Z174" s="42">
        <v>70</v>
      </c>
      <c r="AA174" s="1" t="s">
        <v>3226</v>
      </c>
      <c r="AB174" s="34">
        <v>0.5</v>
      </c>
      <c r="AC174" s="1264" t="s">
        <v>3097</v>
      </c>
      <c r="AD174" s="4">
        <v>0.35</v>
      </c>
      <c r="AE174" s="749" t="s">
        <v>3464</v>
      </c>
      <c r="AF174" s="67">
        <v>0.04</v>
      </c>
      <c r="AG174" s="1" t="s">
        <v>1786</v>
      </c>
      <c r="AH174" s="4">
        <v>3.5</v>
      </c>
      <c r="AI174" s="325" t="s">
        <v>3132</v>
      </c>
      <c r="AJ174" s="4">
        <v>0.05</v>
      </c>
      <c r="AK174" s="325" t="s">
        <v>3131</v>
      </c>
      <c r="AL174" s="34">
        <v>7.0000000000000007E-2</v>
      </c>
      <c r="AM174" s="1" t="s">
        <v>3321</v>
      </c>
      <c r="AN174" s="4">
        <v>0.63700000000000001</v>
      </c>
      <c r="AO174" s="53" t="s">
        <v>3292</v>
      </c>
      <c r="AP174" s="233">
        <v>0.08</v>
      </c>
      <c r="AQ174" s="1" t="s">
        <v>3125</v>
      </c>
      <c r="AR174" s="3">
        <v>9.9999999999999982</v>
      </c>
      <c r="AS174" s="1233" t="s">
        <v>3360</v>
      </c>
      <c r="AT174" s="37">
        <v>0</v>
      </c>
      <c r="AU174" s="325" t="s">
        <v>3249</v>
      </c>
      <c r="AV174" s="37">
        <v>4.1000000000000002E-2</v>
      </c>
      <c r="AW174" s="749" t="s">
        <v>3184</v>
      </c>
      <c r="AX174" s="69">
        <v>0</v>
      </c>
      <c r="AY174" s="1" t="s">
        <v>3175</v>
      </c>
      <c r="AZ174" s="1" t="s">
        <v>3200</v>
      </c>
      <c r="BA174" s="4">
        <v>0.33500000000000002</v>
      </c>
    </row>
    <row r="175" spans="19:53">
      <c r="S175" s="1" t="s">
        <v>1823</v>
      </c>
      <c r="T175" s="4">
        <v>180</v>
      </c>
      <c r="U175" s="749" t="s">
        <v>3172</v>
      </c>
      <c r="V175" s="37">
        <v>18</v>
      </c>
      <c r="W175" s="1" t="s">
        <v>3169</v>
      </c>
      <c r="X175" s="34">
        <v>13</v>
      </c>
      <c r="Y175" s="1" t="s">
        <v>3261</v>
      </c>
      <c r="Z175" s="49">
        <v>68.100000000000009</v>
      </c>
      <c r="AA175" s="749" t="s">
        <v>3184</v>
      </c>
      <c r="AB175" s="3">
        <v>0.5</v>
      </c>
      <c r="AC175" s="1" t="s">
        <v>1786</v>
      </c>
      <c r="AD175" s="4">
        <v>0.34</v>
      </c>
      <c r="AE175" s="749" t="s">
        <v>3183</v>
      </c>
      <c r="AF175" s="4">
        <v>0.04</v>
      </c>
      <c r="AG175" s="1" t="s">
        <v>3327</v>
      </c>
      <c r="AH175" s="42">
        <v>3.08</v>
      </c>
      <c r="AI175" s="1" t="s">
        <v>3133</v>
      </c>
      <c r="AJ175" s="4">
        <v>0.05</v>
      </c>
      <c r="AK175" s="1" t="s">
        <v>3133</v>
      </c>
      <c r="AL175" s="4">
        <v>7.0000000000000007E-2</v>
      </c>
      <c r="AM175" s="1" t="s">
        <v>3457</v>
      </c>
      <c r="AN175" s="4">
        <v>0.60699999999999998</v>
      </c>
      <c r="AO175" s="1" t="s">
        <v>3423</v>
      </c>
      <c r="AP175" s="37">
        <v>0.08</v>
      </c>
      <c r="AQ175" s="1" t="s">
        <v>3433</v>
      </c>
      <c r="AR175" s="3">
        <v>9.9999999999999982</v>
      </c>
      <c r="AS175" s="325" t="s">
        <v>3362</v>
      </c>
      <c r="AT175" s="37">
        <v>0</v>
      </c>
      <c r="AU175" s="1" t="s">
        <v>3249</v>
      </c>
      <c r="AV175" s="37">
        <v>4.1000000000000002E-2</v>
      </c>
      <c r="AW175" s="1" t="s">
        <v>3469</v>
      </c>
      <c r="AX175" s="234">
        <v>0</v>
      </c>
      <c r="AY175" s="1" t="s">
        <v>3167</v>
      </c>
      <c r="AZ175" s="1" t="s">
        <v>3214</v>
      </c>
      <c r="BA175" s="34">
        <v>0.3</v>
      </c>
    </row>
    <row r="176" spans="19:53">
      <c r="S176" s="1" t="s">
        <v>1783</v>
      </c>
      <c r="T176" s="4">
        <v>175</v>
      </c>
      <c r="U176" s="1" t="s">
        <v>1835</v>
      </c>
      <c r="V176" s="34">
        <v>18</v>
      </c>
      <c r="W176" s="1232" t="s">
        <v>3443</v>
      </c>
      <c r="X176" s="37">
        <v>12.8</v>
      </c>
      <c r="Y176" s="1" t="s">
        <v>3499</v>
      </c>
      <c r="Z176" s="49">
        <v>68.100000000000009</v>
      </c>
      <c r="AA176" s="1" t="s">
        <v>3469</v>
      </c>
      <c r="AB176" s="3">
        <v>0.5</v>
      </c>
      <c r="AC176" s="1" t="s">
        <v>3090</v>
      </c>
      <c r="AD176" s="3">
        <v>0.33</v>
      </c>
      <c r="AE176" s="749" t="s">
        <v>3185</v>
      </c>
      <c r="AF176" s="37">
        <v>0.04</v>
      </c>
      <c r="AG176" s="1" t="s">
        <v>3091</v>
      </c>
      <c r="AH176" s="3">
        <v>3</v>
      </c>
      <c r="AI176" s="1" t="s">
        <v>3136</v>
      </c>
      <c r="AJ176" s="4">
        <v>0.05</v>
      </c>
      <c r="AK176" s="749" t="s">
        <v>3207</v>
      </c>
      <c r="AL176" s="42">
        <v>7.0000000000000007E-2</v>
      </c>
      <c r="AM176" s="1" t="s">
        <v>3106</v>
      </c>
      <c r="AN176" s="42">
        <v>0.6</v>
      </c>
      <c r="AO176" s="1233" t="s">
        <v>3123</v>
      </c>
      <c r="AP176" s="31">
        <v>7.7066666666666658E-2</v>
      </c>
      <c r="AQ176" s="1" t="s">
        <v>3104</v>
      </c>
      <c r="AR176" s="40">
        <v>9.6</v>
      </c>
      <c r="AS176" s="1233" t="s">
        <v>3365</v>
      </c>
      <c r="AT176" s="3">
        <v>0</v>
      </c>
      <c r="AU176" s="1" t="s">
        <v>3316</v>
      </c>
      <c r="AV176" s="4">
        <v>0</v>
      </c>
      <c r="AW176" s="1" t="s">
        <v>3200</v>
      </c>
      <c r="AX176" s="3">
        <v>0</v>
      </c>
      <c r="AY176" s="749" t="s">
        <v>3177</v>
      </c>
      <c r="AZ176" s="1" t="s">
        <v>3339</v>
      </c>
      <c r="BA176" s="34">
        <v>0.29160000000000003</v>
      </c>
    </row>
    <row r="177" spans="19:53">
      <c r="S177" s="1" t="s">
        <v>1773</v>
      </c>
      <c r="T177" s="4">
        <v>174</v>
      </c>
      <c r="U177" s="1" t="s">
        <v>3466</v>
      </c>
      <c r="V177" s="3">
        <v>18</v>
      </c>
      <c r="W177" s="1" t="s">
        <v>3366</v>
      </c>
      <c r="X177" s="4">
        <f>AVERAGE(X175:X176)</f>
        <v>12.9</v>
      </c>
      <c r="Y177" s="82" t="s">
        <v>3103</v>
      </c>
      <c r="Z177" s="4">
        <v>67.5</v>
      </c>
      <c r="AA177" s="1" t="s">
        <v>3471</v>
      </c>
      <c r="AB177" s="34">
        <v>0.5</v>
      </c>
      <c r="AC177" s="1" t="s">
        <v>3091</v>
      </c>
      <c r="AD177" s="3">
        <v>0.32005169071720874</v>
      </c>
      <c r="AE177" s="749" t="s">
        <v>3183</v>
      </c>
      <c r="AF177" s="34">
        <v>0.04</v>
      </c>
      <c r="AG177" s="1" t="s">
        <v>3092</v>
      </c>
      <c r="AH177" s="3">
        <v>3</v>
      </c>
      <c r="AI177" s="1233" t="s">
        <v>3115</v>
      </c>
      <c r="AJ177" s="3">
        <v>0.05</v>
      </c>
      <c r="AK177" s="1" t="s">
        <v>3268</v>
      </c>
      <c r="AL177" s="4">
        <v>7.0000000000000007E-2</v>
      </c>
      <c r="AM177" s="1" t="s">
        <v>3093</v>
      </c>
      <c r="AN177" s="49">
        <v>0.6</v>
      </c>
      <c r="AO177" s="1" t="s">
        <v>1777</v>
      </c>
      <c r="AP177" s="4">
        <v>7.0000000000000007E-2</v>
      </c>
      <c r="AQ177" s="1" t="s">
        <v>3432</v>
      </c>
      <c r="AR177" s="40">
        <v>9.6</v>
      </c>
      <c r="AS177" s="82" t="s">
        <v>3246</v>
      </c>
      <c r="AT177" s="4">
        <v>0</v>
      </c>
      <c r="AU177" s="1" t="s">
        <v>3318</v>
      </c>
      <c r="AV177" s="4">
        <v>0</v>
      </c>
      <c r="AW177" s="1" t="s">
        <v>3240</v>
      </c>
      <c r="AX177" s="234">
        <v>0</v>
      </c>
      <c r="AY177" s="1" t="s">
        <v>1827</v>
      </c>
      <c r="AZ177" s="1" t="s">
        <v>1785</v>
      </c>
      <c r="BA177" s="4">
        <v>0.24</v>
      </c>
    </row>
    <row r="178" spans="19:53">
      <c r="S178" s="749" t="s">
        <v>3291</v>
      </c>
      <c r="T178" s="4">
        <v>173</v>
      </c>
      <c r="U178" s="1232" t="s">
        <v>1963</v>
      </c>
      <c r="V178" s="1144">
        <v>18</v>
      </c>
      <c r="W178" s="325" t="s">
        <v>3132</v>
      </c>
      <c r="X178" s="4">
        <v>12.7</v>
      </c>
      <c r="Y178" s="1" t="s">
        <v>3455</v>
      </c>
      <c r="Z178" s="42">
        <v>64.000000000000014</v>
      </c>
      <c r="AA178" s="1" t="s">
        <v>1851</v>
      </c>
      <c r="AB178" s="34">
        <v>0.5</v>
      </c>
      <c r="AC178" s="1" t="s">
        <v>3092</v>
      </c>
      <c r="AD178" s="3">
        <v>0.32005169071720874</v>
      </c>
      <c r="AE178" s="1" t="s">
        <v>3423</v>
      </c>
      <c r="AF178" s="234">
        <v>0.04</v>
      </c>
      <c r="AG178" s="1" t="s">
        <v>27</v>
      </c>
      <c r="AH178" s="42">
        <v>3</v>
      </c>
      <c r="AI178" s="1" t="s">
        <v>3114</v>
      </c>
      <c r="AJ178" s="3">
        <v>0.05</v>
      </c>
      <c r="AK178" s="1" t="s">
        <v>27</v>
      </c>
      <c r="AL178" s="42">
        <v>6.9999999999999993E-2</v>
      </c>
      <c r="AM178" s="1" t="s">
        <v>3117</v>
      </c>
      <c r="AN178" s="4">
        <v>0.6</v>
      </c>
      <c r="AO178" s="1" t="s">
        <v>468</v>
      </c>
      <c r="AP178" s="4">
        <v>7.0000000000000007E-2</v>
      </c>
      <c r="AQ178" s="1" t="s">
        <v>3219</v>
      </c>
      <c r="AR178" s="3">
        <v>9.0797760671798464</v>
      </c>
      <c r="AS178" s="749" t="s">
        <v>3267</v>
      </c>
      <c r="AT178" s="4">
        <v>0</v>
      </c>
      <c r="AU178" s="1" t="s">
        <v>3445</v>
      </c>
      <c r="AV178" s="37">
        <v>0</v>
      </c>
      <c r="AW178" s="1" t="s">
        <v>3241</v>
      </c>
      <c r="AX178" s="234">
        <v>0</v>
      </c>
      <c r="AY178" s="1" t="s">
        <v>3176</v>
      </c>
      <c r="AZ178" s="1" t="s">
        <v>503</v>
      </c>
      <c r="BA178" s="4">
        <v>0.2</v>
      </c>
    </row>
    <row r="179" spans="19:53">
      <c r="S179" s="1" t="s">
        <v>3090</v>
      </c>
      <c r="T179" s="3">
        <v>171</v>
      </c>
      <c r="U179" s="325" t="s">
        <v>3131</v>
      </c>
      <c r="V179" s="34">
        <v>17</v>
      </c>
      <c r="W179" s="1" t="s">
        <v>3440</v>
      </c>
      <c r="X179" s="42">
        <v>12.4</v>
      </c>
      <c r="Y179" s="53" t="s">
        <v>3139</v>
      </c>
      <c r="Z179" s="4">
        <v>63</v>
      </c>
      <c r="AA179" s="1233" t="s">
        <v>498</v>
      </c>
      <c r="AB179" s="42">
        <v>0.5</v>
      </c>
      <c r="AC179" s="1233" t="s">
        <v>3089</v>
      </c>
      <c r="AD179" s="31">
        <v>0.312</v>
      </c>
      <c r="AE179" s="1" t="s">
        <v>3200</v>
      </c>
      <c r="AF179" s="3">
        <v>3.9300000000000002E-2</v>
      </c>
      <c r="AG179" s="1233" t="s">
        <v>3308</v>
      </c>
      <c r="AH179" s="37">
        <v>3</v>
      </c>
      <c r="AI179" s="1" t="s">
        <v>3117</v>
      </c>
      <c r="AJ179" s="4">
        <v>0.05</v>
      </c>
      <c r="AK179" s="82" t="s">
        <v>3361</v>
      </c>
      <c r="AL179" s="4">
        <v>6.5000000000000002E-2</v>
      </c>
      <c r="AM179" s="1" t="s">
        <v>415</v>
      </c>
      <c r="AN179" s="3">
        <v>0.6</v>
      </c>
      <c r="AO179" s="1" t="s">
        <v>1785</v>
      </c>
      <c r="AP179" s="4">
        <v>7.0000000000000007E-2</v>
      </c>
      <c r="AQ179" s="1" t="s">
        <v>3448</v>
      </c>
      <c r="AR179" s="1144">
        <v>9</v>
      </c>
      <c r="AS179" s="1310" t="s">
        <v>3248</v>
      </c>
      <c r="AT179" s="4">
        <v>0</v>
      </c>
      <c r="AU179" s="1" t="s">
        <v>3446</v>
      </c>
      <c r="AV179" s="37">
        <v>0</v>
      </c>
      <c r="AW179" s="1" t="s">
        <v>3236</v>
      </c>
      <c r="AX179" s="234">
        <v>0</v>
      </c>
      <c r="AY179" s="749" t="s">
        <v>3178</v>
      </c>
      <c r="AZ179" s="1" t="s">
        <v>3423</v>
      </c>
      <c r="BA179" s="4">
        <v>0.2</v>
      </c>
    </row>
    <row r="180" spans="19:53">
      <c r="S180" s="1" t="s">
        <v>1790</v>
      </c>
      <c r="T180" s="4">
        <v>169</v>
      </c>
      <c r="U180" s="1" t="s">
        <v>3133</v>
      </c>
      <c r="V180" s="4">
        <v>17</v>
      </c>
      <c r="W180" s="1" t="s">
        <v>3212</v>
      </c>
      <c r="X180" s="4">
        <v>12.3</v>
      </c>
      <c r="Y180" s="1233" t="s">
        <v>3429</v>
      </c>
      <c r="Z180" s="31">
        <v>59</v>
      </c>
      <c r="AA180" s="325" t="s">
        <v>3132</v>
      </c>
      <c r="AB180" s="4">
        <v>0.48</v>
      </c>
      <c r="AC180" s="1" t="s">
        <v>3200</v>
      </c>
      <c r="AD180" s="3">
        <v>0.30880000000000002</v>
      </c>
      <c r="AE180" s="1" t="s">
        <v>3240</v>
      </c>
      <c r="AF180" s="1339">
        <v>3.9215686274509803E-2</v>
      </c>
      <c r="AG180" s="1" t="s">
        <v>3439</v>
      </c>
      <c r="AH180" s="42">
        <v>3</v>
      </c>
      <c r="AI180" s="1" t="s">
        <v>3217</v>
      </c>
      <c r="AJ180" s="34">
        <v>0.05</v>
      </c>
      <c r="AK180" s="1232" t="s">
        <v>469</v>
      </c>
      <c r="AL180" s="4">
        <v>0.06</v>
      </c>
      <c r="AM180" s="1" t="s">
        <v>3118</v>
      </c>
      <c r="AN180" s="3">
        <v>0.6</v>
      </c>
      <c r="AO180" s="749" t="s">
        <v>3230</v>
      </c>
      <c r="AP180" s="34">
        <v>7.0000000000000007E-2</v>
      </c>
      <c r="AQ180" s="1" t="s">
        <v>3447</v>
      </c>
      <c r="AR180" s="1144">
        <v>9</v>
      </c>
      <c r="AS180" s="749" t="s">
        <v>3269</v>
      </c>
      <c r="AT180" s="4">
        <v>0</v>
      </c>
      <c r="AU180" s="1" t="s">
        <v>3219</v>
      </c>
      <c r="AV180" s="37">
        <v>0</v>
      </c>
      <c r="AW180" s="1" t="s">
        <v>3244</v>
      </c>
      <c r="AX180" s="234">
        <v>0</v>
      </c>
      <c r="AY180" s="749" t="s">
        <v>3179</v>
      </c>
      <c r="AZ180" s="1" t="s">
        <v>438</v>
      </c>
      <c r="BA180" s="40">
        <v>0.129</v>
      </c>
    </row>
    <row r="181" spans="19:53">
      <c r="S181" s="1" t="s">
        <v>3319</v>
      </c>
      <c r="T181" s="4">
        <v>169</v>
      </c>
      <c r="U181" s="1" t="s">
        <v>3323</v>
      </c>
      <c r="V181" s="4">
        <v>17</v>
      </c>
      <c r="W181" s="1" t="s">
        <v>481</v>
      </c>
      <c r="X181" s="4">
        <v>12.2</v>
      </c>
      <c r="Y181" s="1" t="s">
        <v>3108</v>
      </c>
      <c r="Z181" s="31">
        <v>59</v>
      </c>
      <c r="AA181" s="749" t="s">
        <v>3183</v>
      </c>
      <c r="AB181" s="3">
        <v>0.46700000000000003</v>
      </c>
      <c r="AC181" s="749" t="s">
        <v>3130</v>
      </c>
      <c r="AD181" s="3">
        <v>0.30001399972000564</v>
      </c>
      <c r="AE181" s="1" t="s">
        <v>3241</v>
      </c>
      <c r="AF181" s="1339">
        <v>3.9215686274509803E-2</v>
      </c>
      <c r="AG181" s="1" t="s">
        <v>3313</v>
      </c>
      <c r="AH181" s="31">
        <v>3</v>
      </c>
      <c r="AI181" s="1" t="s">
        <v>3169</v>
      </c>
      <c r="AJ181" s="34">
        <v>0.05</v>
      </c>
      <c r="AK181" s="1" t="s">
        <v>421</v>
      </c>
      <c r="AL181" s="4">
        <v>0.06</v>
      </c>
      <c r="AM181" s="325" t="s">
        <v>3280</v>
      </c>
      <c r="AN181" s="1144">
        <v>0.6</v>
      </c>
      <c r="AO181" s="749" t="s">
        <v>3207</v>
      </c>
      <c r="AP181" s="42">
        <v>7.0000000000000007E-2</v>
      </c>
      <c r="AQ181" s="749" t="s">
        <v>3162</v>
      </c>
      <c r="AR181" s="4">
        <v>9</v>
      </c>
      <c r="AS181" s="325" t="s">
        <v>3249</v>
      </c>
      <c r="AT181" s="37">
        <v>0</v>
      </c>
      <c r="AU181" s="1232" t="s">
        <v>3215</v>
      </c>
      <c r="AV181" s="1237">
        <v>0</v>
      </c>
      <c r="AW181" s="1334" t="s">
        <v>3239</v>
      </c>
      <c r="AX181" s="3">
        <v>0</v>
      </c>
      <c r="AY181" s="1" t="s">
        <v>1831</v>
      </c>
      <c r="AZ181" s="749" t="s">
        <v>3306</v>
      </c>
      <c r="BA181" s="34">
        <v>0.129</v>
      </c>
    </row>
    <row r="182" spans="19:53">
      <c r="S182" s="1" t="s">
        <v>3457</v>
      </c>
      <c r="T182" s="4">
        <v>168</v>
      </c>
      <c r="U182" s="749" t="s">
        <v>3162</v>
      </c>
      <c r="V182" s="4">
        <v>17</v>
      </c>
      <c r="W182" s="1233" t="s">
        <v>3221</v>
      </c>
      <c r="X182" s="3">
        <v>12.000000000000002</v>
      </c>
      <c r="Y182" s="1232" t="s">
        <v>469</v>
      </c>
      <c r="Z182" s="4">
        <v>50</v>
      </c>
      <c r="AA182" s="1310" t="s">
        <v>3096</v>
      </c>
      <c r="AB182" s="4">
        <v>0.46400000000000002</v>
      </c>
      <c r="AC182" s="1" t="s">
        <v>3435</v>
      </c>
      <c r="AD182" s="3">
        <v>0.30001399972000564</v>
      </c>
      <c r="AE182" s="1" t="s">
        <v>3236</v>
      </c>
      <c r="AF182" s="1339">
        <v>3.9215686274509803E-2</v>
      </c>
      <c r="AG182" s="1" t="s">
        <v>3440</v>
      </c>
      <c r="AH182" s="42">
        <v>3</v>
      </c>
      <c r="AI182" s="749" t="s">
        <v>3288</v>
      </c>
      <c r="AJ182" s="49">
        <v>0.05</v>
      </c>
      <c r="AK182" s="1" t="s">
        <v>1789</v>
      </c>
      <c r="AL182" s="4">
        <v>0.06</v>
      </c>
      <c r="AM182" s="1232" t="s">
        <v>1963</v>
      </c>
      <c r="AN182" s="1144">
        <v>0.54</v>
      </c>
      <c r="AO182" s="1233" t="s">
        <v>3245</v>
      </c>
      <c r="AP182" s="3">
        <v>6.9930069930069921E-2</v>
      </c>
      <c r="AQ182" s="749" t="s">
        <v>3207</v>
      </c>
      <c r="AR182" s="42">
        <v>9</v>
      </c>
      <c r="AS182" s="82" t="s">
        <v>3251</v>
      </c>
      <c r="AT182" s="4">
        <v>0</v>
      </c>
      <c r="AU182" s="1233" t="s">
        <v>3221</v>
      </c>
      <c r="AV182" s="3">
        <v>0</v>
      </c>
      <c r="AW182" s="749" t="s">
        <v>3343</v>
      </c>
      <c r="AX182" s="37">
        <v>0</v>
      </c>
      <c r="AY182" s="749" t="s">
        <v>3180</v>
      </c>
      <c r="AZ182" s="325" t="s">
        <v>3298</v>
      </c>
      <c r="BA182" s="34">
        <v>0.129</v>
      </c>
    </row>
    <row r="183" spans="19:53">
      <c r="S183" s="1310" t="s">
        <v>3096</v>
      </c>
      <c r="T183" s="4">
        <v>167</v>
      </c>
      <c r="U183" s="1" t="s">
        <v>3261</v>
      </c>
      <c r="V183" s="49">
        <v>16.7</v>
      </c>
      <c r="W183" s="325" t="s">
        <v>3131</v>
      </c>
      <c r="X183" s="34">
        <v>12</v>
      </c>
      <c r="Y183" s="1" t="s">
        <v>3270</v>
      </c>
      <c r="Z183" s="31">
        <v>50</v>
      </c>
      <c r="AA183" s="1264" t="s">
        <v>3097</v>
      </c>
      <c r="AB183" s="4">
        <v>0.46400000000000002</v>
      </c>
      <c r="AC183" s="1233" t="s">
        <v>3124</v>
      </c>
      <c r="AD183" s="3">
        <v>0.30001399972000564</v>
      </c>
      <c r="AE183" s="1" t="s">
        <v>3244</v>
      </c>
      <c r="AF183" s="1339">
        <v>3.9215686274509803E-2</v>
      </c>
      <c r="AG183" s="1" t="s">
        <v>3112</v>
      </c>
      <c r="AH183" s="49">
        <v>2.5</v>
      </c>
      <c r="AI183" s="1" t="s">
        <v>3282</v>
      </c>
      <c r="AJ183" s="49">
        <v>0.05</v>
      </c>
      <c r="AK183" s="1232" t="s">
        <v>3138</v>
      </c>
      <c r="AL183" s="54">
        <v>5.9504132231404945E-2</v>
      </c>
      <c r="AM183" s="1" t="s">
        <v>467</v>
      </c>
      <c r="AN183" s="4">
        <v>0.53</v>
      </c>
      <c r="AO183" s="1" t="s">
        <v>467</v>
      </c>
      <c r="AP183" s="4">
        <v>6.5000000000000002E-2</v>
      </c>
      <c r="AQ183" s="325" t="s">
        <v>3280</v>
      </c>
      <c r="AR183" s="1234">
        <v>9</v>
      </c>
      <c r="AS183" s="1233" t="s">
        <v>3252</v>
      </c>
      <c r="AT183" s="37">
        <v>0</v>
      </c>
      <c r="AU183" s="325" t="s">
        <v>3216</v>
      </c>
      <c r="AV183" s="1234">
        <v>0</v>
      </c>
      <c r="AW183" s="1" t="s">
        <v>3327</v>
      </c>
      <c r="AX183" s="43">
        <v>0</v>
      </c>
      <c r="AY183" s="749" t="s">
        <v>3181</v>
      </c>
      <c r="AZ183" s="325" t="s">
        <v>3296</v>
      </c>
      <c r="BA183" s="4">
        <v>0.01</v>
      </c>
    </row>
    <row r="184" spans="19:53">
      <c r="S184" s="1264" t="s">
        <v>3097</v>
      </c>
      <c r="T184" s="4">
        <v>167</v>
      </c>
      <c r="U184" s="1" t="s">
        <v>3499</v>
      </c>
      <c r="V184" s="49">
        <v>16.7</v>
      </c>
      <c r="W184" s="1" t="s">
        <v>3133</v>
      </c>
      <c r="X184" s="4">
        <v>12</v>
      </c>
      <c r="Y184" s="1" t="s">
        <v>3497</v>
      </c>
      <c r="Z184" s="42">
        <v>50</v>
      </c>
      <c r="AA184" s="1" t="s">
        <v>3232</v>
      </c>
      <c r="AB184" s="34">
        <v>0.45</v>
      </c>
      <c r="AC184" s="1" t="s">
        <v>3125</v>
      </c>
      <c r="AD184" s="3">
        <v>0.30001399972000564</v>
      </c>
      <c r="AE184" s="1" t="s">
        <v>1790</v>
      </c>
      <c r="AF184" s="4">
        <v>3.9E-2</v>
      </c>
      <c r="AG184" s="1" t="s">
        <v>1778</v>
      </c>
      <c r="AH184" s="4">
        <v>2</v>
      </c>
      <c r="AI184" s="53" t="s">
        <v>3292</v>
      </c>
      <c r="AJ184" s="233">
        <v>0.05</v>
      </c>
      <c r="AK184" s="1" t="s">
        <v>3321</v>
      </c>
      <c r="AL184" s="4">
        <v>5.3999999999999999E-2</v>
      </c>
      <c r="AM184" s="1310" t="s">
        <v>3096</v>
      </c>
      <c r="AN184" s="4">
        <v>0.51900000000000002</v>
      </c>
      <c r="AO184" s="1" t="s">
        <v>3321</v>
      </c>
      <c r="AP184" s="4">
        <v>6.5000000000000002E-2</v>
      </c>
      <c r="AQ184" s="749" t="s">
        <v>3405</v>
      </c>
      <c r="AR184" s="4">
        <v>9</v>
      </c>
      <c r="AS184" s="1" t="s">
        <v>3494</v>
      </c>
      <c r="AT184" s="37">
        <v>0</v>
      </c>
      <c r="AU184" s="325" t="s">
        <v>3460</v>
      </c>
      <c r="AV184" s="4">
        <v>0</v>
      </c>
      <c r="AW184" s="1" t="s">
        <v>3329</v>
      </c>
      <c r="AX184" s="3">
        <v>0</v>
      </c>
      <c r="AY184" s="749" t="s">
        <v>3182</v>
      </c>
      <c r="AZ184" s="1" t="s">
        <v>3514</v>
      </c>
      <c r="BA184" s="4">
        <v>0.01</v>
      </c>
    </row>
    <row r="185" spans="19:53">
      <c r="S185" s="1" t="s">
        <v>3448</v>
      </c>
      <c r="T185" s="4">
        <v>167</v>
      </c>
      <c r="U185" s="1" t="s">
        <v>467</v>
      </c>
      <c r="V185" s="4">
        <v>16</v>
      </c>
      <c r="W185" s="1" t="s">
        <v>422</v>
      </c>
      <c r="X185" s="4">
        <v>12</v>
      </c>
      <c r="Y185" s="1233" t="s">
        <v>3121</v>
      </c>
      <c r="Z185" s="31">
        <v>49.5</v>
      </c>
      <c r="AA185" s="1" t="s">
        <v>3166</v>
      </c>
      <c r="AB185" s="4">
        <v>0.45</v>
      </c>
      <c r="AC185" s="1" t="s">
        <v>3433</v>
      </c>
      <c r="AD185" s="3">
        <v>0.30001399972000564</v>
      </c>
      <c r="AE185" s="1" t="s">
        <v>3319</v>
      </c>
      <c r="AF185" s="4">
        <v>3.9E-2</v>
      </c>
      <c r="AG185" s="1" t="s">
        <v>3457</v>
      </c>
      <c r="AH185" s="4">
        <v>2</v>
      </c>
      <c r="AI185" s="1233" t="s">
        <v>3100</v>
      </c>
      <c r="AJ185" s="3">
        <v>4.9999999999999996E-2</v>
      </c>
      <c r="AK185" s="749" t="s">
        <v>3291</v>
      </c>
      <c r="AL185" s="4">
        <v>5.1999999999999998E-2</v>
      </c>
      <c r="AM185" s="1264" t="s">
        <v>3097</v>
      </c>
      <c r="AN185" s="4">
        <v>0.51900000000000002</v>
      </c>
      <c r="AO185" s="1310" t="s">
        <v>3096</v>
      </c>
      <c r="AP185" s="4">
        <v>6.3E-2</v>
      </c>
      <c r="AQ185" s="1" t="s">
        <v>3452</v>
      </c>
      <c r="AR185" s="4">
        <v>8</v>
      </c>
      <c r="AS185" s="1" t="s">
        <v>3497</v>
      </c>
      <c r="AT185" s="37">
        <v>0</v>
      </c>
      <c r="AU185" s="1" t="s">
        <v>3227</v>
      </c>
      <c r="AV185" s="4">
        <v>0</v>
      </c>
      <c r="AW185" s="1" t="s">
        <v>3330</v>
      </c>
      <c r="AX185" s="3">
        <v>0</v>
      </c>
      <c r="AY185" s="749" t="s">
        <v>3162</v>
      </c>
      <c r="AZ185" s="1233" t="s">
        <v>3283</v>
      </c>
      <c r="BA185" s="34">
        <v>4.0000000000000007E-4</v>
      </c>
    </row>
    <row r="186" spans="19:53">
      <c r="S186" s="1" t="s">
        <v>3447</v>
      </c>
      <c r="T186" s="4">
        <v>167</v>
      </c>
      <c r="U186" s="1" t="s">
        <v>1779</v>
      </c>
      <c r="V186" s="4">
        <v>15.5</v>
      </c>
      <c r="W186" s="1" t="s">
        <v>1777</v>
      </c>
      <c r="X186" s="4">
        <v>12</v>
      </c>
      <c r="Y186" s="1232" t="s">
        <v>3138</v>
      </c>
      <c r="Z186" s="54">
        <v>48.36363636363636</v>
      </c>
      <c r="AA186" s="1" t="s">
        <v>503</v>
      </c>
      <c r="AB186" s="4">
        <v>0.42</v>
      </c>
      <c r="AC186" s="1" t="s">
        <v>3339</v>
      </c>
      <c r="AD186" s="42">
        <v>0.30000000000000004</v>
      </c>
      <c r="AE186" s="1232" t="s">
        <v>3105</v>
      </c>
      <c r="AF186" s="236">
        <v>3.833333333333333E-2</v>
      </c>
      <c r="AG186" s="325" t="s">
        <v>3155</v>
      </c>
      <c r="AH186" s="1234">
        <v>2</v>
      </c>
      <c r="AI186" s="1" t="s">
        <v>3101</v>
      </c>
      <c r="AJ186" s="3">
        <v>4.9999999999999996E-2</v>
      </c>
      <c r="AK186" s="1" t="s">
        <v>3426</v>
      </c>
      <c r="AL186" s="37">
        <v>5.0999999999999997E-2</v>
      </c>
      <c r="AM186" s="1" t="s">
        <v>421</v>
      </c>
      <c r="AN186" s="4">
        <v>0.5</v>
      </c>
      <c r="AO186" s="1264" t="s">
        <v>3097</v>
      </c>
      <c r="AP186" s="4">
        <v>6.3E-2</v>
      </c>
      <c r="AQ186" s="325" t="s">
        <v>3451</v>
      </c>
      <c r="AR186" s="4">
        <v>8</v>
      </c>
      <c r="AS186" s="325" t="s">
        <v>3280</v>
      </c>
      <c r="AT186" s="1234">
        <v>0</v>
      </c>
      <c r="AU186" s="1" t="s">
        <v>3228</v>
      </c>
      <c r="AV186" s="4">
        <v>0</v>
      </c>
      <c r="AW186" s="1" t="s">
        <v>3332</v>
      </c>
      <c r="AX186" s="37">
        <v>0</v>
      </c>
      <c r="AY186" s="1232" t="s">
        <v>3443</v>
      </c>
      <c r="AZ186" s="82" t="s">
        <v>3103</v>
      </c>
      <c r="BA186" s="4">
        <v>0</v>
      </c>
    </row>
    <row r="187" spans="19:53">
      <c r="S187" s="1" t="s">
        <v>1766</v>
      </c>
      <c r="T187" s="34">
        <v>166</v>
      </c>
      <c r="U187" s="1" t="s">
        <v>3237</v>
      </c>
      <c r="V187" s="31">
        <v>15</v>
      </c>
      <c r="W187" s="325" t="s">
        <v>3450</v>
      </c>
      <c r="X187" s="49">
        <v>12</v>
      </c>
      <c r="Y187" s="1" t="s">
        <v>481</v>
      </c>
      <c r="Z187" s="4">
        <v>47.1</v>
      </c>
      <c r="AA187" s="1232" t="s">
        <v>3138</v>
      </c>
      <c r="AB187" s="54">
        <v>0.41331849968213602</v>
      </c>
      <c r="AC187" s="1" t="s">
        <v>3119</v>
      </c>
      <c r="AD187" s="4">
        <v>0.3</v>
      </c>
      <c r="AE187" s="1" t="s">
        <v>3106</v>
      </c>
      <c r="AF187" s="68">
        <v>3.833333333333333E-2</v>
      </c>
      <c r="AG187" s="1233" t="s">
        <v>3157</v>
      </c>
      <c r="AH187" s="1234">
        <v>2</v>
      </c>
      <c r="AI187" s="749" t="s">
        <v>3159</v>
      </c>
      <c r="AJ187" s="4">
        <v>4.5999999999999999E-2</v>
      </c>
      <c r="AK187" s="1" t="s">
        <v>3271</v>
      </c>
      <c r="AL187" s="3">
        <v>5.0420168067226892E-2</v>
      </c>
      <c r="AM187" s="53" t="s">
        <v>3139</v>
      </c>
      <c r="AN187" s="4">
        <v>0.5</v>
      </c>
      <c r="AO187" s="1" t="s">
        <v>3437</v>
      </c>
      <c r="AP187" s="4">
        <v>0.06</v>
      </c>
      <c r="AQ187" s="749" t="s">
        <v>3159</v>
      </c>
      <c r="AR187" s="4">
        <v>7.3</v>
      </c>
      <c r="AS187" s="749" t="s">
        <v>3289</v>
      </c>
      <c r="AT187" s="4">
        <v>0</v>
      </c>
      <c r="AU187" s="749" t="s">
        <v>3229</v>
      </c>
      <c r="AV187" s="4">
        <v>0</v>
      </c>
      <c r="AW187" s="1" t="s">
        <v>503</v>
      </c>
      <c r="AX187" s="67">
        <v>0</v>
      </c>
      <c r="AY187" s="1" t="s">
        <v>91</v>
      </c>
      <c r="AZ187" s="1" t="s">
        <v>3448</v>
      </c>
      <c r="BA187" s="1144">
        <v>0</v>
      </c>
    </row>
    <row r="188" spans="19:53">
      <c r="S188" s="1" t="s">
        <v>3094</v>
      </c>
      <c r="T188" s="34">
        <v>166</v>
      </c>
      <c r="U188" s="749" t="s">
        <v>3272</v>
      </c>
      <c r="V188" s="3">
        <v>15</v>
      </c>
      <c r="W188" s="1" t="s">
        <v>3458</v>
      </c>
      <c r="X188" s="49">
        <v>12</v>
      </c>
      <c r="Y188" s="1232" t="s">
        <v>3137</v>
      </c>
      <c r="Z188" s="49">
        <v>46.4</v>
      </c>
      <c r="AA188" s="1" t="s">
        <v>438</v>
      </c>
      <c r="AB188" s="42">
        <v>0.4</v>
      </c>
      <c r="AC188" s="325" t="s">
        <v>3120</v>
      </c>
      <c r="AD188" s="4">
        <v>0.3</v>
      </c>
      <c r="AE188" s="1" t="s">
        <v>3093</v>
      </c>
      <c r="AF188" s="34">
        <v>3.6999999999999998E-2</v>
      </c>
      <c r="AG188" s="1" t="s">
        <v>3309</v>
      </c>
      <c r="AH188" s="37">
        <v>1.73</v>
      </c>
      <c r="AI188" s="1" t="s">
        <v>3147</v>
      </c>
      <c r="AJ188" s="49">
        <v>4.5999999999999999E-2</v>
      </c>
      <c r="AK188" s="1" t="s">
        <v>3102</v>
      </c>
      <c r="AL188" s="3">
        <v>0.05</v>
      </c>
      <c r="AM188" s="1" t="s">
        <v>468</v>
      </c>
      <c r="AN188" s="4">
        <v>0.5</v>
      </c>
      <c r="AO188" s="1" t="s">
        <v>422</v>
      </c>
      <c r="AP188" s="4">
        <v>0.06</v>
      </c>
      <c r="AQ188" s="1" t="s">
        <v>3147</v>
      </c>
      <c r="AR188" s="49">
        <v>7.3</v>
      </c>
      <c r="AS188" s="1154" t="s">
        <v>3290</v>
      </c>
      <c r="AT188" s="4">
        <v>0</v>
      </c>
      <c r="AU188" s="749" t="s">
        <v>3230</v>
      </c>
      <c r="AV188" s="34">
        <v>0</v>
      </c>
      <c r="AW188" s="1" t="s">
        <v>134</v>
      </c>
      <c r="AX188" s="3">
        <v>0</v>
      </c>
      <c r="AY188" s="749" t="s">
        <v>3183</v>
      </c>
      <c r="AZ188" s="325" t="s">
        <v>3450</v>
      </c>
      <c r="BA188" s="34">
        <v>0</v>
      </c>
    </row>
    <row r="189" spans="19:53">
      <c r="S189" s="1233" t="s">
        <v>3123</v>
      </c>
      <c r="T189" s="31">
        <v>163</v>
      </c>
      <c r="U189" s="1" t="s">
        <v>3497</v>
      </c>
      <c r="V189" s="42">
        <v>15</v>
      </c>
      <c r="W189" s="325" t="s">
        <v>3453</v>
      </c>
      <c r="X189" s="49">
        <v>12</v>
      </c>
      <c r="Y189" s="749" t="s">
        <v>3130</v>
      </c>
      <c r="Z189" s="3">
        <v>44</v>
      </c>
      <c r="AA189" s="1" t="s">
        <v>3102</v>
      </c>
      <c r="AB189" s="3">
        <v>0.4</v>
      </c>
      <c r="AC189" s="82" t="s">
        <v>3103</v>
      </c>
      <c r="AD189" s="4">
        <v>0.3</v>
      </c>
      <c r="AE189" s="1233" t="s">
        <v>3308</v>
      </c>
      <c r="AF189" s="3">
        <v>3.6330000000000001E-2</v>
      </c>
      <c r="AG189" s="1" t="s">
        <v>3310</v>
      </c>
      <c r="AH189" s="37">
        <v>1.73</v>
      </c>
      <c r="AI189" s="1" t="s">
        <v>1783</v>
      </c>
      <c r="AJ189" s="4">
        <v>4.4999999999999998E-2</v>
      </c>
      <c r="AK189" s="1232" t="s">
        <v>3105</v>
      </c>
      <c r="AL189" s="42">
        <v>0.05</v>
      </c>
      <c r="AM189" s="325" t="s">
        <v>3296</v>
      </c>
      <c r="AN189" s="3">
        <v>0.5</v>
      </c>
      <c r="AO189" s="1" t="s">
        <v>3095</v>
      </c>
      <c r="AP189" s="34">
        <v>0.06</v>
      </c>
      <c r="AQ189" s="1" t="s">
        <v>3323</v>
      </c>
      <c r="AR189" s="4">
        <v>7</v>
      </c>
      <c r="AS189" s="749" t="s">
        <v>3291</v>
      </c>
      <c r="AT189" s="4">
        <v>0</v>
      </c>
      <c r="AU189" s="1233" t="s">
        <v>3208</v>
      </c>
      <c r="AV189" s="3">
        <v>0</v>
      </c>
      <c r="AW189" s="1" t="s">
        <v>3339</v>
      </c>
      <c r="AX189" s="37">
        <v>0</v>
      </c>
      <c r="AY189" s="1" t="s">
        <v>1835</v>
      </c>
      <c r="AZ189" s="1" t="s">
        <v>3452</v>
      </c>
      <c r="BA189" s="34">
        <v>0</v>
      </c>
    </row>
    <row r="190" spans="19:53">
      <c r="S190" s="1" t="s">
        <v>91</v>
      </c>
      <c r="T190" s="49">
        <v>163</v>
      </c>
      <c r="U190" s="1233" t="s">
        <v>498</v>
      </c>
      <c r="V190" s="42">
        <v>14.999999999999998</v>
      </c>
      <c r="W190" s="749" t="s">
        <v>3185</v>
      </c>
      <c r="X190" s="3">
        <v>12</v>
      </c>
      <c r="Y190" s="1" t="s">
        <v>3435</v>
      </c>
      <c r="Z190" s="3">
        <v>44</v>
      </c>
      <c r="AA190" s="1" t="s">
        <v>439</v>
      </c>
      <c r="AB190" s="49">
        <v>0.4</v>
      </c>
      <c r="AC190" s="1" t="s">
        <v>1781</v>
      </c>
      <c r="AD190" s="4">
        <v>0.3</v>
      </c>
      <c r="AE190" s="1" t="s">
        <v>3309</v>
      </c>
      <c r="AF190" s="3">
        <v>3.6330000000000001E-2</v>
      </c>
      <c r="AG190" s="1" t="s">
        <v>3311</v>
      </c>
      <c r="AH190" s="37">
        <v>1.73</v>
      </c>
      <c r="AI190" s="1" t="s">
        <v>3222</v>
      </c>
      <c r="AJ190" s="4">
        <v>4.4999999999999998E-2</v>
      </c>
      <c r="AK190" s="1" t="s">
        <v>3106</v>
      </c>
      <c r="AL190" s="42">
        <v>0.05</v>
      </c>
      <c r="AM190" s="1" t="s">
        <v>3514</v>
      </c>
      <c r="AN190" s="3">
        <v>0.5</v>
      </c>
      <c r="AO190" s="1" t="s">
        <v>1779</v>
      </c>
      <c r="AP190" s="4">
        <v>0.06</v>
      </c>
      <c r="AQ190" s="1" t="s">
        <v>3234</v>
      </c>
      <c r="AR190" s="34">
        <v>7</v>
      </c>
      <c r="AS190" s="1233" t="s">
        <v>3293</v>
      </c>
      <c r="AT190" s="1234">
        <v>0</v>
      </c>
      <c r="AU190" s="53" t="s">
        <v>3210</v>
      </c>
      <c r="AV190" s="3">
        <v>0</v>
      </c>
      <c r="AW190" s="1" t="s">
        <v>3358</v>
      </c>
      <c r="AX190" s="37">
        <v>0</v>
      </c>
      <c r="AY190" s="1" t="s">
        <v>3148</v>
      </c>
      <c r="AZ190" s="1" t="s">
        <v>3447</v>
      </c>
      <c r="BA190" s="1144">
        <v>0</v>
      </c>
    </row>
    <row r="191" spans="19:53">
      <c r="S191" s="325" t="s">
        <v>3450</v>
      </c>
      <c r="T191" s="49">
        <v>162.00000000000003</v>
      </c>
      <c r="U191" s="749" t="s">
        <v>3263</v>
      </c>
      <c r="V191" s="31">
        <v>14.000000000000002</v>
      </c>
      <c r="W191" s="1233" t="s">
        <v>3115</v>
      </c>
      <c r="X191" s="3">
        <v>11.8</v>
      </c>
      <c r="Y191" s="1233" t="s">
        <v>3124</v>
      </c>
      <c r="Z191" s="3">
        <v>44</v>
      </c>
      <c r="AA191" s="1232" t="s">
        <v>3105</v>
      </c>
      <c r="AB191" s="42">
        <v>0.4</v>
      </c>
      <c r="AC191" s="1" t="s">
        <v>3471</v>
      </c>
      <c r="AD191" s="34">
        <v>0.28999999999999998</v>
      </c>
      <c r="AE191" s="1" t="s">
        <v>3310</v>
      </c>
      <c r="AF191" s="69">
        <v>3.6330000000000001E-2</v>
      </c>
      <c r="AG191" s="1" t="s">
        <v>3312</v>
      </c>
      <c r="AH191" s="37">
        <v>1.73</v>
      </c>
      <c r="AI191" s="749" t="s">
        <v>3231</v>
      </c>
      <c r="AJ191" s="34">
        <v>4.4999999999999998E-2</v>
      </c>
      <c r="AK191" s="1" t="s">
        <v>1779</v>
      </c>
      <c r="AL191" s="4">
        <v>0.05</v>
      </c>
      <c r="AM191" s="1233" t="s">
        <v>3121</v>
      </c>
      <c r="AN191" s="31">
        <v>0.499</v>
      </c>
      <c r="AO191" s="1" t="s">
        <v>1781</v>
      </c>
      <c r="AP191" s="4">
        <v>0.06</v>
      </c>
      <c r="AQ191" s="1" t="s">
        <v>3327</v>
      </c>
      <c r="AR191" s="42">
        <v>7</v>
      </c>
      <c r="AS191" s="1233" t="s">
        <v>3283</v>
      </c>
      <c r="AT191" s="37">
        <v>0</v>
      </c>
      <c r="AU191" s="749" t="s">
        <v>3172</v>
      </c>
      <c r="AV191" s="37">
        <v>0</v>
      </c>
      <c r="AW191" s="1233" t="s">
        <v>3359</v>
      </c>
      <c r="AX191" s="68">
        <v>0</v>
      </c>
      <c r="AY191" s="1" t="s">
        <v>3169</v>
      </c>
      <c r="AZ191" s="1" t="s">
        <v>3458</v>
      </c>
      <c r="BA191" s="4">
        <v>0</v>
      </c>
    </row>
    <row r="192" spans="19:53">
      <c r="S192" s="1" t="s">
        <v>3458</v>
      </c>
      <c r="T192" s="49">
        <v>162.00000000000003</v>
      </c>
      <c r="U192" s="82" t="s">
        <v>3103</v>
      </c>
      <c r="V192" s="4">
        <v>14</v>
      </c>
      <c r="W192" s="1" t="s">
        <v>3114</v>
      </c>
      <c r="X192" s="3">
        <v>11.8</v>
      </c>
      <c r="Y192" s="1" t="s">
        <v>3125</v>
      </c>
      <c r="Z192" s="3">
        <v>44</v>
      </c>
      <c r="AA192" s="1" t="s">
        <v>3106</v>
      </c>
      <c r="AB192" s="42">
        <v>0.4</v>
      </c>
      <c r="AC192" s="1" t="s">
        <v>1851</v>
      </c>
      <c r="AD192" s="34">
        <v>0.28999999999999998</v>
      </c>
      <c r="AE192" s="1" t="s">
        <v>3311</v>
      </c>
      <c r="AF192" s="3">
        <v>3.6330000000000001E-2</v>
      </c>
      <c r="AG192" s="1" t="s">
        <v>1783</v>
      </c>
      <c r="AH192" s="4">
        <v>1.67</v>
      </c>
      <c r="AI192" s="1" t="s">
        <v>1785</v>
      </c>
      <c r="AJ192" s="4">
        <v>4.2999999999999997E-2</v>
      </c>
      <c r="AK192" s="1" t="s">
        <v>1781</v>
      </c>
      <c r="AL192" s="4">
        <v>0.05</v>
      </c>
      <c r="AM192" s="1" t="s">
        <v>1766</v>
      </c>
      <c r="AN192" s="34">
        <v>0.47699999999999998</v>
      </c>
      <c r="AO192" s="1" t="s">
        <v>1783</v>
      </c>
      <c r="AP192" s="4">
        <v>0.06</v>
      </c>
      <c r="AQ192" s="1" t="s">
        <v>3320</v>
      </c>
      <c r="AR192" s="4">
        <v>6.7</v>
      </c>
      <c r="AS192" s="1233" t="s">
        <v>498</v>
      </c>
      <c r="AT192" s="37">
        <v>0</v>
      </c>
      <c r="AU192" s="1" t="s">
        <v>3158</v>
      </c>
      <c r="AV192" s="37">
        <v>0</v>
      </c>
      <c r="AW192" s="1233" t="s">
        <v>3360</v>
      </c>
      <c r="AX192" s="37">
        <v>0</v>
      </c>
      <c r="AY192" s="1" t="s">
        <v>1837</v>
      </c>
      <c r="AZ192" s="325" t="s">
        <v>3451</v>
      </c>
      <c r="BA192" s="34">
        <v>0</v>
      </c>
    </row>
    <row r="193" spans="19:53">
      <c r="S193" s="325" t="s">
        <v>3453</v>
      </c>
      <c r="T193" s="49">
        <v>162</v>
      </c>
      <c r="U193" s="1" t="s">
        <v>1764</v>
      </c>
      <c r="V193" s="4">
        <v>14</v>
      </c>
      <c r="W193" s="1" t="s">
        <v>3117</v>
      </c>
      <c r="X193" s="34">
        <v>11.2</v>
      </c>
      <c r="Y193" s="1" t="s">
        <v>3433</v>
      </c>
      <c r="Z193" s="3">
        <v>44</v>
      </c>
      <c r="AA193" s="1" t="s">
        <v>3136</v>
      </c>
      <c r="AB193" s="4">
        <v>0.4</v>
      </c>
      <c r="AC193" s="1" t="s">
        <v>1811</v>
      </c>
      <c r="AD193" s="4">
        <v>0.28000000000000003</v>
      </c>
      <c r="AE193" s="1" t="s">
        <v>3312</v>
      </c>
      <c r="AF193" s="3">
        <v>3.6330000000000001E-2</v>
      </c>
      <c r="AG193" s="1" t="s">
        <v>3106</v>
      </c>
      <c r="AH193" s="42">
        <v>1.3</v>
      </c>
      <c r="AI193" s="1" t="s">
        <v>3220</v>
      </c>
      <c r="AJ193" s="31">
        <v>4.2000000000000003E-2</v>
      </c>
      <c r="AK193" s="1" t="s">
        <v>1785</v>
      </c>
      <c r="AL193" s="4">
        <v>0.05</v>
      </c>
      <c r="AM193" s="1" t="s">
        <v>3094</v>
      </c>
      <c r="AN193" s="34">
        <v>0.47699999999999998</v>
      </c>
      <c r="AO193" s="1" t="s">
        <v>3233</v>
      </c>
      <c r="AP193" s="34">
        <v>0.06</v>
      </c>
      <c r="AQ193" s="1" t="s">
        <v>460</v>
      </c>
      <c r="AR193" s="4">
        <v>5.5</v>
      </c>
      <c r="AS193" s="1" t="s">
        <v>3284</v>
      </c>
      <c r="AT193" s="37">
        <v>0</v>
      </c>
      <c r="AU193" s="749" t="s">
        <v>3173</v>
      </c>
      <c r="AV193" s="37">
        <v>0</v>
      </c>
      <c r="AW193" s="325" t="s">
        <v>3362</v>
      </c>
      <c r="AX193" s="37">
        <v>0</v>
      </c>
      <c r="AY193" s="749" t="s">
        <v>3163</v>
      </c>
      <c r="AZ193" s="1" t="s">
        <v>3219</v>
      </c>
      <c r="BA193" s="4">
        <v>0</v>
      </c>
    </row>
    <row r="194" spans="19:53">
      <c r="S194" s="1233" t="s">
        <v>3221</v>
      </c>
      <c r="T194" s="3">
        <v>162</v>
      </c>
      <c r="U194" s="1" t="s">
        <v>3087</v>
      </c>
      <c r="V194" s="4">
        <v>14</v>
      </c>
      <c r="W194" s="1" t="s">
        <v>3220</v>
      </c>
      <c r="X194" s="31">
        <v>11.2</v>
      </c>
      <c r="Y194" s="1232" t="s">
        <v>1963</v>
      </c>
      <c r="Z194" s="1144">
        <v>44</v>
      </c>
      <c r="AA194" s="1" t="s">
        <v>1781</v>
      </c>
      <c r="AB194" s="4">
        <v>0.4</v>
      </c>
      <c r="AC194" s="1" t="s">
        <v>475</v>
      </c>
      <c r="AD194" s="34">
        <v>0.28000000000000003</v>
      </c>
      <c r="AE194" s="82" t="s">
        <v>3224</v>
      </c>
      <c r="AF194" s="67">
        <v>3.5999999999999997E-2</v>
      </c>
      <c r="AG194" s="1233" t="s">
        <v>3134</v>
      </c>
      <c r="AH194" s="3">
        <v>1.0800279981334577</v>
      </c>
      <c r="AI194" s="325" t="s">
        <v>3110</v>
      </c>
      <c r="AJ194" s="42">
        <v>0.04</v>
      </c>
      <c r="AK194" s="1" t="s">
        <v>1786</v>
      </c>
      <c r="AL194" s="4">
        <v>0.05</v>
      </c>
      <c r="AM194" s="1" t="s">
        <v>3320</v>
      </c>
      <c r="AN194" s="4">
        <v>0.45</v>
      </c>
      <c r="AO194" s="1" t="s">
        <v>3329</v>
      </c>
      <c r="AP194" s="3">
        <v>5.9999999999999991E-2</v>
      </c>
      <c r="AQ194" s="1233" t="s">
        <v>3221</v>
      </c>
      <c r="AR194" s="3">
        <v>5.0000000000000009</v>
      </c>
      <c r="AS194" s="1" t="s">
        <v>3285</v>
      </c>
      <c r="AT194" s="37">
        <v>0</v>
      </c>
      <c r="AU194" s="1" t="s">
        <v>3174</v>
      </c>
      <c r="AV194" s="37">
        <v>0</v>
      </c>
      <c r="AW194" s="1233" t="s">
        <v>3245</v>
      </c>
      <c r="AX194" s="69">
        <v>0</v>
      </c>
      <c r="AY194" s="749" t="s">
        <v>3149</v>
      </c>
      <c r="AZ194" s="1232" t="s">
        <v>3454</v>
      </c>
      <c r="BA194" s="34">
        <v>0</v>
      </c>
    </row>
    <row r="195" spans="19:53">
      <c r="S195" s="1" t="s">
        <v>1781</v>
      </c>
      <c r="T195" s="4">
        <v>160</v>
      </c>
      <c r="U195" s="1233" t="s">
        <v>1861</v>
      </c>
      <c r="V195" s="4">
        <v>14</v>
      </c>
      <c r="W195" s="1" t="s">
        <v>468</v>
      </c>
      <c r="X195" s="4">
        <v>11</v>
      </c>
      <c r="Y195" s="1" t="s">
        <v>3091</v>
      </c>
      <c r="Z195" s="3">
        <v>43</v>
      </c>
      <c r="AA195" s="82" t="s">
        <v>3224</v>
      </c>
      <c r="AB195" s="4">
        <v>0.4</v>
      </c>
      <c r="AC195" s="1" t="s">
        <v>3321</v>
      </c>
      <c r="AD195" s="4">
        <v>0.26</v>
      </c>
      <c r="AE195" s="1" t="s">
        <v>503</v>
      </c>
      <c r="AF195" s="67">
        <v>3.5999999999999997E-2</v>
      </c>
      <c r="AG195" s="1" t="s">
        <v>3135</v>
      </c>
      <c r="AH195" s="3">
        <v>1.0800279981334577</v>
      </c>
      <c r="AI195" s="1" t="s">
        <v>3111</v>
      </c>
      <c r="AJ195" s="42">
        <v>0.04</v>
      </c>
      <c r="AK195" s="1" t="s">
        <v>3320</v>
      </c>
      <c r="AL195" s="4">
        <v>0.05</v>
      </c>
      <c r="AM195" s="1154" t="s">
        <v>3290</v>
      </c>
      <c r="AN195" s="4">
        <v>0.43</v>
      </c>
      <c r="AO195" s="1" t="s">
        <v>3330</v>
      </c>
      <c r="AP195" s="3">
        <v>5.9999999999999991E-2</v>
      </c>
      <c r="AQ195" s="1232" t="s">
        <v>3145</v>
      </c>
      <c r="AR195" s="42">
        <v>5</v>
      </c>
      <c r="AS195" s="1310" t="s">
        <v>3294</v>
      </c>
      <c r="AT195" s="4">
        <v>0</v>
      </c>
      <c r="AU195" s="749" t="s">
        <v>3160</v>
      </c>
      <c r="AV195" s="3">
        <v>0</v>
      </c>
      <c r="AW195" s="82" t="s">
        <v>3246</v>
      </c>
      <c r="AX195" s="67">
        <v>0</v>
      </c>
      <c r="AY195" s="1" t="s">
        <v>3465</v>
      </c>
      <c r="AZ195" s="325" t="s">
        <v>3453</v>
      </c>
      <c r="BA195" s="34">
        <v>0</v>
      </c>
    </row>
    <row r="196" spans="19:53">
      <c r="S196" s="1233" t="s">
        <v>3245</v>
      </c>
      <c r="T196" s="3">
        <v>158</v>
      </c>
      <c r="U196" s="1" t="s">
        <v>3197</v>
      </c>
      <c r="V196" s="4">
        <v>14</v>
      </c>
      <c r="W196" s="1" t="s">
        <v>3452</v>
      </c>
      <c r="X196" s="4">
        <v>11</v>
      </c>
      <c r="Y196" s="1" t="s">
        <v>3092</v>
      </c>
      <c r="Z196" s="3">
        <v>43</v>
      </c>
      <c r="AA196" s="1" t="s">
        <v>3225</v>
      </c>
      <c r="AB196" s="4">
        <v>0.4</v>
      </c>
      <c r="AC196" s="749" t="s">
        <v>3322</v>
      </c>
      <c r="AD196" s="4">
        <v>0.253</v>
      </c>
      <c r="AE196" s="1" t="s">
        <v>3440</v>
      </c>
      <c r="AF196" s="236">
        <v>3.5363636363636361E-2</v>
      </c>
      <c r="AG196" s="1" t="s">
        <v>3144</v>
      </c>
      <c r="AH196" s="3">
        <v>1.0800279981334577</v>
      </c>
      <c r="AI196" s="1" t="s">
        <v>422</v>
      </c>
      <c r="AJ196" s="4">
        <v>0.04</v>
      </c>
      <c r="AK196" s="325" t="s">
        <v>3280</v>
      </c>
      <c r="AL196" s="1144">
        <v>0.05</v>
      </c>
      <c r="AM196" s="1" t="s">
        <v>3091</v>
      </c>
      <c r="AN196" s="3">
        <v>0.41998707732069784</v>
      </c>
      <c r="AO196" s="1" t="s">
        <v>134</v>
      </c>
      <c r="AP196" s="3">
        <v>5.9999999999999991E-2</v>
      </c>
      <c r="AQ196" s="1" t="s">
        <v>1779</v>
      </c>
      <c r="AR196" s="4">
        <v>5</v>
      </c>
      <c r="AS196" s="1" t="s">
        <v>3295</v>
      </c>
      <c r="AT196" s="4">
        <v>0</v>
      </c>
      <c r="AU196" s="325" t="s">
        <v>3161</v>
      </c>
      <c r="AV196" s="43">
        <v>0</v>
      </c>
      <c r="AW196" s="749" t="s">
        <v>3267</v>
      </c>
      <c r="AX196" s="4">
        <v>0</v>
      </c>
      <c r="AY196" s="1" t="s">
        <v>3150</v>
      </c>
      <c r="AZ196" s="1232" t="s">
        <v>3215</v>
      </c>
      <c r="BA196" s="135">
        <v>0</v>
      </c>
    </row>
    <row r="197" spans="19:53">
      <c r="S197" s="1" t="s">
        <v>3212</v>
      </c>
      <c r="T197" s="4">
        <v>156</v>
      </c>
      <c r="U197" s="53" t="s">
        <v>3204</v>
      </c>
      <c r="V197" s="4">
        <v>14</v>
      </c>
      <c r="W197" s="325" t="s">
        <v>3451</v>
      </c>
      <c r="X197" s="4">
        <v>11</v>
      </c>
      <c r="Y197" s="749" t="s">
        <v>3184</v>
      </c>
      <c r="Z197" s="3">
        <v>43</v>
      </c>
      <c r="AA197" s="749" t="s">
        <v>3464</v>
      </c>
      <c r="AB197" s="4">
        <v>0.4</v>
      </c>
      <c r="AC197" s="1" t="s">
        <v>422</v>
      </c>
      <c r="AD197" s="4">
        <v>0.24</v>
      </c>
      <c r="AE197" s="1" t="s">
        <v>3099</v>
      </c>
      <c r="AF197" s="73">
        <v>3.5000000000000003E-2</v>
      </c>
      <c r="AG197" s="1" t="s">
        <v>3102</v>
      </c>
      <c r="AH197" s="4">
        <v>1</v>
      </c>
      <c r="AI197" s="1" t="s">
        <v>415</v>
      </c>
      <c r="AJ197" s="3">
        <v>0.04</v>
      </c>
      <c r="AK197" s="1233" t="s">
        <v>3293</v>
      </c>
      <c r="AL197" s="49">
        <v>0.05</v>
      </c>
      <c r="AM197" s="1" t="s">
        <v>3092</v>
      </c>
      <c r="AN197" s="3">
        <v>0.41998707732069784</v>
      </c>
      <c r="AO197" s="1232" t="s">
        <v>3503</v>
      </c>
      <c r="AP197" s="3">
        <v>5.9544658493870396E-2</v>
      </c>
      <c r="AQ197" s="1233" t="s">
        <v>3157</v>
      </c>
      <c r="AR197" s="1234">
        <v>5</v>
      </c>
      <c r="AS197" s="325" t="s">
        <v>3296</v>
      </c>
      <c r="AT197" s="3">
        <v>0</v>
      </c>
      <c r="AU197" s="1" t="s">
        <v>3146</v>
      </c>
      <c r="AV197" s="3">
        <v>0</v>
      </c>
      <c r="AW197" s="1" t="s">
        <v>3268</v>
      </c>
      <c r="AX197" s="74">
        <v>0</v>
      </c>
      <c r="AY197" s="1" t="s">
        <v>3151</v>
      </c>
      <c r="AZ197" s="1233" t="s">
        <v>3221</v>
      </c>
      <c r="BA197" s="4">
        <v>0</v>
      </c>
    </row>
    <row r="198" spans="19:53">
      <c r="S198" s="1" t="s">
        <v>3452</v>
      </c>
      <c r="T198" s="4">
        <v>155</v>
      </c>
      <c r="U198" s="749" t="s">
        <v>3177</v>
      </c>
      <c r="V198" s="4">
        <v>13.9</v>
      </c>
      <c r="W198" s="1232" t="s">
        <v>3454</v>
      </c>
      <c r="X198" s="31">
        <v>11</v>
      </c>
      <c r="Y198" s="1" t="s">
        <v>3469</v>
      </c>
      <c r="Z198" s="3">
        <v>43</v>
      </c>
      <c r="AA198" s="749" t="s">
        <v>3183</v>
      </c>
      <c r="AB198" s="4">
        <v>0.4</v>
      </c>
      <c r="AC198" s="1" t="s">
        <v>3318</v>
      </c>
      <c r="AD198" s="4">
        <v>0.23</v>
      </c>
      <c r="AE198" s="1" t="s">
        <v>438</v>
      </c>
      <c r="AF198" s="236">
        <v>3.5000000000000003E-2</v>
      </c>
      <c r="AG198" s="1233" t="s">
        <v>3089</v>
      </c>
      <c r="AH198" s="34">
        <v>1</v>
      </c>
      <c r="AI198" s="1" t="s">
        <v>3118</v>
      </c>
      <c r="AJ198" s="3">
        <v>0.04</v>
      </c>
      <c r="AK198" s="1" t="s">
        <v>3270</v>
      </c>
      <c r="AL198" s="31">
        <v>4.9999999999999996E-2</v>
      </c>
      <c r="AM198" s="1" t="s">
        <v>3323</v>
      </c>
      <c r="AN198" s="4">
        <v>0.40300000000000002</v>
      </c>
      <c r="AO198" s="749" t="s">
        <v>3504</v>
      </c>
      <c r="AP198" s="3">
        <v>5.9544658493870396E-2</v>
      </c>
      <c r="AQ198" s="1" t="s">
        <v>3268</v>
      </c>
      <c r="AR198" s="4">
        <v>5</v>
      </c>
      <c r="AS198" s="1" t="s">
        <v>3514</v>
      </c>
      <c r="AT198" s="3">
        <v>0</v>
      </c>
      <c r="AU198" s="1" t="s">
        <v>3147</v>
      </c>
      <c r="AV198" s="43">
        <v>0</v>
      </c>
      <c r="AW198" s="1310" t="s">
        <v>3248</v>
      </c>
      <c r="AX198" s="4">
        <v>0</v>
      </c>
      <c r="AY198" s="1233" t="s">
        <v>3444</v>
      </c>
      <c r="AZ198" s="1" t="s">
        <v>3222</v>
      </c>
      <c r="BA198" s="34">
        <v>0</v>
      </c>
    </row>
    <row r="199" spans="19:53">
      <c r="S199" s="325" t="s">
        <v>3451</v>
      </c>
      <c r="T199" s="4">
        <v>155</v>
      </c>
      <c r="U199" s="749" t="s">
        <v>3288</v>
      </c>
      <c r="V199" s="49">
        <v>13</v>
      </c>
      <c r="W199" s="749" t="s">
        <v>3209</v>
      </c>
      <c r="X199" s="4">
        <v>11</v>
      </c>
      <c r="Y199" s="1233" t="s">
        <v>3293</v>
      </c>
      <c r="Z199" s="49">
        <v>41.900000000000006</v>
      </c>
      <c r="AA199" s="749" t="s">
        <v>3185</v>
      </c>
      <c r="AB199" s="3">
        <v>0.4</v>
      </c>
      <c r="AC199" s="749" t="s">
        <v>3184</v>
      </c>
      <c r="AD199" s="3">
        <v>0.22000000000000003</v>
      </c>
      <c r="AE199" s="325" t="s">
        <v>3216</v>
      </c>
      <c r="AF199" s="1234">
        <v>3.2000000000000001E-2</v>
      </c>
      <c r="AG199" s="749" t="s">
        <v>3130</v>
      </c>
      <c r="AH199" s="3">
        <v>1</v>
      </c>
      <c r="AI199" s="53" t="s">
        <v>3139</v>
      </c>
      <c r="AJ199" s="4">
        <v>0.04</v>
      </c>
      <c r="AK199" s="1" t="s">
        <v>3091</v>
      </c>
      <c r="AL199" s="3">
        <v>4.996769330174456E-2</v>
      </c>
      <c r="AM199" s="1" t="s">
        <v>1790</v>
      </c>
      <c r="AN199" s="4">
        <v>0.4</v>
      </c>
      <c r="AO199" s="1" t="s">
        <v>3254</v>
      </c>
      <c r="AP199" s="3">
        <v>5.9544658493870396E-2</v>
      </c>
      <c r="AQ199" s="1" t="s">
        <v>3270</v>
      </c>
      <c r="AR199" s="31">
        <v>5</v>
      </c>
      <c r="AS199" s="325" t="s">
        <v>3513</v>
      </c>
      <c r="AT199" s="43">
        <v>0</v>
      </c>
      <c r="AU199" s="1" t="s">
        <v>3175</v>
      </c>
      <c r="AV199" s="34">
        <v>0</v>
      </c>
      <c r="AW199" s="749" t="s">
        <v>3269</v>
      </c>
      <c r="AX199" s="4">
        <v>0</v>
      </c>
      <c r="AY199" s="1" t="s">
        <v>1872</v>
      </c>
      <c r="AZ199" s="1" t="s">
        <v>3223</v>
      </c>
      <c r="BA199" s="34">
        <v>0</v>
      </c>
    </row>
    <row r="200" spans="19:53">
      <c r="S200" s="1" t="s">
        <v>3440</v>
      </c>
      <c r="T200" s="42">
        <v>154</v>
      </c>
      <c r="U200" s="1" t="s">
        <v>3282</v>
      </c>
      <c r="V200" s="49">
        <v>13</v>
      </c>
      <c r="W200" s="1" t="s">
        <v>91</v>
      </c>
      <c r="X200" s="49">
        <v>11</v>
      </c>
      <c r="Y200" s="1" t="s">
        <v>439</v>
      </c>
      <c r="Z200" s="49">
        <v>41</v>
      </c>
      <c r="AA200" s="749" t="s">
        <v>3288</v>
      </c>
      <c r="AB200" s="49">
        <v>0.4</v>
      </c>
      <c r="AC200" s="1" t="s">
        <v>3469</v>
      </c>
      <c r="AD200" s="3">
        <v>0.22000000000000003</v>
      </c>
      <c r="AE200" s="749" t="s">
        <v>3172</v>
      </c>
      <c r="AF200" s="239">
        <v>3.2000000000000001E-2</v>
      </c>
      <c r="AG200" s="1" t="s">
        <v>3435</v>
      </c>
      <c r="AH200" s="3">
        <v>1</v>
      </c>
      <c r="AI200" s="1" t="s">
        <v>1777</v>
      </c>
      <c r="AJ200" s="4">
        <v>0.04</v>
      </c>
      <c r="AK200" s="1" t="s">
        <v>3092</v>
      </c>
      <c r="AL200" s="3">
        <v>4.996769330174456E-2</v>
      </c>
      <c r="AM200" s="1" t="s">
        <v>3319</v>
      </c>
      <c r="AN200" s="4">
        <v>0.4</v>
      </c>
      <c r="AO200" s="1" t="s">
        <v>3277</v>
      </c>
      <c r="AP200" s="3">
        <v>5.9544658493870396E-2</v>
      </c>
      <c r="AQ200" s="1232" t="s">
        <v>1963</v>
      </c>
      <c r="AR200" s="1144">
        <v>5</v>
      </c>
      <c r="AS200" s="325" t="s">
        <v>3303</v>
      </c>
      <c r="AT200" s="1234">
        <v>0</v>
      </c>
      <c r="AU200" s="1" t="s">
        <v>3167</v>
      </c>
      <c r="AV200" s="34">
        <v>0</v>
      </c>
      <c r="AW200" s="325" t="s">
        <v>3249</v>
      </c>
      <c r="AX200" s="239">
        <v>0</v>
      </c>
      <c r="AY200" s="1" t="s">
        <v>1873</v>
      </c>
      <c r="AZ200" s="325" t="s">
        <v>3216</v>
      </c>
      <c r="BA200" s="34">
        <v>0</v>
      </c>
    </row>
    <row r="201" spans="19:53">
      <c r="S201" s="1" t="s">
        <v>3445</v>
      </c>
      <c r="T201" s="3">
        <v>154</v>
      </c>
      <c r="U201" s="53" t="s">
        <v>3292</v>
      </c>
      <c r="V201" s="233">
        <v>13</v>
      </c>
      <c r="W201" s="82" t="s">
        <v>3361</v>
      </c>
      <c r="X201" s="4">
        <v>11</v>
      </c>
      <c r="Y201" s="1" t="s">
        <v>3102</v>
      </c>
      <c r="Z201" s="3">
        <v>40</v>
      </c>
      <c r="AA201" s="1" t="s">
        <v>3282</v>
      </c>
      <c r="AB201" s="49">
        <v>0.4</v>
      </c>
      <c r="AC201" s="325" t="s">
        <v>3132</v>
      </c>
      <c r="AD201" s="4">
        <v>0.22</v>
      </c>
      <c r="AE201" s="1" t="s">
        <v>3466</v>
      </c>
      <c r="AF201" s="234">
        <v>3.2000000000000001E-2</v>
      </c>
      <c r="AG201" s="1233" t="s">
        <v>3124</v>
      </c>
      <c r="AH201" s="3">
        <v>1</v>
      </c>
      <c r="AI201" s="1" t="s">
        <v>1778</v>
      </c>
      <c r="AJ201" s="4">
        <v>0.04</v>
      </c>
      <c r="AK201" s="1" t="s">
        <v>1776</v>
      </c>
      <c r="AL201" s="4">
        <v>4.7E-2</v>
      </c>
      <c r="AM201" s="1" t="s">
        <v>3423</v>
      </c>
      <c r="AN201" s="3">
        <v>0.4</v>
      </c>
      <c r="AO201" s="1" t="s">
        <v>3258</v>
      </c>
      <c r="AP201" s="3">
        <v>5.9544658493870396E-2</v>
      </c>
      <c r="AQ201" s="1" t="s">
        <v>3318</v>
      </c>
      <c r="AR201" s="4">
        <v>4.7</v>
      </c>
      <c r="AS201" s="1233" t="s">
        <v>3304</v>
      </c>
      <c r="AT201" s="1144">
        <v>0</v>
      </c>
      <c r="AU201" s="749" t="s">
        <v>3177</v>
      </c>
      <c r="AV201" s="34">
        <v>0</v>
      </c>
      <c r="AW201" s="82" t="s">
        <v>3251</v>
      </c>
      <c r="AX201" s="4">
        <v>0</v>
      </c>
      <c r="AY201" s="1" t="s">
        <v>1839</v>
      </c>
      <c r="AZ201" s="82" t="s">
        <v>3224</v>
      </c>
      <c r="BA201" s="34">
        <v>0</v>
      </c>
    </row>
    <row r="202" spans="19:53">
      <c r="S202" s="1" t="s">
        <v>3446</v>
      </c>
      <c r="T202" s="3">
        <v>154</v>
      </c>
      <c r="U202" s="1" t="s">
        <v>1801</v>
      </c>
      <c r="V202" s="4">
        <v>12.5</v>
      </c>
      <c r="W202" s="1" t="s">
        <v>3423</v>
      </c>
      <c r="X202" s="3">
        <v>11</v>
      </c>
      <c r="Y202" s="1232" t="s">
        <v>3105</v>
      </c>
      <c r="Z202" s="42">
        <v>40</v>
      </c>
      <c r="AA202" s="53" t="s">
        <v>3292</v>
      </c>
      <c r="AB202" s="233">
        <v>0.4</v>
      </c>
      <c r="AC202" s="1" t="s">
        <v>421</v>
      </c>
      <c r="AD202" s="4">
        <v>0.22</v>
      </c>
      <c r="AE202" s="1232" t="s">
        <v>3145</v>
      </c>
      <c r="AF202" s="236">
        <v>0.03</v>
      </c>
      <c r="AG202" s="1" t="s">
        <v>3125</v>
      </c>
      <c r="AH202" s="3">
        <v>1</v>
      </c>
      <c r="AI202" s="1232" t="s">
        <v>3454</v>
      </c>
      <c r="AJ202" s="31">
        <v>0.04</v>
      </c>
      <c r="AK202" s="1" t="s">
        <v>3261</v>
      </c>
      <c r="AL202" s="49">
        <v>4.4999999999999998E-2</v>
      </c>
      <c r="AM202" s="749" t="s">
        <v>3291</v>
      </c>
      <c r="AN202" s="4">
        <v>0.39900000000000002</v>
      </c>
      <c r="AO202" s="1233" t="s">
        <v>3365</v>
      </c>
      <c r="AP202" s="37">
        <v>5.6000000000000001E-2</v>
      </c>
      <c r="AQ202" s="1233" t="s">
        <v>3304</v>
      </c>
      <c r="AR202" s="1234">
        <v>4.25</v>
      </c>
      <c r="AS202" s="749" t="s">
        <v>3306</v>
      </c>
      <c r="AT202" s="37">
        <v>0</v>
      </c>
      <c r="AU202" s="1" t="s">
        <v>1827</v>
      </c>
      <c r="AV202" s="34">
        <v>0</v>
      </c>
      <c r="AW202" s="1233" t="s">
        <v>3252</v>
      </c>
      <c r="AX202" s="239">
        <v>0</v>
      </c>
      <c r="AY202" s="749" t="s">
        <v>3184</v>
      </c>
      <c r="AZ202" s="325" t="s">
        <v>3460</v>
      </c>
      <c r="BA202" s="4">
        <v>0</v>
      </c>
    </row>
    <row r="203" spans="19:53">
      <c r="S203" s="749" t="s">
        <v>3209</v>
      </c>
      <c r="T203" s="4">
        <v>152</v>
      </c>
      <c r="U203" s="1" t="s">
        <v>1777</v>
      </c>
      <c r="V203" s="4">
        <v>12.3</v>
      </c>
      <c r="W203" s="1" t="s">
        <v>1811</v>
      </c>
      <c r="X203" s="4">
        <v>10.6</v>
      </c>
      <c r="Y203" s="1" t="s">
        <v>415</v>
      </c>
      <c r="Z203" s="3">
        <v>40</v>
      </c>
      <c r="AA203" s="1" t="s">
        <v>480</v>
      </c>
      <c r="AB203" s="4">
        <v>0.38</v>
      </c>
      <c r="AC203" s="1" t="s">
        <v>503</v>
      </c>
      <c r="AD203" s="4">
        <v>0.22</v>
      </c>
      <c r="AE203" s="1" t="s">
        <v>3225</v>
      </c>
      <c r="AF203" s="67">
        <v>0.03</v>
      </c>
      <c r="AG203" s="1" t="s">
        <v>3433</v>
      </c>
      <c r="AH203" s="3">
        <v>1</v>
      </c>
      <c r="AI203" s="325" t="s">
        <v>3453</v>
      </c>
      <c r="AJ203" s="49">
        <v>0.04</v>
      </c>
      <c r="AK203" s="1" t="s">
        <v>3499</v>
      </c>
      <c r="AL203" s="49">
        <v>4.4999999999999998E-2</v>
      </c>
      <c r="AM203" s="1" t="s">
        <v>1811</v>
      </c>
      <c r="AN203" s="4">
        <v>0.36499999999999999</v>
      </c>
      <c r="AO203" s="1" t="s">
        <v>1790</v>
      </c>
      <c r="AP203" s="4">
        <v>5.0999999999999997E-2</v>
      </c>
      <c r="AQ203" s="1" t="s">
        <v>1785</v>
      </c>
      <c r="AR203" s="4">
        <v>4</v>
      </c>
      <c r="AS203" s="325" t="s">
        <v>3298</v>
      </c>
      <c r="AT203" s="37">
        <v>0</v>
      </c>
      <c r="AU203" s="1" t="s">
        <v>3176</v>
      </c>
      <c r="AV203" s="34">
        <v>0</v>
      </c>
      <c r="AW203" s="1" t="s">
        <v>3494</v>
      </c>
      <c r="AX203" s="68">
        <v>0</v>
      </c>
      <c r="AY203" s="749" t="s">
        <v>3185</v>
      </c>
      <c r="AZ203" s="1" t="s">
        <v>3225</v>
      </c>
      <c r="BA203" s="34">
        <v>0</v>
      </c>
    </row>
    <row r="204" spans="19:53">
      <c r="S204" s="1" t="s">
        <v>1803</v>
      </c>
      <c r="T204" s="4">
        <v>150</v>
      </c>
      <c r="U204" s="1232" t="s">
        <v>3145</v>
      </c>
      <c r="V204" s="42">
        <v>12</v>
      </c>
      <c r="W204" s="1" t="s">
        <v>475</v>
      </c>
      <c r="X204" s="34">
        <v>10.6</v>
      </c>
      <c r="Y204" s="1" t="s">
        <v>3118</v>
      </c>
      <c r="Z204" s="3">
        <v>40</v>
      </c>
      <c r="AA204" s="325" t="s">
        <v>3460</v>
      </c>
      <c r="AB204" s="34">
        <v>0.37</v>
      </c>
      <c r="AC204" s="1233" t="s">
        <v>3115</v>
      </c>
      <c r="AD204" s="3">
        <v>0.21999999999999997</v>
      </c>
      <c r="AE204" s="749" t="s">
        <v>3184</v>
      </c>
      <c r="AF204" s="239">
        <v>0.03</v>
      </c>
      <c r="AG204" s="1" t="s">
        <v>3315</v>
      </c>
      <c r="AH204" s="4">
        <v>1</v>
      </c>
      <c r="AI204" s="1" t="s">
        <v>3225</v>
      </c>
      <c r="AJ204" s="4">
        <v>0.04</v>
      </c>
      <c r="AK204" s="1232" t="s">
        <v>1963</v>
      </c>
      <c r="AL204" s="1144">
        <v>4.2999999999999997E-2</v>
      </c>
      <c r="AM204" s="1" t="s">
        <v>475</v>
      </c>
      <c r="AN204" s="34">
        <v>0.36</v>
      </c>
      <c r="AO204" s="1" t="s">
        <v>3319</v>
      </c>
      <c r="AP204" s="4">
        <v>5.0999999999999997E-2</v>
      </c>
      <c r="AQ204" s="1" t="s">
        <v>3314</v>
      </c>
      <c r="AR204" s="4">
        <v>4</v>
      </c>
      <c r="AS204" s="1233" t="s">
        <v>3307</v>
      </c>
      <c r="AT204" s="3">
        <v>0</v>
      </c>
      <c r="AU204" s="749" t="s">
        <v>3178</v>
      </c>
      <c r="AV204" s="34">
        <v>0</v>
      </c>
      <c r="AW204" s="1" t="s">
        <v>3271</v>
      </c>
      <c r="AX204" s="234">
        <v>0</v>
      </c>
      <c r="AY204" s="749" t="s">
        <v>3186</v>
      </c>
      <c r="AZ204" s="1" t="s">
        <v>3217</v>
      </c>
      <c r="BA204" s="34">
        <v>0</v>
      </c>
    </row>
    <row r="205" spans="19:53">
      <c r="S205" s="1" t="s">
        <v>3455</v>
      </c>
      <c r="T205" s="42">
        <v>150</v>
      </c>
      <c r="U205" s="1" t="s">
        <v>1778</v>
      </c>
      <c r="V205" s="4">
        <v>12</v>
      </c>
      <c r="W205" s="82" t="s">
        <v>20</v>
      </c>
      <c r="X205" s="4">
        <v>10.5</v>
      </c>
      <c r="Y205" s="1" t="s">
        <v>3119</v>
      </c>
      <c r="Z205" s="4">
        <v>39</v>
      </c>
      <c r="AA205" s="1" t="s">
        <v>1785</v>
      </c>
      <c r="AB205" s="4">
        <v>0.36</v>
      </c>
      <c r="AC205" s="1" t="s">
        <v>3114</v>
      </c>
      <c r="AD205" s="3">
        <v>0.21999999999999997</v>
      </c>
      <c r="AE205" s="1" t="s">
        <v>3469</v>
      </c>
      <c r="AF205" s="239">
        <v>0.03</v>
      </c>
      <c r="AG205" s="1" t="s">
        <v>468</v>
      </c>
      <c r="AH205" s="4">
        <v>1</v>
      </c>
      <c r="AI205" s="1" t="s">
        <v>3158</v>
      </c>
      <c r="AJ205" s="4">
        <v>0.04</v>
      </c>
      <c r="AK205" s="1" t="s">
        <v>3323</v>
      </c>
      <c r="AL205" s="4">
        <v>4.2000000000000003E-2</v>
      </c>
      <c r="AM205" s="1" t="s">
        <v>3117</v>
      </c>
      <c r="AN205" s="34">
        <v>0.35</v>
      </c>
      <c r="AO205" s="1" t="s">
        <v>3494</v>
      </c>
      <c r="AP205" s="42">
        <v>5.0154798761609908E-2</v>
      </c>
      <c r="AQ205" s="1" t="s">
        <v>1837</v>
      </c>
      <c r="AR205" s="34">
        <v>4</v>
      </c>
      <c r="AS205" s="1233" t="s">
        <v>3299</v>
      </c>
      <c r="AT205" s="4">
        <v>0</v>
      </c>
      <c r="AU205" s="749" t="s">
        <v>3179</v>
      </c>
      <c r="AV205" s="34">
        <v>0</v>
      </c>
      <c r="AW205" s="1" t="s">
        <v>3497</v>
      </c>
      <c r="AX205" s="239">
        <v>0</v>
      </c>
      <c r="AY205" s="1" t="s">
        <v>3469</v>
      </c>
      <c r="AZ205" s="1" t="s">
        <v>3227</v>
      </c>
      <c r="BA205" s="34">
        <v>0</v>
      </c>
    </row>
    <row r="206" spans="19:53">
      <c r="S206" s="749" t="s">
        <v>3230</v>
      </c>
      <c r="T206" s="34">
        <v>150</v>
      </c>
      <c r="U206" s="1232" t="s">
        <v>3443</v>
      </c>
      <c r="V206" s="37">
        <v>12</v>
      </c>
      <c r="W206" s="1" t="s">
        <v>20</v>
      </c>
      <c r="X206" s="4">
        <v>10.5</v>
      </c>
      <c r="Y206" s="325" t="s">
        <v>3120</v>
      </c>
      <c r="Z206" s="4">
        <v>39</v>
      </c>
      <c r="AA206" s="1" t="s">
        <v>3323</v>
      </c>
      <c r="AB206" s="4">
        <v>0.35</v>
      </c>
      <c r="AC206" s="1" t="s">
        <v>3117</v>
      </c>
      <c r="AD206" s="34">
        <v>0.2</v>
      </c>
      <c r="AE206" s="1233" t="s">
        <v>495</v>
      </c>
      <c r="AF206" s="63">
        <v>0.03</v>
      </c>
      <c r="AG206" s="1" t="s">
        <v>3316</v>
      </c>
      <c r="AH206" s="34">
        <v>1</v>
      </c>
      <c r="AI206" s="325" t="s">
        <v>3280</v>
      </c>
      <c r="AJ206" s="1144">
        <v>0.04</v>
      </c>
      <c r="AK206" s="1" t="s">
        <v>1764</v>
      </c>
      <c r="AL206" s="4">
        <v>0.04</v>
      </c>
      <c r="AM206" s="1233" t="s">
        <v>3308</v>
      </c>
      <c r="AN206" s="3">
        <v>0.3</v>
      </c>
      <c r="AO206" s="1" t="s">
        <v>3117</v>
      </c>
      <c r="AP206" s="34">
        <v>0.05</v>
      </c>
      <c r="AQ206" s="1233" t="s">
        <v>414</v>
      </c>
      <c r="AR206" s="1234">
        <v>3</v>
      </c>
      <c r="AS206" s="1" t="s">
        <v>3249</v>
      </c>
      <c r="AT206" s="37">
        <v>0</v>
      </c>
      <c r="AU206" s="1" t="s">
        <v>1831</v>
      </c>
      <c r="AV206" s="34">
        <v>0</v>
      </c>
      <c r="AW206" s="325" t="s">
        <v>3280</v>
      </c>
      <c r="AX206" s="1350">
        <v>0</v>
      </c>
      <c r="AY206" s="1" t="s">
        <v>3187</v>
      </c>
      <c r="AZ206" s="1" t="s">
        <v>3228</v>
      </c>
      <c r="BA206" s="34">
        <v>0</v>
      </c>
    </row>
    <row r="207" spans="19:53">
      <c r="S207" s="1233" t="s">
        <v>3252</v>
      </c>
      <c r="T207" s="3">
        <v>150</v>
      </c>
      <c r="U207" s="1" t="s">
        <v>3153</v>
      </c>
      <c r="V207" s="42">
        <v>12</v>
      </c>
      <c r="W207" s="1233" t="s">
        <v>3100</v>
      </c>
      <c r="X207" s="3">
        <v>10</v>
      </c>
      <c r="Y207" s="1310" t="s">
        <v>3096</v>
      </c>
      <c r="Z207" s="4">
        <v>38</v>
      </c>
      <c r="AA207" s="1" t="s">
        <v>3219</v>
      </c>
      <c r="AB207" s="3">
        <v>0.34219734079776065</v>
      </c>
      <c r="AC207" s="1" t="s">
        <v>439</v>
      </c>
      <c r="AD207" s="49">
        <v>0.2</v>
      </c>
      <c r="AE207" s="749" t="s">
        <v>3229</v>
      </c>
      <c r="AF207" s="4">
        <v>2.9000000000000001E-2</v>
      </c>
      <c r="AG207" s="749" t="s">
        <v>3322</v>
      </c>
      <c r="AH207" s="4">
        <v>1</v>
      </c>
      <c r="AI207" s="1232" t="s">
        <v>1963</v>
      </c>
      <c r="AJ207" s="1144">
        <v>0.04</v>
      </c>
      <c r="AK207" s="1" t="s">
        <v>3087</v>
      </c>
      <c r="AL207" s="4">
        <v>0.04</v>
      </c>
      <c r="AM207" s="1" t="s">
        <v>3309</v>
      </c>
      <c r="AN207" s="3">
        <v>0.3</v>
      </c>
      <c r="AO207" s="1" t="s">
        <v>3440</v>
      </c>
      <c r="AP207" s="42">
        <v>0.05</v>
      </c>
      <c r="AQ207" s="1" t="s">
        <v>1776</v>
      </c>
      <c r="AR207" s="4">
        <v>3</v>
      </c>
      <c r="AS207" s="1233" t="s">
        <v>495</v>
      </c>
      <c r="AT207" s="3">
        <v>0</v>
      </c>
      <c r="AU207" s="749" t="s">
        <v>3180</v>
      </c>
      <c r="AV207" s="34">
        <v>0</v>
      </c>
      <c r="AW207" s="749" t="s">
        <v>3289</v>
      </c>
      <c r="AX207" s="4">
        <v>0</v>
      </c>
      <c r="AY207" s="749" t="s">
        <v>3188</v>
      </c>
      <c r="AZ207" s="749" t="s">
        <v>3229</v>
      </c>
      <c r="BA207" s="34">
        <v>0</v>
      </c>
    </row>
    <row r="208" spans="19:53">
      <c r="S208" s="1" t="s">
        <v>1778</v>
      </c>
      <c r="T208" s="4">
        <v>148</v>
      </c>
      <c r="U208" s="1" t="s">
        <v>3154</v>
      </c>
      <c r="V208" s="42">
        <v>12</v>
      </c>
      <c r="W208" s="1" t="s">
        <v>3101</v>
      </c>
      <c r="X208" s="3">
        <v>10</v>
      </c>
      <c r="Y208" s="1264" t="s">
        <v>3097</v>
      </c>
      <c r="Z208" s="4">
        <v>38</v>
      </c>
      <c r="AA208" s="1" t="s">
        <v>1777</v>
      </c>
      <c r="AB208" s="4">
        <v>0.34</v>
      </c>
      <c r="AC208" s="1232" t="s">
        <v>3105</v>
      </c>
      <c r="AD208" s="42">
        <v>0.2</v>
      </c>
      <c r="AE208" s="1" t="s">
        <v>3339</v>
      </c>
      <c r="AF208" s="239">
        <v>2.8673999999999995E-2</v>
      </c>
      <c r="AG208" s="1" t="s">
        <v>3368</v>
      </c>
      <c r="AH208" s="233">
        <v>1</v>
      </c>
      <c r="AI208" s="1" t="s">
        <v>3497</v>
      </c>
      <c r="AJ208" s="42">
        <v>3.9979550102249489E-2</v>
      </c>
      <c r="AK208" s="1233" t="s">
        <v>3115</v>
      </c>
      <c r="AL208" s="3">
        <v>0.04</v>
      </c>
      <c r="AM208" s="1" t="s">
        <v>3310</v>
      </c>
      <c r="AN208" s="3">
        <v>0.3</v>
      </c>
      <c r="AO208" s="53" t="s">
        <v>3324</v>
      </c>
      <c r="AP208" s="37">
        <v>0.05</v>
      </c>
      <c r="AQ208" s="1" t="s">
        <v>1801</v>
      </c>
      <c r="AR208" s="4">
        <v>3</v>
      </c>
      <c r="AS208" s="1" t="s">
        <v>3423</v>
      </c>
      <c r="AT208" s="3">
        <v>0</v>
      </c>
      <c r="AU208" s="749" t="s">
        <v>3181</v>
      </c>
      <c r="AV208" s="34">
        <v>0</v>
      </c>
      <c r="AW208" s="1154" t="s">
        <v>3290</v>
      </c>
      <c r="AX208" s="4">
        <v>0</v>
      </c>
      <c r="AY208" s="749" t="s">
        <v>3189</v>
      </c>
      <c r="AZ208" s="1" t="s">
        <v>3226</v>
      </c>
      <c r="BA208" s="34">
        <v>0</v>
      </c>
    </row>
    <row r="209" spans="19:53">
      <c r="S209" s="1" t="s">
        <v>3220</v>
      </c>
      <c r="T209" s="31">
        <v>148</v>
      </c>
      <c r="U209" s="1" t="s">
        <v>3156</v>
      </c>
      <c r="V209" s="42">
        <v>12</v>
      </c>
      <c r="W209" s="1" t="s">
        <v>3090</v>
      </c>
      <c r="X209" s="3">
        <v>10</v>
      </c>
      <c r="Y209" s="1" t="s">
        <v>1786</v>
      </c>
      <c r="Z209" s="4">
        <v>38</v>
      </c>
      <c r="AA209" s="1" t="s">
        <v>460</v>
      </c>
      <c r="AB209" s="4">
        <v>0.34</v>
      </c>
      <c r="AC209" s="1" t="s">
        <v>3106</v>
      </c>
      <c r="AD209" s="42">
        <v>0.2</v>
      </c>
      <c r="AE209" s="1232" t="s">
        <v>3443</v>
      </c>
      <c r="AF209" s="239">
        <v>2.5600000000000001E-2</v>
      </c>
      <c r="AG209" s="1232" t="s">
        <v>469</v>
      </c>
      <c r="AH209" s="4">
        <v>0.9</v>
      </c>
      <c r="AI209" s="1233" t="s">
        <v>3221</v>
      </c>
      <c r="AJ209" s="3">
        <v>3.988803358992303E-2</v>
      </c>
      <c r="AK209" s="1" t="s">
        <v>3114</v>
      </c>
      <c r="AL209" s="3">
        <v>0.04</v>
      </c>
      <c r="AM209" s="1" t="s">
        <v>3311</v>
      </c>
      <c r="AN209" s="3">
        <v>0.3</v>
      </c>
      <c r="AO209" s="1" t="s">
        <v>3212</v>
      </c>
      <c r="AP209" s="4">
        <v>0.05</v>
      </c>
      <c r="AQ209" s="1" t="s">
        <v>467</v>
      </c>
      <c r="AR209" s="4">
        <v>3</v>
      </c>
      <c r="AS209" s="53" t="s">
        <v>3421</v>
      </c>
      <c r="AT209" s="1">
        <v>0</v>
      </c>
      <c r="AU209" s="749" t="s">
        <v>3182</v>
      </c>
      <c r="AV209" s="34">
        <v>0</v>
      </c>
      <c r="AW209" s="749" t="s">
        <v>3291</v>
      </c>
      <c r="AX209" s="4">
        <v>0</v>
      </c>
      <c r="AY209" s="1" t="s">
        <v>3170</v>
      </c>
      <c r="AZ209" s="749" t="s">
        <v>3230</v>
      </c>
      <c r="BA209" s="34">
        <v>0</v>
      </c>
    </row>
    <row r="210" spans="19:53">
      <c r="S210" s="82" t="s">
        <v>3361</v>
      </c>
      <c r="T210" s="4">
        <v>147</v>
      </c>
      <c r="U210" s="1" t="s">
        <v>1822</v>
      </c>
      <c r="V210" s="4">
        <v>11.9</v>
      </c>
      <c r="W210" s="1" t="s">
        <v>1766</v>
      </c>
      <c r="X210" s="34">
        <v>10</v>
      </c>
      <c r="Y210" s="1" t="s">
        <v>3437</v>
      </c>
      <c r="Z210" s="4">
        <v>37</v>
      </c>
      <c r="AA210" s="1" t="s">
        <v>468</v>
      </c>
      <c r="AB210" s="4">
        <v>0.34</v>
      </c>
      <c r="AC210" s="325" t="s">
        <v>3131</v>
      </c>
      <c r="AD210" s="34">
        <v>0.2</v>
      </c>
      <c r="AE210" s="1" t="s">
        <v>415</v>
      </c>
      <c r="AF210" s="234">
        <v>2.416666666666667E-2</v>
      </c>
      <c r="AG210" s="82" t="s">
        <v>20</v>
      </c>
      <c r="AH210" s="4">
        <v>0.8</v>
      </c>
      <c r="AI210" s="1" t="s">
        <v>3445</v>
      </c>
      <c r="AJ210" s="3">
        <v>3.9800000000000002E-2</v>
      </c>
      <c r="AK210" s="1" t="s">
        <v>3117</v>
      </c>
      <c r="AL210" s="4">
        <v>0.04</v>
      </c>
      <c r="AM210" s="1" t="s">
        <v>3312</v>
      </c>
      <c r="AN210" s="3">
        <v>0.3</v>
      </c>
      <c r="AO210" s="1" t="s">
        <v>3457</v>
      </c>
      <c r="AP210" s="4">
        <v>0.05</v>
      </c>
      <c r="AQ210" s="1" t="s">
        <v>1811</v>
      </c>
      <c r="AR210" s="4">
        <v>3</v>
      </c>
      <c r="AS210" s="1" t="s">
        <v>3119</v>
      </c>
      <c r="AT210" s="151">
        <v>-4.0000000000000002E-4</v>
      </c>
      <c r="AU210" s="749" t="s">
        <v>3162</v>
      </c>
      <c r="AV210" s="4">
        <v>0</v>
      </c>
      <c r="AW210" s="1233" t="s">
        <v>3293</v>
      </c>
      <c r="AX210" s="1234">
        <v>0</v>
      </c>
      <c r="AY210" s="749" t="s">
        <v>3190</v>
      </c>
      <c r="AZ210" s="1" t="s">
        <v>3232</v>
      </c>
      <c r="BA210" s="4">
        <v>0</v>
      </c>
    </row>
    <row r="211" spans="19:53">
      <c r="S211" s="1233" t="s">
        <v>3100</v>
      </c>
      <c r="T211" s="3">
        <v>146</v>
      </c>
      <c r="U211" s="1" t="s">
        <v>3494</v>
      </c>
      <c r="V211" s="42">
        <v>11.100000000000001</v>
      </c>
      <c r="W211" s="1" t="s">
        <v>3093</v>
      </c>
      <c r="X211" s="34">
        <v>10</v>
      </c>
      <c r="Y211" s="1" t="s">
        <v>3494</v>
      </c>
      <c r="Z211" s="42">
        <v>35</v>
      </c>
      <c r="AA211" s="749" t="s">
        <v>3207</v>
      </c>
      <c r="AB211" s="42">
        <v>0.32</v>
      </c>
      <c r="AC211" s="1" t="s">
        <v>3133</v>
      </c>
      <c r="AD211" s="4">
        <v>0.2</v>
      </c>
      <c r="AE211" s="1" t="s">
        <v>3118</v>
      </c>
      <c r="AF211" s="234">
        <v>2.416666666666667E-2</v>
      </c>
      <c r="AG211" s="1" t="s">
        <v>20</v>
      </c>
      <c r="AH211" s="4">
        <v>0.8</v>
      </c>
      <c r="AI211" s="1" t="s">
        <v>3446</v>
      </c>
      <c r="AJ211" s="3">
        <v>3.9800000000000002E-2</v>
      </c>
      <c r="AK211" s="1" t="s">
        <v>1790</v>
      </c>
      <c r="AL211" s="4">
        <v>0.04</v>
      </c>
      <c r="AM211" s="1" t="s">
        <v>3440</v>
      </c>
      <c r="AN211" s="42">
        <v>0.3</v>
      </c>
      <c r="AO211" s="1" t="s">
        <v>3327</v>
      </c>
      <c r="AP211" s="42">
        <v>0.05</v>
      </c>
      <c r="AQ211" s="749" t="s">
        <v>3230</v>
      </c>
      <c r="AR211" s="34">
        <v>3</v>
      </c>
      <c r="AS211" s="325" t="s">
        <v>3120</v>
      </c>
      <c r="AT211" s="1234">
        <v>-4.0000000000000002E-4</v>
      </c>
      <c r="AU211" s="1232" t="s">
        <v>3443</v>
      </c>
      <c r="AV211" s="37">
        <v>0</v>
      </c>
      <c r="AW211" s="1233" t="s">
        <v>3283</v>
      </c>
      <c r="AX211" s="37">
        <v>0</v>
      </c>
      <c r="AY211" s="749" t="s">
        <v>3191</v>
      </c>
      <c r="AZ211" s="749" t="s">
        <v>3231</v>
      </c>
      <c r="BA211" s="34">
        <v>0</v>
      </c>
    </row>
    <row r="212" spans="19:53">
      <c r="S212" s="1" t="s">
        <v>3101</v>
      </c>
      <c r="T212" s="3">
        <v>146</v>
      </c>
      <c r="U212" s="1" t="s">
        <v>3151</v>
      </c>
      <c r="V212" s="37">
        <v>11</v>
      </c>
      <c r="W212" s="1" t="s">
        <v>3094</v>
      </c>
      <c r="X212" s="34">
        <v>10</v>
      </c>
      <c r="Y212" s="325" t="s">
        <v>3280</v>
      </c>
      <c r="Z212" s="1144">
        <v>34.4</v>
      </c>
      <c r="AA212" s="749" t="s">
        <v>3130</v>
      </c>
      <c r="AB212" s="3">
        <v>0.31000046665733355</v>
      </c>
      <c r="AC212" s="53" t="s">
        <v>3139</v>
      </c>
      <c r="AD212" s="4">
        <v>0.2</v>
      </c>
      <c r="AE212" s="1232" t="s">
        <v>3454</v>
      </c>
      <c r="AF212" s="238">
        <v>2.3333333333333334E-2</v>
      </c>
      <c r="AG212" s="1" t="s">
        <v>3271</v>
      </c>
      <c r="AH212" s="234">
        <v>0.70028011204481799</v>
      </c>
      <c r="AI212" s="1" t="s">
        <v>3323</v>
      </c>
      <c r="AJ212" s="4">
        <v>3.9E-2</v>
      </c>
      <c r="AK212" s="1" t="s">
        <v>3319</v>
      </c>
      <c r="AL212" s="4">
        <v>0.04</v>
      </c>
      <c r="AM212" s="749" t="s">
        <v>3263</v>
      </c>
      <c r="AN212" s="31">
        <v>0.3</v>
      </c>
      <c r="AO212" s="1" t="s">
        <v>3439</v>
      </c>
      <c r="AP212" s="42">
        <v>4.9999999999999996E-2</v>
      </c>
      <c r="AQ212" s="1" t="s">
        <v>475</v>
      </c>
      <c r="AR212" s="34">
        <v>3</v>
      </c>
      <c r="AS212" s="1233" t="s">
        <v>3121</v>
      </c>
      <c r="AT212" s="1234">
        <v>-4.0000000000000002E-4</v>
      </c>
      <c r="AU212" s="1" t="s">
        <v>91</v>
      </c>
      <c r="AV212" s="49">
        <v>0</v>
      </c>
      <c r="AW212" s="1233" t="s">
        <v>498</v>
      </c>
      <c r="AX212" s="37">
        <v>0</v>
      </c>
      <c r="AY212" s="749" t="s">
        <v>3192</v>
      </c>
      <c r="AZ212" s="1" t="s">
        <v>3233</v>
      </c>
      <c r="BA212" s="34">
        <v>0</v>
      </c>
    </row>
    <row r="213" spans="19:53">
      <c r="S213" s="1" t="s">
        <v>3439</v>
      </c>
      <c r="T213" s="42">
        <v>144</v>
      </c>
      <c r="U213" s="1" t="s">
        <v>3423</v>
      </c>
      <c r="V213" s="3">
        <v>11</v>
      </c>
      <c r="W213" s="1" t="s">
        <v>3136</v>
      </c>
      <c r="X213" s="4">
        <v>10</v>
      </c>
      <c r="Y213" s="1" t="s">
        <v>3117</v>
      </c>
      <c r="Z213" s="34">
        <v>33</v>
      </c>
      <c r="AA213" s="1" t="s">
        <v>3435</v>
      </c>
      <c r="AB213" s="3">
        <v>0.31000046665733355</v>
      </c>
      <c r="AC213" s="1" t="s">
        <v>468</v>
      </c>
      <c r="AD213" s="4">
        <v>0.2</v>
      </c>
      <c r="AE213" s="1" t="s">
        <v>3471</v>
      </c>
      <c r="AF213" s="34">
        <v>2.1000000000000001E-2</v>
      </c>
      <c r="AG213" s="749" t="s">
        <v>3193</v>
      </c>
      <c r="AH213" s="37">
        <v>0.5</v>
      </c>
      <c r="AI213" s="1" t="s">
        <v>3214</v>
      </c>
      <c r="AJ213" s="34">
        <v>3.9E-2</v>
      </c>
      <c r="AK213" s="1233" t="s">
        <v>3252</v>
      </c>
      <c r="AL213" s="3">
        <v>0.04</v>
      </c>
      <c r="AM213" s="1" t="s">
        <v>1778</v>
      </c>
      <c r="AN213" s="4">
        <v>0.27</v>
      </c>
      <c r="AO213" s="1" t="s">
        <v>3220</v>
      </c>
      <c r="AP213" s="31">
        <v>4.7199999999999999E-2</v>
      </c>
      <c r="AQ213" s="1" t="s">
        <v>91</v>
      </c>
      <c r="AR213" s="49">
        <v>3</v>
      </c>
      <c r="AS213" s="1" t="s">
        <v>3098</v>
      </c>
      <c r="AT213" s="151">
        <v>-4.0000000000000002E-4</v>
      </c>
      <c r="AU213" s="1" t="s">
        <v>3148</v>
      </c>
      <c r="AV213" s="37">
        <v>0</v>
      </c>
      <c r="AW213" s="1" t="s">
        <v>3284</v>
      </c>
      <c r="AX213" s="37">
        <v>0</v>
      </c>
      <c r="AY213" s="749" t="s">
        <v>3193</v>
      </c>
      <c r="AZ213" s="1" t="s">
        <v>3234</v>
      </c>
      <c r="BA213" s="34">
        <v>0</v>
      </c>
    </row>
    <row r="214" spans="19:53">
      <c r="S214" s="1" t="s">
        <v>3158</v>
      </c>
      <c r="T214" s="3">
        <v>141</v>
      </c>
      <c r="U214" s="1" t="s">
        <v>3445</v>
      </c>
      <c r="V214" s="3">
        <v>10.8</v>
      </c>
      <c r="W214" s="1" t="s">
        <v>1779</v>
      </c>
      <c r="X214" s="4">
        <v>10</v>
      </c>
      <c r="Y214" s="1" t="s">
        <v>421</v>
      </c>
      <c r="Z214" s="4">
        <v>32.9</v>
      </c>
      <c r="AA214" s="1233" t="s">
        <v>3124</v>
      </c>
      <c r="AB214" s="3">
        <v>0.31000046665733355</v>
      </c>
      <c r="AC214" s="1" t="s">
        <v>1779</v>
      </c>
      <c r="AD214" s="4">
        <v>0.2</v>
      </c>
      <c r="AE214" s="1" t="s">
        <v>1851</v>
      </c>
      <c r="AF214" s="74">
        <v>2.1000000000000001E-2</v>
      </c>
      <c r="AG214" s="1233" t="s">
        <v>3194</v>
      </c>
      <c r="AH214" s="37">
        <v>0.5</v>
      </c>
      <c r="AI214" s="1310" t="s">
        <v>3096</v>
      </c>
      <c r="AJ214" s="4">
        <v>3.7999999999999999E-2</v>
      </c>
      <c r="AK214" s="1233" t="s">
        <v>3245</v>
      </c>
      <c r="AL214" s="3">
        <v>3.9627039627039624E-2</v>
      </c>
      <c r="AM214" s="1" t="s">
        <v>1785</v>
      </c>
      <c r="AN214" s="4">
        <v>0.27</v>
      </c>
      <c r="AO214" s="1" t="s">
        <v>3219</v>
      </c>
      <c r="AP214" s="3">
        <v>4.6186144156752977E-2</v>
      </c>
      <c r="AQ214" s="325" t="s">
        <v>3155</v>
      </c>
      <c r="AR214" s="49">
        <v>3</v>
      </c>
      <c r="AS214" s="1" t="s">
        <v>3102</v>
      </c>
      <c r="AT214" s="151">
        <v>-4.0000000000000002E-4</v>
      </c>
      <c r="AU214" s="749" t="s">
        <v>3163</v>
      </c>
      <c r="AV214" s="37">
        <v>0</v>
      </c>
      <c r="AW214" s="1" t="s">
        <v>3285</v>
      </c>
      <c r="AX214" s="68">
        <v>0</v>
      </c>
      <c r="AY214" s="749" t="s">
        <v>3164</v>
      </c>
      <c r="AZ214" s="1" t="s">
        <v>475</v>
      </c>
      <c r="BA214" s="4">
        <v>0</v>
      </c>
    </row>
    <row r="215" spans="19:53">
      <c r="S215" s="1" t="s">
        <v>1785</v>
      </c>
      <c r="T215" s="4">
        <v>137</v>
      </c>
      <c r="U215" s="1" t="s">
        <v>3446</v>
      </c>
      <c r="V215" s="3">
        <v>10.8</v>
      </c>
      <c r="W215" s="1" t="s">
        <v>1790</v>
      </c>
      <c r="X215" s="4">
        <v>10</v>
      </c>
      <c r="Y215" s="1" t="s">
        <v>3321</v>
      </c>
      <c r="Z215" s="4">
        <v>32.9</v>
      </c>
      <c r="AA215" s="1" t="s">
        <v>3125</v>
      </c>
      <c r="AB215" s="3">
        <v>0.31000046665733355</v>
      </c>
      <c r="AC215" s="1" t="s">
        <v>3320</v>
      </c>
      <c r="AD215" s="4">
        <v>0.2</v>
      </c>
      <c r="AE215" s="1" t="s">
        <v>1811</v>
      </c>
      <c r="AF215" s="67">
        <v>2.0500000000000001E-2</v>
      </c>
      <c r="AG215" s="1" t="s">
        <v>3366</v>
      </c>
      <c r="AH215" s="4">
        <f>AVERAGE(AH213:AH214)</f>
        <v>0.5</v>
      </c>
      <c r="AI215" s="1264" t="s">
        <v>3097</v>
      </c>
      <c r="AJ215" s="4">
        <v>3.7999999999999999E-2</v>
      </c>
      <c r="AK215" s="1" t="s">
        <v>503</v>
      </c>
      <c r="AL215" s="4">
        <v>3.7999999999999999E-2</v>
      </c>
      <c r="AM215" s="1" t="s">
        <v>422</v>
      </c>
      <c r="AN215" s="4">
        <v>0.25</v>
      </c>
      <c r="AO215" s="1232" t="s">
        <v>3215</v>
      </c>
      <c r="AP215" s="1236">
        <v>4.5999999999999999E-2</v>
      </c>
      <c r="AQ215" s="1" t="s">
        <v>3237</v>
      </c>
      <c r="AR215" s="31">
        <v>3</v>
      </c>
      <c r="AS215" s="1233" t="s">
        <v>3089</v>
      </c>
      <c r="AT215" s="1234">
        <v>-4.0000000000000002E-4</v>
      </c>
      <c r="AU215" s="749" t="s">
        <v>3149</v>
      </c>
      <c r="AV215" s="37">
        <v>0</v>
      </c>
      <c r="AW215" s="1310" t="s">
        <v>3294</v>
      </c>
      <c r="AX215" s="4">
        <v>0</v>
      </c>
      <c r="AY215" s="1" t="s">
        <v>3153</v>
      </c>
      <c r="AZ215" s="53" t="s">
        <v>3218</v>
      </c>
      <c r="BA215" s="34">
        <v>0</v>
      </c>
    </row>
    <row r="216" spans="19:53">
      <c r="S216" s="749" t="s">
        <v>3180</v>
      </c>
      <c r="T216" s="4">
        <v>136</v>
      </c>
      <c r="U216" s="1" t="s">
        <v>3102</v>
      </c>
      <c r="V216" s="3">
        <v>10</v>
      </c>
      <c r="W216" s="1" t="s">
        <v>3319</v>
      </c>
      <c r="X216" s="4">
        <v>10</v>
      </c>
      <c r="Y216" s="1233" t="s">
        <v>498</v>
      </c>
      <c r="Z216" s="42">
        <v>32</v>
      </c>
      <c r="AA216" s="1" t="s">
        <v>3433</v>
      </c>
      <c r="AB216" s="3">
        <v>0.31000046665733355</v>
      </c>
      <c r="AC216" s="325" t="s">
        <v>3280</v>
      </c>
      <c r="AD216" s="1144">
        <v>0.2</v>
      </c>
      <c r="AE216" s="1" t="s">
        <v>3102</v>
      </c>
      <c r="AF216" s="69">
        <v>0.02</v>
      </c>
      <c r="AG216" s="325" t="s">
        <v>3460</v>
      </c>
      <c r="AH216" s="34">
        <v>0.26</v>
      </c>
      <c r="AI216" s="82" t="s">
        <v>3361</v>
      </c>
      <c r="AJ216" s="4">
        <v>3.6999999999999998E-2</v>
      </c>
      <c r="AK216" s="1" t="s">
        <v>3237</v>
      </c>
      <c r="AL216" s="31">
        <v>3.5999999999999997E-2</v>
      </c>
      <c r="AM216" s="1" t="s">
        <v>3222</v>
      </c>
      <c r="AN216" s="4">
        <v>0.25</v>
      </c>
      <c r="AO216" s="749" t="s">
        <v>3229</v>
      </c>
      <c r="AP216" s="4">
        <v>4.5999999999999999E-2</v>
      </c>
      <c r="AQ216" s="1" t="s">
        <v>3494</v>
      </c>
      <c r="AR216" s="42">
        <v>3</v>
      </c>
      <c r="AS216" s="82" t="s">
        <v>3103</v>
      </c>
      <c r="AT216" s="151">
        <v>-4.0000000000000002E-4</v>
      </c>
      <c r="AU216" s="1" t="s">
        <v>3150</v>
      </c>
      <c r="AV216" s="37">
        <v>0</v>
      </c>
      <c r="AW216" s="325" t="s">
        <v>3296</v>
      </c>
      <c r="AX216" s="69">
        <v>0</v>
      </c>
      <c r="AY216" s="1" t="s">
        <v>3171</v>
      </c>
      <c r="AZ216" s="749" t="s">
        <v>3209</v>
      </c>
      <c r="BA216" s="4">
        <v>0</v>
      </c>
    </row>
    <row r="217" spans="19:53">
      <c r="S217" s="1" t="s">
        <v>3233</v>
      </c>
      <c r="T217" s="34">
        <v>135</v>
      </c>
      <c r="U217" s="749" t="s">
        <v>3209</v>
      </c>
      <c r="V217" s="4">
        <v>10</v>
      </c>
      <c r="W217" s="1" t="s">
        <v>3455</v>
      </c>
      <c r="X217" s="42">
        <v>10</v>
      </c>
      <c r="Y217" s="1233" t="s">
        <v>3089</v>
      </c>
      <c r="Z217" s="31">
        <v>31.1</v>
      </c>
      <c r="AA217" s="82" t="s">
        <v>20</v>
      </c>
      <c r="AB217" s="4">
        <v>0.31</v>
      </c>
      <c r="AC217" s="1233" t="s">
        <v>3293</v>
      </c>
      <c r="AD217" s="49">
        <v>0.2</v>
      </c>
      <c r="AE217" s="1" t="s">
        <v>475</v>
      </c>
      <c r="AF217" s="74">
        <v>0.02</v>
      </c>
      <c r="AG217" s="1" t="s">
        <v>441</v>
      </c>
      <c r="AH217" s="3">
        <v>1.2999999999999999E-2</v>
      </c>
      <c r="AI217" s="1" t="s">
        <v>460</v>
      </c>
      <c r="AJ217" s="4">
        <v>3.5000000000000003E-2</v>
      </c>
      <c r="AK217" s="1" t="s">
        <v>3313</v>
      </c>
      <c r="AL217" s="31">
        <v>3.5000000000000003E-2</v>
      </c>
      <c r="AM217" s="749" t="s">
        <v>3231</v>
      </c>
      <c r="AN217" s="34">
        <v>0.25</v>
      </c>
      <c r="AO217" s="1" t="s">
        <v>3102</v>
      </c>
      <c r="AP217" s="3">
        <v>4.4999999999999998E-2</v>
      </c>
      <c r="AQ217" s="1" t="s">
        <v>3439</v>
      </c>
      <c r="AR217" s="42">
        <v>2.9000000000000004</v>
      </c>
      <c r="AS217" s="1233" t="s">
        <v>3123</v>
      </c>
      <c r="AT217" s="1234">
        <v>-4.0000000000000002E-4</v>
      </c>
      <c r="AU217" s="1" t="s">
        <v>3151</v>
      </c>
      <c r="AV217" s="34">
        <v>0</v>
      </c>
      <c r="AW217" s="1" t="s">
        <v>3514</v>
      </c>
      <c r="AX217" s="3">
        <v>0</v>
      </c>
      <c r="AY217" s="1" t="s">
        <v>3466</v>
      </c>
      <c r="AZ217" s="1233" t="s">
        <v>3208</v>
      </c>
      <c r="BA217" s="34">
        <v>0</v>
      </c>
    </row>
    <row r="218" spans="19:53">
      <c r="S218" s="1" t="s">
        <v>3093</v>
      </c>
      <c r="T218" s="49">
        <v>131</v>
      </c>
      <c r="U218" s="749" t="s">
        <v>3181</v>
      </c>
      <c r="V218" s="34">
        <v>10</v>
      </c>
      <c r="W218" s="1" t="s">
        <v>1831</v>
      </c>
      <c r="X218" s="34">
        <v>10</v>
      </c>
      <c r="Y218" s="1" t="s">
        <v>3117</v>
      </c>
      <c r="Z218" s="4">
        <v>31</v>
      </c>
      <c r="AA218" s="1" t="s">
        <v>20</v>
      </c>
      <c r="AB218" s="4">
        <v>0.31</v>
      </c>
      <c r="AC218" s="1" t="s">
        <v>1777</v>
      </c>
      <c r="AD218" s="4">
        <v>0.18</v>
      </c>
      <c r="AE218" s="1" t="s">
        <v>3238</v>
      </c>
      <c r="AF218" s="73">
        <v>0.02</v>
      </c>
      <c r="AG218" s="1233" t="s">
        <v>3100</v>
      </c>
      <c r="AH218" s="3">
        <v>0</v>
      </c>
      <c r="AI218" s="1" t="s">
        <v>3321</v>
      </c>
      <c r="AJ218" s="4">
        <v>3.5000000000000003E-2</v>
      </c>
      <c r="AK218" s="1" t="s">
        <v>467</v>
      </c>
      <c r="AL218" s="4">
        <v>3.5000000000000003E-2</v>
      </c>
      <c r="AM218" s="1" t="s">
        <v>3318</v>
      </c>
      <c r="AN218" s="4">
        <v>0.23699999999999999</v>
      </c>
      <c r="AO218" s="1" t="s">
        <v>415</v>
      </c>
      <c r="AP218" s="37">
        <v>4.4999999999999998E-2</v>
      </c>
      <c r="AQ218" s="1" t="s">
        <v>3445</v>
      </c>
      <c r="AR218" s="3">
        <v>2.8</v>
      </c>
      <c r="AS218" s="1232" t="s">
        <v>469</v>
      </c>
      <c r="AT218" s="1234">
        <v>-4.0000000000000002E-4</v>
      </c>
      <c r="AU218" s="1233" t="s">
        <v>3444</v>
      </c>
      <c r="AV218" s="49">
        <v>0</v>
      </c>
      <c r="AW218" s="325" t="s">
        <v>3513</v>
      </c>
      <c r="AX218" s="70">
        <v>0</v>
      </c>
      <c r="AY218" s="1" t="s">
        <v>3154</v>
      </c>
      <c r="AZ218" s="53" t="s">
        <v>3210</v>
      </c>
      <c r="BA218" s="34">
        <v>0</v>
      </c>
    </row>
    <row r="219" spans="19:53">
      <c r="S219" s="1" t="s">
        <v>468</v>
      </c>
      <c r="T219" s="4">
        <v>130</v>
      </c>
      <c r="U219" s="1" t="s">
        <v>3169</v>
      </c>
      <c r="V219" s="34">
        <v>10</v>
      </c>
      <c r="W219" s="1" t="s">
        <v>3494</v>
      </c>
      <c r="X219" s="42">
        <v>10</v>
      </c>
      <c r="Y219" s="325" t="s">
        <v>3132</v>
      </c>
      <c r="Z219" s="4">
        <v>30.5</v>
      </c>
      <c r="AA219" s="1233" t="s">
        <v>3308</v>
      </c>
      <c r="AB219" s="3">
        <v>0.3</v>
      </c>
      <c r="AC219" s="1233" t="s">
        <v>3100</v>
      </c>
      <c r="AD219" s="3">
        <v>0.17</v>
      </c>
      <c r="AE219" s="1" t="s">
        <v>3090</v>
      </c>
      <c r="AF219" s="69">
        <v>1.7999999999999999E-2</v>
      </c>
      <c r="AG219" s="1" t="s">
        <v>3101</v>
      </c>
      <c r="AH219" s="3">
        <v>0</v>
      </c>
      <c r="AI219" s="1" t="s">
        <v>3212</v>
      </c>
      <c r="AJ219" s="4">
        <v>3.5000000000000003E-2</v>
      </c>
      <c r="AK219" s="1233" t="s">
        <v>3100</v>
      </c>
      <c r="AL219" s="3">
        <v>0.03</v>
      </c>
      <c r="AM219" s="1" t="s">
        <v>1783</v>
      </c>
      <c r="AN219" s="4">
        <v>0.23300000000000001</v>
      </c>
      <c r="AO219" s="1" t="s">
        <v>3118</v>
      </c>
      <c r="AP219" s="37">
        <v>4.4999999999999998E-2</v>
      </c>
      <c r="AQ219" s="1" t="s">
        <v>3446</v>
      </c>
      <c r="AR219" s="3">
        <v>2.8</v>
      </c>
      <c r="AS219" s="1" t="s">
        <v>439</v>
      </c>
      <c r="AT219" s="151">
        <v>-4.0000000000000002E-4</v>
      </c>
      <c r="AU219" s="749" t="s">
        <v>3193</v>
      </c>
      <c r="AV219" s="37">
        <v>0</v>
      </c>
      <c r="AW219" s="325" t="s">
        <v>3303</v>
      </c>
      <c r="AX219" s="1350">
        <v>0</v>
      </c>
      <c r="AY219" s="325" t="s">
        <v>3155</v>
      </c>
      <c r="AZ219" s="749" t="s">
        <v>3172</v>
      </c>
      <c r="BA219" s="34">
        <v>0</v>
      </c>
    </row>
    <row r="220" spans="19:53">
      <c r="S220" s="1232" t="s">
        <v>3454</v>
      </c>
      <c r="T220" s="31">
        <v>130</v>
      </c>
      <c r="U220" s="749" t="s">
        <v>3357</v>
      </c>
      <c r="V220" s="49">
        <v>10</v>
      </c>
      <c r="W220" s="1" t="s">
        <v>421</v>
      </c>
      <c r="X220" s="4">
        <v>9.69</v>
      </c>
      <c r="Y220" s="1" t="s">
        <v>3136</v>
      </c>
      <c r="Z220" s="4">
        <v>30.3</v>
      </c>
      <c r="AA220" s="1" t="s">
        <v>3309</v>
      </c>
      <c r="AB220" s="3">
        <v>0.3</v>
      </c>
      <c r="AC220" s="1" t="s">
        <v>3101</v>
      </c>
      <c r="AD220" s="3">
        <v>0.17</v>
      </c>
      <c r="AE220" s="1" t="s">
        <v>3457</v>
      </c>
      <c r="AF220" s="4">
        <v>1.7999999999999999E-2</v>
      </c>
      <c r="AG220" s="1" t="s">
        <v>3095</v>
      </c>
      <c r="AH220" s="4">
        <v>0</v>
      </c>
      <c r="AI220" s="1" t="s">
        <v>1779</v>
      </c>
      <c r="AJ220" s="4">
        <v>3.4000000000000002E-2</v>
      </c>
      <c r="AK220" s="1" t="s">
        <v>3101</v>
      </c>
      <c r="AL220" s="3">
        <v>0.03</v>
      </c>
      <c r="AM220" s="1" t="s">
        <v>3237</v>
      </c>
      <c r="AN220" s="31">
        <v>0.21800000000000003</v>
      </c>
      <c r="AO220" s="1" t="s">
        <v>3323</v>
      </c>
      <c r="AP220" s="4">
        <v>4.4999999999999998E-2</v>
      </c>
      <c r="AQ220" s="1" t="s">
        <v>1791</v>
      </c>
      <c r="AR220" s="4">
        <v>2.6</v>
      </c>
      <c r="AS220" s="1" t="s">
        <v>1764</v>
      </c>
      <c r="AT220" s="151">
        <v>-4.0000000000000002E-4</v>
      </c>
      <c r="AU220" s="1" t="s">
        <v>3153</v>
      </c>
      <c r="AV220" s="43">
        <v>0</v>
      </c>
      <c r="AW220" s="1233" t="s">
        <v>3304</v>
      </c>
      <c r="AX220" s="1144">
        <v>0</v>
      </c>
      <c r="AY220" s="1" t="s">
        <v>3156</v>
      </c>
      <c r="AZ220" s="1" t="s">
        <v>3158</v>
      </c>
      <c r="BA220" s="34">
        <v>0</v>
      </c>
    </row>
    <row r="221" spans="19:53">
      <c r="S221" s="1233" t="s">
        <v>3208</v>
      </c>
      <c r="T221" s="3">
        <v>129.99999999999997</v>
      </c>
      <c r="U221" s="82" t="s">
        <v>20</v>
      </c>
      <c r="V221" s="4">
        <v>9.0500000000000007</v>
      </c>
      <c r="W221" s="1" t="s">
        <v>1776</v>
      </c>
      <c r="X221" s="4">
        <v>9.5</v>
      </c>
      <c r="Y221" s="1" t="s">
        <v>3106</v>
      </c>
      <c r="Z221" s="42">
        <v>30</v>
      </c>
      <c r="AA221" s="1" t="s">
        <v>3310</v>
      </c>
      <c r="AB221" s="3">
        <v>0.3</v>
      </c>
      <c r="AC221" s="1" t="s">
        <v>1791</v>
      </c>
      <c r="AD221" s="4">
        <v>0.17</v>
      </c>
      <c r="AE221" s="749" t="s">
        <v>3343</v>
      </c>
      <c r="AF221" s="69">
        <v>1.4695591322603219E-2</v>
      </c>
      <c r="AG221" s="749" t="s">
        <v>3172</v>
      </c>
      <c r="AH221" s="37">
        <v>0</v>
      </c>
      <c r="AI221" s="1" t="s">
        <v>1791</v>
      </c>
      <c r="AJ221" s="4">
        <v>3.4000000000000002E-2</v>
      </c>
      <c r="AK221" s="1" t="s">
        <v>1766</v>
      </c>
      <c r="AL221" s="34">
        <v>0.03</v>
      </c>
      <c r="AM221" s="1" t="s">
        <v>3313</v>
      </c>
      <c r="AN221" s="31">
        <v>0.20499999999999999</v>
      </c>
      <c r="AO221" s="1" t="s">
        <v>3234</v>
      </c>
      <c r="AP221" s="34">
        <v>4.2500000000000003E-2</v>
      </c>
      <c r="AQ221" s="491" t="s">
        <v>3510</v>
      </c>
      <c r="AR221" s="37">
        <v>2.1</v>
      </c>
      <c r="AS221" s="1233" t="s">
        <v>3126</v>
      </c>
      <c r="AT221" s="1234">
        <v>-4.0000000000000002E-4</v>
      </c>
      <c r="AU221" s="1" t="s">
        <v>3466</v>
      </c>
      <c r="AV221" s="37">
        <v>0</v>
      </c>
      <c r="AW221" s="749" t="s">
        <v>3306</v>
      </c>
      <c r="AX221" s="68">
        <v>0</v>
      </c>
      <c r="AY221" s="749" t="s">
        <v>3183</v>
      </c>
      <c r="AZ221" s="749" t="s">
        <v>3173</v>
      </c>
      <c r="BA221" s="34">
        <v>0</v>
      </c>
    </row>
    <row r="222" spans="19:53">
      <c r="S222" s="1" t="s">
        <v>3234</v>
      </c>
      <c r="T222" s="34">
        <v>127.5</v>
      </c>
      <c r="U222" s="1" t="s">
        <v>20</v>
      </c>
      <c r="V222" s="4">
        <v>9.0500000000000007</v>
      </c>
      <c r="W222" s="325" t="s">
        <v>3110</v>
      </c>
      <c r="X222" s="42">
        <v>9</v>
      </c>
      <c r="Y222" s="1" t="s">
        <v>3116</v>
      </c>
      <c r="Z222" s="49">
        <v>30</v>
      </c>
      <c r="AA222" s="1" t="s">
        <v>3311</v>
      </c>
      <c r="AB222" s="3">
        <v>0.3</v>
      </c>
      <c r="AC222" s="1" t="s">
        <v>3093</v>
      </c>
      <c r="AD222" s="34">
        <v>0.16</v>
      </c>
      <c r="AE222" s="1" t="s">
        <v>3358</v>
      </c>
      <c r="AF222" s="234">
        <v>1.4695591322603219E-2</v>
      </c>
      <c r="AG222" s="749" t="s">
        <v>3159</v>
      </c>
      <c r="AH222" s="3">
        <v>0</v>
      </c>
      <c r="AI222" s="1" t="s">
        <v>3457</v>
      </c>
      <c r="AJ222" s="4">
        <v>3.4000000000000002E-2</v>
      </c>
      <c r="AK222" s="1" t="s">
        <v>3093</v>
      </c>
      <c r="AL222" s="49">
        <v>0.03</v>
      </c>
      <c r="AM222" s="1" t="s">
        <v>1773</v>
      </c>
      <c r="AN222" s="4">
        <v>0.2</v>
      </c>
      <c r="AO222" s="82" t="s">
        <v>3361</v>
      </c>
      <c r="AP222" s="4">
        <v>4.1000000000000002E-2</v>
      </c>
      <c r="AQ222" s="1" t="s">
        <v>3240</v>
      </c>
      <c r="AR222" s="3">
        <v>2.0000000000000004</v>
      </c>
      <c r="AS222" s="1" t="s">
        <v>3090</v>
      </c>
      <c r="AT222" s="151">
        <v>-4.0000000000000002E-4</v>
      </c>
      <c r="AU222" s="1" t="s">
        <v>3154</v>
      </c>
      <c r="AV222" s="43">
        <v>0</v>
      </c>
      <c r="AW222" s="325" t="s">
        <v>3298</v>
      </c>
      <c r="AX222" s="68">
        <v>0</v>
      </c>
      <c r="AY222" s="1233" t="s">
        <v>3194</v>
      </c>
      <c r="AZ222" s="1" t="s">
        <v>3174</v>
      </c>
      <c r="BA222" s="34">
        <v>0</v>
      </c>
    </row>
    <row r="223" spans="19:53">
      <c r="S223" s="1" t="s">
        <v>1811</v>
      </c>
      <c r="T223" s="4">
        <v>122</v>
      </c>
      <c r="U223" s="1" t="s">
        <v>3284</v>
      </c>
      <c r="V223" s="3">
        <v>9.0000000000000018</v>
      </c>
      <c r="W223" s="1" t="s">
        <v>3111</v>
      </c>
      <c r="X223" s="42">
        <v>9</v>
      </c>
      <c r="Y223" s="1" t="s">
        <v>1781</v>
      </c>
      <c r="Z223" s="4">
        <v>30</v>
      </c>
      <c r="AA223" s="1" t="s">
        <v>3312</v>
      </c>
      <c r="AB223" s="3">
        <v>0.3</v>
      </c>
      <c r="AC223" s="1" t="s">
        <v>3136</v>
      </c>
      <c r="AD223" s="4">
        <v>0.16</v>
      </c>
      <c r="AE223" s="1233" t="s">
        <v>3359</v>
      </c>
      <c r="AF223" s="69">
        <v>1.4695591322603219E-2</v>
      </c>
      <c r="AG223" s="1" t="s">
        <v>3175</v>
      </c>
      <c r="AH223" s="34">
        <v>0</v>
      </c>
      <c r="AI223" s="1" t="s">
        <v>3313</v>
      </c>
      <c r="AJ223" s="31">
        <v>3.1000000000000003E-2</v>
      </c>
      <c r="AK223" s="1" t="s">
        <v>3094</v>
      </c>
      <c r="AL223" s="34">
        <v>0.03</v>
      </c>
      <c r="AM223" s="1" t="s">
        <v>460</v>
      </c>
      <c r="AN223" s="4">
        <v>0.2</v>
      </c>
      <c r="AO223" s="1233" t="s">
        <v>3089</v>
      </c>
      <c r="AP223" s="31">
        <v>0.04</v>
      </c>
      <c r="AQ223" s="1" t="s">
        <v>3241</v>
      </c>
      <c r="AR223" s="3">
        <v>2.0000000000000004</v>
      </c>
      <c r="AS223" s="1" t="s">
        <v>3430</v>
      </c>
      <c r="AT223" s="151">
        <v>-4.0000000000000002E-4</v>
      </c>
      <c r="AU223" s="1" t="s">
        <v>3156</v>
      </c>
      <c r="AV223" s="43">
        <v>0</v>
      </c>
      <c r="AW223" s="1233" t="s">
        <v>3307</v>
      </c>
      <c r="AX223" s="69">
        <v>0</v>
      </c>
      <c r="AY223" s="1233" t="s">
        <v>3157</v>
      </c>
      <c r="AZ223" s="749" t="s">
        <v>3165</v>
      </c>
      <c r="BA223" s="4">
        <v>0</v>
      </c>
    </row>
    <row r="224" spans="19:53">
      <c r="S224" s="1" t="s">
        <v>475</v>
      </c>
      <c r="T224" s="34">
        <v>122</v>
      </c>
      <c r="U224" s="1" t="s">
        <v>3285</v>
      </c>
      <c r="V224" s="3">
        <v>9.0000000000000018</v>
      </c>
      <c r="W224" s="1" t="s">
        <v>1778</v>
      </c>
      <c r="X224" s="4">
        <v>9</v>
      </c>
      <c r="Y224" s="1" t="s">
        <v>2261</v>
      </c>
      <c r="Z224" s="3">
        <v>30</v>
      </c>
      <c r="AA224" s="1233" t="s">
        <v>1861</v>
      </c>
      <c r="AB224" s="4">
        <v>0.3</v>
      </c>
      <c r="AC224" s="1" t="s">
        <v>27</v>
      </c>
      <c r="AD224" s="42">
        <v>0.15</v>
      </c>
      <c r="AE224" s="1" t="s">
        <v>3212</v>
      </c>
      <c r="AF224" s="4">
        <v>1.4E-2</v>
      </c>
      <c r="AG224" s="1" t="s">
        <v>1831</v>
      </c>
      <c r="AH224" s="34">
        <v>0</v>
      </c>
      <c r="AI224" s="1" t="s">
        <v>27</v>
      </c>
      <c r="AJ224" s="42">
        <v>3.0000000000000002E-2</v>
      </c>
      <c r="AK224" s="1" t="s">
        <v>3136</v>
      </c>
      <c r="AL224" s="4">
        <v>0.03</v>
      </c>
      <c r="AM224" s="1" t="s">
        <v>3339</v>
      </c>
      <c r="AN224" s="42">
        <v>0.19007633587786257</v>
      </c>
      <c r="AO224" s="1" t="s">
        <v>1801</v>
      </c>
      <c r="AP224" s="4">
        <v>0.04</v>
      </c>
      <c r="AQ224" s="1" t="s">
        <v>3236</v>
      </c>
      <c r="AR224" s="3">
        <v>2.0000000000000004</v>
      </c>
      <c r="AS224" s="1" t="s">
        <v>3428</v>
      </c>
      <c r="AT224" s="151">
        <v>-4.0000000000000002E-4</v>
      </c>
      <c r="AU224" s="1233" t="s">
        <v>3194</v>
      </c>
      <c r="AV224" s="37">
        <v>0</v>
      </c>
      <c r="AW224" s="1233" t="s">
        <v>3299</v>
      </c>
      <c r="AX224" s="4">
        <v>0</v>
      </c>
      <c r="AY224" s="749" t="s">
        <v>3195</v>
      </c>
      <c r="AZ224" s="749" t="s">
        <v>3464</v>
      </c>
      <c r="BA224" s="34">
        <v>0</v>
      </c>
    </row>
    <row r="225" spans="19:53">
      <c r="S225" s="1233" t="s">
        <v>3308</v>
      </c>
      <c r="T225" s="3">
        <v>120</v>
      </c>
      <c r="U225" s="1" t="s">
        <v>1766</v>
      </c>
      <c r="V225" s="34">
        <v>9</v>
      </c>
      <c r="W225" s="1" t="s">
        <v>1783</v>
      </c>
      <c r="X225" s="4">
        <v>9</v>
      </c>
      <c r="Y225" s="325" t="s">
        <v>3110</v>
      </c>
      <c r="Z225" s="42">
        <v>29.1</v>
      </c>
      <c r="AA225" s="1" t="s">
        <v>3197</v>
      </c>
      <c r="AB225" s="4">
        <v>0.3</v>
      </c>
      <c r="AC225" s="1" t="s">
        <v>3237</v>
      </c>
      <c r="AD225" s="31">
        <v>0.15</v>
      </c>
      <c r="AE225" s="1233" t="s">
        <v>3360</v>
      </c>
      <c r="AF225" s="236">
        <v>1.2499999999999999E-2</v>
      </c>
      <c r="AG225" s="749" t="s">
        <v>3181</v>
      </c>
      <c r="AH225" s="34">
        <v>0</v>
      </c>
      <c r="AI225" s="1" t="s">
        <v>3439</v>
      </c>
      <c r="AJ225" s="42">
        <v>3.0000000000000002E-2</v>
      </c>
      <c r="AK225" s="1" t="s">
        <v>422</v>
      </c>
      <c r="AL225" s="4">
        <v>0.03</v>
      </c>
      <c r="AM225" s="1" t="s">
        <v>3445</v>
      </c>
      <c r="AN225" s="3">
        <v>0.151</v>
      </c>
      <c r="AO225" s="1" t="s">
        <v>1778</v>
      </c>
      <c r="AP225" s="4">
        <v>0.04</v>
      </c>
      <c r="AQ225" s="1" t="s">
        <v>3244</v>
      </c>
      <c r="AR225" s="3">
        <v>2.0000000000000004</v>
      </c>
      <c r="AS225" s="1233" t="s">
        <v>3429</v>
      </c>
      <c r="AT225" s="1234">
        <v>-4.0000000000000002E-4</v>
      </c>
      <c r="AU225" s="491" t="s">
        <v>3510</v>
      </c>
      <c r="AV225" s="37">
        <v>0</v>
      </c>
      <c r="AW225" s="1" t="s">
        <v>3249</v>
      </c>
      <c r="AX225" s="239">
        <v>0</v>
      </c>
      <c r="AY225" s="749" t="s">
        <v>3511</v>
      </c>
      <c r="AZ225" s="1" t="s">
        <v>1822</v>
      </c>
      <c r="BA225" s="34">
        <v>0</v>
      </c>
    </row>
    <row r="226" spans="19:53">
      <c r="S226" s="1" t="s">
        <v>3309</v>
      </c>
      <c r="T226" s="3">
        <v>120</v>
      </c>
      <c r="U226" s="1" t="s">
        <v>3094</v>
      </c>
      <c r="V226" s="34">
        <v>9</v>
      </c>
      <c r="W226" s="1" t="s">
        <v>1791</v>
      </c>
      <c r="X226" s="4">
        <v>9</v>
      </c>
      <c r="Y226" s="1" t="s">
        <v>3111</v>
      </c>
      <c r="Z226" s="42">
        <v>29.1</v>
      </c>
      <c r="AA226" s="325" t="s">
        <v>3362</v>
      </c>
      <c r="AB226" s="42">
        <v>0.3</v>
      </c>
      <c r="AC226" s="1232" t="s">
        <v>1963</v>
      </c>
      <c r="AD226" s="1144">
        <v>0.15</v>
      </c>
      <c r="AE226" s="1" t="s">
        <v>3104</v>
      </c>
      <c r="AF226" s="1337">
        <v>0.01</v>
      </c>
      <c r="AG226" s="749" t="s">
        <v>3162</v>
      </c>
      <c r="AH226" s="4">
        <v>0</v>
      </c>
      <c r="AI226" s="1" t="s">
        <v>3093</v>
      </c>
      <c r="AJ226" s="49">
        <v>0.03</v>
      </c>
      <c r="AK226" s="1" t="s">
        <v>481</v>
      </c>
      <c r="AL226" s="4">
        <v>0.03</v>
      </c>
      <c r="AM226" s="1" t="s">
        <v>3446</v>
      </c>
      <c r="AN226" s="3">
        <v>0.151</v>
      </c>
      <c r="AO226" s="1232" t="s">
        <v>3454</v>
      </c>
      <c r="AP226" s="31">
        <v>0.04</v>
      </c>
      <c r="AQ226" s="749" t="s">
        <v>3173</v>
      </c>
      <c r="AR226" s="4">
        <v>2</v>
      </c>
      <c r="AS226" s="1" t="s">
        <v>3107</v>
      </c>
      <c r="AT226" s="151">
        <v>-4.0000000000000002E-4</v>
      </c>
      <c r="AU226" s="1" t="s">
        <v>3471</v>
      </c>
      <c r="AV226" s="34">
        <v>0</v>
      </c>
      <c r="AW226" s="1233" t="s">
        <v>495</v>
      </c>
      <c r="AX226" s="3">
        <v>0</v>
      </c>
      <c r="AY226" s="491" t="s">
        <v>3510</v>
      </c>
      <c r="AZ226" s="749" t="s">
        <v>3159</v>
      </c>
      <c r="BA226" s="34">
        <v>0</v>
      </c>
    </row>
    <row r="227" spans="19:53">
      <c r="S227" s="1" t="s">
        <v>3310</v>
      </c>
      <c r="T227" s="3">
        <v>120</v>
      </c>
      <c r="U227" s="1" t="s">
        <v>3313</v>
      </c>
      <c r="V227" s="31">
        <v>9</v>
      </c>
      <c r="W227" s="1" t="s">
        <v>3176</v>
      </c>
      <c r="X227" s="4">
        <v>9</v>
      </c>
      <c r="Y227" s="1233" t="s">
        <v>3100</v>
      </c>
      <c r="Z227" s="3">
        <v>29</v>
      </c>
      <c r="AA227" s="1" t="s">
        <v>3240</v>
      </c>
      <c r="AB227" s="4">
        <v>0.29971988795518206</v>
      </c>
      <c r="AC227" s="1" t="s">
        <v>1783</v>
      </c>
      <c r="AD227" s="4">
        <v>0.13</v>
      </c>
      <c r="AE227" s="1" t="s">
        <v>3432</v>
      </c>
      <c r="AF227" s="72">
        <v>0.01</v>
      </c>
      <c r="AG227" s="1232" t="s">
        <v>3443</v>
      </c>
      <c r="AH227" s="37">
        <v>0</v>
      </c>
      <c r="AI227" s="1" t="s">
        <v>1781</v>
      </c>
      <c r="AJ227" s="4">
        <v>0.03</v>
      </c>
      <c r="AK227" s="1" t="s">
        <v>1783</v>
      </c>
      <c r="AL227" s="4">
        <v>0.03</v>
      </c>
      <c r="AM227" s="1" t="s">
        <v>1801</v>
      </c>
      <c r="AN227" s="4">
        <v>0.14000000000000001</v>
      </c>
      <c r="AO227" s="325" t="s">
        <v>3453</v>
      </c>
      <c r="AP227" s="49">
        <v>0.04</v>
      </c>
      <c r="AQ227" s="1" t="s">
        <v>3174</v>
      </c>
      <c r="AR227" s="4">
        <v>2</v>
      </c>
      <c r="AS227" s="1" t="s">
        <v>3108</v>
      </c>
      <c r="AT227" s="151">
        <v>-4.0000000000000002E-4</v>
      </c>
      <c r="AU227" s="1" t="s">
        <v>1851</v>
      </c>
      <c r="AV227" s="34">
        <v>0</v>
      </c>
      <c r="AW227" s="1" t="s">
        <v>3423</v>
      </c>
      <c r="AX227" s="69">
        <v>0</v>
      </c>
      <c r="AY227" s="492" t="s">
        <v>3512</v>
      </c>
      <c r="AZ227" s="492" t="s">
        <v>3160</v>
      </c>
      <c r="BA227" s="34">
        <v>0</v>
      </c>
    </row>
    <row r="228" spans="19:53">
      <c r="S228" s="24" t="s">
        <v>3311</v>
      </c>
      <c r="T228" s="3">
        <v>120</v>
      </c>
      <c r="U228" s="24" t="s">
        <v>1785</v>
      </c>
      <c r="V228" s="4">
        <v>9</v>
      </c>
      <c r="W228" s="1239" t="s">
        <v>3283</v>
      </c>
      <c r="X228" s="42">
        <v>8.9</v>
      </c>
      <c r="Y228" s="24" t="s">
        <v>3101</v>
      </c>
      <c r="Z228" s="3">
        <v>29</v>
      </c>
      <c r="AA228" s="24" t="s">
        <v>3241</v>
      </c>
      <c r="AB228" s="4">
        <v>0.29971988795518206</v>
      </c>
      <c r="AC228" s="24" t="s">
        <v>3439</v>
      </c>
      <c r="AD228" s="42">
        <v>0.12000000000000001</v>
      </c>
      <c r="AE228" s="24" t="s">
        <v>3136</v>
      </c>
      <c r="AF228" s="4">
        <v>0.01</v>
      </c>
      <c r="AG228" s="24" t="s">
        <v>91</v>
      </c>
      <c r="AH228" s="49">
        <v>0</v>
      </c>
      <c r="AI228" s="24" t="s">
        <v>1786</v>
      </c>
      <c r="AJ228" s="4">
        <v>0.03</v>
      </c>
      <c r="AK228" s="492" t="s">
        <v>3263</v>
      </c>
      <c r="AL228" s="31">
        <v>0.03</v>
      </c>
      <c r="AM228" s="24" t="s">
        <v>3214</v>
      </c>
      <c r="AN228" s="34">
        <v>0.13500000000000001</v>
      </c>
      <c r="AO228" s="24" t="s">
        <v>3268</v>
      </c>
      <c r="AP228" s="4">
        <v>0.04</v>
      </c>
      <c r="AQ228" s="1336" t="s">
        <v>3161</v>
      </c>
      <c r="AR228" s="3">
        <v>2</v>
      </c>
      <c r="AS228" s="24" t="s">
        <v>3437</v>
      </c>
      <c r="AT228" s="151">
        <v>-4.0000000000000002E-4</v>
      </c>
      <c r="AU228" s="492" t="s">
        <v>3207</v>
      </c>
      <c r="AV228" s="43">
        <v>0</v>
      </c>
      <c r="AW228" s="24" t="s">
        <v>3421</v>
      </c>
      <c r="AX228" s="1">
        <v>0</v>
      </c>
      <c r="AY228" s="1" t="s">
        <v>3198</v>
      </c>
      <c r="AZ228" s="325" t="s">
        <v>3161</v>
      </c>
      <c r="BA228" s="4">
        <v>0</v>
      </c>
    </row>
    <row r="229" spans="19:53">
      <c r="S229" s="1" t="s">
        <v>3312</v>
      </c>
      <c r="T229" s="3">
        <v>120</v>
      </c>
      <c r="U229" s="1" t="s">
        <v>3158</v>
      </c>
      <c r="V229" s="3">
        <v>9</v>
      </c>
      <c r="W229" s="1233" t="s">
        <v>3308</v>
      </c>
      <c r="X229" s="3">
        <v>8.65</v>
      </c>
      <c r="Y229" s="1" t="s">
        <v>422</v>
      </c>
      <c r="Z229" s="4">
        <v>29</v>
      </c>
      <c r="AA229" s="1" t="s">
        <v>3236</v>
      </c>
      <c r="AB229" s="4">
        <v>0.29971988795518206</v>
      </c>
      <c r="AC229" s="1" t="s">
        <v>1766</v>
      </c>
      <c r="AD229" s="34">
        <v>0.12</v>
      </c>
      <c r="AE229" s="1" t="s">
        <v>3448</v>
      </c>
      <c r="AF229" s="1144">
        <v>0.01</v>
      </c>
      <c r="AG229" s="1" t="s">
        <v>3150</v>
      </c>
      <c r="AH229" s="3">
        <v>0</v>
      </c>
      <c r="AI229" s="1" t="s">
        <v>1803</v>
      </c>
      <c r="AJ229" s="4">
        <v>0.03</v>
      </c>
      <c r="AK229" s="749" t="s">
        <v>3288</v>
      </c>
      <c r="AL229" s="49">
        <v>0.03</v>
      </c>
      <c r="AM229" s="1" t="s">
        <v>3494</v>
      </c>
      <c r="AN229" s="37">
        <v>0.13397999999999999</v>
      </c>
      <c r="AO229" s="1233" t="s">
        <v>3221</v>
      </c>
      <c r="AP229" s="3">
        <v>3.988803358992303E-2</v>
      </c>
      <c r="AQ229" s="749" t="s">
        <v>3181</v>
      </c>
      <c r="AR229" s="34">
        <v>2</v>
      </c>
      <c r="AS229" s="325" t="s">
        <v>3131</v>
      </c>
      <c r="AT229" s="1234">
        <v>-4.0000000000000002E-4</v>
      </c>
      <c r="AU229" s="53" t="s">
        <v>3204</v>
      </c>
      <c r="AV229" s="4">
        <v>0</v>
      </c>
      <c r="AW229" s="1233" t="s">
        <v>3121</v>
      </c>
      <c r="AX229" s="1234">
        <v>-4.0000000000000002E-4</v>
      </c>
      <c r="AY229" s="1" t="s">
        <v>3471</v>
      </c>
      <c r="AZ229" s="1" t="s">
        <v>3146</v>
      </c>
      <c r="BA229" s="4">
        <v>0</v>
      </c>
    </row>
    <row r="230" spans="19:53">
      <c r="S230" s="53" t="s">
        <v>3324</v>
      </c>
      <c r="T230" s="42">
        <v>120</v>
      </c>
      <c r="U230" s="749" t="s">
        <v>3160</v>
      </c>
      <c r="V230" s="3">
        <v>9</v>
      </c>
      <c r="W230" s="1" t="s">
        <v>3309</v>
      </c>
      <c r="X230" s="3">
        <v>8.65</v>
      </c>
      <c r="Y230" s="325" t="s">
        <v>3131</v>
      </c>
      <c r="Z230" s="34">
        <v>28</v>
      </c>
      <c r="AA230" s="1" t="s">
        <v>3244</v>
      </c>
      <c r="AB230" s="4">
        <v>0.29971988795518206</v>
      </c>
      <c r="AC230" s="1" t="s">
        <v>3094</v>
      </c>
      <c r="AD230" s="34">
        <v>0.12</v>
      </c>
      <c r="AE230" s="1" t="s">
        <v>3447</v>
      </c>
      <c r="AF230" s="1144">
        <v>0.01</v>
      </c>
      <c r="AG230" s="1" t="s">
        <v>3466</v>
      </c>
      <c r="AH230" s="37">
        <v>0</v>
      </c>
      <c r="AI230" s="1" t="s">
        <v>3448</v>
      </c>
      <c r="AJ230" s="1144">
        <v>0.03</v>
      </c>
      <c r="AK230" s="1" t="s">
        <v>3282</v>
      </c>
      <c r="AL230" s="49">
        <v>0.03</v>
      </c>
      <c r="AM230" s="1" t="s">
        <v>3439</v>
      </c>
      <c r="AN230" s="42">
        <v>0.13277777777777777</v>
      </c>
      <c r="AO230" s="1232" t="s">
        <v>3105</v>
      </c>
      <c r="AP230" s="37">
        <v>3.7999999999999999E-2</v>
      </c>
      <c r="AQ230" s="53" t="s">
        <v>3204</v>
      </c>
      <c r="AR230" s="4">
        <v>2</v>
      </c>
      <c r="AS230" s="1" t="s">
        <v>3136</v>
      </c>
      <c r="AT230" s="151">
        <v>-4.0000000000000002E-4</v>
      </c>
      <c r="AU230" s="1" t="s">
        <v>3240</v>
      </c>
      <c r="AV230" s="3">
        <v>0</v>
      </c>
      <c r="AW230" s="1" t="s">
        <v>3102</v>
      </c>
      <c r="AX230" s="151">
        <v>-4.0000000000000002E-4</v>
      </c>
      <c r="AY230" s="1" t="s">
        <v>1851</v>
      </c>
      <c r="AZ230" s="1" t="s">
        <v>3147</v>
      </c>
      <c r="BA230" s="45">
        <v>0</v>
      </c>
    </row>
    <row r="231" spans="19:53">
      <c r="S231" s="1" t="s">
        <v>3225</v>
      </c>
      <c r="T231" s="4">
        <v>120</v>
      </c>
      <c r="U231" s="1" t="s">
        <v>3146</v>
      </c>
      <c r="V231" s="3">
        <v>9</v>
      </c>
      <c r="W231" s="1" t="s">
        <v>3310</v>
      </c>
      <c r="X231" s="3">
        <v>8.65</v>
      </c>
      <c r="Y231" s="1" t="s">
        <v>3133</v>
      </c>
      <c r="Z231" s="4">
        <v>28</v>
      </c>
      <c r="AA231" s="749" t="s">
        <v>3343</v>
      </c>
      <c r="AB231" s="3">
        <v>0.28971308607417773</v>
      </c>
      <c r="AC231" s="1232" t="s">
        <v>3145</v>
      </c>
      <c r="AD231" s="42">
        <v>0.11599999999999999</v>
      </c>
      <c r="AE231" s="325" t="s">
        <v>3453</v>
      </c>
      <c r="AF231" s="1234">
        <v>0.01</v>
      </c>
      <c r="AG231" s="491" t="s">
        <v>3510</v>
      </c>
      <c r="AH231" s="37">
        <v>0</v>
      </c>
      <c r="AI231" s="1" t="s">
        <v>3452</v>
      </c>
      <c r="AJ231" s="4">
        <v>0.03</v>
      </c>
      <c r="AK231" s="53" t="s">
        <v>3292</v>
      </c>
      <c r="AL231" s="233">
        <v>0.03</v>
      </c>
      <c r="AM231" s="1" t="s">
        <v>503</v>
      </c>
      <c r="AN231" s="4">
        <v>0.121</v>
      </c>
      <c r="AO231" s="1" t="s">
        <v>3106</v>
      </c>
      <c r="AP231" s="37">
        <v>3.7999999999999999E-2</v>
      </c>
      <c r="AQ231" s="1" t="s">
        <v>503</v>
      </c>
      <c r="AR231" s="4">
        <v>2</v>
      </c>
      <c r="AS231" s="1" t="s">
        <v>3112</v>
      </c>
      <c r="AT231" s="151">
        <v>-4.0000000000000002E-4</v>
      </c>
      <c r="AU231" s="1" t="s">
        <v>3241</v>
      </c>
      <c r="AV231" s="3">
        <v>0</v>
      </c>
      <c r="AW231" s="1233" t="s">
        <v>3089</v>
      </c>
      <c r="AX231" s="1234">
        <v>-4.0000000000000002E-4</v>
      </c>
      <c r="AY231" s="749" t="s">
        <v>3199</v>
      </c>
      <c r="AZ231" s="1" t="s">
        <v>3175</v>
      </c>
      <c r="BA231" s="34">
        <v>0</v>
      </c>
    </row>
    <row r="232" spans="19:53">
      <c r="S232" s="325" t="s">
        <v>3131</v>
      </c>
      <c r="T232" s="34">
        <v>117</v>
      </c>
      <c r="U232" s="1" t="s">
        <v>3176</v>
      </c>
      <c r="V232" s="4">
        <v>9</v>
      </c>
      <c r="W232" s="1" t="s">
        <v>3311</v>
      </c>
      <c r="X232" s="3">
        <v>8.65</v>
      </c>
      <c r="Y232" s="1" t="s">
        <v>1791</v>
      </c>
      <c r="Z232" s="4">
        <v>26</v>
      </c>
      <c r="AA232" s="1" t="s">
        <v>3358</v>
      </c>
      <c r="AB232" s="3">
        <v>0.28971308607417773</v>
      </c>
      <c r="AC232" s="1" t="s">
        <v>3238</v>
      </c>
      <c r="AD232" s="42">
        <v>0.10999999999999999</v>
      </c>
      <c r="AE232" s="1233" t="s">
        <v>3221</v>
      </c>
      <c r="AF232" s="1340">
        <v>0.01</v>
      </c>
      <c r="AG232" s="1" t="s">
        <v>3240</v>
      </c>
      <c r="AH232" s="3">
        <v>0</v>
      </c>
      <c r="AI232" s="1" t="s">
        <v>3447</v>
      </c>
      <c r="AJ232" s="1144">
        <v>0.03</v>
      </c>
      <c r="AK232" s="1" t="s">
        <v>3423</v>
      </c>
      <c r="AL232" s="3">
        <v>0.03</v>
      </c>
      <c r="AM232" s="1233" t="s">
        <v>3100</v>
      </c>
      <c r="AN232" s="3">
        <v>0.12</v>
      </c>
      <c r="AO232" s="1" t="s">
        <v>1811</v>
      </c>
      <c r="AP232" s="4">
        <v>3.5499999999999997E-2</v>
      </c>
      <c r="AQ232" s="1" t="s">
        <v>3497</v>
      </c>
      <c r="AR232" s="42">
        <v>2</v>
      </c>
      <c r="AS232" s="1" t="s">
        <v>3087</v>
      </c>
      <c r="AT232" s="151">
        <v>-4.0000000000000002E-4</v>
      </c>
      <c r="AU232" s="1" t="s">
        <v>3236</v>
      </c>
      <c r="AV232" s="3">
        <v>0</v>
      </c>
      <c r="AW232" s="82" t="s">
        <v>3103</v>
      </c>
      <c r="AX232" s="151">
        <v>-4.0000000000000002E-4</v>
      </c>
      <c r="AY232" s="749" t="s">
        <v>3474</v>
      </c>
      <c r="AZ232" s="1" t="s">
        <v>3167</v>
      </c>
      <c r="BA232" s="34">
        <v>0</v>
      </c>
    </row>
    <row r="233" spans="19:53">
      <c r="S233" s="1" t="s">
        <v>3133</v>
      </c>
      <c r="T233" s="4">
        <v>117</v>
      </c>
      <c r="U233" s="749" t="s">
        <v>3180</v>
      </c>
      <c r="V233" s="4">
        <v>9</v>
      </c>
      <c r="W233" s="1" t="s">
        <v>3312</v>
      </c>
      <c r="X233" s="3">
        <v>8.65</v>
      </c>
      <c r="Y233" s="1" t="s">
        <v>3104</v>
      </c>
      <c r="Z233" s="40">
        <v>25.3</v>
      </c>
      <c r="AA233" s="1233" t="s">
        <v>3359</v>
      </c>
      <c r="AB233" s="3">
        <v>0.28971308607417773</v>
      </c>
      <c r="AC233" s="53" t="s">
        <v>3324</v>
      </c>
      <c r="AD233" s="42">
        <v>0.104</v>
      </c>
      <c r="AE233" s="1" t="s">
        <v>3220</v>
      </c>
      <c r="AF233" s="238">
        <v>0.01</v>
      </c>
      <c r="AG233" s="1" t="s">
        <v>3241</v>
      </c>
      <c r="AH233" s="3">
        <v>0</v>
      </c>
      <c r="AI233" s="325" t="s">
        <v>3451</v>
      </c>
      <c r="AJ233" s="4">
        <v>0.03</v>
      </c>
      <c r="AK233" s="1310" t="s">
        <v>3096</v>
      </c>
      <c r="AL233" s="4">
        <v>2.7E-2</v>
      </c>
      <c r="AM233" s="1" t="s">
        <v>3101</v>
      </c>
      <c r="AN233" s="3">
        <v>0.12</v>
      </c>
      <c r="AO233" s="1" t="s">
        <v>475</v>
      </c>
      <c r="AP233" s="34">
        <v>3.5499999999999997E-2</v>
      </c>
      <c r="AQ233" s="749" t="s">
        <v>3172</v>
      </c>
      <c r="AR233" s="37">
        <v>1.7141999999999999</v>
      </c>
      <c r="AS233" s="1" t="s">
        <v>3434</v>
      </c>
      <c r="AT233" s="151">
        <v>-4.0000000000000002E-4</v>
      </c>
      <c r="AU233" s="1" t="s">
        <v>3244</v>
      </c>
      <c r="AV233" s="3">
        <v>0</v>
      </c>
      <c r="AW233" s="1233" t="s">
        <v>3123</v>
      </c>
      <c r="AX233" s="1234">
        <v>-4.0000000000000002E-4</v>
      </c>
      <c r="AY233" s="1" t="s">
        <v>3200</v>
      </c>
      <c r="AZ233" s="749" t="s">
        <v>3177</v>
      </c>
      <c r="BA233" s="34">
        <v>0</v>
      </c>
    </row>
    <row r="234" spans="19:53">
      <c r="S234" s="1" t="s">
        <v>3261</v>
      </c>
      <c r="T234" s="49">
        <v>117</v>
      </c>
      <c r="U234" s="749" t="s">
        <v>3164</v>
      </c>
      <c r="V234" s="31">
        <v>9</v>
      </c>
      <c r="W234" s="1" t="s">
        <v>467</v>
      </c>
      <c r="X234" s="4">
        <v>8.5</v>
      </c>
      <c r="Y234" s="1" t="s">
        <v>3432</v>
      </c>
      <c r="Z234" s="40">
        <v>25.3</v>
      </c>
      <c r="AA234" s="1233" t="s">
        <v>3360</v>
      </c>
      <c r="AB234" s="42">
        <v>0.28749999999999998</v>
      </c>
      <c r="AC234" s="1" t="s">
        <v>3494</v>
      </c>
      <c r="AD234" s="42">
        <v>0.10000000000000002</v>
      </c>
      <c r="AE234" s="82" t="s">
        <v>3361</v>
      </c>
      <c r="AF234" s="4">
        <v>0.01</v>
      </c>
      <c r="AG234" s="1" t="s">
        <v>3236</v>
      </c>
      <c r="AH234" s="3">
        <v>0</v>
      </c>
      <c r="AI234" s="1" t="s">
        <v>3223</v>
      </c>
      <c r="AJ234" s="4">
        <v>0.03</v>
      </c>
      <c r="AK234" s="1264" t="s">
        <v>3097</v>
      </c>
      <c r="AL234" s="4">
        <v>2.7E-2</v>
      </c>
      <c r="AM234" s="1" t="s">
        <v>1837</v>
      </c>
      <c r="AN234" s="34">
        <v>0.11</v>
      </c>
      <c r="AO234" s="1" t="s">
        <v>3452</v>
      </c>
      <c r="AP234" s="4">
        <v>3.5000000000000003E-2</v>
      </c>
      <c r="AQ234" s="1" t="s">
        <v>3466</v>
      </c>
      <c r="AR234" s="37">
        <v>1.7141999999999999</v>
      </c>
      <c r="AS234" s="1" t="s">
        <v>421</v>
      </c>
      <c r="AT234" s="151">
        <v>-4.0000000000000002E-4</v>
      </c>
      <c r="AU234" s="1" t="s">
        <v>3238</v>
      </c>
      <c r="AV234" s="37">
        <v>0</v>
      </c>
      <c r="AW234" s="1232" t="s">
        <v>469</v>
      </c>
      <c r="AX234" s="1234">
        <v>-4.0000000000000002E-4</v>
      </c>
      <c r="AY234" s="1" t="s">
        <v>1855</v>
      </c>
      <c r="AZ234" s="749" t="s">
        <v>3178</v>
      </c>
      <c r="BA234" s="34">
        <v>0</v>
      </c>
    </row>
    <row r="235" spans="19:53">
      <c r="S235" s="1" t="s">
        <v>3499</v>
      </c>
      <c r="T235" s="49">
        <v>117</v>
      </c>
      <c r="U235" s="1233" t="s">
        <v>3283</v>
      </c>
      <c r="V235" s="42">
        <v>8.9999999999999982</v>
      </c>
      <c r="W235" s="1" t="s">
        <v>1823</v>
      </c>
      <c r="X235" s="4">
        <v>8.0500000000000007</v>
      </c>
      <c r="Y235" s="1" t="s">
        <v>3323</v>
      </c>
      <c r="Z235" s="4">
        <v>24</v>
      </c>
      <c r="AA235" s="1" t="s">
        <v>481</v>
      </c>
      <c r="AB235" s="4">
        <v>0.28199999999999997</v>
      </c>
      <c r="AC235" s="1" t="s">
        <v>3104</v>
      </c>
      <c r="AD235" s="40">
        <v>0.1</v>
      </c>
      <c r="AE235" s="325" t="s">
        <v>3450</v>
      </c>
      <c r="AF235" s="1234">
        <v>8.9999999999999993E-3</v>
      </c>
      <c r="AG235" s="1" t="s">
        <v>3244</v>
      </c>
      <c r="AH235" s="3">
        <v>0</v>
      </c>
      <c r="AI235" s="82" t="s">
        <v>3224</v>
      </c>
      <c r="AJ235" s="4">
        <v>0.03</v>
      </c>
      <c r="AK235" s="1" t="s">
        <v>1791</v>
      </c>
      <c r="AL235" s="4">
        <v>2.7E-2</v>
      </c>
      <c r="AM235" s="1" t="s">
        <v>3219</v>
      </c>
      <c r="AN235" s="3">
        <v>0.10006997900629812</v>
      </c>
      <c r="AO235" s="325" t="s">
        <v>3451</v>
      </c>
      <c r="AP235" s="4">
        <v>3.5000000000000003E-2</v>
      </c>
      <c r="AQ235" s="1" t="s">
        <v>3099</v>
      </c>
      <c r="AR235" s="42">
        <v>1.6830000000000001</v>
      </c>
      <c r="AS235" s="1" t="s">
        <v>422</v>
      </c>
      <c r="AT235" s="151">
        <v>-4.0000000000000002E-4</v>
      </c>
      <c r="AU235" s="1334" t="s">
        <v>3239</v>
      </c>
      <c r="AV235" s="3">
        <v>0</v>
      </c>
      <c r="AW235" s="1" t="s">
        <v>439</v>
      </c>
      <c r="AX235" s="151">
        <v>-4.0000000000000002E-4</v>
      </c>
      <c r="AY235" s="7" t="s">
        <v>1855</v>
      </c>
      <c r="AZ235" s="749" t="s">
        <v>3179</v>
      </c>
      <c r="BA235" s="34">
        <v>0</v>
      </c>
    </row>
    <row r="236" spans="19:53">
      <c r="S236" s="1" t="s">
        <v>3222</v>
      </c>
      <c r="T236" s="4">
        <v>116</v>
      </c>
      <c r="U236" s="325" t="s">
        <v>3110</v>
      </c>
      <c r="V236" s="42">
        <v>8.870000000000001</v>
      </c>
      <c r="W236" s="1" t="s">
        <v>3095</v>
      </c>
      <c r="X236" s="34">
        <v>8</v>
      </c>
      <c r="Y236" s="1" t="s">
        <v>3237</v>
      </c>
      <c r="Z236" s="31">
        <v>24</v>
      </c>
      <c r="AA236" s="1" t="s">
        <v>1791</v>
      </c>
      <c r="AB236" s="4">
        <v>0.28000000000000003</v>
      </c>
      <c r="AC236" s="1" t="s">
        <v>3432</v>
      </c>
      <c r="AD236" s="40">
        <v>0.1</v>
      </c>
      <c r="AE236" s="325" t="s">
        <v>3451</v>
      </c>
      <c r="AF236" s="1234">
        <v>8.9999999999999993E-3</v>
      </c>
      <c r="AG236" s="1334" t="s">
        <v>3239</v>
      </c>
      <c r="AH236" s="3">
        <v>0</v>
      </c>
      <c r="AI236" s="1" t="s">
        <v>3226</v>
      </c>
      <c r="AJ236" s="34">
        <v>0.03</v>
      </c>
      <c r="AK236" s="1" t="s">
        <v>1777</v>
      </c>
      <c r="AL236" s="4">
        <v>2.5999999999999999E-2</v>
      </c>
      <c r="AM236" s="1" t="s">
        <v>3102</v>
      </c>
      <c r="AN236" s="37">
        <v>0.1</v>
      </c>
      <c r="AO236" s="325" t="s">
        <v>3450</v>
      </c>
      <c r="AP236" s="49">
        <v>3.3333333333333333E-2</v>
      </c>
      <c r="AQ236" s="1232" t="s">
        <v>3443</v>
      </c>
      <c r="AR236" s="37">
        <v>1.6</v>
      </c>
      <c r="AS236" s="1" t="s">
        <v>3095</v>
      </c>
      <c r="AT236" s="151">
        <v>-4.0000000000000002E-4</v>
      </c>
      <c r="AU236" s="749" t="s">
        <v>3343</v>
      </c>
      <c r="AV236" s="37">
        <v>0</v>
      </c>
      <c r="AW236" s="1" t="s">
        <v>1764</v>
      </c>
      <c r="AX236" s="151">
        <v>-4.0000000000000002E-4</v>
      </c>
      <c r="AY236" s="1" t="s">
        <v>1856</v>
      </c>
      <c r="AZ236" s="1" t="s">
        <v>1831</v>
      </c>
      <c r="BA236" s="34">
        <v>0</v>
      </c>
    </row>
    <row r="237" spans="19:53">
      <c r="S237" s="749" t="s">
        <v>3231</v>
      </c>
      <c r="T237" s="34">
        <v>116</v>
      </c>
      <c r="U237" s="1" t="s">
        <v>3111</v>
      </c>
      <c r="V237" s="42">
        <v>8.870000000000001</v>
      </c>
      <c r="W237" s="53" t="s">
        <v>3324</v>
      </c>
      <c r="X237" s="42">
        <v>8</v>
      </c>
      <c r="Y237" s="1" t="s">
        <v>467</v>
      </c>
      <c r="Z237" s="4">
        <v>23.5</v>
      </c>
      <c r="AA237" s="1" t="s">
        <v>3117</v>
      </c>
      <c r="AB237" s="34">
        <v>0.27</v>
      </c>
      <c r="AC237" s="1" t="s">
        <v>1776</v>
      </c>
      <c r="AD237" s="4">
        <v>0.1</v>
      </c>
      <c r="AE237" s="1" t="s">
        <v>3148</v>
      </c>
      <c r="AF237" s="239">
        <v>6.1446999999999995E-3</v>
      </c>
      <c r="AG237" s="749" t="s">
        <v>3343</v>
      </c>
      <c r="AH237" s="37">
        <v>0</v>
      </c>
      <c r="AI237" s="749" t="s">
        <v>3230</v>
      </c>
      <c r="AJ237" s="34">
        <v>0.03</v>
      </c>
      <c r="AK237" s="1233" t="s">
        <v>3242</v>
      </c>
      <c r="AL237" s="1238">
        <v>2.5999999999999999E-2</v>
      </c>
      <c r="AM237" s="1233" t="s">
        <v>3089</v>
      </c>
      <c r="AN237" s="31">
        <v>0.1</v>
      </c>
      <c r="AO237" s="1" t="s">
        <v>3458</v>
      </c>
      <c r="AP237" s="49">
        <v>3.3333333333333333E-2</v>
      </c>
      <c r="AQ237" s="1233" t="s">
        <v>3308</v>
      </c>
      <c r="AR237" s="3">
        <v>1</v>
      </c>
      <c r="AS237" s="1310" t="s">
        <v>3096</v>
      </c>
      <c r="AT237" s="151">
        <v>-4.0000000000000002E-4</v>
      </c>
      <c r="AU237" s="1" t="s">
        <v>3327</v>
      </c>
      <c r="AV237" s="43">
        <v>0</v>
      </c>
      <c r="AW237" s="1233" t="s">
        <v>3126</v>
      </c>
      <c r="AX237" s="1234">
        <v>-4.0000000000000002E-4</v>
      </c>
      <c r="AY237" s="749" t="s">
        <v>3207</v>
      </c>
      <c r="AZ237" s="749" t="s">
        <v>3181</v>
      </c>
      <c r="BA237" s="34">
        <v>0</v>
      </c>
    </row>
    <row r="238" spans="19:53">
      <c r="S238" s="1233" t="s">
        <v>495</v>
      </c>
      <c r="T238" s="31">
        <v>115.99999999999999</v>
      </c>
      <c r="U238" s="1" t="s">
        <v>3136</v>
      </c>
      <c r="V238" s="4">
        <v>8.4</v>
      </c>
      <c r="W238" s="749" t="s">
        <v>3229</v>
      </c>
      <c r="X238" s="4">
        <v>8</v>
      </c>
      <c r="Y238" s="1" t="s">
        <v>3440</v>
      </c>
      <c r="Z238" s="42">
        <v>23</v>
      </c>
      <c r="AA238" s="1" t="s">
        <v>27</v>
      </c>
      <c r="AB238" s="42">
        <v>0.26</v>
      </c>
      <c r="AC238" s="1" t="s">
        <v>460</v>
      </c>
      <c r="AD238" s="4">
        <v>0.1</v>
      </c>
      <c r="AE238" s="749" t="s">
        <v>3163</v>
      </c>
      <c r="AF238" s="68">
        <v>6.1446999999999995E-3</v>
      </c>
      <c r="AG238" s="1" t="s">
        <v>503</v>
      </c>
      <c r="AH238" s="4">
        <v>0</v>
      </c>
      <c r="AI238" s="1" t="s">
        <v>3232</v>
      </c>
      <c r="AJ238" s="34">
        <v>0.03</v>
      </c>
      <c r="AK238" s="1" t="s">
        <v>460</v>
      </c>
      <c r="AL238" s="4">
        <v>2.5000000000000001E-2</v>
      </c>
      <c r="AM238" s="1" t="s">
        <v>1803</v>
      </c>
      <c r="AN238" s="4">
        <v>0.1</v>
      </c>
      <c r="AO238" s="1" t="s">
        <v>3318</v>
      </c>
      <c r="AP238" s="4">
        <v>3.1E-2</v>
      </c>
      <c r="AQ238" s="1" t="s">
        <v>3309</v>
      </c>
      <c r="AR238" s="3">
        <v>1</v>
      </c>
      <c r="AS238" s="1" t="s">
        <v>3116</v>
      </c>
      <c r="AT238" s="151">
        <v>-4.0000000000000002E-4</v>
      </c>
      <c r="AU238" s="1" t="s">
        <v>3332</v>
      </c>
      <c r="AV238" s="37">
        <v>0</v>
      </c>
      <c r="AW238" s="1" t="s">
        <v>3090</v>
      </c>
      <c r="AX238" s="235">
        <v>-4.0000000000000002E-4</v>
      </c>
      <c r="AY238" s="1" t="s">
        <v>3201</v>
      </c>
      <c r="AZ238" s="749" t="s">
        <v>3182</v>
      </c>
      <c r="BA238" s="34">
        <v>0</v>
      </c>
    </row>
    <row r="239" spans="19:53">
      <c r="S239" s="1233" t="s">
        <v>3365</v>
      </c>
      <c r="T239" s="3">
        <v>115</v>
      </c>
      <c r="U239" s="53" t="s">
        <v>3324</v>
      </c>
      <c r="V239" s="42">
        <v>8</v>
      </c>
      <c r="W239" s="749" t="s">
        <v>3288</v>
      </c>
      <c r="X239" s="49">
        <v>8</v>
      </c>
      <c r="Y239" s="1" t="s">
        <v>1779</v>
      </c>
      <c r="Z239" s="4">
        <v>22.4</v>
      </c>
      <c r="AA239" s="1" t="s">
        <v>3445</v>
      </c>
      <c r="AB239" s="3">
        <v>0.24299999999999999</v>
      </c>
      <c r="AC239" s="1233" t="s">
        <v>3308</v>
      </c>
      <c r="AD239" s="3">
        <v>0.1</v>
      </c>
      <c r="AE239" s="749" t="s">
        <v>3149</v>
      </c>
      <c r="AF239" s="239">
        <v>6.1446999999999995E-3</v>
      </c>
      <c r="AG239" s="1" t="s">
        <v>3339</v>
      </c>
      <c r="AH239" s="37">
        <v>0</v>
      </c>
      <c r="AI239" s="1" t="s">
        <v>3233</v>
      </c>
      <c r="AJ239" s="34">
        <v>0.03</v>
      </c>
      <c r="AK239" s="1" t="s">
        <v>1801</v>
      </c>
      <c r="AL239" s="4">
        <v>2.1999999999999999E-2</v>
      </c>
      <c r="AM239" s="1" t="s">
        <v>3452</v>
      </c>
      <c r="AN239" s="4">
        <v>0.1</v>
      </c>
      <c r="AO239" s="1" t="s">
        <v>3104</v>
      </c>
      <c r="AP239" s="40">
        <v>0.03</v>
      </c>
      <c r="AQ239" s="1" t="s">
        <v>3310</v>
      </c>
      <c r="AR239" s="3">
        <v>1</v>
      </c>
      <c r="AS239" s="1" t="s">
        <v>3117</v>
      </c>
      <c r="AT239" s="151">
        <v>-4.0000000000000002E-4</v>
      </c>
      <c r="AU239" s="1" t="s">
        <v>503</v>
      </c>
      <c r="AV239" s="4">
        <v>0</v>
      </c>
      <c r="AW239" s="1" t="s">
        <v>3430</v>
      </c>
      <c r="AX239" s="151">
        <v>-4.0000000000000002E-4</v>
      </c>
      <c r="AY239" s="1" t="s">
        <v>1859</v>
      </c>
      <c r="AZ239" s="749" t="s">
        <v>3162</v>
      </c>
      <c r="BA239" s="34">
        <v>0</v>
      </c>
    </row>
    <row r="240" spans="19:53">
      <c r="S240" s="1" t="s">
        <v>3108</v>
      </c>
      <c r="T240" s="37">
        <v>112</v>
      </c>
      <c r="U240" s="1" t="s">
        <v>3175</v>
      </c>
      <c r="V240" s="34">
        <v>8</v>
      </c>
      <c r="W240" s="1" t="s">
        <v>3282</v>
      </c>
      <c r="X240" s="49">
        <v>8</v>
      </c>
      <c r="Y240" s="1" t="s">
        <v>27</v>
      </c>
      <c r="Z240" s="42">
        <v>22</v>
      </c>
      <c r="AA240" s="1" t="s">
        <v>3446</v>
      </c>
      <c r="AB240" s="3">
        <v>0.24299999999999999</v>
      </c>
      <c r="AC240" s="1" t="s">
        <v>3309</v>
      </c>
      <c r="AD240" s="3">
        <v>0.1</v>
      </c>
      <c r="AE240" s="1233" t="s">
        <v>3115</v>
      </c>
      <c r="AF240" s="234">
        <v>4.4999999999999997E-3</v>
      </c>
      <c r="AG240" s="1" t="s">
        <v>3358</v>
      </c>
      <c r="AH240" s="37">
        <v>0</v>
      </c>
      <c r="AI240" s="749" t="s">
        <v>3263</v>
      </c>
      <c r="AJ240" s="31">
        <v>0.03</v>
      </c>
      <c r="AK240" s="749" t="s">
        <v>3130</v>
      </c>
      <c r="AL240" s="3">
        <v>2.0019599608007841E-2</v>
      </c>
      <c r="AM240" s="325" t="s">
        <v>3451</v>
      </c>
      <c r="AN240" s="4">
        <v>0.1</v>
      </c>
      <c r="AO240" s="1" t="s">
        <v>3432</v>
      </c>
      <c r="AP240" s="40">
        <v>0.03</v>
      </c>
      <c r="AQ240" s="1" t="s">
        <v>3311</v>
      </c>
      <c r="AR240" s="3">
        <v>1</v>
      </c>
      <c r="AS240" s="1264" t="s">
        <v>3097</v>
      </c>
      <c r="AT240" s="151">
        <v>-4.0000000000000002E-4</v>
      </c>
      <c r="AU240" s="1" t="s">
        <v>3339</v>
      </c>
      <c r="AV240" s="37">
        <v>0</v>
      </c>
      <c r="AW240" s="1" t="s">
        <v>3428</v>
      </c>
      <c r="AX240" s="151">
        <v>-4.0000000000000002E-4</v>
      </c>
      <c r="AY240" s="1" t="s">
        <v>3202</v>
      </c>
      <c r="AZ240" s="1232" t="s">
        <v>3443</v>
      </c>
      <c r="BA240" s="34">
        <v>0</v>
      </c>
    </row>
    <row r="241" spans="19:53">
      <c r="S241" s="1" t="s">
        <v>3313</v>
      </c>
      <c r="T241" s="31">
        <v>106</v>
      </c>
      <c r="U241" s="1" t="s">
        <v>1837</v>
      </c>
      <c r="V241" s="4">
        <v>8</v>
      </c>
      <c r="W241" s="53" t="s">
        <v>3292</v>
      </c>
      <c r="X241" s="233">
        <v>8</v>
      </c>
      <c r="Y241" s="749" t="s">
        <v>3288</v>
      </c>
      <c r="Z241" s="49">
        <v>21</v>
      </c>
      <c r="AA241" s="325" t="s">
        <v>3110</v>
      </c>
      <c r="AB241" s="42">
        <v>0.23</v>
      </c>
      <c r="AC241" s="1" t="s">
        <v>3310</v>
      </c>
      <c r="AD241" s="3">
        <v>0.1</v>
      </c>
      <c r="AE241" s="1" t="s">
        <v>3114</v>
      </c>
      <c r="AF241" s="234">
        <v>4.4999999999999997E-3</v>
      </c>
      <c r="AG241" s="1233" t="s">
        <v>3359</v>
      </c>
      <c r="AH241" s="37">
        <v>0</v>
      </c>
      <c r="AI241" s="1" t="s">
        <v>3455</v>
      </c>
      <c r="AJ241" s="42">
        <v>2.9914529914529919E-2</v>
      </c>
      <c r="AK241" s="1" t="s">
        <v>3435</v>
      </c>
      <c r="AL241" s="3">
        <v>2.0019599608007841E-2</v>
      </c>
      <c r="AM241" s="1" t="s">
        <v>3223</v>
      </c>
      <c r="AN241" s="4">
        <v>0.1</v>
      </c>
      <c r="AO241" s="1" t="s">
        <v>1803</v>
      </c>
      <c r="AP241" s="4">
        <v>0.03</v>
      </c>
      <c r="AQ241" s="1" t="s">
        <v>3312</v>
      </c>
      <c r="AR241" s="3">
        <v>1</v>
      </c>
      <c r="AS241" s="53" t="s">
        <v>3139</v>
      </c>
      <c r="AT241" s="151">
        <v>-4.0000000000000002E-4</v>
      </c>
      <c r="AU241" s="1" t="s">
        <v>3358</v>
      </c>
      <c r="AV241" s="37">
        <v>0</v>
      </c>
      <c r="AW241" s="1233" t="s">
        <v>3429</v>
      </c>
      <c r="AX241" s="1234">
        <v>-4.0000000000000002E-4</v>
      </c>
      <c r="AY241" s="1233" t="s">
        <v>1861</v>
      </c>
      <c r="AZ241" s="1" t="s">
        <v>91</v>
      </c>
      <c r="BA241" s="34">
        <v>0</v>
      </c>
    </row>
    <row r="242" spans="19:53">
      <c r="S242" s="749" t="s">
        <v>3229</v>
      </c>
      <c r="T242" s="4">
        <v>104</v>
      </c>
      <c r="U242" s="1" t="s">
        <v>1776</v>
      </c>
      <c r="V242" s="4">
        <v>7.7</v>
      </c>
      <c r="W242" s="1" t="s">
        <v>1801</v>
      </c>
      <c r="X242" s="4">
        <v>7</v>
      </c>
      <c r="Y242" s="1" t="s">
        <v>3282</v>
      </c>
      <c r="Z242" s="49">
        <v>21</v>
      </c>
      <c r="AA242" s="1" t="s">
        <v>3111</v>
      </c>
      <c r="AB242" s="42">
        <v>0.23</v>
      </c>
      <c r="AC242" s="1" t="s">
        <v>3311</v>
      </c>
      <c r="AD242" s="3">
        <v>0.1</v>
      </c>
      <c r="AE242" s="1" t="s">
        <v>3237</v>
      </c>
      <c r="AF242" s="238">
        <v>4.0000000000000001E-3</v>
      </c>
      <c r="AG242" s="1233" t="s">
        <v>3360</v>
      </c>
      <c r="AH242" s="37">
        <v>0</v>
      </c>
      <c r="AI242" s="1" t="s">
        <v>1811</v>
      </c>
      <c r="AJ242" s="4">
        <v>2.75E-2</v>
      </c>
      <c r="AK242" s="1233" t="s">
        <v>3124</v>
      </c>
      <c r="AL242" s="3">
        <v>2.0019599608007841E-2</v>
      </c>
      <c r="AM242" s="325" t="s">
        <v>3460</v>
      </c>
      <c r="AN242" s="34">
        <v>0.1</v>
      </c>
      <c r="AO242" s="1" t="s">
        <v>3448</v>
      </c>
      <c r="AP242" s="1144">
        <v>0.03</v>
      </c>
      <c r="AQ242" s="53" t="s">
        <v>3324</v>
      </c>
      <c r="AR242" s="42">
        <v>1</v>
      </c>
      <c r="AS242" s="1" t="s">
        <v>1773</v>
      </c>
      <c r="AT242" s="151">
        <v>-4.0000000000000002E-4</v>
      </c>
      <c r="AU242" s="1233" t="s">
        <v>3359</v>
      </c>
      <c r="AV242" s="37">
        <v>0</v>
      </c>
      <c r="AW242" s="1" t="s">
        <v>3107</v>
      </c>
      <c r="AX242" s="151">
        <v>-4.0000000000000002E-4</v>
      </c>
      <c r="AY242" s="1" t="s">
        <v>3472</v>
      </c>
      <c r="AZ242" s="749" t="s">
        <v>3183</v>
      </c>
      <c r="BA242" s="34">
        <v>0</v>
      </c>
    </row>
    <row r="243" spans="19:53">
      <c r="S243" s="53" t="s">
        <v>3210</v>
      </c>
      <c r="T243" s="3">
        <v>102</v>
      </c>
      <c r="U243" s="749" t="s">
        <v>3183</v>
      </c>
      <c r="V243" s="3">
        <v>7.7</v>
      </c>
      <c r="W243" s="1" t="s">
        <v>3313</v>
      </c>
      <c r="X243" s="31">
        <v>7</v>
      </c>
      <c r="Y243" s="53" t="s">
        <v>3292</v>
      </c>
      <c r="Z243" s="233">
        <v>21</v>
      </c>
      <c r="AA243" s="1" t="s">
        <v>3104</v>
      </c>
      <c r="AB243" s="40">
        <v>0.22</v>
      </c>
      <c r="AC243" s="1" t="s">
        <v>3312</v>
      </c>
      <c r="AD243" s="3">
        <v>0.1</v>
      </c>
      <c r="AE243" s="749" t="s">
        <v>3306</v>
      </c>
      <c r="AF243" s="239">
        <v>1.8989999999999999E-3</v>
      </c>
      <c r="AG243" s="325" t="s">
        <v>3362</v>
      </c>
      <c r="AH243" s="37">
        <v>0</v>
      </c>
      <c r="AI243" s="1" t="s">
        <v>475</v>
      </c>
      <c r="AJ243" s="34">
        <v>2.75E-2</v>
      </c>
      <c r="AK243" s="1" t="s">
        <v>3125</v>
      </c>
      <c r="AL243" s="3">
        <v>2.0019599608007841E-2</v>
      </c>
      <c r="AM243" s="1" t="s">
        <v>3225</v>
      </c>
      <c r="AN243" s="4">
        <v>0.1</v>
      </c>
      <c r="AO243" s="1" t="s">
        <v>3447</v>
      </c>
      <c r="AP243" s="1144">
        <v>0.03</v>
      </c>
      <c r="AQ243" s="749" t="s">
        <v>3178</v>
      </c>
      <c r="AR243" s="34">
        <v>1</v>
      </c>
      <c r="AS243" s="1" t="s">
        <v>3315</v>
      </c>
      <c r="AT243" s="151">
        <v>-4.0000000000000002E-4</v>
      </c>
      <c r="AU243" s="1233" t="s">
        <v>3360</v>
      </c>
      <c r="AV243" s="37">
        <v>0</v>
      </c>
      <c r="AW243" s="1" t="s">
        <v>3108</v>
      </c>
      <c r="AX243" s="151">
        <v>-4.0000000000000002E-4</v>
      </c>
      <c r="AY243" s="1" t="s">
        <v>3197</v>
      </c>
      <c r="AZ243" s="1" t="s">
        <v>1835</v>
      </c>
      <c r="BA243" s="34">
        <v>0</v>
      </c>
    </row>
    <row r="244" spans="19:53">
      <c r="S244" s="1" t="s">
        <v>3223</v>
      </c>
      <c r="T244" s="4">
        <v>100</v>
      </c>
      <c r="U244" s="325" t="s">
        <v>3155</v>
      </c>
      <c r="V244" s="49">
        <v>7.5</v>
      </c>
      <c r="W244" s="1" t="s">
        <v>460</v>
      </c>
      <c r="X244" s="4">
        <v>6</v>
      </c>
      <c r="Y244" s="1" t="s">
        <v>1783</v>
      </c>
      <c r="Z244" s="4">
        <v>20.7</v>
      </c>
      <c r="AA244" s="1" t="s">
        <v>3432</v>
      </c>
      <c r="AB244" s="40">
        <v>0.22</v>
      </c>
      <c r="AC244" s="1" t="s">
        <v>1785</v>
      </c>
      <c r="AD244" s="4">
        <v>0.1</v>
      </c>
      <c r="AE244" s="325" t="s">
        <v>3298</v>
      </c>
      <c r="AF244" s="239">
        <v>1.8989999999999999E-3</v>
      </c>
      <c r="AG244" s="1233" t="s">
        <v>3245</v>
      </c>
      <c r="AH244" s="3">
        <v>0</v>
      </c>
      <c r="AI244" s="1" t="s">
        <v>3091</v>
      </c>
      <c r="AJ244" s="3">
        <v>2.7029937540383374E-2</v>
      </c>
      <c r="AK244" s="1" t="s">
        <v>3433</v>
      </c>
      <c r="AL244" s="3">
        <v>2.0019599608007841E-2</v>
      </c>
      <c r="AM244" s="1" t="s">
        <v>3227</v>
      </c>
      <c r="AN244" s="4">
        <v>0.1</v>
      </c>
      <c r="AO244" s="1" t="s">
        <v>3445</v>
      </c>
      <c r="AP244" s="3">
        <v>2.8500000000000001E-2</v>
      </c>
      <c r="AQ244" s="1" t="s">
        <v>1831</v>
      </c>
      <c r="AR244" s="34">
        <v>1</v>
      </c>
      <c r="AS244" s="1" t="s">
        <v>1776</v>
      </c>
      <c r="AT244" s="151">
        <v>-4.0000000000000002E-4</v>
      </c>
      <c r="AU244" s="82" t="s">
        <v>3361</v>
      </c>
      <c r="AV244" s="4">
        <v>0</v>
      </c>
      <c r="AW244" s="1" t="s">
        <v>3437</v>
      </c>
      <c r="AX244" s="151">
        <v>-4.0000000000000002E-4</v>
      </c>
      <c r="AY244" s="1" t="s">
        <v>3203</v>
      </c>
      <c r="AZ244" s="1" t="s">
        <v>3148</v>
      </c>
      <c r="BA244" s="34">
        <v>0</v>
      </c>
    </row>
    <row r="245" spans="19:53">
      <c r="S245" s="1" t="s">
        <v>3226</v>
      </c>
      <c r="T245" s="34">
        <v>100</v>
      </c>
      <c r="U245" s="1233" t="s">
        <v>3126</v>
      </c>
      <c r="V245" s="49">
        <v>7</v>
      </c>
      <c r="W245" s="1" t="s">
        <v>3439</v>
      </c>
      <c r="X245" s="42">
        <v>6</v>
      </c>
      <c r="Y245" s="1" t="s">
        <v>3093</v>
      </c>
      <c r="Z245" s="49">
        <v>20</v>
      </c>
      <c r="AA245" s="1" t="s">
        <v>3234</v>
      </c>
      <c r="AB245" s="34">
        <v>0.22</v>
      </c>
      <c r="AC245" s="1" t="s">
        <v>3284</v>
      </c>
      <c r="AD245" s="3">
        <v>0.1</v>
      </c>
      <c r="AE245" s="1233" t="s">
        <v>3307</v>
      </c>
      <c r="AF245" s="234">
        <v>1.2501000000000001E-3</v>
      </c>
      <c r="AG245" s="1233" t="s">
        <v>3365</v>
      </c>
      <c r="AH245" s="239">
        <v>0</v>
      </c>
      <c r="AI245" s="1" t="s">
        <v>3092</v>
      </c>
      <c r="AJ245" s="3">
        <v>2.7029937540383374E-2</v>
      </c>
      <c r="AK245" s="1" t="s">
        <v>3117</v>
      </c>
      <c r="AL245" s="34">
        <v>0.02</v>
      </c>
      <c r="AM245" s="1" t="s">
        <v>3228</v>
      </c>
      <c r="AN245" s="4">
        <v>0.1</v>
      </c>
      <c r="AO245" s="1" t="s">
        <v>3446</v>
      </c>
      <c r="AP245" s="3">
        <v>2.8500000000000001E-2</v>
      </c>
      <c r="AQ245" s="749" t="s">
        <v>3180</v>
      </c>
      <c r="AR245" s="4">
        <v>1</v>
      </c>
      <c r="AS245" s="1" t="s">
        <v>1777</v>
      </c>
      <c r="AT245" s="151">
        <v>-4.0000000000000002E-4</v>
      </c>
      <c r="AU245" s="325" t="s">
        <v>3362</v>
      </c>
      <c r="AV245" s="37">
        <v>0</v>
      </c>
      <c r="AW245" s="1" t="s">
        <v>3136</v>
      </c>
      <c r="AX245" s="151">
        <v>-4.0000000000000002E-4</v>
      </c>
      <c r="AY245" s="24" t="s">
        <v>3204</v>
      </c>
      <c r="AZ245" s="24" t="s">
        <v>1837</v>
      </c>
      <c r="BA245" s="4">
        <v>0</v>
      </c>
    </row>
    <row r="246" spans="19:53">
      <c r="S246" s="24" t="s">
        <v>1831</v>
      </c>
      <c r="T246" s="4">
        <v>100</v>
      </c>
      <c r="U246" s="24" t="s">
        <v>3090</v>
      </c>
      <c r="V246" s="3">
        <v>7</v>
      </c>
      <c r="W246" s="24" t="s">
        <v>3261</v>
      </c>
      <c r="X246" s="49">
        <v>6</v>
      </c>
      <c r="Y246" s="24" t="s">
        <v>1776</v>
      </c>
      <c r="Z246" s="4">
        <v>20</v>
      </c>
      <c r="AA246" s="1239" t="s">
        <v>3115</v>
      </c>
      <c r="AB246" s="3">
        <v>0.21000000000000002</v>
      </c>
      <c r="AC246" s="24" t="s">
        <v>3285</v>
      </c>
      <c r="AD246" s="3">
        <v>0.1</v>
      </c>
      <c r="AE246" s="1336" t="s">
        <v>3296</v>
      </c>
      <c r="AF246" s="234">
        <v>5.3200000000000003E-4</v>
      </c>
      <c r="AG246" s="1336" t="s">
        <v>3249</v>
      </c>
      <c r="AH246" s="239">
        <v>0</v>
      </c>
      <c r="AI246" s="1244" t="s">
        <v>3215</v>
      </c>
      <c r="AJ246" s="1236">
        <v>2.7E-2</v>
      </c>
      <c r="AK246" s="24" t="s">
        <v>3104</v>
      </c>
      <c r="AL246" s="40">
        <v>0.02</v>
      </c>
      <c r="AM246" s="24" t="s">
        <v>3226</v>
      </c>
      <c r="AN246" s="34">
        <v>0.1</v>
      </c>
      <c r="AO246" s="24" t="s">
        <v>1791</v>
      </c>
      <c r="AP246" s="4">
        <v>2.5999999999999999E-2</v>
      </c>
      <c r="AQ246" s="492" t="s">
        <v>3184</v>
      </c>
      <c r="AR246" s="3">
        <v>1</v>
      </c>
      <c r="AS246" s="24" t="s">
        <v>1801</v>
      </c>
      <c r="AT246" s="151">
        <v>-4.0000000000000002E-4</v>
      </c>
      <c r="AU246" s="1239" t="s">
        <v>3245</v>
      </c>
      <c r="AV246" s="3">
        <v>0</v>
      </c>
      <c r="AW246" s="24" t="s">
        <v>3112</v>
      </c>
      <c r="AX246" s="151">
        <v>-4.0000000000000002E-4</v>
      </c>
      <c r="AY246" s="1" t="s">
        <v>3240</v>
      </c>
      <c r="AZ246" s="749" t="s">
        <v>3163</v>
      </c>
      <c r="BA246" s="34">
        <v>0</v>
      </c>
    </row>
    <row r="247" spans="19:53">
      <c r="S247" s="1" t="s">
        <v>3232</v>
      </c>
      <c r="T247" s="34">
        <v>95</v>
      </c>
      <c r="U247" s="749" t="s">
        <v>3267</v>
      </c>
      <c r="V247" s="4">
        <v>7</v>
      </c>
      <c r="W247" s="1" t="s">
        <v>3499</v>
      </c>
      <c r="X247" s="49">
        <v>6</v>
      </c>
      <c r="Y247" s="1" t="s">
        <v>468</v>
      </c>
      <c r="Z247" s="4">
        <v>20</v>
      </c>
      <c r="AA247" s="1" t="s">
        <v>3114</v>
      </c>
      <c r="AB247" s="3">
        <v>0.21000000000000002</v>
      </c>
      <c r="AC247" s="1233" t="s">
        <v>495</v>
      </c>
      <c r="AD247" s="31">
        <v>0.1</v>
      </c>
      <c r="AE247" s="1" t="s">
        <v>3514</v>
      </c>
      <c r="AF247" s="69">
        <v>5.3200000000000003E-4</v>
      </c>
      <c r="AG247" s="82" t="s">
        <v>3251</v>
      </c>
      <c r="AH247" s="4">
        <v>0</v>
      </c>
      <c r="AI247" s="749" t="s">
        <v>3229</v>
      </c>
      <c r="AJ247" s="4">
        <v>2.7E-2</v>
      </c>
      <c r="AK247" s="1" t="s">
        <v>3432</v>
      </c>
      <c r="AL247" s="40">
        <v>0.02</v>
      </c>
      <c r="AM247" s="1" t="s">
        <v>3233</v>
      </c>
      <c r="AN247" s="34">
        <v>0.1</v>
      </c>
      <c r="AO247" s="1" t="s">
        <v>1776</v>
      </c>
      <c r="AP247" s="4">
        <v>0.02</v>
      </c>
      <c r="AQ247" s="1" t="s">
        <v>3469</v>
      </c>
      <c r="AR247" s="3">
        <v>1</v>
      </c>
      <c r="AS247" s="1" t="s">
        <v>1778</v>
      </c>
      <c r="AT247" s="151">
        <v>-4.0000000000000002E-4</v>
      </c>
      <c r="AU247" s="82" t="s">
        <v>3246</v>
      </c>
      <c r="AV247" s="4">
        <v>0</v>
      </c>
      <c r="AW247" s="1" t="s">
        <v>3087</v>
      </c>
      <c r="AX247" s="235">
        <v>-4.0000000000000002E-4</v>
      </c>
      <c r="AY247" s="1233" t="s">
        <v>3242</v>
      </c>
      <c r="AZ247" s="749" t="s">
        <v>3149</v>
      </c>
      <c r="BA247" s="34">
        <v>0</v>
      </c>
    </row>
    <row r="248" spans="19:53">
      <c r="S248" s="1" t="s">
        <v>3169</v>
      </c>
      <c r="T248" s="34">
        <v>95</v>
      </c>
      <c r="U248" s="1310" t="s">
        <v>3248</v>
      </c>
      <c r="V248" s="4">
        <v>7</v>
      </c>
      <c r="W248" s="1232" t="s">
        <v>1963</v>
      </c>
      <c r="X248" s="1144">
        <v>6</v>
      </c>
      <c r="Y248" s="53" t="s">
        <v>3324</v>
      </c>
      <c r="Z248" s="42">
        <v>20</v>
      </c>
      <c r="AA248" s="1233" t="s">
        <v>3100</v>
      </c>
      <c r="AB248" s="3">
        <v>0.21</v>
      </c>
      <c r="AC248" s="1" t="s">
        <v>3313</v>
      </c>
      <c r="AD248" s="31">
        <v>9.799999999999999E-2</v>
      </c>
      <c r="AE248" s="1233" t="s">
        <v>3283</v>
      </c>
      <c r="AF248" s="239">
        <v>2.5999999999999998E-5</v>
      </c>
      <c r="AG248" s="1233" t="s">
        <v>3252</v>
      </c>
      <c r="AH248" s="1234">
        <v>0</v>
      </c>
      <c r="AI248" s="749" t="s">
        <v>3209</v>
      </c>
      <c r="AJ248" s="4">
        <v>2.1999999999999999E-2</v>
      </c>
      <c r="AK248" s="325" t="s">
        <v>3110</v>
      </c>
      <c r="AL248" s="42">
        <v>0.02</v>
      </c>
      <c r="AM248" s="1" t="s">
        <v>3234</v>
      </c>
      <c r="AN248" s="34">
        <v>0.1</v>
      </c>
      <c r="AO248" s="1" t="s">
        <v>3238</v>
      </c>
      <c r="AP248" s="42">
        <v>0.02</v>
      </c>
      <c r="AQ248" s="749" t="s">
        <v>3164</v>
      </c>
      <c r="AR248" s="31">
        <v>1</v>
      </c>
      <c r="AS248" s="1" t="s">
        <v>460</v>
      </c>
      <c r="AT248" s="151">
        <v>-4.0000000000000002E-4</v>
      </c>
      <c r="AU248" s="749" t="s">
        <v>3267</v>
      </c>
      <c r="AV248" s="4">
        <v>0</v>
      </c>
      <c r="AW248" s="1" t="s">
        <v>3434</v>
      </c>
      <c r="AX248" s="151">
        <v>-4.0000000000000002E-4</v>
      </c>
      <c r="AY248" s="1" t="s">
        <v>3241</v>
      </c>
      <c r="AZ248" s="1" t="s">
        <v>3465</v>
      </c>
      <c r="BA248" s="34">
        <v>0</v>
      </c>
    </row>
    <row r="249" spans="19:53">
      <c r="S249" s="82" t="s">
        <v>3224</v>
      </c>
      <c r="T249" s="4">
        <v>90</v>
      </c>
      <c r="U249" s="1233" t="s">
        <v>3444</v>
      </c>
      <c r="V249" s="31">
        <v>6.2</v>
      </c>
      <c r="W249" s="1232" t="s">
        <v>3145</v>
      </c>
      <c r="X249" s="42">
        <v>5</v>
      </c>
      <c r="Y249" s="749" t="s">
        <v>3209</v>
      </c>
      <c r="Z249" s="4">
        <v>20</v>
      </c>
      <c r="AA249" s="1" t="s">
        <v>3101</v>
      </c>
      <c r="AB249" s="3">
        <v>0.21</v>
      </c>
      <c r="AC249" s="1" t="s">
        <v>481</v>
      </c>
      <c r="AD249" s="4">
        <v>9.5799999999999996E-2</v>
      </c>
      <c r="AE249" s="1" t="s">
        <v>3150</v>
      </c>
      <c r="AF249" s="68">
        <v>0</v>
      </c>
      <c r="AG249" s="1" t="s">
        <v>3494</v>
      </c>
      <c r="AH249" s="37">
        <v>0</v>
      </c>
      <c r="AI249" s="1" t="s">
        <v>3318</v>
      </c>
      <c r="AJ249" s="4">
        <v>2.1000000000000001E-2</v>
      </c>
      <c r="AK249" s="1" t="s">
        <v>3111</v>
      </c>
      <c r="AL249" s="42">
        <v>0.02</v>
      </c>
      <c r="AM249" s="749" t="s">
        <v>3229</v>
      </c>
      <c r="AN249" s="4">
        <v>9.9000000000000005E-2</v>
      </c>
      <c r="AO249" s="1" t="s">
        <v>3313</v>
      </c>
      <c r="AP249" s="31">
        <v>1.4E-2</v>
      </c>
      <c r="AQ249" s="1" t="s">
        <v>3153</v>
      </c>
      <c r="AR249" s="42">
        <v>1</v>
      </c>
      <c r="AS249" s="1" t="s">
        <v>3309</v>
      </c>
      <c r="AT249" s="151">
        <v>-4.0000000000000002E-4</v>
      </c>
      <c r="AU249" s="1" t="s">
        <v>3268</v>
      </c>
      <c r="AV249" s="34">
        <v>0</v>
      </c>
      <c r="AW249" s="1" t="s">
        <v>421</v>
      </c>
      <c r="AX249" s="235">
        <v>-4.0000000000000002E-4</v>
      </c>
      <c r="AY249" s="1" t="s">
        <v>3236</v>
      </c>
      <c r="AZ249" s="1" t="s">
        <v>3150</v>
      </c>
      <c r="BA249" s="34">
        <v>0</v>
      </c>
    </row>
    <row r="250" spans="19:53">
      <c r="S250" s="1233" t="s">
        <v>498</v>
      </c>
      <c r="T250" s="42">
        <v>88.999999999999986</v>
      </c>
      <c r="U250" s="1233" t="s">
        <v>3308</v>
      </c>
      <c r="V250" s="3">
        <v>6</v>
      </c>
      <c r="W250" s="1" t="s">
        <v>3200</v>
      </c>
      <c r="X250" s="3">
        <v>4.8956999999999997</v>
      </c>
      <c r="Y250" s="1" t="s">
        <v>1801</v>
      </c>
      <c r="Z250" s="4">
        <v>19.3</v>
      </c>
      <c r="AA250" s="1232" t="s">
        <v>3145</v>
      </c>
      <c r="AB250" s="42">
        <v>0.20800000000000002</v>
      </c>
      <c r="AC250" s="325" t="s">
        <v>3110</v>
      </c>
      <c r="AD250" s="42">
        <v>8.4000000000000005E-2</v>
      </c>
      <c r="AE250" s="1233" t="s">
        <v>1861</v>
      </c>
      <c r="AF250" s="67">
        <v>0</v>
      </c>
      <c r="AG250" s="749" t="s">
        <v>3272</v>
      </c>
      <c r="AH250" s="3">
        <v>0</v>
      </c>
      <c r="AI250" s="1" t="s">
        <v>3104</v>
      </c>
      <c r="AJ250" s="40">
        <v>0.02</v>
      </c>
      <c r="AK250" s="1" t="s">
        <v>1773</v>
      </c>
      <c r="AL250" s="4">
        <v>0.02</v>
      </c>
      <c r="AM250" s="82" t="s">
        <v>3361</v>
      </c>
      <c r="AN250" s="4">
        <v>7.0000000000000007E-2</v>
      </c>
      <c r="AO250" s="1" t="s">
        <v>3497</v>
      </c>
      <c r="AP250" s="42">
        <v>1.0020449897750512E-2</v>
      </c>
      <c r="AQ250" s="1" t="s">
        <v>3154</v>
      </c>
      <c r="AR250" s="42">
        <v>1</v>
      </c>
      <c r="AS250" s="1" t="s">
        <v>3310</v>
      </c>
      <c r="AT250" s="151">
        <v>-4.0000000000000002E-4</v>
      </c>
      <c r="AU250" s="1310" t="s">
        <v>3248</v>
      </c>
      <c r="AV250" s="4">
        <v>0</v>
      </c>
      <c r="AW250" s="1" t="s">
        <v>422</v>
      </c>
      <c r="AX250" s="235">
        <v>-4.0000000000000002E-4</v>
      </c>
      <c r="AY250" s="1" t="s">
        <v>3243</v>
      </c>
      <c r="AZ250" s="1" t="s">
        <v>3151</v>
      </c>
      <c r="BA250" s="34">
        <v>0</v>
      </c>
    </row>
    <row r="251" spans="19:53">
      <c r="S251" s="1" t="s">
        <v>3219</v>
      </c>
      <c r="T251" s="3">
        <v>86.500349895031505</v>
      </c>
      <c r="U251" s="1" t="s">
        <v>3309</v>
      </c>
      <c r="V251" s="3">
        <v>6</v>
      </c>
      <c r="W251" s="749" t="s">
        <v>3357</v>
      </c>
      <c r="X251" s="49">
        <v>4</v>
      </c>
      <c r="Y251" s="1" t="s">
        <v>1766</v>
      </c>
      <c r="Z251" s="34">
        <v>18</v>
      </c>
      <c r="AA251" s="1" t="s">
        <v>3214</v>
      </c>
      <c r="AB251" s="34">
        <v>0.20499999999999999</v>
      </c>
      <c r="AC251" s="1" t="s">
        <v>3111</v>
      </c>
      <c r="AD251" s="42">
        <v>8.4000000000000005E-2</v>
      </c>
      <c r="AE251" s="1" t="s">
        <v>3197</v>
      </c>
      <c r="AF251" s="4">
        <v>0</v>
      </c>
      <c r="AG251" s="1233" t="s">
        <v>3276</v>
      </c>
      <c r="AH251" s="1234">
        <v>0</v>
      </c>
      <c r="AI251" s="1" t="s">
        <v>3432</v>
      </c>
      <c r="AJ251" s="40">
        <v>0.02</v>
      </c>
      <c r="AK251" s="1" t="s">
        <v>1778</v>
      </c>
      <c r="AL251" s="4">
        <v>0.02</v>
      </c>
      <c r="AM251" s="749" t="s">
        <v>3357</v>
      </c>
      <c r="AN251" s="49">
        <v>6.6666666666666666E-2</v>
      </c>
      <c r="AO251" s="1232" t="s">
        <v>1963</v>
      </c>
      <c r="AP251" s="1144">
        <v>0.01</v>
      </c>
      <c r="AQ251" s="1" t="s">
        <v>3156</v>
      </c>
      <c r="AR251" s="42">
        <v>1</v>
      </c>
      <c r="AS251" s="1" t="s">
        <v>3311</v>
      </c>
      <c r="AT251" s="151">
        <v>-4.0000000000000002E-4</v>
      </c>
      <c r="AU251" s="82" t="s">
        <v>3251</v>
      </c>
      <c r="AV251" s="4">
        <v>0</v>
      </c>
      <c r="AW251" s="1" t="s">
        <v>3095</v>
      </c>
      <c r="AX251" s="151">
        <v>-4.0000000000000002E-4</v>
      </c>
      <c r="AY251" s="1" t="s">
        <v>3244</v>
      </c>
      <c r="AZ251" s="1233" t="s">
        <v>3444</v>
      </c>
      <c r="BA251" s="34">
        <v>0</v>
      </c>
    </row>
    <row r="252" spans="19:53">
      <c r="S252" s="1" t="s">
        <v>3227</v>
      </c>
      <c r="T252" s="4">
        <v>80</v>
      </c>
      <c r="U252" s="1" t="s">
        <v>3310</v>
      </c>
      <c r="V252" s="3">
        <v>6</v>
      </c>
      <c r="W252" s="1" t="s">
        <v>3104</v>
      </c>
      <c r="X252" s="40">
        <v>3</v>
      </c>
      <c r="Y252" s="1" t="s">
        <v>3094</v>
      </c>
      <c r="Z252" s="34">
        <v>18</v>
      </c>
      <c r="AA252" s="1" t="s">
        <v>1773</v>
      </c>
      <c r="AB252" s="4">
        <v>0.2</v>
      </c>
      <c r="AC252" s="1" t="s">
        <v>1773</v>
      </c>
      <c r="AD252" s="4">
        <v>8.2000000000000003E-2</v>
      </c>
      <c r="AE252" s="53" t="s">
        <v>3204</v>
      </c>
      <c r="AF252" s="67">
        <v>0</v>
      </c>
      <c r="AG252" s="1" t="s">
        <v>3497</v>
      </c>
      <c r="AH252" s="239">
        <v>0</v>
      </c>
      <c r="AI252" s="1" t="s">
        <v>1776</v>
      </c>
      <c r="AJ252" s="4">
        <v>0.02</v>
      </c>
      <c r="AK252" s="1233" t="s">
        <v>3308</v>
      </c>
      <c r="AL252" s="3">
        <v>0.02</v>
      </c>
      <c r="AM252" s="1233" t="s">
        <v>3208</v>
      </c>
      <c r="AN252" s="3">
        <v>5.0420168067226892E-2</v>
      </c>
      <c r="AO252" s="1232" t="s">
        <v>3145</v>
      </c>
      <c r="AP252" s="42">
        <v>8.9999999999999993E-3</v>
      </c>
      <c r="AQ252" s="1233" t="s">
        <v>3242</v>
      </c>
      <c r="AR252" s="1238">
        <v>1</v>
      </c>
      <c r="AS252" s="1" t="s">
        <v>3439</v>
      </c>
      <c r="AT252" s="151">
        <v>-4.0000000000000002E-4</v>
      </c>
      <c r="AU252" s="1233" t="s">
        <v>3252</v>
      </c>
      <c r="AV252" s="37">
        <v>0</v>
      </c>
      <c r="AW252" s="1310" t="s">
        <v>3096</v>
      </c>
      <c r="AX252" s="235">
        <v>-4.0000000000000002E-4</v>
      </c>
      <c r="AY252" s="1" t="s">
        <v>3237</v>
      </c>
      <c r="AZ252" s="749" t="s">
        <v>3184</v>
      </c>
      <c r="BA252" s="34">
        <v>0</v>
      </c>
    </row>
    <row r="253" spans="19:53">
      <c r="S253" s="1" t="s">
        <v>3228</v>
      </c>
      <c r="T253" s="4">
        <v>80</v>
      </c>
      <c r="U253" s="1" t="s">
        <v>3311</v>
      </c>
      <c r="V253" s="3">
        <v>6</v>
      </c>
      <c r="W253" s="1" t="s">
        <v>3432</v>
      </c>
      <c r="X253" s="40">
        <v>3</v>
      </c>
      <c r="Y253" s="1" t="s">
        <v>3320</v>
      </c>
      <c r="Z253" s="4">
        <v>18</v>
      </c>
      <c r="AA253" s="1" t="s">
        <v>1803</v>
      </c>
      <c r="AB253" s="4">
        <v>0.2</v>
      </c>
      <c r="AC253" s="1" t="s">
        <v>1790</v>
      </c>
      <c r="AD253" s="4">
        <v>0.08</v>
      </c>
      <c r="AE253" s="1233" t="s">
        <v>3242</v>
      </c>
      <c r="AF253" s="1345">
        <v>0</v>
      </c>
      <c r="AG253" s="749" t="s">
        <v>3289</v>
      </c>
      <c r="AH253" s="4">
        <v>0</v>
      </c>
      <c r="AI253" s="1233" t="s">
        <v>3308</v>
      </c>
      <c r="AJ253" s="3">
        <v>0.02</v>
      </c>
      <c r="AK253" s="1" t="s">
        <v>3309</v>
      </c>
      <c r="AL253" s="3">
        <v>0.02</v>
      </c>
      <c r="AM253" s="53" t="s">
        <v>3324</v>
      </c>
      <c r="AN253" s="42">
        <v>4.2000000000000003E-2</v>
      </c>
      <c r="AO253" s="1233" t="s">
        <v>3100</v>
      </c>
      <c r="AP253" s="37">
        <v>7.1999999999999998E-3</v>
      </c>
      <c r="AQ253" s="749" t="s">
        <v>3306</v>
      </c>
      <c r="AR253" s="37">
        <v>0.71099999999999997</v>
      </c>
      <c r="AS253" s="1" t="s">
        <v>3312</v>
      </c>
      <c r="AT253" s="151">
        <v>-4.0000000000000002E-4</v>
      </c>
      <c r="AU253" s="1" t="s">
        <v>3494</v>
      </c>
      <c r="AV253" s="37">
        <v>0</v>
      </c>
      <c r="AW253" s="1" t="s">
        <v>3116</v>
      </c>
      <c r="AX253" s="235">
        <v>-4.0000000000000002E-4</v>
      </c>
      <c r="AY253" s="1" t="s">
        <v>3238</v>
      </c>
      <c r="AZ253" s="749" t="s">
        <v>3185</v>
      </c>
      <c r="BA253" s="4">
        <v>0</v>
      </c>
    </row>
    <row r="254" spans="19:53">
      <c r="S254" s="1" t="s">
        <v>3217</v>
      </c>
      <c r="T254" s="34">
        <v>71.400000000000006</v>
      </c>
      <c r="U254" s="1" t="s">
        <v>3312</v>
      </c>
      <c r="V254" s="3">
        <v>6</v>
      </c>
      <c r="W254" s="1" t="s">
        <v>1785</v>
      </c>
      <c r="X254" s="4">
        <v>3</v>
      </c>
      <c r="Y254" s="1" t="s">
        <v>3423</v>
      </c>
      <c r="Z254" s="3">
        <v>17</v>
      </c>
      <c r="AA254" s="1" t="s">
        <v>3227</v>
      </c>
      <c r="AB254" s="4">
        <v>0.2</v>
      </c>
      <c r="AC254" s="1" t="s">
        <v>3319</v>
      </c>
      <c r="AD254" s="4">
        <v>0.08</v>
      </c>
      <c r="AE254" s="1334" t="s">
        <v>3239</v>
      </c>
      <c r="AF254" s="69">
        <v>0</v>
      </c>
      <c r="AG254" s="1154" t="s">
        <v>3290</v>
      </c>
      <c r="AH254" s="4">
        <v>0</v>
      </c>
      <c r="AI254" s="1" t="s">
        <v>3309</v>
      </c>
      <c r="AJ254" s="3">
        <v>0.02</v>
      </c>
      <c r="AK254" s="1" t="s">
        <v>3310</v>
      </c>
      <c r="AL254" s="3">
        <v>0.02</v>
      </c>
      <c r="AM254" s="1" t="s">
        <v>3099</v>
      </c>
      <c r="AN254" s="42">
        <v>2.64E-2</v>
      </c>
      <c r="AO254" s="1" t="s">
        <v>3101</v>
      </c>
      <c r="AP254" s="37">
        <v>7.1999999999999998E-3</v>
      </c>
      <c r="AQ254" s="325" t="s">
        <v>3298</v>
      </c>
      <c r="AR254" s="37">
        <v>0.71099999999999997</v>
      </c>
      <c r="AS254" s="1" t="s">
        <v>1779</v>
      </c>
      <c r="AT254" s="151">
        <v>-4.0000000000000002E-4</v>
      </c>
      <c r="AU254" s="749" t="s">
        <v>3262</v>
      </c>
      <c r="AV254" s="4">
        <v>0</v>
      </c>
      <c r="AW254" s="1" t="s">
        <v>3117</v>
      </c>
      <c r="AX254" s="235">
        <v>-4.0000000000000002E-4</v>
      </c>
      <c r="AY254" s="1" t="s">
        <v>1880</v>
      </c>
      <c r="AZ254" s="1" t="s">
        <v>3469</v>
      </c>
      <c r="BA254" s="34">
        <v>0</v>
      </c>
    </row>
    <row r="255" spans="19:53">
      <c r="S255" s="1232" t="s">
        <v>3145</v>
      </c>
      <c r="T255" s="42">
        <v>65</v>
      </c>
      <c r="U255" s="1" t="s">
        <v>1791</v>
      </c>
      <c r="V255" s="4">
        <v>6</v>
      </c>
      <c r="W255" s="749" t="s">
        <v>3184</v>
      </c>
      <c r="X255" s="3">
        <v>3</v>
      </c>
      <c r="Y255" s="1233" t="s">
        <v>3115</v>
      </c>
      <c r="Z255" s="3">
        <v>16.399999999999999</v>
      </c>
      <c r="AA255" s="1" t="s">
        <v>3228</v>
      </c>
      <c r="AB255" s="4">
        <v>0.2</v>
      </c>
      <c r="AC255" s="1" t="s">
        <v>3323</v>
      </c>
      <c r="AD255" s="4">
        <v>7.4999999999999997E-2</v>
      </c>
      <c r="AE255" s="325" t="s">
        <v>3362</v>
      </c>
      <c r="AF255" s="1342">
        <v>0</v>
      </c>
      <c r="AG255" s="749" t="s">
        <v>3291</v>
      </c>
      <c r="AH255" s="4">
        <v>0</v>
      </c>
      <c r="AI255" s="1" t="s">
        <v>3310</v>
      </c>
      <c r="AJ255" s="3">
        <v>0.02</v>
      </c>
      <c r="AK255" s="1" t="s">
        <v>3311</v>
      </c>
      <c r="AL255" s="3">
        <v>0.02</v>
      </c>
      <c r="AM255" s="1" t="s">
        <v>3238</v>
      </c>
      <c r="AN255" s="42">
        <v>1.7999999999999999E-2</v>
      </c>
      <c r="AO255" s="1" t="s">
        <v>3237</v>
      </c>
      <c r="AP255" s="31">
        <v>4.0000000000000001E-3</v>
      </c>
      <c r="AQ255" s="749" t="s">
        <v>3464</v>
      </c>
      <c r="AR255" s="4">
        <v>0.66</v>
      </c>
      <c r="AS255" s="1" t="s">
        <v>481</v>
      </c>
      <c r="AT255" s="151">
        <v>-4.0000000000000002E-4</v>
      </c>
      <c r="AU255" s="1" t="s">
        <v>3271</v>
      </c>
      <c r="AV255" s="3">
        <v>0</v>
      </c>
      <c r="AW255" s="1264" t="s">
        <v>3097</v>
      </c>
      <c r="AX255" s="151">
        <v>-4.0000000000000002E-4</v>
      </c>
      <c r="AY255" s="1239" t="s">
        <v>3239</v>
      </c>
      <c r="AZ255" s="492" t="s">
        <v>3193</v>
      </c>
      <c r="BA255" s="34">
        <v>0</v>
      </c>
    </row>
    <row r="256" spans="19:53">
      <c r="S256" s="1336" t="s">
        <v>3460</v>
      </c>
      <c r="T256" s="34">
        <v>65</v>
      </c>
      <c r="U256" s="1336" t="s">
        <v>3161</v>
      </c>
      <c r="V256" s="3">
        <v>6</v>
      </c>
      <c r="W256" s="24" t="s">
        <v>3469</v>
      </c>
      <c r="X256" s="3">
        <v>3</v>
      </c>
      <c r="Y256" s="24" t="s">
        <v>3114</v>
      </c>
      <c r="Z256" s="3">
        <v>16.399999999999999</v>
      </c>
      <c r="AA256" s="492" t="s">
        <v>3209</v>
      </c>
      <c r="AB256" s="4">
        <v>0.2</v>
      </c>
      <c r="AC256" s="24" t="s">
        <v>1778</v>
      </c>
      <c r="AD256" s="4">
        <v>7.0000000000000007E-2</v>
      </c>
      <c r="AE256" s="492" t="s">
        <v>3289</v>
      </c>
      <c r="AF256" s="67">
        <v>0</v>
      </c>
      <c r="AG256" s="1239" t="s">
        <v>3283</v>
      </c>
      <c r="AH256" s="37">
        <v>0</v>
      </c>
      <c r="AI256" s="24" t="s">
        <v>3311</v>
      </c>
      <c r="AJ256" s="3">
        <v>0.02</v>
      </c>
      <c r="AK256" s="24" t="s">
        <v>3439</v>
      </c>
      <c r="AL256" s="42">
        <v>0.02</v>
      </c>
      <c r="AM256" s="1239" t="s">
        <v>3242</v>
      </c>
      <c r="AN256" s="1238">
        <v>1.6E-2</v>
      </c>
      <c r="AO256" s="492" t="s">
        <v>3306</v>
      </c>
      <c r="AP256" s="37">
        <v>3.0999999999999999E-3</v>
      </c>
      <c r="AQ256" s="492" t="s">
        <v>3183</v>
      </c>
      <c r="AR256" s="4">
        <v>0.66</v>
      </c>
      <c r="AS256" s="24" t="s">
        <v>3313</v>
      </c>
      <c r="AT256" s="151">
        <v>-4.0000000000000002E-4</v>
      </c>
      <c r="AU256" s="1244" t="s">
        <v>3503</v>
      </c>
      <c r="AV256" s="1234">
        <v>0</v>
      </c>
      <c r="AW256" s="24" t="s">
        <v>3139</v>
      </c>
      <c r="AX256" s="151">
        <v>-4.0000000000000002E-4</v>
      </c>
      <c r="AY256" s="1" t="s">
        <v>3476</v>
      </c>
      <c r="AZ256" s="749" t="s">
        <v>3164</v>
      </c>
      <c r="BA256" s="34">
        <v>0</v>
      </c>
    </row>
    <row r="257" spans="19:53">
      <c r="S257" s="1" t="s">
        <v>3270</v>
      </c>
      <c r="T257" s="31">
        <v>65</v>
      </c>
      <c r="U257" s="1" t="s">
        <v>1827</v>
      </c>
      <c r="V257" s="4">
        <v>6</v>
      </c>
      <c r="W257" s="1" t="s">
        <v>3284</v>
      </c>
      <c r="X257" s="3">
        <v>3</v>
      </c>
      <c r="Y257" s="1233" t="s">
        <v>3242</v>
      </c>
      <c r="Z257" s="1238">
        <v>16</v>
      </c>
      <c r="AA257" s="749" t="s">
        <v>3357</v>
      </c>
      <c r="AB257" s="49">
        <v>0.2</v>
      </c>
      <c r="AC257" s="1" t="s">
        <v>3440</v>
      </c>
      <c r="AD257" s="42">
        <v>5.9363636363636355E-2</v>
      </c>
      <c r="AE257" s="1233" t="s">
        <v>498</v>
      </c>
      <c r="AF257" s="1342">
        <v>0</v>
      </c>
      <c r="AG257" s="1233" t="s">
        <v>498</v>
      </c>
      <c r="AH257" s="37">
        <v>0</v>
      </c>
      <c r="AI257" s="1" t="s">
        <v>3312</v>
      </c>
      <c r="AJ257" s="3">
        <v>0.02</v>
      </c>
      <c r="AK257" s="1" t="s">
        <v>3312</v>
      </c>
      <c r="AL257" s="3">
        <v>0.02</v>
      </c>
      <c r="AM257" s="749" t="s">
        <v>3306</v>
      </c>
      <c r="AN257" s="37">
        <v>1.3899999999999999E-2</v>
      </c>
      <c r="AO257" s="325" t="s">
        <v>3298</v>
      </c>
      <c r="AP257" s="37">
        <v>3.0999999999999999E-3</v>
      </c>
      <c r="AQ257" s="749" t="s">
        <v>3183</v>
      </c>
      <c r="AR257" s="37">
        <v>0.66</v>
      </c>
      <c r="AS257" s="1" t="s">
        <v>1781</v>
      </c>
      <c r="AT257" s="151">
        <v>-4.0000000000000002E-4</v>
      </c>
      <c r="AU257" s="1233" t="s">
        <v>3276</v>
      </c>
      <c r="AV257" s="1234">
        <v>0</v>
      </c>
      <c r="AW257" s="1" t="s">
        <v>1773</v>
      </c>
      <c r="AX257" s="151">
        <v>-4.0000000000000002E-4</v>
      </c>
      <c r="AY257" s="749" t="s">
        <v>3343</v>
      </c>
      <c r="AZ257" s="1" t="s">
        <v>3153</v>
      </c>
      <c r="BA257" s="34">
        <v>0</v>
      </c>
    </row>
    <row r="258" spans="19:53">
      <c r="S258" s="325" t="s">
        <v>3216</v>
      </c>
      <c r="T258" s="31">
        <v>57</v>
      </c>
      <c r="U258" s="1" t="s">
        <v>503</v>
      </c>
      <c r="V258" s="4">
        <v>6</v>
      </c>
      <c r="W258" s="1" t="s">
        <v>3285</v>
      </c>
      <c r="X258" s="3">
        <v>3</v>
      </c>
      <c r="Y258" s="1" t="s">
        <v>1777</v>
      </c>
      <c r="Z258" s="4">
        <v>15.7</v>
      </c>
      <c r="AA258" s="1" t="s">
        <v>3284</v>
      </c>
      <c r="AB258" s="3">
        <v>0.2</v>
      </c>
      <c r="AC258" s="1" t="s">
        <v>3423</v>
      </c>
      <c r="AD258" s="3">
        <v>0.05</v>
      </c>
      <c r="AE258" s="1" t="s">
        <v>3284</v>
      </c>
      <c r="AF258" s="36">
        <v>0</v>
      </c>
      <c r="AG258" s="1" t="s">
        <v>3284</v>
      </c>
      <c r="AH258" s="37">
        <v>0</v>
      </c>
      <c r="AI258" s="325" t="s">
        <v>3450</v>
      </c>
      <c r="AJ258" s="49">
        <v>0.02</v>
      </c>
      <c r="AK258" s="1" t="s">
        <v>468</v>
      </c>
      <c r="AL258" s="4">
        <v>0.02</v>
      </c>
      <c r="AM258" s="325" t="s">
        <v>3298</v>
      </c>
      <c r="AN258" s="37">
        <v>1.3899999999999999E-2</v>
      </c>
      <c r="AO258" s="1" t="s">
        <v>3339</v>
      </c>
      <c r="AP258" s="37">
        <v>9.7199999999999999E-4</v>
      </c>
      <c r="AQ258" s="1" t="s">
        <v>3339</v>
      </c>
      <c r="AR258" s="37">
        <v>0.24299999999999997</v>
      </c>
      <c r="AS258" s="1" t="s">
        <v>3317</v>
      </c>
      <c r="AT258" s="151">
        <v>-4.0000000000000002E-4</v>
      </c>
      <c r="AU258" s="1233" t="s">
        <v>3256</v>
      </c>
      <c r="AV258" s="1234">
        <v>0</v>
      </c>
      <c r="AW258" s="1" t="s">
        <v>1779</v>
      </c>
      <c r="AX258" s="151">
        <v>-4.0000000000000002E-4</v>
      </c>
      <c r="AY258" s="1" t="s">
        <v>3477</v>
      </c>
      <c r="AZ258" s="1" t="s">
        <v>3466</v>
      </c>
      <c r="BA258" s="34">
        <v>0</v>
      </c>
    </row>
    <row r="259" spans="19:53">
      <c r="S259" s="1" t="s">
        <v>503</v>
      </c>
      <c r="T259" s="4">
        <v>52</v>
      </c>
      <c r="U259" s="325" t="s">
        <v>3132</v>
      </c>
      <c r="V259" s="4">
        <v>5.8</v>
      </c>
      <c r="W259" s="1233" t="s">
        <v>3242</v>
      </c>
      <c r="X259" s="1238">
        <v>2</v>
      </c>
      <c r="Y259" s="1" t="s">
        <v>1773</v>
      </c>
      <c r="Z259" s="4">
        <v>14</v>
      </c>
      <c r="AA259" s="1" t="s">
        <v>3285</v>
      </c>
      <c r="AB259" s="3">
        <v>0.2</v>
      </c>
      <c r="AC259" s="1233" t="s">
        <v>3360</v>
      </c>
      <c r="AD259" s="42">
        <v>2.4999999999999998E-2</v>
      </c>
      <c r="AE259" s="1" t="s">
        <v>3285</v>
      </c>
      <c r="AF259" s="234">
        <v>0</v>
      </c>
      <c r="AG259" s="1" t="s">
        <v>3285</v>
      </c>
      <c r="AH259" s="37">
        <v>0</v>
      </c>
      <c r="AI259" s="1" t="s">
        <v>3458</v>
      </c>
      <c r="AJ259" s="49">
        <v>0.02</v>
      </c>
      <c r="AK259" s="1" t="s">
        <v>3440</v>
      </c>
      <c r="AL259" s="42">
        <v>1.9999999999999997E-2</v>
      </c>
      <c r="AM259" s="1233" t="s">
        <v>3307</v>
      </c>
      <c r="AN259" s="3">
        <v>6.6600000000000001E-3</v>
      </c>
      <c r="AO259" s="325" t="s">
        <v>3296</v>
      </c>
      <c r="AP259" s="37">
        <v>1.164E-4</v>
      </c>
      <c r="AQ259" s="1" t="s">
        <v>2261</v>
      </c>
      <c r="AR259" s="37">
        <v>0.21</v>
      </c>
      <c r="AS259" s="1" t="s">
        <v>1783</v>
      </c>
      <c r="AT259" s="151">
        <v>-4.0000000000000002E-4</v>
      </c>
      <c r="AU259" s="1" t="s">
        <v>3497</v>
      </c>
      <c r="AV259" s="37">
        <v>0</v>
      </c>
      <c r="AW259" s="1" t="s">
        <v>481</v>
      </c>
      <c r="AX259" s="151">
        <v>-4.0000000000000002E-4</v>
      </c>
      <c r="AY259" s="1" t="s">
        <v>2261</v>
      </c>
      <c r="AZ259" s="1" t="s">
        <v>3154</v>
      </c>
      <c r="BA259" s="34">
        <v>0</v>
      </c>
    </row>
    <row r="260" spans="19:53">
      <c r="S260" s="1233" t="s">
        <v>3283</v>
      </c>
      <c r="T260" s="42">
        <v>49</v>
      </c>
      <c r="U260" s="1" t="s">
        <v>27</v>
      </c>
      <c r="V260" s="42">
        <v>5</v>
      </c>
      <c r="W260" s="1" t="s">
        <v>503</v>
      </c>
      <c r="X260" s="4">
        <v>2</v>
      </c>
      <c r="Y260" s="1232" t="s">
        <v>3145</v>
      </c>
      <c r="Z260" s="42">
        <v>13</v>
      </c>
      <c r="AA260" s="1" t="s">
        <v>3423</v>
      </c>
      <c r="AB260" s="3">
        <v>0.2</v>
      </c>
      <c r="AC260" s="749" t="s">
        <v>3209</v>
      </c>
      <c r="AD260" s="4">
        <v>2.1000000000000001E-2</v>
      </c>
      <c r="AE260" s="1310" t="s">
        <v>3294</v>
      </c>
      <c r="AF260" s="4">
        <v>0</v>
      </c>
      <c r="AG260" s="1310" t="s">
        <v>3294</v>
      </c>
      <c r="AH260" s="4">
        <v>0</v>
      </c>
      <c r="AI260" s="1" t="s">
        <v>1801</v>
      </c>
      <c r="AJ260" s="4">
        <v>1.7999999999999999E-2</v>
      </c>
      <c r="AK260" s="1" t="s">
        <v>3494</v>
      </c>
      <c r="AL260" s="42">
        <v>1.888544891640867E-2</v>
      </c>
      <c r="AM260" s="1232" t="s">
        <v>3503</v>
      </c>
      <c r="AN260" s="3">
        <v>3.5026269702276708E-3</v>
      </c>
      <c r="AO260" s="1" t="s">
        <v>3514</v>
      </c>
      <c r="AP260" s="37">
        <v>1.164E-4</v>
      </c>
      <c r="AQ260" s="1233" t="s">
        <v>3307</v>
      </c>
      <c r="AR260" s="3">
        <v>0.20610000000000001</v>
      </c>
      <c r="AS260" s="1" t="s">
        <v>1784</v>
      </c>
      <c r="AT260" s="151">
        <v>-4.0000000000000002E-4</v>
      </c>
      <c r="AU260" s="749" t="s">
        <v>3289</v>
      </c>
      <c r="AV260" s="4">
        <v>0</v>
      </c>
      <c r="AW260" s="1" t="s">
        <v>3313</v>
      </c>
      <c r="AX260" s="151">
        <v>-4.0000000000000002E-4</v>
      </c>
      <c r="AY260" s="1310" t="s">
        <v>3344</v>
      </c>
      <c r="AZ260" s="325" t="s">
        <v>3155</v>
      </c>
      <c r="BA260" s="34">
        <v>0</v>
      </c>
    </row>
    <row r="261" spans="19:53">
      <c r="S261" s="1232" t="s">
        <v>3215</v>
      </c>
      <c r="T261" s="4">
        <v>47.547547547547559</v>
      </c>
      <c r="U261" s="749" t="s">
        <v>3464</v>
      </c>
      <c r="V261" s="4">
        <v>5</v>
      </c>
      <c r="W261" s="1" t="s">
        <v>3237</v>
      </c>
      <c r="X261" s="31">
        <v>1.6</v>
      </c>
      <c r="Y261" s="1" t="s">
        <v>460</v>
      </c>
      <c r="Z261" s="4">
        <v>12.5</v>
      </c>
      <c r="AA261" s="1" t="s">
        <v>3217</v>
      </c>
      <c r="AB261" s="34">
        <v>0.17</v>
      </c>
      <c r="AC261" s="749" t="s">
        <v>3343</v>
      </c>
      <c r="AD261" s="3">
        <v>2.0293911826452064E-2</v>
      </c>
      <c r="AE261" s="325" t="s">
        <v>3513</v>
      </c>
      <c r="AF261" s="1342">
        <v>0</v>
      </c>
      <c r="AG261" s="325" t="s">
        <v>3513</v>
      </c>
      <c r="AH261" s="43">
        <v>0</v>
      </c>
      <c r="AI261" s="1233" t="s">
        <v>3089</v>
      </c>
      <c r="AJ261" s="31">
        <v>0.01</v>
      </c>
      <c r="AK261" s="1232" t="s">
        <v>3145</v>
      </c>
      <c r="AL261" s="42">
        <v>1.2E-2</v>
      </c>
      <c r="AM261" s="749" t="s">
        <v>3504</v>
      </c>
      <c r="AN261" s="3">
        <v>3.5026269702276708E-3</v>
      </c>
      <c r="AO261" s="1334" t="s">
        <v>3239</v>
      </c>
      <c r="AP261" s="3">
        <v>0</v>
      </c>
      <c r="AQ261" s="1" t="s">
        <v>3166</v>
      </c>
      <c r="AR261" s="4">
        <v>0.06</v>
      </c>
      <c r="AS261" s="1" t="s">
        <v>1785</v>
      </c>
      <c r="AT261" s="151">
        <v>-4.0000000000000002E-4</v>
      </c>
      <c r="AU261" s="1232" t="s">
        <v>1963</v>
      </c>
      <c r="AV261" s="1234">
        <v>0</v>
      </c>
      <c r="AW261" s="1" t="s">
        <v>1781</v>
      </c>
      <c r="AX261" s="151">
        <v>-4.0000000000000002E-4</v>
      </c>
      <c r="AY261" s="1" t="s">
        <v>484</v>
      </c>
      <c r="AZ261" s="1" t="s">
        <v>3156</v>
      </c>
      <c r="BA261" s="34">
        <v>0</v>
      </c>
    </row>
    <row r="262" spans="19:53">
      <c r="S262" s="749" t="s">
        <v>3184</v>
      </c>
      <c r="T262" s="3">
        <v>45</v>
      </c>
      <c r="U262" s="749" t="s">
        <v>3159</v>
      </c>
      <c r="V262" s="3">
        <v>5</v>
      </c>
      <c r="W262" s="1" t="s">
        <v>3368</v>
      </c>
      <c r="X262" s="49">
        <v>1.5429999999999999</v>
      </c>
      <c r="Y262" s="1" t="s">
        <v>3240</v>
      </c>
      <c r="Z262" s="4">
        <v>12.000000000000002</v>
      </c>
      <c r="AA262" s="1" t="s">
        <v>3313</v>
      </c>
      <c r="AB262" s="31">
        <v>0.153</v>
      </c>
      <c r="AC262" s="1" t="s">
        <v>3358</v>
      </c>
      <c r="AD262" s="3">
        <v>2.0293911826452064E-2</v>
      </c>
      <c r="AE262" s="53" t="s">
        <v>3421</v>
      </c>
      <c r="AF262" s="1">
        <v>0</v>
      </c>
      <c r="AG262" s="1" t="s">
        <v>3249</v>
      </c>
      <c r="AH262" s="239">
        <v>0</v>
      </c>
      <c r="AI262" s="1" t="s">
        <v>468</v>
      </c>
      <c r="AJ262" s="4">
        <v>0.01</v>
      </c>
      <c r="AK262" s="1" t="s">
        <v>3497</v>
      </c>
      <c r="AL262" s="42">
        <v>1.0020449897750512E-2</v>
      </c>
      <c r="AM262" s="1" t="s">
        <v>3254</v>
      </c>
      <c r="AN262" s="3">
        <v>3.5026269702276708E-3</v>
      </c>
      <c r="AO262" s="749" t="s">
        <v>3343</v>
      </c>
      <c r="AP262" s="37">
        <v>0</v>
      </c>
      <c r="AQ262" s="325" t="s">
        <v>3296</v>
      </c>
      <c r="AR262" s="37">
        <v>6.8000000000000005E-3</v>
      </c>
      <c r="AS262" s="1" t="s">
        <v>1789</v>
      </c>
      <c r="AT262" s="151">
        <v>-4.0000000000000002E-4</v>
      </c>
      <c r="AU262" s="1233" t="s">
        <v>3283</v>
      </c>
      <c r="AV262" s="37">
        <v>0</v>
      </c>
      <c r="AW262" s="1" t="s">
        <v>1784</v>
      </c>
      <c r="AX262" s="151">
        <v>-4.0000000000000002E-4</v>
      </c>
      <c r="AY262" s="749" t="s">
        <v>3325</v>
      </c>
      <c r="AZ262" s="749" t="s">
        <v>3183</v>
      </c>
      <c r="BA262" s="34">
        <v>0</v>
      </c>
    </row>
    <row r="263" spans="19:53">
      <c r="S263" s="1" t="s">
        <v>3469</v>
      </c>
      <c r="T263" s="3">
        <v>45</v>
      </c>
      <c r="U263" s="1" t="s">
        <v>3147</v>
      </c>
      <c r="V263" s="49">
        <v>5</v>
      </c>
      <c r="W263" s="1" t="s">
        <v>3240</v>
      </c>
      <c r="X263" s="4">
        <v>1.0000000000000002</v>
      </c>
      <c r="Y263" s="1" t="s">
        <v>3241</v>
      </c>
      <c r="Z263" s="4">
        <v>12.000000000000002</v>
      </c>
      <c r="AA263" s="325" t="s">
        <v>3216</v>
      </c>
      <c r="AB263" s="31">
        <v>0.13999999999999999</v>
      </c>
      <c r="AC263" s="1233" t="s">
        <v>3359</v>
      </c>
      <c r="AD263" s="3">
        <v>2.0293911826452064E-2</v>
      </c>
      <c r="AE263" s="1" t="s">
        <v>439</v>
      </c>
      <c r="AF263" s="151">
        <v>-4.0000000000000002E-4</v>
      </c>
      <c r="AG263" s="1233" t="s">
        <v>495</v>
      </c>
      <c r="AH263" s="3">
        <v>0</v>
      </c>
      <c r="AI263" s="1" t="s">
        <v>481</v>
      </c>
      <c r="AJ263" s="4">
        <v>0.01</v>
      </c>
      <c r="AK263" s="1233" t="s">
        <v>3089</v>
      </c>
      <c r="AL263" s="31">
        <v>0.01</v>
      </c>
      <c r="AM263" s="1" t="s">
        <v>3277</v>
      </c>
      <c r="AN263" s="3">
        <v>3.5026269702276708E-3</v>
      </c>
      <c r="AO263" s="1" t="s">
        <v>503</v>
      </c>
      <c r="AP263" s="4">
        <v>0</v>
      </c>
      <c r="AQ263" s="1" t="s">
        <v>3514</v>
      </c>
      <c r="AR263" s="37">
        <v>6.8000000000000005E-3</v>
      </c>
      <c r="AS263" s="1" t="s">
        <v>1790</v>
      </c>
      <c r="AT263" s="151">
        <v>-4.0000000000000002E-4</v>
      </c>
      <c r="AU263" s="1233" t="s">
        <v>498</v>
      </c>
      <c r="AV263" s="37">
        <v>0</v>
      </c>
      <c r="AW263" s="1" t="s">
        <v>1789</v>
      </c>
      <c r="AX263" s="151">
        <v>-4.0000000000000002E-4</v>
      </c>
      <c r="AY263" s="1" t="s">
        <v>1881</v>
      </c>
      <c r="AZ263" s="1233" t="s">
        <v>3194</v>
      </c>
      <c r="BA263" s="34">
        <v>0</v>
      </c>
    </row>
    <row r="264" spans="19:53">
      <c r="S264" s="1" t="s">
        <v>3497</v>
      </c>
      <c r="T264" s="42">
        <v>44</v>
      </c>
      <c r="U264" s="749" t="s">
        <v>3183</v>
      </c>
      <c r="V264" s="4">
        <v>5</v>
      </c>
      <c r="W264" s="1" t="s">
        <v>3241</v>
      </c>
      <c r="X264" s="4">
        <v>1.0000000000000002</v>
      </c>
      <c r="Y264" s="1" t="s">
        <v>3236</v>
      </c>
      <c r="Z264" s="4">
        <v>12.000000000000002</v>
      </c>
      <c r="AA264" s="1232" t="s">
        <v>3215</v>
      </c>
      <c r="AB264" s="4">
        <v>0.11678345011678345</v>
      </c>
      <c r="AC264" s="1" t="s">
        <v>3099</v>
      </c>
      <c r="AD264" s="42">
        <v>1.7000000000000001E-2</v>
      </c>
      <c r="AE264" s="1" t="s">
        <v>3430</v>
      </c>
      <c r="AF264" s="151">
        <v>-4.0000000000000002E-4</v>
      </c>
      <c r="AG264" s="53" t="s">
        <v>3421</v>
      </c>
      <c r="AH264" s="1">
        <v>0</v>
      </c>
      <c r="AI264" s="53" t="s">
        <v>3324</v>
      </c>
      <c r="AJ264" s="42">
        <v>0.01</v>
      </c>
      <c r="AK264" s="53" t="s">
        <v>3324</v>
      </c>
      <c r="AL264" s="42">
        <v>0.01</v>
      </c>
      <c r="AM264" s="1" t="s">
        <v>3258</v>
      </c>
      <c r="AN264" s="3">
        <v>3.5026269702276708E-3</v>
      </c>
      <c r="AO264" s="1" t="s">
        <v>3358</v>
      </c>
      <c r="AP264" s="37">
        <v>0</v>
      </c>
      <c r="AQ264" s="749" t="s">
        <v>3193</v>
      </c>
      <c r="AR264" s="37">
        <v>0</v>
      </c>
      <c r="AS264" s="1" t="s">
        <v>1791</v>
      </c>
      <c r="AT264" s="151">
        <v>-4.0000000000000002E-4</v>
      </c>
      <c r="AU264" s="1" t="s">
        <v>3284</v>
      </c>
      <c r="AV264" s="37">
        <v>0</v>
      </c>
      <c r="AW264" s="1" t="s">
        <v>1791</v>
      </c>
      <c r="AX264" s="151">
        <v>-4.0000000000000002E-4</v>
      </c>
      <c r="AY264" s="1" t="s">
        <v>3327</v>
      </c>
      <c r="AZ264" s="1233" t="s">
        <v>3157</v>
      </c>
      <c r="BA264" s="34">
        <v>0</v>
      </c>
    </row>
    <row r="265" spans="19:53">
      <c r="S265" s="1" t="s">
        <v>3494</v>
      </c>
      <c r="T265" s="42">
        <v>41.699999999999996</v>
      </c>
      <c r="U265" s="749" t="s">
        <v>3185</v>
      </c>
      <c r="V265" s="3">
        <v>5</v>
      </c>
      <c r="W265" s="1" t="s">
        <v>3236</v>
      </c>
      <c r="X265" s="4">
        <v>1.0000000000000002</v>
      </c>
      <c r="Y265" s="1" t="s">
        <v>3244</v>
      </c>
      <c r="Z265" s="4">
        <v>12.000000000000002</v>
      </c>
      <c r="AA265" s="1" t="s">
        <v>3457</v>
      </c>
      <c r="AB265" s="4">
        <v>0.105</v>
      </c>
      <c r="AC265" s="749" t="s">
        <v>3306</v>
      </c>
      <c r="AD265" s="37">
        <v>8.069999999999999E-3</v>
      </c>
      <c r="AE265" s="1" t="s">
        <v>3428</v>
      </c>
      <c r="AF265" s="235">
        <v>-4.0000000000000002E-4</v>
      </c>
      <c r="AG265" s="1" t="s">
        <v>3317</v>
      </c>
      <c r="AH265" s="151">
        <v>-4.0000000000000002E-4</v>
      </c>
      <c r="AI265" s="1" t="s">
        <v>3219</v>
      </c>
      <c r="AJ265" s="3">
        <v>9.7970608817354796E-3</v>
      </c>
      <c r="AK265" s="1" t="s">
        <v>3318</v>
      </c>
      <c r="AL265" s="4">
        <v>7.0000000000000001E-3</v>
      </c>
      <c r="AM265" s="1" t="s">
        <v>3104</v>
      </c>
      <c r="AN265" s="37">
        <v>0</v>
      </c>
      <c r="AO265" s="1233" t="s">
        <v>3359</v>
      </c>
      <c r="AP265" s="37">
        <v>0</v>
      </c>
      <c r="AQ265" s="1233" t="s">
        <v>3194</v>
      </c>
      <c r="AR265" s="37">
        <v>0</v>
      </c>
      <c r="AS265" s="1" t="s">
        <v>1792</v>
      </c>
      <c r="AT265" s="151">
        <v>-4.0000000000000002E-4</v>
      </c>
      <c r="AU265" s="1" t="s">
        <v>3285</v>
      </c>
      <c r="AV265" s="37">
        <v>0</v>
      </c>
      <c r="AW265" s="1" t="s">
        <v>3320</v>
      </c>
      <c r="AX265" s="151">
        <v>-4.0000000000000002E-4</v>
      </c>
      <c r="AY265" s="1310" t="s">
        <v>3326</v>
      </c>
      <c r="AZ265" s="491" t="s">
        <v>3510</v>
      </c>
      <c r="BA265" s="34">
        <v>0</v>
      </c>
    </row>
    <row r="266" spans="19:53">
      <c r="S266" s="1" t="s">
        <v>3318</v>
      </c>
      <c r="T266" s="4">
        <v>39.299999999999997</v>
      </c>
      <c r="U266" s="749" t="s">
        <v>3130</v>
      </c>
      <c r="V266" s="3">
        <v>4.9999999999999991</v>
      </c>
      <c r="W266" s="1" t="s">
        <v>3244</v>
      </c>
      <c r="X266" s="4">
        <v>1.0000000000000002</v>
      </c>
      <c r="Y266" s="1233" t="s">
        <v>3308</v>
      </c>
      <c r="Z266" s="3">
        <v>12</v>
      </c>
      <c r="AA266" s="1" t="s">
        <v>3494</v>
      </c>
      <c r="AB266" s="42">
        <v>0.10000000000000002</v>
      </c>
      <c r="AC266" s="325" t="s">
        <v>3298</v>
      </c>
      <c r="AD266" s="37">
        <v>8.069999999999999E-3</v>
      </c>
      <c r="AE266" s="1" t="s">
        <v>3107</v>
      </c>
      <c r="AF266" s="151">
        <v>-4.0000000000000002E-4</v>
      </c>
      <c r="AG266" s="1" t="s">
        <v>1896</v>
      </c>
      <c r="AH266" s="151">
        <v>-4.0000000000000002E-4</v>
      </c>
      <c r="AI266" s="325" t="s">
        <v>3303</v>
      </c>
      <c r="AJ266" s="1234">
        <v>8.9999999999999993E-3</v>
      </c>
      <c r="AK266" s="1" t="s">
        <v>3339</v>
      </c>
      <c r="AL266" s="37">
        <v>4.4549999999999998E-3</v>
      </c>
      <c r="AM266" s="1232" t="s">
        <v>3145</v>
      </c>
      <c r="AN266" s="37">
        <v>0</v>
      </c>
      <c r="AO266" s="1233" t="s">
        <v>3360</v>
      </c>
      <c r="AP266" s="37">
        <v>0</v>
      </c>
      <c r="AQ266" s="1" t="s">
        <v>3238</v>
      </c>
      <c r="AR266" s="37">
        <v>0</v>
      </c>
      <c r="AS266" s="1" t="s">
        <v>3319</v>
      </c>
      <c r="AT266" s="151">
        <v>-4.0000000000000002E-4</v>
      </c>
      <c r="AU266" s="1310" t="s">
        <v>3294</v>
      </c>
      <c r="AV266" s="4">
        <v>0</v>
      </c>
      <c r="AW266" s="749" t="s">
        <v>3322</v>
      </c>
      <c r="AX266" s="151">
        <v>-4.0000000000000002E-4</v>
      </c>
      <c r="AY266" s="1310" t="s">
        <v>3328</v>
      </c>
      <c r="AZ266" s="1" t="s">
        <v>3471</v>
      </c>
      <c r="BA266" s="34">
        <v>0</v>
      </c>
    </row>
    <row r="267" spans="19:53">
      <c r="S267" s="1233" t="s">
        <v>3242</v>
      </c>
      <c r="T267" s="1238">
        <v>30</v>
      </c>
      <c r="U267" s="1" t="s">
        <v>3435</v>
      </c>
      <c r="V267" s="3">
        <v>4.9999999999999991</v>
      </c>
      <c r="W267" s="1" t="s">
        <v>3238</v>
      </c>
      <c r="X267" s="42">
        <v>1</v>
      </c>
      <c r="Y267" s="1" t="s">
        <v>3309</v>
      </c>
      <c r="Z267" s="3">
        <v>12</v>
      </c>
      <c r="AA267" s="1" t="s">
        <v>3448</v>
      </c>
      <c r="AB267" s="4">
        <v>0.1</v>
      </c>
      <c r="AC267" s="1233" t="s">
        <v>498</v>
      </c>
      <c r="AD267" s="42">
        <v>6.3E-3</v>
      </c>
      <c r="AE267" s="1" t="s">
        <v>3437</v>
      </c>
      <c r="AF267" s="151">
        <v>-4.0000000000000002E-4</v>
      </c>
      <c r="AG267" s="1" t="s">
        <v>3481</v>
      </c>
      <c r="AH267" s="151">
        <v>-4.0000000000000002E-4</v>
      </c>
      <c r="AI267" s="1" t="s">
        <v>3237</v>
      </c>
      <c r="AJ267" s="31">
        <v>8.0000000000000002E-3</v>
      </c>
      <c r="AK267" s="1" t="s">
        <v>3099</v>
      </c>
      <c r="AL267" s="42">
        <v>3.3E-3</v>
      </c>
      <c r="AM267" s="1" t="s">
        <v>3432</v>
      </c>
      <c r="AN267" s="37">
        <v>0</v>
      </c>
      <c r="AO267" s="325" t="s">
        <v>3362</v>
      </c>
      <c r="AP267" s="37">
        <v>0</v>
      </c>
      <c r="AQ267" s="1334" t="s">
        <v>3239</v>
      </c>
      <c r="AR267" s="3">
        <v>0</v>
      </c>
      <c r="AS267" s="1" t="s">
        <v>3320</v>
      </c>
      <c r="AT267" s="151">
        <v>-4.0000000000000002E-4</v>
      </c>
      <c r="AU267" s="325" t="s">
        <v>3296</v>
      </c>
      <c r="AV267" s="3">
        <v>0</v>
      </c>
      <c r="AW267" s="53" t="s">
        <v>3324</v>
      </c>
      <c r="AX267" s="151">
        <v>-4.0000000000000002E-4</v>
      </c>
      <c r="AY267" s="749" t="s">
        <v>3345</v>
      </c>
      <c r="AZ267" s="1" t="s">
        <v>1851</v>
      </c>
      <c r="BA267" s="34">
        <v>0</v>
      </c>
    </row>
    <row r="268" spans="19:53">
      <c r="S268" s="1232" t="s">
        <v>1963</v>
      </c>
      <c r="T268" s="1144">
        <v>25</v>
      </c>
      <c r="U268" s="1233" t="s">
        <v>3124</v>
      </c>
      <c r="V268" s="3">
        <v>4.9999999999999991</v>
      </c>
      <c r="W268" s="1334" t="s">
        <v>3239</v>
      </c>
      <c r="X268" s="3">
        <v>1</v>
      </c>
      <c r="Y268" s="1" t="s">
        <v>3310</v>
      </c>
      <c r="Z268" s="3">
        <v>12</v>
      </c>
      <c r="AA268" s="1" t="s">
        <v>3452</v>
      </c>
      <c r="AB268" s="4">
        <v>0.1</v>
      </c>
      <c r="AC268" s="325" t="s">
        <v>3296</v>
      </c>
      <c r="AD268" s="3">
        <v>4.7599999999999997E-4</v>
      </c>
      <c r="AE268" s="325" t="s">
        <v>3132</v>
      </c>
      <c r="AF268" s="4">
        <v>-4.0000000000000002E-4</v>
      </c>
      <c r="AG268" s="1" t="s">
        <v>1898</v>
      </c>
      <c r="AH268" s="151">
        <v>-4.0000000000000002E-4</v>
      </c>
      <c r="AI268" s="1233" t="s">
        <v>3242</v>
      </c>
      <c r="AJ268" s="1238">
        <v>7.0000000000000001E-3</v>
      </c>
      <c r="AK268" s="749" t="s">
        <v>3343</v>
      </c>
      <c r="AL268" s="37">
        <v>2.7150999999999998E-3</v>
      </c>
      <c r="AM268" s="1" t="s">
        <v>3448</v>
      </c>
      <c r="AN268" s="1144">
        <v>0</v>
      </c>
      <c r="AO268" s="749" t="s">
        <v>3289</v>
      </c>
      <c r="AP268" s="4">
        <v>0</v>
      </c>
      <c r="AQ268" s="749" t="s">
        <v>3343</v>
      </c>
      <c r="AR268" s="37">
        <v>0</v>
      </c>
      <c r="AS268" s="749" t="s">
        <v>3322</v>
      </c>
      <c r="AT268" s="151">
        <v>-4.0000000000000002E-4</v>
      </c>
      <c r="AU268" s="1" t="s">
        <v>3514</v>
      </c>
      <c r="AV268" s="3">
        <v>0</v>
      </c>
      <c r="AW268" s="1" t="s">
        <v>1803</v>
      </c>
      <c r="AX268" s="467">
        <v>-4.0000000000000002E-4</v>
      </c>
      <c r="AY268" s="1" t="s">
        <v>3329</v>
      </c>
      <c r="AZ268" s="1233" t="s">
        <v>1861</v>
      </c>
      <c r="BA268" s="4">
        <v>0</v>
      </c>
    </row>
    <row r="269" spans="19:53">
      <c r="S269" s="491" t="s">
        <v>3510</v>
      </c>
      <c r="T269" s="3">
        <v>23.8</v>
      </c>
      <c r="U269" s="1" t="s">
        <v>3125</v>
      </c>
      <c r="V269" s="3">
        <v>4.9999999999999991</v>
      </c>
      <c r="W269" s="749" t="s">
        <v>3306</v>
      </c>
      <c r="X269" s="37">
        <v>0.81</v>
      </c>
      <c r="Y269" s="1" t="s">
        <v>3311</v>
      </c>
      <c r="Z269" s="3">
        <v>12</v>
      </c>
      <c r="AA269" s="1" t="s">
        <v>3447</v>
      </c>
      <c r="AB269" s="4">
        <v>0.1</v>
      </c>
      <c r="AC269" s="1" t="s">
        <v>3514</v>
      </c>
      <c r="AD269" s="3">
        <v>4.7599999999999997E-4</v>
      </c>
      <c r="AE269" s="1" t="s">
        <v>3112</v>
      </c>
      <c r="AF269" s="151">
        <v>-4.0000000000000002E-4</v>
      </c>
      <c r="AG269" s="1" t="s">
        <v>3480</v>
      </c>
      <c r="AH269" s="151">
        <v>-4.0000000000000002E-4</v>
      </c>
      <c r="AI269" s="1232" t="s">
        <v>3145</v>
      </c>
      <c r="AJ269" s="37">
        <v>3.5999999999999999E-3</v>
      </c>
      <c r="AK269" s="1" t="s">
        <v>3358</v>
      </c>
      <c r="AL269" s="37">
        <v>2.7150999999999998E-3</v>
      </c>
      <c r="AM269" s="1" t="s">
        <v>3447</v>
      </c>
      <c r="AN269" s="1144">
        <v>0</v>
      </c>
      <c r="AO269" s="1233" t="s">
        <v>3283</v>
      </c>
      <c r="AP269" s="37">
        <v>0</v>
      </c>
      <c r="AQ269" s="1" t="s">
        <v>3358</v>
      </c>
      <c r="AR269" s="37">
        <v>0</v>
      </c>
      <c r="AS269" s="1" t="s">
        <v>3323</v>
      </c>
      <c r="AT269" s="151">
        <v>-4.0000000000000002E-4</v>
      </c>
      <c r="AU269" s="1233" t="s">
        <v>495</v>
      </c>
      <c r="AV269" s="3">
        <v>0</v>
      </c>
      <c r="AW269" s="1" t="s">
        <v>3212</v>
      </c>
      <c r="AX269" s="467">
        <v>-4.0000000000000002E-4</v>
      </c>
      <c r="AY269" s="749" t="s">
        <v>3346</v>
      </c>
      <c r="AZ269" s="1" t="s">
        <v>3197</v>
      </c>
      <c r="BA269" s="4">
        <v>0</v>
      </c>
    </row>
    <row r="270" spans="19:53">
      <c r="S270" s="1" t="s">
        <v>3329</v>
      </c>
      <c r="T270" s="3">
        <v>20</v>
      </c>
      <c r="U270" s="1" t="s">
        <v>3433</v>
      </c>
      <c r="V270" s="3">
        <v>4.9999999999999991</v>
      </c>
      <c r="W270" s="325" t="s">
        <v>3298</v>
      </c>
      <c r="X270" s="37">
        <v>0.81</v>
      </c>
      <c r="Y270" s="1" t="s">
        <v>3312</v>
      </c>
      <c r="Z270" s="3">
        <v>12</v>
      </c>
      <c r="AA270" s="325" t="s">
        <v>3451</v>
      </c>
      <c r="AB270" s="4">
        <v>0.1</v>
      </c>
      <c r="AC270" s="1233" t="s">
        <v>3283</v>
      </c>
      <c r="AD270" s="37">
        <v>4.0000000000000003E-5</v>
      </c>
      <c r="AE270" s="1" t="s">
        <v>3434</v>
      </c>
      <c r="AF270" s="151">
        <v>-4.0000000000000002E-4</v>
      </c>
      <c r="AG270" s="1" t="s">
        <v>502</v>
      </c>
      <c r="AH270" s="467">
        <v>-4.0000000000000002E-4</v>
      </c>
      <c r="AI270" s="1" t="s">
        <v>3099</v>
      </c>
      <c r="AJ270" s="42">
        <v>3.3E-3</v>
      </c>
      <c r="AK270" s="1233" t="s">
        <v>3359</v>
      </c>
      <c r="AL270" s="37">
        <v>2.7150999999999998E-3</v>
      </c>
      <c r="AM270" s="1334" t="s">
        <v>3239</v>
      </c>
      <c r="AN270" s="3">
        <v>0</v>
      </c>
      <c r="AO270" s="1233" t="s">
        <v>498</v>
      </c>
      <c r="AP270" s="37">
        <v>0</v>
      </c>
      <c r="AQ270" s="1233" t="s">
        <v>3359</v>
      </c>
      <c r="AR270" s="37">
        <v>0</v>
      </c>
      <c r="AS270" s="53" t="s">
        <v>3324</v>
      </c>
      <c r="AT270" s="151">
        <v>-4.0000000000000002E-4</v>
      </c>
      <c r="AU270" s="1335" t="s">
        <v>3301</v>
      </c>
      <c r="AV270" s="1234">
        <v>0</v>
      </c>
      <c r="AW270" s="1" t="s">
        <v>3457</v>
      </c>
      <c r="AX270" s="467">
        <v>-4.0000000000000002E-4</v>
      </c>
      <c r="AY270" s="1" t="s">
        <v>1885</v>
      </c>
      <c r="AZ270" s="53" t="s">
        <v>3204</v>
      </c>
      <c r="BA270" s="4">
        <v>0</v>
      </c>
    </row>
    <row r="271" spans="19:53">
      <c r="S271" s="1" t="s">
        <v>3330</v>
      </c>
      <c r="T271" s="3">
        <v>20</v>
      </c>
      <c r="U271" s="1" t="s">
        <v>3271</v>
      </c>
      <c r="V271" s="3">
        <v>4.5994397759103647</v>
      </c>
      <c r="W271" s="1" t="s">
        <v>3099</v>
      </c>
      <c r="X271" s="42">
        <v>0.52800000000000002</v>
      </c>
      <c r="Y271" s="1" t="s">
        <v>1785</v>
      </c>
      <c r="Z271" s="4">
        <v>12</v>
      </c>
      <c r="AA271" s="1" t="s">
        <v>3455</v>
      </c>
      <c r="AB271" s="34">
        <v>0.1</v>
      </c>
      <c r="AC271" s="1233" t="s">
        <v>3242</v>
      </c>
      <c r="AD271" s="1238">
        <v>0</v>
      </c>
      <c r="AE271" s="1" t="s">
        <v>3095</v>
      </c>
      <c r="AF271" s="151">
        <v>-4.0000000000000002E-4</v>
      </c>
      <c r="AG271" s="1" t="s">
        <v>3410</v>
      </c>
      <c r="AH271" s="467">
        <v>-4.0000000000000002E-4</v>
      </c>
      <c r="AI271" s="1" t="s">
        <v>3339</v>
      </c>
      <c r="AJ271" s="37">
        <v>8.1000000000000006E-4</v>
      </c>
      <c r="AK271" s="749" t="s">
        <v>3306</v>
      </c>
      <c r="AL271" s="37">
        <v>1.6000000000000001E-3</v>
      </c>
      <c r="AM271" s="749" t="s">
        <v>3343</v>
      </c>
      <c r="AN271" s="37">
        <v>0</v>
      </c>
      <c r="AO271" s="1" t="s">
        <v>3284</v>
      </c>
      <c r="AP271" s="37">
        <v>0</v>
      </c>
      <c r="AQ271" s="1233" t="s">
        <v>3360</v>
      </c>
      <c r="AR271" s="37">
        <v>0</v>
      </c>
      <c r="AS271" s="1" t="s">
        <v>1803</v>
      </c>
      <c r="AT271" s="467">
        <v>-4.0000000000000002E-4</v>
      </c>
      <c r="AU271" s="53" t="s">
        <v>3421</v>
      </c>
      <c r="AV271" s="1">
        <v>0</v>
      </c>
      <c r="AW271" s="1" t="s">
        <v>3455</v>
      </c>
      <c r="AX271" s="151">
        <v>-4.0000000000000002E-4</v>
      </c>
      <c r="AY271" s="1" t="s">
        <v>510</v>
      </c>
      <c r="AZ271" s="1233" t="s">
        <v>3242</v>
      </c>
      <c r="BA271" s="1238">
        <v>0</v>
      </c>
    </row>
    <row r="272" spans="19:53">
      <c r="S272" s="1" t="s">
        <v>134</v>
      </c>
      <c r="T272" s="3">
        <v>20</v>
      </c>
      <c r="U272" s="1" t="s">
        <v>3240</v>
      </c>
      <c r="V272" s="4">
        <v>4.0000000000000009</v>
      </c>
      <c r="W272" s="325" t="s">
        <v>3296</v>
      </c>
      <c r="X272" s="3">
        <v>6.8400000000000002E-2</v>
      </c>
      <c r="Y272" s="1" t="s">
        <v>1790</v>
      </c>
      <c r="Z272" s="4">
        <v>12</v>
      </c>
      <c r="AA272" s="1232" t="s">
        <v>3454</v>
      </c>
      <c r="AB272" s="31">
        <v>0.1</v>
      </c>
      <c r="AC272" s="1334" t="s">
        <v>3239</v>
      </c>
      <c r="AD272" s="3">
        <v>0</v>
      </c>
      <c r="AE272" s="1" t="s">
        <v>1777</v>
      </c>
      <c r="AF272" s="151">
        <v>-4.0000000000000002E-4</v>
      </c>
      <c r="AG272" s="749" t="s">
        <v>3411</v>
      </c>
      <c r="AH272" s="467">
        <v>-4.0000000000000002E-4</v>
      </c>
      <c r="AI272" s="325" t="s">
        <v>3296</v>
      </c>
      <c r="AJ272" s="37">
        <v>4.32E-5</v>
      </c>
      <c r="AK272" s="325" t="s">
        <v>3298</v>
      </c>
      <c r="AL272" s="37">
        <v>1.6000000000000001E-3</v>
      </c>
      <c r="AM272" s="1" t="s">
        <v>3358</v>
      </c>
      <c r="AN272" s="37">
        <v>0</v>
      </c>
      <c r="AO272" s="1" t="s">
        <v>3285</v>
      </c>
      <c r="AP272" s="37">
        <v>0</v>
      </c>
      <c r="AQ272" s="325" t="s">
        <v>3362</v>
      </c>
      <c r="AR272" s="37">
        <v>0</v>
      </c>
      <c r="AS272" s="1" t="s">
        <v>3455</v>
      </c>
      <c r="AT272" s="151">
        <v>-4.0000000000000002E-4</v>
      </c>
      <c r="AU272" s="1" t="s">
        <v>3317</v>
      </c>
      <c r="AV272" s="151">
        <v>-4.0000000000000002E-4</v>
      </c>
      <c r="AW272" s="1" t="s">
        <v>3213</v>
      </c>
      <c r="AX272" s="151">
        <v>-4.0000000000000002E-4</v>
      </c>
      <c r="AY272" s="1" t="s">
        <v>3347</v>
      </c>
      <c r="AZ272" s="1" t="s">
        <v>3238</v>
      </c>
      <c r="BA272" s="34">
        <v>0</v>
      </c>
    </row>
    <row r="273" spans="19:53">
      <c r="S273" s="1" t="s">
        <v>502</v>
      </c>
      <c r="T273" s="4">
        <v>20</v>
      </c>
      <c r="U273" s="1" t="s">
        <v>3241</v>
      </c>
      <c r="V273" s="4">
        <v>4.0000000000000009</v>
      </c>
      <c r="W273" s="1" t="s">
        <v>3514</v>
      </c>
      <c r="X273" s="3">
        <v>6.8400000000000002E-2</v>
      </c>
      <c r="Y273" s="1" t="s">
        <v>3319</v>
      </c>
      <c r="Z273" s="4">
        <v>12</v>
      </c>
      <c r="AA273" s="1" t="s">
        <v>3233</v>
      </c>
      <c r="AB273" s="34">
        <v>0.1</v>
      </c>
      <c r="AC273" s="325" t="s">
        <v>3362</v>
      </c>
      <c r="AD273" s="43">
        <v>0</v>
      </c>
      <c r="AE273" s="1" t="s">
        <v>1784</v>
      </c>
      <c r="AF273" s="151">
        <v>-4.0000000000000002E-4</v>
      </c>
      <c r="AG273" s="749" t="s">
        <v>3413</v>
      </c>
      <c r="AH273" s="467">
        <v>-4.0000000000000002E-4</v>
      </c>
      <c r="AI273" s="1" t="s">
        <v>3514</v>
      </c>
      <c r="AJ273" s="37">
        <v>4.32E-5</v>
      </c>
      <c r="AK273" s="325" t="s">
        <v>3296</v>
      </c>
      <c r="AL273" s="37">
        <v>7.2000000000000002E-5</v>
      </c>
      <c r="AM273" s="1233" t="s">
        <v>3359</v>
      </c>
      <c r="AN273" s="37">
        <v>0</v>
      </c>
      <c r="AO273" s="1310" t="s">
        <v>3294</v>
      </c>
      <c r="AP273" s="4">
        <v>0</v>
      </c>
      <c r="AQ273" s="749" t="s">
        <v>3289</v>
      </c>
      <c r="AR273" s="4">
        <v>0</v>
      </c>
      <c r="AS273" s="1" t="s">
        <v>3213</v>
      </c>
      <c r="AT273" s="151">
        <v>-4.0000000000000002E-4</v>
      </c>
      <c r="AU273" s="1" t="s">
        <v>1803</v>
      </c>
      <c r="AV273" s="467">
        <v>-4.0000000000000002E-4</v>
      </c>
      <c r="AW273" s="1" t="s">
        <v>3456</v>
      </c>
      <c r="AX273" s="151">
        <v>-4.0000000000000002E-4</v>
      </c>
      <c r="AY273" s="1" t="s">
        <v>3330</v>
      </c>
      <c r="AZ273" s="1334" t="s">
        <v>3239</v>
      </c>
      <c r="BA273" s="3">
        <v>0</v>
      </c>
    </row>
    <row r="274" spans="19:53">
      <c r="S274" s="1" t="s">
        <v>3410</v>
      </c>
      <c r="T274" s="4">
        <v>20</v>
      </c>
      <c r="U274" s="1" t="s">
        <v>3236</v>
      </c>
      <c r="V274" s="4">
        <v>4.0000000000000009</v>
      </c>
      <c r="W274" s="749" t="s">
        <v>3343</v>
      </c>
      <c r="X274" s="3">
        <v>0</v>
      </c>
      <c r="Y274" s="1" t="s">
        <v>3439</v>
      </c>
      <c r="Z274" s="42">
        <v>11</v>
      </c>
      <c r="AA274" s="1334" t="s">
        <v>3239</v>
      </c>
      <c r="AB274" s="3">
        <v>0.1</v>
      </c>
      <c r="AC274" s="749" t="s">
        <v>3289</v>
      </c>
      <c r="AD274" s="4">
        <v>0</v>
      </c>
      <c r="AE274" s="1" t="s">
        <v>1803</v>
      </c>
      <c r="AF274" s="467">
        <v>-4.0000000000000002E-4</v>
      </c>
      <c r="AG274" s="749" t="s">
        <v>3416</v>
      </c>
      <c r="AH274" s="467">
        <v>-4.0000000000000002E-4</v>
      </c>
      <c r="AI274" s="53" t="s">
        <v>3204</v>
      </c>
      <c r="AJ274" s="4">
        <v>0</v>
      </c>
      <c r="AK274" s="1" t="s">
        <v>3514</v>
      </c>
      <c r="AL274" s="37">
        <v>7.2000000000000002E-5</v>
      </c>
      <c r="AM274" s="1233" t="s">
        <v>3360</v>
      </c>
      <c r="AN274" s="37">
        <v>0</v>
      </c>
      <c r="AO274" s="325" t="s">
        <v>3513</v>
      </c>
      <c r="AP274" s="43">
        <v>0</v>
      </c>
      <c r="AQ274" s="1233" t="s">
        <v>3283</v>
      </c>
      <c r="AR274" s="37">
        <v>0</v>
      </c>
      <c r="AS274" s="1" t="s">
        <v>3456</v>
      </c>
      <c r="AT274" s="151">
        <v>-4.0000000000000002E-4</v>
      </c>
      <c r="AU274" s="1" t="s">
        <v>3452</v>
      </c>
      <c r="AV274" s="467">
        <v>-4.0000000000000002E-4</v>
      </c>
      <c r="AW274" s="1" t="s">
        <v>3214</v>
      </c>
      <c r="AX274" s="151">
        <v>-4.0000000000000002E-4</v>
      </c>
      <c r="AY274" s="1" t="s">
        <v>3331</v>
      </c>
      <c r="AZ274" s="749" t="s">
        <v>3343</v>
      </c>
      <c r="BA274" s="34">
        <v>0</v>
      </c>
    </row>
    <row r="275" spans="19:53">
      <c r="S275" s="749" t="s">
        <v>3411</v>
      </c>
      <c r="T275" s="4">
        <v>20</v>
      </c>
      <c r="U275" s="1" t="s">
        <v>3244</v>
      </c>
      <c r="V275" s="4">
        <v>4.0000000000000009</v>
      </c>
      <c r="W275" s="1" t="s">
        <v>3358</v>
      </c>
      <c r="X275" s="3">
        <v>0</v>
      </c>
      <c r="Y275" s="1" t="s">
        <v>3318</v>
      </c>
      <c r="Z275" s="4">
        <v>10.6</v>
      </c>
      <c r="AA275" s="1" t="s">
        <v>3212</v>
      </c>
      <c r="AB275" s="4">
        <v>9.5000000000000001E-2</v>
      </c>
      <c r="AC275" s="1310" t="s">
        <v>3294</v>
      </c>
      <c r="AD275" s="4">
        <v>0</v>
      </c>
      <c r="AE275" s="1" t="s">
        <v>3452</v>
      </c>
      <c r="AF275" s="467">
        <v>-4.0000000000000002E-4</v>
      </c>
      <c r="AG275" s="749" t="s">
        <v>3412</v>
      </c>
      <c r="AH275" s="467">
        <v>-4.0000000000000002E-4</v>
      </c>
      <c r="AI275" s="1" t="s">
        <v>3238</v>
      </c>
      <c r="AJ275" s="37">
        <v>0</v>
      </c>
      <c r="AK275" s="53" t="s">
        <v>3204</v>
      </c>
      <c r="AL275" s="4">
        <v>0</v>
      </c>
      <c r="AM275" s="325" t="s">
        <v>3362</v>
      </c>
      <c r="AN275" s="37">
        <v>0</v>
      </c>
      <c r="AO275" s="1233" t="s">
        <v>495</v>
      </c>
      <c r="AP275" s="3">
        <v>0</v>
      </c>
      <c r="AQ275" s="1233" t="s">
        <v>498</v>
      </c>
      <c r="AR275" s="37">
        <v>0</v>
      </c>
      <c r="AS275" s="1" t="s">
        <v>3214</v>
      </c>
      <c r="AT275" s="151">
        <v>-4.0000000000000002E-4</v>
      </c>
      <c r="AU275" s="1" t="s">
        <v>3458</v>
      </c>
      <c r="AV275" s="142">
        <v>-4.0000000000000002E-4</v>
      </c>
      <c r="AW275" s="53" t="s">
        <v>3218</v>
      </c>
      <c r="AX275" s="151">
        <v>-4.0000000000000002E-4</v>
      </c>
      <c r="AY275" s="749" t="s">
        <v>3348</v>
      </c>
      <c r="AZ275" s="1233" t="s">
        <v>3359</v>
      </c>
      <c r="BA275" s="34">
        <v>0</v>
      </c>
    </row>
    <row r="276" spans="19:53">
      <c r="S276" s="749" t="s">
        <v>3413</v>
      </c>
      <c r="T276" s="4">
        <v>20</v>
      </c>
      <c r="U276" s="1" t="s">
        <v>3439</v>
      </c>
      <c r="V276" s="42">
        <v>3</v>
      </c>
      <c r="W276" s="1233" t="s">
        <v>3359</v>
      </c>
      <c r="X276" s="3">
        <v>0</v>
      </c>
      <c r="Y276" s="1" t="s">
        <v>3313</v>
      </c>
      <c r="Z276" s="31">
        <v>10</v>
      </c>
      <c r="AA276" s="1" t="s">
        <v>1790</v>
      </c>
      <c r="AB276" s="4">
        <v>0.09</v>
      </c>
      <c r="AC276" s="325" t="s">
        <v>3513</v>
      </c>
      <c r="AD276" s="43">
        <v>0</v>
      </c>
      <c r="AE276" s="1" t="s">
        <v>3458</v>
      </c>
      <c r="AF276" s="142">
        <v>-4.0000000000000002E-4</v>
      </c>
      <c r="AG276" s="749" t="s">
        <v>3515</v>
      </c>
      <c r="AH276" s="467">
        <v>-4.0000000000000002E-4</v>
      </c>
      <c r="AI276" s="1334" t="s">
        <v>3239</v>
      </c>
      <c r="AJ276" s="3">
        <v>0</v>
      </c>
      <c r="AK276" s="1" t="s">
        <v>3238</v>
      </c>
      <c r="AL276" s="37">
        <v>0</v>
      </c>
      <c r="AM276" s="749" t="s">
        <v>3289</v>
      </c>
      <c r="AN276" s="4">
        <v>0</v>
      </c>
      <c r="AO276" s="53" t="s">
        <v>3421</v>
      </c>
      <c r="AP276" s="1">
        <v>0</v>
      </c>
      <c r="AQ276" s="1" t="s">
        <v>3284</v>
      </c>
      <c r="AR276" s="37">
        <v>0</v>
      </c>
      <c r="AS276" s="749" t="s">
        <v>3165</v>
      </c>
      <c r="AT276" s="151">
        <v>-4.0000000000000002E-4</v>
      </c>
      <c r="AU276" s="749" t="s">
        <v>3185</v>
      </c>
      <c r="AV276" s="4">
        <v>-4.0000000000000002E-4</v>
      </c>
      <c r="AW276" s="749" t="s">
        <v>3209</v>
      </c>
      <c r="AX276" s="151">
        <v>-4.0000000000000002E-4</v>
      </c>
      <c r="AY276" s="1" t="s">
        <v>3478</v>
      </c>
      <c r="AZ276" s="1233" t="s">
        <v>3360</v>
      </c>
      <c r="BA276" s="34">
        <v>0</v>
      </c>
    </row>
    <row r="277" spans="19:53">
      <c r="S277" s="749" t="s">
        <v>3416</v>
      </c>
      <c r="T277" s="4">
        <v>20</v>
      </c>
      <c r="U277" s="1" t="s">
        <v>1831</v>
      </c>
      <c r="V277" s="4">
        <v>3</v>
      </c>
      <c r="W277" s="1233" t="s">
        <v>3360</v>
      </c>
      <c r="X277" s="43">
        <v>0</v>
      </c>
      <c r="Y277" s="1" t="s">
        <v>1778</v>
      </c>
      <c r="Z277" s="4">
        <v>8</v>
      </c>
      <c r="AA277" s="1" t="s">
        <v>3319</v>
      </c>
      <c r="AB277" s="4">
        <v>0.09</v>
      </c>
      <c r="AC277" s="53" t="s">
        <v>3421</v>
      </c>
      <c r="AD277" s="1">
        <v>0</v>
      </c>
      <c r="AE277" s="1" t="s">
        <v>3455</v>
      </c>
      <c r="AF277" s="151">
        <v>-4.0000000000000002E-4</v>
      </c>
      <c r="AG277" s="1" t="s">
        <v>3414</v>
      </c>
      <c r="AH277" s="467">
        <v>-4.0000000000000002E-4</v>
      </c>
      <c r="AI277" s="749" t="s">
        <v>3343</v>
      </c>
      <c r="AJ277" s="37">
        <v>0</v>
      </c>
      <c r="AK277" s="1334" t="s">
        <v>3239</v>
      </c>
      <c r="AL277" s="3">
        <v>0</v>
      </c>
      <c r="AM277" s="1233" t="s">
        <v>3283</v>
      </c>
      <c r="AN277" s="37">
        <v>0</v>
      </c>
      <c r="AO277" s="1" t="s">
        <v>1896</v>
      </c>
      <c r="AP277" s="151">
        <v>-4.0000000000000002E-4</v>
      </c>
      <c r="AQ277" s="1" t="s">
        <v>3285</v>
      </c>
      <c r="AR277" s="37">
        <v>0</v>
      </c>
      <c r="AS277" s="1" t="s">
        <v>3166</v>
      </c>
      <c r="AT277" s="151">
        <v>-4.0000000000000002E-4</v>
      </c>
      <c r="AU277" s="1" t="s">
        <v>1896</v>
      </c>
      <c r="AV277" s="151">
        <v>-4.0000000000000002E-4</v>
      </c>
      <c r="AW277" s="749" t="s">
        <v>3165</v>
      </c>
      <c r="AX277" s="151">
        <v>-4.0000000000000002E-4</v>
      </c>
      <c r="AY277" s="1" t="s">
        <v>3332</v>
      </c>
      <c r="AZ277" s="82" t="s">
        <v>3361</v>
      </c>
      <c r="BA277" s="4">
        <v>0</v>
      </c>
    </row>
    <row r="278" spans="19:53">
      <c r="S278" s="749" t="s">
        <v>3412</v>
      </c>
      <c r="T278" s="4">
        <v>20</v>
      </c>
      <c r="U278" s="1" t="s">
        <v>3270</v>
      </c>
      <c r="V278" s="31">
        <v>3</v>
      </c>
      <c r="W278" s="325" t="s">
        <v>3362</v>
      </c>
      <c r="X278" s="42">
        <v>0</v>
      </c>
      <c r="Y278" s="1233" t="s">
        <v>3283</v>
      </c>
      <c r="Z278" s="42">
        <v>8</v>
      </c>
      <c r="AA278" s="1" t="s">
        <v>3440</v>
      </c>
      <c r="AB278" s="42">
        <v>8.9636363636363625E-2</v>
      </c>
      <c r="AC278" s="1" t="s">
        <v>1803</v>
      </c>
      <c r="AD278" s="467">
        <v>-4.0000000000000002E-4</v>
      </c>
      <c r="AE278" s="1" t="s">
        <v>3213</v>
      </c>
      <c r="AF278" s="235">
        <v>-4.0000000000000002E-4</v>
      </c>
      <c r="AG278" s="1" t="s">
        <v>2739</v>
      </c>
      <c r="AH278" s="467">
        <v>-4.0000000000000002E-4</v>
      </c>
      <c r="AI278" s="1" t="s">
        <v>503</v>
      </c>
      <c r="AJ278" s="4">
        <v>0</v>
      </c>
      <c r="AK278" s="1233" t="s">
        <v>3360</v>
      </c>
      <c r="AL278" s="42">
        <v>0</v>
      </c>
      <c r="AM278" s="1233" t="s">
        <v>498</v>
      </c>
      <c r="AN278" s="37">
        <v>0</v>
      </c>
      <c r="AO278" s="1" t="s">
        <v>3481</v>
      </c>
      <c r="AP278" s="151">
        <v>-4.0000000000000002E-4</v>
      </c>
      <c r="AQ278" s="1310" t="s">
        <v>3294</v>
      </c>
      <c r="AR278" s="4">
        <v>0</v>
      </c>
      <c r="AS278" s="1" t="s">
        <v>3167</v>
      </c>
      <c r="AT278" s="151">
        <v>-4.0000000000000002E-4</v>
      </c>
      <c r="AU278" s="1" t="s">
        <v>3481</v>
      </c>
      <c r="AV278" s="151">
        <v>-4.0000000000000002E-4</v>
      </c>
      <c r="AW278" s="1" t="s">
        <v>3166</v>
      </c>
      <c r="AX278" s="151">
        <v>-4.0000000000000002E-4</v>
      </c>
      <c r="AY278" s="1" t="s">
        <v>3333</v>
      </c>
      <c r="AZ278" s="325" t="s">
        <v>3362</v>
      </c>
      <c r="BA278" s="45">
        <v>0</v>
      </c>
    </row>
    <row r="279" spans="19:53">
      <c r="S279" s="749" t="s">
        <v>3515</v>
      </c>
      <c r="T279" s="4">
        <v>20</v>
      </c>
      <c r="U279" s="1" t="s">
        <v>502</v>
      </c>
      <c r="V279" s="4">
        <v>3</v>
      </c>
      <c r="W279" s="749" t="s">
        <v>3289</v>
      </c>
      <c r="X279" s="4">
        <v>0</v>
      </c>
      <c r="Y279" s="1233" t="s">
        <v>495</v>
      </c>
      <c r="Z279" s="31">
        <v>8</v>
      </c>
      <c r="AA279" s="1" t="s">
        <v>1783</v>
      </c>
      <c r="AB279" s="4">
        <v>0.08</v>
      </c>
      <c r="AC279" s="1" t="s">
        <v>1896</v>
      </c>
      <c r="AD279" s="151">
        <v>-4.0000000000000002E-4</v>
      </c>
      <c r="AE279" s="1" t="s">
        <v>3456</v>
      </c>
      <c r="AF279" s="151">
        <v>-4.0000000000000002E-4</v>
      </c>
      <c r="AG279" s="1" t="s">
        <v>3517</v>
      </c>
      <c r="AH279" s="467">
        <v>-4.0000000000000002E-4</v>
      </c>
      <c r="AI279" s="1" t="s">
        <v>3358</v>
      </c>
      <c r="AJ279" s="37">
        <v>0</v>
      </c>
      <c r="AK279" s="325" t="s">
        <v>3362</v>
      </c>
      <c r="AL279" s="37">
        <v>0</v>
      </c>
      <c r="AM279" s="1" t="s">
        <v>3284</v>
      </c>
      <c r="AN279" s="37">
        <v>0</v>
      </c>
      <c r="AO279" s="1" t="s">
        <v>1898</v>
      </c>
      <c r="AP279" s="151">
        <v>-4.0000000000000002E-4</v>
      </c>
      <c r="AQ279" s="325" t="s">
        <v>3513</v>
      </c>
      <c r="AR279" s="43">
        <v>0</v>
      </c>
      <c r="AS279" s="749" t="s">
        <v>3177</v>
      </c>
      <c r="AT279" s="151">
        <v>-4.0000000000000002E-4</v>
      </c>
      <c r="AU279" s="1" t="s">
        <v>1898</v>
      </c>
      <c r="AV279" s="151">
        <v>-4.0000000000000002E-4</v>
      </c>
      <c r="AW279" s="749" t="s">
        <v>3159</v>
      </c>
      <c r="AX279" s="151">
        <v>-4.0000000000000002E-4</v>
      </c>
      <c r="AY279" s="749" t="s">
        <v>3349</v>
      </c>
      <c r="AZ279" s="749" t="s">
        <v>3289</v>
      </c>
      <c r="BA279" s="4">
        <v>0</v>
      </c>
    </row>
    <row r="280" spans="19:53">
      <c r="S280" s="1" t="s">
        <v>3237</v>
      </c>
      <c r="T280" s="31">
        <v>19.600000000000001</v>
      </c>
      <c r="U280" s="1" t="s">
        <v>3410</v>
      </c>
      <c r="V280" s="4">
        <v>3</v>
      </c>
      <c r="W280" s="1310" t="s">
        <v>3294</v>
      </c>
      <c r="X280" s="4">
        <v>0</v>
      </c>
      <c r="Y280" s="1" t="s">
        <v>503</v>
      </c>
      <c r="Z280" s="4">
        <v>4</v>
      </c>
      <c r="AA280" s="1" t="s">
        <v>1811</v>
      </c>
      <c r="AB280" s="4">
        <v>7.0000000000000007E-2</v>
      </c>
      <c r="AC280" s="1" t="s">
        <v>3481</v>
      </c>
      <c r="AD280" s="151">
        <v>-4.0000000000000002E-4</v>
      </c>
      <c r="AE280" s="1" t="s">
        <v>3222</v>
      </c>
      <c r="AF280" s="151">
        <v>-4.0000000000000002E-4</v>
      </c>
      <c r="AG280" s="1" t="s">
        <v>1975</v>
      </c>
      <c r="AH280" s="467">
        <v>-4.0000000000000002E-4</v>
      </c>
      <c r="AI280" s="1233" t="s">
        <v>3359</v>
      </c>
      <c r="AJ280" s="37">
        <v>0</v>
      </c>
      <c r="AK280" s="749" t="s">
        <v>3289</v>
      </c>
      <c r="AL280" s="4">
        <v>0</v>
      </c>
      <c r="AM280" s="1" t="s">
        <v>3285</v>
      </c>
      <c r="AN280" s="37">
        <v>0</v>
      </c>
      <c r="AO280" s="1" t="s">
        <v>3480</v>
      </c>
      <c r="AP280" s="151">
        <v>-4.0000000000000002E-4</v>
      </c>
      <c r="AQ280" s="1233" t="s">
        <v>495</v>
      </c>
      <c r="AR280" s="3">
        <v>0</v>
      </c>
      <c r="AS280" s="1" t="s">
        <v>1827</v>
      </c>
      <c r="AT280" s="151">
        <v>-4.0000000000000002E-4</v>
      </c>
      <c r="AU280" s="1" t="s">
        <v>3480</v>
      </c>
      <c r="AV280" s="151">
        <v>-4.0000000000000002E-4</v>
      </c>
      <c r="AW280" s="1" t="s">
        <v>3167</v>
      </c>
      <c r="AX280" s="151">
        <v>-4.0000000000000002E-4</v>
      </c>
      <c r="AY280" s="1" t="s">
        <v>3334</v>
      </c>
      <c r="AZ280" s="1232" t="s">
        <v>1963</v>
      </c>
      <c r="BA280" s="1234">
        <v>0</v>
      </c>
    </row>
    <row r="281" spans="19:53">
      <c r="S281" s="1" t="s">
        <v>3339</v>
      </c>
      <c r="T281" s="37">
        <v>19.116</v>
      </c>
      <c r="U281" s="749" t="s">
        <v>3411</v>
      </c>
      <c r="V281" s="4">
        <v>3</v>
      </c>
      <c r="W281" s="325" t="s">
        <v>3513</v>
      </c>
      <c r="X281" s="43">
        <v>0</v>
      </c>
      <c r="Y281" s="1" t="s">
        <v>3238</v>
      </c>
      <c r="Z281" s="42">
        <v>3</v>
      </c>
      <c r="AA281" s="749" t="s">
        <v>3229</v>
      </c>
      <c r="AB281" s="4">
        <v>7.0000000000000007E-2</v>
      </c>
      <c r="AC281" s="1" t="s">
        <v>1898</v>
      </c>
      <c r="AD281" s="151">
        <v>-4.0000000000000002E-4</v>
      </c>
      <c r="AE281" s="749" t="s">
        <v>3231</v>
      </c>
      <c r="AF281" s="151">
        <v>-4.0000000000000002E-4</v>
      </c>
      <c r="AG281" s="1" t="s">
        <v>1974</v>
      </c>
      <c r="AH281" s="467">
        <v>-4.0000000000000002E-4</v>
      </c>
      <c r="AI281" s="1233" t="s">
        <v>3360</v>
      </c>
      <c r="AJ281" s="37">
        <v>0</v>
      </c>
      <c r="AK281" s="1233" t="s">
        <v>3283</v>
      </c>
      <c r="AL281" s="37">
        <v>0</v>
      </c>
      <c r="AM281" s="1310" t="s">
        <v>3294</v>
      </c>
      <c r="AN281" s="4">
        <v>0</v>
      </c>
      <c r="AO281" s="1" t="s">
        <v>502</v>
      </c>
      <c r="AP281" s="467">
        <v>-4.0000000000000002E-4</v>
      </c>
      <c r="AQ281" s="53" t="s">
        <v>3421</v>
      </c>
      <c r="AR281" s="1">
        <v>0</v>
      </c>
      <c r="AS281" s="749" t="s">
        <v>3179</v>
      </c>
      <c r="AT281" s="151">
        <v>-4.0000000000000002E-4</v>
      </c>
      <c r="AU281" s="1" t="s">
        <v>502</v>
      </c>
      <c r="AV281" s="467">
        <v>-4.0000000000000002E-4</v>
      </c>
      <c r="AW281" s="749" t="s">
        <v>3177</v>
      </c>
      <c r="AX281" s="151">
        <v>-4.0000000000000002E-4</v>
      </c>
      <c r="AY281" s="1" t="s">
        <v>3350</v>
      </c>
      <c r="AZ281" s="1233" t="s">
        <v>498</v>
      </c>
      <c r="BA281" s="34">
        <v>0</v>
      </c>
    </row>
    <row r="282" spans="19:53">
      <c r="S282" s="1" t="s">
        <v>3284</v>
      </c>
      <c r="T282" s="3">
        <v>17</v>
      </c>
      <c r="U282" s="749" t="s">
        <v>3413</v>
      </c>
      <c r="V282" s="4">
        <v>3</v>
      </c>
      <c r="W282" s="53" t="s">
        <v>3421</v>
      </c>
      <c r="X282" s="1">
        <v>0</v>
      </c>
      <c r="Y282" s="1" t="s">
        <v>3099</v>
      </c>
      <c r="Z282" s="42">
        <v>2.31</v>
      </c>
      <c r="AA282" s="1" t="s">
        <v>475</v>
      </c>
      <c r="AB282" s="34">
        <v>7.0000000000000007E-2</v>
      </c>
      <c r="AC282" s="1" t="s">
        <v>3480</v>
      </c>
      <c r="AD282" s="151">
        <v>-4.0000000000000002E-4</v>
      </c>
      <c r="AE282" s="53" t="s">
        <v>3210</v>
      </c>
      <c r="AF282" s="151">
        <v>-4.0000000000000002E-4</v>
      </c>
      <c r="AG282" s="1" t="s">
        <v>1976</v>
      </c>
      <c r="AH282" s="467">
        <v>-4.0000000000000002E-4</v>
      </c>
      <c r="AI282" s="325" t="s">
        <v>3362</v>
      </c>
      <c r="AJ282" s="37">
        <v>0</v>
      </c>
      <c r="AK282" s="1233" t="s">
        <v>498</v>
      </c>
      <c r="AL282" s="37">
        <v>0</v>
      </c>
      <c r="AM282" s="1233" t="s">
        <v>495</v>
      </c>
      <c r="AN282" s="3">
        <v>0</v>
      </c>
      <c r="AO282" s="1" t="s">
        <v>3410</v>
      </c>
      <c r="AP282" s="467">
        <v>-4.0000000000000002E-4</v>
      </c>
      <c r="AQ282" s="1" t="s">
        <v>1803</v>
      </c>
      <c r="AR282" s="467">
        <v>-4.0000000000000002E-4</v>
      </c>
      <c r="AS282" s="749" t="s">
        <v>3180</v>
      </c>
      <c r="AT282" s="151">
        <v>-4.0000000000000002E-4</v>
      </c>
      <c r="AU282" s="1" t="s">
        <v>3410</v>
      </c>
      <c r="AV282" s="467">
        <v>-4.0000000000000002E-4</v>
      </c>
      <c r="AW282" s="1" t="s">
        <v>1827</v>
      </c>
      <c r="AX282" s="151">
        <v>-4.0000000000000002E-4</v>
      </c>
      <c r="AY282" s="1" t="s">
        <v>3351</v>
      </c>
      <c r="AZ282" s="1" t="s">
        <v>3284</v>
      </c>
      <c r="BA282" s="4">
        <v>0</v>
      </c>
    </row>
    <row r="283" spans="19:53">
      <c r="S283" s="1" t="s">
        <v>3285</v>
      </c>
      <c r="T283" s="3">
        <v>17</v>
      </c>
      <c r="U283" s="749" t="s">
        <v>3416</v>
      </c>
      <c r="V283" s="4">
        <v>3</v>
      </c>
      <c r="W283" s="1" t="s">
        <v>3317</v>
      </c>
      <c r="X283" s="151">
        <v>-4.0000000000000002E-4</v>
      </c>
      <c r="Y283" s="1310" t="s">
        <v>3328</v>
      </c>
      <c r="Z283" s="4">
        <v>0.03</v>
      </c>
      <c r="AA283" s="1" t="s">
        <v>1778</v>
      </c>
      <c r="AB283" s="4">
        <v>0.06</v>
      </c>
      <c r="AC283" s="1" t="s">
        <v>502</v>
      </c>
      <c r="AD283" s="467">
        <v>-4.0000000000000002E-4</v>
      </c>
      <c r="AE283" s="749" t="s">
        <v>3165</v>
      </c>
      <c r="AF283" s="151">
        <v>-4.0000000000000002E-4</v>
      </c>
      <c r="AG283" s="1" t="s">
        <v>1977</v>
      </c>
      <c r="AH283" s="467">
        <v>-4.0000000000000002E-4</v>
      </c>
      <c r="AI283" s="749" t="s">
        <v>3289</v>
      </c>
      <c r="AJ283" s="4">
        <v>0</v>
      </c>
      <c r="AK283" s="1" t="s">
        <v>3284</v>
      </c>
      <c r="AL283" s="37">
        <v>0</v>
      </c>
      <c r="AM283" s="53" t="s">
        <v>3421</v>
      </c>
      <c r="AN283" s="1">
        <v>0</v>
      </c>
      <c r="AO283" s="749" t="s">
        <v>3411</v>
      </c>
      <c r="AP283" s="467">
        <v>-4.0000000000000002E-4</v>
      </c>
      <c r="AQ283" s="749" t="s">
        <v>3185</v>
      </c>
      <c r="AR283" s="4">
        <v>-4.0000000000000002E-4</v>
      </c>
      <c r="AS283" s="749" t="s">
        <v>3182</v>
      </c>
      <c r="AT283" s="151">
        <v>-4.0000000000000002E-4</v>
      </c>
      <c r="AU283" s="749" t="s">
        <v>3411</v>
      </c>
      <c r="AV283" s="467">
        <v>-4.0000000000000002E-4</v>
      </c>
      <c r="AW283" s="1" t="s">
        <v>3176</v>
      </c>
      <c r="AX283" s="151">
        <v>-4.0000000000000002E-4</v>
      </c>
      <c r="AY283" s="749" t="s">
        <v>3352</v>
      </c>
      <c r="AZ283" s="1" t="s">
        <v>3285</v>
      </c>
      <c r="BA283" s="4">
        <v>0</v>
      </c>
    </row>
    <row r="284" spans="19:53">
      <c r="S284" s="1" t="s">
        <v>3099</v>
      </c>
      <c r="T284" s="42">
        <v>15.51</v>
      </c>
      <c r="U284" s="749" t="s">
        <v>3412</v>
      </c>
      <c r="V284" s="4">
        <v>3</v>
      </c>
      <c r="W284" s="1" t="s">
        <v>1803</v>
      </c>
      <c r="X284" s="4">
        <v>-4.0000000000000002E-4</v>
      </c>
      <c r="Y284" s="1" t="s">
        <v>3090</v>
      </c>
      <c r="Z284" s="3">
        <v>0</v>
      </c>
      <c r="AA284" s="1" t="s">
        <v>3439</v>
      </c>
      <c r="AB284" s="42">
        <v>0.06</v>
      </c>
      <c r="AC284" s="1" t="s">
        <v>3410</v>
      </c>
      <c r="AD284" s="467">
        <v>-4.0000000000000002E-4</v>
      </c>
      <c r="AE284" s="1" t="s">
        <v>3166</v>
      </c>
      <c r="AF284" s="151">
        <v>-4.0000000000000002E-4</v>
      </c>
      <c r="AG284" s="1" t="s">
        <v>3415</v>
      </c>
      <c r="AH284" s="467">
        <v>-4.0000000000000002E-4</v>
      </c>
      <c r="AI284" s="1233" t="s">
        <v>3283</v>
      </c>
      <c r="AJ284" s="37">
        <v>0</v>
      </c>
      <c r="AK284" s="1" t="s">
        <v>3285</v>
      </c>
      <c r="AL284" s="37">
        <v>0</v>
      </c>
      <c r="AM284" s="1" t="s">
        <v>1896</v>
      </c>
      <c r="AN284" s="151">
        <v>-4.0000000000000002E-4</v>
      </c>
      <c r="AO284" s="749" t="s">
        <v>3413</v>
      </c>
      <c r="AP284" s="467">
        <v>-4.0000000000000002E-4</v>
      </c>
      <c r="AQ284" s="1" t="s">
        <v>1896</v>
      </c>
      <c r="AR284" s="151">
        <v>-4.0000000000000002E-4</v>
      </c>
      <c r="AS284" s="1" t="s">
        <v>3465</v>
      </c>
      <c r="AT284" s="151">
        <v>-4.0000000000000002E-4</v>
      </c>
      <c r="AU284" s="749" t="s">
        <v>3413</v>
      </c>
      <c r="AV284" s="467">
        <v>-4.0000000000000002E-4</v>
      </c>
      <c r="AW284" s="749" t="s">
        <v>3179</v>
      </c>
      <c r="AX284" s="151">
        <v>-4.0000000000000002E-4</v>
      </c>
      <c r="AY284" s="1" t="s">
        <v>1894</v>
      </c>
      <c r="AZ284" s="1310" t="s">
        <v>3294</v>
      </c>
      <c r="BA284" s="4">
        <v>0</v>
      </c>
    </row>
    <row r="285" spans="19:53">
      <c r="S285" s="749" t="s">
        <v>3357</v>
      </c>
      <c r="T285" s="49">
        <v>6</v>
      </c>
      <c r="U285" s="749" t="s">
        <v>3515</v>
      </c>
      <c r="V285" s="4">
        <v>3</v>
      </c>
      <c r="W285" s="1" t="s">
        <v>3480</v>
      </c>
      <c r="X285" s="151">
        <v>-4.0000000000000002E-4</v>
      </c>
      <c r="Y285" s="1334" t="s">
        <v>3239</v>
      </c>
      <c r="Z285" s="3">
        <v>0</v>
      </c>
      <c r="AA285" s="1" t="s">
        <v>3220</v>
      </c>
      <c r="AB285" s="31">
        <v>0.06</v>
      </c>
      <c r="AC285" s="749" t="s">
        <v>3411</v>
      </c>
      <c r="AD285" s="467">
        <v>-4.0000000000000002E-4</v>
      </c>
      <c r="AE285" s="1" t="s">
        <v>3167</v>
      </c>
      <c r="AF285" s="151">
        <v>-4.0000000000000002E-4</v>
      </c>
      <c r="AG285" s="1" t="s">
        <v>3419</v>
      </c>
      <c r="AH285" s="467">
        <v>-4.0000000000000002E-4</v>
      </c>
      <c r="AI285" s="1233" t="s">
        <v>498</v>
      </c>
      <c r="AJ285" s="37">
        <v>0</v>
      </c>
      <c r="AK285" s="1310" t="s">
        <v>3294</v>
      </c>
      <c r="AL285" s="4">
        <v>0</v>
      </c>
      <c r="AM285" s="1" t="s">
        <v>3481</v>
      </c>
      <c r="AN285" s="151">
        <v>-4.0000000000000002E-4</v>
      </c>
      <c r="AO285" s="749" t="s">
        <v>3416</v>
      </c>
      <c r="AP285" s="467">
        <v>-4.0000000000000002E-4</v>
      </c>
      <c r="AQ285" s="1" t="s">
        <v>3481</v>
      </c>
      <c r="AR285" s="151">
        <v>-4.0000000000000002E-4</v>
      </c>
      <c r="AS285" s="1" t="s">
        <v>1872</v>
      </c>
      <c r="AT285" s="151">
        <v>-4.0000000000000002E-4</v>
      </c>
      <c r="AU285" s="749" t="s">
        <v>3416</v>
      </c>
      <c r="AV285" s="467">
        <v>-4.0000000000000002E-4</v>
      </c>
      <c r="AW285" s="749" t="s">
        <v>3180</v>
      </c>
      <c r="AX285" s="151">
        <v>-4.0000000000000002E-4</v>
      </c>
      <c r="AY285" s="1" t="s">
        <v>1895</v>
      </c>
      <c r="AZ285" s="325" t="s">
        <v>3513</v>
      </c>
      <c r="BA285" s="40">
        <v>0</v>
      </c>
    </row>
    <row r="286" spans="19:53">
      <c r="S286" s="1" t="s">
        <v>3240</v>
      </c>
      <c r="T286" s="4">
        <v>5</v>
      </c>
      <c r="U286" s="749" t="s">
        <v>3184</v>
      </c>
      <c r="V286" s="3">
        <v>2</v>
      </c>
      <c r="W286" s="1" t="s">
        <v>502</v>
      </c>
      <c r="X286" s="467">
        <v>-4.0000000000000002E-4</v>
      </c>
      <c r="Y286" s="749" t="s">
        <v>3343</v>
      </c>
      <c r="Z286" s="3">
        <v>0</v>
      </c>
      <c r="AA286" s="1" t="s">
        <v>3238</v>
      </c>
      <c r="AB286" s="42">
        <v>0.06</v>
      </c>
      <c r="AC286" s="749" t="s">
        <v>3413</v>
      </c>
      <c r="AD286" s="467">
        <v>-4.0000000000000002E-4</v>
      </c>
      <c r="AE286" s="1" t="s">
        <v>1827</v>
      </c>
      <c r="AF286" s="151">
        <v>-4.0000000000000002E-4</v>
      </c>
      <c r="AG286" s="1" t="s">
        <v>3420</v>
      </c>
      <c r="AH286" s="467">
        <v>-4.0000000000000002E-4</v>
      </c>
      <c r="AI286" s="1" t="s">
        <v>3284</v>
      </c>
      <c r="AJ286" s="37">
        <v>0</v>
      </c>
      <c r="AK286" s="1233" t="s">
        <v>495</v>
      </c>
      <c r="AL286" s="3">
        <v>0</v>
      </c>
      <c r="AM286" s="1" t="s">
        <v>1898</v>
      </c>
      <c r="AN286" s="151">
        <v>-4.0000000000000002E-4</v>
      </c>
      <c r="AO286" s="749" t="s">
        <v>3412</v>
      </c>
      <c r="AP286" s="467">
        <v>-4.0000000000000002E-4</v>
      </c>
      <c r="AQ286" s="1" t="s">
        <v>1898</v>
      </c>
      <c r="AR286" s="151">
        <v>-4.0000000000000002E-4</v>
      </c>
      <c r="AS286" s="1" t="s">
        <v>1873</v>
      </c>
      <c r="AT286" s="151">
        <v>-4.0000000000000002E-4</v>
      </c>
      <c r="AU286" s="749" t="s">
        <v>3412</v>
      </c>
      <c r="AV286" s="467">
        <v>-4.0000000000000002E-4</v>
      </c>
      <c r="AW286" s="749" t="s">
        <v>3181</v>
      </c>
      <c r="AX286" s="151">
        <v>-4.0000000000000002E-4</v>
      </c>
      <c r="AY286" s="1" t="s">
        <v>1896</v>
      </c>
      <c r="AZ286" s="1233" t="s">
        <v>495</v>
      </c>
      <c r="BA286" s="29">
        <v>0</v>
      </c>
    </row>
    <row r="287" spans="19:53">
      <c r="S287" s="1" t="s">
        <v>3241</v>
      </c>
      <c r="T287" s="4">
        <v>5</v>
      </c>
      <c r="U287" s="1" t="s">
        <v>3469</v>
      </c>
      <c r="V287" s="3">
        <v>2</v>
      </c>
      <c r="W287" s="1" t="s">
        <v>3410</v>
      </c>
      <c r="X287" s="467">
        <v>-4.0000000000000002E-4</v>
      </c>
      <c r="Y287" s="1" t="s">
        <v>3358</v>
      </c>
      <c r="Z287" s="3">
        <v>0</v>
      </c>
      <c r="AA287" s="82" t="s">
        <v>3361</v>
      </c>
      <c r="AB287" s="4">
        <v>0.05</v>
      </c>
      <c r="AC287" s="749" t="s">
        <v>3416</v>
      </c>
      <c r="AD287" s="467">
        <v>-4.0000000000000002E-4</v>
      </c>
      <c r="AE287" s="749" t="s">
        <v>3179</v>
      </c>
      <c r="AF287" s="151">
        <v>-4.0000000000000002E-4</v>
      </c>
      <c r="AG287" s="1" t="s">
        <v>1983</v>
      </c>
      <c r="AH287" s="467">
        <v>-4.0000000000000002E-4</v>
      </c>
      <c r="AI287" s="1" t="s">
        <v>3285</v>
      </c>
      <c r="AJ287" s="37">
        <v>0</v>
      </c>
      <c r="AK287" s="53" t="s">
        <v>3421</v>
      </c>
      <c r="AL287" s="1">
        <v>0</v>
      </c>
      <c r="AM287" s="1" t="s">
        <v>3480</v>
      </c>
      <c r="AN287" s="151">
        <v>-4.0000000000000002E-4</v>
      </c>
      <c r="AO287" s="749" t="s">
        <v>3515</v>
      </c>
      <c r="AP287" s="467">
        <v>-4.0000000000000002E-4</v>
      </c>
      <c r="AQ287" s="1" t="s">
        <v>3480</v>
      </c>
      <c r="AR287" s="151">
        <v>-4.0000000000000002E-4</v>
      </c>
      <c r="AS287" s="1" t="s">
        <v>1839</v>
      </c>
      <c r="AT287" s="151">
        <v>-4.0000000000000002E-4</v>
      </c>
      <c r="AU287" s="749" t="s">
        <v>3515</v>
      </c>
      <c r="AV287" s="467">
        <v>-4.0000000000000002E-4</v>
      </c>
      <c r="AW287" s="749" t="s">
        <v>3182</v>
      </c>
      <c r="AX287" s="151">
        <v>-4.0000000000000002E-4</v>
      </c>
      <c r="AY287" s="1" t="s">
        <v>3481</v>
      </c>
      <c r="AZ287" s="1" t="s">
        <v>502</v>
      </c>
      <c r="BA287" s="4">
        <v>0</v>
      </c>
    </row>
    <row r="288" spans="19:53">
      <c r="S288" s="1" t="s">
        <v>3236</v>
      </c>
      <c r="T288" s="4">
        <v>5</v>
      </c>
      <c r="U288" s="749" t="s">
        <v>3289</v>
      </c>
      <c r="V288" s="4">
        <v>1.5</v>
      </c>
      <c r="W288" s="749" t="s">
        <v>3411</v>
      </c>
      <c r="X288" s="467">
        <v>-4.0000000000000002E-4</v>
      </c>
      <c r="Y288" s="1233" t="s">
        <v>3359</v>
      </c>
      <c r="Z288" s="3">
        <v>0</v>
      </c>
      <c r="AA288" s="325" t="s">
        <v>3450</v>
      </c>
      <c r="AB288" s="49">
        <v>0.04</v>
      </c>
      <c r="AC288" s="749" t="s">
        <v>3412</v>
      </c>
      <c r="AD288" s="467">
        <v>-4.0000000000000002E-4</v>
      </c>
      <c r="AE288" s="749" t="s">
        <v>3180</v>
      </c>
      <c r="AF288" s="151">
        <v>-4.0000000000000002E-4</v>
      </c>
      <c r="AG288" s="1" t="s">
        <v>1984</v>
      </c>
      <c r="AH288" s="467">
        <v>-4.0000000000000002E-4</v>
      </c>
      <c r="AI288" s="1310" t="s">
        <v>3294</v>
      </c>
      <c r="AJ288" s="4">
        <v>0</v>
      </c>
      <c r="AK288" s="1" t="s">
        <v>1896</v>
      </c>
      <c r="AL288" s="151">
        <v>-4.0000000000000002E-4</v>
      </c>
      <c r="AM288" s="1" t="s">
        <v>502</v>
      </c>
      <c r="AN288" s="467">
        <v>-4.0000000000000002E-4</v>
      </c>
      <c r="AO288" s="1" t="s">
        <v>3414</v>
      </c>
      <c r="AP288" s="467">
        <v>-4.0000000000000002E-4</v>
      </c>
      <c r="AQ288" s="1" t="s">
        <v>502</v>
      </c>
      <c r="AR288" s="467">
        <v>-4.0000000000000002E-4</v>
      </c>
      <c r="AS288" s="749" t="s">
        <v>3186</v>
      </c>
      <c r="AT288" s="151">
        <v>-4.0000000000000002E-4</v>
      </c>
      <c r="AU288" s="1" t="s">
        <v>3414</v>
      </c>
      <c r="AV288" s="467">
        <v>-4.0000000000000002E-4</v>
      </c>
      <c r="AW288" s="1" t="s">
        <v>3169</v>
      </c>
      <c r="AX288" s="151">
        <v>-4.0000000000000002E-4</v>
      </c>
      <c r="AY288" s="1" t="s">
        <v>1898</v>
      </c>
      <c r="AZ288" s="1" t="s">
        <v>3410</v>
      </c>
      <c r="BA288" s="4">
        <v>0</v>
      </c>
    </row>
    <row r="289" spans="19:53">
      <c r="S289" s="1" t="s">
        <v>3244</v>
      </c>
      <c r="T289" s="4">
        <v>5</v>
      </c>
      <c r="U289" s="1" t="s">
        <v>3099</v>
      </c>
      <c r="V289" s="42">
        <v>1.1879999999999999</v>
      </c>
      <c r="W289" s="749" t="s">
        <v>3413</v>
      </c>
      <c r="X289" s="467">
        <v>-4.0000000000000002E-4</v>
      </c>
      <c r="Y289" s="1233" t="s">
        <v>3360</v>
      </c>
      <c r="Z289" s="43">
        <v>0</v>
      </c>
      <c r="AA289" s="1" t="s">
        <v>3458</v>
      </c>
      <c r="AB289" s="49">
        <v>0.04</v>
      </c>
      <c r="AC289" s="749" t="s">
        <v>3515</v>
      </c>
      <c r="AD289" s="467">
        <v>-4.0000000000000002E-4</v>
      </c>
      <c r="AE289" s="1" t="s">
        <v>1835</v>
      </c>
      <c r="AF289" s="151">
        <v>-4.0000000000000002E-4</v>
      </c>
      <c r="AG289" s="749" t="s">
        <v>3418</v>
      </c>
      <c r="AH289" s="467">
        <v>-4.0000000000000002E-4</v>
      </c>
      <c r="AI289" s="1233" t="s">
        <v>495</v>
      </c>
      <c r="AJ289" s="3">
        <v>0</v>
      </c>
      <c r="AK289" s="1" t="s">
        <v>3481</v>
      </c>
      <c r="AL289" s="151">
        <v>-4.0000000000000002E-4</v>
      </c>
      <c r="AM289" s="1" t="s">
        <v>3410</v>
      </c>
      <c r="AN289" s="467">
        <v>-4.0000000000000002E-4</v>
      </c>
      <c r="AO289" s="1" t="s">
        <v>2739</v>
      </c>
      <c r="AP289" s="467">
        <v>-4.0000000000000002E-4</v>
      </c>
      <c r="AQ289" s="1" t="s">
        <v>3410</v>
      </c>
      <c r="AR289" s="467">
        <v>-4.0000000000000002E-4</v>
      </c>
      <c r="AS289" s="1" t="s">
        <v>3187</v>
      </c>
      <c r="AT289" s="151">
        <v>-4.0000000000000002E-4</v>
      </c>
      <c r="AU289" s="1" t="s">
        <v>2739</v>
      </c>
      <c r="AV289" s="467">
        <v>-4.0000000000000002E-4</v>
      </c>
      <c r="AW289" s="1" t="s">
        <v>3465</v>
      </c>
      <c r="AX289" s="151">
        <v>-4.0000000000000002E-4</v>
      </c>
      <c r="AY289" s="1" t="s">
        <v>3335</v>
      </c>
      <c r="AZ289" s="749" t="s">
        <v>3411</v>
      </c>
      <c r="BA289" s="4">
        <v>0</v>
      </c>
    </row>
    <row r="290" spans="19:53">
      <c r="S290" s="1" t="s">
        <v>3268</v>
      </c>
      <c r="T290" s="4">
        <v>5</v>
      </c>
      <c r="U290" s="1" t="s">
        <v>3238</v>
      </c>
      <c r="V290" s="42">
        <v>1</v>
      </c>
      <c r="W290" s="749" t="s">
        <v>3416</v>
      </c>
      <c r="X290" s="467">
        <v>-4.0000000000000002E-4</v>
      </c>
      <c r="Y290" s="325" t="s">
        <v>3362</v>
      </c>
      <c r="Z290" s="42">
        <v>0</v>
      </c>
      <c r="AA290" s="325" t="s">
        <v>3453</v>
      </c>
      <c r="AB290" s="49">
        <v>0.04</v>
      </c>
      <c r="AC290" s="1" t="s">
        <v>3414</v>
      </c>
      <c r="AD290" s="467">
        <v>-4.0000000000000002E-4</v>
      </c>
      <c r="AE290" s="1" t="s">
        <v>3465</v>
      </c>
      <c r="AF290" s="151">
        <v>-4.0000000000000002E-4</v>
      </c>
      <c r="AG290" s="1" t="s">
        <v>1764</v>
      </c>
      <c r="AH290" s="151">
        <v>-4.0000000000000001E-3</v>
      </c>
      <c r="AI290" s="53" t="s">
        <v>3421</v>
      </c>
      <c r="AJ290" s="1">
        <v>0</v>
      </c>
      <c r="AK290" s="1" t="s">
        <v>1898</v>
      </c>
      <c r="AL290" s="151">
        <v>-4.0000000000000002E-4</v>
      </c>
      <c r="AM290" s="749" t="s">
        <v>3411</v>
      </c>
      <c r="AN290" s="467">
        <v>-4.0000000000000002E-4</v>
      </c>
      <c r="AO290" s="1" t="s">
        <v>3517</v>
      </c>
      <c r="AP290" s="467">
        <v>-4.0000000000000002E-4</v>
      </c>
      <c r="AQ290" s="749" t="s">
        <v>3411</v>
      </c>
      <c r="AR290" s="467">
        <v>-4.0000000000000002E-4</v>
      </c>
      <c r="AS290" s="749" t="s">
        <v>3188</v>
      </c>
      <c r="AT290" s="151">
        <v>-4.0000000000000002E-4</v>
      </c>
      <c r="AU290" s="1" t="s">
        <v>3517</v>
      </c>
      <c r="AV290" s="467">
        <v>-4.0000000000000002E-4</v>
      </c>
      <c r="AW290" s="1" t="s">
        <v>1872</v>
      </c>
      <c r="AX290" s="151">
        <v>-4.0000000000000002E-4</v>
      </c>
      <c r="AY290" s="1" t="s">
        <v>3394</v>
      </c>
      <c r="AZ290" s="749" t="s">
        <v>3413</v>
      </c>
      <c r="BA290" s="4">
        <v>0</v>
      </c>
    </row>
    <row r="291" spans="19:53">
      <c r="S291" s="749" t="s">
        <v>3343</v>
      </c>
      <c r="T291" s="3">
        <v>2</v>
      </c>
      <c r="U291" s="749" t="s">
        <v>3343</v>
      </c>
      <c r="V291" s="3">
        <v>1</v>
      </c>
      <c r="W291" s="749" t="s">
        <v>3412</v>
      </c>
      <c r="X291" s="467">
        <v>-4.0000000000000002E-4</v>
      </c>
      <c r="Y291" s="1233" t="s">
        <v>3365</v>
      </c>
      <c r="Z291" s="3">
        <v>0</v>
      </c>
      <c r="AA291" s="1" t="s">
        <v>3237</v>
      </c>
      <c r="AB291" s="31">
        <v>0.04</v>
      </c>
      <c r="AC291" s="1" t="s">
        <v>2739</v>
      </c>
      <c r="AD291" s="467">
        <v>-4.0000000000000002E-4</v>
      </c>
      <c r="AE291" s="1" t="s">
        <v>1872</v>
      </c>
      <c r="AF291" s="151">
        <v>-4.0000000000000002E-4</v>
      </c>
      <c r="AG291" s="1" t="s">
        <v>3090</v>
      </c>
      <c r="AH291" s="151">
        <v>-4.0000000000000001E-3</v>
      </c>
      <c r="AI291" s="1" t="s">
        <v>1896</v>
      </c>
      <c r="AJ291" s="151">
        <v>-4.0000000000000002E-4</v>
      </c>
      <c r="AK291" s="1" t="s">
        <v>3480</v>
      </c>
      <c r="AL291" s="151">
        <v>-4.0000000000000002E-4</v>
      </c>
      <c r="AM291" s="749" t="s">
        <v>3413</v>
      </c>
      <c r="AN291" s="467">
        <v>-4.0000000000000002E-4</v>
      </c>
      <c r="AO291" s="1" t="s">
        <v>1975</v>
      </c>
      <c r="AP291" s="467">
        <v>-4.0000000000000002E-4</v>
      </c>
      <c r="AQ291" s="749" t="s">
        <v>3413</v>
      </c>
      <c r="AR291" s="467">
        <v>-4.0000000000000002E-4</v>
      </c>
      <c r="AS291" s="749" t="s">
        <v>3189</v>
      </c>
      <c r="AT291" s="151">
        <v>-4.0000000000000002E-4</v>
      </c>
      <c r="AU291" s="1" t="s">
        <v>1975</v>
      </c>
      <c r="AV291" s="467">
        <v>-4.0000000000000002E-4</v>
      </c>
      <c r="AW291" s="1" t="s">
        <v>1873</v>
      </c>
      <c r="AX291" s="151">
        <v>-4.0000000000000002E-4</v>
      </c>
      <c r="AY291" s="1" t="s">
        <v>3480</v>
      </c>
      <c r="AZ291" s="749" t="s">
        <v>3416</v>
      </c>
      <c r="BA291" s="4">
        <v>0</v>
      </c>
    </row>
    <row r="292" spans="19:53">
      <c r="S292" s="1" t="s">
        <v>3358</v>
      </c>
      <c r="T292" s="3">
        <v>2</v>
      </c>
      <c r="U292" s="1233" t="s">
        <v>3359</v>
      </c>
      <c r="V292" s="3">
        <v>1</v>
      </c>
      <c r="W292" s="749" t="s">
        <v>3515</v>
      </c>
      <c r="X292" s="467">
        <v>-4.0000000000000002E-4</v>
      </c>
      <c r="Y292" s="749" t="s">
        <v>3289</v>
      </c>
      <c r="Z292" s="4">
        <v>0</v>
      </c>
      <c r="AA292" s="1233" t="s">
        <v>3221</v>
      </c>
      <c r="AB292" s="3">
        <v>3.988803358992303E-2</v>
      </c>
      <c r="AC292" s="1" t="s">
        <v>3517</v>
      </c>
      <c r="AD292" s="467">
        <v>-4.0000000000000002E-4</v>
      </c>
      <c r="AE292" s="1" t="s">
        <v>1873</v>
      </c>
      <c r="AF292" s="151">
        <v>-4.0000000000000002E-4</v>
      </c>
      <c r="AG292" s="1" t="s">
        <v>3093</v>
      </c>
      <c r="AH292" s="151">
        <v>-4.0000000000000001E-3</v>
      </c>
      <c r="AI292" s="1" t="s">
        <v>3481</v>
      </c>
      <c r="AJ292" s="151">
        <v>-4.0000000000000002E-4</v>
      </c>
      <c r="AK292" s="1" t="s">
        <v>502</v>
      </c>
      <c r="AL292" s="467">
        <v>-4.0000000000000002E-4</v>
      </c>
      <c r="AM292" s="749" t="s">
        <v>3416</v>
      </c>
      <c r="AN292" s="467">
        <v>-4.0000000000000002E-4</v>
      </c>
      <c r="AO292" s="1" t="s">
        <v>1974</v>
      </c>
      <c r="AP292" s="467">
        <v>-4.0000000000000002E-4</v>
      </c>
      <c r="AQ292" s="749" t="s">
        <v>3416</v>
      </c>
      <c r="AR292" s="467">
        <v>-4.0000000000000002E-4</v>
      </c>
      <c r="AS292" s="1" t="s">
        <v>3170</v>
      </c>
      <c r="AT292" s="151">
        <v>-4.0000000000000002E-4</v>
      </c>
      <c r="AU292" s="1" t="s">
        <v>1974</v>
      </c>
      <c r="AV292" s="467">
        <v>-4.0000000000000002E-4</v>
      </c>
      <c r="AW292" s="1" t="s">
        <v>1839</v>
      </c>
      <c r="AX292" s="151">
        <v>-4.0000000000000002E-4</v>
      </c>
      <c r="AY292" s="1" t="s">
        <v>3353</v>
      </c>
      <c r="AZ292" s="749" t="s">
        <v>3412</v>
      </c>
      <c r="BA292" s="4">
        <v>0</v>
      </c>
    </row>
    <row r="293" spans="19:53">
      <c r="S293" s="1233" t="s">
        <v>3359</v>
      </c>
      <c r="T293" s="3">
        <v>2</v>
      </c>
      <c r="U293" s="1233" t="s">
        <v>3360</v>
      </c>
      <c r="V293" s="42">
        <v>1</v>
      </c>
      <c r="W293" s="1" t="s">
        <v>3414</v>
      </c>
      <c r="X293" s="467">
        <v>-4.0000000000000002E-4</v>
      </c>
      <c r="Y293" s="1" t="s">
        <v>3284</v>
      </c>
      <c r="Z293" s="3">
        <v>0</v>
      </c>
      <c r="AA293" s="1233" t="s">
        <v>3283</v>
      </c>
      <c r="AB293" s="37">
        <v>2.2540000000000001E-2</v>
      </c>
      <c r="AC293" s="1" t="s">
        <v>1975</v>
      </c>
      <c r="AD293" s="467">
        <v>-4.0000000000000002E-4</v>
      </c>
      <c r="AE293" s="1" t="s">
        <v>1839</v>
      </c>
      <c r="AF293" s="151">
        <v>-4.0000000000000002E-4</v>
      </c>
      <c r="AG293" s="1" t="s">
        <v>3136</v>
      </c>
      <c r="AH293" s="151">
        <v>-4.0000000000000001E-3</v>
      </c>
      <c r="AI293" s="1" t="s">
        <v>1898</v>
      </c>
      <c r="AJ293" s="151">
        <v>-4.0000000000000002E-4</v>
      </c>
      <c r="AK293" s="1" t="s">
        <v>3410</v>
      </c>
      <c r="AL293" s="467">
        <v>-4.0000000000000002E-4</v>
      </c>
      <c r="AM293" s="749" t="s">
        <v>3412</v>
      </c>
      <c r="AN293" s="467">
        <v>-4.0000000000000002E-4</v>
      </c>
      <c r="AO293" s="1" t="s">
        <v>1976</v>
      </c>
      <c r="AP293" s="467">
        <v>-4.0000000000000002E-4</v>
      </c>
      <c r="AQ293" s="749" t="s">
        <v>3412</v>
      </c>
      <c r="AR293" s="467">
        <v>-4.0000000000000002E-4</v>
      </c>
      <c r="AS293" s="749" t="s">
        <v>3190</v>
      </c>
      <c r="AT293" s="151">
        <v>-4.0000000000000002E-4</v>
      </c>
      <c r="AU293" s="1" t="s">
        <v>1976</v>
      </c>
      <c r="AV293" s="467">
        <v>-4.0000000000000002E-4</v>
      </c>
      <c r="AW293" s="749" t="s">
        <v>3186</v>
      </c>
      <c r="AX293" s="151">
        <v>-4.0000000000000002E-4</v>
      </c>
      <c r="AY293" s="749" t="s">
        <v>3354</v>
      </c>
      <c r="AZ293" s="749" t="s">
        <v>3515</v>
      </c>
      <c r="BA293" s="4">
        <v>0</v>
      </c>
    </row>
    <row r="294" spans="19:53">
      <c r="S294" s="1233" t="s">
        <v>3360</v>
      </c>
      <c r="T294" s="42">
        <v>2</v>
      </c>
      <c r="U294" s="325" t="s">
        <v>3362</v>
      </c>
      <c r="V294" s="42">
        <v>1</v>
      </c>
      <c r="W294" s="1" t="s">
        <v>2739</v>
      </c>
      <c r="X294" s="467">
        <v>-4.0000000000000002E-4</v>
      </c>
      <c r="Y294" s="1" t="s">
        <v>3285</v>
      </c>
      <c r="Z294" s="3">
        <v>0</v>
      </c>
      <c r="AA294" s="1233" t="s">
        <v>495</v>
      </c>
      <c r="AB294" s="31">
        <v>0.02</v>
      </c>
      <c r="AC294" s="1" t="s">
        <v>1974</v>
      </c>
      <c r="AD294" s="467">
        <v>-4.0000000000000002E-4</v>
      </c>
      <c r="AE294" s="749" t="s">
        <v>3186</v>
      </c>
      <c r="AF294" s="151">
        <v>-4.0000000000000002E-4</v>
      </c>
      <c r="AG294" s="1" t="s">
        <v>3087</v>
      </c>
      <c r="AH294" s="151">
        <v>-4.0000000000000001E-3</v>
      </c>
      <c r="AI294" s="1" t="s">
        <v>3480</v>
      </c>
      <c r="AJ294" s="151">
        <v>-4.0000000000000002E-4</v>
      </c>
      <c r="AK294" s="749" t="s">
        <v>3411</v>
      </c>
      <c r="AL294" s="467">
        <v>-4.0000000000000002E-4</v>
      </c>
      <c r="AM294" s="749" t="s">
        <v>3515</v>
      </c>
      <c r="AN294" s="467">
        <v>-4.0000000000000002E-4</v>
      </c>
      <c r="AO294" s="1" t="s">
        <v>1977</v>
      </c>
      <c r="AP294" s="467">
        <v>-4.0000000000000002E-4</v>
      </c>
      <c r="AQ294" s="749" t="s">
        <v>3515</v>
      </c>
      <c r="AR294" s="467">
        <v>-4.0000000000000002E-4</v>
      </c>
      <c r="AS294" s="749" t="s">
        <v>3191</v>
      </c>
      <c r="AT294" s="151">
        <v>-4.0000000000000002E-4</v>
      </c>
      <c r="AU294" s="1" t="s">
        <v>1977</v>
      </c>
      <c r="AV294" s="467">
        <v>-4.0000000000000002E-4</v>
      </c>
      <c r="AW294" s="1" t="s">
        <v>3187</v>
      </c>
      <c r="AX294" s="151">
        <v>-4.0000000000000002E-4</v>
      </c>
      <c r="AY294" s="1" t="s">
        <v>503</v>
      </c>
      <c r="AZ294" s="53" t="s">
        <v>3421</v>
      </c>
      <c r="BA294" s="1">
        <v>0</v>
      </c>
    </row>
    <row r="295" spans="19:53">
      <c r="S295" s="325" t="s">
        <v>3362</v>
      </c>
      <c r="T295" s="42">
        <v>2</v>
      </c>
      <c r="U295" s="1334" t="s">
        <v>3239</v>
      </c>
      <c r="V295" s="3">
        <v>0.2</v>
      </c>
      <c r="W295" s="1" t="s">
        <v>3517</v>
      </c>
      <c r="X295" s="467">
        <v>-4.0000000000000002E-4</v>
      </c>
      <c r="Y295" s="1310" t="s">
        <v>3294</v>
      </c>
      <c r="Z295" s="4">
        <v>0</v>
      </c>
      <c r="AA295" s="1" t="s">
        <v>3099</v>
      </c>
      <c r="AB295" s="42">
        <v>1.2999999999999999E-2</v>
      </c>
      <c r="AC295" s="1" t="s">
        <v>1976</v>
      </c>
      <c r="AD295" s="467">
        <v>-4.0000000000000002E-4</v>
      </c>
      <c r="AE295" s="1" t="s">
        <v>3187</v>
      </c>
      <c r="AF295" s="151">
        <v>-4.0000000000000002E-4</v>
      </c>
      <c r="AG295" s="1" t="s">
        <v>1784</v>
      </c>
      <c r="AH295" s="151">
        <v>-4.0000000000000001E-3</v>
      </c>
      <c r="AI295" s="1" t="s">
        <v>502</v>
      </c>
      <c r="AJ295" s="467">
        <v>-4.0000000000000002E-4</v>
      </c>
      <c r="AK295" s="749" t="s">
        <v>3413</v>
      </c>
      <c r="AL295" s="467">
        <v>-4.0000000000000002E-4</v>
      </c>
      <c r="AM295" s="1" t="s">
        <v>3414</v>
      </c>
      <c r="AN295" s="467">
        <v>-4.0000000000000002E-4</v>
      </c>
      <c r="AO295" s="1" t="s">
        <v>3415</v>
      </c>
      <c r="AP295" s="467">
        <v>-4.0000000000000002E-4</v>
      </c>
      <c r="AQ295" s="1" t="s">
        <v>3414</v>
      </c>
      <c r="AR295" s="467">
        <v>-4.0000000000000002E-4</v>
      </c>
      <c r="AS295" s="749" t="s">
        <v>3192</v>
      </c>
      <c r="AT295" s="151">
        <v>-4.0000000000000002E-4</v>
      </c>
      <c r="AU295" s="1" t="s">
        <v>3415</v>
      </c>
      <c r="AV295" s="467">
        <v>-4.0000000000000002E-4</v>
      </c>
      <c r="AW295" s="749" t="s">
        <v>3188</v>
      </c>
      <c r="AX295" s="151">
        <v>-4.0000000000000002E-4</v>
      </c>
      <c r="AY295" s="1" t="s">
        <v>3355</v>
      </c>
      <c r="AZ295" s="1" t="s">
        <v>1803</v>
      </c>
      <c r="BA295" s="467">
        <v>-4.0000000000000002E-4</v>
      </c>
    </row>
    <row r="296" spans="19:53">
      <c r="S296" s="1" t="s">
        <v>3238</v>
      </c>
      <c r="T296" s="42">
        <v>1</v>
      </c>
      <c r="U296" s="1" t="s">
        <v>3095</v>
      </c>
      <c r="V296" s="4">
        <v>0</v>
      </c>
      <c r="W296" s="1" t="s">
        <v>1975</v>
      </c>
      <c r="X296" s="467">
        <v>-4.0000000000000002E-4</v>
      </c>
      <c r="Y296" s="53" t="s">
        <v>3421</v>
      </c>
      <c r="Z296" s="1">
        <v>0</v>
      </c>
      <c r="AA296" s="1233" t="s">
        <v>3242</v>
      </c>
      <c r="AB296" s="1238">
        <v>0</v>
      </c>
      <c r="AC296" s="1" t="s">
        <v>1977</v>
      </c>
      <c r="AD296" s="467">
        <v>-4.0000000000000002E-4</v>
      </c>
      <c r="AE296" s="749" t="s">
        <v>3188</v>
      </c>
      <c r="AF296" s="151">
        <v>-4.0000000000000002E-4</v>
      </c>
      <c r="AG296" s="1" t="s">
        <v>1789</v>
      </c>
      <c r="AH296" s="151">
        <v>-4.0000000000000001E-3</v>
      </c>
      <c r="AI296" s="1" t="s">
        <v>3410</v>
      </c>
      <c r="AJ296" s="467">
        <v>-4.0000000000000002E-4</v>
      </c>
      <c r="AK296" s="749" t="s">
        <v>3416</v>
      </c>
      <c r="AL296" s="467">
        <v>-4.0000000000000002E-4</v>
      </c>
      <c r="AM296" s="1" t="s">
        <v>2739</v>
      </c>
      <c r="AN296" s="467">
        <v>-4.0000000000000002E-4</v>
      </c>
      <c r="AO296" s="1" t="s">
        <v>3419</v>
      </c>
      <c r="AP296" s="467">
        <v>-4.0000000000000002E-4</v>
      </c>
      <c r="AQ296" s="1" t="s">
        <v>2739</v>
      </c>
      <c r="AR296" s="467">
        <v>-4.0000000000000002E-4</v>
      </c>
      <c r="AS296" s="749" t="s">
        <v>3195</v>
      </c>
      <c r="AT296" s="151">
        <v>-4.0000000000000002E-4</v>
      </c>
      <c r="AU296" s="1" t="s">
        <v>3419</v>
      </c>
      <c r="AV296" s="467">
        <v>-4.0000000000000002E-4</v>
      </c>
      <c r="AW296" s="749" t="s">
        <v>3189</v>
      </c>
      <c r="AX296" s="151">
        <v>-4.0000000000000002E-4</v>
      </c>
      <c r="AY296" s="1" t="s">
        <v>3336</v>
      </c>
      <c r="AZ296" s="1" t="s">
        <v>3220</v>
      </c>
      <c r="BA296" s="142">
        <v>-4.0000000000000002E-4</v>
      </c>
    </row>
    <row r="297" spans="19:53">
      <c r="S297" s="1334" t="s">
        <v>3239</v>
      </c>
      <c r="T297" s="3">
        <v>0</v>
      </c>
      <c r="U297" s="1" t="s">
        <v>3358</v>
      </c>
      <c r="V297" s="3">
        <v>0</v>
      </c>
      <c r="W297" s="1" t="s">
        <v>1974</v>
      </c>
      <c r="X297" s="467">
        <v>-4.0000000000000002E-4</v>
      </c>
      <c r="Y297" s="1" t="s">
        <v>1896</v>
      </c>
      <c r="Z297" s="151">
        <v>-4.0000000000000002E-4</v>
      </c>
      <c r="AA297" s="749" t="s">
        <v>3289</v>
      </c>
      <c r="AB297" s="4">
        <v>0</v>
      </c>
      <c r="AC297" s="1" t="s">
        <v>3415</v>
      </c>
      <c r="AD297" s="467">
        <v>-4.0000000000000002E-4</v>
      </c>
      <c r="AE297" s="749" t="s">
        <v>3189</v>
      </c>
      <c r="AF297" s="151">
        <v>-4.0000000000000002E-4</v>
      </c>
      <c r="AG297" s="1" t="s">
        <v>3463</v>
      </c>
      <c r="AH297" s="151">
        <v>-4.0000000000000001E-3</v>
      </c>
      <c r="AI297" s="749" t="s">
        <v>3411</v>
      </c>
      <c r="AJ297" s="467">
        <v>-4.0000000000000002E-4</v>
      </c>
      <c r="AK297" s="749" t="s">
        <v>3412</v>
      </c>
      <c r="AL297" s="467">
        <v>-4.0000000000000002E-4</v>
      </c>
      <c r="AM297" s="1" t="s">
        <v>3517</v>
      </c>
      <c r="AN297" s="467">
        <v>-4.0000000000000002E-4</v>
      </c>
      <c r="AO297" s="1" t="s">
        <v>3420</v>
      </c>
      <c r="AP297" s="467">
        <v>-4.0000000000000002E-4</v>
      </c>
      <c r="AQ297" s="1" t="s">
        <v>3517</v>
      </c>
      <c r="AR297" s="467">
        <v>-4.0000000000000002E-4</v>
      </c>
      <c r="AS297" s="749" t="s">
        <v>3511</v>
      </c>
      <c r="AT297" s="151">
        <v>-4.0000000000000002E-4</v>
      </c>
      <c r="AU297" s="1" t="s">
        <v>3420</v>
      </c>
      <c r="AV297" s="467">
        <v>-4.0000000000000002E-4</v>
      </c>
      <c r="AW297" s="1" t="s">
        <v>3170</v>
      </c>
      <c r="AX297" s="151">
        <v>-4.0000000000000002E-4</v>
      </c>
      <c r="AY297" s="1" t="s">
        <v>134</v>
      </c>
      <c r="AZ297" s="1" t="s">
        <v>3480</v>
      </c>
      <c r="BA297" s="151">
        <v>-4.0000000000000002E-4</v>
      </c>
    </row>
    <row r="298" spans="19:53">
      <c r="S298" s="749" t="s">
        <v>3289</v>
      </c>
      <c r="T298" s="4">
        <v>0</v>
      </c>
      <c r="U298" s="1233" t="s">
        <v>3276</v>
      </c>
      <c r="V298" s="1234">
        <v>0</v>
      </c>
      <c r="W298" s="1" t="s">
        <v>1976</v>
      </c>
      <c r="X298" s="467">
        <v>-4.0000000000000002E-4</v>
      </c>
      <c r="Y298" s="1" t="s">
        <v>3481</v>
      </c>
      <c r="Z298" s="151">
        <v>-4.0000000000000002E-4</v>
      </c>
      <c r="AA298" s="1310" t="s">
        <v>3294</v>
      </c>
      <c r="AB298" s="4">
        <v>0</v>
      </c>
      <c r="AC298" s="1" t="s">
        <v>3419</v>
      </c>
      <c r="AD298" s="467">
        <v>-4.0000000000000002E-4</v>
      </c>
      <c r="AE298" s="1" t="s">
        <v>3170</v>
      </c>
      <c r="AF298" s="151">
        <v>-4.0000000000000002E-4</v>
      </c>
      <c r="AG298" s="1" t="s">
        <v>3456</v>
      </c>
      <c r="AH298" s="151">
        <v>-4.0000000000000001E-3</v>
      </c>
      <c r="AI298" s="749" t="s">
        <v>3413</v>
      </c>
      <c r="AJ298" s="467">
        <v>-4.0000000000000002E-4</v>
      </c>
      <c r="AK298" s="749" t="s">
        <v>3515</v>
      </c>
      <c r="AL298" s="467">
        <v>-4.0000000000000002E-4</v>
      </c>
      <c r="AM298" s="1" t="s">
        <v>1975</v>
      </c>
      <c r="AN298" s="467">
        <v>-4.0000000000000002E-4</v>
      </c>
      <c r="AO298" s="1" t="s">
        <v>1983</v>
      </c>
      <c r="AP298" s="467">
        <v>-4.0000000000000002E-4</v>
      </c>
      <c r="AQ298" s="1" t="s">
        <v>1975</v>
      </c>
      <c r="AR298" s="467">
        <v>-4.0000000000000002E-4</v>
      </c>
      <c r="AS298" s="491" t="s">
        <v>3512</v>
      </c>
      <c r="AT298" s="151">
        <v>-4.0000000000000002E-4</v>
      </c>
      <c r="AU298" s="1" t="s">
        <v>1983</v>
      </c>
      <c r="AV298" s="467">
        <v>-4.0000000000000002E-4</v>
      </c>
      <c r="AW298" s="749" t="s">
        <v>3190</v>
      </c>
      <c r="AX298" s="151">
        <v>-4.0000000000000002E-4</v>
      </c>
      <c r="AY298" s="1" t="s">
        <v>3356</v>
      </c>
      <c r="AZ298" s="1" t="s">
        <v>3414</v>
      </c>
      <c r="BA298" s="467">
        <v>-4.0000000000000002E-4</v>
      </c>
    </row>
    <row r="299" spans="19:53">
      <c r="S299" s="1310" t="s">
        <v>3294</v>
      </c>
      <c r="T299" s="4">
        <v>0</v>
      </c>
      <c r="U299" s="1310" t="s">
        <v>3294</v>
      </c>
      <c r="V299" s="4">
        <v>0</v>
      </c>
      <c r="W299" s="1" t="s">
        <v>1977</v>
      </c>
      <c r="X299" s="467">
        <v>-4.0000000000000002E-4</v>
      </c>
      <c r="Y299" s="1" t="s">
        <v>1898</v>
      </c>
      <c r="Z299" s="151">
        <v>-4.0000000000000002E-4</v>
      </c>
      <c r="AA299" s="53" t="s">
        <v>3421</v>
      </c>
      <c r="AB299" s="1">
        <v>0</v>
      </c>
      <c r="AC299" s="1" t="s">
        <v>3420</v>
      </c>
      <c r="AD299" s="467">
        <v>-4.0000000000000002E-4</v>
      </c>
      <c r="AE299" s="749" t="s">
        <v>3190</v>
      </c>
      <c r="AF299" s="151">
        <v>-4.0000000000000002E-4</v>
      </c>
      <c r="AG299" s="1" t="s">
        <v>3214</v>
      </c>
      <c r="AH299" s="151">
        <v>-4.0000000000000001E-3</v>
      </c>
      <c r="AI299" s="749" t="s">
        <v>3416</v>
      </c>
      <c r="AJ299" s="467">
        <v>-4.0000000000000002E-4</v>
      </c>
      <c r="AK299" s="1" t="s">
        <v>3414</v>
      </c>
      <c r="AL299" s="467">
        <v>-4.0000000000000002E-4</v>
      </c>
      <c r="AM299" s="1" t="s">
        <v>1974</v>
      </c>
      <c r="AN299" s="467">
        <v>-4.0000000000000002E-4</v>
      </c>
      <c r="AO299" s="1" t="s">
        <v>1984</v>
      </c>
      <c r="AP299" s="467">
        <v>-4.0000000000000002E-4</v>
      </c>
      <c r="AQ299" s="1" t="s">
        <v>1974</v>
      </c>
      <c r="AR299" s="467">
        <v>-4.0000000000000002E-4</v>
      </c>
      <c r="AS299" s="1" t="s">
        <v>3198</v>
      </c>
      <c r="AT299" s="151">
        <v>-4.0000000000000002E-4</v>
      </c>
      <c r="AU299" s="1" t="s">
        <v>1984</v>
      </c>
      <c r="AV299" s="467">
        <v>-4.0000000000000002E-4</v>
      </c>
      <c r="AW299" s="749" t="s">
        <v>3191</v>
      </c>
      <c r="AX299" s="151">
        <v>-4.0000000000000002E-4</v>
      </c>
      <c r="AY299" s="749" t="s">
        <v>510</v>
      </c>
      <c r="AZ299" s="1" t="s">
        <v>2739</v>
      </c>
      <c r="BA299" s="467">
        <v>-4.0000000000000002E-4</v>
      </c>
    </row>
    <row r="300" spans="19:53">
      <c r="S300" s="325" t="s">
        <v>3513</v>
      </c>
      <c r="T300" s="43">
        <v>0</v>
      </c>
      <c r="U300" s="1335" t="s">
        <v>3301</v>
      </c>
      <c r="V300" s="1234">
        <v>0</v>
      </c>
      <c r="W300" s="1" t="s">
        <v>3415</v>
      </c>
      <c r="X300" s="467">
        <v>-4.0000000000000002E-4</v>
      </c>
      <c r="Y300" s="1" t="s">
        <v>3480</v>
      </c>
      <c r="Z300" s="151">
        <v>-4.0000000000000002E-4</v>
      </c>
      <c r="AA300" s="1" t="s">
        <v>1896</v>
      </c>
      <c r="AB300" s="151">
        <v>-4.0000000000000002E-4</v>
      </c>
      <c r="AC300" s="1" t="s">
        <v>1983</v>
      </c>
      <c r="AD300" s="467">
        <v>-4.0000000000000002E-4</v>
      </c>
      <c r="AE300" s="749" t="s">
        <v>3191</v>
      </c>
      <c r="AF300" s="151">
        <v>-4.0000000000000002E-4</v>
      </c>
      <c r="AG300" s="749" t="s">
        <v>3209</v>
      </c>
      <c r="AH300" s="151">
        <v>-4.0000000000000001E-3</v>
      </c>
      <c r="AI300" s="749" t="s">
        <v>3412</v>
      </c>
      <c r="AJ300" s="467">
        <v>-4.0000000000000002E-4</v>
      </c>
      <c r="AK300" s="1" t="s">
        <v>2739</v>
      </c>
      <c r="AL300" s="467">
        <v>-4.0000000000000002E-4</v>
      </c>
      <c r="AM300" s="1" t="s">
        <v>1976</v>
      </c>
      <c r="AN300" s="467">
        <v>-4.0000000000000002E-4</v>
      </c>
      <c r="AO300" s="749" t="s">
        <v>3418</v>
      </c>
      <c r="AP300" s="467">
        <v>-4.0000000000000002E-4</v>
      </c>
      <c r="AQ300" s="1" t="s">
        <v>1976</v>
      </c>
      <c r="AR300" s="467">
        <v>-4.0000000000000002E-4</v>
      </c>
      <c r="AS300" s="749" t="s">
        <v>3199</v>
      </c>
      <c r="AT300" s="151">
        <v>-4.0000000000000002E-4</v>
      </c>
      <c r="AU300" s="749" t="s">
        <v>3418</v>
      </c>
      <c r="AV300" s="467">
        <v>-4.0000000000000002E-4</v>
      </c>
      <c r="AW300" s="749" t="s">
        <v>3192</v>
      </c>
      <c r="AX300" s="151">
        <v>-4.0000000000000002E-4</v>
      </c>
      <c r="AY300" s="749" t="s">
        <v>3337</v>
      </c>
      <c r="AZ300" s="1" t="s">
        <v>3517</v>
      </c>
      <c r="BA300" s="467">
        <v>-4.0000000000000002E-4</v>
      </c>
    </row>
    <row r="301" spans="19:53">
      <c r="S301" s="53" t="s">
        <v>3421</v>
      </c>
      <c r="T301" s="1">
        <v>0</v>
      </c>
      <c r="U301" s="53" t="s">
        <v>3421</v>
      </c>
      <c r="V301" s="1">
        <v>0</v>
      </c>
      <c r="W301" s="1" t="s">
        <v>3419</v>
      </c>
      <c r="X301" s="467">
        <v>-4.0000000000000002E-4</v>
      </c>
      <c r="Y301" s="1" t="s">
        <v>502</v>
      </c>
      <c r="Z301" s="467">
        <v>-4.0000000000000002E-4</v>
      </c>
      <c r="AA301" s="1" t="s">
        <v>3481</v>
      </c>
      <c r="AB301" s="151">
        <v>-4.0000000000000002E-4</v>
      </c>
      <c r="AC301" s="1" t="s">
        <v>1984</v>
      </c>
      <c r="AD301" s="467">
        <v>-4.0000000000000002E-4</v>
      </c>
      <c r="AE301" s="749" t="s">
        <v>3192</v>
      </c>
      <c r="AF301" s="151">
        <v>-4.0000000000000002E-4</v>
      </c>
      <c r="AG301" s="749" t="s">
        <v>3173</v>
      </c>
      <c r="AH301" s="151">
        <v>-4.0000000000000001E-3</v>
      </c>
      <c r="AI301" s="749" t="s">
        <v>3515</v>
      </c>
      <c r="AJ301" s="467">
        <v>-4.0000000000000002E-4</v>
      </c>
      <c r="AK301" s="1" t="s">
        <v>3517</v>
      </c>
      <c r="AL301" s="467">
        <v>-4.0000000000000002E-4</v>
      </c>
      <c r="AM301" s="1" t="s">
        <v>1977</v>
      </c>
      <c r="AN301" s="467">
        <v>-4.0000000000000002E-4</v>
      </c>
      <c r="AO301" s="1" t="s">
        <v>3098</v>
      </c>
      <c r="AP301" s="151">
        <v>-4.0000000000000001E-3</v>
      </c>
      <c r="AQ301" s="1" t="s">
        <v>1977</v>
      </c>
      <c r="AR301" s="467">
        <v>-4.0000000000000002E-4</v>
      </c>
      <c r="AS301" s="749" t="s">
        <v>3474</v>
      </c>
      <c r="AT301" s="151">
        <v>-4.0000000000000002E-4</v>
      </c>
      <c r="AU301" s="1" t="s">
        <v>3315</v>
      </c>
      <c r="AV301" s="151">
        <v>-4.0000000000000001E-3</v>
      </c>
      <c r="AW301" s="749" t="s">
        <v>3164</v>
      </c>
      <c r="AX301" s="151">
        <v>-4.0000000000000002E-4</v>
      </c>
      <c r="AY301" s="1" t="s">
        <v>3338</v>
      </c>
      <c r="AZ301" s="1" t="s">
        <v>1975</v>
      </c>
      <c r="BA301" s="467">
        <v>-4.0000000000000002E-4</v>
      </c>
    </row>
    <row r="302" spans="19:53">
      <c r="S302" s="1" t="s">
        <v>3480</v>
      </c>
      <c r="T302" s="151">
        <v>-4.0000000000000002E-4</v>
      </c>
      <c r="U302" s="1" t="s">
        <v>3480</v>
      </c>
      <c r="V302" s="151">
        <v>-4.0000000000000002E-4</v>
      </c>
      <c r="W302" s="1" t="s">
        <v>3420</v>
      </c>
      <c r="X302" s="467">
        <v>-4.0000000000000002E-4</v>
      </c>
      <c r="Y302" s="1" t="s">
        <v>3410</v>
      </c>
      <c r="Z302" s="467">
        <v>-4.0000000000000002E-4</v>
      </c>
      <c r="AA302" s="1" t="s">
        <v>1898</v>
      </c>
      <c r="AB302" s="151">
        <v>-4.0000000000000002E-4</v>
      </c>
      <c r="AC302" s="749" t="s">
        <v>3418</v>
      </c>
      <c r="AD302" s="467">
        <v>-4.0000000000000002E-4</v>
      </c>
      <c r="AE302" s="749" t="s">
        <v>3195</v>
      </c>
      <c r="AF302" s="151">
        <v>-4.0000000000000002E-4</v>
      </c>
      <c r="AG302" s="1" t="s">
        <v>3174</v>
      </c>
      <c r="AH302" s="151">
        <v>-4.0000000000000001E-3</v>
      </c>
      <c r="AI302" s="1" t="s">
        <v>3414</v>
      </c>
      <c r="AJ302" s="467">
        <v>-4.0000000000000002E-4</v>
      </c>
      <c r="AK302" s="1" t="s">
        <v>1975</v>
      </c>
      <c r="AL302" s="467">
        <v>-4.0000000000000002E-4</v>
      </c>
      <c r="AM302" s="1" t="s">
        <v>3415</v>
      </c>
      <c r="AN302" s="467">
        <v>-4.0000000000000002E-4</v>
      </c>
      <c r="AO302" s="1" t="s">
        <v>439</v>
      </c>
      <c r="AP302" s="151">
        <v>-4.0000000000000001E-3</v>
      </c>
      <c r="AQ302" s="1" t="s">
        <v>3415</v>
      </c>
      <c r="AR302" s="467">
        <v>-4.0000000000000002E-4</v>
      </c>
      <c r="AS302" s="1" t="s">
        <v>1855</v>
      </c>
      <c r="AT302" s="151">
        <v>-4.0000000000000002E-4</v>
      </c>
      <c r="AU302" s="1" t="s">
        <v>1784</v>
      </c>
      <c r="AV302" s="151">
        <v>-4.0000000000000001E-3</v>
      </c>
      <c r="AW302" s="749" t="s">
        <v>3195</v>
      </c>
      <c r="AX302" s="151">
        <v>-4.0000000000000002E-4</v>
      </c>
      <c r="AY302" s="1" t="s">
        <v>3339</v>
      </c>
      <c r="AZ302" s="1" t="s">
        <v>1974</v>
      </c>
      <c r="BA302" s="467">
        <v>-4.0000000000000002E-4</v>
      </c>
    </row>
    <row r="303" spans="19:53">
      <c r="S303" s="1" t="s">
        <v>3414</v>
      </c>
      <c r="T303" s="467">
        <v>-4.0000000000000002E-4</v>
      </c>
      <c r="U303" s="1" t="s">
        <v>3414</v>
      </c>
      <c r="V303" s="467">
        <v>-4.0000000000000002E-4</v>
      </c>
      <c r="W303" s="1" t="s">
        <v>1983</v>
      </c>
      <c r="X303" s="467">
        <v>-4.0000000000000002E-4</v>
      </c>
      <c r="Y303" s="749" t="s">
        <v>3411</v>
      </c>
      <c r="Z303" s="467">
        <v>-4.0000000000000002E-4</v>
      </c>
      <c r="AA303" s="1" t="s">
        <v>3480</v>
      </c>
      <c r="AB303" s="151">
        <v>-4.0000000000000002E-4</v>
      </c>
      <c r="AC303" s="1" t="s">
        <v>1801</v>
      </c>
      <c r="AD303" s="151">
        <v>-4.0000000000000001E-3</v>
      </c>
      <c r="AE303" s="749" t="s">
        <v>3511</v>
      </c>
      <c r="AF303" s="235">
        <v>-4.0000000000000002E-4</v>
      </c>
      <c r="AG303" s="749" t="s">
        <v>3165</v>
      </c>
      <c r="AH303" s="151">
        <v>-4.0000000000000001E-3</v>
      </c>
      <c r="AI303" s="1" t="s">
        <v>2739</v>
      </c>
      <c r="AJ303" s="467">
        <v>-4.0000000000000002E-4</v>
      </c>
      <c r="AK303" s="1" t="s">
        <v>1974</v>
      </c>
      <c r="AL303" s="467">
        <v>-4.0000000000000002E-4</v>
      </c>
      <c r="AM303" s="1" t="s">
        <v>3419</v>
      </c>
      <c r="AN303" s="467">
        <v>-4.0000000000000002E-4</v>
      </c>
      <c r="AO303" s="1" t="s">
        <v>3090</v>
      </c>
      <c r="AP303" s="151">
        <v>-4.0000000000000001E-3</v>
      </c>
      <c r="AQ303" s="1" t="s">
        <v>3419</v>
      </c>
      <c r="AR303" s="467">
        <v>-4.0000000000000002E-4</v>
      </c>
      <c r="AS303" s="7" t="s">
        <v>1855</v>
      </c>
      <c r="AT303" s="151">
        <v>-4.0000000000000002E-4</v>
      </c>
      <c r="AU303" s="1" t="s">
        <v>3463</v>
      </c>
      <c r="AV303" s="151">
        <v>-4.0000000000000001E-3</v>
      </c>
      <c r="AW303" s="749" t="s">
        <v>3511</v>
      </c>
      <c r="AX303" s="151">
        <v>-4.0000000000000002E-4</v>
      </c>
      <c r="AY303" s="8" t="s">
        <v>3340</v>
      </c>
      <c r="AZ303" s="1" t="s">
        <v>1976</v>
      </c>
      <c r="BA303" s="467">
        <v>-4.0000000000000002E-4</v>
      </c>
    </row>
    <row r="304" spans="19:53">
      <c r="S304" s="1" t="s">
        <v>2739</v>
      </c>
      <c r="T304" s="467">
        <v>-4.0000000000000002E-4</v>
      </c>
      <c r="U304" s="1" t="s">
        <v>2739</v>
      </c>
      <c r="V304" s="467">
        <v>-4.0000000000000002E-4</v>
      </c>
      <c r="W304" s="1" t="s">
        <v>1984</v>
      </c>
      <c r="X304" s="467">
        <v>-4.0000000000000002E-4</v>
      </c>
      <c r="Y304" s="749" t="s">
        <v>3413</v>
      </c>
      <c r="Z304" s="467">
        <v>-4.0000000000000002E-4</v>
      </c>
      <c r="AA304" s="1" t="s">
        <v>502</v>
      </c>
      <c r="AB304" s="467">
        <v>-4.0000000000000002E-4</v>
      </c>
      <c r="AC304" s="1" t="s">
        <v>1784</v>
      </c>
      <c r="AD304" s="151">
        <v>-4.0000000000000001E-3</v>
      </c>
      <c r="AE304" s="491" t="s">
        <v>3512</v>
      </c>
      <c r="AF304" s="151">
        <v>-4.0000000000000002E-4</v>
      </c>
      <c r="AG304" s="749" t="s">
        <v>3464</v>
      </c>
      <c r="AH304" s="151">
        <v>-4.0000000000000001E-3</v>
      </c>
      <c r="AI304" s="1" t="s">
        <v>3517</v>
      </c>
      <c r="AJ304" s="467">
        <v>-4.0000000000000002E-4</v>
      </c>
      <c r="AK304" s="1" t="s">
        <v>1976</v>
      </c>
      <c r="AL304" s="467">
        <v>-4.0000000000000002E-4</v>
      </c>
      <c r="AM304" s="1" t="s">
        <v>3420</v>
      </c>
      <c r="AN304" s="467">
        <v>-4.0000000000000002E-4</v>
      </c>
      <c r="AO304" s="1" t="s">
        <v>3093</v>
      </c>
      <c r="AP304" s="151">
        <v>-4.0000000000000001E-3</v>
      </c>
      <c r="AQ304" s="1" t="s">
        <v>3420</v>
      </c>
      <c r="AR304" s="467">
        <v>-4.0000000000000002E-4</v>
      </c>
      <c r="AS304" s="1" t="s">
        <v>1856</v>
      </c>
      <c r="AT304" s="151">
        <v>-4.0000000000000002E-4</v>
      </c>
      <c r="AU304" s="1" t="s">
        <v>480</v>
      </c>
      <c r="AV304" s="151">
        <v>-4.0000000000000001E-3</v>
      </c>
      <c r="AW304" s="491" t="s">
        <v>3512</v>
      </c>
      <c r="AX304" s="151">
        <v>-4.0000000000000002E-4</v>
      </c>
      <c r="AY304" s="8" t="s">
        <v>3341</v>
      </c>
      <c r="AZ304" s="1" t="s">
        <v>1977</v>
      </c>
      <c r="BA304" s="467">
        <v>-4.0000000000000002E-4</v>
      </c>
    </row>
    <row r="305" spans="19:53">
      <c r="S305" s="1" t="s">
        <v>3517</v>
      </c>
      <c r="T305" s="467">
        <v>-4.0000000000000002E-4</v>
      </c>
      <c r="U305" s="1" t="s">
        <v>3517</v>
      </c>
      <c r="V305" s="467">
        <v>-4.0000000000000002E-4</v>
      </c>
      <c r="W305" s="749" t="s">
        <v>3418</v>
      </c>
      <c r="X305" s="467">
        <v>-4.0000000000000002E-4</v>
      </c>
      <c r="Y305" s="749" t="s">
        <v>3416</v>
      </c>
      <c r="Z305" s="467">
        <v>-4.0000000000000002E-4</v>
      </c>
      <c r="AA305" s="1" t="s">
        <v>3410</v>
      </c>
      <c r="AB305" s="467">
        <v>-4.0000000000000002E-4</v>
      </c>
      <c r="AC305" s="1" t="s">
        <v>467</v>
      </c>
      <c r="AD305" s="151">
        <v>-4.0000000000000001E-3</v>
      </c>
      <c r="AE305" s="1" t="s">
        <v>3198</v>
      </c>
      <c r="AF305" s="151">
        <v>-4.0000000000000002E-4</v>
      </c>
      <c r="AG305" s="1" t="s">
        <v>3166</v>
      </c>
      <c r="AH305" s="151">
        <v>-4.0000000000000001E-3</v>
      </c>
      <c r="AI305" s="1" t="s">
        <v>1975</v>
      </c>
      <c r="AJ305" s="467">
        <v>-4.0000000000000002E-4</v>
      </c>
      <c r="AK305" s="1" t="s">
        <v>1977</v>
      </c>
      <c r="AL305" s="467">
        <v>-4.0000000000000002E-4</v>
      </c>
      <c r="AM305" s="1" t="s">
        <v>1983</v>
      </c>
      <c r="AN305" s="467">
        <v>-4.0000000000000002E-4</v>
      </c>
      <c r="AO305" s="1" t="s">
        <v>3112</v>
      </c>
      <c r="AP305" s="151">
        <v>-4.0000000000000001E-3</v>
      </c>
      <c r="AQ305" s="1" t="s">
        <v>1983</v>
      </c>
      <c r="AR305" s="467">
        <v>-4.0000000000000002E-4</v>
      </c>
      <c r="AS305" s="1" t="s">
        <v>3201</v>
      </c>
      <c r="AT305" s="151">
        <v>-4.0000000000000002E-4</v>
      </c>
      <c r="AU305" s="1" t="s">
        <v>3213</v>
      </c>
      <c r="AV305" s="151">
        <v>-4.0000000000000001E-3</v>
      </c>
      <c r="AW305" s="1" t="s">
        <v>3198</v>
      </c>
      <c r="AX305" s="151">
        <v>-4.0000000000000002E-4</v>
      </c>
      <c r="AY305" s="749" t="s">
        <v>3357</v>
      </c>
      <c r="AZ305" s="1" t="s">
        <v>3415</v>
      </c>
      <c r="BA305" s="467">
        <v>-4.0000000000000002E-4</v>
      </c>
    </row>
    <row r="306" spans="19:53">
      <c r="S306" s="1" t="s">
        <v>1975</v>
      </c>
      <c r="T306" s="467">
        <v>-4.0000000000000002E-4</v>
      </c>
      <c r="U306" s="1" t="s">
        <v>1975</v>
      </c>
      <c r="V306" s="467">
        <v>-4.0000000000000002E-4</v>
      </c>
      <c r="W306" s="1" t="s">
        <v>3098</v>
      </c>
      <c r="X306" s="151">
        <v>-4.0000000000000001E-3</v>
      </c>
      <c r="Y306" s="749" t="s">
        <v>3412</v>
      </c>
      <c r="Z306" s="467">
        <v>-4.0000000000000002E-4</v>
      </c>
      <c r="AA306" s="749" t="s">
        <v>3411</v>
      </c>
      <c r="AB306" s="467">
        <v>-4.0000000000000002E-4</v>
      </c>
      <c r="AC306" s="1" t="s">
        <v>3463</v>
      </c>
      <c r="AD306" s="151">
        <v>-4.0000000000000001E-3</v>
      </c>
      <c r="AE306" s="749" t="s">
        <v>3199</v>
      </c>
      <c r="AF306" s="151">
        <v>-4.0000000000000002E-4</v>
      </c>
      <c r="AG306" s="1" t="s">
        <v>3167</v>
      </c>
      <c r="AH306" s="151">
        <v>-4.0000000000000001E-3</v>
      </c>
      <c r="AI306" s="1" t="s">
        <v>1974</v>
      </c>
      <c r="AJ306" s="467">
        <v>-4.0000000000000002E-4</v>
      </c>
      <c r="AK306" s="1" t="s">
        <v>3415</v>
      </c>
      <c r="AL306" s="467">
        <v>-4.0000000000000002E-4</v>
      </c>
      <c r="AM306" s="1" t="s">
        <v>1984</v>
      </c>
      <c r="AN306" s="467">
        <v>-4.0000000000000002E-4</v>
      </c>
      <c r="AO306" s="1" t="s">
        <v>3117</v>
      </c>
      <c r="AP306" s="151">
        <v>-4.0000000000000001E-3</v>
      </c>
      <c r="AQ306" s="1" t="s">
        <v>1984</v>
      </c>
      <c r="AR306" s="467">
        <v>-4.0000000000000002E-4</v>
      </c>
      <c r="AS306" s="1" t="s">
        <v>1859</v>
      </c>
      <c r="AT306" s="151">
        <v>-4.0000000000000002E-4</v>
      </c>
      <c r="AU306" s="1" t="s">
        <v>3456</v>
      </c>
      <c r="AV306" s="151">
        <v>-4.0000000000000001E-3</v>
      </c>
      <c r="AW306" s="749" t="s">
        <v>3474</v>
      </c>
      <c r="AX306" s="151">
        <v>-4.0000000000000002E-4</v>
      </c>
      <c r="AY306" s="1" t="s">
        <v>3358</v>
      </c>
      <c r="AZ306" s="1" t="s">
        <v>3419</v>
      </c>
      <c r="BA306" s="467">
        <v>-4.0000000000000002E-4</v>
      </c>
    </row>
    <row r="307" spans="19:53">
      <c r="S307" s="1" t="s">
        <v>1974</v>
      </c>
      <c r="T307" s="467">
        <v>-4.0000000000000002E-4</v>
      </c>
      <c r="U307" s="1" t="s">
        <v>1974</v>
      </c>
      <c r="V307" s="467">
        <v>-4.0000000000000002E-4</v>
      </c>
      <c r="W307" s="1" t="s">
        <v>1784</v>
      </c>
      <c r="X307" s="151">
        <v>-4.0000000000000001E-3</v>
      </c>
      <c r="Y307" s="749" t="s">
        <v>3515</v>
      </c>
      <c r="Z307" s="467">
        <v>-4.0000000000000002E-4</v>
      </c>
      <c r="AA307" s="749" t="s">
        <v>3413</v>
      </c>
      <c r="AB307" s="467">
        <v>-4.0000000000000002E-4</v>
      </c>
      <c r="AC307" s="1" t="s">
        <v>3213</v>
      </c>
      <c r="AD307" s="151">
        <v>-4.0000000000000001E-3</v>
      </c>
      <c r="AE307" s="749" t="s">
        <v>3474</v>
      </c>
      <c r="AF307" s="237">
        <v>-4.0000000000000002E-4</v>
      </c>
      <c r="AG307" s="749" t="s">
        <v>3177</v>
      </c>
      <c r="AH307" s="151">
        <v>-4.0000000000000001E-3</v>
      </c>
      <c r="AI307" s="1" t="s">
        <v>1976</v>
      </c>
      <c r="AJ307" s="467">
        <v>-4.0000000000000002E-4</v>
      </c>
      <c r="AK307" s="1" t="s">
        <v>3419</v>
      </c>
      <c r="AL307" s="467">
        <v>-4.0000000000000002E-4</v>
      </c>
      <c r="AM307" s="749" t="s">
        <v>3418</v>
      </c>
      <c r="AN307" s="467">
        <v>-4.0000000000000002E-4</v>
      </c>
      <c r="AO307" s="1" t="s">
        <v>1784</v>
      </c>
      <c r="AP307" s="151">
        <v>-4.0000000000000001E-3</v>
      </c>
      <c r="AQ307" s="749" t="s">
        <v>3418</v>
      </c>
      <c r="AR307" s="467">
        <v>-4.0000000000000002E-4</v>
      </c>
      <c r="AS307" s="1" t="s">
        <v>3202</v>
      </c>
      <c r="AT307" s="151">
        <v>-4.0000000000000002E-4</v>
      </c>
      <c r="AU307" s="1" t="s">
        <v>3214</v>
      </c>
      <c r="AV307" s="151">
        <v>-4.0000000000000001E-3</v>
      </c>
      <c r="AW307" s="1" t="s">
        <v>1855</v>
      </c>
      <c r="AX307" s="151">
        <v>-4.0000000000000002E-4</v>
      </c>
      <c r="AY307" s="1233" t="s">
        <v>3359</v>
      </c>
      <c r="AZ307" s="1" t="s">
        <v>3420</v>
      </c>
      <c r="BA307" s="467">
        <v>-4.0000000000000002E-4</v>
      </c>
    </row>
    <row r="308" spans="19:53">
      <c r="S308" s="1" t="s">
        <v>1976</v>
      </c>
      <c r="T308" s="467">
        <v>-4.0000000000000002E-4</v>
      </c>
      <c r="U308" s="1" t="s">
        <v>1976</v>
      </c>
      <c r="V308" s="467">
        <v>-4.0000000000000002E-4</v>
      </c>
      <c r="W308" s="1" t="s">
        <v>3463</v>
      </c>
      <c r="X308" s="151">
        <v>-4.0000000000000001E-3</v>
      </c>
      <c r="Y308" s="1" t="s">
        <v>3414</v>
      </c>
      <c r="Z308" s="467">
        <v>-4.0000000000000002E-4</v>
      </c>
      <c r="AA308" s="749" t="s">
        <v>3416</v>
      </c>
      <c r="AB308" s="467">
        <v>-4.0000000000000002E-4</v>
      </c>
      <c r="AC308" s="1" t="s">
        <v>3456</v>
      </c>
      <c r="AD308" s="151">
        <v>-4.0000000000000001E-3</v>
      </c>
      <c r="AE308" s="1" t="s">
        <v>1855</v>
      </c>
      <c r="AF308" s="237">
        <v>-4.0000000000000002E-4</v>
      </c>
      <c r="AG308" s="749" t="s">
        <v>3179</v>
      </c>
      <c r="AH308" s="151">
        <v>-4.0000000000000001E-3</v>
      </c>
      <c r="AI308" s="1" t="s">
        <v>1977</v>
      </c>
      <c r="AJ308" s="467">
        <v>-4.0000000000000002E-4</v>
      </c>
      <c r="AK308" s="1" t="s">
        <v>3420</v>
      </c>
      <c r="AL308" s="467">
        <v>-4.0000000000000002E-4</v>
      </c>
      <c r="AM308" s="1" t="s">
        <v>1784</v>
      </c>
      <c r="AN308" s="151">
        <v>-4.0000000000000001E-3</v>
      </c>
      <c r="AO308" s="1" t="s">
        <v>3463</v>
      </c>
      <c r="AP308" s="151">
        <v>-4.0000000000000001E-3</v>
      </c>
      <c r="AQ308" s="1" t="s">
        <v>3090</v>
      </c>
      <c r="AR308" s="151">
        <v>-4.0000000000000001E-3</v>
      </c>
      <c r="AS308" s="1" t="s">
        <v>3472</v>
      </c>
      <c r="AT308" s="151">
        <v>-4.0000000000000002E-4</v>
      </c>
      <c r="AU308" s="1" t="s">
        <v>3222</v>
      </c>
      <c r="AV308" s="151">
        <v>-4.0000000000000001E-3</v>
      </c>
      <c r="AW308" s="7" t="s">
        <v>1855</v>
      </c>
      <c r="AX308" s="151">
        <v>-4.0000000000000002E-4</v>
      </c>
      <c r="AY308" s="1233" t="s">
        <v>3360</v>
      </c>
      <c r="AZ308" s="1" t="s">
        <v>1983</v>
      </c>
      <c r="BA308" s="467">
        <v>-4.0000000000000002E-4</v>
      </c>
    </row>
    <row r="309" spans="19:53">
      <c r="S309" s="1" t="s">
        <v>1977</v>
      </c>
      <c r="T309" s="467">
        <v>-4.0000000000000002E-4</v>
      </c>
      <c r="U309" s="1" t="s">
        <v>1977</v>
      </c>
      <c r="V309" s="467">
        <v>-4.0000000000000002E-4</v>
      </c>
      <c r="W309" s="1" t="s">
        <v>480</v>
      </c>
      <c r="X309" s="151">
        <v>-4.0000000000000001E-3</v>
      </c>
      <c r="Y309" s="1" t="s">
        <v>2739</v>
      </c>
      <c r="Z309" s="467">
        <v>-4.0000000000000002E-4</v>
      </c>
      <c r="AA309" s="749" t="s">
        <v>3412</v>
      </c>
      <c r="AB309" s="467">
        <v>-4.0000000000000002E-4</v>
      </c>
      <c r="AC309" s="53" t="s">
        <v>3210</v>
      </c>
      <c r="AD309" s="151">
        <v>-4.0000000000000001E-3</v>
      </c>
      <c r="AE309" s="7" t="s">
        <v>1855</v>
      </c>
      <c r="AF309" s="237">
        <v>-4.0000000000000002E-4</v>
      </c>
      <c r="AG309" s="749" t="s">
        <v>3180</v>
      </c>
      <c r="AH309" s="151">
        <v>-4.0000000000000001E-3</v>
      </c>
      <c r="AI309" s="1" t="s">
        <v>3415</v>
      </c>
      <c r="AJ309" s="467">
        <v>-4.0000000000000002E-4</v>
      </c>
      <c r="AK309" s="1" t="s">
        <v>1983</v>
      </c>
      <c r="AL309" s="467">
        <v>-4.0000000000000002E-4</v>
      </c>
      <c r="AM309" s="1" t="s">
        <v>1789</v>
      </c>
      <c r="AN309" s="151">
        <v>-4.0000000000000001E-3</v>
      </c>
      <c r="AO309" s="1" t="s">
        <v>480</v>
      </c>
      <c r="AP309" s="151">
        <v>-4.0000000000000001E-3</v>
      </c>
      <c r="AQ309" s="1" t="s">
        <v>3437</v>
      </c>
      <c r="AR309" s="151">
        <v>-4.0000000000000001E-3</v>
      </c>
      <c r="AS309" s="1" t="s">
        <v>3203</v>
      </c>
      <c r="AT309" s="4">
        <v>-4.0000000000000002E-4</v>
      </c>
      <c r="AU309" s="1" t="s">
        <v>3225</v>
      </c>
      <c r="AV309" s="151">
        <v>-4.0000000000000001E-3</v>
      </c>
      <c r="AW309" s="1" t="s">
        <v>1856</v>
      </c>
      <c r="AX309" s="151">
        <v>-4.0000000000000002E-4</v>
      </c>
      <c r="AY309" s="82" t="s">
        <v>1907</v>
      </c>
      <c r="AZ309" s="1" t="s">
        <v>1984</v>
      </c>
      <c r="BA309" s="467">
        <v>-4.0000000000000002E-4</v>
      </c>
    </row>
    <row r="310" spans="19:53">
      <c r="S310" s="1" t="s">
        <v>3415</v>
      </c>
      <c r="T310" s="467">
        <v>-4.0000000000000002E-4</v>
      </c>
      <c r="U310" s="1" t="s">
        <v>3415</v>
      </c>
      <c r="V310" s="467">
        <v>-4.0000000000000002E-4</v>
      </c>
      <c r="W310" s="1" t="s">
        <v>3213</v>
      </c>
      <c r="X310" s="151">
        <v>-4.0000000000000001E-3</v>
      </c>
      <c r="Y310" s="1" t="s">
        <v>3517</v>
      </c>
      <c r="Z310" s="467">
        <v>-4.0000000000000002E-4</v>
      </c>
      <c r="AA310" s="749" t="s">
        <v>3515</v>
      </c>
      <c r="AB310" s="467">
        <v>-4.0000000000000002E-4</v>
      </c>
      <c r="AC310" s="749" t="s">
        <v>3165</v>
      </c>
      <c r="AD310" s="151">
        <v>-4.0000000000000001E-3</v>
      </c>
      <c r="AE310" s="1" t="s">
        <v>1856</v>
      </c>
      <c r="AF310" s="151">
        <v>-4.0000000000000002E-4</v>
      </c>
      <c r="AG310" s="749" t="s">
        <v>3182</v>
      </c>
      <c r="AH310" s="151">
        <v>-4.0000000000000001E-3</v>
      </c>
      <c r="AI310" s="1" t="s">
        <v>3419</v>
      </c>
      <c r="AJ310" s="467">
        <v>-4.0000000000000002E-4</v>
      </c>
      <c r="AK310" s="1" t="s">
        <v>1984</v>
      </c>
      <c r="AL310" s="467">
        <v>-4.0000000000000002E-4</v>
      </c>
      <c r="AM310" s="1" t="s">
        <v>3463</v>
      </c>
      <c r="AN310" s="151">
        <v>-4.0000000000000001E-3</v>
      </c>
      <c r="AO310" s="1" t="s">
        <v>3455</v>
      </c>
      <c r="AP310" s="151">
        <v>-4.0000000000000001E-3</v>
      </c>
      <c r="AQ310" s="1" t="s">
        <v>3095</v>
      </c>
      <c r="AR310" s="151">
        <v>-4.0000000000000001E-3</v>
      </c>
      <c r="AS310" s="1" t="s">
        <v>3243</v>
      </c>
      <c r="AT310" s="151">
        <v>-4.0000000000000002E-4</v>
      </c>
      <c r="AU310" s="749" t="s">
        <v>3231</v>
      </c>
      <c r="AV310" s="151">
        <v>-4.0000000000000001E-3</v>
      </c>
      <c r="AW310" s="1" t="s">
        <v>3472</v>
      </c>
      <c r="AX310" s="151">
        <v>-4.0000000000000002E-4</v>
      </c>
      <c r="AY310" s="82" t="s">
        <v>3361</v>
      </c>
      <c r="AZ310" s="749" t="s">
        <v>3418</v>
      </c>
      <c r="BA310" s="467">
        <v>-4.0000000000000002E-4</v>
      </c>
    </row>
    <row r="311" spans="19:53">
      <c r="S311" s="1" t="s">
        <v>3419</v>
      </c>
      <c r="T311" s="467">
        <v>-4.0000000000000002E-4</v>
      </c>
      <c r="U311" s="1" t="s">
        <v>3419</v>
      </c>
      <c r="V311" s="467">
        <v>-4.0000000000000002E-4</v>
      </c>
      <c r="W311" s="1" t="s">
        <v>3456</v>
      </c>
      <c r="X311" s="151">
        <v>-4.0000000000000001E-3</v>
      </c>
      <c r="Y311" s="1" t="s">
        <v>1975</v>
      </c>
      <c r="Z311" s="467">
        <v>-4.0000000000000002E-4</v>
      </c>
      <c r="AA311" s="1" t="s">
        <v>3414</v>
      </c>
      <c r="AB311" s="467">
        <v>-4.0000000000000002E-4</v>
      </c>
      <c r="AC311" s="1" t="s">
        <v>3167</v>
      </c>
      <c r="AD311" s="151">
        <v>-4.0000000000000001E-3</v>
      </c>
      <c r="AE311" s="1" t="s">
        <v>3201</v>
      </c>
      <c r="AF311" s="151">
        <v>-4.0000000000000002E-4</v>
      </c>
      <c r="AG311" s="749" t="s">
        <v>3183</v>
      </c>
      <c r="AH311" s="151">
        <v>-4.0000000000000001E-3</v>
      </c>
      <c r="AI311" s="1" t="s">
        <v>3420</v>
      </c>
      <c r="AJ311" s="467">
        <v>-4.0000000000000002E-4</v>
      </c>
      <c r="AK311" s="749" t="s">
        <v>3418</v>
      </c>
      <c r="AL311" s="467">
        <v>-4.0000000000000002E-4</v>
      </c>
      <c r="AM311" s="1" t="s">
        <v>480</v>
      </c>
      <c r="AN311" s="151">
        <v>-4.0000000000000001E-3</v>
      </c>
      <c r="AO311" s="1" t="s">
        <v>3213</v>
      </c>
      <c r="AP311" s="151">
        <v>-4.0000000000000001E-3</v>
      </c>
      <c r="AQ311" s="1" t="s">
        <v>3117</v>
      </c>
      <c r="AR311" s="151">
        <v>-4.0000000000000001E-3</v>
      </c>
      <c r="AS311" s="1" t="s">
        <v>3237</v>
      </c>
      <c r="AT311" s="151">
        <v>-4.0000000000000002E-4</v>
      </c>
      <c r="AU311" s="749" t="s">
        <v>3209</v>
      </c>
      <c r="AV311" s="151">
        <v>-4.0000000000000001E-3</v>
      </c>
      <c r="AW311" s="1" t="s">
        <v>3243</v>
      </c>
      <c r="AX311" s="151">
        <v>-4.0000000000000002E-4</v>
      </c>
      <c r="AY311" s="325" t="s">
        <v>3362</v>
      </c>
      <c r="AZ311" s="1" t="s">
        <v>3098</v>
      </c>
      <c r="BA311" s="151">
        <v>-4.0000000000000001E-3</v>
      </c>
    </row>
    <row r="312" spans="19:53">
      <c r="S312" s="1" t="s">
        <v>3420</v>
      </c>
      <c r="T312" s="467">
        <v>-4.0000000000000002E-4</v>
      </c>
      <c r="U312" s="1" t="s">
        <v>3420</v>
      </c>
      <c r="V312" s="467">
        <v>-4.0000000000000002E-4</v>
      </c>
      <c r="W312" s="53" t="s">
        <v>3210</v>
      </c>
      <c r="X312" s="151">
        <v>-4.0000000000000001E-3</v>
      </c>
      <c r="Y312" s="1" t="s">
        <v>1974</v>
      </c>
      <c r="Z312" s="467">
        <v>-4.0000000000000002E-4</v>
      </c>
      <c r="AA312" s="1" t="s">
        <v>2739</v>
      </c>
      <c r="AB312" s="467">
        <v>-4.0000000000000002E-4</v>
      </c>
      <c r="AC312" s="1" t="s">
        <v>1827</v>
      </c>
      <c r="AD312" s="151">
        <v>-4.0000000000000001E-3</v>
      </c>
      <c r="AE312" s="1" t="s">
        <v>1859</v>
      </c>
      <c r="AF312" s="237">
        <v>-4.0000000000000002E-4</v>
      </c>
      <c r="AG312" s="1" t="s">
        <v>3169</v>
      </c>
      <c r="AH312" s="151">
        <v>-4.0000000000000001E-3</v>
      </c>
      <c r="AI312" s="1" t="s">
        <v>1983</v>
      </c>
      <c r="AJ312" s="467">
        <v>-4.0000000000000002E-4</v>
      </c>
      <c r="AK312" s="1" t="s">
        <v>1784</v>
      </c>
      <c r="AL312" s="151">
        <v>-4.0000000000000001E-3</v>
      </c>
      <c r="AM312" s="1" t="s">
        <v>3213</v>
      </c>
      <c r="AN312" s="151">
        <v>-4.0000000000000001E-3</v>
      </c>
      <c r="AO312" s="1" t="s">
        <v>3456</v>
      </c>
      <c r="AP312" s="151">
        <v>-4.0000000000000001E-3</v>
      </c>
      <c r="AQ312" s="1" t="s">
        <v>1784</v>
      </c>
      <c r="AR312" s="151">
        <v>-4.0000000000000001E-3</v>
      </c>
      <c r="AS312" s="1" t="s">
        <v>1880</v>
      </c>
      <c r="AT312" s="151">
        <v>-4.0000000000000002E-4</v>
      </c>
      <c r="AU312" s="749" t="s">
        <v>3165</v>
      </c>
      <c r="AV312" s="151">
        <v>-4.0000000000000001E-3</v>
      </c>
      <c r="AW312" s="1" t="s">
        <v>1880</v>
      </c>
      <c r="AX312" s="151">
        <v>-4.0000000000000002E-4</v>
      </c>
      <c r="AY312" s="1" t="s">
        <v>3363</v>
      </c>
      <c r="AZ312" s="1" t="s">
        <v>439</v>
      </c>
      <c r="BA312" s="151">
        <v>-4.0000000000000001E-3</v>
      </c>
    </row>
    <row r="313" spans="19:53">
      <c r="S313" s="1" t="s">
        <v>1983</v>
      </c>
      <c r="T313" s="467">
        <v>-4.0000000000000002E-4</v>
      </c>
      <c r="U313" s="1" t="s">
        <v>1983</v>
      </c>
      <c r="V313" s="467">
        <v>-4.0000000000000002E-4</v>
      </c>
      <c r="W313" s="749" t="s">
        <v>3165</v>
      </c>
      <c r="X313" s="151">
        <v>-4.0000000000000001E-3</v>
      </c>
      <c r="Y313" s="1" t="s">
        <v>1976</v>
      </c>
      <c r="Z313" s="467">
        <v>-4.0000000000000002E-4</v>
      </c>
      <c r="AA313" s="1" t="s">
        <v>3517</v>
      </c>
      <c r="AB313" s="467">
        <v>-4.0000000000000002E-4</v>
      </c>
      <c r="AC313" s="749" t="s">
        <v>3179</v>
      </c>
      <c r="AD313" s="151">
        <v>-4.0000000000000001E-3</v>
      </c>
      <c r="AE313" s="1" t="s">
        <v>3202</v>
      </c>
      <c r="AF313" s="151">
        <v>-4.0000000000000002E-4</v>
      </c>
      <c r="AG313" s="1" t="s">
        <v>3465</v>
      </c>
      <c r="AH313" s="151">
        <v>-4.0000000000000001E-3</v>
      </c>
      <c r="AI313" s="1" t="s">
        <v>1984</v>
      </c>
      <c r="AJ313" s="467">
        <v>-4.0000000000000002E-4</v>
      </c>
      <c r="AK313" s="1" t="s">
        <v>3463</v>
      </c>
      <c r="AL313" s="151">
        <v>-4.0000000000000001E-3</v>
      </c>
      <c r="AM313" s="1" t="s">
        <v>3456</v>
      </c>
      <c r="AN313" s="151">
        <v>-4.0000000000000001E-3</v>
      </c>
      <c r="AO313" s="1" t="s">
        <v>3214</v>
      </c>
      <c r="AP313" s="151">
        <v>-4.0000000000000001E-3</v>
      </c>
      <c r="AQ313" s="1" t="s">
        <v>3463</v>
      </c>
      <c r="AR313" s="151">
        <v>-4.0000000000000001E-3</v>
      </c>
      <c r="AS313" s="1" t="s">
        <v>3477</v>
      </c>
      <c r="AT313" s="151">
        <v>-4.0000000000000002E-4</v>
      </c>
      <c r="AU313" s="749" t="s">
        <v>3159</v>
      </c>
      <c r="AV313" s="151">
        <v>-4.0000000000000001E-3</v>
      </c>
      <c r="AW313" s="1" t="s">
        <v>3477</v>
      </c>
      <c r="AX313" s="151">
        <v>-4.0000000000000002E-4</v>
      </c>
      <c r="AY313" s="1" t="s">
        <v>3364</v>
      </c>
      <c r="AZ313" s="1" t="s">
        <v>3090</v>
      </c>
      <c r="BA313" s="151">
        <v>-4.0000000000000001E-3</v>
      </c>
    </row>
    <row r="314" spans="19:53">
      <c r="S314" s="1" t="s">
        <v>1984</v>
      </c>
      <c r="T314" s="467">
        <v>-4.0000000000000002E-4</v>
      </c>
      <c r="U314" s="1" t="s">
        <v>1984</v>
      </c>
      <c r="V314" s="467">
        <v>-4.0000000000000002E-4</v>
      </c>
      <c r="W314" s="1" t="s">
        <v>3167</v>
      </c>
      <c r="X314" s="151">
        <v>-4.0000000000000001E-3</v>
      </c>
      <c r="Y314" s="1" t="s">
        <v>1977</v>
      </c>
      <c r="Z314" s="467">
        <v>-4.0000000000000002E-4</v>
      </c>
      <c r="AA314" s="1" t="s">
        <v>1975</v>
      </c>
      <c r="AB314" s="467">
        <v>-4.0000000000000002E-4</v>
      </c>
      <c r="AC314" s="749" t="s">
        <v>3180</v>
      </c>
      <c r="AD314" s="151">
        <v>-4.0000000000000001E-3</v>
      </c>
      <c r="AE314" s="1" t="s">
        <v>3472</v>
      </c>
      <c r="AF314" s="151">
        <v>-4.0000000000000002E-4</v>
      </c>
      <c r="AG314" s="1" t="s">
        <v>1872</v>
      </c>
      <c r="AH314" s="151">
        <v>-4.0000000000000001E-3</v>
      </c>
      <c r="AI314" s="749" t="s">
        <v>3418</v>
      </c>
      <c r="AJ314" s="467">
        <v>-4.0000000000000002E-4</v>
      </c>
      <c r="AK314" s="1" t="s">
        <v>480</v>
      </c>
      <c r="AL314" s="151">
        <v>-4.0000000000000001E-3</v>
      </c>
      <c r="AM314" s="53" t="s">
        <v>3210</v>
      </c>
      <c r="AN314" s="151">
        <v>-4.0000000000000001E-3</v>
      </c>
      <c r="AO314" s="749" t="s">
        <v>3165</v>
      </c>
      <c r="AP314" s="151">
        <v>-4.0000000000000001E-3</v>
      </c>
      <c r="AQ314" s="1" t="s">
        <v>3455</v>
      </c>
      <c r="AR314" s="151">
        <v>-4.0000000000000001E-3</v>
      </c>
      <c r="AS314" s="1" t="s">
        <v>2261</v>
      </c>
      <c r="AT314" s="151">
        <v>-4.0000000000000002E-4</v>
      </c>
      <c r="AU314" s="1" t="s">
        <v>3465</v>
      </c>
      <c r="AV314" s="151">
        <v>-4.0000000000000001E-3</v>
      </c>
      <c r="AW314" s="1310" t="s">
        <v>3344</v>
      </c>
      <c r="AX314" s="151">
        <v>-4.0000000000000002E-4</v>
      </c>
      <c r="AY314" s="24" t="s">
        <v>3488</v>
      </c>
      <c r="AZ314" s="24" t="s">
        <v>3094</v>
      </c>
      <c r="BA314" s="151">
        <v>-4.0000000000000001E-3</v>
      </c>
    </row>
    <row r="315" spans="19:53">
      <c r="S315" s="492" t="s">
        <v>3418</v>
      </c>
      <c r="T315" s="467">
        <v>-4.0000000000000002E-4</v>
      </c>
      <c r="U315" s="492" t="s">
        <v>3418</v>
      </c>
      <c r="V315" s="467">
        <v>-4.0000000000000002E-4</v>
      </c>
      <c r="W315" s="24" t="s">
        <v>1827</v>
      </c>
      <c r="X315" s="151">
        <v>-4.0000000000000001E-3</v>
      </c>
      <c r="Y315" s="24" t="s">
        <v>3415</v>
      </c>
      <c r="Z315" s="467">
        <v>-4.0000000000000002E-4</v>
      </c>
      <c r="AA315" s="24" t="s">
        <v>1974</v>
      </c>
      <c r="AB315" s="467">
        <v>-4.0000000000000002E-4</v>
      </c>
      <c r="AC315" s="24" t="s">
        <v>3465</v>
      </c>
      <c r="AD315" s="151">
        <v>-4.0000000000000001E-3</v>
      </c>
      <c r="AE315" s="24" t="s">
        <v>3203</v>
      </c>
      <c r="AF315" s="4">
        <v>-4.0000000000000002E-4</v>
      </c>
      <c r="AG315" s="24" t="s">
        <v>1873</v>
      </c>
      <c r="AH315" s="151">
        <v>-4.0000000000000001E-3</v>
      </c>
      <c r="AI315" s="24" t="s">
        <v>1784</v>
      </c>
      <c r="AJ315" s="151">
        <v>-4.0000000000000001E-3</v>
      </c>
      <c r="AK315" s="24" t="s">
        <v>3213</v>
      </c>
      <c r="AL315" s="151">
        <v>-4.0000000000000001E-3</v>
      </c>
      <c r="AM315" s="492" t="s">
        <v>3165</v>
      </c>
      <c r="AN315" s="151">
        <v>-4.0000000000000001E-3</v>
      </c>
      <c r="AO315" s="24" t="s">
        <v>3166</v>
      </c>
      <c r="AP315" s="151">
        <v>-4.0000000000000001E-3</v>
      </c>
      <c r="AQ315" s="24" t="s">
        <v>3213</v>
      </c>
      <c r="AR315" s="151">
        <v>-4.0000000000000001E-3</v>
      </c>
      <c r="AS315" s="1311" t="s">
        <v>3344</v>
      </c>
      <c r="AT315" s="151">
        <v>-4.0000000000000002E-4</v>
      </c>
      <c r="AU315" s="24" t="s">
        <v>1872</v>
      </c>
      <c r="AV315" s="151">
        <v>-4.0000000000000001E-3</v>
      </c>
      <c r="AW315" s="24" t="s">
        <v>484</v>
      </c>
      <c r="AX315" s="151">
        <v>-4.0000000000000002E-4</v>
      </c>
      <c r="AY315" s="1233" t="s">
        <v>3245</v>
      </c>
      <c r="AZ315" s="1" t="s">
        <v>3111</v>
      </c>
      <c r="BA315" s="151">
        <v>-4.0000000000000001E-3</v>
      </c>
    </row>
    <row r="316" spans="19:53">
      <c r="S316" s="1" t="s">
        <v>1784</v>
      </c>
      <c r="T316" s="151">
        <v>-4.0000000000000001E-3</v>
      </c>
      <c r="U316" s="1" t="s">
        <v>421</v>
      </c>
      <c r="V316" s="4">
        <v>-4.0000000000000001E-3</v>
      </c>
      <c r="W316" s="749" t="s">
        <v>3179</v>
      </c>
      <c r="X316" s="151">
        <v>-4.0000000000000001E-3</v>
      </c>
      <c r="Y316" s="1" t="s">
        <v>3419</v>
      </c>
      <c r="Z316" s="467">
        <v>-4.0000000000000002E-4</v>
      </c>
      <c r="AA316" s="1" t="s">
        <v>1976</v>
      </c>
      <c r="AB316" s="467">
        <v>-4.0000000000000002E-4</v>
      </c>
      <c r="AC316" s="1" t="s">
        <v>1872</v>
      </c>
      <c r="AD316" s="151">
        <v>-4.0000000000000001E-3</v>
      </c>
      <c r="AE316" s="1" t="s">
        <v>3243</v>
      </c>
      <c r="AF316" s="235">
        <v>-4.0000000000000002E-4</v>
      </c>
      <c r="AG316" s="1" t="s">
        <v>1839</v>
      </c>
      <c r="AH316" s="151">
        <v>-4.0000000000000001E-3</v>
      </c>
      <c r="AI316" s="1" t="s">
        <v>3463</v>
      </c>
      <c r="AJ316" s="151">
        <v>-4.0000000000000001E-3</v>
      </c>
      <c r="AK316" s="1" t="s">
        <v>3456</v>
      </c>
      <c r="AL316" s="151">
        <v>-4.0000000000000001E-3</v>
      </c>
      <c r="AM316" s="1" t="s">
        <v>3166</v>
      </c>
      <c r="AN316" s="151">
        <v>-4.0000000000000001E-3</v>
      </c>
      <c r="AO316" s="1" t="s">
        <v>3167</v>
      </c>
      <c r="AP316" s="151">
        <v>-4.0000000000000001E-3</v>
      </c>
      <c r="AQ316" s="1" t="s">
        <v>3456</v>
      </c>
      <c r="AR316" s="151">
        <v>-4.0000000000000001E-3</v>
      </c>
      <c r="AS316" s="1" t="s">
        <v>484</v>
      </c>
      <c r="AT316" s="151">
        <v>-4.0000000000000002E-4</v>
      </c>
      <c r="AU316" s="1" t="s">
        <v>1873</v>
      </c>
      <c r="AV316" s="151">
        <v>-4.0000000000000001E-3</v>
      </c>
      <c r="AW316" s="1" t="s">
        <v>1881</v>
      </c>
      <c r="AX316" s="235">
        <v>-4.0000000000000002E-4</v>
      </c>
      <c r="AY316" s="1" t="s">
        <v>3260</v>
      </c>
      <c r="AZ316" s="1" t="s">
        <v>3112</v>
      </c>
      <c r="BA316" s="151">
        <v>-4.0000000000000001E-3</v>
      </c>
    </row>
    <row r="317" spans="19:53">
      <c r="S317" s="1" t="s">
        <v>3463</v>
      </c>
      <c r="T317" s="151">
        <v>-4.0000000000000001E-3</v>
      </c>
      <c r="U317" s="1" t="s">
        <v>1784</v>
      </c>
      <c r="V317" s="151">
        <v>-4.0000000000000001E-3</v>
      </c>
      <c r="W317" s="749" t="s">
        <v>3180</v>
      </c>
      <c r="X317" s="151">
        <v>-4.0000000000000001E-3</v>
      </c>
      <c r="Y317" s="1" t="s">
        <v>3420</v>
      </c>
      <c r="Z317" s="467">
        <v>-4.0000000000000002E-4</v>
      </c>
      <c r="AA317" s="1" t="s">
        <v>1977</v>
      </c>
      <c r="AB317" s="467">
        <v>-4.0000000000000002E-4</v>
      </c>
      <c r="AC317" s="1" t="s">
        <v>1873</v>
      </c>
      <c r="AD317" s="151">
        <v>-4.0000000000000001E-3</v>
      </c>
      <c r="AE317" s="1" t="s">
        <v>1880</v>
      </c>
      <c r="AF317" s="151">
        <v>-4.0000000000000002E-4</v>
      </c>
      <c r="AG317" s="749" t="s">
        <v>3186</v>
      </c>
      <c r="AH317" s="151">
        <v>-4.0000000000000001E-3</v>
      </c>
      <c r="AI317" s="1" t="s">
        <v>480</v>
      </c>
      <c r="AJ317" s="151">
        <v>-4.0000000000000001E-3</v>
      </c>
      <c r="AK317" s="749" t="s">
        <v>3165</v>
      </c>
      <c r="AL317" s="151">
        <v>-4.0000000000000001E-3</v>
      </c>
      <c r="AM317" s="1" t="s">
        <v>3167</v>
      </c>
      <c r="AN317" s="151">
        <v>-4.0000000000000001E-3</v>
      </c>
      <c r="AO317" s="749" t="s">
        <v>3177</v>
      </c>
      <c r="AP317" s="151">
        <v>-4.0000000000000001E-3</v>
      </c>
      <c r="AQ317" s="1" t="s">
        <v>3214</v>
      </c>
      <c r="AR317" s="151">
        <v>-4.0000000000000001E-3</v>
      </c>
      <c r="AS317" s="1" t="s">
        <v>1881</v>
      </c>
      <c r="AT317" s="151">
        <v>-4.0000000000000002E-4</v>
      </c>
      <c r="AU317" s="1" t="s">
        <v>1839</v>
      </c>
      <c r="AV317" s="151">
        <v>-4.0000000000000001E-3</v>
      </c>
      <c r="AW317" s="1310" t="s">
        <v>3326</v>
      </c>
      <c r="AX317" s="151">
        <v>-4.0000000000000002E-4</v>
      </c>
      <c r="AY317" s="1" t="s">
        <v>1936</v>
      </c>
      <c r="AZ317" s="1" t="s">
        <v>1784</v>
      </c>
      <c r="BA317" s="151">
        <v>-4.0000000000000001E-3</v>
      </c>
    </row>
    <row r="318" spans="19:53">
      <c r="S318" s="1" t="s">
        <v>480</v>
      </c>
      <c r="T318" s="151">
        <v>-4.0000000000000001E-3</v>
      </c>
      <c r="U318" s="1" t="s">
        <v>3463</v>
      </c>
      <c r="V318" s="151">
        <v>-4.0000000000000001E-3</v>
      </c>
      <c r="W318" s="1" t="s">
        <v>3465</v>
      </c>
      <c r="X318" s="151">
        <v>-4.0000000000000001E-3</v>
      </c>
      <c r="Y318" s="1" t="s">
        <v>1983</v>
      </c>
      <c r="Z318" s="467">
        <v>-4.0000000000000002E-4</v>
      </c>
      <c r="AA318" s="1" t="s">
        <v>3415</v>
      </c>
      <c r="AB318" s="467">
        <v>-4.0000000000000002E-4</v>
      </c>
      <c r="AC318" s="1" t="s">
        <v>1839</v>
      </c>
      <c r="AD318" s="151">
        <v>-4.0000000000000001E-3</v>
      </c>
      <c r="AE318" s="1" t="s">
        <v>3477</v>
      </c>
      <c r="AF318" s="151">
        <v>-4.0000000000000002E-4</v>
      </c>
      <c r="AG318" s="1" t="s">
        <v>3187</v>
      </c>
      <c r="AH318" s="151">
        <v>-4.0000000000000001E-3</v>
      </c>
      <c r="AI318" s="1" t="s">
        <v>3213</v>
      </c>
      <c r="AJ318" s="151">
        <v>-4.0000000000000001E-3</v>
      </c>
      <c r="AK318" s="1" t="s">
        <v>3167</v>
      </c>
      <c r="AL318" s="151">
        <v>-4.0000000000000001E-3</v>
      </c>
      <c r="AM318" s="749" t="s">
        <v>3177</v>
      </c>
      <c r="AN318" s="151">
        <v>-4.0000000000000001E-3</v>
      </c>
      <c r="AO318" s="1" t="s">
        <v>1827</v>
      </c>
      <c r="AP318" s="151">
        <v>-4.0000000000000001E-3</v>
      </c>
      <c r="AQ318" s="1" t="s">
        <v>3233</v>
      </c>
      <c r="AR318" s="151">
        <v>-4.0000000000000001E-3</v>
      </c>
      <c r="AS318" s="1310" t="s">
        <v>3326</v>
      </c>
      <c r="AT318" s="151">
        <v>-4.0000000000000002E-4</v>
      </c>
      <c r="AU318" s="749" t="s">
        <v>3186</v>
      </c>
      <c r="AV318" s="151">
        <v>-4.0000000000000001E-3</v>
      </c>
      <c r="AW318" s="749" t="s">
        <v>3345</v>
      </c>
      <c r="AX318" s="151">
        <v>-4.0000000000000002E-4</v>
      </c>
      <c r="AY318" s="1" t="s">
        <v>3379</v>
      </c>
      <c r="AZ318" s="1" t="s">
        <v>3463</v>
      </c>
      <c r="BA318" s="151">
        <v>-4.0000000000000001E-3</v>
      </c>
    </row>
    <row r="319" spans="19:53">
      <c r="S319" s="1" t="s">
        <v>3213</v>
      </c>
      <c r="T319" s="151">
        <v>-4.0000000000000001E-3</v>
      </c>
      <c r="U319" s="1" t="s">
        <v>480</v>
      </c>
      <c r="V319" s="151">
        <v>-4.0000000000000001E-3</v>
      </c>
      <c r="W319" s="1" t="s">
        <v>1872</v>
      </c>
      <c r="X319" s="151">
        <v>-4.0000000000000001E-3</v>
      </c>
      <c r="Y319" s="1" t="s">
        <v>1984</v>
      </c>
      <c r="Z319" s="467">
        <v>-4.0000000000000002E-4</v>
      </c>
      <c r="AA319" s="1" t="s">
        <v>3419</v>
      </c>
      <c r="AB319" s="467">
        <v>-4.0000000000000002E-4</v>
      </c>
      <c r="AC319" s="749" t="s">
        <v>3186</v>
      </c>
      <c r="AD319" s="151">
        <v>-4.0000000000000001E-3</v>
      </c>
      <c r="AE319" s="1310" t="s">
        <v>3344</v>
      </c>
      <c r="AF319" s="151">
        <v>-4.0000000000000002E-4</v>
      </c>
      <c r="AG319" s="749" t="s">
        <v>3188</v>
      </c>
      <c r="AH319" s="151">
        <v>-4.0000000000000001E-3</v>
      </c>
      <c r="AI319" s="1" t="s">
        <v>3456</v>
      </c>
      <c r="AJ319" s="151">
        <v>-4.0000000000000001E-3</v>
      </c>
      <c r="AK319" s="749" t="s">
        <v>3177</v>
      </c>
      <c r="AL319" s="151">
        <v>-4.0000000000000001E-3</v>
      </c>
      <c r="AM319" s="749" t="s">
        <v>3179</v>
      </c>
      <c r="AN319" s="151">
        <v>-4.0000000000000001E-3</v>
      </c>
      <c r="AO319" s="749" t="s">
        <v>3179</v>
      </c>
      <c r="AP319" s="151">
        <v>-4.0000000000000001E-3</v>
      </c>
      <c r="AQ319" s="749" t="s">
        <v>3165</v>
      </c>
      <c r="AR319" s="151">
        <v>-4.0000000000000001E-3</v>
      </c>
      <c r="AS319" s="749" t="s">
        <v>3345</v>
      </c>
      <c r="AT319" s="151">
        <v>-4.0000000000000002E-4</v>
      </c>
      <c r="AU319" s="1" t="s">
        <v>3187</v>
      </c>
      <c r="AV319" s="151">
        <v>-4.0000000000000001E-3</v>
      </c>
      <c r="AW319" s="1" t="s">
        <v>1885</v>
      </c>
      <c r="AX319" s="151">
        <v>-4.0000000000000002E-4</v>
      </c>
      <c r="AY319" s="1" t="s">
        <v>3381</v>
      </c>
      <c r="AZ319" s="1" t="s">
        <v>480</v>
      </c>
      <c r="BA319" s="151">
        <v>-4.0000000000000001E-3</v>
      </c>
    </row>
    <row r="320" spans="19:53">
      <c r="S320" s="1" t="s">
        <v>3456</v>
      </c>
      <c r="T320" s="151">
        <v>-4.0000000000000001E-3</v>
      </c>
      <c r="U320" s="1" t="s">
        <v>3456</v>
      </c>
      <c r="V320" s="151">
        <v>-4.0000000000000001E-3</v>
      </c>
      <c r="W320" s="1" t="s">
        <v>1873</v>
      </c>
      <c r="X320" s="151">
        <v>-4.0000000000000001E-3</v>
      </c>
      <c r="Y320" s="749" t="s">
        <v>3418</v>
      </c>
      <c r="Z320" s="467">
        <v>-4.0000000000000002E-4</v>
      </c>
      <c r="AA320" s="1" t="s">
        <v>3420</v>
      </c>
      <c r="AB320" s="467">
        <v>-4.0000000000000002E-4</v>
      </c>
      <c r="AC320" s="1" t="s">
        <v>3187</v>
      </c>
      <c r="AD320" s="151">
        <v>-4.0000000000000001E-3</v>
      </c>
      <c r="AE320" s="1" t="s">
        <v>484</v>
      </c>
      <c r="AF320" s="151">
        <v>-4.0000000000000002E-4</v>
      </c>
      <c r="AG320" s="749" t="s">
        <v>3189</v>
      </c>
      <c r="AH320" s="151">
        <v>-4.0000000000000001E-3</v>
      </c>
      <c r="AI320" s="749" t="s">
        <v>3165</v>
      </c>
      <c r="AJ320" s="151">
        <v>-4.0000000000000001E-3</v>
      </c>
      <c r="AK320" s="749" t="s">
        <v>3179</v>
      </c>
      <c r="AL320" s="151">
        <v>-4.0000000000000001E-3</v>
      </c>
      <c r="AM320" s="749" t="s">
        <v>3182</v>
      </c>
      <c r="AN320" s="151">
        <v>-4.0000000000000001E-3</v>
      </c>
      <c r="AO320" s="749" t="s">
        <v>3180</v>
      </c>
      <c r="AP320" s="151">
        <v>-4.0000000000000001E-3</v>
      </c>
      <c r="AQ320" s="1" t="s">
        <v>3167</v>
      </c>
      <c r="AR320" s="151">
        <v>-4.0000000000000001E-3</v>
      </c>
      <c r="AS320" s="1" t="s">
        <v>1885</v>
      </c>
      <c r="AT320" s="151">
        <v>-4.0000000000000002E-4</v>
      </c>
      <c r="AU320" s="749" t="s">
        <v>3188</v>
      </c>
      <c r="AV320" s="151">
        <v>-4.0000000000000001E-3</v>
      </c>
      <c r="AW320" s="1" t="s">
        <v>510</v>
      </c>
      <c r="AX320" s="151">
        <v>-4.0000000000000002E-4</v>
      </c>
      <c r="AY320" s="1" t="s">
        <v>3380</v>
      </c>
      <c r="AZ320" s="1" t="s">
        <v>3455</v>
      </c>
      <c r="BA320" s="151">
        <v>-4.0000000000000001E-3</v>
      </c>
    </row>
    <row r="321" spans="19:53">
      <c r="S321" s="749" t="s">
        <v>3165</v>
      </c>
      <c r="T321" s="151">
        <v>-4.0000000000000001E-3</v>
      </c>
      <c r="U321" s="749" t="s">
        <v>3165</v>
      </c>
      <c r="V321" s="151">
        <v>-4.0000000000000001E-3</v>
      </c>
      <c r="W321" s="1" t="s">
        <v>1839</v>
      </c>
      <c r="X321" s="151">
        <v>-4.0000000000000001E-3</v>
      </c>
      <c r="Y321" s="1" t="s">
        <v>1784</v>
      </c>
      <c r="Z321" s="151">
        <v>-4.0000000000000001E-3</v>
      </c>
      <c r="AA321" s="1" t="s">
        <v>1983</v>
      </c>
      <c r="AB321" s="467">
        <v>-4.0000000000000002E-4</v>
      </c>
      <c r="AC321" s="749" t="s">
        <v>3188</v>
      </c>
      <c r="AD321" s="151">
        <v>-4.0000000000000001E-3</v>
      </c>
      <c r="AE321" s="1" t="s">
        <v>1881</v>
      </c>
      <c r="AF321" s="151">
        <v>-4.0000000000000002E-4</v>
      </c>
      <c r="AG321" s="1" t="s">
        <v>3170</v>
      </c>
      <c r="AH321" s="151">
        <v>-4.0000000000000001E-3</v>
      </c>
      <c r="AI321" s="1" t="s">
        <v>3166</v>
      </c>
      <c r="AJ321" s="151">
        <v>-4.0000000000000001E-3</v>
      </c>
      <c r="AK321" s="749" t="s">
        <v>3182</v>
      </c>
      <c r="AL321" s="151">
        <v>-4.0000000000000001E-3</v>
      </c>
      <c r="AM321" s="1" t="s">
        <v>1835</v>
      </c>
      <c r="AN321" s="34">
        <v>-4.0000000000000001E-3</v>
      </c>
      <c r="AO321" s="749" t="s">
        <v>3182</v>
      </c>
      <c r="AP321" s="151">
        <v>-4.0000000000000001E-3</v>
      </c>
      <c r="AQ321" s="749" t="s">
        <v>3177</v>
      </c>
      <c r="AR321" s="151">
        <v>-4.0000000000000001E-3</v>
      </c>
      <c r="AS321" s="1" t="s">
        <v>510</v>
      </c>
      <c r="AT321" s="151">
        <v>-4.0000000000000002E-4</v>
      </c>
      <c r="AU321" s="749" t="s">
        <v>3189</v>
      </c>
      <c r="AV321" s="151">
        <v>-4.0000000000000001E-3</v>
      </c>
      <c r="AW321" s="1" t="s">
        <v>3347</v>
      </c>
      <c r="AX321" s="151">
        <v>-4.0000000000000002E-4</v>
      </c>
      <c r="AY321" s="1" t="s">
        <v>1912</v>
      </c>
      <c r="AZ321" s="1" t="s">
        <v>3213</v>
      </c>
      <c r="BA321" s="151">
        <v>-4.0000000000000001E-3</v>
      </c>
    </row>
    <row r="322" spans="19:53">
      <c r="S322" s="1" t="s">
        <v>3167</v>
      </c>
      <c r="T322" s="151">
        <v>-4.0000000000000001E-3</v>
      </c>
      <c r="U322" s="1" t="s">
        <v>3167</v>
      </c>
      <c r="V322" s="151">
        <v>-4.0000000000000001E-3</v>
      </c>
      <c r="W322" s="749" t="s">
        <v>3186</v>
      </c>
      <c r="X322" s="151">
        <v>-4.0000000000000001E-3</v>
      </c>
      <c r="Y322" s="1" t="s">
        <v>3463</v>
      </c>
      <c r="Z322" s="151">
        <v>-4.0000000000000001E-3</v>
      </c>
      <c r="AA322" s="1" t="s">
        <v>1984</v>
      </c>
      <c r="AB322" s="467">
        <v>-4.0000000000000002E-4</v>
      </c>
      <c r="AC322" s="749" t="s">
        <v>3189</v>
      </c>
      <c r="AD322" s="151">
        <v>-4.0000000000000001E-3</v>
      </c>
      <c r="AE322" s="1310" t="s">
        <v>3326</v>
      </c>
      <c r="AF322" s="151">
        <v>-4.0000000000000002E-4</v>
      </c>
      <c r="AG322" s="749" t="s">
        <v>3190</v>
      </c>
      <c r="AH322" s="151">
        <v>-4.0000000000000001E-3</v>
      </c>
      <c r="AI322" s="1" t="s">
        <v>3167</v>
      </c>
      <c r="AJ322" s="151">
        <v>-4.0000000000000001E-3</v>
      </c>
      <c r="AK322" s="1" t="s">
        <v>3465</v>
      </c>
      <c r="AL322" s="151">
        <v>-4.0000000000000001E-3</v>
      </c>
      <c r="AM322" s="1" t="s">
        <v>3465</v>
      </c>
      <c r="AN322" s="151">
        <v>-4.0000000000000001E-3</v>
      </c>
      <c r="AO322" s="1" t="s">
        <v>3465</v>
      </c>
      <c r="AP322" s="151">
        <v>-4.0000000000000001E-3</v>
      </c>
      <c r="AQ322" s="1" t="s">
        <v>1827</v>
      </c>
      <c r="AR322" s="151">
        <v>-4.0000000000000001E-3</v>
      </c>
      <c r="AS322" s="1" t="s">
        <v>3347</v>
      </c>
      <c r="AT322" s="151">
        <v>-4.0000000000000002E-4</v>
      </c>
      <c r="AU322" s="1" t="s">
        <v>3170</v>
      </c>
      <c r="AV322" s="151">
        <v>-4.0000000000000001E-3</v>
      </c>
      <c r="AW322" s="1" t="s">
        <v>3331</v>
      </c>
      <c r="AX322" s="151">
        <v>-4.0000000000000002E-4</v>
      </c>
      <c r="AY322" s="1" t="s">
        <v>1625</v>
      </c>
      <c r="AZ322" s="1" t="s">
        <v>3456</v>
      </c>
      <c r="BA322" s="151">
        <v>-4.0000000000000001E-3</v>
      </c>
    </row>
    <row r="323" spans="19:53">
      <c r="S323" s="1" t="s">
        <v>1827</v>
      </c>
      <c r="T323" s="151">
        <v>-4.0000000000000001E-3</v>
      </c>
      <c r="U323" s="749" t="s">
        <v>3179</v>
      </c>
      <c r="V323" s="151">
        <v>-4.0000000000000001E-3</v>
      </c>
      <c r="W323" s="1" t="s">
        <v>3187</v>
      </c>
      <c r="X323" s="151">
        <v>-4.0000000000000001E-3</v>
      </c>
      <c r="Y323" s="1" t="s">
        <v>480</v>
      </c>
      <c r="Z323" s="151">
        <v>-4.0000000000000001E-3</v>
      </c>
      <c r="AA323" s="749" t="s">
        <v>3418</v>
      </c>
      <c r="AB323" s="467">
        <v>-4.0000000000000002E-4</v>
      </c>
      <c r="AC323" s="1" t="s">
        <v>3170</v>
      </c>
      <c r="AD323" s="151">
        <v>-4.0000000000000001E-3</v>
      </c>
      <c r="AE323" s="1310" t="s">
        <v>3328</v>
      </c>
      <c r="AF323" s="151">
        <v>-4.0000000000000002E-4</v>
      </c>
      <c r="AG323" s="749" t="s">
        <v>3191</v>
      </c>
      <c r="AH323" s="151">
        <v>-4.0000000000000001E-3</v>
      </c>
      <c r="AI323" s="749" t="s">
        <v>3177</v>
      </c>
      <c r="AJ323" s="151">
        <v>-4.0000000000000001E-3</v>
      </c>
      <c r="AK323" s="1" t="s">
        <v>1872</v>
      </c>
      <c r="AL323" s="151">
        <v>-4.0000000000000001E-3</v>
      </c>
      <c r="AM323" s="1" t="s">
        <v>1872</v>
      </c>
      <c r="AN323" s="151">
        <v>-4.0000000000000001E-3</v>
      </c>
      <c r="AO323" s="1" t="s">
        <v>1872</v>
      </c>
      <c r="AP323" s="151">
        <v>-4.0000000000000001E-3</v>
      </c>
      <c r="AQ323" s="1" t="s">
        <v>3176</v>
      </c>
      <c r="AR323" s="151">
        <v>-4.0000000000000001E-3</v>
      </c>
      <c r="AS323" s="1" t="s">
        <v>3331</v>
      </c>
      <c r="AT323" s="151">
        <v>-4.0000000000000002E-4</v>
      </c>
      <c r="AU323" s="749" t="s">
        <v>3190</v>
      </c>
      <c r="AV323" s="151">
        <v>-4.0000000000000001E-3</v>
      </c>
      <c r="AW323" s="749" t="s">
        <v>3348</v>
      </c>
      <c r="AX323" s="151">
        <v>-4.0000000000000002E-4</v>
      </c>
      <c r="AY323" s="1" t="s">
        <v>1913</v>
      </c>
      <c r="AZ323" s="1" t="s">
        <v>1809</v>
      </c>
      <c r="BA323" s="151">
        <v>-4.0000000000000001E-3</v>
      </c>
    </row>
    <row r="324" spans="19:53">
      <c r="S324" s="749" t="s">
        <v>3179</v>
      </c>
      <c r="T324" s="151">
        <v>-4.0000000000000001E-3</v>
      </c>
      <c r="U324" s="1" t="s">
        <v>3465</v>
      </c>
      <c r="V324" s="151">
        <v>-4.0000000000000001E-3</v>
      </c>
      <c r="W324" s="749" t="s">
        <v>3188</v>
      </c>
      <c r="X324" s="151">
        <v>-4.0000000000000001E-3</v>
      </c>
      <c r="Y324" s="1" t="s">
        <v>3213</v>
      </c>
      <c r="Z324" s="151">
        <v>-4.0000000000000001E-3</v>
      </c>
      <c r="AA324" s="1" t="s">
        <v>1784</v>
      </c>
      <c r="AB324" s="151">
        <v>-4.0000000000000001E-3</v>
      </c>
      <c r="AC324" s="749" t="s">
        <v>3190</v>
      </c>
      <c r="AD324" s="151">
        <v>-4.0000000000000001E-3</v>
      </c>
      <c r="AE324" s="749" t="s">
        <v>3345</v>
      </c>
      <c r="AF324" s="151">
        <v>-4.0000000000000002E-4</v>
      </c>
      <c r="AG324" s="749" t="s">
        <v>3192</v>
      </c>
      <c r="AH324" s="151">
        <v>-4.0000000000000001E-3</v>
      </c>
      <c r="AI324" s="749" t="s">
        <v>3179</v>
      </c>
      <c r="AJ324" s="151">
        <v>-4.0000000000000001E-3</v>
      </c>
      <c r="AK324" s="1" t="s">
        <v>1873</v>
      </c>
      <c r="AL324" s="151">
        <v>-4.0000000000000001E-3</v>
      </c>
      <c r="AM324" s="1" t="s">
        <v>1873</v>
      </c>
      <c r="AN324" s="151">
        <v>-4.0000000000000001E-3</v>
      </c>
      <c r="AO324" s="1" t="s">
        <v>1873</v>
      </c>
      <c r="AP324" s="151">
        <v>-4.0000000000000001E-3</v>
      </c>
      <c r="AQ324" s="749" t="s">
        <v>3179</v>
      </c>
      <c r="AR324" s="151">
        <v>-4.0000000000000001E-3</v>
      </c>
      <c r="AS324" s="749" t="s">
        <v>3348</v>
      </c>
      <c r="AT324" s="151">
        <v>-4.0000000000000002E-4</v>
      </c>
      <c r="AU324" s="749" t="s">
        <v>3191</v>
      </c>
      <c r="AV324" s="151">
        <v>-4.0000000000000001E-3</v>
      </c>
      <c r="AW324" s="1" t="s">
        <v>3478</v>
      </c>
      <c r="AX324" s="151">
        <v>-4.0000000000000002E-4</v>
      </c>
      <c r="AY324" s="1" t="s">
        <v>146</v>
      </c>
      <c r="AZ324" s="1" t="s">
        <v>1811</v>
      </c>
      <c r="BA324" s="151">
        <v>-4.0000000000000001E-3</v>
      </c>
    </row>
    <row r="325" spans="19:53">
      <c r="S325" s="1" t="s">
        <v>3465</v>
      </c>
      <c r="T325" s="151">
        <v>-4.0000000000000001E-3</v>
      </c>
      <c r="U325" s="1" t="s">
        <v>1872</v>
      </c>
      <c r="V325" s="151">
        <v>-4.0000000000000001E-3</v>
      </c>
      <c r="W325" s="749" t="s">
        <v>3189</v>
      </c>
      <c r="X325" s="151">
        <v>-4.0000000000000001E-3</v>
      </c>
      <c r="Y325" s="1" t="s">
        <v>3456</v>
      </c>
      <c r="Z325" s="151">
        <v>-4.0000000000000001E-3</v>
      </c>
      <c r="AA325" s="1" t="s">
        <v>3463</v>
      </c>
      <c r="AB325" s="151">
        <v>-4.0000000000000001E-3</v>
      </c>
      <c r="AC325" s="749" t="s">
        <v>3191</v>
      </c>
      <c r="AD325" s="151">
        <v>-4.0000000000000001E-3</v>
      </c>
      <c r="AE325" s="1" t="s">
        <v>3329</v>
      </c>
      <c r="AF325" s="151">
        <v>-4.0000000000000002E-4</v>
      </c>
      <c r="AG325" s="749" t="s">
        <v>3183</v>
      </c>
      <c r="AH325" s="151">
        <v>-4.0000000000000001E-3</v>
      </c>
      <c r="AI325" s="749" t="s">
        <v>3182</v>
      </c>
      <c r="AJ325" s="151">
        <v>-4.0000000000000001E-3</v>
      </c>
      <c r="AK325" s="1" t="s">
        <v>1839</v>
      </c>
      <c r="AL325" s="151">
        <v>-4.0000000000000001E-3</v>
      </c>
      <c r="AM325" s="1" t="s">
        <v>1839</v>
      </c>
      <c r="AN325" s="151">
        <v>-4.0000000000000001E-3</v>
      </c>
      <c r="AO325" s="1" t="s">
        <v>1839</v>
      </c>
      <c r="AP325" s="151">
        <v>-4.0000000000000001E-3</v>
      </c>
      <c r="AQ325" s="749" t="s">
        <v>3182</v>
      </c>
      <c r="AR325" s="151">
        <v>-4.0000000000000001E-3</v>
      </c>
      <c r="AS325" s="1" t="s">
        <v>3478</v>
      </c>
      <c r="AT325" s="151">
        <v>-4.0000000000000002E-4</v>
      </c>
      <c r="AU325" s="749" t="s">
        <v>3192</v>
      </c>
      <c r="AV325" s="151">
        <v>-4.0000000000000001E-3</v>
      </c>
      <c r="AW325" s="1" t="s">
        <v>3333</v>
      </c>
      <c r="AX325" s="151">
        <v>-4.0000000000000002E-4</v>
      </c>
      <c r="AY325" s="749" t="s">
        <v>3367</v>
      </c>
      <c r="AZ325" s="1" t="s">
        <v>1823</v>
      </c>
      <c r="BA325" s="151">
        <v>-4.0000000000000001E-3</v>
      </c>
    </row>
    <row r="326" spans="19:53">
      <c r="S326" s="1" t="s">
        <v>1872</v>
      </c>
      <c r="T326" s="151">
        <v>-4.0000000000000001E-3</v>
      </c>
      <c r="U326" s="1" t="s">
        <v>1873</v>
      </c>
      <c r="V326" s="151">
        <v>-4.0000000000000001E-3</v>
      </c>
      <c r="W326" s="1" t="s">
        <v>3170</v>
      </c>
      <c r="X326" s="151">
        <v>-4.0000000000000001E-3</v>
      </c>
      <c r="Y326" s="749" t="s">
        <v>3165</v>
      </c>
      <c r="Z326" s="151">
        <v>-4.0000000000000001E-3</v>
      </c>
      <c r="AA326" s="1" t="s">
        <v>3213</v>
      </c>
      <c r="AB326" s="151">
        <v>-4.0000000000000001E-3</v>
      </c>
      <c r="AC326" s="749" t="s">
        <v>3192</v>
      </c>
      <c r="AD326" s="151">
        <v>-4.0000000000000001E-3</v>
      </c>
      <c r="AE326" s="1" t="s">
        <v>1885</v>
      </c>
      <c r="AF326" s="151">
        <v>-4.0000000000000002E-4</v>
      </c>
      <c r="AG326" s="749" t="s">
        <v>3195</v>
      </c>
      <c r="AH326" s="151">
        <v>-4.0000000000000001E-3</v>
      </c>
      <c r="AI326" s="1" t="s">
        <v>3465</v>
      </c>
      <c r="AJ326" s="151">
        <v>-4.0000000000000001E-3</v>
      </c>
      <c r="AK326" s="749" t="s">
        <v>3186</v>
      </c>
      <c r="AL326" s="151">
        <v>-4.0000000000000001E-3</v>
      </c>
      <c r="AM326" s="749" t="s">
        <v>3186</v>
      </c>
      <c r="AN326" s="151">
        <v>-4.0000000000000001E-3</v>
      </c>
      <c r="AO326" s="749" t="s">
        <v>3186</v>
      </c>
      <c r="AP326" s="151">
        <v>-4.0000000000000001E-3</v>
      </c>
      <c r="AQ326" s="1" t="s">
        <v>3465</v>
      </c>
      <c r="AR326" s="151">
        <v>-4.0000000000000001E-3</v>
      </c>
      <c r="AS326" s="1" t="s">
        <v>3333</v>
      </c>
      <c r="AT326" s="151">
        <v>-4.0000000000000002E-4</v>
      </c>
      <c r="AU326" s="749" t="s">
        <v>3164</v>
      </c>
      <c r="AV326" s="151">
        <v>-4.0000000000000001E-3</v>
      </c>
      <c r="AW326" s="749" t="s">
        <v>3349</v>
      </c>
      <c r="AX326" s="151">
        <v>-4.0000000000000002E-4</v>
      </c>
      <c r="AY326" s="1" t="s">
        <v>3261</v>
      </c>
      <c r="AZ326" s="1" t="s">
        <v>3166</v>
      </c>
      <c r="BA326" s="151">
        <v>-4.0000000000000001E-3</v>
      </c>
    </row>
    <row r="327" spans="19:53">
      <c r="S327" s="1" t="s">
        <v>1873</v>
      </c>
      <c r="T327" s="151">
        <v>-4.0000000000000001E-3</v>
      </c>
      <c r="U327" s="1" t="s">
        <v>1839</v>
      </c>
      <c r="V327" s="151">
        <v>-4.0000000000000001E-3</v>
      </c>
      <c r="W327" s="749" t="s">
        <v>3190</v>
      </c>
      <c r="X327" s="151">
        <v>-4.0000000000000001E-3</v>
      </c>
      <c r="Y327" s="1" t="s">
        <v>3167</v>
      </c>
      <c r="Z327" s="151">
        <v>-4.0000000000000001E-3</v>
      </c>
      <c r="AA327" s="1" t="s">
        <v>3456</v>
      </c>
      <c r="AB327" s="151">
        <v>-4.0000000000000001E-3</v>
      </c>
      <c r="AC327" s="749" t="s">
        <v>3195</v>
      </c>
      <c r="AD327" s="151">
        <v>-4.0000000000000001E-3</v>
      </c>
      <c r="AE327" s="1" t="s">
        <v>510</v>
      </c>
      <c r="AF327" s="235">
        <v>-4.0000000000000002E-4</v>
      </c>
      <c r="AG327" s="749" t="s">
        <v>3511</v>
      </c>
      <c r="AH327" s="151">
        <v>-4.0000000000000001E-3</v>
      </c>
      <c r="AI327" s="1" t="s">
        <v>1872</v>
      </c>
      <c r="AJ327" s="151">
        <v>-4.0000000000000001E-3</v>
      </c>
      <c r="AK327" s="1" t="s">
        <v>3187</v>
      </c>
      <c r="AL327" s="151">
        <v>-4.0000000000000001E-3</v>
      </c>
      <c r="AM327" s="1" t="s">
        <v>3187</v>
      </c>
      <c r="AN327" s="151">
        <v>-4.0000000000000001E-3</v>
      </c>
      <c r="AO327" s="1" t="s">
        <v>3187</v>
      </c>
      <c r="AP327" s="151">
        <v>-4.0000000000000001E-3</v>
      </c>
      <c r="AQ327" s="1" t="s">
        <v>1872</v>
      </c>
      <c r="AR327" s="151">
        <v>-4.0000000000000001E-3</v>
      </c>
      <c r="AS327" s="749" t="s">
        <v>3349</v>
      </c>
      <c r="AT327" s="151">
        <v>-4.0000000000000002E-4</v>
      </c>
      <c r="AU327" s="749" t="s">
        <v>3195</v>
      </c>
      <c r="AV327" s="151">
        <v>-4.0000000000000001E-3</v>
      </c>
      <c r="AW327" s="1" t="s">
        <v>3334</v>
      </c>
      <c r="AX327" s="151">
        <v>-4.0000000000000002E-4</v>
      </c>
      <c r="AY327" s="749" t="s">
        <v>3262</v>
      </c>
      <c r="AZ327" s="1" t="s">
        <v>1827</v>
      </c>
      <c r="BA327" s="151">
        <v>-4.0000000000000001E-3</v>
      </c>
    </row>
    <row r="328" spans="19:53">
      <c r="S328" s="1" t="s">
        <v>1839</v>
      </c>
      <c r="T328" s="151">
        <v>-4.0000000000000001E-3</v>
      </c>
      <c r="U328" s="749" t="s">
        <v>3186</v>
      </c>
      <c r="V328" s="151">
        <v>-4.0000000000000001E-3</v>
      </c>
      <c r="W328" s="749" t="s">
        <v>3191</v>
      </c>
      <c r="X328" s="151">
        <v>-4.0000000000000001E-3</v>
      </c>
      <c r="Y328" s="749" t="s">
        <v>3179</v>
      </c>
      <c r="Z328" s="151">
        <v>-4.0000000000000001E-3</v>
      </c>
      <c r="AA328" s="749" t="s">
        <v>3165</v>
      </c>
      <c r="AB328" s="151">
        <v>-4.0000000000000001E-3</v>
      </c>
      <c r="AC328" s="749" t="s">
        <v>3511</v>
      </c>
      <c r="AD328" s="151">
        <v>-4.0000000000000001E-3</v>
      </c>
      <c r="AE328" s="1" t="s">
        <v>3347</v>
      </c>
      <c r="AF328" s="151">
        <v>-4.0000000000000002E-4</v>
      </c>
      <c r="AG328" s="491" t="s">
        <v>3512</v>
      </c>
      <c r="AH328" s="151">
        <v>-4.0000000000000001E-3</v>
      </c>
      <c r="AI328" s="1" t="s">
        <v>1873</v>
      </c>
      <c r="AJ328" s="151">
        <v>-4.0000000000000001E-3</v>
      </c>
      <c r="AK328" s="749" t="s">
        <v>3188</v>
      </c>
      <c r="AL328" s="151">
        <v>-4.0000000000000001E-3</v>
      </c>
      <c r="AM328" s="749" t="s">
        <v>3188</v>
      </c>
      <c r="AN328" s="151">
        <v>-4.0000000000000001E-3</v>
      </c>
      <c r="AO328" s="749" t="s">
        <v>3188</v>
      </c>
      <c r="AP328" s="151">
        <v>-4.0000000000000001E-3</v>
      </c>
      <c r="AQ328" s="1" t="s">
        <v>1873</v>
      </c>
      <c r="AR328" s="151">
        <v>-4.0000000000000001E-3</v>
      </c>
      <c r="AS328" s="1" t="s">
        <v>3334</v>
      </c>
      <c r="AT328" s="151">
        <v>-4.0000000000000002E-4</v>
      </c>
      <c r="AU328" s="749" t="s">
        <v>3511</v>
      </c>
      <c r="AV328" s="151">
        <v>-4.0000000000000001E-3</v>
      </c>
      <c r="AW328" s="1" t="s">
        <v>3350</v>
      </c>
      <c r="AX328" s="151">
        <v>-4.0000000000000002E-4</v>
      </c>
      <c r="AY328" s="1233" t="s">
        <v>3365</v>
      </c>
      <c r="AZ328" s="1" t="s">
        <v>3176</v>
      </c>
      <c r="BA328" s="151">
        <v>-4.0000000000000001E-3</v>
      </c>
    </row>
    <row r="329" spans="19:53">
      <c r="S329" s="749" t="s">
        <v>3186</v>
      </c>
      <c r="T329" s="151">
        <v>-4.0000000000000001E-3</v>
      </c>
      <c r="U329" s="1" t="s">
        <v>3187</v>
      </c>
      <c r="V329" s="151">
        <v>-4.0000000000000001E-3</v>
      </c>
      <c r="W329" s="749" t="s">
        <v>3192</v>
      </c>
      <c r="X329" s="151">
        <v>-4.0000000000000001E-3</v>
      </c>
      <c r="Y329" s="1" t="s">
        <v>3465</v>
      </c>
      <c r="Z329" s="151">
        <v>-4.0000000000000001E-3</v>
      </c>
      <c r="AA329" s="1" t="s">
        <v>3167</v>
      </c>
      <c r="AB329" s="151">
        <v>-4.0000000000000001E-3</v>
      </c>
      <c r="AC329" s="491" t="s">
        <v>3512</v>
      </c>
      <c r="AD329" s="151">
        <v>-4.0000000000000001E-3</v>
      </c>
      <c r="AE329" s="1" t="s">
        <v>3330</v>
      </c>
      <c r="AF329" s="237">
        <v>-4.0000000000000002E-4</v>
      </c>
      <c r="AG329" s="1" t="s">
        <v>3198</v>
      </c>
      <c r="AH329" s="321">
        <v>-4.0000000000000001E-3</v>
      </c>
      <c r="AI329" s="1" t="s">
        <v>1839</v>
      </c>
      <c r="AJ329" s="151">
        <v>-4.0000000000000001E-3</v>
      </c>
      <c r="AK329" s="749" t="s">
        <v>3189</v>
      </c>
      <c r="AL329" s="151">
        <v>-4.0000000000000001E-3</v>
      </c>
      <c r="AM329" s="749" t="s">
        <v>3189</v>
      </c>
      <c r="AN329" s="151">
        <v>-4.0000000000000001E-3</v>
      </c>
      <c r="AO329" s="749" t="s">
        <v>3189</v>
      </c>
      <c r="AP329" s="151">
        <v>-4.0000000000000001E-3</v>
      </c>
      <c r="AQ329" s="1" t="s">
        <v>1839</v>
      </c>
      <c r="AR329" s="151">
        <v>-4.0000000000000001E-3</v>
      </c>
      <c r="AS329" s="1" t="s">
        <v>3350</v>
      </c>
      <c r="AT329" s="151">
        <v>-4.0000000000000002E-4</v>
      </c>
      <c r="AU329" s="491" t="s">
        <v>3512</v>
      </c>
      <c r="AV329" s="151">
        <v>-4.0000000000000001E-3</v>
      </c>
      <c r="AW329" s="1" t="s">
        <v>3351</v>
      </c>
      <c r="AX329" s="237">
        <v>-4.0000000000000002E-4</v>
      </c>
      <c r="AY329" s="1" t="s">
        <v>3368</v>
      </c>
      <c r="AZ329" s="749" t="s">
        <v>3180</v>
      </c>
      <c r="BA329" s="151">
        <v>-4.0000000000000001E-3</v>
      </c>
    </row>
    <row r="330" spans="19:53">
      <c r="S330" s="1" t="s">
        <v>3187</v>
      </c>
      <c r="T330" s="151">
        <v>-4.0000000000000001E-3</v>
      </c>
      <c r="U330" s="749" t="s">
        <v>3188</v>
      </c>
      <c r="V330" s="151">
        <v>-4.0000000000000001E-3</v>
      </c>
      <c r="W330" s="749" t="s">
        <v>3195</v>
      </c>
      <c r="X330" s="151">
        <v>-4.0000000000000001E-3</v>
      </c>
      <c r="Y330" s="1" t="s">
        <v>1872</v>
      </c>
      <c r="Z330" s="151">
        <v>-4.0000000000000001E-3</v>
      </c>
      <c r="AA330" s="749" t="s">
        <v>3179</v>
      </c>
      <c r="AB330" s="151">
        <v>-4.0000000000000001E-3</v>
      </c>
      <c r="AC330" s="1" t="s">
        <v>3198</v>
      </c>
      <c r="AD330" s="151">
        <v>-4.0000000000000001E-3</v>
      </c>
      <c r="AE330" s="1" t="s">
        <v>3331</v>
      </c>
      <c r="AF330" s="237">
        <v>-4.0000000000000002E-4</v>
      </c>
      <c r="AG330" s="749" t="s">
        <v>3199</v>
      </c>
      <c r="AH330" s="321">
        <v>-4.0000000000000001E-3</v>
      </c>
      <c r="AI330" s="749" t="s">
        <v>3186</v>
      </c>
      <c r="AJ330" s="151">
        <v>-4.0000000000000001E-3</v>
      </c>
      <c r="AK330" s="1" t="s">
        <v>3170</v>
      </c>
      <c r="AL330" s="151">
        <v>-4.0000000000000001E-3</v>
      </c>
      <c r="AM330" s="1" t="s">
        <v>3170</v>
      </c>
      <c r="AN330" s="151">
        <v>-4.0000000000000001E-3</v>
      </c>
      <c r="AO330" s="1" t="s">
        <v>3170</v>
      </c>
      <c r="AP330" s="151">
        <v>-4.0000000000000001E-3</v>
      </c>
      <c r="AQ330" s="749" t="s">
        <v>3186</v>
      </c>
      <c r="AR330" s="151">
        <v>-4.0000000000000001E-3</v>
      </c>
      <c r="AS330" s="1" t="s">
        <v>3351</v>
      </c>
      <c r="AT330" s="151">
        <v>-4.0000000000000002E-4</v>
      </c>
      <c r="AU330" s="1" t="s">
        <v>3198</v>
      </c>
      <c r="AV330" s="151">
        <v>-4.0000000000000001E-3</v>
      </c>
      <c r="AW330" s="749" t="s">
        <v>3352</v>
      </c>
      <c r="AX330" s="237">
        <v>-4.0000000000000002E-4</v>
      </c>
      <c r="AY330" s="1" t="s">
        <v>3366</v>
      </c>
      <c r="AZ330" s="1" t="s">
        <v>3169</v>
      </c>
      <c r="BA330" s="151">
        <v>-4.0000000000000001E-3</v>
      </c>
    </row>
    <row r="331" spans="19:53">
      <c r="S331" s="749" t="s">
        <v>3188</v>
      </c>
      <c r="T331" s="151">
        <v>-4.0000000000000001E-3</v>
      </c>
      <c r="U331" s="749" t="s">
        <v>3189</v>
      </c>
      <c r="V331" s="151">
        <v>-4.0000000000000001E-3</v>
      </c>
      <c r="W331" s="749" t="s">
        <v>3511</v>
      </c>
      <c r="X331" s="151">
        <v>-4.0000000000000001E-3</v>
      </c>
      <c r="Y331" s="1" t="s">
        <v>1873</v>
      </c>
      <c r="Z331" s="151">
        <v>-4.0000000000000001E-3</v>
      </c>
      <c r="AA331" s="1" t="s">
        <v>3465</v>
      </c>
      <c r="AB331" s="151">
        <v>-4.0000000000000001E-3</v>
      </c>
      <c r="AC331" s="749" t="s">
        <v>3199</v>
      </c>
      <c r="AD331" s="151">
        <v>-4.0000000000000001E-3</v>
      </c>
      <c r="AE331" s="749" t="s">
        <v>3348</v>
      </c>
      <c r="AF331" s="151">
        <v>-4.0000000000000002E-4</v>
      </c>
      <c r="AG331" s="749" t="s">
        <v>3474</v>
      </c>
      <c r="AH331" s="151">
        <v>-4.0000000000000001E-3</v>
      </c>
      <c r="AI331" s="1" t="s">
        <v>3187</v>
      </c>
      <c r="AJ331" s="151">
        <v>-4.0000000000000001E-3</v>
      </c>
      <c r="AK331" s="749" t="s">
        <v>3190</v>
      </c>
      <c r="AL331" s="151">
        <v>-4.0000000000000001E-3</v>
      </c>
      <c r="AM331" s="749" t="s">
        <v>3190</v>
      </c>
      <c r="AN331" s="151">
        <v>-4.0000000000000001E-3</v>
      </c>
      <c r="AO331" s="749" t="s">
        <v>3190</v>
      </c>
      <c r="AP331" s="151">
        <v>-4.0000000000000001E-3</v>
      </c>
      <c r="AQ331" s="1" t="s">
        <v>3187</v>
      </c>
      <c r="AR331" s="151">
        <v>-4.0000000000000001E-3</v>
      </c>
      <c r="AS331" s="749" t="s">
        <v>3352</v>
      </c>
      <c r="AT331" s="151">
        <v>-4.0000000000000002E-4</v>
      </c>
      <c r="AU331" s="749" t="s">
        <v>3199</v>
      </c>
      <c r="AV331" s="151">
        <v>-4.0000000000000001E-3</v>
      </c>
      <c r="AW331" s="1" t="s">
        <v>1894</v>
      </c>
      <c r="AX331" s="151">
        <v>-4.0000000000000002E-4</v>
      </c>
      <c r="AY331" s="1" t="s">
        <v>3490</v>
      </c>
      <c r="AZ331" s="1" t="s">
        <v>1872</v>
      </c>
      <c r="BA331" s="151">
        <v>-4.0000000000000001E-3</v>
      </c>
    </row>
    <row r="332" spans="19:53">
      <c r="S332" s="749" t="s">
        <v>3189</v>
      </c>
      <c r="T332" s="151">
        <v>-4.0000000000000001E-3</v>
      </c>
      <c r="U332" s="1" t="s">
        <v>3170</v>
      </c>
      <c r="V332" s="151">
        <v>-4.0000000000000001E-3</v>
      </c>
      <c r="W332" s="491" t="s">
        <v>3512</v>
      </c>
      <c r="X332" s="151">
        <v>-4.0000000000000001E-3</v>
      </c>
      <c r="Y332" s="1" t="s">
        <v>1839</v>
      </c>
      <c r="Z332" s="151">
        <v>-4.0000000000000001E-3</v>
      </c>
      <c r="AA332" s="1" t="s">
        <v>1872</v>
      </c>
      <c r="AB332" s="151">
        <v>-4.0000000000000001E-3</v>
      </c>
      <c r="AC332" s="749" t="s">
        <v>3474</v>
      </c>
      <c r="AD332" s="151">
        <v>-4.0000000000000001E-3</v>
      </c>
      <c r="AE332" s="1" t="s">
        <v>3478</v>
      </c>
      <c r="AF332" s="151">
        <v>-4.0000000000000002E-4</v>
      </c>
      <c r="AG332" s="1" t="s">
        <v>1855</v>
      </c>
      <c r="AH332" s="151">
        <v>-4.0000000000000001E-3</v>
      </c>
      <c r="AI332" s="749" t="s">
        <v>3188</v>
      </c>
      <c r="AJ332" s="151">
        <v>-4.0000000000000001E-3</v>
      </c>
      <c r="AK332" s="749" t="s">
        <v>3191</v>
      </c>
      <c r="AL332" s="151">
        <v>-4.0000000000000001E-3</v>
      </c>
      <c r="AM332" s="749" t="s">
        <v>3191</v>
      </c>
      <c r="AN332" s="151">
        <v>-4.0000000000000001E-3</v>
      </c>
      <c r="AO332" s="749" t="s">
        <v>3191</v>
      </c>
      <c r="AP332" s="151">
        <v>-4.0000000000000001E-3</v>
      </c>
      <c r="AQ332" s="749" t="s">
        <v>3188</v>
      </c>
      <c r="AR332" s="151">
        <v>-4.0000000000000001E-3</v>
      </c>
      <c r="AS332" s="1" t="s">
        <v>1894</v>
      </c>
      <c r="AT332" s="151">
        <v>-4.0000000000000002E-4</v>
      </c>
      <c r="AU332" s="749" t="s">
        <v>3474</v>
      </c>
      <c r="AV332" s="151">
        <v>-4.0000000000000001E-3</v>
      </c>
      <c r="AW332" s="1" t="s">
        <v>1895</v>
      </c>
      <c r="AX332" s="151">
        <v>-4.0000000000000002E-4</v>
      </c>
      <c r="AY332" s="1" t="s">
        <v>1916</v>
      </c>
      <c r="AZ332" s="1" t="s">
        <v>1873</v>
      </c>
      <c r="BA332" s="151">
        <v>-4.0000000000000001E-3</v>
      </c>
    </row>
    <row r="333" spans="19:53">
      <c r="S333" s="1" t="s">
        <v>3170</v>
      </c>
      <c r="T333" s="151">
        <v>-4.0000000000000001E-3</v>
      </c>
      <c r="U333" s="749" t="s">
        <v>3190</v>
      </c>
      <c r="V333" s="151">
        <v>-4.0000000000000001E-3</v>
      </c>
      <c r="W333" s="1" t="s">
        <v>3198</v>
      </c>
      <c r="X333" s="151">
        <v>-4.0000000000000001E-3</v>
      </c>
      <c r="Y333" s="749" t="s">
        <v>3186</v>
      </c>
      <c r="Z333" s="151">
        <v>-4.0000000000000001E-3</v>
      </c>
      <c r="AA333" s="1" t="s">
        <v>1873</v>
      </c>
      <c r="AB333" s="151">
        <v>-4.0000000000000001E-3</v>
      </c>
      <c r="AC333" s="1" t="s">
        <v>1855</v>
      </c>
      <c r="AD333" s="151">
        <v>-4.0000000000000001E-3</v>
      </c>
      <c r="AE333" s="1" t="s">
        <v>3333</v>
      </c>
      <c r="AF333" s="151">
        <v>-4.0000000000000002E-4</v>
      </c>
      <c r="AG333" s="7" t="s">
        <v>1855</v>
      </c>
      <c r="AH333" s="151">
        <v>-4.0000000000000001E-3</v>
      </c>
      <c r="AI333" s="749" t="s">
        <v>3189</v>
      </c>
      <c r="AJ333" s="151">
        <v>-4.0000000000000001E-3</v>
      </c>
      <c r="AK333" s="749" t="s">
        <v>3192</v>
      </c>
      <c r="AL333" s="151">
        <v>-4.0000000000000001E-3</v>
      </c>
      <c r="AM333" s="749" t="s">
        <v>3192</v>
      </c>
      <c r="AN333" s="151">
        <v>-4.0000000000000001E-3</v>
      </c>
      <c r="AO333" s="749" t="s">
        <v>3192</v>
      </c>
      <c r="AP333" s="151">
        <v>-4.0000000000000001E-3</v>
      </c>
      <c r="AQ333" s="749" t="s">
        <v>3189</v>
      </c>
      <c r="AR333" s="151">
        <v>-4.0000000000000001E-3</v>
      </c>
      <c r="AS333" s="1" t="s">
        <v>1895</v>
      </c>
      <c r="AT333" s="151">
        <v>-4.0000000000000002E-4</v>
      </c>
      <c r="AU333" s="1" t="s">
        <v>1855</v>
      </c>
      <c r="AV333" s="151">
        <v>-4.0000000000000001E-3</v>
      </c>
      <c r="AW333" s="1" t="s">
        <v>1896</v>
      </c>
      <c r="AX333" s="151">
        <v>-4.0000000000000002E-4</v>
      </c>
      <c r="AY333" s="82" t="s">
        <v>3246</v>
      </c>
      <c r="AZ333" s="1" t="s">
        <v>1839</v>
      </c>
      <c r="BA333" s="151">
        <v>-4.0000000000000001E-3</v>
      </c>
    </row>
    <row r="334" spans="19:53">
      <c r="S334" s="749" t="s">
        <v>3190</v>
      </c>
      <c r="T334" s="151">
        <v>-4.0000000000000001E-3</v>
      </c>
      <c r="U334" s="749" t="s">
        <v>3191</v>
      </c>
      <c r="V334" s="151">
        <v>-4.0000000000000001E-3</v>
      </c>
      <c r="W334" s="1" t="s">
        <v>3471</v>
      </c>
      <c r="X334" s="151">
        <v>-4.0000000000000001E-3</v>
      </c>
      <c r="Y334" s="1" t="s">
        <v>3187</v>
      </c>
      <c r="Z334" s="151">
        <v>-4.0000000000000001E-3</v>
      </c>
      <c r="AA334" s="1" t="s">
        <v>1839</v>
      </c>
      <c r="AB334" s="151">
        <v>-4.0000000000000001E-3</v>
      </c>
      <c r="AC334" s="7" t="s">
        <v>1855</v>
      </c>
      <c r="AD334" s="151">
        <v>-4.0000000000000001E-3</v>
      </c>
      <c r="AE334" s="749" t="s">
        <v>3349</v>
      </c>
      <c r="AF334" s="151">
        <v>-4.0000000000000002E-4</v>
      </c>
      <c r="AG334" s="1" t="s">
        <v>1856</v>
      </c>
      <c r="AH334" s="151">
        <v>-4.0000000000000001E-3</v>
      </c>
      <c r="AI334" s="1" t="s">
        <v>3170</v>
      </c>
      <c r="AJ334" s="151">
        <v>-4.0000000000000001E-3</v>
      </c>
      <c r="AK334" s="749" t="s">
        <v>3195</v>
      </c>
      <c r="AL334" s="151">
        <v>-4.0000000000000001E-3</v>
      </c>
      <c r="AM334" s="749" t="s">
        <v>3195</v>
      </c>
      <c r="AN334" s="151">
        <v>-4.0000000000000001E-3</v>
      </c>
      <c r="AO334" s="749" t="s">
        <v>3195</v>
      </c>
      <c r="AP334" s="151">
        <v>-4.0000000000000001E-3</v>
      </c>
      <c r="AQ334" s="1" t="s">
        <v>3170</v>
      </c>
      <c r="AR334" s="151">
        <v>-4.0000000000000001E-3</v>
      </c>
      <c r="AS334" s="1" t="s">
        <v>1896</v>
      </c>
      <c r="AT334" s="151">
        <v>-4.0000000000000002E-4</v>
      </c>
      <c r="AU334" s="7" t="s">
        <v>1855</v>
      </c>
      <c r="AV334" s="151">
        <v>-4.0000000000000001E-3</v>
      </c>
      <c r="AW334" s="1" t="s">
        <v>3481</v>
      </c>
      <c r="AX334" s="151">
        <v>-4.0000000000000002E-4</v>
      </c>
      <c r="AY334" s="749" t="s">
        <v>3382</v>
      </c>
      <c r="AZ334" s="749" t="s">
        <v>3186</v>
      </c>
      <c r="BA334" s="151">
        <v>-4.0000000000000001E-3</v>
      </c>
    </row>
    <row r="335" spans="19:53">
      <c r="S335" s="749" t="s">
        <v>3191</v>
      </c>
      <c r="T335" s="151">
        <v>-4.0000000000000001E-3</v>
      </c>
      <c r="U335" s="749" t="s">
        <v>3192</v>
      </c>
      <c r="V335" s="151">
        <v>-4.0000000000000001E-3</v>
      </c>
      <c r="W335" s="1" t="s">
        <v>1851</v>
      </c>
      <c r="X335" s="151">
        <v>-4.0000000000000001E-3</v>
      </c>
      <c r="Y335" s="749" t="s">
        <v>3188</v>
      </c>
      <c r="Z335" s="151">
        <v>-4.0000000000000001E-3</v>
      </c>
      <c r="AA335" s="749" t="s">
        <v>3186</v>
      </c>
      <c r="AB335" s="151">
        <v>-4.0000000000000001E-3</v>
      </c>
      <c r="AC335" s="1" t="s">
        <v>1856</v>
      </c>
      <c r="AD335" s="151">
        <v>-4.0000000000000001E-3</v>
      </c>
      <c r="AE335" s="1" t="s">
        <v>3334</v>
      </c>
      <c r="AF335" s="151">
        <v>-4.0000000000000002E-4</v>
      </c>
      <c r="AG335" s="1" t="s">
        <v>3201</v>
      </c>
      <c r="AH335" s="151">
        <v>-4.0000000000000001E-3</v>
      </c>
      <c r="AI335" s="749" t="s">
        <v>3190</v>
      </c>
      <c r="AJ335" s="151">
        <v>-4.0000000000000001E-3</v>
      </c>
      <c r="AK335" s="749" t="s">
        <v>3511</v>
      </c>
      <c r="AL335" s="151">
        <v>-4.0000000000000001E-3</v>
      </c>
      <c r="AM335" s="749" t="s">
        <v>3511</v>
      </c>
      <c r="AN335" s="151">
        <v>-4.0000000000000001E-3</v>
      </c>
      <c r="AO335" s="749" t="s">
        <v>3511</v>
      </c>
      <c r="AP335" s="151">
        <v>-4.0000000000000001E-3</v>
      </c>
      <c r="AQ335" s="749" t="s">
        <v>3190</v>
      </c>
      <c r="AR335" s="151">
        <v>-4.0000000000000001E-3</v>
      </c>
      <c r="AS335" s="1" t="s">
        <v>3481</v>
      </c>
      <c r="AT335" s="151">
        <v>-4.0000000000000002E-4</v>
      </c>
      <c r="AU335" s="1" t="s">
        <v>1856</v>
      </c>
      <c r="AV335" s="151">
        <v>-4.0000000000000001E-3</v>
      </c>
      <c r="AW335" s="1" t="s">
        <v>1898</v>
      </c>
      <c r="AX335" s="151">
        <v>-4.0000000000000002E-4</v>
      </c>
      <c r="AY335" s="749" t="s">
        <v>3378</v>
      </c>
      <c r="AZ335" s="1" t="s">
        <v>3187</v>
      </c>
      <c r="BA335" s="151">
        <v>-4.0000000000000001E-3</v>
      </c>
    </row>
    <row r="336" spans="19:53">
      <c r="S336" s="749" t="s">
        <v>3192</v>
      </c>
      <c r="T336" s="151">
        <v>-4.0000000000000001E-3</v>
      </c>
      <c r="U336" s="749" t="s">
        <v>3195</v>
      </c>
      <c r="V336" s="151">
        <v>-4.0000000000000001E-3</v>
      </c>
      <c r="W336" s="749" t="s">
        <v>3199</v>
      </c>
      <c r="X336" s="151">
        <v>-4.0000000000000001E-3</v>
      </c>
      <c r="Y336" s="749" t="s">
        <v>3189</v>
      </c>
      <c r="Z336" s="151">
        <v>-4.0000000000000001E-3</v>
      </c>
      <c r="AA336" s="1" t="s">
        <v>3187</v>
      </c>
      <c r="AB336" s="151">
        <v>-4.0000000000000001E-3</v>
      </c>
      <c r="AC336" s="1" t="s">
        <v>3201</v>
      </c>
      <c r="AD336" s="151">
        <v>-4.0000000000000001E-3</v>
      </c>
      <c r="AE336" s="1" t="s">
        <v>3350</v>
      </c>
      <c r="AF336" s="151">
        <v>-4.0000000000000002E-4</v>
      </c>
      <c r="AG336" s="1" t="s">
        <v>1859</v>
      </c>
      <c r="AH336" s="151">
        <v>-4.0000000000000001E-3</v>
      </c>
      <c r="AI336" s="749" t="s">
        <v>3191</v>
      </c>
      <c r="AJ336" s="151">
        <v>-4.0000000000000001E-3</v>
      </c>
      <c r="AK336" s="491" t="s">
        <v>3512</v>
      </c>
      <c r="AL336" s="151">
        <v>-4.0000000000000001E-3</v>
      </c>
      <c r="AM336" s="491" t="s">
        <v>3512</v>
      </c>
      <c r="AN336" s="151">
        <v>-4.0000000000000001E-3</v>
      </c>
      <c r="AO336" s="491" t="s">
        <v>3512</v>
      </c>
      <c r="AP336" s="151">
        <v>-4.0000000000000001E-3</v>
      </c>
      <c r="AQ336" s="749" t="s">
        <v>3191</v>
      </c>
      <c r="AR336" s="151">
        <v>-4.0000000000000001E-3</v>
      </c>
      <c r="AS336" s="1" t="s">
        <v>1898</v>
      </c>
      <c r="AT336" s="151">
        <v>-4.0000000000000002E-4</v>
      </c>
      <c r="AU336" s="1" t="s">
        <v>3201</v>
      </c>
      <c r="AV336" s="151">
        <v>-4.0000000000000001E-3</v>
      </c>
      <c r="AW336" s="1" t="s">
        <v>3335</v>
      </c>
      <c r="AX336" s="151">
        <v>-4.0000000000000002E-4</v>
      </c>
      <c r="AY336" s="749" t="s">
        <v>3370</v>
      </c>
      <c r="AZ336" s="749" t="s">
        <v>3188</v>
      </c>
      <c r="BA336" s="151">
        <v>-4.0000000000000001E-3</v>
      </c>
    </row>
    <row r="337" spans="19:53">
      <c r="S337" s="749" t="s">
        <v>3195</v>
      </c>
      <c r="T337" s="151">
        <v>-4.0000000000000001E-3</v>
      </c>
      <c r="U337" s="749" t="s">
        <v>3511</v>
      </c>
      <c r="V337" s="151">
        <v>-4.0000000000000001E-3</v>
      </c>
      <c r="W337" s="749" t="s">
        <v>3474</v>
      </c>
      <c r="X337" s="151">
        <v>-4.0000000000000001E-3</v>
      </c>
      <c r="Y337" s="1" t="s">
        <v>3170</v>
      </c>
      <c r="Z337" s="151">
        <v>-4.0000000000000001E-3</v>
      </c>
      <c r="AA337" s="749" t="s">
        <v>3188</v>
      </c>
      <c r="AB337" s="151">
        <v>-4.0000000000000001E-3</v>
      </c>
      <c r="AC337" s="1" t="s">
        <v>1859</v>
      </c>
      <c r="AD337" s="151">
        <v>-4.0000000000000001E-3</v>
      </c>
      <c r="AE337" s="1" t="s">
        <v>3351</v>
      </c>
      <c r="AF337" s="151">
        <v>-4.0000000000000002E-4</v>
      </c>
      <c r="AG337" s="1" t="s">
        <v>3202</v>
      </c>
      <c r="AH337" s="151">
        <v>-4.0000000000000001E-3</v>
      </c>
      <c r="AI337" s="749" t="s">
        <v>3192</v>
      </c>
      <c r="AJ337" s="151">
        <v>-4.0000000000000001E-3</v>
      </c>
      <c r="AK337" s="1" t="s">
        <v>3198</v>
      </c>
      <c r="AL337" s="151">
        <v>-4.0000000000000001E-3</v>
      </c>
      <c r="AM337" s="1" t="s">
        <v>3198</v>
      </c>
      <c r="AN337" s="151">
        <v>-4.0000000000000001E-3</v>
      </c>
      <c r="AO337" s="1" t="s">
        <v>3198</v>
      </c>
      <c r="AP337" s="151">
        <v>-4.0000000000000001E-3</v>
      </c>
      <c r="AQ337" s="749" t="s">
        <v>3192</v>
      </c>
      <c r="AR337" s="151">
        <v>-4.0000000000000001E-3</v>
      </c>
      <c r="AS337" s="1" t="s">
        <v>3335</v>
      </c>
      <c r="AT337" s="151">
        <v>-4.0000000000000002E-4</v>
      </c>
      <c r="AU337" s="1" t="s">
        <v>1859</v>
      </c>
      <c r="AV337" s="151">
        <v>-4.0000000000000001E-3</v>
      </c>
      <c r="AW337" s="1" t="s">
        <v>3394</v>
      </c>
      <c r="AX337" s="151">
        <v>-4.0000000000000002E-4</v>
      </c>
      <c r="AY337" s="749" t="s">
        <v>3509</v>
      </c>
      <c r="AZ337" s="749" t="s">
        <v>3189</v>
      </c>
      <c r="BA337" s="151">
        <v>-4.0000000000000001E-3</v>
      </c>
    </row>
    <row r="338" spans="19:53">
      <c r="S338" s="749" t="s">
        <v>3511</v>
      </c>
      <c r="T338" s="151">
        <v>-4.0000000000000001E-3</v>
      </c>
      <c r="U338" s="491" t="s">
        <v>3512</v>
      </c>
      <c r="V338" s="151">
        <v>-4.0000000000000001E-3</v>
      </c>
      <c r="W338" s="1" t="s">
        <v>1855</v>
      </c>
      <c r="X338" s="151">
        <v>-4.0000000000000001E-3</v>
      </c>
      <c r="Y338" s="749" t="s">
        <v>3190</v>
      </c>
      <c r="Z338" s="151">
        <v>-4.0000000000000001E-3</v>
      </c>
      <c r="AA338" s="749" t="s">
        <v>3189</v>
      </c>
      <c r="AB338" s="151">
        <v>-4.0000000000000001E-3</v>
      </c>
      <c r="AC338" s="1" t="s">
        <v>3202</v>
      </c>
      <c r="AD338" s="151">
        <v>-4.0000000000000001E-3</v>
      </c>
      <c r="AE338" s="749" t="s">
        <v>3352</v>
      </c>
      <c r="AF338" s="151">
        <v>-4.0000000000000002E-4</v>
      </c>
      <c r="AG338" s="1" t="s">
        <v>3472</v>
      </c>
      <c r="AH338" s="151">
        <v>-4.0000000000000001E-3</v>
      </c>
      <c r="AI338" s="749" t="s">
        <v>3195</v>
      </c>
      <c r="AJ338" s="151">
        <v>-4.0000000000000001E-3</v>
      </c>
      <c r="AK338" s="749" t="s">
        <v>3199</v>
      </c>
      <c r="AL338" s="151">
        <v>-4.0000000000000001E-3</v>
      </c>
      <c r="AM338" s="749" t="s">
        <v>3199</v>
      </c>
      <c r="AN338" s="151">
        <v>-4.0000000000000001E-3</v>
      </c>
      <c r="AO338" s="749" t="s">
        <v>3199</v>
      </c>
      <c r="AP338" s="151">
        <v>-4.0000000000000001E-3</v>
      </c>
      <c r="AQ338" s="749" t="s">
        <v>3195</v>
      </c>
      <c r="AR338" s="151">
        <v>-4.0000000000000001E-3</v>
      </c>
      <c r="AS338" s="1" t="s">
        <v>3394</v>
      </c>
      <c r="AT338" s="151">
        <v>-4.0000000000000002E-4</v>
      </c>
      <c r="AU338" s="1" t="s">
        <v>3202</v>
      </c>
      <c r="AV338" s="151">
        <v>-4.0000000000000001E-3</v>
      </c>
      <c r="AW338" s="1" t="s">
        <v>3480</v>
      </c>
      <c r="AX338" s="151">
        <v>-4.0000000000000002E-4</v>
      </c>
      <c r="AY338" s="749" t="s">
        <v>1951</v>
      </c>
      <c r="AZ338" s="1" t="s">
        <v>3170</v>
      </c>
      <c r="BA338" s="151">
        <v>-4.0000000000000001E-3</v>
      </c>
    </row>
    <row r="339" spans="19:53">
      <c r="S339" s="491" t="s">
        <v>3512</v>
      </c>
      <c r="T339" s="151">
        <v>-4.0000000000000001E-3</v>
      </c>
      <c r="U339" s="1" t="s">
        <v>3198</v>
      </c>
      <c r="V339" s="151">
        <v>-4.0000000000000001E-3</v>
      </c>
      <c r="W339" s="7" t="s">
        <v>1855</v>
      </c>
      <c r="X339" s="151">
        <v>-4.0000000000000001E-3</v>
      </c>
      <c r="Y339" s="749" t="s">
        <v>3191</v>
      </c>
      <c r="Z339" s="151">
        <v>-4.0000000000000001E-3</v>
      </c>
      <c r="AA339" s="1" t="s">
        <v>3170</v>
      </c>
      <c r="AB339" s="151">
        <v>-4.0000000000000001E-3</v>
      </c>
      <c r="AC339" s="1" t="s">
        <v>3472</v>
      </c>
      <c r="AD339" s="151">
        <v>-4.0000000000000001E-3</v>
      </c>
      <c r="AE339" s="1" t="s">
        <v>1894</v>
      </c>
      <c r="AF339" s="151">
        <v>-4.0000000000000002E-4</v>
      </c>
      <c r="AG339" s="1" t="s">
        <v>3203</v>
      </c>
      <c r="AH339" s="4">
        <v>-4.0000000000000001E-3</v>
      </c>
      <c r="AI339" s="749" t="s">
        <v>3511</v>
      </c>
      <c r="AJ339" s="151">
        <v>-4.0000000000000001E-3</v>
      </c>
      <c r="AK339" s="749" t="s">
        <v>3474</v>
      </c>
      <c r="AL339" s="151">
        <v>-4.0000000000000001E-3</v>
      </c>
      <c r="AM339" s="749" t="s">
        <v>3474</v>
      </c>
      <c r="AN339" s="151">
        <v>-4.0000000000000001E-3</v>
      </c>
      <c r="AO339" s="749" t="s">
        <v>3474</v>
      </c>
      <c r="AP339" s="151">
        <v>-4.0000000000000001E-3</v>
      </c>
      <c r="AQ339" s="749" t="s">
        <v>3511</v>
      </c>
      <c r="AR339" s="151">
        <v>-4.0000000000000001E-3</v>
      </c>
      <c r="AS339" s="1" t="s">
        <v>3480</v>
      </c>
      <c r="AT339" s="151">
        <v>-4.0000000000000002E-4</v>
      </c>
      <c r="AU339" s="1" t="s">
        <v>3472</v>
      </c>
      <c r="AV339" s="151">
        <v>-4.0000000000000001E-3</v>
      </c>
      <c r="AW339" s="1" t="s">
        <v>3353</v>
      </c>
      <c r="AX339" s="151">
        <v>-4.0000000000000002E-4</v>
      </c>
      <c r="AY339" s="749" t="s">
        <v>3390</v>
      </c>
      <c r="AZ339" s="749" t="s">
        <v>3190</v>
      </c>
      <c r="BA339" s="151">
        <v>-4.0000000000000001E-3</v>
      </c>
    </row>
    <row r="340" spans="19:53">
      <c r="S340" s="1" t="s">
        <v>3198</v>
      </c>
      <c r="T340" s="151">
        <v>-4.0000000000000001E-3</v>
      </c>
      <c r="U340" s="749" t="s">
        <v>3199</v>
      </c>
      <c r="V340" s="151">
        <v>-4.0000000000000001E-3</v>
      </c>
      <c r="W340" s="1" t="s">
        <v>1856</v>
      </c>
      <c r="X340" s="151">
        <v>-4.0000000000000001E-3</v>
      </c>
      <c r="Y340" s="749" t="s">
        <v>3192</v>
      </c>
      <c r="Z340" s="151">
        <v>-4.0000000000000001E-3</v>
      </c>
      <c r="AA340" s="749" t="s">
        <v>3190</v>
      </c>
      <c r="AB340" s="151">
        <v>-4.0000000000000001E-3</v>
      </c>
      <c r="AC340" s="1" t="s">
        <v>3203</v>
      </c>
      <c r="AD340" s="4">
        <v>-4.0000000000000001E-3</v>
      </c>
      <c r="AE340" s="1" t="s">
        <v>1895</v>
      </c>
      <c r="AF340" s="151">
        <v>-4.0000000000000002E-4</v>
      </c>
      <c r="AG340" s="1" t="s">
        <v>3243</v>
      </c>
      <c r="AH340" s="151">
        <v>-4.0000000000000001E-3</v>
      </c>
      <c r="AI340" s="491" t="s">
        <v>3512</v>
      </c>
      <c r="AJ340" s="151">
        <v>-4.0000000000000001E-3</v>
      </c>
      <c r="AK340" s="1" t="s">
        <v>1855</v>
      </c>
      <c r="AL340" s="151">
        <v>-4.0000000000000001E-3</v>
      </c>
      <c r="AM340" s="1" t="s">
        <v>1855</v>
      </c>
      <c r="AN340" s="151">
        <v>-4.0000000000000001E-3</v>
      </c>
      <c r="AO340" s="1" t="s">
        <v>1855</v>
      </c>
      <c r="AP340" s="151">
        <v>-4.0000000000000001E-3</v>
      </c>
      <c r="AQ340" s="491" t="s">
        <v>3512</v>
      </c>
      <c r="AR340" s="151">
        <v>-4.0000000000000001E-3</v>
      </c>
      <c r="AS340" s="1" t="s">
        <v>3353</v>
      </c>
      <c r="AT340" s="151">
        <v>-4.0000000000000002E-4</v>
      </c>
      <c r="AU340" s="1" t="s">
        <v>3203</v>
      </c>
      <c r="AV340" s="4">
        <v>-4.0000000000000001E-3</v>
      </c>
      <c r="AW340" s="749" t="s">
        <v>3354</v>
      </c>
      <c r="AX340" s="151">
        <v>-4.0000000000000002E-4</v>
      </c>
      <c r="AY340" s="1" t="s">
        <v>3498</v>
      </c>
      <c r="AZ340" s="749" t="s">
        <v>3191</v>
      </c>
      <c r="BA340" s="151">
        <v>-4.0000000000000001E-3</v>
      </c>
    </row>
    <row r="341" spans="19:53">
      <c r="S341" s="749" t="s">
        <v>3199</v>
      </c>
      <c r="T341" s="151">
        <v>-4.0000000000000001E-3</v>
      </c>
      <c r="U341" s="749" t="s">
        <v>3474</v>
      </c>
      <c r="V341" s="151">
        <v>-4.0000000000000001E-3</v>
      </c>
      <c r="W341" s="1" t="s">
        <v>3201</v>
      </c>
      <c r="X341" s="151">
        <v>-4.0000000000000001E-3</v>
      </c>
      <c r="Y341" s="749" t="s">
        <v>3195</v>
      </c>
      <c r="Z341" s="151">
        <v>-4.0000000000000001E-3</v>
      </c>
      <c r="AA341" s="749" t="s">
        <v>3191</v>
      </c>
      <c r="AB341" s="151">
        <v>-4.0000000000000001E-3</v>
      </c>
      <c r="AC341" s="1" t="s">
        <v>3240</v>
      </c>
      <c r="AD341" s="151">
        <v>-4.0000000000000001E-3</v>
      </c>
      <c r="AE341" s="1" t="s">
        <v>1896</v>
      </c>
      <c r="AF341" s="151">
        <v>-4.0000000000000002E-4</v>
      </c>
      <c r="AG341" s="1" t="s">
        <v>1880</v>
      </c>
      <c r="AH341" s="151">
        <v>-4.0000000000000001E-3</v>
      </c>
      <c r="AI341" s="1" t="s">
        <v>3198</v>
      </c>
      <c r="AJ341" s="151">
        <v>-4.0000000000000001E-3</v>
      </c>
      <c r="AK341" s="7" t="s">
        <v>1855</v>
      </c>
      <c r="AL341" s="151">
        <v>-4.0000000000000001E-3</v>
      </c>
      <c r="AM341" s="7" t="s">
        <v>1855</v>
      </c>
      <c r="AN341" s="151">
        <v>-4.0000000000000001E-3</v>
      </c>
      <c r="AO341" s="7" t="s">
        <v>1855</v>
      </c>
      <c r="AP341" s="151">
        <v>-4.0000000000000001E-3</v>
      </c>
      <c r="AQ341" s="1" t="s">
        <v>3198</v>
      </c>
      <c r="AR341" s="151">
        <v>-4.0000000000000001E-3</v>
      </c>
      <c r="AS341" s="749" t="s">
        <v>3354</v>
      </c>
      <c r="AT341" s="151">
        <v>-4.0000000000000002E-4</v>
      </c>
      <c r="AU341" s="1" t="s">
        <v>3243</v>
      </c>
      <c r="AV341" s="151">
        <v>-4.0000000000000001E-3</v>
      </c>
      <c r="AW341" s="1" t="s">
        <v>3355</v>
      </c>
      <c r="AX341" s="151">
        <v>-4.0000000000000002E-4</v>
      </c>
      <c r="AY341" s="749" t="s">
        <v>3371</v>
      </c>
      <c r="AZ341" s="749" t="s">
        <v>3192</v>
      </c>
      <c r="BA341" s="151">
        <v>-4.0000000000000001E-3</v>
      </c>
    </row>
    <row r="342" spans="19:53">
      <c r="S342" s="749" t="s">
        <v>3474</v>
      </c>
      <c r="T342" s="151">
        <v>-4.0000000000000001E-3</v>
      </c>
      <c r="U342" s="1" t="s">
        <v>1855</v>
      </c>
      <c r="V342" s="151">
        <v>-4.0000000000000001E-3</v>
      </c>
      <c r="W342" s="1" t="s">
        <v>1859</v>
      </c>
      <c r="X342" s="151">
        <v>-4.0000000000000001E-3</v>
      </c>
      <c r="Y342" s="749" t="s">
        <v>3511</v>
      </c>
      <c r="Z342" s="151">
        <v>-4.0000000000000001E-3</v>
      </c>
      <c r="AA342" s="749" t="s">
        <v>3192</v>
      </c>
      <c r="AB342" s="151">
        <v>-4.0000000000000001E-3</v>
      </c>
      <c r="AC342" s="1" t="s">
        <v>3241</v>
      </c>
      <c r="AD342" s="151">
        <v>-4.0000000000000001E-3</v>
      </c>
      <c r="AE342" s="1" t="s">
        <v>3481</v>
      </c>
      <c r="AF342" s="151">
        <v>-4.0000000000000002E-4</v>
      </c>
      <c r="AG342" s="1" t="s">
        <v>3476</v>
      </c>
      <c r="AH342" s="151">
        <v>-4.0000000000000001E-3</v>
      </c>
      <c r="AI342" s="749" t="s">
        <v>3199</v>
      </c>
      <c r="AJ342" s="151">
        <v>-4.0000000000000001E-3</v>
      </c>
      <c r="AK342" s="1" t="s">
        <v>1856</v>
      </c>
      <c r="AL342" s="151">
        <v>-4.0000000000000001E-3</v>
      </c>
      <c r="AM342" s="1" t="s">
        <v>1856</v>
      </c>
      <c r="AN342" s="151">
        <v>-4.0000000000000001E-3</v>
      </c>
      <c r="AO342" s="1" t="s">
        <v>1856</v>
      </c>
      <c r="AP342" s="151">
        <v>-4.0000000000000001E-3</v>
      </c>
      <c r="AQ342" s="749" t="s">
        <v>3199</v>
      </c>
      <c r="AR342" s="151">
        <v>-4.0000000000000001E-3</v>
      </c>
      <c r="AS342" s="1" t="s">
        <v>503</v>
      </c>
      <c r="AT342" s="4">
        <v>-4.0000000000000002E-4</v>
      </c>
      <c r="AU342" s="1" t="s">
        <v>3237</v>
      </c>
      <c r="AV342" s="151">
        <v>-4.0000000000000001E-3</v>
      </c>
      <c r="AW342" s="1" t="s">
        <v>3356</v>
      </c>
      <c r="AX342" s="151">
        <v>-4.0000000000000002E-4</v>
      </c>
      <c r="AY342" s="749" t="s">
        <v>3263</v>
      </c>
      <c r="AZ342" s="749" t="s">
        <v>3195</v>
      </c>
      <c r="BA342" s="151">
        <v>-4.0000000000000001E-3</v>
      </c>
    </row>
    <row r="343" spans="19:53">
      <c r="S343" s="1" t="s">
        <v>1855</v>
      </c>
      <c r="T343" s="151">
        <v>-4.0000000000000001E-3</v>
      </c>
      <c r="U343" s="7" t="s">
        <v>1855</v>
      </c>
      <c r="V343" s="151">
        <v>-4.0000000000000001E-3</v>
      </c>
      <c r="W343" s="1" t="s">
        <v>3202</v>
      </c>
      <c r="X343" s="151">
        <v>-4.0000000000000001E-3</v>
      </c>
      <c r="Y343" s="491" t="s">
        <v>3512</v>
      </c>
      <c r="Z343" s="151">
        <v>-4.0000000000000001E-3</v>
      </c>
      <c r="AA343" s="749" t="s">
        <v>3195</v>
      </c>
      <c r="AB343" s="151">
        <v>-4.0000000000000001E-3</v>
      </c>
      <c r="AC343" s="1" t="s">
        <v>3236</v>
      </c>
      <c r="AD343" s="151">
        <v>-4.0000000000000001E-3</v>
      </c>
      <c r="AE343" s="1" t="s">
        <v>1898</v>
      </c>
      <c r="AF343" s="237">
        <v>-4.0000000000000002E-4</v>
      </c>
      <c r="AG343" s="1" t="s">
        <v>3477</v>
      </c>
      <c r="AH343" s="151">
        <v>-4.0000000000000001E-3</v>
      </c>
      <c r="AI343" s="749" t="s">
        <v>3474</v>
      </c>
      <c r="AJ343" s="151">
        <v>-4.0000000000000001E-3</v>
      </c>
      <c r="AK343" s="1" t="s">
        <v>3201</v>
      </c>
      <c r="AL343" s="151">
        <v>-4.0000000000000001E-3</v>
      </c>
      <c r="AM343" s="1" t="s">
        <v>3201</v>
      </c>
      <c r="AN343" s="151">
        <v>-4.0000000000000001E-3</v>
      </c>
      <c r="AO343" s="1" t="s">
        <v>3201</v>
      </c>
      <c r="AP343" s="151">
        <v>-4.0000000000000001E-3</v>
      </c>
      <c r="AQ343" s="749" t="s">
        <v>3474</v>
      </c>
      <c r="AR343" s="151">
        <v>-4.0000000000000001E-3</v>
      </c>
      <c r="AS343" s="1" t="s">
        <v>3355</v>
      </c>
      <c r="AT343" s="151">
        <v>-4.0000000000000002E-4</v>
      </c>
      <c r="AU343" s="1" t="s">
        <v>1880</v>
      </c>
      <c r="AV343" s="151">
        <v>-4.0000000000000001E-3</v>
      </c>
      <c r="AW343" s="749" t="s">
        <v>510</v>
      </c>
      <c r="AX343" s="151">
        <v>-4.0000000000000002E-4</v>
      </c>
      <c r="AY343" s="749" t="s">
        <v>3383</v>
      </c>
      <c r="AZ343" s="749" t="s">
        <v>3511</v>
      </c>
      <c r="BA343" s="151">
        <v>-4.0000000000000001E-3</v>
      </c>
    </row>
    <row r="344" spans="19:53">
      <c r="S344" s="7" t="s">
        <v>1855</v>
      </c>
      <c r="T344" s="151">
        <v>-4.0000000000000001E-3</v>
      </c>
      <c r="U344" s="1" t="s">
        <v>1856</v>
      </c>
      <c r="V344" s="151">
        <v>-4.0000000000000001E-3</v>
      </c>
      <c r="W344" s="1" t="s">
        <v>3472</v>
      </c>
      <c r="X344" s="151">
        <v>-4.0000000000000001E-3</v>
      </c>
      <c r="Y344" s="1" t="s">
        <v>3198</v>
      </c>
      <c r="Z344" s="151">
        <v>-4.0000000000000001E-3</v>
      </c>
      <c r="AA344" s="749" t="s">
        <v>3511</v>
      </c>
      <c r="AB344" s="151">
        <v>-4.0000000000000001E-3</v>
      </c>
      <c r="AC344" s="1" t="s">
        <v>3243</v>
      </c>
      <c r="AD344" s="151">
        <v>-4.0000000000000001E-3</v>
      </c>
      <c r="AE344" s="1" t="s">
        <v>3335</v>
      </c>
      <c r="AF344" s="151">
        <v>-4.0000000000000002E-4</v>
      </c>
      <c r="AG344" s="1" t="s">
        <v>2261</v>
      </c>
      <c r="AH344" s="151">
        <v>-4.0000000000000001E-3</v>
      </c>
      <c r="AI344" s="1" t="s">
        <v>1855</v>
      </c>
      <c r="AJ344" s="151">
        <v>-4.0000000000000001E-3</v>
      </c>
      <c r="AK344" s="1" t="s">
        <v>1859</v>
      </c>
      <c r="AL344" s="151">
        <v>-4.0000000000000001E-3</v>
      </c>
      <c r="AM344" s="1" t="s">
        <v>1859</v>
      </c>
      <c r="AN344" s="151">
        <v>-4.0000000000000001E-3</v>
      </c>
      <c r="AO344" s="1" t="s">
        <v>1859</v>
      </c>
      <c r="AP344" s="151">
        <v>-4.0000000000000001E-3</v>
      </c>
      <c r="AQ344" s="1" t="s">
        <v>1855</v>
      </c>
      <c r="AR344" s="151">
        <v>-4.0000000000000001E-3</v>
      </c>
      <c r="AS344" s="1" t="s">
        <v>3336</v>
      </c>
      <c r="AT344" s="151">
        <v>-4.0000000000000002E-4</v>
      </c>
      <c r="AU344" s="1" t="s">
        <v>3476</v>
      </c>
      <c r="AV344" s="151">
        <v>-4.0000000000000001E-3</v>
      </c>
      <c r="AW344" s="749" t="s">
        <v>3337</v>
      </c>
      <c r="AX344" s="151">
        <v>-4.0000000000000002E-4</v>
      </c>
      <c r="AY344" s="749" t="s">
        <v>3264</v>
      </c>
      <c r="AZ344" s="491" t="s">
        <v>3512</v>
      </c>
      <c r="BA344" s="151">
        <v>-4.0000000000000001E-3</v>
      </c>
    </row>
    <row r="345" spans="19:53">
      <c r="S345" s="1" t="s">
        <v>1856</v>
      </c>
      <c r="T345" s="151">
        <v>-4.0000000000000001E-3</v>
      </c>
      <c r="U345" s="1" t="s">
        <v>3201</v>
      </c>
      <c r="V345" s="151">
        <v>-4.0000000000000001E-3</v>
      </c>
      <c r="W345" s="1" t="s">
        <v>3203</v>
      </c>
      <c r="X345" s="4">
        <v>-4.0000000000000001E-3</v>
      </c>
      <c r="Y345" s="749" t="s">
        <v>3199</v>
      </c>
      <c r="Z345" s="151">
        <v>-4.0000000000000001E-3</v>
      </c>
      <c r="AA345" s="491" t="s">
        <v>3512</v>
      </c>
      <c r="AB345" s="151">
        <v>-4.0000000000000001E-3</v>
      </c>
      <c r="AC345" s="1" t="s">
        <v>3244</v>
      </c>
      <c r="AD345" s="151">
        <v>-4.0000000000000001E-3</v>
      </c>
      <c r="AE345" s="1" t="s">
        <v>3394</v>
      </c>
      <c r="AF345" s="151">
        <v>-4.0000000000000002E-4</v>
      </c>
      <c r="AG345" s="1310" t="s">
        <v>3344</v>
      </c>
      <c r="AH345" s="151">
        <v>-4.0000000000000001E-3</v>
      </c>
      <c r="AI345" s="7" t="s">
        <v>1855</v>
      </c>
      <c r="AJ345" s="151">
        <v>-4.0000000000000001E-3</v>
      </c>
      <c r="AK345" s="1" t="s">
        <v>3202</v>
      </c>
      <c r="AL345" s="151">
        <v>-4.0000000000000001E-3</v>
      </c>
      <c r="AM345" s="1" t="s">
        <v>3202</v>
      </c>
      <c r="AN345" s="151">
        <v>-4.0000000000000001E-3</v>
      </c>
      <c r="AO345" s="1" t="s">
        <v>3202</v>
      </c>
      <c r="AP345" s="151">
        <v>-4.0000000000000001E-3</v>
      </c>
      <c r="AQ345" s="7" t="s">
        <v>1855</v>
      </c>
      <c r="AR345" s="151">
        <v>-4.0000000000000001E-3</v>
      </c>
      <c r="AS345" s="1" t="s">
        <v>3356</v>
      </c>
      <c r="AT345" s="151">
        <v>-4.0000000000000002E-4</v>
      </c>
      <c r="AU345" s="1" t="s">
        <v>3477</v>
      </c>
      <c r="AV345" s="151">
        <v>-4.0000000000000001E-3</v>
      </c>
      <c r="AW345" s="8" t="s">
        <v>3340</v>
      </c>
      <c r="AX345" s="151">
        <v>-4.0000000000000002E-4</v>
      </c>
      <c r="AY345" s="749" t="s">
        <v>3265</v>
      </c>
      <c r="AZ345" s="1" t="s">
        <v>3198</v>
      </c>
      <c r="BA345" s="151">
        <v>-4.0000000000000001E-3</v>
      </c>
    </row>
    <row r="346" spans="19:53">
      <c r="S346" s="1" t="s">
        <v>3201</v>
      </c>
      <c r="T346" s="151">
        <v>-4.0000000000000001E-3</v>
      </c>
      <c r="U346" s="1" t="s">
        <v>1859</v>
      </c>
      <c r="V346" s="151">
        <v>-4.0000000000000001E-3</v>
      </c>
      <c r="W346" s="1" t="s">
        <v>3243</v>
      </c>
      <c r="X346" s="151">
        <v>-4.0000000000000001E-3</v>
      </c>
      <c r="Y346" s="749" t="s">
        <v>3474</v>
      </c>
      <c r="Z346" s="151">
        <v>-4.0000000000000001E-3</v>
      </c>
      <c r="AA346" s="1" t="s">
        <v>3198</v>
      </c>
      <c r="AB346" s="151">
        <v>-4.0000000000000001E-3</v>
      </c>
      <c r="AC346" s="1" t="s">
        <v>1880</v>
      </c>
      <c r="AD346" s="151">
        <v>-4.0000000000000001E-3</v>
      </c>
      <c r="AE346" s="1" t="s">
        <v>3480</v>
      </c>
      <c r="AF346" s="151">
        <v>-4.0000000000000002E-4</v>
      </c>
      <c r="AG346" s="1" t="s">
        <v>484</v>
      </c>
      <c r="AH346" s="151">
        <v>-4.0000000000000001E-3</v>
      </c>
      <c r="AI346" s="1" t="s">
        <v>1856</v>
      </c>
      <c r="AJ346" s="151">
        <v>-4.0000000000000001E-3</v>
      </c>
      <c r="AK346" s="1" t="s">
        <v>3472</v>
      </c>
      <c r="AL346" s="151">
        <v>-4.0000000000000001E-3</v>
      </c>
      <c r="AM346" s="1" t="s">
        <v>3472</v>
      </c>
      <c r="AN346" s="151">
        <v>-4.0000000000000001E-3</v>
      </c>
      <c r="AO346" s="1" t="s">
        <v>3472</v>
      </c>
      <c r="AP346" s="151">
        <v>-4.0000000000000001E-3</v>
      </c>
      <c r="AQ346" s="1" t="s">
        <v>1856</v>
      </c>
      <c r="AR346" s="151">
        <v>-4.0000000000000001E-3</v>
      </c>
      <c r="AS346" s="749" t="s">
        <v>510</v>
      </c>
      <c r="AT346" s="151">
        <v>-4.0000000000000002E-4</v>
      </c>
      <c r="AU346" s="1" t="s">
        <v>2261</v>
      </c>
      <c r="AV346" s="151">
        <v>-4.0000000000000001E-3</v>
      </c>
      <c r="AW346" s="8" t="s">
        <v>3341</v>
      </c>
      <c r="AX346" s="151">
        <v>-4.0000000000000002E-4</v>
      </c>
      <c r="AY346" s="749" t="s">
        <v>3266</v>
      </c>
      <c r="AZ346" s="749" t="s">
        <v>3199</v>
      </c>
      <c r="BA346" s="151">
        <v>-4.0000000000000001E-3</v>
      </c>
    </row>
    <row r="347" spans="19:53">
      <c r="S347" s="1" t="s">
        <v>1859</v>
      </c>
      <c r="T347" s="151">
        <v>-4.0000000000000001E-3</v>
      </c>
      <c r="U347" s="1" t="s">
        <v>3202</v>
      </c>
      <c r="V347" s="151">
        <v>-4.0000000000000001E-3</v>
      </c>
      <c r="W347" s="1" t="s">
        <v>1880</v>
      </c>
      <c r="X347" s="151">
        <v>-4.0000000000000001E-3</v>
      </c>
      <c r="Y347" s="1" t="s">
        <v>1855</v>
      </c>
      <c r="Z347" s="151">
        <v>-4.0000000000000001E-3</v>
      </c>
      <c r="AA347" s="749" t="s">
        <v>3199</v>
      </c>
      <c r="AB347" s="151">
        <v>-4.0000000000000001E-3</v>
      </c>
      <c r="AC347" s="1" t="s">
        <v>3476</v>
      </c>
      <c r="AD347" s="151">
        <v>-4.0000000000000001E-3</v>
      </c>
      <c r="AE347" s="1" t="s">
        <v>3353</v>
      </c>
      <c r="AF347" s="151">
        <v>-4.0000000000000002E-4</v>
      </c>
      <c r="AG347" s="749" t="s">
        <v>3325</v>
      </c>
      <c r="AH347" s="151">
        <v>-4.0000000000000001E-3</v>
      </c>
      <c r="AI347" s="1" t="s">
        <v>3201</v>
      </c>
      <c r="AJ347" s="151">
        <v>-4.0000000000000001E-3</v>
      </c>
      <c r="AK347" s="1" t="s">
        <v>3203</v>
      </c>
      <c r="AL347" s="4">
        <v>-4.0000000000000001E-3</v>
      </c>
      <c r="AM347" s="1" t="s">
        <v>3203</v>
      </c>
      <c r="AN347" s="4">
        <v>-4.0000000000000001E-3</v>
      </c>
      <c r="AO347" s="1" t="s">
        <v>3203</v>
      </c>
      <c r="AP347" s="4">
        <v>-4.0000000000000001E-3</v>
      </c>
      <c r="AQ347" s="1" t="s">
        <v>3201</v>
      </c>
      <c r="AR347" s="151">
        <v>-4.0000000000000001E-3</v>
      </c>
      <c r="AS347" s="749" t="s">
        <v>3337</v>
      </c>
      <c r="AT347" s="151">
        <v>-4.0000000000000002E-4</v>
      </c>
      <c r="AU347" s="1310" t="s">
        <v>3344</v>
      </c>
      <c r="AV347" s="151">
        <v>-4.0000000000000001E-3</v>
      </c>
      <c r="AW347" s="749" t="s">
        <v>3357</v>
      </c>
      <c r="AX347" s="151">
        <v>-4.0000000000000002E-4</v>
      </c>
      <c r="AY347" s="749" t="s">
        <v>3372</v>
      </c>
      <c r="AZ347" s="749" t="s">
        <v>3474</v>
      </c>
      <c r="BA347" s="151">
        <v>-4.0000000000000001E-3</v>
      </c>
    </row>
    <row r="348" spans="19:53">
      <c r="S348" s="1" t="s">
        <v>3202</v>
      </c>
      <c r="T348" s="151">
        <v>-4.0000000000000001E-3</v>
      </c>
      <c r="U348" s="1" t="s">
        <v>3472</v>
      </c>
      <c r="V348" s="151">
        <v>-4.0000000000000001E-3</v>
      </c>
      <c r="W348" s="1" t="s">
        <v>3476</v>
      </c>
      <c r="X348" s="151">
        <v>-4.0000000000000001E-3</v>
      </c>
      <c r="Y348" s="7" t="s">
        <v>1855</v>
      </c>
      <c r="Z348" s="151">
        <v>-4.0000000000000001E-3</v>
      </c>
      <c r="AA348" s="749" t="s">
        <v>3474</v>
      </c>
      <c r="AB348" s="151">
        <v>-4.0000000000000001E-3</v>
      </c>
      <c r="AC348" s="1" t="s">
        <v>3477</v>
      </c>
      <c r="AD348" s="151">
        <v>-4.0000000000000001E-3</v>
      </c>
      <c r="AE348" s="749" t="s">
        <v>3354</v>
      </c>
      <c r="AF348" s="151">
        <v>-4.0000000000000002E-4</v>
      </c>
      <c r="AG348" s="1" t="s">
        <v>1881</v>
      </c>
      <c r="AH348" s="151">
        <v>-4.0000000000000001E-3</v>
      </c>
      <c r="AI348" s="1" t="s">
        <v>1859</v>
      </c>
      <c r="AJ348" s="151">
        <v>-4.0000000000000001E-3</v>
      </c>
      <c r="AK348" s="1" t="s">
        <v>3240</v>
      </c>
      <c r="AL348" s="151">
        <v>-4.0000000000000001E-3</v>
      </c>
      <c r="AM348" s="1" t="s">
        <v>3240</v>
      </c>
      <c r="AN348" s="151">
        <v>-4.0000000000000001E-3</v>
      </c>
      <c r="AO348" s="1" t="s">
        <v>3240</v>
      </c>
      <c r="AP348" s="151">
        <v>-4.0000000000000001E-3</v>
      </c>
      <c r="AQ348" s="1" t="s">
        <v>1859</v>
      </c>
      <c r="AR348" s="151">
        <v>-4.0000000000000001E-3</v>
      </c>
      <c r="AS348" s="8" t="s">
        <v>3340</v>
      </c>
      <c r="AT348" s="151">
        <v>-4.0000000000000002E-4</v>
      </c>
      <c r="AU348" s="1" t="s">
        <v>484</v>
      </c>
      <c r="AV348" s="151">
        <v>-4.0000000000000001E-3</v>
      </c>
      <c r="AW348" s="82" t="s">
        <v>1907</v>
      </c>
      <c r="AX348" s="151">
        <v>-4.0000000000000002E-4</v>
      </c>
      <c r="AY348" s="749" t="s">
        <v>3399</v>
      </c>
      <c r="AZ348" s="1" t="s">
        <v>1855</v>
      </c>
      <c r="BA348" s="151">
        <v>-4.0000000000000001E-3</v>
      </c>
    </row>
    <row r="349" spans="19:53">
      <c r="S349" s="1" t="s">
        <v>3472</v>
      </c>
      <c r="T349" s="151">
        <v>-4.0000000000000001E-3</v>
      </c>
      <c r="U349" s="1" t="s">
        <v>3203</v>
      </c>
      <c r="V349" s="4">
        <v>-4.0000000000000001E-3</v>
      </c>
      <c r="W349" s="1" t="s">
        <v>3477</v>
      </c>
      <c r="X349" s="151">
        <v>-4.0000000000000001E-3</v>
      </c>
      <c r="Y349" s="1" t="s">
        <v>1856</v>
      </c>
      <c r="Z349" s="151">
        <v>-4.0000000000000001E-3</v>
      </c>
      <c r="AA349" s="1" t="s">
        <v>1855</v>
      </c>
      <c r="AB349" s="151">
        <v>-4.0000000000000001E-3</v>
      </c>
      <c r="AC349" s="1" t="s">
        <v>2261</v>
      </c>
      <c r="AD349" s="151">
        <v>-4.0000000000000001E-3</v>
      </c>
      <c r="AE349" s="1" t="s">
        <v>3355</v>
      </c>
      <c r="AF349" s="151">
        <v>-4.0000000000000002E-4</v>
      </c>
      <c r="AG349" s="1310" t="s">
        <v>3326</v>
      </c>
      <c r="AH349" s="151">
        <v>-4.0000000000000001E-3</v>
      </c>
      <c r="AI349" s="1" t="s">
        <v>3202</v>
      </c>
      <c r="AJ349" s="151">
        <v>-4.0000000000000001E-3</v>
      </c>
      <c r="AK349" s="1" t="s">
        <v>3241</v>
      </c>
      <c r="AL349" s="151">
        <v>-4.0000000000000001E-3</v>
      </c>
      <c r="AM349" s="1" t="s">
        <v>3241</v>
      </c>
      <c r="AN349" s="151">
        <v>-4.0000000000000001E-3</v>
      </c>
      <c r="AO349" s="1" t="s">
        <v>3241</v>
      </c>
      <c r="AP349" s="151">
        <v>-4.0000000000000001E-3</v>
      </c>
      <c r="AQ349" s="1" t="s">
        <v>3202</v>
      </c>
      <c r="AR349" s="151">
        <v>-4.0000000000000001E-3</v>
      </c>
      <c r="AS349" s="8" t="s">
        <v>3341</v>
      </c>
      <c r="AT349" s="151">
        <v>-4.0000000000000002E-4</v>
      </c>
      <c r="AU349" s="749" t="s">
        <v>3325</v>
      </c>
      <c r="AV349" s="151">
        <v>-4.0000000000000001E-3</v>
      </c>
      <c r="AW349" s="82" t="s">
        <v>3361</v>
      </c>
      <c r="AX349" s="151">
        <v>-4.0000000000000002E-4</v>
      </c>
      <c r="AY349" s="749" t="s">
        <v>3267</v>
      </c>
      <c r="AZ349" s="7" t="s">
        <v>1855</v>
      </c>
      <c r="BA349" s="151">
        <v>-4.0000000000000001E-3</v>
      </c>
    </row>
    <row r="350" spans="19:53">
      <c r="S350" s="1" t="s">
        <v>3203</v>
      </c>
      <c r="T350" s="4">
        <v>-4.0000000000000001E-3</v>
      </c>
      <c r="U350" s="1" t="s">
        <v>3243</v>
      </c>
      <c r="V350" s="151">
        <v>-4.0000000000000001E-3</v>
      </c>
      <c r="W350" s="1" t="s">
        <v>2261</v>
      </c>
      <c r="X350" s="151">
        <v>-4.0000000000000001E-3</v>
      </c>
      <c r="Y350" s="1" t="s">
        <v>3201</v>
      </c>
      <c r="Z350" s="151">
        <v>-4.0000000000000001E-3</v>
      </c>
      <c r="AA350" s="7" t="s">
        <v>1855</v>
      </c>
      <c r="AB350" s="151">
        <v>-4.0000000000000001E-3</v>
      </c>
      <c r="AC350" s="1310" t="s">
        <v>3344</v>
      </c>
      <c r="AD350" s="151">
        <v>-4.0000000000000001E-3</v>
      </c>
      <c r="AE350" s="1" t="s">
        <v>3336</v>
      </c>
      <c r="AF350" s="151">
        <v>-4.0000000000000002E-4</v>
      </c>
      <c r="AG350" s="1310" t="s">
        <v>3328</v>
      </c>
      <c r="AH350" s="151">
        <v>-4.0000000000000001E-3</v>
      </c>
      <c r="AI350" s="1" t="s">
        <v>3472</v>
      </c>
      <c r="AJ350" s="151">
        <v>-4.0000000000000001E-3</v>
      </c>
      <c r="AK350" s="1" t="s">
        <v>3236</v>
      </c>
      <c r="AL350" s="151">
        <v>-4.0000000000000001E-3</v>
      </c>
      <c r="AM350" s="1" t="s">
        <v>3236</v>
      </c>
      <c r="AN350" s="151">
        <v>-4.0000000000000001E-3</v>
      </c>
      <c r="AO350" s="1" t="s">
        <v>3236</v>
      </c>
      <c r="AP350" s="151">
        <v>-4.0000000000000001E-3</v>
      </c>
      <c r="AQ350" s="1" t="s">
        <v>3472</v>
      </c>
      <c r="AR350" s="151">
        <v>-4.0000000000000001E-3</v>
      </c>
      <c r="AS350" s="749" t="s">
        <v>3357</v>
      </c>
      <c r="AT350" s="151">
        <v>-4.0000000000000002E-4</v>
      </c>
      <c r="AU350" s="1" t="s">
        <v>1881</v>
      </c>
      <c r="AV350" s="151">
        <v>-4.0000000000000001E-3</v>
      </c>
      <c r="AW350" s="1" t="s">
        <v>3363</v>
      </c>
      <c r="AX350" s="151">
        <v>-4.0000000000000002E-4</v>
      </c>
      <c r="AY350" s="1" t="s">
        <v>3247</v>
      </c>
      <c r="AZ350" s="1" t="s">
        <v>1856</v>
      </c>
      <c r="BA350" s="151">
        <v>-4.0000000000000001E-3</v>
      </c>
    </row>
    <row r="351" spans="19:53">
      <c r="S351" s="1" t="s">
        <v>3243</v>
      </c>
      <c r="T351" s="151">
        <v>-4.0000000000000001E-3</v>
      </c>
      <c r="U351" s="1" t="s">
        <v>1880</v>
      </c>
      <c r="V351" s="151">
        <v>-4.0000000000000001E-3</v>
      </c>
      <c r="W351" s="1310" t="s">
        <v>3344</v>
      </c>
      <c r="X351" s="151">
        <v>-4.0000000000000001E-3</v>
      </c>
      <c r="Y351" s="1" t="s">
        <v>1859</v>
      </c>
      <c r="Z351" s="151">
        <v>-4.0000000000000001E-3</v>
      </c>
      <c r="AA351" s="1" t="s">
        <v>1856</v>
      </c>
      <c r="AB351" s="151">
        <v>-4.0000000000000001E-3</v>
      </c>
      <c r="AC351" s="1" t="s">
        <v>484</v>
      </c>
      <c r="AD351" s="151">
        <v>-4.0000000000000001E-3</v>
      </c>
      <c r="AE351" s="1" t="s">
        <v>134</v>
      </c>
      <c r="AF351" s="151">
        <v>-4.0000000000000002E-4</v>
      </c>
      <c r="AG351" s="749" t="s">
        <v>3345</v>
      </c>
      <c r="AH351" s="151">
        <v>-4.0000000000000001E-3</v>
      </c>
      <c r="AI351" s="1" t="s">
        <v>3203</v>
      </c>
      <c r="AJ351" s="4">
        <v>-4.0000000000000001E-3</v>
      </c>
      <c r="AK351" s="1" t="s">
        <v>3243</v>
      </c>
      <c r="AL351" s="151">
        <v>-4.0000000000000001E-3</v>
      </c>
      <c r="AM351" s="1" t="s">
        <v>3243</v>
      </c>
      <c r="AN351" s="151">
        <v>-4.0000000000000001E-3</v>
      </c>
      <c r="AO351" s="1" t="s">
        <v>3243</v>
      </c>
      <c r="AP351" s="151">
        <v>-4.0000000000000001E-3</v>
      </c>
      <c r="AQ351" s="1" t="s">
        <v>3203</v>
      </c>
      <c r="AR351" s="4">
        <v>-4.0000000000000001E-3</v>
      </c>
      <c r="AS351" s="82" t="s">
        <v>1907</v>
      </c>
      <c r="AT351" s="151">
        <v>-4.0000000000000002E-4</v>
      </c>
      <c r="AU351" s="1310" t="s">
        <v>3326</v>
      </c>
      <c r="AV351" s="151">
        <v>-4.0000000000000001E-3</v>
      </c>
      <c r="AW351" s="1" t="s">
        <v>3364</v>
      </c>
      <c r="AX351" s="151">
        <v>-4.0000000000000002E-4</v>
      </c>
      <c r="AY351" s="1" t="s">
        <v>3268</v>
      </c>
      <c r="AZ351" s="1" t="s">
        <v>3201</v>
      </c>
      <c r="BA351" s="151">
        <v>-4.0000000000000001E-3</v>
      </c>
    </row>
    <row r="352" spans="19:53">
      <c r="S352" s="1" t="s">
        <v>1880</v>
      </c>
      <c r="T352" s="151">
        <v>-4.0000000000000001E-3</v>
      </c>
      <c r="U352" s="1" t="s">
        <v>3476</v>
      </c>
      <c r="V352" s="151">
        <v>-4.0000000000000001E-3</v>
      </c>
      <c r="W352" s="1" t="s">
        <v>484</v>
      </c>
      <c r="X352" s="151">
        <v>-4.0000000000000001E-3</v>
      </c>
      <c r="Y352" s="1" t="s">
        <v>3202</v>
      </c>
      <c r="Z352" s="151">
        <v>-4.0000000000000001E-3</v>
      </c>
      <c r="AA352" s="1" t="s">
        <v>3201</v>
      </c>
      <c r="AB352" s="151">
        <v>-4.0000000000000001E-3</v>
      </c>
      <c r="AC352" s="749" t="s">
        <v>3325</v>
      </c>
      <c r="AD352" s="151">
        <v>-4.0000000000000001E-3</v>
      </c>
      <c r="AE352" s="1" t="s">
        <v>3356</v>
      </c>
      <c r="AF352" s="151">
        <v>-4.0000000000000002E-4</v>
      </c>
      <c r="AG352" s="749" t="s">
        <v>3346</v>
      </c>
      <c r="AH352" s="151">
        <v>-4.0000000000000001E-3</v>
      </c>
      <c r="AI352" s="1" t="s">
        <v>3240</v>
      </c>
      <c r="AJ352" s="151">
        <v>-4.0000000000000001E-3</v>
      </c>
      <c r="AK352" s="1" t="s">
        <v>3244</v>
      </c>
      <c r="AL352" s="151">
        <v>-4.0000000000000001E-3</v>
      </c>
      <c r="AM352" s="1" t="s">
        <v>3244</v>
      </c>
      <c r="AN352" s="151">
        <v>-4.0000000000000001E-3</v>
      </c>
      <c r="AO352" s="1" t="s">
        <v>3244</v>
      </c>
      <c r="AP352" s="151">
        <v>-4.0000000000000001E-3</v>
      </c>
      <c r="AQ352" s="1" t="s">
        <v>3243</v>
      </c>
      <c r="AR352" s="151">
        <v>-4.0000000000000001E-3</v>
      </c>
      <c r="AS352" s="1" t="s">
        <v>3363</v>
      </c>
      <c r="AT352" s="151">
        <v>-4.0000000000000002E-4</v>
      </c>
      <c r="AU352" s="749" t="s">
        <v>3345</v>
      </c>
      <c r="AV352" s="151">
        <v>-4.0000000000000001E-3</v>
      </c>
      <c r="AW352" s="53" t="s">
        <v>3488</v>
      </c>
      <c r="AX352" s="151">
        <v>-4.0000000000000002E-4</v>
      </c>
      <c r="AY352" s="1310" t="s">
        <v>3248</v>
      </c>
      <c r="AZ352" s="1" t="s">
        <v>1859</v>
      </c>
      <c r="BA352" s="151">
        <v>-4.0000000000000001E-3</v>
      </c>
    </row>
    <row r="353" spans="19:53">
      <c r="S353" s="1" t="s">
        <v>3476</v>
      </c>
      <c r="T353" s="151">
        <v>-4.0000000000000001E-3</v>
      </c>
      <c r="U353" s="1" t="s">
        <v>3477</v>
      </c>
      <c r="V353" s="151">
        <v>-4.0000000000000001E-3</v>
      </c>
      <c r="W353" s="749" t="s">
        <v>3325</v>
      </c>
      <c r="X353" s="151">
        <v>-4.0000000000000001E-3</v>
      </c>
      <c r="Y353" s="1" t="s">
        <v>3472</v>
      </c>
      <c r="Z353" s="151">
        <v>-4.0000000000000001E-3</v>
      </c>
      <c r="AA353" s="1" t="s">
        <v>1859</v>
      </c>
      <c r="AB353" s="151">
        <v>-4.0000000000000001E-3</v>
      </c>
      <c r="AC353" s="1" t="s">
        <v>1881</v>
      </c>
      <c r="AD353" s="151">
        <v>-4.0000000000000001E-3</v>
      </c>
      <c r="AE353" s="749" t="s">
        <v>510</v>
      </c>
      <c r="AF353" s="151">
        <v>-4.0000000000000002E-4</v>
      </c>
      <c r="AG353" s="1" t="s">
        <v>1885</v>
      </c>
      <c r="AH353" s="151">
        <v>-4.0000000000000001E-3</v>
      </c>
      <c r="AI353" s="1" t="s">
        <v>3241</v>
      </c>
      <c r="AJ353" s="151">
        <v>-4.0000000000000001E-3</v>
      </c>
      <c r="AK353" s="1" t="s">
        <v>1880</v>
      </c>
      <c r="AL353" s="151">
        <v>-4.0000000000000001E-3</v>
      </c>
      <c r="AM353" s="1" t="s">
        <v>1880</v>
      </c>
      <c r="AN353" s="151">
        <v>-4.0000000000000001E-3</v>
      </c>
      <c r="AO353" s="1" t="s">
        <v>1880</v>
      </c>
      <c r="AP353" s="151">
        <v>-4.0000000000000001E-3</v>
      </c>
      <c r="AQ353" s="1" t="s">
        <v>1880</v>
      </c>
      <c r="AR353" s="151">
        <v>-4.0000000000000001E-3</v>
      </c>
      <c r="AS353" s="1" t="s">
        <v>3364</v>
      </c>
      <c r="AT353" s="151">
        <v>-4.0000000000000002E-4</v>
      </c>
      <c r="AU353" s="749" t="s">
        <v>3346</v>
      </c>
      <c r="AV353" s="151">
        <v>-4.0000000000000001E-3</v>
      </c>
      <c r="AW353" s="1" t="s">
        <v>3260</v>
      </c>
      <c r="AX353" s="151">
        <v>-4.0000000000000002E-4</v>
      </c>
      <c r="AY353" s="749" t="s">
        <v>3269</v>
      </c>
      <c r="AZ353" s="1" t="s">
        <v>3202</v>
      </c>
      <c r="BA353" s="151">
        <v>-4.0000000000000001E-3</v>
      </c>
    </row>
    <row r="354" spans="19:53">
      <c r="S354" s="1" t="s">
        <v>3477</v>
      </c>
      <c r="T354" s="151">
        <v>-4.0000000000000001E-3</v>
      </c>
      <c r="U354" s="1" t="s">
        <v>2261</v>
      </c>
      <c r="V354" s="151">
        <v>-4.0000000000000001E-3</v>
      </c>
      <c r="W354" s="1" t="s">
        <v>1881</v>
      </c>
      <c r="X354" s="151">
        <v>-4.0000000000000001E-3</v>
      </c>
      <c r="Y354" s="1" t="s">
        <v>3203</v>
      </c>
      <c r="Z354" s="4">
        <v>-4.0000000000000001E-3</v>
      </c>
      <c r="AA354" s="1" t="s">
        <v>3202</v>
      </c>
      <c r="AB354" s="151">
        <v>-4.0000000000000001E-3</v>
      </c>
      <c r="AC354" s="1310" t="s">
        <v>3326</v>
      </c>
      <c r="AD354" s="151">
        <v>-4.0000000000000001E-3</v>
      </c>
      <c r="AE354" s="749" t="s">
        <v>3337</v>
      </c>
      <c r="AF354" s="151">
        <v>-4.0000000000000002E-4</v>
      </c>
      <c r="AG354" s="1" t="s">
        <v>510</v>
      </c>
      <c r="AH354" s="151">
        <v>-4.0000000000000001E-3</v>
      </c>
      <c r="AI354" s="1" t="s">
        <v>3236</v>
      </c>
      <c r="AJ354" s="151">
        <v>-4.0000000000000001E-3</v>
      </c>
      <c r="AK354" s="1" t="s">
        <v>3476</v>
      </c>
      <c r="AL354" s="151">
        <v>-4.0000000000000001E-3</v>
      </c>
      <c r="AM354" s="1" t="s">
        <v>3476</v>
      </c>
      <c r="AN354" s="151">
        <v>-4.0000000000000001E-3</v>
      </c>
      <c r="AO354" s="1" t="s">
        <v>3476</v>
      </c>
      <c r="AP354" s="151">
        <v>-4.0000000000000001E-3</v>
      </c>
      <c r="AQ354" s="1" t="s">
        <v>3476</v>
      </c>
      <c r="AR354" s="151">
        <v>-4.0000000000000001E-3</v>
      </c>
      <c r="AS354" s="53" t="s">
        <v>3488</v>
      </c>
      <c r="AT354" s="151">
        <v>-4.0000000000000002E-4</v>
      </c>
      <c r="AU354" s="1" t="s">
        <v>1885</v>
      </c>
      <c r="AV354" s="151">
        <v>-4.0000000000000001E-3</v>
      </c>
      <c r="AW354" s="1" t="s">
        <v>1936</v>
      </c>
      <c r="AX354" s="151">
        <v>-4.0000000000000002E-4</v>
      </c>
      <c r="AY354" s="749" t="s">
        <v>3373</v>
      </c>
      <c r="AZ354" s="1" t="s">
        <v>3472</v>
      </c>
      <c r="BA354" s="151">
        <v>-4.0000000000000001E-3</v>
      </c>
    </row>
    <row r="355" spans="19:53">
      <c r="S355" s="1" t="s">
        <v>2261</v>
      </c>
      <c r="T355" s="151">
        <v>-4.0000000000000001E-3</v>
      </c>
      <c r="U355" s="1310" t="s">
        <v>3344</v>
      </c>
      <c r="V355" s="151">
        <v>-4.0000000000000001E-3</v>
      </c>
      <c r="W355" s="1310" t="s">
        <v>3326</v>
      </c>
      <c r="X355" s="151">
        <v>-4.0000000000000001E-3</v>
      </c>
      <c r="Y355" s="1" t="s">
        <v>3243</v>
      </c>
      <c r="Z355" s="151">
        <v>-4.0000000000000001E-3</v>
      </c>
      <c r="AA355" s="1" t="s">
        <v>3472</v>
      </c>
      <c r="AB355" s="151">
        <v>-4.0000000000000001E-3</v>
      </c>
      <c r="AC355" s="1310" t="s">
        <v>3328</v>
      </c>
      <c r="AD355" s="151">
        <v>-4.0000000000000001E-3</v>
      </c>
      <c r="AE355" s="8" t="s">
        <v>3340</v>
      </c>
      <c r="AF355" s="151">
        <v>-4.0000000000000002E-4</v>
      </c>
      <c r="AG355" s="1" t="s">
        <v>3347</v>
      </c>
      <c r="AH355" s="151">
        <v>-4.0000000000000001E-3</v>
      </c>
      <c r="AI355" s="1" t="s">
        <v>3243</v>
      </c>
      <c r="AJ355" s="151">
        <v>-4.0000000000000001E-3</v>
      </c>
      <c r="AK355" s="1" t="s">
        <v>3477</v>
      </c>
      <c r="AL355" s="151">
        <v>-4.0000000000000001E-3</v>
      </c>
      <c r="AM355" s="1" t="s">
        <v>3477</v>
      </c>
      <c r="AN355" s="151">
        <v>-4.0000000000000001E-3</v>
      </c>
      <c r="AO355" s="1" t="s">
        <v>3477</v>
      </c>
      <c r="AP355" s="151">
        <v>-4.0000000000000001E-3</v>
      </c>
      <c r="AQ355" s="1" t="s">
        <v>3477</v>
      </c>
      <c r="AR355" s="151">
        <v>-4.0000000000000001E-3</v>
      </c>
      <c r="AS355" s="1" t="s">
        <v>3260</v>
      </c>
      <c r="AT355" s="151">
        <v>-4.0000000000000002E-4</v>
      </c>
      <c r="AU355" s="1" t="s">
        <v>510</v>
      </c>
      <c r="AV355" s="151">
        <v>-4.0000000000000001E-3</v>
      </c>
      <c r="AW355" s="1" t="s">
        <v>3379</v>
      </c>
      <c r="AX355" s="151">
        <v>-4.0000000000000002E-4</v>
      </c>
      <c r="AY355" s="1" t="s">
        <v>1924</v>
      </c>
      <c r="AZ355" s="1" t="s">
        <v>3203</v>
      </c>
      <c r="BA355" s="4">
        <v>-4.0000000000000001E-3</v>
      </c>
    </row>
    <row r="356" spans="19:53">
      <c r="S356" s="1310" t="s">
        <v>3344</v>
      </c>
      <c r="T356" s="151">
        <v>-4.0000000000000001E-3</v>
      </c>
      <c r="U356" s="1" t="s">
        <v>484</v>
      </c>
      <c r="V356" s="151">
        <v>-4.0000000000000001E-3</v>
      </c>
      <c r="W356" s="1310" t="s">
        <v>3328</v>
      </c>
      <c r="X356" s="151">
        <v>-4.0000000000000001E-3</v>
      </c>
      <c r="Y356" s="1" t="s">
        <v>1880</v>
      </c>
      <c r="Z356" s="151">
        <v>-4.0000000000000001E-3</v>
      </c>
      <c r="AA356" s="1" t="s">
        <v>3203</v>
      </c>
      <c r="AB356" s="4">
        <v>-4.0000000000000001E-3</v>
      </c>
      <c r="AC356" s="749" t="s">
        <v>3345</v>
      </c>
      <c r="AD356" s="151">
        <v>-4.0000000000000001E-3</v>
      </c>
      <c r="AE356" s="8" t="s">
        <v>3341</v>
      </c>
      <c r="AF356" s="151">
        <v>-4.0000000000000002E-4</v>
      </c>
      <c r="AG356" s="1" t="s">
        <v>3331</v>
      </c>
      <c r="AH356" s="151">
        <v>-4.0000000000000001E-3</v>
      </c>
      <c r="AI356" s="1" t="s">
        <v>3244</v>
      </c>
      <c r="AJ356" s="151">
        <v>-4.0000000000000001E-3</v>
      </c>
      <c r="AK356" s="1" t="s">
        <v>2261</v>
      </c>
      <c r="AL356" s="151">
        <v>-4.0000000000000001E-3</v>
      </c>
      <c r="AM356" s="1" t="s">
        <v>2261</v>
      </c>
      <c r="AN356" s="151">
        <v>-4.0000000000000001E-3</v>
      </c>
      <c r="AO356" s="1" t="s">
        <v>2261</v>
      </c>
      <c r="AP356" s="151">
        <v>-4.0000000000000001E-3</v>
      </c>
      <c r="AQ356" s="1310" t="s">
        <v>3344</v>
      </c>
      <c r="AR356" s="151">
        <v>-4.0000000000000001E-3</v>
      </c>
      <c r="AS356" s="1" t="s">
        <v>1936</v>
      </c>
      <c r="AT356" s="151">
        <v>-4.0000000000000002E-4</v>
      </c>
      <c r="AU356" s="1" t="s">
        <v>3347</v>
      </c>
      <c r="AV356" s="151">
        <v>-4.0000000000000001E-3</v>
      </c>
      <c r="AW356" s="1" t="s">
        <v>3381</v>
      </c>
      <c r="AX356" s="151">
        <v>-4.0000000000000002E-4</v>
      </c>
      <c r="AY356" s="325" t="s">
        <v>3249</v>
      </c>
      <c r="AZ356" s="1" t="s">
        <v>3240</v>
      </c>
      <c r="BA356" s="151">
        <v>-4.0000000000000001E-3</v>
      </c>
    </row>
    <row r="357" spans="19:53">
      <c r="S357" s="1" t="s">
        <v>484</v>
      </c>
      <c r="T357" s="151">
        <v>-4.0000000000000001E-3</v>
      </c>
      <c r="U357" s="749" t="s">
        <v>3325</v>
      </c>
      <c r="V357" s="151">
        <v>-4.0000000000000001E-3</v>
      </c>
      <c r="W357" s="749" t="s">
        <v>3345</v>
      </c>
      <c r="X357" s="151">
        <v>-4.0000000000000001E-3</v>
      </c>
      <c r="Y357" s="1" t="s">
        <v>3476</v>
      </c>
      <c r="Z357" s="151">
        <v>-4.0000000000000001E-3</v>
      </c>
      <c r="AA357" s="1" t="s">
        <v>3243</v>
      </c>
      <c r="AB357" s="151">
        <v>-4.0000000000000001E-3</v>
      </c>
      <c r="AC357" s="749" t="s">
        <v>3346</v>
      </c>
      <c r="AD357" s="151">
        <v>-4.0000000000000001E-3</v>
      </c>
      <c r="AE357" s="749" t="s">
        <v>3357</v>
      </c>
      <c r="AF357" s="237">
        <v>-4.0000000000000002E-4</v>
      </c>
      <c r="AG357" s="749" t="s">
        <v>3348</v>
      </c>
      <c r="AH357" s="321">
        <v>-4.0000000000000001E-3</v>
      </c>
      <c r="AI357" s="1" t="s">
        <v>1880</v>
      </c>
      <c r="AJ357" s="151">
        <v>-4.0000000000000001E-3</v>
      </c>
      <c r="AK357" s="1310" t="s">
        <v>3344</v>
      </c>
      <c r="AL357" s="151">
        <v>-4.0000000000000001E-3</v>
      </c>
      <c r="AM357" s="1310" t="s">
        <v>3344</v>
      </c>
      <c r="AN357" s="151">
        <v>-4.0000000000000001E-3</v>
      </c>
      <c r="AO357" s="1310" t="s">
        <v>3344</v>
      </c>
      <c r="AP357" s="151">
        <v>-4.0000000000000001E-3</v>
      </c>
      <c r="AQ357" s="1" t="s">
        <v>484</v>
      </c>
      <c r="AR357" s="151">
        <v>-4.0000000000000001E-3</v>
      </c>
      <c r="AS357" s="1" t="s">
        <v>3379</v>
      </c>
      <c r="AT357" s="151">
        <v>-4.0000000000000002E-4</v>
      </c>
      <c r="AU357" s="1" t="s">
        <v>3331</v>
      </c>
      <c r="AV357" s="151">
        <v>-4.0000000000000001E-3</v>
      </c>
      <c r="AW357" s="1" t="s">
        <v>3380</v>
      </c>
      <c r="AX357" s="237">
        <v>-4.0000000000000002E-4</v>
      </c>
      <c r="AY357" s="749" t="s">
        <v>3506</v>
      </c>
      <c r="AZ357" s="1" t="s">
        <v>3241</v>
      </c>
      <c r="BA357" s="151">
        <v>-4.0000000000000001E-3</v>
      </c>
    </row>
    <row r="358" spans="19:53">
      <c r="S358" s="749" t="s">
        <v>3325</v>
      </c>
      <c r="T358" s="151">
        <v>-4.0000000000000001E-3</v>
      </c>
      <c r="U358" s="1" t="s">
        <v>1881</v>
      </c>
      <c r="V358" s="151">
        <v>-4.0000000000000001E-3</v>
      </c>
      <c r="W358" s="749" t="s">
        <v>3346</v>
      </c>
      <c r="X358" s="151">
        <v>-4.0000000000000001E-3</v>
      </c>
      <c r="Y358" s="1" t="s">
        <v>3477</v>
      </c>
      <c r="Z358" s="151">
        <v>-4.0000000000000001E-3</v>
      </c>
      <c r="AA358" s="1" t="s">
        <v>1880</v>
      </c>
      <c r="AB358" s="151">
        <v>-4.0000000000000001E-3</v>
      </c>
      <c r="AC358" s="1" t="s">
        <v>1885</v>
      </c>
      <c r="AD358" s="151">
        <v>-4.0000000000000001E-3</v>
      </c>
      <c r="AE358" s="82" t="s">
        <v>1907</v>
      </c>
      <c r="AF358" s="151">
        <v>-4.0000000000000002E-4</v>
      </c>
      <c r="AG358" s="1" t="s">
        <v>3478</v>
      </c>
      <c r="AH358" s="151">
        <v>-4.0000000000000001E-3</v>
      </c>
      <c r="AI358" s="1" t="s">
        <v>3476</v>
      </c>
      <c r="AJ358" s="151">
        <v>-4.0000000000000001E-3</v>
      </c>
      <c r="AK358" s="1" t="s">
        <v>484</v>
      </c>
      <c r="AL358" s="151">
        <v>-4.0000000000000001E-3</v>
      </c>
      <c r="AM358" s="1" t="s">
        <v>484</v>
      </c>
      <c r="AN358" s="151">
        <v>-4.0000000000000001E-3</v>
      </c>
      <c r="AO358" s="1" t="s">
        <v>484</v>
      </c>
      <c r="AP358" s="151">
        <v>-4.0000000000000001E-3</v>
      </c>
      <c r="AQ358" s="749" t="s">
        <v>3325</v>
      </c>
      <c r="AR358" s="151">
        <v>-4.0000000000000001E-3</v>
      </c>
      <c r="AS358" s="1" t="s">
        <v>3381</v>
      </c>
      <c r="AT358" s="151">
        <v>-4.0000000000000002E-4</v>
      </c>
      <c r="AU358" s="749" t="s">
        <v>3348</v>
      </c>
      <c r="AV358" s="151">
        <v>-4.0000000000000001E-3</v>
      </c>
      <c r="AW358" s="1" t="s">
        <v>1912</v>
      </c>
      <c r="AX358" s="151">
        <v>-4.0000000000000002E-4</v>
      </c>
      <c r="AY358" s="1" t="s">
        <v>3250</v>
      </c>
      <c r="AZ358" s="1" t="s">
        <v>3236</v>
      </c>
      <c r="BA358" s="151">
        <v>-4.0000000000000001E-3</v>
      </c>
    </row>
    <row r="359" spans="19:53">
      <c r="S359" s="1" t="s">
        <v>1881</v>
      </c>
      <c r="T359" s="151">
        <v>-4.0000000000000001E-3</v>
      </c>
      <c r="U359" s="1310" t="s">
        <v>3326</v>
      </c>
      <c r="V359" s="151">
        <v>-4.0000000000000001E-3</v>
      </c>
      <c r="W359" s="1" t="s">
        <v>1885</v>
      </c>
      <c r="X359" s="151">
        <v>-4.0000000000000001E-3</v>
      </c>
      <c r="Y359" s="1310" t="s">
        <v>3344</v>
      </c>
      <c r="Z359" s="151">
        <v>-4.0000000000000001E-3</v>
      </c>
      <c r="AA359" s="1" t="s">
        <v>3476</v>
      </c>
      <c r="AB359" s="151">
        <v>-4.0000000000000001E-3</v>
      </c>
      <c r="AC359" s="1" t="s">
        <v>510</v>
      </c>
      <c r="AD359" s="151">
        <v>-4.0000000000000001E-3</v>
      </c>
      <c r="AE359" s="1" t="s">
        <v>3363</v>
      </c>
      <c r="AF359" s="151">
        <v>-4.0000000000000002E-4</v>
      </c>
      <c r="AG359" s="1" t="s">
        <v>3333</v>
      </c>
      <c r="AH359" s="151">
        <v>-4.0000000000000001E-3</v>
      </c>
      <c r="AI359" s="1" t="s">
        <v>3477</v>
      </c>
      <c r="AJ359" s="151">
        <v>-4.0000000000000001E-3</v>
      </c>
      <c r="AK359" s="749" t="s">
        <v>3325</v>
      </c>
      <c r="AL359" s="151">
        <v>-4.0000000000000001E-3</v>
      </c>
      <c r="AM359" s="749" t="s">
        <v>3325</v>
      </c>
      <c r="AN359" s="151">
        <v>-4.0000000000000001E-3</v>
      </c>
      <c r="AO359" s="749" t="s">
        <v>3325</v>
      </c>
      <c r="AP359" s="151">
        <v>-4.0000000000000001E-3</v>
      </c>
      <c r="AQ359" s="1" t="s">
        <v>1881</v>
      </c>
      <c r="AR359" s="151">
        <v>-4.0000000000000001E-3</v>
      </c>
      <c r="AS359" s="1" t="s">
        <v>3380</v>
      </c>
      <c r="AT359" s="151">
        <v>-4.0000000000000002E-4</v>
      </c>
      <c r="AU359" s="1" t="s">
        <v>3478</v>
      </c>
      <c r="AV359" s="151">
        <v>-4.0000000000000001E-3</v>
      </c>
      <c r="AW359" s="1" t="s">
        <v>1625</v>
      </c>
      <c r="AX359" s="151">
        <v>-4.0000000000000002E-4</v>
      </c>
      <c r="AY359" s="82" t="s">
        <v>3251</v>
      </c>
      <c r="AZ359" s="1" t="s">
        <v>3243</v>
      </c>
      <c r="BA359" s="151">
        <v>-4.0000000000000001E-3</v>
      </c>
    </row>
    <row r="360" spans="19:53">
      <c r="S360" s="1310" t="s">
        <v>3326</v>
      </c>
      <c r="T360" s="151">
        <v>-4.0000000000000001E-3</v>
      </c>
      <c r="U360" s="1310" t="s">
        <v>3328</v>
      </c>
      <c r="V360" s="151">
        <v>-4.0000000000000001E-3</v>
      </c>
      <c r="W360" s="1" t="s">
        <v>510</v>
      </c>
      <c r="X360" s="151">
        <v>-4.0000000000000001E-3</v>
      </c>
      <c r="Y360" s="1" t="s">
        <v>484</v>
      </c>
      <c r="Z360" s="151">
        <v>-4.0000000000000001E-3</v>
      </c>
      <c r="AA360" s="1" t="s">
        <v>3477</v>
      </c>
      <c r="AB360" s="151">
        <v>-4.0000000000000001E-3</v>
      </c>
      <c r="AC360" s="1" t="s">
        <v>3347</v>
      </c>
      <c r="AD360" s="151">
        <v>-4.0000000000000001E-3</v>
      </c>
      <c r="AE360" s="1" t="s">
        <v>3364</v>
      </c>
      <c r="AF360" s="151">
        <v>-4.0000000000000002E-4</v>
      </c>
      <c r="AG360" s="749" t="s">
        <v>3349</v>
      </c>
      <c r="AH360" s="151">
        <v>-4.0000000000000001E-3</v>
      </c>
      <c r="AI360" s="1" t="s">
        <v>2261</v>
      </c>
      <c r="AJ360" s="151">
        <v>-4.0000000000000001E-3</v>
      </c>
      <c r="AK360" s="1" t="s">
        <v>1881</v>
      </c>
      <c r="AL360" s="151">
        <v>-4.0000000000000001E-3</v>
      </c>
      <c r="AM360" s="1" t="s">
        <v>1881</v>
      </c>
      <c r="AN360" s="151">
        <v>-4.0000000000000001E-3</v>
      </c>
      <c r="AO360" s="1" t="s">
        <v>1881</v>
      </c>
      <c r="AP360" s="151">
        <v>-4.0000000000000001E-3</v>
      </c>
      <c r="AQ360" s="1310" t="s">
        <v>3326</v>
      </c>
      <c r="AR360" s="151">
        <v>-4.0000000000000001E-3</v>
      </c>
      <c r="AS360" s="1" t="s">
        <v>1912</v>
      </c>
      <c r="AT360" s="151">
        <v>-4.0000000000000002E-4</v>
      </c>
      <c r="AU360" s="1" t="s">
        <v>3333</v>
      </c>
      <c r="AV360" s="151">
        <v>-4.0000000000000001E-3</v>
      </c>
      <c r="AW360" s="1" t="s">
        <v>1913</v>
      </c>
      <c r="AX360" s="151">
        <v>-4.0000000000000002E-4</v>
      </c>
      <c r="AY360" s="1" t="s">
        <v>3270</v>
      </c>
      <c r="AZ360" s="1" t="s">
        <v>3244</v>
      </c>
      <c r="BA360" s="151">
        <v>-4.0000000000000001E-3</v>
      </c>
    </row>
    <row r="361" spans="19:53">
      <c r="S361" s="1310" t="s">
        <v>3328</v>
      </c>
      <c r="T361" s="151">
        <v>-4.0000000000000001E-3</v>
      </c>
      <c r="U361" s="749" t="s">
        <v>3345</v>
      </c>
      <c r="V361" s="151">
        <v>-4.0000000000000001E-3</v>
      </c>
      <c r="W361" s="1" t="s">
        <v>3347</v>
      </c>
      <c r="X361" s="151">
        <v>-4.0000000000000001E-3</v>
      </c>
      <c r="Y361" s="749" t="s">
        <v>3325</v>
      </c>
      <c r="Z361" s="151">
        <v>-4.0000000000000001E-3</v>
      </c>
      <c r="AA361" s="1" t="s">
        <v>2261</v>
      </c>
      <c r="AB361" s="151">
        <v>-4.0000000000000001E-3</v>
      </c>
      <c r="AC361" s="1" t="s">
        <v>3331</v>
      </c>
      <c r="AD361" s="151">
        <v>-4.0000000000000001E-3</v>
      </c>
      <c r="AE361" s="53" t="s">
        <v>3488</v>
      </c>
      <c r="AF361" s="151">
        <v>-4.0000000000000002E-4</v>
      </c>
      <c r="AG361" s="1" t="s">
        <v>3334</v>
      </c>
      <c r="AH361" s="321">
        <v>-4.0000000000000001E-3</v>
      </c>
      <c r="AI361" s="1310" t="s">
        <v>3344</v>
      </c>
      <c r="AJ361" s="151">
        <v>-4.0000000000000001E-3</v>
      </c>
      <c r="AK361" s="1310" t="s">
        <v>3326</v>
      </c>
      <c r="AL361" s="151">
        <v>-4.0000000000000001E-3</v>
      </c>
      <c r="AM361" s="1310" t="s">
        <v>3326</v>
      </c>
      <c r="AN361" s="151">
        <v>-4.0000000000000001E-3</v>
      </c>
      <c r="AO361" s="1310" t="s">
        <v>3326</v>
      </c>
      <c r="AP361" s="151">
        <v>-4.0000000000000001E-3</v>
      </c>
      <c r="AQ361" s="749" t="s">
        <v>3345</v>
      </c>
      <c r="AR361" s="151">
        <v>-4.0000000000000001E-3</v>
      </c>
      <c r="AS361" s="1" t="s">
        <v>1625</v>
      </c>
      <c r="AT361" s="151">
        <v>-4.0000000000000002E-4</v>
      </c>
      <c r="AU361" s="749" t="s">
        <v>3349</v>
      </c>
      <c r="AV361" s="151">
        <v>-4.0000000000000001E-3</v>
      </c>
      <c r="AW361" s="1" t="s">
        <v>146</v>
      </c>
      <c r="AX361" s="151">
        <v>-4.0000000000000002E-4</v>
      </c>
      <c r="AY361" s="1" t="s">
        <v>2256</v>
      </c>
      <c r="AZ361" s="1" t="s">
        <v>3237</v>
      </c>
      <c r="BA361" s="151">
        <v>-4.0000000000000001E-3</v>
      </c>
    </row>
    <row r="362" spans="19:53">
      <c r="S362" s="749" t="s">
        <v>3345</v>
      </c>
      <c r="T362" s="151">
        <v>-4.0000000000000001E-3</v>
      </c>
      <c r="U362" s="749" t="s">
        <v>3346</v>
      </c>
      <c r="V362" s="151">
        <v>-4.0000000000000001E-3</v>
      </c>
      <c r="W362" s="1" t="s">
        <v>3331</v>
      </c>
      <c r="X362" s="151">
        <v>-4.0000000000000001E-3</v>
      </c>
      <c r="Y362" s="1" t="s">
        <v>1881</v>
      </c>
      <c r="Z362" s="151">
        <v>-4.0000000000000001E-3</v>
      </c>
      <c r="AA362" s="1310" t="s">
        <v>3344</v>
      </c>
      <c r="AB362" s="151">
        <v>-4.0000000000000001E-3</v>
      </c>
      <c r="AC362" s="749" t="s">
        <v>3348</v>
      </c>
      <c r="AD362" s="151">
        <v>-4.0000000000000001E-3</v>
      </c>
      <c r="AE362" s="1" t="s">
        <v>3260</v>
      </c>
      <c r="AF362" s="151">
        <v>-4.0000000000000002E-4</v>
      </c>
      <c r="AG362" s="1" t="s">
        <v>3350</v>
      </c>
      <c r="AH362" s="151">
        <v>-4.0000000000000001E-3</v>
      </c>
      <c r="AI362" s="1" t="s">
        <v>484</v>
      </c>
      <c r="AJ362" s="151">
        <v>-4.0000000000000001E-3</v>
      </c>
      <c r="AK362" s="749" t="s">
        <v>3345</v>
      </c>
      <c r="AL362" s="151">
        <v>-4.0000000000000001E-3</v>
      </c>
      <c r="AM362" s="749" t="s">
        <v>3345</v>
      </c>
      <c r="AN362" s="151">
        <v>-4.0000000000000001E-3</v>
      </c>
      <c r="AO362" s="749" t="s">
        <v>3345</v>
      </c>
      <c r="AP362" s="151">
        <v>-4.0000000000000001E-3</v>
      </c>
      <c r="AQ362" s="749" t="s">
        <v>3346</v>
      </c>
      <c r="AR362" s="151">
        <v>-4.0000000000000001E-3</v>
      </c>
      <c r="AS362" s="1" t="s">
        <v>1913</v>
      </c>
      <c r="AT362" s="151">
        <v>-4.0000000000000002E-4</v>
      </c>
      <c r="AU362" s="1" t="s">
        <v>3334</v>
      </c>
      <c r="AV362" s="151">
        <v>-4.0000000000000001E-3</v>
      </c>
      <c r="AW362" s="749" t="s">
        <v>3367</v>
      </c>
      <c r="AX362" s="151">
        <v>-4.0000000000000002E-4</v>
      </c>
      <c r="AY362" s="749" t="s">
        <v>3385</v>
      </c>
      <c r="AZ362" s="1" t="s">
        <v>1880</v>
      </c>
      <c r="BA362" s="151">
        <v>-4.0000000000000001E-3</v>
      </c>
    </row>
    <row r="363" spans="19:53">
      <c r="S363" s="749" t="s">
        <v>3346</v>
      </c>
      <c r="T363" s="151">
        <v>-4.0000000000000001E-3</v>
      </c>
      <c r="U363" s="1" t="s">
        <v>1885</v>
      </c>
      <c r="V363" s="151">
        <v>-4.0000000000000001E-3</v>
      </c>
      <c r="W363" s="749" t="s">
        <v>3348</v>
      </c>
      <c r="X363" s="151">
        <v>-4.0000000000000001E-3</v>
      </c>
      <c r="Y363" s="1310" t="s">
        <v>3326</v>
      </c>
      <c r="Z363" s="151">
        <v>-4.0000000000000001E-3</v>
      </c>
      <c r="AA363" s="1" t="s">
        <v>484</v>
      </c>
      <c r="AB363" s="151">
        <v>-4.0000000000000001E-3</v>
      </c>
      <c r="AC363" s="1" t="s">
        <v>3478</v>
      </c>
      <c r="AD363" s="151">
        <v>-4.0000000000000001E-3</v>
      </c>
      <c r="AE363" s="1" t="s">
        <v>1936</v>
      </c>
      <c r="AF363" s="151">
        <v>-4.0000000000000002E-4</v>
      </c>
      <c r="AG363" s="1" t="s">
        <v>3351</v>
      </c>
      <c r="AH363" s="151">
        <v>-4.0000000000000001E-3</v>
      </c>
      <c r="AI363" s="749" t="s">
        <v>3325</v>
      </c>
      <c r="AJ363" s="151">
        <v>-4.0000000000000001E-3</v>
      </c>
      <c r="AK363" s="749" t="s">
        <v>3346</v>
      </c>
      <c r="AL363" s="151">
        <v>-4.0000000000000001E-3</v>
      </c>
      <c r="AM363" s="749" t="s">
        <v>3346</v>
      </c>
      <c r="AN363" s="151">
        <v>-4.0000000000000001E-3</v>
      </c>
      <c r="AO363" s="749" t="s">
        <v>3346</v>
      </c>
      <c r="AP363" s="151">
        <v>-4.0000000000000001E-3</v>
      </c>
      <c r="AQ363" s="1" t="s">
        <v>1885</v>
      </c>
      <c r="AR363" s="151">
        <v>-4.0000000000000001E-3</v>
      </c>
      <c r="AS363" s="1" t="s">
        <v>146</v>
      </c>
      <c r="AT363" s="151">
        <v>-4.0000000000000002E-4</v>
      </c>
      <c r="AU363" s="749" t="s">
        <v>3352</v>
      </c>
      <c r="AV363" s="151">
        <v>-4.0000000000000001E-3</v>
      </c>
      <c r="AW363" s="1" t="s">
        <v>3261</v>
      </c>
      <c r="AX363" s="151">
        <v>-4.0000000000000002E-4</v>
      </c>
      <c r="AY363" s="749" t="s">
        <v>3386</v>
      </c>
      <c r="AZ363" s="1" t="s">
        <v>3476</v>
      </c>
      <c r="BA363" s="151">
        <v>-4.0000000000000001E-3</v>
      </c>
    </row>
    <row r="364" spans="19:53">
      <c r="S364" s="1" t="s">
        <v>1885</v>
      </c>
      <c r="T364" s="151">
        <v>-4.0000000000000001E-3</v>
      </c>
      <c r="U364" s="1" t="s">
        <v>510</v>
      </c>
      <c r="V364" s="151">
        <v>-4.0000000000000001E-3</v>
      </c>
      <c r="W364" s="1" t="s">
        <v>3478</v>
      </c>
      <c r="X364" s="151">
        <v>-4.0000000000000001E-3</v>
      </c>
      <c r="Y364" s="749" t="s">
        <v>3345</v>
      </c>
      <c r="Z364" s="151">
        <v>-4.0000000000000001E-3</v>
      </c>
      <c r="AA364" s="749" t="s">
        <v>3325</v>
      </c>
      <c r="AB364" s="151">
        <v>-4.0000000000000001E-3</v>
      </c>
      <c r="AC364" s="1" t="s">
        <v>3333</v>
      </c>
      <c r="AD364" s="151">
        <v>-4.0000000000000001E-3</v>
      </c>
      <c r="AE364" s="1" t="s">
        <v>3379</v>
      </c>
      <c r="AF364" s="151">
        <v>-4.0000000000000002E-4</v>
      </c>
      <c r="AG364" s="749" t="s">
        <v>3352</v>
      </c>
      <c r="AH364" s="151">
        <v>-4.0000000000000001E-3</v>
      </c>
      <c r="AI364" s="1" t="s">
        <v>1881</v>
      </c>
      <c r="AJ364" s="151">
        <v>-4.0000000000000001E-3</v>
      </c>
      <c r="AK364" s="1" t="s">
        <v>1885</v>
      </c>
      <c r="AL364" s="151">
        <v>-4.0000000000000001E-3</v>
      </c>
      <c r="AM364" s="1" t="s">
        <v>1885</v>
      </c>
      <c r="AN364" s="151">
        <v>-4.0000000000000001E-3</v>
      </c>
      <c r="AO364" s="1" t="s">
        <v>1885</v>
      </c>
      <c r="AP364" s="151">
        <v>-4.0000000000000001E-3</v>
      </c>
      <c r="AQ364" s="1" t="s">
        <v>510</v>
      </c>
      <c r="AR364" s="151">
        <v>-4.0000000000000001E-3</v>
      </c>
      <c r="AS364" s="749" t="s">
        <v>3367</v>
      </c>
      <c r="AT364" s="151">
        <v>-4.0000000000000002E-4</v>
      </c>
      <c r="AU364" s="1" t="s">
        <v>1894</v>
      </c>
      <c r="AV364" s="151">
        <v>-4.0000000000000001E-3</v>
      </c>
      <c r="AW364" s="749" t="s">
        <v>3262</v>
      </c>
      <c r="AX364" s="151">
        <v>-4.0000000000000002E-4</v>
      </c>
      <c r="AY364" s="749" t="s">
        <v>3374</v>
      </c>
      <c r="AZ364" s="1" t="s">
        <v>3477</v>
      </c>
      <c r="BA364" s="151">
        <v>-4.0000000000000001E-3</v>
      </c>
    </row>
    <row r="365" spans="19:53">
      <c r="S365" s="1" t="s">
        <v>510</v>
      </c>
      <c r="T365" s="151">
        <v>-4.0000000000000001E-3</v>
      </c>
      <c r="U365" s="1" t="s">
        <v>3347</v>
      </c>
      <c r="V365" s="151">
        <v>-4.0000000000000001E-3</v>
      </c>
      <c r="W365" s="1" t="s">
        <v>3333</v>
      </c>
      <c r="X365" s="151">
        <v>-4.0000000000000001E-3</v>
      </c>
      <c r="Y365" s="749" t="s">
        <v>3346</v>
      </c>
      <c r="Z365" s="151">
        <v>-4.0000000000000001E-3</v>
      </c>
      <c r="AA365" s="1" t="s">
        <v>1881</v>
      </c>
      <c r="AB365" s="151">
        <v>-4.0000000000000001E-3</v>
      </c>
      <c r="AC365" s="749" t="s">
        <v>3349</v>
      </c>
      <c r="AD365" s="151">
        <v>-4.0000000000000001E-3</v>
      </c>
      <c r="AE365" s="1" t="s">
        <v>3381</v>
      </c>
      <c r="AF365" s="151">
        <v>-4.0000000000000002E-4</v>
      </c>
      <c r="AG365" s="1" t="s">
        <v>1894</v>
      </c>
      <c r="AH365" s="151">
        <v>-4.0000000000000001E-3</v>
      </c>
      <c r="AI365" s="1310" t="s">
        <v>3326</v>
      </c>
      <c r="AJ365" s="151">
        <v>-4.0000000000000001E-3</v>
      </c>
      <c r="AK365" s="1" t="s">
        <v>510</v>
      </c>
      <c r="AL365" s="151">
        <v>-4.0000000000000001E-3</v>
      </c>
      <c r="AM365" s="1" t="s">
        <v>510</v>
      </c>
      <c r="AN365" s="151">
        <v>-4.0000000000000001E-3</v>
      </c>
      <c r="AO365" s="1" t="s">
        <v>510</v>
      </c>
      <c r="AP365" s="151">
        <v>-4.0000000000000001E-3</v>
      </c>
      <c r="AQ365" s="1" t="s">
        <v>3347</v>
      </c>
      <c r="AR365" s="151">
        <v>-4.0000000000000001E-3</v>
      </c>
      <c r="AS365" s="1" t="s">
        <v>3261</v>
      </c>
      <c r="AT365" s="151">
        <v>-4.0000000000000002E-4</v>
      </c>
      <c r="AU365" s="1" t="s">
        <v>1895</v>
      </c>
      <c r="AV365" s="151">
        <v>-4.0000000000000001E-3</v>
      </c>
      <c r="AW365" s="1" t="s">
        <v>3490</v>
      </c>
      <c r="AX365" s="151">
        <v>-4.0000000000000002E-4</v>
      </c>
      <c r="AY365" s="749" t="s">
        <v>3375</v>
      </c>
      <c r="AZ365" s="1" t="s">
        <v>484</v>
      </c>
      <c r="BA365" s="151">
        <v>-4.0000000000000001E-3</v>
      </c>
    </row>
    <row r="366" spans="19:53">
      <c r="S366" s="1" t="s">
        <v>3347</v>
      </c>
      <c r="T366" s="151">
        <v>-4.0000000000000001E-3</v>
      </c>
      <c r="U366" s="1" t="s">
        <v>3331</v>
      </c>
      <c r="V366" s="151">
        <v>-4.0000000000000001E-3</v>
      </c>
      <c r="W366" s="749" t="s">
        <v>3349</v>
      </c>
      <c r="X366" s="151">
        <v>-4.0000000000000001E-3</v>
      </c>
      <c r="Y366" s="1" t="s">
        <v>1885</v>
      </c>
      <c r="Z366" s="151">
        <v>-4.0000000000000001E-3</v>
      </c>
      <c r="AA366" s="1310" t="s">
        <v>3326</v>
      </c>
      <c r="AB366" s="151">
        <v>-4.0000000000000001E-3</v>
      </c>
      <c r="AC366" s="1" t="s">
        <v>3334</v>
      </c>
      <c r="AD366" s="151">
        <v>-4.0000000000000001E-3</v>
      </c>
      <c r="AE366" s="1" t="s">
        <v>3380</v>
      </c>
      <c r="AF366" s="151">
        <v>-4.0000000000000002E-4</v>
      </c>
      <c r="AG366" s="1" t="s">
        <v>1895</v>
      </c>
      <c r="AH366" s="151">
        <v>-4.0000000000000001E-3</v>
      </c>
      <c r="AI366" s="749" t="s">
        <v>3345</v>
      </c>
      <c r="AJ366" s="151">
        <v>-4.0000000000000001E-3</v>
      </c>
      <c r="AK366" s="1" t="s">
        <v>3347</v>
      </c>
      <c r="AL366" s="151">
        <v>-4.0000000000000001E-3</v>
      </c>
      <c r="AM366" s="1" t="s">
        <v>3347</v>
      </c>
      <c r="AN366" s="151">
        <v>-4.0000000000000001E-3</v>
      </c>
      <c r="AO366" s="1" t="s">
        <v>3347</v>
      </c>
      <c r="AP366" s="151">
        <v>-4.0000000000000001E-3</v>
      </c>
      <c r="AQ366" s="1" t="s">
        <v>3331</v>
      </c>
      <c r="AR366" s="151">
        <v>-4.0000000000000001E-3</v>
      </c>
      <c r="AS366" s="749" t="s">
        <v>3262</v>
      </c>
      <c r="AT366" s="151">
        <v>-4.0000000000000002E-4</v>
      </c>
      <c r="AU366" s="1" t="s">
        <v>3335</v>
      </c>
      <c r="AV366" s="151">
        <v>-4.0000000000000001E-3</v>
      </c>
      <c r="AW366" s="1" t="s">
        <v>1916</v>
      </c>
      <c r="AX366" s="151">
        <v>-4.0000000000000002E-4</v>
      </c>
      <c r="AY366" s="1233" t="s">
        <v>3252</v>
      </c>
      <c r="AZ366" s="749" t="s">
        <v>3325</v>
      </c>
      <c r="BA366" s="151">
        <v>-4.0000000000000001E-3</v>
      </c>
    </row>
    <row r="367" spans="19:53">
      <c r="S367" s="1" t="s">
        <v>3331</v>
      </c>
      <c r="T367" s="151">
        <v>-4.0000000000000001E-3</v>
      </c>
      <c r="U367" s="749" t="s">
        <v>3348</v>
      </c>
      <c r="V367" s="151">
        <v>-4.0000000000000001E-3</v>
      </c>
      <c r="W367" s="1" t="s">
        <v>3334</v>
      </c>
      <c r="X367" s="151">
        <v>-4.0000000000000001E-3</v>
      </c>
      <c r="Y367" s="1" t="s">
        <v>510</v>
      </c>
      <c r="Z367" s="151">
        <v>-4.0000000000000001E-3</v>
      </c>
      <c r="AA367" s="1310" t="s">
        <v>3328</v>
      </c>
      <c r="AB367" s="151">
        <v>-4.0000000000000001E-3</v>
      </c>
      <c r="AC367" s="1" t="s">
        <v>3350</v>
      </c>
      <c r="AD367" s="151">
        <v>-4.0000000000000001E-3</v>
      </c>
      <c r="AE367" s="1" t="s">
        <v>1912</v>
      </c>
      <c r="AF367" s="151">
        <v>-4.0000000000000002E-4</v>
      </c>
      <c r="AG367" s="1" t="s">
        <v>3335</v>
      </c>
      <c r="AH367" s="151">
        <v>-4.0000000000000001E-3</v>
      </c>
      <c r="AI367" s="749" t="s">
        <v>3346</v>
      </c>
      <c r="AJ367" s="151">
        <v>-4.0000000000000001E-3</v>
      </c>
      <c r="AK367" s="1" t="s">
        <v>3331</v>
      </c>
      <c r="AL367" s="151">
        <v>-4.0000000000000001E-3</v>
      </c>
      <c r="AM367" s="1" t="s">
        <v>3331</v>
      </c>
      <c r="AN367" s="151">
        <v>-4.0000000000000001E-3</v>
      </c>
      <c r="AO367" s="1" t="s">
        <v>3331</v>
      </c>
      <c r="AP367" s="151">
        <v>-4.0000000000000001E-3</v>
      </c>
      <c r="AQ367" s="749" t="s">
        <v>3348</v>
      </c>
      <c r="AR367" s="151">
        <v>-4.0000000000000001E-3</v>
      </c>
      <c r="AS367" s="1" t="s">
        <v>3490</v>
      </c>
      <c r="AT367" s="151">
        <v>-4.0000000000000002E-4</v>
      </c>
      <c r="AU367" s="1" t="s">
        <v>3394</v>
      </c>
      <c r="AV367" s="151">
        <v>-4.0000000000000001E-3</v>
      </c>
      <c r="AW367" s="749" t="s">
        <v>3382</v>
      </c>
      <c r="AX367" s="237">
        <v>-4.0000000000000002E-4</v>
      </c>
      <c r="AY367" s="1" t="s">
        <v>3494</v>
      </c>
      <c r="AZ367" s="1" t="s">
        <v>1881</v>
      </c>
      <c r="BA367" s="151">
        <v>-4.0000000000000001E-3</v>
      </c>
    </row>
    <row r="368" spans="19:53">
      <c r="S368" s="749" t="s">
        <v>3348</v>
      </c>
      <c r="T368" s="151">
        <v>-4.0000000000000001E-3</v>
      </c>
      <c r="U368" s="1" t="s">
        <v>3478</v>
      </c>
      <c r="V368" s="151">
        <v>-4.0000000000000001E-3</v>
      </c>
      <c r="W368" s="1" t="s">
        <v>3350</v>
      </c>
      <c r="X368" s="151">
        <v>-4.0000000000000001E-3</v>
      </c>
      <c r="Y368" s="1" t="s">
        <v>3347</v>
      </c>
      <c r="Z368" s="151">
        <v>-4.0000000000000001E-3</v>
      </c>
      <c r="AA368" s="749" t="s">
        <v>3345</v>
      </c>
      <c r="AB368" s="151">
        <v>-4.0000000000000001E-3</v>
      </c>
      <c r="AC368" s="1" t="s">
        <v>3351</v>
      </c>
      <c r="AD368" s="151">
        <v>-4.0000000000000001E-3</v>
      </c>
      <c r="AE368" s="1" t="s">
        <v>1625</v>
      </c>
      <c r="AF368" s="235">
        <v>-4.0000000000000002E-4</v>
      </c>
      <c r="AG368" s="1" t="s">
        <v>3394</v>
      </c>
      <c r="AH368" s="151">
        <v>-4.0000000000000001E-3</v>
      </c>
      <c r="AI368" s="1" t="s">
        <v>1885</v>
      </c>
      <c r="AJ368" s="151">
        <v>-4.0000000000000001E-3</v>
      </c>
      <c r="AK368" s="749" t="s">
        <v>3348</v>
      </c>
      <c r="AL368" s="151">
        <v>-4.0000000000000001E-3</v>
      </c>
      <c r="AM368" s="749" t="s">
        <v>3348</v>
      </c>
      <c r="AN368" s="151">
        <v>-4.0000000000000001E-3</v>
      </c>
      <c r="AO368" s="749" t="s">
        <v>3348</v>
      </c>
      <c r="AP368" s="151">
        <v>-4.0000000000000001E-3</v>
      </c>
      <c r="AQ368" s="1" t="s">
        <v>3478</v>
      </c>
      <c r="AR368" s="151">
        <v>-4.0000000000000001E-3</v>
      </c>
      <c r="AS368" s="1" t="s">
        <v>1916</v>
      </c>
      <c r="AT368" s="151">
        <v>-4.0000000000000002E-4</v>
      </c>
      <c r="AU368" s="1" t="s">
        <v>3353</v>
      </c>
      <c r="AV368" s="151">
        <v>-4.0000000000000001E-3</v>
      </c>
      <c r="AW368" s="749" t="s">
        <v>3378</v>
      </c>
      <c r="AX368" s="235">
        <v>-4.0000000000000002E-4</v>
      </c>
      <c r="AY368" s="1" t="s">
        <v>3495</v>
      </c>
      <c r="AZ368" s="749" t="s">
        <v>3345</v>
      </c>
      <c r="BA368" s="151">
        <v>-4.0000000000000001E-3</v>
      </c>
    </row>
    <row r="369" spans="19:53">
      <c r="S369" s="1" t="s">
        <v>3478</v>
      </c>
      <c r="T369" s="151">
        <v>-4.0000000000000001E-3</v>
      </c>
      <c r="U369" s="1" t="s">
        <v>3333</v>
      </c>
      <c r="V369" s="151">
        <v>-4.0000000000000001E-3</v>
      </c>
      <c r="W369" s="1" t="s">
        <v>3351</v>
      </c>
      <c r="X369" s="151">
        <v>-4.0000000000000001E-3</v>
      </c>
      <c r="Y369" s="1" t="s">
        <v>3331</v>
      </c>
      <c r="Z369" s="151">
        <v>-4.0000000000000001E-3</v>
      </c>
      <c r="AA369" s="749" t="s">
        <v>3346</v>
      </c>
      <c r="AB369" s="151">
        <v>-4.0000000000000001E-3</v>
      </c>
      <c r="AC369" s="749" t="s">
        <v>3352</v>
      </c>
      <c r="AD369" s="151">
        <v>-4.0000000000000001E-3</v>
      </c>
      <c r="AE369" s="1" t="s">
        <v>1913</v>
      </c>
      <c r="AF369" s="151">
        <v>-4.0000000000000002E-4</v>
      </c>
      <c r="AG369" s="1" t="s">
        <v>3353</v>
      </c>
      <c r="AH369" s="151">
        <v>-4.0000000000000001E-3</v>
      </c>
      <c r="AI369" s="1" t="s">
        <v>510</v>
      </c>
      <c r="AJ369" s="151">
        <v>-4.0000000000000001E-3</v>
      </c>
      <c r="AK369" s="1" t="s">
        <v>3478</v>
      </c>
      <c r="AL369" s="151">
        <v>-4.0000000000000001E-3</v>
      </c>
      <c r="AM369" s="1" t="s">
        <v>3478</v>
      </c>
      <c r="AN369" s="151">
        <v>-4.0000000000000001E-3</v>
      </c>
      <c r="AO369" s="1" t="s">
        <v>3478</v>
      </c>
      <c r="AP369" s="151">
        <v>-4.0000000000000001E-3</v>
      </c>
      <c r="AQ369" s="1" t="s">
        <v>3333</v>
      </c>
      <c r="AR369" s="151">
        <v>-4.0000000000000001E-3</v>
      </c>
      <c r="AS369" s="749" t="s">
        <v>3382</v>
      </c>
      <c r="AT369" s="151">
        <v>-4.0000000000000002E-4</v>
      </c>
      <c r="AU369" s="749" t="s">
        <v>3354</v>
      </c>
      <c r="AV369" s="151">
        <v>-4.0000000000000001E-3</v>
      </c>
      <c r="AW369" s="749" t="s">
        <v>3370</v>
      </c>
      <c r="AX369" s="151">
        <v>-4.0000000000000002E-4</v>
      </c>
      <c r="AY369" s="1" t="s">
        <v>3253</v>
      </c>
      <c r="AZ369" s="749" t="s">
        <v>3346</v>
      </c>
      <c r="BA369" s="151">
        <v>-4.0000000000000001E-3</v>
      </c>
    </row>
    <row r="370" spans="19:53">
      <c r="S370" s="1" t="s">
        <v>3333</v>
      </c>
      <c r="T370" s="151">
        <v>-4.0000000000000001E-3</v>
      </c>
      <c r="U370" s="749" t="s">
        <v>3349</v>
      </c>
      <c r="V370" s="151">
        <v>-4.0000000000000001E-3</v>
      </c>
      <c r="W370" s="749" t="s">
        <v>3352</v>
      </c>
      <c r="X370" s="151">
        <v>-4.0000000000000001E-3</v>
      </c>
      <c r="Y370" s="749" t="s">
        <v>3348</v>
      </c>
      <c r="Z370" s="151">
        <v>-4.0000000000000001E-3</v>
      </c>
      <c r="AA370" s="1" t="s">
        <v>1885</v>
      </c>
      <c r="AB370" s="151">
        <v>-4.0000000000000001E-3</v>
      </c>
      <c r="AC370" s="1" t="s">
        <v>1894</v>
      </c>
      <c r="AD370" s="151">
        <v>-4.0000000000000001E-3</v>
      </c>
      <c r="AE370" s="1" t="s">
        <v>146</v>
      </c>
      <c r="AF370" s="151">
        <v>-4.0000000000000002E-4</v>
      </c>
      <c r="AG370" s="749" t="s">
        <v>3354</v>
      </c>
      <c r="AH370" s="151">
        <v>-4.0000000000000001E-3</v>
      </c>
      <c r="AI370" s="1" t="s">
        <v>3347</v>
      </c>
      <c r="AJ370" s="151">
        <v>-4.0000000000000001E-3</v>
      </c>
      <c r="AK370" s="1" t="s">
        <v>3333</v>
      </c>
      <c r="AL370" s="151">
        <v>-4.0000000000000001E-3</v>
      </c>
      <c r="AM370" s="1" t="s">
        <v>3333</v>
      </c>
      <c r="AN370" s="151">
        <v>-4.0000000000000001E-3</v>
      </c>
      <c r="AO370" s="1" t="s">
        <v>3333</v>
      </c>
      <c r="AP370" s="151">
        <v>-4.0000000000000001E-3</v>
      </c>
      <c r="AQ370" s="749" t="s">
        <v>3349</v>
      </c>
      <c r="AR370" s="151">
        <v>-4.0000000000000001E-3</v>
      </c>
      <c r="AS370" s="749" t="s">
        <v>3378</v>
      </c>
      <c r="AT370" s="151">
        <v>-4.0000000000000002E-4</v>
      </c>
      <c r="AU370" s="1" t="s">
        <v>3355</v>
      </c>
      <c r="AV370" s="151">
        <v>-4.0000000000000001E-3</v>
      </c>
      <c r="AW370" s="749" t="s">
        <v>3509</v>
      </c>
      <c r="AX370" s="151">
        <v>-4.0000000000000002E-4</v>
      </c>
      <c r="AY370" s="749" t="s">
        <v>3262</v>
      </c>
      <c r="AZ370" s="1" t="s">
        <v>1885</v>
      </c>
      <c r="BA370" s="151">
        <v>-4.0000000000000001E-3</v>
      </c>
    </row>
    <row r="371" spans="19:53">
      <c r="S371" s="749" t="s">
        <v>3349</v>
      </c>
      <c r="T371" s="151">
        <v>-4.0000000000000001E-3</v>
      </c>
      <c r="U371" s="1" t="s">
        <v>3334</v>
      </c>
      <c r="V371" s="151">
        <v>-4.0000000000000001E-3</v>
      </c>
      <c r="W371" s="1" t="s">
        <v>1894</v>
      </c>
      <c r="X371" s="151">
        <v>-4.0000000000000001E-3</v>
      </c>
      <c r="Y371" s="1" t="s">
        <v>3478</v>
      </c>
      <c r="Z371" s="151">
        <v>-4.0000000000000001E-3</v>
      </c>
      <c r="AA371" s="1" t="s">
        <v>510</v>
      </c>
      <c r="AB371" s="151">
        <v>-4.0000000000000001E-3</v>
      </c>
      <c r="AC371" s="1" t="s">
        <v>1895</v>
      </c>
      <c r="AD371" s="151">
        <v>-4.0000000000000001E-3</v>
      </c>
      <c r="AE371" s="749" t="s">
        <v>3367</v>
      </c>
      <c r="AF371" s="151">
        <v>-4.0000000000000002E-4</v>
      </c>
      <c r="AG371" s="1" t="s">
        <v>3355</v>
      </c>
      <c r="AH371" s="151">
        <v>-4.0000000000000001E-3</v>
      </c>
      <c r="AI371" s="1" t="s">
        <v>3331</v>
      </c>
      <c r="AJ371" s="151">
        <v>-4.0000000000000001E-3</v>
      </c>
      <c r="AK371" s="749" t="s">
        <v>3349</v>
      </c>
      <c r="AL371" s="151">
        <v>-4.0000000000000001E-3</v>
      </c>
      <c r="AM371" s="749" t="s">
        <v>3349</v>
      </c>
      <c r="AN371" s="151">
        <v>-4.0000000000000001E-3</v>
      </c>
      <c r="AO371" s="749" t="s">
        <v>3349</v>
      </c>
      <c r="AP371" s="151">
        <v>-4.0000000000000001E-3</v>
      </c>
      <c r="AQ371" s="1" t="s">
        <v>3334</v>
      </c>
      <c r="AR371" s="151">
        <v>-4.0000000000000001E-3</v>
      </c>
      <c r="AS371" s="749" t="s">
        <v>3370</v>
      </c>
      <c r="AT371" s="151">
        <v>-4.0000000000000002E-4</v>
      </c>
      <c r="AU371" s="1" t="s">
        <v>3356</v>
      </c>
      <c r="AV371" s="151">
        <v>-4.0000000000000001E-3</v>
      </c>
      <c r="AW371" s="749" t="s">
        <v>1951</v>
      </c>
      <c r="AX371" s="151">
        <v>-4.0000000000000002E-4</v>
      </c>
      <c r="AY371" s="749" t="s">
        <v>1992</v>
      </c>
      <c r="AZ371" s="1" t="s">
        <v>510</v>
      </c>
      <c r="BA371" s="151">
        <v>-4.0000000000000001E-3</v>
      </c>
    </row>
    <row r="372" spans="19:53">
      <c r="S372" s="1" t="s">
        <v>3334</v>
      </c>
      <c r="T372" s="151">
        <v>-4.0000000000000001E-3</v>
      </c>
      <c r="U372" s="1" t="s">
        <v>3350</v>
      </c>
      <c r="V372" s="151">
        <v>-4.0000000000000001E-3</v>
      </c>
      <c r="W372" s="1" t="s">
        <v>1895</v>
      </c>
      <c r="X372" s="151">
        <v>-4.0000000000000001E-3</v>
      </c>
      <c r="Y372" s="1" t="s">
        <v>3333</v>
      </c>
      <c r="Z372" s="151">
        <v>-4.0000000000000001E-3</v>
      </c>
      <c r="AA372" s="1" t="s">
        <v>3347</v>
      </c>
      <c r="AB372" s="151">
        <v>-4.0000000000000001E-3</v>
      </c>
      <c r="AC372" s="1" t="s">
        <v>3335</v>
      </c>
      <c r="AD372" s="151">
        <v>-4.0000000000000001E-3</v>
      </c>
      <c r="AE372" s="1" t="s">
        <v>3490</v>
      </c>
      <c r="AF372" s="151">
        <v>-4.0000000000000002E-4</v>
      </c>
      <c r="AG372" s="1" t="s">
        <v>3336</v>
      </c>
      <c r="AH372" s="151">
        <v>-4.0000000000000001E-3</v>
      </c>
      <c r="AI372" s="749" t="s">
        <v>3348</v>
      </c>
      <c r="AJ372" s="151">
        <v>-4.0000000000000001E-3</v>
      </c>
      <c r="AK372" s="1" t="s">
        <v>3334</v>
      </c>
      <c r="AL372" s="151">
        <v>-4.0000000000000001E-3</v>
      </c>
      <c r="AM372" s="1" t="s">
        <v>3334</v>
      </c>
      <c r="AN372" s="151">
        <v>-4.0000000000000001E-3</v>
      </c>
      <c r="AO372" s="1" t="s">
        <v>3334</v>
      </c>
      <c r="AP372" s="151">
        <v>-4.0000000000000001E-3</v>
      </c>
      <c r="AQ372" s="749" t="s">
        <v>3352</v>
      </c>
      <c r="AR372" s="151">
        <v>-4.0000000000000001E-3</v>
      </c>
      <c r="AS372" s="749" t="s">
        <v>3509</v>
      </c>
      <c r="AT372" s="151">
        <v>-4.0000000000000002E-4</v>
      </c>
      <c r="AU372" s="749" t="s">
        <v>510</v>
      </c>
      <c r="AV372" s="151">
        <v>-4.0000000000000001E-3</v>
      </c>
      <c r="AW372" s="749" t="s">
        <v>3390</v>
      </c>
      <c r="AX372" s="151">
        <v>-4.0000000000000002E-4</v>
      </c>
      <c r="AY372" s="1" t="s">
        <v>1931</v>
      </c>
      <c r="AZ372" s="1" t="s">
        <v>3347</v>
      </c>
      <c r="BA372" s="151">
        <v>-4.0000000000000001E-3</v>
      </c>
    </row>
    <row r="373" spans="19:53">
      <c r="S373" s="1" t="s">
        <v>3350</v>
      </c>
      <c r="T373" s="151">
        <v>-4.0000000000000001E-3</v>
      </c>
      <c r="U373" s="1" t="s">
        <v>3351</v>
      </c>
      <c r="V373" s="151">
        <v>-4.0000000000000001E-3</v>
      </c>
      <c r="W373" s="1" t="s">
        <v>1896</v>
      </c>
      <c r="X373" s="151">
        <v>-4.0000000000000001E-3</v>
      </c>
      <c r="Y373" s="749" t="s">
        <v>3349</v>
      </c>
      <c r="Z373" s="151">
        <v>-4.0000000000000001E-3</v>
      </c>
      <c r="AA373" s="1" t="s">
        <v>3331</v>
      </c>
      <c r="AB373" s="151">
        <v>-4.0000000000000001E-3</v>
      </c>
      <c r="AC373" s="1" t="s">
        <v>3394</v>
      </c>
      <c r="AD373" s="151">
        <v>-4.0000000000000001E-3</v>
      </c>
      <c r="AE373" s="1" t="s">
        <v>1916</v>
      </c>
      <c r="AF373" s="151">
        <v>-4.0000000000000002E-4</v>
      </c>
      <c r="AG373" s="1" t="s">
        <v>3356</v>
      </c>
      <c r="AH373" s="151">
        <v>-4.0000000000000001E-3</v>
      </c>
      <c r="AI373" s="1" t="s">
        <v>3478</v>
      </c>
      <c r="AJ373" s="151">
        <v>-4.0000000000000001E-3</v>
      </c>
      <c r="AK373" s="1" t="s">
        <v>3350</v>
      </c>
      <c r="AL373" s="151">
        <v>-4.0000000000000001E-3</v>
      </c>
      <c r="AM373" s="749" t="s">
        <v>3352</v>
      </c>
      <c r="AN373" s="151">
        <v>-4.0000000000000001E-3</v>
      </c>
      <c r="AO373" s="749" t="s">
        <v>3352</v>
      </c>
      <c r="AP373" s="151">
        <v>-4.0000000000000001E-3</v>
      </c>
      <c r="AQ373" s="1" t="s">
        <v>1894</v>
      </c>
      <c r="AR373" s="151">
        <v>-4.0000000000000001E-3</v>
      </c>
      <c r="AS373" s="749" t="s">
        <v>1951</v>
      </c>
      <c r="AT373" s="151">
        <v>-4.0000000000000002E-4</v>
      </c>
      <c r="AU373" s="749" t="s">
        <v>3337</v>
      </c>
      <c r="AV373" s="151">
        <v>-4.0000000000000001E-3</v>
      </c>
      <c r="AW373" s="1" t="s">
        <v>3498</v>
      </c>
      <c r="AX373" s="151">
        <v>-4.0000000000000002E-4</v>
      </c>
      <c r="AY373" s="1" t="s">
        <v>1932</v>
      </c>
      <c r="AZ373" s="1" t="s">
        <v>3331</v>
      </c>
      <c r="BA373" s="151">
        <v>-4.0000000000000001E-3</v>
      </c>
    </row>
    <row r="374" spans="19:53">
      <c r="S374" s="1" t="s">
        <v>3351</v>
      </c>
      <c r="T374" s="151">
        <v>-4.0000000000000001E-3</v>
      </c>
      <c r="U374" s="749" t="s">
        <v>3352</v>
      </c>
      <c r="V374" s="151">
        <v>-4.0000000000000001E-3</v>
      </c>
      <c r="W374" s="1" t="s">
        <v>3481</v>
      </c>
      <c r="X374" s="151">
        <v>-4.0000000000000001E-3</v>
      </c>
      <c r="Y374" s="1" t="s">
        <v>3334</v>
      </c>
      <c r="Z374" s="151">
        <v>-4.0000000000000001E-3</v>
      </c>
      <c r="AA374" s="749" t="s">
        <v>3348</v>
      </c>
      <c r="AB374" s="151">
        <v>-4.0000000000000001E-3</v>
      </c>
      <c r="AC374" s="1" t="s">
        <v>3353</v>
      </c>
      <c r="AD374" s="151">
        <v>-4.0000000000000001E-3</v>
      </c>
      <c r="AE374" s="749" t="s">
        <v>3382</v>
      </c>
      <c r="AF374" s="151">
        <v>-4.0000000000000002E-4</v>
      </c>
      <c r="AG374" s="749" t="s">
        <v>510</v>
      </c>
      <c r="AH374" s="151">
        <v>-4.0000000000000001E-3</v>
      </c>
      <c r="AI374" s="1" t="s">
        <v>3333</v>
      </c>
      <c r="AJ374" s="151">
        <v>-4.0000000000000001E-3</v>
      </c>
      <c r="AK374" s="1" t="s">
        <v>3351</v>
      </c>
      <c r="AL374" s="151">
        <v>-4.0000000000000001E-3</v>
      </c>
      <c r="AM374" s="1" t="s">
        <v>1894</v>
      </c>
      <c r="AN374" s="151">
        <v>-4.0000000000000001E-3</v>
      </c>
      <c r="AO374" s="1" t="s">
        <v>1894</v>
      </c>
      <c r="AP374" s="151">
        <v>-4.0000000000000001E-3</v>
      </c>
      <c r="AQ374" s="1" t="s">
        <v>1895</v>
      </c>
      <c r="AR374" s="151">
        <v>-4.0000000000000001E-3</v>
      </c>
      <c r="AS374" s="749" t="s">
        <v>3390</v>
      </c>
      <c r="AT374" s="151">
        <v>-4.0000000000000002E-4</v>
      </c>
      <c r="AU374" s="1" t="s">
        <v>3338</v>
      </c>
      <c r="AV374" s="151">
        <v>-4.0000000000000001E-3</v>
      </c>
      <c r="AW374" s="749" t="s">
        <v>3371</v>
      </c>
      <c r="AX374" s="151">
        <v>-4.0000000000000002E-4</v>
      </c>
      <c r="AY374" s="749" t="s">
        <v>3376</v>
      </c>
      <c r="AZ374" s="749" t="s">
        <v>3348</v>
      </c>
      <c r="BA374" s="151">
        <v>-4.0000000000000001E-3</v>
      </c>
    </row>
    <row r="375" spans="19:53">
      <c r="S375" s="749" t="s">
        <v>3352</v>
      </c>
      <c r="T375" s="151">
        <v>-4.0000000000000001E-3</v>
      </c>
      <c r="U375" s="1" t="s">
        <v>1894</v>
      </c>
      <c r="V375" s="151">
        <v>-4.0000000000000001E-3</v>
      </c>
      <c r="W375" s="1" t="s">
        <v>1898</v>
      </c>
      <c r="X375" s="151">
        <v>-4.0000000000000001E-3</v>
      </c>
      <c r="Y375" s="749" t="s">
        <v>3352</v>
      </c>
      <c r="Z375" s="151">
        <v>-4.0000000000000001E-3</v>
      </c>
      <c r="AA375" s="1" t="s">
        <v>3478</v>
      </c>
      <c r="AB375" s="151">
        <v>-4.0000000000000001E-3</v>
      </c>
      <c r="AC375" s="749" t="s">
        <v>3354</v>
      </c>
      <c r="AD375" s="151">
        <v>-4.0000000000000001E-3</v>
      </c>
      <c r="AE375" s="749" t="s">
        <v>3378</v>
      </c>
      <c r="AF375" s="151">
        <v>-4.0000000000000002E-4</v>
      </c>
      <c r="AG375" s="749" t="s">
        <v>3337</v>
      </c>
      <c r="AH375" s="151">
        <v>-4.0000000000000001E-3</v>
      </c>
      <c r="AI375" s="749" t="s">
        <v>3349</v>
      </c>
      <c r="AJ375" s="151">
        <v>-4.0000000000000001E-3</v>
      </c>
      <c r="AK375" s="749" t="s">
        <v>3352</v>
      </c>
      <c r="AL375" s="151">
        <v>-4.0000000000000001E-3</v>
      </c>
      <c r="AM375" s="1" t="s">
        <v>1895</v>
      </c>
      <c r="AN375" s="151">
        <v>-4.0000000000000001E-3</v>
      </c>
      <c r="AO375" s="1" t="s">
        <v>1895</v>
      </c>
      <c r="AP375" s="151">
        <v>-4.0000000000000001E-3</v>
      </c>
      <c r="AQ375" s="1" t="s">
        <v>3335</v>
      </c>
      <c r="AR375" s="151">
        <v>-4.0000000000000001E-3</v>
      </c>
      <c r="AS375" s="1" t="s">
        <v>3498</v>
      </c>
      <c r="AT375" s="151">
        <v>-4.0000000000000002E-4</v>
      </c>
      <c r="AU375" s="8" t="s">
        <v>3340</v>
      </c>
      <c r="AV375" s="151">
        <v>-4.0000000000000001E-3</v>
      </c>
      <c r="AW375" s="749" t="s">
        <v>3263</v>
      </c>
      <c r="AX375" s="151">
        <v>-4.0000000000000002E-4</v>
      </c>
      <c r="AY375" s="749" t="s">
        <v>3388</v>
      </c>
      <c r="AZ375" s="1" t="s">
        <v>3333</v>
      </c>
      <c r="BA375" s="151">
        <v>-4.0000000000000001E-3</v>
      </c>
    </row>
    <row r="376" spans="19:53">
      <c r="S376" s="1" t="s">
        <v>1894</v>
      </c>
      <c r="T376" s="151">
        <v>-4.0000000000000001E-3</v>
      </c>
      <c r="U376" s="1" t="s">
        <v>1895</v>
      </c>
      <c r="V376" s="151">
        <v>-4.0000000000000001E-3</v>
      </c>
      <c r="W376" s="1" t="s">
        <v>3335</v>
      </c>
      <c r="X376" s="151">
        <v>-4.0000000000000001E-3</v>
      </c>
      <c r="Y376" s="1" t="s">
        <v>1894</v>
      </c>
      <c r="Z376" s="151">
        <v>-4.0000000000000001E-3</v>
      </c>
      <c r="AA376" s="1" t="s">
        <v>3333</v>
      </c>
      <c r="AB376" s="151">
        <v>-4.0000000000000001E-3</v>
      </c>
      <c r="AC376" s="1" t="s">
        <v>3355</v>
      </c>
      <c r="AD376" s="151">
        <v>-4.0000000000000001E-3</v>
      </c>
      <c r="AE376" s="749" t="s">
        <v>3370</v>
      </c>
      <c r="AF376" s="151">
        <v>-4.0000000000000002E-4</v>
      </c>
      <c r="AG376" s="1" t="s">
        <v>3338</v>
      </c>
      <c r="AH376" s="151">
        <v>-4.0000000000000001E-3</v>
      </c>
      <c r="AI376" s="1" t="s">
        <v>3334</v>
      </c>
      <c r="AJ376" s="151">
        <v>-4.0000000000000001E-3</v>
      </c>
      <c r="AK376" s="1" t="s">
        <v>1894</v>
      </c>
      <c r="AL376" s="151">
        <v>-4.0000000000000001E-3</v>
      </c>
      <c r="AM376" s="1" t="s">
        <v>3335</v>
      </c>
      <c r="AN376" s="151">
        <v>-4.0000000000000001E-3</v>
      </c>
      <c r="AO376" s="1" t="s">
        <v>3335</v>
      </c>
      <c r="AP376" s="151">
        <v>-4.0000000000000001E-3</v>
      </c>
      <c r="AQ376" s="1" t="s">
        <v>3394</v>
      </c>
      <c r="AR376" s="151">
        <v>-4.0000000000000001E-3</v>
      </c>
      <c r="AS376" s="749" t="s">
        <v>3371</v>
      </c>
      <c r="AT376" s="151">
        <v>-4.0000000000000002E-4</v>
      </c>
      <c r="AU376" s="8" t="s">
        <v>3341</v>
      </c>
      <c r="AV376" s="151">
        <v>-4.0000000000000001E-3</v>
      </c>
      <c r="AW376" s="749" t="s">
        <v>3383</v>
      </c>
      <c r="AX376" s="151">
        <v>-4.0000000000000002E-4</v>
      </c>
      <c r="AY376" s="749" t="s">
        <v>1951</v>
      </c>
      <c r="AZ376" s="749" t="s">
        <v>3349</v>
      </c>
      <c r="BA376" s="151">
        <v>-4.0000000000000001E-3</v>
      </c>
    </row>
    <row r="377" spans="19:53">
      <c r="S377" s="1" t="s">
        <v>1895</v>
      </c>
      <c r="T377" s="151">
        <v>-4.0000000000000001E-3</v>
      </c>
      <c r="U377" s="1" t="s">
        <v>1896</v>
      </c>
      <c r="V377" s="151">
        <v>-4.0000000000000001E-3</v>
      </c>
      <c r="W377" s="1" t="s">
        <v>3394</v>
      </c>
      <c r="X377" s="151">
        <v>-4.0000000000000001E-3</v>
      </c>
      <c r="Y377" s="1" t="s">
        <v>1895</v>
      </c>
      <c r="Z377" s="151">
        <v>-4.0000000000000001E-3</v>
      </c>
      <c r="AA377" s="749" t="s">
        <v>3349</v>
      </c>
      <c r="AB377" s="151">
        <v>-4.0000000000000001E-3</v>
      </c>
      <c r="AC377" s="1" t="s">
        <v>3356</v>
      </c>
      <c r="AD377" s="151">
        <v>-4.0000000000000001E-3</v>
      </c>
      <c r="AE377" s="749" t="s">
        <v>3509</v>
      </c>
      <c r="AF377" s="151">
        <v>-4.0000000000000002E-4</v>
      </c>
      <c r="AG377" s="8" t="s">
        <v>3340</v>
      </c>
      <c r="AH377" s="151">
        <v>-4.0000000000000001E-3</v>
      </c>
      <c r="AI377" s="749" t="s">
        <v>3352</v>
      </c>
      <c r="AJ377" s="151">
        <v>-4.0000000000000001E-3</v>
      </c>
      <c r="AK377" s="1" t="s">
        <v>1895</v>
      </c>
      <c r="AL377" s="151">
        <v>-4.0000000000000001E-3</v>
      </c>
      <c r="AM377" s="1" t="s">
        <v>3394</v>
      </c>
      <c r="AN377" s="151">
        <v>-4.0000000000000001E-3</v>
      </c>
      <c r="AO377" s="1" t="s">
        <v>3394</v>
      </c>
      <c r="AP377" s="151">
        <v>-4.0000000000000001E-3</v>
      </c>
      <c r="AQ377" s="1" t="s">
        <v>3353</v>
      </c>
      <c r="AR377" s="151">
        <v>-4.0000000000000001E-3</v>
      </c>
      <c r="AS377" s="749" t="s">
        <v>3263</v>
      </c>
      <c r="AT377" s="151">
        <v>-4.0000000000000002E-4</v>
      </c>
      <c r="AU377" s="749" t="s">
        <v>3357</v>
      </c>
      <c r="AV377" s="151">
        <v>-4.0000000000000001E-3</v>
      </c>
      <c r="AW377" s="749" t="s">
        <v>3264</v>
      </c>
      <c r="AX377" s="151">
        <v>-4.0000000000000002E-4</v>
      </c>
      <c r="AY377" s="749" t="s">
        <v>1992</v>
      </c>
      <c r="AZ377" s="1" t="s">
        <v>3334</v>
      </c>
      <c r="BA377" s="151">
        <v>-4.0000000000000001E-3</v>
      </c>
    </row>
    <row r="378" spans="19:53">
      <c r="S378" s="1" t="s">
        <v>1896</v>
      </c>
      <c r="T378" s="151">
        <v>-4.0000000000000001E-3</v>
      </c>
      <c r="U378" s="1" t="s">
        <v>3481</v>
      </c>
      <c r="V378" s="151">
        <v>-4.0000000000000001E-3</v>
      </c>
      <c r="W378" s="1" t="s">
        <v>3353</v>
      </c>
      <c r="X378" s="151">
        <v>-4.0000000000000001E-3</v>
      </c>
      <c r="Y378" s="1" t="s">
        <v>3335</v>
      </c>
      <c r="Z378" s="151">
        <v>-4.0000000000000001E-3</v>
      </c>
      <c r="AA378" s="1" t="s">
        <v>3334</v>
      </c>
      <c r="AB378" s="151">
        <v>-4.0000000000000001E-3</v>
      </c>
      <c r="AC378" s="749" t="s">
        <v>510</v>
      </c>
      <c r="AD378" s="151">
        <v>-4.0000000000000001E-3</v>
      </c>
      <c r="AE378" s="749" t="s">
        <v>1951</v>
      </c>
      <c r="AF378" s="151">
        <v>-4.0000000000000002E-4</v>
      </c>
      <c r="AG378" s="8" t="s">
        <v>3341</v>
      </c>
      <c r="AH378" s="151">
        <v>-4.0000000000000001E-3</v>
      </c>
      <c r="AI378" s="1" t="s">
        <v>1894</v>
      </c>
      <c r="AJ378" s="151">
        <v>-4.0000000000000001E-3</v>
      </c>
      <c r="AK378" s="1" t="s">
        <v>3335</v>
      </c>
      <c r="AL378" s="151">
        <v>-4.0000000000000001E-3</v>
      </c>
      <c r="AM378" s="1" t="s">
        <v>3353</v>
      </c>
      <c r="AN378" s="151">
        <v>-4.0000000000000001E-3</v>
      </c>
      <c r="AO378" s="1" t="s">
        <v>3353</v>
      </c>
      <c r="AP378" s="151">
        <v>-4.0000000000000001E-3</v>
      </c>
      <c r="AQ378" s="749" t="s">
        <v>3354</v>
      </c>
      <c r="AR378" s="151">
        <v>-4.0000000000000001E-3</v>
      </c>
      <c r="AS378" s="749" t="s">
        <v>3383</v>
      </c>
      <c r="AT378" s="151">
        <v>-4.0000000000000002E-4</v>
      </c>
      <c r="AU378" s="82" t="s">
        <v>1907</v>
      </c>
      <c r="AV378" s="151">
        <v>-4.0000000000000001E-3</v>
      </c>
      <c r="AW378" s="749" t="s">
        <v>3265</v>
      </c>
      <c r="AX378" s="151">
        <v>-4.0000000000000002E-4</v>
      </c>
      <c r="AY378" s="1" t="s">
        <v>3271</v>
      </c>
      <c r="AZ378" s="749" t="s">
        <v>3352</v>
      </c>
      <c r="BA378" s="151">
        <v>-4.0000000000000001E-3</v>
      </c>
    </row>
    <row r="379" spans="19:53">
      <c r="S379" s="1" t="s">
        <v>3481</v>
      </c>
      <c r="T379" s="151">
        <v>-4.0000000000000001E-3</v>
      </c>
      <c r="U379" s="1" t="s">
        <v>1898</v>
      </c>
      <c r="V379" s="151">
        <v>-4.0000000000000001E-3</v>
      </c>
      <c r="W379" s="749" t="s">
        <v>3354</v>
      </c>
      <c r="X379" s="151">
        <v>-4.0000000000000001E-3</v>
      </c>
      <c r="Y379" s="1" t="s">
        <v>3394</v>
      </c>
      <c r="Z379" s="151">
        <v>-4.0000000000000001E-3</v>
      </c>
      <c r="AA379" s="749" t="s">
        <v>3352</v>
      </c>
      <c r="AB379" s="151">
        <v>-4.0000000000000001E-3</v>
      </c>
      <c r="AC379" s="749" t="s">
        <v>3337</v>
      </c>
      <c r="AD379" s="151">
        <v>-4.0000000000000001E-3</v>
      </c>
      <c r="AE379" s="749" t="s">
        <v>3390</v>
      </c>
      <c r="AF379" s="237">
        <v>-4.0000000000000002E-4</v>
      </c>
      <c r="AG379" s="749" t="s">
        <v>3357</v>
      </c>
      <c r="AH379" s="321">
        <v>-4.0000000000000001E-3</v>
      </c>
      <c r="AI379" s="1" t="s">
        <v>1895</v>
      </c>
      <c r="AJ379" s="151">
        <v>-4.0000000000000001E-3</v>
      </c>
      <c r="AK379" s="1" t="s">
        <v>3394</v>
      </c>
      <c r="AL379" s="151">
        <v>-4.0000000000000001E-3</v>
      </c>
      <c r="AM379" s="749" t="s">
        <v>3354</v>
      </c>
      <c r="AN379" s="151">
        <v>-4.0000000000000001E-3</v>
      </c>
      <c r="AO379" s="749" t="s">
        <v>3354</v>
      </c>
      <c r="AP379" s="151">
        <v>-4.0000000000000001E-3</v>
      </c>
      <c r="AQ379" s="1" t="s">
        <v>3355</v>
      </c>
      <c r="AR379" s="151">
        <v>-4.0000000000000001E-3</v>
      </c>
      <c r="AS379" s="749" t="s">
        <v>3264</v>
      </c>
      <c r="AT379" s="151">
        <v>-4.0000000000000002E-4</v>
      </c>
      <c r="AU379" s="1" t="s">
        <v>3363</v>
      </c>
      <c r="AV379" s="151">
        <v>-4.0000000000000001E-3</v>
      </c>
      <c r="AW379" s="749" t="s">
        <v>3266</v>
      </c>
      <c r="AX379" s="237">
        <v>-4.0000000000000002E-4</v>
      </c>
      <c r="AY379" s="749" t="s">
        <v>3272</v>
      </c>
      <c r="AZ379" s="1" t="s">
        <v>1894</v>
      </c>
      <c r="BA379" s="151">
        <v>-4.0000000000000001E-3</v>
      </c>
    </row>
    <row r="380" spans="19:53">
      <c r="S380" s="1" t="s">
        <v>1898</v>
      </c>
      <c r="T380" s="151">
        <v>-4.0000000000000001E-3</v>
      </c>
      <c r="U380" s="1" t="s">
        <v>3335</v>
      </c>
      <c r="V380" s="151">
        <v>-4.0000000000000001E-3</v>
      </c>
      <c r="W380" s="1" t="s">
        <v>3355</v>
      </c>
      <c r="X380" s="151">
        <v>-4.0000000000000001E-3</v>
      </c>
      <c r="Y380" s="1" t="s">
        <v>3353</v>
      </c>
      <c r="Z380" s="151">
        <v>-4.0000000000000001E-3</v>
      </c>
      <c r="AA380" s="1" t="s">
        <v>1894</v>
      </c>
      <c r="AB380" s="151">
        <v>-4.0000000000000001E-3</v>
      </c>
      <c r="AC380" s="1" t="s">
        <v>3338</v>
      </c>
      <c r="AD380" s="151">
        <v>-4.0000000000000001E-3</v>
      </c>
      <c r="AE380" s="1" t="s">
        <v>3498</v>
      </c>
      <c r="AF380" s="151">
        <v>-4.0000000000000002E-4</v>
      </c>
      <c r="AG380" s="82" t="s">
        <v>1907</v>
      </c>
      <c r="AH380" s="151">
        <v>-4.0000000000000001E-3</v>
      </c>
      <c r="AI380" s="1" t="s">
        <v>3335</v>
      </c>
      <c r="AJ380" s="151">
        <v>-4.0000000000000001E-3</v>
      </c>
      <c r="AK380" s="1" t="s">
        <v>3353</v>
      </c>
      <c r="AL380" s="151">
        <v>-4.0000000000000001E-3</v>
      </c>
      <c r="AM380" s="1" t="s">
        <v>3355</v>
      </c>
      <c r="AN380" s="151">
        <v>-4.0000000000000001E-3</v>
      </c>
      <c r="AO380" s="1" t="s">
        <v>3355</v>
      </c>
      <c r="AP380" s="151">
        <v>-4.0000000000000001E-3</v>
      </c>
      <c r="AQ380" s="1" t="s">
        <v>3336</v>
      </c>
      <c r="AR380" s="151">
        <v>-4.0000000000000001E-3</v>
      </c>
      <c r="AS380" s="749" t="s">
        <v>3265</v>
      </c>
      <c r="AT380" s="151">
        <v>-4.0000000000000002E-4</v>
      </c>
      <c r="AU380" s="1" t="s">
        <v>3364</v>
      </c>
      <c r="AV380" s="151">
        <v>-4.0000000000000001E-3</v>
      </c>
      <c r="AW380" s="749" t="s">
        <v>3372</v>
      </c>
      <c r="AX380" s="151">
        <v>-4.0000000000000002E-4</v>
      </c>
      <c r="AY380" s="749" t="s">
        <v>3273</v>
      </c>
      <c r="AZ380" s="1" t="s">
        <v>1895</v>
      </c>
      <c r="BA380" s="151">
        <v>-4.0000000000000001E-3</v>
      </c>
    </row>
    <row r="381" spans="19:53">
      <c r="S381" s="1" t="s">
        <v>3335</v>
      </c>
      <c r="T381" s="151">
        <v>-4.0000000000000001E-3</v>
      </c>
      <c r="U381" s="1" t="s">
        <v>3394</v>
      </c>
      <c r="V381" s="151">
        <v>-4.0000000000000001E-3</v>
      </c>
      <c r="W381" s="1" t="s">
        <v>3336</v>
      </c>
      <c r="X381" s="151">
        <v>-4.0000000000000001E-3</v>
      </c>
      <c r="Y381" s="749" t="s">
        <v>3354</v>
      </c>
      <c r="Z381" s="151">
        <v>-4.0000000000000001E-3</v>
      </c>
      <c r="AA381" s="1" t="s">
        <v>1895</v>
      </c>
      <c r="AB381" s="151">
        <v>-4.0000000000000001E-3</v>
      </c>
      <c r="AC381" s="8" t="s">
        <v>3340</v>
      </c>
      <c r="AD381" s="151">
        <v>-4.0000000000000001E-3</v>
      </c>
      <c r="AE381" s="749" t="s">
        <v>3371</v>
      </c>
      <c r="AF381" s="151">
        <v>-4.0000000000000002E-4</v>
      </c>
      <c r="AG381" s="82" t="s">
        <v>3361</v>
      </c>
      <c r="AH381" s="151">
        <v>-4.0000000000000001E-3</v>
      </c>
      <c r="AI381" s="1" t="s">
        <v>3394</v>
      </c>
      <c r="AJ381" s="151">
        <v>-4.0000000000000001E-3</v>
      </c>
      <c r="AK381" s="749" t="s">
        <v>3354</v>
      </c>
      <c r="AL381" s="151">
        <v>-4.0000000000000001E-3</v>
      </c>
      <c r="AM381" s="1" t="s">
        <v>3336</v>
      </c>
      <c r="AN381" s="151">
        <v>-4.0000000000000001E-3</v>
      </c>
      <c r="AO381" s="1" t="s">
        <v>3336</v>
      </c>
      <c r="AP381" s="151">
        <v>-4.0000000000000001E-3</v>
      </c>
      <c r="AQ381" s="1" t="s">
        <v>3356</v>
      </c>
      <c r="AR381" s="151">
        <v>-4.0000000000000001E-3</v>
      </c>
      <c r="AS381" s="749" t="s">
        <v>3266</v>
      </c>
      <c r="AT381" s="151">
        <v>-4.0000000000000002E-4</v>
      </c>
      <c r="AU381" s="53" t="s">
        <v>3488</v>
      </c>
      <c r="AV381" s="151">
        <v>-4.0000000000000001E-3</v>
      </c>
      <c r="AW381" s="749" t="s">
        <v>3399</v>
      </c>
      <c r="AX381" s="151">
        <v>-4.0000000000000002E-4</v>
      </c>
      <c r="AY381" s="1" t="s">
        <v>3499</v>
      </c>
      <c r="AZ381" s="1" t="s">
        <v>1896</v>
      </c>
      <c r="BA381" s="151">
        <v>-4.0000000000000001E-3</v>
      </c>
    </row>
    <row r="382" spans="19:53">
      <c r="S382" s="1" t="s">
        <v>3394</v>
      </c>
      <c r="T382" s="151">
        <v>-4.0000000000000001E-3</v>
      </c>
      <c r="U382" s="1" t="s">
        <v>3353</v>
      </c>
      <c r="V382" s="151">
        <v>-4.0000000000000001E-3</v>
      </c>
      <c r="W382" s="1" t="s">
        <v>3356</v>
      </c>
      <c r="X382" s="151">
        <v>-4.0000000000000001E-3</v>
      </c>
      <c r="Y382" s="1" t="s">
        <v>3355</v>
      </c>
      <c r="Z382" s="151">
        <v>-4.0000000000000001E-3</v>
      </c>
      <c r="AA382" s="1" t="s">
        <v>3335</v>
      </c>
      <c r="AB382" s="151">
        <v>-4.0000000000000001E-3</v>
      </c>
      <c r="AC382" s="8" t="s">
        <v>3341</v>
      </c>
      <c r="AD382" s="151">
        <v>-4.0000000000000001E-3</v>
      </c>
      <c r="AE382" s="749" t="s">
        <v>3383</v>
      </c>
      <c r="AF382" s="235">
        <v>-4.0000000000000002E-4</v>
      </c>
      <c r="AG382" s="1" t="s">
        <v>3363</v>
      </c>
      <c r="AH382" s="151">
        <v>-4.0000000000000001E-3</v>
      </c>
      <c r="AI382" s="1" t="s">
        <v>3353</v>
      </c>
      <c r="AJ382" s="151">
        <v>-4.0000000000000001E-3</v>
      </c>
      <c r="AK382" s="1" t="s">
        <v>3355</v>
      </c>
      <c r="AL382" s="151">
        <v>-4.0000000000000001E-3</v>
      </c>
      <c r="AM382" s="1" t="s">
        <v>3356</v>
      </c>
      <c r="AN382" s="151">
        <v>-4.0000000000000001E-3</v>
      </c>
      <c r="AO382" s="1" t="s">
        <v>3356</v>
      </c>
      <c r="AP382" s="151">
        <v>-4.0000000000000001E-3</v>
      </c>
      <c r="AQ382" s="749" t="s">
        <v>510</v>
      </c>
      <c r="AR382" s="151">
        <v>-4.0000000000000001E-3</v>
      </c>
      <c r="AS382" s="749" t="s">
        <v>3372</v>
      </c>
      <c r="AT382" s="151">
        <v>-4.0000000000000002E-4</v>
      </c>
      <c r="AU382" s="1" t="s">
        <v>3260</v>
      </c>
      <c r="AV382" s="151">
        <v>-4.0000000000000001E-3</v>
      </c>
      <c r="AW382" s="1" t="s">
        <v>3247</v>
      </c>
      <c r="AX382" s="151">
        <v>-4.0000000000000002E-4</v>
      </c>
      <c r="AY382" s="749" t="s">
        <v>3392</v>
      </c>
      <c r="AZ382" s="1" t="s">
        <v>3481</v>
      </c>
      <c r="BA382" s="151">
        <v>-4.0000000000000001E-3</v>
      </c>
    </row>
    <row r="383" spans="19:53">
      <c r="S383" s="1" t="s">
        <v>3353</v>
      </c>
      <c r="T383" s="151">
        <v>-4.0000000000000001E-3</v>
      </c>
      <c r="U383" s="749" t="s">
        <v>3354</v>
      </c>
      <c r="V383" s="151">
        <v>-4.0000000000000001E-3</v>
      </c>
      <c r="W383" s="749" t="s">
        <v>510</v>
      </c>
      <c r="X383" s="151">
        <v>-4.0000000000000001E-3</v>
      </c>
      <c r="Y383" s="1" t="s">
        <v>3356</v>
      </c>
      <c r="Z383" s="151">
        <v>-4.0000000000000001E-3</v>
      </c>
      <c r="AA383" s="1" t="s">
        <v>3394</v>
      </c>
      <c r="AB383" s="151">
        <v>-4.0000000000000001E-3</v>
      </c>
      <c r="AC383" s="749" t="s">
        <v>3357</v>
      </c>
      <c r="AD383" s="151">
        <v>-4.0000000000000001E-3</v>
      </c>
      <c r="AE383" s="749" t="s">
        <v>3264</v>
      </c>
      <c r="AF383" s="151">
        <v>-4.0000000000000002E-4</v>
      </c>
      <c r="AG383" s="1" t="s">
        <v>3364</v>
      </c>
      <c r="AH383" s="151">
        <v>-4.0000000000000001E-3</v>
      </c>
      <c r="AI383" s="749" t="s">
        <v>3354</v>
      </c>
      <c r="AJ383" s="151">
        <v>-4.0000000000000001E-3</v>
      </c>
      <c r="AK383" s="1" t="s">
        <v>3336</v>
      </c>
      <c r="AL383" s="151">
        <v>-4.0000000000000001E-3</v>
      </c>
      <c r="AM383" s="749" t="s">
        <v>510</v>
      </c>
      <c r="AN383" s="151">
        <v>-4.0000000000000001E-3</v>
      </c>
      <c r="AO383" s="749" t="s">
        <v>510</v>
      </c>
      <c r="AP383" s="151">
        <v>-4.0000000000000001E-3</v>
      </c>
      <c r="AQ383" s="749" t="s">
        <v>3337</v>
      </c>
      <c r="AR383" s="151">
        <v>-4.0000000000000001E-3</v>
      </c>
      <c r="AS383" s="749" t="s">
        <v>3399</v>
      </c>
      <c r="AT383" s="151">
        <v>-4.0000000000000002E-4</v>
      </c>
      <c r="AU383" s="1" t="s">
        <v>1936</v>
      </c>
      <c r="AV383" s="151">
        <v>-4.0000000000000001E-3</v>
      </c>
      <c r="AW383" s="749" t="s">
        <v>3373</v>
      </c>
      <c r="AX383" s="151">
        <v>-4.0000000000000002E-4</v>
      </c>
      <c r="AY383" s="749" t="s">
        <v>3274</v>
      </c>
      <c r="AZ383" s="1" t="s">
        <v>1898</v>
      </c>
      <c r="BA383" s="151">
        <v>-4.0000000000000001E-3</v>
      </c>
    </row>
    <row r="384" spans="19:53">
      <c r="S384" s="749" t="s">
        <v>3354</v>
      </c>
      <c r="T384" s="151">
        <v>-4.0000000000000001E-3</v>
      </c>
      <c r="U384" s="1" t="s">
        <v>3355</v>
      </c>
      <c r="V384" s="151">
        <v>-4.0000000000000001E-3</v>
      </c>
      <c r="W384" s="749" t="s">
        <v>3337</v>
      </c>
      <c r="X384" s="151">
        <v>-4.0000000000000001E-3</v>
      </c>
      <c r="Y384" s="749" t="s">
        <v>510</v>
      </c>
      <c r="Z384" s="151">
        <v>-4.0000000000000001E-3</v>
      </c>
      <c r="AA384" s="1" t="s">
        <v>3353</v>
      </c>
      <c r="AB384" s="151">
        <v>-4.0000000000000001E-3</v>
      </c>
      <c r="AC384" s="82" t="s">
        <v>1907</v>
      </c>
      <c r="AD384" s="151">
        <v>-4.0000000000000001E-3</v>
      </c>
      <c r="AE384" s="749" t="s">
        <v>3265</v>
      </c>
      <c r="AF384" s="151">
        <v>-4.0000000000000002E-4</v>
      </c>
      <c r="AG384" s="53" t="s">
        <v>3488</v>
      </c>
      <c r="AH384" s="151">
        <v>-4.0000000000000001E-3</v>
      </c>
      <c r="AI384" s="1" t="s">
        <v>3355</v>
      </c>
      <c r="AJ384" s="151">
        <v>-4.0000000000000001E-3</v>
      </c>
      <c r="AK384" s="1" t="s">
        <v>3356</v>
      </c>
      <c r="AL384" s="151">
        <v>-4.0000000000000001E-3</v>
      </c>
      <c r="AM384" s="749" t="s">
        <v>3337</v>
      </c>
      <c r="AN384" s="151">
        <v>-4.0000000000000001E-3</v>
      </c>
      <c r="AO384" s="749" t="s">
        <v>3337</v>
      </c>
      <c r="AP384" s="151">
        <v>-4.0000000000000001E-3</v>
      </c>
      <c r="AQ384" s="1" t="s">
        <v>3338</v>
      </c>
      <c r="AR384" s="151">
        <v>-4.0000000000000001E-3</v>
      </c>
      <c r="AS384" s="1" t="s">
        <v>3268</v>
      </c>
      <c r="AT384" s="151">
        <v>-4.0000000000000002E-4</v>
      </c>
      <c r="AU384" s="1" t="s">
        <v>3379</v>
      </c>
      <c r="AV384" s="151">
        <v>-4.0000000000000001E-3</v>
      </c>
      <c r="AW384" s="1" t="s">
        <v>1924</v>
      </c>
      <c r="AX384" s="151">
        <v>-4.0000000000000002E-4</v>
      </c>
      <c r="AY384" s="1232" t="s">
        <v>3503</v>
      </c>
      <c r="AZ384" s="1" t="s">
        <v>3335</v>
      </c>
      <c r="BA384" s="151">
        <v>-4.0000000000000001E-3</v>
      </c>
    </row>
    <row r="385" spans="19:53">
      <c r="S385" s="1" t="s">
        <v>3355</v>
      </c>
      <c r="T385" s="151">
        <v>-4.0000000000000001E-3</v>
      </c>
      <c r="U385" s="1" t="s">
        <v>3336</v>
      </c>
      <c r="V385" s="151">
        <v>-4.0000000000000001E-3</v>
      </c>
      <c r="W385" s="1" t="s">
        <v>3338</v>
      </c>
      <c r="X385" s="151">
        <v>-4.0000000000000001E-3</v>
      </c>
      <c r="Y385" s="749" t="s">
        <v>3337</v>
      </c>
      <c r="Z385" s="151">
        <v>-4.0000000000000001E-3</v>
      </c>
      <c r="AA385" s="749" t="s">
        <v>3354</v>
      </c>
      <c r="AB385" s="151">
        <v>-4.0000000000000001E-3</v>
      </c>
      <c r="AC385" s="1" t="s">
        <v>3363</v>
      </c>
      <c r="AD385" s="151">
        <v>-4.0000000000000001E-3</v>
      </c>
      <c r="AE385" s="749" t="s">
        <v>3266</v>
      </c>
      <c r="AF385" s="237">
        <v>-4.0000000000000002E-4</v>
      </c>
      <c r="AG385" s="1" t="s">
        <v>3260</v>
      </c>
      <c r="AH385" s="151">
        <v>-4.0000000000000001E-3</v>
      </c>
      <c r="AI385" s="1" t="s">
        <v>3356</v>
      </c>
      <c r="AJ385" s="151">
        <v>-4.0000000000000001E-3</v>
      </c>
      <c r="AK385" s="749" t="s">
        <v>510</v>
      </c>
      <c r="AL385" s="151">
        <v>-4.0000000000000001E-3</v>
      </c>
      <c r="AM385" s="1" t="s">
        <v>3338</v>
      </c>
      <c r="AN385" s="151">
        <v>-4.0000000000000001E-3</v>
      </c>
      <c r="AO385" s="1" t="s">
        <v>3338</v>
      </c>
      <c r="AP385" s="151">
        <v>-4.0000000000000001E-3</v>
      </c>
      <c r="AQ385" s="8" t="s">
        <v>3340</v>
      </c>
      <c r="AR385" s="151">
        <v>-4.0000000000000001E-3</v>
      </c>
      <c r="AS385" s="749" t="s">
        <v>3373</v>
      </c>
      <c r="AT385" s="151">
        <v>-4.0000000000000002E-4</v>
      </c>
      <c r="AU385" s="1" t="s">
        <v>3381</v>
      </c>
      <c r="AV385" s="151">
        <v>-4.0000000000000001E-3</v>
      </c>
      <c r="AW385" s="749" t="s">
        <v>3506</v>
      </c>
      <c r="AX385" s="151">
        <v>-4.0000000000000002E-4</v>
      </c>
      <c r="AY385" s="749" t="s">
        <v>3504</v>
      </c>
      <c r="AZ385" s="1" t="s">
        <v>3394</v>
      </c>
      <c r="BA385" s="151">
        <v>-4.0000000000000001E-3</v>
      </c>
    </row>
    <row r="386" spans="19:53">
      <c r="S386" s="1" t="s">
        <v>3356</v>
      </c>
      <c r="T386" s="151">
        <v>-4.0000000000000001E-3</v>
      </c>
      <c r="U386" s="1" t="s">
        <v>3356</v>
      </c>
      <c r="V386" s="151">
        <v>-4.0000000000000001E-3</v>
      </c>
      <c r="W386" s="8" t="s">
        <v>3340</v>
      </c>
      <c r="X386" s="151">
        <v>-4.0000000000000001E-3</v>
      </c>
      <c r="Y386" s="1" t="s">
        <v>3338</v>
      </c>
      <c r="Z386" s="151">
        <v>-4.0000000000000001E-3</v>
      </c>
      <c r="AA386" s="1" t="s">
        <v>3355</v>
      </c>
      <c r="AB386" s="151">
        <v>-4.0000000000000001E-3</v>
      </c>
      <c r="AC386" s="1" t="s">
        <v>3364</v>
      </c>
      <c r="AD386" s="151">
        <v>-4.0000000000000001E-3</v>
      </c>
      <c r="AE386" s="749" t="s">
        <v>3372</v>
      </c>
      <c r="AF386" s="237">
        <v>-4.0000000000000002E-4</v>
      </c>
      <c r="AG386" s="1" t="s">
        <v>1936</v>
      </c>
      <c r="AH386" s="151">
        <v>-4.0000000000000001E-3</v>
      </c>
      <c r="AI386" s="749" t="s">
        <v>510</v>
      </c>
      <c r="AJ386" s="151">
        <v>-4.0000000000000001E-3</v>
      </c>
      <c r="AK386" s="749" t="s">
        <v>3337</v>
      </c>
      <c r="AL386" s="151">
        <v>-4.0000000000000001E-3</v>
      </c>
      <c r="AM386" s="8" t="s">
        <v>3340</v>
      </c>
      <c r="AN386" s="151">
        <v>-4.0000000000000001E-3</v>
      </c>
      <c r="AO386" s="8" t="s">
        <v>3340</v>
      </c>
      <c r="AP386" s="151">
        <v>-4.0000000000000001E-3</v>
      </c>
      <c r="AQ386" s="8" t="s">
        <v>3341</v>
      </c>
      <c r="AR386" s="151">
        <v>-4.0000000000000001E-3</v>
      </c>
      <c r="AS386" s="1" t="s">
        <v>1924</v>
      </c>
      <c r="AT386" s="151">
        <v>-4.0000000000000002E-4</v>
      </c>
      <c r="AU386" s="1" t="s">
        <v>3380</v>
      </c>
      <c r="AV386" s="151">
        <v>-4.0000000000000001E-3</v>
      </c>
      <c r="AW386" s="1" t="s">
        <v>3250</v>
      </c>
      <c r="AX386" s="151">
        <v>-4.0000000000000002E-4</v>
      </c>
      <c r="AY386" s="1" t="s">
        <v>3254</v>
      </c>
      <c r="AZ386" s="1" t="s">
        <v>3353</v>
      </c>
      <c r="BA386" s="151">
        <v>-4.0000000000000001E-3</v>
      </c>
    </row>
    <row r="387" spans="19:53">
      <c r="S387" s="749" t="s">
        <v>510</v>
      </c>
      <c r="T387" s="151">
        <v>-4.0000000000000001E-3</v>
      </c>
      <c r="U387" s="749" t="s">
        <v>510</v>
      </c>
      <c r="V387" s="151">
        <v>-4.0000000000000001E-3</v>
      </c>
      <c r="W387" s="8" t="s">
        <v>3341</v>
      </c>
      <c r="X387" s="151">
        <v>-4.0000000000000001E-3</v>
      </c>
      <c r="Y387" s="8" t="s">
        <v>3340</v>
      </c>
      <c r="Z387" s="151">
        <v>-4.0000000000000001E-3</v>
      </c>
      <c r="AA387" s="1" t="s">
        <v>3356</v>
      </c>
      <c r="AB387" s="151">
        <v>-4.0000000000000001E-3</v>
      </c>
      <c r="AC387" s="53" t="s">
        <v>3488</v>
      </c>
      <c r="AD387" s="151">
        <v>-4.0000000000000001E-3</v>
      </c>
      <c r="AE387" s="749" t="s">
        <v>3399</v>
      </c>
      <c r="AF387" s="237">
        <v>-4.0000000000000002E-4</v>
      </c>
      <c r="AG387" s="1" t="s">
        <v>3379</v>
      </c>
      <c r="AH387" s="151">
        <v>-4.0000000000000001E-3</v>
      </c>
      <c r="AI387" s="749" t="s">
        <v>3337</v>
      </c>
      <c r="AJ387" s="151">
        <v>-4.0000000000000001E-3</v>
      </c>
      <c r="AK387" s="1" t="s">
        <v>3338</v>
      </c>
      <c r="AL387" s="151">
        <v>-4.0000000000000001E-3</v>
      </c>
      <c r="AM387" s="8" t="s">
        <v>3341</v>
      </c>
      <c r="AN387" s="151">
        <v>-4.0000000000000001E-3</v>
      </c>
      <c r="AO387" s="8" t="s">
        <v>3341</v>
      </c>
      <c r="AP387" s="151">
        <v>-4.0000000000000001E-3</v>
      </c>
      <c r="AQ387" s="749" t="s">
        <v>3357</v>
      </c>
      <c r="AR387" s="151">
        <v>-4.0000000000000001E-3</v>
      </c>
      <c r="AS387" s="749" t="s">
        <v>3506</v>
      </c>
      <c r="AT387" s="151">
        <v>-4.0000000000000002E-4</v>
      </c>
      <c r="AU387" s="1" t="s">
        <v>1912</v>
      </c>
      <c r="AV387" s="151">
        <v>-4.0000000000000001E-3</v>
      </c>
      <c r="AW387" s="1" t="s">
        <v>3270</v>
      </c>
      <c r="AX387" s="151">
        <v>-4.0000000000000002E-4</v>
      </c>
      <c r="AY387" s="749" t="s">
        <v>3393</v>
      </c>
      <c r="AZ387" s="749" t="s">
        <v>3354</v>
      </c>
      <c r="BA387" s="151">
        <v>-4.0000000000000001E-3</v>
      </c>
    </row>
    <row r="388" spans="19:53">
      <c r="S388" s="749" t="s">
        <v>3337</v>
      </c>
      <c r="T388" s="151">
        <v>-4.0000000000000001E-3</v>
      </c>
      <c r="U388" s="749" t="s">
        <v>3337</v>
      </c>
      <c r="V388" s="151">
        <v>-4.0000000000000001E-3</v>
      </c>
      <c r="W388" s="82" t="s">
        <v>1907</v>
      </c>
      <c r="X388" s="151">
        <v>-4.0000000000000001E-3</v>
      </c>
      <c r="Y388" s="8" t="s">
        <v>3341</v>
      </c>
      <c r="Z388" s="151">
        <v>-4.0000000000000001E-3</v>
      </c>
      <c r="AA388" s="749" t="s">
        <v>510</v>
      </c>
      <c r="AB388" s="151">
        <v>-4.0000000000000001E-3</v>
      </c>
      <c r="AC388" s="1" t="s">
        <v>3260</v>
      </c>
      <c r="AD388" s="151">
        <v>-4.0000000000000001E-3</v>
      </c>
      <c r="AE388" s="1" t="s">
        <v>3247</v>
      </c>
      <c r="AF388" s="151">
        <v>-4.0000000000000002E-4</v>
      </c>
      <c r="AG388" s="1" t="s">
        <v>3381</v>
      </c>
      <c r="AH388" s="151">
        <v>-4.0000000000000001E-3</v>
      </c>
      <c r="AI388" s="1" t="s">
        <v>3338</v>
      </c>
      <c r="AJ388" s="151">
        <v>-4.0000000000000001E-3</v>
      </c>
      <c r="AK388" s="8" t="s">
        <v>3340</v>
      </c>
      <c r="AL388" s="151">
        <v>-4.0000000000000001E-3</v>
      </c>
      <c r="AM388" s="82" t="s">
        <v>1907</v>
      </c>
      <c r="AN388" s="151">
        <v>-4.0000000000000001E-3</v>
      </c>
      <c r="AO388" s="749" t="s">
        <v>3357</v>
      </c>
      <c r="AP388" s="151">
        <v>-4.0000000000000001E-3</v>
      </c>
      <c r="AQ388" s="82" t="s">
        <v>1907</v>
      </c>
      <c r="AR388" s="151">
        <v>-4.0000000000000001E-3</v>
      </c>
      <c r="AS388" s="1" t="s">
        <v>3250</v>
      </c>
      <c r="AT388" s="151">
        <v>-4.0000000000000002E-4</v>
      </c>
      <c r="AU388" s="1" t="s">
        <v>1625</v>
      </c>
      <c r="AV388" s="151">
        <v>-4.0000000000000001E-3</v>
      </c>
      <c r="AW388" s="1" t="s">
        <v>2256</v>
      </c>
      <c r="AX388" s="151">
        <v>-4.0000000000000002E-4</v>
      </c>
      <c r="AY388" s="1" t="s">
        <v>1938</v>
      </c>
      <c r="AZ388" s="1" t="s">
        <v>3355</v>
      </c>
      <c r="BA388" s="151">
        <v>-4.0000000000000001E-3</v>
      </c>
    </row>
    <row r="389" spans="19:53">
      <c r="S389" s="1" t="s">
        <v>3338</v>
      </c>
      <c r="T389" s="151">
        <v>-4.0000000000000001E-3</v>
      </c>
      <c r="U389" s="1" t="s">
        <v>3338</v>
      </c>
      <c r="V389" s="151">
        <v>-4.0000000000000001E-3</v>
      </c>
      <c r="W389" s="1" t="s">
        <v>3363</v>
      </c>
      <c r="X389" s="151">
        <v>-4.0000000000000001E-3</v>
      </c>
      <c r="Y389" s="749" t="s">
        <v>3357</v>
      </c>
      <c r="Z389" s="151">
        <v>-4.0000000000000001E-3</v>
      </c>
      <c r="AA389" s="749" t="s">
        <v>3337</v>
      </c>
      <c r="AB389" s="151">
        <v>-4.0000000000000001E-3</v>
      </c>
      <c r="AC389" s="1" t="s">
        <v>1936</v>
      </c>
      <c r="AD389" s="151">
        <v>-4.0000000000000001E-3</v>
      </c>
      <c r="AE389" s="1" t="s">
        <v>3268</v>
      </c>
      <c r="AF389" s="151">
        <v>-4.0000000000000002E-4</v>
      </c>
      <c r="AG389" s="1" t="s">
        <v>3380</v>
      </c>
      <c r="AH389" s="151">
        <v>-4.0000000000000001E-3</v>
      </c>
      <c r="AI389" s="8" t="s">
        <v>3340</v>
      </c>
      <c r="AJ389" s="151">
        <v>-4.0000000000000001E-3</v>
      </c>
      <c r="AK389" s="8" t="s">
        <v>3341</v>
      </c>
      <c r="AL389" s="151">
        <v>-4.0000000000000001E-3</v>
      </c>
      <c r="AM389" s="1" t="s">
        <v>3363</v>
      </c>
      <c r="AN389" s="151">
        <v>-4.0000000000000001E-3</v>
      </c>
      <c r="AO389" s="82" t="s">
        <v>1907</v>
      </c>
      <c r="AP389" s="151">
        <v>-4.0000000000000001E-3</v>
      </c>
      <c r="AQ389" s="82" t="s">
        <v>3361</v>
      </c>
      <c r="AR389" s="151">
        <v>-4.0000000000000001E-3</v>
      </c>
      <c r="AS389" s="1" t="s">
        <v>3270</v>
      </c>
      <c r="AT389" s="151">
        <v>-4.0000000000000002E-4</v>
      </c>
      <c r="AU389" s="1" t="s">
        <v>1913</v>
      </c>
      <c r="AV389" s="151">
        <v>-4.0000000000000001E-3</v>
      </c>
      <c r="AW389" s="749" t="s">
        <v>3385</v>
      </c>
      <c r="AX389" s="151">
        <v>-4.0000000000000002E-4</v>
      </c>
      <c r="AY389" s="1" t="s">
        <v>3548</v>
      </c>
      <c r="AZ389" s="749" t="s">
        <v>510</v>
      </c>
      <c r="BA389" s="151">
        <v>-4.0000000000000001E-3</v>
      </c>
    </row>
    <row r="390" spans="19:53">
      <c r="S390" s="8" t="s">
        <v>3340</v>
      </c>
      <c r="T390" s="151">
        <v>-4.0000000000000001E-3</v>
      </c>
      <c r="U390" s="8" t="s">
        <v>3340</v>
      </c>
      <c r="V390" s="151">
        <v>-4.0000000000000001E-3</v>
      </c>
      <c r="W390" s="1" t="s">
        <v>3364</v>
      </c>
      <c r="X390" s="151">
        <v>-4.0000000000000001E-3</v>
      </c>
      <c r="Y390" s="82" t="s">
        <v>1907</v>
      </c>
      <c r="Z390" s="151">
        <v>-4.0000000000000001E-3</v>
      </c>
      <c r="AA390" s="1" t="s">
        <v>3338</v>
      </c>
      <c r="AB390" s="151">
        <v>-4.0000000000000001E-3</v>
      </c>
      <c r="AC390" s="1" t="s">
        <v>3379</v>
      </c>
      <c r="AD390" s="151">
        <v>-4.0000000000000001E-3</v>
      </c>
      <c r="AE390" s="749" t="s">
        <v>3373</v>
      </c>
      <c r="AF390" s="151">
        <v>-4.0000000000000002E-4</v>
      </c>
      <c r="AG390" s="1" t="s">
        <v>1912</v>
      </c>
      <c r="AH390" s="151">
        <v>-4.0000000000000001E-3</v>
      </c>
      <c r="AI390" s="8" t="s">
        <v>3341</v>
      </c>
      <c r="AJ390" s="151">
        <v>-4.0000000000000001E-3</v>
      </c>
      <c r="AK390" s="749" t="s">
        <v>3357</v>
      </c>
      <c r="AL390" s="151">
        <v>-4.0000000000000001E-3</v>
      </c>
      <c r="AM390" s="1" t="s">
        <v>3364</v>
      </c>
      <c r="AN390" s="151">
        <v>-4.0000000000000001E-3</v>
      </c>
      <c r="AO390" s="1" t="s">
        <v>3363</v>
      </c>
      <c r="AP390" s="151">
        <v>-4.0000000000000001E-3</v>
      </c>
      <c r="AQ390" s="1" t="s">
        <v>3363</v>
      </c>
      <c r="AR390" s="151">
        <v>-4.0000000000000001E-3</v>
      </c>
      <c r="AS390" s="1" t="s">
        <v>2256</v>
      </c>
      <c r="AT390" s="151">
        <v>-4.0000000000000002E-4</v>
      </c>
      <c r="AU390" s="1" t="s">
        <v>146</v>
      </c>
      <c r="AV390" s="151">
        <v>-4.0000000000000001E-3</v>
      </c>
      <c r="AW390" s="749" t="s">
        <v>3386</v>
      </c>
      <c r="AX390" s="151">
        <v>-4.0000000000000002E-4</v>
      </c>
      <c r="AY390" s="1" t="s">
        <v>1940</v>
      </c>
      <c r="AZ390" s="749" t="s">
        <v>3337</v>
      </c>
      <c r="BA390" s="151">
        <v>-4.0000000000000001E-3</v>
      </c>
    </row>
    <row r="391" spans="19:53">
      <c r="S391" s="8" t="s">
        <v>3341</v>
      </c>
      <c r="T391" s="151">
        <v>-4.0000000000000001E-3</v>
      </c>
      <c r="U391" s="8" t="s">
        <v>3341</v>
      </c>
      <c r="V391" s="151">
        <v>-4.0000000000000001E-3</v>
      </c>
      <c r="W391" s="53" t="s">
        <v>3488</v>
      </c>
      <c r="X391" s="151">
        <v>-4.0000000000000001E-3</v>
      </c>
      <c r="Y391" s="1" t="s">
        <v>3363</v>
      </c>
      <c r="Z391" s="151">
        <v>-4.0000000000000001E-3</v>
      </c>
      <c r="AA391" s="8" t="s">
        <v>3340</v>
      </c>
      <c r="AB391" s="151">
        <v>-4.0000000000000001E-3</v>
      </c>
      <c r="AC391" s="1" t="s">
        <v>3381</v>
      </c>
      <c r="AD391" s="151">
        <v>-4.0000000000000001E-3</v>
      </c>
      <c r="AE391" s="1" t="s">
        <v>1924</v>
      </c>
      <c r="AF391" s="151">
        <v>-4.0000000000000002E-4</v>
      </c>
      <c r="AG391" s="1" t="s">
        <v>1625</v>
      </c>
      <c r="AH391" s="151">
        <v>-4.0000000000000001E-3</v>
      </c>
      <c r="AI391" s="749" t="s">
        <v>3357</v>
      </c>
      <c r="AJ391" s="151">
        <v>-4.0000000000000001E-3</v>
      </c>
      <c r="AK391" s="82" t="s">
        <v>1907</v>
      </c>
      <c r="AL391" s="151">
        <v>-4.0000000000000001E-3</v>
      </c>
      <c r="AM391" s="53" t="s">
        <v>3488</v>
      </c>
      <c r="AN391" s="151">
        <v>-4.0000000000000001E-3</v>
      </c>
      <c r="AO391" s="1" t="s">
        <v>3364</v>
      </c>
      <c r="AP391" s="151">
        <v>-4.0000000000000001E-3</v>
      </c>
      <c r="AQ391" s="1" t="s">
        <v>3364</v>
      </c>
      <c r="AR391" s="151">
        <v>-4.0000000000000001E-3</v>
      </c>
      <c r="AS391" s="749" t="s">
        <v>3385</v>
      </c>
      <c r="AT391" s="151">
        <v>-4.0000000000000002E-4</v>
      </c>
      <c r="AU391" s="749" t="s">
        <v>3367</v>
      </c>
      <c r="AV391" s="151">
        <v>-4.0000000000000001E-3</v>
      </c>
      <c r="AW391" s="749" t="s">
        <v>3374</v>
      </c>
      <c r="AX391" s="151">
        <v>-4.0000000000000002E-4</v>
      </c>
      <c r="AY391" s="1" t="s">
        <v>3275</v>
      </c>
      <c r="AZ391" s="1" t="s">
        <v>3338</v>
      </c>
      <c r="BA391" s="151">
        <v>-4.0000000000000001E-3</v>
      </c>
    </row>
    <row r="392" spans="19:53">
      <c r="S392" s="82" t="s">
        <v>1907</v>
      </c>
      <c r="T392" s="151">
        <v>-4.0000000000000001E-3</v>
      </c>
      <c r="U392" s="82" t="s">
        <v>1907</v>
      </c>
      <c r="V392" s="151">
        <v>-4.0000000000000001E-3</v>
      </c>
      <c r="W392" s="1" t="s">
        <v>3260</v>
      </c>
      <c r="X392" s="151">
        <v>-4.0000000000000001E-3</v>
      </c>
      <c r="Y392" s="1" t="s">
        <v>3364</v>
      </c>
      <c r="Z392" s="151">
        <v>-4.0000000000000001E-3</v>
      </c>
      <c r="AA392" s="8" t="s">
        <v>3341</v>
      </c>
      <c r="AB392" s="151">
        <v>-4.0000000000000001E-3</v>
      </c>
      <c r="AC392" s="1" t="s">
        <v>3380</v>
      </c>
      <c r="AD392" s="151">
        <v>-4.0000000000000001E-3</v>
      </c>
      <c r="AE392" s="749" t="s">
        <v>3506</v>
      </c>
      <c r="AF392" s="151">
        <v>-4.0000000000000002E-4</v>
      </c>
      <c r="AG392" s="1" t="s">
        <v>1913</v>
      </c>
      <c r="AH392" s="151">
        <v>-4.0000000000000001E-3</v>
      </c>
      <c r="AI392" s="82" t="s">
        <v>1907</v>
      </c>
      <c r="AJ392" s="151">
        <v>-4.0000000000000001E-3</v>
      </c>
      <c r="AK392" s="1" t="s">
        <v>3363</v>
      </c>
      <c r="AL392" s="151">
        <v>-4.0000000000000001E-3</v>
      </c>
      <c r="AM392" s="1" t="s">
        <v>3260</v>
      </c>
      <c r="AN392" s="151">
        <v>-4.0000000000000001E-3</v>
      </c>
      <c r="AO392" s="53" t="s">
        <v>3488</v>
      </c>
      <c r="AP392" s="151">
        <v>-4.0000000000000001E-3</v>
      </c>
      <c r="AQ392" s="53" t="s">
        <v>3488</v>
      </c>
      <c r="AR392" s="151">
        <v>-4.0000000000000001E-3</v>
      </c>
      <c r="AS392" s="749" t="s">
        <v>3386</v>
      </c>
      <c r="AT392" s="151">
        <v>-4.0000000000000002E-4</v>
      </c>
      <c r="AU392" s="1" t="s">
        <v>3261</v>
      </c>
      <c r="AV392" s="151">
        <v>-4.0000000000000001E-3</v>
      </c>
      <c r="AW392" s="749" t="s">
        <v>3375</v>
      </c>
      <c r="AX392" s="151">
        <v>-4.0000000000000002E-4</v>
      </c>
      <c r="AY392" s="1" t="s">
        <v>3255</v>
      </c>
      <c r="AZ392" s="8" t="s">
        <v>3340</v>
      </c>
      <c r="BA392" s="151">
        <v>-4.0000000000000001E-3</v>
      </c>
    </row>
    <row r="393" spans="19:53">
      <c r="S393" s="1" t="s">
        <v>3363</v>
      </c>
      <c r="T393" s="151">
        <v>-4.0000000000000001E-3</v>
      </c>
      <c r="U393" s="1" t="s">
        <v>3363</v>
      </c>
      <c r="V393" s="151">
        <v>-4.0000000000000001E-3</v>
      </c>
      <c r="W393" s="1" t="s">
        <v>1936</v>
      </c>
      <c r="X393" s="151">
        <v>-4.0000000000000001E-3</v>
      </c>
      <c r="Y393" s="53" t="s">
        <v>3488</v>
      </c>
      <c r="Z393" s="151">
        <v>-4.0000000000000001E-3</v>
      </c>
      <c r="AA393" s="82" t="s">
        <v>1907</v>
      </c>
      <c r="AB393" s="151">
        <v>-4.0000000000000001E-3</v>
      </c>
      <c r="AC393" s="1" t="s">
        <v>1912</v>
      </c>
      <c r="AD393" s="151">
        <v>-4.0000000000000001E-3</v>
      </c>
      <c r="AE393" s="1" t="s">
        <v>3270</v>
      </c>
      <c r="AF393" s="151">
        <v>-4.0000000000000002E-4</v>
      </c>
      <c r="AG393" s="1" t="s">
        <v>146</v>
      </c>
      <c r="AH393" s="151">
        <v>-4.0000000000000001E-3</v>
      </c>
      <c r="AI393" s="1" t="s">
        <v>3363</v>
      </c>
      <c r="AJ393" s="151">
        <v>-4.0000000000000001E-3</v>
      </c>
      <c r="AK393" s="1" t="s">
        <v>3364</v>
      </c>
      <c r="AL393" s="151">
        <v>-4.0000000000000001E-3</v>
      </c>
      <c r="AM393" s="1" t="s">
        <v>1936</v>
      </c>
      <c r="AN393" s="151">
        <v>-4.0000000000000001E-3</v>
      </c>
      <c r="AO393" s="1" t="s">
        <v>3260</v>
      </c>
      <c r="AP393" s="151">
        <v>-4.0000000000000001E-3</v>
      </c>
      <c r="AQ393" s="1" t="s">
        <v>3260</v>
      </c>
      <c r="AR393" s="151">
        <v>-4.0000000000000001E-3</v>
      </c>
      <c r="AS393" s="749" t="s">
        <v>3374</v>
      </c>
      <c r="AT393" s="151">
        <v>-4.0000000000000002E-4</v>
      </c>
      <c r="AU393" s="749" t="s">
        <v>3262</v>
      </c>
      <c r="AV393" s="151">
        <v>-4.0000000000000001E-3</v>
      </c>
      <c r="AW393" s="1" t="s">
        <v>3495</v>
      </c>
      <c r="AX393" s="151">
        <v>-4.0000000000000002E-4</v>
      </c>
      <c r="AY393" s="1" t="s">
        <v>3505</v>
      </c>
      <c r="AZ393" s="8" t="s">
        <v>3341</v>
      </c>
      <c r="BA393" s="151">
        <v>-4.0000000000000001E-3</v>
      </c>
    </row>
    <row r="394" spans="19:53">
      <c r="S394" s="1" t="s">
        <v>3364</v>
      </c>
      <c r="T394" s="151">
        <v>-4.0000000000000001E-3</v>
      </c>
      <c r="U394" s="1" t="s">
        <v>3364</v>
      </c>
      <c r="V394" s="151">
        <v>-4.0000000000000001E-3</v>
      </c>
      <c r="W394" s="1" t="s">
        <v>3379</v>
      </c>
      <c r="X394" s="151">
        <v>-4.0000000000000001E-3</v>
      </c>
      <c r="Y394" s="1" t="s">
        <v>3260</v>
      </c>
      <c r="Z394" s="151">
        <v>-4.0000000000000001E-3</v>
      </c>
      <c r="AA394" s="1" t="s">
        <v>3363</v>
      </c>
      <c r="AB394" s="151">
        <v>-4.0000000000000001E-3</v>
      </c>
      <c r="AC394" s="1" t="s">
        <v>1625</v>
      </c>
      <c r="AD394" s="151">
        <v>-4.0000000000000001E-3</v>
      </c>
      <c r="AE394" s="1" t="s">
        <v>2256</v>
      </c>
      <c r="AF394" s="151">
        <v>-4.0000000000000002E-4</v>
      </c>
      <c r="AG394" s="749" t="s">
        <v>3367</v>
      </c>
      <c r="AH394" s="151">
        <v>-4.0000000000000001E-3</v>
      </c>
      <c r="AI394" s="1" t="s">
        <v>3364</v>
      </c>
      <c r="AJ394" s="151">
        <v>-4.0000000000000001E-3</v>
      </c>
      <c r="AK394" s="53" t="s">
        <v>3488</v>
      </c>
      <c r="AL394" s="151">
        <v>-4.0000000000000001E-3</v>
      </c>
      <c r="AM394" s="1" t="s">
        <v>3379</v>
      </c>
      <c r="AN394" s="151">
        <v>-4.0000000000000001E-3</v>
      </c>
      <c r="AO394" s="1" t="s">
        <v>1936</v>
      </c>
      <c r="AP394" s="151">
        <v>-4.0000000000000001E-3</v>
      </c>
      <c r="AQ394" s="1" t="s">
        <v>1936</v>
      </c>
      <c r="AR394" s="151">
        <v>-4.0000000000000001E-3</v>
      </c>
      <c r="AS394" s="749" t="s">
        <v>3375</v>
      </c>
      <c r="AT394" s="151">
        <v>-4.0000000000000002E-4</v>
      </c>
      <c r="AU394" s="1" t="s">
        <v>3368</v>
      </c>
      <c r="AV394" s="151">
        <v>-4.0000000000000001E-3</v>
      </c>
      <c r="AW394" s="1" t="s">
        <v>3253</v>
      </c>
      <c r="AX394" s="151">
        <v>-4.0000000000000002E-4</v>
      </c>
      <c r="AY394" s="1233" t="s">
        <v>3276</v>
      </c>
      <c r="AZ394" s="82" t="s">
        <v>1907</v>
      </c>
      <c r="BA394" s="151">
        <v>-4.0000000000000001E-3</v>
      </c>
    </row>
    <row r="395" spans="19:53">
      <c r="S395" s="53" t="s">
        <v>3488</v>
      </c>
      <c r="T395" s="151">
        <v>-4.0000000000000001E-3</v>
      </c>
      <c r="U395" s="53" t="s">
        <v>3488</v>
      </c>
      <c r="V395" s="151">
        <v>-4.0000000000000001E-3</v>
      </c>
      <c r="W395" s="1" t="s">
        <v>3381</v>
      </c>
      <c r="X395" s="151">
        <v>-4.0000000000000001E-3</v>
      </c>
      <c r="Y395" s="1" t="s">
        <v>1936</v>
      </c>
      <c r="Z395" s="151">
        <v>-4.0000000000000001E-3</v>
      </c>
      <c r="AA395" s="1" t="s">
        <v>3364</v>
      </c>
      <c r="AB395" s="151">
        <v>-4.0000000000000001E-3</v>
      </c>
      <c r="AC395" s="1" t="s">
        <v>1913</v>
      </c>
      <c r="AD395" s="151">
        <v>-4.0000000000000001E-3</v>
      </c>
      <c r="AE395" s="749" t="s">
        <v>3385</v>
      </c>
      <c r="AF395" s="151">
        <v>-4.0000000000000002E-4</v>
      </c>
      <c r="AG395" s="1" t="s">
        <v>3261</v>
      </c>
      <c r="AH395" s="151">
        <v>-4.0000000000000001E-3</v>
      </c>
      <c r="AI395" s="53" t="s">
        <v>3488</v>
      </c>
      <c r="AJ395" s="151">
        <v>-4.0000000000000001E-3</v>
      </c>
      <c r="AK395" s="1" t="s">
        <v>3260</v>
      </c>
      <c r="AL395" s="151">
        <v>-4.0000000000000001E-3</v>
      </c>
      <c r="AM395" s="1" t="s">
        <v>3381</v>
      </c>
      <c r="AN395" s="151">
        <v>-4.0000000000000001E-3</v>
      </c>
      <c r="AO395" s="1" t="s">
        <v>3379</v>
      </c>
      <c r="AP395" s="151">
        <v>-4.0000000000000001E-3</v>
      </c>
      <c r="AQ395" s="1" t="s">
        <v>3379</v>
      </c>
      <c r="AR395" s="151">
        <v>-4.0000000000000001E-3</v>
      </c>
      <c r="AS395" s="1" t="s">
        <v>3495</v>
      </c>
      <c r="AT395" s="151">
        <v>-4.0000000000000002E-4</v>
      </c>
      <c r="AU395" s="1" t="s">
        <v>3490</v>
      </c>
      <c r="AV395" s="151">
        <v>-4.0000000000000001E-3</v>
      </c>
      <c r="AW395" s="749" t="s">
        <v>3262</v>
      </c>
      <c r="AX395" s="151">
        <v>-4.0000000000000002E-4</v>
      </c>
      <c r="AY395" s="1233" t="s">
        <v>3256</v>
      </c>
      <c r="AZ395" s="1" t="s">
        <v>3363</v>
      </c>
      <c r="BA395" s="151">
        <v>-4.0000000000000001E-3</v>
      </c>
    </row>
    <row r="396" spans="19:53">
      <c r="S396" s="1" t="s">
        <v>3260</v>
      </c>
      <c r="T396" s="151">
        <v>-4.0000000000000001E-3</v>
      </c>
      <c r="U396" s="1" t="s">
        <v>3260</v>
      </c>
      <c r="V396" s="151">
        <v>-4.0000000000000001E-3</v>
      </c>
      <c r="W396" s="1" t="s">
        <v>3380</v>
      </c>
      <c r="X396" s="151">
        <v>-4.0000000000000001E-3</v>
      </c>
      <c r="Y396" s="1" t="s">
        <v>3379</v>
      </c>
      <c r="Z396" s="151">
        <v>-4.0000000000000001E-3</v>
      </c>
      <c r="AA396" s="53" t="s">
        <v>3488</v>
      </c>
      <c r="AB396" s="151">
        <v>-4.0000000000000001E-3</v>
      </c>
      <c r="AC396" s="1" t="s">
        <v>146</v>
      </c>
      <c r="AD396" s="151">
        <v>-4.0000000000000001E-3</v>
      </c>
      <c r="AE396" s="749" t="s">
        <v>3386</v>
      </c>
      <c r="AF396" s="151">
        <v>-4.0000000000000002E-4</v>
      </c>
      <c r="AG396" s="749" t="s">
        <v>3262</v>
      </c>
      <c r="AH396" s="151">
        <v>-4.0000000000000001E-3</v>
      </c>
      <c r="AI396" s="1" t="s">
        <v>3260</v>
      </c>
      <c r="AJ396" s="151">
        <v>-4.0000000000000001E-3</v>
      </c>
      <c r="AK396" s="1" t="s">
        <v>1936</v>
      </c>
      <c r="AL396" s="151">
        <v>-4.0000000000000001E-3</v>
      </c>
      <c r="AM396" s="1" t="s">
        <v>3380</v>
      </c>
      <c r="AN396" s="151">
        <v>-4.0000000000000001E-3</v>
      </c>
      <c r="AO396" s="1" t="s">
        <v>3381</v>
      </c>
      <c r="AP396" s="151">
        <v>-4.0000000000000001E-3</v>
      </c>
      <c r="AQ396" s="1" t="s">
        <v>3381</v>
      </c>
      <c r="AR396" s="151">
        <v>-4.0000000000000001E-3</v>
      </c>
      <c r="AS396" s="1" t="s">
        <v>3253</v>
      </c>
      <c r="AT396" s="151">
        <v>-4.0000000000000002E-4</v>
      </c>
      <c r="AU396" s="1" t="s">
        <v>1916</v>
      </c>
      <c r="AV396" s="151">
        <v>-4.0000000000000001E-3</v>
      </c>
      <c r="AW396" s="749" t="s">
        <v>1992</v>
      </c>
      <c r="AX396" s="151">
        <v>-4.0000000000000002E-4</v>
      </c>
      <c r="AY396" s="1" t="s">
        <v>3277</v>
      </c>
      <c r="AZ396" s="1" t="s">
        <v>3364</v>
      </c>
      <c r="BA396" s="151">
        <v>-4.0000000000000001E-3</v>
      </c>
    </row>
    <row r="397" spans="19:53">
      <c r="S397" s="1" t="s">
        <v>1936</v>
      </c>
      <c r="T397" s="151">
        <v>-4.0000000000000001E-3</v>
      </c>
      <c r="U397" s="1" t="s">
        <v>1936</v>
      </c>
      <c r="V397" s="151">
        <v>-4.0000000000000001E-3</v>
      </c>
      <c r="W397" s="1" t="s">
        <v>1912</v>
      </c>
      <c r="X397" s="151">
        <v>-4.0000000000000001E-3</v>
      </c>
      <c r="Y397" s="1" t="s">
        <v>3381</v>
      </c>
      <c r="Z397" s="151">
        <v>-4.0000000000000001E-3</v>
      </c>
      <c r="AA397" s="1" t="s">
        <v>3260</v>
      </c>
      <c r="AB397" s="151">
        <v>-4.0000000000000001E-3</v>
      </c>
      <c r="AC397" s="749" t="s">
        <v>3367</v>
      </c>
      <c r="AD397" s="151">
        <v>-4.0000000000000001E-3</v>
      </c>
      <c r="AE397" s="749" t="s">
        <v>3374</v>
      </c>
      <c r="AF397" s="237">
        <v>-4.0000000000000002E-4</v>
      </c>
      <c r="AG397" s="1" t="s">
        <v>3490</v>
      </c>
      <c r="AH397" s="151">
        <v>-4.0000000000000001E-3</v>
      </c>
      <c r="AI397" s="1" t="s">
        <v>1936</v>
      </c>
      <c r="AJ397" s="151">
        <v>-4.0000000000000001E-3</v>
      </c>
      <c r="AK397" s="1" t="s">
        <v>3379</v>
      </c>
      <c r="AL397" s="151">
        <v>-4.0000000000000001E-3</v>
      </c>
      <c r="AM397" s="1" t="s">
        <v>1912</v>
      </c>
      <c r="AN397" s="151">
        <v>-4.0000000000000001E-3</v>
      </c>
      <c r="AO397" s="1" t="s">
        <v>3380</v>
      </c>
      <c r="AP397" s="151">
        <v>-4.0000000000000001E-3</v>
      </c>
      <c r="AQ397" s="1" t="s">
        <v>3380</v>
      </c>
      <c r="AR397" s="151">
        <v>-4.0000000000000001E-3</v>
      </c>
      <c r="AS397" s="749" t="s">
        <v>3262</v>
      </c>
      <c r="AT397" s="151">
        <v>-4.0000000000000002E-4</v>
      </c>
      <c r="AU397" s="749" t="s">
        <v>3382</v>
      </c>
      <c r="AV397" s="151">
        <v>-4.0000000000000001E-3</v>
      </c>
      <c r="AW397" s="1" t="s">
        <v>1931</v>
      </c>
      <c r="AX397" s="151">
        <v>-4.0000000000000002E-4</v>
      </c>
      <c r="AY397" s="1" t="s">
        <v>3257</v>
      </c>
      <c r="AZ397" s="53" t="s">
        <v>3488</v>
      </c>
      <c r="BA397" s="151">
        <v>-4.0000000000000001E-3</v>
      </c>
    </row>
    <row r="398" spans="19:53">
      <c r="S398" s="1" t="s">
        <v>3379</v>
      </c>
      <c r="T398" s="151">
        <v>-4.0000000000000001E-3</v>
      </c>
      <c r="U398" s="1" t="s">
        <v>3379</v>
      </c>
      <c r="V398" s="151">
        <v>-4.0000000000000001E-3</v>
      </c>
      <c r="W398" s="1" t="s">
        <v>1625</v>
      </c>
      <c r="X398" s="151">
        <v>-4.0000000000000001E-3</v>
      </c>
      <c r="Y398" s="1" t="s">
        <v>3380</v>
      </c>
      <c r="Z398" s="151">
        <v>-4.0000000000000001E-3</v>
      </c>
      <c r="AA398" s="1" t="s">
        <v>1936</v>
      </c>
      <c r="AB398" s="151">
        <v>-4.0000000000000001E-3</v>
      </c>
      <c r="AC398" s="749" t="s">
        <v>3262</v>
      </c>
      <c r="AD398" s="151">
        <v>-4.0000000000000001E-3</v>
      </c>
      <c r="AE398" s="749" t="s">
        <v>3375</v>
      </c>
      <c r="AF398" s="151">
        <v>-4.0000000000000002E-4</v>
      </c>
      <c r="AG398" s="1" t="s">
        <v>1916</v>
      </c>
      <c r="AH398" s="151">
        <v>-4.0000000000000001E-3</v>
      </c>
      <c r="AI398" s="1" t="s">
        <v>3379</v>
      </c>
      <c r="AJ398" s="151">
        <v>-4.0000000000000001E-3</v>
      </c>
      <c r="AK398" s="1" t="s">
        <v>3381</v>
      </c>
      <c r="AL398" s="151">
        <v>-4.0000000000000001E-3</v>
      </c>
      <c r="AM398" s="1" t="s">
        <v>1625</v>
      </c>
      <c r="AN398" s="151">
        <v>-4.0000000000000001E-3</v>
      </c>
      <c r="AO398" s="1" t="s">
        <v>1912</v>
      </c>
      <c r="AP398" s="151">
        <v>-4.0000000000000001E-3</v>
      </c>
      <c r="AQ398" s="1" t="s">
        <v>1912</v>
      </c>
      <c r="AR398" s="151">
        <v>-4.0000000000000001E-3</v>
      </c>
      <c r="AS398" s="749" t="s">
        <v>1992</v>
      </c>
      <c r="AT398" s="151">
        <v>-4.0000000000000002E-4</v>
      </c>
      <c r="AU398" s="749" t="s">
        <v>3378</v>
      </c>
      <c r="AV398" s="151">
        <v>-4.0000000000000001E-3</v>
      </c>
      <c r="AW398" s="1" t="s">
        <v>1932</v>
      </c>
      <c r="AX398" s="151">
        <v>-4.0000000000000002E-4</v>
      </c>
      <c r="AY398" s="1" t="s">
        <v>3497</v>
      </c>
      <c r="AZ398" s="1" t="s">
        <v>3260</v>
      </c>
      <c r="BA398" s="151">
        <v>-4.0000000000000001E-3</v>
      </c>
    </row>
    <row r="399" spans="19:53">
      <c r="S399" s="1" t="s">
        <v>3381</v>
      </c>
      <c r="T399" s="151">
        <v>-4.0000000000000001E-3</v>
      </c>
      <c r="U399" s="1" t="s">
        <v>3381</v>
      </c>
      <c r="V399" s="151">
        <v>-4.0000000000000001E-3</v>
      </c>
      <c r="W399" s="1" t="s">
        <v>1913</v>
      </c>
      <c r="X399" s="151">
        <v>-4.0000000000000001E-3</v>
      </c>
      <c r="Y399" s="1" t="s">
        <v>1912</v>
      </c>
      <c r="Z399" s="151">
        <v>-4.0000000000000001E-3</v>
      </c>
      <c r="AA399" s="1" t="s">
        <v>3379</v>
      </c>
      <c r="AB399" s="151">
        <v>-4.0000000000000001E-3</v>
      </c>
      <c r="AC399" s="1" t="s">
        <v>3490</v>
      </c>
      <c r="AD399" s="151">
        <v>-4.0000000000000001E-3</v>
      </c>
      <c r="AE399" s="1" t="s">
        <v>3495</v>
      </c>
      <c r="AF399" s="237">
        <v>-4.0000000000000002E-4</v>
      </c>
      <c r="AG399" s="749" t="s">
        <v>3382</v>
      </c>
      <c r="AH399" s="321">
        <v>-4.0000000000000001E-3</v>
      </c>
      <c r="AI399" s="1" t="s">
        <v>3381</v>
      </c>
      <c r="AJ399" s="151">
        <v>-4.0000000000000001E-3</v>
      </c>
      <c r="AK399" s="1" t="s">
        <v>3380</v>
      </c>
      <c r="AL399" s="151">
        <v>-4.0000000000000001E-3</v>
      </c>
      <c r="AM399" s="1" t="s">
        <v>1913</v>
      </c>
      <c r="AN399" s="151">
        <v>-4.0000000000000001E-3</v>
      </c>
      <c r="AO399" s="1" t="s">
        <v>1625</v>
      </c>
      <c r="AP399" s="151">
        <v>-4.0000000000000001E-3</v>
      </c>
      <c r="AQ399" s="1" t="s">
        <v>1625</v>
      </c>
      <c r="AR399" s="151">
        <v>-4.0000000000000001E-3</v>
      </c>
      <c r="AS399" s="1" t="s">
        <v>1931</v>
      </c>
      <c r="AT399" s="151">
        <v>-4.0000000000000002E-4</v>
      </c>
      <c r="AU399" s="749" t="s">
        <v>3370</v>
      </c>
      <c r="AV399" s="151">
        <v>-4.0000000000000001E-3</v>
      </c>
      <c r="AW399" s="749" t="s">
        <v>3376</v>
      </c>
      <c r="AX399" s="237">
        <v>-4.0000000000000002E-4</v>
      </c>
      <c r="AY399" s="1" t="s">
        <v>3258</v>
      </c>
      <c r="AZ399" s="1" t="s">
        <v>1936</v>
      </c>
      <c r="BA399" s="151">
        <v>-4.0000000000000001E-3</v>
      </c>
    </row>
    <row r="400" spans="19:53">
      <c r="S400" s="1" t="s">
        <v>3380</v>
      </c>
      <c r="T400" s="151">
        <v>-4.0000000000000001E-3</v>
      </c>
      <c r="U400" s="1" t="s">
        <v>3380</v>
      </c>
      <c r="V400" s="151">
        <v>-4.0000000000000001E-3</v>
      </c>
      <c r="W400" s="1" t="s">
        <v>146</v>
      </c>
      <c r="X400" s="151">
        <v>-4.0000000000000001E-3</v>
      </c>
      <c r="Y400" s="1" t="s">
        <v>1625</v>
      </c>
      <c r="Z400" s="151">
        <v>-4.0000000000000001E-3</v>
      </c>
      <c r="AA400" s="1" t="s">
        <v>3381</v>
      </c>
      <c r="AB400" s="151">
        <v>-4.0000000000000001E-3</v>
      </c>
      <c r="AC400" s="1" t="s">
        <v>1916</v>
      </c>
      <c r="AD400" s="151">
        <v>-4.0000000000000001E-3</v>
      </c>
      <c r="AE400" s="1" t="s">
        <v>3253</v>
      </c>
      <c r="AF400" s="237">
        <v>-4.0000000000000002E-4</v>
      </c>
      <c r="AG400" s="749" t="s">
        <v>3378</v>
      </c>
      <c r="AH400" s="151">
        <v>-4.0000000000000001E-3</v>
      </c>
      <c r="AI400" s="1" t="s">
        <v>3380</v>
      </c>
      <c r="AJ400" s="151">
        <v>-4.0000000000000001E-3</v>
      </c>
      <c r="AK400" s="1" t="s">
        <v>1912</v>
      </c>
      <c r="AL400" s="151">
        <v>-4.0000000000000001E-3</v>
      </c>
      <c r="AM400" s="1" t="s">
        <v>146</v>
      </c>
      <c r="AN400" s="151">
        <v>-4.0000000000000001E-3</v>
      </c>
      <c r="AO400" s="1" t="s">
        <v>1913</v>
      </c>
      <c r="AP400" s="151">
        <v>-4.0000000000000001E-3</v>
      </c>
      <c r="AQ400" s="1" t="s">
        <v>1913</v>
      </c>
      <c r="AR400" s="151">
        <v>-4.0000000000000001E-3</v>
      </c>
      <c r="AS400" s="1" t="s">
        <v>1932</v>
      </c>
      <c r="AT400" s="151">
        <v>-4.0000000000000002E-4</v>
      </c>
      <c r="AU400" s="749" t="s">
        <v>3509</v>
      </c>
      <c r="AV400" s="151">
        <v>-4.0000000000000001E-3</v>
      </c>
      <c r="AW400" s="749" t="s">
        <v>3388</v>
      </c>
      <c r="AX400" s="151">
        <v>-4.0000000000000002E-4</v>
      </c>
      <c r="AY400" s="1" t="s">
        <v>3500</v>
      </c>
      <c r="AZ400" s="1" t="s">
        <v>3379</v>
      </c>
      <c r="BA400" s="151">
        <v>-4.0000000000000001E-3</v>
      </c>
    </row>
    <row r="401" spans="19:53">
      <c r="S401" s="1" t="s">
        <v>1912</v>
      </c>
      <c r="T401" s="151">
        <v>-4.0000000000000001E-3</v>
      </c>
      <c r="U401" s="1" t="s">
        <v>1912</v>
      </c>
      <c r="V401" s="151">
        <v>-4.0000000000000001E-3</v>
      </c>
      <c r="W401" s="749" t="s">
        <v>3367</v>
      </c>
      <c r="X401" s="151">
        <v>-4.0000000000000001E-3</v>
      </c>
      <c r="Y401" s="1" t="s">
        <v>1913</v>
      </c>
      <c r="Z401" s="151">
        <v>-4.0000000000000001E-3</v>
      </c>
      <c r="AA401" s="1" t="s">
        <v>3380</v>
      </c>
      <c r="AB401" s="151">
        <v>-4.0000000000000001E-3</v>
      </c>
      <c r="AC401" s="749" t="s">
        <v>3382</v>
      </c>
      <c r="AD401" s="151">
        <v>-4.0000000000000001E-3</v>
      </c>
      <c r="AE401" s="749" t="s">
        <v>3262</v>
      </c>
      <c r="AF401" s="151">
        <v>-4.0000000000000002E-4</v>
      </c>
      <c r="AG401" s="749" t="s">
        <v>3370</v>
      </c>
      <c r="AH401" s="151">
        <v>-4.0000000000000001E-3</v>
      </c>
      <c r="AI401" s="1" t="s">
        <v>1912</v>
      </c>
      <c r="AJ401" s="151">
        <v>-4.0000000000000001E-3</v>
      </c>
      <c r="AK401" s="1" t="s">
        <v>1625</v>
      </c>
      <c r="AL401" s="151">
        <v>-4.0000000000000001E-3</v>
      </c>
      <c r="AM401" s="749" t="s">
        <v>3367</v>
      </c>
      <c r="AN401" s="151">
        <v>-4.0000000000000001E-3</v>
      </c>
      <c r="AO401" s="1" t="s">
        <v>146</v>
      </c>
      <c r="AP401" s="151">
        <v>-4.0000000000000001E-3</v>
      </c>
      <c r="AQ401" s="1" t="s">
        <v>146</v>
      </c>
      <c r="AR401" s="151">
        <v>-4.0000000000000001E-3</v>
      </c>
      <c r="AS401" s="749" t="s">
        <v>3376</v>
      </c>
      <c r="AT401" s="151">
        <v>-4.0000000000000002E-4</v>
      </c>
      <c r="AU401" s="749" t="s">
        <v>1951</v>
      </c>
      <c r="AV401" s="151">
        <v>-4.0000000000000001E-3</v>
      </c>
      <c r="AW401" s="749" t="s">
        <v>1951</v>
      </c>
      <c r="AX401" s="151">
        <v>-4.0000000000000002E-4</v>
      </c>
      <c r="AY401" s="749" t="s">
        <v>3259</v>
      </c>
      <c r="AZ401" s="1" t="s">
        <v>3381</v>
      </c>
      <c r="BA401" s="151">
        <v>-4.0000000000000001E-3</v>
      </c>
    </row>
    <row r="402" spans="19:53">
      <c r="S402" s="1" t="s">
        <v>1625</v>
      </c>
      <c r="T402" s="151">
        <v>-4.0000000000000001E-3</v>
      </c>
      <c r="U402" s="1" t="s">
        <v>1625</v>
      </c>
      <c r="V402" s="151">
        <v>-4.0000000000000001E-3</v>
      </c>
      <c r="W402" s="749" t="s">
        <v>3262</v>
      </c>
      <c r="X402" s="151">
        <v>-4.0000000000000001E-3</v>
      </c>
      <c r="Y402" s="1" t="s">
        <v>146</v>
      </c>
      <c r="Z402" s="151">
        <v>-4.0000000000000001E-3</v>
      </c>
      <c r="AA402" s="1" t="s">
        <v>1912</v>
      </c>
      <c r="AB402" s="151">
        <v>-4.0000000000000001E-3</v>
      </c>
      <c r="AC402" s="749" t="s">
        <v>3378</v>
      </c>
      <c r="AD402" s="151">
        <v>-4.0000000000000001E-3</v>
      </c>
      <c r="AE402" s="749" t="s">
        <v>1992</v>
      </c>
      <c r="AF402" s="151">
        <v>-4.0000000000000002E-4</v>
      </c>
      <c r="AG402" s="749" t="s">
        <v>3509</v>
      </c>
      <c r="AH402" s="151">
        <v>-4.0000000000000001E-3</v>
      </c>
      <c r="AI402" s="1" t="s">
        <v>1625</v>
      </c>
      <c r="AJ402" s="151">
        <v>-4.0000000000000001E-3</v>
      </c>
      <c r="AK402" s="1" t="s">
        <v>1913</v>
      </c>
      <c r="AL402" s="151">
        <v>-4.0000000000000001E-3</v>
      </c>
      <c r="AM402" s="749" t="s">
        <v>3262</v>
      </c>
      <c r="AN402" s="151">
        <v>-4.0000000000000001E-3</v>
      </c>
      <c r="AO402" s="749" t="s">
        <v>3367</v>
      </c>
      <c r="AP402" s="151">
        <v>-4.0000000000000001E-3</v>
      </c>
      <c r="AQ402" s="749" t="s">
        <v>3367</v>
      </c>
      <c r="AR402" s="151">
        <v>-4.0000000000000001E-3</v>
      </c>
      <c r="AS402" s="749" t="s">
        <v>3388</v>
      </c>
      <c r="AT402" s="151">
        <v>-4.0000000000000002E-4</v>
      </c>
      <c r="AU402" s="749" t="s">
        <v>3390</v>
      </c>
      <c r="AV402" s="151">
        <v>-4.0000000000000001E-3</v>
      </c>
      <c r="AW402" s="749" t="s">
        <v>1992</v>
      </c>
      <c r="AX402" s="151">
        <v>-4.0000000000000002E-4</v>
      </c>
      <c r="AY402" s="24" t="s">
        <v>3278</v>
      </c>
      <c r="AZ402" s="24" t="s">
        <v>3380</v>
      </c>
      <c r="BA402" s="151">
        <v>-4.0000000000000001E-3</v>
      </c>
    </row>
    <row r="403" spans="19:53">
      <c r="S403" s="24" t="s">
        <v>1913</v>
      </c>
      <c r="T403" s="151">
        <v>-4.0000000000000001E-3</v>
      </c>
      <c r="U403" s="24" t="s">
        <v>1913</v>
      </c>
      <c r="V403" s="151">
        <v>-4.0000000000000001E-3</v>
      </c>
      <c r="W403" s="24" t="s">
        <v>3490</v>
      </c>
      <c r="X403" s="151">
        <v>-4.0000000000000001E-3</v>
      </c>
      <c r="Y403" s="492" t="s">
        <v>3367</v>
      </c>
      <c r="Z403" s="151">
        <v>-4.0000000000000001E-3</v>
      </c>
      <c r="AA403" s="24" t="s">
        <v>1625</v>
      </c>
      <c r="AB403" s="151">
        <v>-4.0000000000000001E-3</v>
      </c>
      <c r="AC403" s="492" t="s">
        <v>3370</v>
      </c>
      <c r="AD403" s="151">
        <v>-4.0000000000000001E-3</v>
      </c>
      <c r="AE403" s="24" t="s">
        <v>1931</v>
      </c>
      <c r="AF403" s="151">
        <v>-4.0000000000000002E-4</v>
      </c>
      <c r="AG403" s="492" t="s">
        <v>1951</v>
      </c>
      <c r="AH403" s="151">
        <v>-4.0000000000000001E-3</v>
      </c>
      <c r="AI403" s="24" t="s">
        <v>1913</v>
      </c>
      <c r="AJ403" s="151">
        <v>-4.0000000000000001E-3</v>
      </c>
      <c r="AK403" s="24" t="s">
        <v>146</v>
      </c>
      <c r="AL403" s="151">
        <v>-4.0000000000000001E-3</v>
      </c>
      <c r="AM403" s="24" t="s">
        <v>3490</v>
      </c>
      <c r="AN403" s="151">
        <v>-4.0000000000000001E-3</v>
      </c>
      <c r="AO403" s="492" t="s">
        <v>3262</v>
      </c>
      <c r="AP403" s="151">
        <v>-4.0000000000000001E-3</v>
      </c>
      <c r="AQ403" s="492" t="s">
        <v>3262</v>
      </c>
      <c r="AR403" s="151">
        <v>-4.0000000000000001E-3</v>
      </c>
      <c r="AS403" s="492" t="s">
        <v>1951</v>
      </c>
      <c r="AT403" s="151">
        <v>-4.0000000000000002E-4</v>
      </c>
      <c r="AU403" s="24" t="s">
        <v>3498</v>
      </c>
      <c r="AV403" s="151">
        <v>-4.0000000000000001E-3</v>
      </c>
      <c r="AW403" s="492" t="s">
        <v>3272</v>
      </c>
      <c r="AX403" s="151">
        <v>-4.0000000000000002E-4</v>
      </c>
      <c r="AY403" s="1" t="s">
        <v>3279</v>
      </c>
      <c r="AZ403" s="1" t="s">
        <v>1912</v>
      </c>
      <c r="BA403" s="151">
        <v>-4.0000000000000001E-3</v>
      </c>
    </row>
    <row r="404" spans="19:53">
      <c r="S404" s="1" t="s">
        <v>146</v>
      </c>
      <c r="T404" s="151">
        <v>-4.0000000000000001E-3</v>
      </c>
      <c r="U404" s="1" t="s">
        <v>146</v>
      </c>
      <c r="V404" s="151">
        <v>-4.0000000000000001E-3</v>
      </c>
      <c r="W404" s="1" t="s">
        <v>1916</v>
      </c>
      <c r="X404" s="151">
        <v>-4.0000000000000001E-3</v>
      </c>
      <c r="Y404" s="749" t="s">
        <v>3262</v>
      </c>
      <c r="Z404" s="151">
        <v>-4.0000000000000001E-3</v>
      </c>
      <c r="AA404" s="1" t="s">
        <v>1913</v>
      </c>
      <c r="AB404" s="151">
        <v>-4.0000000000000001E-3</v>
      </c>
      <c r="AC404" s="749" t="s">
        <v>3509</v>
      </c>
      <c r="AD404" s="151">
        <v>-4.0000000000000001E-3</v>
      </c>
      <c r="AE404" s="1" t="s">
        <v>1932</v>
      </c>
      <c r="AF404" s="151">
        <v>-4.0000000000000002E-4</v>
      </c>
      <c r="AG404" s="749" t="s">
        <v>3390</v>
      </c>
      <c r="AH404" s="151">
        <v>-4.0000000000000001E-3</v>
      </c>
      <c r="AI404" s="1" t="s">
        <v>146</v>
      </c>
      <c r="AJ404" s="151">
        <v>-4.0000000000000001E-3</v>
      </c>
      <c r="AK404" s="749" t="s">
        <v>3367</v>
      </c>
      <c r="AL404" s="151">
        <v>-4.0000000000000001E-3</v>
      </c>
      <c r="AM404" s="1" t="s">
        <v>1916</v>
      </c>
      <c r="AN404" s="151">
        <v>-4.0000000000000001E-3</v>
      </c>
      <c r="AO404" s="1" t="s">
        <v>3490</v>
      </c>
      <c r="AP404" s="151">
        <v>-4.0000000000000001E-3</v>
      </c>
      <c r="AQ404" s="1" t="s">
        <v>3490</v>
      </c>
      <c r="AR404" s="151">
        <v>-4.0000000000000001E-3</v>
      </c>
      <c r="AS404" s="749" t="s">
        <v>1992</v>
      </c>
      <c r="AT404" s="151">
        <v>-4.0000000000000002E-4</v>
      </c>
      <c r="AU404" s="749" t="s">
        <v>3371</v>
      </c>
      <c r="AV404" s="151">
        <v>-4.0000000000000001E-3</v>
      </c>
      <c r="AW404" s="749" t="s">
        <v>3273</v>
      </c>
      <c r="AX404" s="151">
        <v>-4.0000000000000002E-4</v>
      </c>
      <c r="AY404" s="1" t="s">
        <v>3286</v>
      </c>
      <c r="AZ404" s="1" t="s">
        <v>1625</v>
      </c>
      <c r="BA404" s="151">
        <v>-4.0000000000000001E-3</v>
      </c>
    </row>
    <row r="405" spans="19:53">
      <c r="S405" s="749" t="s">
        <v>3367</v>
      </c>
      <c r="T405" s="151">
        <v>-4.0000000000000001E-3</v>
      </c>
      <c r="U405" s="749" t="s">
        <v>3367</v>
      </c>
      <c r="V405" s="151">
        <v>-4.0000000000000001E-3</v>
      </c>
      <c r="W405" s="749" t="s">
        <v>3382</v>
      </c>
      <c r="X405" s="151">
        <v>-4.0000000000000001E-3</v>
      </c>
      <c r="Y405" s="1" t="s">
        <v>3490</v>
      </c>
      <c r="Z405" s="151">
        <v>-4.0000000000000001E-3</v>
      </c>
      <c r="AA405" s="1" t="s">
        <v>146</v>
      </c>
      <c r="AB405" s="151">
        <v>-4.0000000000000001E-3</v>
      </c>
      <c r="AC405" s="749" t="s">
        <v>1951</v>
      </c>
      <c r="AD405" s="151">
        <v>-4.0000000000000001E-3</v>
      </c>
      <c r="AE405" s="749" t="s">
        <v>3376</v>
      </c>
      <c r="AF405" s="151">
        <v>-4.0000000000000002E-4</v>
      </c>
      <c r="AG405" s="1" t="s">
        <v>3498</v>
      </c>
      <c r="AH405" s="151">
        <v>-4.0000000000000001E-3</v>
      </c>
      <c r="AI405" s="749" t="s">
        <v>3367</v>
      </c>
      <c r="AJ405" s="151">
        <v>-4.0000000000000001E-3</v>
      </c>
      <c r="AK405" s="749" t="s">
        <v>3262</v>
      </c>
      <c r="AL405" s="151">
        <v>-4.0000000000000001E-3</v>
      </c>
      <c r="AM405" s="749" t="s">
        <v>3382</v>
      </c>
      <c r="AN405" s="151">
        <v>-4.0000000000000001E-3</v>
      </c>
      <c r="AO405" s="1" t="s">
        <v>1916</v>
      </c>
      <c r="AP405" s="151">
        <v>-4.0000000000000001E-3</v>
      </c>
      <c r="AQ405" s="1" t="s">
        <v>1916</v>
      </c>
      <c r="AR405" s="151">
        <v>-4.0000000000000001E-3</v>
      </c>
      <c r="AS405" s="749" t="s">
        <v>3272</v>
      </c>
      <c r="AT405" s="151">
        <v>-4.0000000000000002E-4</v>
      </c>
      <c r="AU405" s="749" t="s">
        <v>3263</v>
      </c>
      <c r="AV405" s="151">
        <v>-4.0000000000000001E-3</v>
      </c>
      <c r="AW405" s="1" t="s">
        <v>3499</v>
      </c>
      <c r="AX405" s="151">
        <v>-4.0000000000000002E-4</v>
      </c>
      <c r="AY405" s="749" t="s">
        <v>3287</v>
      </c>
      <c r="AZ405" s="1" t="s">
        <v>1913</v>
      </c>
      <c r="BA405" s="151">
        <v>-4.0000000000000001E-3</v>
      </c>
    </row>
    <row r="406" spans="19:53">
      <c r="S406" s="749" t="s">
        <v>3262</v>
      </c>
      <c r="T406" s="151">
        <v>-4.0000000000000001E-3</v>
      </c>
      <c r="U406" s="749" t="s">
        <v>3262</v>
      </c>
      <c r="V406" s="151">
        <v>-4.0000000000000001E-3</v>
      </c>
      <c r="W406" s="749" t="s">
        <v>3378</v>
      </c>
      <c r="X406" s="151">
        <v>-4.0000000000000001E-3</v>
      </c>
      <c r="Y406" s="1" t="s">
        <v>1916</v>
      </c>
      <c r="Z406" s="151">
        <v>-4.0000000000000001E-3</v>
      </c>
      <c r="AA406" s="749" t="s">
        <v>3367</v>
      </c>
      <c r="AB406" s="151">
        <v>-4.0000000000000001E-3</v>
      </c>
      <c r="AC406" s="749" t="s">
        <v>3390</v>
      </c>
      <c r="AD406" s="151">
        <v>-4.0000000000000001E-3</v>
      </c>
      <c r="AE406" s="749" t="s">
        <v>3388</v>
      </c>
      <c r="AF406" s="151">
        <v>-4.0000000000000002E-4</v>
      </c>
      <c r="AG406" s="749" t="s">
        <v>3371</v>
      </c>
      <c r="AH406" s="151">
        <v>-4.0000000000000001E-3</v>
      </c>
      <c r="AI406" s="749" t="s">
        <v>3262</v>
      </c>
      <c r="AJ406" s="151">
        <v>-4.0000000000000001E-3</v>
      </c>
      <c r="AK406" s="1" t="s">
        <v>3490</v>
      </c>
      <c r="AL406" s="151">
        <v>-4.0000000000000001E-3</v>
      </c>
      <c r="AM406" s="749" t="s">
        <v>3378</v>
      </c>
      <c r="AN406" s="151">
        <v>-4.0000000000000001E-3</v>
      </c>
      <c r="AO406" s="749" t="s">
        <v>3382</v>
      </c>
      <c r="AP406" s="151">
        <v>-4.0000000000000001E-3</v>
      </c>
      <c r="AQ406" s="749" t="s">
        <v>3382</v>
      </c>
      <c r="AR406" s="151">
        <v>-4.0000000000000001E-3</v>
      </c>
      <c r="AS406" s="749" t="s">
        <v>3273</v>
      </c>
      <c r="AT406" s="151">
        <v>-4.0000000000000002E-4</v>
      </c>
      <c r="AU406" s="749" t="s">
        <v>3383</v>
      </c>
      <c r="AV406" s="151">
        <v>-4.0000000000000001E-3</v>
      </c>
      <c r="AW406" s="749" t="s">
        <v>3392</v>
      </c>
      <c r="AX406" s="151">
        <v>-4.0000000000000002E-4</v>
      </c>
      <c r="AY406" s="325" t="s">
        <v>3280</v>
      </c>
      <c r="AZ406" s="1" t="s">
        <v>146</v>
      </c>
      <c r="BA406" s="151">
        <v>-4.0000000000000001E-3</v>
      </c>
    </row>
    <row r="407" spans="19:53">
      <c r="S407" s="1" t="s">
        <v>3490</v>
      </c>
      <c r="T407" s="151">
        <v>-4.0000000000000001E-3</v>
      </c>
      <c r="U407" s="1" t="s">
        <v>3490</v>
      </c>
      <c r="V407" s="151">
        <v>-4.0000000000000001E-3</v>
      </c>
      <c r="W407" s="749" t="s">
        <v>3370</v>
      </c>
      <c r="X407" s="151">
        <v>-4.0000000000000001E-3</v>
      </c>
      <c r="Y407" s="749" t="s">
        <v>3382</v>
      </c>
      <c r="Z407" s="151">
        <v>-4.0000000000000001E-3</v>
      </c>
      <c r="AA407" s="749" t="s">
        <v>3262</v>
      </c>
      <c r="AB407" s="151">
        <v>-4.0000000000000001E-3</v>
      </c>
      <c r="AC407" s="1" t="s">
        <v>3498</v>
      </c>
      <c r="AD407" s="151">
        <v>-4.0000000000000001E-3</v>
      </c>
      <c r="AE407" s="749" t="s">
        <v>1951</v>
      </c>
      <c r="AF407" s="151">
        <v>-4.0000000000000002E-4</v>
      </c>
      <c r="AG407" s="749" t="s">
        <v>3263</v>
      </c>
      <c r="AH407" s="151">
        <v>-4.0000000000000001E-3</v>
      </c>
      <c r="AI407" s="1" t="s">
        <v>3490</v>
      </c>
      <c r="AJ407" s="151">
        <v>-4.0000000000000001E-3</v>
      </c>
      <c r="AK407" s="1" t="s">
        <v>1916</v>
      </c>
      <c r="AL407" s="151">
        <v>-4.0000000000000001E-3</v>
      </c>
      <c r="AM407" s="749" t="s">
        <v>3370</v>
      </c>
      <c r="AN407" s="151">
        <v>-4.0000000000000001E-3</v>
      </c>
      <c r="AO407" s="749" t="s">
        <v>3378</v>
      </c>
      <c r="AP407" s="151">
        <v>-4.0000000000000001E-3</v>
      </c>
      <c r="AQ407" s="749" t="s">
        <v>3378</v>
      </c>
      <c r="AR407" s="151">
        <v>-4.0000000000000001E-3</v>
      </c>
      <c r="AS407" s="1" t="s">
        <v>3499</v>
      </c>
      <c r="AT407" s="151">
        <v>-4.0000000000000002E-4</v>
      </c>
      <c r="AU407" s="749" t="s">
        <v>3264</v>
      </c>
      <c r="AV407" s="151">
        <v>-4.0000000000000001E-3</v>
      </c>
      <c r="AW407" s="749" t="s">
        <v>3274</v>
      </c>
      <c r="AX407" s="151">
        <v>-4.0000000000000002E-4</v>
      </c>
      <c r="AY407" s="1" t="s">
        <v>3281</v>
      </c>
      <c r="AZ407" s="749" t="s">
        <v>3367</v>
      </c>
      <c r="BA407" s="151">
        <v>-4.0000000000000001E-3</v>
      </c>
    </row>
    <row r="408" spans="19:53">
      <c r="S408" s="1" t="s">
        <v>1916</v>
      </c>
      <c r="T408" s="151">
        <v>-4.0000000000000001E-3</v>
      </c>
      <c r="U408" s="1" t="s">
        <v>1916</v>
      </c>
      <c r="V408" s="151">
        <v>-4.0000000000000001E-3</v>
      </c>
      <c r="W408" s="749" t="s">
        <v>3509</v>
      </c>
      <c r="X408" s="151">
        <v>-4.0000000000000001E-3</v>
      </c>
      <c r="Y408" s="749" t="s">
        <v>3378</v>
      </c>
      <c r="Z408" s="151">
        <v>-4.0000000000000001E-3</v>
      </c>
      <c r="AA408" s="1" t="s">
        <v>3490</v>
      </c>
      <c r="AB408" s="151">
        <v>-4.0000000000000001E-3</v>
      </c>
      <c r="AC408" s="749" t="s">
        <v>3371</v>
      </c>
      <c r="AD408" s="151">
        <v>-4.0000000000000001E-3</v>
      </c>
      <c r="AE408" s="749" t="s">
        <v>1992</v>
      </c>
      <c r="AF408" s="151">
        <v>-4.0000000000000002E-4</v>
      </c>
      <c r="AG408" s="749" t="s">
        <v>3383</v>
      </c>
      <c r="AH408" s="151">
        <v>-4.0000000000000001E-3</v>
      </c>
      <c r="AI408" s="1" t="s">
        <v>1916</v>
      </c>
      <c r="AJ408" s="151">
        <v>-4.0000000000000001E-3</v>
      </c>
      <c r="AK408" s="749" t="s">
        <v>3382</v>
      </c>
      <c r="AL408" s="151">
        <v>-4.0000000000000001E-3</v>
      </c>
      <c r="AM408" s="749" t="s">
        <v>3509</v>
      </c>
      <c r="AN408" s="151">
        <v>-4.0000000000000001E-3</v>
      </c>
      <c r="AO408" s="749" t="s">
        <v>3370</v>
      </c>
      <c r="AP408" s="151">
        <v>-4.0000000000000001E-3</v>
      </c>
      <c r="AQ408" s="749" t="s">
        <v>3370</v>
      </c>
      <c r="AR408" s="151">
        <v>-4.0000000000000001E-3</v>
      </c>
      <c r="AS408" s="749" t="s">
        <v>3392</v>
      </c>
      <c r="AT408" s="151">
        <v>-4.0000000000000002E-4</v>
      </c>
      <c r="AU408" s="749" t="s">
        <v>3265</v>
      </c>
      <c r="AV408" s="151">
        <v>-4.0000000000000001E-3</v>
      </c>
      <c r="AW408" s="749" t="s">
        <v>3504</v>
      </c>
      <c r="AX408" s="151">
        <v>-4.0000000000000002E-4</v>
      </c>
      <c r="AY408" s="1" t="s">
        <v>1958</v>
      </c>
      <c r="AZ408" s="749" t="s">
        <v>3262</v>
      </c>
      <c r="BA408" s="151">
        <v>-4.0000000000000001E-3</v>
      </c>
    </row>
    <row r="409" spans="19:53">
      <c r="S409" s="749" t="s">
        <v>3382</v>
      </c>
      <c r="T409" s="151">
        <v>-4.0000000000000001E-3</v>
      </c>
      <c r="U409" s="749" t="s">
        <v>3382</v>
      </c>
      <c r="V409" s="151">
        <v>-4.0000000000000001E-3</v>
      </c>
      <c r="W409" s="749" t="s">
        <v>1951</v>
      </c>
      <c r="X409" s="151">
        <v>-4.0000000000000001E-3</v>
      </c>
      <c r="Y409" s="749" t="s">
        <v>3370</v>
      </c>
      <c r="Z409" s="151">
        <v>-4.0000000000000001E-3</v>
      </c>
      <c r="AA409" s="1" t="s">
        <v>1916</v>
      </c>
      <c r="AB409" s="151">
        <v>-4.0000000000000001E-3</v>
      </c>
      <c r="AC409" s="749" t="s">
        <v>3263</v>
      </c>
      <c r="AD409" s="151">
        <v>-4.0000000000000001E-3</v>
      </c>
      <c r="AE409" s="749" t="s">
        <v>3273</v>
      </c>
      <c r="AF409" s="151">
        <v>-4.0000000000000002E-4</v>
      </c>
      <c r="AG409" s="749" t="s">
        <v>3264</v>
      </c>
      <c r="AH409" s="151">
        <v>-4.0000000000000001E-3</v>
      </c>
      <c r="AI409" s="749" t="s">
        <v>3382</v>
      </c>
      <c r="AJ409" s="151">
        <v>-4.0000000000000001E-3</v>
      </c>
      <c r="AK409" s="749" t="s">
        <v>3378</v>
      </c>
      <c r="AL409" s="151">
        <v>-4.0000000000000001E-3</v>
      </c>
      <c r="AM409" s="749" t="s">
        <v>1951</v>
      </c>
      <c r="AN409" s="151">
        <v>-4.0000000000000001E-3</v>
      </c>
      <c r="AO409" s="749" t="s">
        <v>3509</v>
      </c>
      <c r="AP409" s="151">
        <v>-4.0000000000000001E-3</v>
      </c>
      <c r="AQ409" s="749" t="s">
        <v>3509</v>
      </c>
      <c r="AR409" s="151">
        <v>-4.0000000000000001E-3</v>
      </c>
      <c r="AS409" s="749" t="s">
        <v>3274</v>
      </c>
      <c r="AT409" s="151">
        <v>-4.0000000000000002E-4</v>
      </c>
      <c r="AU409" s="749" t="s">
        <v>3266</v>
      </c>
      <c r="AV409" s="151">
        <v>-4.0000000000000001E-3</v>
      </c>
      <c r="AW409" s="1" t="s">
        <v>3254</v>
      </c>
      <c r="AX409" s="151">
        <v>-4.0000000000000002E-4</v>
      </c>
      <c r="AY409" s="1" t="s">
        <v>1959</v>
      </c>
      <c r="AZ409" s="1" t="s">
        <v>3490</v>
      </c>
      <c r="BA409" s="151">
        <v>-4.0000000000000001E-3</v>
      </c>
    </row>
    <row r="410" spans="19:53">
      <c r="S410" s="749" t="s">
        <v>3378</v>
      </c>
      <c r="T410" s="151">
        <v>-4.0000000000000001E-3</v>
      </c>
      <c r="U410" s="749" t="s">
        <v>3378</v>
      </c>
      <c r="V410" s="151">
        <v>-4.0000000000000001E-3</v>
      </c>
      <c r="W410" s="749" t="s">
        <v>3390</v>
      </c>
      <c r="X410" s="151">
        <v>-4.0000000000000001E-3</v>
      </c>
      <c r="Y410" s="749" t="s">
        <v>3509</v>
      </c>
      <c r="Z410" s="151">
        <v>-4.0000000000000001E-3</v>
      </c>
      <c r="AA410" s="749" t="s">
        <v>3382</v>
      </c>
      <c r="AB410" s="151">
        <v>-4.0000000000000001E-3</v>
      </c>
      <c r="AC410" s="749" t="s">
        <v>3383</v>
      </c>
      <c r="AD410" s="151">
        <v>-4.0000000000000001E-3</v>
      </c>
      <c r="AE410" s="749" t="s">
        <v>3392</v>
      </c>
      <c r="AF410" s="151">
        <v>-4.0000000000000002E-4</v>
      </c>
      <c r="AG410" s="749" t="s">
        <v>3265</v>
      </c>
      <c r="AH410" s="151">
        <v>-4.0000000000000001E-3</v>
      </c>
      <c r="AI410" s="749" t="s">
        <v>3378</v>
      </c>
      <c r="AJ410" s="151">
        <v>-4.0000000000000001E-3</v>
      </c>
      <c r="AK410" s="749" t="s">
        <v>3370</v>
      </c>
      <c r="AL410" s="151">
        <v>-4.0000000000000001E-3</v>
      </c>
      <c r="AM410" s="749" t="s">
        <v>3390</v>
      </c>
      <c r="AN410" s="151">
        <v>-4.0000000000000001E-3</v>
      </c>
      <c r="AO410" s="749" t="s">
        <v>1951</v>
      </c>
      <c r="AP410" s="151">
        <v>-4.0000000000000001E-3</v>
      </c>
      <c r="AQ410" s="749" t="s">
        <v>1951</v>
      </c>
      <c r="AR410" s="151">
        <v>-4.0000000000000001E-3</v>
      </c>
      <c r="AS410" s="749" t="s">
        <v>3504</v>
      </c>
      <c r="AT410" s="151">
        <v>-4.0000000000000002E-4</v>
      </c>
      <c r="AU410" s="749" t="s">
        <v>3372</v>
      </c>
      <c r="AV410" s="151">
        <v>-4.0000000000000001E-3</v>
      </c>
      <c r="AW410" s="749" t="s">
        <v>3393</v>
      </c>
      <c r="AX410" s="151">
        <v>-4.0000000000000002E-4</v>
      </c>
      <c r="AY410" s="1" t="s">
        <v>1960</v>
      </c>
      <c r="AZ410" s="1" t="s">
        <v>1916</v>
      </c>
      <c r="BA410" s="151">
        <v>-4.0000000000000001E-3</v>
      </c>
    </row>
    <row r="411" spans="19:53">
      <c r="S411" s="749" t="s">
        <v>3370</v>
      </c>
      <c r="T411" s="151">
        <v>-4.0000000000000001E-3</v>
      </c>
      <c r="U411" s="749" t="s">
        <v>3370</v>
      </c>
      <c r="V411" s="151">
        <v>-4.0000000000000001E-3</v>
      </c>
      <c r="W411" s="1" t="s">
        <v>3498</v>
      </c>
      <c r="X411" s="151">
        <v>-4.0000000000000001E-3</v>
      </c>
      <c r="Y411" s="749" t="s">
        <v>1951</v>
      </c>
      <c r="Z411" s="151">
        <v>-4.0000000000000001E-3</v>
      </c>
      <c r="AA411" s="749" t="s">
        <v>3378</v>
      </c>
      <c r="AB411" s="151">
        <v>-4.0000000000000001E-3</v>
      </c>
      <c r="AC411" s="749" t="s">
        <v>3264</v>
      </c>
      <c r="AD411" s="151">
        <v>-4.0000000000000001E-3</v>
      </c>
      <c r="AE411" s="749" t="s">
        <v>3393</v>
      </c>
      <c r="AF411" s="151">
        <v>-4.0000000000000002E-4</v>
      </c>
      <c r="AG411" s="749" t="s">
        <v>3266</v>
      </c>
      <c r="AH411" s="151">
        <v>-4.0000000000000001E-3</v>
      </c>
      <c r="AI411" s="749" t="s">
        <v>3370</v>
      </c>
      <c r="AJ411" s="151">
        <v>-4.0000000000000001E-3</v>
      </c>
      <c r="AK411" s="749" t="s">
        <v>3509</v>
      </c>
      <c r="AL411" s="151">
        <v>-4.0000000000000001E-3</v>
      </c>
      <c r="AM411" s="1" t="s">
        <v>3498</v>
      </c>
      <c r="AN411" s="151">
        <v>-4.0000000000000001E-3</v>
      </c>
      <c r="AO411" s="749" t="s">
        <v>3390</v>
      </c>
      <c r="AP411" s="151">
        <v>-4.0000000000000001E-3</v>
      </c>
      <c r="AQ411" s="749" t="s">
        <v>3390</v>
      </c>
      <c r="AR411" s="151">
        <v>-4.0000000000000001E-3</v>
      </c>
      <c r="AS411" s="1" t="s">
        <v>3254</v>
      </c>
      <c r="AT411" s="151">
        <v>-4.0000000000000002E-4</v>
      </c>
      <c r="AU411" s="749" t="s">
        <v>3399</v>
      </c>
      <c r="AV411" s="151">
        <v>-4.0000000000000001E-3</v>
      </c>
      <c r="AW411" s="1" t="s">
        <v>1938</v>
      </c>
      <c r="AX411" s="151">
        <v>-4.0000000000000002E-4</v>
      </c>
      <c r="AY411" s="749" t="s">
        <v>3288</v>
      </c>
      <c r="AZ411" s="749" t="s">
        <v>3382</v>
      </c>
      <c r="BA411" s="151">
        <v>-4.0000000000000001E-3</v>
      </c>
    </row>
    <row r="412" spans="19:53">
      <c r="S412" s="749" t="s">
        <v>3509</v>
      </c>
      <c r="T412" s="151">
        <v>-4.0000000000000001E-3</v>
      </c>
      <c r="U412" s="749" t="s">
        <v>3509</v>
      </c>
      <c r="V412" s="151">
        <v>-4.0000000000000001E-3</v>
      </c>
      <c r="W412" s="749" t="s">
        <v>3371</v>
      </c>
      <c r="X412" s="151">
        <v>-4.0000000000000001E-3</v>
      </c>
      <c r="Y412" s="749" t="s">
        <v>3390</v>
      </c>
      <c r="Z412" s="151">
        <v>-4.0000000000000001E-3</v>
      </c>
      <c r="AA412" s="749" t="s">
        <v>3370</v>
      </c>
      <c r="AB412" s="151">
        <v>-4.0000000000000001E-3</v>
      </c>
      <c r="AC412" s="749" t="s">
        <v>3265</v>
      </c>
      <c r="AD412" s="151">
        <v>-4.0000000000000001E-3</v>
      </c>
      <c r="AE412" s="1" t="s">
        <v>1938</v>
      </c>
      <c r="AF412" s="151">
        <v>-4.0000000000000002E-4</v>
      </c>
      <c r="AG412" s="749" t="s">
        <v>3372</v>
      </c>
      <c r="AH412" s="151">
        <v>-4.0000000000000001E-3</v>
      </c>
      <c r="AI412" s="749" t="s">
        <v>3509</v>
      </c>
      <c r="AJ412" s="151">
        <v>-4.0000000000000001E-3</v>
      </c>
      <c r="AK412" s="749" t="s">
        <v>1951</v>
      </c>
      <c r="AL412" s="151">
        <v>-4.0000000000000001E-3</v>
      </c>
      <c r="AM412" s="749" t="s">
        <v>3371</v>
      </c>
      <c r="AN412" s="151">
        <v>-4.0000000000000001E-3</v>
      </c>
      <c r="AO412" s="1" t="s">
        <v>3498</v>
      </c>
      <c r="AP412" s="151">
        <v>-4.0000000000000001E-3</v>
      </c>
      <c r="AQ412" s="1" t="s">
        <v>3498</v>
      </c>
      <c r="AR412" s="151">
        <v>-4.0000000000000001E-3</v>
      </c>
      <c r="AS412" s="749" t="s">
        <v>3393</v>
      </c>
      <c r="AT412" s="151">
        <v>-4.0000000000000002E-4</v>
      </c>
      <c r="AU412" s="1" t="s">
        <v>3247</v>
      </c>
      <c r="AV412" s="151">
        <v>-4.0000000000000001E-3</v>
      </c>
      <c r="AW412" s="1" t="s">
        <v>3548</v>
      </c>
      <c r="AX412" s="151">
        <v>-4.0000000000000002E-4</v>
      </c>
      <c r="AY412" s="1" t="s">
        <v>1961</v>
      </c>
      <c r="AZ412" s="749" t="s">
        <v>3378</v>
      </c>
      <c r="BA412" s="151">
        <v>-4.0000000000000001E-3</v>
      </c>
    </row>
    <row r="413" spans="19:53">
      <c r="S413" s="749" t="s">
        <v>1951</v>
      </c>
      <c r="T413" s="151">
        <v>-4.0000000000000001E-3</v>
      </c>
      <c r="U413" s="749" t="s">
        <v>1951</v>
      </c>
      <c r="V413" s="151">
        <v>-4.0000000000000001E-3</v>
      </c>
      <c r="W413" s="749" t="s">
        <v>3263</v>
      </c>
      <c r="X413" s="151">
        <v>-4.0000000000000001E-3</v>
      </c>
      <c r="Y413" s="1" t="s">
        <v>3498</v>
      </c>
      <c r="Z413" s="151">
        <v>-4.0000000000000001E-3</v>
      </c>
      <c r="AA413" s="749" t="s">
        <v>3509</v>
      </c>
      <c r="AB413" s="151">
        <v>-4.0000000000000001E-3</v>
      </c>
      <c r="AC413" s="749" t="s">
        <v>3266</v>
      </c>
      <c r="AD413" s="151">
        <v>-4.0000000000000001E-3</v>
      </c>
      <c r="AE413" s="1" t="s">
        <v>3548</v>
      </c>
      <c r="AF413" s="151">
        <v>-4.0000000000000002E-4</v>
      </c>
      <c r="AG413" s="749" t="s">
        <v>3399</v>
      </c>
      <c r="AH413" s="151">
        <v>-4.0000000000000001E-3</v>
      </c>
      <c r="AI413" s="749" t="s">
        <v>1951</v>
      </c>
      <c r="AJ413" s="151">
        <v>-4.0000000000000001E-3</v>
      </c>
      <c r="AK413" s="749" t="s">
        <v>3390</v>
      </c>
      <c r="AL413" s="151">
        <v>-4.0000000000000001E-3</v>
      </c>
      <c r="AM413" s="749" t="s">
        <v>3383</v>
      </c>
      <c r="AN413" s="151">
        <v>-4.0000000000000001E-3</v>
      </c>
      <c r="AO413" s="749" t="s">
        <v>3371</v>
      </c>
      <c r="AP413" s="151">
        <v>-4.0000000000000001E-3</v>
      </c>
      <c r="AQ413" s="749" t="s">
        <v>3371</v>
      </c>
      <c r="AR413" s="151">
        <v>-4.0000000000000001E-3</v>
      </c>
      <c r="AS413" s="1" t="s">
        <v>1938</v>
      </c>
      <c r="AT413" s="151">
        <v>-4.0000000000000002E-4</v>
      </c>
      <c r="AU413" s="749" t="s">
        <v>3373</v>
      </c>
      <c r="AV413" s="151">
        <v>-4.0000000000000001E-3</v>
      </c>
      <c r="AW413" s="1" t="s">
        <v>1940</v>
      </c>
      <c r="AX413" s="151">
        <v>-4.0000000000000002E-4</v>
      </c>
      <c r="AY413" s="749" t="s">
        <v>3289</v>
      </c>
      <c r="AZ413" s="749" t="s">
        <v>3370</v>
      </c>
      <c r="BA413" s="151">
        <v>-4.0000000000000001E-3</v>
      </c>
    </row>
    <row r="414" spans="19:53">
      <c r="S414" s="749" t="s">
        <v>3390</v>
      </c>
      <c r="T414" s="151">
        <v>-4.0000000000000001E-3</v>
      </c>
      <c r="U414" s="749" t="s">
        <v>3390</v>
      </c>
      <c r="V414" s="151">
        <v>-4.0000000000000001E-3</v>
      </c>
      <c r="W414" s="749" t="s">
        <v>3383</v>
      </c>
      <c r="X414" s="151">
        <v>-4.0000000000000001E-3</v>
      </c>
      <c r="Y414" s="749" t="s">
        <v>3371</v>
      </c>
      <c r="Z414" s="151">
        <v>-4.0000000000000001E-3</v>
      </c>
      <c r="AA414" s="749" t="s">
        <v>1951</v>
      </c>
      <c r="AB414" s="151">
        <v>-4.0000000000000001E-3</v>
      </c>
      <c r="AC414" s="749" t="s">
        <v>3372</v>
      </c>
      <c r="AD414" s="151">
        <v>-4.0000000000000001E-3</v>
      </c>
      <c r="AE414" s="1" t="s">
        <v>1940</v>
      </c>
      <c r="AF414" s="151">
        <v>-4.0000000000000002E-4</v>
      </c>
      <c r="AG414" s="1" t="s">
        <v>3247</v>
      </c>
      <c r="AH414" s="151">
        <v>-4.0000000000000001E-3</v>
      </c>
      <c r="AI414" s="749" t="s">
        <v>3390</v>
      </c>
      <c r="AJ414" s="151">
        <v>-4.0000000000000001E-3</v>
      </c>
      <c r="AK414" s="1" t="s">
        <v>3498</v>
      </c>
      <c r="AL414" s="151">
        <v>-4.0000000000000001E-3</v>
      </c>
      <c r="AM414" s="749" t="s">
        <v>3264</v>
      </c>
      <c r="AN414" s="151">
        <v>-4.0000000000000001E-3</v>
      </c>
      <c r="AO414" s="749" t="s">
        <v>3263</v>
      </c>
      <c r="AP414" s="151">
        <v>-4.0000000000000001E-3</v>
      </c>
      <c r="AQ414" s="749" t="s">
        <v>3263</v>
      </c>
      <c r="AR414" s="151">
        <v>-4.0000000000000001E-3</v>
      </c>
      <c r="AS414" s="1" t="s">
        <v>3548</v>
      </c>
      <c r="AT414" s="151">
        <v>-4.0000000000000002E-4</v>
      </c>
      <c r="AU414" s="1" t="s">
        <v>1924</v>
      </c>
      <c r="AV414" s="151">
        <v>-4.0000000000000001E-3</v>
      </c>
      <c r="AW414" s="1" t="s">
        <v>3275</v>
      </c>
      <c r="AX414" s="151">
        <v>-4.0000000000000002E-4</v>
      </c>
      <c r="AY414" s="1" t="s">
        <v>1962</v>
      </c>
      <c r="AZ414" s="749" t="s">
        <v>3509</v>
      </c>
      <c r="BA414" s="151">
        <v>-4.0000000000000001E-3</v>
      </c>
    </row>
    <row r="415" spans="19:53">
      <c r="S415" s="1" t="s">
        <v>3498</v>
      </c>
      <c r="T415" s="151">
        <v>-4.0000000000000001E-3</v>
      </c>
      <c r="U415" s="1" t="s">
        <v>3498</v>
      </c>
      <c r="V415" s="151">
        <v>-4.0000000000000001E-3</v>
      </c>
      <c r="W415" s="749" t="s">
        <v>3264</v>
      </c>
      <c r="X415" s="151">
        <v>-4.0000000000000001E-3</v>
      </c>
      <c r="Y415" s="749" t="s">
        <v>3383</v>
      </c>
      <c r="Z415" s="151">
        <v>-4.0000000000000001E-3</v>
      </c>
      <c r="AA415" s="749" t="s">
        <v>3390</v>
      </c>
      <c r="AB415" s="151">
        <v>-4.0000000000000001E-3</v>
      </c>
      <c r="AC415" s="749" t="s">
        <v>3399</v>
      </c>
      <c r="AD415" s="151">
        <v>-4.0000000000000001E-3</v>
      </c>
      <c r="AE415" s="1" t="s">
        <v>3275</v>
      </c>
      <c r="AF415" s="151">
        <v>-4.0000000000000002E-4</v>
      </c>
      <c r="AG415" s="749" t="s">
        <v>3373</v>
      </c>
      <c r="AH415" s="151">
        <v>-4.0000000000000001E-3</v>
      </c>
      <c r="AI415" s="1" t="s">
        <v>3498</v>
      </c>
      <c r="AJ415" s="151">
        <v>-4.0000000000000001E-3</v>
      </c>
      <c r="AK415" s="749" t="s">
        <v>3371</v>
      </c>
      <c r="AL415" s="151">
        <v>-4.0000000000000001E-3</v>
      </c>
      <c r="AM415" s="749" t="s">
        <v>3265</v>
      </c>
      <c r="AN415" s="151">
        <v>-4.0000000000000001E-3</v>
      </c>
      <c r="AO415" s="749" t="s">
        <v>3383</v>
      </c>
      <c r="AP415" s="151">
        <v>-4.0000000000000001E-3</v>
      </c>
      <c r="AQ415" s="749" t="s">
        <v>3383</v>
      </c>
      <c r="AR415" s="151">
        <v>-4.0000000000000001E-3</v>
      </c>
      <c r="AS415" s="1" t="s">
        <v>1940</v>
      </c>
      <c r="AT415" s="151">
        <v>-4.0000000000000002E-4</v>
      </c>
      <c r="AU415" s="749" t="s">
        <v>3506</v>
      </c>
      <c r="AV415" s="151">
        <v>-4.0000000000000001E-3</v>
      </c>
      <c r="AW415" s="1" t="s">
        <v>3255</v>
      </c>
      <c r="AX415" s="151">
        <v>-4.0000000000000002E-4</v>
      </c>
      <c r="AY415" s="1232" t="s">
        <v>1963</v>
      </c>
      <c r="AZ415" s="749" t="s">
        <v>1951</v>
      </c>
      <c r="BA415" s="151">
        <v>-4.0000000000000001E-3</v>
      </c>
    </row>
    <row r="416" spans="19:53">
      <c r="S416" s="749" t="s">
        <v>3371</v>
      </c>
      <c r="T416" s="151">
        <v>-4.0000000000000001E-3</v>
      </c>
      <c r="U416" s="749" t="s">
        <v>3371</v>
      </c>
      <c r="V416" s="151">
        <v>-4.0000000000000001E-3</v>
      </c>
      <c r="W416" s="749" t="s">
        <v>3265</v>
      </c>
      <c r="X416" s="151">
        <v>-4.0000000000000001E-3</v>
      </c>
      <c r="Y416" s="749" t="s">
        <v>3264</v>
      </c>
      <c r="Z416" s="151">
        <v>-4.0000000000000001E-3</v>
      </c>
      <c r="AA416" s="1" t="s">
        <v>3498</v>
      </c>
      <c r="AB416" s="151">
        <v>-4.0000000000000001E-3</v>
      </c>
      <c r="AC416" s="749" t="s">
        <v>3267</v>
      </c>
      <c r="AD416" s="4">
        <v>-4.0000000000000001E-3</v>
      </c>
      <c r="AE416" s="1" t="s">
        <v>3255</v>
      </c>
      <c r="AF416" s="151">
        <v>-4.0000000000000002E-4</v>
      </c>
      <c r="AG416" s="1" t="s">
        <v>1924</v>
      </c>
      <c r="AH416" s="151">
        <v>-4.0000000000000001E-3</v>
      </c>
      <c r="AI416" s="749" t="s">
        <v>3371</v>
      </c>
      <c r="AJ416" s="151">
        <v>-4.0000000000000001E-3</v>
      </c>
      <c r="AK416" s="749" t="s">
        <v>3383</v>
      </c>
      <c r="AL416" s="151">
        <v>-4.0000000000000001E-3</v>
      </c>
      <c r="AM416" s="749" t="s">
        <v>3266</v>
      </c>
      <c r="AN416" s="151">
        <v>-4.0000000000000001E-3</v>
      </c>
      <c r="AO416" s="749" t="s">
        <v>3264</v>
      </c>
      <c r="AP416" s="151">
        <v>-4.0000000000000001E-3</v>
      </c>
      <c r="AQ416" s="749" t="s">
        <v>3264</v>
      </c>
      <c r="AR416" s="151">
        <v>-4.0000000000000001E-3</v>
      </c>
      <c r="AS416" s="1" t="s">
        <v>3275</v>
      </c>
      <c r="AT416" s="151">
        <v>-4.0000000000000002E-4</v>
      </c>
      <c r="AU416" s="1" t="s">
        <v>3250</v>
      </c>
      <c r="AV416" s="151">
        <v>-4.0000000000000001E-3</v>
      </c>
      <c r="AW416" s="1" t="s">
        <v>3505</v>
      </c>
      <c r="AX416" s="151">
        <v>-4.0000000000000002E-4</v>
      </c>
      <c r="AY416" s="1" t="s">
        <v>1964</v>
      </c>
      <c r="AZ416" s="749" t="s">
        <v>3390</v>
      </c>
      <c r="BA416" s="151">
        <v>-4.0000000000000001E-3</v>
      </c>
    </row>
    <row r="417" spans="19:53">
      <c r="S417" s="749" t="s">
        <v>3383</v>
      </c>
      <c r="T417" s="151">
        <v>-4.0000000000000001E-3</v>
      </c>
      <c r="U417" s="749" t="s">
        <v>3383</v>
      </c>
      <c r="V417" s="151">
        <v>-4.0000000000000001E-3</v>
      </c>
      <c r="W417" s="749" t="s">
        <v>3266</v>
      </c>
      <c r="X417" s="151">
        <v>-4.0000000000000001E-3</v>
      </c>
      <c r="Y417" s="749" t="s">
        <v>3265</v>
      </c>
      <c r="Z417" s="151">
        <v>-4.0000000000000001E-3</v>
      </c>
      <c r="AA417" s="749" t="s">
        <v>3371</v>
      </c>
      <c r="AB417" s="151">
        <v>-4.0000000000000001E-3</v>
      </c>
      <c r="AC417" s="1" t="s">
        <v>3247</v>
      </c>
      <c r="AD417" s="151">
        <v>-4.0000000000000001E-3</v>
      </c>
      <c r="AE417" s="1" t="s">
        <v>3505</v>
      </c>
      <c r="AF417" s="151">
        <v>-4.0000000000000002E-4</v>
      </c>
      <c r="AG417" s="749" t="s">
        <v>3506</v>
      </c>
      <c r="AH417" s="151">
        <v>-4.0000000000000001E-3</v>
      </c>
      <c r="AI417" s="749" t="s">
        <v>3383</v>
      </c>
      <c r="AJ417" s="151">
        <v>-4.0000000000000001E-3</v>
      </c>
      <c r="AK417" s="749" t="s">
        <v>3264</v>
      </c>
      <c r="AL417" s="151">
        <v>-4.0000000000000001E-3</v>
      </c>
      <c r="AM417" s="749" t="s">
        <v>3372</v>
      </c>
      <c r="AN417" s="151">
        <v>-4.0000000000000001E-3</v>
      </c>
      <c r="AO417" s="749" t="s">
        <v>3265</v>
      </c>
      <c r="AP417" s="151">
        <v>-4.0000000000000001E-3</v>
      </c>
      <c r="AQ417" s="749" t="s">
        <v>3265</v>
      </c>
      <c r="AR417" s="151">
        <v>-4.0000000000000001E-3</v>
      </c>
      <c r="AS417" s="1" t="s">
        <v>3255</v>
      </c>
      <c r="AT417" s="151">
        <v>-4.0000000000000002E-4</v>
      </c>
      <c r="AU417" s="1" t="s">
        <v>3270</v>
      </c>
      <c r="AV417" s="151">
        <v>-4.0000000000000001E-3</v>
      </c>
      <c r="AW417" s="1" t="s">
        <v>3277</v>
      </c>
      <c r="AX417" s="151">
        <v>-4.0000000000000002E-4</v>
      </c>
      <c r="AY417" s="1154" t="s">
        <v>3290</v>
      </c>
      <c r="AZ417" s="1" t="s">
        <v>3498</v>
      </c>
      <c r="BA417" s="151">
        <v>-4.0000000000000001E-3</v>
      </c>
    </row>
    <row r="418" spans="19:53">
      <c r="S418" s="749" t="s">
        <v>3264</v>
      </c>
      <c r="T418" s="151">
        <v>-4.0000000000000001E-3</v>
      </c>
      <c r="U418" s="749" t="s">
        <v>3264</v>
      </c>
      <c r="V418" s="151">
        <v>-4.0000000000000001E-3</v>
      </c>
      <c r="W418" s="749" t="s">
        <v>3372</v>
      </c>
      <c r="X418" s="151">
        <v>-4.0000000000000001E-3</v>
      </c>
      <c r="Y418" s="749" t="s">
        <v>3266</v>
      </c>
      <c r="Z418" s="151">
        <v>-4.0000000000000001E-3</v>
      </c>
      <c r="AA418" s="749" t="s">
        <v>3383</v>
      </c>
      <c r="AB418" s="151">
        <v>-4.0000000000000001E-3</v>
      </c>
      <c r="AC418" s="1" t="s">
        <v>3268</v>
      </c>
      <c r="AD418" s="151">
        <v>-4.0000000000000001E-3</v>
      </c>
      <c r="AE418" s="1" t="s">
        <v>3257</v>
      </c>
      <c r="AF418" s="151">
        <v>-4.0000000000000002E-4</v>
      </c>
      <c r="AG418" s="1" t="s">
        <v>3250</v>
      </c>
      <c r="AH418" s="151">
        <v>-4.0000000000000001E-3</v>
      </c>
      <c r="AI418" s="749" t="s">
        <v>3264</v>
      </c>
      <c r="AJ418" s="151">
        <v>-4.0000000000000001E-3</v>
      </c>
      <c r="AK418" s="749" t="s">
        <v>3265</v>
      </c>
      <c r="AL418" s="151">
        <v>-4.0000000000000001E-3</v>
      </c>
      <c r="AM418" s="749" t="s">
        <v>3399</v>
      </c>
      <c r="AN418" s="151">
        <v>-4.0000000000000001E-3</v>
      </c>
      <c r="AO418" s="749" t="s">
        <v>3266</v>
      </c>
      <c r="AP418" s="151">
        <v>-4.0000000000000001E-3</v>
      </c>
      <c r="AQ418" s="749" t="s">
        <v>3266</v>
      </c>
      <c r="AR418" s="151">
        <v>-4.0000000000000001E-3</v>
      </c>
      <c r="AS418" s="1" t="s">
        <v>3505</v>
      </c>
      <c r="AT418" s="151">
        <v>-4.0000000000000002E-4</v>
      </c>
      <c r="AU418" s="1" t="s">
        <v>2256</v>
      </c>
      <c r="AV418" s="151">
        <v>-4.0000000000000001E-3</v>
      </c>
      <c r="AW418" s="1" t="s">
        <v>3258</v>
      </c>
      <c r="AX418" s="151">
        <v>-4.0000000000000002E-4</v>
      </c>
      <c r="AY418" s="749" t="s">
        <v>3291</v>
      </c>
      <c r="AZ418" s="749" t="s">
        <v>3371</v>
      </c>
      <c r="BA418" s="151">
        <v>-4.0000000000000001E-3</v>
      </c>
    </row>
    <row r="419" spans="19:53">
      <c r="S419" s="749" t="s">
        <v>3265</v>
      </c>
      <c r="T419" s="151">
        <v>-4.0000000000000001E-3</v>
      </c>
      <c r="U419" s="749" t="s">
        <v>3265</v>
      </c>
      <c r="V419" s="151">
        <v>-4.0000000000000001E-3</v>
      </c>
      <c r="W419" s="749" t="s">
        <v>3399</v>
      </c>
      <c r="X419" s="151">
        <v>-4.0000000000000001E-3</v>
      </c>
      <c r="Y419" s="749" t="s">
        <v>3372</v>
      </c>
      <c r="Z419" s="151">
        <v>-4.0000000000000001E-3</v>
      </c>
      <c r="AA419" s="749" t="s">
        <v>3264</v>
      </c>
      <c r="AB419" s="151">
        <v>-4.0000000000000001E-3</v>
      </c>
      <c r="AC419" s="749" t="s">
        <v>3373</v>
      </c>
      <c r="AD419" s="151">
        <v>-4.0000000000000001E-3</v>
      </c>
      <c r="AE419" s="1" t="s">
        <v>3500</v>
      </c>
      <c r="AF419" s="151">
        <v>-4.0000000000000002E-4</v>
      </c>
      <c r="AG419" s="1" t="s">
        <v>2256</v>
      </c>
      <c r="AH419" s="151">
        <v>-4.0000000000000001E-3</v>
      </c>
      <c r="AI419" s="749" t="s">
        <v>3265</v>
      </c>
      <c r="AJ419" s="151">
        <v>-4.0000000000000001E-3</v>
      </c>
      <c r="AK419" s="749" t="s">
        <v>3266</v>
      </c>
      <c r="AL419" s="151">
        <v>-4.0000000000000001E-3</v>
      </c>
      <c r="AM419" s="749" t="s">
        <v>3373</v>
      </c>
      <c r="AN419" s="151">
        <v>-4.0000000000000001E-3</v>
      </c>
      <c r="AO419" s="749" t="s">
        <v>3372</v>
      </c>
      <c r="AP419" s="151">
        <v>-4.0000000000000001E-3</v>
      </c>
      <c r="AQ419" s="749" t="s">
        <v>3372</v>
      </c>
      <c r="AR419" s="151">
        <v>-4.0000000000000001E-3</v>
      </c>
      <c r="AS419" s="1" t="s">
        <v>3277</v>
      </c>
      <c r="AT419" s="151">
        <v>-4.0000000000000002E-4</v>
      </c>
      <c r="AU419" s="749" t="s">
        <v>3385</v>
      </c>
      <c r="AV419" s="151">
        <v>-4.0000000000000001E-3</v>
      </c>
      <c r="AW419" s="1" t="s">
        <v>3500</v>
      </c>
      <c r="AX419" s="151">
        <v>-4.0000000000000002E-4</v>
      </c>
      <c r="AY419" s="1233" t="s">
        <v>3293</v>
      </c>
      <c r="AZ419" s="749" t="s">
        <v>3263</v>
      </c>
      <c r="BA419" s="151">
        <v>-4.0000000000000001E-3</v>
      </c>
    </row>
    <row r="420" spans="19:53">
      <c r="S420" s="749" t="s">
        <v>3266</v>
      </c>
      <c r="T420" s="151">
        <v>-4.0000000000000001E-3</v>
      </c>
      <c r="U420" s="749" t="s">
        <v>3266</v>
      </c>
      <c r="V420" s="151">
        <v>-4.0000000000000001E-3</v>
      </c>
      <c r="W420" s="1" t="s">
        <v>3247</v>
      </c>
      <c r="X420" s="151">
        <v>-4.0000000000000001E-3</v>
      </c>
      <c r="Y420" s="749" t="s">
        <v>3399</v>
      </c>
      <c r="Z420" s="151">
        <v>-4.0000000000000001E-3</v>
      </c>
      <c r="AA420" s="749" t="s">
        <v>3265</v>
      </c>
      <c r="AB420" s="151">
        <v>-4.0000000000000001E-3</v>
      </c>
      <c r="AC420" s="1" t="s">
        <v>1924</v>
      </c>
      <c r="AD420" s="151">
        <v>-4.0000000000000001E-3</v>
      </c>
      <c r="AE420" s="749" t="s">
        <v>3259</v>
      </c>
      <c r="AF420" s="235">
        <v>-4.0000000000000002E-4</v>
      </c>
      <c r="AG420" s="749" t="s">
        <v>3385</v>
      </c>
      <c r="AH420" s="151">
        <v>-4.0000000000000001E-3</v>
      </c>
      <c r="AI420" s="749" t="s">
        <v>3266</v>
      </c>
      <c r="AJ420" s="151">
        <v>-4.0000000000000001E-3</v>
      </c>
      <c r="AK420" s="749" t="s">
        <v>3372</v>
      </c>
      <c r="AL420" s="151">
        <v>-4.0000000000000001E-3</v>
      </c>
      <c r="AM420" s="1" t="s">
        <v>1924</v>
      </c>
      <c r="AN420" s="151">
        <v>-4.0000000000000001E-3</v>
      </c>
      <c r="AO420" s="749" t="s">
        <v>3399</v>
      </c>
      <c r="AP420" s="151">
        <v>-4.0000000000000001E-3</v>
      </c>
      <c r="AQ420" s="749" t="s">
        <v>3399</v>
      </c>
      <c r="AR420" s="151">
        <v>-4.0000000000000001E-3</v>
      </c>
      <c r="AS420" s="1" t="s">
        <v>3258</v>
      </c>
      <c r="AT420" s="151">
        <v>-4.0000000000000002E-4</v>
      </c>
      <c r="AU420" s="749" t="s">
        <v>3386</v>
      </c>
      <c r="AV420" s="151">
        <v>-4.0000000000000001E-3</v>
      </c>
      <c r="AW420" s="749" t="s">
        <v>3259</v>
      </c>
      <c r="AX420" s="151">
        <v>-4.0000000000000002E-4</v>
      </c>
      <c r="AY420" s="1" t="s">
        <v>3282</v>
      </c>
      <c r="AZ420" s="749" t="s">
        <v>3383</v>
      </c>
      <c r="BA420" s="151">
        <v>-4.0000000000000001E-3</v>
      </c>
    </row>
    <row r="421" spans="19:53">
      <c r="S421" s="749" t="s">
        <v>3372</v>
      </c>
      <c r="T421" s="151">
        <v>-4.0000000000000001E-3</v>
      </c>
      <c r="U421" s="749" t="s">
        <v>3372</v>
      </c>
      <c r="V421" s="151">
        <v>-4.0000000000000001E-3</v>
      </c>
      <c r="W421" s="749" t="s">
        <v>3373</v>
      </c>
      <c r="X421" s="151">
        <v>-4.0000000000000001E-3</v>
      </c>
      <c r="Y421" s="1" t="s">
        <v>3247</v>
      </c>
      <c r="Z421" s="151">
        <v>-4.0000000000000001E-3</v>
      </c>
      <c r="AA421" s="749" t="s">
        <v>3266</v>
      </c>
      <c r="AB421" s="151">
        <v>-4.0000000000000001E-3</v>
      </c>
      <c r="AC421" s="1" t="s">
        <v>3250</v>
      </c>
      <c r="AD421" s="151">
        <v>-4.0000000000000001E-3</v>
      </c>
      <c r="AE421" s="53" t="s">
        <v>3278</v>
      </c>
      <c r="AF421" s="151">
        <v>-4.0000000000000002E-4</v>
      </c>
      <c r="AG421" s="749" t="s">
        <v>3386</v>
      </c>
      <c r="AH421" s="151">
        <v>-4.0000000000000001E-3</v>
      </c>
      <c r="AI421" s="749" t="s">
        <v>3372</v>
      </c>
      <c r="AJ421" s="151">
        <v>-4.0000000000000001E-3</v>
      </c>
      <c r="AK421" s="749" t="s">
        <v>3399</v>
      </c>
      <c r="AL421" s="151">
        <v>-4.0000000000000001E-3</v>
      </c>
      <c r="AM421" s="1" t="s">
        <v>3250</v>
      </c>
      <c r="AN421" s="151">
        <v>-4.0000000000000001E-3</v>
      </c>
      <c r="AO421" s="749" t="s">
        <v>3373</v>
      </c>
      <c r="AP421" s="151">
        <v>-4.0000000000000001E-3</v>
      </c>
      <c r="AQ421" s="749" t="s">
        <v>3373</v>
      </c>
      <c r="AR421" s="151">
        <v>-4.0000000000000001E-3</v>
      </c>
      <c r="AS421" s="1" t="s">
        <v>3500</v>
      </c>
      <c r="AT421" s="151">
        <v>-4.0000000000000002E-4</v>
      </c>
      <c r="AU421" s="749" t="s">
        <v>3374</v>
      </c>
      <c r="AV421" s="151">
        <v>-4.0000000000000001E-3</v>
      </c>
      <c r="AW421" s="53" t="s">
        <v>3278</v>
      </c>
      <c r="AX421" s="151">
        <v>-4.0000000000000002E-4</v>
      </c>
      <c r="AY421" s="1233" t="s">
        <v>3283</v>
      </c>
      <c r="AZ421" s="749" t="s">
        <v>3264</v>
      </c>
      <c r="BA421" s="151">
        <v>-4.0000000000000001E-3</v>
      </c>
    </row>
    <row r="422" spans="19:53">
      <c r="S422" s="749" t="s">
        <v>3399</v>
      </c>
      <c r="T422" s="151">
        <v>-4.0000000000000001E-3</v>
      </c>
      <c r="U422" s="749" t="s">
        <v>3399</v>
      </c>
      <c r="V422" s="151">
        <v>-4.0000000000000001E-3</v>
      </c>
      <c r="W422" s="1" t="s">
        <v>1924</v>
      </c>
      <c r="X422" s="151">
        <v>-4.0000000000000001E-3</v>
      </c>
      <c r="Y422" s="749" t="s">
        <v>3373</v>
      </c>
      <c r="Z422" s="151">
        <v>-4.0000000000000001E-3</v>
      </c>
      <c r="AA422" s="749" t="s">
        <v>3372</v>
      </c>
      <c r="AB422" s="151">
        <v>-4.0000000000000001E-3</v>
      </c>
      <c r="AC422" s="1" t="s">
        <v>2256</v>
      </c>
      <c r="AD422" s="151">
        <v>-4.0000000000000001E-3</v>
      </c>
      <c r="AE422" s="1" t="s">
        <v>3279</v>
      </c>
      <c r="AF422" s="235">
        <v>-4.0000000000000002E-4</v>
      </c>
      <c r="AG422" s="749" t="s">
        <v>3374</v>
      </c>
      <c r="AH422" s="151">
        <v>-4.0000000000000001E-3</v>
      </c>
      <c r="AI422" s="749" t="s">
        <v>3399</v>
      </c>
      <c r="AJ422" s="151">
        <v>-4.0000000000000001E-3</v>
      </c>
      <c r="AK422" s="749" t="s">
        <v>3373</v>
      </c>
      <c r="AL422" s="151">
        <v>-4.0000000000000001E-3</v>
      </c>
      <c r="AM422" s="1" t="s">
        <v>2256</v>
      </c>
      <c r="AN422" s="151">
        <v>-4.0000000000000001E-3</v>
      </c>
      <c r="AO422" s="1" t="s">
        <v>1924</v>
      </c>
      <c r="AP422" s="151">
        <v>-4.0000000000000001E-3</v>
      </c>
      <c r="AQ422" s="1" t="s">
        <v>1924</v>
      </c>
      <c r="AR422" s="151">
        <v>-4.0000000000000001E-3</v>
      </c>
      <c r="AS422" s="749" t="s">
        <v>3259</v>
      </c>
      <c r="AT422" s="151">
        <v>-4.0000000000000002E-4</v>
      </c>
      <c r="AU422" s="749" t="s">
        <v>3375</v>
      </c>
      <c r="AV422" s="151">
        <v>-4.0000000000000001E-3</v>
      </c>
      <c r="AW422" s="1" t="s">
        <v>3279</v>
      </c>
      <c r="AX422" s="151">
        <v>-4.0000000000000002E-4</v>
      </c>
      <c r="AY422" s="749" t="s">
        <v>1999</v>
      </c>
      <c r="AZ422" s="749" t="s">
        <v>3265</v>
      </c>
      <c r="BA422" s="151">
        <v>-4.0000000000000001E-3</v>
      </c>
    </row>
    <row r="423" spans="19:53">
      <c r="S423" s="1" t="s">
        <v>3247</v>
      </c>
      <c r="T423" s="151">
        <v>-4.0000000000000001E-3</v>
      </c>
      <c r="U423" s="1" t="s">
        <v>3247</v>
      </c>
      <c r="V423" s="151">
        <v>-4.0000000000000001E-3</v>
      </c>
      <c r="W423" s="1" t="s">
        <v>3250</v>
      </c>
      <c r="X423" s="151">
        <v>-4.0000000000000001E-3</v>
      </c>
      <c r="Y423" s="1" t="s">
        <v>1924</v>
      </c>
      <c r="Z423" s="151">
        <v>-4.0000000000000001E-3</v>
      </c>
      <c r="AA423" s="749" t="s">
        <v>3399</v>
      </c>
      <c r="AB423" s="151">
        <v>-4.0000000000000001E-3</v>
      </c>
      <c r="AC423" s="749" t="s">
        <v>3385</v>
      </c>
      <c r="AD423" s="151">
        <v>-4.0000000000000001E-3</v>
      </c>
      <c r="AE423" s="1" t="s">
        <v>3286</v>
      </c>
      <c r="AF423" s="151">
        <v>-4.0000000000000002E-4</v>
      </c>
      <c r="AG423" s="749" t="s">
        <v>3375</v>
      </c>
      <c r="AH423" s="151">
        <v>-4.0000000000000001E-3</v>
      </c>
      <c r="AI423" s="749" t="s">
        <v>3373</v>
      </c>
      <c r="AJ423" s="151">
        <v>-4.0000000000000001E-3</v>
      </c>
      <c r="AK423" s="1" t="s">
        <v>1924</v>
      </c>
      <c r="AL423" s="151">
        <v>-4.0000000000000001E-3</v>
      </c>
      <c r="AM423" s="749" t="s">
        <v>3385</v>
      </c>
      <c r="AN423" s="151">
        <v>-4.0000000000000001E-3</v>
      </c>
      <c r="AO423" s="1" t="s">
        <v>3250</v>
      </c>
      <c r="AP423" s="151">
        <v>-4.0000000000000001E-3</v>
      </c>
      <c r="AQ423" s="1" t="s">
        <v>3250</v>
      </c>
      <c r="AR423" s="151">
        <v>-4.0000000000000001E-3</v>
      </c>
      <c r="AS423" s="53" t="s">
        <v>3278</v>
      </c>
      <c r="AT423" s="151">
        <v>-4.0000000000000002E-4</v>
      </c>
      <c r="AU423" s="1" t="s">
        <v>3495</v>
      </c>
      <c r="AV423" s="151">
        <v>-4.0000000000000001E-3</v>
      </c>
      <c r="AW423" s="1" t="s">
        <v>3286</v>
      </c>
      <c r="AX423" s="151">
        <v>-4.0000000000000002E-4</v>
      </c>
      <c r="AY423" s="1" t="s">
        <v>492</v>
      </c>
      <c r="AZ423" s="749" t="s">
        <v>3266</v>
      </c>
      <c r="BA423" s="151">
        <v>-4.0000000000000001E-3</v>
      </c>
    </row>
    <row r="424" spans="19:53">
      <c r="S424" s="749" t="s">
        <v>3373</v>
      </c>
      <c r="T424" s="151">
        <v>-4.0000000000000001E-3</v>
      </c>
      <c r="U424" s="749" t="s">
        <v>3373</v>
      </c>
      <c r="V424" s="151">
        <v>-4.0000000000000001E-3</v>
      </c>
      <c r="W424" s="1" t="s">
        <v>3270</v>
      </c>
      <c r="X424" s="135">
        <v>-4.0000000000000001E-3</v>
      </c>
      <c r="Y424" s="1" t="s">
        <v>2256</v>
      </c>
      <c r="Z424" s="151">
        <v>-4.0000000000000001E-3</v>
      </c>
      <c r="AA424" s="749" t="s">
        <v>3373</v>
      </c>
      <c r="AB424" s="151">
        <v>-4.0000000000000001E-3</v>
      </c>
      <c r="AC424" s="749" t="s">
        <v>3386</v>
      </c>
      <c r="AD424" s="151">
        <v>-4.0000000000000001E-3</v>
      </c>
      <c r="AE424" s="749" t="s">
        <v>3287</v>
      </c>
      <c r="AF424" s="151">
        <v>-4.0000000000000002E-4</v>
      </c>
      <c r="AG424" s="1" t="s">
        <v>3495</v>
      </c>
      <c r="AH424" s="151">
        <v>-4.0000000000000001E-3</v>
      </c>
      <c r="AI424" s="1" t="s">
        <v>1924</v>
      </c>
      <c r="AJ424" s="151">
        <v>-4.0000000000000001E-3</v>
      </c>
      <c r="AK424" s="1" t="s">
        <v>3250</v>
      </c>
      <c r="AL424" s="151">
        <v>-4.0000000000000001E-3</v>
      </c>
      <c r="AM424" s="749" t="s">
        <v>3386</v>
      </c>
      <c r="AN424" s="151">
        <v>-4.0000000000000001E-3</v>
      </c>
      <c r="AO424" s="1" t="s">
        <v>3270</v>
      </c>
      <c r="AP424" s="151">
        <v>-4.0000000000000001E-3</v>
      </c>
      <c r="AQ424" s="1" t="s">
        <v>2256</v>
      </c>
      <c r="AR424" s="151">
        <v>-4.0000000000000001E-3</v>
      </c>
      <c r="AS424" s="1" t="s">
        <v>3279</v>
      </c>
      <c r="AT424" s="151">
        <v>-4.0000000000000002E-4</v>
      </c>
      <c r="AU424" s="1" t="s">
        <v>3253</v>
      </c>
      <c r="AV424" s="151">
        <v>-4.0000000000000001E-3</v>
      </c>
      <c r="AW424" s="749" t="s">
        <v>3287</v>
      </c>
      <c r="AX424" s="151">
        <v>-4.0000000000000002E-4</v>
      </c>
      <c r="AY424" s="1233" t="s">
        <v>498</v>
      </c>
      <c r="AZ424" s="749" t="s">
        <v>3372</v>
      </c>
      <c r="BA424" s="151">
        <v>-4.0000000000000001E-3</v>
      </c>
    </row>
    <row r="425" spans="19:53">
      <c r="S425" s="1" t="s">
        <v>1924</v>
      </c>
      <c r="T425" s="151">
        <v>-4.0000000000000001E-3</v>
      </c>
      <c r="U425" s="1" t="s">
        <v>1924</v>
      </c>
      <c r="V425" s="151">
        <v>-4.0000000000000001E-3</v>
      </c>
      <c r="W425" s="1" t="s">
        <v>2256</v>
      </c>
      <c r="X425" s="151">
        <v>-4.0000000000000001E-3</v>
      </c>
      <c r="Y425" s="749" t="s">
        <v>3385</v>
      </c>
      <c r="Z425" s="151">
        <v>-4.0000000000000001E-3</v>
      </c>
      <c r="AA425" s="1" t="s">
        <v>1924</v>
      </c>
      <c r="AB425" s="151">
        <v>-4.0000000000000001E-3</v>
      </c>
      <c r="AC425" s="749" t="s">
        <v>3374</v>
      </c>
      <c r="AD425" s="151">
        <v>-4.0000000000000001E-3</v>
      </c>
      <c r="AE425" s="1" t="s">
        <v>3281</v>
      </c>
      <c r="AF425" s="235">
        <v>-4.0000000000000002E-4</v>
      </c>
      <c r="AG425" s="1" t="s">
        <v>3253</v>
      </c>
      <c r="AH425" s="151">
        <v>-4.0000000000000001E-3</v>
      </c>
      <c r="AI425" s="1" t="s">
        <v>2256</v>
      </c>
      <c r="AJ425" s="151">
        <v>-4.0000000000000001E-3</v>
      </c>
      <c r="AK425" s="1" t="s">
        <v>2256</v>
      </c>
      <c r="AL425" s="151">
        <v>-4.0000000000000001E-3</v>
      </c>
      <c r="AM425" s="749" t="s">
        <v>3374</v>
      </c>
      <c r="AN425" s="151">
        <v>-4.0000000000000001E-3</v>
      </c>
      <c r="AO425" s="1" t="s">
        <v>2256</v>
      </c>
      <c r="AP425" s="151">
        <v>-4.0000000000000001E-3</v>
      </c>
      <c r="AQ425" s="749" t="s">
        <v>3385</v>
      </c>
      <c r="AR425" s="151">
        <v>-4.0000000000000001E-3</v>
      </c>
      <c r="AS425" s="1" t="s">
        <v>3286</v>
      </c>
      <c r="AT425" s="151">
        <v>-4.0000000000000002E-4</v>
      </c>
      <c r="AU425" s="749" t="s">
        <v>1992</v>
      </c>
      <c r="AV425" s="151">
        <v>-4.0000000000000001E-3</v>
      </c>
      <c r="AW425" s="1" t="s">
        <v>3281</v>
      </c>
      <c r="AX425" s="151">
        <v>-4.0000000000000002E-4</v>
      </c>
      <c r="AY425" s="1" t="s">
        <v>3284</v>
      </c>
      <c r="AZ425" s="749" t="s">
        <v>3373</v>
      </c>
      <c r="BA425" s="151">
        <v>-4.0000000000000001E-3</v>
      </c>
    </row>
    <row r="426" spans="19:53">
      <c r="S426" s="1" t="s">
        <v>3250</v>
      </c>
      <c r="T426" s="151">
        <v>-4.0000000000000001E-3</v>
      </c>
      <c r="U426" s="1" t="s">
        <v>3250</v>
      </c>
      <c r="V426" s="151">
        <v>-4.0000000000000001E-3</v>
      </c>
      <c r="W426" s="749" t="s">
        <v>3385</v>
      </c>
      <c r="X426" s="151">
        <v>-4.0000000000000001E-3</v>
      </c>
      <c r="Y426" s="749" t="s">
        <v>3386</v>
      </c>
      <c r="Z426" s="151">
        <v>-4.0000000000000001E-3</v>
      </c>
      <c r="AA426" s="1" t="s">
        <v>3250</v>
      </c>
      <c r="AB426" s="151">
        <v>-4.0000000000000001E-3</v>
      </c>
      <c r="AC426" s="749" t="s">
        <v>3375</v>
      </c>
      <c r="AD426" s="151">
        <v>-4.0000000000000001E-3</v>
      </c>
      <c r="AE426" s="1" t="s">
        <v>1958</v>
      </c>
      <c r="AF426" s="235">
        <v>-4.0000000000000002E-4</v>
      </c>
      <c r="AG426" s="749" t="s">
        <v>1992</v>
      </c>
      <c r="AH426" s="151">
        <v>-4.0000000000000001E-3</v>
      </c>
      <c r="AI426" s="749" t="s">
        <v>3385</v>
      </c>
      <c r="AJ426" s="151">
        <v>-4.0000000000000001E-3</v>
      </c>
      <c r="AK426" s="749" t="s">
        <v>3385</v>
      </c>
      <c r="AL426" s="151">
        <v>-4.0000000000000001E-3</v>
      </c>
      <c r="AM426" s="749" t="s">
        <v>3375</v>
      </c>
      <c r="AN426" s="151">
        <v>-4.0000000000000001E-3</v>
      </c>
      <c r="AO426" s="749" t="s">
        <v>3385</v>
      </c>
      <c r="AP426" s="151">
        <v>-4.0000000000000001E-3</v>
      </c>
      <c r="AQ426" s="749" t="s">
        <v>3386</v>
      </c>
      <c r="AR426" s="151">
        <v>-4.0000000000000001E-3</v>
      </c>
      <c r="AS426" s="749" t="s">
        <v>3287</v>
      </c>
      <c r="AT426" s="151">
        <v>-4.0000000000000002E-4</v>
      </c>
      <c r="AU426" s="1" t="s">
        <v>1931</v>
      </c>
      <c r="AV426" s="151">
        <v>-4.0000000000000001E-3</v>
      </c>
      <c r="AW426" s="1" t="s">
        <v>1958</v>
      </c>
      <c r="AX426" s="151">
        <v>-4.0000000000000002E-4</v>
      </c>
      <c r="AY426" s="1" t="s">
        <v>3285</v>
      </c>
      <c r="AZ426" s="1" t="s">
        <v>1924</v>
      </c>
      <c r="BA426" s="151">
        <v>-4.0000000000000001E-3</v>
      </c>
    </row>
    <row r="427" spans="19:53">
      <c r="S427" s="1" t="s">
        <v>2256</v>
      </c>
      <c r="T427" s="151">
        <v>-4.0000000000000001E-3</v>
      </c>
      <c r="U427" s="1" t="s">
        <v>2256</v>
      </c>
      <c r="V427" s="151">
        <v>-4.0000000000000001E-3</v>
      </c>
      <c r="W427" s="749" t="s">
        <v>3386</v>
      </c>
      <c r="X427" s="151">
        <v>-4.0000000000000001E-3</v>
      </c>
      <c r="Y427" s="749" t="s">
        <v>3374</v>
      </c>
      <c r="Z427" s="151">
        <v>-4.0000000000000001E-3</v>
      </c>
      <c r="AA427" s="1" t="s">
        <v>2256</v>
      </c>
      <c r="AB427" s="151">
        <v>-4.0000000000000001E-3</v>
      </c>
      <c r="AC427" s="1" t="s">
        <v>3495</v>
      </c>
      <c r="AD427" s="151">
        <v>-4.0000000000000001E-3</v>
      </c>
      <c r="AE427" s="1" t="s">
        <v>1959</v>
      </c>
      <c r="AF427" s="235">
        <v>-4.0000000000000002E-4</v>
      </c>
      <c r="AG427" s="1" t="s">
        <v>1931</v>
      </c>
      <c r="AH427" s="151">
        <v>-4.0000000000000001E-3</v>
      </c>
      <c r="AI427" s="749" t="s">
        <v>3386</v>
      </c>
      <c r="AJ427" s="151">
        <v>-4.0000000000000001E-3</v>
      </c>
      <c r="AK427" s="749" t="s">
        <v>3386</v>
      </c>
      <c r="AL427" s="151">
        <v>-4.0000000000000001E-3</v>
      </c>
      <c r="AM427" s="1" t="s">
        <v>3495</v>
      </c>
      <c r="AN427" s="151">
        <v>-4.0000000000000001E-3</v>
      </c>
      <c r="AO427" s="749" t="s">
        <v>3386</v>
      </c>
      <c r="AP427" s="151">
        <v>-4.0000000000000001E-3</v>
      </c>
      <c r="AQ427" s="749" t="s">
        <v>3374</v>
      </c>
      <c r="AR427" s="151">
        <v>-4.0000000000000001E-3</v>
      </c>
      <c r="AS427" s="1" t="s">
        <v>3281</v>
      </c>
      <c r="AT427" s="151">
        <v>-4.0000000000000002E-4</v>
      </c>
      <c r="AU427" s="1" t="s">
        <v>1932</v>
      </c>
      <c r="AV427" s="151">
        <v>-4.0000000000000001E-3</v>
      </c>
      <c r="AW427" s="1" t="s">
        <v>1959</v>
      </c>
      <c r="AX427" s="151">
        <v>-4.0000000000000002E-4</v>
      </c>
      <c r="AY427" s="1310" t="s">
        <v>3294</v>
      </c>
      <c r="AZ427" s="1" t="s">
        <v>2256</v>
      </c>
      <c r="BA427" s="151">
        <v>-4.0000000000000001E-3</v>
      </c>
    </row>
    <row r="428" spans="19:53">
      <c r="S428" s="749" t="s">
        <v>3385</v>
      </c>
      <c r="T428" s="151">
        <v>-4.0000000000000001E-3</v>
      </c>
      <c r="U428" s="749" t="s">
        <v>3385</v>
      </c>
      <c r="V428" s="151">
        <v>-4.0000000000000001E-3</v>
      </c>
      <c r="W428" s="749" t="s">
        <v>3374</v>
      </c>
      <c r="X428" s="151">
        <v>-4.0000000000000001E-3</v>
      </c>
      <c r="Y428" s="749" t="s">
        <v>3375</v>
      </c>
      <c r="Z428" s="151">
        <v>-4.0000000000000001E-3</v>
      </c>
      <c r="AA428" s="749" t="s">
        <v>3385</v>
      </c>
      <c r="AB428" s="151">
        <v>-4.0000000000000001E-3</v>
      </c>
      <c r="AC428" s="1" t="s">
        <v>3253</v>
      </c>
      <c r="AD428" s="151">
        <v>-4.0000000000000001E-3</v>
      </c>
      <c r="AE428" s="1" t="s">
        <v>1960</v>
      </c>
      <c r="AF428" s="151">
        <v>-4.0000000000000002E-4</v>
      </c>
      <c r="AG428" s="1" t="s">
        <v>1932</v>
      </c>
      <c r="AH428" s="151">
        <v>-4.0000000000000001E-3</v>
      </c>
      <c r="AI428" s="749" t="s">
        <v>3374</v>
      </c>
      <c r="AJ428" s="151">
        <v>-4.0000000000000001E-3</v>
      </c>
      <c r="AK428" s="749" t="s">
        <v>3374</v>
      </c>
      <c r="AL428" s="151">
        <v>-4.0000000000000001E-3</v>
      </c>
      <c r="AM428" s="1" t="s">
        <v>3253</v>
      </c>
      <c r="AN428" s="151">
        <v>-4.0000000000000001E-3</v>
      </c>
      <c r="AO428" s="749" t="s">
        <v>3374</v>
      </c>
      <c r="AP428" s="151">
        <v>-4.0000000000000001E-3</v>
      </c>
      <c r="AQ428" s="749" t="s">
        <v>3375</v>
      </c>
      <c r="AR428" s="151">
        <v>-4.0000000000000001E-3</v>
      </c>
      <c r="AS428" s="1" t="s">
        <v>1958</v>
      </c>
      <c r="AT428" s="151">
        <v>-4.0000000000000002E-4</v>
      </c>
      <c r="AU428" s="749" t="s">
        <v>3376</v>
      </c>
      <c r="AV428" s="151">
        <v>-4.0000000000000001E-3</v>
      </c>
      <c r="AW428" s="1" t="s">
        <v>1960</v>
      </c>
      <c r="AX428" s="151">
        <v>-4.0000000000000002E-4</v>
      </c>
      <c r="AY428" s="24" t="s">
        <v>3292</v>
      </c>
      <c r="AZ428" s="492" t="s">
        <v>3385</v>
      </c>
      <c r="BA428" s="342">
        <v>-4.0000000000000001E-3</v>
      </c>
    </row>
    <row r="429" spans="19:53">
      <c r="S429" s="492" t="s">
        <v>3386</v>
      </c>
      <c r="T429" s="342">
        <v>-4.0000000000000001E-3</v>
      </c>
      <c r="U429" s="492" t="s">
        <v>3386</v>
      </c>
      <c r="V429" s="342">
        <v>-4.0000000000000001E-3</v>
      </c>
      <c r="W429" s="492" t="s">
        <v>3375</v>
      </c>
      <c r="X429" s="342">
        <v>-4.0000000000000001E-3</v>
      </c>
      <c r="Y429" s="24" t="s">
        <v>3495</v>
      </c>
      <c r="Z429" s="342">
        <v>-4.0000000000000001E-3</v>
      </c>
      <c r="AA429" s="492" t="s">
        <v>3386</v>
      </c>
      <c r="AB429" s="342">
        <v>-4.0000000000000001E-3</v>
      </c>
      <c r="AC429" s="492" t="s">
        <v>3262</v>
      </c>
      <c r="AD429" s="342">
        <v>-4.0000000000000001E-3</v>
      </c>
      <c r="AE429" s="492" t="s">
        <v>3288</v>
      </c>
      <c r="AF429" s="342">
        <v>-4.0000000000000002E-4</v>
      </c>
      <c r="AG429" s="492" t="s">
        <v>3376</v>
      </c>
      <c r="AH429" s="342">
        <v>-4.0000000000000001E-3</v>
      </c>
      <c r="AI429" s="492" t="s">
        <v>3375</v>
      </c>
      <c r="AJ429" s="342">
        <v>-4.0000000000000001E-3</v>
      </c>
      <c r="AK429" s="492" t="s">
        <v>3375</v>
      </c>
      <c r="AL429" s="342">
        <v>-4.0000000000000001E-3</v>
      </c>
      <c r="AM429" s="492" t="s">
        <v>3262</v>
      </c>
      <c r="AN429" s="342">
        <v>-4.0000000000000001E-3</v>
      </c>
      <c r="AO429" s="492" t="s">
        <v>3375</v>
      </c>
      <c r="AP429" s="342">
        <v>-4.0000000000000001E-3</v>
      </c>
      <c r="AQ429" s="24" t="s">
        <v>3495</v>
      </c>
      <c r="AR429" s="342">
        <v>-4.0000000000000001E-3</v>
      </c>
      <c r="AS429" s="24" t="s">
        <v>1959</v>
      </c>
      <c r="AT429" s="342">
        <v>-4.0000000000000002E-4</v>
      </c>
      <c r="AU429" s="492" t="s">
        <v>3388</v>
      </c>
      <c r="AV429" s="342">
        <v>-4.0000000000000001E-3</v>
      </c>
      <c r="AW429" s="492" t="s">
        <v>3288</v>
      </c>
      <c r="AX429" s="342">
        <v>-4.0000000000000002E-4</v>
      </c>
      <c r="AY429" s="1" t="s">
        <v>1966</v>
      </c>
      <c r="AZ429" s="749" t="s">
        <v>3386</v>
      </c>
      <c r="BA429" s="151">
        <v>-4.0000000000000001E-3</v>
      </c>
    </row>
    <row r="430" spans="19:53">
      <c r="S430" s="749" t="s">
        <v>3374</v>
      </c>
      <c r="T430" s="151">
        <v>-4.0000000000000001E-3</v>
      </c>
      <c r="U430" s="749" t="s">
        <v>3374</v>
      </c>
      <c r="V430" s="151">
        <v>-4.0000000000000001E-3</v>
      </c>
      <c r="W430" s="1" t="s">
        <v>3495</v>
      </c>
      <c r="X430" s="151">
        <v>-4.0000000000000001E-3</v>
      </c>
      <c r="Y430" s="1" t="s">
        <v>3253</v>
      </c>
      <c r="Z430" s="151">
        <v>-4.0000000000000001E-3</v>
      </c>
      <c r="AA430" s="749" t="s">
        <v>3374</v>
      </c>
      <c r="AB430" s="151">
        <v>-4.0000000000000001E-3</v>
      </c>
      <c r="AC430" s="749" t="s">
        <v>1992</v>
      </c>
      <c r="AD430" s="151">
        <v>-4.0000000000000001E-3</v>
      </c>
      <c r="AE430" s="1" t="s">
        <v>1961</v>
      </c>
      <c r="AF430" s="151">
        <v>-4.0000000000000002E-4</v>
      </c>
      <c r="AG430" s="749" t="s">
        <v>3388</v>
      </c>
      <c r="AH430" s="151">
        <v>-4.0000000000000001E-3</v>
      </c>
      <c r="AI430" s="1" t="s">
        <v>3495</v>
      </c>
      <c r="AJ430" s="151">
        <v>-4.0000000000000001E-3</v>
      </c>
      <c r="AK430" s="1" t="s">
        <v>3495</v>
      </c>
      <c r="AL430" s="151">
        <v>-4.0000000000000001E-3</v>
      </c>
      <c r="AM430" s="749" t="s">
        <v>1992</v>
      </c>
      <c r="AN430" s="151">
        <v>-4.0000000000000001E-3</v>
      </c>
      <c r="AO430" s="1" t="s">
        <v>3495</v>
      </c>
      <c r="AP430" s="151">
        <v>-4.0000000000000001E-3</v>
      </c>
      <c r="AQ430" s="1" t="s">
        <v>3253</v>
      </c>
      <c r="AR430" s="151">
        <v>-4.0000000000000001E-3</v>
      </c>
      <c r="AS430" s="1" t="s">
        <v>1960</v>
      </c>
      <c r="AT430" s="151">
        <v>-4.0000000000000002E-4</v>
      </c>
      <c r="AU430" s="749" t="s">
        <v>1951</v>
      </c>
      <c r="AV430" s="151">
        <v>-4.0000000000000001E-3</v>
      </c>
      <c r="AW430" s="1" t="s">
        <v>1961</v>
      </c>
      <c r="AX430" s="151">
        <v>-4.0000000000000002E-4</v>
      </c>
      <c r="AY430" s="1" t="s">
        <v>3295</v>
      </c>
      <c r="AZ430" s="749" t="s">
        <v>3374</v>
      </c>
      <c r="BA430" s="151">
        <v>-4.0000000000000001E-3</v>
      </c>
    </row>
    <row r="431" spans="19:53">
      <c r="S431" s="749" t="s">
        <v>3375</v>
      </c>
      <c r="T431" s="151">
        <v>-4.0000000000000001E-3</v>
      </c>
      <c r="U431" s="749" t="s">
        <v>3375</v>
      </c>
      <c r="V431" s="151">
        <v>-4.0000000000000001E-3</v>
      </c>
      <c r="W431" s="1" t="s">
        <v>3253</v>
      </c>
      <c r="X431" s="151">
        <v>-4.0000000000000001E-3</v>
      </c>
      <c r="Y431" s="749" t="s">
        <v>3262</v>
      </c>
      <c r="Z431" s="151">
        <v>-4.0000000000000001E-3</v>
      </c>
      <c r="AA431" s="749" t="s">
        <v>3375</v>
      </c>
      <c r="AB431" s="151">
        <v>-4.0000000000000001E-3</v>
      </c>
      <c r="AC431" s="1" t="s">
        <v>1931</v>
      </c>
      <c r="AD431" s="151">
        <v>-4.0000000000000001E-3</v>
      </c>
      <c r="AE431" s="1" t="s">
        <v>1962</v>
      </c>
      <c r="AF431" s="151">
        <v>-4.0000000000000002E-4</v>
      </c>
      <c r="AG431" s="749" t="s">
        <v>1951</v>
      </c>
      <c r="AH431" s="151">
        <v>-4.0000000000000001E-3</v>
      </c>
      <c r="AI431" s="1" t="s">
        <v>3253</v>
      </c>
      <c r="AJ431" s="151">
        <v>-4.0000000000000001E-3</v>
      </c>
      <c r="AK431" s="1" t="s">
        <v>3253</v>
      </c>
      <c r="AL431" s="151">
        <v>-4.0000000000000001E-3</v>
      </c>
      <c r="AM431" s="1" t="s">
        <v>1931</v>
      </c>
      <c r="AN431" s="151">
        <v>-4.0000000000000001E-3</v>
      </c>
      <c r="AO431" s="1" t="s">
        <v>3253</v>
      </c>
      <c r="AP431" s="151">
        <v>-4.0000000000000001E-3</v>
      </c>
      <c r="AQ431" s="749" t="s">
        <v>3262</v>
      </c>
      <c r="AR431" s="151">
        <v>-4.0000000000000001E-3</v>
      </c>
      <c r="AS431" s="749" t="s">
        <v>3288</v>
      </c>
      <c r="AT431" s="135">
        <v>-4.0000000000000002E-4</v>
      </c>
      <c r="AU431" s="749" t="s">
        <v>1992</v>
      </c>
      <c r="AV431" s="151">
        <v>-4.0000000000000001E-3</v>
      </c>
      <c r="AW431" s="1" t="s">
        <v>1962</v>
      </c>
      <c r="AX431" s="151">
        <v>-4.0000000000000002E-4</v>
      </c>
      <c r="AY431" s="325" t="s">
        <v>3296</v>
      </c>
      <c r="AZ431" s="749" t="s">
        <v>3375</v>
      </c>
      <c r="BA431" s="151">
        <v>-4.0000000000000001E-3</v>
      </c>
    </row>
    <row r="432" spans="19:53">
      <c r="S432" s="1" t="s">
        <v>3495</v>
      </c>
      <c r="T432" s="151">
        <v>-4.0000000000000001E-3</v>
      </c>
      <c r="U432" s="1" t="s">
        <v>3495</v>
      </c>
      <c r="V432" s="151">
        <v>-4.0000000000000001E-3</v>
      </c>
      <c r="W432" s="749" t="s">
        <v>3262</v>
      </c>
      <c r="X432" s="151">
        <v>-4.0000000000000001E-3</v>
      </c>
      <c r="Y432" s="749" t="s">
        <v>1992</v>
      </c>
      <c r="Z432" s="151">
        <v>-4.0000000000000001E-3</v>
      </c>
      <c r="AA432" s="1" t="s">
        <v>3495</v>
      </c>
      <c r="AB432" s="151">
        <v>-4.0000000000000001E-3</v>
      </c>
      <c r="AC432" s="1" t="s">
        <v>1932</v>
      </c>
      <c r="AD432" s="151">
        <v>-4.0000000000000001E-3</v>
      </c>
      <c r="AE432" s="1" t="s">
        <v>1964</v>
      </c>
      <c r="AF432" s="235">
        <v>-4.0000000000000002E-4</v>
      </c>
      <c r="AG432" s="749" t="s">
        <v>1992</v>
      </c>
      <c r="AH432" s="151">
        <v>-4.0000000000000001E-3</v>
      </c>
      <c r="AI432" s="749" t="s">
        <v>3262</v>
      </c>
      <c r="AJ432" s="151">
        <v>-4.0000000000000001E-3</v>
      </c>
      <c r="AK432" s="749" t="s">
        <v>3262</v>
      </c>
      <c r="AL432" s="151">
        <v>-4.0000000000000001E-3</v>
      </c>
      <c r="AM432" s="1" t="s">
        <v>1932</v>
      </c>
      <c r="AN432" s="151">
        <v>-4.0000000000000001E-3</v>
      </c>
      <c r="AO432" s="749" t="s">
        <v>3262</v>
      </c>
      <c r="AP432" s="151">
        <v>-4.0000000000000001E-3</v>
      </c>
      <c r="AQ432" s="749" t="s">
        <v>1992</v>
      </c>
      <c r="AR432" s="151">
        <v>-4.0000000000000001E-3</v>
      </c>
      <c r="AS432" s="1" t="s">
        <v>1961</v>
      </c>
      <c r="AT432" s="151">
        <v>-4.0000000000000002E-4</v>
      </c>
      <c r="AU432" s="749" t="s">
        <v>3272</v>
      </c>
      <c r="AV432" s="151">
        <v>-4.0000000000000001E-3</v>
      </c>
      <c r="AW432" s="1" t="s">
        <v>1964</v>
      </c>
      <c r="AX432" s="151">
        <v>-4.0000000000000002E-4</v>
      </c>
      <c r="AY432" s="1" t="s">
        <v>3514</v>
      </c>
      <c r="AZ432" s="1" t="s">
        <v>3495</v>
      </c>
      <c r="BA432" s="151">
        <v>-4.0000000000000001E-3</v>
      </c>
    </row>
    <row r="433" spans="19:53">
      <c r="S433" s="1" t="s">
        <v>3253</v>
      </c>
      <c r="T433" s="151">
        <v>-4.0000000000000001E-3</v>
      </c>
      <c r="U433" s="1" t="s">
        <v>3253</v>
      </c>
      <c r="V433" s="151">
        <v>-4.0000000000000001E-3</v>
      </c>
      <c r="W433" s="749" t="s">
        <v>1992</v>
      </c>
      <c r="X433" s="151">
        <v>-4.0000000000000001E-3</v>
      </c>
      <c r="Y433" s="1" t="s">
        <v>1931</v>
      </c>
      <c r="Z433" s="151">
        <v>-4.0000000000000001E-3</v>
      </c>
      <c r="AA433" s="1" t="s">
        <v>3253</v>
      </c>
      <c r="AB433" s="151">
        <v>-4.0000000000000001E-3</v>
      </c>
      <c r="AC433" s="749" t="s">
        <v>3376</v>
      </c>
      <c r="AD433" s="151">
        <v>-4.0000000000000001E-3</v>
      </c>
      <c r="AE433" s="1" t="s">
        <v>3282</v>
      </c>
      <c r="AF433" s="235">
        <v>-4.0000000000000002E-4</v>
      </c>
      <c r="AG433" s="749" t="s">
        <v>3273</v>
      </c>
      <c r="AH433" s="151">
        <v>-4.0000000000000001E-3</v>
      </c>
      <c r="AI433" s="749" t="s">
        <v>1992</v>
      </c>
      <c r="AJ433" s="151">
        <v>-4.0000000000000001E-3</v>
      </c>
      <c r="AK433" s="749" t="s">
        <v>1992</v>
      </c>
      <c r="AL433" s="151">
        <v>-4.0000000000000001E-3</v>
      </c>
      <c r="AM433" s="749" t="s">
        <v>3376</v>
      </c>
      <c r="AN433" s="151">
        <v>-4.0000000000000001E-3</v>
      </c>
      <c r="AO433" s="749" t="s">
        <v>1992</v>
      </c>
      <c r="AP433" s="151">
        <v>-4.0000000000000001E-3</v>
      </c>
      <c r="AQ433" s="1" t="s">
        <v>1931</v>
      </c>
      <c r="AR433" s="151">
        <v>-4.0000000000000001E-3</v>
      </c>
      <c r="AS433" s="1" t="s">
        <v>1962</v>
      </c>
      <c r="AT433" s="151">
        <v>-4.0000000000000002E-4</v>
      </c>
      <c r="AU433" s="749" t="s">
        <v>3273</v>
      </c>
      <c r="AV433" s="151">
        <v>-4.0000000000000001E-3</v>
      </c>
      <c r="AW433" s="1" t="s">
        <v>3282</v>
      </c>
      <c r="AX433" s="151">
        <v>-4.0000000000000002E-4</v>
      </c>
      <c r="AY433" s="1" t="s">
        <v>3297</v>
      </c>
      <c r="AZ433" s="1" t="s">
        <v>3253</v>
      </c>
      <c r="BA433" s="151">
        <v>-4.0000000000000001E-3</v>
      </c>
    </row>
    <row r="434" spans="19:53">
      <c r="S434" s="749" t="s">
        <v>1992</v>
      </c>
      <c r="T434" s="151">
        <v>-4.0000000000000001E-3</v>
      </c>
      <c r="U434" s="749" t="s">
        <v>1992</v>
      </c>
      <c r="V434" s="151">
        <v>-4.0000000000000001E-3</v>
      </c>
      <c r="W434" s="1" t="s">
        <v>1931</v>
      </c>
      <c r="X434" s="151">
        <v>-4.0000000000000001E-3</v>
      </c>
      <c r="Y434" s="1" t="s">
        <v>1932</v>
      </c>
      <c r="Z434" s="151">
        <v>-4.0000000000000001E-3</v>
      </c>
      <c r="AA434" s="749" t="s">
        <v>1992</v>
      </c>
      <c r="AB434" s="151">
        <v>-4.0000000000000001E-3</v>
      </c>
      <c r="AC434" s="749" t="s">
        <v>3388</v>
      </c>
      <c r="AD434" s="151">
        <v>-4.0000000000000001E-3</v>
      </c>
      <c r="AE434" s="749" t="s">
        <v>1999</v>
      </c>
      <c r="AF434" s="151">
        <v>-4.0000000000000002E-4</v>
      </c>
      <c r="AG434" s="1" t="s">
        <v>3499</v>
      </c>
      <c r="AH434" s="151">
        <v>-4.0000000000000001E-3</v>
      </c>
      <c r="AI434" s="1" t="s">
        <v>1931</v>
      </c>
      <c r="AJ434" s="151">
        <v>-4.0000000000000001E-3</v>
      </c>
      <c r="AK434" s="1" t="s">
        <v>1931</v>
      </c>
      <c r="AL434" s="151">
        <v>-4.0000000000000001E-3</v>
      </c>
      <c r="AM434" s="749" t="s">
        <v>3388</v>
      </c>
      <c r="AN434" s="151">
        <v>-4.0000000000000001E-3</v>
      </c>
      <c r="AO434" s="1" t="s">
        <v>1931</v>
      </c>
      <c r="AP434" s="151">
        <v>-4.0000000000000001E-3</v>
      </c>
      <c r="AQ434" s="1" t="s">
        <v>1932</v>
      </c>
      <c r="AR434" s="151">
        <v>-4.0000000000000001E-3</v>
      </c>
      <c r="AS434" s="1" t="s">
        <v>1964</v>
      </c>
      <c r="AT434" s="151">
        <v>-4.0000000000000002E-4</v>
      </c>
      <c r="AU434" s="1" t="s">
        <v>3499</v>
      </c>
      <c r="AV434" s="151">
        <v>-4.0000000000000001E-3</v>
      </c>
      <c r="AW434" s="749" t="s">
        <v>1999</v>
      </c>
      <c r="AX434" s="151">
        <v>-4.0000000000000002E-4</v>
      </c>
      <c r="AY434" s="1" t="s">
        <v>1969</v>
      </c>
      <c r="AZ434" s="749" t="s">
        <v>1992</v>
      </c>
      <c r="BA434" s="151">
        <v>-4.0000000000000001E-3</v>
      </c>
    </row>
    <row r="435" spans="19:53">
      <c r="S435" s="1" t="s">
        <v>1931</v>
      </c>
      <c r="T435" s="151">
        <v>-4.0000000000000001E-3</v>
      </c>
      <c r="U435" s="1" t="s">
        <v>1931</v>
      </c>
      <c r="V435" s="151">
        <v>-4.0000000000000001E-3</v>
      </c>
      <c r="W435" s="1" t="s">
        <v>1932</v>
      </c>
      <c r="X435" s="151">
        <v>-4.0000000000000001E-3</v>
      </c>
      <c r="Y435" s="749" t="s">
        <v>3376</v>
      </c>
      <c r="Z435" s="151">
        <v>-4.0000000000000001E-3</v>
      </c>
      <c r="AA435" s="1" t="s">
        <v>1931</v>
      </c>
      <c r="AB435" s="151">
        <v>-4.0000000000000001E-3</v>
      </c>
      <c r="AC435" s="749" t="s">
        <v>1951</v>
      </c>
      <c r="AD435" s="151">
        <v>-4.0000000000000001E-3</v>
      </c>
      <c r="AE435" s="1" t="s">
        <v>492</v>
      </c>
      <c r="AF435" s="151">
        <v>-4.0000000000000002E-4</v>
      </c>
      <c r="AG435" s="749" t="s">
        <v>3392</v>
      </c>
      <c r="AH435" s="151">
        <v>-4.0000000000000001E-3</v>
      </c>
      <c r="AI435" s="1" t="s">
        <v>1932</v>
      </c>
      <c r="AJ435" s="151">
        <v>-4.0000000000000001E-3</v>
      </c>
      <c r="AK435" s="1" t="s">
        <v>1932</v>
      </c>
      <c r="AL435" s="151">
        <v>-4.0000000000000001E-3</v>
      </c>
      <c r="AM435" s="749" t="s">
        <v>1951</v>
      </c>
      <c r="AN435" s="151">
        <v>-4.0000000000000001E-3</v>
      </c>
      <c r="AO435" s="1" t="s">
        <v>1932</v>
      </c>
      <c r="AP435" s="151">
        <v>-4.0000000000000001E-3</v>
      </c>
      <c r="AQ435" s="749" t="s">
        <v>3376</v>
      </c>
      <c r="AR435" s="151">
        <v>-4.0000000000000001E-3</v>
      </c>
      <c r="AS435" s="1" t="s">
        <v>3282</v>
      </c>
      <c r="AT435" s="135">
        <v>-4.0000000000000002E-4</v>
      </c>
      <c r="AU435" s="749" t="s">
        <v>3392</v>
      </c>
      <c r="AV435" s="151">
        <v>-4.0000000000000001E-3</v>
      </c>
      <c r="AW435" s="1" t="s">
        <v>492</v>
      </c>
      <c r="AX435" s="151">
        <v>-4.0000000000000002E-4</v>
      </c>
      <c r="AY435" s="325" t="s">
        <v>3513</v>
      </c>
      <c r="AZ435" s="1" t="s">
        <v>1931</v>
      </c>
      <c r="BA435" s="151">
        <v>-4.0000000000000001E-3</v>
      </c>
    </row>
    <row r="436" spans="19:53">
      <c r="S436" s="1" t="s">
        <v>1932</v>
      </c>
      <c r="T436" s="151">
        <v>-4.0000000000000001E-3</v>
      </c>
      <c r="U436" s="1" t="s">
        <v>1932</v>
      </c>
      <c r="V436" s="151">
        <v>-4.0000000000000001E-3</v>
      </c>
      <c r="W436" s="749" t="s">
        <v>3376</v>
      </c>
      <c r="X436" s="151">
        <v>-4.0000000000000001E-3</v>
      </c>
      <c r="Y436" s="749" t="s">
        <v>3388</v>
      </c>
      <c r="Z436" s="151">
        <v>-4.0000000000000001E-3</v>
      </c>
      <c r="AA436" s="1" t="s">
        <v>1932</v>
      </c>
      <c r="AB436" s="151">
        <v>-4.0000000000000001E-3</v>
      </c>
      <c r="AC436" s="749" t="s">
        <v>1992</v>
      </c>
      <c r="AD436" s="151">
        <v>-4.0000000000000001E-3</v>
      </c>
      <c r="AE436" s="53" t="s">
        <v>3292</v>
      </c>
      <c r="AF436" s="235">
        <v>-4.0000000000000002E-4</v>
      </c>
      <c r="AG436" s="749" t="s">
        <v>3504</v>
      </c>
      <c r="AH436" s="151">
        <v>-4.0000000000000001E-3</v>
      </c>
      <c r="AI436" s="749" t="s">
        <v>3376</v>
      </c>
      <c r="AJ436" s="151">
        <v>-4.0000000000000001E-3</v>
      </c>
      <c r="AK436" s="749" t="s">
        <v>3376</v>
      </c>
      <c r="AL436" s="151">
        <v>-4.0000000000000001E-3</v>
      </c>
      <c r="AM436" s="749" t="s">
        <v>1992</v>
      </c>
      <c r="AN436" s="151">
        <v>-4.0000000000000001E-3</v>
      </c>
      <c r="AO436" s="749" t="s">
        <v>3376</v>
      </c>
      <c r="AP436" s="151">
        <v>-4.0000000000000001E-3</v>
      </c>
      <c r="AQ436" s="749" t="s">
        <v>3388</v>
      </c>
      <c r="AR436" s="151">
        <v>-4.0000000000000001E-3</v>
      </c>
      <c r="AS436" s="749" t="s">
        <v>1999</v>
      </c>
      <c r="AT436" s="151">
        <v>-4.0000000000000002E-4</v>
      </c>
      <c r="AU436" s="749" t="s">
        <v>3274</v>
      </c>
      <c r="AV436" s="151">
        <v>-4.0000000000000001E-3</v>
      </c>
      <c r="AW436" s="53" t="s">
        <v>3292</v>
      </c>
      <c r="AX436" s="173">
        <v>-4.0000000000000002E-4</v>
      </c>
      <c r="AY436" s="1" t="s">
        <v>3302</v>
      </c>
      <c r="AZ436" s="1" t="s">
        <v>1932</v>
      </c>
      <c r="BA436" s="151">
        <v>-4.0000000000000001E-3</v>
      </c>
    </row>
    <row r="437" spans="19:53">
      <c r="S437" s="749" t="s">
        <v>3376</v>
      </c>
      <c r="T437" s="151">
        <v>-4.0000000000000001E-3</v>
      </c>
      <c r="U437" s="749" t="s">
        <v>3376</v>
      </c>
      <c r="V437" s="151">
        <v>-4.0000000000000001E-3</v>
      </c>
      <c r="W437" s="749" t="s">
        <v>3388</v>
      </c>
      <c r="X437" s="151">
        <v>-4.0000000000000001E-3</v>
      </c>
      <c r="Y437" s="749" t="s">
        <v>1951</v>
      </c>
      <c r="Z437" s="151">
        <v>-4.0000000000000001E-3</v>
      </c>
      <c r="AA437" s="749" t="s">
        <v>3376</v>
      </c>
      <c r="AB437" s="151">
        <v>-4.0000000000000001E-3</v>
      </c>
      <c r="AC437" s="749" t="s">
        <v>3273</v>
      </c>
      <c r="AD437" s="151">
        <v>-4.0000000000000001E-3</v>
      </c>
      <c r="AE437" s="1" t="s">
        <v>1966</v>
      </c>
      <c r="AF437" s="151">
        <v>-4.0000000000000002E-4</v>
      </c>
      <c r="AG437" s="1" t="s">
        <v>3254</v>
      </c>
      <c r="AH437" s="151">
        <v>-4.0000000000000001E-3</v>
      </c>
      <c r="AI437" s="749" t="s">
        <v>3388</v>
      </c>
      <c r="AJ437" s="151">
        <v>-4.0000000000000001E-3</v>
      </c>
      <c r="AK437" s="749" t="s">
        <v>3388</v>
      </c>
      <c r="AL437" s="151">
        <v>-4.0000000000000001E-3</v>
      </c>
      <c r="AM437" s="749" t="s">
        <v>3273</v>
      </c>
      <c r="AN437" s="151">
        <v>-4.0000000000000001E-3</v>
      </c>
      <c r="AO437" s="749" t="s">
        <v>3388</v>
      </c>
      <c r="AP437" s="151">
        <v>-4.0000000000000001E-3</v>
      </c>
      <c r="AQ437" s="749" t="s">
        <v>1951</v>
      </c>
      <c r="AR437" s="151">
        <v>-4.0000000000000001E-3</v>
      </c>
      <c r="AS437" s="1" t="s">
        <v>492</v>
      </c>
      <c r="AT437" s="151">
        <v>-4.0000000000000002E-4</v>
      </c>
      <c r="AU437" s="749" t="s">
        <v>3504</v>
      </c>
      <c r="AV437" s="151">
        <v>-4.0000000000000001E-3</v>
      </c>
      <c r="AW437" s="1" t="s">
        <v>1966</v>
      </c>
      <c r="AX437" s="151">
        <v>-4.0000000000000002E-4</v>
      </c>
      <c r="AY437" s="325" t="s">
        <v>3303</v>
      </c>
      <c r="AZ437" s="749" t="s">
        <v>3376</v>
      </c>
      <c r="BA437" s="151">
        <v>-4.0000000000000001E-3</v>
      </c>
    </row>
    <row r="438" spans="19:53">
      <c r="S438" s="749" t="s">
        <v>3388</v>
      </c>
      <c r="T438" s="151">
        <v>-4.0000000000000001E-3</v>
      </c>
      <c r="U438" s="749" t="s">
        <v>3388</v>
      </c>
      <c r="V438" s="151">
        <v>-4.0000000000000001E-3</v>
      </c>
      <c r="W438" s="749" t="s">
        <v>1951</v>
      </c>
      <c r="X438" s="151">
        <v>-4.0000000000000001E-3</v>
      </c>
      <c r="Y438" s="749" t="s">
        <v>1992</v>
      </c>
      <c r="Z438" s="151">
        <v>-4.0000000000000001E-3</v>
      </c>
      <c r="AA438" s="749" t="s">
        <v>3388</v>
      </c>
      <c r="AB438" s="151">
        <v>-4.0000000000000001E-3</v>
      </c>
      <c r="AC438" s="749" t="s">
        <v>3392</v>
      </c>
      <c r="AD438" s="151">
        <v>-4.0000000000000001E-3</v>
      </c>
      <c r="AE438" s="1" t="s">
        <v>3297</v>
      </c>
      <c r="AF438" s="235">
        <v>-4.0000000000000002E-4</v>
      </c>
      <c r="AG438" s="749" t="s">
        <v>3393</v>
      </c>
      <c r="AH438" s="151">
        <v>-4.0000000000000001E-3</v>
      </c>
      <c r="AI438" s="749" t="s">
        <v>1951</v>
      </c>
      <c r="AJ438" s="151">
        <v>-4.0000000000000001E-3</v>
      </c>
      <c r="AK438" s="749" t="s">
        <v>1951</v>
      </c>
      <c r="AL438" s="151">
        <v>-4.0000000000000001E-3</v>
      </c>
      <c r="AM438" s="749" t="s">
        <v>3392</v>
      </c>
      <c r="AN438" s="151">
        <v>-4.0000000000000001E-3</v>
      </c>
      <c r="AO438" s="749" t="s">
        <v>1951</v>
      </c>
      <c r="AP438" s="151">
        <v>-4.0000000000000001E-3</v>
      </c>
      <c r="AQ438" s="749" t="s">
        <v>1992</v>
      </c>
      <c r="AR438" s="151">
        <v>-4.0000000000000001E-3</v>
      </c>
      <c r="AS438" s="53" t="s">
        <v>3292</v>
      </c>
      <c r="AT438" s="1349">
        <v>-4.0000000000000002E-4</v>
      </c>
      <c r="AU438" s="1" t="s">
        <v>3254</v>
      </c>
      <c r="AV438" s="151">
        <v>-4.0000000000000001E-3</v>
      </c>
      <c r="AW438" s="1" t="s">
        <v>3295</v>
      </c>
      <c r="AX438" s="151">
        <v>-4.0000000000000002E-4</v>
      </c>
      <c r="AY438" s="1233" t="s">
        <v>3304</v>
      </c>
      <c r="AZ438" s="749" t="s">
        <v>3388</v>
      </c>
      <c r="BA438" s="151">
        <v>-4.0000000000000001E-3</v>
      </c>
    </row>
    <row r="439" spans="19:53">
      <c r="S439" s="749" t="s">
        <v>1951</v>
      </c>
      <c r="T439" s="151">
        <v>-4.0000000000000001E-3</v>
      </c>
      <c r="U439" s="749" t="s">
        <v>1951</v>
      </c>
      <c r="V439" s="151">
        <v>-4.0000000000000001E-3</v>
      </c>
      <c r="W439" s="749" t="s">
        <v>1992</v>
      </c>
      <c r="X439" s="151">
        <v>-4.0000000000000001E-3</v>
      </c>
      <c r="Y439" s="749" t="s">
        <v>3273</v>
      </c>
      <c r="Z439" s="151">
        <v>-4.0000000000000001E-3</v>
      </c>
      <c r="AA439" s="749" t="s">
        <v>1951</v>
      </c>
      <c r="AB439" s="151">
        <v>-4.0000000000000001E-3</v>
      </c>
      <c r="AC439" s="749" t="s">
        <v>3393</v>
      </c>
      <c r="AD439" s="151">
        <v>-4.0000000000000001E-3</v>
      </c>
      <c r="AE439" s="1" t="s">
        <v>1969</v>
      </c>
      <c r="AF439" s="151">
        <v>-4.0000000000000002E-4</v>
      </c>
      <c r="AG439" s="1" t="s">
        <v>1938</v>
      </c>
      <c r="AH439" s="151">
        <v>-4.0000000000000001E-3</v>
      </c>
      <c r="AI439" s="749" t="s">
        <v>1992</v>
      </c>
      <c r="AJ439" s="151">
        <v>-4.0000000000000001E-3</v>
      </c>
      <c r="AK439" s="749" t="s">
        <v>1992</v>
      </c>
      <c r="AL439" s="151">
        <v>-4.0000000000000001E-3</v>
      </c>
      <c r="AM439" s="749" t="s">
        <v>3393</v>
      </c>
      <c r="AN439" s="151">
        <v>-4.0000000000000001E-3</v>
      </c>
      <c r="AO439" s="749" t="s">
        <v>1992</v>
      </c>
      <c r="AP439" s="151">
        <v>-4.0000000000000001E-3</v>
      </c>
      <c r="AQ439" s="749" t="s">
        <v>3273</v>
      </c>
      <c r="AR439" s="151">
        <v>-4.0000000000000001E-3</v>
      </c>
      <c r="AS439" s="1" t="s">
        <v>1966</v>
      </c>
      <c r="AT439" s="151">
        <v>-4.0000000000000002E-4</v>
      </c>
      <c r="AU439" s="749" t="s">
        <v>3393</v>
      </c>
      <c r="AV439" s="151">
        <v>-4.0000000000000001E-3</v>
      </c>
      <c r="AW439" s="1" t="s">
        <v>3297</v>
      </c>
      <c r="AX439" s="151">
        <v>-4.0000000000000002E-4</v>
      </c>
      <c r="AY439" s="1" t="s">
        <v>3305</v>
      </c>
      <c r="AZ439" s="749" t="s">
        <v>1951</v>
      </c>
      <c r="BA439" s="151">
        <v>-4.0000000000000001E-3</v>
      </c>
    </row>
    <row r="440" spans="19:53">
      <c r="S440" s="749" t="s">
        <v>1992</v>
      </c>
      <c r="T440" s="151">
        <v>-4.0000000000000001E-3</v>
      </c>
      <c r="U440" s="749" t="s">
        <v>1992</v>
      </c>
      <c r="V440" s="151">
        <v>-4.0000000000000001E-3</v>
      </c>
      <c r="W440" s="749" t="s">
        <v>3273</v>
      </c>
      <c r="X440" s="151">
        <v>-4.0000000000000001E-3</v>
      </c>
      <c r="Y440" s="749" t="s">
        <v>3392</v>
      </c>
      <c r="Z440" s="151">
        <v>-4.0000000000000001E-3</v>
      </c>
      <c r="AA440" s="749" t="s">
        <v>1992</v>
      </c>
      <c r="AB440" s="151">
        <v>-4.0000000000000001E-3</v>
      </c>
      <c r="AC440" s="1" t="s">
        <v>1938</v>
      </c>
      <c r="AD440" s="151">
        <v>-4.0000000000000001E-3</v>
      </c>
      <c r="AE440" s="1" t="s">
        <v>3305</v>
      </c>
      <c r="AF440" s="151">
        <v>-4.0000000000000002E-4</v>
      </c>
      <c r="AG440" s="1" t="s">
        <v>3548</v>
      </c>
      <c r="AH440" s="151">
        <v>-4.0000000000000001E-3</v>
      </c>
      <c r="AI440" s="749" t="s">
        <v>3273</v>
      </c>
      <c r="AJ440" s="151">
        <v>-4.0000000000000001E-3</v>
      </c>
      <c r="AK440" s="749" t="s">
        <v>3273</v>
      </c>
      <c r="AL440" s="151">
        <v>-4.0000000000000001E-3</v>
      </c>
      <c r="AM440" s="1" t="s">
        <v>1938</v>
      </c>
      <c r="AN440" s="151">
        <v>-4.0000000000000001E-3</v>
      </c>
      <c r="AO440" s="749" t="s">
        <v>3273</v>
      </c>
      <c r="AP440" s="151">
        <v>-4.0000000000000001E-3</v>
      </c>
      <c r="AQ440" s="749" t="s">
        <v>3392</v>
      </c>
      <c r="AR440" s="151">
        <v>-4.0000000000000001E-3</v>
      </c>
      <c r="AS440" s="1" t="s">
        <v>3297</v>
      </c>
      <c r="AT440" s="151">
        <v>-4.0000000000000002E-4</v>
      </c>
      <c r="AU440" s="1" t="s">
        <v>1938</v>
      </c>
      <c r="AV440" s="151">
        <v>-4.0000000000000001E-3</v>
      </c>
      <c r="AW440" s="1" t="s">
        <v>1969</v>
      </c>
      <c r="AX440" s="151">
        <v>-4.0000000000000002E-4</v>
      </c>
      <c r="AY440" s="749" t="s">
        <v>3306</v>
      </c>
      <c r="AZ440" s="749" t="s">
        <v>1992</v>
      </c>
      <c r="BA440" s="151">
        <v>-4.0000000000000001E-3</v>
      </c>
    </row>
    <row r="441" spans="19:53">
      <c r="S441" s="749" t="s">
        <v>3273</v>
      </c>
      <c r="T441" s="151">
        <v>-4.0000000000000001E-3</v>
      </c>
      <c r="U441" s="749" t="s">
        <v>3273</v>
      </c>
      <c r="V441" s="151">
        <v>-4.0000000000000001E-3</v>
      </c>
      <c r="W441" s="749" t="s">
        <v>3392</v>
      </c>
      <c r="X441" s="151">
        <v>-4.0000000000000001E-3</v>
      </c>
      <c r="Y441" s="749" t="s">
        <v>3393</v>
      </c>
      <c r="Z441" s="151">
        <v>-4.0000000000000001E-3</v>
      </c>
      <c r="AA441" s="749" t="s">
        <v>3273</v>
      </c>
      <c r="AB441" s="151">
        <v>-4.0000000000000001E-3</v>
      </c>
      <c r="AC441" s="1" t="s">
        <v>3548</v>
      </c>
      <c r="AD441" s="151">
        <v>-4.0000000000000001E-3</v>
      </c>
      <c r="AE441" s="1" t="s">
        <v>3300</v>
      </c>
      <c r="AF441" s="235">
        <v>-4.0000000000000002E-4</v>
      </c>
      <c r="AG441" s="1" t="s">
        <v>1940</v>
      </c>
      <c r="AH441" s="151">
        <v>-4.0000000000000001E-3</v>
      </c>
      <c r="AI441" s="749" t="s">
        <v>3392</v>
      </c>
      <c r="AJ441" s="151">
        <v>-4.0000000000000001E-3</v>
      </c>
      <c r="AK441" s="749" t="s">
        <v>3392</v>
      </c>
      <c r="AL441" s="151">
        <v>-4.0000000000000001E-3</v>
      </c>
      <c r="AM441" s="1" t="s">
        <v>3548</v>
      </c>
      <c r="AN441" s="151">
        <v>-4.0000000000000001E-3</v>
      </c>
      <c r="AO441" s="749" t="s">
        <v>3392</v>
      </c>
      <c r="AP441" s="151">
        <v>-4.0000000000000001E-3</v>
      </c>
      <c r="AQ441" s="749" t="s">
        <v>3393</v>
      </c>
      <c r="AR441" s="151">
        <v>-4.0000000000000001E-3</v>
      </c>
      <c r="AS441" s="1" t="s">
        <v>1969</v>
      </c>
      <c r="AT441" s="151">
        <v>-4.0000000000000002E-4</v>
      </c>
      <c r="AU441" s="1" t="s">
        <v>3548</v>
      </c>
      <c r="AV441" s="151">
        <v>-4.0000000000000001E-3</v>
      </c>
      <c r="AW441" s="1" t="s">
        <v>3305</v>
      </c>
      <c r="AX441" s="151">
        <v>-4.0000000000000002E-4</v>
      </c>
      <c r="AY441" s="325" t="s">
        <v>3298</v>
      </c>
      <c r="AZ441" s="749" t="s">
        <v>3273</v>
      </c>
      <c r="BA441" s="151">
        <v>-4.0000000000000001E-3</v>
      </c>
    </row>
    <row r="442" spans="19:53">
      <c r="S442" s="749" t="s">
        <v>3392</v>
      </c>
      <c r="T442" s="151">
        <v>-4.0000000000000001E-3</v>
      </c>
      <c r="U442" s="749" t="s">
        <v>3392</v>
      </c>
      <c r="V442" s="151">
        <v>-4.0000000000000001E-3</v>
      </c>
      <c r="W442" s="749" t="s">
        <v>3393</v>
      </c>
      <c r="X442" s="151">
        <v>-4.0000000000000001E-3</v>
      </c>
      <c r="Y442" s="1" t="s">
        <v>1938</v>
      </c>
      <c r="Z442" s="151">
        <v>-4.0000000000000001E-3</v>
      </c>
      <c r="AA442" s="749" t="s">
        <v>3392</v>
      </c>
      <c r="AB442" s="151">
        <v>-4.0000000000000001E-3</v>
      </c>
      <c r="AC442" s="1" t="s">
        <v>1940</v>
      </c>
      <c r="AD442" s="151">
        <v>-4.0000000000000001E-3</v>
      </c>
      <c r="AE442" s="1335" t="s">
        <v>3301</v>
      </c>
      <c r="AF442" s="235">
        <v>-4.0000000000000002E-4</v>
      </c>
      <c r="AG442" s="1" t="s">
        <v>3275</v>
      </c>
      <c r="AH442" s="151">
        <v>-4.0000000000000001E-3</v>
      </c>
      <c r="AI442" s="749" t="s">
        <v>3393</v>
      </c>
      <c r="AJ442" s="151">
        <v>-4.0000000000000001E-3</v>
      </c>
      <c r="AK442" s="749" t="s">
        <v>3393</v>
      </c>
      <c r="AL442" s="151">
        <v>-4.0000000000000001E-3</v>
      </c>
      <c r="AM442" s="1" t="s">
        <v>1940</v>
      </c>
      <c r="AN442" s="151">
        <v>-4.0000000000000001E-3</v>
      </c>
      <c r="AO442" s="749" t="s">
        <v>3393</v>
      </c>
      <c r="AP442" s="151">
        <v>-4.0000000000000001E-3</v>
      </c>
      <c r="AQ442" s="1" t="s">
        <v>1938</v>
      </c>
      <c r="AR442" s="151">
        <v>-4.0000000000000001E-3</v>
      </c>
      <c r="AS442" s="1" t="s">
        <v>3305</v>
      </c>
      <c r="AT442" s="151">
        <v>-4.0000000000000002E-4</v>
      </c>
      <c r="AU442" s="1" t="s">
        <v>1940</v>
      </c>
      <c r="AV442" s="151">
        <v>-4.0000000000000001E-3</v>
      </c>
      <c r="AW442" s="1" t="s">
        <v>3300</v>
      </c>
      <c r="AX442" s="151">
        <v>-4.0000000000000002E-4</v>
      </c>
      <c r="AY442" s="1233" t="s">
        <v>3307</v>
      </c>
      <c r="AZ442" s="749" t="s">
        <v>3392</v>
      </c>
      <c r="BA442" s="151">
        <v>-4.0000000000000001E-3</v>
      </c>
    </row>
    <row r="443" spans="19:53">
      <c r="S443" s="749" t="s">
        <v>3393</v>
      </c>
      <c r="T443" s="151">
        <v>-4.0000000000000001E-3</v>
      </c>
      <c r="U443" s="749" t="s">
        <v>3393</v>
      </c>
      <c r="V443" s="151">
        <v>-4.0000000000000001E-3</v>
      </c>
      <c r="W443" s="1" t="s">
        <v>1938</v>
      </c>
      <c r="X443" s="151">
        <v>-4.0000000000000001E-3</v>
      </c>
      <c r="Y443" s="1" t="s">
        <v>3548</v>
      </c>
      <c r="Z443" s="151">
        <v>-4.0000000000000001E-3</v>
      </c>
      <c r="AA443" s="749" t="s">
        <v>3393</v>
      </c>
      <c r="AB443" s="151">
        <v>-4.0000000000000001E-3</v>
      </c>
      <c r="AC443" s="1" t="s">
        <v>3275</v>
      </c>
      <c r="AD443" s="151">
        <v>-4.0000000000000001E-3</v>
      </c>
      <c r="AE443" s="1" t="s">
        <v>502</v>
      </c>
      <c r="AF443" s="1344">
        <v>-4.0000000000000002E-4</v>
      </c>
      <c r="AG443" s="1" t="s">
        <v>3255</v>
      </c>
      <c r="AH443" s="151">
        <v>-4.0000000000000001E-3</v>
      </c>
      <c r="AI443" s="1" t="s">
        <v>1938</v>
      </c>
      <c r="AJ443" s="151">
        <v>-4.0000000000000001E-3</v>
      </c>
      <c r="AK443" s="1" t="s">
        <v>1938</v>
      </c>
      <c r="AL443" s="151">
        <v>-4.0000000000000001E-3</v>
      </c>
      <c r="AM443" s="1" t="s">
        <v>3275</v>
      </c>
      <c r="AN443" s="151">
        <v>-4.0000000000000001E-3</v>
      </c>
      <c r="AO443" s="1" t="s">
        <v>1938</v>
      </c>
      <c r="AP443" s="151">
        <v>-4.0000000000000001E-3</v>
      </c>
      <c r="AQ443" s="1" t="s">
        <v>3548</v>
      </c>
      <c r="AR443" s="151">
        <v>-4.0000000000000001E-3</v>
      </c>
      <c r="AS443" s="1" t="s">
        <v>3300</v>
      </c>
      <c r="AT443" s="151">
        <v>-4.0000000000000002E-4</v>
      </c>
      <c r="AU443" s="1" t="s">
        <v>3275</v>
      </c>
      <c r="AV443" s="151">
        <v>-4.0000000000000001E-3</v>
      </c>
      <c r="AW443" s="1335" t="s">
        <v>3301</v>
      </c>
      <c r="AX443" s="151">
        <v>-4.0000000000000002E-4</v>
      </c>
      <c r="AY443" s="1233" t="s">
        <v>3299</v>
      </c>
      <c r="AZ443" s="749" t="s">
        <v>3393</v>
      </c>
      <c r="BA443" s="151">
        <v>-4.0000000000000001E-3</v>
      </c>
    </row>
    <row r="444" spans="19:53">
      <c r="S444" s="1" t="s">
        <v>1938</v>
      </c>
      <c r="T444" s="151">
        <v>-4.0000000000000001E-3</v>
      </c>
      <c r="U444" s="1" t="s">
        <v>1938</v>
      </c>
      <c r="V444" s="151">
        <v>-4.0000000000000001E-3</v>
      </c>
      <c r="W444" s="1" t="s">
        <v>3548</v>
      </c>
      <c r="X444" s="151">
        <v>-4.0000000000000001E-3</v>
      </c>
      <c r="Y444" s="1" t="s">
        <v>1940</v>
      </c>
      <c r="Z444" s="151">
        <v>-4.0000000000000001E-3</v>
      </c>
      <c r="AA444" s="1" t="s">
        <v>1938</v>
      </c>
      <c r="AB444" s="151">
        <v>-4.0000000000000001E-3</v>
      </c>
      <c r="AC444" s="1" t="s">
        <v>3255</v>
      </c>
      <c r="AD444" s="151">
        <v>-4.0000000000000001E-3</v>
      </c>
      <c r="AE444" s="1" t="s">
        <v>3410</v>
      </c>
      <c r="AF444" s="467">
        <v>-4.0000000000000002E-4</v>
      </c>
      <c r="AG444" s="1" t="s">
        <v>3505</v>
      </c>
      <c r="AH444" s="151">
        <v>-4.0000000000000001E-3</v>
      </c>
      <c r="AI444" s="1" t="s">
        <v>3548</v>
      </c>
      <c r="AJ444" s="151">
        <v>-4.0000000000000001E-3</v>
      </c>
      <c r="AK444" s="1" t="s">
        <v>3548</v>
      </c>
      <c r="AL444" s="151">
        <v>-4.0000000000000001E-3</v>
      </c>
      <c r="AM444" s="1" t="s">
        <v>3255</v>
      </c>
      <c r="AN444" s="151">
        <v>-4.0000000000000001E-3</v>
      </c>
      <c r="AO444" s="1" t="s">
        <v>3548</v>
      </c>
      <c r="AP444" s="151">
        <v>-4.0000000000000001E-3</v>
      </c>
      <c r="AQ444" s="1" t="s">
        <v>1940</v>
      </c>
      <c r="AR444" s="151">
        <v>-4.0000000000000001E-3</v>
      </c>
      <c r="AS444" s="1335" t="s">
        <v>3301</v>
      </c>
      <c r="AT444" s="151">
        <v>-4.0000000000000002E-4</v>
      </c>
      <c r="AU444" s="1" t="s">
        <v>3255</v>
      </c>
      <c r="AV444" s="151">
        <v>-4.0000000000000001E-3</v>
      </c>
      <c r="AW444" s="1" t="s">
        <v>502</v>
      </c>
      <c r="AX444" s="467">
        <v>-4.0000000000000002E-4</v>
      </c>
      <c r="AY444" s="1" t="s">
        <v>3300</v>
      </c>
      <c r="AZ444" s="1" t="s">
        <v>1938</v>
      </c>
      <c r="BA444" s="151">
        <v>-4.0000000000000001E-3</v>
      </c>
    </row>
    <row r="445" spans="19:53">
      <c r="S445" s="1" t="s">
        <v>3548</v>
      </c>
      <c r="T445" s="151">
        <v>-4.0000000000000001E-3</v>
      </c>
      <c r="U445" s="1" t="s">
        <v>3548</v>
      </c>
      <c r="V445" s="151">
        <v>-4.0000000000000001E-3</v>
      </c>
      <c r="W445" s="1" t="s">
        <v>1940</v>
      </c>
      <c r="X445" s="151">
        <v>-4.0000000000000001E-3</v>
      </c>
      <c r="Y445" s="1" t="s">
        <v>3275</v>
      </c>
      <c r="Z445" s="151">
        <v>-4.0000000000000001E-3</v>
      </c>
      <c r="AA445" s="1" t="s">
        <v>3548</v>
      </c>
      <c r="AB445" s="151">
        <v>-4.0000000000000001E-3</v>
      </c>
      <c r="AC445" s="1" t="s">
        <v>3505</v>
      </c>
      <c r="AD445" s="151">
        <v>-4.0000000000000001E-3</v>
      </c>
      <c r="AE445" s="749" t="s">
        <v>3411</v>
      </c>
      <c r="AF445" s="467">
        <v>-4.0000000000000002E-4</v>
      </c>
      <c r="AG445" s="1" t="s">
        <v>3277</v>
      </c>
      <c r="AH445" s="151">
        <v>-4.0000000000000001E-3</v>
      </c>
      <c r="AI445" s="1" t="s">
        <v>1940</v>
      </c>
      <c r="AJ445" s="151">
        <v>-4.0000000000000001E-3</v>
      </c>
      <c r="AK445" s="1" t="s">
        <v>1940</v>
      </c>
      <c r="AL445" s="151">
        <v>-4.0000000000000001E-3</v>
      </c>
      <c r="AM445" s="1" t="s">
        <v>3505</v>
      </c>
      <c r="AN445" s="151">
        <v>-4.0000000000000001E-3</v>
      </c>
      <c r="AO445" s="1" t="s">
        <v>1940</v>
      </c>
      <c r="AP445" s="151">
        <v>-4.0000000000000001E-3</v>
      </c>
      <c r="AQ445" s="1" t="s">
        <v>3275</v>
      </c>
      <c r="AR445" s="151">
        <v>-4.0000000000000001E-3</v>
      </c>
      <c r="AS445" s="1" t="s">
        <v>502</v>
      </c>
      <c r="AT445" s="467">
        <v>-4.0000000000000002E-4</v>
      </c>
      <c r="AU445" s="1" t="s">
        <v>3505</v>
      </c>
      <c r="AV445" s="151">
        <v>-4.0000000000000001E-3</v>
      </c>
      <c r="AW445" s="1" t="s">
        <v>3410</v>
      </c>
      <c r="AX445" s="467">
        <v>-4.0000000000000002E-4</v>
      </c>
      <c r="AY445" s="1" t="s">
        <v>3249</v>
      </c>
      <c r="AZ445" s="1" t="s">
        <v>3548</v>
      </c>
      <c r="BA445" s="151">
        <v>-4.0000000000000001E-3</v>
      </c>
    </row>
    <row r="446" spans="19:53">
      <c r="S446" s="1" t="s">
        <v>1940</v>
      </c>
      <c r="T446" s="151">
        <v>-4.0000000000000001E-3</v>
      </c>
      <c r="U446" s="1" t="s">
        <v>1940</v>
      </c>
      <c r="V446" s="151">
        <v>-4.0000000000000001E-3</v>
      </c>
      <c r="W446" s="1" t="s">
        <v>3275</v>
      </c>
      <c r="X446" s="151">
        <v>-4.0000000000000001E-3</v>
      </c>
      <c r="Y446" s="1" t="s">
        <v>3255</v>
      </c>
      <c r="Z446" s="151">
        <v>-4.0000000000000001E-3</v>
      </c>
      <c r="AA446" s="1" t="s">
        <v>1940</v>
      </c>
      <c r="AB446" s="151">
        <v>-4.0000000000000001E-3</v>
      </c>
      <c r="AC446" s="1" t="s">
        <v>3500</v>
      </c>
      <c r="AD446" s="151">
        <v>-4.0000000000000001E-3</v>
      </c>
      <c r="AE446" s="749" t="s">
        <v>3413</v>
      </c>
      <c r="AF446" s="1346">
        <v>-4.0000000000000002E-4</v>
      </c>
      <c r="AG446" s="1" t="s">
        <v>3258</v>
      </c>
      <c r="AH446" s="321">
        <v>-4.0000000000000001E-3</v>
      </c>
      <c r="AI446" s="1" t="s">
        <v>3275</v>
      </c>
      <c r="AJ446" s="151">
        <v>-4.0000000000000001E-3</v>
      </c>
      <c r="AK446" s="1" t="s">
        <v>3275</v>
      </c>
      <c r="AL446" s="151">
        <v>-4.0000000000000001E-3</v>
      </c>
      <c r="AM446" s="1" t="s">
        <v>3500</v>
      </c>
      <c r="AN446" s="151">
        <v>-4.0000000000000001E-3</v>
      </c>
      <c r="AO446" s="1" t="s">
        <v>3275</v>
      </c>
      <c r="AP446" s="151">
        <v>-4.0000000000000001E-3</v>
      </c>
      <c r="AQ446" s="1" t="s">
        <v>3255</v>
      </c>
      <c r="AR446" s="151">
        <v>-4.0000000000000001E-3</v>
      </c>
      <c r="AS446" s="1" t="s">
        <v>3410</v>
      </c>
      <c r="AT446" s="467">
        <v>-4.0000000000000002E-4</v>
      </c>
      <c r="AU446" s="1" t="s">
        <v>3277</v>
      </c>
      <c r="AV446" s="151">
        <v>-4.0000000000000001E-3</v>
      </c>
      <c r="AW446" s="749" t="s">
        <v>3411</v>
      </c>
      <c r="AX446" s="1346">
        <v>-4.0000000000000002E-4</v>
      </c>
      <c r="AY446" s="1233" t="s">
        <v>495</v>
      </c>
      <c r="AZ446" s="1" t="s">
        <v>1940</v>
      </c>
      <c r="BA446" s="151">
        <v>-4.0000000000000001E-3</v>
      </c>
    </row>
    <row r="447" spans="19:53">
      <c r="S447" s="1" t="s">
        <v>3275</v>
      </c>
      <c r="T447" s="151">
        <v>-4.0000000000000001E-3</v>
      </c>
      <c r="U447" s="1" t="s">
        <v>3275</v>
      </c>
      <c r="V447" s="151">
        <v>-4.0000000000000001E-3</v>
      </c>
      <c r="W447" s="1" t="s">
        <v>3255</v>
      </c>
      <c r="X447" s="151">
        <v>-4.0000000000000001E-3</v>
      </c>
      <c r="Y447" s="1" t="s">
        <v>3505</v>
      </c>
      <c r="Z447" s="151">
        <v>-4.0000000000000001E-3</v>
      </c>
      <c r="AA447" s="1" t="s">
        <v>3275</v>
      </c>
      <c r="AB447" s="151">
        <v>-4.0000000000000001E-3</v>
      </c>
      <c r="AC447" s="749" t="s">
        <v>3259</v>
      </c>
      <c r="AD447" s="151">
        <v>-4.0000000000000001E-3</v>
      </c>
      <c r="AE447" s="749" t="s">
        <v>3416</v>
      </c>
      <c r="AF447" s="1346">
        <v>-4.0000000000000002E-4</v>
      </c>
      <c r="AG447" s="1" t="s">
        <v>3500</v>
      </c>
      <c r="AH447" s="151">
        <v>-4.0000000000000001E-3</v>
      </c>
      <c r="AI447" s="1" t="s">
        <v>3255</v>
      </c>
      <c r="AJ447" s="151">
        <v>-4.0000000000000001E-3</v>
      </c>
      <c r="AK447" s="1" t="s">
        <v>3255</v>
      </c>
      <c r="AL447" s="151">
        <v>-4.0000000000000001E-3</v>
      </c>
      <c r="AM447" s="749" t="s">
        <v>3259</v>
      </c>
      <c r="AN447" s="151">
        <v>-4.0000000000000001E-3</v>
      </c>
      <c r="AO447" s="1" t="s">
        <v>3255</v>
      </c>
      <c r="AP447" s="151">
        <v>-4.0000000000000001E-3</v>
      </c>
      <c r="AQ447" s="1" t="s">
        <v>3505</v>
      </c>
      <c r="AR447" s="151">
        <v>-4.0000000000000001E-3</v>
      </c>
      <c r="AS447" s="749" t="s">
        <v>3411</v>
      </c>
      <c r="AT447" s="467">
        <v>-4.0000000000000002E-4</v>
      </c>
      <c r="AU447" s="1" t="s">
        <v>3257</v>
      </c>
      <c r="AV447" s="151">
        <v>-4.0000000000000001E-3</v>
      </c>
      <c r="AW447" s="749" t="s">
        <v>3413</v>
      </c>
      <c r="AX447" s="467">
        <v>-4.0000000000000002E-4</v>
      </c>
      <c r="AY447" s="1244" t="s">
        <v>3301</v>
      </c>
      <c r="AZ447" s="24" t="s">
        <v>3275</v>
      </c>
      <c r="BA447" s="151">
        <v>-4.0000000000000001E-3</v>
      </c>
    </row>
    <row r="448" spans="19:53">
      <c r="S448" s="24" t="s">
        <v>3255</v>
      </c>
      <c r="T448" s="151">
        <v>-4.0000000000000001E-3</v>
      </c>
      <c r="U448" s="24" t="s">
        <v>3255</v>
      </c>
      <c r="V448" s="151">
        <v>-4.0000000000000001E-3</v>
      </c>
      <c r="W448" s="24" t="s">
        <v>3505</v>
      </c>
      <c r="X448" s="151">
        <v>-4.0000000000000001E-3</v>
      </c>
      <c r="Y448" s="24" t="s">
        <v>3500</v>
      </c>
      <c r="Z448" s="151">
        <v>-4.0000000000000001E-3</v>
      </c>
      <c r="AA448" s="24" t="s">
        <v>3255</v>
      </c>
      <c r="AB448" s="151">
        <v>-4.0000000000000001E-3</v>
      </c>
      <c r="AC448" s="24" t="s">
        <v>3278</v>
      </c>
      <c r="AD448" s="151">
        <v>-4.0000000000000001E-3</v>
      </c>
      <c r="AE448" s="492" t="s">
        <v>3412</v>
      </c>
      <c r="AF448" s="467">
        <v>-4.0000000000000002E-4</v>
      </c>
      <c r="AG448" s="492" t="s">
        <v>3259</v>
      </c>
      <c r="AH448" s="151">
        <v>-4.0000000000000001E-3</v>
      </c>
      <c r="AI448" s="24" t="s">
        <v>3505</v>
      </c>
      <c r="AJ448" s="151">
        <v>-4.0000000000000001E-3</v>
      </c>
      <c r="AK448" s="24" t="s">
        <v>3505</v>
      </c>
      <c r="AL448" s="151">
        <v>-4.0000000000000001E-3</v>
      </c>
      <c r="AM448" s="24" t="s">
        <v>3278</v>
      </c>
      <c r="AN448" s="151">
        <v>-4.0000000000000001E-3</v>
      </c>
      <c r="AO448" s="24" t="s">
        <v>3505</v>
      </c>
      <c r="AP448" s="151">
        <v>-4.0000000000000001E-3</v>
      </c>
      <c r="AQ448" s="24" t="s">
        <v>3500</v>
      </c>
      <c r="AR448" s="151">
        <v>-4.0000000000000001E-3</v>
      </c>
      <c r="AS448" s="492" t="s">
        <v>3413</v>
      </c>
      <c r="AT448" s="467">
        <v>-4.0000000000000002E-4</v>
      </c>
      <c r="AU448" s="24" t="s">
        <v>3258</v>
      </c>
      <c r="AV448" s="151">
        <v>-4.0000000000000001E-3</v>
      </c>
      <c r="AW448" s="492" t="s">
        <v>3416</v>
      </c>
      <c r="AX448" s="467">
        <v>-4.0000000000000002E-4</v>
      </c>
      <c r="AY448" s="1" t="s">
        <v>502</v>
      </c>
      <c r="AZ448" s="1" t="s">
        <v>3255</v>
      </c>
      <c r="BA448" s="151">
        <v>-4.0000000000000001E-3</v>
      </c>
    </row>
    <row r="449" spans="19:53">
      <c r="S449" s="1" t="s">
        <v>3505</v>
      </c>
      <c r="T449" s="151">
        <v>-4.0000000000000001E-3</v>
      </c>
      <c r="U449" s="1" t="s">
        <v>3505</v>
      </c>
      <c r="V449" s="151">
        <v>-4.0000000000000001E-3</v>
      </c>
      <c r="W449" s="1" t="s">
        <v>3500</v>
      </c>
      <c r="X449" s="151">
        <v>-4.0000000000000001E-3</v>
      </c>
      <c r="Y449" s="749" t="s">
        <v>3259</v>
      </c>
      <c r="Z449" s="151">
        <v>-4.0000000000000001E-3</v>
      </c>
      <c r="AA449" s="1" t="s">
        <v>3505</v>
      </c>
      <c r="AB449" s="151">
        <v>-4.0000000000000001E-3</v>
      </c>
      <c r="AC449" s="1" t="s">
        <v>3279</v>
      </c>
      <c r="AD449" s="151">
        <v>-4.0000000000000001E-3</v>
      </c>
      <c r="AE449" s="749" t="s">
        <v>3515</v>
      </c>
      <c r="AF449" s="467">
        <v>-4.0000000000000002E-4</v>
      </c>
      <c r="AG449" s="53" t="s">
        <v>3278</v>
      </c>
      <c r="AH449" s="151">
        <v>-4.0000000000000001E-3</v>
      </c>
      <c r="AI449" s="1" t="s">
        <v>3500</v>
      </c>
      <c r="AJ449" s="151">
        <v>-4.0000000000000001E-3</v>
      </c>
      <c r="AK449" s="1" t="s">
        <v>3500</v>
      </c>
      <c r="AL449" s="151">
        <v>-4.0000000000000001E-3</v>
      </c>
      <c r="AM449" s="1" t="s">
        <v>3279</v>
      </c>
      <c r="AN449" s="151">
        <v>-4.0000000000000001E-3</v>
      </c>
      <c r="AO449" s="1" t="s">
        <v>3500</v>
      </c>
      <c r="AP449" s="151">
        <v>-4.0000000000000001E-3</v>
      </c>
      <c r="AQ449" s="749" t="s">
        <v>3259</v>
      </c>
      <c r="AR449" s="151">
        <v>-4.0000000000000001E-3</v>
      </c>
      <c r="AS449" s="749" t="s">
        <v>3416</v>
      </c>
      <c r="AT449" s="467">
        <v>-4.0000000000000002E-4</v>
      </c>
      <c r="AU449" s="1" t="s">
        <v>3500</v>
      </c>
      <c r="AV449" s="151">
        <v>-4.0000000000000001E-3</v>
      </c>
      <c r="AW449" s="749" t="s">
        <v>3412</v>
      </c>
      <c r="AX449" s="467">
        <v>-4.0000000000000002E-4</v>
      </c>
      <c r="AY449" s="1" t="s">
        <v>3410</v>
      </c>
      <c r="AZ449" s="1" t="s">
        <v>3505</v>
      </c>
      <c r="BA449" s="151">
        <v>-4.0000000000000001E-3</v>
      </c>
    </row>
    <row r="450" spans="19:53">
      <c r="S450" s="1" t="s">
        <v>3500</v>
      </c>
      <c r="T450" s="151">
        <v>-4.0000000000000001E-3</v>
      </c>
      <c r="U450" s="1" t="s">
        <v>3500</v>
      </c>
      <c r="V450" s="151">
        <v>-4.0000000000000001E-3</v>
      </c>
      <c r="W450" s="749" t="s">
        <v>3259</v>
      </c>
      <c r="X450" s="151">
        <v>-4.0000000000000001E-3</v>
      </c>
      <c r="Y450" s="53" t="s">
        <v>3278</v>
      </c>
      <c r="Z450" s="151">
        <v>-4.0000000000000001E-3</v>
      </c>
      <c r="AA450" s="1" t="s">
        <v>3500</v>
      </c>
      <c r="AB450" s="151">
        <v>-4.0000000000000001E-3</v>
      </c>
      <c r="AC450" s="1" t="s">
        <v>3286</v>
      </c>
      <c r="AD450" s="151">
        <v>-4.0000000000000001E-3</v>
      </c>
      <c r="AE450" s="1" t="s">
        <v>3414</v>
      </c>
      <c r="AF450" s="467">
        <v>-4.0000000000000002E-4</v>
      </c>
      <c r="AG450" s="1" t="s">
        <v>3279</v>
      </c>
      <c r="AH450" s="151">
        <v>-4.0000000000000001E-3</v>
      </c>
      <c r="AI450" s="749" t="s">
        <v>3259</v>
      </c>
      <c r="AJ450" s="151">
        <v>-4.0000000000000001E-3</v>
      </c>
      <c r="AK450" s="749" t="s">
        <v>3259</v>
      </c>
      <c r="AL450" s="151">
        <v>-4.0000000000000001E-3</v>
      </c>
      <c r="AM450" s="1" t="s">
        <v>3286</v>
      </c>
      <c r="AN450" s="151">
        <v>-4.0000000000000001E-3</v>
      </c>
      <c r="AO450" s="749" t="s">
        <v>3259</v>
      </c>
      <c r="AP450" s="151">
        <v>-4.0000000000000001E-3</v>
      </c>
      <c r="AQ450" s="53" t="s">
        <v>3278</v>
      </c>
      <c r="AR450" s="151">
        <v>-4.0000000000000001E-3</v>
      </c>
      <c r="AS450" s="749" t="s">
        <v>3412</v>
      </c>
      <c r="AT450" s="467">
        <v>-4.0000000000000002E-4</v>
      </c>
      <c r="AU450" s="749" t="s">
        <v>3259</v>
      </c>
      <c r="AV450" s="151">
        <v>-4.0000000000000001E-3</v>
      </c>
      <c r="AW450" s="749" t="s">
        <v>3515</v>
      </c>
      <c r="AX450" s="467">
        <v>-4.0000000000000002E-4</v>
      </c>
      <c r="AY450" s="749" t="s">
        <v>3411</v>
      </c>
      <c r="AZ450" s="1" t="s">
        <v>3500</v>
      </c>
      <c r="BA450" s="151">
        <v>-4.0000000000000001E-3</v>
      </c>
    </row>
    <row r="451" spans="19:53">
      <c r="S451" s="749" t="s">
        <v>3259</v>
      </c>
      <c r="T451" s="151">
        <v>-4.0000000000000001E-3</v>
      </c>
      <c r="U451" s="749" t="s">
        <v>3259</v>
      </c>
      <c r="V451" s="151">
        <v>-4.0000000000000001E-3</v>
      </c>
      <c r="W451" s="53" t="s">
        <v>3278</v>
      </c>
      <c r="X451" s="151">
        <v>-4.0000000000000001E-3</v>
      </c>
      <c r="Y451" s="1" t="s">
        <v>3279</v>
      </c>
      <c r="Z451" s="151">
        <v>-4.0000000000000001E-3</v>
      </c>
      <c r="AA451" s="749" t="s">
        <v>3259</v>
      </c>
      <c r="AB451" s="151">
        <v>-4.0000000000000001E-3</v>
      </c>
      <c r="AC451" s="749" t="s">
        <v>3287</v>
      </c>
      <c r="AD451" s="151">
        <v>-4.0000000000000001E-3</v>
      </c>
      <c r="AE451" s="1" t="s">
        <v>2739</v>
      </c>
      <c r="AF451" s="467">
        <v>-4.0000000000000002E-4</v>
      </c>
      <c r="AG451" s="1" t="s">
        <v>3286</v>
      </c>
      <c r="AH451" s="151">
        <v>-4.0000000000000001E-3</v>
      </c>
      <c r="AI451" s="53" t="s">
        <v>3278</v>
      </c>
      <c r="AJ451" s="151">
        <v>-4.0000000000000001E-3</v>
      </c>
      <c r="AK451" s="53" t="s">
        <v>3278</v>
      </c>
      <c r="AL451" s="151">
        <v>-4.0000000000000001E-3</v>
      </c>
      <c r="AM451" s="749" t="s">
        <v>3287</v>
      </c>
      <c r="AN451" s="151">
        <v>-4.0000000000000001E-3</v>
      </c>
      <c r="AO451" s="53" t="s">
        <v>3278</v>
      </c>
      <c r="AP451" s="151">
        <v>-4.0000000000000001E-3</v>
      </c>
      <c r="AQ451" s="1" t="s">
        <v>3279</v>
      </c>
      <c r="AR451" s="151">
        <v>-4.0000000000000001E-3</v>
      </c>
      <c r="AS451" s="749" t="s">
        <v>3515</v>
      </c>
      <c r="AT451" s="467">
        <v>-4.0000000000000002E-4</v>
      </c>
      <c r="AU451" s="53" t="s">
        <v>3278</v>
      </c>
      <c r="AV451" s="151">
        <v>-4.0000000000000001E-3</v>
      </c>
      <c r="AW451" s="1" t="s">
        <v>3414</v>
      </c>
      <c r="AX451" s="467">
        <v>-4.0000000000000002E-4</v>
      </c>
      <c r="AY451" s="749" t="s">
        <v>3413</v>
      </c>
      <c r="AZ451" s="749" t="s">
        <v>3259</v>
      </c>
      <c r="BA451" s="151">
        <v>-4.0000000000000001E-3</v>
      </c>
    </row>
    <row r="452" spans="19:53">
      <c r="S452" s="53" t="s">
        <v>3278</v>
      </c>
      <c r="T452" s="151">
        <v>-4.0000000000000001E-3</v>
      </c>
      <c r="U452" s="53" t="s">
        <v>3278</v>
      </c>
      <c r="V452" s="151">
        <v>-4.0000000000000001E-3</v>
      </c>
      <c r="W452" s="1" t="s">
        <v>3279</v>
      </c>
      <c r="X452" s="151">
        <v>-4.0000000000000001E-3</v>
      </c>
      <c r="Y452" s="1" t="s">
        <v>3286</v>
      </c>
      <c r="Z452" s="151">
        <v>-4.0000000000000001E-3</v>
      </c>
      <c r="AA452" s="53" t="s">
        <v>3278</v>
      </c>
      <c r="AB452" s="151">
        <v>-4.0000000000000001E-3</v>
      </c>
      <c r="AC452" s="1" t="s">
        <v>3281</v>
      </c>
      <c r="AD452" s="151">
        <v>-4.0000000000000001E-3</v>
      </c>
      <c r="AE452" s="1" t="s">
        <v>3517</v>
      </c>
      <c r="AF452" s="467">
        <v>-4.0000000000000002E-4</v>
      </c>
      <c r="AG452" s="749" t="s">
        <v>3287</v>
      </c>
      <c r="AH452" s="151">
        <v>-4.0000000000000001E-3</v>
      </c>
      <c r="AI452" s="1" t="s">
        <v>3279</v>
      </c>
      <c r="AJ452" s="151">
        <v>-4.0000000000000001E-3</v>
      </c>
      <c r="AK452" s="1" t="s">
        <v>3279</v>
      </c>
      <c r="AL452" s="151">
        <v>-4.0000000000000001E-3</v>
      </c>
      <c r="AM452" s="1" t="s">
        <v>3281</v>
      </c>
      <c r="AN452" s="151">
        <v>-4.0000000000000001E-3</v>
      </c>
      <c r="AO452" s="1" t="s">
        <v>3279</v>
      </c>
      <c r="AP452" s="151">
        <v>-4.0000000000000001E-3</v>
      </c>
      <c r="AQ452" s="1" t="s">
        <v>3286</v>
      </c>
      <c r="AR452" s="151">
        <v>-4.0000000000000001E-3</v>
      </c>
      <c r="AS452" s="1" t="s">
        <v>3414</v>
      </c>
      <c r="AT452" s="467">
        <v>-4.0000000000000002E-4</v>
      </c>
      <c r="AU452" s="1" t="s">
        <v>3279</v>
      </c>
      <c r="AV452" s="151">
        <v>-4.0000000000000001E-3</v>
      </c>
      <c r="AW452" s="1" t="s">
        <v>2739</v>
      </c>
      <c r="AX452" s="467">
        <v>-4.0000000000000002E-4</v>
      </c>
      <c r="AY452" s="749" t="s">
        <v>3416</v>
      </c>
      <c r="AZ452" s="53" t="s">
        <v>3278</v>
      </c>
      <c r="BA452" s="151">
        <v>-4.0000000000000001E-3</v>
      </c>
    </row>
    <row r="453" spans="19:53">
      <c r="S453" s="1" t="s">
        <v>3279</v>
      </c>
      <c r="T453" s="151">
        <v>-4.0000000000000001E-3</v>
      </c>
      <c r="U453" s="1" t="s">
        <v>3279</v>
      </c>
      <c r="V453" s="151">
        <v>-4.0000000000000001E-3</v>
      </c>
      <c r="W453" s="1" t="s">
        <v>3286</v>
      </c>
      <c r="X453" s="151">
        <v>-4.0000000000000001E-3</v>
      </c>
      <c r="Y453" s="749" t="s">
        <v>3287</v>
      </c>
      <c r="Z453" s="151">
        <v>-4.0000000000000001E-3</v>
      </c>
      <c r="AA453" s="1" t="s">
        <v>3279</v>
      </c>
      <c r="AB453" s="151">
        <v>-4.0000000000000001E-3</v>
      </c>
      <c r="AC453" s="1" t="s">
        <v>1958</v>
      </c>
      <c r="AD453" s="151">
        <v>-4.0000000000000001E-3</v>
      </c>
      <c r="AE453" s="1" t="s">
        <v>1975</v>
      </c>
      <c r="AF453" s="467">
        <v>-4.0000000000000002E-4</v>
      </c>
      <c r="AG453" s="1" t="s">
        <v>3281</v>
      </c>
      <c r="AH453" s="151">
        <v>-4.0000000000000001E-3</v>
      </c>
      <c r="AI453" s="1" t="s">
        <v>3286</v>
      </c>
      <c r="AJ453" s="151">
        <v>-4.0000000000000001E-3</v>
      </c>
      <c r="AK453" s="1" t="s">
        <v>3286</v>
      </c>
      <c r="AL453" s="151">
        <v>-4.0000000000000001E-3</v>
      </c>
      <c r="AM453" s="1" t="s">
        <v>1958</v>
      </c>
      <c r="AN453" s="151">
        <v>-4.0000000000000001E-3</v>
      </c>
      <c r="AO453" s="1" t="s">
        <v>3286</v>
      </c>
      <c r="AP453" s="151">
        <v>-4.0000000000000001E-3</v>
      </c>
      <c r="AQ453" s="749" t="s">
        <v>3287</v>
      </c>
      <c r="AR453" s="151">
        <v>-4.0000000000000001E-3</v>
      </c>
      <c r="AS453" s="1" t="s">
        <v>2739</v>
      </c>
      <c r="AT453" s="467">
        <v>-4.0000000000000002E-4</v>
      </c>
      <c r="AU453" s="1" t="s">
        <v>3286</v>
      </c>
      <c r="AV453" s="151">
        <v>-4.0000000000000001E-3</v>
      </c>
      <c r="AW453" s="1" t="s">
        <v>3517</v>
      </c>
      <c r="AX453" s="467">
        <v>-4.0000000000000002E-4</v>
      </c>
      <c r="AY453" s="749" t="s">
        <v>3412</v>
      </c>
      <c r="AZ453" s="1" t="s">
        <v>3279</v>
      </c>
      <c r="BA453" s="151">
        <v>-4.0000000000000001E-3</v>
      </c>
    </row>
    <row r="454" spans="19:53">
      <c r="S454" s="1" t="s">
        <v>3286</v>
      </c>
      <c r="T454" s="151">
        <v>-4.0000000000000001E-3</v>
      </c>
      <c r="U454" s="1" t="s">
        <v>3286</v>
      </c>
      <c r="V454" s="151">
        <v>-4.0000000000000001E-3</v>
      </c>
      <c r="W454" s="749" t="s">
        <v>3287</v>
      </c>
      <c r="X454" s="151">
        <v>-4.0000000000000001E-3</v>
      </c>
      <c r="Y454" s="1" t="s">
        <v>3281</v>
      </c>
      <c r="Z454" s="151">
        <v>-4.0000000000000001E-3</v>
      </c>
      <c r="AA454" s="1" t="s">
        <v>3286</v>
      </c>
      <c r="AB454" s="151">
        <v>-4.0000000000000001E-3</v>
      </c>
      <c r="AC454" s="1" t="s">
        <v>1959</v>
      </c>
      <c r="AD454" s="151">
        <v>-4.0000000000000001E-3</v>
      </c>
      <c r="AE454" s="1" t="s">
        <v>1974</v>
      </c>
      <c r="AF454" s="467">
        <v>-4.0000000000000002E-4</v>
      </c>
      <c r="AG454" s="1" t="s">
        <v>1958</v>
      </c>
      <c r="AH454" s="151">
        <v>-4.0000000000000001E-3</v>
      </c>
      <c r="AI454" s="749" t="s">
        <v>3287</v>
      </c>
      <c r="AJ454" s="151">
        <v>-4.0000000000000001E-3</v>
      </c>
      <c r="AK454" s="749" t="s">
        <v>3287</v>
      </c>
      <c r="AL454" s="151">
        <v>-4.0000000000000001E-3</v>
      </c>
      <c r="AM454" s="1" t="s">
        <v>1959</v>
      </c>
      <c r="AN454" s="151">
        <v>-4.0000000000000001E-3</v>
      </c>
      <c r="AO454" s="749" t="s">
        <v>3287</v>
      </c>
      <c r="AP454" s="151">
        <v>-4.0000000000000001E-3</v>
      </c>
      <c r="AQ454" s="1" t="s">
        <v>3281</v>
      </c>
      <c r="AR454" s="151">
        <v>-4.0000000000000001E-3</v>
      </c>
      <c r="AS454" s="1" t="s">
        <v>3517</v>
      </c>
      <c r="AT454" s="467">
        <v>-4.0000000000000002E-4</v>
      </c>
      <c r="AU454" s="749" t="s">
        <v>3287</v>
      </c>
      <c r="AV454" s="151">
        <v>-4.0000000000000001E-3</v>
      </c>
      <c r="AW454" s="1" t="s">
        <v>1975</v>
      </c>
      <c r="AX454" s="467">
        <v>-4.0000000000000002E-4</v>
      </c>
      <c r="AY454" s="749" t="s">
        <v>3515</v>
      </c>
      <c r="AZ454" s="1" t="s">
        <v>3286</v>
      </c>
      <c r="BA454" s="151">
        <v>-4.0000000000000001E-3</v>
      </c>
    </row>
    <row r="455" spans="19:53">
      <c r="S455" s="749" t="s">
        <v>3287</v>
      </c>
      <c r="T455" s="151">
        <v>-4.0000000000000001E-3</v>
      </c>
      <c r="U455" s="749" t="s">
        <v>3287</v>
      </c>
      <c r="V455" s="151">
        <v>-4.0000000000000001E-3</v>
      </c>
      <c r="W455" s="1" t="s">
        <v>3281</v>
      </c>
      <c r="X455" s="151">
        <v>-4.0000000000000001E-3</v>
      </c>
      <c r="Y455" s="1" t="s">
        <v>1958</v>
      </c>
      <c r="Z455" s="151">
        <v>-4.0000000000000001E-3</v>
      </c>
      <c r="AA455" s="749" t="s">
        <v>3287</v>
      </c>
      <c r="AB455" s="151">
        <v>-4.0000000000000001E-3</v>
      </c>
      <c r="AC455" s="1" t="s">
        <v>1960</v>
      </c>
      <c r="AD455" s="151">
        <v>-4.0000000000000001E-3</v>
      </c>
      <c r="AE455" s="1" t="s">
        <v>1976</v>
      </c>
      <c r="AF455" s="467">
        <v>-4.0000000000000002E-4</v>
      </c>
      <c r="AG455" s="1" t="s">
        <v>1959</v>
      </c>
      <c r="AH455" s="151">
        <v>-4.0000000000000001E-3</v>
      </c>
      <c r="AI455" s="1" t="s">
        <v>3281</v>
      </c>
      <c r="AJ455" s="151">
        <v>-4.0000000000000001E-3</v>
      </c>
      <c r="AK455" s="1" t="s">
        <v>3281</v>
      </c>
      <c r="AL455" s="151">
        <v>-4.0000000000000001E-3</v>
      </c>
      <c r="AM455" s="1" t="s">
        <v>1960</v>
      </c>
      <c r="AN455" s="151">
        <v>-4.0000000000000001E-3</v>
      </c>
      <c r="AO455" s="1" t="s">
        <v>3281</v>
      </c>
      <c r="AP455" s="151">
        <v>-4.0000000000000001E-3</v>
      </c>
      <c r="AQ455" s="1" t="s">
        <v>1958</v>
      </c>
      <c r="AR455" s="151">
        <v>-4.0000000000000001E-3</v>
      </c>
      <c r="AS455" s="1" t="s">
        <v>1975</v>
      </c>
      <c r="AT455" s="467">
        <v>-4.0000000000000002E-4</v>
      </c>
      <c r="AU455" s="1" t="s">
        <v>3281</v>
      </c>
      <c r="AV455" s="151">
        <v>-4.0000000000000001E-3</v>
      </c>
      <c r="AW455" s="1" t="s">
        <v>1974</v>
      </c>
      <c r="AX455" s="467">
        <v>-4.0000000000000002E-4</v>
      </c>
      <c r="AY455" s="1" t="s">
        <v>3414</v>
      </c>
      <c r="AZ455" s="749" t="s">
        <v>3287</v>
      </c>
      <c r="BA455" s="151">
        <v>-4.0000000000000001E-3</v>
      </c>
    </row>
    <row r="456" spans="19:53">
      <c r="S456" s="1" t="s">
        <v>3281</v>
      </c>
      <c r="T456" s="151">
        <v>-4.0000000000000001E-3</v>
      </c>
      <c r="U456" s="1" t="s">
        <v>3281</v>
      </c>
      <c r="V456" s="151">
        <v>-4.0000000000000001E-3</v>
      </c>
      <c r="W456" s="1" t="s">
        <v>1958</v>
      </c>
      <c r="X456" s="151">
        <v>-4.0000000000000001E-3</v>
      </c>
      <c r="Y456" s="1" t="s">
        <v>1959</v>
      </c>
      <c r="Z456" s="151">
        <v>-4.0000000000000001E-3</v>
      </c>
      <c r="AA456" s="1" t="s">
        <v>3281</v>
      </c>
      <c r="AB456" s="151">
        <v>-4.0000000000000001E-3</v>
      </c>
      <c r="AC456" s="749" t="s">
        <v>3288</v>
      </c>
      <c r="AD456" s="151">
        <v>-4.0000000000000001E-3</v>
      </c>
      <c r="AE456" s="1" t="s">
        <v>1977</v>
      </c>
      <c r="AF456" s="467">
        <v>-4.0000000000000002E-4</v>
      </c>
      <c r="AG456" s="1" t="s">
        <v>1960</v>
      </c>
      <c r="AH456" s="151">
        <v>-4.0000000000000001E-3</v>
      </c>
      <c r="AI456" s="1" t="s">
        <v>1958</v>
      </c>
      <c r="AJ456" s="151">
        <v>-4.0000000000000001E-3</v>
      </c>
      <c r="AK456" s="1" t="s">
        <v>1958</v>
      </c>
      <c r="AL456" s="151">
        <v>-4.0000000000000001E-3</v>
      </c>
      <c r="AM456" s="749" t="s">
        <v>3288</v>
      </c>
      <c r="AN456" s="151">
        <v>-4.0000000000000001E-3</v>
      </c>
      <c r="AO456" s="1" t="s">
        <v>1958</v>
      </c>
      <c r="AP456" s="151">
        <v>-4.0000000000000001E-3</v>
      </c>
      <c r="AQ456" s="1" t="s">
        <v>1959</v>
      </c>
      <c r="AR456" s="151">
        <v>-4.0000000000000001E-3</v>
      </c>
      <c r="AS456" s="1" t="s">
        <v>1974</v>
      </c>
      <c r="AT456" s="467">
        <v>-4.0000000000000002E-4</v>
      </c>
      <c r="AU456" s="1" t="s">
        <v>1958</v>
      </c>
      <c r="AV456" s="151">
        <v>-4.0000000000000001E-3</v>
      </c>
      <c r="AW456" s="1" t="s">
        <v>1976</v>
      </c>
      <c r="AX456" s="467">
        <v>-4.0000000000000002E-4</v>
      </c>
      <c r="AY456" s="1" t="s">
        <v>2739</v>
      </c>
      <c r="AZ456" s="1" t="s">
        <v>3281</v>
      </c>
      <c r="BA456" s="151">
        <v>-4.0000000000000001E-3</v>
      </c>
    </row>
    <row r="457" spans="19:53">
      <c r="S457" s="1" t="s">
        <v>1958</v>
      </c>
      <c r="T457" s="151">
        <v>-4.0000000000000001E-3</v>
      </c>
      <c r="U457" s="1" t="s">
        <v>1958</v>
      </c>
      <c r="V457" s="151">
        <v>-4.0000000000000001E-3</v>
      </c>
      <c r="W457" s="1" t="s">
        <v>1959</v>
      </c>
      <c r="X457" s="151">
        <v>-4.0000000000000001E-3</v>
      </c>
      <c r="Y457" s="1" t="s">
        <v>1960</v>
      </c>
      <c r="Z457" s="151">
        <v>-4.0000000000000001E-3</v>
      </c>
      <c r="AA457" s="1" t="s">
        <v>1958</v>
      </c>
      <c r="AB457" s="151">
        <v>-4.0000000000000001E-3</v>
      </c>
      <c r="AC457" s="1" t="s">
        <v>1961</v>
      </c>
      <c r="AD457" s="151">
        <v>-4.0000000000000001E-3</v>
      </c>
      <c r="AE457" s="1" t="s">
        <v>3415</v>
      </c>
      <c r="AF457" s="467">
        <v>-4.0000000000000002E-4</v>
      </c>
      <c r="AG457" s="1" t="s">
        <v>1961</v>
      </c>
      <c r="AH457" s="151">
        <v>-4.0000000000000001E-3</v>
      </c>
      <c r="AI457" s="1" t="s">
        <v>1959</v>
      </c>
      <c r="AJ457" s="151">
        <v>-4.0000000000000001E-3</v>
      </c>
      <c r="AK457" s="1" t="s">
        <v>1959</v>
      </c>
      <c r="AL457" s="151">
        <v>-4.0000000000000001E-3</v>
      </c>
      <c r="AM457" s="1" t="s">
        <v>1961</v>
      </c>
      <c r="AN457" s="151">
        <v>-4.0000000000000001E-3</v>
      </c>
      <c r="AO457" s="1" t="s">
        <v>1959</v>
      </c>
      <c r="AP457" s="151">
        <v>-4.0000000000000001E-3</v>
      </c>
      <c r="AQ457" s="1" t="s">
        <v>1960</v>
      </c>
      <c r="AR457" s="151">
        <v>-4.0000000000000001E-3</v>
      </c>
      <c r="AS457" s="1" t="s">
        <v>1976</v>
      </c>
      <c r="AT457" s="467">
        <v>-4.0000000000000002E-4</v>
      </c>
      <c r="AU457" s="1" t="s">
        <v>1959</v>
      </c>
      <c r="AV457" s="151">
        <v>-4.0000000000000001E-3</v>
      </c>
      <c r="AW457" s="1" t="s">
        <v>1977</v>
      </c>
      <c r="AX457" s="467">
        <v>-4.0000000000000002E-4</v>
      </c>
      <c r="AY457" s="1" t="s">
        <v>3517</v>
      </c>
      <c r="AZ457" s="1" t="s">
        <v>1958</v>
      </c>
      <c r="BA457" s="151">
        <v>-4.0000000000000001E-3</v>
      </c>
    </row>
    <row r="458" spans="19:53">
      <c r="S458" s="1" t="s">
        <v>1959</v>
      </c>
      <c r="T458" s="151">
        <v>-4.0000000000000001E-3</v>
      </c>
      <c r="U458" s="1" t="s">
        <v>1959</v>
      </c>
      <c r="V458" s="151">
        <v>-4.0000000000000001E-3</v>
      </c>
      <c r="W458" s="1" t="s">
        <v>1960</v>
      </c>
      <c r="X458" s="151">
        <v>-4.0000000000000001E-3</v>
      </c>
      <c r="Y458" s="1" t="s">
        <v>1961</v>
      </c>
      <c r="Z458" s="151">
        <v>-4.0000000000000001E-3</v>
      </c>
      <c r="AA458" s="1" t="s">
        <v>1959</v>
      </c>
      <c r="AB458" s="151">
        <v>-4.0000000000000001E-3</v>
      </c>
      <c r="AC458" s="1" t="s">
        <v>1962</v>
      </c>
      <c r="AD458" s="151">
        <v>-4.0000000000000001E-3</v>
      </c>
      <c r="AE458" s="1" t="s">
        <v>3419</v>
      </c>
      <c r="AF458" s="467">
        <v>-4.0000000000000002E-4</v>
      </c>
      <c r="AG458" s="1" t="s">
        <v>1962</v>
      </c>
      <c r="AH458" s="151">
        <v>-4.0000000000000001E-3</v>
      </c>
      <c r="AI458" s="1" t="s">
        <v>1960</v>
      </c>
      <c r="AJ458" s="151">
        <v>-4.0000000000000001E-3</v>
      </c>
      <c r="AK458" s="1" t="s">
        <v>1960</v>
      </c>
      <c r="AL458" s="151">
        <v>-4.0000000000000001E-3</v>
      </c>
      <c r="AM458" s="1" t="s">
        <v>1962</v>
      </c>
      <c r="AN458" s="151">
        <v>-4.0000000000000001E-3</v>
      </c>
      <c r="AO458" s="1" t="s">
        <v>1960</v>
      </c>
      <c r="AP458" s="151">
        <v>-4.0000000000000001E-3</v>
      </c>
      <c r="AQ458" s="1" t="s">
        <v>1961</v>
      </c>
      <c r="AR458" s="151">
        <v>-4.0000000000000001E-3</v>
      </c>
      <c r="AS458" s="1" t="s">
        <v>1977</v>
      </c>
      <c r="AT458" s="467">
        <v>-4.0000000000000002E-4</v>
      </c>
      <c r="AU458" s="1" t="s">
        <v>1960</v>
      </c>
      <c r="AV458" s="151">
        <v>-4.0000000000000001E-3</v>
      </c>
      <c r="AW458" s="1" t="s">
        <v>3415</v>
      </c>
      <c r="AX458" s="467">
        <v>-4.0000000000000002E-4</v>
      </c>
      <c r="AY458" s="1" t="s">
        <v>1975</v>
      </c>
      <c r="AZ458" s="1" t="s">
        <v>1959</v>
      </c>
      <c r="BA458" s="151">
        <v>-4.0000000000000001E-3</v>
      </c>
    </row>
    <row r="459" spans="19:53">
      <c r="S459" s="1" t="s">
        <v>1960</v>
      </c>
      <c r="T459" s="151">
        <v>-4.0000000000000001E-3</v>
      </c>
      <c r="U459" s="1" t="s">
        <v>1960</v>
      </c>
      <c r="V459" s="151">
        <v>-4.0000000000000001E-3</v>
      </c>
      <c r="W459" s="1" t="s">
        <v>1961</v>
      </c>
      <c r="X459" s="151">
        <v>-4.0000000000000001E-3</v>
      </c>
      <c r="Y459" s="1" t="s">
        <v>1962</v>
      </c>
      <c r="Z459" s="151">
        <v>-4.0000000000000001E-3</v>
      </c>
      <c r="AA459" s="1" t="s">
        <v>1960</v>
      </c>
      <c r="AB459" s="151">
        <v>-4.0000000000000001E-3</v>
      </c>
      <c r="AC459" s="1" t="s">
        <v>1964</v>
      </c>
      <c r="AD459" s="151">
        <v>-4.0000000000000001E-3</v>
      </c>
      <c r="AE459" s="1" t="s">
        <v>3420</v>
      </c>
      <c r="AF459" s="467">
        <v>-4.0000000000000002E-4</v>
      </c>
      <c r="AG459" s="1" t="s">
        <v>1964</v>
      </c>
      <c r="AH459" s="151">
        <v>-4.0000000000000001E-3</v>
      </c>
      <c r="AI459" s="1" t="s">
        <v>1961</v>
      </c>
      <c r="AJ459" s="151">
        <v>-4.0000000000000001E-3</v>
      </c>
      <c r="AK459" s="1" t="s">
        <v>1961</v>
      </c>
      <c r="AL459" s="151">
        <v>-4.0000000000000001E-3</v>
      </c>
      <c r="AM459" s="1" t="s">
        <v>1964</v>
      </c>
      <c r="AN459" s="151">
        <v>-4.0000000000000001E-3</v>
      </c>
      <c r="AO459" s="1" t="s">
        <v>1961</v>
      </c>
      <c r="AP459" s="151">
        <v>-4.0000000000000001E-3</v>
      </c>
      <c r="AQ459" s="1" t="s">
        <v>1962</v>
      </c>
      <c r="AR459" s="151">
        <v>-4.0000000000000001E-3</v>
      </c>
      <c r="AS459" s="1" t="s">
        <v>3415</v>
      </c>
      <c r="AT459" s="467">
        <v>-4.0000000000000002E-4</v>
      </c>
      <c r="AU459" s="1" t="s">
        <v>1961</v>
      </c>
      <c r="AV459" s="151">
        <v>-4.0000000000000001E-3</v>
      </c>
      <c r="AW459" s="1" t="s">
        <v>3419</v>
      </c>
      <c r="AX459" s="467">
        <v>-4.0000000000000002E-4</v>
      </c>
      <c r="AY459" s="1" t="s">
        <v>1974</v>
      </c>
      <c r="AZ459" s="1" t="s">
        <v>1960</v>
      </c>
      <c r="BA459" s="151">
        <v>-4.0000000000000001E-3</v>
      </c>
    </row>
    <row r="460" spans="19:53">
      <c r="S460" s="1" t="s">
        <v>1961</v>
      </c>
      <c r="T460" s="151">
        <v>-4.0000000000000001E-3</v>
      </c>
      <c r="U460" s="1" t="s">
        <v>1961</v>
      </c>
      <c r="V460" s="151">
        <v>-4.0000000000000001E-3</v>
      </c>
      <c r="W460" s="1" t="s">
        <v>1962</v>
      </c>
      <c r="X460" s="151">
        <v>-4.0000000000000001E-3</v>
      </c>
      <c r="Y460" s="1" t="s">
        <v>1964</v>
      </c>
      <c r="Z460" s="151">
        <v>-4.0000000000000001E-3</v>
      </c>
      <c r="AA460" s="1" t="s">
        <v>1961</v>
      </c>
      <c r="AB460" s="151">
        <v>-4.0000000000000001E-3</v>
      </c>
      <c r="AC460" s="1" t="s">
        <v>3282</v>
      </c>
      <c r="AD460" s="151">
        <v>-4.0000000000000001E-3</v>
      </c>
      <c r="AE460" s="1" t="s">
        <v>1983</v>
      </c>
      <c r="AF460" s="467">
        <v>-4.0000000000000002E-4</v>
      </c>
      <c r="AG460" s="749" t="s">
        <v>1999</v>
      </c>
      <c r="AH460" s="151">
        <v>-4.0000000000000001E-3</v>
      </c>
      <c r="AI460" s="1" t="s">
        <v>1962</v>
      </c>
      <c r="AJ460" s="151">
        <v>-4.0000000000000001E-3</v>
      </c>
      <c r="AK460" s="1" t="s">
        <v>1962</v>
      </c>
      <c r="AL460" s="151">
        <v>-4.0000000000000001E-3</v>
      </c>
      <c r="AM460" s="1" t="s">
        <v>3282</v>
      </c>
      <c r="AN460" s="151">
        <v>-4.0000000000000001E-3</v>
      </c>
      <c r="AO460" s="1" t="s">
        <v>1962</v>
      </c>
      <c r="AP460" s="151">
        <v>-4.0000000000000001E-3</v>
      </c>
      <c r="AQ460" s="1" t="s">
        <v>1964</v>
      </c>
      <c r="AR460" s="151">
        <v>-4.0000000000000001E-3</v>
      </c>
      <c r="AS460" s="1" t="s">
        <v>3419</v>
      </c>
      <c r="AT460" s="467">
        <v>-4.0000000000000002E-4</v>
      </c>
      <c r="AU460" s="1" t="s">
        <v>1962</v>
      </c>
      <c r="AV460" s="151">
        <v>-4.0000000000000001E-3</v>
      </c>
      <c r="AW460" s="1" t="s">
        <v>3420</v>
      </c>
      <c r="AX460" s="467">
        <v>-4.0000000000000002E-4</v>
      </c>
      <c r="AY460" s="1" t="s">
        <v>1976</v>
      </c>
      <c r="AZ460" s="1" t="s">
        <v>1961</v>
      </c>
      <c r="BA460" s="151">
        <v>-4.0000000000000001E-3</v>
      </c>
    </row>
    <row r="461" spans="19:53">
      <c r="S461" s="1" t="s">
        <v>1962</v>
      </c>
      <c r="T461" s="151">
        <v>-4.0000000000000001E-3</v>
      </c>
      <c r="U461" s="1" t="s">
        <v>1962</v>
      </c>
      <c r="V461" s="151">
        <v>-4.0000000000000001E-3</v>
      </c>
      <c r="W461" s="1" t="s">
        <v>1964</v>
      </c>
      <c r="X461" s="151">
        <v>-4.0000000000000001E-3</v>
      </c>
      <c r="Y461" s="749" t="s">
        <v>1999</v>
      </c>
      <c r="Z461" s="151">
        <v>-4.0000000000000001E-3</v>
      </c>
      <c r="AA461" s="1" t="s">
        <v>1962</v>
      </c>
      <c r="AB461" s="151">
        <v>-4.0000000000000001E-3</v>
      </c>
      <c r="AC461" s="749" t="s">
        <v>1999</v>
      </c>
      <c r="AD461" s="151">
        <v>-4.0000000000000001E-3</v>
      </c>
      <c r="AE461" s="1" t="s">
        <v>1984</v>
      </c>
      <c r="AF461" s="467">
        <v>-4.0000000000000002E-4</v>
      </c>
      <c r="AG461" s="1" t="s">
        <v>492</v>
      </c>
      <c r="AH461" s="151">
        <v>-4.0000000000000001E-3</v>
      </c>
      <c r="AI461" s="1" t="s">
        <v>1964</v>
      </c>
      <c r="AJ461" s="151">
        <v>-4.0000000000000001E-3</v>
      </c>
      <c r="AK461" s="1" t="s">
        <v>1964</v>
      </c>
      <c r="AL461" s="151">
        <v>-4.0000000000000001E-3</v>
      </c>
      <c r="AM461" s="749" t="s">
        <v>1999</v>
      </c>
      <c r="AN461" s="151">
        <v>-4.0000000000000001E-3</v>
      </c>
      <c r="AO461" s="1" t="s">
        <v>1964</v>
      </c>
      <c r="AP461" s="151">
        <v>-4.0000000000000001E-3</v>
      </c>
      <c r="AQ461" s="749" t="s">
        <v>1999</v>
      </c>
      <c r="AR461" s="151">
        <v>-4.0000000000000001E-3</v>
      </c>
      <c r="AS461" s="1" t="s">
        <v>3420</v>
      </c>
      <c r="AT461" s="467">
        <v>-4.0000000000000002E-4</v>
      </c>
      <c r="AU461" s="1" t="s">
        <v>1964</v>
      </c>
      <c r="AV461" s="151">
        <v>-4.0000000000000001E-3</v>
      </c>
      <c r="AW461" s="1" t="s">
        <v>1983</v>
      </c>
      <c r="AX461" s="467">
        <v>-4.0000000000000002E-4</v>
      </c>
      <c r="AY461" s="1" t="s">
        <v>1977</v>
      </c>
      <c r="AZ461" s="1" t="s">
        <v>1962</v>
      </c>
      <c r="BA461" s="151">
        <v>-4.0000000000000001E-3</v>
      </c>
    </row>
    <row r="462" spans="19:53">
      <c r="S462" s="1" t="s">
        <v>1964</v>
      </c>
      <c r="T462" s="151">
        <v>-4.0000000000000001E-3</v>
      </c>
      <c r="U462" s="1" t="s">
        <v>1964</v>
      </c>
      <c r="V462" s="151">
        <v>-4.0000000000000001E-3</v>
      </c>
      <c r="W462" s="749" t="s">
        <v>1999</v>
      </c>
      <c r="X462" s="151">
        <v>-4.0000000000000001E-3</v>
      </c>
      <c r="Y462" s="1" t="s">
        <v>492</v>
      </c>
      <c r="Z462" s="151">
        <v>-4.0000000000000001E-3</v>
      </c>
      <c r="AA462" s="1" t="s">
        <v>1964</v>
      </c>
      <c r="AB462" s="151">
        <v>-4.0000000000000001E-3</v>
      </c>
      <c r="AC462" s="1" t="s">
        <v>492</v>
      </c>
      <c r="AD462" s="151">
        <v>-4.0000000000000001E-3</v>
      </c>
      <c r="AE462" s="749" t="s">
        <v>3418</v>
      </c>
      <c r="AF462" s="467">
        <v>-4.0000000000000002E-4</v>
      </c>
      <c r="AG462" s="1" t="s">
        <v>1966</v>
      </c>
      <c r="AH462" s="151">
        <v>-4.0000000000000001E-3</v>
      </c>
      <c r="AI462" s="749" t="s">
        <v>1999</v>
      </c>
      <c r="AJ462" s="151">
        <v>-4.0000000000000001E-3</v>
      </c>
      <c r="AK462" s="749" t="s">
        <v>1999</v>
      </c>
      <c r="AL462" s="151">
        <v>-4.0000000000000001E-3</v>
      </c>
      <c r="AM462" s="1" t="s">
        <v>492</v>
      </c>
      <c r="AN462" s="151">
        <v>-4.0000000000000001E-3</v>
      </c>
      <c r="AO462" s="749" t="s">
        <v>1999</v>
      </c>
      <c r="AP462" s="151">
        <v>-4.0000000000000001E-3</v>
      </c>
      <c r="AQ462" s="1" t="s">
        <v>492</v>
      </c>
      <c r="AR462" s="151">
        <v>-4.0000000000000001E-3</v>
      </c>
      <c r="AS462" s="1" t="s">
        <v>1983</v>
      </c>
      <c r="AT462" s="467">
        <v>-4.0000000000000002E-4</v>
      </c>
      <c r="AU462" s="749" t="s">
        <v>1999</v>
      </c>
      <c r="AV462" s="151">
        <v>-4.0000000000000001E-3</v>
      </c>
      <c r="AW462" s="1" t="s">
        <v>1984</v>
      </c>
      <c r="AX462" s="467">
        <v>-4.0000000000000002E-4</v>
      </c>
      <c r="AY462" s="1" t="s">
        <v>3415</v>
      </c>
      <c r="AZ462" s="1" t="s">
        <v>1964</v>
      </c>
      <c r="BA462" s="151">
        <v>-4.0000000000000001E-3</v>
      </c>
    </row>
    <row r="463" spans="19:53">
      <c r="S463" s="749" t="s">
        <v>1999</v>
      </c>
      <c r="T463" s="151">
        <v>-4.0000000000000001E-3</v>
      </c>
      <c r="U463" s="749" t="s">
        <v>1999</v>
      </c>
      <c r="V463" s="151">
        <v>-4.0000000000000001E-3</v>
      </c>
      <c r="W463" s="1" t="s">
        <v>492</v>
      </c>
      <c r="X463" s="151">
        <v>-4.0000000000000001E-3</v>
      </c>
      <c r="Y463" s="1" t="s">
        <v>1966</v>
      </c>
      <c r="Z463" s="151">
        <v>-4.0000000000000001E-3</v>
      </c>
      <c r="AA463" s="749" t="s">
        <v>1999</v>
      </c>
      <c r="AB463" s="151">
        <v>-4.0000000000000001E-3</v>
      </c>
      <c r="AC463" s="53" t="s">
        <v>3292</v>
      </c>
      <c r="AD463" s="173">
        <v>-4.0000000000000001E-3</v>
      </c>
      <c r="AE463" s="749" t="s">
        <v>3397</v>
      </c>
      <c r="AF463" s="151">
        <v>-4.0000000000000002E-4</v>
      </c>
      <c r="AG463" s="1" t="s">
        <v>3295</v>
      </c>
      <c r="AH463" s="151">
        <v>-4.0000000000000001E-3</v>
      </c>
      <c r="AI463" s="1" t="s">
        <v>492</v>
      </c>
      <c r="AJ463" s="151">
        <v>-4.0000000000000001E-3</v>
      </c>
      <c r="AK463" s="1" t="s">
        <v>492</v>
      </c>
      <c r="AL463" s="151">
        <v>-4.0000000000000001E-3</v>
      </c>
      <c r="AM463" s="53" t="s">
        <v>3292</v>
      </c>
      <c r="AN463" s="173">
        <v>-4.0000000000000001E-3</v>
      </c>
      <c r="AO463" s="1" t="s">
        <v>492</v>
      </c>
      <c r="AP463" s="151">
        <v>-4.0000000000000001E-3</v>
      </c>
      <c r="AQ463" s="1" t="s">
        <v>1966</v>
      </c>
      <c r="AR463" s="151">
        <v>-4.0000000000000001E-3</v>
      </c>
      <c r="AS463" s="1" t="s">
        <v>1984</v>
      </c>
      <c r="AT463" s="467">
        <v>-4.0000000000000002E-4</v>
      </c>
      <c r="AU463" s="1" t="s">
        <v>492</v>
      </c>
      <c r="AV463" s="151">
        <v>-4.0000000000000001E-3</v>
      </c>
      <c r="AW463" s="749" t="s">
        <v>3418</v>
      </c>
      <c r="AX463" s="467">
        <v>-4.0000000000000002E-4</v>
      </c>
      <c r="AY463" s="749" t="s">
        <v>3518</v>
      </c>
      <c r="AZ463" s="749" t="s">
        <v>1999</v>
      </c>
      <c r="BA463" s="151">
        <v>-4.0000000000000001E-3</v>
      </c>
    </row>
    <row r="464" spans="19:53">
      <c r="S464" s="1" t="s">
        <v>492</v>
      </c>
      <c r="T464" s="151">
        <v>-4.0000000000000001E-3</v>
      </c>
      <c r="U464" s="1" t="s">
        <v>492</v>
      </c>
      <c r="V464" s="151">
        <v>-4.0000000000000001E-3</v>
      </c>
      <c r="W464" s="1" t="s">
        <v>1966</v>
      </c>
      <c r="X464" s="151">
        <v>-4.0000000000000001E-3</v>
      </c>
      <c r="Y464" s="1" t="s">
        <v>3297</v>
      </c>
      <c r="Z464" s="151">
        <v>-4.0000000000000001E-3</v>
      </c>
      <c r="AA464" s="1" t="s">
        <v>492</v>
      </c>
      <c r="AB464" s="151">
        <v>-4.0000000000000001E-3</v>
      </c>
      <c r="AC464" s="1" t="s">
        <v>1966</v>
      </c>
      <c r="AD464" s="151">
        <v>-4.0000000000000001E-3</v>
      </c>
      <c r="AE464" s="749" t="s">
        <v>3400</v>
      </c>
      <c r="AF464" s="151">
        <v>-4.0000000000000002E-4</v>
      </c>
      <c r="AG464" s="1" t="s">
        <v>3297</v>
      </c>
      <c r="AH464" s="151">
        <v>-4.0000000000000001E-3</v>
      </c>
      <c r="AI464" s="1" t="s">
        <v>1966</v>
      </c>
      <c r="AJ464" s="151">
        <v>-4.0000000000000001E-3</v>
      </c>
      <c r="AK464" s="1" t="s">
        <v>1966</v>
      </c>
      <c r="AL464" s="151">
        <v>-4.0000000000000001E-3</v>
      </c>
      <c r="AM464" s="1" t="s">
        <v>1966</v>
      </c>
      <c r="AN464" s="151">
        <v>-4.0000000000000001E-3</v>
      </c>
      <c r="AO464" s="1" t="s">
        <v>1966</v>
      </c>
      <c r="AP464" s="151">
        <v>-4.0000000000000001E-3</v>
      </c>
      <c r="AQ464" s="1" t="s">
        <v>3295</v>
      </c>
      <c r="AR464" s="151">
        <v>-4.0000000000000001E-3</v>
      </c>
      <c r="AS464" s="749" t="s">
        <v>3418</v>
      </c>
      <c r="AT464" s="467">
        <v>-4.0000000000000002E-4</v>
      </c>
      <c r="AU464" s="1" t="s">
        <v>1966</v>
      </c>
      <c r="AV464" s="151">
        <v>-4.0000000000000001E-3</v>
      </c>
      <c r="AW464" s="749" t="s">
        <v>3397</v>
      </c>
      <c r="AX464" s="151">
        <v>-4.0000000000000002E-4</v>
      </c>
      <c r="AY464" s="749" t="s">
        <v>3519</v>
      </c>
      <c r="AZ464" s="1" t="s">
        <v>492</v>
      </c>
      <c r="BA464" s="151">
        <v>-4.0000000000000001E-3</v>
      </c>
    </row>
    <row r="465" spans="19:53">
      <c r="S465" s="1" t="s">
        <v>1966</v>
      </c>
      <c r="T465" s="151">
        <v>-4.0000000000000001E-3</v>
      </c>
      <c r="U465" s="1" t="s">
        <v>1966</v>
      </c>
      <c r="V465" s="151">
        <v>-4.0000000000000001E-3</v>
      </c>
      <c r="W465" s="1" t="s">
        <v>3297</v>
      </c>
      <c r="X465" s="151">
        <v>-4.0000000000000001E-3</v>
      </c>
      <c r="Y465" s="1" t="s">
        <v>1969</v>
      </c>
      <c r="Z465" s="151">
        <v>-4.0000000000000001E-3</v>
      </c>
      <c r="AA465" s="1" t="s">
        <v>1966</v>
      </c>
      <c r="AB465" s="151">
        <v>-4.0000000000000001E-3</v>
      </c>
      <c r="AC465" s="1" t="s">
        <v>3297</v>
      </c>
      <c r="AD465" s="151">
        <v>-4.0000000000000001E-3</v>
      </c>
      <c r="AE465" s="749" t="s">
        <v>3401</v>
      </c>
      <c r="AF465" s="151">
        <v>-4.0000000000000002E-4</v>
      </c>
      <c r="AG465" s="1" t="s">
        <v>1969</v>
      </c>
      <c r="AH465" s="151">
        <v>-4.0000000000000001E-3</v>
      </c>
      <c r="AI465" s="1" t="s">
        <v>3297</v>
      </c>
      <c r="AJ465" s="151">
        <v>-4.0000000000000001E-3</v>
      </c>
      <c r="AK465" s="1" t="s">
        <v>3297</v>
      </c>
      <c r="AL465" s="151">
        <v>-4.0000000000000001E-3</v>
      </c>
      <c r="AM465" s="1" t="s">
        <v>3297</v>
      </c>
      <c r="AN465" s="151">
        <v>-4.0000000000000001E-3</v>
      </c>
      <c r="AO465" s="1" t="s">
        <v>3297</v>
      </c>
      <c r="AP465" s="151">
        <v>-4.0000000000000001E-3</v>
      </c>
      <c r="AQ465" s="1" t="s">
        <v>3297</v>
      </c>
      <c r="AR465" s="151">
        <v>-4.0000000000000001E-3</v>
      </c>
      <c r="AS465" s="749" t="s">
        <v>3397</v>
      </c>
      <c r="AT465" s="151">
        <v>-4.0000000000000002E-4</v>
      </c>
      <c r="AU465" s="1" t="s">
        <v>3297</v>
      </c>
      <c r="AV465" s="151">
        <v>-4.0000000000000001E-3</v>
      </c>
      <c r="AW465" s="749" t="s">
        <v>3400</v>
      </c>
      <c r="AX465" s="151">
        <v>-4.0000000000000002E-4</v>
      </c>
      <c r="AY465" s="749" t="s">
        <v>3520</v>
      </c>
      <c r="AZ465" s="1" t="s">
        <v>1966</v>
      </c>
      <c r="BA465" s="151">
        <v>-4.0000000000000001E-3</v>
      </c>
    </row>
    <row r="466" spans="19:53">
      <c r="S466" s="1" t="s">
        <v>3297</v>
      </c>
      <c r="T466" s="151">
        <v>-4.0000000000000001E-3</v>
      </c>
      <c r="U466" s="1" t="s">
        <v>3297</v>
      </c>
      <c r="V466" s="151">
        <v>-4.0000000000000001E-3</v>
      </c>
      <c r="W466" s="1" t="s">
        <v>1969</v>
      </c>
      <c r="X466" s="151">
        <v>-4.0000000000000001E-3</v>
      </c>
      <c r="Y466" s="1" t="s">
        <v>3305</v>
      </c>
      <c r="Z466" s="151">
        <v>-4.0000000000000001E-3</v>
      </c>
      <c r="AA466" s="1" t="s">
        <v>3297</v>
      </c>
      <c r="AB466" s="151">
        <v>-4.0000000000000001E-3</v>
      </c>
      <c r="AC466" s="1" t="s">
        <v>1969</v>
      </c>
      <c r="AD466" s="151">
        <v>-4.0000000000000001E-3</v>
      </c>
      <c r="AE466" s="1" t="s">
        <v>1987</v>
      </c>
      <c r="AF466" s="151">
        <v>-4.0000000000000002E-4</v>
      </c>
      <c r="AG466" s="1" t="s">
        <v>3305</v>
      </c>
      <c r="AH466" s="151">
        <v>-4.0000000000000001E-3</v>
      </c>
      <c r="AI466" s="1" t="s">
        <v>1969</v>
      </c>
      <c r="AJ466" s="151">
        <v>-4.0000000000000001E-3</v>
      </c>
      <c r="AK466" s="1" t="s">
        <v>1969</v>
      </c>
      <c r="AL466" s="151">
        <v>-4.0000000000000001E-3</v>
      </c>
      <c r="AM466" s="1" t="s">
        <v>1969</v>
      </c>
      <c r="AN466" s="151">
        <v>-4.0000000000000001E-3</v>
      </c>
      <c r="AO466" s="1" t="s">
        <v>1969</v>
      </c>
      <c r="AP466" s="151">
        <v>-4.0000000000000001E-3</v>
      </c>
      <c r="AQ466" s="1" t="s">
        <v>1969</v>
      </c>
      <c r="AR466" s="151">
        <v>-4.0000000000000001E-3</v>
      </c>
      <c r="AS466" s="749" t="s">
        <v>3400</v>
      </c>
      <c r="AT466" s="151">
        <v>-4.0000000000000002E-4</v>
      </c>
      <c r="AU466" s="1" t="s">
        <v>1969</v>
      </c>
      <c r="AV466" s="151">
        <v>-4.0000000000000001E-3</v>
      </c>
      <c r="AW466" s="749" t="s">
        <v>3401</v>
      </c>
      <c r="AX466" s="151">
        <v>-4.0000000000000002E-4</v>
      </c>
      <c r="AY466" s="749" t="s">
        <v>3521</v>
      </c>
      <c r="AZ466" s="1" t="s">
        <v>3297</v>
      </c>
      <c r="BA466" s="151">
        <v>-4.0000000000000001E-3</v>
      </c>
    </row>
    <row r="467" spans="19:53">
      <c r="S467" s="1" t="s">
        <v>1969</v>
      </c>
      <c r="T467" s="151">
        <v>-4.0000000000000001E-3</v>
      </c>
      <c r="U467" s="1" t="s">
        <v>1969</v>
      </c>
      <c r="V467" s="151">
        <v>-4.0000000000000001E-3</v>
      </c>
      <c r="W467" s="1" t="s">
        <v>3305</v>
      </c>
      <c r="X467" s="151">
        <v>-4.0000000000000001E-3</v>
      </c>
      <c r="Y467" s="1" t="s">
        <v>3300</v>
      </c>
      <c r="Z467" s="151">
        <v>-4.0000000000000001E-3</v>
      </c>
      <c r="AA467" s="1" t="s">
        <v>1969</v>
      </c>
      <c r="AB467" s="151">
        <v>-4.0000000000000001E-3</v>
      </c>
      <c r="AC467" s="1" t="s">
        <v>3305</v>
      </c>
      <c r="AD467" s="151">
        <v>-4.0000000000000001E-3</v>
      </c>
      <c r="AE467" s="1" t="s">
        <v>496</v>
      </c>
      <c r="AF467" s="151">
        <v>-4.0000000000000002E-4</v>
      </c>
      <c r="AG467" s="1" t="s">
        <v>3300</v>
      </c>
      <c r="AH467" s="151">
        <v>-4.0000000000000001E-3</v>
      </c>
      <c r="AI467" s="1" t="s">
        <v>3305</v>
      </c>
      <c r="AJ467" s="151">
        <v>-4.0000000000000001E-3</v>
      </c>
      <c r="AK467" s="1" t="s">
        <v>3305</v>
      </c>
      <c r="AL467" s="151">
        <v>-4.0000000000000001E-3</v>
      </c>
      <c r="AM467" s="1" t="s">
        <v>3305</v>
      </c>
      <c r="AN467" s="151">
        <v>-4.0000000000000001E-3</v>
      </c>
      <c r="AO467" s="1" t="s">
        <v>3305</v>
      </c>
      <c r="AP467" s="151">
        <v>-4.0000000000000001E-3</v>
      </c>
      <c r="AQ467" s="1" t="s">
        <v>3305</v>
      </c>
      <c r="AR467" s="151">
        <v>-4.0000000000000001E-3</v>
      </c>
      <c r="AS467" s="749" t="s">
        <v>3401</v>
      </c>
      <c r="AT467" s="151">
        <v>-4.0000000000000002E-4</v>
      </c>
      <c r="AU467" s="1" t="s">
        <v>3305</v>
      </c>
      <c r="AV467" s="151">
        <v>-4.0000000000000001E-3</v>
      </c>
      <c r="AW467" s="749" t="s">
        <v>3405</v>
      </c>
      <c r="AX467" s="151">
        <v>-4.0000000000000002E-4</v>
      </c>
      <c r="AY467" s="749" t="s">
        <v>3529</v>
      </c>
      <c r="AZ467" s="1" t="s">
        <v>1969</v>
      </c>
      <c r="BA467" s="151">
        <v>-4.0000000000000001E-3</v>
      </c>
    </row>
    <row r="468" spans="19:53">
      <c r="S468" s="1" t="s">
        <v>3305</v>
      </c>
      <c r="T468" s="151">
        <v>-4.0000000000000001E-3</v>
      </c>
      <c r="U468" s="1" t="s">
        <v>3305</v>
      </c>
      <c r="V468" s="151">
        <v>-4.0000000000000001E-3</v>
      </c>
      <c r="W468" s="1" t="s">
        <v>3300</v>
      </c>
      <c r="X468" s="151">
        <v>-4.0000000000000001E-3</v>
      </c>
      <c r="Y468" s="1335" t="s">
        <v>3301</v>
      </c>
      <c r="Z468" s="151">
        <v>-4.0000000000000001E-3</v>
      </c>
      <c r="AA468" s="1" t="s">
        <v>3305</v>
      </c>
      <c r="AB468" s="151">
        <v>-4.0000000000000001E-3</v>
      </c>
      <c r="AC468" s="1" t="s">
        <v>3300</v>
      </c>
      <c r="AD468" s="151">
        <v>-4.0000000000000001E-3</v>
      </c>
      <c r="AE468" s="749" t="s">
        <v>3406</v>
      </c>
      <c r="AF468" s="151">
        <v>-4.0000000000000002E-4</v>
      </c>
      <c r="AG468" s="1335" t="s">
        <v>3301</v>
      </c>
      <c r="AH468" s="151">
        <v>-4.0000000000000001E-3</v>
      </c>
      <c r="AI468" s="1" t="s">
        <v>3300</v>
      </c>
      <c r="AJ468" s="151">
        <v>-4.0000000000000001E-3</v>
      </c>
      <c r="AK468" s="1" t="s">
        <v>3300</v>
      </c>
      <c r="AL468" s="151">
        <v>-4.0000000000000001E-3</v>
      </c>
      <c r="AM468" s="1" t="s">
        <v>3300</v>
      </c>
      <c r="AN468" s="151">
        <v>-4.0000000000000001E-3</v>
      </c>
      <c r="AO468" s="1" t="s">
        <v>3300</v>
      </c>
      <c r="AP468" s="151">
        <v>-4.0000000000000001E-3</v>
      </c>
      <c r="AQ468" s="1" t="s">
        <v>3300</v>
      </c>
      <c r="AR468" s="151">
        <v>-4.0000000000000001E-3</v>
      </c>
      <c r="AS468" s="1" t="s">
        <v>1987</v>
      </c>
      <c r="AT468" s="151">
        <v>-4.0000000000000002E-4</v>
      </c>
      <c r="AU468" s="1" t="s">
        <v>3300</v>
      </c>
      <c r="AV468" s="151">
        <v>-4.0000000000000001E-3</v>
      </c>
      <c r="AW468" s="1" t="s">
        <v>1987</v>
      </c>
      <c r="AX468" s="151">
        <v>-4.0000000000000002E-4</v>
      </c>
      <c r="AY468" s="749" t="s">
        <v>3522</v>
      </c>
      <c r="AZ468" s="1" t="s">
        <v>3305</v>
      </c>
      <c r="BA468" s="151">
        <v>-4.0000000000000001E-3</v>
      </c>
    </row>
    <row r="469" spans="19:53">
      <c r="S469" s="1" t="s">
        <v>3300</v>
      </c>
      <c r="T469" s="151">
        <v>-4.0000000000000001E-3</v>
      </c>
      <c r="U469" s="1" t="s">
        <v>3300</v>
      </c>
      <c r="V469" s="151">
        <v>-4.0000000000000001E-3</v>
      </c>
      <c r="W469" s="1335" t="s">
        <v>3301</v>
      </c>
      <c r="X469" s="151">
        <v>-4.0000000000000001E-3</v>
      </c>
      <c r="Y469" s="749" t="s">
        <v>3518</v>
      </c>
      <c r="Z469" s="151">
        <v>-4.0000000000000001E-3</v>
      </c>
      <c r="AA469" s="1" t="s">
        <v>3300</v>
      </c>
      <c r="AB469" s="151">
        <v>-4.0000000000000001E-3</v>
      </c>
      <c r="AC469" s="1335" t="s">
        <v>3301</v>
      </c>
      <c r="AD469" s="151">
        <v>-4.0000000000000001E-3</v>
      </c>
      <c r="AE469" s="749" t="s">
        <v>3384</v>
      </c>
      <c r="AF469" s="151">
        <v>-4.0000000000000002E-4</v>
      </c>
      <c r="AG469" s="749" t="s">
        <v>3518</v>
      </c>
      <c r="AH469" s="151">
        <v>-4.0000000000000001E-3</v>
      </c>
      <c r="AI469" s="1335" t="s">
        <v>3301</v>
      </c>
      <c r="AJ469" s="151">
        <v>-4.0000000000000001E-3</v>
      </c>
      <c r="AK469" s="1335" t="s">
        <v>3301</v>
      </c>
      <c r="AL469" s="151">
        <v>-4.0000000000000001E-3</v>
      </c>
      <c r="AM469" s="1335" t="s">
        <v>3301</v>
      </c>
      <c r="AN469" s="151">
        <v>-4.0000000000000001E-3</v>
      </c>
      <c r="AO469" s="1335" t="s">
        <v>3301</v>
      </c>
      <c r="AP469" s="151">
        <v>-4.0000000000000001E-3</v>
      </c>
      <c r="AQ469" s="1335" t="s">
        <v>3301</v>
      </c>
      <c r="AR469" s="1234">
        <v>-4.0000000000000001E-3</v>
      </c>
      <c r="AS469" s="1" t="s">
        <v>496</v>
      </c>
      <c r="AT469" s="151">
        <v>-4.0000000000000002E-4</v>
      </c>
      <c r="AU469" s="749" t="s">
        <v>3518</v>
      </c>
      <c r="AV469" s="151">
        <v>-4.0000000000000001E-3</v>
      </c>
      <c r="AW469" s="1" t="s">
        <v>496</v>
      </c>
      <c r="AX469" s="151">
        <v>-4.0000000000000002E-4</v>
      </c>
      <c r="AY469" s="1" t="s">
        <v>3419</v>
      </c>
      <c r="AZ469" s="1" t="s">
        <v>3300</v>
      </c>
      <c r="BA469" s="151">
        <v>-4.0000000000000001E-3</v>
      </c>
    </row>
    <row r="470" spans="19:53">
      <c r="S470" s="749" t="s">
        <v>3518</v>
      </c>
      <c r="T470" s="151">
        <v>-4.0000000000000001E-3</v>
      </c>
      <c r="U470" s="749" t="s">
        <v>3518</v>
      </c>
      <c r="V470" s="151">
        <v>-4.0000000000000001E-3</v>
      </c>
      <c r="W470" s="749" t="s">
        <v>3518</v>
      </c>
      <c r="X470" s="151">
        <v>-4.0000000000000001E-3</v>
      </c>
      <c r="Y470" s="749" t="s">
        <v>3519</v>
      </c>
      <c r="Z470" s="151">
        <v>-4.0000000000000001E-3</v>
      </c>
      <c r="AA470" s="749" t="s">
        <v>3518</v>
      </c>
      <c r="AB470" s="151">
        <v>-4.0000000000000001E-3</v>
      </c>
      <c r="AC470" s="749" t="s">
        <v>3518</v>
      </c>
      <c r="AD470" s="151">
        <v>-4.0000000000000001E-3</v>
      </c>
      <c r="AE470" s="1" t="s">
        <v>1989</v>
      </c>
      <c r="AF470" s="151">
        <v>-4.0000000000000002E-4</v>
      </c>
      <c r="AG470" s="749" t="s">
        <v>3519</v>
      </c>
      <c r="AH470" s="151">
        <v>-4.0000000000000001E-3</v>
      </c>
      <c r="AI470" s="749" t="s">
        <v>3518</v>
      </c>
      <c r="AJ470" s="151">
        <v>-4.0000000000000001E-3</v>
      </c>
      <c r="AK470" s="749" t="s">
        <v>3518</v>
      </c>
      <c r="AL470" s="151">
        <v>-4.0000000000000001E-3</v>
      </c>
      <c r="AM470" s="749" t="s">
        <v>3518</v>
      </c>
      <c r="AN470" s="151">
        <v>-4.0000000000000001E-3</v>
      </c>
      <c r="AO470" s="749" t="s">
        <v>3518</v>
      </c>
      <c r="AP470" s="151">
        <v>-4.0000000000000001E-3</v>
      </c>
      <c r="AQ470" s="749" t="s">
        <v>3518</v>
      </c>
      <c r="AR470" s="151">
        <v>-4.0000000000000001E-3</v>
      </c>
      <c r="AS470" s="749" t="s">
        <v>3406</v>
      </c>
      <c r="AT470" s="151">
        <v>-4.0000000000000002E-4</v>
      </c>
      <c r="AU470" s="749" t="s">
        <v>3519</v>
      </c>
      <c r="AV470" s="151">
        <v>-4.0000000000000001E-3</v>
      </c>
      <c r="AW470" s="749" t="s">
        <v>3406</v>
      </c>
      <c r="AX470" s="151">
        <v>-4.0000000000000002E-4</v>
      </c>
      <c r="AY470" s="1" t="s">
        <v>3420</v>
      </c>
      <c r="AZ470" s="1335" t="s">
        <v>3301</v>
      </c>
      <c r="BA470" s="1234">
        <v>-4.0000000000000001E-3</v>
      </c>
    </row>
    <row r="471" spans="19:53">
      <c r="S471" s="749" t="s">
        <v>3519</v>
      </c>
      <c r="T471" s="151">
        <v>-4.0000000000000001E-3</v>
      </c>
      <c r="U471" s="749" t="s">
        <v>3519</v>
      </c>
      <c r="V471" s="151">
        <v>-4.0000000000000001E-3</v>
      </c>
      <c r="W471" s="749" t="s">
        <v>3519</v>
      </c>
      <c r="X471" s="151">
        <v>-4.0000000000000001E-3</v>
      </c>
      <c r="Y471" s="749" t="s">
        <v>3520</v>
      </c>
      <c r="Z471" s="151">
        <v>-4.0000000000000001E-3</v>
      </c>
      <c r="AA471" s="749" t="s">
        <v>3519</v>
      </c>
      <c r="AB471" s="151">
        <v>-4.0000000000000001E-3</v>
      </c>
      <c r="AC471" s="749" t="s">
        <v>3519</v>
      </c>
      <c r="AD471" s="151">
        <v>-4.0000000000000001E-3</v>
      </c>
      <c r="AE471" s="1" t="s">
        <v>1990</v>
      </c>
      <c r="AF471" s="151">
        <v>-4.0000000000000002E-4</v>
      </c>
      <c r="AG471" s="749" t="s">
        <v>3520</v>
      </c>
      <c r="AH471" s="151">
        <v>-4.0000000000000001E-3</v>
      </c>
      <c r="AI471" s="749" t="s">
        <v>3519</v>
      </c>
      <c r="AJ471" s="151">
        <v>-4.0000000000000001E-3</v>
      </c>
      <c r="AK471" s="749" t="s">
        <v>3519</v>
      </c>
      <c r="AL471" s="151">
        <v>-4.0000000000000001E-3</v>
      </c>
      <c r="AM471" s="749" t="s">
        <v>3519</v>
      </c>
      <c r="AN471" s="151">
        <v>-4.0000000000000001E-3</v>
      </c>
      <c r="AO471" s="749" t="s">
        <v>3519</v>
      </c>
      <c r="AP471" s="151">
        <v>-4.0000000000000001E-3</v>
      </c>
      <c r="AQ471" s="749" t="s">
        <v>3519</v>
      </c>
      <c r="AR471" s="151">
        <v>-4.0000000000000001E-3</v>
      </c>
      <c r="AS471" s="749" t="s">
        <v>3384</v>
      </c>
      <c r="AT471" s="151">
        <v>-4.0000000000000002E-4</v>
      </c>
      <c r="AU471" s="749" t="s">
        <v>3520</v>
      </c>
      <c r="AV471" s="151">
        <v>-4.0000000000000001E-3</v>
      </c>
      <c r="AW471" s="749" t="s">
        <v>3384</v>
      </c>
      <c r="AX471" s="151">
        <v>-4.0000000000000002E-4</v>
      </c>
      <c r="AY471" s="1" t="s">
        <v>1983</v>
      </c>
      <c r="AZ471" s="749" t="s">
        <v>3518</v>
      </c>
      <c r="BA471" s="151">
        <v>-4.0000000000000001E-3</v>
      </c>
    </row>
    <row r="472" spans="19:53">
      <c r="S472" s="749" t="s">
        <v>3520</v>
      </c>
      <c r="T472" s="151">
        <v>-4.0000000000000001E-3</v>
      </c>
      <c r="U472" s="749" t="s">
        <v>3520</v>
      </c>
      <c r="V472" s="151">
        <v>-4.0000000000000001E-3</v>
      </c>
      <c r="W472" s="749" t="s">
        <v>3520</v>
      </c>
      <c r="X472" s="151">
        <v>-4.0000000000000001E-3</v>
      </c>
      <c r="Y472" s="749" t="s">
        <v>3521</v>
      </c>
      <c r="Z472" s="151">
        <v>-4.0000000000000001E-3</v>
      </c>
      <c r="AA472" s="749" t="s">
        <v>3520</v>
      </c>
      <c r="AB472" s="151">
        <v>-4.0000000000000001E-3</v>
      </c>
      <c r="AC472" s="749" t="s">
        <v>3520</v>
      </c>
      <c r="AD472" s="151">
        <v>-4.0000000000000001E-3</v>
      </c>
      <c r="AE472" s="1" t="s">
        <v>3516</v>
      </c>
      <c r="AF472" s="151">
        <v>-4.0000000000000002E-4</v>
      </c>
      <c r="AG472" s="749" t="s">
        <v>3521</v>
      </c>
      <c r="AH472" s="151">
        <v>-4.0000000000000001E-3</v>
      </c>
      <c r="AI472" s="749" t="s">
        <v>3520</v>
      </c>
      <c r="AJ472" s="151">
        <v>-4.0000000000000001E-3</v>
      </c>
      <c r="AK472" s="749" t="s">
        <v>3520</v>
      </c>
      <c r="AL472" s="151">
        <v>-4.0000000000000001E-3</v>
      </c>
      <c r="AM472" s="749" t="s">
        <v>3520</v>
      </c>
      <c r="AN472" s="151">
        <v>-4.0000000000000001E-3</v>
      </c>
      <c r="AO472" s="749" t="s">
        <v>3520</v>
      </c>
      <c r="AP472" s="151">
        <v>-4.0000000000000001E-3</v>
      </c>
      <c r="AQ472" s="749" t="s">
        <v>3520</v>
      </c>
      <c r="AR472" s="151">
        <v>-4.0000000000000001E-3</v>
      </c>
      <c r="AS472" s="1" t="s">
        <v>1989</v>
      </c>
      <c r="AT472" s="151">
        <v>-4.0000000000000002E-4</v>
      </c>
      <c r="AU472" s="749" t="s">
        <v>3521</v>
      </c>
      <c r="AV472" s="151">
        <v>-4.0000000000000001E-3</v>
      </c>
      <c r="AW472" s="1" t="s">
        <v>1989</v>
      </c>
      <c r="AX472" s="151">
        <v>-4.0000000000000002E-4</v>
      </c>
      <c r="AY472" s="1" t="s">
        <v>1984</v>
      </c>
      <c r="AZ472" s="749" t="s">
        <v>3519</v>
      </c>
      <c r="BA472" s="151">
        <v>-4.0000000000000001E-3</v>
      </c>
    </row>
    <row r="473" spans="19:53">
      <c r="S473" s="749" t="s">
        <v>3521</v>
      </c>
      <c r="T473" s="151">
        <v>-4.0000000000000001E-3</v>
      </c>
      <c r="U473" s="749" t="s">
        <v>3521</v>
      </c>
      <c r="V473" s="151">
        <v>-4.0000000000000001E-3</v>
      </c>
      <c r="W473" s="749" t="s">
        <v>3521</v>
      </c>
      <c r="X473" s="151">
        <v>-4.0000000000000001E-3</v>
      </c>
      <c r="Y473" s="749" t="s">
        <v>3529</v>
      </c>
      <c r="Z473" s="151">
        <v>-4.0000000000000001E-3</v>
      </c>
      <c r="AA473" s="749" t="s">
        <v>3521</v>
      </c>
      <c r="AB473" s="151">
        <v>-4.0000000000000001E-3</v>
      </c>
      <c r="AC473" s="749" t="s">
        <v>3521</v>
      </c>
      <c r="AD473" s="151">
        <v>-4.0000000000000001E-3</v>
      </c>
      <c r="AE473" s="1" t="s">
        <v>3407</v>
      </c>
      <c r="AF473" s="151">
        <v>-4.0000000000000002E-4</v>
      </c>
      <c r="AG473" s="749" t="s">
        <v>3529</v>
      </c>
      <c r="AH473" s="151">
        <v>-4.0000000000000001E-3</v>
      </c>
      <c r="AI473" s="749" t="s">
        <v>3521</v>
      </c>
      <c r="AJ473" s="151">
        <v>-4.0000000000000001E-3</v>
      </c>
      <c r="AK473" s="749" t="s">
        <v>3521</v>
      </c>
      <c r="AL473" s="151">
        <v>-4.0000000000000001E-3</v>
      </c>
      <c r="AM473" s="749" t="s">
        <v>3521</v>
      </c>
      <c r="AN473" s="151">
        <v>-4.0000000000000001E-3</v>
      </c>
      <c r="AO473" s="749" t="s">
        <v>3521</v>
      </c>
      <c r="AP473" s="151">
        <v>-4.0000000000000001E-3</v>
      </c>
      <c r="AQ473" s="749" t="s">
        <v>3521</v>
      </c>
      <c r="AR473" s="151">
        <v>-4.0000000000000001E-3</v>
      </c>
      <c r="AS473" s="1" t="s">
        <v>1990</v>
      </c>
      <c r="AT473" s="151">
        <v>-4.0000000000000002E-4</v>
      </c>
      <c r="AU473" s="749" t="s">
        <v>3529</v>
      </c>
      <c r="AV473" s="151">
        <v>-4.0000000000000001E-3</v>
      </c>
      <c r="AW473" s="1" t="s">
        <v>1990</v>
      </c>
      <c r="AX473" s="151">
        <v>-4.0000000000000002E-4</v>
      </c>
      <c r="AY473" s="1" t="s">
        <v>3423</v>
      </c>
      <c r="AZ473" s="749" t="s">
        <v>3520</v>
      </c>
      <c r="BA473" s="151">
        <v>-4.0000000000000001E-3</v>
      </c>
    </row>
    <row r="474" spans="19:53">
      <c r="S474" s="749" t="s">
        <v>3529</v>
      </c>
      <c r="T474" s="151">
        <v>-4.0000000000000001E-3</v>
      </c>
      <c r="U474" s="749" t="s">
        <v>3529</v>
      </c>
      <c r="V474" s="151">
        <v>-4.0000000000000001E-3</v>
      </c>
      <c r="W474" s="749" t="s">
        <v>3529</v>
      </c>
      <c r="X474" s="151">
        <v>-4.0000000000000001E-3</v>
      </c>
      <c r="Y474" s="749" t="s">
        <v>3522</v>
      </c>
      <c r="Z474" s="151">
        <v>-4.0000000000000001E-3</v>
      </c>
      <c r="AA474" s="749" t="s">
        <v>3529</v>
      </c>
      <c r="AB474" s="151">
        <v>-4.0000000000000001E-3</v>
      </c>
      <c r="AC474" s="749" t="s">
        <v>3529</v>
      </c>
      <c r="AD474" s="151">
        <v>-4.0000000000000001E-3</v>
      </c>
      <c r="AE474" s="749" t="s">
        <v>1992</v>
      </c>
      <c r="AF474" s="235">
        <v>-4.0000000000000002E-4</v>
      </c>
      <c r="AG474" s="749" t="s">
        <v>3522</v>
      </c>
      <c r="AH474" s="151">
        <v>-4.0000000000000001E-3</v>
      </c>
      <c r="AI474" s="749" t="s">
        <v>3529</v>
      </c>
      <c r="AJ474" s="151">
        <v>-4.0000000000000001E-3</v>
      </c>
      <c r="AK474" s="749" t="s">
        <v>3529</v>
      </c>
      <c r="AL474" s="151">
        <v>-4.0000000000000001E-3</v>
      </c>
      <c r="AM474" s="749" t="s">
        <v>3529</v>
      </c>
      <c r="AN474" s="151">
        <v>-4.0000000000000001E-3</v>
      </c>
      <c r="AO474" s="749" t="s">
        <v>3529</v>
      </c>
      <c r="AP474" s="151">
        <v>-4.0000000000000001E-3</v>
      </c>
      <c r="AQ474" s="749" t="s">
        <v>3529</v>
      </c>
      <c r="AR474" s="151">
        <v>-4.0000000000000001E-3</v>
      </c>
      <c r="AS474" s="1" t="s">
        <v>3516</v>
      </c>
      <c r="AT474" s="151">
        <v>-4.0000000000000002E-4</v>
      </c>
      <c r="AU474" s="749" t="s">
        <v>3522</v>
      </c>
      <c r="AV474" s="151">
        <v>-4.0000000000000001E-3</v>
      </c>
      <c r="AW474" s="1" t="s">
        <v>3516</v>
      </c>
      <c r="AX474" s="151">
        <v>-4.0000000000000002E-4</v>
      </c>
      <c r="AY474" s="749" t="s">
        <v>3418</v>
      </c>
      <c r="AZ474" s="749" t="s">
        <v>3521</v>
      </c>
      <c r="BA474" s="151">
        <v>-4.0000000000000001E-3</v>
      </c>
    </row>
    <row r="475" spans="19:53">
      <c r="S475" s="749" t="s">
        <v>3522</v>
      </c>
      <c r="T475" s="151">
        <v>-4.0000000000000001E-3</v>
      </c>
      <c r="U475" s="749" t="s">
        <v>3522</v>
      </c>
      <c r="V475" s="151">
        <v>-4.0000000000000001E-3</v>
      </c>
      <c r="W475" s="749" t="s">
        <v>3522</v>
      </c>
      <c r="X475" s="151">
        <v>-4.0000000000000001E-3</v>
      </c>
      <c r="Y475" s="749" t="s">
        <v>3397</v>
      </c>
      <c r="Z475" s="151">
        <v>-4.0000000000000001E-3</v>
      </c>
      <c r="AA475" s="749" t="s">
        <v>3522</v>
      </c>
      <c r="AB475" s="151">
        <v>-4.0000000000000001E-3</v>
      </c>
      <c r="AC475" s="749" t="s">
        <v>3522</v>
      </c>
      <c r="AD475" s="151">
        <v>-4.0000000000000001E-3</v>
      </c>
      <c r="AE475" s="1" t="s">
        <v>1993</v>
      </c>
      <c r="AF475" s="151">
        <v>-4.0000000000000002E-4</v>
      </c>
      <c r="AG475" s="749" t="s">
        <v>3397</v>
      </c>
      <c r="AH475" s="151">
        <v>-4.0000000000000001E-3</v>
      </c>
      <c r="AI475" s="749" t="s">
        <v>3522</v>
      </c>
      <c r="AJ475" s="151">
        <v>-4.0000000000000001E-3</v>
      </c>
      <c r="AK475" s="749" t="s">
        <v>3522</v>
      </c>
      <c r="AL475" s="151">
        <v>-4.0000000000000001E-3</v>
      </c>
      <c r="AM475" s="749" t="s">
        <v>3522</v>
      </c>
      <c r="AN475" s="151">
        <v>-4.0000000000000001E-3</v>
      </c>
      <c r="AO475" s="749" t="s">
        <v>3522</v>
      </c>
      <c r="AP475" s="151">
        <v>-4.0000000000000001E-3</v>
      </c>
      <c r="AQ475" s="749" t="s">
        <v>3522</v>
      </c>
      <c r="AR475" s="151">
        <v>-4.0000000000000001E-3</v>
      </c>
      <c r="AS475" s="1" t="s">
        <v>3407</v>
      </c>
      <c r="AT475" s="151">
        <v>-4.0000000000000002E-4</v>
      </c>
      <c r="AU475" s="749" t="s">
        <v>3397</v>
      </c>
      <c r="AV475" s="151">
        <v>-4.0000000000000001E-3</v>
      </c>
      <c r="AW475" s="1" t="s">
        <v>3407</v>
      </c>
      <c r="AX475" s="151">
        <v>-4.0000000000000002E-4</v>
      </c>
      <c r="AY475" s="24" t="s">
        <v>3421</v>
      </c>
      <c r="AZ475" s="492" t="s">
        <v>3529</v>
      </c>
      <c r="BA475" s="151">
        <v>-4.0000000000000001E-3</v>
      </c>
    </row>
    <row r="476" spans="19:53">
      <c r="S476" s="492" t="s">
        <v>3397</v>
      </c>
      <c r="T476" s="151">
        <v>-4.0000000000000001E-3</v>
      </c>
      <c r="U476" s="492" t="s">
        <v>3397</v>
      </c>
      <c r="V476" s="151">
        <v>-4.0000000000000001E-3</v>
      </c>
      <c r="W476" s="492" t="s">
        <v>3397</v>
      </c>
      <c r="X476" s="151">
        <v>-4.0000000000000001E-3</v>
      </c>
      <c r="Y476" s="492" t="s">
        <v>3400</v>
      </c>
      <c r="Z476" s="151">
        <v>-4.0000000000000001E-3</v>
      </c>
      <c r="AA476" s="492" t="s">
        <v>3397</v>
      </c>
      <c r="AB476" s="151">
        <v>-4.0000000000000001E-3</v>
      </c>
      <c r="AC476" s="492" t="s">
        <v>3397</v>
      </c>
      <c r="AD476" s="151">
        <v>-4.0000000000000001E-3</v>
      </c>
      <c r="AE476" s="492" t="s">
        <v>3389</v>
      </c>
      <c r="AF476" s="151">
        <v>-4.0000000000000002E-4</v>
      </c>
      <c r="AG476" s="492" t="s">
        <v>3400</v>
      </c>
      <c r="AH476" s="151">
        <v>-4.0000000000000001E-3</v>
      </c>
      <c r="AI476" s="492" t="s">
        <v>3397</v>
      </c>
      <c r="AJ476" s="151">
        <v>-4.0000000000000001E-3</v>
      </c>
      <c r="AK476" s="492" t="s">
        <v>3397</v>
      </c>
      <c r="AL476" s="151">
        <v>-4.0000000000000001E-3</v>
      </c>
      <c r="AM476" s="492" t="s">
        <v>3397</v>
      </c>
      <c r="AN476" s="151">
        <v>-4.0000000000000001E-3</v>
      </c>
      <c r="AO476" s="492" t="s">
        <v>3397</v>
      </c>
      <c r="AP476" s="151">
        <v>-4.0000000000000001E-3</v>
      </c>
      <c r="AQ476" s="492" t="s">
        <v>3397</v>
      </c>
      <c r="AR476" s="151">
        <v>-4.0000000000000001E-3</v>
      </c>
      <c r="AS476" s="492" t="s">
        <v>1992</v>
      </c>
      <c r="AT476" s="151">
        <v>-4.0000000000000002E-4</v>
      </c>
      <c r="AU476" s="492" t="s">
        <v>3400</v>
      </c>
      <c r="AV476" s="151">
        <v>-4.0000000000000001E-3</v>
      </c>
      <c r="AW476" s="492" t="s">
        <v>1992</v>
      </c>
      <c r="AX476" s="151">
        <v>-4.0000000000000002E-4</v>
      </c>
      <c r="AY476" s="749" t="s">
        <v>3397</v>
      </c>
      <c r="AZ476" s="749" t="s">
        <v>3522</v>
      </c>
      <c r="BA476" s="151">
        <v>-4.0000000000000001E-3</v>
      </c>
    </row>
    <row r="477" spans="19:53">
      <c r="S477" s="749" t="s">
        <v>3400</v>
      </c>
      <c r="T477" s="151">
        <v>-4.0000000000000001E-3</v>
      </c>
      <c r="U477" s="749" t="s">
        <v>3400</v>
      </c>
      <c r="V477" s="151">
        <v>-4.0000000000000001E-3</v>
      </c>
      <c r="W477" s="749" t="s">
        <v>3400</v>
      </c>
      <c r="X477" s="151">
        <v>-4.0000000000000001E-3</v>
      </c>
      <c r="Y477" s="749" t="s">
        <v>3401</v>
      </c>
      <c r="Z477" s="151">
        <v>-4.0000000000000001E-3</v>
      </c>
      <c r="AA477" s="749" t="s">
        <v>3400</v>
      </c>
      <c r="AB477" s="151">
        <v>-4.0000000000000001E-3</v>
      </c>
      <c r="AC477" s="749" t="s">
        <v>3400</v>
      </c>
      <c r="AD477" s="151">
        <v>-4.0000000000000001E-3</v>
      </c>
      <c r="AE477" s="749" t="s">
        <v>3392</v>
      </c>
      <c r="AF477" s="151">
        <v>-4.0000000000000002E-4</v>
      </c>
      <c r="AG477" s="749" t="s">
        <v>3401</v>
      </c>
      <c r="AH477" s="151">
        <v>-4.0000000000000001E-3</v>
      </c>
      <c r="AI477" s="749" t="s">
        <v>3400</v>
      </c>
      <c r="AJ477" s="151">
        <v>-4.0000000000000001E-3</v>
      </c>
      <c r="AK477" s="749" t="s">
        <v>3400</v>
      </c>
      <c r="AL477" s="151">
        <v>-4.0000000000000001E-3</v>
      </c>
      <c r="AM477" s="749" t="s">
        <v>3400</v>
      </c>
      <c r="AN477" s="151">
        <v>-4.0000000000000001E-3</v>
      </c>
      <c r="AO477" s="749" t="s">
        <v>3400</v>
      </c>
      <c r="AP477" s="151">
        <v>-4.0000000000000001E-3</v>
      </c>
      <c r="AQ477" s="749" t="s">
        <v>3400</v>
      </c>
      <c r="AR477" s="151">
        <v>-4.0000000000000001E-3</v>
      </c>
      <c r="AS477" s="1" t="s">
        <v>1993</v>
      </c>
      <c r="AT477" s="151">
        <v>-4.0000000000000002E-4</v>
      </c>
      <c r="AU477" s="749" t="s">
        <v>3401</v>
      </c>
      <c r="AV477" s="151">
        <v>-4.0000000000000001E-3</v>
      </c>
      <c r="AW477" s="1" t="s">
        <v>1993</v>
      </c>
      <c r="AX477" s="151">
        <v>-4.0000000000000002E-4</v>
      </c>
      <c r="AY477" s="749" t="s">
        <v>3400</v>
      </c>
      <c r="AZ477" s="749" t="s">
        <v>3397</v>
      </c>
      <c r="BA477" s="151">
        <v>-4.0000000000000001E-3</v>
      </c>
    </row>
    <row r="478" spans="19:53">
      <c r="S478" s="749" t="s">
        <v>3401</v>
      </c>
      <c r="T478" s="151">
        <v>-4.0000000000000001E-3</v>
      </c>
      <c r="U478" s="749" t="s">
        <v>3401</v>
      </c>
      <c r="V478" s="151">
        <v>-4.0000000000000001E-3</v>
      </c>
      <c r="W478" s="749" t="s">
        <v>3401</v>
      </c>
      <c r="X478" s="151">
        <v>-4.0000000000000001E-3</v>
      </c>
      <c r="Y478" s="749" t="s">
        <v>3405</v>
      </c>
      <c r="Z478" s="151">
        <v>-4.0000000000000001E-3</v>
      </c>
      <c r="AA478" s="749" t="s">
        <v>3401</v>
      </c>
      <c r="AB478" s="151">
        <v>-4.0000000000000001E-3</v>
      </c>
      <c r="AC478" s="749" t="s">
        <v>3401</v>
      </c>
      <c r="AD478" s="151">
        <v>-4.0000000000000001E-3</v>
      </c>
      <c r="AE478" s="749" t="s">
        <v>3408</v>
      </c>
      <c r="AF478" s="151">
        <v>-4.0000000000000002E-4</v>
      </c>
      <c r="AG478" s="1" t="s">
        <v>1987</v>
      </c>
      <c r="AH478" s="151">
        <v>-4.0000000000000001E-3</v>
      </c>
      <c r="AI478" s="749" t="s">
        <v>3401</v>
      </c>
      <c r="AJ478" s="151">
        <v>-4.0000000000000001E-3</v>
      </c>
      <c r="AK478" s="749" t="s">
        <v>3401</v>
      </c>
      <c r="AL478" s="151">
        <v>-4.0000000000000001E-3</v>
      </c>
      <c r="AM478" s="749" t="s">
        <v>3401</v>
      </c>
      <c r="AN478" s="151">
        <v>-4.0000000000000001E-3</v>
      </c>
      <c r="AO478" s="749" t="s">
        <v>3401</v>
      </c>
      <c r="AP478" s="151">
        <v>-4.0000000000000001E-3</v>
      </c>
      <c r="AQ478" s="749" t="s">
        <v>3401</v>
      </c>
      <c r="AR478" s="151">
        <v>-4.0000000000000001E-3</v>
      </c>
      <c r="AS478" s="749" t="s">
        <v>3389</v>
      </c>
      <c r="AT478" s="151">
        <v>-4.0000000000000002E-4</v>
      </c>
      <c r="AU478" s="749" t="s">
        <v>3405</v>
      </c>
      <c r="AV478" s="151">
        <v>-4.0000000000000001E-3</v>
      </c>
      <c r="AW478" s="749" t="s">
        <v>3389</v>
      </c>
      <c r="AX478" s="151">
        <v>-4.0000000000000002E-4</v>
      </c>
      <c r="AY478" s="749" t="s">
        <v>3401</v>
      </c>
      <c r="AZ478" s="749" t="s">
        <v>3400</v>
      </c>
      <c r="BA478" s="151">
        <v>-4.0000000000000001E-3</v>
      </c>
    </row>
    <row r="479" spans="19:53">
      <c r="S479" s="1" t="s">
        <v>1987</v>
      </c>
      <c r="T479" s="151">
        <v>-4.0000000000000001E-3</v>
      </c>
      <c r="U479" s="1" t="s">
        <v>1987</v>
      </c>
      <c r="V479" s="151">
        <v>-4.0000000000000001E-3</v>
      </c>
      <c r="W479" s="1" t="s">
        <v>1987</v>
      </c>
      <c r="X479" s="151">
        <v>-4.0000000000000001E-3</v>
      </c>
      <c r="Y479" s="1" t="s">
        <v>1987</v>
      </c>
      <c r="Z479" s="151">
        <v>-4.0000000000000001E-3</v>
      </c>
      <c r="AA479" s="1" t="s">
        <v>1987</v>
      </c>
      <c r="AB479" s="151">
        <v>-4.0000000000000001E-3</v>
      </c>
      <c r="AC479" s="1" t="s">
        <v>1987</v>
      </c>
      <c r="AD479" s="151">
        <v>-4.0000000000000001E-3</v>
      </c>
      <c r="AE479" s="749" t="s">
        <v>3409</v>
      </c>
      <c r="AF479" s="151">
        <v>-4.0000000000000002E-4</v>
      </c>
      <c r="AG479" s="1" t="s">
        <v>496</v>
      </c>
      <c r="AH479" s="151">
        <v>-4.0000000000000001E-3</v>
      </c>
      <c r="AI479" s="1" t="s">
        <v>1987</v>
      </c>
      <c r="AJ479" s="151">
        <v>-4.0000000000000001E-3</v>
      </c>
      <c r="AK479" s="1" t="s">
        <v>1987</v>
      </c>
      <c r="AL479" s="151">
        <v>-4.0000000000000001E-3</v>
      </c>
      <c r="AM479" s="1" t="s">
        <v>1987</v>
      </c>
      <c r="AN479" s="151">
        <v>-4.0000000000000001E-3</v>
      </c>
      <c r="AO479" s="1" t="s">
        <v>1987</v>
      </c>
      <c r="AP479" s="151">
        <v>-4.0000000000000001E-3</v>
      </c>
      <c r="AQ479" s="1" t="s">
        <v>1987</v>
      </c>
      <c r="AR479" s="151">
        <v>-4.0000000000000001E-3</v>
      </c>
      <c r="AS479" s="749" t="s">
        <v>3392</v>
      </c>
      <c r="AT479" s="151">
        <v>-4.0000000000000002E-4</v>
      </c>
      <c r="AU479" s="1" t="s">
        <v>1987</v>
      </c>
      <c r="AV479" s="151">
        <v>-4.0000000000000001E-3</v>
      </c>
      <c r="AW479" s="749" t="s">
        <v>3392</v>
      </c>
      <c r="AX479" s="151">
        <v>-4.0000000000000002E-4</v>
      </c>
      <c r="AY479" s="1310" t="s">
        <v>3403</v>
      </c>
      <c r="AZ479" s="749" t="s">
        <v>3401</v>
      </c>
      <c r="BA479" s="151">
        <v>-4.0000000000000001E-3</v>
      </c>
    </row>
    <row r="480" spans="19:53">
      <c r="S480" s="1" t="s">
        <v>496</v>
      </c>
      <c r="T480" s="151">
        <v>-4.0000000000000001E-3</v>
      </c>
      <c r="U480" s="1" t="s">
        <v>496</v>
      </c>
      <c r="V480" s="151">
        <v>-4.0000000000000001E-3</v>
      </c>
      <c r="W480" s="1" t="s">
        <v>496</v>
      </c>
      <c r="X480" s="151">
        <v>-4.0000000000000001E-3</v>
      </c>
      <c r="Y480" s="1" t="s">
        <v>496</v>
      </c>
      <c r="Z480" s="151">
        <v>-4.0000000000000001E-3</v>
      </c>
      <c r="AA480" s="1" t="s">
        <v>496</v>
      </c>
      <c r="AB480" s="151">
        <v>-4.0000000000000001E-3</v>
      </c>
      <c r="AC480" s="1" t="s">
        <v>496</v>
      </c>
      <c r="AD480" s="151">
        <v>-4.0000000000000001E-3</v>
      </c>
      <c r="AE480" s="1" t="s">
        <v>3395</v>
      </c>
      <c r="AF480" s="151">
        <v>-4.0000000000000002E-4</v>
      </c>
      <c r="AG480" s="749" t="s">
        <v>3406</v>
      </c>
      <c r="AH480" s="151">
        <v>-4.0000000000000001E-3</v>
      </c>
      <c r="AI480" s="1" t="s">
        <v>496</v>
      </c>
      <c r="AJ480" s="151">
        <v>-4.0000000000000001E-3</v>
      </c>
      <c r="AK480" s="1" t="s">
        <v>496</v>
      </c>
      <c r="AL480" s="151">
        <v>-4.0000000000000001E-3</v>
      </c>
      <c r="AM480" s="1" t="s">
        <v>496</v>
      </c>
      <c r="AN480" s="151">
        <v>-4.0000000000000001E-3</v>
      </c>
      <c r="AO480" s="1" t="s">
        <v>496</v>
      </c>
      <c r="AP480" s="151">
        <v>-4.0000000000000001E-3</v>
      </c>
      <c r="AQ480" s="1" t="s">
        <v>496</v>
      </c>
      <c r="AR480" s="151">
        <v>-4.0000000000000001E-3</v>
      </c>
      <c r="AS480" s="749" t="s">
        <v>3408</v>
      </c>
      <c r="AT480" s="151">
        <v>-4.0000000000000002E-4</v>
      </c>
      <c r="AU480" s="1" t="s">
        <v>496</v>
      </c>
      <c r="AV480" s="151">
        <v>-4.0000000000000001E-3</v>
      </c>
      <c r="AW480" s="749" t="s">
        <v>3408</v>
      </c>
      <c r="AX480" s="151">
        <v>-4.0000000000000002E-4</v>
      </c>
      <c r="AY480" s="749" t="s">
        <v>3404</v>
      </c>
      <c r="AZ480" s="1" t="s">
        <v>1987</v>
      </c>
      <c r="BA480" s="151">
        <v>-4.0000000000000001E-3</v>
      </c>
    </row>
    <row r="481" spans="19:53">
      <c r="S481" s="749" t="s">
        <v>3406</v>
      </c>
      <c r="T481" s="151">
        <v>-4.0000000000000001E-3</v>
      </c>
      <c r="U481" s="749" t="s">
        <v>3406</v>
      </c>
      <c r="V481" s="151">
        <v>-4.0000000000000001E-3</v>
      </c>
      <c r="W481" s="749" t="s">
        <v>3406</v>
      </c>
      <c r="X481" s="151">
        <v>-4.0000000000000001E-3</v>
      </c>
      <c r="Y481" s="749" t="s">
        <v>3406</v>
      </c>
      <c r="Z481" s="151">
        <v>-4.0000000000000001E-3</v>
      </c>
      <c r="AA481" s="749" t="s">
        <v>3406</v>
      </c>
      <c r="AB481" s="151">
        <v>-4.0000000000000001E-3</v>
      </c>
      <c r="AC481" s="749" t="s">
        <v>3406</v>
      </c>
      <c r="AD481" s="151">
        <v>-4.0000000000000001E-3</v>
      </c>
      <c r="AE481" s="1" t="s">
        <v>1997</v>
      </c>
      <c r="AF481" s="151">
        <v>-4.0000000000000002E-4</v>
      </c>
      <c r="AG481" s="749" t="s">
        <v>3384</v>
      </c>
      <c r="AH481" s="151">
        <v>-4.0000000000000001E-3</v>
      </c>
      <c r="AI481" s="749" t="s">
        <v>3406</v>
      </c>
      <c r="AJ481" s="151">
        <v>-4.0000000000000001E-3</v>
      </c>
      <c r="AK481" s="749" t="s">
        <v>3406</v>
      </c>
      <c r="AL481" s="151">
        <v>-4.0000000000000001E-3</v>
      </c>
      <c r="AM481" s="749" t="s">
        <v>3406</v>
      </c>
      <c r="AN481" s="151">
        <v>-4.0000000000000001E-3</v>
      </c>
      <c r="AO481" s="749" t="s">
        <v>3406</v>
      </c>
      <c r="AP481" s="151">
        <v>-4.0000000000000001E-3</v>
      </c>
      <c r="AQ481" s="749" t="s">
        <v>3406</v>
      </c>
      <c r="AR481" s="151">
        <v>-4.0000000000000001E-3</v>
      </c>
      <c r="AS481" s="749" t="s">
        <v>3409</v>
      </c>
      <c r="AT481" s="151">
        <v>-4.0000000000000002E-4</v>
      </c>
      <c r="AU481" s="749" t="s">
        <v>3406</v>
      </c>
      <c r="AV481" s="151">
        <v>-4.0000000000000001E-3</v>
      </c>
      <c r="AW481" s="749" t="s">
        <v>3409</v>
      </c>
      <c r="AX481" s="151">
        <v>-4.0000000000000002E-4</v>
      </c>
      <c r="AY481" s="1310" t="s">
        <v>3402</v>
      </c>
      <c r="AZ481" s="1" t="s">
        <v>496</v>
      </c>
      <c r="BA481" s="151">
        <v>-4.0000000000000001E-3</v>
      </c>
    </row>
    <row r="482" spans="19:53">
      <c r="S482" s="749" t="s">
        <v>3384</v>
      </c>
      <c r="T482" s="151">
        <v>-4.0000000000000001E-3</v>
      </c>
      <c r="U482" s="749" t="s">
        <v>3384</v>
      </c>
      <c r="V482" s="151">
        <v>-4.0000000000000001E-3</v>
      </c>
      <c r="W482" s="749" t="s">
        <v>3384</v>
      </c>
      <c r="X482" s="151">
        <v>-4.0000000000000001E-3</v>
      </c>
      <c r="Y482" s="749" t="s">
        <v>3384</v>
      </c>
      <c r="Z482" s="151">
        <v>-4.0000000000000001E-3</v>
      </c>
      <c r="AA482" s="749" t="s">
        <v>3384</v>
      </c>
      <c r="AB482" s="151">
        <v>-4.0000000000000001E-3</v>
      </c>
      <c r="AC482" s="749" t="s">
        <v>3384</v>
      </c>
      <c r="AD482" s="151">
        <v>-4.0000000000000001E-3</v>
      </c>
      <c r="AE482" s="53" t="s">
        <v>3396</v>
      </c>
      <c r="AF482" s="151">
        <v>-4.0000000000000002E-4</v>
      </c>
      <c r="AG482" s="1" t="s">
        <v>1989</v>
      </c>
      <c r="AH482" s="151">
        <v>-4.0000000000000001E-3</v>
      </c>
      <c r="AI482" s="749" t="s">
        <v>3384</v>
      </c>
      <c r="AJ482" s="151">
        <v>-4.0000000000000001E-3</v>
      </c>
      <c r="AK482" s="749" t="s">
        <v>3384</v>
      </c>
      <c r="AL482" s="151">
        <v>-4.0000000000000001E-3</v>
      </c>
      <c r="AM482" s="749" t="s">
        <v>3384</v>
      </c>
      <c r="AN482" s="151">
        <v>-4.0000000000000001E-3</v>
      </c>
      <c r="AO482" s="749" t="s">
        <v>3384</v>
      </c>
      <c r="AP482" s="151">
        <v>-4.0000000000000001E-3</v>
      </c>
      <c r="AQ482" s="749" t="s">
        <v>3384</v>
      </c>
      <c r="AR482" s="151">
        <v>-4.0000000000000001E-3</v>
      </c>
      <c r="AS482" s="1" t="s">
        <v>3395</v>
      </c>
      <c r="AT482" s="151">
        <v>-4.0000000000000002E-4</v>
      </c>
      <c r="AU482" s="749" t="s">
        <v>3384</v>
      </c>
      <c r="AV482" s="151">
        <v>-4.0000000000000001E-3</v>
      </c>
      <c r="AW482" s="1" t="s">
        <v>3395</v>
      </c>
      <c r="AX482" s="151">
        <v>-4.0000000000000002E-4</v>
      </c>
      <c r="AY482" s="749" t="s">
        <v>3405</v>
      </c>
      <c r="AZ482" s="749" t="s">
        <v>3406</v>
      </c>
      <c r="BA482" s="151">
        <v>-4.0000000000000001E-3</v>
      </c>
    </row>
    <row r="483" spans="19:53">
      <c r="S483" s="1" t="s">
        <v>1989</v>
      </c>
      <c r="T483" s="151">
        <v>-4.0000000000000001E-3</v>
      </c>
      <c r="U483" s="1" t="s">
        <v>1989</v>
      </c>
      <c r="V483" s="151">
        <v>-4.0000000000000001E-3</v>
      </c>
      <c r="W483" s="1" t="s">
        <v>1989</v>
      </c>
      <c r="X483" s="151">
        <v>-4.0000000000000001E-3</v>
      </c>
      <c r="Y483" s="1" t="s">
        <v>1989</v>
      </c>
      <c r="Z483" s="151">
        <v>-4.0000000000000001E-3</v>
      </c>
      <c r="AA483" s="1" t="s">
        <v>1989</v>
      </c>
      <c r="AB483" s="151">
        <v>-4.0000000000000001E-3</v>
      </c>
      <c r="AC483" s="1" t="s">
        <v>1989</v>
      </c>
      <c r="AD483" s="151">
        <v>-4.0000000000000001E-3</v>
      </c>
      <c r="AE483" s="1" t="s">
        <v>3463</v>
      </c>
      <c r="AF483" s="151">
        <v>-4.0000000000000001E-3</v>
      </c>
      <c r="AG483" s="1" t="s">
        <v>1990</v>
      </c>
      <c r="AH483" s="151">
        <v>-4.0000000000000001E-3</v>
      </c>
      <c r="AI483" s="1" t="s">
        <v>1989</v>
      </c>
      <c r="AJ483" s="151">
        <v>-4.0000000000000001E-3</v>
      </c>
      <c r="AK483" s="1" t="s">
        <v>1989</v>
      </c>
      <c r="AL483" s="151">
        <v>-4.0000000000000001E-3</v>
      </c>
      <c r="AM483" s="1" t="s">
        <v>1989</v>
      </c>
      <c r="AN483" s="151">
        <v>-4.0000000000000001E-3</v>
      </c>
      <c r="AO483" s="1" t="s">
        <v>1989</v>
      </c>
      <c r="AP483" s="151">
        <v>-4.0000000000000001E-3</v>
      </c>
      <c r="AQ483" s="1" t="s">
        <v>1989</v>
      </c>
      <c r="AR483" s="151">
        <v>-4.0000000000000001E-3</v>
      </c>
      <c r="AS483" s="1" t="s">
        <v>1997</v>
      </c>
      <c r="AT483" s="151">
        <v>-4.0000000000000002E-4</v>
      </c>
      <c r="AU483" s="1" t="s">
        <v>1989</v>
      </c>
      <c r="AV483" s="151">
        <v>-4.0000000000000001E-3</v>
      </c>
      <c r="AW483" s="1" t="s">
        <v>1997</v>
      </c>
      <c r="AX483" s="151">
        <v>-4.0000000000000002E-4</v>
      </c>
      <c r="AY483" s="1" t="s">
        <v>1987</v>
      </c>
      <c r="AZ483" s="749" t="s">
        <v>3384</v>
      </c>
      <c r="BA483" s="151">
        <v>-4.0000000000000001E-3</v>
      </c>
    </row>
    <row r="484" spans="19:53">
      <c r="S484" s="1" t="s">
        <v>1990</v>
      </c>
      <c r="T484" s="151">
        <v>-4.0000000000000001E-3</v>
      </c>
      <c r="U484" s="1" t="s">
        <v>1990</v>
      </c>
      <c r="V484" s="151">
        <v>-4.0000000000000001E-3</v>
      </c>
      <c r="W484" s="1" t="s">
        <v>1990</v>
      </c>
      <c r="X484" s="151">
        <v>-4.0000000000000001E-3</v>
      </c>
      <c r="Y484" s="1" t="s">
        <v>1990</v>
      </c>
      <c r="Z484" s="151">
        <v>-4.0000000000000001E-3</v>
      </c>
      <c r="AA484" s="1" t="s">
        <v>1990</v>
      </c>
      <c r="AB484" s="151">
        <v>-4.0000000000000001E-3</v>
      </c>
      <c r="AC484" s="1" t="s">
        <v>1990</v>
      </c>
      <c r="AD484" s="151">
        <v>-4.0000000000000001E-3</v>
      </c>
      <c r="AE484" s="1" t="s">
        <v>3476</v>
      </c>
      <c r="AF484" s="151">
        <v>-4.0000000000000001E-3</v>
      </c>
      <c r="AG484" s="1" t="s">
        <v>3516</v>
      </c>
      <c r="AH484" s="151">
        <v>-4.0000000000000001E-3</v>
      </c>
      <c r="AI484" s="1" t="s">
        <v>1990</v>
      </c>
      <c r="AJ484" s="151">
        <v>-4.0000000000000001E-3</v>
      </c>
      <c r="AK484" s="1" t="s">
        <v>1990</v>
      </c>
      <c r="AL484" s="151">
        <v>-4.0000000000000001E-3</v>
      </c>
      <c r="AM484" s="1" t="s">
        <v>1990</v>
      </c>
      <c r="AN484" s="151">
        <v>-4.0000000000000001E-3</v>
      </c>
      <c r="AO484" s="1" t="s">
        <v>1990</v>
      </c>
      <c r="AP484" s="151">
        <v>-4.0000000000000001E-3</v>
      </c>
      <c r="AQ484" s="1" t="s">
        <v>1990</v>
      </c>
      <c r="AR484" s="151">
        <v>-4.0000000000000001E-3</v>
      </c>
      <c r="AS484" s="53" t="s">
        <v>3396</v>
      </c>
      <c r="AT484" s="151">
        <v>-4.0000000000000002E-4</v>
      </c>
      <c r="AU484" s="1" t="s">
        <v>1990</v>
      </c>
      <c r="AV484" s="151">
        <v>-4.0000000000000001E-3</v>
      </c>
      <c r="AW484" s="53" t="s">
        <v>3396</v>
      </c>
      <c r="AX484" s="151">
        <v>-4.0000000000000002E-4</v>
      </c>
      <c r="AY484" s="1" t="s">
        <v>496</v>
      </c>
      <c r="AZ484" s="1" t="s">
        <v>1989</v>
      </c>
      <c r="BA484" s="151">
        <v>-4.0000000000000001E-3</v>
      </c>
    </row>
    <row r="485" spans="19:53">
      <c r="S485" s="1" t="s">
        <v>3516</v>
      </c>
      <c r="T485" s="151">
        <v>-4.0000000000000001E-3</v>
      </c>
      <c r="U485" s="1" t="s">
        <v>3516</v>
      </c>
      <c r="V485" s="151">
        <v>-4.0000000000000001E-3</v>
      </c>
      <c r="W485" s="1" t="s">
        <v>3516</v>
      </c>
      <c r="X485" s="151">
        <v>-4.0000000000000001E-3</v>
      </c>
      <c r="Y485" s="1" t="s">
        <v>3516</v>
      </c>
      <c r="Z485" s="151">
        <v>-4.0000000000000001E-3</v>
      </c>
      <c r="AA485" s="1" t="s">
        <v>3516</v>
      </c>
      <c r="AB485" s="151">
        <v>-4.0000000000000001E-3</v>
      </c>
      <c r="AC485" s="1" t="s">
        <v>3516</v>
      </c>
      <c r="AD485" s="151">
        <v>-4.0000000000000001E-3</v>
      </c>
      <c r="AE485" s="1" t="s">
        <v>2261</v>
      </c>
      <c r="AF485" s="151">
        <v>-4.0000000000000001E-3</v>
      </c>
      <c r="AG485" s="1" t="s">
        <v>3407</v>
      </c>
      <c r="AH485" s="151">
        <v>-4.0000000000000001E-3</v>
      </c>
      <c r="AI485" s="1" t="s">
        <v>3516</v>
      </c>
      <c r="AJ485" s="151">
        <v>-4.0000000000000001E-3</v>
      </c>
      <c r="AK485" s="1" t="s">
        <v>3516</v>
      </c>
      <c r="AL485" s="151">
        <v>-4.0000000000000001E-3</v>
      </c>
      <c r="AM485" s="1" t="s">
        <v>3516</v>
      </c>
      <c r="AN485" s="151">
        <v>-4.0000000000000001E-3</v>
      </c>
      <c r="AO485" s="1" t="s">
        <v>3516</v>
      </c>
      <c r="AP485" s="151">
        <v>-4.0000000000000001E-3</v>
      </c>
      <c r="AQ485" s="1" t="s">
        <v>3516</v>
      </c>
      <c r="AR485" s="151">
        <v>-4.0000000000000001E-3</v>
      </c>
      <c r="AS485" s="1" t="s">
        <v>3463</v>
      </c>
      <c r="AT485" s="151">
        <v>-4.0000000000000001E-3</v>
      </c>
      <c r="AU485" s="1" t="s">
        <v>3516</v>
      </c>
      <c r="AV485" s="151">
        <v>-4.0000000000000001E-3</v>
      </c>
      <c r="AW485" s="1" t="s">
        <v>3463</v>
      </c>
      <c r="AX485" s="151">
        <v>-4.0000000000000001E-3</v>
      </c>
      <c r="AY485" s="749" t="s">
        <v>3406</v>
      </c>
      <c r="AZ485" s="1" t="s">
        <v>1990</v>
      </c>
      <c r="BA485" s="151">
        <v>-4.0000000000000001E-3</v>
      </c>
    </row>
    <row r="486" spans="19:53">
      <c r="S486" s="1" t="s">
        <v>3407</v>
      </c>
      <c r="T486" s="151">
        <v>-4.0000000000000001E-3</v>
      </c>
      <c r="U486" s="1" t="s">
        <v>3407</v>
      </c>
      <c r="V486" s="151">
        <v>-4.0000000000000001E-3</v>
      </c>
      <c r="W486" s="1" t="s">
        <v>3407</v>
      </c>
      <c r="X486" s="151">
        <v>-4.0000000000000001E-3</v>
      </c>
      <c r="Y486" s="1" t="s">
        <v>3407</v>
      </c>
      <c r="Z486" s="151">
        <v>-4.0000000000000001E-3</v>
      </c>
      <c r="AA486" s="1" t="s">
        <v>3407</v>
      </c>
      <c r="AB486" s="151">
        <v>-4.0000000000000001E-3</v>
      </c>
      <c r="AC486" s="1" t="s">
        <v>3407</v>
      </c>
      <c r="AD486" s="151">
        <v>-4.0000000000000001E-3</v>
      </c>
      <c r="AE486" s="749" t="s">
        <v>3325</v>
      </c>
      <c r="AF486" s="151">
        <v>-4.0000000000000001E-3</v>
      </c>
      <c r="AG486" s="749" t="s">
        <v>1992</v>
      </c>
      <c r="AH486" s="151">
        <v>-4.0000000000000001E-3</v>
      </c>
      <c r="AI486" s="1" t="s">
        <v>3407</v>
      </c>
      <c r="AJ486" s="151">
        <v>-4.0000000000000001E-3</v>
      </c>
      <c r="AK486" s="1" t="s">
        <v>3407</v>
      </c>
      <c r="AL486" s="151">
        <v>-4.0000000000000001E-3</v>
      </c>
      <c r="AM486" s="1" t="s">
        <v>3407</v>
      </c>
      <c r="AN486" s="151">
        <v>-4.0000000000000001E-3</v>
      </c>
      <c r="AO486" s="1" t="s">
        <v>3407</v>
      </c>
      <c r="AP486" s="151">
        <v>-4.0000000000000001E-3</v>
      </c>
      <c r="AQ486" s="1" t="s">
        <v>3407</v>
      </c>
      <c r="AR486" s="151">
        <v>-4.0000000000000001E-3</v>
      </c>
      <c r="AS486" s="1" t="s">
        <v>3476</v>
      </c>
      <c r="AT486" s="151">
        <v>-4.0000000000000001E-3</v>
      </c>
      <c r="AU486" s="1" t="s">
        <v>3407</v>
      </c>
      <c r="AV486" s="151">
        <v>-4.0000000000000001E-3</v>
      </c>
      <c r="AW486" s="1" t="s">
        <v>3476</v>
      </c>
      <c r="AX486" s="151">
        <v>-4.0000000000000001E-3</v>
      </c>
      <c r="AY486" s="749" t="s">
        <v>3384</v>
      </c>
      <c r="AZ486" s="1" t="s">
        <v>3516</v>
      </c>
      <c r="BA486" s="151">
        <v>-4.0000000000000001E-3</v>
      </c>
    </row>
    <row r="487" spans="19:53">
      <c r="S487" s="749" t="s">
        <v>1992</v>
      </c>
      <c r="T487" s="151">
        <v>-4.0000000000000001E-3</v>
      </c>
      <c r="U487" s="749" t="s">
        <v>1992</v>
      </c>
      <c r="V487" s="151">
        <v>-4.0000000000000001E-3</v>
      </c>
      <c r="W487" s="749" t="s">
        <v>1992</v>
      </c>
      <c r="X487" s="151">
        <v>-4.0000000000000001E-3</v>
      </c>
      <c r="Y487" s="749" t="s">
        <v>1992</v>
      </c>
      <c r="Z487" s="151">
        <v>-4.0000000000000001E-3</v>
      </c>
      <c r="AA487" s="749" t="s">
        <v>1992</v>
      </c>
      <c r="AB487" s="151">
        <v>-4.0000000000000001E-3</v>
      </c>
      <c r="AC487" s="749" t="s">
        <v>1992</v>
      </c>
      <c r="AD487" s="151">
        <v>-4.0000000000000001E-3</v>
      </c>
      <c r="AE487" s="749" t="s">
        <v>3346</v>
      </c>
      <c r="AF487" s="151">
        <v>-4.0000000000000001E-3</v>
      </c>
      <c r="AG487" s="1" t="s">
        <v>1993</v>
      </c>
      <c r="AH487" s="151">
        <v>-4.0000000000000001E-3</v>
      </c>
      <c r="AI487" s="749" t="s">
        <v>1992</v>
      </c>
      <c r="AJ487" s="151">
        <v>-4.0000000000000001E-3</v>
      </c>
      <c r="AK487" s="749" t="s">
        <v>1992</v>
      </c>
      <c r="AL487" s="151">
        <v>-4.0000000000000001E-3</v>
      </c>
      <c r="AM487" s="749" t="s">
        <v>1992</v>
      </c>
      <c r="AN487" s="151">
        <v>-4.0000000000000001E-3</v>
      </c>
      <c r="AO487" s="749" t="s">
        <v>1992</v>
      </c>
      <c r="AP487" s="151">
        <v>-4.0000000000000001E-3</v>
      </c>
      <c r="AQ487" s="749" t="s">
        <v>1992</v>
      </c>
      <c r="AR487" s="151">
        <v>-4.0000000000000001E-3</v>
      </c>
      <c r="AS487" s="749" t="s">
        <v>3325</v>
      </c>
      <c r="AT487" s="151">
        <v>-4.0000000000000001E-3</v>
      </c>
      <c r="AU487" s="749" t="s">
        <v>1992</v>
      </c>
      <c r="AV487" s="151">
        <v>-4.0000000000000001E-3</v>
      </c>
      <c r="AW487" s="749" t="s">
        <v>3325</v>
      </c>
      <c r="AX487" s="151">
        <v>-4.0000000000000001E-3</v>
      </c>
      <c r="AY487" s="1" t="s">
        <v>1989</v>
      </c>
      <c r="AZ487" s="1" t="s">
        <v>3407</v>
      </c>
      <c r="BA487" s="151">
        <v>-4.0000000000000001E-3</v>
      </c>
    </row>
    <row r="488" spans="19:53">
      <c r="S488" s="1" t="s">
        <v>1993</v>
      </c>
      <c r="T488" s="151">
        <v>-4.0000000000000001E-3</v>
      </c>
      <c r="U488" s="1" t="s">
        <v>1993</v>
      </c>
      <c r="V488" s="151">
        <v>-4.0000000000000001E-3</v>
      </c>
      <c r="W488" s="1" t="s">
        <v>1993</v>
      </c>
      <c r="X488" s="151">
        <v>-4.0000000000000001E-3</v>
      </c>
      <c r="Y488" s="1" t="s">
        <v>1993</v>
      </c>
      <c r="Z488" s="151">
        <v>-4.0000000000000001E-3</v>
      </c>
      <c r="AA488" s="1" t="s">
        <v>1993</v>
      </c>
      <c r="AB488" s="151">
        <v>-4.0000000000000001E-3</v>
      </c>
      <c r="AC488" s="1" t="s">
        <v>1993</v>
      </c>
      <c r="AD488" s="151">
        <v>-4.0000000000000001E-3</v>
      </c>
      <c r="AE488" s="1" t="s">
        <v>3338</v>
      </c>
      <c r="AF488" s="151">
        <v>-4.0000000000000001E-3</v>
      </c>
      <c r="AG488" s="749" t="s">
        <v>3389</v>
      </c>
      <c r="AH488" s="151">
        <v>-4.0000000000000001E-3</v>
      </c>
      <c r="AI488" s="1" t="s">
        <v>1993</v>
      </c>
      <c r="AJ488" s="151">
        <v>-4.0000000000000001E-3</v>
      </c>
      <c r="AK488" s="1" t="s">
        <v>1993</v>
      </c>
      <c r="AL488" s="151">
        <v>-4.0000000000000001E-3</v>
      </c>
      <c r="AM488" s="1" t="s">
        <v>1993</v>
      </c>
      <c r="AN488" s="151">
        <v>-4.0000000000000001E-3</v>
      </c>
      <c r="AO488" s="1" t="s">
        <v>1993</v>
      </c>
      <c r="AP488" s="151">
        <v>-4.0000000000000001E-3</v>
      </c>
      <c r="AQ488" s="1" t="s">
        <v>1993</v>
      </c>
      <c r="AR488" s="151">
        <v>-4.0000000000000001E-3</v>
      </c>
      <c r="AS488" s="749" t="s">
        <v>3346</v>
      </c>
      <c r="AT488" s="151">
        <v>-4.0000000000000001E-3</v>
      </c>
      <c r="AU488" s="1" t="s">
        <v>1993</v>
      </c>
      <c r="AV488" s="151">
        <v>-4.0000000000000001E-3</v>
      </c>
      <c r="AW488" s="749" t="s">
        <v>3346</v>
      </c>
      <c r="AX488" s="151">
        <v>-4.0000000000000001E-3</v>
      </c>
      <c r="AY488" s="1" t="s">
        <v>1990</v>
      </c>
      <c r="AZ488" s="749" t="s">
        <v>1992</v>
      </c>
      <c r="BA488" s="151">
        <v>-4.0000000000000001E-3</v>
      </c>
    </row>
    <row r="489" spans="19:53">
      <c r="S489" s="749" t="s">
        <v>3389</v>
      </c>
      <c r="T489" s="151">
        <v>-4.0000000000000001E-3</v>
      </c>
      <c r="U489" s="749" t="s">
        <v>3389</v>
      </c>
      <c r="V489" s="151">
        <v>-4.0000000000000001E-3</v>
      </c>
      <c r="W489" s="749" t="s">
        <v>3389</v>
      </c>
      <c r="X489" s="151">
        <v>-4.0000000000000001E-3</v>
      </c>
      <c r="Y489" s="749" t="s">
        <v>3389</v>
      </c>
      <c r="Z489" s="151">
        <v>-4.0000000000000001E-3</v>
      </c>
      <c r="AA489" s="749" t="s">
        <v>3389</v>
      </c>
      <c r="AB489" s="151">
        <v>-4.0000000000000001E-3</v>
      </c>
      <c r="AC489" s="749" t="s">
        <v>3389</v>
      </c>
      <c r="AD489" s="151">
        <v>-4.0000000000000001E-3</v>
      </c>
      <c r="AE489" s="749" t="s">
        <v>3262</v>
      </c>
      <c r="AF489" s="151">
        <v>-4.0000000000000001E-3</v>
      </c>
      <c r="AG489" s="749" t="s">
        <v>3392</v>
      </c>
      <c r="AH489" s="151">
        <v>-4.0000000000000001E-3</v>
      </c>
      <c r="AI489" s="749" t="s">
        <v>3389</v>
      </c>
      <c r="AJ489" s="151">
        <v>-4.0000000000000001E-3</v>
      </c>
      <c r="AK489" s="749" t="s">
        <v>3389</v>
      </c>
      <c r="AL489" s="151">
        <v>-4.0000000000000001E-3</v>
      </c>
      <c r="AM489" s="749" t="s">
        <v>3389</v>
      </c>
      <c r="AN489" s="151">
        <v>-4.0000000000000001E-3</v>
      </c>
      <c r="AO489" s="749" t="s">
        <v>3389</v>
      </c>
      <c r="AP489" s="151">
        <v>-4.0000000000000001E-3</v>
      </c>
      <c r="AQ489" s="749" t="s">
        <v>3389</v>
      </c>
      <c r="AR489" s="151">
        <v>-4.0000000000000001E-3</v>
      </c>
      <c r="AS489" s="1" t="s">
        <v>3338</v>
      </c>
      <c r="AT489" s="151">
        <v>-4.0000000000000001E-3</v>
      </c>
      <c r="AU489" s="749" t="s">
        <v>3389</v>
      </c>
      <c r="AV489" s="151">
        <v>-4.0000000000000001E-3</v>
      </c>
      <c r="AW489" s="1" t="s">
        <v>3338</v>
      </c>
      <c r="AX489" s="151">
        <v>-4.0000000000000001E-3</v>
      </c>
      <c r="AY489" s="1" t="s">
        <v>3516</v>
      </c>
      <c r="AZ489" s="1" t="s">
        <v>1993</v>
      </c>
      <c r="BA489" s="151">
        <v>-4.0000000000000001E-3</v>
      </c>
    </row>
    <row r="490" spans="19:53">
      <c r="S490" s="749" t="s">
        <v>3392</v>
      </c>
      <c r="T490" s="151">
        <v>-4.0000000000000001E-3</v>
      </c>
      <c r="U490" s="749" t="s">
        <v>3392</v>
      </c>
      <c r="V490" s="151">
        <v>-4.0000000000000001E-3</v>
      </c>
      <c r="W490" s="749" t="s">
        <v>3392</v>
      </c>
      <c r="X490" s="151">
        <v>-4.0000000000000001E-3</v>
      </c>
      <c r="Y490" s="749" t="s">
        <v>3392</v>
      </c>
      <c r="Z490" s="151">
        <v>-4.0000000000000001E-3</v>
      </c>
      <c r="AA490" s="749" t="s">
        <v>3392</v>
      </c>
      <c r="AB490" s="151">
        <v>-4.0000000000000001E-3</v>
      </c>
      <c r="AC490" s="749" t="s">
        <v>3392</v>
      </c>
      <c r="AD490" s="151">
        <v>-4.0000000000000001E-3</v>
      </c>
      <c r="AE490" s="749" t="s">
        <v>3518</v>
      </c>
      <c r="AF490" s="151">
        <v>-4.0000000000000001E-3</v>
      </c>
      <c r="AG490" s="749" t="s">
        <v>3408</v>
      </c>
      <c r="AH490" s="151">
        <v>-4.0000000000000001E-3</v>
      </c>
      <c r="AI490" s="749" t="s">
        <v>3392</v>
      </c>
      <c r="AJ490" s="151">
        <v>-4.0000000000000001E-3</v>
      </c>
      <c r="AK490" s="749" t="s">
        <v>3392</v>
      </c>
      <c r="AL490" s="151">
        <v>-4.0000000000000001E-3</v>
      </c>
      <c r="AM490" s="749" t="s">
        <v>3392</v>
      </c>
      <c r="AN490" s="151">
        <v>-4.0000000000000001E-3</v>
      </c>
      <c r="AO490" s="749" t="s">
        <v>3392</v>
      </c>
      <c r="AP490" s="151">
        <v>-4.0000000000000001E-3</v>
      </c>
      <c r="AQ490" s="749" t="s">
        <v>3392</v>
      </c>
      <c r="AR490" s="151">
        <v>-4.0000000000000001E-3</v>
      </c>
      <c r="AS490" s="749" t="s">
        <v>3518</v>
      </c>
      <c r="AT490" s="151">
        <v>-4.0000000000000001E-3</v>
      </c>
      <c r="AU490" s="749" t="s">
        <v>3392</v>
      </c>
      <c r="AV490" s="151">
        <v>-4.0000000000000001E-3</v>
      </c>
      <c r="AW490" s="749" t="s">
        <v>3518</v>
      </c>
      <c r="AX490" s="151">
        <v>-4.0000000000000001E-3</v>
      </c>
      <c r="AY490" s="1" t="s">
        <v>3407</v>
      </c>
      <c r="AZ490" s="749" t="s">
        <v>3389</v>
      </c>
      <c r="BA490" s="151">
        <v>-4.0000000000000001E-3</v>
      </c>
    </row>
    <row r="491" spans="19:53">
      <c r="S491" s="749" t="s">
        <v>3408</v>
      </c>
      <c r="T491" s="151">
        <v>-4.0000000000000001E-3</v>
      </c>
      <c r="U491" s="749" t="s">
        <v>3408</v>
      </c>
      <c r="V491" s="151">
        <v>-4.0000000000000001E-3</v>
      </c>
      <c r="W491" s="749" t="s">
        <v>3408</v>
      </c>
      <c r="X491" s="151">
        <v>-4.0000000000000001E-3</v>
      </c>
      <c r="Y491" s="749" t="s">
        <v>3408</v>
      </c>
      <c r="Z491" s="151">
        <v>-4.0000000000000001E-3</v>
      </c>
      <c r="AA491" s="749" t="s">
        <v>3408</v>
      </c>
      <c r="AB491" s="151">
        <v>-4.0000000000000001E-3</v>
      </c>
      <c r="AC491" s="749" t="s">
        <v>3408</v>
      </c>
      <c r="AD491" s="151">
        <v>-4.0000000000000001E-3</v>
      </c>
      <c r="AE491" s="749" t="s">
        <v>3519</v>
      </c>
      <c r="AF491" s="151">
        <v>-4.0000000000000001E-3</v>
      </c>
      <c r="AG491" s="749" t="s">
        <v>3409</v>
      </c>
      <c r="AH491" s="151">
        <v>-4.0000000000000001E-3</v>
      </c>
      <c r="AI491" s="749" t="s">
        <v>3408</v>
      </c>
      <c r="AJ491" s="151">
        <v>-4.0000000000000001E-3</v>
      </c>
      <c r="AK491" s="749" t="s">
        <v>3408</v>
      </c>
      <c r="AL491" s="151">
        <v>-4.0000000000000001E-3</v>
      </c>
      <c r="AM491" s="749" t="s">
        <v>3408</v>
      </c>
      <c r="AN491" s="151">
        <v>-4.0000000000000001E-3</v>
      </c>
      <c r="AO491" s="749" t="s">
        <v>3408</v>
      </c>
      <c r="AP491" s="151">
        <v>-4.0000000000000001E-3</v>
      </c>
      <c r="AQ491" s="749" t="s">
        <v>3408</v>
      </c>
      <c r="AR491" s="151">
        <v>-4.0000000000000001E-3</v>
      </c>
      <c r="AS491" s="749" t="s">
        <v>3519</v>
      </c>
      <c r="AT491" s="151">
        <v>-4.0000000000000001E-3</v>
      </c>
      <c r="AU491" s="749" t="s">
        <v>3408</v>
      </c>
      <c r="AV491" s="151">
        <v>-4.0000000000000001E-3</v>
      </c>
      <c r="AW491" s="749" t="s">
        <v>3519</v>
      </c>
      <c r="AX491" s="151">
        <v>-4.0000000000000001E-3</v>
      </c>
      <c r="AY491" s="749" t="s">
        <v>1992</v>
      </c>
      <c r="AZ491" s="749" t="s">
        <v>3392</v>
      </c>
      <c r="BA491" s="151">
        <v>-4.0000000000000001E-3</v>
      </c>
    </row>
    <row r="492" spans="19:53">
      <c r="S492" s="749" t="s">
        <v>3409</v>
      </c>
      <c r="T492" s="151">
        <v>-4.0000000000000001E-3</v>
      </c>
      <c r="U492" s="749" t="s">
        <v>3409</v>
      </c>
      <c r="V492" s="151">
        <v>-4.0000000000000001E-3</v>
      </c>
      <c r="W492" s="749" t="s">
        <v>3409</v>
      </c>
      <c r="X492" s="151">
        <v>-4.0000000000000001E-3</v>
      </c>
      <c r="Y492" s="749" t="s">
        <v>3409</v>
      </c>
      <c r="Z492" s="151">
        <v>-4.0000000000000001E-3</v>
      </c>
      <c r="AA492" s="749" t="s">
        <v>3409</v>
      </c>
      <c r="AB492" s="151">
        <v>-4.0000000000000001E-3</v>
      </c>
      <c r="AC492" s="749" t="s">
        <v>3409</v>
      </c>
      <c r="AD492" s="151">
        <v>-4.0000000000000001E-3</v>
      </c>
      <c r="AE492" s="749" t="s">
        <v>3520</v>
      </c>
      <c r="AF492" s="151">
        <v>-4.0000000000000001E-3</v>
      </c>
      <c r="AG492" s="1" t="s">
        <v>3395</v>
      </c>
      <c r="AH492" s="151">
        <v>-4.0000000000000001E-3</v>
      </c>
      <c r="AI492" s="749" t="s">
        <v>3409</v>
      </c>
      <c r="AJ492" s="151">
        <v>-4.0000000000000001E-3</v>
      </c>
      <c r="AK492" s="749" t="s">
        <v>3409</v>
      </c>
      <c r="AL492" s="151">
        <v>-4.0000000000000001E-3</v>
      </c>
      <c r="AM492" s="749" t="s">
        <v>3409</v>
      </c>
      <c r="AN492" s="151">
        <v>-4.0000000000000001E-3</v>
      </c>
      <c r="AO492" s="749" t="s">
        <v>3409</v>
      </c>
      <c r="AP492" s="151">
        <v>-4.0000000000000001E-3</v>
      </c>
      <c r="AQ492" s="749" t="s">
        <v>3409</v>
      </c>
      <c r="AR492" s="151">
        <v>-4.0000000000000001E-3</v>
      </c>
      <c r="AS492" s="749" t="s">
        <v>3520</v>
      </c>
      <c r="AT492" s="151">
        <v>-4.0000000000000001E-3</v>
      </c>
      <c r="AU492" s="749" t="s">
        <v>3409</v>
      </c>
      <c r="AV492" s="151">
        <v>-4.0000000000000001E-3</v>
      </c>
      <c r="AW492" s="749" t="s">
        <v>3520</v>
      </c>
      <c r="AX492" s="151">
        <v>-4.0000000000000001E-3</v>
      </c>
      <c r="AY492" s="1" t="s">
        <v>1993</v>
      </c>
      <c r="AZ492" s="749" t="s">
        <v>3408</v>
      </c>
      <c r="BA492" s="151">
        <v>-4.0000000000000001E-3</v>
      </c>
    </row>
    <row r="493" spans="19:53">
      <c r="S493" s="1" t="s">
        <v>3395</v>
      </c>
      <c r="T493" s="151">
        <v>-4.0000000000000001E-3</v>
      </c>
      <c r="U493" s="1" t="s">
        <v>3395</v>
      </c>
      <c r="V493" s="151">
        <v>-4.0000000000000001E-3</v>
      </c>
      <c r="W493" s="1" t="s">
        <v>3395</v>
      </c>
      <c r="X493" s="151">
        <v>-4.0000000000000001E-3</v>
      </c>
      <c r="Y493" s="1" t="s">
        <v>3395</v>
      </c>
      <c r="Z493" s="151">
        <v>-4.0000000000000001E-3</v>
      </c>
      <c r="AA493" s="1" t="s">
        <v>3395</v>
      </c>
      <c r="AB493" s="151">
        <v>-4.0000000000000001E-3</v>
      </c>
      <c r="AC493" s="1" t="s">
        <v>3395</v>
      </c>
      <c r="AD493" s="151">
        <v>-4.0000000000000001E-3</v>
      </c>
      <c r="AE493" s="749" t="s">
        <v>3521</v>
      </c>
      <c r="AF493" s="151">
        <v>-4.0000000000000001E-3</v>
      </c>
      <c r="AG493" s="1" t="s">
        <v>1997</v>
      </c>
      <c r="AH493" s="151">
        <v>-4.0000000000000001E-3</v>
      </c>
      <c r="AI493" s="1" t="s">
        <v>3395</v>
      </c>
      <c r="AJ493" s="151">
        <v>-4.0000000000000001E-3</v>
      </c>
      <c r="AK493" s="1" t="s">
        <v>3395</v>
      </c>
      <c r="AL493" s="151">
        <v>-4.0000000000000001E-3</v>
      </c>
      <c r="AM493" s="1" t="s">
        <v>3395</v>
      </c>
      <c r="AN493" s="151">
        <v>-4.0000000000000001E-3</v>
      </c>
      <c r="AO493" s="1" t="s">
        <v>3395</v>
      </c>
      <c r="AP493" s="151">
        <v>-4.0000000000000001E-3</v>
      </c>
      <c r="AQ493" s="1" t="s">
        <v>3395</v>
      </c>
      <c r="AR493" s="151">
        <v>-4.0000000000000001E-3</v>
      </c>
      <c r="AS493" s="749" t="s">
        <v>3521</v>
      </c>
      <c r="AT493" s="151">
        <v>-4.0000000000000001E-3</v>
      </c>
      <c r="AU493" s="1" t="s">
        <v>3395</v>
      </c>
      <c r="AV493" s="151">
        <v>-4.0000000000000001E-3</v>
      </c>
      <c r="AW493" s="749" t="s">
        <v>3521</v>
      </c>
      <c r="AX493" s="151">
        <v>-4.0000000000000001E-3</v>
      </c>
      <c r="AY493" s="749" t="s">
        <v>3389</v>
      </c>
      <c r="AZ493" s="749" t="s">
        <v>3409</v>
      </c>
      <c r="BA493" s="151">
        <v>-4.0000000000000001E-3</v>
      </c>
    </row>
    <row r="494" spans="19:53">
      <c r="S494" s="1" t="s">
        <v>1997</v>
      </c>
      <c r="T494" s="151">
        <v>-4.0000000000000001E-3</v>
      </c>
      <c r="U494" s="1" t="s">
        <v>1997</v>
      </c>
      <c r="V494" s="151">
        <v>-4.0000000000000001E-3</v>
      </c>
      <c r="W494" s="1" t="s">
        <v>1997</v>
      </c>
      <c r="X494" s="151">
        <v>-4.0000000000000001E-3</v>
      </c>
      <c r="Y494" s="1" t="s">
        <v>1997</v>
      </c>
      <c r="Z494" s="151">
        <v>-4.0000000000000001E-3</v>
      </c>
      <c r="AA494" s="1" t="s">
        <v>1997</v>
      </c>
      <c r="AB494" s="151">
        <v>-4.0000000000000001E-3</v>
      </c>
      <c r="AC494" s="1" t="s">
        <v>1997</v>
      </c>
      <c r="AD494" s="151">
        <v>-4.0000000000000001E-3</v>
      </c>
      <c r="AE494" s="749" t="s">
        <v>3529</v>
      </c>
      <c r="AF494" s="151">
        <v>-4.0000000000000001E-3</v>
      </c>
      <c r="AG494" s="53" t="s">
        <v>3396</v>
      </c>
      <c r="AH494" s="151">
        <v>-4.0000000000000001E-3</v>
      </c>
      <c r="AI494" s="1" t="s">
        <v>1997</v>
      </c>
      <c r="AJ494" s="151">
        <v>-4.0000000000000001E-3</v>
      </c>
      <c r="AK494" s="1" t="s">
        <v>1997</v>
      </c>
      <c r="AL494" s="151">
        <v>-4.0000000000000001E-3</v>
      </c>
      <c r="AM494" s="1" t="s">
        <v>1997</v>
      </c>
      <c r="AN494" s="151">
        <v>-4.0000000000000001E-3</v>
      </c>
      <c r="AO494" s="1" t="s">
        <v>1997</v>
      </c>
      <c r="AP494" s="151">
        <v>-4.0000000000000001E-3</v>
      </c>
      <c r="AQ494" s="1" t="s">
        <v>1997</v>
      </c>
      <c r="AR494" s="151">
        <v>-4.0000000000000001E-3</v>
      </c>
      <c r="AS494" s="749" t="s">
        <v>3529</v>
      </c>
      <c r="AT494" s="151">
        <v>-4.0000000000000001E-3</v>
      </c>
      <c r="AU494" s="1" t="s">
        <v>1997</v>
      </c>
      <c r="AV494" s="151">
        <v>-4.0000000000000001E-3</v>
      </c>
      <c r="AW494" s="749" t="s">
        <v>3529</v>
      </c>
      <c r="AX494" s="151">
        <v>-4.0000000000000001E-3</v>
      </c>
      <c r="AY494" s="749" t="s">
        <v>3392</v>
      </c>
      <c r="AZ494" s="1" t="s">
        <v>1997</v>
      </c>
      <c r="BA494" s="151">
        <v>-4.0000000000000001E-3</v>
      </c>
    </row>
    <row r="495" spans="19:53">
      <c r="S495" s="53" t="s">
        <v>3396</v>
      </c>
      <c r="T495" s="151">
        <v>-4.0000000000000001E-3</v>
      </c>
      <c r="U495" s="53" t="s">
        <v>3396</v>
      </c>
      <c r="V495" s="151">
        <v>-4.0000000000000001E-3</v>
      </c>
      <c r="W495" s="53" t="s">
        <v>3396</v>
      </c>
      <c r="X495" s="151">
        <v>-4.0000000000000001E-3</v>
      </c>
      <c r="Y495" s="53" t="s">
        <v>3396</v>
      </c>
      <c r="Z495" s="151">
        <v>-4.0000000000000001E-3</v>
      </c>
      <c r="AA495" s="53" t="s">
        <v>3396</v>
      </c>
      <c r="AB495" s="151">
        <v>-4.0000000000000001E-3</v>
      </c>
      <c r="AC495" s="53" t="s">
        <v>3396</v>
      </c>
      <c r="AD495" s="151">
        <v>-4.0000000000000001E-3</v>
      </c>
      <c r="AE495" s="749" t="s">
        <v>3522</v>
      </c>
      <c r="AF495" s="151">
        <v>-4.0000000000000001E-3</v>
      </c>
      <c r="AG495" s="1233" t="s">
        <v>414</v>
      </c>
      <c r="AH495" s="49">
        <v>-0.01</v>
      </c>
      <c r="AI495" s="53" t="s">
        <v>3396</v>
      </c>
      <c r="AJ495" s="151">
        <v>-4.0000000000000001E-3</v>
      </c>
      <c r="AK495" s="53" t="s">
        <v>3396</v>
      </c>
      <c r="AL495" s="151">
        <v>-4.0000000000000001E-3</v>
      </c>
      <c r="AM495" s="53" t="s">
        <v>3396</v>
      </c>
      <c r="AN495" s="151">
        <v>-4.0000000000000001E-3</v>
      </c>
      <c r="AO495" s="53" t="s">
        <v>3396</v>
      </c>
      <c r="AP495" s="151">
        <v>-4.0000000000000001E-3</v>
      </c>
      <c r="AQ495" s="53" t="s">
        <v>3396</v>
      </c>
      <c r="AR495" s="151">
        <v>-4.0000000000000001E-3</v>
      </c>
      <c r="AS495" s="749" t="s">
        <v>3522</v>
      </c>
      <c r="AT495" s="151">
        <v>-4.0000000000000001E-3</v>
      </c>
      <c r="AU495" s="53" t="s">
        <v>3396</v>
      </c>
      <c r="AV495" s="151">
        <v>-4.0000000000000001E-3</v>
      </c>
      <c r="AW495" s="749" t="s">
        <v>3522</v>
      </c>
      <c r="AX495" s="151">
        <v>-4.0000000000000001E-3</v>
      </c>
      <c r="AY495" s="749" t="s">
        <v>3408</v>
      </c>
      <c r="AZ495" s="1" t="s">
        <v>3171</v>
      </c>
      <c r="BA495" s="4"/>
    </row>
    <row r="496" spans="19:53">
      <c r="S496" s="1" t="s">
        <v>3171</v>
      </c>
      <c r="T496" s="3"/>
      <c r="U496" s="1" t="s">
        <v>3171</v>
      </c>
      <c r="V496" s="31"/>
      <c r="W496" s="1" t="s">
        <v>3171</v>
      </c>
      <c r="X496" s="31"/>
      <c r="Y496" s="1" t="s">
        <v>3171</v>
      </c>
      <c r="Z496" s="31"/>
      <c r="AA496" s="1" t="s">
        <v>3171</v>
      </c>
      <c r="AB496" s="31"/>
      <c r="AC496" s="1" t="s">
        <v>3171</v>
      </c>
      <c r="AD496" s="31"/>
      <c r="AE496" s="1" t="s">
        <v>3171</v>
      </c>
      <c r="AF496" s="238"/>
      <c r="AG496" s="1" t="s">
        <v>3171</v>
      </c>
      <c r="AH496" s="31"/>
      <c r="AI496" s="1" t="s">
        <v>3171</v>
      </c>
      <c r="AJ496" s="31"/>
      <c r="AK496" s="1" t="s">
        <v>3171</v>
      </c>
      <c r="AL496" s="31"/>
      <c r="AM496" s="1" t="s">
        <v>3171</v>
      </c>
      <c r="AN496" s="31"/>
      <c r="AO496" s="1" t="s">
        <v>3171</v>
      </c>
      <c r="AP496" s="31"/>
      <c r="AQ496" s="1" t="s">
        <v>3171</v>
      </c>
      <c r="AR496" s="31"/>
      <c r="AS496" s="1" t="s">
        <v>3171</v>
      </c>
      <c r="AT496" s="31"/>
      <c r="AU496" s="1" t="s">
        <v>3171</v>
      </c>
      <c r="AV496" s="151"/>
      <c r="AW496" s="1" t="s">
        <v>3171</v>
      </c>
      <c r="AX496" s="151"/>
      <c r="AY496" s="749" t="s">
        <v>3409</v>
      </c>
      <c r="AZ496" s="1" t="s">
        <v>3302</v>
      </c>
      <c r="BA496" s="151"/>
    </row>
    <row r="497" spans="19:53">
      <c r="S497" s="1" t="s">
        <v>3302</v>
      </c>
      <c r="T497" s="151"/>
      <c r="U497" s="1" t="s">
        <v>3302</v>
      </c>
      <c r="V497" s="151"/>
      <c r="W497" s="1" t="s">
        <v>3302</v>
      </c>
      <c r="X497" s="151"/>
      <c r="Y497" s="1" t="s">
        <v>3302</v>
      </c>
      <c r="Z497" s="151"/>
      <c r="AA497" s="1" t="s">
        <v>3302</v>
      </c>
      <c r="AB497" s="151"/>
      <c r="AC497" s="1" t="s">
        <v>3302</v>
      </c>
      <c r="AD497" s="151"/>
      <c r="AE497" s="1" t="s">
        <v>3302</v>
      </c>
      <c r="AF497" s="151"/>
      <c r="AG497" s="1" t="s">
        <v>3302</v>
      </c>
      <c r="AH497" s="151"/>
      <c r="AI497" s="1" t="s">
        <v>3302</v>
      </c>
      <c r="AJ497" s="151"/>
      <c r="AK497" s="1" t="s">
        <v>3302</v>
      </c>
      <c r="AL497" s="151"/>
      <c r="AM497" s="1" t="s">
        <v>3302</v>
      </c>
      <c r="AN497" s="151"/>
      <c r="AO497" s="1" t="s">
        <v>3302</v>
      </c>
      <c r="AP497" s="151"/>
      <c r="AQ497" s="1" t="s">
        <v>3302</v>
      </c>
      <c r="AR497" s="151"/>
      <c r="AS497" s="1" t="s">
        <v>3302</v>
      </c>
      <c r="AT497" s="151"/>
      <c r="AU497" s="1" t="s">
        <v>3302</v>
      </c>
      <c r="AV497" s="151"/>
      <c r="AW497" s="1" t="s">
        <v>3302</v>
      </c>
      <c r="AX497" s="151"/>
      <c r="AY497" s="1" t="s">
        <v>3395</v>
      </c>
      <c r="AZ497" s="1310" t="s">
        <v>3403</v>
      </c>
      <c r="BA497" s="151"/>
    </row>
    <row r="498" spans="19:53">
      <c r="S498" s="1310" t="s">
        <v>3403</v>
      </c>
      <c r="T498" s="151"/>
      <c r="U498" s="1310" t="s">
        <v>3403</v>
      </c>
      <c r="V498" s="151"/>
      <c r="W498" s="1310" t="s">
        <v>3403</v>
      </c>
      <c r="X498" s="151"/>
      <c r="Y498" s="1310" t="s">
        <v>3403</v>
      </c>
      <c r="Z498" s="151"/>
      <c r="AA498" s="1310" t="s">
        <v>3403</v>
      </c>
      <c r="AB498" s="151"/>
      <c r="AC498" s="1310" t="s">
        <v>3403</v>
      </c>
      <c r="AD498" s="151"/>
      <c r="AE498" s="1310" t="s">
        <v>3403</v>
      </c>
      <c r="AF498" s="151"/>
      <c r="AG498" s="1310" t="s">
        <v>3403</v>
      </c>
      <c r="AH498" s="151"/>
      <c r="AI498" s="1310" t="s">
        <v>3403</v>
      </c>
      <c r="AJ498" s="151"/>
      <c r="AK498" s="1310" t="s">
        <v>3403</v>
      </c>
      <c r="AL498" s="151"/>
      <c r="AM498" s="1310" t="s">
        <v>3403</v>
      </c>
      <c r="AN498" s="151"/>
      <c r="AO498" s="1310" t="s">
        <v>3403</v>
      </c>
      <c r="AP498" s="151"/>
      <c r="AQ498" s="1310" t="s">
        <v>3403</v>
      </c>
      <c r="AR498" s="151"/>
      <c r="AS498" s="1310" t="s">
        <v>3403</v>
      </c>
      <c r="AT498" s="151"/>
      <c r="AU498" s="1310" t="s">
        <v>3403</v>
      </c>
      <c r="AV498" s="151"/>
      <c r="AW498" s="1310" t="s">
        <v>3403</v>
      </c>
      <c r="AX498" s="151"/>
      <c r="AY498" s="1" t="s">
        <v>1997</v>
      </c>
      <c r="AZ498" s="749" t="s">
        <v>3404</v>
      </c>
      <c r="BA498" s="151"/>
    </row>
    <row r="499" spans="19:53">
      <c r="S499" s="749" t="s">
        <v>3404</v>
      </c>
      <c r="T499" s="151"/>
      <c r="U499" s="749" t="s">
        <v>3404</v>
      </c>
      <c r="V499" s="151"/>
      <c r="W499" s="749" t="s">
        <v>3404</v>
      </c>
      <c r="X499" s="151"/>
      <c r="Y499" s="749" t="s">
        <v>3404</v>
      </c>
      <c r="Z499" s="151"/>
      <c r="AA499" s="749" t="s">
        <v>3404</v>
      </c>
      <c r="AB499" s="151"/>
      <c r="AC499" s="749" t="s">
        <v>3404</v>
      </c>
      <c r="AD499" s="151"/>
      <c r="AE499" s="749" t="s">
        <v>3404</v>
      </c>
      <c r="AF499" s="151"/>
      <c r="AG499" s="749" t="s">
        <v>3404</v>
      </c>
      <c r="AH499" s="151"/>
      <c r="AI499" s="749" t="s">
        <v>3404</v>
      </c>
      <c r="AJ499" s="151"/>
      <c r="AK499" s="749" t="s">
        <v>3404</v>
      </c>
      <c r="AL499" s="151"/>
      <c r="AM499" s="749" t="s">
        <v>3404</v>
      </c>
      <c r="AN499" s="151"/>
      <c r="AO499" s="749" t="s">
        <v>3404</v>
      </c>
      <c r="AP499" s="151"/>
      <c r="AQ499" s="749" t="s">
        <v>3404</v>
      </c>
      <c r="AR499" s="151"/>
      <c r="AS499" s="749" t="s">
        <v>3404</v>
      </c>
      <c r="AT499" s="151"/>
      <c r="AU499" s="749" t="s">
        <v>3404</v>
      </c>
      <c r="AV499" s="151"/>
      <c r="AW499" s="749" t="s">
        <v>3404</v>
      </c>
      <c r="AX499" s="151"/>
      <c r="AY499" s="24" t="s">
        <v>3396</v>
      </c>
      <c r="AZ499" s="1311" t="s">
        <v>3402</v>
      </c>
      <c r="BA499" s="151"/>
    </row>
    <row r="500" spans="19:53">
      <c r="S500" s="1311" t="s">
        <v>3402</v>
      </c>
      <c r="T500" s="151"/>
      <c r="U500" s="1311" t="s">
        <v>3402</v>
      </c>
      <c r="V500" s="151"/>
      <c r="W500" s="1311" t="s">
        <v>3402</v>
      </c>
      <c r="X500" s="151"/>
      <c r="Y500" s="1311" t="s">
        <v>3402</v>
      </c>
      <c r="Z500" s="151"/>
      <c r="AA500" s="1311" t="s">
        <v>3402</v>
      </c>
      <c r="AB500" s="151"/>
      <c r="AC500" s="1311" t="s">
        <v>3402</v>
      </c>
      <c r="AD500" s="151"/>
      <c r="AE500" s="1311" t="s">
        <v>3402</v>
      </c>
      <c r="AF500" s="151"/>
      <c r="AG500" s="1311" t="s">
        <v>3402</v>
      </c>
      <c r="AH500" s="151"/>
      <c r="AI500" s="1311" t="s">
        <v>3402</v>
      </c>
      <c r="AJ500" s="151"/>
      <c r="AK500" s="1311" t="s">
        <v>3402</v>
      </c>
      <c r="AL500" s="151"/>
      <c r="AM500" s="1311" t="s">
        <v>3402</v>
      </c>
      <c r="AN500" s="151"/>
      <c r="AO500" s="1311" t="s">
        <v>3402</v>
      </c>
      <c r="AP500" s="151"/>
      <c r="AQ500" s="1311" t="s">
        <v>3402</v>
      </c>
      <c r="AR500" s="151"/>
      <c r="AS500" s="1311" t="s">
        <v>3402</v>
      </c>
      <c r="AT500" s="151"/>
      <c r="AU500" s="1311" t="s">
        <v>3402</v>
      </c>
      <c r="AV500" s="151"/>
      <c r="AW500" s="1311" t="s">
        <v>3402</v>
      </c>
      <c r="AX500" s="151"/>
    </row>
    <row r="501" spans="19:53">
      <c r="S501" s="749" t="s">
        <v>2842</v>
      </c>
      <c r="T501" s="142">
        <v>-4.0000000000000002E-4</v>
      </c>
      <c r="U501" s="749" t="s">
        <v>2842</v>
      </c>
      <c r="V501" s="82" t="s">
        <v>703</v>
      </c>
      <c r="W501" s="749" t="s">
        <v>2842</v>
      </c>
      <c r="X501" s="151">
        <v>-4.0000000000000001E-3</v>
      </c>
      <c r="Y501" s="749" t="s">
        <v>2842</v>
      </c>
      <c r="Z501" s="82" t="s">
        <v>702</v>
      </c>
      <c r="AA501" s="749" t="s">
        <v>2842</v>
      </c>
      <c r="AB501" s="151">
        <v>-4.0000000000000001E-3</v>
      </c>
      <c r="AC501" s="749" t="s">
        <v>2842</v>
      </c>
      <c r="AD501" s="82" t="s">
        <v>704</v>
      </c>
      <c r="AE501" s="749" t="s">
        <v>2842</v>
      </c>
      <c r="AF501" s="151">
        <v>-4.0000000000000001E-3</v>
      </c>
      <c r="AG501" s="749" t="s">
        <v>2842</v>
      </c>
      <c r="AH501" s="249" t="s">
        <v>707</v>
      </c>
      <c r="AI501" s="749" t="s">
        <v>2842</v>
      </c>
      <c r="AJ501" s="151">
        <v>-4.0000000000000001E-3</v>
      </c>
      <c r="AK501" s="749" t="s">
        <v>2842</v>
      </c>
      <c r="AL501" s="248" t="s">
        <v>691</v>
      </c>
      <c r="AM501" s="749" t="s">
        <v>2842</v>
      </c>
      <c r="AN501" s="151">
        <v>-4.0000000000000001E-3</v>
      </c>
      <c r="AO501" s="749" t="s">
        <v>2842</v>
      </c>
      <c r="AP501" s="248" t="s">
        <v>693</v>
      </c>
      <c r="AQ501" s="749" t="s">
        <v>2842</v>
      </c>
      <c r="AR501" s="151">
        <v>-4.0000000000000001E-3</v>
      </c>
      <c r="AS501" s="749" t="s">
        <v>2842</v>
      </c>
      <c r="AT501" s="82" t="s">
        <v>703</v>
      </c>
      <c r="AU501" s="749" t="s">
        <v>2842</v>
      </c>
      <c r="AV501" s="151">
        <v>-4.0000000000000001E-3</v>
      </c>
      <c r="AW501" s="749" t="s">
        <v>2842</v>
      </c>
      <c r="AX501" s="82" t="s">
        <v>702</v>
      </c>
    </row>
    <row r="502" spans="19:53">
      <c r="S502" s="749" t="s">
        <v>2842</v>
      </c>
      <c r="T502" s="142">
        <v>-4.0000000000000002E-4</v>
      </c>
      <c r="U502" s="749" t="s">
        <v>2842</v>
      </c>
      <c r="V502" s="82" t="s">
        <v>704</v>
      </c>
      <c r="W502" s="749" t="s">
        <v>2842</v>
      </c>
      <c r="X502" s="151">
        <v>-4.0000000000000001E-3</v>
      </c>
      <c r="Y502" s="749" t="s">
        <v>2842</v>
      </c>
      <c r="Z502" s="249" t="s">
        <v>136</v>
      </c>
      <c r="AA502" s="749" t="s">
        <v>2842</v>
      </c>
      <c r="AB502" s="151">
        <v>-4.0000000000000001E-3</v>
      </c>
      <c r="AC502" s="749" t="s">
        <v>2842</v>
      </c>
      <c r="AD502" s="248" t="s">
        <v>705</v>
      </c>
      <c r="AE502" s="749" t="s">
        <v>2842</v>
      </c>
      <c r="AF502" s="151">
        <v>-4.0000000000000001E-3</v>
      </c>
      <c r="AG502" s="749" t="s">
        <v>2842</v>
      </c>
      <c r="AH502" s="248" t="s">
        <v>708</v>
      </c>
      <c r="AI502" s="749" t="s">
        <v>2842</v>
      </c>
      <c r="AJ502" s="151">
        <v>-4.0000000000000001E-3</v>
      </c>
      <c r="AK502" s="749" t="s">
        <v>2842</v>
      </c>
      <c r="AL502" s="82" t="s">
        <v>692</v>
      </c>
      <c r="AM502" s="749" t="s">
        <v>2842</v>
      </c>
      <c r="AN502" s="151">
        <v>-4.0000000000000001E-3</v>
      </c>
      <c r="AO502" s="749" t="s">
        <v>2842</v>
      </c>
      <c r="AP502" s="248" t="s">
        <v>694</v>
      </c>
      <c r="AQ502" s="749" t="s">
        <v>2842</v>
      </c>
      <c r="AR502" s="151">
        <v>-4.0000000000000001E-3</v>
      </c>
      <c r="AS502" s="749" t="s">
        <v>2842</v>
      </c>
      <c r="AT502" s="82" t="s">
        <v>704</v>
      </c>
      <c r="AU502" s="749" t="s">
        <v>2842</v>
      </c>
      <c r="AV502" s="151">
        <v>-4.0000000000000001E-3</v>
      </c>
      <c r="AW502" s="749" t="s">
        <v>2842</v>
      </c>
      <c r="AX502" s="249" t="s">
        <v>136</v>
      </c>
    </row>
    <row r="503" spans="19:53">
      <c r="S503" s="749" t="s">
        <v>2842</v>
      </c>
      <c r="T503" s="142">
        <v>-4.0000000000000002E-4</v>
      </c>
      <c r="U503" s="749" t="s">
        <v>2842</v>
      </c>
      <c r="V503" s="248" t="s">
        <v>705</v>
      </c>
      <c r="W503" s="749" t="s">
        <v>2842</v>
      </c>
      <c r="X503" s="151">
        <v>-4.0000000000000001E-3</v>
      </c>
      <c r="Y503" s="749" t="s">
        <v>2842</v>
      </c>
      <c r="Z503" s="82" t="s">
        <v>703</v>
      </c>
      <c r="AA503" s="749" t="s">
        <v>2842</v>
      </c>
      <c r="AB503" s="151">
        <v>-4.0000000000000001E-3</v>
      </c>
      <c r="AC503" s="749" t="s">
        <v>2842</v>
      </c>
      <c r="AD503" s="248" t="s">
        <v>706</v>
      </c>
      <c r="AE503" s="749" t="s">
        <v>2842</v>
      </c>
      <c r="AF503" s="151">
        <v>-4.0000000000000001E-3</v>
      </c>
      <c r="AG503" s="749" t="s">
        <v>2842</v>
      </c>
      <c r="AH503" s="248" t="s">
        <v>709</v>
      </c>
      <c r="AI503" s="749" t="s">
        <v>2842</v>
      </c>
      <c r="AJ503" s="151">
        <v>-4.0000000000000001E-3</v>
      </c>
      <c r="AK503" s="749" t="s">
        <v>2842</v>
      </c>
      <c r="AL503" s="248" t="s">
        <v>693</v>
      </c>
      <c r="AM503" s="749" t="s">
        <v>2842</v>
      </c>
      <c r="AN503" s="151">
        <v>-4.0000000000000001E-3</v>
      </c>
      <c r="AO503" s="749" t="s">
        <v>2842</v>
      </c>
      <c r="AP503" s="248" t="s">
        <v>695</v>
      </c>
      <c r="AQ503" s="749" t="s">
        <v>2842</v>
      </c>
      <c r="AR503" s="151">
        <v>-4.0000000000000001E-3</v>
      </c>
      <c r="AS503" s="749" t="s">
        <v>2842</v>
      </c>
      <c r="AT503" s="248" t="s">
        <v>705</v>
      </c>
      <c r="AU503" s="749" t="s">
        <v>2842</v>
      </c>
      <c r="AV503" s="151">
        <v>-4.0000000000000001E-3</v>
      </c>
      <c r="AW503" s="749" t="s">
        <v>2842</v>
      </c>
      <c r="AX503" s="82" t="s">
        <v>703</v>
      </c>
    </row>
    <row r="504" spans="19:53">
      <c r="S504" s="749" t="s">
        <v>2842</v>
      </c>
      <c r="T504" s="142">
        <v>-4.0000000000000002E-4</v>
      </c>
      <c r="U504" s="749" t="s">
        <v>2842</v>
      </c>
      <c r="V504" s="248" t="s">
        <v>706</v>
      </c>
      <c r="W504" s="749" t="s">
        <v>2842</v>
      </c>
      <c r="X504" s="151">
        <v>-4.0000000000000001E-3</v>
      </c>
      <c r="Y504" s="749" t="s">
        <v>2842</v>
      </c>
      <c r="Z504" s="82" t="s">
        <v>704</v>
      </c>
      <c r="AA504" s="749" t="s">
        <v>2842</v>
      </c>
      <c r="AB504" s="151">
        <v>-4.0000000000000001E-3</v>
      </c>
      <c r="AC504" s="749" t="s">
        <v>2842</v>
      </c>
      <c r="AD504" s="249" t="s">
        <v>707</v>
      </c>
      <c r="AE504" s="749" t="s">
        <v>2842</v>
      </c>
      <c r="AF504" s="151">
        <v>-4.0000000000000001E-3</v>
      </c>
      <c r="AG504" s="749" t="s">
        <v>2842</v>
      </c>
      <c r="AH504" s="248" t="s">
        <v>710</v>
      </c>
      <c r="AI504" s="749" t="s">
        <v>2842</v>
      </c>
      <c r="AJ504" s="151">
        <v>-4.0000000000000001E-3</v>
      </c>
      <c r="AK504" s="749" t="s">
        <v>2842</v>
      </c>
      <c r="AL504" s="248" t="s">
        <v>694</v>
      </c>
      <c r="AM504" s="749" t="s">
        <v>2842</v>
      </c>
      <c r="AN504" s="151">
        <v>-4.0000000000000001E-3</v>
      </c>
      <c r="AO504" s="749" t="s">
        <v>2842</v>
      </c>
      <c r="AP504" s="248" t="s">
        <v>696</v>
      </c>
      <c r="AQ504" s="749" t="s">
        <v>2842</v>
      </c>
      <c r="AR504" s="151">
        <v>-4.0000000000000001E-3</v>
      </c>
      <c r="AS504" s="749" t="s">
        <v>2842</v>
      </c>
      <c r="AT504" s="248" t="s">
        <v>706</v>
      </c>
      <c r="AU504" s="749" t="s">
        <v>2842</v>
      </c>
      <c r="AV504" s="151">
        <v>-4.0000000000000001E-3</v>
      </c>
      <c r="AW504" s="749" t="s">
        <v>2842</v>
      </c>
      <c r="AX504" s="82" t="s">
        <v>704</v>
      </c>
    </row>
    <row r="505" spans="19:53">
      <c r="S505" s="749" t="s">
        <v>2842</v>
      </c>
      <c r="T505" s="142">
        <v>-4.0000000000000002E-4</v>
      </c>
      <c r="U505" s="749" t="s">
        <v>2842</v>
      </c>
      <c r="V505" s="249" t="s">
        <v>707</v>
      </c>
      <c r="W505" s="749" t="s">
        <v>2842</v>
      </c>
      <c r="X505" s="151">
        <v>-4.0000000000000001E-3</v>
      </c>
      <c r="Y505" s="749" t="s">
        <v>2842</v>
      </c>
      <c r="Z505" s="248" t="s">
        <v>705</v>
      </c>
      <c r="AA505" s="749" t="s">
        <v>2842</v>
      </c>
      <c r="AB505" s="151">
        <v>-4.0000000000000001E-3</v>
      </c>
      <c r="AC505" s="749" t="s">
        <v>2842</v>
      </c>
      <c r="AD505" s="248" t="s">
        <v>708</v>
      </c>
      <c r="AE505" s="749" t="s">
        <v>2842</v>
      </c>
      <c r="AF505" s="151">
        <v>-4.0000000000000001E-3</v>
      </c>
      <c r="AG505" s="749" t="s">
        <v>2842</v>
      </c>
      <c r="AH505" s="248" t="s">
        <v>711</v>
      </c>
      <c r="AI505" s="749" t="s">
        <v>2842</v>
      </c>
      <c r="AJ505" s="151">
        <v>-4.0000000000000001E-3</v>
      </c>
      <c r="AK505" s="749" t="s">
        <v>2842</v>
      </c>
      <c r="AL505" s="248" t="s">
        <v>695</v>
      </c>
      <c r="AM505" s="749" t="s">
        <v>2842</v>
      </c>
      <c r="AN505" s="151">
        <v>-4.0000000000000001E-3</v>
      </c>
      <c r="AO505" s="749" t="s">
        <v>2842</v>
      </c>
      <c r="AP505" s="82" t="s">
        <v>164</v>
      </c>
      <c r="AQ505" s="749" t="s">
        <v>2842</v>
      </c>
      <c r="AR505" s="151">
        <v>-4.0000000000000001E-3</v>
      </c>
      <c r="AS505" s="749" t="s">
        <v>2842</v>
      </c>
      <c r="AT505" s="249" t="s">
        <v>707</v>
      </c>
      <c r="AU505" s="749" t="s">
        <v>2842</v>
      </c>
      <c r="AV505" s="151">
        <v>-4.0000000000000001E-3</v>
      </c>
      <c r="AW505" s="749" t="s">
        <v>2842</v>
      </c>
      <c r="AX505" s="248" t="s">
        <v>705</v>
      </c>
    </row>
    <row r="506" spans="19:53">
      <c r="S506" s="749" t="s">
        <v>2842</v>
      </c>
      <c r="T506" s="142">
        <v>-4.0000000000000002E-4</v>
      </c>
      <c r="U506" s="749" t="s">
        <v>2842</v>
      </c>
      <c r="V506" s="248" t="s">
        <v>708</v>
      </c>
      <c r="W506" s="749" t="s">
        <v>2842</v>
      </c>
      <c r="X506" s="151">
        <v>-4.0000000000000001E-3</v>
      </c>
      <c r="Y506" s="749" t="s">
        <v>2842</v>
      </c>
      <c r="Z506" s="248" t="s">
        <v>706</v>
      </c>
      <c r="AA506" s="749" t="s">
        <v>2842</v>
      </c>
      <c r="AB506" s="151">
        <v>-4.0000000000000001E-3</v>
      </c>
      <c r="AC506" s="749" t="s">
        <v>2842</v>
      </c>
      <c r="AD506" s="248" t="s">
        <v>709</v>
      </c>
      <c r="AE506" s="749" t="s">
        <v>2842</v>
      </c>
      <c r="AF506" s="151">
        <v>-4.0000000000000001E-3</v>
      </c>
      <c r="AG506" s="749" t="s">
        <v>2842</v>
      </c>
      <c r="AH506" s="249" t="s">
        <v>712</v>
      </c>
      <c r="AI506" s="749" t="s">
        <v>2842</v>
      </c>
      <c r="AJ506" s="151">
        <v>-4.0000000000000001E-3</v>
      </c>
      <c r="AK506" s="749" t="s">
        <v>2842</v>
      </c>
      <c r="AL506" s="248" t="s">
        <v>696</v>
      </c>
      <c r="AM506" s="749" t="s">
        <v>2842</v>
      </c>
      <c r="AN506" s="151">
        <v>-4.0000000000000001E-3</v>
      </c>
      <c r="AO506" s="749" t="s">
        <v>2842</v>
      </c>
      <c r="AP506" s="82" t="s">
        <v>697</v>
      </c>
      <c r="AQ506" s="749" t="s">
        <v>2842</v>
      </c>
      <c r="AR506" s="151">
        <v>-4.0000000000000001E-3</v>
      </c>
      <c r="AS506" s="749" t="s">
        <v>2842</v>
      </c>
      <c r="AT506" s="248" t="s">
        <v>708</v>
      </c>
      <c r="AU506" s="749" t="s">
        <v>2842</v>
      </c>
      <c r="AV506" s="151">
        <v>-4.0000000000000001E-3</v>
      </c>
      <c r="AW506" s="749" t="s">
        <v>2842</v>
      </c>
      <c r="AX506" s="248" t="s">
        <v>706</v>
      </c>
    </row>
    <row r="507" spans="19:53">
      <c r="S507" s="749" t="s">
        <v>2842</v>
      </c>
      <c r="U507" s="749" t="s">
        <v>2842</v>
      </c>
      <c r="V507" s="248" t="s">
        <v>709</v>
      </c>
      <c r="W507" s="749" t="s">
        <v>2842</v>
      </c>
      <c r="X507" s="151">
        <v>-4.0000000000000001E-3</v>
      </c>
      <c r="Y507" s="749" t="s">
        <v>2842</v>
      </c>
      <c r="Z507" s="249" t="s">
        <v>707</v>
      </c>
      <c r="AA507" s="749" t="s">
        <v>2842</v>
      </c>
      <c r="AB507" s="151">
        <v>-4.0000000000000001E-3</v>
      </c>
      <c r="AC507" s="749" t="s">
        <v>2842</v>
      </c>
      <c r="AD507" s="248" t="s">
        <v>710</v>
      </c>
      <c r="AE507" s="749" t="s">
        <v>2842</v>
      </c>
      <c r="AF507" s="151">
        <v>-4.0000000000000001E-3</v>
      </c>
      <c r="AG507" s="749" t="s">
        <v>2842</v>
      </c>
      <c r="AH507" s="248" t="s">
        <v>713</v>
      </c>
      <c r="AI507" s="749" t="s">
        <v>2842</v>
      </c>
      <c r="AJ507" s="151">
        <v>-4.0000000000000001E-3</v>
      </c>
      <c r="AK507" s="749" t="s">
        <v>2842</v>
      </c>
      <c r="AL507" s="82" t="s">
        <v>164</v>
      </c>
      <c r="AM507" s="749" t="s">
        <v>2842</v>
      </c>
      <c r="AN507" s="151">
        <v>-4.0000000000000001E-3</v>
      </c>
      <c r="AO507" s="749" t="s">
        <v>2842</v>
      </c>
      <c r="AP507" s="248" t="s">
        <v>698</v>
      </c>
      <c r="AQ507" s="749" t="s">
        <v>2842</v>
      </c>
      <c r="AR507" s="151">
        <v>-4.0000000000000001E-3</v>
      </c>
      <c r="AS507" s="749" t="s">
        <v>2842</v>
      </c>
      <c r="AT507" s="248" t="s">
        <v>709</v>
      </c>
      <c r="AU507" s="749" t="s">
        <v>2842</v>
      </c>
      <c r="AV507" s="151">
        <v>-4.0000000000000001E-3</v>
      </c>
      <c r="AW507" s="749" t="s">
        <v>2842</v>
      </c>
      <c r="AX507" s="249" t="s">
        <v>707</v>
      </c>
    </row>
    <row r="508" spans="19:53">
      <c r="V508" s="248" t="s">
        <v>710</v>
      </c>
      <c r="X508" s="151">
        <v>-4.0000000000000001E-3</v>
      </c>
      <c r="Z508" s="248" t="s">
        <v>708</v>
      </c>
      <c r="AB508" s="151">
        <v>-4.0000000000000001E-3</v>
      </c>
      <c r="AD508" s="248" t="s">
        <v>711</v>
      </c>
      <c r="AF508" s="151">
        <v>-4.0000000000000001E-3</v>
      </c>
      <c r="AH508" s="248" t="s">
        <v>714</v>
      </c>
      <c r="AJ508" s="151">
        <v>-4.0000000000000001E-3</v>
      </c>
      <c r="AL508" s="82" t="s">
        <v>697</v>
      </c>
      <c r="AN508" s="151">
        <v>-4.0000000000000001E-3</v>
      </c>
      <c r="AP508" s="248" t="s">
        <v>699</v>
      </c>
      <c r="AR508" s="151">
        <v>-4.0000000000000001E-3</v>
      </c>
      <c r="AT508" s="248" t="s">
        <v>710</v>
      </c>
      <c r="AV508" s="151">
        <v>-4.0000000000000001E-3</v>
      </c>
      <c r="AX508" s="248" t="s">
        <v>708</v>
      </c>
    </row>
    <row r="509" spans="19:53">
      <c r="V509" s="248" t="s">
        <v>711</v>
      </c>
      <c r="X509" s="151">
        <v>-4.0000000000000001E-3</v>
      </c>
      <c r="Z509" s="248" t="s">
        <v>709</v>
      </c>
      <c r="AB509" s="151">
        <v>-4.0000000000000001E-3</v>
      </c>
      <c r="AD509" s="249" t="s">
        <v>712</v>
      </c>
      <c r="AF509" s="151">
        <v>-4.0000000000000001E-3</v>
      </c>
      <c r="AH509" s="250" t="s">
        <v>715</v>
      </c>
      <c r="AJ509" s="151">
        <v>-4.0000000000000001E-3</v>
      </c>
      <c r="AL509" s="248" t="s">
        <v>698</v>
      </c>
      <c r="AN509" s="151">
        <v>-4.0000000000000001E-3</v>
      </c>
      <c r="AP509" s="82" t="s">
        <v>700</v>
      </c>
      <c r="AR509" s="151">
        <v>-4.0000000000000001E-3</v>
      </c>
      <c r="AT509" s="248" t="s">
        <v>711</v>
      </c>
      <c r="AV509" s="151">
        <v>-4.0000000000000001E-3</v>
      </c>
      <c r="AX509" s="248" t="s">
        <v>709</v>
      </c>
    </row>
    <row r="510" spans="19:53">
      <c r="V510" s="249" t="s">
        <v>712</v>
      </c>
      <c r="X510" s="151">
        <v>-4.0000000000000001E-3</v>
      </c>
      <c r="Z510" s="248" t="s">
        <v>710</v>
      </c>
      <c r="AB510" s="151">
        <v>-4.0000000000000001E-3</v>
      </c>
      <c r="AD510" s="248" t="s">
        <v>713</v>
      </c>
      <c r="AF510" s="151">
        <v>-4.0000000000000001E-3</v>
      </c>
      <c r="AH510" s="248" t="s">
        <v>716</v>
      </c>
      <c r="AJ510" s="151">
        <v>-4.0000000000000001E-3</v>
      </c>
      <c r="AL510" s="248" t="s">
        <v>699</v>
      </c>
      <c r="AN510" s="151">
        <v>-4.0000000000000001E-3</v>
      </c>
      <c r="AP510" s="82" t="s">
        <v>701</v>
      </c>
      <c r="AR510" s="151">
        <v>-4.0000000000000001E-3</v>
      </c>
      <c r="AT510" s="249" t="s">
        <v>712</v>
      </c>
      <c r="AV510" s="151">
        <v>-4.0000000000000001E-3</v>
      </c>
      <c r="AX510" s="248" t="s">
        <v>710</v>
      </c>
    </row>
    <row r="511" spans="19:53">
      <c r="V511" s="248" t="s">
        <v>713</v>
      </c>
      <c r="X511" s="151">
        <v>-4.0000000000000001E-3</v>
      </c>
      <c r="Z511" s="248" t="s">
        <v>711</v>
      </c>
      <c r="AB511" s="151">
        <v>-4.0000000000000001E-3</v>
      </c>
      <c r="AD511" s="248" t="s">
        <v>714</v>
      </c>
      <c r="AF511" s="151">
        <v>-4.0000000000000001E-3</v>
      </c>
      <c r="AH511" s="82" t="s">
        <v>717</v>
      </c>
      <c r="AJ511" s="151">
        <v>-4.0000000000000001E-3</v>
      </c>
      <c r="AL511" s="82" t="s">
        <v>700</v>
      </c>
      <c r="AN511" s="151">
        <v>-4.0000000000000001E-3</v>
      </c>
      <c r="AP511" s="82" t="s">
        <v>702</v>
      </c>
      <c r="AR511" s="151">
        <v>-4.0000000000000001E-3</v>
      </c>
      <c r="AT511" s="248" t="s">
        <v>713</v>
      </c>
      <c r="AV511" s="151">
        <v>-4.0000000000000001E-3</v>
      </c>
      <c r="AX511" s="248" t="s">
        <v>711</v>
      </c>
    </row>
    <row r="512" spans="19:53">
      <c r="V512" s="248" t="s">
        <v>714</v>
      </c>
      <c r="X512" s="151">
        <v>-4.0000000000000001E-3</v>
      </c>
      <c r="Z512" s="249" t="s">
        <v>712</v>
      </c>
      <c r="AB512" s="151">
        <v>-4.0000000000000001E-3</v>
      </c>
      <c r="AD512" s="250" t="s">
        <v>715</v>
      </c>
      <c r="AF512" s="151">
        <v>-4.0000000000000001E-3</v>
      </c>
      <c r="AH512" s="248" t="s">
        <v>718</v>
      </c>
      <c r="AJ512" s="151">
        <v>-4.0000000000000001E-3</v>
      </c>
      <c r="AL512" s="82" t="s">
        <v>701</v>
      </c>
      <c r="AN512" s="151">
        <v>-4.0000000000000001E-3</v>
      </c>
      <c r="AP512" s="249" t="s">
        <v>136</v>
      </c>
      <c r="AR512" s="151">
        <v>-4.0000000000000001E-3</v>
      </c>
      <c r="AT512" s="248" t="s">
        <v>714</v>
      </c>
      <c r="AV512" s="151">
        <v>-4.0000000000000001E-3</v>
      </c>
      <c r="AX512" s="249" t="s">
        <v>712</v>
      </c>
    </row>
    <row r="513" spans="22:50">
      <c r="V513" s="250" t="s">
        <v>715</v>
      </c>
      <c r="X513" s="151">
        <v>-4.0000000000000001E-3</v>
      </c>
      <c r="Z513" s="248" t="s">
        <v>713</v>
      </c>
      <c r="AB513" s="151">
        <v>-4.0000000000000001E-3</v>
      </c>
      <c r="AD513" s="248" t="s">
        <v>716</v>
      </c>
      <c r="AF513" s="151">
        <v>-4.0000000000000001E-3</v>
      </c>
      <c r="AH513" s="248" t="s">
        <v>719</v>
      </c>
      <c r="AJ513" s="151">
        <v>-4.0000000000000001E-3</v>
      </c>
      <c r="AL513" s="82" t="s">
        <v>702</v>
      </c>
      <c r="AN513" s="151">
        <v>-4.0000000000000001E-3</v>
      </c>
      <c r="AP513" s="82" t="s">
        <v>703</v>
      </c>
      <c r="AR513" s="151">
        <v>-4.0000000000000001E-3</v>
      </c>
      <c r="AT513" s="250" t="s">
        <v>715</v>
      </c>
      <c r="AV513" s="151">
        <v>-4.0000000000000001E-3</v>
      </c>
      <c r="AX513" s="248" t="s">
        <v>713</v>
      </c>
    </row>
    <row r="514" spans="22:50">
      <c r="V514" s="248" t="s">
        <v>716</v>
      </c>
      <c r="X514" s="151">
        <v>-4.0000000000000001E-3</v>
      </c>
      <c r="Z514" s="248" t="s">
        <v>714</v>
      </c>
      <c r="AB514" s="151">
        <v>-4.0000000000000001E-3</v>
      </c>
      <c r="AD514" s="82" t="s">
        <v>717</v>
      </c>
      <c r="AF514" s="151">
        <v>-4.0000000000000001E-3</v>
      </c>
      <c r="AH514" s="248" t="s">
        <v>720</v>
      </c>
      <c r="AJ514" s="151">
        <v>-4.0000000000000001E-3</v>
      </c>
      <c r="AL514" s="249" t="s">
        <v>136</v>
      </c>
      <c r="AN514" s="151">
        <v>-4.0000000000000001E-3</v>
      </c>
      <c r="AP514" s="82" t="s">
        <v>704</v>
      </c>
      <c r="AR514" s="151">
        <v>-4.0000000000000001E-3</v>
      </c>
      <c r="AT514" s="248" t="s">
        <v>716</v>
      </c>
      <c r="AV514" s="151">
        <v>-4.0000000000000001E-3</v>
      </c>
      <c r="AX514" s="248" t="s">
        <v>714</v>
      </c>
    </row>
    <row r="515" spans="22:50">
      <c r="V515" s="82" t="s">
        <v>717</v>
      </c>
      <c r="X515" s="151">
        <v>-4.0000000000000001E-3</v>
      </c>
      <c r="Z515" s="250" t="s">
        <v>715</v>
      </c>
      <c r="AB515" s="151">
        <v>-4.0000000000000001E-3</v>
      </c>
      <c r="AD515" s="248" t="s">
        <v>718</v>
      </c>
      <c r="AF515" s="151">
        <v>-4.0000000000000001E-3</v>
      </c>
      <c r="AH515" s="248" t="s">
        <v>721</v>
      </c>
      <c r="AJ515" s="151">
        <v>-4.0000000000000001E-3</v>
      </c>
      <c r="AL515" s="82" t="s">
        <v>703</v>
      </c>
      <c r="AN515" s="151">
        <v>-4.0000000000000001E-3</v>
      </c>
      <c r="AP515" s="248" t="s">
        <v>705</v>
      </c>
      <c r="AR515" s="151">
        <v>-4.0000000000000001E-3</v>
      </c>
      <c r="AT515" s="82" t="s">
        <v>717</v>
      </c>
      <c r="AV515" s="151">
        <v>-4.0000000000000001E-3</v>
      </c>
      <c r="AX515" s="250" t="s">
        <v>715</v>
      </c>
    </row>
    <row r="516" spans="22:50">
      <c r="V516" s="248" t="s">
        <v>718</v>
      </c>
      <c r="X516" s="151">
        <v>-4.0000000000000001E-3</v>
      </c>
      <c r="Z516" s="248" t="s">
        <v>716</v>
      </c>
      <c r="AB516" s="151">
        <v>-4.0000000000000001E-3</v>
      </c>
      <c r="AD516" s="248" t="s">
        <v>719</v>
      </c>
      <c r="AF516" s="151">
        <v>-4.0000000000000001E-3</v>
      </c>
      <c r="AH516" s="250" t="s">
        <v>722</v>
      </c>
      <c r="AJ516" s="151">
        <v>-4.0000000000000001E-3</v>
      </c>
      <c r="AL516" s="82" t="s">
        <v>704</v>
      </c>
      <c r="AN516" s="151">
        <v>-4.0000000000000001E-3</v>
      </c>
      <c r="AP516" s="248" t="s">
        <v>706</v>
      </c>
      <c r="AR516" s="151">
        <v>-4.0000000000000001E-3</v>
      </c>
      <c r="AT516" s="248" t="s">
        <v>718</v>
      </c>
      <c r="AV516" s="151">
        <v>-4.0000000000000001E-3</v>
      </c>
      <c r="AX516" s="248" t="s">
        <v>716</v>
      </c>
    </row>
    <row r="517" spans="22:50">
      <c r="V517" s="248" t="s">
        <v>719</v>
      </c>
      <c r="X517" s="151">
        <v>-4.0000000000000001E-3</v>
      </c>
      <c r="Z517" s="82" t="s">
        <v>717</v>
      </c>
      <c r="AB517" s="151">
        <v>-4.0000000000000001E-3</v>
      </c>
      <c r="AD517" s="248" t="s">
        <v>720</v>
      </c>
      <c r="AF517" s="151">
        <v>-4.0000000000000001E-3</v>
      </c>
      <c r="AH517" s="249" t="s">
        <v>723</v>
      </c>
      <c r="AJ517" s="151">
        <v>-4.0000000000000001E-3</v>
      </c>
      <c r="AL517" s="248" t="s">
        <v>705</v>
      </c>
      <c r="AN517" s="151">
        <v>-4.0000000000000001E-3</v>
      </c>
      <c r="AP517" s="249" t="s">
        <v>707</v>
      </c>
      <c r="AR517" s="151">
        <v>-4.0000000000000001E-3</v>
      </c>
      <c r="AT517" s="248" t="s">
        <v>719</v>
      </c>
      <c r="AV517" s="151">
        <v>-4.0000000000000001E-3</v>
      </c>
      <c r="AX517" s="82" t="s">
        <v>717</v>
      </c>
    </row>
    <row r="518" spans="22:50">
      <c r="V518" s="248" t="s">
        <v>720</v>
      </c>
      <c r="X518" s="151">
        <v>-4.0000000000000001E-3</v>
      </c>
      <c r="Z518" s="248" t="s">
        <v>718</v>
      </c>
      <c r="AB518" s="151">
        <v>-4.0000000000000001E-3</v>
      </c>
      <c r="AD518" s="248" t="s">
        <v>721</v>
      </c>
      <c r="AF518" s="151">
        <v>-4.0000000000000001E-3</v>
      </c>
      <c r="AH518" s="248" t="s">
        <v>724</v>
      </c>
      <c r="AJ518" s="151">
        <v>-4.0000000000000001E-3</v>
      </c>
      <c r="AL518" s="248" t="s">
        <v>706</v>
      </c>
      <c r="AN518" s="151">
        <v>-4.0000000000000001E-3</v>
      </c>
      <c r="AP518" s="248" t="s">
        <v>708</v>
      </c>
      <c r="AR518" s="151">
        <v>-4.0000000000000001E-3</v>
      </c>
      <c r="AT518" s="248" t="s">
        <v>720</v>
      </c>
      <c r="AV518" s="151">
        <v>-4.0000000000000001E-3</v>
      </c>
      <c r="AX518" s="248" t="s">
        <v>718</v>
      </c>
    </row>
    <row r="519" spans="22:50">
      <c r="V519" s="248" t="s">
        <v>721</v>
      </c>
      <c r="X519" s="151">
        <v>-4.0000000000000001E-3</v>
      </c>
      <c r="Z519" s="248" t="s">
        <v>719</v>
      </c>
      <c r="AB519" s="151">
        <v>-4.0000000000000001E-3</v>
      </c>
      <c r="AD519" s="250" t="s">
        <v>722</v>
      </c>
      <c r="AF519" s="151">
        <v>-4.0000000000000001E-3</v>
      </c>
      <c r="AH519" s="82" t="s">
        <v>725</v>
      </c>
      <c r="AJ519" s="151">
        <v>-4.0000000000000001E-3</v>
      </c>
      <c r="AL519" s="249" t="s">
        <v>707</v>
      </c>
      <c r="AN519" s="151">
        <v>-4.0000000000000001E-3</v>
      </c>
      <c r="AP519" s="248" t="s">
        <v>709</v>
      </c>
      <c r="AR519" s="151">
        <v>-4.0000000000000001E-3</v>
      </c>
      <c r="AT519" s="248" t="s">
        <v>721</v>
      </c>
      <c r="AV519" s="151">
        <v>-4.0000000000000001E-3</v>
      </c>
      <c r="AX519" s="248" t="s">
        <v>719</v>
      </c>
    </row>
    <row r="520" spans="22:50">
      <c r="V520" s="250" t="s">
        <v>722</v>
      </c>
      <c r="X520" s="151">
        <v>-4.0000000000000001E-3</v>
      </c>
      <c r="Z520" s="248" t="s">
        <v>720</v>
      </c>
      <c r="AB520" s="151">
        <v>-4.0000000000000001E-3</v>
      </c>
      <c r="AD520" s="249" t="s">
        <v>723</v>
      </c>
      <c r="AF520" s="151">
        <v>-4.0000000000000001E-3</v>
      </c>
      <c r="AH520" s="248" t="s">
        <v>726</v>
      </c>
      <c r="AJ520" s="151">
        <v>-4.0000000000000001E-3</v>
      </c>
      <c r="AL520" s="248" t="s">
        <v>708</v>
      </c>
      <c r="AN520" s="151">
        <v>-4.0000000000000001E-3</v>
      </c>
      <c r="AP520" s="248" t="s">
        <v>710</v>
      </c>
      <c r="AR520" s="151">
        <v>-4.0000000000000001E-3</v>
      </c>
      <c r="AT520" s="250" t="s">
        <v>722</v>
      </c>
      <c r="AV520" s="151">
        <v>-4.0000000000000001E-3</v>
      </c>
      <c r="AX520" s="248" t="s">
        <v>720</v>
      </c>
    </row>
    <row r="521" spans="22:50">
      <c r="V521" s="249" t="s">
        <v>723</v>
      </c>
      <c r="X521" s="151">
        <v>-4.0000000000000001E-3</v>
      </c>
      <c r="Z521" s="248" t="s">
        <v>721</v>
      </c>
      <c r="AB521" s="151">
        <v>-4.0000000000000001E-3</v>
      </c>
      <c r="AD521" s="248" t="s">
        <v>724</v>
      </c>
      <c r="AF521" s="151">
        <v>-4.0000000000000001E-3</v>
      </c>
      <c r="AH521" s="248" t="s">
        <v>727</v>
      </c>
      <c r="AJ521" s="151">
        <v>-4.0000000000000001E-3</v>
      </c>
      <c r="AL521" s="248" t="s">
        <v>709</v>
      </c>
      <c r="AN521" s="151">
        <v>-4.0000000000000001E-3</v>
      </c>
      <c r="AP521" s="248" t="s">
        <v>711</v>
      </c>
      <c r="AR521" s="151">
        <v>-4.0000000000000001E-3</v>
      </c>
      <c r="AT521" s="249" t="s">
        <v>723</v>
      </c>
      <c r="AV521" s="151">
        <v>-4.0000000000000001E-3</v>
      </c>
      <c r="AX521" s="248" t="s">
        <v>721</v>
      </c>
    </row>
    <row r="522" spans="22:50">
      <c r="V522" s="248" t="s">
        <v>724</v>
      </c>
      <c r="X522" s="151">
        <v>-4.0000000000000001E-3</v>
      </c>
      <c r="Z522" s="250" t="s">
        <v>722</v>
      </c>
      <c r="AB522" s="151">
        <v>-4.0000000000000001E-3</v>
      </c>
      <c r="AD522" s="82" t="s">
        <v>725</v>
      </c>
      <c r="AF522" s="151">
        <v>-4.0000000000000001E-3</v>
      </c>
      <c r="AH522" s="248" t="s">
        <v>728</v>
      </c>
      <c r="AJ522" s="151">
        <v>-4.0000000000000001E-3</v>
      </c>
      <c r="AL522" s="248" t="s">
        <v>710</v>
      </c>
      <c r="AN522" s="151">
        <v>-4.0000000000000001E-3</v>
      </c>
      <c r="AP522" s="249" t="s">
        <v>712</v>
      </c>
      <c r="AR522" s="151">
        <v>-4.0000000000000001E-3</v>
      </c>
      <c r="AT522" s="248" t="s">
        <v>724</v>
      </c>
      <c r="AV522" s="151">
        <v>-4.0000000000000001E-3</v>
      </c>
      <c r="AX522" s="250" t="s">
        <v>722</v>
      </c>
    </row>
    <row r="523" spans="22:50">
      <c r="V523" s="82" t="s">
        <v>725</v>
      </c>
      <c r="X523" s="151">
        <v>-4.0000000000000001E-3</v>
      </c>
      <c r="Z523" s="249" t="s">
        <v>723</v>
      </c>
      <c r="AB523" s="151">
        <v>-4.0000000000000001E-3</v>
      </c>
      <c r="AD523" s="248" t="s">
        <v>726</v>
      </c>
      <c r="AF523" s="151">
        <v>-4.0000000000000001E-3</v>
      </c>
      <c r="AH523" s="250" t="s">
        <v>729</v>
      </c>
      <c r="AJ523" s="151">
        <v>-4.0000000000000001E-3</v>
      </c>
      <c r="AL523" s="248" t="s">
        <v>711</v>
      </c>
      <c r="AN523" s="151">
        <v>-4.0000000000000001E-3</v>
      </c>
      <c r="AP523" s="248" t="s">
        <v>713</v>
      </c>
      <c r="AR523" s="151">
        <v>-4.0000000000000001E-3</v>
      </c>
      <c r="AT523" s="82" t="s">
        <v>725</v>
      </c>
      <c r="AV523" s="151">
        <v>-4.0000000000000001E-3</v>
      </c>
      <c r="AX523" s="249" t="s">
        <v>723</v>
      </c>
    </row>
    <row r="524" spans="22:50">
      <c r="V524" s="248" t="s">
        <v>726</v>
      </c>
      <c r="X524" s="151">
        <v>-4.0000000000000001E-3</v>
      </c>
      <c r="Z524" s="248" t="s">
        <v>724</v>
      </c>
      <c r="AB524" s="151">
        <v>-4.0000000000000001E-3</v>
      </c>
      <c r="AD524" s="248" t="s">
        <v>727</v>
      </c>
      <c r="AF524" s="151">
        <v>-4.0000000000000001E-3</v>
      </c>
      <c r="AH524" s="229" t="s">
        <v>730</v>
      </c>
      <c r="AJ524" s="151">
        <v>-4.0000000000000001E-3</v>
      </c>
      <c r="AL524" s="249" t="s">
        <v>712</v>
      </c>
      <c r="AN524" s="151">
        <v>-4.0000000000000001E-3</v>
      </c>
      <c r="AP524" s="248" t="s">
        <v>714</v>
      </c>
      <c r="AR524" s="151">
        <v>-4.0000000000000001E-3</v>
      </c>
      <c r="AT524" s="248" t="s">
        <v>726</v>
      </c>
      <c r="AV524" s="151">
        <v>-4.0000000000000001E-3</v>
      </c>
      <c r="AX524" s="248" t="s">
        <v>724</v>
      </c>
    </row>
    <row r="525" spans="22:50">
      <c r="V525" s="248" t="s">
        <v>727</v>
      </c>
      <c r="X525" s="151">
        <v>-4.0000000000000001E-3</v>
      </c>
      <c r="Z525" s="82" t="s">
        <v>725</v>
      </c>
      <c r="AB525" s="151">
        <v>-4.0000000000000001E-3</v>
      </c>
      <c r="AD525" s="248" t="s">
        <v>728</v>
      </c>
      <c r="AF525" s="151">
        <v>-4.0000000000000001E-3</v>
      </c>
      <c r="AH525" s="250" t="s">
        <v>731</v>
      </c>
      <c r="AJ525" s="151">
        <v>-4.0000000000000001E-3</v>
      </c>
      <c r="AL525" s="248" t="s">
        <v>713</v>
      </c>
      <c r="AN525" s="151">
        <v>-4.0000000000000001E-3</v>
      </c>
      <c r="AP525" s="250" t="s">
        <v>715</v>
      </c>
      <c r="AR525" s="151">
        <v>-4.0000000000000001E-3</v>
      </c>
      <c r="AT525" s="248" t="s">
        <v>727</v>
      </c>
      <c r="AV525" s="151">
        <v>-4.0000000000000001E-3</v>
      </c>
      <c r="AX525" s="82" t="s">
        <v>725</v>
      </c>
    </row>
    <row r="526" spans="22:50">
      <c r="V526" s="248" t="s">
        <v>728</v>
      </c>
      <c r="X526" s="151">
        <v>-4.0000000000000001E-3</v>
      </c>
      <c r="Z526" s="248" t="s">
        <v>726</v>
      </c>
      <c r="AB526" s="151">
        <v>-4.0000000000000001E-3</v>
      </c>
      <c r="AD526" s="250" t="s">
        <v>729</v>
      </c>
      <c r="AF526" s="151">
        <v>-4.0000000000000001E-3</v>
      </c>
      <c r="AH526" s="250" t="s">
        <v>732</v>
      </c>
      <c r="AJ526" s="151">
        <v>-4.0000000000000001E-3</v>
      </c>
      <c r="AL526" s="248" t="s">
        <v>714</v>
      </c>
      <c r="AN526" s="151">
        <v>-4.0000000000000001E-3</v>
      </c>
      <c r="AP526" s="248" t="s">
        <v>716</v>
      </c>
      <c r="AR526" s="151">
        <v>-4.0000000000000001E-3</v>
      </c>
      <c r="AT526" s="248" t="s">
        <v>728</v>
      </c>
      <c r="AV526" s="151">
        <v>-4.0000000000000001E-3</v>
      </c>
      <c r="AX526" s="248" t="s">
        <v>726</v>
      </c>
    </row>
    <row r="527" spans="22:50">
      <c r="V527" s="250" t="s">
        <v>729</v>
      </c>
      <c r="X527" s="151">
        <v>-4.0000000000000001E-3</v>
      </c>
      <c r="Z527" s="248" t="s">
        <v>727</v>
      </c>
      <c r="AB527" s="151">
        <v>-4.0000000000000001E-3</v>
      </c>
      <c r="AD527" s="229" t="s">
        <v>730</v>
      </c>
      <c r="AF527" s="151">
        <v>-4.0000000000000001E-3</v>
      </c>
      <c r="AH527" s="248" t="s">
        <v>733</v>
      </c>
      <c r="AJ527" s="151">
        <v>-4.0000000000000001E-3</v>
      </c>
      <c r="AL527" s="250" t="s">
        <v>715</v>
      </c>
      <c r="AN527" s="151">
        <v>-4.0000000000000001E-3</v>
      </c>
      <c r="AP527" s="82" t="s">
        <v>717</v>
      </c>
      <c r="AR527" s="151">
        <v>-4.0000000000000001E-3</v>
      </c>
      <c r="AT527" s="250" t="s">
        <v>729</v>
      </c>
      <c r="AV527" s="151">
        <v>-4.0000000000000001E-3</v>
      </c>
      <c r="AX527" s="248" t="s">
        <v>727</v>
      </c>
    </row>
    <row r="528" spans="22:50">
      <c r="V528" s="229" t="s">
        <v>730</v>
      </c>
      <c r="X528" s="151">
        <v>-4.0000000000000001E-3</v>
      </c>
      <c r="Z528" s="248" t="s">
        <v>728</v>
      </c>
      <c r="AB528" s="151">
        <v>-4.0000000000000001E-3</v>
      </c>
      <c r="AD528" s="250" t="s">
        <v>731</v>
      </c>
      <c r="AF528" s="151">
        <v>-4.0000000000000001E-3</v>
      </c>
      <c r="AH528" s="248" t="s">
        <v>734</v>
      </c>
      <c r="AJ528" s="151">
        <v>-4.0000000000000001E-3</v>
      </c>
      <c r="AL528" s="248" t="s">
        <v>716</v>
      </c>
      <c r="AN528" s="151">
        <v>-4.0000000000000001E-3</v>
      </c>
      <c r="AP528" s="248" t="s">
        <v>718</v>
      </c>
      <c r="AR528" s="151">
        <v>-4.0000000000000001E-3</v>
      </c>
      <c r="AT528" s="229" t="s">
        <v>730</v>
      </c>
      <c r="AV528" s="151">
        <v>-4.0000000000000001E-3</v>
      </c>
      <c r="AX528" s="248" t="s">
        <v>728</v>
      </c>
    </row>
    <row r="529" spans="22:50">
      <c r="V529" s="250" t="s">
        <v>731</v>
      </c>
      <c r="X529" s="151">
        <v>-4.0000000000000001E-3</v>
      </c>
      <c r="Z529" s="250" t="s">
        <v>729</v>
      </c>
      <c r="AB529" s="151">
        <v>-4.0000000000000001E-3</v>
      </c>
      <c r="AD529" s="250" t="s">
        <v>732</v>
      </c>
      <c r="AF529" s="151">
        <v>-4.0000000000000001E-3</v>
      </c>
      <c r="AH529" s="82" t="s">
        <v>735</v>
      </c>
      <c r="AJ529" s="151">
        <v>-4.0000000000000001E-3</v>
      </c>
      <c r="AL529" s="82" t="s">
        <v>717</v>
      </c>
      <c r="AN529" s="151">
        <v>-4.0000000000000001E-3</v>
      </c>
      <c r="AP529" s="248" t="s">
        <v>719</v>
      </c>
      <c r="AR529" s="151">
        <v>-4.0000000000000001E-3</v>
      </c>
      <c r="AT529" s="250" t="s">
        <v>731</v>
      </c>
      <c r="AV529" s="151">
        <v>-4.0000000000000001E-3</v>
      </c>
      <c r="AX529" s="250" t="s">
        <v>729</v>
      </c>
    </row>
    <row r="530" spans="22:50">
      <c r="V530" s="250" t="s">
        <v>732</v>
      </c>
      <c r="X530" s="151">
        <v>-4.0000000000000001E-3</v>
      </c>
      <c r="Z530" s="229" t="s">
        <v>730</v>
      </c>
      <c r="AB530" s="151">
        <v>-4.0000000000000001E-3</v>
      </c>
      <c r="AD530" s="248" t="s">
        <v>733</v>
      </c>
      <c r="AF530" s="151">
        <v>-4.0000000000000001E-3</v>
      </c>
      <c r="AH530" s="82" t="s">
        <v>736</v>
      </c>
      <c r="AJ530" s="151">
        <v>-4.0000000000000001E-3</v>
      </c>
      <c r="AL530" s="248" t="s">
        <v>718</v>
      </c>
      <c r="AN530" s="151">
        <v>-4.0000000000000001E-3</v>
      </c>
      <c r="AP530" s="248" t="s">
        <v>720</v>
      </c>
      <c r="AR530" s="151">
        <v>-4.0000000000000001E-3</v>
      </c>
      <c r="AT530" s="250" t="s">
        <v>732</v>
      </c>
      <c r="AV530" s="151">
        <v>-4.0000000000000001E-3</v>
      </c>
      <c r="AX530" s="229" t="s">
        <v>730</v>
      </c>
    </row>
    <row r="531" spans="22:50">
      <c r="V531" s="248" t="s">
        <v>733</v>
      </c>
      <c r="X531" s="151">
        <v>-4.0000000000000001E-3</v>
      </c>
      <c r="Z531" s="250" t="s">
        <v>731</v>
      </c>
      <c r="AB531" s="151">
        <v>-4.0000000000000001E-3</v>
      </c>
      <c r="AD531" s="248" t="s">
        <v>734</v>
      </c>
      <c r="AF531" s="151">
        <v>-4.0000000000000001E-3</v>
      </c>
      <c r="AH531" s="82" t="s">
        <v>737</v>
      </c>
      <c r="AJ531" s="151">
        <v>-4.0000000000000001E-3</v>
      </c>
      <c r="AL531" s="248" t="s">
        <v>719</v>
      </c>
      <c r="AN531" s="151">
        <v>-4.0000000000000001E-3</v>
      </c>
      <c r="AP531" s="248" t="s">
        <v>721</v>
      </c>
      <c r="AR531" s="151">
        <v>-4.0000000000000001E-3</v>
      </c>
      <c r="AT531" s="248" t="s">
        <v>733</v>
      </c>
      <c r="AV531" s="151">
        <v>-4.0000000000000001E-3</v>
      </c>
      <c r="AX531" s="250" t="s">
        <v>731</v>
      </c>
    </row>
    <row r="532" spans="22:50">
      <c r="V532" s="248" t="s">
        <v>734</v>
      </c>
      <c r="X532" s="151">
        <v>-4.0000000000000001E-3</v>
      </c>
      <c r="Z532" s="250" t="s">
        <v>732</v>
      </c>
      <c r="AB532" s="151">
        <v>-4.0000000000000001E-3</v>
      </c>
      <c r="AD532" s="82" t="s">
        <v>735</v>
      </c>
      <c r="AF532" s="151">
        <v>-4.0000000000000001E-3</v>
      </c>
      <c r="AH532" s="82" t="s">
        <v>738</v>
      </c>
      <c r="AJ532" s="151">
        <v>-4.0000000000000001E-3</v>
      </c>
      <c r="AL532" s="248" t="s">
        <v>720</v>
      </c>
      <c r="AN532" s="151">
        <v>-4.0000000000000001E-3</v>
      </c>
      <c r="AP532" s="250" t="s">
        <v>722</v>
      </c>
      <c r="AR532" s="151">
        <v>-4.0000000000000001E-3</v>
      </c>
      <c r="AT532" s="248" t="s">
        <v>734</v>
      </c>
      <c r="AV532" s="151">
        <v>-4.0000000000000001E-3</v>
      </c>
      <c r="AX532" s="250" t="s">
        <v>732</v>
      </c>
    </row>
    <row r="533" spans="22:50">
      <c r="V533" s="82" t="s">
        <v>735</v>
      </c>
      <c r="X533" s="151">
        <v>-4.0000000000000001E-3</v>
      </c>
      <c r="Z533" s="248" t="s">
        <v>733</v>
      </c>
      <c r="AB533" s="151">
        <v>-4.0000000000000001E-3</v>
      </c>
      <c r="AD533" s="82" t="s">
        <v>736</v>
      </c>
      <c r="AF533" s="151">
        <v>-4.0000000000000001E-3</v>
      </c>
      <c r="AH533" s="82" t="s">
        <v>739</v>
      </c>
      <c r="AJ533" s="151">
        <v>-4.0000000000000001E-3</v>
      </c>
      <c r="AL533" s="248" t="s">
        <v>721</v>
      </c>
      <c r="AN533" s="151">
        <v>-4.0000000000000001E-3</v>
      </c>
      <c r="AP533" s="249" t="s">
        <v>723</v>
      </c>
      <c r="AR533" s="151">
        <v>-4.0000000000000001E-3</v>
      </c>
      <c r="AT533" s="82" t="s">
        <v>735</v>
      </c>
      <c r="AV533" s="151">
        <v>-4.0000000000000001E-3</v>
      </c>
      <c r="AX533" s="248" t="s">
        <v>733</v>
      </c>
    </row>
    <row r="534" spans="22:50">
      <c r="V534" s="82" t="s">
        <v>736</v>
      </c>
      <c r="X534" s="151">
        <v>-4.0000000000000001E-3</v>
      </c>
      <c r="Z534" s="248" t="s">
        <v>734</v>
      </c>
      <c r="AB534" s="151">
        <v>-4.0000000000000001E-3</v>
      </c>
      <c r="AD534" s="82" t="s">
        <v>737</v>
      </c>
      <c r="AF534" s="151">
        <v>-4.0000000000000001E-3</v>
      </c>
      <c r="AH534" s="250" t="s">
        <v>740</v>
      </c>
      <c r="AJ534" s="151">
        <v>-4.0000000000000001E-3</v>
      </c>
      <c r="AL534" s="250" t="s">
        <v>722</v>
      </c>
      <c r="AN534" s="151">
        <v>-4.0000000000000001E-3</v>
      </c>
      <c r="AP534" s="248" t="s">
        <v>724</v>
      </c>
      <c r="AR534" s="151">
        <v>-4.0000000000000001E-3</v>
      </c>
      <c r="AT534" s="82" t="s">
        <v>736</v>
      </c>
      <c r="AV534" s="151">
        <v>-4.0000000000000001E-3</v>
      </c>
      <c r="AX534" s="248" t="s">
        <v>734</v>
      </c>
    </row>
    <row r="535" spans="22:50">
      <c r="V535" s="82" t="s">
        <v>737</v>
      </c>
      <c r="X535" s="151">
        <v>-4.0000000000000001E-3</v>
      </c>
      <c r="Z535" s="82" t="s">
        <v>735</v>
      </c>
      <c r="AB535" s="151">
        <v>-4.0000000000000001E-3</v>
      </c>
      <c r="AD535" s="82" t="s">
        <v>738</v>
      </c>
      <c r="AF535" s="151">
        <v>-4.0000000000000001E-3</v>
      </c>
      <c r="AH535" s="248" t="s">
        <v>741</v>
      </c>
      <c r="AJ535" s="151">
        <v>-4.0000000000000001E-3</v>
      </c>
      <c r="AL535" s="249" t="s">
        <v>723</v>
      </c>
      <c r="AN535" s="151">
        <v>-4.0000000000000001E-3</v>
      </c>
      <c r="AP535" s="82" t="s">
        <v>725</v>
      </c>
      <c r="AR535" s="151">
        <v>-4.0000000000000001E-3</v>
      </c>
      <c r="AT535" s="82" t="s">
        <v>737</v>
      </c>
      <c r="AV535" s="151">
        <v>-4.0000000000000001E-3</v>
      </c>
      <c r="AX535" s="82" t="s">
        <v>735</v>
      </c>
    </row>
    <row r="536" spans="22:50">
      <c r="V536" s="82" t="s">
        <v>738</v>
      </c>
      <c r="X536" s="151">
        <v>-4.0000000000000001E-3</v>
      </c>
      <c r="Z536" s="82" t="s">
        <v>736</v>
      </c>
      <c r="AB536" s="151">
        <v>-4.0000000000000001E-3</v>
      </c>
      <c r="AD536" s="82" t="s">
        <v>739</v>
      </c>
      <c r="AF536" s="151">
        <v>-4.0000000000000001E-3</v>
      </c>
      <c r="AH536" s="250" t="s">
        <v>742</v>
      </c>
      <c r="AJ536" s="151">
        <v>-4.0000000000000001E-3</v>
      </c>
      <c r="AL536" s="248" t="s">
        <v>724</v>
      </c>
      <c r="AN536" s="151">
        <v>-4.0000000000000001E-3</v>
      </c>
      <c r="AP536" s="248" t="s">
        <v>726</v>
      </c>
      <c r="AR536" s="151">
        <v>-4.0000000000000001E-3</v>
      </c>
      <c r="AT536" s="82" t="s">
        <v>738</v>
      </c>
      <c r="AV536" s="151">
        <v>-4.0000000000000001E-3</v>
      </c>
      <c r="AX536" s="82" t="s">
        <v>736</v>
      </c>
    </row>
    <row r="537" spans="22:50">
      <c r="V537" s="82" t="s">
        <v>739</v>
      </c>
      <c r="X537" s="151">
        <v>-4.0000000000000001E-3</v>
      </c>
      <c r="Z537" s="82" t="s">
        <v>737</v>
      </c>
      <c r="AB537" s="151">
        <v>-4.0000000000000001E-3</v>
      </c>
      <c r="AD537" s="250" t="s">
        <v>740</v>
      </c>
      <c r="AF537" s="151">
        <v>-4.0000000000000001E-3</v>
      </c>
      <c r="AH537" s="248" t="s">
        <v>743</v>
      </c>
      <c r="AJ537" s="151">
        <v>-4.0000000000000001E-3</v>
      </c>
      <c r="AL537" s="82" t="s">
        <v>725</v>
      </c>
      <c r="AN537" s="151">
        <v>-4.0000000000000001E-3</v>
      </c>
      <c r="AP537" s="248" t="s">
        <v>727</v>
      </c>
      <c r="AR537" s="151">
        <v>-4.0000000000000001E-3</v>
      </c>
      <c r="AT537" s="82" t="s">
        <v>739</v>
      </c>
      <c r="AV537" s="151">
        <v>-4.0000000000000001E-3</v>
      </c>
      <c r="AX537" s="82" t="s">
        <v>737</v>
      </c>
    </row>
    <row r="538" spans="22:50">
      <c r="V538" s="250" t="s">
        <v>740</v>
      </c>
      <c r="X538" s="151">
        <v>-4.0000000000000001E-3</v>
      </c>
      <c r="Z538" s="82" t="s">
        <v>738</v>
      </c>
      <c r="AB538" s="151">
        <v>-4.0000000000000001E-3</v>
      </c>
      <c r="AD538" s="248" t="s">
        <v>741</v>
      </c>
      <c r="AF538" s="151">
        <v>-4.0000000000000001E-3</v>
      </c>
      <c r="AH538" s="82" t="s">
        <v>744</v>
      </c>
      <c r="AJ538" s="151">
        <v>-4.0000000000000001E-3</v>
      </c>
      <c r="AL538" s="248" t="s">
        <v>726</v>
      </c>
      <c r="AN538" s="151">
        <v>-4.0000000000000001E-3</v>
      </c>
      <c r="AP538" s="248" t="s">
        <v>728</v>
      </c>
      <c r="AR538" s="151">
        <v>-4.0000000000000001E-3</v>
      </c>
      <c r="AT538" s="250" t="s">
        <v>740</v>
      </c>
      <c r="AV538" s="151">
        <v>-4.0000000000000001E-3</v>
      </c>
      <c r="AX538" s="82" t="s">
        <v>738</v>
      </c>
    </row>
    <row r="539" spans="22:50">
      <c r="V539" s="248" t="s">
        <v>741</v>
      </c>
      <c r="X539" s="151">
        <v>-4.0000000000000001E-3</v>
      </c>
      <c r="Z539" s="82" t="s">
        <v>739</v>
      </c>
      <c r="AB539" s="151">
        <v>-4.0000000000000001E-3</v>
      </c>
      <c r="AD539" s="250" t="s">
        <v>742</v>
      </c>
      <c r="AF539" s="151">
        <v>-4.0000000000000001E-3</v>
      </c>
      <c r="AH539" s="82" t="s">
        <v>745</v>
      </c>
      <c r="AJ539" s="151">
        <v>-4.0000000000000001E-3</v>
      </c>
      <c r="AL539" s="248" t="s">
        <v>727</v>
      </c>
      <c r="AN539" s="151">
        <v>-4.0000000000000001E-3</v>
      </c>
      <c r="AP539" s="250" t="s">
        <v>729</v>
      </c>
      <c r="AR539" s="151">
        <v>-4.0000000000000001E-3</v>
      </c>
      <c r="AT539" s="248" t="s">
        <v>741</v>
      </c>
      <c r="AV539" s="151">
        <v>-4.0000000000000001E-3</v>
      </c>
      <c r="AX539" s="82" t="s">
        <v>739</v>
      </c>
    </row>
    <row r="540" spans="22:50">
      <c r="V540" s="250" t="s">
        <v>742</v>
      </c>
      <c r="X540" s="151">
        <v>-4.0000000000000001E-3</v>
      </c>
      <c r="Z540" s="250" t="s">
        <v>740</v>
      </c>
      <c r="AB540" s="151">
        <v>-4.0000000000000001E-3</v>
      </c>
      <c r="AD540" s="248" t="s">
        <v>743</v>
      </c>
      <c r="AF540" s="151">
        <v>-4.0000000000000001E-3</v>
      </c>
      <c r="AH540" s="82" t="s">
        <v>746</v>
      </c>
      <c r="AJ540" s="151">
        <v>-4.0000000000000001E-3</v>
      </c>
      <c r="AL540" s="248" t="s">
        <v>728</v>
      </c>
      <c r="AN540" s="151">
        <v>-4.0000000000000001E-3</v>
      </c>
      <c r="AP540" s="229" t="s">
        <v>730</v>
      </c>
      <c r="AR540" s="151">
        <v>-4.0000000000000001E-3</v>
      </c>
      <c r="AT540" s="250" t="s">
        <v>742</v>
      </c>
      <c r="AV540" s="151">
        <v>-4.0000000000000001E-3</v>
      </c>
      <c r="AX540" s="250" t="s">
        <v>740</v>
      </c>
    </row>
    <row r="541" spans="22:50">
      <c r="V541" s="248" t="s">
        <v>743</v>
      </c>
      <c r="X541" s="151">
        <v>-4.0000000000000001E-3</v>
      </c>
      <c r="Z541" s="248" t="s">
        <v>741</v>
      </c>
      <c r="AB541" s="151">
        <v>-4.0000000000000001E-3</v>
      </c>
      <c r="AD541" s="82" t="s">
        <v>744</v>
      </c>
      <c r="AF541" s="151">
        <v>-4.0000000000000001E-3</v>
      </c>
      <c r="AH541" s="82" t="s">
        <v>747</v>
      </c>
      <c r="AJ541" s="151">
        <v>-4.0000000000000001E-3</v>
      </c>
      <c r="AL541" s="250" t="s">
        <v>729</v>
      </c>
      <c r="AN541" s="151">
        <v>-4.0000000000000001E-3</v>
      </c>
      <c r="AP541" s="250" t="s">
        <v>731</v>
      </c>
      <c r="AR541" s="151">
        <v>-4.0000000000000001E-3</v>
      </c>
      <c r="AT541" s="248" t="s">
        <v>743</v>
      </c>
      <c r="AV541" s="151">
        <v>-4.0000000000000001E-3</v>
      </c>
      <c r="AX541" s="248" t="s">
        <v>741</v>
      </c>
    </row>
    <row r="542" spans="22:50">
      <c r="V542" s="82" t="s">
        <v>744</v>
      </c>
      <c r="X542" s="151">
        <v>-4.0000000000000001E-3</v>
      </c>
      <c r="Z542" s="250" t="s">
        <v>742</v>
      </c>
      <c r="AB542" s="151">
        <v>-4.0000000000000001E-3</v>
      </c>
      <c r="AD542" s="82" t="s">
        <v>745</v>
      </c>
      <c r="AF542" s="151">
        <v>-4.0000000000000001E-3</v>
      </c>
      <c r="AH542" s="82" t="s">
        <v>748</v>
      </c>
      <c r="AJ542" s="151">
        <v>-4.0000000000000001E-3</v>
      </c>
      <c r="AL542" s="229" t="s">
        <v>730</v>
      </c>
      <c r="AN542" s="151">
        <v>-4.0000000000000001E-3</v>
      </c>
      <c r="AP542" s="250" t="s">
        <v>732</v>
      </c>
      <c r="AR542" s="151">
        <v>-4.0000000000000001E-3</v>
      </c>
      <c r="AT542" s="82" t="s">
        <v>744</v>
      </c>
      <c r="AV542" s="151">
        <v>-4.0000000000000001E-3</v>
      </c>
      <c r="AX542" s="250" t="s">
        <v>742</v>
      </c>
    </row>
    <row r="543" spans="22:50">
      <c r="V543" s="82" t="s">
        <v>745</v>
      </c>
      <c r="X543" s="151">
        <v>-4.0000000000000001E-3</v>
      </c>
      <c r="Z543" s="248" t="s">
        <v>743</v>
      </c>
      <c r="AB543" s="151">
        <v>-4.0000000000000001E-3</v>
      </c>
      <c r="AD543" s="82" t="s">
        <v>746</v>
      </c>
      <c r="AF543" s="151">
        <v>-4.0000000000000001E-3</v>
      </c>
      <c r="AH543" s="248" t="s">
        <v>682</v>
      </c>
      <c r="AJ543" s="49"/>
      <c r="AL543" s="250" t="s">
        <v>731</v>
      </c>
      <c r="AN543" s="151">
        <v>-4.0000000000000001E-3</v>
      </c>
      <c r="AP543" s="248" t="s">
        <v>733</v>
      </c>
      <c r="AR543" s="151">
        <v>-4.0000000000000001E-3</v>
      </c>
      <c r="AT543" s="82" t="s">
        <v>745</v>
      </c>
      <c r="AV543" s="151">
        <v>-4.0000000000000001E-3</v>
      </c>
      <c r="AX543" s="248" t="s">
        <v>743</v>
      </c>
    </row>
    <row r="544" spans="22:50">
      <c r="V544" s="82" t="s">
        <v>746</v>
      </c>
      <c r="X544" s="151">
        <v>-4.0000000000000001E-3</v>
      </c>
      <c r="Z544" s="82" t="s">
        <v>744</v>
      </c>
      <c r="AB544" s="151">
        <v>-4.0000000000000001E-3</v>
      </c>
      <c r="AD544" s="82" t="s">
        <v>747</v>
      </c>
      <c r="AF544" s="151">
        <v>-4.0000000000000001E-3</v>
      </c>
      <c r="AH544" s="250" t="s">
        <v>749</v>
      </c>
      <c r="AL544" s="250" t="s">
        <v>732</v>
      </c>
      <c r="AN544" s="151">
        <v>-4.0000000000000001E-3</v>
      </c>
      <c r="AP544" s="248" t="s">
        <v>734</v>
      </c>
      <c r="AR544" s="151">
        <v>-4.0000000000000001E-3</v>
      </c>
      <c r="AT544" s="82" t="s">
        <v>746</v>
      </c>
      <c r="AV544" s="151">
        <v>-4.0000000000000001E-3</v>
      </c>
      <c r="AX544" s="82" t="s">
        <v>744</v>
      </c>
    </row>
    <row r="545" spans="22:50">
      <c r="V545" s="82" t="s">
        <v>747</v>
      </c>
      <c r="X545" s="151">
        <v>-4.0000000000000001E-3</v>
      </c>
      <c r="Z545" s="82" t="s">
        <v>745</v>
      </c>
      <c r="AB545" s="151">
        <v>-4.0000000000000001E-3</v>
      </c>
      <c r="AD545" s="82" t="s">
        <v>748</v>
      </c>
      <c r="AF545" s="151">
        <v>-4.0000000000000001E-3</v>
      </c>
      <c r="AH545" s="82" t="s">
        <v>583</v>
      </c>
      <c r="AL545" s="248" t="s">
        <v>733</v>
      </c>
      <c r="AN545" s="151">
        <v>-4.0000000000000001E-3</v>
      </c>
      <c r="AP545" s="82" t="s">
        <v>735</v>
      </c>
      <c r="AR545" s="151">
        <v>-4.0000000000000001E-3</v>
      </c>
      <c r="AT545" s="82" t="s">
        <v>747</v>
      </c>
      <c r="AV545" s="151">
        <v>-4.0000000000000001E-3</v>
      </c>
      <c r="AX545" s="82" t="s">
        <v>745</v>
      </c>
    </row>
    <row r="546" spans="22:50">
      <c r="V546" s="82" t="s">
        <v>748</v>
      </c>
      <c r="X546" s="151">
        <v>-4.0000000000000001E-3</v>
      </c>
      <c r="Z546" s="82" t="s">
        <v>746</v>
      </c>
      <c r="AB546" s="151">
        <v>-4.0000000000000001E-3</v>
      </c>
      <c r="AD546" s="250" t="s">
        <v>749</v>
      </c>
      <c r="AL546" s="248" t="s">
        <v>734</v>
      </c>
      <c r="AN546" s="151">
        <v>-4.0000000000000001E-3</v>
      </c>
      <c r="AP546" s="82" t="s">
        <v>736</v>
      </c>
      <c r="AR546" s="151">
        <v>-4.0000000000000001E-3</v>
      </c>
      <c r="AT546" s="82" t="s">
        <v>748</v>
      </c>
      <c r="AV546" s="151">
        <v>-4.0000000000000001E-3</v>
      </c>
      <c r="AX546" s="82" t="s">
        <v>746</v>
      </c>
    </row>
    <row r="547" spans="22:50">
      <c r="V547" s="248" t="s">
        <v>682</v>
      </c>
      <c r="X547" s="49"/>
      <c r="Z547" s="82" t="s">
        <v>747</v>
      </c>
      <c r="AB547" s="151">
        <v>-4.0000000000000001E-3</v>
      </c>
      <c r="AD547" s="82" t="s">
        <v>583</v>
      </c>
      <c r="AL547" s="82" t="s">
        <v>735</v>
      </c>
      <c r="AN547" s="151">
        <v>-4.0000000000000001E-3</v>
      </c>
      <c r="AP547" s="82" t="s">
        <v>737</v>
      </c>
      <c r="AR547" s="151">
        <v>-4.0000000000000001E-3</v>
      </c>
      <c r="AT547" s="248" t="s">
        <v>682</v>
      </c>
      <c r="AV547" s="49"/>
      <c r="AX547" s="82" t="s">
        <v>747</v>
      </c>
    </row>
    <row r="548" spans="22:50">
      <c r="V548" s="250" t="s">
        <v>749</v>
      </c>
      <c r="Z548" s="82" t="s">
        <v>748</v>
      </c>
      <c r="AB548" s="151">
        <v>-4.0000000000000001E-3</v>
      </c>
      <c r="AL548" s="82" t="s">
        <v>736</v>
      </c>
      <c r="AN548" s="151">
        <v>-4.0000000000000001E-3</v>
      </c>
      <c r="AP548" s="82" t="s">
        <v>738</v>
      </c>
      <c r="AR548" s="151">
        <v>-4.0000000000000001E-3</v>
      </c>
      <c r="AT548" s="250" t="s">
        <v>749</v>
      </c>
      <c r="AX548" s="82" t="s">
        <v>748</v>
      </c>
    </row>
    <row r="549" spans="22:50">
      <c r="V549" s="82" t="s">
        <v>583</v>
      </c>
      <c r="Z549" s="250" t="s">
        <v>749</v>
      </c>
      <c r="AL549" s="82" t="s">
        <v>737</v>
      </c>
      <c r="AN549" s="151">
        <v>-4.0000000000000001E-3</v>
      </c>
      <c r="AP549" s="82" t="s">
        <v>739</v>
      </c>
      <c r="AR549" s="151">
        <v>-4.0000000000000001E-3</v>
      </c>
      <c r="AT549" s="82" t="s">
        <v>583</v>
      </c>
      <c r="AX549" s="250" t="s">
        <v>749</v>
      </c>
    </row>
    <row r="550" spans="22:50">
      <c r="Z550" s="82" t="s">
        <v>583</v>
      </c>
      <c r="AL550" s="82" t="s">
        <v>738</v>
      </c>
      <c r="AN550" s="151">
        <v>-4.0000000000000001E-3</v>
      </c>
      <c r="AP550" s="250" t="s">
        <v>740</v>
      </c>
      <c r="AR550" s="151">
        <v>-4.0000000000000001E-3</v>
      </c>
      <c r="AX550" s="82" t="s">
        <v>583</v>
      </c>
    </row>
    <row r="551" spans="22:50">
      <c r="AL551" s="82" t="s">
        <v>739</v>
      </c>
      <c r="AN551" s="151">
        <v>-4.0000000000000001E-3</v>
      </c>
      <c r="AP551" s="248" t="s">
        <v>741</v>
      </c>
      <c r="AR551" s="151">
        <v>-4.0000000000000001E-3</v>
      </c>
    </row>
    <row r="552" spans="22:50">
      <c r="AL552" s="250" t="s">
        <v>740</v>
      </c>
      <c r="AN552" s="151">
        <v>-4.0000000000000001E-3</v>
      </c>
      <c r="AP552" s="250" t="s">
        <v>742</v>
      </c>
      <c r="AR552" s="151">
        <v>-4.0000000000000001E-3</v>
      </c>
    </row>
    <row r="553" spans="22:50">
      <c r="AL553" s="248" t="s">
        <v>741</v>
      </c>
      <c r="AN553" s="151">
        <v>-4.0000000000000001E-3</v>
      </c>
      <c r="AP553" s="248" t="s">
        <v>743</v>
      </c>
      <c r="AR553" s="151">
        <v>-4.0000000000000001E-3</v>
      </c>
    </row>
    <row r="554" spans="22:50">
      <c r="AL554" s="250" t="s">
        <v>742</v>
      </c>
      <c r="AN554" s="151">
        <v>-4.0000000000000001E-3</v>
      </c>
      <c r="AP554" s="82" t="s">
        <v>744</v>
      </c>
      <c r="AR554" s="151">
        <v>-4.0000000000000001E-3</v>
      </c>
    </row>
    <row r="555" spans="22:50">
      <c r="AL555" s="248" t="s">
        <v>743</v>
      </c>
      <c r="AN555" s="151">
        <v>-4.0000000000000001E-3</v>
      </c>
      <c r="AP555" s="82" t="s">
        <v>745</v>
      </c>
      <c r="AR555" s="151">
        <v>-4.0000000000000001E-3</v>
      </c>
    </row>
    <row r="556" spans="22:50">
      <c r="AL556" s="82" t="s">
        <v>744</v>
      </c>
      <c r="AN556" s="151">
        <v>-4.0000000000000001E-3</v>
      </c>
      <c r="AP556" s="82" t="s">
        <v>746</v>
      </c>
      <c r="AR556" s="151">
        <v>-4.0000000000000001E-3</v>
      </c>
    </row>
    <row r="557" spans="22:50">
      <c r="AL557" s="82" t="s">
        <v>745</v>
      </c>
      <c r="AN557" s="151">
        <v>-4.0000000000000001E-3</v>
      </c>
      <c r="AP557" s="82" t="s">
        <v>747</v>
      </c>
      <c r="AR557" s="151">
        <v>-4.0000000000000001E-3</v>
      </c>
    </row>
    <row r="558" spans="22:50">
      <c r="AL558" s="82" t="s">
        <v>746</v>
      </c>
      <c r="AN558" s="151">
        <v>-4.0000000000000001E-3</v>
      </c>
      <c r="AP558" s="82" t="s">
        <v>748</v>
      </c>
      <c r="AR558" s="151">
        <v>-4.0000000000000001E-3</v>
      </c>
    </row>
    <row r="559" spans="22:50">
      <c r="AL559" s="82" t="s">
        <v>747</v>
      </c>
      <c r="AN559" s="151">
        <v>-4.0000000000000001E-3</v>
      </c>
      <c r="AP559" s="250" t="s">
        <v>749</v>
      </c>
    </row>
    <row r="560" spans="22:50">
      <c r="AL560" s="82" t="s">
        <v>748</v>
      </c>
      <c r="AN560" s="151">
        <v>-4.0000000000000001E-3</v>
      </c>
      <c r="AP560" s="82" t="s">
        <v>583</v>
      </c>
    </row>
    <row r="561" spans="38:40">
      <c r="AL561" s="250" t="s">
        <v>749</v>
      </c>
      <c r="AN561" s="151">
        <v>-4.0000000000000001E-3</v>
      </c>
    </row>
  </sheetData>
  <sortState xmlns:xlrd2="http://schemas.microsoft.com/office/spreadsheetml/2017/richdata2" ref="AW4:AX500">
    <sortCondition descending="1" ref="AX4:AX500"/>
  </sortState>
  <hyperlinks>
    <hyperlink ref="C2" location="Week_1_recommendations!A1" display="Week_1_recommendations" xr:uid="{078E7388-C0BC-224D-B570-2DF8A6F0E0B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B7AB-8BD7-5946-8803-CF20A2F6C057}">
  <sheetPr codeName="Sheet19"/>
  <dimension ref="A1:H102"/>
  <sheetViews>
    <sheetView zoomScaleNormal="100" workbookViewId="0">
      <pane ySplit="1" topLeftCell="A2" activePane="bottomLeft" state="frozen"/>
      <selection pane="bottomLeft" activeCell="J88" sqref="J88"/>
    </sheetView>
  </sheetViews>
  <sheetFormatPr baseColWidth="10" defaultRowHeight="14"/>
  <cols>
    <col min="2" max="2" width="29.83203125" customWidth="1"/>
    <col min="3" max="7" width="9.33203125" customWidth="1"/>
  </cols>
  <sheetData>
    <row r="1" spans="1:8">
      <c r="C1" t="s">
        <v>522</v>
      </c>
      <c r="D1" t="s">
        <v>1425</v>
      </c>
      <c r="E1" t="s">
        <v>524</v>
      </c>
      <c r="F1" t="s">
        <v>1426</v>
      </c>
      <c r="G1" t="s">
        <v>1431</v>
      </c>
      <c r="H1" t="s">
        <v>1432</v>
      </c>
    </row>
    <row r="2" spans="1:8">
      <c r="A2" t="s">
        <v>521</v>
      </c>
      <c r="B2" t="s">
        <v>1427</v>
      </c>
      <c r="C2" s="22">
        <f>SUMIF(Meal_entry_week_2!G$11:G$30,"Povrće_i_pečurke_sveže_smrznuto",Meal_entry_week_2!Q$11:Q$30)</f>
        <v>0</v>
      </c>
      <c r="D2" s="22">
        <f>SUMIF(Meal_entry_week_2!G$38:G$49,"Povrće_i_pečurke_sveže_smrznuto",Meal_entry_week_2!Q$38:Q$49)</f>
        <v>0</v>
      </c>
      <c r="E2" s="22">
        <f>SUMIF(Meal_entry_week_2!G$57:G$81,"Povrće_i_pečurke_sveže_smrznuto",Meal_entry_week_2!Q$57:Q$81)</f>
        <v>0</v>
      </c>
      <c r="F2" s="22">
        <f>SUMIF(Meal_entry_week_2!G$89:G$100,"Povrće_i_pečurke_sveže_smrznuto",Meal_entry_week_2!Q$89:Q$100)</f>
        <v>0</v>
      </c>
      <c r="G2" s="22">
        <f>SUM(C2:F2)</f>
        <v>0</v>
      </c>
      <c r="H2" s="5">
        <f>100*G2/(SUM($G$2:$G$17)+0.00001)</f>
        <v>0</v>
      </c>
    </row>
    <row r="3" spans="1:8">
      <c r="A3" t="s">
        <v>521</v>
      </c>
      <c r="B3" t="s">
        <v>796</v>
      </c>
      <c r="C3" s="22">
        <f>SUMIF(Meal_entry_week_2!G$11:G$30,"Povrće_prerađeno",Meal_entry_week_2!Q$11:Q$30)</f>
        <v>0</v>
      </c>
      <c r="D3" s="22">
        <f>SUMIF(Meal_entry_week_2!G$38:G$49,"Povrće_prerađeno",Meal_entry_week_2!Q$38:Q$49)</f>
        <v>0</v>
      </c>
      <c r="E3" s="22">
        <f>SUMIF(Meal_entry_week_2!G$57:G$81,"Povrće_prerađeno",Meal_entry_week_2!Q$57:Q$81)</f>
        <v>0</v>
      </c>
      <c r="F3" s="22">
        <f>SUMIF(Meal_entry_week_2!J$11:J$30,"Povrće_prerađeno",Meal_entry_week_2!V$11:V$30)</f>
        <v>0</v>
      </c>
      <c r="G3" s="22">
        <f t="shared" ref="G3:G17" si="0">SUM(C3:F3)</f>
        <v>0</v>
      </c>
      <c r="H3" s="5">
        <f t="shared" ref="H3:H17" si="1">100*G3/(SUM($G$2:$G$17)+0.00001)</f>
        <v>0</v>
      </c>
    </row>
    <row r="4" spans="1:8">
      <c r="A4" t="s">
        <v>521</v>
      </c>
      <c r="B4" t="s">
        <v>803</v>
      </c>
      <c r="C4" s="22">
        <f>SUMIF(Meal_entry_week_2!G$11:G$30,"Voća_orasi_sušeno_voće",Meal_entry_week_2!Q$11:Q$30)</f>
        <v>0</v>
      </c>
      <c r="D4" s="22">
        <f>SUMIF(Meal_entry_week_2!G$38:G$49,"Voća_orasi_sušeno_voće",Meal_entry_week_2!Q$38:Q$49)</f>
        <v>0</v>
      </c>
      <c r="E4" s="22">
        <f>SUMIF(Meal_entry_week_2!G$57:G$81,"Voća_orasi_sušeno_voće",Meal_entry_week_2!Q$57:Q$81)</f>
        <v>0</v>
      </c>
      <c r="F4" s="22">
        <f>SUMIF(Meal_entry_week_2!J$11:J$30,"Voća_orasi_sušeno_voće",Meal_entry_week_2!V$11:V$30)</f>
        <v>0</v>
      </c>
      <c r="G4" s="22">
        <f t="shared" si="0"/>
        <v>0</v>
      </c>
      <c r="H4" s="5">
        <f t="shared" si="1"/>
        <v>0</v>
      </c>
    </row>
    <row r="5" spans="1:8">
      <c r="A5" t="s">
        <v>521</v>
      </c>
      <c r="B5" t="s">
        <v>806</v>
      </c>
      <c r="C5" s="22">
        <f>SUMIF(Meal_entry_week_2!G$11:G$30,"Meso_sveže_smrznuto",Meal_entry_week_2!Q$11:Q$30)</f>
        <v>0</v>
      </c>
      <c r="D5" s="22">
        <f>SUMIF(Meal_entry_week_2!G$38:G$49,"Meso_sveže_smrznuto",Meal_entry_week_2!Q$38:Q$49)</f>
        <v>0</v>
      </c>
      <c r="E5" s="22">
        <f>SUMIF(Meal_entry_week_2!G$57:G$81,"Meso_sveže_smrznuto",Meal_entry_week_2!Q$57:Q$81)</f>
        <v>0</v>
      </c>
      <c r="F5" s="22">
        <f>SUMIF(Meal_entry_week_2!J$11:J$30,"Meso_sveže_smrznuto",Meal_entry_week_2!V$11:V$30)</f>
        <v>0</v>
      </c>
      <c r="G5" s="22">
        <f t="shared" si="0"/>
        <v>0</v>
      </c>
      <c r="H5" s="5">
        <f t="shared" si="1"/>
        <v>0</v>
      </c>
    </row>
    <row r="6" spans="1:8">
      <c r="A6" t="s">
        <v>521</v>
      </c>
      <c r="B6" t="s">
        <v>797</v>
      </c>
      <c r="C6" s="22">
        <f>SUMIF(Meal_entry_week_2!G$11:G$30,"Meso_prerađeno",Meal_entry_week_2!Q$11:Q$30)</f>
        <v>0</v>
      </c>
      <c r="D6" s="22">
        <f>SUMIF(Meal_entry_week_2!G$38:G$49,"Meso_prerađeno",Meal_entry_week_2!Q$38:Q$49)</f>
        <v>0</v>
      </c>
      <c r="E6" s="22">
        <f>SUMIF(Meal_entry_week_2!G$57:G$81,"Meso_prerađeno",Meal_entry_week_2!Q$57:Q$81)</f>
        <v>0</v>
      </c>
      <c r="F6" s="22">
        <f>SUMIF(Meal_entry_week_2!J$11:J$30,"Meso_prerađeno",Meal_entry_week_2!V$11:V$30)</f>
        <v>0</v>
      </c>
      <c r="G6" s="22">
        <f t="shared" si="0"/>
        <v>0</v>
      </c>
      <c r="H6" s="5">
        <f t="shared" si="1"/>
        <v>0</v>
      </c>
    </row>
    <row r="7" spans="1:8">
      <c r="A7" t="s">
        <v>521</v>
      </c>
      <c r="B7" t="s">
        <v>807</v>
      </c>
      <c r="C7" s="22">
        <f>SUMIF(Meal_entry_week_2!G$11:G$30,"Riba_sveže_smrznuta",Meal_entry_week_2!Q$11:Q$30)+SUMIF(Meal_entry_week_2!G$11:G$30,"Riba_konzervirana",Meal_entry_week_2!Q$11:Q$30)</f>
        <v>0</v>
      </c>
      <c r="D7" s="22">
        <f>SUMIF(Meal_entry_week_2!G$38:G$49,"Riba_sveže_smrznuta",Meal_entry_week_2!Q$38:Q$49)+SUMIF(Meal_entry_week_2!G$38:G$49,"Riba_konzervirana",Meal_entry_week_2!Q$38:Q$49)</f>
        <v>0</v>
      </c>
      <c r="E7" s="22">
        <f>SUMIF(Meal_entry_week_2!G$57:G$81,"Riba_sveže_smrznuta",Meal_entry_week_2!Q$57:Q$81)+SUMIF(Meal_entry_week_2!G$57:G$81,"Riba_konzervirana",Meal_entry_week_2!Q$57:Q$81)</f>
        <v>0</v>
      </c>
      <c r="F7" s="22">
        <f>SUMIF(Meal_entry_week_2!J$11:J$30,"Riba_sveže_smrznuta",Meal_entry_week_2!V$11:V$30)+SUMIF(Meal_entry_week_2!J$11:J$30,"Riba_konzervirana",Meal_entry_week_2!V$11:V$30)</f>
        <v>0</v>
      </c>
      <c r="G7" s="22">
        <f t="shared" si="0"/>
        <v>0</v>
      </c>
      <c r="H7" s="5">
        <f t="shared" si="1"/>
        <v>0</v>
      </c>
    </row>
    <row r="8" spans="1:8">
      <c r="A8" t="s">
        <v>521</v>
      </c>
      <c r="B8" t="s">
        <v>224</v>
      </c>
      <c r="C8" s="22">
        <f>SUMIF(Meal_entry_week_2!G$11:G$30,"Jaja",Meal_entry_week_2!Q$11:Q$30)</f>
        <v>0</v>
      </c>
      <c r="D8" s="22">
        <f>SUMIF(Meal_entry_week_2!G$38:G$49,"Jaja",Meal_entry_week_2!Q$38:Q$49)</f>
        <v>0</v>
      </c>
      <c r="E8" s="22">
        <f>SUMIF(Meal_entry_week_2!G$57:G$81,"Jaja",Meal_entry_week_2!Q$57:Q$81)</f>
        <v>0</v>
      </c>
      <c r="F8" s="22">
        <f>SUMIF(Meal_entry_week_2!J$11:J$30,"Jaja",Meal_entry_week_2!V$11:V$30)</f>
        <v>0</v>
      </c>
      <c r="G8" s="22">
        <f t="shared" si="0"/>
        <v>0</v>
      </c>
      <c r="H8" s="5">
        <f t="shared" si="1"/>
        <v>0</v>
      </c>
    </row>
    <row r="9" spans="1:8">
      <c r="A9" t="s">
        <v>521</v>
      </c>
      <c r="B9" t="s">
        <v>798</v>
      </c>
      <c r="C9" s="22">
        <f>SUMIF(Meal_entry_week_2!G$11:G$30,"Mlečni_proizvodi",Meal_entry_week_2!Q$11:Q$30)</f>
        <v>0</v>
      </c>
      <c r="D9" s="22">
        <f>SUMIF(Meal_entry_week_2!G$38:G$49,"Mlečni_proizvodi",Meal_entry_week_2!Q$38:Q$49)</f>
        <v>0</v>
      </c>
      <c r="E9" s="22">
        <f>SUMIF(Meal_entry_week_2!G$57:G$81,"Mlečni_proizvodi",Meal_entry_week_2!Q$57:Q$81)</f>
        <v>0</v>
      </c>
      <c r="F9" s="22">
        <f>SUMIF(Meal_entry_week_2!J$11:J$30,"Mlečni_proizvodi",Meal_entry_week_2!V$11:V$30)</f>
        <v>0</v>
      </c>
      <c r="G9" s="22">
        <f t="shared" si="0"/>
        <v>0</v>
      </c>
      <c r="H9" s="5">
        <f t="shared" si="1"/>
        <v>0</v>
      </c>
    </row>
    <row r="10" spans="1:8">
      <c r="A10" t="s">
        <v>521</v>
      </c>
      <c r="B10" t="s">
        <v>799</v>
      </c>
      <c r="C10" s="22">
        <f>SUMIF(Meal_entry_week_2!G$11:G$30,"Ulja_maslac_margarin",Meal_entry_week_2!Q$11:Q$30)</f>
        <v>0</v>
      </c>
      <c r="D10" s="22">
        <f>SUMIF(Meal_entry_week_2!G$38:G$49,"Ulja_maslac_margarin",Meal_entry_week_2!Q$38:Q$49)</f>
        <v>0</v>
      </c>
      <c r="E10" s="22">
        <f>SUMIF(Meal_entry_week_2!G$57:G$81,"Ulja_maslac_margarin",Meal_entry_week_2!Q$57:Q$81)</f>
        <v>0</v>
      </c>
      <c r="F10" s="22">
        <f>SUMIF(Meal_entry_week_2!J$11:J$30,"Ulja_maslac_margarin",Meal_entry_week_2!V$11:V$30)</f>
        <v>0</v>
      </c>
      <c r="G10" s="22">
        <f t="shared" si="0"/>
        <v>0</v>
      </c>
      <c r="H10" s="5">
        <f t="shared" si="1"/>
        <v>0</v>
      </c>
    </row>
    <row r="11" spans="1:8">
      <c r="A11" t="s">
        <v>521</v>
      </c>
      <c r="B11" t="s">
        <v>800</v>
      </c>
      <c r="C11" s="22">
        <f>SUMIF(Meal_entry_week_2!G$11:G$30,"Brašno_testenina_seme_žitarica",Meal_entry_week_2!Q$11:Q$30)</f>
        <v>0</v>
      </c>
      <c r="D11" s="22">
        <f>SUMIF(Meal_entry_week_2!G$38:G$49,"Brašno_testenina_seme_žitarica",Meal_entry_week_2!Q$38:Q$49)</f>
        <v>0</v>
      </c>
      <c r="E11" s="22">
        <f>SUMIF(Meal_entry_week_2!G$57:G$81,"Brašno_testenina_seme_žitarica",Meal_entry_week_2!Q$57:Q$81)</f>
        <v>0</v>
      </c>
      <c r="F11" s="22">
        <f>SUMIF(Meal_entry_week_2!J$11:J$30,"Brašno_testenina_seme_žitarica",Meal_entry_week_2!V$11:V$30)</f>
        <v>0</v>
      </c>
      <c r="G11" s="22">
        <f t="shared" si="0"/>
        <v>0</v>
      </c>
      <c r="H11" s="5">
        <f t="shared" si="1"/>
        <v>0</v>
      </c>
    </row>
    <row r="12" spans="1:8">
      <c r="A12" t="s">
        <v>521</v>
      </c>
      <c r="B12" t="s">
        <v>808</v>
      </c>
      <c r="C12" s="22">
        <f>SUMIF(Meal_entry_week_2!G$11:G$30,"Umaci_pire_prelivi",Meal_entry_week_2!Q$11:Q$30)+SUMIF(Meal_entry_week_2!G$11:G$30,"Začini",Meal_entry_week_2!Q$11:Q$30)</f>
        <v>0</v>
      </c>
      <c r="D12" s="22">
        <f>SUMIF(Meal_entry_week_2!G$38:G$49,"Umaci_pire_prelivi",Meal_entry_week_2!Q$38:Q$49)+SUMIF(Meal_entry_week_2!G$38:G$49,"Začini",Meal_entry_week_2!Q$38:Q$49)</f>
        <v>0</v>
      </c>
      <c r="E12" s="22">
        <f>SUMIF(Meal_entry_week_2!G$57:G$81,"Umaci_pire_prelivi",Meal_entry_week_2!Q$57:Q$81)+SUMIF(Meal_entry_week_2!G$57:G$81,"Začini",Meal_entry_week_2!Q$57:Q$81)</f>
        <v>0</v>
      </c>
      <c r="F12" s="22">
        <f>SUMIF(Meal_entry_week_2!J$11:J$30,"Umaci_pire_prelivi",Meal_entry_week_2!V$11:V$30)+SUMIF(Meal_entry_week_2!J$11:J$30,"Začini",Meal_entry_week_2!V$11:V$30)</f>
        <v>0</v>
      </c>
      <c r="G12" s="22">
        <f t="shared" si="0"/>
        <v>0</v>
      </c>
      <c r="H12" s="5">
        <f t="shared" si="1"/>
        <v>0</v>
      </c>
    </row>
    <row r="13" spans="1:8">
      <c r="A13" t="s">
        <v>521</v>
      </c>
      <c r="B13" t="s">
        <v>809</v>
      </c>
      <c r="C13" s="22">
        <f>SUMIF(Meal_entry_week_2!G$11:G$30,"Slatka_hrana_keks",Meal_entry_week_2!Q$11:Q$30)</f>
        <v>0</v>
      </c>
      <c r="D13" s="22">
        <f>SUMIF(Meal_entry_week_2!G$38:G$49,"Slatka_hrana_keks",Meal_entry_week_2!Q$38:Q$49)</f>
        <v>0</v>
      </c>
      <c r="E13" s="22">
        <f>SUMIF(Meal_entry_week_2!G$57:G$81,"Slatka_hrana_keks",Meal_entry_week_2!Q$57:Q$81)</f>
        <v>0</v>
      </c>
      <c r="F13" s="22">
        <f>SUMIF(Meal_entry_week_2!J$11:J$30,"Slatka_hrana_keks",Meal_entry_week_2!V$11:V$30)</f>
        <v>0</v>
      </c>
      <c r="G13" s="22">
        <f t="shared" si="0"/>
        <v>0</v>
      </c>
      <c r="H13" s="5">
        <f t="shared" si="1"/>
        <v>0</v>
      </c>
    </row>
    <row r="14" spans="1:8">
      <c r="A14" t="s">
        <v>521</v>
      </c>
      <c r="B14" t="s">
        <v>810</v>
      </c>
      <c r="C14" s="22">
        <f>SUMIF(Meal_entry_week_2!G$11:G$30,"Hleb_i_peciva",Meal_entry_week_2!Q$11:Q$30)+SUMIF(Meal_entry_week_2!G$11:G$30,"Slana_peciva",Meal_entry_week_2!Q$11:Q$30)+SUMIF(Meal_entry_week_2!G$11:G$30,"Slatka_peciva",Meal_entry_week_2!Q$11:Q$30)</f>
        <v>0</v>
      </c>
      <c r="D14" s="22">
        <f>SUMIF(Meal_entry_week_2!G$38:G$49,"Hleb_i_peciva",Meal_entry_week_2!Q$38:Q$49)+SUMIF(Meal_entry_week_2!G$38:G$49,"Slana_peciva",Meal_entry_week_2!Q$38:Q$49)+SUMIF(Meal_entry_week_2!G$38:G$49,"Slatka_peciva",Meal_entry_week_2!Q$38:Q$49)</f>
        <v>0</v>
      </c>
      <c r="E14" s="22">
        <f>SUMIF(Meal_entry_week_2!G$57:G$81,"Hleb_i_peciva",Meal_entry_week_2!Q$57:Q$81)+SUMIF(Meal_entry_week_2!G$57:G$81,"Slana_peciva",Meal_entry_week_2!Q$57:Q$81)+SUMIF(Meal_entry_week_2!G$57:G$81,"Slatka_peciva",Meal_entry_week_2!Q$57:Q$81)</f>
        <v>0</v>
      </c>
      <c r="F14" s="22">
        <f>SUMIF(Meal_entry_week_2!J$11:J$30,"Hleb_i_peciva",Meal_entry_week_2!V$11:V$30)+SUMIF(Meal_entry_week_2!J$11:J$30,"Slana_peciva",Meal_entry_week_2!V$11:V$30)+SUMIF(Meal_entry_week_2!J$11:J$30,"Slatka_peciva",Meal_entry_week_2!V$11:V$30)</f>
        <v>0</v>
      </c>
      <c r="G14" s="22">
        <f t="shared" si="0"/>
        <v>0</v>
      </c>
      <c r="H14" s="5">
        <f t="shared" si="1"/>
        <v>0</v>
      </c>
    </row>
    <row r="15" spans="1:8">
      <c r="A15" t="s">
        <v>521</v>
      </c>
      <c r="B15" t="s">
        <v>802</v>
      </c>
      <c r="C15" s="22">
        <f>SUMIF(Meal_entry_week_2!G$11:G$30,"Ostala_gotova_hrana",Meal_entry_week_2!Q$11:Q$30)</f>
        <v>0</v>
      </c>
      <c r="D15" s="22">
        <f>SUMIF(Meal_entry_week_2!G$38:G$49,"Ostala_gotova_hrana",Meal_entry_week_2!Q$38:Q$49)</f>
        <v>0</v>
      </c>
      <c r="E15" s="22">
        <f>SUMIF(Meal_entry_week_2!G$57:G$81,"Ostala_gotova_hrana",Meal_entry_week_2!Q$57:Q$81)</f>
        <v>0</v>
      </c>
      <c r="F15" s="22">
        <f>SUMIF(Meal_entry_week_2!J$11:J$30,"Ostala_gotova_hrana",Meal_entry_week_2!V$11:V$30)</f>
        <v>0</v>
      </c>
      <c r="G15" s="22">
        <f t="shared" si="0"/>
        <v>0</v>
      </c>
      <c r="H15" s="5">
        <f t="shared" si="1"/>
        <v>0</v>
      </c>
    </row>
    <row r="16" spans="1:8">
      <c r="A16" t="s">
        <v>521</v>
      </c>
      <c r="B16" s="11" t="s">
        <v>1428</v>
      </c>
      <c r="C16" s="22">
        <f>SUMIF(Meal_entry_week_2!G$11:G$30,"Šećerna_piča_čajevi_kafa",Meal_entry_week_2!Q$11:Q$30)</f>
        <v>0</v>
      </c>
      <c r="D16" s="22">
        <f>SUMIF(Meal_entry_week_2!G$38:G$49,"Šećerna_piča_čajevi_kafa",Meal_entry_week_2!Q$38:Q$49)</f>
        <v>0</v>
      </c>
      <c r="E16" s="22">
        <f>SUMIF(Meal_entry_week_2!G$57:G$81,"Šećerna_piča_čajevi_kafa",Meal_entry_week_2!Q$57:Q$81)</f>
        <v>0</v>
      </c>
      <c r="F16" s="22">
        <f>SUMIF(Meal_entry_week_2!J$11:J$30,"Šećerna_piča_čajevi_kafa",Meal_entry_week_2!V$11:V$30)</f>
        <v>0</v>
      </c>
      <c r="G16" s="22">
        <f t="shared" si="0"/>
        <v>0</v>
      </c>
      <c r="H16" s="5">
        <f t="shared" si="1"/>
        <v>0</v>
      </c>
    </row>
    <row r="17" spans="1:8">
      <c r="A17" t="s">
        <v>521</v>
      </c>
      <c r="B17" t="s">
        <v>1429</v>
      </c>
      <c r="C17" s="22">
        <f>SUMIF(Meal_entry_week_2!G$11:G$30,"Voćni_sokovi_voda",Meal_entry_week_2!Q$11:Q$30)</f>
        <v>0</v>
      </c>
      <c r="D17" s="22">
        <f>SUMIF(Meal_entry_week_2!G$38:G$49,"Voćni_sokovi_voda",Meal_entry_week_2!Q$38:Q$49)</f>
        <v>0</v>
      </c>
      <c r="E17" s="22">
        <f>SUMIF(Meal_entry_week_2!G$57:G$81,"Voćni_sokovi_voda",Meal_entry_week_2!Q$57:Q$81)</f>
        <v>0</v>
      </c>
      <c r="F17" s="22">
        <f>SUMIF(Meal_entry_week_2!J$11:J$30,"Voćni_sokovi_voda",Meal_entry_week_2!V$11:V$30)</f>
        <v>0</v>
      </c>
      <c r="G17" s="22">
        <f t="shared" si="0"/>
        <v>0</v>
      </c>
      <c r="H17" s="5">
        <f t="shared" si="1"/>
        <v>0</v>
      </c>
    </row>
    <row r="18" spans="1:8">
      <c r="C18" s="22"/>
      <c r="D18" s="22"/>
      <c r="E18" s="22"/>
      <c r="F18" s="22"/>
      <c r="G18" s="22"/>
    </row>
    <row r="19" spans="1:8">
      <c r="A19" t="s">
        <v>526</v>
      </c>
      <c r="B19" t="s">
        <v>1427</v>
      </c>
      <c r="C19" s="22">
        <f>SUMIF(Meal_entry_week_2!G$110:G$129,"Povrće_i_pečurke_sveže_smrznuto",Meal_entry_week_2!Q$110:Q$129)</f>
        <v>0</v>
      </c>
      <c r="D19" s="22">
        <f>SUMIF(Meal_entry_week_2!G$137:G$148,"Povrće_i_pečurke_sveže_smrznuto",Meal_entry_week_2!Q$137:Q$148)</f>
        <v>0</v>
      </c>
      <c r="E19" s="22">
        <f>SUMIF(Meal_entry_week_2!G$156:G$180,"Povrće_i_pečurke_sveže_smrznuto",Meal_entry_week_2!Q$156:Q$180)</f>
        <v>0</v>
      </c>
      <c r="F19" s="22">
        <f>SUMIF(Meal_entry_week_2!G$188:G$199,"Povrće_i_pečurke_sveže_smrznuto",Meal_entry_week_2!Q$188:Q$199)</f>
        <v>0</v>
      </c>
      <c r="G19" s="22">
        <f>SUM(C19:F19)</f>
        <v>0</v>
      </c>
      <c r="H19" s="5">
        <f>100*G19/(SUM($G$19:$G$34)+0.00001)</f>
        <v>0</v>
      </c>
    </row>
    <row r="20" spans="1:8">
      <c r="A20" t="s">
        <v>526</v>
      </c>
      <c r="B20" t="s">
        <v>796</v>
      </c>
      <c r="C20" s="22">
        <f>SUMIF(Meal_entry_week_2!G$110:G$129,"Povrće_prerađeno",Meal_entry_week_2!Q$110:Q$129)</f>
        <v>0</v>
      </c>
      <c r="D20" s="22">
        <f>SUMIF(Meal_entry_week_2!G$137:G$148,"Povrće_prerađeno",Meal_entry_week_2!Q$137:Q$148)</f>
        <v>0</v>
      </c>
      <c r="E20" s="22">
        <f>SUMIF(Meal_entry_week_2!G$156:G$180,"Povrće_prerađeno",Meal_entry_week_2!Q$156:Q$180)</f>
        <v>0</v>
      </c>
      <c r="F20" s="22">
        <f>SUMIF(Meal_entry_week_2!G$188:G$199,"Povrće_prerađeno",Meal_entry_week_2!Q$188:Q$199)</f>
        <v>0</v>
      </c>
      <c r="G20" s="22">
        <f t="shared" ref="G20:G34" si="2">SUM(C20:F20)</f>
        <v>0</v>
      </c>
      <c r="H20" s="5">
        <f t="shared" ref="H20:H34" si="3">100*G20/(SUM($G$19:$G$34)+0.00001)</f>
        <v>0</v>
      </c>
    </row>
    <row r="21" spans="1:8">
      <c r="A21" t="s">
        <v>526</v>
      </c>
      <c r="B21" t="s">
        <v>803</v>
      </c>
      <c r="C21" s="22">
        <f>SUMIF(Meal_entry_week_2!G$110:G$129,"Voća_orasi_sušeno_voće",Meal_entry_week_2!Q$110:Q$129)</f>
        <v>0</v>
      </c>
      <c r="D21" s="22">
        <f>SUMIF(Meal_entry_week_2!G$137:G$148,"Voća_orasi_sušeno_voće",Meal_entry_week_2!Q$137:Q$148)</f>
        <v>0</v>
      </c>
      <c r="E21" s="22">
        <f>SUMIF(Meal_entry_week_2!G$156:G$180,"Voća_orasi_sušeno_voće",Meal_entry_week_2!Q$156:Q$180)</f>
        <v>0</v>
      </c>
      <c r="F21" s="22">
        <f>SUMIF(Meal_entry_week_2!G$188:G$199,"Voća_orasi_sušeno_voće",Meal_entry_week_2!Q$188:Q$199)</f>
        <v>0</v>
      </c>
      <c r="G21" s="22">
        <f t="shared" si="2"/>
        <v>0</v>
      </c>
      <c r="H21" s="5">
        <f t="shared" si="3"/>
        <v>0</v>
      </c>
    </row>
    <row r="22" spans="1:8">
      <c r="A22" t="s">
        <v>526</v>
      </c>
      <c r="B22" t="s">
        <v>806</v>
      </c>
      <c r="C22" s="22">
        <f>SUMIF(Meal_entry_week_2!G$110:G$129,"Meso_sveže_smrznuto",Meal_entry_week_2!Q$110:Q$129)</f>
        <v>0</v>
      </c>
      <c r="D22" s="22">
        <f>SUMIF(Meal_entry_week_2!G$137:G$148,"Meso_sveže_smrznuto",Meal_entry_week_2!Q$137:Q$148)</f>
        <v>0</v>
      </c>
      <c r="E22" s="22">
        <f>SUMIF(Meal_entry_week_2!G$156:G$180,"Meso_sveže_smrznuto",Meal_entry_week_2!Q$156:Q$180)</f>
        <v>0</v>
      </c>
      <c r="F22" s="22">
        <f>SUMIF(Meal_entry_week_2!G$188:G$199,"Meso_sveže_smrznuto",Meal_entry_week_2!Q$188:Q$199)</f>
        <v>0</v>
      </c>
      <c r="G22" s="22">
        <f t="shared" si="2"/>
        <v>0</v>
      </c>
      <c r="H22" s="5">
        <f t="shared" si="3"/>
        <v>0</v>
      </c>
    </row>
    <row r="23" spans="1:8">
      <c r="A23" t="s">
        <v>526</v>
      </c>
      <c r="B23" t="s">
        <v>797</v>
      </c>
      <c r="C23" s="22">
        <f>SUMIF(Meal_entry_week_2!G$110:G$129,"Meso_prerađeno",Meal_entry_week_2!Q$110:Q$129)</f>
        <v>0</v>
      </c>
      <c r="D23" s="22">
        <f>SUMIF(Meal_entry_week_2!G$137:G$148,"Meso_prerađeno",Meal_entry_week_2!Q$137:Q$148)</f>
        <v>0</v>
      </c>
      <c r="E23" s="22">
        <f>SUMIF(Meal_entry_week_2!G$156:G$180,"Meso_prerađeno",Meal_entry_week_2!Q$156:Q$180)</f>
        <v>0</v>
      </c>
      <c r="F23" s="22">
        <f>SUMIF(Meal_entry_week_2!G$188:G$199,"Meso_prerađeno",Meal_entry_week_2!Q$188:Q$199)</f>
        <v>0</v>
      </c>
      <c r="G23" s="22">
        <f t="shared" si="2"/>
        <v>0</v>
      </c>
      <c r="H23" s="5">
        <f t="shared" si="3"/>
        <v>0</v>
      </c>
    </row>
    <row r="24" spans="1:8">
      <c r="A24" t="s">
        <v>526</v>
      </c>
      <c r="B24" t="s">
        <v>807</v>
      </c>
      <c r="C24" s="22">
        <f>SUMIF(Meal_entry_week_2!G$110:G$129,"Riba_sveže_smrznuta",Meal_entry_week_2!Q$110:Q$129)+SUMIF(Meal_entry_week_2!G$110:G$129,"Riba_konzervirana",Meal_entry_week_2!Q$110:Q$129)</f>
        <v>0</v>
      </c>
      <c r="D24" s="22">
        <f>SUMIF(Meal_entry_week_2!G$137:G$148,"Riba_sveže_smrznuta",Meal_entry_week_2!Q$137:Q$148)+SUMIF(Meal_entry_week_2!G$137:G$148,"Riba_konzervirana",Meal_entry_week_2!Q$137:Q$148)</f>
        <v>0</v>
      </c>
      <c r="E24" s="22">
        <f>SUMIF(Meal_entry_week_2!G$156:G$180,"Riba_sveže_smrznuta",Meal_entry_week_2!Q$156:Q$180)+SUMIF(Meal_entry_week_2!G$156:G$180,"Riba_konzervirana",Meal_entry_week_2!Q$156:Q$180)</f>
        <v>0</v>
      </c>
      <c r="F24" s="22">
        <f>SUMIF(Meal_entry_week_2!G$188:G$199,"Riba_sveže_smrznuta",Meal_entry_week_2!Q$188:Q$199)+SUMIF(Meal_entry_week_2!G$188:G$199,"Riba_konzervirana",Meal_entry_week_2!Q$188:Q$199)</f>
        <v>0</v>
      </c>
      <c r="G24" s="22">
        <f t="shared" si="2"/>
        <v>0</v>
      </c>
      <c r="H24" s="5">
        <f t="shared" si="3"/>
        <v>0</v>
      </c>
    </row>
    <row r="25" spans="1:8">
      <c r="A25" t="s">
        <v>526</v>
      </c>
      <c r="B25" t="s">
        <v>224</v>
      </c>
      <c r="C25" s="22">
        <f>SUMIF(Meal_entry_week_2!G$110:G$129,"Jaja",Meal_entry_week_2!Q$110:Q$129)</f>
        <v>0</v>
      </c>
      <c r="D25" s="22">
        <f>SUMIF(Meal_entry_week_2!G$137:G$148,"Jaja",Meal_entry_week_2!Q$137:Q$148)</f>
        <v>0</v>
      </c>
      <c r="E25" s="22">
        <f>SUMIF(Meal_entry_week_2!G$156:G$180,"Jaja",Meal_entry_week_2!Q$156:Q$180)</f>
        <v>0</v>
      </c>
      <c r="F25" s="22">
        <f>SUMIF(Meal_entry_week_2!G$188:G$199,"Jaja",Meal_entry_week_2!Q$188:Q$199)</f>
        <v>0</v>
      </c>
      <c r="G25" s="22">
        <f t="shared" si="2"/>
        <v>0</v>
      </c>
      <c r="H25" s="5">
        <f t="shared" si="3"/>
        <v>0</v>
      </c>
    </row>
    <row r="26" spans="1:8">
      <c r="A26" t="s">
        <v>526</v>
      </c>
      <c r="B26" t="s">
        <v>798</v>
      </c>
      <c r="C26" s="22">
        <f>SUMIF(Meal_entry_week_2!G$110:G$129,"Mlečni_proizvodi",Meal_entry_week_2!Q$110:Q$129)</f>
        <v>0</v>
      </c>
      <c r="D26" s="22">
        <f>SUMIF(Meal_entry_week_2!G$137:G$148,"Mlečni_proizvodi",Meal_entry_week_2!Q$137:Q$148)</f>
        <v>0</v>
      </c>
      <c r="E26" s="22">
        <f>SUMIF(Meal_entry_week_2!G$156:G$180,"Mlečni_proizvodi",Meal_entry_week_2!Q$156:Q$180)</f>
        <v>0</v>
      </c>
      <c r="F26" s="22">
        <f>SUMIF(Meal_entry_week_2!G$188:G$199,"Mlečni_proizvodi",Meal_entry_week_2!Q$188:Q$199)</f>
        <v>0</v>
      </c>
      <c r="G26" s="22">
        <f t="shared" si="2"/>
        <v>0</v>
      </c>
      <c r="H26" s="5">
        <f t="shared" si="3"/>
        <v>0</v>
      </c>
    </row>
    <row r="27" spans="1:8">
      <c r="A27" t="s">
        <v>526</v>
      </c>
      <c r="B27" t="s">
        <v>799</v>
      </c>
      <c r="C27" s="22">
        <f>SUMIF(Meal_entry_week_2!G$110:G$129,"Ulja_maslac_margarin",Meal_entry_week_2!Q$110:Q$129)</f>
        <v>0</v>
      </c>
      <c r="D27" s="22">
        <f>SUMIF(Meal_entry_week_2!G$137:G$148,"Ulja_maslac_margarin",Meal_entry_week_2!Q$137:Q$148)</f>
        <v>0</v>
      </c>
      <c r="E27" s="22">
        <f>SUMIF(Meal_entry_week_2!G$156:G$180,"Ulja_maslac_margarin",Meal_entry_week_2!Q$156:Q$180)</f>
        <v>0</v>
      </c>
      <c r="F27" s="22">
        <f>SUMIF(Meal_entry_week_2!G$188:G$199,"Ulja_maslac_margarin",Meal_entry_week_2!Q$188:Q$199)</f>
        <v>0</v>
      </c>
      <c r="G27" s="22">
        <f t="shared" si="2"/>
        <v>0</v>
      </c>
      <c r="H27" s="5">
        <f t="shared" si="3"/>
        <v>0</v>
      </c>
    </row>
    <row r="28" spans="1:8">
      <c r="A28" t="s">
        <v>526</v>
      </c>
      <c r="B28" t="s">
        <v>800</v>
      </c>
      <c r="C28" s="22">
        <f>SUMIF(Meal_entry_week_2!G$110:G$129,"Brašno_testenina_seme_žitarica",Meal_entry_week_2!Q$110:Q$129)</f>
        <v>0</v>
      </c>
      <c r="D28" s="22">
        <f>SUMIF(Meal_entry_week_2!G$137:G$148,"Brašno_testenina_seme_žitarica",Meal_entry_week_2!Q$137:Q$148)</f>
        <v>0</v>
      </c>
      <c r="E28" s="22">
        <f>SUMIF(Meal_entry_week_2!G$156:G$180,"Brašno_testenina_seme_žitarica",Meal_entry_week_2!Q$156:Q$180)</f>
        <v>0</v>
      </c>
      <c r="F28" s="22">
        <f>SUMIF(Meal_entry_week_2!G$188:G$199,"Brašno_testenina_seme_žitarica",Meal_entry_week_2!Q$188:Q$199)</f>
        <v>0</v>
      </c>
      <c r="G28" s="22">
        <f t="shared" si="2"/>
        <v>0</v>
      </c>
      <c r="H28" s="5">
        <f t="shared" si="3"/>
        <v>0</v>
      </c>
    </row>
    <row r="29" spans="1:8">
      <c r="A29" t="s">
        <v>526</v>
      </c>
      <c r="B29" t="s">
        <v>808</v>
      </c>
      <c r="C29" s="22">
        <f>SUMIF(Meal_entry_week_2!G$110:G$129,"Umaci_pire_prelivi",Meal_entry_week_2!Q$110:Q$129)+SUMIF(Meal_entry_week_2!G$110:G$129,"Začini",Meal_entry_week_2!Q$110:Q$129)</f>
        <v>0</v>
      </c>
      <c r="D29" s="22">
        <f>SUMIF(Meal_entry_week_2!G$137:G$148,"Umaci_pire_prelivi",Meal_entry_week_2!Q$137:Q$148)+SUMIF(Meal_entry_week_2!G$137:G$148,"Začini",Meal_entry_week_2!Q$137:Q$148)</f>
        <v>0</v>
      </c>
      <c r="E29" s="22">
        <f>SUMIF(Meal_entry_week_2!G$156:G$180,"Umaci_pire_prelivi",Meal_entry_week_2!Q$156:Q$180)+SUMIF(Meal_entry_week_2!G$156:G$180,"Začini",Meal_entry_week_2!Q$156:Q$180)</f>
        <v>0</v>
      </c>
      <c r="F29" s="22">
        <f>SUMIF(Meal_entry_week_2!G$188:G$199,"Umaci_pire_prelivi",Meal_entry_week_2!Q$188:Q$199)+SUMIF(Meal_entry_week_2!G$188:G$199,"Začini",Meal_entry_week_2!Q$188:Q$199)</f>
        <v>0</v>
      </c>
      <c r="G29" s="22">
        <f t="shared" si="2"/>
        <v>0</v>
      </c>
      <c r="H29" s="5">
        <f t="shared" si="3"/>
        <v>0</v>
      </c>
    </row>
    <row r="30" spans="1:8">
      <c r="A30" t="s">
        <v>526</v>
      </c>
      <c r="B30" t="s">
        <v>809</v>
      </c>
      <c r="C30" s="22">
        <f>SUMIF(Meal_entry_week_2!G$110:G$129,"Slatka_hrana_keks",Meal_entry_week_2!Q$110:Q$129)</f>
        <v>0</v>
      </c>
      <c r="D30" s="22">
        <f>SUMIF(Meal_entry_week_2!G$137:G$148,"Slatka_hrana_keks",Meal_entry_week_2!Q$137:Q$148)</f>
        <v>0</v>
      </c>
      <c r="E30" s="22">
        <f>SUMIF(Meal_entry_week_2!G$156:G$180,"Slatka_hrana_keks",Meal_entry_week_2!Q$156:Q$180)</f>
        <v>0</v>
      </c>
      <c r="F30" s="22">
        <f>SUMIF(Meal_entry_week_2!G$188:G$199,"Slatka_hrana_keks",Meal_entry_week_2!Q$188:Q$199)</f>
        <v>0</v>
      </c>
      <c r="G30" s="22">
        <f t="shared" si="2"/>
        <v>0</v>
      </c>
      <c r="H30" s="5">
        <f t="shared" si="3"/>
        <v>0</v>
      </c>
    </row>
    <row r="31" spans="1:8">
      <c r="A31" t="s">
        <v>526</v>
      </c>
      <c r="B31" t="s">
        <v>810</v>
      </c>
      <c r="C31" s="22">
        <f>SUMIF(Meal_entry_week_2!G$110:G$129,"Hleb_i_peciva",Meal_entry_week_2!Q$110:Q$129)+SUMIF(Meal_entry_week_2!G$110:G$129,"Slana_peciva",Meal_entry_week_2!Q$110:Q$129)+SUMIF(Meal_entry_week_2!G$110:G$129,"Slatka_peciva",Meal_entry_week_2!Q$110:Q$129)</f>
        <v>0</v>
      </c>
      <c r="D31" s="22">
        <f>SUMIF(Meal_entry_week_2!G$137:G$148,"Hleb_i_peciva",Meal_entry_week_2!Q$137:Q$148)+SUMIF(Meal_entry_week_2!G$137:G$148,"Slana_peciva",Meal_entry_week_2!Q$137:Q$148)+SUMIF(Meal_entry_week_2!G$137:G$148,"Slatka_peciva",Meal_entry_week_2!Q$137:Q$148)</f>
        <v>0</v>
      </c>
      <c r="E31" s="22">
        <f>SUMIF(Meal_entry_week_2!G$156:G$180,"Hleb_i_peciva",Meal_entry_week_2!Q$156:Q$180)+SUMIF(Meal_entry_week_2!G$156:G$180,"Slana_peciva",Meal_entry_week_2!Q$156:Q$180)+SUMIF(Meal_entry_week_2!G$156:G$180,"Slatka_peciva",Meal_entry_week_2!Q$156:Q$180)</f>
        <v>0</v>
      </c>
      <c r="F31" s="22">
        <f>SUMIF(Meal_entry_week_2!G$188:G$199,"Hleb_i_peciva",Meal_entry_week_2!Q$188:Q$199)+SUMIF(Meal_entry_week_2!G$188:G$199,"Slana_peciva",Meal_entry_week_2!Q$188:Q$199)+SUMIF(Meal_entry_week_2!G$188:G$199,"Slatka_peciva",Meal_entry_week_2!Q$188:Q$199)</f>
        <v>0</v>
      </c>
      <c r="G31" s="22">
        <f t="shared" si="2"/>
        <v>0</v>
      </c>
      <c r="H31" s="5">
        <f t="shared" si="3"/>
        <v>0</v>
      </c>
    </row>
    <row r="32" spans="1:8">
      <c r="A32" t="s">
        <v>526</v>
      </c>
      <c r="B32" t="s">
        <v>802</v>
      </c>
      <c r="C32" s="22">
        <f>SUMIF(Meal_entry_week_2!G$110:G$129,"Ostala_gotova_hrana",Meal_entry_week_2!Q$110:Q$129)</f>
        <v>0</v>
      </c>
      <c r="D32" s="22">
        <f>SUMIF(Meal_entry_week_2!G$137:G$148,"Ostala_gotova_hrana",Meal_entry_week_2!Q$137:Q$148)</f>
        <v>0</v>
      </c>
      <c r="E32" s="22">
        <f>SUMIF(Meal_entry_week_2!G$156:G$180,"Ostala_gotova_hrana",Meal_entry_week_2!Q$156:Q$180)</f>
        <v>0</v>
      </c>
      <c r="F32" s="22">
        <f>SUMIF(Meal_entry_week_2!G$188:G$199,"Ostala_gotova_hrana",Meal_entry_week_2!Q$188:Q$199)</f>
        <v>0</v>
      </c>
      <c r="G32" s="22">
        <f t="shared" si="2"/>
        <v>0</v>
      </c>
      <c r="H32" s="5">
        <f t="shared" si="3"/>
        <v>0</v>
      </c>
    </row>
    <row r="33" spans="1:8">
      <c r="A33" t="s">
        <v>526</v>
      </c>
      <c r="B33" s="11" t="s">
        <v>1428</v>
      </c>
      <c r="C33" s="22">
        <f>SUMIF(Meal_entry_week_2!G$110:G$129,"Šećerna_piča_čajevi_kafa",Meal_entry_week_2!Q$110:Q$129)</f>
        <v>0</v>
      </c>
      <c r="D33" s="22">
        <f>SUMIF(Meal_entry_week_2!G$137:G$148,"Šećerna_piča_čajevi_kafa",Meal_entry_week_2!Q$137:Q$148)</f>
        <v>0</v>
      </c>
      <c r="E33" s="22">
        <f>SUMIF(Meal_entry_week_2!G$156:G$180,"Šećerna_piča_čajevi_kafa",Meal_entry_week_2!Q$156:Q$180)</f>
        <v>0</v>
      </c>
      <c r="F33" s="22">
        <f>SUMIF(Meal_entry_week_2!G$188:G$199,"Šećerna_piča_čajevi_kafa",Meal_entry_week_2!Q$188:Q$199)</f>
        <v>0</v>
      </c>
      <c r="G33" s="22">
        <f t="shared" si="2"/>
        <v>0</v>
      </c>
      <c r="H33" s="5">
        <f t="shared" si="3"/>
        <v>0</v>
      </c>
    </row>
    <row r="34" spans="1:8">
      <c r="A34" t="s">
        <v>526</v>
      </c>
      <c r="B34" t="s">
        <v>1429</v>
      </c>
      <c r="C34" s="22">
        <f>SUMIF(Meal_entry_week_2!G$110:G$129,"Voćni_sokovi_voda",Meal_entry_week_2!Q$110:Q$129)</f>
        <v>0</v>
      </c>
      <c r="D34" s="22">
        <f>SUMIF(Meal_entry_week_2!G$137:G$148,"Voćni_sokovi_voda",Meal_entry_week_2!Q$137:Q$148)</f>
        <v>0</v>
      </c>
      <c r="E34" s="22">
        <f>SUMIF(Meal_entry_week_2!G$156:G$180,"Voćni_sokovi_voda",Meal_entry_week_2!Q$156:Q$180)</f>
        <v>0</v>
      </c>
      <c r="F34" s="22">
        <f>SUMIF(Meal_entry_week_2!G$188:G$199,"Voćni_sokovi_voda",Meal_entry_week_2!Q$188:Q$199)</f>
        <v>0</v>
      </c>
      <c r="G34" s="22">
        <f t="shared" si="2"/>
        <v>0</v>
      </c>
      <c r="H34" s="5">
        <f t="shared" si="3"/>
        <v>0</v>
      </c>
    </row>
    <row r="35" spans="1:8">
      <c r="C35" s="22"/>
      <c r="D35" s="22"/>
      <c r="E35" s="22"/>
      <c r="F35" s="22"/>
      <c r="G35" s="22"/>
    </row>
    <row r="36" spans="1:8">
      <c r="A36" t="s">
        <v>527</v>
      </c>
      <c r="B36" t="s">
        <v>1427</v>
      </c>
      <c r="C36" s="22">
        <f>SUMIF(Meal_entry_week_2!G$209:G$228,"Povrće_i_pečurke_sveže_smrznuto",Meal_entry_week_2!Q$209:Q$228)</f>
        <v>0</v>
      </c>
      <c r="D36" s="22">
        <f>SUMIF(Meal_entry_week_2!G$236:G$247,"Povrće_i_pečurke_sveže_smrznuto",Meal_entry_week_2!Q$236:Q$247)</f>
        <v>0</v>
      </c>
      <c r="E36" s="22">
        <f>SUMIF(Meal_entry_week_2!G$255:G$279,"Povrće_i_pečurke_sveže_smrznuto",Meal_entry_week_2!Q$255:Q$279)</f>
        <v>0</v>
      </c>
      <c r="F36" s="22">
        <f>SUMIF(Meal_entry_week_2!G$287:G$298,"Povrće_i_pečurke_sveže_smrznuto",Meal_entry_week_2!Q$287:Q$298)</f>
        <v>0</v>
      </c>
      <c r="G36" s="22">
        <f>SUM(C36:F36)</f>
        <v>0</v>
      </c>
      <c r="H36" s="5">
        <f>100*G36/(SUM($G$36:$G$51)+0.00001)</f>
        <v>0</v>
      </c>
    </row>
    <row r="37" spans="1:8">
      <c r="A37" t="s">
        <v>527</v>
      </c>
      <c r="B37" t="s">
        <v>796</v>
      </c>
      <c r="C37" s="22">
        <f>SUMIF(Meal_entry_week_2!G$209:G$228,"Povrće_prerađeno",Meal_entry_week_2!Q$209:Q$228)</f>
        <v>0</v>
      </c>
      <c r="D37" s="22">
        <f>SUMIF(Meal_entry_week_2!G$236:G$247,"Povrće_prerađeno",Meal_entry_week_2!Q$236:Q$247)</f>
        <v>0</v>
      </c>
      <c r="E37" s="22">
        <f>SUMIF(Meal_entry_week_2!G$255:G$279,"Povrće_prerađeno",Meal_entry_week_2!Q$255:Q$279)</f>
        <v>0</v>
      </c>
      <c r="F37" s="22">
        <f>SUMIF(Meal_entry_week_2!G$287:G$298,"Povrće_prerađeno",Meal_entry_week_2!Q$287:Q$298)</f>
        <v>0</v>
      </c>
      <c r="G37" s="22">
        <f t="shared" ref="G37:G51" si="4">SUM(C37:F37)</f>
        <v>0</v>
      </c>
      <c r="H37" s="5">
        <f t="shared" ref="H37:H51" si="5">100*G37/(SUM($G$36:$G$51)+0.00001)</f>
        <v>0</v>
      </c>
    </row>
    <row r="38" spans="1:8">
      <c r="A38" t="s">
        <v>527</v>
      </c>
      <c r="B38" t="s">
        <v>803</v>
      </c>
      <c r="C38" s="22">
        <f>SUMIF(Meal_entry_week_2!G$209:G$228,"Voća_orasi_sušeno_voće",Meal_entry_week_2!Q$209:Q$228)</f>
        <v>0</v>
      </c>
      <c r="D38" s="22">
        <f>SUMIF(Meal_entry_week_2!G$236:G$247,"Voća_orasi_sušeno_voće",Meal_entry_week_2!Q$236:Q$247)</f>
        <v>0</v>
      </c>
      <c r="E38" s="22">
        <f>SUMIF(Meal_entry_week_2!G$255:G$279,"Voća_orasi_sušeno_voće",Meal_entry_week_2!Q$255:Q$279)</f>
        <v>0</v>
      </c>
      <c r="F38" s="22">
        <f>SUMIF(Meal_entry_week_2!G$287:G$298,"Voća_orasi_sušeno_voće",Meal_entry_week_2!Q$287:Q$298)</f>
        <v>0</v>
      </c>
      <c r="G38" s="22">
        <f t="shared" si="4"/>
        <v>0</v>
      </c>
      <c r="H38" s="5">
        <f t="shared" si="5"/>
        <v>0</v>
      </c>
    </row>
    <row r="39" spans="1:8">
      <c r="A39" t="s">
        <v>527</v>
      </c>
      <c r="B39" t="s">
        <v>806</v>
      </c>
      <c r="C39" s="22">
        <f>SUMIF(Meal_entry_week_2!G$209:G$228,"Meso_sveže_smrznuto",Meal_entry_week_2!Q$209:Q$228)</f>
        <v>0</v>
      </c>
      <c r="D39" s="22">
        <f>SUMIF(Meal_entry_week_2!G$236:G$247,"Meso_sveže_smrznuto",Meal_entry_week_2!Q$236:Q$247)</f>
        <v>0</v>
      </c>
      <c r="E39" s="22">
        <f>SUMIF(Meal_entry_week_2!G$255:G$279,"Meso_sveže_smrznuto",Meal_entry_week_2!Q$255:Q$279)</f>
        <v>0</v>
      </c>
      <c r="F39" s="22">
        <f>SUMIF(Meal_entry_week_2!G$287:G$298,"Meso_sveže_smrznuto",Meal_entry_week_2!Q$287:Q$298)</f>
        <v>0</v>
      </c>
      <c r="G39" s="22">
        <f t="shared" si="4"/>
        <v>0</v>
      </c>
      <c r="H39" s="5">
        <f t="shared" si="5"/>
        <v>0</v>
      </c>
    </row>
    <row r="40" spans="1:8">
      <c r="A40" t="s">
        <v>527</v>
      </c>
      <c r="B40" t="s">
        <v>797</v>
      </c>
      <c r="C40" s="22">
        <f>SUMIF(Meal_entry_week_2!G$209:G$228,"Meso_prerađeno",Meal_entry_week_2!Q$209:Q$228)</f>
        <v>0</v>
      </c>
      <c r="D40" s="22">
        <f>SUMIF(Meal_entry_week_2!G$236:G$247,"Meso_prerađeno",Meal_entry_week_2!Q$236:Q$247)</f>
        <v>0</v>
      </c>
      <c r="E40" s="22">
        <f>SUMIF(Meal_entry_week_2!G$255:G$279,"Meso_prerađeno",Meal_entry_week_2!Q$255:Q$279)</f>
        <v>0</v>
      </c>
      <c r="F40" s="22">
        <f>SUMIF(Meal_entry_week_2!G$287:G$298,"Meso_prerađeno",Meal_entry_week_2!Q$287:Q$298)</f>
        <v>0</v>
      </c>
      <c r="G40" s="22">
        <f t="shared" si="4"/>
        <v>0</v>
      </c>
      <c r="H40" s="5">
        <f t="shared" si="5"/>
        <v>0</v>
      </c>
    </row>
    <row r="41" spans="1:8">
      <c r="A41" t="s">
        <v>527</v>
      </c>
      <c r="B41" t="s">
        <v>807</v>
      </c>
      <c r="C41" s="22">
        <f>SUMIF(Meal_entry_week_2!G$209:G$228,"Riba_sveže_smrznuta",Meal_entry_week_2!Q$209:Q$228)+SUMIF(Meal_entry_week_2!G$209:G$228,"Riba_konzervirana",Meal_entry_week_2!Q$209:Q$228)</f>
        <v>0</v>
      </c>
      <c r="D41" s="22">
        <f>SUMIF(Meal_entry_week_2!G$236:G$247,"Riba_sveže_smrznuta",Meal_entry_week_2!Q$236:Q$247)+SUMIF(Meal_entry_week_2!G$236:G$247,"Riba_konzervirana",Meal_entry_week_2!Q$236:Q$247)</f>
        <v>0</v>
      </c>
      <c r="E41" s="22">
        <f>SUMIF(Meal_entry_week_2!G$255:G$279,"Riba_sveže_smrznuta",Meal_entry_week_2!Q$255:Q$279)+SUMIF(Meal_entry_week_2!G$255:G$279,"Riba_konzervirana",Meal_entry_week_2!Q$255:Q$279)</f>
        <v>0</v>
      </c>
      <c r="F41" s="22">
        <f>SUMIF(Meal_entry_week_2!G$287:G$298,"Riba_sveže_smrznuta",Meal_entry_week_2!Q$287:Q$298)+SUMIF(Meal_entry_week_2!G$287:G$298,"Riba_konzervirana",Meal_entry_week_2!Q$287:Q$298)</f>
        <v>0</v>
      </c>
      <c r="G41" s="22">
        <f t="shared" si="4"/>
        <v>0</v>
      </c>
      <c r="H41" s="5">
        <f t="shared" si="5"/>
        <v>0</v>
      </c>
    </row>
    <row r="42" spans="1:8">
      <c r="A42" t="s">
        <v>527</v>
      </c>
      <c r="B42" t="s">
        <v>224</v>
      </c>
      <c r="C42" s="22">
        <f>SUMIF(Meal_entry_week_2!G$209:G$228,"Jaja",Meal_entry_week_2!Q$209:Q$228)</f>
        <v>0</v>
      </c>
      <c r="D42" s="22">
        <f>SUMIF(Meal_entry_week_2!G$236:G$247,"Jaja",Meal_entry_week_2!Q$236:Q$247)</f>
        <v>0</v>
      </c>
      <c r="E42" s="22">
        <f>SUMIF(Meal_entry_week_2!G$255:G$279,"Jaja",Meal_entry_week_2!Q$255:Q$279)</f>
        <v>0</v>
      </c>
      <c r="F42" s="22">
        <f>SUMIF(Meal_entry_week_2!G$287:G$298,"Jaja",Meal_entry_week_2!Q$287:Q$298)</f>
        <v>0</v>
      </c>
      <c r="G42" s="22">
        <f t="shared" si="4"/>
        <v>0</v>
      </c>
      <c r="H42" s="5">
        <f t="shared" si="5"/>
        <v>0</v>
      </c>
    </row>
    <row r="43" spans="1:8">
      <c r="A43" t="s">
        <v>527</v>
      </c>
      <c r="B43" t="s">
        <v>798</v>
      </c>
      <c r="C43" s="22">
        <f>SUMIF(Meal_entry_week_2!G$209:G$228,"Mlečni_proizvodi",Meal_entry_week_2!Q$209:Q$228)</f>
        <v>0</v>
      </c>
      <c r="D43" s="22">
        <f>SUMIF(Meal_entry_week_2!G$236:G$247,"Mlečni_proizvodi",Meal_entry_week_2!Q$236:Q$247)</f>
        <v>0</v>
      </c>
      <c r="E43" s="22">
        <f>SUMIF(Meal_entry_week_2!G$255:G$279,"Mlečni_proizvodi",Meal_entry_week_2!Q$255:Q$279)</f>
        <v>0</v>
      </c>
      <c r="F43" s="22">
        <f>SUMIF(Meal_entry_week_2!G$287:G$298,"Mlečni_proizvodi",Meal_entry_week_2!Q$287:Q$298)</f>
        <v>0</v>
      </c>
      <c r="G43" s="22">
        <f t="shared" si="4"/>
        <v>0</v>
      </c>
      <c r="H43" s="5">
        <f t="shared" si="5"/>
        <v>0</v>
      </c>
    </row>
    <row r="44" spans="1:8">
      <c r="A44" t="s">
        <v>527</v>
      </c>
      <c r="B44" t="s">
        <v>799</v>
      </c>
      <c r="C44" s="22">
        <f>SUMIF(Meal_entry_week_2!G$209:G$228,"Ulja_maslac_margarin",Meal_entry_week_2!Q$209:Q$228)</f>
        <v>0</v>
      </c>
      <c r="D44" s="22">
        <f>SUMIF(Meal_entry_week_2!G$236:G$247,"Ulja_maslac_margarin",Meal_entry_week_2!Q$236:Q$247)</f>
        <v>0</v>
      </c>
      <c r="E44" s="22">
        <f>SUMIF(Meal_entry_week_2!G$255:G$279,"Ulja_maslac_margarin",Meal_entry_week_2!Q$255:Q$279)</f>
        <v>0</v>
      </c>
      <c r="F44" s="22">
        <f>SUMIF(Meal_entry_week_2!G$287:G$298,"Ulja_maslac_margarin",Meal_entry_week_2!Q$287:Q$298)</f>
        <v>0</v>
      </c>
      <c r="G44" s="22">
        <f t="shared" si="4"/>
        <v>0</v>
      </c>
      <c r="H44" s="5">
        <f t="shared" si="5"/>
        <v>0</v>
      </c>
    </row>
    <row r="45" spans="1:8">
      <c r="A45" t="s">
        <v>527</v>
      </c>
      <c r="B45" t="s">
        <v>800</v>
      </c>
      <c r="C45" s="22">
        <f>SUMIF(Meal_entry_week_2!G$209:G$228,"Brašno_testenina_seme_žitarica",Meal_entry_week_2!Q$209:Q$228)</f>
        <v>0</v>
      </c>
      <c r="D45" s="22">
        <f>SUMIF(Meal_entry_week_2!G$236:G$247,"Brašno_testenina_seme_žitarica",Meal_entry_week_2!Q$236:Q$247)</f>
        <v>0</v>
      </c>
      <c r="E45" s="22">
        <f>SUMIF(Meal_entry_week_2!G$255:G$279,"Brašno_testenina_seme_žitarica",Meal_entry_week_2!Q$255:Q$279)</f>
        <v>0</v>
      </c>
      <c r="F45" s="22">
        <f>SUMIF(Meal_entry_week_2!G$287:G$298,"Brašno_testenina_seme_žitarica",Meal_entry_week_2!Q$287:Q$298)</f>
        <v>0</v>
      </c>
      <c r="G45" s="22">
        <f t="shared" si="4"/>
        <v>0</v>
      </c>
      <c r="H45" s="5">
        <f t="shared" si="5"/>
        <v>0</v>
      </c>
    </row>
    <row r="46" spans="1:8">
      <c r="A46" t="s">
        <v>527</v>
      </c>
      <c r="B46" t="s">
        <v>808</v>
      </c>
      <c r="C46" s="22">
        <f>SUMIF(Meal_entry_week_2!G$209:G$228,"Umaci_pire_prelivi",Meal_entry_week_2!Q$209:Q$228)+SUMIF(Meal_entry_week_2!G$209:G$228,"Začini",Meal_entry_week_2!Q$209:Q$228)</f>
        <v>0</v>
      </c>
      <c r="D46" s="22">
        <f>SUMIF(Meal_entry_week_2!G$236:G$247,"Umaci_pire_prelivi",Meal_entry_week_2!Q$236:Q$247)+SUMIF(Meal_entry_week_2!G$236:G$247,"Začini",Meal_entry_week_2!Q$236:Q$247)</f>
        <v>0</v>
      </c>
      <c r="E46" s="22">
        <f>SUMIF(Meal_entry_week_2!G$255:G$279,"Umaci_pire_prelivi",Meal_entry_week_2!Q$255:Q$279)+SUMIF(Meal_entry_week_2!G$255:G$279,"Začini",Meal_entry_week_2!Q$255:Q$279)</f>
        <v>0</v>
      </c>
      <c r="F46" s="22">
        <f>SUMIF(Meal_entry_week_2!G$287:G$298,"Umaci_pire_prelivi",Meal_entry_week_2!Q$287:Q$298)+SUMIF(Meal_entry_week_2!G$287:G$298,"Začini",Meal_entry_week_2!Q$287:Q$298)</f>
        <v>0</v>
      </c>
      <c r="G46" s="22">
        <f t="shared" si="4"/>
        <v>0</v>
      </c>
      <c r="H46" s="5">
        <f t="shared" si="5"/>
        <v>0</v>
      </c>
    </row>
    <row r="47" spans="1:8">
      <c r="A47" t="s">
        <v>527</v>
      </c>
      <c r="B47" t="s">
        <v>809</v>
      </c>
      <c r="C47" s="22">
        <f>SUMIF(Meal_entry_week_2!G$209:G$228,"Slatka_hrana_keks",Meal_entry_week_2!Q$209:Q$228)</f>
        <v>0</v>
      </c>
      <c r="D47" s="22">
        <f>SUMIF(Meal_entry_week_2!G$236:G$247,"Slatka_hrana_keks",Meal_entry_week_2!Q$236:Q$247)</f>
        <v>0</v>
      </c>
      <c r="E47" s="22">
        <f>SUMIF(Meal_entry_week_2!G$255:G$279,"Slatka_hrana_keks",Meal_entry_week_2!Q$255:Q$279)</f>
        <v>0</v>
      </c>
      <c r="F47" s="22">
        <f>SUMIF(Meal_entry_week_2!G$287:G$298,"Slatka_hrana_keks",Meal_entry_week_2!Q$287:Q$298)</f>
        <v>0</v>
      </c>
      <c r="G47" s="22">
        <f t="shared" si="4"/>
        <v>0</v>
      </c>
      <c r="H47" s="5">
        <f t="shared" si="5"/>
        <v>0</v>
      </c>
    </row>
    <row r="48" spans="1:8">
      <c r="A48" t="s">
        <v>527</v>
      </c>
      <c r="B48" t="s">
        <v>810</v>
      </c>
      <c r="C48" s="22">
        <f>SUMIF(Meal_entry_week_2!G$209:G$228,"Hleb_i_peciva",Meal_entry_week_2!Q$209:Q$228)+SUMIF(Meal_entry_week_2!G$209:G$228,"Slana_peciva",Meal_entry_week_2!Q$209:Q$228)+SUMIF(Meal_entry_week_2!G$209:G$228,"Slatka_peciva",Meal_entry_week_2!Q$209:Q$228)</f>
        <v>0</v>
      </c>
      <c r="D48" s="22">
        <f>SUMIF(Meal_entry_week_2!G$236:G$247,"Hleb_i_peciva",Meal_entry_week_2!Q$236:Q$247)+SUMIF(Meal_entry_week_2!G$236:G$247,"Slana_peciva",Meal_entry_week_2!Q$236:Q$247)+SUMIF(Meal_entry_week_2!G$236:G$247,"Slatka_peciva",Meal_entry_week_2!Q$236:Q$247)</f>
        <v>0</v>
      </c>
      <c r="E48" s="22">
        <f>SUMIF(Meal_entry_week_2!G$255:G$279,"Hleb_i_peciva",Meal_entry_week_2!Q$255:Q$279)+SUMIF(Meal_entry_week_2!G$255:G$279,"Slana_peciva",Meal_entry_week_2!Q$255:Q$279)+SUMIF(Meal_entry_week_2!G$255:G$279,"Slatka_peciva",Meal_entry_week_2!Q$255:Q$279)</f>
        <v>0</v>
      </c>
      <c r="F48" s="22">
        <f>SUMIF(Meal_entry_week_2!G$287:G$298,"Hleb_i_peciva",Meal_entry_week_2!Q$287:Q$298)+SUMIF(Meal_entry_week_2!G$287:G$298,"Slana_peciva",Meal_entry_week_2!Q$287:Q$298)+SUMIF(Meal_entry_week_2!G$287:G$298,"Slatka_peciva",Meal_entry_week_2!Q$287:Q$298)</f>
        <v>0</v>
      </c>
      <c r="G48" s="22">
        <f t="shared" si="4"/>
        <v>0</v>
      </c>
      <c r="H48" s="5">
        <f t="shared" si="5"/>
        <v>0</v>
      </c>
    </row>
    <row r="49" spans="1:8">
      <c r="A49" t="s">
        <v>527</v>
      </c>
      <c r="B49" t="s">
        <v>802</v>
      </c>
      <c r="C49" s="22">
        <f>SUMIF(Meal_entry_week_2!G$209:G$228,"Ostala_gotova_hrana",Meal_entry_week_2!Q$209:Q$228)</f>
        <v>0</v>
      </c>
      <c r="D49" s="22">
        <f>SUMIF(Meal_entry_week_2!G$236:G$247,"Ostala_gotova_hrana",Meal_entry_week_2!Q$236:Q$247)</f>
        <v>0</v>
      </c>
      <c r="E49" s="22">
        <f>SUMIF(Meal_entry_week_2!G$255:G$279,"Ostala_gotova_hrana",Meal_entry_week_2!Q$255:Q$279)</f>
        <v>0</v>
      </c>
      <c r="F49" s="22">
        <f>SUMIF(Meal_entry_week_2!G$287:G$298,"Ostala_gotova_hrana",Meal_entry_week_2!Q$287:Q$298)</f>
        <v>0</v>
      </c>
      <c r="G49" s="22">
        <f t="shared" si="4"/>
        <v>0</v>
      </c>
      <c r="H49" s="5">
        <f t="shared" si="5"/>
        <v>0</v>
      </c>
    </row>
    <row r="50" spans="1:8">
      <c r="A50" t="s">
        <v>527</v>
      </c>
      <c r="B50" s="11" t="s">
        <v>1428</v>
      </c>
      <c r="C50" s="22">
        <f>SUMIF(Meal_entry_week_2!G$209:G$228,"Šećerna_piča_čajevi_kafa",Meal_entry_week_2!Q$209:Q$228)</f>
        <v>0</v>
      </c>
      <c r="D50" s="22">
        <f>SUMIF(Meal_entry_week_2!G$236:G$247,"Šećerna_piča_čajevi_kafa",Meal_entry_week_2!Q$236:Q$247)</f>
        <v>0</v>
      </c>
      <c r="E50" s="22">
        <f>SUMIF(Meal_entry_week_2!G$255:G$279,"Šećerna_piča_čajevi_kafa",Meal_entry_week_2!Q$255:Q$279)</f>
        <v>0</v>
      </c>
      <c r="F50" s="22">
        <f>SUMIF(Meal_entry_week_2!G$287:G$298,"Šećerna_piča_čajevi_kafa",Meal_entry_week_2!Q$287:Q$298)</f>
        <v>0</v>
      </c>
      <c r="G50" s="22">
        <f t="shared" si="4"/>
        <v>0</v>
      </c>
      <c r="H50" s="5">
        <f t="shared" si="5"/>
        <v>0</v>
      </c>
    </row>
    <row r="51" spans="1:8">
      <c r="A51" t="s">
        <v>527</v>
      </c>
      <c r="B51" t="s">
        <v>1429</v>
      </c>
      <c r="C51" s="22">
        <f>SUMIF(Meal_entry_week_2!G$209:G$228,"Voćni_sokovi_voda",Meal_entry_week_2!Q$209:Q$228)</f>
        <v>0</v>
      </c>
      <c r="D51" s="22">
        <f>SUMIF(Meal_entry_week_2!G$236:G$247,"Voćni_sokovi_voda",Meal_entry_week_2!Q$236:Q$247)</f>
        <v>0</v>
      </c>
      <c r="E51" s="22">
        <f>SUMIF(Meal_entry_week_2!G$255:G$279,"Voćni_sokovi_voda",Meal_entry_week_2!Q$255:Q$279)</f>
        <v>0</v>
      </c>
      <c r="F51" s="22">
        <f>SUMIF(Meal_entry_week_2!G$287:G$298,"Voćni_sokovi_voda",Meal_entry_week_2!Q$287:Q$298)</f>
        <v>0</v>
      </c>
      <c r="G51" s="22">
        <f t="shared" si="4"/>
        <v>0</v>
      </c>
      <c r="H51" s="5">
        <f t="shared" si="5"/>
        <v>0</v>
      </c>
    </row>
    <row r="52" spans="1:8">
      <c r="C52" s="22"/>
      <c r="D52" s="22"/>
      <c r="E52" s="22"/>
      <c r="F52" s="22"/>
      <c r="G52" s="22"/>
    </row>
    <row r="53" spans="1:8">
      <c r="A53" t="s">
        <v>528</v>
      </c>
      <c r="B53" t="s">
        <v>1427</v>
      </c>
      <c r="C53" s="22">
        <f>SUMIF(Meal_entry_week_2!G$308:G$327,"Povrće_i_pečurke_sveže_smrznuto",Meal_entry_week_2!Q$308:Q$327)</f>
        <v>0</v>
      </c>
      <c r="D53" s="22">
        <f>SUMIF(Meal_entry_week_2!G$335:G$346,"Povrće_i_pečurke_sveže_smrznuto",Meal_entry_week_2!Q$335:Q$346)</f>
        <v>0</v>
      </c>
      <c r="E53" s="22">
        <f>SUMIF(Meal_entry_week_2!G$354:G$378,"Povrće_i_pečurke_sveže_smrznuto",Meal_entry_week_2!Q$354:Q$378)</f>
        <v>0</v>
      </c>
      <c r="F53" s="22">
        <f>SUMIF(Meal_entry_week_2!G$386:G$397,"Povrće_i_pečurke_sveže_smrznuto",Meal_entry_week_2!Q$386:Q$397)</f>
        <v>0</v>
      </c>
      <c r="G53" s="22">
        <f>SUM(C53:F53)</f>
        <v>0</v>
      </c>
      <c r="H53" s="5">
        <f>100*G53/(SUM($G$53:$G$68)+0.00001)</f>
        <v>0</v>
      </c>
    </row>
    <row r="54" spans="1:8">
      <c r="A54" t="s">
        <v>528</v>
      </c>
      <c r="B54" t="s">
        <v>796</v>
      </c>
      <c r="C54" s="22">
        <f>SUMIF(Meal_entry_week_2!G$308:G$327,"Povrće_prerađeno",Meal_entry_week_2!Q$308:Q$327)</f>
        <v>0</v>
      </c>
      <c r="D54" s="22">
        <f>SUMIF(Meal_entry_week_2!G$335:G$346,"Povrće_prerađeno",Meal_entry_week_2!Q$335:Q$346)</f>
        <v>0</v>
      </c>
      <c r="E54" s="22">
        <f>SUMIF(Meal_entry_week_2!G$354:G$378,"Povrće_prerađeno",Meal_entry_week_2!Q$354:Q$378)</f>
        <v>0</v>
      </c>
      <c r="F54" s="22">
        <f>SUMIF(Meal_entry_week_2!G$386:G$397,"Povrće_prerađeno",Meal_entry_week_2!Q$386:Q$397)</f>
        <v>0</v>
      </c>
      <c r="G54" s="22">
        <f t="shared" ref="G54:G68" si="6">SUM(C54:F54)</f>
        <v>0</v>
      </c>
      <c r="H54" s="5">
        <f t="shared" ref="H54:H68" si="7">100*G54/(SUM($G$53:$G$68)+0.00001)</f>
        <v>0</v>
      </c>
    </row>
    <row r="55" spans="1:8">
      <c r="A55" t="s">
        <v>528</v>
      </c>
      <c r="B55" t="s">
        <v>803</v>
      </c>
      <c r="C55" s="22">
        <f>SUMIF(Meal_entry_week_2!G$308:G$327,"Voća_orasi_sušeno_voće",Meal_entry_week_2!Q$308:Q$327)</f>
        <v>0</v>
      </c>
      <c r="D55" s="22">
        <f>SUMIF(Meal_entry_week_2!G$335:G$346,"Voća_orasi_sušeno_voće",Meal_entry_week_2!Q$335:Q$346)</f>
        <v>0</v>
      </c>
      <c r="E55" s="22">
        <f>SUMIF(Meal_entry_week_2!G$354:G$378,"Voća_orasi_sušeno_voće",Meal_entry_week_2!Q$354:Q$378)</f>
        <v>0</v>
      </c>
      <c r="F55" s="22">
        <f>SUMIF(Meal_entry_week_2!G$386:G$397,"Voća_orasi_sušeno_voće",Meal_entry_week_2!Q$386:Q$397)</f>
        <v>0</v>
      </c>
      <c r="G55" s="22">
        <f t="shared" si="6"/>
        <v>0</v>
      </c>
      <c r="H55" s="5">
        <f t="shared" si="7"/>
        <v>0</v>
      </c>
    </row>
    <row r="56" spans="1:8">
      <c r="A56" t="s">
        <v>528</v>
      </c>
      <c r="B56" t="s">
        <v>806</v>
      </c>
      <c r="C56" s="22">
        <f>SUMIF(Meal_entry_week_2!G$308:G$327,"Meso_sveže_smrznuto",Meal_entry_week_2!Q$308:Q$327)</f>
        <v>0</v>
      </c>
      <c r="D56" s="22">
        <f>SUMIF(Meal_entry_week_2!G$335:G$346,"Meso_sveže_smrznuto",Meal_entry_week_2!Q$335:Q$346)</f>
        <v>0</v>
      </c>
      <c r="E56" s="22">
        <f>SUMIF(Meal_entry_week_2!G$354:G$378,"Meso_sveže_smrznuto",Meal_entry_week_2!Q$354:Q$378)</f>
        <v>0</v>
      </c>
      <c r="F56" s="22">
        <f>SUMIF(Meal_entry_week_2!G$386:G$397,"Meso_sveže_smrznuto",Meal_entry_week_2!Q$386:Q$397)</f>
        <v>0</v>
      </c>
      <c r="G56" s="22">
        <f t="shared" si="6"/>
        <v>0</v>
      </c>
      <c r="H56" s="5">
        <f t="shared" si="7"/>
        <v>0</v>
      </c>
    </row>
    <row r="57" spans="1:8">
      <c r="A57" t="s">
        <v>528</v>
      </c>
      <c r="B57" t="s">
        <v>797</v>
      </c>
      <c r="C57" s="22">
        <f>SUMIF(Meal_entry_week_2!G$308:G$327,"Meso_prerađeno",Meal_entry_week_2!Q$308:Q$327)</f>
        <v>0</v>
      </c>
      <c r="D57" s="22">
        <f>SUMIF(Meal_entry_week_2!G$335:G$346,"Meso_prerađeno",Meal_entry_week_2!Q$335:Q$346)</f>
        <v>0</v>
      </c>
      <c r="E57" s="22">
        <f>SUMIF(Meal_entry_week_2!G$354:G$378,"Meso_prerađeno",Meal_entry_week_2!Q$354:Q$378)</f>
        <v>0</v>
      </c>
      <c r="F57" s="22">
        <f>SUMIF(Meal_entry_week_2!G$386:G$397,"Meso_prerađeno",Meal_entry_week_2!Q$386:Q$397)</f>
        <v>0</v>
      </c>
      <c r="G57" s="22">
        <f t="shared" si="6"/>
        <v>0</v>
      </c>
      <c r="H57" s="5">
        <f t="shared" si="7"/>
        <v>0</v>
      </c>
    </row>
    <row r="58" spans="1:8">
      <c r="A58" t="s">
        <v>528</v>
      </c>
      <c r="B58" t="s">
        <v>807</v>
      </c>
      <c r="C58" s="22">
        <f>SUMIF(Meal_entry_week_2!G$308:G$327,"Riba_sveže_smrznuta",Meal_entry_week_2!Q$308:Q$327)+SUMIF(Meal_entry_week_2!G$308:G$327,"Riba_konzervirana",Meal_entry_week_2!Q$308:Q$327)</f>
        <v>0</v>
      </c>
      <c r="D58" s="22">
        <f>SUMIF(Meal_entry_week_2!G$335:G$346,"Riba_sveže_smrznuta",Meal_entry_week_2!Q$335:Q$346)+SUMIF(Meal_entry_week_2!G$335:G$346,"Riba_konzervirana",Meal_entry_week_2!Q$335:Q$346)</f>
        <v>0</v>
      </c>
      <c r="E58" s="22">
        <f>SUMIF(Meal_entry_week_2!G$354:G$378,"Riba_sveže_smrznuta",Meal_entry_week_2!Q$354:Q$378)+SUMIF(Meal_entry_week_2!G$354:G$378,"Riba_konzervirana",Meal_entry_week_2!Q$354:Q$378)</f>
        <v>0</v>
      </c>
      <c r="F58" s="22">
        <f>SUMIF(Meal_entry_week_2!G$386:G$397,"Riba_sveže_smrznuta",Meal_entry_week_2!Q$386:Q$397)+SUMIF(Meal_entry_week_2!G$386:G$397,"Riba_konzervirana",Meal_entry_week_2!Q$386:Q$397)</f>
        <v>0</v>
      </c>
      <c r="G58" s="22">
        <f t="shared" si="6"/>
        <v>0</v>
      </c>
      <c r="H58" s="5">
        <f t="shared" si="7"/>
        <v>0</v>
      </c>
    </row>
    <row r="59" spans="1:8">
      <c r="A59" t="s">
        <v>528</v>
      </c>
      <c r="B59" t="s">
        <v>224</v>
      </c>
      <c r="C59" s="22">
        <f>SUMIF(Meal_entry_week_2!G$308:G$327,"Jaja",Meal_entry_week_2!Q$308:Q$327)</f>
        <v>0</v>
      </c>
      <c r="D59" s="22">
        <f>SUMIF(Meal_entry_week_2!G$335:G$346,"Jaja",Meal_entry_week_2!Q$335:Q$346)</f>
        <v>0</v>
      </c>
      <c r="E59" s="22">
        <f>SUMIF(Meal_entry_week_2!G$354:G$378,"Jaja",Meal_entry_week_2!Q$354:Q$378)</f>
        <v>0</v>
      </c>
      <c r="F59" s="22">
        <f>SUMIF(Meal_entry_week_2!G$386:G$397,"Jaja",Meal_entry_week_2!Q$386:Q$397)</f>
        <v>0</v>
      </c>
      <c r="G59" s="22">
        <f t="shared" si="6"/>
        <v>0</v>
      </c>
      <c r="H59" s="5">
        <f t="shared" si="7"/>
        <v>0</v>
      </c>
    </row>
    <row r="60" spans="1:8">
      <c r="A60" t="s">
        <v>528</v>
      </c>
      <c r="B60" t="s">
        <v>798</v>
      </c>
      <c r="C60" s="22">
        <f>SUMIF(Meal_entry_week_2!G$308:G$327,"Mlečni_proizvodi",Meal_entry_week_2!Q$308:Q$327)</f>
        <v>0</v>
      </c>
      <c r="D60" s="22">
        <f>SUMIF(Meal_entry_week_2!G$335:G$346,"Mlečni_proizvodi",Meal_entry_week_2!Q$335:Q$346)</f>
        <v>0</v>
      </c>
      <c r="E60" s="22">
        <f>SUMIF(Meal_entry_week_2!G$354:G$378,"Mlečni_proizvodi",Meal_entry_week_2!Q$354:Q$378)</f>
        <v>0</v>
      </c>
      <c r="F60" s="22">
        <f>SUMIF(Meal_entry_week_2!G$386:G$397,"Mlečni_proizvodi",Meal_entry_week_2!Q$386:Q$397)</f>
        <v>0</v>
      </c>
      <c r="G60" s="22">
        <f t="shared" si="6"/>
        <v>0</v>
      </c>
      <c r="H60" s="5">
        <f t="shared" si="7"/>
        <v>0</v>
      </c>
    </row>
    <row r="61" spans="1:8">
      <c r="A61" t="s">
        <v>528</v>
      </c>
      <c r="B61" t="s">
        <v>799</v>
      </c>
      <c r="C61" s="22">
        <f>SUMIF(Meal_entry_week_2!G$308:G$327,"Ulja_maslac_margarin",Meal_entry_week_2!Q$308:Q$327)</f>
        <v>0</v>
      </c>
      <c r="D61" s="22">
        <f>SUMIF(Meal_entry_week_2!G$335:G$346,"Ulja_maslac_margarin",Meal_entry_week_2!Q$335:Q$346)</f>
        <v>0</v>
      </c>
      <c r="E61" s="22">
        <f>SUMIF(Meal_entry_week_2!G$354:G$378,"Ulja_maslac_margarin",Meal_entry_week_2!Q$354:Q$378)</f>
        <v>0</v>
      </c>
      <c r="F61" s="22">
        <f>SUMIF(Meal_entry_week_2!G$386:G$397,"Ulja_maslac_margarin",Meal_entry_week_2!Q$386:Q$397)</f>
        <v>0</v>
      </c>
      <c r="G61" s="22">
        <f t="shared" si="6"/>
        <v>0</v>
      </c>
      <c r="H61" s="5">
        <f t="shared" si="7"/>
        <v>0</v>
      </c>
    </row>
    <row r="62" spans="1:8">
      <c r="A62" t="s">
        <v>528</v>
      </c>
      <c r="B62" t="s">
        <v>800</v>
      </c>
      <c r="C62" s="22">
        <f>SUMIF(Meal_entry_week_2!G$308:G$327,"Brašno_testenina_seme_žitarica",Meal_entry_week_2!Q$308:Q$327)</f>
        <v>0</v>
      </c>
      <c r="D62" s="22">
        <f>SUMIF(Meal_entry_week_2!G$335:G$346,"Brašno_testenina_seme_žitarica",Meal_entry_week_2!Q$335:Q$346)</f>
        <v>0</v>
      </c>
      <c r="E62" s="22">
        <f>SUMIF(Meal_entry_week_2!G$354:G$378,"Brašno_testenina_seme_žitarica",Meal_entry_week_2!Q$354:Q$378)</f>
        <v>0</v>
      </c>
      <c r="F62" s="22">
        <f>SUMIF(Meal_entry_week_2!G$386:G$397,"Brašno_testenina_seme_žitarica",Meal_entry_week_2!Q$386:Q$397)</f>
        <v>0</v>
      </c>
      <c r="G62" s="22">
        <f t="shared" si="6"/>
        <v>0</v>
      </c>
      <c r="H62" s="5">
        <f t="shared" si="7"/>
        <v>0</v>
      </c>
    </row>
    <row r="63" spans="1:8">
      <c r="A63" t="s">
        <v>528</v>
      </c>
      <c r="B63" t="s">
        <v>808</v>
      </c>
      <c r="C63" s="22">
        <f>SUMIF(Meal_entry_week_2!G$308:G$327,"Umaci_pire_prelivi",Meal_entry_week_2!Q$308:Q$327)+SUMIF(Meal_entry_week_2!G$308:G$327,"Začini",Meal_entry_week_2!Q$308:Q$327)</f>
        <v>0</v>
      </c>
      <c r="D63" s="22">
        <f>SUMIF(Meal_entry_week_2!G$335:G$346,"Umaci_pire_prelivi",Meal_entry_week_2!Q$335:Q$346)+SUMIF(Meal_entry_week_2!G$335:G$346,"Začini",Meal_entry_week_2!Q$335:Q$346)</f>
        <v>0</v>
      </c>
      <c r="E63" s="22">
        <f>SUMIF(Meal_entry_week_2!G$354:G$378,"Umaci_pire_prelivi",Meal_entry_week_2!Q$354:Q$378)+SUMIF(Meal_entry_week_2!G$354:G$378,"Začini",Meal_entry_week_2!Q$354:Q$378)</f>
        <v>0</v>
      </c>
      <c r="F63" s="22">
        <f>SUMIF(Meal_entry_week_2!G$386:G$397,"Umaci_pire_prelivi",Meal_entry_week_2!Q$386:Q$397)+SUMIF(Meal_entry_week_2!G$386:G$397,"Začini",Meal_entry_week_2!Q$386:Q$397)</f>
        <v>0</v>
      </c>
      <c r="G63" s="22">
        <f t="shared" si="6"/>
        <v>0</v>
      </c>
      <c r="H63" s="5">
        <f t="shared" si="7"/>
        <v>0</v>
      </c>
    </row>
    <row r="64" spans="1:8">
      <c r="A64" t="s">
        <v>528</v>
      </c>
      <c r="B64" t="s">
        <v>809</v>
      </c>
      <c r="C64" s="22">
        <f>SUMIF(Meal_entry_week_2!G$308:G$327,"Slatka_hrana_keks",Meal_entry_week_2!Q$308:Q$327)</f>
        <v>0</v>
      </c>
      <c r="D64" s="22">
        <f>SUMIF(Meal_entry_week_2!G$335:G$346,"Slatka_hrana_keks",Meal_entry_week_2!Q$335:Q$346)</f>
        <v>0</v>
      </c>
      <c r="E64" s="22">
        <f>SUMIF(Meal_entry_week_2!G$354:G$378,"Slatka_hrana_keks",Meal_entry_week_2!Q$354:Q$378)</f>
        <v>0</v>
      </c>
      <c r="F64" s="22">
        <f>SUMIF(Meal_entry_week_2!G$386:G$397,"Slatka_hrana_keks",Meal_entry_week_2!Q$386:Q$397)</f>
        <v>0</v>
      </c>
      <c r="G64" s="22">
        <f t="shared" si="6"/>
        <v>0</v>
      </c>
      <c r="H64" s="5">
        <f t="shared" si="7"/>
        <v>0</v>
      </c>
    </row>
    <row r="65" spans="1:8">
      <c r="A65" t="s">
        <v>528</v>
      </c>
      <c r="B65" t="s">
        <v>810</v>
      </c>
      <c r="C65" s="22">
        <f>SUMIF(Meal_entry_week_2!G$308:G$327,"Hleb_i_peciva",Meal_entry_week_2!Q$308:Q$327)+SUMIF(Meal_entry_week_2!G$308:G$327,"Slana_peciva",Meal_entry_week_2!Q$308:Q$327)+SUMIF(Meal_entry_week_2!G$308:G$327,"Slatka_peciva",Meal_entry_week_2!Q$308:Q$327)</f>
        <v>0</v>
      </c>
      <c r="D65" s="22">
        <f>SUMIF(Meal_entry_week_2!G$335:G$346,"Hleb_i_peciva",Meal_entry_week_2!Q$335:Q$346)+SUMIF(Meal_entry_week_2!G$335:G$346,"Slana_peciva",Meal_entry_week_2!Q$335:Q$346)+SUMIF(Meal_entry_week_2!G$335:G$346,"Slatka_peciva",Meal_entry_week_2!Q$335:Q$346)</f>
        <v>0</v>
      </c>
      <c r="E65" s="22">
        <f>SUMIF(Meal_entry_week_2!G$354:G$378,"Hleb_i_peciva",Meal_entry_week_2!Q$354:Q$378)+SUMIF(Meal_entry_week_2!G$354:G$378,"Slana_peciva",Meal_entry_week_2!Q$354:Q$378)+SUMIF(Meal_entry_week_2!G$354:G$378,"Slatka_peciva",Meal_entry_week_2!Q$354:Q$378)</f>
        <v>0</v>
      </c>
      <c r="F65" s="22">
        <f>SUMIF(Meal_entry_week_2!G$386:G$397,"Hleb_i_peciva",Meal_entry_week_2!Q$386:Q$397)+SUMIF(Meal_entry_week_2!G$386:G$397,"Slana_peciva",Meal_entry_week_2!Q$386:Q$397)+SUMIF(Meal_entry_week_2!G$386:G$397,"Slatka_peciva",Meal_entry_week_2!Q$386:Q$397)</f>
        <v>0</v>
      </c>
      <c r="G65" s="22">
        <f t="shared" si="6"/>
        <v>0</v>
      </c>
      <c r="H65" s="5">
        <f t="shared" si="7"/>
        <v>0</v>
      </c>
    </row>
    <row r="66" spans="1:8">
      <c r="A66" t="s">
        <v>528</v>
      </c>
      <c r="B66" t="s">
        <v>802</v>
      </c>
      <c r="C66" s="22">
        <f>SUMIF(Meal_entry_week_2!G$308:G$327,"Ostala_gotova_hrana",Meal_entry_week_2!Q$308:Q$327)</f>
        <v>0</v>
      </c>
      <c r="D66" s="22">
        <f>SUMIF(Meal_entry_week_2!G$335:G$346,"Ostala_gotova_hrana",Meal_entry_week_2!Q$335:Q$346)</f>
        <v>0</v>
      </c>
      <c r="E66" s="22">
        <f>SUMIF(Meal_entry_week_2!G$354:G$378,"Ostala_gotova_hrana",Meal_entry_week_2!Q$354:Q$378)</f>
        <v>0</v>
      </c>
      <c r="F66" s="22">
        <f>SUMIF(Meal_entry_week_2!G$386:G$397,"Ostala_gotova_hrana",Meal_entry_week_2!Q$386:Q$397)</f>
        <v>0</v>
      </c>
      <c r="G66" s="22">
        <f t="shared" si="6"/>
        <v>0</v>
      </c>
      <c r="H66" s="5">
        <f t="shared" si="7"/>
        <v>0</v>
      </c>
    </row>
    <row r="67" spans="1:8">
      <c r="A67" t="s">
        <v>528</v>
      </c>
      <c r="B67" s="11" t="s">
        <v>1428</v>
      </c>
      <c r="C67" s="22">
        <f>SUMIF(Meal_entry_week_2!G$308:G$327,"Šećerna_piča_čajevi_kafa",Meal_entry_week_2!Q$308:Q$327)</f>
        <v>0</v>
      </c>
      <c r="D67" s="22">
        <f>SUMIF(Meal_entry_week_2!G$335:G$346,"Šećerna_piča_čajevi_kafa",Meal_entry_week_2!Q$335:Q$346)</f>
        <v>0</v>
      </c>
      <c r="E67" s="22">
        <f>SUMIF(Meal_entry_week_2!G$354:G$378,"Šećerna_piča_čajevi_kafa",Meal_entry_week_2!Q$354:Q$378)</f>
        <v>0</v>
      </c>
      <c r="F67" s="22">
        <f>SUMIF(Meal_entry_week_2!G$386:G$397,"Šećerna_piča_čajevi_kafa",Meal_entry_week_2!Q$386:Q$397)</f>
        <v>0</v>
      </c>
      <c r="G67" s="22">
        <f t="shared" si="6"/>
        <v>0</v>
      </c>
      <c r="H67" s="5">
        <f t="shared" si="7"/>
        <v>0</v>
      </c>
    </row>
    <row r="68" spans="1:8">
      <c r="A68" t="s">
        <v>528</v>
      </c>
      <c r="B68" t="s">
        <v>1429</v>
      </c>
      <c r="C68" s="22">
        <f>SUMIF(Meal_entry_week_2!G$308:G$327,"Voćni_sokovi_voda",Meal_entry_week_2!Q$308:Q$327)</f>
        <v>0</v>
      </c>
      <c r="D68" s="22">
        <f>SUMIF(Meal_entry_week_2!G$335:G$346,"Voćni_sokovi_voda",Meal_entry_week_2!Q$335:Q$346)</f>
        <v>0</v>
      </c>
      <c r="E68" s="22">
        <f>SUMIF(Meal_entry_week_2!G$354:G$378,"Voćni_sokovi_voda",Meal_entry_week_2!Q$354:Q$378)</f>
        <v>0</v>
      </c>
      <c r="F68" s="22">
        <f>SUMIF(Meal_entry_week_2!G$386:G$397,"Voćni_sokovi_voda",Meal_entry_week_2!Q$386:Q$397)</f>
        <v>0</v>
      </c>
      <c r="G68" s="22">
        <f t="shared" si="6"/>
        <v>0</v>
      </c>
      <c r="H68" s="5">
        <f t="shared" si="7"/>
        <v>0</v>
      </c>
    </row>
    <row r="69" spans="1:8">
      <c r="C69" s="22"/>
      <c r="D69" s="22"/>
      <c r="E69" s="22"/>
      <c r="F69" s="22"/>
      <c r="G69" s="22"/>
    </row>
    <row r="70" spans="1:8">
      <c r="A70" t="s">
        <v>529</v>
      </c>
      <c r="B70" t="s">
        <v>1427</v>
      </c>
      <c r="C70" s="22">
        <f>SUMIF(Meal_entry_week_2!G$407:G$426,"Povrće_i_pečurke_sveže_smrznuto",Meal_entry_week_2!Q$407:Q$426)</f>
        <v>0</v>
      </c>
      <c r="D70" s="22">
        <f>SUMIF(Meal_entry_week_2!G$434:G$445,"Povrće_i_pečurke_sveže_smrznuto",Meal_entry_week_2!Q$434:Q$445)</f>
        <v>0</v>
      </c>
      <c r="E70" s="22">
        <f>SUMIF(Meal_entry_week_2!G$453:G$477,"Povrće_i_pečurke_sveže_smrznuto",Meal_entry_week_2!Q$453:Q$477)</f>
        <v>0</v>
      </c>
      <c r="F70" s="22">
        <f>SUMIF(Meal_entry_week_2!G$485:G$496,"Povrće_i_pečurke_sveže_smrznuto",Meal_entry_week_2!Q$485:Q$496)</f>
        <v>0</v>
      </c>
      <c r="G70" s="22">
        <f>SUM(C70:F70)</f>
        <v>0</v>
      </c>
      <c r="H70" s="5">
        <f>100*G70/(SUM($G$70:$G$85)+0.00001)</f>
        <v>0</v>
      </c>
    </row>
    <row r="71" spans="1:8">
      <c r="A71" t="s">
        <v>529</v>
      </c>
      <c r="B71" t="s">
        <v>796</v>
      </c>
      <c r="C71" s="22">
        <f>SUMIF(Meal_entry_week_2!G$407:G$426,"Povrće_prerađeno",Meal_entry_week_2!Q$407:Q$426)</f>
        <v>0</v>
      </c>
      <c r="D71" s="22">
        <f>SUMIF(Meal_entry_week_2!G$434:G$445,"Povrće_prerađeno",Meal_entry_week_2!Q$434:Q$445)</f>
        <v>0</v>
      </c>
      <c r="E71" s="22">
        <f>SUMIF(Meal_entry_week_2!G$453:G$477,"Povrće_prerađeno",Meal_entry_week_2!Q$453:Q$477)</f>
        <v>0</v>
      </c>
      <c r="F71" s="22">
        <f>SUMIF(Meal_entry_week_2!G$485:G$496,"Povrće_prerađeno",Meal_entry_week_2!Q$485:Q$496)</f>
        <v>0</v>
      </c>
      <c r="G71" s="22">
        <f t="shared" ref="G71:G85" si="8">SUM(C71:F71)</f>
        <v>0</v>
      </c>
      <c r="H71" s="5">
        <f t="shared" ref="H71:H85" si="9">100*G71/(SUM($G$70:$G$85)+0.00001)</f>
        <v>0</v>
      </c>
    </row>
    <row r="72" spans="1:8">
      <c r="A72" t="s">
        <v>529</v>
      </c>
      <c r="B72" t="s">
        <v>803</v>
      </c>
      <c r="C72" s="22">
        <f>SUMIF(Meal_entry_week_2!G$407:G$426,"Voća_orasi_sušeno_voće",Meal_entry_week_2!Q$407:Q$426)</f>
        <v>0</v>
      </c>
      <c r="D72" s="22">
        <f>SUMIF(Meal_entry_week_2!G$434:G$445,"Voća_orasi_sušeno_voće",Meal_entry_week_2!Q$434:Q$445)</f>
        <v>0</v>
      </c>
      <c r="E72" s="22">
        <f>SUMIF(Meal_entry_week_2!G$453:G$477,"Voća_orasi_sušeno_voće",Meal_entry_week_2!Q$453:Q$477)</f>
        <v>0</v>
      </c>
      <c r="F72" s="22">
        <f>SUMIF(Meal_entry_week_2!G$485:G$496,"Voća_orasi_sušeno_voće",Meal_entry_week_2!Q$485:Q$496)</f>
        <v>0</v>
      </c>
      <c r="G72" s="22">
        <f t="shared" si="8"/>
        <v>0</v>
      </c>
      <c r="H72" s="5">
        <f t="shared" si="9"/>
        <v>0</v>
      </c>
    </row>
    <row r="73" spans="1:8">
      <c r="A73" t="s">
        <v>529</v>
      </c>
      <c r="B73" t="s">
        <v>806</v>
      </c>
      <c r="C73" s="22">
        <f>SUMIF(Meal_entry_week_2!G$407:G$426,"Meso_sveže_smrznuto",Meal_entry_week_2!Q$407:Q$426)</f>
        <v>0</v>
      </c>
      <c r="D73" s="22">
        <f>SUMIF(Meal_entry_week_2!G$434:G$445,"Meso_sveže_smrznuto",Meal_entry_week_2!Q$434:Q$445)</f>
        <v>0</v>
      </c>
      <c r="E73" s="22">
        <f>SUMIF(Meal_entry_week_2!G$453:G$477,"Meso_sveže_smrznuto",Meal_entry_week_2!Q$453:Q$477)</f>
        <v>0</v>
      </c>
      <c r="F73" s="22">
        <f>SUMIF(Meal_entry_week_2!G$485:G$496,"Meso_sveže_smrznuto",Meal_entry_week_2!Q$485:Q$496)</f>
        <v>0</v>
      </c>
      <c r="G73" s="22">
        <f t="shared" si="8"/>
        <v>0</v>
      </c>
      <c r="H73" s="5">
        <f t="shared" si="9"/>
        <v>0</v>
      </c>
    </row>
    <row r="74" spans="1:8">
      <c r="A74" t="s">
        <v>529</v>
      </c>
      <c r="B74" t="s">
        <v>797</v>
      </c>
      <c r="C74" s="22">
        <f>SUMIF(Meal_entry_week_2!G$407:G$426,"Meso_prerađeno",Meal_entry_week_2!Q$407:Q$426)</f>
        <v>0</v>
      </c>
      <c r="D74" s="22">
        <f>SUMIF(Meal_entry_week_2!G$434:G$445,"Meso_prerađeno",Meal_entry_week_2!Q$434:Q$445)</f>
        <v>0</v>
      </c>
      <c r="E74" s="22">
        <f>SUMIF(Meal_entry_week_2!G$453:G$477,"Meso_prerađeno",Meal_entry_week_2!Q$453:Q$477)</f>
        <v>0</v>
      </c>
      <c r="F74" s="22">
        <f>SUMIF(Meal_entry_week_2!G$485:G$496,"Meso_prerađeno",Meal_entry_week_2!Q$485:Q$496)</f>
        <v>0</v>
      </c>
      <c r="G74" s="22">
        <f t="shared" si="8"/>
        <v>0</v>
      </c>
      <c r="H74" s="5">
        <f t="shared" si="9"/>
        <v>0</v>
      </c>
    </row>
    <row r="75" spans="1:8">
      <c r="A75" t="s">
        <v>529</v>
      </c>
      <c r="B75" t="s">
        <v>807</v>
      </c>
      <c r="C75" s="22">
        <f>SUMIF(Meal_entry_week_2!G$407:G$426,"Riba_sveže_smrznuta",Meal_entry_week_2!Q$407:Q$426)+SUMIF(Meal_entry_week_2!G$407:G$426,"Riba_konzervirana",Meal_entry_week_2!Q$407:Q$426)</f>
        <v>0</v>
      </c>
      <c r="D75" s="22">
        <f>SUMIF(Meal_entry_week_2!G$434:G$445,"Riba_sveže_smrznuta",Meal_entry_week_2!Q$434:Q$445)+SUMIF(Meal_entry_week_2!G$434:G$445,"Riba_konzervirana",Meal_entry_week_2!Q$434:Q$445)</f>
        <v>0</v>
      </c>
      <c r="E75" s="22">
        <f>SUMIF(Meal_entry_week_2!G$453:G$477,"Riba_sveže_smrznuta",Meal_entry_week_2!Q$453:Q$477)+SUMIF(Meal_entry_week_2!G$453:G$477,"Riba_konzervirana",Meal_entry_week_2!Q$453:Q$477)</f>
        <v>0</v>
      </c>
      <c r="F75" s="22">
        <f>SUMIF(Meal_entry_week_2!G$485:G$496,"Riba_sveže_smrznuta",Meal_entry_week_2!Q$485:Q$496)+SUMIF(Meal_entry_week_2!G$485:G$496,"Riba_konzervirana",Meal_entry_week_2!Q$485:Q$496)</f>
        <v>0</v>
      </c>
      <c r="G75" s="22">
        <f t="shared" si="8"/>
        <v>0</v>
      </c>
      <c r="H75" s="5">
        <f t="shared" si="9"/>
        <v>0</v>
      </c>
    </row>
    <row r="76" spans="1:8">
      <c r="A76" t="s">
        <v>529</v>
      </c>
      <c r="B76" t="s">
        <v>224</v>
      </c>
      <c r="C76" s="22">
        <f>SUMIF(Meal_entry_week_2!G$407:G$426,"Jaja",Meal_entry_week_2!Q$407:Q$426)</f>
        <v>0</v>
      </c>
      <c r="D76" s="22">
        <f>SUMIF(Meal_entry_week_2!G$434:G$445,"Jaja",Meal_entry_week_2!Q$434:Q$445)</f>
        <v>0</v>
      </c>
      <c r="E76" s="22">
        <f>SUMIF(Meal_entry_week_2!G$453:G$477,"Jaja",Meal_entry_week_2!Q$453:Q$477)</f>
        <v>0</v>
      </c>
      <c r="F76" s="22">
        <f>SUMIF(Meal_entry_week_2!G$485:G$496,"Jaja",Meal_entry_week_2!Q$485:Q$496)</f>
        <v>0</v>
      </c>
      <c r="G76" s="22">
        <f t="shared" si="8"/>
        <v>0</v>
      </c>
      <c r="H76" s="5">
        <f t="shared" si="9"/>
        <v>0</v>
      </c>
    </row>
    <row r="77" spans="1:8">
      <c r="A77" t="s">
        <v>529</v>
      </c>
      <c r="B77" t="s">
        <v>798</v>
      </c>
      <c r="C77" s="22">
        <f>SUMIF(Meal_entry_week_2!G$407:G$426,"Mlečni_proizvodi",Meal_entry_week_2!Q$407:Q$426)</f>
        <v>0</v>
      </c>
      <c r="D77" s="22">
        <f>SUMIF(Meal_entry_week_2!G$434:G$445,"Mlečni_proizvodi",Meal_entry_week_2!Q$434:Q$445)</f>
        <v>0</v>
      </c>
      <c r="E77" s="22">
        <f>SUMIF(Meal_entry_week_2!G$453:G$477,"Mlečni_proizvodi",Meal_entry_week_2!Q$453:Q$477)</f>
        <v>0</v>
      </c>
      <c r="F77" s="22">
        <f>SUMIF(Meal_entry_week_2!G$485:G$496,"Mlečni_proizvodi",Meal_entry_week_2!Q$485:Q$496)</f>
        <v>0</v>
      </c>
      <c r="G77" s="22">
        <f t="shared" si="8"/>
        <v>0</v>
      </c>
      <c r="H77" s="5">
        <f t="shared" si="9"/>
        <v>0</v>
      </c>
    </row>
    <row r="78" spans="1:8">
      <c r="A78" t="s">
        <v>529</v>
      </c>
      <c r="B78" t="s">
        <v>799</v>
      </c>
      <c r="C78" s="22">
        <f>SUMIF(Meal_entry_week_2!G$407:G$426,"Ulja_maslac_margarin",Meal_entry_week_2!Q$407:Q$426)</f>
        <v>0</v>
      </c>
      <c r="D78" s="22">
        <f>SUMIF(Meal_entry_week_2!G$434:G$445,"Ulja_maslac_margarin",Meal_entry_week_2!Q$434:Q$445)</f>
        <v>0</v>
      </c>
      <c r="E78" s="22">
        <f>SUMIF(Meal_entry_week_2!G$453:G$477,"Ulja_maslac_margarin",Meal_entry_week_2!Q$453:Q$477)</f>
        <v>0</v>
      </c>
      <c r="F78" s="22">
        <f>SUMIF(Meal_entry_week_2!G$485:G$496,"Ulja_maslac_margarin",Meal_entry_week_2!Q$485:Q$496)</f>
        <v>0</v>
      </c>
      <c r="G78" s="22">
        <f t="shared" si="8"/>
        <v>0</v>
      </c>
      <c r="H78" s="5">
        <f t="shared" si="9"/>
        <v>0</v>
      </c>
    </row>
    <row r="79" spans="1:8">
      <c r="A79" t="s">
        <v>529</v>
      </c>
      <c r="B79" t="s">
        <v>800</v>
      </c>
      <c r="C79" s="22">
        <f>SUMIF(Meal_entry_week_2!G$407:G$426,"Brašno_testenina_seme_žitarica",Meal_entry_week_2!Q$407:Q$426)</f>
        <v>0</v>
      </c>
      <c r="D79" s="22">
        <f>SUMIF(Meal_entry_week_2!G$434:G$445,"Brašno_testenina_seme_žitarica",Meal_entry_week_2!Q$434:Q$445)</f>
        <v>0</v>
      </c>
      <c r="E79" s="22">
        <f>SUMIF(Meal_entry_week_2!G$453:G$477,"Brašno_testenina_seme_žitarica",Meal_entry_week_2!Q$453:Q$477)</f>
        <v>0</v>
      </c>
      <c r="F79" s="22">
        <f>SUMIF(Meal_entry_week_2!G$485:G$496,"Brašno_testenina_seme_žitarica",Meal_entry_week_2!Q$485:Q$496)</f>
        <v>0</v>
      </c>
      <c r="G79" s="22">
        <f t="shared" si="8"/>
        <v>0</v>
      </c>
      <c r="H79" s="5">
        <f t="shared" si="9"/>
        <v>0</v>
      </c>
    </row>
    <row r="80" spans="1:8">
      <c r="A80" t="s">
        <v>529</v>
      </c>
      <c r="B80" t="s">
        <v>808</v>
      </c>
      <c r="C80" s="22">
        <f>SUMIF(Meal_entry_week_2!G$407:G$426,"Umaci_pire_prelivi",Meal_entry_week_2!Q$407:Q$426)+SUMIF(Meal_entry_week_2!G$407:G$426,"Začini",Meal_entry_week_2!Q$407:Q$426)</f>
        <v>0</v>
      </c>
      <c r="D80" s="22">
        <f>SUMIF(Meal_entry_week_2!G$434:G$445,"Umaci_pire_prelivi",Meal_entry_week_2!Q$434:Q$445)+SUMIF(Meal_entry_week_2!G$434:G$445,"Začini",Meal_entry_week_2!Q$434:Q$445)</f>
        <v>0</v>
      </c>
      <c r="E80" s="22">
        <f>SUMIF(Meal_entry_week_2!G$453:G$477,"Umaci_pire_prelivi",Meal_entry_week_2!Q$453:Q$477)+SUMIF(Meal_entry_week_2!G$453:G$477,"Začini",Meal_entry_week_2!Q$453:Q$477)</f>
        <v>0</v>
      </c>
      <c r="F80" s="22">
        <f>SUMIF(Meal_entry_week_2!G$485:G$496,"Umaci_pire_prelivi",Meal_entry_week_2!Q$485:Q$496)+SUMIF(Meal_entry_week_2!G$485:G$496,"Začini",Meal_entry_week_2!Q$485:Q$496)</f>
        <v>0</v>
      </c>
      <c r="G80" s="22">
        <f t="shared" si="8"/>
        <v>0</v>
      </c>
      <c r="H80" s="5">
        <f t="shared" si="9"/>
        <v>0</v>
      </c>
    </row>
    <row r="81" spans="1:8">
      <c r="A81" t="s">
        <v>529</v>
      </c>
      <c r="B81" t="s">
        <v>809</v>
      </c>
      <c r="C81" s="22">
        <f>SUMIF(Meal_entry_week_2!G$407:G$426,"Slatka_hrana_keks",Meal_entry_week_2!Q$407:Q$426)</f>
        <v>0</v>
      </c>
      <c r="D81" s="22">
        <f>SUMIF(Meal_entry_week_2!G$434:G$445,"Slatka_hrana_keks",Meal_entry_week_2!Q$434:Q$445)</f>
        <v>0</v>
      </c>
      <c r="E81" s="22">
        <f>SUMIF(Meal_entry_week_2!G$453:G$477,"Slatka_hrana_keks",Meal_entry_week_2!Q$453:Q$477)</f>
        <v>0</v>
      </c>
      <c r="F81" s="22">
        <f>SUMIF(Meal_entry_week_2!G$485:G$496,"Slatka_hrana_keks",Meal_entry_week_2!Q$485:Q$496)</f>
        <v>0</v>
      </c>
      <c r="G81" s="22">
        <f t="shared" si="8"/>
        <v>0</v>
      </c>
      <c r="H81" s="5">
        <f t="shared" si="9"/>
        <v>0</v>
      </c>
    </row>
    <row r="82" spans="1:8">
      <c r="A82" t="s">
        <v>529</v>
      </c>
      <c r="B82" t="s">
        <v>810</v>
      </c>
      <c r="C82" s="22">
        <f>SUMIF(Meal_entry_week_2!G$407:G$426,"Hleb_i_peciva",Meal_entry_week_2!Q$407:Q$426)+SUMIF(Meal_entry_week_2!G$407:G$426,"Slana_peciva",Meal_entry_week_2!Q$407:Q$426)+SUMIF(Meal_entry_week_2!G$407:G$426,"Slatka_peciva",Meal_entry_week_2!Q$407:Q$426)</f>
        <v>0</v>
      </c>
      <c r="D82" s="22">
        <f>SUMIF(Meal_entry_week_2!G$434:G$445,"Hleb_i_peciva",Meal_entry_week_2!Q$434:Q$445)+SUMIF(Meal_entry_week_2!G$434:G$445,"Slana_peciva",Meal_entry_week_2!Q$434:Q$445)+SUMIF(Meal_entry_week_2!G$434:G$445,"Slatka_peciva",Meal_entry_week_2!Q$434:Q$445)</f>
        <v>0</v>
      </c>
      <c r="E82" s="22">
        <f>SUMIF(Meal_entry_week_2!G$453:G$477,"Hleb_i_peciva",Meal_entry_week_2!Q$453:Q$477)+SUMIF(Meal_entry_week_2!G$453:G$477,"Slana_peciva",Meal_entry_week_2!Q$453:Q$477)+SUMIF(Meal_entry_week_2!G$453:G$477,"Slatka_peciva",Meal_entry_week_2!Q$453:Q$477)</f>
        <v>0</v>
      </c>
      <c r="F82" s="22">
        <f>SUMIF(Meal_entry_week_2!G$485:G$496,"Hleb_i_peciva",Meal_entry_week_2!Q$485:Q$496)+SUMIF(Meal_entry_week_2!G$485:G$496,"Slana_peciva",Meal_entry_week_2!Q$485:Q$496)+SUMIF(Meal_entry_week_2!G$485:G$496,"Slatka_peciva",Meal_entry_week_2!Q$485:Q$496)</f>
        <v>0</v>
      </c>
      <c r="G82" s="22">
        <f t="shared" si="8"/>
        <v>0</v>
      </c>
      <c r="H82" s="5">
        <f t="shared" si="9"/>
        <v>0</v>
      </c>
    </row>
    <row r="83" spans="1:8">
      <c r="A83" t="s">
        <v>529</v>
      </c>
      <c r="B83" t="s">
        <v>802</v>
      </c>
      <c r="C83" s="22">
        <f>SUMIF(Meal_entry_week_2!G$407:G$426,"Ostala_gotova_hrana",Meal_entry_week_2!Q$407:Q$426)</f>
        <v>0</v>
      </c>
      <c r="D83" s="22">
        <f>SUMIF(Meal_entry_week_2!G$434:G$445,"Ostala_gotova_hrana",Meal_entry_week_2!Q$434:Q$445)</f>
        <v>0</v>
      </c>
      <c r="E83" s="22">
        <f>SUMIF(Meal_entry_week_2!G$453:G$477,"Ostala_gotova_hrana",Meal_entry_week_2!Q$453:Q$477)</f>
        <v>0</v>
      </c>
      <c r="F83" s="22">
        <f>SUMIF(Meal_entry_week_2!G$485:G$496,"Ostala_gotova_hrana",Meal_entry_week_2!Q$485:Q$496)</f>
        <v>0</v>
      </c>
      <c r="G83" s="22">
        <f t="shared" si="8"/>
        <v>0</v>
      </c>
      <c r="H83" s="5">
        <f>100*G83/(SUM($G$70:$G$85)+0.00001)</f>
        <v>0</v>
      </c>
    </row>
    <row r="84" spans="1:8">
      <c r="A84" t="s">
        <v>529</v>
      </c>
      <c r="B84" s="11" t="s">
        <v>1428</v>
      </c>
      <c r="C84" s="22">
        <f>SUMIF(Meal_entry_week_2!G$407:G$426,"Šećerna_piča_čajevi_kafa",Meal_entry_week_2!Q$407:Q$426)</f>
        <v>0</v>
      </c>
      <c r="D84" s="22">
        <f>SUMIF(Meal_entry_week_2!G$434:G$445,"Šećerna_piča_čajevi_kafa",Meal_entry_week_2!Q$434:Q$445)</f>
        <v>0</v>
      </c>
      <c r="E84" s="22">
        <f>SUMIF(Meal_entry_week_2!G$453:G$477,"Šećerna_piča_čajevi_kafa",Meal_entry_week_2!Q$453:Q$477)</f>
        <v>0</v>
      </c>
      <c r="F84" s="22">
        <f>SUMIF(Meal_entry_week_2!G$485:G$496,"Šećerna_piča_čajevi_kafa",Meal_entry_week_2!Q$485:Q$496)</f>
        <v>0</v>
      </c>
      <c r="G84" s="22">
        <f t="shared" si="8"/>
        <v>0</v>
      </c>
      <c r="H84" s="5">
        <f t="shared" si="9"/>
        <v>0</v>
      </c>
    </row>
    <row r="85" spans="1:8">
      <c r="A85" t="s">
        <v>529</v>
      </c>
      <c r="B85" t="s">
        <v>1429</v>
      </c>
      <c r="C85" s="22">
        <f>SUMIF(Meal_entry_week_2!G$407:G$426,"Voćni_sokovi_voda",Meal_entry_week_2!Q$407:Q$426)</f>
        <v>0</v>
      </c>
      <c r="D85" s="22">
        <f>SUMIF(Meal_entry_week_2!G$434:G$445,"Voćni_sokovi_voda",Meal_entry_week_2!Q$434:Q$445)</f>
        <v>0</v>
      </c>
      <c r="E85" s="22">
        <f>SUMIF(Meal_entry_week_2!G$453:G$477,"Voćni_sokovi_voda",Meal_entry_week_2!Q$453:Q$477)</f>
        <v>0</v>
      </c>
      <c r="F85" s="22">
        <f>SUMIF(Meal_entry_week_2!G$485:G$496,"Voćni_sokovi_voda",Meal_entry_week_2!Q$485:Q$496)</f>
        <v>0</v>
      </c>
      <c r="G85" s="22">
        <f t="shared" si="8"/>
        <v>0</v>
      </c>
      <c r="H85" s="5">
        <f t="shared" si="9"/>
        <v>0</v>
      </c>
    </row>
    <row r="86" spans="1:8">
      <c r="C86" s="22"/>
      <c r="D86" s="22"/>
      <c r="E86" s="22"/>
      <c r="F86" s="22"/>
      <c r="G86" s="22"/>
    </row>
    <row r="87" spans="1:8">
      <c r="A87" t="s">
        <v>1430</v>
      </c>
      <c r="B87" t="s">
        <v>1427</v>
      </c>
      <c r="C87" s="22">
        <f>(C2+C19+C36+C53+C70)/5</f>
        <v>0</v>
      </c>
      <c r="D87" s="22">
        <f t="shared" ref="D87:F102" si="10">(D2+D19+D36+D53+D70)/5</f>
        <v>0</v>
      </c>
      <c r="E87" s="22">
        <f t="shared" si="10"/>
        <v>0</v>
      </c>
      <c r="F87" s="22">
        <f t="shared" si="10"/>
        <v>0</v>
      </c>
      <c r="G87" s="22">
        <f>SUM(C87:F87)</f>
        <v>0</v>
      </c>
      <c r="H87" s="5" t="e">
        <f>100*G87/(SUM($G$87:$G$102))</f>
        <v>#DIV/0!</v>
      </c>
    </row>
    <row r="88" spans="1:8">
      <c r="A88" t="s">
        <v>1430</v>
      </c>
      <c r="B88" t="s">
        <v>796</v>
      </c>
      <c r="C88" s="22">
        <f t="shared" ref="C88:D102" si="11">(C3+C20+C37+C54+C71)/5</f>
        <v>0</v>
      </c>
      <c r="D88" s="22">
        <f t="shared" si="11"/>
        <v>0</v>
      </c>
      <c r="E88" s="22">
        <f t="shared" si="10"/>
        <v>0</v>
      </c>
      <c r="F88" s="22">
        <f t="shared" si="10"/>
        <v>0</v>
      </c>
      <c r="G88" s="22">
        <f t="shared" ref="G88:G102" si="12">SUM(C88:F88)</f>
        <v>0</v>
      </c>
      <c r="H88" s="5" t="e">
        <f t="shared" ref="H88:H102" si="13">100*G88/(SUM($G$87:$G$102))</f>
        <v>#DIV/0!</v>
      </c>
    </row>
    <row r="89" spans="1:8">
      <c r="A89" t="s">
        <v>1430</v>
      </c>
      <c r="B89" t="s">
        <v>803</v>
      </c>
      <c r="C89" s="22">
        <f t="shared" si="11"/>
        <v>0</v>
      </c>
      <c r="D89" s="22">
        <f t="shared" si="11"/>
        <v>0</v>
      </c>
      <c r="E89" s="22">
        <f t="shared" si="10"/>
        <v>0</v>
      </c>
      <c r="F89" s="22">
        <f t="shared" si="10"/>
        <v>0</v>
      </c>
      <c r="G89" s="22">
        <f t="shared" si="12"/>
        <v>0</v>
      </c>
      <c r="H89" s="5" t="e">
        <f t="shared" si="13"/>
        <v>#DIV/0!</v>
      </c>
    </row>
    <row r="90" spans="1:8">
      <c r="A90" t="s">
        <v>1430</v>
      </c>
      <c r="B90" t="s">
        <v>806</v>
      </c>
      <c r="C90" s="22">
        <f>(C5+C22+C39+C56+C73)/5</f>
        <v>0</v>
      </c>
      <c r="D90" s="22">
        <f t="shared" si="11"/>
        <v>0</v>
      </c>
      <c r="E90" s="22">
        <f t="shared" si="10"/>
        <v>0</v>
      </c>
      <c r="F90" s="22">
        <f t="shared" si="10"/>
        <v>0</v>
      </c>
      <c r="G90" s="22">
        <f t="shared" si="12"/>
        <v>0</v>
      </c>
      <c r="H90" s="5" t="e">
        <f t="shared" si="13"/>
        <v>#DIV/0!</v>
      </c>
    </row>
    <row r="91" spans="1:8">
      <c r="A91" t="s">
        <v>1430</v>
      </c>
      <c r="B91" t="s">
        <v>797</v>
      </c>
      <c r="C91" s="22">
        <f t="shared" si="11"/>
        <v>0</v>
      </c>
      <c r="D91" s="22">
        <f t="shared" si="11"/>
        <v>0</v>
      </c>
      <c r="E91" s="22">
        <f t="shared" si="10"/>
        <v>0</v>
      </c>
      <c r="F91" s="22">
        <f t="shared" si="10"/>
        <v>0</v>
      </c>
      <c r="G91" s="22">
        <f t="shared" si="12"/>
        <v>0</v>
      </c>
      <c r="H91" s="5" t="e">
        <f t="shared" si="13"/>
        <v>#DIV/0!</v>
      </c>
    </row>
    <row r="92" spans="1:8">
      <c r="A92" t="s">
        <v>1430</v>
      </c>
      <c r="B92" t="s">
        <v>807</v>
      </c>
      <c r="C92" s="22">
        <f t="shared" si="11"/>
        <v>0</v>
      </c>
      <c r="D92" s="22">
        <f t="shared" si="11"/>
        <v>0</v>
      </c>
      <c r="E92" s="22">
        <f t="shared" si="10"/>
        <v>0</v>
      </c>
      <c r="F92" s="22">
        <f t="shared" si="10"/>
        <v>0</v>
      </c>
      <c r="G92" s="22">
        <f t="shared" si="12"/>
        <v>0</v>
      </c>
      <c r="H92" s="5" t="e">
        <f t="shared" si="13"/>
        <v>#DIV/0!</v>
      </c>
    </row>
    <row r="93" spans="1:8">
      <c r="A93" t="s">
        <v>1430</v>
      </c>
      <c r="B93" t="s">
        <v>224</v>
      </c>
      <c r="C93" s="22">
        <f t="shared" si="11"/>
        <v>0</v>
      </c>
      <c r="D93" s="22">
        <f t="shared" si="11"/>
        <v>0</v>
      </c>
      <c r="E93" s="22">
        <f t="shared" si="10"/>
        <v>0</v>
      </c>
      <c r="F93" s="22">
        <f t="shared" si="10"/>
        <v>0</v>
      </c>
      <c r="G93" s="22">
        <f t="shared" si="12"/>
        <v>0</v>
      </c>
      <c r="H93" s="5" t="e">
        <f t="shared" si="13"/>
        <v>#DIV/0!</v>
      </c>
    </row>
    <row r="94" spans="1:8">
      <c r="A94" t="s">
        <v>1430</v>
      </c>
      <c r="B94" t="s">
        <v>798</v>
      </c>
      <c r="C94" s="22">
        <f t="shared" si="11"/>
        <v>0</v>
      </c>
      <c r="D94" s="22">
        <f t="shared" si="11"/>
        <v>0</v>
      </c>
      <c r="E94" s="22">
        <f t="shared" si="10"/>
        <v>0</v>
      </c>
      <c r="F94" s="22">
        <f t="shared" si="10"/>
        <v>0</v>
      </c>
      <c r="G94" s="22">
        <f t="shared" si="12"/>
        <v>0</v>
      </c>
      <c r="H94" s="5" t="e">
        <f t="shared" si="13"/>
        <v>#DIV/0!</v>
      </c>
    </row>
    <row r="95" spans="1:8">
      <c r="A95" t="s">
        <v>1430</v>
      </c>
      <c r="B95" t="s">
        <v>799</v>
      </c>
      <c r="C95" s="22">
        <f>(C10+C27+C44+C61+C78)/5</f>
        <v>0</v>
      </c>
      <c r="D95" s="22">
        <f t="shared" si="11"/>
        <v>0</v>
      </c>
      <c r="E95" s="22">
        <f t="shared" si="10"/>
        <v>0</v>
      </c>
      <c r="F95" s="22">
        <f t="shared" si="10"/>
        <v>0</v>
      </c>
      <c r="G95" s="22">
        <f t="shared" si="12"/>
        <v>0</v>
      </c>
      <c r="H95" s="5" t="e">
        <f t="shared" si="13"/>
        <v>#DIV/0!</v>
      </c>
    </row>
    <row r="96" spans="1:8">
      <c r="A96" t="s">
        <v>1430</v>
      </c>
      <c r="B96" t="s">
        <v>800</v>
      </c>
      <c r="C96" s="22">
        <f t="shared" si="11"/>
        <v>0</v>
      </c>
      <c r="D96" s="22">
        <f t="shared" si="11"/>
        <v>0</v>
      </c>
      <c r="E96" s="22">
        <f t="shared" si="10"/>
        <v>0</v>
      </c>
      <c r="F96" s="22">
        <f t="shared" si="10"/>
        <v>0</v>
      </c>
      <c r="G96" s="22">
        <f t="shared" si="12"/>
        <v>0</v>
      </c>
      <c r="H96" s="5" t="e">
        <f t="shared" si="13"/>
        <v>#DIV/0!</v>
      </c>
    </row>
    <row r="97" spans="1:8">
      <c r="A97" t="s">
        <v>1430</v>
      </c>
      <c r="B97" t="s">
        <v>808</v>
      </c>
      <c r="C97" s="22">
        <f t="shared" si="11"/>
        <v>0</v>
      </c>
      <c r="D97" s="22">
        <f t="shared" si="11"/>
        <v>0</v>
      </c>
      <c r="E97" s="22">
        <f t="shared" si="10"/>
        <v>0</v>
      </c>
      <c r="F97" s="22">
        <f t="shared" si="10"/>
        <v>0</v>
      </c>
      <c r="G97" s="22">
        <f t="shared" si="12"/>
        <v>0</v>
      </c>
      <c r="H97" s="5" t="e">
        <f t="shared" si="13"/>
        <v>#DIV/0!</v>
      </c>
    </row>
    <row r="98" spans="1:8">
      <c r="A98" t="s">
        <v>1430</v>
      </c>
      <c r="B98" t="s">
        <v>809</v>
      </c>
      <c r="C98" s="22">
        <f t="shared" si="11"/>
        <v>0</v>
      </c>
      <c r="D98" s="22">
        <f t="shared" si="11"/>
        <v>0</v>
      </c>
      <c r="E98" s="22">
        <f t="shared" si="10"/>
        <v>0</v>
      </c>
      <c r="F98" s="22">
        <f t="shared" si="10"/>
        <v>0</v>
      </c>
      <c r="G98" s="22">
        <f t="shared" si="12"/>
        <v>0</v>
      </c>
      <c r="H98" s="5" t="e">
        <f t="shared" si="13"/>
        <v>#DIV/0!</v>
      </c>
    </row>
    <row r="99" spans="1:8">
      <c r="A99" t="s">
        <v>1430</v>
      </c>
      <c r="B99" t="s">
        <v>810</v>
      </c>
      <c r="C99" s="22">
        <f t="shared" si="11"/>
        <v>0</v>
      </c>
      <c r="D99" s="22">
        <f t="shared" si="11"/>
        <v>0</v>
      </c>
      <c r="E99" s="22">
        <f t="shared" si="10"/>
        <v>0</v>
      </c>
      <c r="F99" s="22">
        <f t="shared" si="10"/>
        <v>0</v>
      </c>
      <c r="G99" s="22">
        <f t="shared" si="12"/>
        <v>0</v>
      </c>
      <c r="H99" s="5" t="e">
        <f t="shared" si="13"/>
        <v>#DIV/0!</v>
      </c>
    </row>
    <row r="100" spans="1:8">
      <c r="A100" t="s">
        <v>1430</v>
      </c>
      <c r="B100" t="s">
        <v>802</v>
      </c>
      <c r="C100" s="22">
        <f t="shared" si="11"/>
        <v>0</v>
      </c>
      <c r="D100" s="22">
        <f t="shared" si="11"/>
        <v>0</v>
      </c>
      <c r="E100" s="22">
        <f t="shared" si="10"/>
        <v>0</v>
      </c>
      <c r="F100" s="22">
        <f t="shared" si="10"/>
        <v>0</v>
      </c>
      <c r="G100" s="22">
        <f t="shared" si="12"/>
        <v>0</v>
      </c>
      <c r="H100" s="5" t="e">
        <f t="shared" si="13"/>
        <v>#DIV/0!</v>
      </c>
    </row>
    <row r="101" spans="1:8">
      <c r="A101" t="s">
        <v>1430</v>
      </c>
      <c r="B101" s="11" t="s">
        <v>1428</v>
      </c>
      <c r="C101" s="22">
        <f t="shared" si="11"/>
        <v>0</v>
      </c>
      <c r="D101" s="22">
        <f t="shared" si="11"/>
        <v>0</v>
      </c>
      <c r="E101" s="22">
        <f t="shared" si="10"/>
        <v>0</v>
      </c>
      <c r="F101" s="22">
        <f t="shared" si="10"/>
        <v>0</v>
      </c>
      <c r="G101" s="22">
        <f t="shared" si="12"/>
        <v>0</v>
      </c>
      <c r="H101" s="5" t="e">
        <f t="shared" si="13"/>
        <v>#DIV/0!</v>
      </c>
    </row>
    <row r="102" spans="1:8">
      <c r="A102" t="s">
        <v>1430</v>
      </c>
      <c r="B102" t="s">
        <v>1429</v>
      </c>
      <c r="C102" s="22">
        <f t="shared" si="11"/>
        <v>0</v>
      </c>
      <c r="D102" s="22">
        <f t="shared" si="11"/>
        <v>0</v>
      </c>
      <c r="E102" s="22">
        <f t="shared" si="10"/>
        <v>0</v>
      </c>
      <c r="F102" s="22">
        <f t="shared" si="10"/>
        <v>0</v>
      </c>
      <c r="G102" s="22">
        <f t="shared" si="12"/>
        <v>0</v>
      </c>
      <c r="H102" s="5" t="e">
        <f t="shared" si="13"/>
        <v>#DIV/0!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110F7-24BD-5344-81BE-69112CF7F80E}">
  <sheetPr codeName="Sheet13"/>
  <dimension ref="A1:AP1285"/>
  <sheetViews>
    <sheetView topLeftCell="D1" zoomScale="110" zoomScaleNormal="110" workbookViewId="0">
      <pane ySplit="3" topLeftCell="A107" activePane="bottomLeft" state="frozen"/>
      <selection pane="bottomLeft" activeCell="K152" sqref="K152"/>
    </sheetView>
  </sheetViews>
  <sheetFormatPr baseColWidth="10" defaultRowHeight="14"/>
  <cols>
    <col min="1" max="1" width="2.1640625" style="330" hidden="1" customWidth="1"/>
    <col min="2" max="3" width="31.6640625" style="749" hidden="1" customWidth="1"/>
    <col min="4" max="4" width="2.6640625" style="330" customWidth="1"/>
    <col min="5" max="5" width="27.33203125" customWidth="1"/>
    <col min="6" max="6" width="7.83203125" style="1197" customWidth="1"/>
    <col min="7" max="7" width="11.5" style="82" customWidth="1"/>
    <col min="8" max="8" width="26" style="82" customWidth="1"/>
    <col min="9" max="9" width="39.83203125" customWidth="1"/>
    <col min="10" max="10" width="9" customWidth="1"/>
    <col min="11" max="11" width="9" style="82" customWidth="1"/>
    <col min="12" max="12" width="9.83203125" style="82" customWidth="1"/>
    <col min="13" max="13" width="2.6640625" style="1202" customWidth="1"/>
    <col min="14" max="14" width="13.83203125" style="247" customWidth="1"/>
    <col min="15" max="15" width="7.33203125" style="1139" customWidth="1"/>
    <col min="16" max="16" width="9.1640625" customWidth="1"/>
    <col min="17" max="18" width="12.1640625" customWidth="1"/>
    <col min="19" max="19" width="2.6640625" style="1202" customWidth="1"/>
    <col min="20" max="21" width="13.5" customWidth="1"/>
    <col min="22" max="22" width="13.5" style="749" customWidth="1"/>
    <col min="23" max="23" width="102.1640625" style="330" customWidth="1"/>
    <col min="24" max="24" width="11.83203125" style="99" hidden="1" customWidth="1"/>
    <col min="25" max="25" width="34.5" style="749" hidden="1" customWidth="1"/>
    <col min="26" max="26" width="5.33203125" style="749" hidden="1" customWidth="1"/>
    <col min="27" max="27" width="31.1640625" style="749" hidden="1" customWidth="1"/>
    <col min="28" max="28" width="11.33203125" style="421" hidden="1" customWidth="1"/>
    <col min="29" max="29" width="12" style="421" hidden="1" customWidth="1"/>
    <col min="30" max="31" width="8.6640625" style="749" hidden="1" customWidth="1"/>
    <col min="32" max="32" width="11.83203125" style="749" hidden="1" customWidth="1"/>
    <col min="33" max="33" width="13.1640625" style="749" hidden="1" customWidth="1"/>
    <col min="34" max="35" width="0" style="749" hidden="1" customWidth="1"/>
    <col min="36" max="36" width="10.83203125" style="749"/>
  </cols>
  <sheetData>
    <row r="1" spans="1:40" ht="20" customHeight="1">
      <c r="B1" s="1">
        <v>1</v>
      </c>
      <c r="C1" s="1" t="s">
        <v>1231</v>
      </c>
      <c r="E1" s="375" t="s">
        <v>4136</v>
      </c>
      <c r="G1" s="82">
        <v>3</v>
      </c>
      <c r="H1" s="375" t="s">
        <v>4137</v>
      </c>
      <c r="I1" s="215">
        <v>5</v>
      </c>
      <c r="J1">
        <v>6</v>
      </c>
      <c r="K1" s="82">
        <v>7</v>
      </c>
      <c r="L1" s="82">
        <v>8</v>
      </c>
      <c r="N1" s="247">
        <v>10</v>
      </c>
      <c r="O1" s="1139">
        <v>11</v>
      </c>
      <c r="P1">
        <v>12</v>
      </c>
      <c r="Q1" s="215">
        <v>13</v>
      </c>
      <c r="R1">
        <v>14</v>
      </c>
      <c r="T1">
        <v>16</v>
      </c>
      <c r="U1">
        <v>17</v>
      </c>
      <c r="V1" s="749">
        <v>18</v>
      </c>
      <c r="Y1" s="749">
        <v>18</v>
      </c>
      <c r="Z1" s="1"/>
      <c r="AA1" s="1">
        <v>2</v>
      </c>
      <c r="AD1" s="178" t="s">
        <v>2944</v>
      </c>
    </row>
    <row r="2" spans="1:40" ht="20" customHeight="1" thickBot="1">
      <c r="B2" s="1"/>
      <c r="C2" s="1191"/>
      <c r="G2" s="1405" t="s">
        <v>4163</v>
      </c>
      <c r="H2" s="1406"/>
      <c r="I2" s="1406"/>
      <c r="J2" s="1406"/>
      <c r="K2" s="1406"/>
      <c r="L2" s="1406"/>
      <c r="N2" s="1407" t="s">
        <v>4164</v>
      </c>
      <c r="O2" s="1408"/>
      <c r="P2" s="1408"/>
      <c r="Q2" s="1408"/>
      <c r="R2" s="1408"/>
      <c r="Y2" s="1" t="s">
        <v>2376</v>
      </c>
      <c r="Z2" s="1"/>
      <c r="AA2" s="1"/>
    </row>
    <row r="3" spans="1:40" ht="44" customHeight="1" thickBot="1">
      <c r="A3" s="1192"/>
      <c r="B3" s="335" t="s">
        <v>1179</v>
      </c>
      <c r="C3" s="335" t="s">
        <v>1178</v>
      </c>
      <c r="D3" s="331"/>
      <c r="E3" s="134" t="s">
        <v>4138</v>
      </c>
      <c r="F3" s="1198"/>
      <c r="G3" s="734" t="s">
        <v>4176</v>
      </c>
      <c r="H3" s="735" t="s">
        <v>3917</v>
      </c>
      <c r="I3" s="735" t="s">
        <v>4165</v>
      </c>
      <c r="J3" s="1371" t="s">
        <v>4167</v>
      </c>
      <c r="K3" s="735" t="s">
        <v>4166</v>
      </c>
      <c r="L3" s="735" t="s">
        <v>4168</v>
      </c>
      <c r="M3" s="331"/>
      <c r="N3" s="1372" t="s">
        <v>4169</v>
      </c>
      <c r="O3" s="1373" t="s">
        <v>4173</v>
      </c>
      <c r="P3" s="1372" t="s">
        <v>4170</v>
      </c>
      <c r="Q3" s="1372" t="s">
        <v>4171</v>
      </c>
      <c r="R3" s="1372" t="s">
        <v>4172</v>
      </c>
      <c r="S3" s="331"/>
      <c r="T3" s="374" t="s">
        <v>4133</v>
      </c>
      <c r="U3" s="1404" t="s">
        <v>4134</v>
      </c>
      <c r="V3" s="374" t="s">
        <v>4135</v>
      </c>
      <c r="W3" s="331"/>
      <c r="X3" s="421" t="s">
        <v>2445</v>
      </c>
      <c r="Y3" s="1" t="s">
        <v>237</v>
      </c>
      <c r="Z3" s="1" t="s">
        <v>2096</v>
      </c>
      <c r="AA3" s="1" t="s">
        <v>219</v>
      </c>
      <c r="AB3" s="421" t="s">
        <v>2443</v>
      </c>
      <c r="AC3" s="421" t="s">
        <v>2444</v>
      </c>
      <c r="AD3" s="1" t="s">
        <v>2446</v>
      </c>
      <c r="AE3" s="749" t="s">
        <v>2938</v>
      </c>
      <c r="AF3" s="749" t="s">
        <v>2445</v>
      </c>
      <c r="AG3" s="749" t="s">
        <v>2563</v>
      </c>
      <c r="AH3" s="749" t="s">
        <v>2564</v>
      </c>
      <c r="AI3" s="749" t="s">
        <v>2565</v>
      </c>
    </row>
    <row r="4" spans="1:40" ht="20" customHeight="1">
      <c r="A4" s="699"/>
      <c r="B4" s="1"/>
      <c r="C4" s="1"/>
      <c r="D4" s="332"/>
      <c r="E4" s="678" t="str">
        <f>IF(G4="","",_xlfn.IFNA(VLOOKUP($H4,Ingredient_prices!$B:$C,2,FALSE),""))</f>
        <v/>
      </c>
      <c r="F4" s="1199" t="str">
        <f t="shared" ref="F4:F69" si="0">IF(H4="","",IF(OR(LEFT(G4,2)="Па",LEFT(G4,2)="Lo"),G4,F3))</f>
        <v>ПАРТИЈА 1</v>
      </c>
      <c r="G4" s="229" t="s">
        <v>4174</v>
      </c>
      <c r="H4" s="412" t="s">
        <v>2614</v>
      </c>
      <c r="I4" s="412"/>
      <c r="J4" s="412"/>
      <c r="K4" s="736"/>
      <c r="L4" s="736"/>
      <c r="M4" s="699"/>
      <c r="N4" s="1374" t="s">
        <v>2615</v>
      </c>
      <c r="O4" s="1375" t="str">
        <f t="shared" ref="O4:O35" si="1">IF($E4="","",VLOOKUP($E4,$Y:$AE,2,FALSE))</f>
        <v/>
      </c>
      <c r="P4" s="1376" t="str">
        <f t="shared" ref="P4:P67" si="2">IF(O4="","",N4+(O4*N4/100))</f>
        <v/>
      </c>
      <c r="Q4" s="1377" t="str">
        <f t="shared" ref="Q4:Q67" si="3">IF(O4="","",N4*L4)</f>
        <v/>
      </c>
      <c r="R4" s="1377" t="str">
        <f t="shared" ref="R4:R67" si="4">IF(O4="","",P4*L4)</f>
        <v/>
      </c>
      <c r="S4" s="699"/>
      <c r="T4" s="101" t="str">
        <f>IF(O4="","",IF('Charts and graphs'!$C$6="Konvencijalne",IF(N4&gt;0,1000*P4/J4,""),IF(VLOOKUP($E4,$Y:$AE,7,FALSE)=0,IF(N4&gt;0,1000*P4/J4,""),VLOOKUP($E4,$Y:$AE,7,FALSE))))</f>
        <v/>
      </c>
      <c r="U4" s="101" t="str">
        <f t="shared" ref="U4:U67" si="5">IF(O4="","",IF(N4&gt;0,1000*P4/J4,""))</f>
        <v/>
      </c>
      <c r="V4" s="101"/>
      <c r="W4" s="332"/>
      <c r="X4" s="747">
        <v>1257.1428571428571</v>
      </c>
      <c r="Y4" s="1" t="s">
        <v>414</v>
      </c>
      <c r="Z4" s="16">
        <v>10</v>
      </c>
      <c r="AA4" s="1269" t="s">
        <v>3438</v>
      </c>
      <c r="AB4" s="739">
        <v>40</v>
      </c>
      <c r="AC4" s="739">
        <f>AB4*1.1</f>
        <v>44</v>
      </c>
      <c r="AD4" s="738">
        <v>35</v>
      </c>
      <c r="AE4" s="744">
        <f>1000*AB4/AD4</f>
        <v>1142.8571428571429</v>
      </c>
      <c r="AF4" s="744">
        <f>1000*AC4/AD4</f>
        <v>1257.1428571428571</v>
      </c>
      <c r="AG4" s="5">
        <f t="shared" ref="AG4:AG67" si="6">_xlfn.IFNA(VLOOKUP($Y4,$E:$U,17,FALSE),"")</f>
        <v>1257.19</v>
      </c>
      <c r="AH4" s="5">
        <f>IF(AG4="","",VLOOKUP($Y4,Nutrition_tables!$A:$N,10,FALSE))</f>
        <v>160.37333333333336</v>
      </c>
      <c r="AI4" s="5">
        <f t="shared" ref="AI4:AI65" si="7">IF(AG4="","",AG4/(AH4*10))</f>
        <v>0.78391461589624201</v>
      </c>
    </row>
    <row r="5" spans="1:40" ht="18" customHeight="1">
      <c r="A5" s="699"/>
      <c r="B5" s="1" t="s">
        <v>813</v>
      </c>
      <c r="C5" s="1" t="s">
        <v>414</v>
      </c>
      <c r="D5" s="332"/>
      <c r="E5" s="678" t="str">
        <f>IF(G5="","",_xlfn.IFNA(VLOOKUP($H5,Ingredient_prices!$B:$C,2,FALSE),""))</f>
        <v>Bread, white</v>
      </c>
      <c r="F5" s="1199" t="str">
        <f t="shared" si="0"/>
        <v>ПАРТИЈА 1</v>
      </c>
      <c r="G5" s="1389">
        <v>1</v>
      </c>
      <c r="H5" s="1390" t="s">
        <v>2272</v>
      </c>
      <c r="I5" s="1390" t="s">
        <v>2616</v>
      </c>
      <c r="J5" s="1390">
        <v>500</v>
      </c>
      <c r="K5" s="1403" t="s">
        <v>2327</v>
      </c>
      <c r="L5" s="1390">
        <v>2500</v>
      </c>
      <c r="M5" s="699"/>
      <c r="N5" s="1381">
        <v>32</v>
      </c>
      <c r="O5" s="1383">
        <f t="shared" si="1"/>
        <v>10</v>
      </c>
      <c r="P5" s="1382">
        <f t="shared" si="2"/>
        <v>35.200000000000003</v>
      </c>
      <c r="Q5" s="1383">
        <f t="shared" si="3"/>
        <v>80000</v>
      </c>
      <c r="R5" s="1383">
        <f t="shared" si="4"/>
        <v>88000</v>
      </c>
      <c r="S5" s="699"/>
      <c r="T5" s="101">
        <f>IF(O5="","",IF('Charts and graphs'!$C$6="Conventional",IF(N5&gt;0,1000*P5/J5,""),IF(VLOOKUP($E5,$Y:$AE,7,FALSE)=0,IF(N5&gt;0,1000*P5/J5,""),VLOOKUP($E5,$Y:$AE,7,FALSE))))</f>
        <v>70.400000000000006</v>
      </c>
      <c r="U5" s="101">
        <f t="shared" si="5"/>
        <v>70.400000000000006</v>
      </c>
      <c r="V5" s="101">
        <f>IF(O5="","",IF(VLOOKUP($E5,$Y:$AE,7,FALSE)=0,IF(N5&gt;0,1000*P5/J5,""),VLOOKUP($E5,$Y:$AE,7,FALSE)))</f>
        <v>70.400000000000006</v>
      </c>
      <c r="W5" s="332"/>
      <c r="Y5" s="1" t="s">
        <v>3119</v>
      </c>
      <c r="Z5" s="16">
        <v>10</v>
      </c>
      <c r="AA5" s="1269" t="s">
        <v>3438</v>
      </c>
      <c r="AB5" s="99"/>
      <c r="AC5" s="99"/>
      <c r="AD5" s="99"/>
      <c r="AE5" s="99"/>
      <c r="AF5" s="99"/>
      <c r="AG5" s="5">
        <f t="shared" si="6"/>
        <v>198</v>
      </c>
      <c r="AH5" s="5">
        <f>IF(AG5="","",VLOOKUP($Y5,Nutrition_tables!$A:$N,10,FALSE))</f>
        <v>16</v>
      </c>
      <c r="AI5" s="5">
        <f t="shared" ref="AI5" si="8">IF(AG5="","",AG5/(AH5*10))</f>
        <v>1.2375</v>
      </c>
    </row>
    <row r="6" spans="1:40" ht="18" customHeight="1">
      <c r="A6" s="699"/>
      <c r="B6" s="1" t="s">
        <v>814</v>
      </c>
      <c r="C6" s="1" t="s">
        <v>3120</v>
      </c>
      <c r="D6" s="332"/>
      <c r="E6" s="678" t="str">
        <f>IF(G6="","",_xlfn.IFNA(VLOOKUP($H6,Ingredient_prices!$B:$C,2,FALSE),""))</f>
        <v>Bread, half-white</v>
      </c>
      <c r="F6" s="1199" t="str">
        <f t="shared" si="0"/>
        <v>ПАРТИЈА 1</v>
      </c>
      <c r="G6" s="1389">
        <v>2</v>
      </c>
      <c r="H6" s="1390" t="s">
        <v>1720</v>
      </c>
      <c r="I6" s="1390" t="s">
        <v>2617</v>
      </c>
      <c r="J6" s="1390">
        <v>500</v>
      </c>
      <c r="K6" s="1403" t="s">
        <v>2327</v>
      </c>
      <c r="L6" s="1390">
        <v>2800</v>
      </c>
      <c r="M6" s="699"/>
      <c r="N6" s="1381">
        <v>23.83</v>
      </c>
      <c r="O6" s="1383">
        <f t="shared" si="1"/>
        <v>10</v>
      </c>
      <c r="P6" s="1382">
        <f t="shared" si="2"/>
        <v>26.212999999999997</v>
      </c>
      <c r="Q6" s="1383">
        <f t="shared" si="3"/>
        <v>66724</v>
      </c>
      <c r="R6" s="1383">
        <f t="shared" si="4"/>
        <v>73396.399999999994</v>
      </c>
      <c r="S6" s="699"/>
      <c r="T6" s="101">
        <f>IF(O6="","",IF('Charts and graphs'!$C$6="Conventional",IF(N6&gt;0,1000*P6/J6,""),IF(VLOOKUP($E6,$Y:$AE,7,FALSE)=0,IF(N6&gt;0,1000*P6/J6,""),VLOOKUP($E6,$Y:$AE,7,FALSE))))</f>
        <v>52.425999999999995</v>
      </c>
      <c r="U6" s="101">
        <f t="shared" si="5"/>
        <v>52.425999999999995</v>
      </c>
      <c r="V6" s="101">
        <f t="shared" ref="V6:V69" si="9">IF(O6="","",IF(VLOOKUP($E6,$Y:$AE,7,FALSE)=0,IF(N6&gt;0,1000*P6/J6,""),VLOOKUP($E6,$Y:$AE,7,FALSE)))</f>
        <v>52.425999999999995</v>
      </c>
      <c r="W6" s="332"/>
      <c r="X6" s="747">
        <v>264</v>
      </c>
      <c r="Y6" s="1" t="s">
        <v>3120</v>
      </c>
      <c r="Z6" s="16">
        <v>10</v>
      </c>
      <c r="AA6" s="1269" t="s">
        <v>3438</v>
      </c>
      <c r="AB6" s="739">
        <v>60</v>
      </c>
      <c r="AC6" s="739">
        <f>AB6*1.1</f>
        <v>66</v>
      </c>
      <c r="AD6" s="738">
        <v>250</v>
      </c>
      <c r="AE6" s="744">
        <f>1000*AB6/AD6</f>
        <v>240</v>
      </c>
      <c r="AF6" s="744">
        <f>1000*AC6/AD6</f>
        <v>264</v>
      </c>
      <c r="AG6" s="5">
        <f t="shared" si="6"/>
        <v>264</v>
      </c>
      <c r="AH6" s="5">
        <f>IF(AG6="","",VLOOKUP($Y6,Nutrition_tables!$A:$N,10,FALSE))</f>
        <v>16</v>
      </c>
      <c r="AI6" s="5">
        <f t="shared" si="7"/>
        <v>1.65</v>
      </c>
      <c r="AK6" s="749"/>
      <c r="AL6" s="749"/>
    </row>
    <row r="7" spans="1:40" ht="18" customHeight="1">
      <c r="A7" s="699"/>
      <c r="B7" s="1" t="s">
        <v>2945</v>
      </c>
      <c r="C7" s="1" t="s">
        <v>3119</v>
      </c>
      <c r="D7" s="332"/>
      <c r="E7" s="678" t="str">
        <f>IF(G7="","",_xlfn.IFNA(VLOOKUP($H7,Ingredient_prices!$B:$C,2,FALSE),""))</f>
        <v>Kaiserica bun white</v>
      </c>
      <c r="F7" s="1199" t="str">
        <f t="shared" si="0"/>
        <v>ПАРТИЈА 1</v>
      </c>
      <c r="G7" s="1389">
        <v>3</v>
      </c>
      <c r="H7" s="1390" t="s">
        <v>2273</v>
      </c>
      <c r="I7" s="1390" t="s">
        <v>2618</v>
      </c>
      <c r="J7" s="1390">
        <v>60</v>
      </c>
      <c r="K7" s="1403" t="s">
        <v>2327</v>
      </c>
      <c r="L7" s="1390">
        <v>11020</v>
      </c>
      <c r="M7" s="699"/>
      <c r="N7" s="1381">
        <v>8.5399999999999991</v>
      </c>
      <c r="O7" s="1383">
        <f t="shared" si="1"/>
        <v>10</v>
      </c>
      <c r="P7" s="1382">
        <f t="shared" si="2"/>
        <v>9.3939999999999984</v>
      </c>
      <c r="Q7" s="1383">
        <f t="shared" si="3"/>
        <v>94110.799999999988</v>
      </c>
      <c r="R7" s="1383">
        <f t="shared" si="4"/>
        <v>103521.87999999998</v>
      </c>
      <c r="S7" s="699"/>
      <c r="T7" s="101">
        <f>IF(O7="","",IF('Charts and graphs'!$C$6="Conventional",IF(N7&gt;0,1000*P7/J7,""),IF(VLOOKUP($E7,$Y:$AE,7,FALSE)=0,IF(N7&gt;0,1000*P7/J7,""),VLOOKUP($E7,$Y:$AE,7,FALSE))))</f>
        <v>156.56666666666663</v>
      </c>
      <c r="U7" s="101">
        <f t="shared" si="5"/>
        <v>156.56666666666663</v>
      </c>
      <c r="V7" s="101">
        <f t="shared" si="9"/>
        <v>156.56666666666663</v>
      </c>
      <c r="W7" s="332"/>
      <c r="Y7" s="1" t="s">
        <v>3121</v>
      </c>
      <c r="Z7" s="16">
        <v>10</v>
      </c>
      <c r="AA7" s="1269" t="s">
        <v>3438</v>
      </c>
      <c r="AG7" s="5">
        <f t="shared" si="6"/>
        <v>88</v>
      </c>
      <c r="AH7" s="5">
        <f>IF(AG7="","",VLOOKUP($Y7,Nutrition_tables!$A:$N,10,FALSE))</f>
        <v>33.43</v>
      </c>
      <c r="AI7" s="5">
        <f t="shared" si="7"/>
        <v>0.26323661381992219</v>
      </c>
    </row>
    <row r="8" spans="1:40" ht="18" customHeight="1">
      <c r="A8" s="699"/>
      <c r="B8" s="1" t="s">
        <v>1215</v>
      </c>
      <c r="C8" s="1" t="s">
        <v>3121</v>
      </c>
      <c r="D8" s="332"/>
      <c r="E8" s="678" t="str">
        <f>IF(G8="","",_xlfn.IFNA(VLOOKUP($H8,Ingredient_prices!$B:$C,2,FALSE),""))</f>
        <v>Pie pastry</v>
      </c>
      <c r="F8" s="1199" t="str">
        <f t="shared" si="0"/>
        <v>ПАРТИЈА 1</v>
      </c>
      <c r="G8" s="1389">
        <v>4</v>
      </c>
      <c r="H8" s="1390" t="s">
        <v>829</v>
      </c>
      <c r="I8" s="1390" t="s">
        <v>2619</v>
      </c>
      <c r="J8" s="1390">
        <v>1000</v>
      </c>
      <c r="K8" s="1403" t="s">
        <v>2328</v>
      </c>
      <c r="L8" s="1390">
        <v>200</v>
      </c>
      <c r="M8" s="699"/>
      <c r="N8" s="1381">
        <v>105</v>
      </c>
      <c r="O8" s="1383">
        <f t="shared" si="1"/>
        <v>10</v>
      </c>
      <c r="P8" s="1382">
        <f t="shared" si="2"/>
        <v>115.5</v>
      </c>
      <c r="Q8" s="1383">
        <f t="shared" si="3"/>
        <v>21000</v>
      </c>
      <c r="R8" s="1383">
        <f t="shared" si="4"/>
        <v>23100</v>
      </c>
      <c r="S8" s="699"/>
      <c r="T8" s="101">
        <f>IF(O8="","",IF('Charts and graphs'!$C$6="Conventional",IF(N8&gt;0,1000*P8/J8,""),IF(VLOOKUP($E8,$Y:$AE,7,FALSE)=0,IF(N8&gt;0,1000*P8/J8,""),VLOOKUP($E8,$Y:$AE,7,FALSE))))</f>
        <v>115.5</v>
      </c>
      <c r="U8" s="101">
        <f t="shared" si="5"/>
        <v>115.5</v>
      </c>
      <c r="V8" s="101">
        <f t="shared" si="9"/>
        <v>115.5</v>
      </c>
      <c r="W8" s="332"/>
      <c r="X8" s="747">
        <v>440</v>
      </c>
      <c r="Y8" s="1" t="s">
        <v>3098</v>
      </c>
      <c r="Z8" s="16">
        <v>10</v>
      </c>
      <c r="AA8" s="1269" t="s">
        <v>3438</v>
      </c>
      <c r="AB8" s="739">
        <v>400</v>
      </c>
      <c r="AC8" s="739">
        <f t="shared" ref="AC8:AC9" si="10">AB8*1.1</f>
        <v>440.00000000000006</v>
      </c>
      <c r="AD8" s="738">
        <v>1000</v>
      </c>
      <c r="AE8" s="744">
        <f t="shared" ref="AE8:AE9" si="11">1000*AB8/AD8</f>
        <v>400</v>
      </c>
      <c r="AF8" s="744">
        <f t="shared" ref="AF8:AF9" si="12">1000*AC8/AD8</f>
        <v>440.00000000000006</v>
      </c>
      <c r="AG8" s="5">
        <f t="shared" si="6"/>
        <v>220</v>
      </c>
      <c r="AH8" s="5">
        <f>IF(AG8="","",VLOOKUP($Y8,Nutrition_tables!$A:$N,10,FALSE))</f>
        <v>45</v>
      </c>
      <c r="AI8" s="5">
        <f t="shared" si="7"/>
        <v>0.48888888888888887</v>
      </c>
    </row>
    <row r="9" spans="1:40" s="81" customFormat="1" ht="18" customHeight="1">
      <c r="A9" s="700"/>
      <c r="B9" s="1" t="s">
        <v>1216</v>
      </c>
      <c r="C9" s="1" t="s">
        <v>3121</v>
      </c>
      <c r="D9" s="333"/>
      <c r="E9" s="678" t="str">
        <f>IF(G9="","",_xlfn.IFNA(VLOOKUP($H9,Ingredient_prices!$B:$C,2,FALSE),""))</f>
        <v>Pizza base</v>
      </c>
      <c r="F9" s="1199" t="str">
        <f t="shared" si="0"/>
        <v>ПАРТИЈА 1</v>
      </c>
      <c r="G9" s="1389">
        <v>5</v>
      </c>
      <c r="H9" s="1390" t="s">
        <v>1149</v>
      </c>
      <c r="I9" s="1390" t="s">
        <v>2620</v>
      </c>
      <c r="J9" s="1390">
        <v>200</v>
      </c>
      <c r="K9" s="1403" t="s">
        <v>2327</v>
      </c>
      <c r="L9" s="1390">
        <v>2500</v>
      </c>
      <c r="M9" s="699"/>
      <c r="N9" s="1381">
        <v>24.5</v>
      </c>
      <c r="O9" s="1383">
        <f t="shared" si="1"/>
        <v>10</v>
      </c>
      <c r="P9" s="1382">
        <f t="shared" si="2"/>
        <v>26.95</v>
      </c>
      <c r="Q9" s="1383">
        <f t="shared" si="3"/>
        <v>61250</v>
      </c>
      <c r="R9" s="1383">
        <f t="shared" si="4"/>
        <v>67375</v>
      </c>
      <c r="S9" s="699"/>
      <c r="T9" s="101">
        <f>IF(O9="","",IF('Charts and graphs'!$C$6="Conventional",IF(N9&gt;0,1000*P9/J9,""),IF(VLOOKUP($E9,$Y:$AE,7,FALSE)=0,IF(N9&gt;0,1000*P9/J9,""),VLOOKUP($E9,$Y:$AE,7,FALSE))))</f>
        <v>134.75</v>
      </c>
      <c r="U9" s="101">
        <f t="shared" si="5"/>
        <v>134.75</v>
      </c>
      <c r="V9" s="101">
        <f t="shared" si="9"/>
        <v>134.75</v>
      </c>
      <c r="W9" s="333"/>
      <c r="X9" s="747">
        <v>143</v>
      </c>
      <c r="Y9" s="1" t="s">
        <v>3117</v>
      </c>
      <c r="Z9" s="16">
        <v>10</v>
      </c>
      <c r="AA9" s="1269" t="s">
        <v>3438</v>
      </c>
      <c r="AB9" s="739">
        <v>130</v>
      </c>
      <c r="AC9" s="739">
        <f t="shared" si="10"/>
        <v>143</v>
      </c>
      <c r="AD9" s="738">
        <v>1000</v>
      </c>
      <c r="AE9" s="744">
        <f t="shared" si="11"/>
        <v>130</v>
      </c>
      <c r="AF9" s="744">
        <f t="shared" si="12"/>
        <v>143</v>
      </c>
      <c r="AG9" s="5">
        <f t="shared" si="6"/>
        <v>66</v>
      </c>
      <c r="AH9" s="5">
        <f>IF(AG9="","",VLOOKUP($Y9,Nutrition_tables!$A:$N,10,FALSE))</f>
        <v>18</v>
      </c>
      <c r="AI9" s="5">
        <f t="shared" si="7"/>
        <v>0.36666666666666664</v>
      </c>
      <c r="AJ9" s="749"/>
      <c r="AK9"/>
      <c r="AL9"/>
    </row>
    <row r="10" spans="1:40" s="81" customFormat="1" ht="18" customHeight="1">
      <c r="A10" s="700"/>
      <c r="B10" s="1" t="s">
        <v>1218</v>
      </c>
      <c r="C10" s="1" t="s">
        <v>3121</v>
      </c>
      <c r="D10" s="333"/>
      <c r="E10" s="678" t="str">
        <f>IF(G10="","",_xlfn.IFNA(VLOOKUP($H10,Ingredient_prices!$B:$C,2,FALSE),""))</f>
        <v>Croissant</v>
      </c>
      <c r="F10" s="1199" t="str">
        <f t="shared" si="0"/>
        <v>ПАРТИЈА 1</v>
      </c>
      <c r="G10" s="1389">
        <v>6</v>
      </c>
      <c r="H10" s="1390" t="s">
        <v>2274</v>
      </c>
      <c r="I10" s="1390" t="s">
        <v>2621</v>
      </c>
      <c r="J10" s="1390">
        <v>96</v>
      </c>
      <c r="K10" s="1403" t="s">
        <v>2327</v>
      </c>
      <c r="L10" s="1390">
        <v>3000</v>
      </c>
      <c r="M10" s="699"/>
      <c r="N10" s="1381">
        <v>13.16</v>
      </c>
      <c r="O10" s="1383">
        <f t="shared" si="1"/>
        <v>10</v>
      </c>
      <c r="P10" s="1382">
        <f t="shared" si="2"/>
        <v>14.475999999999999</v>
      </c>
      <c r="Q10" s="1383">
        <f t="shared" si="3"/>
        <v>39480</v>
      </c>
      <c r="R10" s="1383">
        <f t="shared" si="4"/>
        <v>43428</v>
      </c>
      <c r="S10" s="699"/>
      <c r="T10" s="101">
        <f>IF(O10="","",IF('Charts and graphs'!$C$6="Conventional",IF(N10&gt;0,1000*P10/J10,""),IF(VLOOKUP($E10,$Y:$AE,7,FALSE)=0,IF(N10&gt;0,1000*P10/J10,""),VLOOKUP($E10,$Y:$AE,7,FALSE))))</f>
        <v>150.79166666666666</v>
      </c>
      <c r="U10" s="101">
        <f t="shared" si="5"/>
        <v>150.79166666666666</v>
      </c>
      <c r="V10" s="101">
        <f t="shared" si="9"/>
        <v>150.79166666666666</v>
      </c>
      <c r="W10" s="333"/>
      <c r="X10" s="99"/>
      <c r="Y10" s="1" t="s">
        <v>3099</v>
      </c>
      <c r="Z10" s="16">
        <v>10</v>
      </c>
      <c r="AA10" s="1269" t="s">
        <v>3438</v>
      </c>
      <c r="AB10" s="421"/>
      <c r="AC10" s="421"/>
      <c r="AD10" s="749"/>
      <c r="AE10" s="749"/>
      <c r="AF10" s="749"/>
      <c r="AG10" s="5" t="str">
        <f t="shared" si="6"/>
        <v/>
      </c>
      <c r="AH10" s="5" t="str">
        <f>IF(AG10="","",VLOOKUP($Y10,Nutrition_tables!$A:$N,10,FALSE))</f>
        <v/>
      </c>
      <c r="AI10" s="5" t="str">
        <f t="shared" si="7"/>
        <v/>
      </c>
      <c r="AJ10" s="749"/>
    </row>
    <row r="11" spans="1:40" s="81" customFormat="1" ht="18" customHeight="1">
      <c r="A11" s="700"/>
      <c r="B11" s="1" t="s">
        <v>902</v>
      </c>
      <c r="C11" s="1" t="s">
        <v>3121</v>
      </c>
      <c r="D11" s="333"/>
      <c r="E11" s="678" t="str">
        <f>IF(G11="","",_xlfn.IFNA(VLOOKUP($H11,Ingredient_prices!$B:$C,2,FALSE),""))</f>
        <v>Cheese roll</v>
      </c>
      <c r="F11" s="1199" t="str">
        <f t="shared" si="0"/>
        <v>ПАРТИЈА 1</v>
      </c>
      <c r="G11" s="1389">
        <v>7</v>
      </c>
      <c r="H11" s="1390" t="s">
        <v>832</v>
      </c>
      <c r="I11" s="1390" t="s">
        <v>2622</v>
      </c>
      <c r="J11" s="1390">
        <v>96</v>
      </c>
      <c r="K11" s="1403" t="s">
        <v>2327</v>
      </c>
      <c r="L11" s="1390">
        <v>2500</v>
      </c>
      <c r="M11" s="699"/>
      <c r="N11" s="1381">
        <v>17.45</v>
      </c>
      <c r="O11" s="1383">
        <f t="shared" si="1"/>
        <v>10</v>
      </c>
      <c r="P11" s="1382">
        <f t="shared" si="2"/>
        <v>19.195</v>
      </c>
      <c r="Q11" s="1383">
        <f t="shared" si="3"/>
        <v>43625</v>
      </c>
      <c r="R11" s="1383">
        <f t="shared" si="4"/>
        <v>47987.5</v>
      </c>
      <c r="S11" s="699"/>
      <c r="T11" s="101">
        <f>IF(O11="","",IF('Charts and graphs'!$C$6="Conventional",IF(N11&gt;0,1000*P11/J11,""),IF(VLOOKUP($E11,$Y:$AE,7,FALSE)=0,IF(N11&gt;0,1000*P11/J11,""),VLOOKUP($E11,$Y:$AE,7,FALSE))))</f>
        <v>199.94791666666666</v>
      </c>
      <c r="U11" s="101">
        <f t="shared" si="5"/>
        <v>199.94791666666666</v>
      </c>
      <c r="V11" s="101">
        <f t="shared" si="9"/>
        <v>199.94791666666666</v>
      </c>
      <c r="W11" s="333"/>
      <c r="X11" s="747">
        <v>391.11111111111109</v>
      </c>
      <c r="Y11" s="1" t="s">
        <v>438</v>
      </c>
      <c r="Z11" s="16">
        <v>10</v>
      </c>
      <c r="AA11" s="1269" t="s">
        <v>3438</v>
      </c>
      <c r="AB11" s="739">
        <v>80</v>
      </c>
      <c r="AC11" s="739">
        <f>AB11*1.1</f>
        <v>88</v>
      </c>
      <c r="AD11" s="738">
        <v>225</v>
      </c>
      <c r="AE11" s="744">
        <f t="shared" ref="AE11:AE13" si="13">1000*AB11/AD11</f>
        <v>355.55555555555554</v>
      </c>
      <c r="AF11" s="744">
        <f>1000*AC11/AD11</f>
        <v>391.11111111111109</v>
      </c>
      <c r="AG11" s="5">
        <f t="shared" si="6"/>
        <v>220</v>
      </c>
      <c r="AH11" s="5">
        <f>IF(AG11="","",VLOOKUP($Y11,Nutrition_tables!$A:$N,10,FALSE))</f>
        <v>26</v>
      </c>
      <c r="AI11" s="5">
        <f t="shared" si="7"/>
        <v>0.84615384615384615</v>
      </c>
      <c r="AJ11" s="749"/>
      <c r="AM11"/>
      <c r="AN11"/>
    </row>
    <row r="12" spans="1:40" ht="18" customHeight="1">
      <c r="A12" s="699"/>
      <c r="B12" s="1" t="s">
        <v>1217</v>
      </c>
      <c r="C12" s="1" t="s">
        <v>3121</v>
      </c>
      <c r="D12" s="332"/>
      <c r="E12" s="678" t="str">
        <f>IF(G12="","",_xlfn.IFNA(VLOOKUP($H12,Ingredient_prices!$B:$C,2,FALSE),""))</f>
        <v>Croissant with chocolate</v>
      </c>
      <c r="F12" s="1199" t="str">
        <f t="shared" si="0"/>
        <v>ПАРТИЈА 1</v>
      </c>
      <c r="G12" s="1389">
        <v>8</v>
      </c>
      <c r="H12" s="1390" t="s">
        <v>833</v>
      </c>
      <c r="I12" s="1390" t="s">
        <v>2622</v>
      </c>
      <c r="J12" s="1390">
        <v>96</v>
      </c>
      <c r="K12" s="1403" t="s">
        <v>2327</v>
      </c>
      <c r="L12" s="1390">
        <v>2500</v>
      </c>
      <c r="M12" s="699"/>
      <c r="N12" s="1381">
        <v>19.34</v>
      </c>
      <c r="O12" s="1383">
        <f t="shared" si="1"/>
        <v>10</v>
      </c>
      <c r="P12" s="1382">
        <f t="shared" si="2"/>
        <v>21.274000000000001</v>
      </c>
      <c r="Q12" s="1383">
        <f t="shared" si="3"/>
        <v>48350</v>
      </c>
      <c r="R12" s="1383">
        <f t="shared" si="4"/>
        <v>53185</v>
      </c>
      <c r="S12" s="699"/>
      <c r="T12" s="101">
        <f>IF(O12="","",IF('Charts and graphs'!$C$6="Conventional",IF(N12&gt;0,1000*P12/J12,""),IF(VLOOKUP($E12,$Y:$AE,7,FALSE)=0,IF(N12&gt;0,1000*P12/J12,""),VLOOKUP($E12,$Y:$AE,7,FALSE))))</f>
        <v>221.60416666666666</v>
      </c>
      <c r="U12" s="101">
        <f t="shared" si="5"/>
        <v>221.60416666666666</v>
      </c>
      <c r="V12" s="101">
        <f t="shared" si="9"/>
        <v>221.60416666666666</v>
      </c>
      <c r="W12" s="333"/>
      <c r="X12" s="747">
        <v>132</v>
      </c>
      <c r="Y12" s="1" t="s">
        <v>3100</v>
      </c>
      <c r="Z12" s="16">
        <v>10</v>
      </c>
      <c r="AA12" s="1269" t="s">
        <v>3438</v>
      </c>
      <c r="AB12" s="739">
        <v>120</v>
      </c>
      <c r="AC12" s="739">
        <f>AB12*1.1</f>
        <v>132</v>
      </c>
      <c r="AD12" s="745">
        <v>1000</v>
      </c>
      <c r="AE12" s="744">
        <f t="shared" si="13"/>
        <v>120</v>
      </c>
      <c r="AF12" s="744">
        <f>1000*AC12/AD12</f>
        <v>132</v>
      </c>
      <c r="AG12" s="5">
        <f t="shared" si="6"/>
        <v>93.5</v>
      </c>
      <c r="AH12" s="5">
        <f>IF(AG12="","",VLOOKUP($Y12,Nutrition_tables!$A:$N,10,FALSE))</f>
        <v>28</v>
      </c>
      <c r="AI12" s="5">
        <f t="shared" si="7"/>
        <v>0.33392857142857141</v>
      </c>
    </row>
    <row r="13" spans="1:40" ht="18" customHeight="1">
      <c r="A13" s="699"/>
      <c r="B13" s="1" t="s">
        <v>815</v>
      </c>
      <c r="C13" s="1" t="s">
        <v>3098</v>
      </c>
      <c r="D13" s="332"/>
      <c r="E13" s="678" t="str">
        <f>IF(G13="","",_xlfn.IFNA(VLOOKUP($H13,Ingredient_prices!$B:$C,2,FALSE),""))</f>
        <v>Cherry pie</v>
      </c>
      <c r="F13" s="1199" t="str">
        <f t="shared" si="0"/>
        <v>ПАРТИЈА 1</v>
      </c>
      <c r="G13" s="1389">
        <v>9</v>
      </c>
      <c r="H13" s="1390" t="s">
        <v>835</v>
      </c>
      <c r="I13" s="1390" t="s">
        <v>2623</v>
      </c>
      <c r="J13" s="1390">
        <v>110</v>
      </c>
      <c r="K13" s="1403" t="s">
        <v>2327</v>
      </c>
      <c r="L13" s="1390">
        <v>2500</v>
      </c>
      <c r="M13" s="699"/>
      <c r="N13" s="1381">
        <v>29.36</v>
      </c>
      <c r="O13" s="1383">
        <f t="shared" si="1"/>
        <v>10</v>
      </c>
      <c r="P13" s="1382">
        <f t="shared" si="2"/>
        <v>32.295999999999999</v>
      </c>
      <c r="Q13" s="1383">
        <f t="shared" si="3"/>
        <v>73400</v>
      </c>
      <c r="R13" s="1383">
        <f t="shared" si="4"/>
        <v>80740</v>
      </c>
      <c r="S13" s="699"/>
      <c r="T13" s="101">
        <f>IF(O13="","",IF('Charts and graphs'!$C$6="Conventional",IF(N13&gt;0,1000*P13/J13,""),IF(VLOOKUP($E13,$Y:$AE,7,FALSE)=0,IF(N13&gt;0,1000*P13/J13,""),VLOOKUP($E13,$Y:$AE,7,FALSE))))</f>
        <v>293.60000000000002</v>
      </c>
      <c r="U13" s="101">
        <f t="shared" si="5"/>
        <v>293.60000000000002</v>
      </c>
      <c r="V13" s="101">
        <f t="shared" si="9"/>
        <v>293.60000000000002</v>
      </c>
      <c r="W13" s="332"/>
      <c r="X13" s="747">
        <v>132</v>
      </c>
      <c r="Y13" s="1" t="s">
        <v>3122</v>
      </c>
      <c r="Z13" s="16">
        <v>10</v>
      </c>
      <c r="AA13" s="1269" t="s">
        <v>3438</v>
      </c>
      <c r="AB13" s="739">
        <v>120</v>
      </c>
      <c r="AC13" s="739">
        <f>AB13*1.1</f>
        <v>132</v>
      </c>
      <c r="AD13" s="745">
        <v>1000</v>
      </c>
      <c r="AE13" s="744">
        <f t="shared" si="13"/>
        <v>120</v>
      </c>
      <c r="AF13" s="744">
        <f t="shared" ref="AF13" si="14">1000*AC13/AD13</f>
        <v>132</v>
      </c>
      <c r="AG13" s="5" t="str">
        <f t="shared" si="6"/>
        <v/>
      </c>
      <c r="AH13" s="5" t="str">
        <f>IF(AG13="","",VLOOKUP($Y13,Nutrition_tables!$A:$N,10,FALSE))</f>
        <v/>
      </c>
      <c r="AI13" s="5" t="str">
        <f t="shared" si="7"/>
        <v/>
      </c>
    </row>
    <row r="14" spans="1:40" ht="18" customHeight="1">
      <c r="A14" s="699"/>
      <c r="B14" s="1" t="s">
        <v>1590</v>
      </c>
      <c r="C14" s="1" t="s">
        <v>3098</v>
      </c>
      <c r="D14" s="332"/>
      <c r="E14" s="678" t="str">
        <f>IF(G14="","",_xlfn.IFNA(VLOOKUP($H14,Ingredient_prices!$B:$C,2,FALSE),""))</f>
        <v>Apple tart</v>
      </c>
      <c r="F14" s="1199" t="str">
        <f t="shared" si="0"/>
        <v>ПАРТИЈА 1</v>
      </c>
      <c r="G14" s="1389">
        <v>10</v>
      </c>
      <c r="H14" s="1390" t="s">
        <v>2275</v>
      </c>
      <c r="I14" s="1390" t="s">
        <v>2623</v>
      </c>
      <c r="J14" s="1390">
        <v>110</v>
      </c>
      <c r="K14" s="1403" t="s">
        <v>2327</v>
      </c>
      <c r="L14" s="1390">
        <v>2500</v>
      </c>
      <c r="M14" s="699"/>
      <c r="N14" s="1381">
        <v>24.74</v>
      </c>
      <c r="O14" s="1383">
        <f t="shared" si="1"/>
        <v>10</v>
      </c>
      <c r="P14" s="1382">
        <f t="shared" si="2"/>
        <v>27.213999999999999</v>
      </c>
      <c r="Q14" s="1383">
        <f t="shared" si="3"/>
        <v>61849.999999999993</v>
      </c>
      <c r="R14" s="1383">
        <f t="shared" si="4"/>
        <v>68035</v>
      </c>
      <c r="S14" s="699"/>
      <c r="T14" s="101">
        <f>IF(O14="","",IF('Charts and graphs'!$C$6="Conventional",IF(N14&gt;0,1000*P14/J14,""),IF(VLOOKUP($E14,$Y:$AE,7,FALSE)=0,IF(N14&gt;0,1000*P14/J14,""),VLOOKUP($E14,$Y:$AE,7,FALSE))))</f>
        <v>247.4</v>
      </c>
      <c r="U14" s="101">
        <f t="shared" si="5"/>
        <v>247.4</v>
      </c>
      <c r="V14" s="101">
        <f t="shared" si="9"/>
        <v>247.4</v>
      </c>
      <c r="W14" s="332"/>
      <c r="Y14" s="1" t="s">
        <v>3102</v>
      </c>
      <c r="Z14" s="16">
        <v>10</v>
      </c>
      <c r="AA14" s="1269" t="s">
        <v>3438</v>
      </c>
      <c r="AG14" s="5">
        <f t="shared" si="6"/>
        <v>66</v>
      </c>
      <c r="AH14" s="5">
        <f>IF(AG14="","",VLOOKUP($Y14,Nutrition_tables!$A:$N,10,FALSE))</f>
        <v>38</v>
      </c>
      <c r="AI14" s="5">
        <f t="shared" si="7"/>
        <v>0.1736842105263158</v>
      </c>
    </row>
    <row r="15" spans="1:40" ht="18" customHeight="1">
      <c r="A15" s="699"/>
      <c r="B15" s="1" t="s">
        <v>1489</v>
      </c>
      <c r="C15" s="1" t="s">
        <v>3098</v>
      </c>
      <c r="D15" s="332"/>
      <c r="E15" s="678" t="str">
        <f>IF(G15="","",_xlfn.IFNA(VLOOKUP($H15,Ingredient_prices!$B:$C,2,FALSE),""))</f>
        <v>Pumpkin pie</v>
      </c>
      <c r="F15" s="1199" t="str">
        <f t="shared" si="0"/>
        <v>ПАРТИЈА 1</v>
      </c>
      <c r="G15" s="1389">
        <v>11</v>
      </c>
      <c r="H15" s="1390" t="s">
        <v>2276</v>
      </c>
      <c r="I15" s="1390" t="s">
        <v>2623</v>
      </c>
      <c r="J15" s="1390">
        <v>110</v>
      </c>
      <c r="K15" s="1403" t="s">
        <v>2327</v>
      </c>
      <c r="L15" s="1390">
        <v>1200</v>
      </c>
      <c r="M15" s="699"/>
      <c r="N15" s="1381">
        <v>25.42</v>
      </c>
      <c r="O15" s="1383">
        <f t="shared" si="1"/>
        <v>10</v>
      </c>
      <c r="P15" s="1382">
        <f t="shared" si="2"/>
        <v>27.962000000000003</v>
      </c>
      <c r="Q15" s="1383">
        <f t="shared" si="3"/>
        <v>30504.000000000004</v>
      </c>
      <c r="R15" s="1383">
        <f t="shared" si="4"/>
        <v>33554.400000000001</v>
      </c>
      <c r="S15" s="699"/>
      <c r="T15" s="101">
        <f>IF(O15="","",IF('Charts and graphs'!$C$6="Conventional",IF(N15&gt;0,1000*P15/J15,""),IF(VLOOKUP($E15,$Y:$AE,7,FALSE)=0,IF(N15&gt;0,1000*P15/J15,""),VLOOKUP($E15,$Y:$AE,7,FALSE))))</f>
        <v>254.20000000000005</v>
      </c>
      <c r="U15" s="101">
        <f t="shared" si="5"/>
        <v>254.20000000000005</v>
      </c>
      <c r="V15" s="101">
        <f t="shared" si="9"/>
        <v>254.20000000000005</v>
      </c>
      <c r="W15" s="332"/>
      <c r="Y15" s="82" t="s">
        <v>3103</v>
      </c>
      <c r="Z15" s="16">
        <v>10</v>
      </c>
      <c r="AA15" s="1269" t="s">
        <v>3438</v>
      </c>
      <c r="AB15" s="749"/>
      <c r="AC15" s="749"/>
      <c r="AG15" s="5" t="str">
        <f t="shared" si="6"/>
        <v/>
      </c>
      <c r="AH15" s="5" t="str">
        <f>IF(AG15="","",VLOOKUP($Y15,Nutrition_tables!$A:$N,10,FALSE))</f>
        <v/>
      </c>
      <c r="AI15" s="5" t="str">
        <f t="shared" si="7"/>
        <v/>
      </c>
    </row>
    <row r="16" spans="1:40" ht="18" customHeight="1">
      <c r="A16" s="699"/>
      <c r="B16" s="1" t="s">
        <v>1511</v>
      </c>
      <c r="C16" s="1" t="s">
        <v>3117</v>
      </c>
      <c r="D16" s="332"/>
      <c r="E16" s="678" t="str">
        <f>IF(G16="","",_xlfn.IFNA(VLOOKUP($H16,Ingredient_prices!$B:$C,2,FALSE),""))</f>
        <v>Burek with cheese</v>
      </c>
      <c r="F16" s="1199" t="str">
        <f t="shared" si="0"/>
        <v>ПАРТИЈА 1</v>
      </c>
      <c r="G16" s="1389">
        <v>12</v>
      </c>
      <c r="H16" s="1390" t="s">
        <v>2277</v>
      </c>
      <c r="I16" s="1390" t="s">
        <v>2624</v>
      </c>
      <c r="J16" s="1390">
        <v>280</v>
      </c>
      <c r="K16" s="1403" t="s">
        <v>2327</v>
      </c>
      <c r="L16" s="1390">
        <v>500</v>
      </c>
      <c r="M16" s="699"/>
      <c r="N16" s="1381">
        <v>57.9</v>
      </c>
      <c r="O16" s="1383">
        <f t="shared" si="1"/>
        <v>10</v>
      </c>
      <c r="P16" s="1382">
        <f t="shared" si="2"/>
        <v>63.69</v>
      </c>
      <c r="Q16" s="1383">
        <f t="shared" si="3"/>
        <v>28950</v>
      </c>
      <c r="R16" s="1383">
        <f t="shared" si="4"/>
        <v>31845</v>
      </c>
      <c r="S16" s="699"/>
      <c r="T16" s="101">
        <f>IF(O16="","",IF('Charts and graphs'!$C$6="Conventional",IF(N16&gt;0,1000*P16/J16,""),IF(VLOOKUP($E16,$Y:$AE,7,FALSE)=0,IF(N16&gt;0,1000*P16/J16,""),VLOOKUP($E16,$Y:$AE,7,FALSE))))</f>
        <v>227.46428571428572</v>
      </c>
      <c r="U16" s="101">
        <f t="shared" si="5"/>
        <v>227.46428571428572</v>
      </c>
      <c r="V16" s="101">
        <f t="shared" si="9"/>
        <v>227.46428571428572</v>
      </c>
      <c r="W16" s="332"/>
      <c r="Y16" s="1" t="s">
        <v>3123</v>
      </c>
      <c r="Z16" s="16">
        <v>10</v>
      </c>
      <c r="AA16" s="1269" t="s">
        <v>3438</v>
      </c>
      <c r="AB16" s="749"/>
      <c r="AC16" s="749"/>
      <c r="AG16" s="5">
        <f t="shared" si="6"/>
        <v>110</v>
      </c>
      <c r="AH16" s="5">
        <f>IF(AG16="","",VLOOKUP($Y16,Nutrition_tables!$A:$N,10,FALSE))</f>
        <v>76.003866666666667</v>
      </c>
      <c r="AI16" s="5">
        <f t="shared" si="7"/>
        <v>0.14472947867564631</v>
      </c>
    </row>
    <row r="17" spans="1:37" ht="16" customHeight="1">
      <c r="A17" s="699"/>
      <c r="B17" s="1" t="s">
        <v>2479</v>
      </c>
      <c r="C17" s="1" t="s">
        <v>3121</v>
      </c>
      <c r="D17" s="332"/>
      <c r="E17" s="678" t="str">
        <f>IF(G17="","",_xlfn.IFNA(VLOOKUP($H17,Ingredient_prices!$B:$C,2,FALSE),""))</f>
        <v>Sausage roll</v>
      </c>
      <c r="F17" s="1199" t="str">
        <f t="shared" si="0"/>
        <v>ПАРТИЈА 1</v>
      </c>
      <c r="G17" s="1389">
        <v>13</v>
      </c>
      <c r="H17" s="1390" t="s">
        <v>834</v>
      </c>
      <c r="I17" s="1390" t="s">
        <v>2625</v>
      </c>
      <c r="J17" s="1390">
        <v>110</v>
      </c>
      <c r="K17" s="1403" t="s">
        <v>2327</v>
      </c>
      <c r="L17" s="1390">
        <v>2500</v>
      </c>
      <c r="M17" s="699"/>
      <c r="N17" s="1381">
        <v>31.08</v>
      </c>
      <c r="O17" s="1383">
        <f t="shared" si="1"/>
        <v>10</v>
      </c>
      <c r="P17" s="1382">
        <f t="shared" si="2"/>
        <v>34.187999999999995</v>
      </c>
      <c r="Q17" s="1383">
        <f t="shared" si="3"/>
        <v>77700</v>
      </c>
      <c r="R17" s="1383">
        <f t="shared" si="4"/>
        <v>85469.999999999985</v>
      </c>
      <c r="S17" s="699"/>
      <c r="T17" s="101">
        <f>IF(O17="","",IF('Charts and graphs'!$C$6="Conventional",IF(N17&gt;0,1000*P17/J17,""),IF(VLOOKUP($E17,$Y:$AE,7,FALSE)=0,IF(N17&gt;0,1000*P17/J17,""),VLOOKUP($E17,$Y:$AE,7,FALSE))))</f>
        <v>310.79999999999995</v>
      </c>
      <c r="U17" s="101">
        <f t="shared" si="5"/>
        <v>310.79999999999995</v>
      </c>
      <c r="V17" s="101">
        <f t="shared" si="9"/>
        <v>310.79999999999995</v>
      </c>
      <c r="W17" s="332"/>
      <c r="X17" s="747">
        <v>330</v>
      </c>
      <c r="Y17" s="1" t="s">
        <v>469</v>
      </c>
      <c r="Z17" s="16">
        <v>10</v>
      </c>
      <c r="AA17" s="1269" t="s">
        <v>3438</v>
      </c>
      <c r="AB17" s="739">
        <v>300</v>
      </c>
      <c r="AC17" s="739">
        <f>AB17*1.1</f>
        <v>330</v>
      </c>
      <c r="AD17" s="738">
        <v>1000</v>
      </c>
      <c r="AE17" s="744">
        <f>1000*AB17/AD17</f>
        <v>300</v>
      </c>
      <c r="AF17" s="744">
        <f t="shared" ref="AF17" si="15">1000*AC17/AD17</f>
        <v>330</v>
      </c>
      <c r="AG17" s="5">
        <f t="shared" si="6"/>
        <v>110</v>
      </c>
      <c r="AH17" s="5">
        <f>IF(AG17="","",VLOOKUP($Y17,Nutrition_tables!$A:$N,10,FALSE))</f>
        <v>20</v>
      </c>
      <c r="AI17" s="5">
        <f t="shared" si="7"/>
        <v>0.55000000000000004</v>
      </c>
    </row>
    <row r="18" spans="1:37" ht="16" customHeight="1">
      <c r="A18" s="699"/>
      <c r="B18" s="1" t="s">
        <v>1378</v>
      </c>
      <c r="C18" s="1" t="s">
        <v>3424</v>
      </c>
      <c r="D18" s="332"/>
      <c r="E18" s="678" t="str">
        <f>IF(G18="","",_xlfn.IFNA(VLOOKUP($H18,Ingredient_prices!$B:$C,2,FALSE),""))</f>
        <v>Pie with buckwheat flour</v>
      </c>
      <c r="F18" s="1199" t="str">
        <f t="shared" si="0"/>
        <v>ПАРТИЈА 1</v>
      </c>
      <c r="G18" s="1389">
        <v>14</v>
      </c>
      <c r="H18" s="1390" t="s">
        <v>2278</v>
      </c>
      <c r="I18" s="1390" t="s">
        <v>2626</v>
      </c>
      <c r="J18" s="1390">
        <v>110</v>
      </c>
      <c r="K18" s="1403" t="s">
        <v>2327</v>
      </c>
      <c r="L18" s="1390">
        <v>500</v>
      </c>
      <c r="M18" s="699"/>
      <c r="N18" s="1381">
        <v>24.06</v>
      </c>
      <c r="O18" s="1383">
        <f t="shared" si="1"/>
        <v>10</v>
      </c>
      <c r="P18" s="1382">
        <f t="shared" si="2"/>
        <v>26.465999999999998</v>
      </c>
      <c r="Q18" s="1383">
        <f t="shared" si="3"/>
        <v>12030</v>
      </c>
      <c r="R18" s="1383">
        <f t="shared" si="4"/>
        <v>13232.999999999998</v>
      </c>
      <c r="S18" s="699"/>
      <c r="T18" s="101">
        <f>IF(O18="","",IF('Charts and graphs'!$C$6="Conventional",IF(N18&gt;0,1000*P18/J18,""),IF(VLOOKUP($E18,$Y:$AE,7,FALSE)=0,IF(N18&gt;0,1000*P18/J18,""),VLOOKUP($E18,$Y:$AE,7,FALSE))))</f>
        <v>240.59999999999997</v>
      </c>
      <c r="U18" s="101">
        <f t="shared" si="5"/>
        <v>240.59999999999997</v>
      </c>
      <c r="V18" s="101">
        <f t="shared" si="9"/>
        <v>240.59999999999997</v>
      </c>
      <c r="W18" s="332"/>
      <c r="Y18" s="1" t="s">
        <v>439</v>
      </c>
      <c r="Z18" s="16">
        <v>10</v>
      </c>
      <c r="AA18" s="1269" t="s">
        <v>3438</v>
      </c>
      <c r="AG18" s="5">
        <f t="shared" si="6"/>
        <v>110</v>
      </c>
      <c r="AH18" s="5">
        <f>IF(AG18="","",VLOOKUP($Y18,Nutrition_tables!$A:$N,10,FALSE))</f>
        <v>36</v>
      </c>
      <c r="AI18" s="5">
        <f t="shared" si="7"/>
        <v>0.30555555555555558</v>
      </c>
    </row>
    <row r="19" spans="1:37" ht="16" customHeight="1">
      <c r="A19" s="699"/>
      <c r="B19" s="1" t="s">
        <v>2480</v>
      </c>
      <c r="C19" s="1" t="s">
        <v>3424</v>
      </c>
      <c r="D19" s="332"/>
      <c r="E19" s="678" t="str">
        <f>IF(G19="","",_xlfn.IFNA(VLOOKUP($H19,Ingredient_prices!$B:$C,2,FALSE),""))</f>
        <v>Buckwheat paté</v>
      </c>
      <c r="F19" s="1199" t="str">
        <f t="shared" si="0"/>
        <v>ПАРТИЈА 1</v>
      </c>
      <c r="G19" s="1389">
        <v>15</v>
      </c>
      <c r="H19" s="1390" t="s">
        <v>2279</v>
      </c>
      <c r="I19" s="1390" t="s">
        <v>2627</v>
      </c>
      <c r="J19" s="1390">
        <v>50</v>
      </c>
      <c r="K19" s="1403" t="s">
        <v>2327</v>
      </c>
      <c r="L19" s="1390">
        <v>700</v>
      </c>
      <c r="M19" s="699"/>
      <c r="N19" s="1381">
        <v>8.2200000000000006</v>
      </c>
      <c r="O19" s="1383">
        <f t="shared" si="1"/>
        <v>10</v>
      </c>
      <c r="P19" s="1382">
        <f t="shared" si="2"/>
        <v>9.0420000000000016</v>
      </c>
      <c r="Q19" s="1383">
        <f t="shared" si="3"/>
        <v>5754</v>
      </c>
      <c r="R19" s="1383">
        <f t="shared" si="4"/>
        <v>6329.4000000000015</v>
      </c>
      <c r="S19" s="699"/>
      <c r="T19" s="101">
        <f>IF(O19="","",IF('Charts and graphs'!$C$6="Conventional",IF(N19&gt;0,1000*P19/J19,""),IF(VLOOKUP($E19,$Y:$AE,7,FALSE)=0,IF(N19&gt;0,1000*P19/J19,""),VLOOKUP($E19,$Y:$AE,7,FALSE))))</f>
        <v>180.84000000000003</v>
      </c>
      <c r="U19" s="101">
        <f t="shared" si="5"/>
        <v>180.84000000000003</v>
      </c>
      <c r="V19" s="101">
        <f t="shared" si="9"/>
        <v>180.84000000000003</v>
      </c>
      <c r="W19" s="332"/>
      <c r="X19" s="747">
        <v>220.00000000000003</v>
      </c>
      <c r="Y19" s="1" t="s">
        <v>3104</v>
      </c>
      <c r="Z19" s="16">
        <v>10</v>
      </c>
      <c r="AA19" s="1269" t="s">
        <v>3438</v>
      </c>
      <c r="AB19" s="739">
        <v>200</v>
      </c>
      <c r="AC19" s="739">
        <f t="shared" ref="AC19:AC35" si="16">AB19*1.1</f>
        <v>220.00000000000003</v>
      </c>
      <c r="AD19" s="738">
        <v>1000</v>
      </c>
      <c r="AE19" s="744">
        <f t="shared" ref="AE19:AE24" si="17">1000*AB19/AD19</f>
        <v>200</v>
      </c>
      <c r="AF19" s="744">
        <f t="shared" ref="AF19" si="18">1000*AC19/AD19</f>
        <v>220.00000000000003</v>
      </c>
      <c r="AG19" s="5">
        <f t="shared" si="6"/>
        <v>66</v>
      </c>
      <c r="AH19" s="5">
        <f>IF(AG19="","",VLOOKUP($Y19,Nutrition_tables!$A:$N,10,FALSE))</f>
        <v>14</v>
      </c>
      <c r="AI19" s="5">
        <f t="shared" si="7"/>
        <v>0.47142857142857142</v>
      </c>
    </row>
    <row r="20" spans="1:37" ht="16" customHeight="1">
      <c r="A20" s="699"/>
      <c r="B20" s="1" t="s">
        <v>912</v>
      </c>
      <c r="C20" s="1" t="s">
        <v>438</v>
      </c>
      <c r="D20" s="332"/>
      <c r="E20" s="678" t="str">
        <f>IF(G20="","",_xlfn.IFNA(VLOOKUP($H20,Ingredient_prices!$B:$C,2,FALSE),""))</f>
        <v>Spiral bun small</v>
      </c>
      <c r="F20" s="1199" t="str">
        <f t="shared" si="0"/>
        <v>ПАРТИЈА 1</v>
      </c>
      <c r="G20" s="1389">
        <v>16</v>
      </c>
      <c r="H20" s="1390" t="s">
        <v>2280</v>
      </c>
      <c r="I20" s="1390" t="s">
        <v>2628</v>
      </c>
      <c r="J20" s="1390">
        <v>100</v>
      </c>
      <c r="K20" s="1403" t="s">
        <v>2327</v>
      </c>
      <c r="L20" s="1390">
        <v>1700</v>
      </c>
      <c r="M20" s="699"/>
      <c r="N20" s="1381">
        <v>24.92</v>
      </c>
      <c r="O20" s="1383">
        <f t="shared" si="1"/>
        <v>10</v>
      </c>
      <c r="P20" s="1382">
        <f t="shared" si="2"/>
        <v>27.412000000000003</v>
      </c>
      <c r="Q20" s="1383">
        <f t="shared" si="3"/>
        <v>42364</v>
      </c>
      <c r="R20" s="1383">
        <f t="shared" si="4"/>
        <v>46600.4</v>
      </c>
      <c r="S20" s="699"/>
      <c r="T20" s="101">
        <f>IF(O20="","",IF('Charts and graphs'!$C$6="Conventional",IF(N20&gt;0,1000*P20/J20,""),IF(VLOOKUP($E20,$Y:$AE,7,FALSE)=0,IF(N20&gt;0,1000*P20/J20,""),VLOOKUP($E20,$Y:$AE,7,FALSE))))</f>
        <v>274.12000000000006</v>
      </c>
      <c r="U20" s="101">
        <f t="shared" si="5"/>
        <v>274.12000000000006</v>
      </c>
      <c r="V20" s="101">
        <f t="shared" si="9"/>
        <v>274.12000000000006</v>
      </c>
      <c r="W20" s="332"/>
      <c r="X20" s="747">
        <v>137.5</v>
      </c>
      <c r="Y20" s="1" t="s">
        <v>3124</v>
      </c>
      <c r="Z20" s="16">
        <v>10</v>
      </c>
      <c r="AA20" s="1269" t="s">
        <v>3438</v>
      </c>
      <c r="AB20" s="739">
        <v>135</v>
      </c>
      <c r="AC20" s="739">
        <f t="shared" si="16"/>
        <v>148.5</v>
      </c>
      <c r="AD20" s="738">
        <v>1000</v>
      </c>
      <c r="AE20" s="744">
        <f t="shared" si="17"/>
        <v>135</v>
      </c>
      <c r="AF20" s="744">
        <f>1000*AC20/AD20</f>
        <v>148.5</v>
      </c>
      <c r="AG20" s="5">
        <f t="shared" si="6"/>
        <v>66</v>
      </c>
      <c r="AH20" s="5">
        <f>IF(AG20="","",VLOOKUP($Y20,Nutrition_tables!$A:$N,10,FALSE))</f>
        <v>87</v>
      </c>
      <c r="AI20" s="5">
        <f t="shared" si="7"/>
        <v>7.586206896551724E-2</v>
      </c>
    </row>
    <row r="21" spans="1:37" ht="15" customHeight="1">
      <c r="A21" s="699"/>
      <c r="B21" s="1" t="s">
        <v>2848</v>
      </c>
      <c r="C21" s="1" t="s">
        <v>3099</v>
      </c>
      <c r="D21" s="332"/>
      <c r="E21" s="678" t="str">
        <f>IF(G21="","",_xlfn.IFNA(VLOOKUP($H21,Ingredient_prices!$B:$C,2,FALSE),""))</f>
        <v>Danish pastry (sweet)</v>
      </c>
      <c r="F21" s="1199" t="str">
        <f t="shared" si="0"/>
        <v>ПАРТИЈА 1</v>
      </c>
      <c r="G21" s="1389">
        <v>17</v>
      </c>
      <c r="H21" s="1390" t="s">
        <v>1152</v>
      </c>
      <c r="I21" s="1390" t="s">
        <v>2629</v>
      </c>
      <c r="J21" s="1390">
        <v>100</v>
      </c>
      <c r="K21" s="1403" t="s">
        <v>2327</v>
      </c>
      <c r="L21" s="1390">
        <v>2500</v>
      </c>
      <c r="M21" s="699"/>
      <c r="N21" s="1381">
        <v>28.14</v>
      </c>
      <c r="O21" s="1383">
        <f t="shared" si="1"/>
        <v>10</v>
      </c>
      <c r="P21" s="1382">
        <f t="shared" si="2"/>
        <v>30.954000000000001</v>
      </c>
      <c r="Q21" s="1383">
        <f t="shared" si="3"/>
        <v>70350</v>
      </c>
      <c r="R21" s="1383">
        <f t="shared" si="4"/>
        <v>77385</v>
      </c>
      <c r="S21" s="699"/>
      <c r="T21" s="101">
        <f>IF(O21="","",IF('Charts and graphs'!$C$6="Conventional",IF(N21&gt;0,1000*P21/J21,""),IF(VLOOKUP($E21,$Y:$AE,7,FALSE)=0,IF(N21&gt;0,1000*P21/J21,""),VLOOKUP($E21,$Y:$AE,7,FALSE))))</f>
        <v>309.54000000000002</v>
      </c>
      <c r="U21" s="101">
        <f t="shared" si="5"/>
        <v>309.54000000000002</v>
      </c>
      <c r="V21" s="101">
        <f t="shared" si="9"/>
        <v>309.54000000000002</v>
      </c>
      <c r="W21" s="332"/>
      <c r="X21" s="747">
        <v>148.5</v>
      </c>
      <c r="Y21" s="1" t="s">
        <v>3125</v>
      </c>
      <c r="Z21" s="16">
        <v>10</v>
      </c>
      <c r="AA21" s="1269" t="s">
        <v>3438</v>
      </c>
      <c r="AB21" s="739">
        <v>150</v>
      </c>
      <c r="AC21" s="739">
        <f t="shared" si="16"/>
        <v>165</v>
      </c>
      <c r="AD21" s="738">
        <v>1000</v>
      </c>
      <c r="AE21" s="744">
        <f t="shared" si="17"/>
        <v>150</v>
      </c>
      <c r="AF21" s="744">
        <f t="shared" ref="AF21:AF24" si="19">1000*AC21/AD21</f>
        <v>165</v>
      </c>
      <c r="AG21" s="5" t="str">
        <f t="shared" si="6"/>
        <v/>
      </c>
      <c r="AH21" s="5" t="str">
        <f>IF(AG21="","",VLOOKUP($Y21,Nutrition_tables!$A:$N,10,FALSE))</f>
        <v/>
      </c>
      <c r="AI21" s="5" t="str">
        <f t="shared" si="7"/>
        <v/>
      </c>
    </row>
    <row r="22" spans="1:37" ht="16" customHeight="1">
      <c r="A22" s="699"/>
      <c r="B22" s="1" t="s">
        <v>1454</v>
      </c>
      <c r="C22" s="1" t="s">
        <v>438</v>
      </c>
      <c r="D22" s="332"/>
      <c r="E22" s="678" t="str">
        <f>IF(G22="","",_xlfn.IFNA(VLOOKUP($H22,Ingredient_prices!$B:$C,2,FALSE),""))</f>
        <v>Chalcone ham cheese</v>
      </c>
      <c r="F22" s="1199" t="str">
        <f t="shared" si="0"/>
        <v>ПАРТИЈА 1</v>
      </c>
      <c r="G22" s="1389">
        <v>18</v>
      </c>
      <c r="H22" s="1390" t="s">
        <v>2281</v>
      </c>
      <c r="I22" s="1390" t="s">
        <v>2630</v>
      </c>
      <c r="J22" s="1390">
        <v>96</v>
      </c>
      <c r="K22" s="1403" t="s">
        <v>2327</v>
      </c>
      <c r="L22" s="1390">
        <v>2000</v>
      </c>
      <c r="M22" s="699"/>
      <c r="N22" s="1381">
        <v>25.04</v>
      </c>
      <c r="O22" s="1383">
        <f t="shared" si="1"/>
        <v>10</v>
      </c>
      <c r="P22" s="1382">
        <f t="shared" si="2"/>
        <v>27.543999999999997</v>
      </c>
      <c r="Q22" s="1383">
        <f t="shared" si="3"/>
        <v>50080</v>
      </c>
      <c r="R22" s="1383">
        <f t="shared" si="4"/>
        <v>55087.999999999993</v>
      </c>
      <c r="S22" s="699"/>
      <c r="T22" s="101">
        <f>IF(O22="","",IF('Charts and graphs'!$C$6="Conventional",IF(N22&gt;0,1000*P22/J22,""),IF(VLOOKUP($E22,$Y:$AE,7,FALSE)=0,IF(N22&gt;0,1000*P22/J22,""),VLOOKUP($E22,$Y:$AE,7,FALSE))))</f>
        <v>286.91666666666663</v>
      </c>
      <c r="U22" s="101">
        <f t="shared" si="5"/>
        <v>286.91666666666663</v>
      </c>
      <c r="V22" s="101">
        <f t="shared" si="9"/>
        <v>286.91666666666663</v>
      </c>
      <c r="W22" s="332"/>
      <c r="X22" s="747">
        <v>99.000000000000014</v>
      </c>
      <c r="Y22" s="1" t="s">
        <v>3126</v>
      </c>
      <c r="Z22" s="16">
        <v>10</v>
      </c>
      <c r="AA22" s="1269" t="s">
        <v>3438</v>
      </c>
      <c r="AB22" s="749"/>
      <c r="AC22" s="749"/>
      <c r="AG22" s="5">
        <f t="shared" si="6"/>
        <v>99</v>
      </c>
      <c r="AH22" s="5">
        <f>IF(AG22="","",VLOOKUP($Y22,Nutrition_tables!$A:$N,10,FALSE))</f>
        <v>86</v>
      </c>
      <c r="AI22" s="5">
        <f t="shared" ref="AI22" si="20">IF(AG22="","",AG22/(AH22*10))</f>
        <v>0.11511627906976744</v>
      </c>
      <c r="AK22" s="749"/>
    </row>
    <row r="23" spans="1:37" ht="16" customHeight="1">
      <c r="A23" s="699"/>
      <c r="B23" s="1" t="s">
        <v>913</v>
      </c>
      <c r="C23" s="1" t="s">
        <v>438</v>
      </c>
      <c r="D23" s="332"/>
      <c r="E23" s="678" t="str">
        <f>IF(G23="","",_xlfn.IFNA(VLOOKUP($H23,Ingredient_prices!$B:$C,2,FALSE),""))</f>
        <v>Sesame bun</v>
      </c>
      <c r="F23" s="1199" t="str">
        <f t="shared" si="0"/>
        <v>ПАРТИЈА 1</v>
      </c>
      <c r="G23" s="1389">
        <v>19</v>
      </c>
      <c r="H23" s="1390" t="s">
        <v>2282</v>
      </c>
      <c r="I23" s="1390" t="s">
        <v>2631</v>
      </c>
      <c r="J23" s="1390">
        <v>95</v>
      </c>
      <c r="K23" s="1403" t="s">
        <v>2327</v>
      </c>
      <c r="L23" s="1390">
        <v>1000</v>
      </c>
      <c r="M23" s="699"/>
      <c r="N23" s="1381">
        <v>11.23</v>
      </c>
      <c r="O23" s="1383">
        <f t="shared" si="1"/>
        <v>10</v>
      </c>
      <c r="P23" s="1382">
        <f t="shared" si="2"/>
        <v>12.353000000000002</v>
      </c>
      <c r="Q23" s="1383">
        <f t="shared" si="3"/>
        <v>11230</v>
      </c>
      <c r="R23" s="1383">
        <f t="shared" si="4"/>
        <v>12353.000000000002</v>
      </c>
      <c r="S23" s="699"/>
      <c r="T23" s="101">
        <f>IF(O23="","",IF('Charts and graphs'!$C$6="Conventional",IF(N23&gt;0,1000*P23/J23,""),IF(VLOOKUP($E23,$Y:$AE,7,FALSE)=0,IF(N23&gt;0,1000*P23/J23,""),VLOOKUP($E23,$Y:$AE,7,FALSE))))</f>
        <v>130.03157894736844</v>
      </c>
      <c r="U23" s="101">
        <f t="shared" si="5"/>
        <v>130.03157894736844</v>
      </c>
      <c r="V23" s="101">
        <f t="shared" si="9"/>
        <v>130.03157894736844</v>
      </c>
      <c r="W23" s="332"/>
      <c r="X23" s="747">
        <v>99.000000000000014</v>
      </c>
      <c r="Y23" s="1" t="s">
        <v>3105</v>
      </c>
      <c r="Z23" s="16">
        <v>10</v>
      </c>
      <c r="AA23" s="1269" t="s">
        <v>3438</v>
      </c>
      <c r="AB23" s="739">
        <v>90</v>
      </c>
      <c r="AC23" s="739">
        <f t="shared" si="16"/>
        <v>99.000000000000014</v>
      </c>
      <c r="AD23" s="738">
        <v>1000</v>
      </c>
      <c r="AE23" s="744">
        <f t="shared" si="17"/>
        <v>90</v>
      </c>
      <c r="AF23" s="744">
        <f t="shared" si="19"/>
        <v>99.000000000000014</v>
      </c>
      <c r="AG23" s="5">
        <f t="shared" si="6"/>
        <v>66</v>
      </c>
      <c r="AH23" s="5">
        <f>IF(AG23="","",VLOOKUP($Y23,Nutrition_tables!$A:$N,10,FALSE))</f>
        <v>24</v>
      </c>
      <c r="AI23" s="5">
        <f t="shared" si="7"/>
        <v>0.27500000000000002</v>
      </c>
    </row>
    <row r="24" spans="1:37" ht="16" customHeight="1">
      <c r="A24" s="699"/>
      <c r="B24" s="1" t="s">
        <v>826</v>
      </c>
      <c r="C24" s="1" t="s">
        <v>3100</v>
      </c>
      <c r="D24" s="332"/>
      <c r="E24" s="678" t="str">
        <f>IF(G24="","",_xlfn.IFNA(VLOOKUP($H24,Ingredient_prices!$B:$C,2,FALSE),""))</f>
        <v>Croissant with cocoa cream</v>
      </c>
      <c r="F24" s="1199" t="str">
        <f t="shared" si="0"/>
        <v>ПАРТИЈА 1</v>
      </c>
      <c r="G24" s="1389">
        <v>20</v>
      </c>
      <c r="H24" s="1390" t="s">
        <v>2283</v>
      </c>
      <c r="I24" s="1390" t="s">
        <v>2632</v>
      </c>
      <c r="J24" s="1390">
        <v>80</v>
      </c>
      <c r="K24" s="1403" t="s">
        <v>2327</v>
      </c>
      <c r="L24" s="1390">
        <v>1000</v>
      </c>
      <c r="M24" s="699"/>
      <c r="N24" s="1381">
        <v>25.6</v>
      </c>
      <c r="O24" s="1383">
        <f t="shared" si="1"/>
        <v>10</v>
      </c>
      <c r="P24" s="1382">
        <f t="shared" si="2"/>
        <v>28.16</v>
      </c>
      <c r="Q24" s="1383">
        <f t="shared" si="3"/>
        <v>25600</v>
      </c>
      <c r="R24" s="1383">
        <f t="shared" si="4"/>
        <v>28160</v>
      </c>
      <c r="S24" s="699"/>
      <c r="T24" s="101">
        <f>IF(O24="","",IF('Charts and graphs'!$C$6="Conventional",IF(N24&gt;0,1000*P24/J24,""),IF(VLOOKUP($E24,$Y:$AE,7,FALSE)=0,IF(N24&gt;0,1000*P24/J24,""),VLOOKUP($E24,$Y:$AE,7,FALSE))))</f>
        <v>352</v>
      </c>
      <c r="U24" s="101">
        <f t="shared" si="5"/>
        <v>352</v>
      </c>
      <c r="V24" s="101">
        <f t="shared" si="9"/>
        <v>352</v>
      </c>
      <c r="W24" s="332"/>
      <c r="X24" s="747">
        <v>99.000000000000014</v>
      </c>
      <c r="Y24" s="1" t="s">
        <v>3106</v>
      </c>
      <c r="Z24" s="16">
        <v>10</v>
      </c>
      <c r="AA24" s="1269" t="s">
        <v>3438</v>
      </c>
      <c r="AB24" s="739">
        <v>90</v>
      </c>
      <c r="AC24" s="739">
        <f t="shared" si="16"/>
        <v>99.000000000000014</v>
      </c>
      <c r="AD24" s="738">
        <v>1000</v>
      </c>
      <c r="AE24" s="744">
        <f t="shared" si="17"/>
        <v>90</v>
      </c>
      <c r="AF24" s="744">
        <f t="shared" si="19"/>
        <v>99.000000000000014</v>
      </c>
      <c r="AG24" s="5" t="str">
        <f t="shared" si="6"/>
        <v/>
      </c>
      <c r="AH24" s="5" t="str">
        <f>IF(AG24="","",VLOOKUP($Y24,Nutrition_tables!$A:$N,10,FALSE))</f>
        <v/>
      </c>
      <c r="AI24" s="5" t="str">
        <f t="shared" si="7"/>
        <v/>
      </c>
    </row>
    <row r="25" spans="1:37" ht="16" customHeight="1">
      <c r="A25" s="699"/>
      <c r="B25" s="1" t="s">
        <v>827</v>
      </c>
      <c r="C25" s="1" t="s">
        <v>3101</v>
      </c>
      <c r="D25" s="332"/>
      <c r="E25" s="678" t="str">
        <f>IF(G25="","",_xlfn.IFNA(VLOOKUP($H25,Ingredient_prices!$B:$C,2,FALSE),""))</f>
        <v>Cherry roll</v>
      </c>
      <c r="F25" s="1199" t="str">
        <f t="shared" si="0"/>
        <v>ПАРТИЈА 1</v>
      </c>
      <c r="G25" s="1389">
        <v>21</v>
      </c>
      <c r="H25" s="1390" t="s">
        <v>2284</v>
      </c>
      <c r="I25" s="1390" t="s">
        <v>2633</v>
      </c>
      <c r="J25" s="1390">
        <v>100</v>
      </c>
      <c r="K25" s="1403" t="s">
        <v>2327</v>
      </c>
      <c r="L25" s="1390">
        <v>1000</v>
      </c>
      <c r="M25" s="699"/>
      <c r="N25" s="1381">
        <v>33.01</v>
      </c>
      <c r="O25" s="1383">
        <f t="shared" si="1"/>
        <v>10</v>
      </c>
      <c r="P25" s="1382">
        <f t="shared" si="2"/>
        <v>36.311</v>
      </c>
      <c r="Q25" s="1383">
        <f t="shared" si="3"/>
        <v>33010</v>
      </c>
      <c r="R25" s="1383">
        <f t="shared" si="4"/>
        <v>36311</v>
      </c>
      <c r="S25" s="699"/>
      <c r="T25" s="101">
        <f>IF(O25="","",IF('Charts and graphs'!$C$6="Conventional",IF(N25&gt;0,1000*P25/J25,""),IF(VLOOKUP($E25,$Y:$AE,7,FALSE)=0,IF(N25&gt;0,1000*P25/J25,""),VLOOKUP($E25,$Y:$AE,7,FALSE))))</f>
        <v>363.11</v>
      </c>
      <c r="U25" s="101">
        <f t="shared" si="5"/>
        <v>363.11</v>
      </c>
      <c r="V25" s="101">
        <f t="shared" si="9"/>
        <v>363.11</v>
      </c>
      <c r="W25" s="332"/>
      <c r="X25" s="1210"/>
      <c r="Y25" s="1" t="s">
        <v>3430</v>
      </c>
      <c r="Z25" s="1211">
        <v>10</v>
      </c>
      <c r="AA25" s="1269" t="s">
        <v>3438</v>
      </c>
      <c r="AB25" s="102"/>
      <c r="AC25" s="102"/>
      <c r="AD25" s="491"/>
      <c r="AE25" s="491"/>
      <c r="AF25" s="491"/>
      <c r="AG25" s="97" t="str">
        <f t="shared" si="6"/>
        <v/>
      </c>
      <c r="AH25" s="97" t="str">
        <f>IF(AG25="","",VLOOKUP($Y25,Nutrition_tables!$A:$N,10,FALSE))</f>
        <v/>
      </c>
      <c r="AI25" s="97" t="str">
        <f>IF(AG25="","",AG25/(AH25*10))</f>
        <v/>
      </c>
      <c r="AJ25" s="491"/>
      <c r="AK25" s="491"/>
    </row>
    <row r="26" spans="1:37" ht="16" customHeight="1">
      <c r="A26" s="699"/>
      <c r="B26" s="1" t="s">
        <v>906</v>
      </c>
      <c r="C26" s="1" t="s">
        <v>3089</v>
      </c>
      <c r="D26" s="332"/>
      <c r="E26" s="678" t="str">
        <f>IF(G26="","",_xlfn.IFNA(VLOOKUP($H26,Ingredient_prices!$B:$C,2,FALSE),""))</f>
        <v>Pizza margarita</v>
      </c>
      <c r="F26" s="1199" t="str">
        <f t="shared" si="0"/>
        <v>ПАРТИЈА 1</v>
      </c>
      <c r="G26" s="1389">
        <v>22</v>
      </c>
      <c r="H26" s="1390" t="s">
        <v>2340</v>
      </c>
      <c r="I26" s="1390" t="s">
        <v>2634</v>
      </c>
      <c r="J26" s="1390">
        <v>100</v>
      </c>
      <c r="K26" s="1403" t="s">
        <v>2327</v>
      </c>
      <c r="L26" s="1390">
        <v>1000</v>
      </c>
      <c r="M26" s="699"/>
      <c r="N26" s="1381">
        <v>27.89</v>
      </c>
      <c r="O26" s="1383">
        <f t="shared" si="1"/>
        <v>10</v>
      </c>
      <c r="P26" s="1382">
        <f t="shared" si="2"/>
        <v>30.679000000000002</v>
      </c>
      <c r="Q26" s="1383">
        <f t="shared" si="3"/>
        <v>27890</v>
      </c>
      <c r="R26" s="1383">
        <f t="shared" si="4"/>
        <v>30679.000000000004</v>
      </c>
      <c r="S26" s="699"/>
      <c r="T26" s="101">
        <f>IF(O26="","",IF('Charts and graphs'!$C$6="Conventional",IF(N26&gt;0,1000*P26/J26,""),IF(VLOOKUP($E26,$Y:$AE,7,FALSE)=0,IF(N26&gt;0,1000*P26/J26,""),VLOOKUP($E26,$Y:$AE,7,FALSE))))</f>
        <v>306.79000000000002</v>
      </c>
      <c r="U26" s="101">
        <f t="shared" si="5"/>
        <v>306.79000000000002</v>
      </c>
      <c r="V26" s="101">
        <f t="shared" si="9"/>
        <v>306.79000000000002</v>
      </c>
      <c r="W26" s="332"/>
      <c r="X26" s="1210"/>
      <c r="Y26" s="1" t="s">
        <v>3428</v>
      </c>
      <c r="Z26" s="1211">
        <v>10</v>
      </c>
      <c r="AA26" s="1269" t="s">
        <v>3438</v>
      </c>
      <c r="AB26" s="102"/>
      <c r="AC26" s="102"/>
      <c r="AD26" s="491"/>
      <c r="AE26" s="491"/>
      <c r="AF26" s="491"/>
      <c r="AG26" s="97" t="str">
        <f t="shared" si="6"/>
        <v/>
      </c>
      <c r="AH26" s="97" t="str">
        <f>IF(AG26="","",VLOOKUP($Y26,Nutrition_tables!$A:$N,10,FALSE))</f>
        <v/>
      </c>
      <c r="AI26" s="97" t="str">
        <f>IF(AG26="","",AG26/(AH26*10))</f>
        <v/>
      </c>
      <c r="AJ26" s="491"/>
      <c r="AK26" s="491"/>
    </row>
    <row r="27" spans="1:37" ht="16" customHeight="1">
      <c r="A27" s="699"/>
      <c r="B27" s="1" t="s">
        <v>2993</v>
      </c>
      <c r="C27" s="1" t="s">
        <v>3102</v>
      </c>
      <c r="D27" s="332"/>
      <c r="E27" s="678" t="str">
        <f>IF(G27="","",_xlfn.IFNA(VLOOKUP($H27,Ingredient_prices!$B:$C,2,FALSE),""))</f>
        <v>Sesame bun</v>
      </c>
      <c r="F27" s="1199" t="str">
        <f t="shared" si="0"/>
        <v>ПАРТИЈА 1</v>
      </c>
      <c r="G27" s="1389">
        <v>23</v>
      </c>
      <c r="H27" s="1390" t="s">
        <v>2285</v>
      </c>
      <c r="I27" s="1390" t="s">
        <v>2635</v>
      </c>
      <c r="J27" s="1390">
        <v>140</v>
      </c>
      <c r="K27" s="1403" t="s">
        <v>2327</v>
      </c>
      <c r="L27" s="1390">
        <v>2600</v>
      </c>
      <c r="M27" s="699"/>
      <c r="N27" s="1381">
        <v>12.13</v>
      </c>
      <c r="O27" s="1383">
        <f t="shared" si="1"/>
        <v>10</v>
      </c>
      <c r="P27" s="1382">
        <f t="shared" si="2"/>
        <v>13.343</v>
      </c>
      <c r="Q27" s="1383">
        <f t="shared" si="3"/>
        <v>31538.000000000004</v>
      </c>
      <c r="R27" s="1383">
        <f t="shared" si="4"/>
        <v>34691.800000000003</v>
      </c>
      <c r="S27" s="699"/>
      <c r="T27" s="101">
        <f>IF(O27="","",IF('Charts and graphs'!$C$6="Conventional",IF(N27&gt;0,1000*P27/J27,""),IF(VLOOKUP($E27,$Y:$AE,7,FALSE)=0,IF(N27&gt;0,1000*P27/J27,""),VLOOKUP($E27,$Y:$AE,7,FALSE))))</f>
        <v>95.307142857142864</v>
      </c>
      <c r="U27" s="101">
        <f t="shared" si="5"/>
        <v>95.307142857142864</v>
      </c>
      <c r="V27" s="101">
        <f t="shared" si="9"/>
        <v>95.307142857142864</v>
      </c>
      <c r="W27" s="332"/>
      <c r="Y27" s="1" t="s">
        <v>3429</v>
      </c>
      <c r="Z27" s="16">
        <v>10</v>
      </c>
      <c r="AA27" s="1269" t="s">
        <v>3438</v>
      </c>
      <c r="AG27" s="5">
        <f t="shared" si="6"/>
        <v>88</v>
      </c>
      <c r="AH27" s="5">
        <f>IF(AG27="","",VLOOKUP($Y27,Nutrition_tables!$A:$N,10,FALSE))</f>
        <v>51.9</v>
      </c>
      <c r="AI27" s="5">
        <f t="shared" si="7"/>
        <v>0.16955684007707128</v>
      </c>
    </row>
    <row r="28" spans="1:37" ht="16" customHeight="1">
      <c r="A28" s="699"/>
      <c r="B28" s="679" t="s">
        <v>2122</v>
      </c>
      <c r="C28" s="1" t="s">
        <v>3089</v>
      </c>
      <c r="D28" s="332"/>
      <c r="E28" s="678" t="str">
        <f>IF(G28="","",_xlfn.IFNA(VLOOKUP($H28,Ingredient_prices!$B:$C,2,FALSE),""))</f>
        <v>Bread roll</v>
      </c>
      <c r="F28" s="1199" t="str">
        <f t="shared" si="0"/>
        <v>ПАРТИЈА 1</v>
      </c>
      <c r="G28" s="1389">
        <v>24</v>
      </c>
      <c r="H28" s="1390" t="s">
        <v>2286</v>
      </c>
      <c r="I28" s="1390" t="s">
        <v>2636</v>
      </c>
      <c r="J28" s="1390">
        <v>100</v>
      </c>
      <c r="K28" s="1403" t="s">
        <v>2327</v>
      </c>
      <c r="L28" s="1390">
        <v>2300</v>
      </c>
      <c r="M28" s="699"/>
      <c r="N28" s="1381">
        <v>17.18</v>
      </c>
      <c r="O28" s="1383">
        <f t="shared" si="1"/>
        <v>10</v>
      </c>
      <c r="P28" s="1382">
        <f t="shared" si="2"/>
        <v>18.898</v>
      </c>
      <c r="Q28" s="1383">
        <f t="shared" si="3"/>
        <v>39514</v>
      </c>
      <c r="R28" s="1383">
        <f t="shared" si="4"/>
        <v>43465.4</v>
      </c>
      <c r="S28" s="699"/>
      <c r="T28" s="101">
        <f>IF(O28="","",IF('Charts and graphs'!$C$6="Conventional",IF(N28&gt;0,1000*P28/J28,""),IF(VLOOKUP($E28,$Y:$AE,7,FALSE)=0,IF(N28&gt;0,1000*P28/J28,""),VLOOKUP($E28,$Y:$AE,7,FALSE))))</f>
        <v>188.98</v>
      </c>
      <c r="U28" s="101">
        <f t="shared" si="5"/>
        <v>188.98</v>
      </c>
      <c r="V28" s="101">
        <f t="shared" si="9"/>
        <v>188.98</v>
      </c>
      <c r="W28" s="332"/>
      <c r="Y28" s="1" t="s">
        <v>3107</v>
      </c>
      <c r="Z28" s="16">
        <v>10</v>
      </c>
      <c r="AA28" s="1269" t="s">
        <v>3438</v>
      </c>
      <c r="AG28" s="5">
        <f t="shared" si="6"/>
        <v>82.5</v>
      </c>
      <c r="AH28" s="5">
        <f>IF(AG28="","",VLOOKUP($Y28,Nutrition_tables!$A:$N,10,FALSE))</f>
        <v>82</v>
      </c>
      <c r="AI28" s="5">
        <f t="shared" ref="AI28" si="21">IF(AG28="","",AG28/(AH28*10))</f>
        <v>0.10060975609756098</v>
      </c>
      <c r="AK28" s="749"/>
    </row>
    <row r="29" spans="1:37" ht="16" customHeight="1">
      <c r="A29" s="699"/>
      <c r="B29" s="1" t="s">
        <v>2238</v>
      </c>
      <c r="C29" s="1" t="s">
        <v>3089</v>
      </c>
      <c r="D29" s="332"/>
      <c r="E29" s="678" t="str">
        <f>IF(G29="","",_xlfn.IFNA(VLOOKUP($H29,Ingredient_prices!$B:$C,2,FALSE),""))</f>
        <v>Bun with cheese</v>
      </c>
      <c r="F29" s="1199" t="str">
        <f t="shared" si="0"/>
        <v>ПАРТИЈА 1</v>
      </c>
      <c r="G29" s="1389">
        <v>25</v>
      </c>
      <c r="H29" s="1390" t="s">
        <v>2287</v>
      </c>
      <c r="I29" s="1390" t="s">
        <v>2637</v>
      </c>
      <c r="J29" s="1390">
        <v>100</v>
      </c>
      <c r="K29" s="1403" t="s">
        <v>2327</v>
      </c>
      <c r="L29" s="1390">
        <v>1000</v>
      </c>
      <c r="M29" s="699"/>
      <c r="N29" s="1381">
        <v>34.9</v>
      </c>
      <c r="O29" s="1383">
        <f t="shared" si="1"/>
        <v>10</v>
      </c>
      <c r="P29" s="1382">
        <f t="shared" si="2"/>
        <v>38.39</v>
      </c>
      <c r="Q29" s="1383">
        <f t="shared" si="3"/>
        <v>34900</v>
      </c>
      <c r="R29" s="1383">
        <f t="shared" si="4"/>
        <v>38390</v>
      </c>
      <c r="S29" s="699"/>
      <c r="T29" s="101">
        <f>IF(O29="","",IF('Charts and graphs'!$C$6="Conventional",IF(N29&gt;0,1000*P29/J29,""),IF(VLOOKUP($E29,$Y:$AE,7,FALSE)=0,IF(N29&gt;0,1000*P29/J29,""),VLOOKUP($E29,$Y:$AE,7,FALSE))))</f>
        <v>383.9</v>
      </c>
      <c r="U29" s="101">
        <f t="shared" si="5"/>
        <v>383.9</v>
      </c>
      <c r="V29" s="101">
        <f t="shared" si="9"/>
        <v>383.9</v>
      </c>
      <c r="W29" s="332"/>
      <c r="Y29" s="1" t="s">
        <v>3108</v>
      </c>
      <c r="Z29" s="16">
        <v>10</v>
      </c>
      <c r="AA29" s="1269" t="s">
        <v>3438</v>
      </c>
      <c r="AG29" s="5" t="str">
        <f t="shared" si="6"/>
        <v/>
      </c>
      <c r="AH29" s="5" t="str">
        <f>IF(AG29="","",VLOOKUP($Y29,Nutrition_tables!$A:$N,10,FALSE))</f>
        <v/>
      </c>
      <c r="AI29" s="5" t="str">
        <f t="shared" si="7"/>
        <v/>
      </c>
    </row>
    <row r="30" spans="1:37" ht="17">
      <c r="A30" s="699"/>
      <c r="B30" s="1" t="s">
        <v>2269</v>
      </c>
      <c r="C30" s="1" t="s">
        <v>3089</v>
      </c>
      <c r="D30" s="332"/>
      <c r="E30" s="678" t="str">
        <f>IF(G30="","",_xlfn.IFNA(VLOOKUP($H30,Ingredient_prices!$B:$C,2,FALSE),""))</f>
        <v/>
      </c>
      <c r="F30" s="1199" t="str">
        <f t="shared" si="0"/>
        <v>ПАРТИЈА 2</v>
      </c>
      <c r="G30" s="1402" t="s">
        <v>4175</v>
      </c>
      <c r="H30" s="1390" t="s">
        <v>2638</v>
      </c>
      <c r="I30" s="1352"/>
      <c r="J30" s="1352"/>
      <c r="K30" s="1352"/>
      <c r="L30" s="1352"/>
      <c r="M30" s="699"/>
      <c r="N30" s="1381" t="s">
        <v>2639</v>
      </c>
      <c r="O30" s="1383" t="str">
        <f t="shared" si="1"/>
        <v/>
      </c>
      <c r="P30" s="1382" t="str">
        <f t="shared" si="2"/>
        <v/>
      </c>
      <c r="Q30" s="1383" t="str">
        <f t="shared" si="3"/>
        <v/>
      </c>
      <c r="R30" s="1383" t="str">
        <f t="shared" si="4"/>
        <v/>
      </c>
      <c r="S30" s="699"/>
      <c r="T30" s="101" t="str">
        <f>IF(O30="","",IF('Charts and graphs'!$C$6="Conventional",IF(N30&gt;0,1000*P30/J30,""),IF(VLOOKUP($E30,$Y:$AE,7,FALSE)=0,IF(N30&gt;0,1000*P30/J30,""),VLOOKUP($E30,$Y:$AE,7,FALSE))))</f>
        <v/>
      </c>
      <c r="U30" s="101" t="str">
        <f t="shared" si="5"/>
        <v/>
      </c>
      <c r="V30" s="101" t="str">
        <f t="shared" si="9"/>
        <v/>
      </c>
      <c r="W30" s="332"/>
      <c r="Y30" s="1" t="s">
        <v>3130</v>
      </c>
      <c r="Z30" s="16">
        <v>10</v>
      </c>
      <c r="AA30" s="1269" t="s">
        <v>3438</v>
      </c>
      <c r="AG30" s="5" t="str">
        <f t="shared" si="6"/>
        <v/>
      </c>
      <c r="AH30" s="5" t="str">
        <f>IF(AG30="","",VLOOKUP($Y30,Nutrition_tables!$A:$N,10,FALSE))</f>
        <v/>
      </c>
      <c r="AI30" s="5" t="str">
        <f t="shared" si="7"/>
        <v/>
      </c>
    </row>
    <row r="31" spans="1:37" ht="16">
      <c r="A31" s="699"/>
      <c r="B31" s="1" t="s">
        <v>914</v>
      </c>
      <c r="C31" s="1" t="s">
        <v>3089</v>
      </c>
      <c r="D31" s="332"/>
      <c r="E31" s="678" t="str">
        <f>IF(G31="","",_xlfn.IFNA(VLOOKUP($H31,Ingredient_prices!$B:$C,2,FALSE),""))</f>
        <v>Cow's milk 2.8% fat</v>
      </c>
      <c r="F31" s="1199" t="str">
        <f t="shared" si="0"/>
        <v>ПАРТИЈА 2</v>
      </c>
      <c r="G31" s="1391">
        <v>1</v>
      </c>
      <c r="H31" s="1389" t="s">
        <v>2338</v>
      </c>
      <c r="I31" s="1389" t="s">
        <v>2640</v>
      </c>
      <c r="J31" s="1389">
        <v>1000</v>
      </c>
      <c r="K31" s="1392" t="s">
        <v>2641</v>
      </c>
      <c r="L31" s="1393">
        <v>2500</v>
      </c>
      <c r="M31" s="699"/>
      <c r="N31" s="1381">
        <v>83</v>
      </c>
      <c r="O31" s="1383">
        <f>IF($E31="","",VLOOKUP($E31,$Y:$AE,2,FALSE))</f>
        <v>10</v>
      </c>
      <c r="P31" s="1382">
        <f t="shared" si="2"/>
        <v>91.3</v>
      </c>
      <c r="Q31" s="1383">
        <f t="shared" si="3"/>
        <v>207500</v>
      </c>
      <c r="R31" s="1383">
        <f t="shared" si="4"/>
        <v>228250</v>
      </c>
      <c r="S31" s="699"/>
      <c r="T31" s="101">
        <f>IF(O31="","",IF('Charts and graphs'!$C$6="Conventional",IF(N31&gt;0,1000*P31/J31,""),IF(VLOOKUP($E31,$Y:$AE,7,FALSE)=0,IF(N31&gt;0,1000*P31/J31,""),VLOOKUP($E31,$Y:$AE,7,FALSE))))</f>
        <v>91.3</v>
      </c>
      <c r="U31" s="101">
        <f t="shared" si="5"/>
        <v>91.3</v>
      </c>
      <c r="V31" s="101">
        <f t="shared" si="9"/>
        <v>91.3</v>
      </c>
      <c r="W31" s="332"/>
      <c r="X31" s="747">
        <v>440</v>
      </c>
      <c r="Y31" s="1" t="s">
        <v>3437</v>
      </c>
      <c r="Z31" s="16">
        <v>10</v>
      </c>
      <c r="AA31" s="1269" t="s">
        <v>3438</v>
      </c>
      <c r="AB31" s="739">
        <v>60</v>
      </c>
      <c r="AC31" s="739">
        <f t="shared" si="16"/>
        <v>66</v>
      </c>
      <c r="AD31" s="738">
        <v>150</v>
      </c>
      <c r="AE31" s="744">
        <f t="shared" ref="AE31:AE35" si="22">1000*AB31/AD31</f>
        <v>400</v>
      </c>
      <c r="AF31" s="744">
        <f t="shared" ref="AF31:AF35" si="23">1000*AC31/AD31</f>
        <v>440</v>
      </c>
      <c r="AG31" s="5" t="str">
        <f t="shared" si="6"/>
        <v/>
      </c>
      <c r="AH31" s="5" t="str">
        <f>IF(AG31="","",VLOOKUP($Y31,Nutrition_tables!$A:$N,10,FALSE))</f>
        <v/>
      </c>
      <c r="AI31" s="5" t="str">
        <f t="shared" si="7"/>
        <v/>
      </c>
    </row>
    <row r="32" spans="1:37" ht="16">
      <c r="A32" s="699"/>
      <c r="B32" s="1" t="s">
        <v>2115</v>
      </c>
      <c r="C32" s="1" t="s">
        <v>3103</v>
      </c>
      <c r="D32" s="332"/>
      <c r="E32" s="678" t="str">
        <f>IF(G32="","",_xlfn.IFNA(VLOOKUP($H32,Ingredient_prices!$B:$C,2,FALSE),""))</f>
        <v>Cow's milk 3.2% fat</v>
      </c>
      <c r="F32" s="1199" t="str">
        <f t="shared" si="0"/>
        <v>ПАРТИЈА 2</v>
      </c>
      <c r="G32" s="1391">
        <v>2</v>
      </c>
      <c r="H32" s="1389" t="s">
        <v>2288</v>
      </c>
      <c r="I32" s="1389" t="s">
        <v>2642</v>
      </c>
      <c r="J32" s="1389">
        <v>200</v>
      </c>
      <c r="K32" s="1392" t="s">
        <v>2327</v>
      </c>
      <c r="L32" s="1389">
        <v>2400</v>
      </c>
      <c r="M32" s="699"/>
      <c r="N32" s="1381">
        <v>34</v>
      </c>
      <c r="O32" s="1383">
        <f t="shared" si="1"/>
        <v>10</v>
      </c>
      <c r="P32" s="1382">
        <f t="shared" si="2"/>
        <v>37.4</v>
      </c>
      <c r="Q32" s="1383">
        <f t="shared" si="3"/>
        <v>81600</v>
      </c>
      <c r="R32" s="1383">
        <f t="shared" si="4"/>
        <v>89760</v>
      </c>
      <c r="S32" s="699"/>
      <c r="T32" s="101">
        <f>IF(O32="","",IF('Charts and graphs'!$C$6="Conventional",IF(N32&gt;0,1000*P32/J32,""),IF(VLOOKUP($E32,$Y:$AE,7,FALSE)=0,IF(N32&gt;0,1000*P32/J32,""),VLOOKUP($E32,$Y:$AE,7,FALSE))))</f>
        <v>187</v>
      </c>
      <c r="U32" s="101">
        <f t="shared" si="5"/>
        <v>187</v>
      </c>
      <c r="V32" s="101">
        <f t="shared" si="9"/>
        <v>187</v>
      </c>
      <c r="W32" s="332"/>
      <c r="X32" s="747">
        <v>165</v>
      </c>
      <c r="Y32" s="1" t="s">
        <v>3131</v>
      </c>
      <c r="Z32" s="16">
        <v>10</v>
      </c>
      <c r="AA32" s="1269" t="s">
        <v>3438</v>
      </c>
      <c r="AB32" s="739">
        <v>150</v>
      </c>
      <c r="AC32" s="739">
        <f t="shared" si="16"/>
        <v>165</v>
      </c>
      <c r="AD32" s="738">
        <v>1000</v>
      </c>
      <c r="AE32" s="744">
        <f t="shared" si="22"/>
        <v>150</v>
      </c>
      <c r="AF32" s="744">
        <f t="shared" si="23"/>
        <v>165</v>
      </c>
      <c r="AG32" s="5">
        <f t="shared" si="6"/>
        <v>93.5</v>
      </c>
      <c r="AH32" s="5">
        <f>IF(AG32="","",VLOOKUP($Y32,Nutrition_tables!$A:$N,10,FALSE))</f>
        <v>32</v>
      </c>
      <c r="AI32" s="5">
        <f t="shared" si="7"/>
        <v>0.29218749999999999</v>
      </c>
    </row>
    <row r="33" spans="1:42" ht="16">
      <c r="A33" s="699"/>
      <c r="B33" s="1" t="s">
        <v>901</v>
      </c>
      <c r="C33" s="1" t="s">
        <v>3123</v>
      </c>
      <c r="D33" s="332"/>
      <c r="E33" s="678" t="str">
        <f>IF(G33="","",_xlfn.IFNA(VLOOKUP($H33,Ingredient_prices!$B:$C,2,FALSE),""))</f>
        <v>Sour milk, 2.8% fat</v>
      </c>
      <c r="F33" s="1199" t="str">
        <f t="shared" si="0"/>
        <v>ПАРТИЈА 2</v>
      </c>
      <c r="G33" s="1391">
        <v>3</v>
      </c>
      <c r="H33" s="1389" t="s">
        <v>2241</v>
      </c>
      <c r="I33" s="1389" t="s">
        <v>2643</v>
      </c>
      <c r="J33" s="1389">
        <v>180</v>
      </c>
      <c r="K33" s="1392" t="s">
        <v>2327</v>
      </c>
      <c r="L33" s="1389">
        <v>500</v>
      </c>
      <c r="M33" s="699"/>
      <c r="N33" s="1381">
        <v>16.5</v>
      </c>
      <c r="O33" s="1383">
        <f t="shared" si="1"/>
        <v>20</v>
      </c>
      <c r="P33" s="1382">
        <f t="shared" si="2"/>
        <v>19.8</v>
      </c>
      <c r="Q33" s="1383">
        <f t="shared" si="3"/>
        <v>8250</v>
      </c>
      <c r="R33" s="1383">
        <f t="shared" si="4"/>
        <v>9900</v>
      </c>
      <c r="S33" s="699"/>
      <c r="T33" s="101">
        <f>IF(O33="","",IF('Charts and graphs'!$C$6="Conventional",IF(N33&gt;0,1000*P33/J33,""),IF(VLOOKUP($E33,$Y:$AE,7,FALSE)=0,IF(N33&gt;0,1000*P33/J33,""),VLOOKUP($E33,$Y:$AE,7,FALSE))))</f>
        <v>110</v>
      </c>
      <c r="U33" s="101">
        <f t="shared" si="5"/>
        <v>110</v>
      </c>
      <c r="V33" s="101">
        <f t="shared" si="9"/>
        <v>110</v>
      </c>
      <c r="W33" s="332"/>
      <c r="X33" s="747">
        <v>192.50000000000003</v>
      </c>
      <c r="Y33" s="1" t="s">
        <v>3132</v>
      </c>
      <c r="Z33" s="16">
        <v>10</v>
      </c>
      <c r="AA33" s="1269" t="s">
        <v>3438</v>
      </c>
      <c r="AB33" s="739">
        <v>175</v>
      </c>
      <c r="AC33" s="739">
        <f t="shared" si="16"/>
        <v>192.50000000000003</v>
      </c>
      <c r="AD33" s="738">
        <v>1000</v>
      </c>
      <c r="AE33" s="744">
        <f t="shared" si="22"/>
        <v>175</v>
      </c>
      <c r="AF33" s="744">
        <f t="shared" si="23"/>
        <v>192.50000000000003</v>
      </c>
      <c r="AG33" s="5">
        <f t="shared" si="6"/>
        <v>110</v>
      </c>
      <c r="AH33" s="5">
        <f>IF(AG33="","",VLOOKUP($Y33,Nutrition_tables!$A:$N,10,FALSE))</f>
        <v>30</v>
      </c>
      <c r="AI33" s="5">
        <f t="shared" si="7"/>
        <v>0.36666666666666664</v>
      </c>
    </row>
    <row r="34" spans="1:42" ht="16">
      <c r="A34" s="699"/>
      <c r="B34" s="1" t="s">
        <v>915</v>
      </c>
      <c r="C34" s="1" t="s">
        <v>3123</v>
      </c>
      <c r="D34" s="332"/>
      <c r="E34" s="678" t="str">
        <f>IF(G34="","",_xlfn.IFNA(VLOOKUP($H34,Ingredient_prices!$B:$C,2,FALSE),""))</f>
        <v>Yogurt 2.8% fat (less than 1 l)</v>
      </c>
      <c r="F34" s="1199" t="str">
        <f t="shared" si="0"/>
        <v>ПАРТИЈА 2</v>
      </c>
      <c r="G34" s="1391">
        <v>4</v>
      </c>
      <c r="H34" s="1389" t="s">
        <v>2183</v>
      </c>
      <c r="I34" s="1389" t="s">
        <v>2644</v>
      </c>
      <c r="J34" s="1389">
        <v>180</v>
      </c>
      <c r="K34" s="1392" t="s">
        <v>2327</v>
      </c>
      <c r="L34" s="1389">
        <v>2500</v>
      </c>
      <c r="M34" s="699"/>
      <c r="N34" s="1381">
        <v>14.7</v>
      </c>
      <c r="O34" s="1383">
        <f t="shared" si="1"/>
        <v>10</v>
      </c>
      <c r="P34" s="1382">
        <f t="shared" si="2"/>
        <v>16.169999999999998</v>
      </c>
      <c r="Q34" s="1383">
        <f t="shared" si="3"/>
        <v>36750</v>
      </c>
      <c r="R34" s="1383">
        <f t="shared" si="4"/>
        <v>40424.999999999993</v>
      </c>
      <c r="S34" s="699"/>
      <c r="T34" s="101">
        <f>IF(O34="","",IF('Charts and graphs'!$C$6="Conventional",IF(N34&gt;0,1000*P34/J34,""),IF(VLOOKUP($E34,$Y:$AE,7,FALSE)=0,IF(N34&gt;0,1000*P34/J34,""),VLOOKUP($E34,$Y:$AE,7,FALSE))))</f>
        <v>89.833333333333329</v>
      </c>
      <c r="U34" s="101">
        <f t="shared" si="5"/>
        <v>89.833333333333329</v>
      </c>
      <c r="V34" s="101">
        <f t="shared" si="9"/>
        <v>89.833333333333329</v>
      </c>
      <c r="W34" s="332"/>
      <c r="X34" s="747">
        <v>192.50000000000003</v>
      </c>
      <c r="Y34" s="1" t="s">
        <v>3133</v>
      </c>
      <c r="Z34" s="16">
        <v>10</v>
      </c>
      <c r="AA34" s="1269" t="s">
        <v>3438</v>
      </c>
      <c r="AB34" s="739">
        <v>175</v>
      </c>
      <c r="AC34" s="739">
        <f t="shared" si="16"/>
        <v>192.50000000000003</v>
      </c>
      <c r="AD34" s="738">
        <v>1000</v>
      </c>
      <c r="AE34" s="744">
        <f t="shared" si="22"/>
        <v>175</v>
      </c>
      <c r="AF34" s="744">
        <f t="shared" si="23"/>
        <v>192.50000000000003</v>
      </c>
      <c r="AG34" s="5" t="str">
        <f t="shared" si="6"/>
        <v/>
      </c>
      <c r="AH34" s="5" t="str">
        <f>IF(AG34="","",VLOOKUP($Y34,Nutrition_tables!$A:$N,10,FALSE))</f>
        <v/>
      </c>
      <c r="AI34" s="5" t="str">
        <f t="shared" si="7"/>
        <v/>
      </c>
    </row>
    <row r="35" spans="1:42" ht="16">
      <c r="A35" s="699"/>
      <c r="B35" s="1" t="s">
        <v>1146</v>
      </c>
      <c r="C35" s="1" t="s">
        <v>3123</v>
      </c>
      <c r="D35" s="332"/>
      <c r="E35" s="678" t="str">
        <f>IF(G35="","",_xlfn.IFNA(VLOOKUP($H35,Ingredient_prices!$B:$C,2,FALSE),""))</f>
        <v>Yogurt 3.2% fat (at least 1 l)</v>
      </c>
      <c r="F35" s="1199" t="str">
        <f t="shared" si="0"/>
        <v>ПАРТИЈА 2</v>
      </c>
      <c r="G35" s="1391">
        <v>5</v>
      </c>
      <c r="H35" s="1389" t="s">
        <v>2201</v>
      </c>
      <c r="I35" s="1389" t="s">
        <v>2645</v>
      </c>
      <c r="J35" s="1389">
        <v>1000</v>
      </c>
      <c r="K35" s="1392" t="s">
        <v>2641</v>
      </c>
      <c r="L35" s="1389">
        <v>1500</v>
      </c>
      <c r="M35" s="699"/>
      <c r="N35" s="1381">
        <v>74</v>
      </c>
      <c r="O35" s="1383">
        <f t="shared" si="1"/>
        <v>10</v>
      </c>
      <c r="P35" s="1382">
        <f t="shared" si="2"/>
        <v>81.400000000000006</v>
      </c>
      <c r="Q35" s="1383">
        <f t="shared" si="3"/>
        <v>111000</v>
      </c>
      <c r="R35" s="1383">
        <f t="shared" si="4"/>
        <v>122100.00000000001</v>
      </c>
      <c r="S35" s="699"/>
      <c r="T35" s="101">
        <f>IF(O35="","",IF('Charts and graphs'!$C$6="Conventional",IF(N35&gt;0,1000*P35/J35,""),IF(VLOOKUP($E35,$Y:$AE,7,FALSE)=0,IF(N35&gt;0,1000*P35/J35,""),VLOOKUP($E35,$Y:$AE,7,FALSE))))</f>
        <v>81.400000000000006</v>
      </c>
      <c r="U35" s="101">
        <f t="shared" si="5"/>
        <v>81.400000000000006</v>
      </c>
      <c r="V35" s="101">
        <f t="shared" si="9"/>
        <v>81.400000000000006</v>
      </c>
      <c r="W35" s="332"/>
      <c r="X35" s="747">
        <v>165</v>
      </c>
      <c r="Y35" s="1" t="s">
        <v>3110</v>
      </c>
      <c r="Z35" s="16">
        <v>10</v>
      </c>
      <c r="AA35" s="1269" t="s">
        <v>3438</v>
      </c>
      <c r="AB35" s="739">
        <v>150</v>
      </c>
      <c r="AC35" s="739">
        <f t="shared" si="16"/>
        <v>165</v>
      </c>
      <c r="AD35" s="738">
        <v>1000</v>
      </c>
      <c r="AE35" s="744">
        <f t="shared" si="22"/>
        <v>150</v>
      </c>
      <c r="AF35" s="744">
        <f t="shared" si="23"/>
        <v>165</v>
      </c>
      <c r="AG35" s="5">
        <f t="shared" si="6"/>
        <v>93.5</v>
      </c>
      <c r="AH35" s="5">
        <f>IF(AG35="","",VLOOKUP($Y35,Nutrition_tables!$A:$N,10,FALSE))</f>
        <v>25.573666666666668</v>
      </c>
      <c r="AI35" s="5">
        <f t="shared" si="7"/>
        <v>0.36561045867493902</v>
      </c>
    </row>
    <row r="36" spans="1:42" ht="16">
      <c r="A36" s="699"/>
      <c r="B36" s="1" t="s">
        <v>817</v>
      </c>
      <c r="C36" s="1" t="s">
        <v>469</v>
      </c>
      <c r="D36" s="332"/>
      <c r="E36" s="678" t="str">
        <f>IF(G36="","",_xlfn.IFNA(VLOOKUP($H36,Ingredient_prices!$B:$C,2,FALSE),""))</f>
        <v>Fruit yogurt, low-fat</v>
      </c>
      <c r="F36" s="1199" t="str">
        <f t="shared" si="0"/>
        <v>ПАРТИЈА 2</v>
      </c>
      <c r="G36" s="1391">
        <v>6</v>
      </c>
      <c r="H36" s="1389" t="s">
        <v>2343</v>
      </c>
      <c r="I36" s="1389" t="s">
        <v>2646</v>
      </c>
      <c r="J36" s="1389">
        <v>1000</v>
      </c>
      <c r="K36" s="1392" t="s">
        <v>2641</v>
      </c>
      <c r="L36" s="1389">
        <v>380</v>
      </c>
      <c r="M36" s="699"/>
      <c r="N36" s="1381">
        <v>122</v>
      </c>
      <c r="O36" s="1383">
        <f t="shared" ref="O36:O67" si="24">IF($E36="","",VLOOKUP($E36,$Y:$AE,2,FALSE))</f>
        <v>20</v>
      </c>
      <c r="P36" s="1382">
        <f t="shared" si="2"/>
        <v>146.4</v>
      </c>
      <c r="Q36" s="1383">
        <f t="shared" si="3"/>
        <v>46360</v>
      </c>
      <c r="R36" s="1383">
        <f t="shared" si="4"/>
        <v>55632</v>
      </c>
      <c r="S36" s="699"/>
      <c r="T36" s="101">
        <f>IF(O36="","",IF('Charts and graphs'!$C$6="Conventional",IF(N36&gt;0,1000*P36/J36,""),IF(VLOOKUP($E36,$Y:$AE,7,FALSE)=0,IF(N36&gt;0,1000*P36/J36,""),VLOOKUP($E36,$Y:$AE,7,FALSE))))</f>
        <v>146.4</v>
      </c>
      <c r="U36" s="101">
        <f t="shared" si="5"/>
        <v>146.4</v>
      </c>
      <c r="V36" s="101">
        <f t="shared" si="9"/>
        <v>146.4</v>
      </c>
      <c r="W36" s="332"/>
      <c r="Y36" s="1" t="s">
        <v>3111</v>
      </c>
      <c r="Z36" s="16">
        <v>10</v>
      </c>
      <c r="AA36" s="1269" t="s">
        <v>3438</v>
      </c>
      <c r="AG36" s="5" t="str">
        <f t="shared" si="6"/>
        <v/>
      </c>
      <c r="AH36" s="5" t="str">
        <f>IF(AG36="","",VLOOKUP($Y36,Nutrition_tables!$A:$N,10,FALSE))</f>
        <v/>
      </c>
      <c r="AI36" s="5" t="str">
        <f t="shared" si="7"/>
        <v/>
      </c>
    </row>
    <row r="37" spans="1:42" ht="16">
      <c r="A37" s="699"/>
      <c r="B37" s="1" t="s">
        <v>1721</v>
      </c>
      <c r="C37" s="1" t="s">
        <v>469</v>
      </c>
      <c r="D37" s="332"/>
      <c r="E37" s="678" t="str">
        <f>IF(G37="","",_xlfn.IFNA(VLOOKUP($H37,Ingredient_prices!$B:$C,2,FALSE),""))</f>
        <v>Fruit yogurt</v>
      </c>
      <c r="F37" s="1199" t="str">
        <f t="shared" si="0"/>
        <v>ПАРТИЈА 2</v>
      </c>
      <c r="G37" s="1391">
        <v>7</v>
      </c>
      <c r="H37" s="1389" t="s">
        <v>2289</v>
      </c>
      <c r="I37" s="1389" t="s">
        <v>2647</v>
      </c>
      <c r="J37" s="1389">
        <v>125</v>
      </c>
      <c r="K37" s="1392" t="s">
        <v>2327</v>
      </c>
      <c r="L37" s="1389">
        <v>400</v>
      </c>
      <c r="M37" s="699"/>
      <c r="N37" s="1381">
        <v>51</v>
      </c>
      <c r="O37" s="1383">
        <f t="shared" si="24"/>
        <v>20</v>
      </c>
      <c r="P37" s="1382">
        <f t="shared" si="2"/>
        <v>61.2</v>
      </c>
      <c r="Q37" s="1383">
        <f t="shared" si="3"/>
        <v>20400</v>
      </c>
      <c r="R37" s="1383">
        <f t="shared" si="4"/>
        <v>24480</v>
      </c>
      <c r="S37" s="699"/>
      <c r="T37" s="101">
        <f>IF(O37="","",IF('Charts and graphs'!$C$6="Conventional",IF(N37&gt;0,1000*P37/J37,""),IF(VLOOKUP($E37,$Y:$AE,7,FALSE)=0,IF(N37&gt;0,1000*P37/J37,""),VLOOKUP($E37,$Y:$AE,7,FALSE))))</f>
        <v>489.6</v>
      </c>
      <c r="U37" s="101">
        <f t="shared" si="5"/>
        <v>489.6</v>
      </c>
      <c r="V37" s="101">
        <f t="shared" si="9"/>
        <v>489.6</v>
      </c>
      <c r="W37" s="332"/>
      <c r="Y37" s="1" t="s">
        <v>441</v>
      </c>
      <c r="Z37" s="16">
        <v>10</v>
      </c>
      <c r="AA37" s="1269" t="s">
        <v>3438</v>
      </c>
      <c r="AG37" s="5">
        <f t="shared" si="6"/>
        <v>148.5</v>
      </c>
      <c r="AH37" s="5">
        <f>IF(AG37="","",VLOOKUP($Y37,Nutrition_tables!$A:$N,10,FALSE))</f>
        <v>55</v>
      </c>
      <c r="AI37" s="5">
        <f t="shared" si="7"/>
        <v>0.27</v>
      </c>
    </row>
    <row r="38" spans="1:42" ht="16">
      <c r="A38" s="699"/>
      <c r="B38" s="1" t="s">
        <v>916</v>
      </c>
      <c r="C38" s="1" t="s">
        <v>439</v>
      </c>
      <c r="D38" s="332"/>
      <c r="E38" s="678" t="str">
        <f>IF(G38="","",_xlfn.IFNA(VLOOKUP($H38,Ingredient_prices!$B:$C,2,FALSE),""))</f>
        <v>Chocolate milk 1% fat (at least 1 l)</v>
      </c>
      <c r="F38" s="1199" t="str">
        <f t="shared" si="0"/>
        <v>ПАРТИЈА 2</v>
      </c>
      <c r="G38" s="1391">
        <v>8</v>
      </c>
      <c r="H38" s="1389" t="s">
        <v>2351</v>
      </c>
      <c r="I38" s="1389" t="s">
        <v>2648</v>
      </c>
      <c r="J38" s="1389">
        <v>1000</v>
      </c>
      <c r="K38" s="1392" t="s">
        <v>2641</v>
      </c>
      <c r="L38" s="1389">
        <v>1000</v>
      </c>
      <c r="M38" s="699"/>
      <c r="N38" s="1381">
        <v>148</v>
      </c>
      <c r="O38" s="1383">
        <f t="shared" si="24"/>
        <v>10</v>
      </c>
      <c r="P38" s="1382">
        <f t="shared" si="2"/>
        <v>162.80000000000001</v>
      </c>
      <c r="Q38" s="1383">
        <f t="shared" si="3"/>
        <v>148000</v>
      </c>
      <c r="R38" s="1383">
        <f t="shared" si="4"/>
        <v>162800</v>
      </c>
      <c r="S38" s="699"/>
      <c r="T38" s="101">
        <f>IF(O38="","",IF('Charts and graphs'!$C$6="Conventional",IF(N38&gt;0,1000*P38/J38,""),IF(VLOOKUP($E38,$Y:$AE,7,FALSE)=0,IF(N38&gt;0,1000*P38/J38,""),VLOOKUP($E38,$Y:$AE,7,FALSE))))</f>
        <v>162.80000000000001</v>
      </c>
      <c r="U38" s="101">
        <f t="shared" si="5"/>
        <v>162.80000000000001</v>
      </c>
      <c r="V38" s="101">
        <f t="shared" si="9"/>
        <v>162.80000000000001</v>
      </c>
      <c r="W38" s="332"/>
      <c r="X38" s="747">
        <v>550</v>
      </c>
      <c r="Y38" s="82" t="s">
        <v>3134</v>
      </c>
      <c r="Z38" s="16">
        <v>10</v>
      </c>
      <c r="AA38" s="1269" t="s">
        <v>3438</v>
      </c>
      <c r="AB38" s="739">
        <v>500</v>
      </c>
      <c r="AC38" s="739">
        <f t="shared" ref="AC38:AC42" si="25">AB38*1.1</f>
        <v>550</v>
      </c>
      <c r="AD38" s="745">
        <v>1000</v>
      </c>
      <c r="AE38" s="744">
        <f t="shared" ref="AE38:AE42" si="26">1000*AB38/AD38</f>
        <v>500</v>
      </c>
      <c r="AF38" s="744">
        <f t="shared" ref="AF38:AF42" si="27">1000*AC38/AD38</f>
        <v>550</v>
      </c>
      <c r="AG38" s="5">
        <f t="shared" si="6"/>
        <v>198</v>
      </c>
      <c r="AH38" s="5">
        <f>IF(AG38="","",VLOOKUP($Y38,Nutrition_tables!$A:$N,10,FALSE))</f>
        <v>324.0916938870742</v>
      </c>
      <c r="AI38" s="5">
        <f t="shared" si="7"/>
        <v>6.1093821203881481E-2</v>
      </c>
    </row>
    <row r="39" spans="1:42" ht="16">
      <c r="A39" s="699"/>
      <c r="B39" s="1" t="s">
        <v>1461</v>
      </c>
      <c r="C39" s="1" t="s">
        <v>3089</v>
      </c>
      <c r="D39" s="332"/>
      <c r="E39" s="678" t="str">
        <f>IF(G39="","",_xlfn.IFNA(VLOOKUP($H39,Ingredient_prices!$B:$C,2,FALSE),""))</f>
        <v>Chocolate milk 1% fat (less than 1 l)</v>
      </c>
      <c r="F39" s="1199" t="str">
        <f t="shared" si="0"/>
        <v>ПАРТИЈА 2</v>
      </c>
      <c r="G39" s="1391">
        <v>9</v>
      </c>
      <c r="H39" s="1389" t="s">
        <v>2347</v>
      </c>
      <c r="I39" s="1389" t="s">
        <v>2649</v>
      </c>
      <c r="J39" s="1389">
        <v>200</v>
      </c>
      <c r="K39" s="1392" t="s">
        <v>2327</v>
      </c>
      <c r="L39" s="1389">
        <v>1800</v>
      </c>
      <c r="M39" s="699"/>
      <c r="N39" s="1381">
        <v>30</v>
      </c>
      <c r="O39" s="1383">
        <f t="shared" si="24"/>
        <v>10</v>
      </c>
      <c r="P39" s="1382">
        <f t="shared" si="2"/>
        <v>33</v>
      </c>
      <c r="Q39" s="1383">
        <f t="shared" si="3"/>
        <v>54000</v>
      </c>
      <c r="R39" s="1383">
        <f t="shared" si="4"/>
        <v>59400</v>
      </c>
      <c r="S39" s="699"/>
      <c r="T39" s="101">
        <f>IF(O39="","",IF('Charts and graphs'!$C$6="Conventional",IF(N39&gt;0,1000*P39/J39,""),IF(VLOOKUP($E39,$Y:$AE,7,FALSE)=0,IF(N39&gt;0,1000*P39/J39,""),VLOOKUP($E39,$Y:$AE,7,FALSE))))</f>
        <v>165</v>
      </c>
      <c r="U39" s="101">
        <f t="shared" si="5"/>
        <v>165</v>
      </c>
      <c r="V39" s="101">
        <f t="shared" si="9"/>
        <v>165</v>
      </c>
      <c r="W39" s="332"/>
      <c r="X39" s="747">
        <v>550</v>
      </c>
      <c r="Y39" s="82" t="s">
        <v>3135</v>
      </c>
      <c r="Z39" s="16">
        <v>10</v>
      </c>
      <c r="AA39" s="1269" t="s">
        <v>3438</v>
      </c>
      <c r="AB39" s="739">
        <v>500</v>
      </c>
      <c r="AC39" s="739">
        <f t="shared" si="25"/>
        <v>550</v>
      </c>
      <c r="AD39" s="745">
        <v>1000</v>
      </c>
      <c r="AE39" s="744">
        <f t="shared" si="26"/>
        <v>500</v>
      </c>
      <c r="AF39" s="744">
        <f t="shared" si="27"/>
        <v>550</v>
      </c>
      <c r="AG39" s="5" t="str">
        <f t="shared" si="6"/>
        <v/>
      </c>
      <c r="AH39" s="5" t="str">
        <f>IF(AG39="","",VLOOKUP($Y39,Nutrition_tables!$A:$N,10,FALSE))</f>
        <v/>
      </c>
      <c r="AI39" s="5" t="str">
        <f t="shared" si="7"/>
        <v/>
      </c>
    </row>
    <row r="40" spans="1:42" ht="16">
      <c r="A40" s="699"/>
      <c r="B40" s="1" t="s">
        <v>1462</v>
      </c>
      <c r="C40" s="1" t="s">
        <v>1767</v>
      </c>
      <c r="D40" s="332"/>
      <c r="E40" s="678" t="str">
        <f>IF(G40="","",_xlfn.IFNA(VLOOKUP($H40,Ingredient_prices!$B:$C,2,FALSE),""))</f>
        <v>Cow's milk 2.8% fat</v>
      </c>
      <c r="F40" s="1199" t="str">
        <f t="shared" si="0"/>
        <v>ПАРТИЈА 2</v>
      </c>
      <c r="G40" s="1391">
        <v>10</v>
      </c>
      <c r="H40" s="1389" t="s">
        <v>2338</v>
      </c>
      <c r="I40" s="1389" t="s">
        <v>2650</v>
      </c>
      <c r="J40" s="1389">
        <v>1000</v>
      </c>
      <c r="K40" s="1392" t="s">
        <v>2641</v>
      </c>
      <c r="L40" s="1389">
        <v>50</v>
      </c>
      <c r="M40" s="699"/>
      <c r="N40" s="1381">
        <v>140</v>
      </c>
      <c r="O40" s="1383">
        <f t="shared" si="24"/>
        <v>10</v>
      </c>
      <c r="P40" s="1382">
        <f t="shared" si="2"/>
        <v>154</v>
      </c>
      <c r="Q40" s="1383">
        <f t="shared" si="3"/>
        <v>7000</v>
      </c>
      <c r="R40" s="1383">
        <f t="shared" si="4"/>
        <v>7700</v>
      </c>
      <c r="S40" s="699"/>
      <c r="T40" s="101">
        <f>IF(O40="","",IF('Charts and graphs'!$C$6="Conventional",IF(N40&gt;0,1000*P40/J40,""),IF(VLOOKUP($E40,$Y:$AE,7,FALSE)=0,IF(N40&gt;0,1000*P40/J40,""),VLOOKUP($E40,$Y:$AE,7,FALSE))))</f>
        <v>154</v>
      </c>
      <c r="U40" s="101">
        <f t="shared" si="5"/>
        <v>154</v>
      </c>
      <c r="V40" s="101">
        <f t="shared" si="9"/>
        <v>154</v>
      </c>
      <c r="W40" s="332"/>
      <c r="X40" s="747">
        <v>550</v>
      </c>
      <c r="Y40" s="82" t="s">
        <v>3144</v>
      </c>
      <c r="Z40" s="16">
        <v>10</v>
      </c>
      <c r="AA40" s="1269" t="s">
        <v>3438</v>
      </c>
      <c r="AB40" s="742">
        <v>500</v>
      </c>
      <c r="AC40" s="739">
        <f t="shared" si="25"/>
        <v>550</v>
      </c>
      <c r="AD40" s="745">
        <v>1000</v>
      </c>
      <c r="AE40" s="744">
        <f t="shared" si="26"/>
        <v>500</v>
      </c>
      <c r="AF40" s="744">
        <f t="shared" si="27"/>
        <v>550</v>
      </c>
      <c r="AG40" s="5" t="str">
        <f t="shared" si="6"/>
        <v/>
      </c>
      <c r="AH40" s="5" t="str">
        <f>IF(AG40="","",VLOOKUP($Y40,Nutrition_tables!$A:$N,10,FALSE))</f>
        <v/>
      </c>
      <c r="AI40" s="5" t="str">
        <f t="shared" si="7"/>
        <v/>
      </c>
    </row>
    <row r="41" spans="1:42" ht="16">
      <c r="A41" s="699"/>
      <c r="B41" s="1" t="s">
        <v>1584</v>
      </c>
      <c r="C41" s="1" t="s">
        <v>1767</v>
      </c>
      <c r="D41" s="332"/>
      <c r="E41" s="678" t="str">
        <f>IF(G41="","",_xlfn.IFNA(VLOOKUP($H41,Ingredient_prices!$B:$C,2,FALSE),""))</f>
        <v>Clotted cream</v>
      </c>
      <c r="F41" s="1199" t="str">
        <f t="shared" si="0"/>
        <v>ПАРТИЈА 2</v>
      </c>
      <c r="G41" s="1391">
        <v>11</v>
      </c>
      <c r="H41" s="1389" t="s">
        <v>836</v>
      </c>
      <c r="I41" s="1389" t="s">
        <v>2651</v>
      </c>
      <c r="J41" s="1389">
        <v>250</v>
      </c>
      <c r="K41" s="1392" t="s">
        <v>2327</v>
      </c>
      <c r="L41" s="1389">
        <v>240</v>
      </c>
      <c r="M41" s="699"/>
      <c r="N41" s="1381">
        <v>112</v>
      </c>
      <c r="O41" s="1383">
        <f t="shared" si="24"/>
        <v>20</v>
      </c>
      <c r="P41" s="1382">
        <f t="shared" si="2"/>
        <v>134.4</v>
      </c>
      <c r="Q41" s="1383">
        <f t="shared" si="3"/>
        <v>26880</v>
      </c>
      <c r="R41" s="1383">
        <f t="shared" si="4"/>
        <v>32256</v>
      </c>
      <c r="S41" s="699"/>
      <c r="T41" s="101">
        <f>IF(O41="","",IF('Charts and graphs'!$C$6="Conventional",IF(N41&gt;0,1000*P41/J41,""),IF(VLOOKUP($E41,$Y:$AE,7,FALSE)=0,IF(N41&gt;0,1000*P41/J41,""),VLOOKUP($E41,$Y:$AE,7,FALSE))))</f>
        <v>537.6</v>
      </c>
      <c r="U41" s="101">
        <f t="shared" si="5"/>
        <v>537.6</v>
      </c>
      <c r="V41" s="101">
        <f t="shared" si="9"/>
        <v>537.6</v>
      </c>
      <c r="W41" s="332"/>
      <c r="X41" s="747">
        <v>220</v>
      </c>
      <c r="Y41" s="1" t="s">
        <v>3136</v>
      </c>
      <c r="Z41" s="16">
        <v>10</v>
      </c>
      <c r="AA41" s="1269" t="s">
        <v>3438</v>
      </c>
      <c r="AB41" s="739">
        <v>200</v>
      </c>
      <c r="AC41" s="739">
        <f t="shared" si="25"/>
        <v>220.00000000000003</v>
      </c>
      <c r="AD41" s="745">
        <v>1000</v>
      </c>
      <c r="AE41" s="744">
        <f t="shared" si="26"/>
        <v>200</v>
      </c>
      <c r="AF41" s="744">
        <f t="shared" si="27"/>
        <v>220.00000000000003</v>
      </c>
      <c r="AG41" s="5">
        <f t="shared" si="6"/>
        <v>55</v>
      </c>
      <c r="AH41" s="5">
        <f>IF(AG41="","",VLOOKUP($Y41,Nutrition_tables!$A:$N,10,FALSE))</f>
        <v>19.600000000000001</v>
      </c>
      <c r="AI41" s="5">
        <f t="shared" si="7"/>
        <v>0.28061224489795916</v>
      </c>
    </row>
    <row r="42" spans="1:42" ht="16">
      <c r="A42" s="699"/>
      <c r="B42" s="1" t="s">
        <v>1481</v>
      </c>
      <c r="C42" s="1" t="s">
        <v>1767</v>
      </c>
      <c r="D42" s="332"/>
      <c r="E42" s="678" t="str">
        <f>IF(G42="","",_xlfn.IFNA(VLOOKUP($H42,Ingredient_prices!$B:$C,2,FALSE),""))</f>
        <v>Cream cheese spread</v>
      </c>
      <c r="F42" s="1199" t="str">
        <f t="shared" si="0"/>
        <v>ПАРТИЈА 2</v>
      </c>
      <c r="G42" s="1391">
        <v>12</v>
      </c>
      <c r="H42" s="1389" t="s">
        <v>2290</v>
      </c>
      <c r="I42" s="1389" t="s">
        <v>2652</v>
      </c>
      <c r="J42" s="1389">
        <v>200</v>
      </c>
      <c r="K42" s="1392" t="s">
        <v>2327</v>
      </c>
      <c r="L42" s="1389">
        <v>380</v>
      </c>
      <c r="M42" s="699"/>
      <c r="N42" s="1381">
        <v>125</v>
      </c>
      <c r="O42" s="1383">
        <f t="shared" si="24"/>
        <v>20</v>
      </c>
      <c r="P42" s="1382">
        <f t="shared" si="2"/>
        <v>150</v>
      </c>
      <c r="Q42" s="1383">
        <f t="shared" si="3"/>
        <v>47500</v>
      </c>
      <c r="R42" s="1383">
        <f t="shared" si="4"/>
        <v>57000</v>
      </c>
      <c r="S42" s="699"/>
      <c r="T42" s="101">
        <f>IF(O42="","",IF('Charts and graphs'!$C$6="Conventional",IF(N42&gt;0,1000*P42/J42,""),IF(VLOOKUP($E42,$Y:$AE,7,FALSE)=0,IF(N42&gt;0,1000*P42/J42,""),VLOOKUP($E42,$Y:$AE,7,FALSE))))</f>
        <v>750</v>
      </c>
      <c r="U42" s="101">
        <f t="shared" si="5"/>
        <v>750</v>
      </c>
      <c r="V42" s="101">
        <f t="shared" si="9"/>
        <v>750</v>
      </c>
      <c r="W42" s="332"/>
      <c r="X42" s="747">
        <v>770.00000000000011</v>
      </c>
      <c r="Y42" s="1" t="s">
        <v>20</v>
      </c>
      <c r="Z42" s="16">
        <v>10</v>
      </c>
      <c r="AA42" s="1269" t="s">
        <v>3438</v>
      </c>
      <c r="AB42" s="742">
        <v>210</v>
      </c>
      <c r="AC42" s="739">
        <f t="shared" si="25"/>
        <v>231.00000000000003</v>
      </c>
      <c r="AD42" s="745">
        <v>300</v>
      </c>
      <c r="AE42" s="744">
        <f t="shared" si="26"/>
        <v>700</v>
      </c>
      <c r="AF42" s="744">
        <f t="shared" si="27"/>
        <v>770.00000000000011</v>
      </c>
      <c r="AG42" s="5">
        <f t="shared" si="6"/>
        <v>187</v>
      </c>
      <c r="AH42" s="5">
        <f>IF(AG42="","",VLOOKUP($Y42,Nutrition_tables!$A:$N,10,FALSE))</f>
        <v>25</v>
      </c>
      <c r="AI42" s="5">
        <f t="shared" si="7"/>
        <v>0.748</v>
      </c>
    </row>
    <row r="43" spans="1:42" ht="16">
      <c r="A43" s="699"/>
      <c r="B43" s="1" t="s">
        <v>900</v>
      </c>
      <c r="C43" s="1" t="s">
        <v>3091</v>
      </c>
      <c r="D43" s="339"/>
      <c r="E43" s="678" t="str">
        <f>IF(G43="","",_xlfn.IFNA(VLOOKUP($H43,Ingredient_prices!$B:$C,2,FALSE),""))</f>
        <v>Cheese spread 70% fat</v>
      </c>
      <c r="F43" s="1199" t="str">
        <f t="shared" si="0"/>
        <v>ПАРТИЈА 2</v>
      </c>
      <c r="G43" s="1391">
        <v>13</v>
      </c>
      <c r="H43" s="1389" t="s">
        <v>2344</v>
      </c>
      <c r="I43" s="1389" t="s">
        <v>2653</v>
      </c>
      <c r="J43" s="1389">
        <v>250</v>
      </c>
      <c r="K43" s="1392" t="s">
        <v>2327</v>
      </c>
      <c r="L43" s="1389">
        <v>100</v>
      </c>
      <c r="M43" s="699"/>
      <c r="N43" s="1381">
        <v>133</v>
      </c>
      <c r="O43" s="1383">
        <f t="shared" si="24"/>
        <v>20</v>
      </c>
      <c r="P43" s="1382">
        <f t="shared" si="2"/>
        <v>159.6</v>
      </c>
      <c r="Q43" s="1383">
        <f t="shared" si="3"/>
        <v>13300</v>
      </c>
      <c r="R43" s="1383">
        <f t="shared" si="4"/>
        <v>15960</v>
      </c>
      <c r="S43" s="699"/>
      <c r="T43" s="101">
        <f>IF(O43="","",IF('Charts and graphs'!$C$6="Conventional",IF(N43&gt;0,1000*P43/J43,""),IF(VLOOKUP($E43,$Y:$AE,7,FALSE)=0,IF(N43&gt;0,1000*P43/J43,""),VLOOKUP($E43,$Y:$AE,7,FALSE))))</f>
        <v>638.4</v>
      </c>
      <c r="U43" s="101">
        <f t="shared" si="5"/>
        <v>638.4</v>
      </c>
      <c r="V43" s="101">
        <f t="shared" si="9"/>
        <v>638.4</v>
      </c>
      <c r="W43" s="332"/>
      <c r="Y43" s="1" t="s">
        <v>3112</v>
      </c>
      <c r="Z43" s="16">
        <v>10</v>
      </c>
      <c r="AA43" s="1269" t="s">
        <v>3438</v>
      </c>
      <c r="AD43" s="1"/>
      <c r="AE43" s="1"/>
      <c r="AG43" s="5" t="str">
        <f t="shared" si="6"/>
        <v/>
      </c>
      <c r="AH43" s="5" t="str">
        <f>IF(AG43="","",VLOOKUP($Y43,Nutrition_tables!$A:$N,10,FALSE))</f>
        <v/>
      </c>
      <c r="AI43" s="5" t="str">
        <f t="shared" si="7"/>
        <v/>
      </c>
      <c r="AL43" s="83"/>
    </row>
    <row r="44" spans="1:42" ht="16">
      <c r="A44" s="699"/>
      <c r="B44" s="1" t="s">
        <v>2485</v>
      </c>
      <c r="C44" s="1" t="s">
        <v>3091</v>
      </c>
      <c r="D44" s="332"/>
      <c r="E44" s="678" t="str">
        <f>IF(G44="","",_xlfn.IFNA(VLOOKUP($H44,Ingredient_prices!$B:$C,2,FALSE),""))</f>
        <v>Mileram 22% fat</v>
      </c>
      <c r="F44" s="1199" t="str">
        <f t="shared" si="0"/>
        <v>ПАРТИЈА 2</v>
      </c>
      <c r="G44" s="1391">
        <v>14</v>
      </c>
      <c r="H44" s="1389" t="s">
        <v>2291</v>
      </c>
      <c r="I44" s="1389" t="s">
        <v>2654</v>
      </c>
      <c r="J44" s="1389">
        <v>400</v>
      </c>
      <c r="K44" s="1392" t="s">
        <v>2327</v>
      </c>
      <c r="L44" s="1389">
        <v>200</v>
      </c>
      <c r="M44" s="699"/>
      <c r="N44" s="1381">
        <v>100</v>
      </c>
      <c r="O44" s="1383">
        <f t="shared" si="24"/>
        <v>20</v>
      </c>
      <c r="P44" s="1382">
        <f t="shared" si="2"/>
        <v>120</v>
      </c>
      <c r="Q44" s="1383">
        <f t="shared" si="3"/>
        <v>20000</v>
      </c>
      <c r="R44" s="1383">
        <f t="shared" si="4"/>
        <v>24000</v>
      </c>
      <c r="S44" s="699"/>
      <c r="T44" s="101">
        <f>IF(O44="","",IF('Charts and graphs'!$C$6="Conventional",IF(N44&gt;0,1000*P44/J44,""),IF(VLOOKUP($E44,$Y:$AE,7,FALSE)=0,IF(N44&gt;0,1000*P44/J44,""),VLOOKUP($E44,$Y:$AE,7,FALSE))))</f>
        <v>300</v>
      </c>
      <c r="U44" s="101">
        <f t="shared" si="5"/>
        <v>300</v>
      </c>
      <c r="V44" s="101">
        <f t="shared" si="9"/>
        <v>300</v>
      </c>
      <c r="W44" s="332"/>
      <c r="Y44" s="1" t="s">
        <v>3113</v>
      </c>
      <c r="Z44" s="16">
        <v>10</v>
      </c>
      <c r="AA44" s="1269" t="s">
        <v>3438</v>
      </c>
      <c r="AG44" s="5">
        <f t="shared" si="6"/>
        <v>3300</v>
      </c>
      <c r="AH44" s="5">
        <f>IF(AG44="","",VLOOKUP($Y44,Nutrition_tables!$A:$N,10,FALSE))</f>
        <v>52</v>
      </c>
      <c r="AI44" s="5">
        <f t="shared" si="7"/>
        <v>6.3461538461538458</v>
      </c>
      <c r="AM44" s="83"/>
      <c r="AN44" s="83"/>
    </row>
    <row r="45" spans="1:42" s="83" customFormat="1" ht="16">
      <c r="A45" s="1193"/>
      <c r="B45" s="1" t="s">
        <v>2216</v>
      </c>
      <c r="C45" s="1" t="s">
        <v>3091</v>
      </c>
      <c r="D45" s="332"/>
      <c r="E45" s="678" t="str">
        <f>IF(G45="","",_xlfn.IFNA(VLOOKUP($H45,Ingredient_prices!$B:$C,2,FALSE),""))</f>
        <v>Cheese, grated (at least 1 kg)</v>
      </c>
      <c r="F45" s="1199" t="str">
        <f t="shared" si="0"/>
        <v>ПАРТИЈА 2</v>
      </c>
      <c r="G45" s="1391">
        <v>15</v>
      </c>
      <c r="H45" s="1393" t="s">
        <v>2353</v>
      </c>
      <c r="I45" s="1393" t="s">
        <v>2655</v>
      </c>
      <c r="J45" s="1393">
        <v>1000</v>
      </c>
      <c r="K45" s="1394" t="s">
        <v>2327</v>
      </c>
      <c r="L45" s="1393">
        <v>180</v>
      </c>
      <c r="M45" s="699"/>
      <c r="N45" s="1381">
        <v>156</v>
      </c>
      <c r="O45" s="1383">
        <f t="shared" si="24"/>
        <v>20</v>
      </c>
      <c r="P45" s="1382">
        <f t="shared" si="2"/>
        <v>187.2</v>
      </c>
      <c r="Q45" s="1383">
        <f t="shared" si="3"/>
        <v>28080</v>
      </c>
      <c r="R45" s="1383">
        <f t="shared" si="4"/>
        <v>33696</v>
      </c>
      <c r="S45" s="699"/>
      <c r="T45" s="101">
        <f>IF(O45="","",IF('Charts and graphs'!$C$6="Conventional",IF(N45&gt;0,1000*P45/J45,""),IF(VLOOKUP($E45,$Y:$AE,7,FALSE)=0,IF(N45&gt;0,1000*P45/J45,""),VLOOKUP($E45,$Y:$AE,7,FALSE))))</f>
        <v>187.2</v>
      </c>
      <c r="U45" s="101">
        <f t="shared" si="5"/>
        <v>187.2</v>
      </c>
      <c r="V45" s="101">
        <f t="shared" si="9"/>
        <v>187.2</v>
      </c>
      <c r="W45" s="332"/>
      <c r="X45" s="99"/>
      <c r="Y45" s="1" t="s">
        <v>421</v>
      </c>
      <c r="Z45" s="16">
        <v>10</v>
      </c>
      <c r="AA45" s="1269" t="s">
        <v>3438</v>
      </c>
      <c r="AB45" s="421"/>
      <c r="AC45" s="421"/>
      <c r="AD45" s="749"/>
      <c r="AE45" s="749"/>
      <c r="AF45" s="749"/>
      <c r="AG45" s="5">
        <f t="shared" si="6"/>
        <v>121</v>
      </c>
      <c r="AH45" s="5">
        <f>IF(AG45="","",VLOOKUP($Y45,Nutrition_tables!$A:$N,10,FALSE))</f>
        <v>29</v>
      </c>
      <c r="AI45" s="5">
        <f t="shared" si="7"/>
        <v>0.41724137931034483</v>
      </c>
      <c r="AJ45" s="749"/>
      <c r="AK45"/>
      <c r="AL45"/>
      <c r="AM45"/>
      <c r="AN45"/>
      <c r="AO45"/>
      <c r="AP45"/>
    </row>
    <row r="46" spans="1:42" ht="16">
      <c r="A46" s="699"/>
      <c r="B46" s="1" t="s">
        <v>1543</v>
      </c>
      <c r="C46" s="1" t="s">
        <v>3092</v>
      </c>
      <c r="D46" s="332"/>
      <c r="E46" s="678" t="str">
        <f>IF(G46="","",_xlfn.IFNA(VLOOKUP($H46,Ingredient_prices!$B:$C,2,FALSE),""))</f>
        <v>Cheese, grated (less than 1 kg)</v>
      </c>
      <c r="F46" s="1199" t="str">
        <f t="shared" si="0"/>
        <v>ПАРТИЈА 2</v>
      </c>
      <c r="G46" s="1391">
        <v>16</v>
      </c>
      <c r="H46" s="1393" t="s">
        <v>2355</v>
      </c>
      <c r="I46" s="1393" t="s">
        <v>2656</v>
      </c>
      <c r="J46" s="1395">
        <v>400</v>
      </c>
      <c r="K46" s="1394" t="s">
        <v>2327</v>
      </c>
      <c r="L46" s="1393">
        <v>50</v>
      </c>
      <c r="M46" s="699"/>
      <c r="N46" s="1381">
        <v>103</v>
      </c>
      <c r="O46" s="1383">
        <f t="shared" si="24"/>
        <v>20</v>
      </c>
      <c r="P46" s="1382">
        <f t="shared" si="2"/>
        <v>123.6</v>
      </c>
      <c r="Q46" s="1383">
        <f t="shared" si="3"/>
        <v>5150</v>
      </c>
      <c r="R46" s="1383">
        <f t="shared" si="4"/>
        <v>6180</v>
      </c>
      <c r="S46" s="699"/>
      <c r="T46" s="101">
        <f>IF(O46="","",IF('Charts and graphs'!$C$6="Conventional",IF(N46&gt;0,1000*P46/J46,""),IF(VLOOKUP($E46,$Y:$AE,7,FALSE)=0,IF(N46&gt;0,1000*P46/J46,""),VLOOKUP($E46,$Y:$AE,7,FALSE))))</f>
        <v>309</v>
      </c>
      <c r="U46" s="101">
        <f t="shared" si="5"/>
        <v>309</v>
      </c>
      <c r="V46" s="101">
        <f t="shared" si="9"/>
        <v>309</v>
      </c>
      <c r="W46" s="332"/>
      <c r="X46" s="747">
        <v>550.00000000000011</v>
      </c>
      <c r="Y46" s="1" t="s">
        <v>422</v>
      </c>
      <c r="Z46" s="16">
        <v>10</v>
      </c>
      <c r="AA46" s="1269" t="s">
        <v>3438</v>
      </c>
      <c r="AB46" s="739">
        <v>50</v>
      </c>
      <c r="AC46" s="739">
        <f t="shared" ref="AC46" si="28">AB46*1.1</f>
        <v>55.000000000000007</v>
      </c>
      <c r="AD46" s="738">
        <v>100</v>
      </c>
      <c r="AE46" s="744">
        <f t="shared" ref="AE46" si="29">1000*AB46/AD46</f>
        <v>500</v>
      </c>
      <c r="AF46" s="744">
        <f t="shared" ref="AF46" si="30">1000*AC46/AD46</f>
        <v>550.00000000000011</v>
      </c>
      <c r="AG46" s="5" t="str">
        <f t="shared" si="6"/>
        <v/>
      </c>
      <c r="AH46" s="5" t="str">
        <f>IF(AG46="","",VLOOKUP($Y46,Nutrition_tables!$A:$N,10,FALSE))</f>
        <v/>
      </c>
      <c r="AI46" s="5" t="str">
        <f t="shared" si="7"/>
        <v/>
      </c>
      <c r="AK46" s="83"/>
    </row>
    <row r="47" spans="1:42" ht="16">
      <c r="A47" s="699"/>
      <c r="B47" s="1" t="s">
        <v>2313</v>
      </c>
      <c r="C47" s="1" t="s">
        <v>3092</v>
      </c>
      <c r="D47" s="332"/>
      <c r="E47" s="678" t="str">
        <f>IF(G47="","",_xlfn.IFNA(VLOOKUP($H47,Ingredient_prices!$B:$C,2,FALSE),""))</f>
        <v>Cheese, processed, slices</v>
      </c>
      <c r="F47" s="1199" t="str">
        <f t="shared" si="0"/>
        <v>ПАРТИЈА 2</v>
      </c>
      <c r="G47" s="1391">
        <v>17</v>
      </c>
      <c r="H47" s="1389" t="s">
        <v>2329</v>
      </c>
      <c r="I47" s="1389" t="s">
        <v>2657</v>
      </c>
      <c r="J47" s="1395">
        <v>400</v>
      </c>
      <c r="K47" s="1392" t="s">
        <v>2478</v>
      </c>
      <c r="L47" s="1389">
        <v>50</v>
      </c>
      <c r="M47" s="699"/>
      <c r="N47" s="1381">
        <v>125</v>
      </c>
      <c r="O47" s="1383">
        <f t="shared" si="24"/>
        <v>20</v>
      </c>
      <c r="P47" s="1382">
        <f t="shared" si="2"/>
        <v>150</v>
      </c>
      <c r="Q47" s="1383">
        <f t="shared" si="3"/>
        <v>6250</v>
      </c>
      <c r="R47" s="1383">
        <f t="shared" si="4"/>
        <v>7500</v>
      </c>
      <c r="S47" s="699"/>
      <c r="T47" s="101">
        <f>IF(O47="","",IF('Charts and graphs'!$C$6="Conventional",IF(N47&gt;0,1000*P47/J47,""),IF(VLOOKUP($E47,$Y:$AE,7,FALSE)=0,IF(N47&gt;0,1000*P47/J47,""),VLOOKUP($E47,$Y:$AE,7,FALSE))))</f>
        <v>375</v>
      </c>
      <c r="U47" s="101">
        <f t="shared" si="5"/>
        <v>375</v>
      </c>
      <c r="V47" s="101">
        <f t="shared" si="9"/>
        <v>375</v>
      </c>
      <c r="W47" s="332"/>
      <c r="Y47" s="1" t="s">
        <v>3114</v>
      </c>
      <c r="Z47" s="16">
        <v>10</v>
      </c>
      <c r="AA47" s="1269" t="s">
        <v>3438</v>
      </c>
      <c r="AD47" s="1"/>
      <c r="AE47" s="1"/>
      <c r="AG47" s="5">
        <f t="shared" si="6"/>
        <v>77</v>
      </c>
      <c r="AH47" s="5">
        <f>IF(AG47="","",VLOOKUP($Y47,Nutrition_tables!$A:$N,10,FALSE))</f>
        <v>31.8</v>
      </c>
      <c r="AI47" s="5">
        <f t="shared" si="7"/>
        <v>0.24213836477987422</v>
      </c>
    </row>
    <row r="48" spans="1:42" ht="16">
      <c r="A48" s="699"/>
      <c r="B48" s="1" t="s">
        <v>2484</v>
      </c>
      <c r="C48" s="1" t="s">
        <v>3092</v>
      </c>
      <c r="D48" s="332"/>
      <c r="E48" s="678" t="str">
        <f>IF(G48="","",_xlfn.IFNA(VLOOKUP($H48,Ingredient_prices!$B:$C,2,FALSE),""))</f>
        <v>Cheese spread triangles 35% fat</v>
      </c>
      <c r="F48" s="1199" t="str">
        <f t="shared" si="0"/>
        <v>ПАРТИЈА 2</v>
      </c>
      <c r="G48" s="1391">
        <v>18</v>
      </c>
      <c r="H48" s="1389" t="s">
        <v>2357</v>
      </c>
      <c r="I48" s="1389" t="s">
        <v>2658</v>
      </c>
      <c r="J48" s="1389">
        <v>140</v>
      </c>
      <c r="K48" s="1392" t="s">
        <v>2478</v>
      </c>
      <c r="L48" s="1389">
        <v>100</v>
      </c>
      <c r="M48" s="699"/>
      <c r="N48" s="1381">
        <v>110</v>
      </c>
      <c r="O48" s="1383">
        <f t="shared" si="24"/>
        <v>20</v>
      </c>
      <c r="P48" s="1382">
        <f t="shared" si="2"/>
        <v>132</v>
      </c>
      <c r="Q48" s="1383">
        <f t="shared" si="3"/>
        <v>11000</v>
      </c>
      <c r="R48" s="1383">
        <f t="shared" si="4"/>
        <v>13200</v>
      </c>
      <c r="S48" s="699"/>
      <c r="T48" s="101">
        <f>IF(O48="","",IF('Charts and graphs'!$C$6="Conventional",IF(N48&gt;0,1000*P48/J48,""),IF(VLOOKUP($E48,$Y:$AE,7,FALSE)=0,IF(N48&gt;0,1000*P48/J48,""),VLOOKUP($E48,$Y:$AE,7,FALSE))))</f>
        <v>942.85714285714289</v>
      </c>
      <c r="U48" s="101">
        <f t="shared" si="5"/>
        <v>942.85714285714289</v>
      </c>
      <c r="V48" s="101">
        <f t="shared" si="9"/>
        <v>942.85714285714289</v>
      </c>
      <c r="W48" s="332"/>
      <c r="X48" s="747">
        <v>121</v>
      </c>
      <c r="Y48" s="1" t="s">
        <v>3115</v>
      </c>
      <c r="Z48" s="16">
        <v>10</v>
      </c>
      <c r="AA48" s="1269" t="s">
        <v>3438</v>
      </c>
      <c r="AB48" s="743">
        <v>110</v>
      </c>
      <c r="AC48" s="739">
        <f t="shared" ref="AC48:AC56" si="31">AB48*1.1</f>
        <v>121.00000000000001</v>
      </c>
      <c r="AD48" s="746">
        <v>1000</v>
      </c>
      <c r="AE48" s="744">
        <f>1000*AB48/AD48</f>
        <v>110</v>
      </c>
      <c r="AF48" s="744">
        <f t="shared" ref="AF48" si="32">1000*AC48/AD48</f>
        <v>121.00000000000001</v>
      </c>
      <c r="AG48" s="5">
        <f t="shared" si="6"/>
        <v>38.5</v>
      </c>
      <c r="AH48" s="5">
        <f>IF(AG48="","",VLOOKUP($Y48,Nutrition_tables!$A:$N,10,FALSE))</f>
        <v>31.8</v>
      </c>
      <c r="AI48" s="5">
        <f t="shared" si="7"/>
        <v>0.12106918238993711</v>
      </c>
      <c r="AJ48" s="83"/>
    </row>
    <row r="49" spans="1:35" ht="16">
      <c r="A49" s="699"/>
      <c r="B49" s="1" t="s">
        <v>2270</v>
      </c>
      <c r="C49" s="1" t="s">
        <v>3092</v>
      </c>
      <c r="D49" s="400"/>
      <c r="E49" s="678" t="str">
        <f>IF(G49="","",_xlfn.IFNA(VLOOKUP($H49,Ingredient_prices!$B:$C,2,FALSE),""))</f>
        <v>Cheese, feta, soft (in brine)</v>
      </c>
      <c r="F49" s="1199" t="str">
        <f t="shared" si="0"/>
        <v>ПАРТИЈА 2</v>
      </c>
      <c r="G49" s="1391">
        <v>19</v>
      </c>
      <c r="H49" s="1389" t="s">
        <v>1494</v>
      </c>
      <c r="I49" s="1389" t="s">
        <v>2659</v>
      </c>
      <c r="J49" s="1389">
        <v>10000</v>
      </c>
      <c r="K49" s="1392" t="s">
        <v>2327</v>
      </c>
      <c r="L49" s="1389">
        <v>10</v>
      </c>
      <c r="M49" s="699"/>
      <c r="N49" s="1381">
        <v>3840</v>
      </c>
      <c r="O49" s="1383">
        <f t="shared" si="24"/>
        <v>20</v>
      </c>
      <c r="P49" s="1382">
        <f t="shared" si="2"/>
        <v>4608</v>
      </c>
      <c r="Q49" s="1383">
        <f t="shared" si="3"/>
        <v>38400</v>
      </c>
      <c r="R49" s="1383">
        <f t="shared" si="4"/>
        <v>46080</v>
      </c>
      <c r="S49" s="699"/>
      <c r="T49" s="101">
        <f>IF(O49="","",IF('Charts and graphs'!$C$6="Conventional",IF(N49&gt;0,1000*P49/J49,""),IF(VLOOKUP($E49,$Y:$AE,7,FALSE)=0,IF(N49&gt;0,1000*P49/J49,""),VLOOKUP($E49,$Y:$AE,7,FALSE))))</f>
        <v>460.8</v>
      </c>
      <c r="U49" s="101">
        <f t="shared" si="5"/>
        <v>460.8</v>
      </c>
      <c r="V49" s="101">
        <f t="shared" si="9"/>
        <v>460.8</v>
      </c>
      <c r="W49" s="332"/>
      <c r="Y49" s="1" t="s">
        <v>518</v>
      </c>
      <c r="Z49" s="16">
        <v>20</v>
      </c>
      <c r="AA49" s="1269" t="s">
        <v>3438</v>
      </c>
      <c r="AG49" s="5">
        <f t="shared" si="6"/>
        <v>246</v>
      </c>
      <c r="AH49" s="5">
        <f>IF(AG49="","",VLOOKUP($Y49,Nutrition_tables!$A:$N,10,FALSE))</f>
        <v>339.99999999999994</v>
      </c>
      <c r="AI49" s="5">
        <f t="shared" si="7"/>
        <v>7.2352941176470592E-2</v>
      </c>
    </row>
    <row r="50" spans="1:35" ht="16">
      <c r="A50" s="699"/>
      <c r="B50" s="1" t="s">
        <v>1724</v>
      </c>
      <c r="C50" s="1" t="s">
        <v>3091</v>
      </c>
      <c r="D50" s="332"/>
      <c r="E50" s="678" t="str">
        <f>IF(G50="","",_xlfn.IFNA(VLOOKUP($H50,Ingredient_prices!$B:$C,2,FALSE),""))</f>
        <v>Sour cream, 20% fat</v>
      </c>
      <c r="F50" s="1199" t="str">
        <f t="shared" si="0"/>
        <v>ПАРТИЈА 2</v>
      </c>
      <c r="G50" s="1391">
        <v>20</v>
      </c>
      <c r="H50" s="1389" t="s">
        <v>1170</v>
      </c>
      <c r="I50" s="1389" t="s">
        <v>2660</v>
      </c>
      <c r="J50" s="1389">
        <v>700</v>
      </c>
      <c r="K50" s="1392" t="s">
        <v>2327</v>
      </c>
      <c r="L50" s="1389">
        <v>100</v>
      </c>
      <c r="M50" s="699"/>
      <c r="N50" s="1381">
        <v>118</v>
      </c>
      <c r="O50" s="1383">
        <f t="shared" si="24"/>
        <v>20</v>
      </c>
      <c r="P50" s="1382">
        <f t="shared" si="2"/>
        <v>141.6</v>
      </c>
      <c r="Q50" s="1383">
        <f t="shared" si="3"/>
        <v>11800</v>
      </c>
      <c r="R50" s="1383">
        <f t="shared" si="4"/>
        <v>14160</v>
      </c>
      <c r="S50" s="699"/>
      <c r="T50" s="101">
        <f>IF(O50="","",IF('Charts and graphs'!$C$6="Conventional",IF(N50&gt;0,1000*P50/J50,""),IF(VLOOKUP($E50,$Y:$AE,7,FALSE)=0,IF(N50&gt;0,1000*P50/J50,""),VLOOKUP($E50,$Y:$AE,7,FALSE))))</f>
        <v>202.28571428571428</v>
      </c>
      <c r="U50" s="101">
        <f t="shared" si="5"/>
        <v>202.28571428571428</v>
      </c>
      <c r="V50" s="101">
        <f t="shared" si="9"/>
        <v>202.28571428571428</v>
      </c>
      <c r="W50" s="332"/>
      <c r="X50" s="747">
        <v>495</v>
      </c>
      <c r="Y50" s="1" t="s">
        <v>3116</v>
      </c>
      <c r="Z50" s="16">
        <v>10</v>
      </c>
      <c r="AA50" s="1269" t="s">
        <v>3438</v>
      </c>
      <c r="AB50" s="739">
        <v>450</v>
      </c>
      <c r="AC50" s="739">
        <f t="shared" si="31"/>
        <v>495.00000000000006</v>
      </c>
      <c r="AD50" s="746">
        <v>1000</v>
      </c>
      <c r="AE50" s="744">
        <f>1000*AB50/AD50</f>
        <v>450</v>
      </c>
      <c r="AF50" s="744">
        <f t="shared" ref="AF50" si="33">1000*AC50/AD50</f>
        <v>495.00000000000006</v>
      </c>
      <c r="AG50" s="5">
        <f t="shared" si="6"/>
        <v>495</v>
      </c>
      <c r="AH50" s="5">
        <f>IF(AG50="","",VLOOKUP($Y50,Nutrition_tables!$A:$N,10,FALSE))</f>
        <v>13</v>
      </c>
      <c r="AI50" s="5">
        <f t="shared" si="7"/>
        <v>3.8076923076923075</v>
      </c>
    </row>
    <row r="51" spans="1:35" ht="15" customHeight="1">
      <c r="A51" s="699"/>
      <c r="B51" s="1" t="s">
        <v>905</v>
      </c>
      <c r="C51" s="1" t="s">
        <v>3145</v>
      </c>
      <c r="D51" s="332"/>
      <c r="E51" s="678" t="str">
        <f>IF(G51="","",_xlfn.IFNA(VLOOKUP($H51,Ingredient_prices!$B:$C,2,FALSE),""))</f>
        <v>Cheese, hard 35% fat</v>
      </c>
      <c r="F51" s="1199" t="str">
        <f t="shared" si="0"/>
        <v>ПАРТИЈА 2</v>
      </c>
      <c r="G51" s="1391">
        <v>21</v>
      </c>
      <c r="H51" s="1389" t="s">
        <v>2227</v>
      </c>
      <c r="I51" s="1389" t="s">
        <v>2661</v>
      </c>
      <c r="J51" s="1389">
        <v>1000</v>
      </c>
      <c r="K51" s="1392" t="s">
        <v>2328</v>
      </c>
      <c r="L51" s="1389">
        <v>250</v>
      </c>
      <c r="M51" s="699"/>
      <c r="N51" s="1381">
        <v>475</v>
      </c>
      <c r="O51" s="1383">
        <f t="shared" si="24"/>
        <v>20</v>
      </c>
      <c r="P51" s="1382">
        <f t="shared" si="2"/>
        <v>570</v>
      </c>
      <c r="Q51" s="1383">
        <f t="shared" si="3"/>
        <v>118750</v>
      </c>
      <c r="R51" s="1383">
        <f t="shared" si="4"/>
        <v>142500</v>
      </c>
      <c r="S51" s="699"/>
      <c r="T51" s="101">
        <f>IF(O51="","",IF('Charts and graphs'!$C$6="Conventional",IF(N51&gt;0,1000*P51/J51,""),IF(VLOOKUP($E51,$Y:$AE,7,FALSE)=0,IF(N51&gt;0,1000*P51/J51,""),VLOOKUP($E51,$Y:$AE,7,FALSE))))</f>
        <v>570</v>
      </c>
      <c r="U51" s="101">
        <f t="shared" si="5"/>
        <v>570</v>
      </c>
      <c r="V51" s="101">
        <f t="shared" si="9"/>
        <v>570</v>
      </c>
      <c r="W51" s="332"/>
      <c r="Y51" s="1" t="s">
        <v>3137</v>
      </c>
      <c r="Z51" s="16">
        <v>10</v>
      </c>
      <c r="AA51" s="1269" t="s">
        <v>3438</v>
      </c>
      <c r="AG51" s="5">
        <f t="shared" si="6"/>
        <v>149.6</v>
      </c>
      <c r="AH51" s="5">
        <f>IF(AG51="","",VLOOKUP($Y51,Nutrition_tables!$A:$N,10,FALSE))</f>
        <v>20.6</v>
      </c>
      <c r="AI51" s="5">
        <f t="shared" si="7"/>
        <v>0.72621359223300963</v>
      </c>
    </row>
    <row r="52" spans="1:35" ht="15" customHeight="1">
      <c r="A52" s="699"/>
      <c r="B52" s="1135" t="s">
        <v>1289</v>
      </c>
      <c r="C52" s="1" t="s">
        <v>3089</v>
      </c>
      <c r="D52" s="332"/>
      <c r="E52" s="678" t="str">
        <f>IF(G52="","",_xlfn.IFNA(VLOOKUP($H52,Ingredient_prices!$B:$C,2,FALSE),""))</f>
        <v>Fresh cheese</v>
      </c>
      <c r="F52" s="1199" t="str">
        <f t="shared" si="0"/>
        <v>ПАРТИЈА 2</v>
      </c>
      <c r="G52" s="1391">
        <v>22</v>
      </c>
      <c r="H52" s="1389" t="s">
        <v>2293</v>
      </c>
      <c r="I52" s="1389" t="s">
        <v>2452</v>
      </c>
      <c r="J52" s="1389">
        <v>500</v>
      </c>
      <c r="K52" s="1392" t="s">
        <v>2327</v>
      </c>
      <c r="L52" s="1389">
        <v>20</v>
      </c>
      <c r="M52" s="699"/>
      <c r="N52" s="1381">
        <v>195</v>
      </c>
      <c r="O52" s="1383">
        <f t="shared" si="24"/>
        <v>20</v>
      </c>
      <c r="P52" s="1382">
        <f t="shared" si="2"/>
        <v>234</v>
      </c>
      <c r="Q52" s="1383">
        <f t="shared" si="3"/>
        <v>3900</v>
      </c>
      <c r="R52" s="1383">
        <f t="shared" si="4"/>
        <v>4680</v>
      </c>
      <c r="S52" s="699"/>
      <c r="T52" s="101">
        <f>IF(O52="","",IF('Charts and graphs'!$C$6="Conventional",IF(N52&gt;0,1000*P52/J52,""),IF(VLOOKUP($E52,$Y:$AE,7,FALSE)=0,IF(N52&gt;0,1000*P52/J52,""),VLOOKUP($E52,$Y:$AE,7,FALSE))))</f>
        <v>468</v>
      </c>
      <c r="U52" s="101">
        <f t="shared" si="5"/>
        <v>468</v>
      </c>
      <c r="V52" s="101">
        <f t="shared" si="9"/>
        <v>468</v>
      </c>
      <c r="W52" s="332"/>
      <c r="X52" s="747">
        <v>132</v>
      </c>
      <c r="Y52" s="1" t="s">
        <v>3431</v>
      </c>
      <c r="Z52" s="16">
        <v>10</v>
      </c>
      <c r="AA52" s="1269" t="s">
        <v>3438</v>
      </c>
      <c r="AB52" s="739">
        <v>120</v>
      </c>
      <c r="AC52" s="739">
        <f t="shared" si="31"/>
        <v>132</v>
      </c>
      <c r="AD52" s="746">
        <v>1000</v>
      </c>
      <c r="AE52" s="744">
        <f t="shared" ref="AE52:AE54" si="34">1000*AB52/AD52</f>
        <v>120</v>
      </c>
      <c r="AF52" s="744">
        <f t="shared" ref="AF52:AF56" si="35">1000*AC52/AD52</f>
        <v>132</v>
      </c>
      <c r="AG52" s="5">
        <f t="shared" si="6"/>
        <v>49.5</v>
      </c>
      <c r="AH52" s="5" t="e">
        <f>IF(AG52="","",VLOOKUP($Y52,Nutrition_tables!$A:$N,10,FALSE))</f>
        <v>#N/A</v>
      </c>
      <c r="AI52" s="5" t="e">
        <f t="shared" si="7"/>
        <v>#N/A</v>
      </c>
    </row>
    <row r="53" spans="1:35" ht="16">
      <c r="A53" s="699"/>
      <c r="B53" s="1135" t="s">
        <v>1345</v>
      </c>
      <c r="C53" s="1" t="s">
        <v>1767</v>
      </c>
      <c r="D53" s="332"/>
      <c r="E53" s="678" t="str">
        <f>IF(G53="","",_xlfn.IFNA(VLOOKUP($H53,Ingredient_prices!$B:$C,2,FALSE),""))</f>
        <v>Butter, unsalted</v>
      </c>
      <c r="F53" s="1199" t="str">
        <f t="shared" si="0"/>
        <v>ПАРТИЈА 2</v>
      </c>
      <c r="G53" s="1391">
        <v>23</v>
      </c>
      <c r="H53" s="1389" t="s">
        <v>2294</v>
      </c>
      <c r="I53" s="1389" t="s">
        <v>2662</v>
      </c>
      <c r="J53" s="1389">
        <v>250</v>
      </c>
      <c r="K53" s="1392" t="s">
        <v>2327</v>
      </c>
      <c r="L53" s="1389">
        <v>100</v>
      </c>
      <c r="M53" s="699"/>
      <c r="N53" s="1381">
        <v>276</v>
      </c>
      <c r="O53" s="1383">
        <f t="shared" si="24"/>
        <v>20</v>
      </c>
      <c r="P53" s="1382">
        <f t="shared" si="2"/>
        <v>331.2</v>
      </c>
      <c r="Q53" s="1383">
        <f t="shared" si="3"/>
        <v>27600</v>
      </c>
      <c r="R53" s="1383">
        <f t="shared" si="4"/>
        <v>33120</v>
      </c>
      <c r="S53" s="699"/>
      <c r="T53" s="101">
        <f>IF(O53="","",IF('Charts and graphs'!$C$6="Conventional",IF(N53&gt;0,1000*P53/J53,""),IF(VLOOKUP($E53,$Y:$AE,7,FALSE)=0,IF(N53&gt;0,1000*P53/J53,""),VLOOKUP($E53,$Y:$AE,7,FALSE))))</f>
        <v>1324.8</v>
      </c>
      <c r="U53" s="101">
        <f t="shared" si="5"/>
        <v>1324.8</v>
      </c>
      <c r="V53" s="101">
        <f t="shared" si="9"/>
        <v>1324.8</v>
      </c>
      <c r="W53" s="332"/>
      <c r="X53" s="747">
        <v>440.00000000000006</v>
      </c>
      <c r="Y53" s="1" t="s">
        <v>3138</v>
      </c>
      <c r="Z53" s="16">
        <v>10</v>
      </c>
      <c r="AA53" s="1269" t="s">
        <v>3438</v>
      </c>
      <c r="AB53" s="742">
        <v>100</v>
      </c>
      <c r="AC53" s="739">
        <f t="shared" si="31"/>
        <v>110.00000000000001</v>
      </c>
      <c r="AD53" s="745">
        <v>250</v>
      </c>
      <c r="AE53" s="744">
        <f t="shared" si="34"/>
        <v>400</v>
      </c>
      <c r="AF53" s="744">
        <f t="shared" si="35"/>
        <v>440.00000000000006</v>
      </c>
      <c r="AG53" s="5">
        <f t="shared" si="6"/>
        <v>201.66666666666666</v>
      </c>
      <c r="AH53" s="5">
        <f>IF(AG53="","",VLOOKUP($Y53,Nutrition_tables!$A:$N,10,FALSE))</f>
        <v>39.454545454545453</v>
      </c>
      <c r="AI53" s="5">
        <f t="shared" si="7"/>
        <v>0.51113671274961603</v>
      </c>
    </row>
    <row r="54" spans="1:35" ht="16">
      <c r="A54" s="699"/>
      <c r="B54" s="1135" t="s">
        <v>1292</v>
      </c>
      <c r="C54" s="377" t="s">
        <v>3096</v>
      </c>
      <c r="D54" s="332"/>
      <c r="E54" s="678" t="str">
        <f>IF(G54="","",_xlfn.IFNA(VLOOKUP($H54,Ingredient_prices!$B:$C,2,FALSE),""))</f>
        <v>Chicken drumstick with skin</v>
      </c>
      <c r="F54" s="1199" t="str">
        <f t="shared" si="0"/>
        <v>ПАРТИЈА 2</v>
      </c>
      <c r="G54" s="1391">
        <v>24</v>
      </c>
      <c r="H54" s="1389" t="s">
        <v>840</v>
      </c>
      <c r="I54" s="1389" t="s">
        <v>2663</v>
      </c>
      <c r="J54" s="1389">
        <v>1000</v>
      </c>
      <c r="K54" s="1392" t="s">
        <v>2328</v>
      </c>
      <c r="L54" s="1389">
        <v>350</v>
      </c>
      <c r="M54" s="699"/>
      <c r="N54" s="1381">
        <v>210</v>
      </c>
      <c r="O54" s="1383">
        <f t="shared" si="24"/>
        <v>10</v>
      </c>
      <c r="P54" s="1382">
        <f t="shared" si="2"/>
        <v>231</v>
      </c>
      <c r="Q54" s="1383">
        <f t="shared" si="3"/>
        <v>73500</v>
      </c>
      <c r="R54" s="1383">
        <f t="shared" si="4"/>
        <v>80850</v>
      </c>
      <c r="S54" s="699"/>
      <c r="T54" s="101">
        <f>IF(O54="","",IF('Charts and graphs'!$C$6="Conventional",IF(N54&gt;0,1000*P54/J54,""),IF(VLOOKUP($E54,$Y:$AE,7,FALSE)=0,IF(N54&gt;0,1000*P54/J54,""),VLOOKUP($E54,$Y:$AE,7,FALSE))))</f>
        <v>231</v>
      </c>
      <c r="U54" s="101">
        <f t="shared" si="5"/>
        <v>231</v>
      </c>
      <c r="V54" s="101">
        <f t="shared" si="9"/>
        <v>231</v>
      </c>
      <c r="W54" s="332"/>
      <c r="X54" s="747">
        <v>137.50000000000003</v>
      </c>
      <c r="Y54" s="1" t="s">
        <v>415</v>
      </c>
      <c r="Z54" s="16">
        <v>10</v>
      </c>
      <c r="AA54" s="1269" t="s">
        <v>3438</v>
      </c>
      <c r="AB54" s="742">
        <v>50</v>
      </c>
      <c r="AC54" s="739">
        <f t="shared" si="31"/>
        <v>55.000000000000007</v>
      </c>
      <c r="AD54" s="745">
        <v>400</v>
      </c>
      <c r="AE54" s="744">
        <f t="shared" si="34"/>
        <v>125</v>
      </c>
      <c r="AF54" s="744">
        <f t="shared" si="35"/>
        <v>137.50000000000003</v>
      </c>
      <c r="AG54" s="5">
        <f t="shared" si="6"/>
        <v>99</v>
      </c>
      <c r="AH54" s="5">
        <f>IF(AG54="","",VLOOKUP($Y54,Nutrition_tables!$A:$N,10,FALSE))</f>
        <v>11</v>
      </c>
      <c r="AI54" s="5">
        <f t="shared" si="7"/>
        <v>0.9</v>
      </c>
    </row>
    <row r="55" spans="1:35" ht="16">
      <c r="A55" s="699"/>
      <c r="B55" s="1135" t="s">
        <v>1490</v>
      </c>
      <c r="C55" s="1" t="s">
        <v>3112</v>
      </c>
      <c r="D55" s="332"/>
      <c r="E55" s="678" t="str">
        <f>IF(G55="","",_xlfn.IFNA(VLOOKUP($H55,Ingredient_prices!$B:$C,2,FALSE),""))</f>
        <v>Chicken (whole), average</v>
      </c>
      <c r="F55" s="1199" t="str">
        <f t="shared" si="0"/>
        <v>ПАРТИЈА 2</v>
      </c>
      <c r="G55" s="1391">
        <v>25</v>
      </c>
      <c r="H55" s="1389" t="s">
        <v>841</v>
      </c>
      <c r="I55" s="1389" t="s">
        <v>2664</v>
      </c>
      <c r="J55" s="1389">
        <v>1000</v>
      </c>
      <c r="K55" s="1392" t="s">
        <v>2328</v>
      </c>
      <c r="L55" s="1389">
        <v>70</v>
      </c>
      <c r="M55" s="699"/>
      <c r="N55" s="1381">
        <v>205</v>
      </c>
      <c r="O55" s="1383">
        <f t="shared" si="24"/>
        <v>10</v>
      </c>
      <c r="P55" s="1382">
        <f t="shared" si="2"/>
        <v>225.5</v>
      </c>
      <c r="Q55" s="1383">
        <f t="shared" si="3"/>
        <v>14350</v>
      </c>
      <c r="R55" s="1383">
        <f t="shared" si="4"/>
        <v>15785</v>
      </c>
      <c r="S55" s="699"/>
      <c r="T55" s="101">
        <f>IF(O55="","",IF('Charts and graphs'!$C$6="Conventional",IF(N55&gt;0,1000*P55/J55,""),IF(VLOOKUP($E55,$Y:$AE,7,FALSE)=0,IF(N55&gt;0,1000*P55/J55,""),VLOOKUP($E55,$Y:$AE,7,FALSE))))</f>
        <v>225.5</v>
      </c>
      <c r="U55" s="101">
        <f t="shared" si="5"/>
        <v>225.5</v>
      </c>
      <c r="V55" s="101">
        <f t="shared" si="9"/>
        <v>225.5</v>
      </c>
      <c r="W55" s="332"/>
      <c r="Y55" s="1" t="s">
        <v>3118</v>
      </c>
      <c r="Z55" s="16">
        <v>10</v>
      </c>
      <c r="AA55" s="1269" t="s">
        <v>3438</v>
      </c>
      <c r="AG55" s="5" t="str">
        <f t="shared" si="6"/>
        <v/>
      </c>
      <c r="AH55" s="5" t="str">
        <f>IF(AG55="","",VLOOKUP($Y55,Nutrition_tables!$A:$N,10,FALSE))</f>
        <v/>
      </c>
      <c r="AI55" s="5" t="str">
        <f t="shared" si="7"/>
        <v/>
      </c>
    </row>
    <row r="56" spans="1:35" ht="16">
      <c r="A56" s="699"/>
      <c r="B56" s="1" t="s">
        <v>818</v>
      </c>
      <c r="C56" s="1" t="s">
        <v>3104</v>
      </c>
      <c r="D56" s="332"/>
      <c r="E56" s="678" t="str">
        <f>IF(G56="","",_xlfn.IFNA(VLOOKUP($H56,Ingredient_prices!$B:$C,2,FALSE),""))</f>
        <v>Chicken breast</v>
      </c>
      <c r="F56" s="1199" t="str">
        <f t="shared" si="0"/>
        <v>ПАРТИЈА 2</v>
      </c>
      <c r="G56" s="1389">
        <v>26</v>
      </c>
      <c r="H56" s="1389" t="s">
        <v>842</v>
      </c>
      <c r="I56" s="1389" t="s">
        <v>2665</v>
      </c>
      <c r="J56" s="1389">
        <v>1000</v>
      </c>
      <c r="K56" s="1392" t="s">
        <v>2328</v>
      </c>
      <c r="L56" s="1389">
        <v>150</v>
      </c>
      <c r="M56" s="699"/>
      <c r="N56" s="1381">
        <v>400</v>
      </c>
      <c r="O56" s="1383">
        <f t="shared" si="24"/>
        <v>10</v>
      </c>
      <c r="P56" s="1382">
        <f t="shared" si="2"/>
        <v>440</v>
      </c>
      <c r="Q56" s="1383">
        <f t="shared" si="3"/>
        <v>60000</v>
      </c>
      <c r="R56" s="1383">
        <f t="shared" si="4"/>
        <v>66000</v>
      </c>
      <c r="S56" s="699"/>
      <c r="T56" s="101">
        <f>IF(O56="","",IF('Charts and graphs'!$C$6="Conventional",IF(N56&gt;0,1000*P56/J56,""),IF(VLOOKUP($E56,$Y:$AE,7,FALSE)=0,IF(N56&gt;0,1000*P56/J56,""),VLOOKUP($E56,$Y:$AE,7,FALSE))))</f>
        <v>440</v>
      </c>
      <c r="U56" s="101">
        <f t="shared" si="5"/>
        <v>440</v>
      </c>
      <c r="V56" s="101">
        <f t="shared" si="9"/>
        <v>440</v>
      </c>
      <c r="W56" s="332"/>
      <c r="X56" s="747">
        <v>293.33333333333331</v>
      </c>
      <c r="Y56" s="24" t="s">
        <v>3139</v>
      </c>
      <c r="Z56" s="702">
        <v>10</v>
      </c>
      <c r="AA56" s="1270" t="s">
        <v>3438</v>
      </c>
      <c r="AB56" s="739">
        <v>60</v>
      </c>
      <c r="AC56" s="739">
        <f t="shared" si="31"/>
        <v>66</v>
      </c>
      <c r="AD56" s="738">
        <v>225</v>
      </c>
      <c r="AE56" s="744">
        <f>1000*AB56/AD56</f>
        <v>266.66666666666669</v>
      </c>
      <c r="AF56" s="744">
        <f t="shared" si="35"/>
        <v>293.33333333333331</v>
      </c>
      <c r="AG56" s="5" t="str">
        <f t="shared" si="6"/>
        <v/>
      </c>
      <c r="AH56" s="5" t="str">
        <f>IF(AG56="","",VLOOKUP($Y56,Nutrition_tables!$A:$N,10,FALSE))</f>
        <v/>
      </c>
      <c r="AI56" s="5" t="str">
        <f t="shared" si="7"/>
        <v/>
      </c>
    </row>
    <row r="57" spans="1:35" ht="16">
      <c r="A57" s="699"/>
      <c r="B57" s="1" t="s">
        <v>2849</v>
      </c>
      <c r="C57" s="1" t="s">
        <v>3104</v>
      </c>
      <c r="D57" s="332"/>
      <c r="E57" s="678" t="str">
        <f>IF(G57="","",_xlfn.IFNA(VLOOKUP($H57,Ingredient_prices!$B:$C,2,FALSE),""))</f>
        <v>Turkey breast</v>
      </c>
      <c r="F57" s="1199" t="str">
        <f t="shared" si="0"/>
        <v>ПАРТИЈА 2</v>
      </c>
      <c r="G57" s="1389">
        <v>27</v>
      </c>
      <c r="H57" s="1389" t="s">
        <v>2295</v>
      </c>
      <c r="I57" s="1389" t="s">
        <v>2665</v>
      </c>
      <c r="J57" s="1389">
        <v>1000</v>
      </c>
      <c r="K57" s="1392" t="s">
        <v>2328</v>
      </c>
      <c r="L57" s="1389">
        <v>50</v>
      </c>
      <c r="M57" s="699"/>
      <c r="N57" s="1381">
        <v>900</v>
      </c>
      <c r="O57" s="1383">
        <f t="shared" si="24"/>
        <v>10</v>
      </c>
      <c r="P57" s="1382">
        <f t="shared" si="2"/>
        <v>990</v>
      </c>
      <c r="Q57" s="1383">
        <f t="shared" si="3"/>
        <v>45000</v>
      </c>
      <c r="R57" s="1383">
        <f t="shared" si="4"/>
        <v>49500</v>
      </c>
      <c r="S57" s="699"/>
      <c r="T57" s="101">
        <f>IF(O57="","",IF('Charts and graphs'!$C$6="Conventional",IF(N57&gt;0,1000*P57/J57,""),IF(VLOOKUP($E57,$Y:$AE,7,FALSE)=0,IF(N57&gt;0,1000*P57/J57,""),VLOOKUP($E57,$Y:$AE,7,FALSE))))</f>
        <v>990</v>
      </c>
      <c r="U57" s="101">
        <f t="shared" si="5"/>
        <v>990</v>
      </c>
      <c r="V57" s="101">
        <f t="shared" si="9"/>
        <v>990</v>
      </c>
      <c r="W57" s="332"/>
      <c r="Y57" s="1" t="s">
        <v>3089</v>
      </c>
      <c r="Z57" s="1">
        <v>20</v>
      </c>
      <c r="AA57" s="749" t="s">
        <v>2377</v>
      </c>
      <c r="AG57" s="5">
        <f t="shared" si="6"/>
        <v>75.428571428571431</v>
      </c>
      <c r="AH57" s="5">
        <f>IF(AG57="","",VLOOKUP($Y57,Nutrition_tables!$A:$N,10,FALSE))</f>
        <v>43.4</v>
      </c>
      <c r="AI57" s="5">
        <f t="shared" si="7"/>
        <v>0.17379855167873601</v>
      </c>
    </row>
    <row r="58" spans="1:35" ht="16">
      <c r="A58" s="699"/>
      <c r="B58" s="1" t="s">
        <v>2119</v>
      </c>
      <c r="C58" s="1" t="s">
        <v>3145</v>
      </c>
      <c r="D58" s="332"/>
      <c r="E58" s="678" t="str">
        <f>IF(G58="","",_xlfn.IFNA(VLOOKUP($H58,Ingredient_prices!$B:$C,2,FALSE),""))</f>
        <v>Beef minced</v>
      </c>
      <c r="F58" s="1199" t="str">
        <f t="shared" si="0"/>
        <v>ПАРТИЈА 2</v>
      </c>
      <c r="G58" s="1389">
        <v>28</v>
      </c>
      <c r="H58" s="1389" t="s">
        <v>2296</v>
      </c>
      <c r="I58" s="1389" t="s">
        <v>2663</v>
      </c>
      <c r="J58" s="1389">
        <v>1000</v>
      </c>
      <c r="K58" s="1392" t="s">
        <v>2328</v>
      </c>
      <c r="L58" s="1389">
        <v>150</v>
      </c>
      <c r="M58" s="699"/>
      <c r="N58" s="1381">
        <v>635</v>
      </c>
      <c r="O58" s="1383">
        <f t="shared" si="24"/>
        <v>10</v>
      </c>
      <c r="P58" s="1382">
        <f t="shared" si="2"/>
        <v>698.5</v>
      </c>
      <c r="Q58" s="1383">
        <f t="shared" si="3"/>
        <v>95250</v>
      </c>
      <c r="R58" s="1383">
        <f t="shared" si="4"/>
        <v>104775</v>
      </c>
      <c r="S58" s="699"/>
      <c r="T58" s="101">
        <f>IF(O58="","",IF('Charts and graphs'!$C$6="Conventional",IF(N58&gt;0,1000*P58/J58,""),IF(VLOOKUP($E58,$Y:$AE,7,FALSE)=0,IF(N58&gt;0,1000*P58/J58,""),VLOOKUP($E58,$Y:$AE,7,FALSE))))</f>
        <v>698.5</v>
      </c>
      <c r="U58" s="101">
        <f t="shared" si="5"/>
        <v>698.5</v>
      </c>
      <c r="V58" s="101">
        <f t="shared" si="9"/>
        <v>698.5</v>
      </c>
      <c r="W58" s="332"/>
      <c r="Y58" s="1" t="s">
        <v>3091</v>
      </c>
      <c r="Z58" s="1">
        <v>20</v>
      </c>
      <c r="AA58" s="749" t="s">
        <v>2377</v>
      </c>
      <c r="AG58" s="5" t="str">
        <f t="shared" si="6"/>
        <v/>
      </c>
      <c r="AH58" s="5" t="str">
        <f>IF(AG58="","",VLOOKUP($Y58,Nutrition_tables!$A:$N,10,FALSE))</f>
        <v/>
      </c>
      <c r="AI58" s="5" t="str">
        <f t="shared" si="7"/>
        <v/>
      </c>
    </row>
    <row r="59" spans="1:35" ht="16">
      <c r="A59" s="699"/>
      <c r="B59" s="1" t="s">
        <v>2268</v>
      </c>
      <c r="C59" s="1" t="s">
        <v>3104</v>
      </c>
      <c r="D59" s="332"/>
      <c r="E59" s="678" t="str">
        <f>IF(G59="","",_xlfn.IFNA(VLOOKUP($H59,Ingredient_prices!$B:$C,2,FALSE),""))</f>
        <v>Beef rump/silverside</v>
      </c>
      <c r="F59" s="1199" t="str">
        <f t="shared" si="0"/>
        <v>ПАРТИЈА 2</v>
      </c>
      <c r="G59" s="1389">
        <v>29</v>
      </c>
      <c r="H59" s="1389" t="s">
        <v>844</v>
      </c>
      <c r="I59" s="1389" t="s">
        <v>2666</v>
      </c>
      <c r="J59" s="1389">
        <v>1000</v>
      </c>
      <c r="K59" s="1392" t="s">
        <v>2328</v>
      </c>
      <c r="L59" s="1389">
        <v>200</v>
      </c>
      <c r="M59" s="699"/>
      <c r="N59" s="1381">
        <v>635</v>
      </c>
      <c r="O59" s="1383">
        <f t="shared" si="24"/>
        <v>10</v>
      </c>
      <c r="P59" s="1382">
        <f t="shared" si="2"/>
        <v>698.5</v>
      </c>
      <c r="Q59" s="1383">
        <f t="shared" si="3"/>
        <v>127000</v>
      </c>
      <c r="R59" s="1383">
        <f t="shared" si="4"/>
        <v>139700</v>
      </c>
      <c r="S59" s="699"/>
      <c r="T59" s="101">
        <f>IF(O59="","",IF('Charts and graphs'!$C$6="Conventional",IF(N59&gt;0,1000*P59/J59,""),IF(VLOOKUP($E59,$Y:$AE,7,FALSE)=0,IF(N59&gt;0,1000*P59/J59,""),VLOOKUP($E59,$Y:$AE,7,FALSE))))</f>
        <v>698.5</v>
      </c>
      <c r="U59" s="101">
        <f t="shared" si="5"/>
        <v>698.5</v>
      </c>
      <c r="V59" s="101">
        <f t="shared" si="9"/>
        <v>698.5</v>
      </c>
      <c r="W59" s="332"/>
      <c r="Y59" s="1" t="s">
        <v>3092</v>
      </c>
      <c r="Z59" s="1">
        <v>20</v>
      </c>
      <c r="AA59" s="749" t="s">
        <v>2377</v>
      </c>
      <c r="AG59" s="5">
        <f t="shared" si="6"/>
        <v>144</v>
      </c>
      <c r="AH59" s="5">
        <f>IF(AG59="","",VLOOKUP($Y59,Nutrition_tables!$A:$N,10,FALSE))</f>
        <v>17</v>
      </c>
      <c r="AI59" s="5">
        <f t="shared" si="7"/>
        <v>0.84705882352941175</v>
      </c>
    </row>
    <row r="60" spans="1:35" ht="16">
      <c r="A60" s="699"/>
      <c r="B60" s="1" t="s">
        <v>2120</v>
      </c>
      <c r="C60" s="1" t="s">
        <v>3104</v>
      </c>
      <c r="D60" s="332"/>
      <c r="E60" s="678" t="str">
        <f>IF(G60="","",_xlfn.IFNA(VLOOKUP($H60,Ingredient_prices!$B:$C,2,FALSE),""))</f>
        <v>Pork leg (steak)</v>
      </c>
      <c r="F60" s="1293" t="str">
        <f t="shared" si="0"/>
        <v>ПАРТИЈА 2</v>
      </c>
      <c r="G60" s="1389">
        <v>30</v>
      </c>
      <c r="H60" s="1389" t="s">
        <v>845</v>
      </c>
      <c r="I60" s="1389" t="s">
        <v>2666</v>
      </c>
      <c r="J60" s="1389">
        <v>1000</v>
      </c>
      <c r="K60" s="1392" t="s">
        <v>2328</v>
      </c>
      <c r="L60" s="1389">
        <v>120</v>
      </c>
      <c r="M60" s="699"/>
      <c r="N60" s="1381">
        <v>394</v>
      </c>
      <c r="O60" s="1383">
        <f t="shared" si="24"/>
        <v>10</v>
      </c>
      <c r="P60" s="1382">
        <f t="shared" si="2"/>
        <v>433.4</v>
      </c>
      <c r="Q60" s="1383">
        <f t="shared" si="3"/>
        <v>47280</v>
      </c>
      <c r="R60" s="1383">
        <f t="shared" si="4"/>
        <v>52008</v>
      </c>
      <c r="S60" s="699"/>
      <c r="T60" s="101">
        <f>IF(O60="","",IF('Charts and graphs'!$C$6="Conventional",IF(N60&gt;0,1000*P60/J60,""),IF(VLOOKUP($E60,$Y:$AE,7,FALSE)=0,IF(N60&gt;0,1000*P60/J60,""),VLOOKUP($E60,$Y:$AE,7,FALSE))))</f>
        <v>433.4</v>
      </c>
      <c r="U60" s="101">
        <f t="shared" si="5"/>
        <v>433.4</v>
      </c>
      <c r="V60" s="101">
        <f t="shared" si="9"/>
        <v>433.4</v>
      </c>
      <c r="W60" s="332"/>
      <c r="Y60" s="1" t="s">
        <v>3145</v>
      </c>
      <c r="Z60" s="1">
        <v>20</v>
      </c>
      <c r="AA60" s="749" t="s">
        <v>2377</v>
      </c>
      <c r="AD60" s="1"/>
      <c r="AE60" s="1"/>
      <c r="AG60" s="5">
        <f t="shared" si="6"/>
        <v>72.3</v>
      </c>
      <c r="AH60" s="5">
        <f>IF(AG60="","",VLOOKUP($Y60,Nutrition_tables!$A:$N,10,FALSE))</f>
        <v>11</v>
      </c>
      <c r="AI60" s="5">
        <f t="shared" si="7"/>
        <v>0.65727272727272723</v>
      </c>
    </row>
    <row r="61" spans="1:35" ht="16">
      <c r="A61" s="699"/>
      <c r="B61" s="1" t="s">
        <v>2237</v>
      </c>
      <c r="C61" s="1" t="s">
        <v>3145</v>
      </c>
      <c r="D61" s="332"/>
      <c r="E61" s="678" t="str">
        <f>IF(G61="","",_xlfn.IFNA(VLOOKUP($H61,Ingredient_prices!$B:$C,2,FALSE),""))</f>
        <v>Pork ribs dry (smoked)</v>
      </c>
      <c r="F61" s="1199" t="str">
        <f t="shared" si="0"/>
        <v>ПАРТИЈА 2</v>
      </c>
      <c r="G61" s="1389">
        <v>31</v>
      </c>
      <c r="H61" s="1389" t="s">
        <v>2297</v>
      </c>
      <c r="I61" s="1389" t="s">
        <v>2667</v>
      </c>
      <c r="J61" s="1389">
        <v>1000</v>
      </c>
      <c r="K61" s="1392" t="s">
        <v>2328</v>
      </c>
      <c r="L61" s="1389">
        <v>40</v>
      </c>
      <c r="M61" s="699"/>
      <c r="N61" s="1381">
        <v>310</v>
      </c>
      <c r="O61" s="1383">
        <f t="shared" si="24"/>
        <v>20</v>
      </c>
      <c r="P61" s="1382">
        <f t="shared" si="2"/>
        <v>372</v>
      </c>
      <c r="Q61" s="1383">
        <f t="shared" si="3"/>
        <v>12400</v>
      </c>
      <c r="R61" s="1383">
        <f t="shared" si="4"/>
        <v>14880</v>
      </c>
      <c r="S61" s="699"/>
      <c r="T61" s="101">
        <f>IF(O61="","",IF('Charts and graphs'!$C$6="Conventional",IF(N61&gt;0,1000*P61/J61,""),IF(VLOOKUP($E61,$Y:$AE,7,FALSE)=0,IF(N61&gt;0,1000*P61/J61,""),VLOOKUP($E61,$Y:$AE,7,FALSE))))</f>
        <v>372</v>
      </c>
      <c r="U61" s="101">
        <f t="shared" si="5"/>
        <v>372</v>
      </c>
      <c r="V61" s="101">
        <f t="shared" si="9"/>
        <v>372</v>
      </c>
      <c r="W61" s="332"/>
      <c r="Y61" s="1" t="s">
        <v>3426</v>
      </c>
      <c r="Z61" s="1">
        <v>20</v>
      </c>
      <c r="AA61" s="749" t="s">
        <v>2377</v>
      </c>
      <c r="AD61" s="1"/>
      <c r="AE61" s="1"/>
      <c r="AG61" s="5">
        <f t="shared" si="6"/>
        <v>666.7</v>
      </c>
      <c r="AH61" s="5">
        <f>IF(AG61="","",VLOOKUP($Y61,Nutrition_tables!$A:$N,10,FALSE))</f>
        <v>337</v>
      </c>
      <c r="AI61" s="5">
        <f t="shared" si="7"/>
        <v>0.19783382789317508</v>
      </c>
    </row>
    <row r="62" spans="1:35" ht="16">
      <c r="A62" s="699"/>
      <c r="B62" s="1" t="s">
        <v>1728</v>
      </c>
      <c r="C62" s="1" t="s">
        <v>3145</v>
      </c>
      <c r="D62" s="333"/>
      <c r="E62" s="678" t="str">
        <f>IF(G62="","",_xlfn.IFNA(VLOOKUP($H62,Ingredient_prices!$B:$C,2,FALSE),""))</f>
        <v>Bacon (hambushka)</v>
      </c>
      <c r="F62" s="1199" t="str">
        <f t="shared" si="0"/>
        <v>ПАРТИЈА 2</v>
      </c>
      <c r="G62" s="1389">
        <v>32</v>
      </c>
      <c r="H62" s="1389" t="s">
        <v>1255</v>
      </c>
      <c r="I62" s="1389" t="s">
        <v>2667</v>
      </c>
      <c r="J62" s="1389">
        <v>1000</v>
      </c>
      <c r="K62" s="1392" t="s">
        <v>2328</v>
      </c>
      <c r="L62" s="1389">
        <v>80</v>
      </c>
      <c r="M62" s="699"/>
      <c r="N62" s="1381">
        <v>460</v>
      </c>
      <c r="O62" s="1383">
        <f t="shared" si="24"/>
        <v>20</v>
      </c>
      <c r="P62" s="1382">
        <f t="shared" si="2"/>
        <v>552</v>
      </c>
      <c r="Q62" s="1383">
        <f t="shared" si="3"/>
        <v>36800</v>
      </c>
      <c r="R62" s="1383">
        <f t="shared" si="4"/>
        <v>44160</v>
      </c>
      <c r="S62" s="699"/>
      <c r="T62" s="101">
        <f>IF(O62="","",IF('Charts and graphs'!$C$6="Conventional",IF(N62&gt;0,1000*P62/J62,""),IF(VLOOKUP($E62,$Y:$AE,7,FALSE)=0,IF(N62&gt;0,1000*P62/J62,""),VLOOKUP($E62,$Y:$AE,7,FALSE))))</f>
        <v>552</v>
      </c>
      <c r="U62" s="101">
        <f t="shared" si="5"/>
        <v>552</v>
      </c>
      <c r="V62" s="101">
        <f t="shared" si="9"/>
        <v>552</v>
      </c>
      <c r="W62" s="332"/>
      <c r="Y62" s="1" t="s">
        <v>1764</v>
      </c>
      <c r="Z62" s="1">
        <v>20</v>
      </c>
      <c r="AA62" s="749" t="s">
        <v>2377</v>
      </c>
      <c r="AG62" s="5" t="str">
        <f t="shared" si="6"/>
        <v/>
      </c>
      <c r="AH62" s="5" t="str">
        <f>IF(AG62="","",VLOOKUP($Y62,Nutrition_tables!$A:$N,10,FALSE))</f>
        <v/>
      </c>
      <c r="AI62" s="5" t="str">
        <f t="shared" si="7"/>
        <v/>
      </c>
    </row>
    <row r="63" spans="1:35" ht="16">
      <c r="A63" s="699"/>
      <c r="B63" s="1" t="s">
        <v>1541</v>
      </c>
      <c r="C63" s="1" t="s">
        <v>3104</v>
      </c>
      <c r="D63" s="332"/>
      <c r="E63" s="678" t="str">
        <f>IF(G63="","",_xlfn.IFNA(VLOOKUP($H63,Ingredient_prices!$B:$C,2,FALSE),""))</f>
        <v>Pork neck, dried meat</v>
      </c>
      <c r="F63" s="1199" t="str">
        <f t="shared" si="0"/>
        <v>ПАРТИЈА 2</v>
      </c>
      <c r="G63" s="1389">
        <v>33</v>
      </c>
      <c r="H63" s="1389" t="s">
        <v>2298</v>
      </c>
      <c r="I63" s="1389" t="s">
        <v>2667</v>
      </c>
      <c r="J63" s="1389">
        <v>1000</v>
      </c>
      <c r="K63" s="1392" t="s">
        <v>2328</v>
      </c>
      <c r="L63" s="1389">
        <v>50</v>
      </c>
      <c r="M63" s="699"/>
      <c r="N63" s="1381">
        <v>310</v>
      </c>
      <c r="O63" s="1383">
        <f t="shared" si="24"/>
        <v>20</v>
      </c>
      <c r="P63" s="1382">
        <f t="shared" si="2"/>
        <v>372</v>
      </c>
      <c r="Q63" s="1383">
        <f t="shared" si="3"/>
        <v>15500</v>
      </c>
      <c r="R63" s="1383">
        <f t="shared" si="4"/>
        <v>18600</v>
      </c>
      <c r="S63" s="699"/>
      <c r="T63" s="101">
        <f>IF(O63="","",IF('Charts and graphs'!$C$6="Conventional",IF(N63&gt;0,1000*P63/J63,""),IF(VLOOKUP($E63,$Y:$AE,7,FALSE)=0,IF(N63&gt;0,1000*P63/J63,""),VLOOKUP($E63,$Y:$AE,7,FALSE))))</f>
        <v>372</v>
      </c>
      <c r="U63" s="101">
        <f t="shared" si="5"/>
        <v>372</v>
      </c>
      <c r="V63" s="101">
        <f t="shared" si="9"/>
        <v>372</v>
      </c>
      <c r="W63" s="332"/>
      <c r="Y63" s="1" t="s">
        <v>3442</v>
      </c>
      <c r="Z63" s="1">
        <v>20</v>
      </c>
      <c r="AA63" s="749" t="s">
        <v>2377</v>
      </c>
      <c r="AG63" s="5" t="str">
        <f t="shared" si="6"/>
        <v/>
      </c>
      <c r="AH63" s="5" t="str">
        <f>IF(AG63="","",VLOOKUP($Y63,Nutrition_tables!$A:$N,10,FALSE))</f>
        <v/>
      </c>
      <c r="AI63" s="5" t="str">
        <f t="shared" si="7"/>
        <v/>
      </c>
    </row>
    <row r="64" spans="1:35" ht="16">
      <c r="A64" s="699"/>
      <c r="B64" s="1" t="s">
        <v>1457</v>
      </c>
      <c r="C64" s="1" t="s">
        <v>3104</v>
      </c>
      <c r="D64" s="332"/>
      <c r="E64" s="678" t="str">
        <f>IF(G64="","",_xlfn.IFNA(VLOOKUP($H64,Ingredient_prices!$B:$C,2,FALSE),""))</f>
        <v>Ham smoked, dried</v>
      </c>
      <c r="F64" s="1199" t="str">
        <f t="shared" si="0"/>
        <v>ПАРТИЈА 2</v>
      </c>
      <c r="G64" s="1389">
        <v>34</v>
      </c>
      <c r="H64" s="1389" t="s">
        <v>2230</v>
      </c>
      <c r="I64" s="1389" t="s">
        <v>2667</v>
      </c>
      <c r="J64" s="1389">
        <v>1000</v>
      </c>
      <c r="K64" s="1392" t="s">
        <v>2328</v>
      </c>
      <c r="L64" s="1389">
        <v>50</v>
      </c>
      <c r="M64" s="699"/>
      <c r="N64" s="1381">
        <v>747</v>
      </c>
      <c r="O64" s="1383">
        <f t="shared" si="24"/>
        <v>20</v>
      </c>
      <c r="P64" s="1382">
        <f t="shared" si="2"/>
        <v>896.4</v>
      </c>
      <c r="Q64" s="1383">
        <f t="shared" si="3"/>
        <v>37350</v>
      </c>
      <c r="R64" s="1383">
        <f t="shared" si="4"/>
        <v>44820</v>
      </c>
      <c r="S64" s="699"/>
      <c r="T64" s="101">
        <f>IF(O64="","",IF('Charts and graphs'!$C$6="Conventional",IF(N64&gt;0,1000*P64/J64,""),IF(VLOOKUP($E64,$Y:$AE,7,FALSE)=0,IF(N64&gt;0,1000*P64/J64,""),VLOOKUP($E64,$Y:$AE,7,FALSE))))</f>
        <v>896.4</v>
      </c>
      <c r="U64" s="101">
        <f t="shared" si="5"/>
        <v>896.4</v>
      </c>
      <c r="V64" s="101">
        <f t="shared" si="9"/>
        <v>896.4</v>
      </c>
      <c r="W64" s="332"/>
      <c r="Y64" s="1" t="s">
        <v>3090</v>
      </c>
      <c r="Z64" s="1">
        <v>20</v>
      </c>
      <c r="AA64" s="749" t="s">
        <v>2377</v>
      </c>
      <c r="AG64" s="5" t="str">
        <f t="shared" si="6"/>
        <v/>
      </c>
      <c r="AH64" s="5" t="str">
        <f>IF(AG64="","",VLOOKUP($Y64,Nutrition_tables!$A:$N,10,FALSE))</f>
        <v/>
      </c>
      <c r="AI64" s="5" t="str">
        <f t="shared" si="7"/>
        <v/>
      </c>
    </row>
    <row r="65" spans="1:38" ht="16">
      <c r="A65" s="699"/>
      <c r="B65" s="1" t="s">
        <v>917</v>
      </c>
      <c r="C65" s="1" t="s">
        <v>3145</v>
      </c>
      <c r="D65" s="332"/>
      <c r="E65" s="678" t="str">
        <f>IF(G65="","",_xlfn.IFNA(VLOOKUP($H65,Ingredient_prices!$B:$C,2,FALSE),""))</f>
        <v>Hot dog sausage (chicken)</v>
      </c>
      <c r="F65" s="1199" t="str">
        <f t="shared" si="0"/>
        <v>ПАРТИЈА 2</v>
      </c>
      <c r="G65" s="1389">
        <v>35</v>
      </c>
      <c r="H65" s="1393" t="s">
        <v>846</v>
      </c>
      <c r="I65" s="1393" t="s">
        <v>2668</v>
      </c>
      <c r="J65" s="1393">
        <v>500</v>
      </c>
      <c r="K65" s="1392" t="s">
        <v>2327</v>
      </c>
      <c r="L65" s="1389">
        <v>500</v>
      </c>
      <c r="M65" s="699"/>
      <c r="N65" s="1381">
        <v>295</v>
      </c>
      <c r="O65" s="1383">
        <f t="shared" si="24"/>
        <v>20</v>
      </c>
      <c r="P65" s="1382">
        <f t="shared" si="2"/>
        <v>354</v>
      </c>
      <c r="Q65" s="1383">
        <f t="shared" si="3"/>
        <v>147500</v>
      </c>
      <c r="R65" s="1383">
        <f t="shared" si="4"/>
        <v>177000</v>
      </c>
      <c r="S65" s="699"/>
      <c r="T65" s="101">
        <f>IF(O65="","",IF('Charts and graphs'!$C$6="Conventional",IF(N65&gt;0,1000*P65/J65,""),IF(VLOOKUP($E65,$Y:$AE,7,FALSE)=0,IF(N65&gt;0,1000*P65/J65,""),VLOOKUP($E65,$Y:$AE,7,FALSE))))</f>
        <v>708</v>
      </c>
      <c r="U65" s="101">
        <f t="shared" si="5"/>
        <v>708</v>
      </c>
      <c r="V65" s="101">
        <f t="shared" si="9"/>
        <v>708</v>
      </c>
      <c r="W65" s="332"/>
      <c r="Y65" s="1" t="s">
        <v>1766</v>
      </c>
      <c r="Z65" s="1">
        <v>20</v>
      </c>
      <c r="AA65" s="749" t="s">
        <v>2377</v>
      </c>
      <c r="AG65" s="5" t="str">
        <f t="shared" si="6"/>
        <v/>
      </c>
      <c r="AH65" s="5" t="str">
        <f>IF(AG65="","",VLOOKUP($Y65,Nutrition_tables!$A:$N,10,FALSE))</f>
        <v/>
      </c>
      <c r="AI65" s="5" t="str">
        <f t="shared" si="7"/>
        <v/>
      </c>
    </row>
    <row r="66" spans="1:38" ht="16">
      <c r="A66" s="699"/>
      <c r="B66" s="1135" t="s">
        <v>1293</v>
      </c>
      <c r="C66" s="1" t="s">
        <v>3145</v>
      </c>
      <c r="D66" s="332"/>
      <c r="E66" s="678" t="str">
        <f>IF(G66="","",_xlfn.IFNA(VLOOKUP($H66,Ingredient_prices!$B:$C,2,FALSE),""))</f>
        <v>Herbal sausage</v>
      </c>
      <c r="F66" s="1199" t="str">
        <f t="shared" si="0"/>
        <v>ПАРТИЈА 2</v>
      </c>
      <c r="G66" s="1389">
        <v>36</v>
      </c>
      <c r="H66" s="1389" t="s">
        <v>847</v>
      </c>
      <c r="I66" s="1389" t="s">
        <v>2667</v>
      </c>
      <c r="J66" s="1389">
        <v>1000</v>
      </c>
      <c r="K66" s="1392" t="s">
        <v>2328</v>
      </c>
      <c r="L66" s="1389">
        <v>50</v>
      </c>
      <c r="M66" s="699"/>
      <c r="N66" s="1381">
        <v>510</v>
      </c>
      <c r="O66" s="1383">
        <f t="shared" si="24"/>
        <v>20</v>
      </c>
      <c r="P66" s="1382">
        <f t="shared" si="2"/>
        <v>612</v>
      </c>
      <c r="Q66" s="1383">
        <f t="shared" si="3"/>
        <v>25500</v>
      </c>
      <c r="R66" s="1383">
        <f t="shared" si="4"/>
        <v>30600</v>
      </c>
      <c r="S66" s="699"/>
      <c r="T66" s="101">
        <f>IF(O66="","",IF('Charts and graphs'!$C$6="Conventional",IF(N66&gt;0,1000*P66/J66,""),IF(VLOOKUP($E66,$Y:$AE,7,FALSE)=0,IF(N66&gt;0,1000*P66/J66,""),VLOOKUP($E66,$Y:$AE,7,FALSE))))</f>
        <v>612</v>
      </c>
      <c r="U66" s="101">
        <f t="shared" si="5"/>
        <v>612</v>
      </c>
      <c r="V66" s="101">
        <f t="shared" si="9"/>
        <v>612</v>
      </c>
      <c r="W66" s="332"/>
      <c r="Y66" s="1" t="s">
        <v>3093</v>
      </c>
      <c r="Z66" s="1">
        <v>20</v>
      </c>
      <c r="AA66" s="749" t="s">
        <v>2377</v>
      </c>
      <c r="AG66" s="5">
        <f t="shared" si="6"/>
        <v>357.1</v>
      </c>
      <c r="AH66" s="5">
        <f>IF(AG66="","",VLOOKUP($Y66,Nutrition_tables!$A:$N,10,FALSE))</f>
        <v>15</v>
      </c>
      <c r="AI66" s="5">
        <f t="shared" ref="AI66:AI131" si="36">IF(AG66="","",AG66/(AH66*10))</f>
        <v>2.3806666666666669</v>
      </c>
    </row>
    <row r="67" spans="1:38" ht="16">
      <c r="A67" s="699"/>
      <c r="B67" s="1" t="s">
        <v>918</v>
      </c>
      <c r="C67" s="1" t="s">
        <v>3124</v>
      </c>
      <c r="D67" s="332"/>
      <c r="E67" s="678" t="str">
        <f>IF(G67="","",_xlfn.IFNA(VLOOKUP($H67,Ingredient_prices!$B:$C,2,FALSE),""))</f>
        <v>Sausage kulen</v>
      </c>
      <c r="F67" s="1199" t="str">
        <f t="shared" si="0"/>
        <v>ПАРТИЈА 2</v>
      </c>
      <c r="G67" s="1389">
        <v>37</v>
      </c>
      <c r="H67" s="1389" t="s">
        <v>2299</v>
      </c>
      <c r="I67" s="1389"/>
      <c r="J67" s="1389">
        <v>1000</v>
      </c>
      <c r="K67" s="1392" t="s">
        <v>2328</v>
      </c>
      <c r="L67" s="1389">
        <v>10</v>
      </c>
      <c r="M67" s="699"/>
      <c r="N67" s="1381">
        <v>610</v>
      </c>
      <c r="O67" s="1383">
        <f t="shared" si="24"/>
        <v>20</v>
      </c>
      <c r="P67" s="1382">
        <f t="shared" si="2"/>
        <v>732</v>
      </c>
      <c r="Q67" s="1383">
        <f t="shared" si="3"/>
        <v>6100</v>
      </c>
      <c r="R67" s="1383">
        <f t="shared" si="4"/>
        <v>7320</v>
      </c>
      <c r="S67" s="699"/>
      <c r="T67" s="101">
        <f>IF(O67="","",IF('Charts and graphs'!$C$6="Conventional",IF(N67&gt;0,1000*P67/J67,""),IF(VLOOKUP($E67,$Y:$AE,7,FALSE)=0,IF(N67&gt;0,1000*P67/J67,""),VLOOKUP($E67,$Y:$AE,7,FALSE))))</f>
        <v>732</v>
      </c>
      <c r="U67" s="101">
        <f t="shared" si="5"/>
        <v>732</v>
      </c>
      <c r="V67" s="101">
        <f t="shared" si="9"/>
        <v>732</v>
      </c>
      <c r="W67" s="332"/>
      <c r="Y67" s="1" t="s">
        <v>3094</v>
      </c>
      <c r="Z67" s="1">
        <v>20</v>
      </c>
      <c r="AA67" s="749" t="s">
        <v>2377</v>
      </c>
      <c r="AG67" s="5" t="str">
        <f t="shared" si="6"/>
        <v/>
      </c>
      <c r="AH67" s="5" t="str">
        <f>IF(AG67="","",VLOOKUP($Y67,Nutrition_tables!$A:$N,10,FALSE))</f>
        <v/>
      </c>
      <c r="AI67" s="5" t="str">
        <f t="shared" si="36"/>
        <v/>
      </c>
      <c r="AL67" s="749"/>
    </row>
    <row r="68" spans="1:38" ht="16">
      <c r="A68" s="699"/>
      <c r="B68" s="1" t="s">
        <v>819</v>
      </c>
      <c r="C68" s="1" t="s">
        <v>3124</v>
      </c>
      <c r="D68" s="332"/>
      <c r="E68" s="678" t="str">
        <f>IF(G68="","",_xlfn.IFNA(VLOOKUP($H68,Ingredient_prices!$B:$C,2,FALSE),""))</f>
        <v>Ham for pizza</v>
      </c>
      <c r="F68" s="1199" t="str">
        <f t="shared" si="0"/>
        <v>ПАРТИЈА 2</v>
      </c>
      <c r="G68" s="1389">
        <v>38</v>
      </c>
      <c r="H68" s="1389" t="s">
        <v>1258</v>
      </c>
      <c r="I68" s="1389"/>
      <c r="J68" s="1389">
        <v>1000</v>
      </c>
      <c r="K68" s="1392" t="s">
        <v>2328</v>
      </c>
      <c r="L68" s="1389">
        <v>200</v>
      </c>
      <c r="M68" s="699"/>
      <c r="N68" s="1381">
        <v>250</v>
      </c>
      <c r="O68" s="1383">
        <f t="shared" ref="O68:O99" si="37">IF($E68="","",VLOOKUP($E68,$Y:$AE,2,FALSE))</f>
        <v>20</v>
      </c>
      <c r="P68" s="1382">
        <f t="shared" ref="P68:P131" si="38">IF(O68="","",N68+(O68*N68/100))</f>
        <v>300</v>
      </c>
      <c r="Q68" s="1383">
        <f t="shared" ref="Q68:Q131" si="39">IF(O68="","",N68*L68)</f>
        <v>50000</v>
      </c>
      <c r="R68" s="1383">
        <f t="shared" ref="R68:R131" si="40">IF(O68="","",P68*L68)</f>
        <v>60000</v>
      </c>
      <c r="S68" s="699"/>
      <c r="T68" s="101">
        <f>IF(O68="","",IF('Charts and graphs'!$C$6="Conventional",IF(N68&gt;0,1000*P68/J68,""),IF(VLOOKUP($E68,$Y:$AE,7,FALSE)=0,IF(N68&gt;0,1000*P68/J68,""),VLOOKUP($E68,$Y:$AE,7,FALSE))))</f>
        <v>300</v>
      </c>
      <c r="U68" s="101">
        <f t="shared" ref="U68:U131" si="41">IF(O68="","",IF(N68&gt;0,1000*P68/J68,""))</f>
        <v>300</v>
      </c>
      <c r="V68" s="101">
        <f t="shared" si="9"/>
        <v>300</v>
      </c>
      <c r="W68" s="332"/>
      <c r="Y68" s="1" t="s">
        <v>3087</v>
      </c>
      <c r="Z68" s="1">
        <v>20</v>
      </c>
      <c r="AA68" s="749" t="s">
        <v>2377</v>
      </c>
      <c r="AG68" s="5" t="str">
        <f t="shared" ref="AG68:AG131" si="42">_xlfn.IFNA(VLOOKUP($Y68,$E:$U,17,FALSE),"")</f>
        <v/>
      </c>
      <c r="AH68" s="5" t="str">
        <f>IF(AG68="","",VLOOKUP($Y68,Nutrition_tables!$A:$N,10,FALSE))</f>
        <v/>
      </c>
      <c r="AI68" s="5" t="str">
        <f t="shared" si="36"/>
        <v/>
      </c>
    </row>
    <row r="69" spans="1:38" ht="15" customHeight="1">
      <c r="A69" s="699"/>
      <c r="B69" s="1" t="s">
        <v>1615</v>
      </c>
      <c r="C69" s="1" t="s">
        <v>3124</v>
      </c>
      <c r="D69" s="332"/>
      <c r="E69" s="678" t="str">
        <f>IF(G69="","",_xlfn.IFNA(VLOOKUP($H69,Ingredient_prices!$B:$C,2,FALSE),""))</f>
        <v>Ham processed in a wrap</v>
      </c>
      <c r="F69" s="1199" t="str">
        <f t="shared" si="0"/>
        <v>ПАРТИЈА 2</v>
      </c>
      <c r="G69" s="1389">
        <v>39</v>
      </c>
      <c r="H69" s="1389" t="s">
        <v>2300</v>
      </c>
      <c r="I69" s="1389"/>
      <c r="J69" s="1389">
        <v>1000</v>
      </c>
      <c r="K69" s="1392" t="s">
        <v>2328</v>
      </c>
      <c r="L69" s="1389">
        <v>130</v>
      </c>
      <c r="M69" s="699"/>
      <c r="N69" s="1381">
        <v>310</v>
      </c>
      <c r="O69" s="1383">
        <f t="shared" si="37"/>
        <v>20</v>
      </c>
      <c r="P69" s="1382">
        <f t="shared" si="38"/>
        <v>372</v>
      </c>
      <c r="Q69" s="1383">
        <f t="shared" si="39"/>
        <v>40300</v>
      </c>
      <c r="R69" s="1383">
        <f t="shared" si="40"/>
        <v>48360</v>
      </c>
      <c r="S69" s="699"/>
      <c r="T69" s="101">
        <f>IF(O69="","",IF('Charts and graphs'!$C$6="Conventional",IF(N69&gt;0,1000*P69/J69,""),IF(VLOOKUP($E69,$Y:$AE,7,FALSE)=0,IF(N69&gt;0,1000*P69/J69,""),VLOOKUP($E69,$Y:$AE,7,FALSE))))</f>
        <v>372</v>
      </c>
      <c r="U69" s="101">
        <f t="shared" si="41"/>
        <v>372</v>
      </c>
      <c r="V69" s="101">
        <f t="shared" si="9"/>
        <v>372</v>
      </c>
      <c r="W69" s="332"/>
      <c r="Y69" s="1" t="s">
        <v>3095</v>
      </c>
      <c r="Z69" s="1">
        <v>20</v>
      </c>
      <c r="AA69" s="749" t="s">
        <v>2377</v>
      </c>
      <c r="AG69" s="5" t="str">
        <f t="shared" si="42"/>
        <v/>
      </c>
      <c r="AH69" s="5" t="str">
        <f>IF(AG69="","",VLOOKUP($Y69,Nutrition_tables!$A:$N,10,FALSE))</f>
        <v/>
      </c>
      <c r="AI69" s="5" t="str">
        <f>IF(AG69="","",AG69/(AH69*10))</f>
        <v/>
      </c>
      <c r="AK69" s="749"/>
    </row>
    <row r="70" spans="1:38" ht="15" customHeight="1">
      <c r="A70" s="699"/>
      <c r="B70" s="1" t="s">
        <v>1616</v>
      </c>
      <c r="C70" s="1" t="s">
        <v>3125</v>
      </c>
      <c r="D70" s="332"/>
      <c r="E70" s="678" t="str">
        <f>IF(G70="","",_xlfn.IFNA(VLOOKUP($H70,Ingredient_prices!$B:$C,2,FALSE),""))</f>
        <v>Ham processed</v>
      </c>
      <c r="F70" s="1199" t="str">
        <f t="shared" ref="F70:F87" si="43">IF(H70="","",IF(OR(LEFT(G70,1)="П",LEFT(G70,1)="P"),G70,F69))</f>
        <v>ПАРТИЈА 2</v>
      </c>
      <c r="G70" s="1389">
        <v>40</v>
      </c>
      <c r="H70" s="1389" t="s">
        <v>2301</v>
      </c>
      <c r="I70" s="1389" t="s">
        <v>2669</v>
      </c>
      <c r="J70" s="1389">
        <v>1000</v>
      </c>
      <c r="K70" s="1392" t="s">
        <v>2328</v>
      </c>
      <c r="L70" s="1389">
        <v>80</v>
      </c>
      <c r="M70" s="699"/>
      <c r="N70" s="1381">
        <v>310</v>
      </c>
      <c r="O70" s="1383">
        <f t="shared" si="37"/>
        <v>20</v>
      </c>
      <c r="P70" s="1382">
        <f t="shared" si="38"/>
        <v>372</v>
      </c>
      <c r="Q70" s="1383">
        <f t="shared" si="39"/>
        <v>24800</v>
      </c>
      <c r="R70" s="1383">
        <f t="shared" si="40"/>
        <v>29760</v>
      </c>
      <c r="S70" s="699"/>
      <c r="T70" s="101">
        <f>IF(O70="","",IF('Charts and graphs'!$C$6="Conventional",IF(N70&gt;0,1000*P70/J70,""),IF(VLOOKUP($E70,$Y:$AE,7,FALSE)=0,IF(N70&gt;0,1000*P70/J70,""),VLOOKUP($E70,$Y:$AE,7,FALSE))))</f>
        <v>372</v>
      </c>
      <c r="U70" s="101">
        <f t="shared" si="41"/>
        <v>372</v>
      </c>
      <c r="V70" s="101">
        <f t="shared" ref="V70:V133" si="44">IF(O70="","",IF(VLOOKUP($E70,$Y:$AE,7,FALSE)=0,IF(N70&gt;0,1000*P70/J70,""),VLOOKUP($E70,$Y:$AE,7,FALSE)))</f>
        <v>372</v>
      </c>
      <c r="W70" s="332"/>
      <c r="Y70" s="1268" t="s">
        <v>3096</v>
      </c>
      <c r="Z70" s="1">
        <v>20</v>
      </c>
      <c r="AA70" s="749" t="s">
        <v>2377</v>
      </c>
      <c r="AG70" s="5">
        <f t="shared" si="42"/>
        <v>212.51999999999998</v>
      </c>
      <c r="AH70" s="5">
        <f>IF(AG70="","",VLOOKUP($Y70,Nutrition_tables!$A:$N,10,FALSE))</f>
        <v>79</v>
      </c>
      <c r="AI70" s="5">
        <f>IF(AG70="","",AG70/(AH70*10))</f>
        <v>0.26901265822784809</v>
      </c>
    </row>
    <row r="71" spans="1:38" ht="15" customHeight="1">
      <c r="A71" s="699"/>
      <c r="B71" s="1" t="s">
        <v>1617</v>
      </c>
      <c r="C71" s="1" t="s">
        <v>3124</v>
      </c>
      <c r="D71" s="332"/>
      <c r="E71" s="678" t="str">
        <f>IF(G71="","",_xlfn.IFNA(VLOOKUP($H71,Ingredient_prices!$B:$C,2,FALSE),""))</f>
        <v>Chicken breast in a wrap</v>
      </c>
      <c r="F71" s="1199" t="str">
        <f t="shared" si="43"/>
        <v>ПАРТИЈА 2</v>
      </c>
      <c r="G71" s="1389">
        <v>41</v>
      </c>
      <c r="H71" s="1389" t="s">
        <v>850</v>
      </c>
      <c r="I71" s="1389" t="s">
        <v>2670</v>
      </c>
      <c r="J71" s="1389">
        <v>1000</v>
      </c>
      <c r="K71" s="1392" t="s">
        <v>2328</v>
      </c>
      <c r="L71" s="1389">
        <v>80</v>
      </c>
      <c r="N71" s="1381">
        <v>540</v>
      </c>
      <c r="O71" s="1383">
        <f t="shared" si="37"/>
        <v>20</v>
      </c>
      <c r="P71" s="1382">
        <f t="shared" si="38"/>
        <v>648</v>
      </c>
      <c r="Q71" s="1383">
        <f t="shared" si="39"/>
        <v>43200</v>
      </c>
      <c r="R71" s="1383">
        <f t="shared" si="40"/>
        <v>51840</v>
      </c>
      <c r="T71" s="101">
        <f>IF(O71="","",IF('Charts and graphs'!$C$6="Conventional",IF(N71&gt;0,1000*P71/J71,""),IF(VLOOKUP($E71,$Y:$AE,7,FALSE)=0,IF(N71&gt;0,1000*P71/J71,""),VLOOKUP($E71,$Y:$AE,7,FALSE))))</f>
        <v>648</v>
      </c>
      <c r="U71" s="101">
        <f t="shared" si="41"/>
        <v>648</v>
      </c>
      <c r="V71" s="101">
        <f t="shared" si="44"/>
        <v>648</v>
      </c>
      <c r="W71" s="332"/>
      <c r="Y71" s="1271" t="s">
        <v>3097</v>
      </c>
      <c r="Z71" s="24">
        <v>20</v>
      </c>
      <c r="AA71" s="492" t="s">
        <v>2377</v>
      </c>
      <c r="AG71" s="5">
        <f t="shared" si="42"/>
        <v>207.12</v>
      </c>
      <c r="AH71" s="5">
        <f>IF(AG71="","",VLOOKUP($Y71,Nutrition_tables!$A:$N,10,FALSE))</f>
        <v>79</v>
      </c>
      <c r="AI71" s="5">
        <f t="shared" si="36"/>
        <v>0.26217721518987341</v>
      </c>
      <c r="AK71" s="749"/>
    </row>
    <row r="72" spans="1:38" ht="16">
      <c r="A72" s="699"/>
      <c r="B72" s="1" t="s">
        <v>1618</v>
      </c>
      <c r="C72" s="1" t="s">
        <v>3125</v>
      </c>
      <c r="D72" s="332"/>
      <c r="E72" s="678" t="str">
        <f>IF(G72="","",_xlfn.IFNA(VLOOKUP($H72,Ingredient_prices!$B:$C,2,FALSE),""))</f>
        <v>Chicken pate</v>
      </c>
      <c r="F72" s="1199" t="str">
        <f t="shared" si="43"/>
        <v>ПАРТИЈА 2</v>
      </c>
      <c r="G72" s="1389">
        <v>42</v>
      </c>
      <c r="H72" s="1389" t="s">
        <v>2302</v>
      </c>
      <c r="I72" s="1389" t="s">
        <v>2671</v>
      </c>
      <c r="J72" s="1389">
        <v>95</v>
      </c>
      <c r="K72" s="1392" t="s">
        <v>2327</v>
      </c>
      <c r="L72" s="1389">
        <v>600</v>
      </c>
      <c r="N72" s="1381">
        <v>88</v>
      </c>
      <c r="O72" s="1383">
        <f t="shared" si="37"/>
        <v>20</v>
      </c>
      <c r="P72" s="1382">
        <f t="shared" si="38"/>
        <v>105.6</v>
      </c>
      <c r="Q72" s="1383">
        <f t="shared" si="39"/>
        <v>52800</v>
      </c>
      <c r="R72" s="1383">
        <f t="shared" si="40"/>
        <v>63360</v>
      </c>
      <c r="T72" s="101">
        <f>IF(O72="","",IF('Charts and graphs'!$C$6="Conventional",IF(N72&gt;0,1000*P72/J72,""),IF(VLOOKUP($E72,$Y:$AE,7,FALSE)=0,IF(N72&gt;0,1000*P72/J72,""),VLOOKUP($E72,$Y:$AE,7,FALSE))))</f>
        <v>1111.578947368421</v>
      </c>
      <c r="U72" s="101">
        <f t="shared" si="41"/>
        <v>1111.578947368421</v>
      </c>
      <c r="V72" s="101">
        <f t="shared" si="44"/>
        <v>1111.578947368421</v>
      </c>
      <c r="W72" s="332"/>
      <c r="Y72" s="490" t="s">
        <v>3158</v>
      </c>
      <c r="Z72" s="1">
        <v>10</v>
      </c>
      <c r="AA72" s="749" t="s">
        <v>2378</v>
      </c>
      <c r="AG72" s="5">
        <f t="shared" si="42"/>
        <v>990</v>
      </c>
      <c r="AH72" s="5">
        <f>IF(AG72="","",VLOOKUP($Y72,Nutrition_tables!$A:$N,10,FALSE))</f>
        <v>139</v>
      </c>
      <c r="AI72" s="5">
        <f t="shared" si="36"/>
        <v>0.71223021582733814</v>
      </c>
    </row>
    <row r="73" spans="1:38" ht="16">
      <c r="A73" s="699"/>
      <c r="B73" s="1" t="s">
        <v>1723</v>
      </c>
      <c r="C73" s="1" t="s">
        <v>3426</v>
      </c>
      <c r="D73" s="332"/>
      <c r="E73" s="678" t="str">
        <f>IF(G73="","",_xlfn.IFNA(VLOOKUP($H73,Ingredient_prices!$B:$C,2,FALSE),""))</f>
        <v>Tuna pate</v>
      </c>
      <c r="F73" s="1199" t="str">
        <f t="shared" si="43"/>
        <v>ПАРТИЈА 2</v>
      </c>
      <c r="G73" s="1389">
        <v>43</v>
      </c>
      <c r="H73" s="1389" t="s">
        <v>852</v>
      </c>
      <c r="I73" s="1389" t="s">
        <v>2672</v>
      </c>
      <c r="J73" s="1389">
        <v>95</v>
      </c>
      <c r="K73" s="1392" t="s">
        <v>2327</v>
      </c>
      <c r="L73" s="1389">
        <v>350</v>
      </c>
      <c r="N73" s="1381">
        <v>121</v>
      </c>
      <c r="O73" s="1383">
        <f t="shared" si="37"/>
        <v>20</v>
      </c>
      <c r="P73" s="1382">
        <f t="shared" si="38"/>
        <v>145.19999999999999</v>
      </c>
      <c r="Q73" s="1383">
        <f t="shared" si="39"/>
        <v>42350</v>
      </c>
      <c r="R73" s="1383">
        <f t="shared" si="40"/>
        <v>50819.999999999993</v>
      </c>
      <c r="T73" s="101">
        <f>IF(O73="","",IF('Charts and graphs'!$C$6="Conventional",IF(N73&gt;0,1000*P73/J73,""),IF(VLOOKUP($E73,$Y:$AE,7,FALSE)=0,IF(N73&gt;0,1000*P73/J73,""),VLOOKUP($E73,$Y:$AE,7,FALSE))))</f>
        <v>1528.421052631579</v>
      </c>
      <c r="U73" s="101">
        <f t="shared" si="41"/>
        <v>1528.421052631579</v>
      </c>
      <c r="V73" s="101">
        <f t="shared" si="44"/>
        <v>1528.421052631579</v>
      </c>
      <c r="W73" s="332"/>
      <c r="Y73" s="1" t="s">
        <v>1822</v>
      </c>
      <c r="Z73" s="1">
        <v>10</v>
      </c>
      <c r="AA73" s="749" t="s">
        <v>2378</v>
      </c>
      <c r="AG73" s="5" t="str">
        <f t="shared" si="42"/>
        <v/>
      </c>
      <c r="AH73" s="5" t="str">
        <f>IF(AG73="","",VLOOKUP($Y73,Nutrition_tables!$A:$N,10,FALSE))</f>
        <v/>
      </c>
      <c r="AI73" s="5" t="str">
        <f t="shared" si="36"/>
        <v/>
      </c>
    </row>
    <row r="74" spans="1:38" ht="16">
      <c r="A74" s="699"/>
      <c r="B74" s="1" t="s">
        <v>2850</v>
      </c>
      <c r="C74" s="1" t="s">
        <v>3426</v>
      </c>
      <c r="D74" s="332"/>
      <c r="E74" s="678" t="str">
        <f>IF(G74="","",_xlfn.IFNA(VLOOKUP($H74,Ingredient_prices!$B:$C,2,FALSE),""))</f>
        <v>Chicken pate</v>
      </c>
      <c r="F74" s="1199" t="str">
        <f t="shared" si="43"/>
        <v>ПАРТИЈА 2</v>
      </c>
      <c r="G74" s="1389">
        <v>44</v>
      </c>
      <c r="H74" s="1393" t="s">
        <v>2303</v>
      </c>
      <c r="I74" s="1393" t="s">
        <v>2673</v>
      </c>
      <c r="J74" s="1393">
        <v>95</v>
      </c>
      <c r="K74" s="1394" t="s">
        <v>2327</v>
      </c>
      <c r="L74" s="1393">
        <v>300</v>
      </c>
      <c r="N74" s="1381">
        <v>88</v>
      </c>
      <c r="O74" s="1383">
        <f t="shared" si="37"/>
        <v>20</v>
      </c>
      <c r="P74" s="1382">
        <f t="shared" si="38"/>
        <v>105.6</v>
      </c>
      <c r="Q74" s="1383">
        <f t="shared" si="39"/>
        <v>26400</v>
      </c>
      <c r="R74" s="1383">
        <f t="shared" si="40"/>
        <v>31680</v>
      </c>
      <c r="T74" s="101">
        <f>IF(O74="","",IF('Charts and graphs'!$C$6="Conventional",IF(N74&gt;0,1000*P74/J74,""),IF(VLOOKUP($E74,$Y:$AE,7,FALSE)=0,IF(N74&gt;0,1000*P74/J74,""),VLOOKUP($E74,$Y:$AE,7,FALSE))))</f>
        <v>1111.578947368421</v>
      </c>
      <c r="U74" s="101">
        <f t="shared" si="41"/>
        <v>1111.578947368421</v>
      </c>
      <c r="V74" s="101">
        <f t="shared" si="44"/>
        <v>1111.578947368421</v>
      </c>
      <c r="W74" s="332"/>
      <c r="Y74" s="749" t="s">
        <v>3159</v>
      </c>
      <c r="Z74" s="1">
        <v>10</v>
      </c>
      <c r="AA74" s="749" t="s">
        <v>2378</v>
      </c>
      <c r="AG74" s="5">
        <f t="shared" si="42"/>
        <v>698.5</v>
      </c>
      <c r="AH74" s="5">
        <f>IF(AG74="","",VLOOKUP($Y74,Nutrition_tables!$A:$N,10,FALSE))</f>
        <v>154.6</v>
      </c>
      <c r="AI74" s="5">
        <f t="shared" si="36"/>
        <v>0.45181112548512292</v>
      </c>
    </row>
    <row r="75" spans="1:38" ht="16">
      <c r="A75" s="699"/>
      <c r="B75" s="1" t="s">
        <v>1349</v>
      </c>
      <c r="C75" s="1" t="s">
        <v>3426</v>
      </c>
      <c r="D75" s="332"/>
      <c r="E75" s="678" t="str">
        <f>IF(G75="","",_xlfn.IFNA(VLOOKUP($H75,Ingredient_prices!$B:$C,2,FALSE),""))</f>
        <v>Canned sardines (in oil)</v>
      </c>
      <c r="F75" s="1199" t="str">
        <f t="shared" si="43"/>
        <v>ПАРТИЈА 2</v>
      </c>
      <c r="G75" s="1389">
        <v>45</v>
      </c>
      <c r="H75" s="1393" t="s">
        <v>2304</v>
      </c>
      <c r="I75" s="1393" t="s">
        <v>2674</v>
      </c>
      <c r="J75" s="1393">
        <v>100</v>
      </c>
      <c r="K75" s="1394" t="s">
        <v>2327</v>
      </c>
      <c r="L75" s="1393">
        <v>100</v>
      </c>
      <c r="N75" s="1381">
        <v>59</v>
      </c>
      <c r="O75" s="1383">
        <f t="shared" si="37"/>
        <v>20</v>
      </c>
      <c r="P75" s="1382">
        <f t="shared" si="38"/>
        <v>70.8</v>
      </c>
      <c r="Q75" s="1383">
        <f t="shared" si="39"/>
        <v>5900</v>
      </c>
      <c r="R75" s="1383">
        <f t="shared" si="40"/>
        <v>7080</v>
      </c>
      <c r="T75" s="101">
        <f>IF(O75="","",IF('Charts and graphs'!$C$6="Conventional",IF(N75&gt;0,1000*P75/J75,""),IF(VLOOKUP($E75,$Y:$AE,7,FALSE)=0,IF(N75&gt;0,1000*P75/J75,""),VLOOKUP($E75,$Y:$AE,7,FALSE))))</f>
        <v>708</v>
      </c>
      <c r="U75" s="101">
        <f t="shared" si="41"/>
        <v>708</v>
      </c>
      <c r="V75" s="101">
        <f t="shared" si="44"/>
        <v>708</v>
      </c>
      <c r="W75" s="332"/>
      <c r="Y75" s="749" t="s">
        <v>3160</v>
      </c>
      <c r="Z75" s="1">
        <v>10</v>
      </c>
      <c r="AA75" s="749" t="s">
        <v>2378</v>
      </c>
      <c r="AG75" s="5" t="str">
        <f t="shared" si="42"/>
        <v/>
      </c>
      <c r="AH75" s="5" t="str">
        <f>IF(AG75="","",VLOOKUP($Y75,Nutrition_tables!$A:$N,10,FALSE))</f>
        <v/>
      </c>
      <c r="AI75" s="5" t="str">
        <f t="shared" si="36"/>
        <v/>
      </c>
    </row>
    <row r="76" spans="1:38" ht="16">
      <c r="A76" s="699"/>
      <c r="B76" s="1" t="s">
        <v>1666</v>
      </c>
      <c r="C76" s="1" t="s">
        <v>3087</v>
      </c>
      <c r="D76" s="332"/>
      <c r="E76" s="678" t="str">
        <f>IF(G76="","",_xlfn.IFNA(VLOOKUP($H76,Ingredient_prices!$B:$C,2,FALSE),""))</f>
        <v>Tuna preserved in oil</v>
      </c>
      <c r="F76" s="1199" t="str">
        <f t="shared" si="43"/>
        <v>ПАРТИЈА 2</v>
      </c>
      <c r="G76" s="1389">
        <v>46</v>
      </c>
      <c r="H76" s="1393" t="s">
        <v>1531</v>
      </c>
      <c r="I76" s="1393" t="s">
        <v>2675</v>
      </c>
      <c r="J76" s="1393">
        <v>80</v>
      </c>
      <c r="K76" s="1394" t="s">
        <v>2327</v>
      </c>
      <c r="L76" s="1393">
        <v>170</v>
      </c>
      <c r="N76" s="1381">
        <v>120</v>
      </c>
      <c r="O76" s="1383">
        <f t="shared" si="37"/>
        <v>20</v>
      </c>
      <c r="P76" s="1382">
        <f t="shared" si="38"/>
        <v>144</v>
      </c>
      <c r="Q76" s="1383">
        <f t="shared" si="39"/>
        <v>20400</v>
      </c>
      <c r="R76" s="1383">
        <f t="shared" si="40"/>
        <v>24480</v>
      </c>
      <c r="T76" s="101">
        <f>IF(O76="","",IF('Charts and graphs'!$C$6="Conventional",IF(N76&gt;0,1000*P76/J76,""),IF(VLOOKUP($E76,$Y:$AE,7,FALSE)=0,IF(N76&gt;0,1000*P76/J76,""),VLOOKUP($E76,$Y:$AE,7,FALSE))))</f>
        <v>1800</v>
      </c>
      <c r="U76" s="101">
        <f t="shared" si="41"/>
        <v>1800</v>
      </c>
      <c r="V76" s="101">
        <f t="shared" si="44"/>
        <v>1800</v>
      </c>
      <c r="W76" s="332"/>
      <c r="Y76" s="749" t="s">
        <v>3161</v>
      </c>
      <c r="Z76" s="1">
        <v>10</v>
      </c>
      <c r="AA76" s="749" t="s">
        <v>2378</v>
      </c>
      <c r="AG76" s="5">
        <f t="shared" si="42"/>
        <v>698.5</v>
      </c>
      <c r="AH76" s="5">
        <f>IF(AG76="","",VLOOKUP($Y76,Nutrition_tables!$A:$N,10,FALSE))</f>
        <v>206.99999999999997</v>
      </c>
      <c r="AI76" s="5">
        <f t="shared" si="36"/>
        <v>0.33743961352657015</v>
      </c>
    </row>
    <row r="77" spans="1:38" ht="16">
      <c r="A77" s="699"/>
      <c r="B77" s="1" t="s">
        <v>1587</v>
      </c>
      <c r="C77" s="1" t="s">
        <v>3087</v>
      </c>
      <c r="D77" s="332"/>
      <c r="E77" s="678" t="str">
        <f>IF(G77="","",_xlfn.IFNA(VLOOKUP($H77,Ingredient_prices!$B:$C,2,FALSE),""))</f>
        <v>Musli (average)</v>
      </c>
      <c r="F77" s="1199" t="str">
        <f t="shared" si="43"/>
        <v>ПАРТИЈА 2</v>
      </c>
      <c r="G77" s="1389">
        <v>47</v>
      </c>
      <c r="H77" s="1389" t="s">
        <v>2305</v>
      </c>
      <c r="I77" s="1389" t="s">
        <v>2676</v>
      </c>
      <c r="J77" s="1389">
        <v>1000</v>
      </c>
      <c r="K77" s="1392" t="s">
        <v>2328</v>
      </c>
      <c r="L77" s="1389">
        <v>20</v>
      </c>
      <c r="N77" s="1381">
        <v>170</v>
      </c>
      <c r="O77" s="1383">
        <f t="shared" si="37"/>
        <v>20</v>
      </c>
      <c r="P77" s="1382">
        <f t="shared" si="38"/>
        <v>204</v>
      </c>
      <c r="Q77" s="1383">
        <f t="shared" si="39"/>
        <v>3400</v>
      </c>
      <c r="R77" s="1383">
        <f t="shared" si="40"/>
        <v>4080</v>
      </c>
      <c r="T77" s="101">
        <f>IF(O77="","",IF('Charts and graphs'!$C$6="Conventional",IF(N77&gt;0,1000*P77/J77,""),IF(VLOOKUP($E77,$Y:$AE,7,FALSE)=0,IF(N77&gt;0,1000*P77/J77,""),VLOOKUP($E77,$Y:$AE,7,FALSE))))</f>
        <v>204</v>
      </c>
      <c r="U77" s="101">
        <f t="shared" si="41"/>
        <v>204</v>
      </c>
      <c r="V77" s="101">
        <f t="shared" si="44"/>
        <v>204</v>
      </c>
      <c r="W77" s="332"/>
      <c r="Y77" s="1" t="s">
        <v>3146</v>
      </c>
      <c r="Z77" s="1">
        <v>10</v>
      </c>
      <c r="AA77" s="749" t="s">
        <v>2378</v>
      </c>
      <c r="AG77" s="5" t="str">
        <f t="shared" si="42"/>
        <v/>
      </c>
      <c r="AH77" s="5" t="str">
        <f>IF(AG77="","",VLOOKUP($Y77,Nutrition_tables!$A:$N,10,FALSE))</f>
        <v/>
      </c>
      <c r="AI77" s="5" t="str">
        <f t="shared" si="36"/>
        <v/>
      </c>
    </row>
    <row r="78" spans="1:38" ht="16">
      <c r="A78" s="699"/>
      <c r="B78" s="1" t="s">
        <v>1486</v>
      </c>
      <c r="C78" s="1" t="s">
        <v>3087</v>
      </c>
      <c r="D78" s="332"/>
      <c r="E78" s="678" t="str">
        <f>IF(G78="","",_xlfn.IFNA(VLOOKUP($H78,Ingredient_prices!$B:$C,2,FALSE),""))</f>
        <v>Chocolate flakes</v>
      </c>
      <c r="F78" s="1199" t="str">
        <f t="shared" si="43"/>
        <v>ПАРТИЈА 2</v>
      </c>
      <c r="G78" s="1389">
        <v>48</v>
      </c>
      <c r="H78" s="1393" t="s">
        <v>854</v>
      </c>
      <c r="I78" s="1393" t="s">
        <v>2677</v>
      </c>
      <c r="J78" s="1393">
        <v>2000</v>
      </c>
      <c r="K78" s="1392" t="s">
        <v>2327</v>
      </c>
      <c r="L78" s="1389">
        <v>50</v>
      </c>
      <c r="N78" s="1381">
        <v>370</v>
      </c>
      <c r="O78" s="1383">
        <f t="shared" si="37"/>
        <v>20</v>
      </c>
      <c r="P78" s="1382">
        <f t="shared" si="38"/>
        <v>444</v>
      </c>
      <c r="Q78" s="1383">
        <f t="shared" si="39"/>
        <v>18500</v>
      </c>
      <c r="R78" s="1383">
        <f t="shared" si="40"/>
        <v>22200</v>
      </c>
      <c r="T78" s="101">
        <f>IF(O78="","",IF('Charts and graphs'!$C$6="Conventional",IF(N78&gt;0,1000*P78/J78,""),IF(VLOOKUP($E78,$Y:$AE,7,FALSE)=0,IF(N78&gt;0,1000*P78/J78,""),VLOOKUP($E78,$Y:$AE,7,FALSE))))</f>
        <v>222</v>
      </c>
      <c r="U78" s="101">
        <f t="shared" si="41"/>
        <v>222</v>
      </c>
      <c r="V78" s="101">
        <f t="shared" si="44"/>
        <v>222</v>
      </c>
      <c r="W78" s="332"/>
      <c r="Y78" s="1" t="s">
        <v>3147</v>
      </c>
      <c r="Z78" s="1">
        <v>10</v>
      </c>
      <c r="AA78" s="749" t="s">
        <v>2378</v>
      </c>
      <c r="AG78" s="5" t="str">
        <f t="shared" si="42"/>
        <v/>
      </c>
      <c r="AH78" s="5" t="str">
        <f>IF(AG78="","",VLOOKUP($Y78,Nutrition_tables!$A:$N,10,FALSE))</f>
        <v/>
      </c>
      <c r="AI78" s="5" t="str">
        <f t="shared" si="36"/>
        <v/>
      </c>
    </row>
    <row r="79" spans="1:38" ht="16">
      <c r="A79" s="699"/>
      <c r="B79" s="1" t="s">
        <v>1348</v>
      </c>
      <c r="C79" s="1" t="s">
        <v>3426</v>
      </c>
      <c r="D79" s="332"/>
      <c r="E79" s="678" t="str">
        <f>IF(G79="","",_xlfn.IFNA(VLOOKUP($H79,Ingredient_prices!$B:$C,2,FALSE),""))</f>
        <v>Chocolate for cooking</v>
      </c>
      <c r="F79" s="1199" t="str">
        <f t="shared" si="43"/>
        <v>ПАРТИЈА 2</v>
      </c>
      <c r="G79" s="1389">
        <v>49</v>
      </c>
      <c r="H79" s="1393" t="s">
        <v>855</v>
      </c>
      <c r="I79" s="1393" t="s">
        <v>2678</v>
      </c>
      <c r="J79" s="1393">
        <v>100</v>
      </c>
      <c r="K79" s="1392" t="s">
        <v>2327</v>
      </c>
      <c r="L79" s="1389">
        <v>250</v>
      </c>
      <c r="N79" s="1381">
        <v>120</v>
      </c>
      <c r="O79" s="1383">
        <f t="shared" si="37"/>
        <v>20</v>
      </c>
      <c r="P79" s="1382">
        <f t="shared" si="38"/>
        <v>144</v>
      </c>
      <c r="Q79" s="1383">
        <f t="shared" si="39"/>
        <v>30000</v>
      </c>
      <c r="R79" s="1383">
        <f t="shared" si="40"/>
        <v>36000</v>
      </c>
      <c r="T79" s="101">
        <f>IF(O79="","",IF('Charts and graphs'!$C$6="Conventional",IF(N79&gt;0,1000*P79/J79,""),IF(VLOOKUP($E79,$Y:$AE,7,FALSE)=0,IF(N79&gt;0,1000*P79/J79,""),VLOOKUP($E79,$Y:$AE,7,FALSE))))</f>
        <v>1440</v>
      </c>
      <c r="U79" s="101">
        <f t="shared" si="41"/>
        <v>1440</v>
      </c>
      <c r="V79" s="101">
        <f t="shared" si="44"/>
        <v>1440</v>
      </c>
      <c r="W79" s="332"/>
      <c r="Y79" s="1" t="s">
        <v>3162</v>
      </c>
      <c r="Z79" s="1">
        <v>10</v>
      </c>
      <c r="AA79" s="749" t="s">
        <v>2378</v>
      </c>
      <c r="AG79" s="5" t="str">
        <f t="shared" si="42"/>
        <v/>
      </c>
      <c r="AH79" s="5" t="str">
        <f>IF(AG79="","",VLOOKUP($Y79,Nutrition_tables!$A:$N,10,FALSE))</f>
        <v/>
      </c>
      <c r="AI79" s="5" t="str">
        <f t="shared" si="36"/>
        <v/>
      </c>
    </row>
    <row r="80" spans="1:38" ht="16">
      <c r="A80" s="699"/>
      <c r="B80" s="1" t="s">
        <v>919</v>
      </c>
      <c r="C80" s="1" t="s">
        <v>3426</v>
      </c>
      <c r="D80" s="332"/>
      <c r="E80" s="678" t="str">
        <f>IF(G80="","",_xlfn.IFNA(VLOOKUP($H80,Ingredient_prices!$B:$C,2,FALSE),""))</f>
        <v>Milk chocolate</v>
      </c>
      <c r="F80" s="1199" t="str">
        <f t="shared" si="43"/>
        <v>ПАРТИЈА 2</v>
      </c>
      <c r="G80" s="1389">
        <v>50</v>
      </c>
      <c r="H80" s="1389" t="s">
        <v>856</v>
      </c>
      <c r="I80" s="1389" t="s">
        <v>2679</v>
      </c>
      <c r="J80" s="1389">
        <v>100</v>
      </c>
      <c r="K80" s="1392" t="s">
        <v>2327</v>
      </c>
      <c r="L80" s="1389">
        <v>100</v>
      </c>
      <c r="N80" s="1381">
        <v>75</v>
      </c>
      <c r="O80" s="1383">
        <f t="shared" si="37"/>
        <v>20</v>
      </c>
      <c r="P80" s="1382">
        <f t="shared" si="38"/>
        <v>90</v>
      </c>
      <c r="Q80" s="1383">
        <f t="shared" si="39"/>
        <v>7500</v>
      </c>
      <c r="R80" s="1383">
        <f t="shared" si="40"/>
        <v>9000</v>
      </c>
      <c r="T80" s="101">
        <f>IF(O80="","",IF('Charts and graphs'!$C$6="Conventional",IF(N80&gt;0,1000*P80/J80,""),IF(VLOOKUP($E80,$Y:$AE,7,FALSE)=0,IF(N80&gt;0,1000*P80/J80,""),VLOOKUP($E80,$Y:$AE,7,FALSE))))</f>
        <v>900</v>
      </c>
      <c r="U80" s="101">
        <f t="shared" si="41"/>
        <v>900</v>
      </c>
      <c r="V80" s="101">
        <f t="shared" si="44"/>
        <v>900</v>
      </c>
      <c r="W80" s="332"/>
      <c r="Y80" s="749" t="s">
        <v>3443</v>
      </c>
      <c r="Z80" s="1">
        <v>10</v>
      </c>
      <c r="AA80" s="749" t="s">
        <v>2378</v>
      </c>
      <c r="AG80" s="5">
        <f t="shared" si="42"/>
        <v>550</v>
      </c>
      <c r="AH80" s="5">
        <f>IF(AG80="","",VLOOKUP($Y80,Nutrition_tables!$A:$N,10,FALSE))</f>
        <v>174.4</v>
      </c>
      <c r="AI80" s="5">
        <f t="shared" si="36"/>
        <v>0.31536697247706424</v>
      </c>
    </row>
    <row r="81" spans="1:37" ht="16">
      <c r="A81" s="699"/>
      <c r="B81" s="1" t="s">
        <v>1381</v>
      </c>
      <c r="C81" s="1" t="s">
        <v>3087</v>
      </c>
      <c r="D81" s="332"/>
      <c r="E81" s="678" t="str">
        <f>IF(G81="","",_xlfn.IFNA(VLOOKUP($H81,Ingredient_prices!$B:$C,2,FALSE),""))</f>
        <v>Plasma biscuit</v>
      </c>
      <c r="F81" s="1199" t="str">
        <f t="shared" si="43"/>
        <v>ПАРТИЈА 2</v>
      </c>
      <c r="G81" s="1389">
        <v>51</v>
      </c>
      <c r="H81" s="1389" t="s">
        <v>857</v>
      </c>
      <c r="I81" s="1389" t="s">
        <v>2680</v>
      </c>
      <c r="J81" s="1389">
        <v>75</v>
      </c>
      <c r="K81" s="1392" t="s">
        <v>2327</v>
      </c>
      <c r="L81" s="1396">
        <v>3500</v>
      </c>
      <c r="N81" s="1381">
        <v>44</v>
      </c>
      <c r="O81" s="1383">
        <f t="shared" si="37"/>
        <v>20</v>
      </c>
      <c r="P81" s="1382">
        <f t="shared" si="38"/>
        <v>52.8</v>
      </c>
      <c r="Q81" s="1383">
        <f t="shared" si="39"/>
        <v>154000</v>
      </c>
      <c r="R81" s="1383">
        <f t="shared" si="40"/>
        <v>184800</v>
      </c>
      <c r="T81" s="101">
        <f>IF(O81="","",IF('Charts and graphs'!$C$6="Conventional",IF(N81&gt;0,1000*P81/J81,""),IF(VLOOKUP($E81,$Y:$AE,7,FALSE)=0,IF(N81&gt;0,1000*P81/J81,""),VLOOKUP($E81,$Y:$AE,7,FALSE))))</f>
        <v>704</v>
      </c>
      <c r="U81" s="101">
        <f t="shared" si="41"/>
        <v>704</v>
      </c>
      <c r="V81" s="101">
        <f t="shared" si="44"/>
        <v>704</v>
      </c>
      <c r="W81" s="332"/>
      <c r="Y81" s="1" t="s">
        <v>1835</v>
      </c>
      <c r="Z81" s="1">
        <v>10</v>
      </c>
      <c r="AA81" s="749" t="s">
        <v>2378</v>
      </c>
      <c r="AG81" s="5" t="str">
        <f t="shared" si="42"/>
        <v/>
      </c>
      <c r="AH81" s="5" t="str">
        <f>IF(AG81="","",VLOOKUP($Y81,Nutrition_tables!$A:$N,10,FALSE))</f>
        <v/>
      </c>
      <c r="AI81" s="5" t="str">
        <f t="shared" si="36"/>
        <v/>
      </c>
    </row>
    <row r="82" spans="1:37" ht="16">
      <c r="A82" s="699"/>
      <c r="B82" s="1" t="s">
        <v>1722</v>
      </c>
      <c r="C82" s="1" t="s">
        <v>3427</v>
      </c>
      <c r="D82" s="332"/>
      <c r="E82" s="678" t="str">
        <f>IF(G82="","",_xlfn.IFNA(VLOOKUP($H82,Ingredient_prices!$B:$C,2,FALSE),""))</f>
        <v>Napolitanke wafers</v>
      </c>
      <c r="F82" s="1199" t="str">
        <f t="shared" si="43"/>
        <v>ПАРТИЈА 2</v>
      </c>
      <c r="G82" s="1389">
        <v>52</v>
      </c>
      <c r="H82" s="1389" t="s">
        <v>858</v>
      </c>
      <c r="I82" s="1389" t="s">
        <v>2681</v>
      </c>
      <c r="J82" s="1389">
        <v>400</v>
      </c>
      <c r="K82" s="1392" t="s">
        <v>2327</v>
      </c>
      <c r="L82" s="1389">
        <v>150</v>
      </c>
      <c r="N82" s="1381">
        <v>70</v>
      </c>
      <c r="O82" s="1383">
        <f t="shared" si="37"/>
        <v>20</v>
      </c>
      <c r="P82" s="1382">
        <f t="shared" si="38"/>
        <v>84</v>
      </c>
      <c r="Q82" s="1383">
        <f t="shared" si="39"/>
        <v>10500</v>
      </c>
      <c r="R82" s="1383">
        <f t="shared" si="40"/>
        <v>12600</v>
      </c>
      <c r="T82" s="101">
        <f>IF(O82="","",IF('Charts and graphs'!$C$6="Conventional",IF(N82&gt;0,1000*P82/J82,""),IF(VLOOKUP($E82,$Y:$AE,7,FALSE)=0,IF(N82&gt;0,1000*P82/J82,""),VLOOKUP($E82,$Y:$AE,7,FALSE))))</f>
        <v>210</v>
      </c>
      <c r="U82" s="101">
        <f t="shared" si="41"/>
        <v>210</v>
      </c>
      <c r="V82" s="101">
        <f t="shared" si="44"/>
        <v>210</v>
      </c>
      <c r="W82" s="332"/>
      <c r="Y82" s="1" t="s">
        <v>3148</v>
      </c>
      <c r="Z82" s="1">
        <v>10</v>
      </c>
      <c r="AA82" s="749" t="s">
        <v>2378</v>
      </c>
      <c r="AB82" s="740">
        <v>250</v>
      </c>
      <c r="AC82" s="740"/>
      <c r="AD82" s="1" t="s">
        <v>32</v>
      </c>
      <c r="AE82" s="1"/>
      <c r="AG82" s="5" t="str">
        <f t="shared" si="42"/>
        <v/>
      </c>
      <c r="AH82" s="5" t="str">
        <f>IF(AG82="","",VLOOKUP($Y82,Nutrition_tables!$A:$N,10,FALSE))</f>
        <v/>
      </c>
      <c r="AI82" s="5" t="str">
        <f t="shared" si="36"/>
        <v/>
      </c>
    </row>
    <row r="83" spans="1:37" ht="16">
      <c r="A83" s="699"/>
      <c r="B83" s="1" t="s">
        <v>2042</v>
      </c>
      <c r="C83" s="1" t="s">
        <v>3427</v>
      </c>
      <c r="D83" s="332"/>
      <c r="E83" s="678" t="str">
        <f>IF(G83="","",_xlfn.IFNA(VLOOKUP($H83,Ingredient_prices!$B:$C,2,FALSE),""))</f>
        <v>Nesquik</v>
      </c>
      <c r="F83" s="1199" t="str">
        <f t="shared" si="43"/>
        <v>ПАРТИЈА 2</v>
      </c>
      <c r="G83" s="1389">
        <v>53</v>
      </c>
      <c r="H83" s="1389" t="s">
        <v>1198</v>
      </c>
      <c r="I83" s="1389" t="s">
        <v>2682</v>
      </c>
      <c r="J83" s="1389">
        <v>800</v>
      </c>
      <c r="K83" s="1392" t="s">
        <v>2327</v>
      </c>
      <c r="L83" s="1389">
        <v>25</v>
      </c>
      <c r="N83" s="1381">
        <v>422</v>
      </c>
      <c r="O83" s="1383">
        <f t="shared" si="37"/>
        <v>20</v>
      </c>
      <c r="P83" s="1382">
        <f t="shared" si="38"/>
        <v>506.4</v>
      </c>
      <c r="Q83" s="1383">
        <f t="shared" si="39"/>
        <v>10550</v>
      </c>
      <c r="R83" s="1383">
        <f t="shared" si="40"/>
        <v>12660</v>
      </c>
      <c r="T83" s="101">
        <f>IF(O83="","",IF('Charts and graphs'!$C$6="Conventional",IF(N83&gt;0,1000*P83/J83,""),IF(VLOOKUP($E83,$Y:$AE,7,FALSE)=0,IF(N83&gt;0,1000*P83/J83,""),VLOOKUP($E83,$Y:$AE,7,FALSE))))</f>
        <v>633</v>
      </c>
      <c r="U83" s="101">
        <f t="shared" si="41"/>
        <v>633</v>
      </c>
      <c r="V83" s="101">
        <f t="shared" si="44"/>
        <v>633</v>
      </c>
      <c r="W83" s="332"/>
      <c r="Y83" s="749" t="s">
        <v>3163</v>
      </c>
      <c r="Z83" s="1">
        <v>10</v>
      </c>
      <c r="AA83" s="749" t="s">
        <v>2378</v>
      </c>
      <c r="AG83" s="5" t="str">
        <f t="shared" si="42"/>
        <v/>
      </c>
      <c r="AH83" s="5" t="str">
        <f>IF(AG83="","",VLOOKUP($Y83,Nutrition_tables!$A:$N,10,FALSE))</f>
        <v/>
      </c>
      <c r="AI83" s="5" t="str">
        <f t="shared" si="36"/>
        <v/>
      </c>
    </row>
    <row r="84" spans="1:37" ht="15" customHeight="1">
      <c r="A84" s="699"/>
      <c r="B84" s="1" t="s">
        <v>2044</v>
      </c>
      <c r="C84" s="1" t="s">
        <v>3427</v>
      </c>
      <c r="D84" s="332"/>
      <c r="E84" s="678" t="str">
        <f>IF(G84="","",_xlfn.IFNA(VLOOKUP($H84,Ingredient_prices!$B:$C,2,FALSE),""))</f>
        <v>Hibiscus tea</v>
      </c>
      <c r="F84" s="1199" t="str">
        <f t="shared" si="43"/>
        <v>ПАРТИЈА 2</v>
      </c>
      <c r="G84" s="1389">
        <v>54</v>
      </c>
      <c r="H84" s="1389" t="s">
        <v>859</v>
      </c>
      <c r="I84" s="1389" t="s">
        <v>2683</v>
      </c>
      <c r="J84" s="1389">
        <v>1000</v>
      </c>
      <c r="K84" s="1392" t="s">
        <v>2328</v>
      </c>
      <c r="L84" s="1389">
        <v>10</v>
      </c>
      <c r="N84" s="1381">
        <v>460</v>
      </c>
      <c r="O84" s="1383">
        <f t="shared" si="37"/>
        <v>20</v>
      </c>
      <c r="P84" s="1382">
        <f t="shared" si="38"/>
        <v>552</v>
      </c>
      <c r="Q84" s="1383">
        <f t="shared" si="39"/>
        <v>4600</v>
      </c>
      <c r="R84" s="1383">
        <f t="shared" si="40"/>
        <v>5520</v>
      </c>
      <c r="T84" s="101">
        <f>IF(O84="","",IF('Charts and graphs'!$C$6="Conventional",IF(N84&gt;0,1000*P84/J84,""),IF(VLOOKUP($E84,$Y:$AE,7,FALSE)=0,IF(N84&gt;0,1000*P84/J84,""),VLOOKUP($E84,$Y:$AE,7,FALSE))))</f>
        <v>552</v>
      </c>
      <c r="U84" s="101">
        <f t="shared" si="41"/>
        <v>552</v>
      </c>
      <c r="V84" s="101">
        <f t="shared" si="44"/>
        <v>552</v>
      </c>
      <c r="W84" s="332"/>
      <c r="Y84" s="749" t="s">
        <v>3149</v>
      </c>
      <c r="Z84" s="1">
        <v>10</v>
      </c>
      <c r="AA84" s="749" t="s">
        <v>2378</v>
      </c>
      <c r="AG84" s="5">
        <f t="shared" si="42"/>
        <v>231</v>
      </c>
      <c r="AH84" s="5">
        <f>IF(AG84="","",VLOOKUP($Y84,Nutrition_tables!$A:$N,10,FALSE))</f>
        <v>167</v>
      </c>
      <c r="AI84" s="5">
        <f t="shared" si="36"/>
        <v>0.13832335329341316</v>
      </c>
    </row>
    <row r="85" spans="1:37" ht="16">
      <c r="A85" s="699"/>
      <c r="B85" s="1" t="s">
        <v>1392</v>
      </c>
      <c r="C85" s="1" t="s">
        <v>3090</v>
      </c>
      <c r="D85" s="332"/>
      <c r="E85" s="678" t="str">
        <f>IF(G85="","",_xlfn.IFNA(VLOOKUP($H85,Ingredient_prices!$B:$C,2,FALSE),""))</f>
        <v>Rose hip tea</v>
      </c>
      <c r="F85" s="1199" t="str">
        <f t="shared" si="43"/>
        <v>ПАРТИЈА 2</v>
      </c>
      <c r="G85" s="1389">
        <v>55</v>
      </c>
      <c r="H85" s="1389" t="s">
        <v>2306</v>
      </c>
      <c r="I85" s="1389" t="s">
        <v>2683</v>
      </c>
      <c r="J85" s="1389">
        <v>1000</v>
      </c>
      <c r="K85" s="1392" t="s">
        <v>2328</v>
      </c>
      <c r="L85" s="1389">
        <v>5</v>
      </c>
      <c r="N85" s="1381">
        <v>276</v>
      </c>
      <c r="O85" s="1383">
        <f t="shared" si="37"/>
        <v>20</v>
      </c>
      <c r="P85" s="1382">
        <f t="shared" si="38"/>
        <v>331.2</v>
      </c>
      <c r="Q85" s="1383">
        <f t="shared" si="39"/>
        <v>1380</v>
      </c>
      <c r="R85" s="1383">
        <f t="shared" si="40"/>
        <v>1656</v>
      </c>
      <c r="T85" s="101">
        <f>IF(O85="","",IF('Charts and graphs'!$C$6="Conventional",IF(N85&gt;0,1000*P85/J85,""),IF(VLOOKUP($E85,$Y:$AE,7,FALSE)=0,IF(N85&gt;0,1000*P85/J85,""),VLOOKUP($E85,$Y:$AE,7,FALSE))))</f>
        <v>331.2</v>
      </c>
      <c r="U85" s="101">
        <f t="shared" si="41"/>
        <v>331.2</v>
      </c>
      <c r="V85" s="101">
        <f t="shared" si="44"/>
        <v>331.2</v>
      </c>
      <c r="W85" s="332"/>
      <c r="Y85" s="1" t="s">
        <v>3150</v>
      </c>
      <c r="Z85" s="1">
        <v>10</v>
      </c>
      <c r="AA85" s="749" t="s">
        <v>2378</v>
      </c>
      <c r="AG85" s="5">
        <f t="shared" si="42"/>
        <v>225.5</v>
      </c>
      <c r="AH85" s="5">
        <f>IF(AG85="","",VLOOKUP($Y85,Nutrition_tables!$A:$N,10,FALSE))</f>
        <v>167</v>
      </c>
      <c r="AI85" s="5">
        <f t="shared" si="36"/>
        <v>0.13502994011976047</v>
      </c>
    </row>
    <row r="86" spans="1:37" ht="16">
      <c r="A86" s="699"/>
      <c r="B86" s="1" t="s">
        <v>2423</v>
      </c>
      <c r="C86" s="1" t="s">
        <v>3105</v>
      </c>
      <c r="D86" s="332"/>
      <c r="E86" s="678" t="str">
        <f>IF(G86="","",_xlfn.IFNA(VLOOKUP($H86,Ingredient_prices!$B:$C,2,FALSE),""))</f>
        <v>Chicken egg, whole</v>
      </c>
      <c r="F86" s="1199" t="str">
        <f t="shared" si="43"/>
        <v>ПАРТИЈА 2</v>
      </c>
      <c r="G86" s="1389">
        <v>56</v>
      </c>
      <c r="H86" s="1389" t="s">
        <v>860</v>
      </c>
      <c r="I86" s="1389" t="s">
        <v>2684</v>
      </c>
      <c r="J86" s="1389">
        <v>60</v>
      </c>
      <c r="K86" s="1392" t="s">
        <v>2327</v>
      </c>
      <c r="L86" s="1397">
        <v>3800</v>
      </c>
      <c r="N86" s="1381">
        <v>10</v>
      </c>
      <c r="O86" s="1383">
        <f t="shared" si="37"/>
        <v>10</v>
      </c>
      <c r="P86" s="1382">
        <f t="shared" si="38"/>
        <v>11</v>
      </c>
      <c r="Q86" s="1383">
        <f t="shared" si="39"/>
        <v>38000</v>
      </c>
      <c r="R86" s="1383">
        <f t="shared" si="40"/>
        <v>41800</v>
      </c>
      <c r="T86" s="101">
        <f>IF(O86="","",IF('Charts and graphs'!$C$6="Conventional",IF(N86&gt;0,1000*P86/J86,""),IF(VLOOKUP($E86,$Y:$AE,7,FALSE)=0,IF(N86&gt;0,1000*P86/J86,""),VLOOKUP($E86,$Y:$AE,7,FALSE))))</f>
        <v>183.33333333333334</v>
      </c>
      <c r="U86" s="101">
        <f t="shared" si="41"/>
        <v>183.33333333333334</v>
      </c>
      <c r="V86" s="101">
        <f t="shared" si="44"/>
        <v>183.33333333333334</v>
      </c>
      <c r="W86" s="332"/>
      <c r="Y86" s="1" t="s">
        <v>3444</v>
      </c>
      <c r="Z86" s="1">
        <v>10</v>
      </c>
      <c r="AA86" s="749" t="s">
        <v>2378</v>
      </c>
      <c r="AG86" s="5">
        <f t="shared" si="42"/>
        <v>440</v>
      </c>
      <c r="AH86" s="5">
        <f>IF(AG86="","",VLOOKUP($Y86,Nutrition_tables!$A:$N,10,FALSE))</f>
        <v>104</v>
      </c>
      <c r="AI86" s="5">
        <f t="shared" si="36"/>
        <v>0.42307692307692307</v>
      </c>
    </row>
    <row r="87" spans="1:37" ht="16">
      <c r="A87" s="699"/>
      <c r="B87" s="1" t="s">
        <v>920</v>
      </c>
      <c r="C87" s="1" t="s">
        <v>3106</v>
      </c>
      <c r="D87" s="400"/>
      <c r="E87" s="678" t="str">
        <f>IF(G87="","",_xlfn.IFNA(VLOOKUP($H87,Ingredient_prices!$B:$C,2,FALSE),""))</f>
        <v>Nutella</v>
      </c>
      <c r="F87" s="1199" t="str">
        <f t="shared" si="43"/>
        <v>ПАРТИЈА 2</v>
      </c>
      <c r="G87" s="1389">
        <v>57</v>
      </c>
      <c r="H87" s="1389" t="s">
        <v>861</v>
      </c>
      <c r="I87" s="1389" t="s">
        <v>2685</v>
      </c>
      <c r="J87" s="1389">
        <v>750</v>
      </c>
      <c r="K87" s="1392" t="s">
        <v>2327</v>
      </c>
      <c r="L87" s="1389">
        <v>100</v>
      </c>
      <c r="N87" s="1381">
        <v>490</v>
      </c>
      <c r="O87" s="1383">
        <f t="shared" si="37"/>
        <v>20</v>
      </c>
      <c r="P87" s="1382">
        <f t="shared" si="38"/>
        <v>588</v>
      </c>
      <c r="Q87" s="1383">
        <f t="shared" si="39"/>
        <v>49000</v>
      </c>
      <c r="R87" s="1383">
        <f t="shared" si="40"/>
        <v>58800</v>
      </c>
      <c r="T87" s="101">
        <f>IF(O87="","",IF('Charts and graphs'!$C$6="Conventional",IF(N87&gt;0,1000*P87/J87,""),IF(VLOOKUP($E87,$Y:$AE,7,FALSE)=0,IF(N87&gt;0,1000*P87/J87,""),VLOOKUP($E87,$Y:$AE,7,FALSE))))</f>
        <v>784</v>
      </c>
      <c r="U87" s="101">
        <f t="shared" si="41"/>
        <v>784</v>
      </c>
      <c r="V87" s="101">
        <f t="shared" si="44"/>
        <v>784</v>
      </c>
      <c r="W87" s="332"/>
      <c r="Y87" s="1" t="s">
        <v>3151</v>
      </c>
      <c r="Z87" s="1">
        <v>10</v>
      </c>
      <c r="AA87" s="749" t="s">
        <v>2378</v>
      </c>
      <c r="AG87" s="5" t="str">
        <f t="shared" si="42"/>
        <v/>
      </c>
      <c r="AH87" s="5" t="str">
        <f>IF(AG87="","",VLOOKUP($Y87,Nutrition_tables!$A:$N,10,FALSE))</f>
        <v/>
      </c>
      <c r="AI87" s="5" t="str">
        <f t="shared" si="36"/>
        <v/>
      </c>
    </row>
    <row r="88" spans="1:37" ht="15" customHeight="1">
      <c r="A88" s="699"/>
      <c r="B88" s="1" t="s">
        <v>820</v>
      </c>
      <c r="C88" s="1" t="s">
        <v>3105</v>
      </c>
      <c r="D88" s="332"/>
      <c r="E88" s="678" t="str">
        <f>IF(G88="","",_xlfn.IFNA(VLOOKUP($H88,Ingredient_prices!$B:$C,2,FALSE),""))</f>
        <v>Euro cream</v>
      </c>
      <c r="F88" s="1199" t="str">
        <f t="shared" ref="F88:F119" si="45">IF(H88="","",IF(OR(LEFT(G88,1)="П",LEFT(G88,1)="P"),G88,F87))</f>
        <v>ПАРТИЈА 2</v>
      </c>
      <c r="G88" s="1389">
        <v>58</v>
      </c>
      <c r="H88" s="1389" t="s">
        <v>862</v>
      </c>
      <c r="I88" s="1389" t="s">
        <v>2686</v>
      </c>
      <c r="J88" s="1389">
        <v>2500</v>
      </c>
      <c r="K88" s="1392" t="s">
        <v>2327</v>
      </c>
      <c r="L88" s="1389">
        <v>50</v>
      </c>
      <c r="N88" s="1381">
        <v>1080</v>
      </c>
      <c r="O88" s="1383">
        <f t="shared" si="37"/>
        <v>20</v>
      </c>
      <c r="P88" s="1382">
        <f t="shared" si="38"/>
        <v>1296</v>
      </c>
      <c r="Q88" s="1383">
        <f t="shared" si="39"/>
        <v>54000</v>
      </c>
      <c r="R88" s="1383">
        <f t="shared" si="40"/>
        <v>64800</v>
      </c>
      <c r="T88" s="101">
        <f>IF(O88="","",IF('Charts and graphs'!$C$6="Conventional",IF(N88&gt;0,1000*P88/J88,""),IF(VLOOKUP($E88,$Y:$AE,7,FALSE)=0,IF(N88&gt;0,1000*P88/J88,""),VLOOKUP($E88,$Y:$AE,7,FALSE))))</f>
        <v>518.4</v>
      </c>
      <c r="U88" s="101">
        <f t="shared" si="41"/>
        <v>518.4</v>
      </c>
      <c r="V88" s="101">
        <f t="shared" si="44"/>
        <v>518.4</v>
      </c>
      <c r="W88" s="332"/>
      <c r="Y88" s="749" t="s">
        <v>3164</v>
      </c>
      <c r="Z88" s="1">
        <v>10</v>
      </c>
      <c r="AA88" s="749" t="s">
        <v>2378</v>
      </c>
      <c r="AG88" s="5" t="str">
        <f t="shared" si="42"/>
        <v/>
      </c>
      <c r="AH88" s="5" t="str">
        <f>IF(AG88="","",VLOOKUP($Y88,Nutrition_tables!$A:$N,10,FALSE))</f>
        <v/>
      </c>
      <c r="AI88" s="5" t="str">
        <f t="shared" si="36"/>
        <v/>
      </c>
    </row>
    <row r="89" spans="1:37" ht="15" customHeight="1">
      <c r="A89" s="699"/>
      <c r="B89" s="1" t="s">
        <v>2011</v>
      </c>
      <c r="C89" s="1" t="s">
        <v>3091</v>
      </c>
      <c r="D89" s="332"/>
      <c r="E89" s="678" t="str">
        <f>IF(G89="","",_xlfn.IFNA(VLOOKUP($H89,Ingredient_prices!$B:$C,2,FALSE),""))</f>
        <v>Noodles with egg</v>
      </c>
      <c r="F89" s="1199" t="str">
        <f t="shared" si="45"/>
        <v>ПАРТИЈА 2</v>
      </c>
      <c r="G89" s="1389">
        <v>59</v>
      </c>
      <c r="H89" s="1389" t="s">
        <v>2307</v>
      </c>
      <c r="I89" s="1389" t="s">
        <v>2687</v>
      </c>
      <c r="J89" s="1389">
        <v>200</v>
      </c>
      <c r="K89" s="1392" t="s">
        <v>2327</v>
      </c>
      <c r="L89" s="1389">
        <v>30</v>
      </c>
      <c r="N89" s="1381">
        <v>78</v>
      </c>
      <c r="O89" s="1383">
        <f t="shared" si="37"/>
        <v>20</v>
      </c>
      <c r="P89" s="1382">
        <f t="shared" si="38"/>
        <v>93.6</v>
      </c>
      <c r="Q89" s="1383">
        <f t="shared" si="39"/>
        <v>2340</v>
      </c>
      <c r="R89" s="1383">
        <f t="shared" si="40"/>
        <v>2808</v>
      </c>
      <c r="T89" s="101">
        <f>IF(O89="","",IF('Charts and graphs'!$C$6="Conventional",IF(N89&gt;0,1000*P89/J89,""),IF(VLOOKUP($E89,$Y:$AE,7,FALSE)=0,IF(N89&gt;0,1000*P89/J89,""),VLOOKUP($E89,$Y:$AE,7,FALSE))))</f>
        <v>468</v>
      </c>
      <c r="U89" s="101">
        <f t="shared" si="41"/>
        <v>468</v>
      </c>
      <c r="V89" s="101">
        <f t="shared" si="44"/>
        <v>468</v>
      </c>
      <c r="W89" s="332"/>
      <c r="Y89" s="1" t="s">
        <v>3153</v>
      </c>
      <c r="Z89" s="1">
        <v>10</v>
      </c>
      <c r="AA89" s="749" t="s">
        <v>2378</v>
      </c>
      <c r="AG89" s="5" t="str">
        <f t="shared" si="42"/>
        <v/>
      </c>
      <c r="AH89" s="5" t="str">
        <f>IF(AG89="","",VLOOKUP($Y89,Nutrition_tables!$A:$N,10,FALSE))</f>
        <v/>
      </c>
      <c r="AI89" s="5" t="str">
        <f t="shared" si="36"/>
        <v/>
      </c>
    </row>
    <row r="90" spans="1:37" ht="16">
      <c r="A90" s="699"/>
      <c r="B90" s="679" t="s">
        <v>2402</v>
      </c>
      <c r="C90" s="1" t="s">
        <v>3105</v>
      </c>
      <c r="D90" s="332"/>
      <c r="E90" s="678" t="str">
        <f>IF(G90="","",_xlfn.IFNA(VLOOKUP($H90,Ingredient_prices!$B:$C,2,FALSE),""))</f>
        <v>Noodles lace</v>
      </c>
      <c r="F90" s="1199" t="str">
        <f t="shared" si="45"/>
        <v>ПАРТИЈА 2</v>
      </c>
      <c r="G90" s="1389">
        <v>60</v>
      </c>
      <c r="H90" s="1389" t="s">
        <v>2365</v>
      </c>
      <c r="I90" s="1389" t="s">
        <v>2688</v>
      </c>
      <c r="J90" s="1389">
        <v>200</v>
      </c>
      <c r="K90" s="1392" t="s">
        <v>2327</v>
      </c>
      <c r="L90" s="1389">
        <v>80</v>
      </c>
      <c r="N90" s="1381">
        <v>78</v>
      </c>
      <c r="O90" s="1383">
        <f t="shared" si="37"/>
        <v>20</v>
      </c>
      <c r="P90" s="1382">
        <f t="shared" si="38"/>
        <v>93.6</v>
      </c>
      <c r="Q90" s="1383">
        <f t="shared" si="39"/>
        <v>6240</v>
      </c>
      <c r="R90" s="1383">
        <f t="shared" si="40"/>
        <v>7488</v>
      </c>
      <c r="T90" s="101">
        <f>IF(O90="","",IF('Charts and graphs'!$C$6="Conventional",IF(N90&gt;0,1000*P90/J90,""),IF(VLOOKUP($E90,$Y:$AE,7,FALSE)=0,IF(N90&gt;0,1000*P90/J90,""),VLOOKUP($E90,$Y:$AE,7,FALSE))))</f>
        <v>468</v>
      </c>
      <c r="U90" s="101">
        <f t="shared" si="41"/>
        <v>468</v>
      </c>
      <c r="V90" s="101">
        <f t="shared" si="44"/>
        <v>468</v>
      </c>
      <c r="W90" s="332"/>
      <c r="Y90" s="1" t="s">
        <v>3154</v>
      </c>
      <c r="Z90" s="1">
        <v>10</v>
      </c>
      <c r="AA90" s="749" t="s">
        <v>2378</v>
      </c>
      <c r="AG90" s="5" t="str">
        <f t="shared" si="42"/>
        <v/>
      </c>
      <c r="AH90" s="5" t="str">
        <f>IF(AG90="","",VLOOKUP($Y90,Nutrition_tables!$A:$N,10,FALSE))</f>
        <v/>
      </c>
      <c r="AI90" s="5" t="str">
        <f t="shared" si="36"/>
        <v/>
      </c>
    </row>
    <row r="91" spans="1:37" ht="16">
      <c r="A91" s="699"/>
      <c r="B91" s="1" t="s">
        <v>1310</v>
      </c>
      <c r="C91" s="1" t="s">
        <v>3105</v>
      </c>
      <c r="D91" s="332"/>
      <c r="E91" s="678" t="str">
        <f>IF(G91="","",_xlfn.IFNA(VLOOKUP($H91,Ingredient_prices!$B:$C,2,FALSE),""))</f>
        <v>Pasta fusilli</v>
      </c>
      <c r="F91" s="1199" t="str">
        <f t="shared" si="45"/>
        <v>ПАРТИЈА 2</v>
      </c>
      <c r="G91" s="1389">
        <v>61</v>
      </c>
      <c r="H91" s="1393" t="s">
        <v>2308</v>
      </c>
      <c r="I91" s="1393" t="s">
        <v>2689</v>
      </c>
      <c r="J91" s="1393">
        <v>500</v>
      </c>
      <c r="K91" s="1394" t="s">
        <v>2327</v>
      </c>
      <c r="L91" s="1389">
        <v>400</v>
      </c>
      <c r="N91" s="1381">
        <v>144</v>
      </c>
      <c r="O91" s="1383">
        <f t="shared" si="37"/>
        <v>20</v>
      </c>
      <c r="P91" s="1382">
        <f t="shared" si="38"/>
        <v>172.8</v>
      </c>
      <c r="Q91" s="1383">
        <f t="shared" si="39"/>
        <v>57600</v>
      </c>
      <c r="R91" s="1383">
        <f t="shared" si="40"/>
        <v>69120</v>
      </c>
      <c r="T91" s="101">
        <f>IF(O91="","",IF('Charts and graphs'!$C$6="Conventional",IF(N91&gt;0,1000*P91/J91,""),IF(VLOOKUP($E91,$Y:$AE,7,FALSE)=0,IF(N91&gt;0,1000*P91/J91,""),VLOOKUP($E91,$Y:$AE,7,FALSE))))</f>
        <v>345.6</v>
      </c>
      <c r="U91" s="101">
        <f t="shared" si="41"/>
        <v>345.6</v>
      </c>
      <c r="V91" s="101">
        <f t="shared" si="44"/>
        <v>345.6</v>
      </c>
      <c r="W91" s="332"/>
      <c r="Y91" s="1" t="s">
        <v>3155</v>
      </c>
      <c r="Z91" s="1">
        <v>10</v>
      </c>
      <c r="AA91" s="749" t="s">
        <v>2378</v>
      </c>
      <c r="AG91" s="5">
        <f t="shared" si="42"/>
        <v>433.4</v>
      </c>
      <c r="AH91" s="5">
        <f>IF(AG91="","",VLOOKUP($Y91,Nutrition_tables!$A:$N,10,FALSE))</f>
        <v>241.70000000000002</v>
      </c>
      <c r="AI91" s="5">
        <f t="shared" si="36"/>
        <v>0.17931319817956143</v>
      </c>
    </row>
    <row r="92" spans="1:37" ht="16">
      <c r="A92" s="699"/>
      <c r="B92" s="1" t="s">
        <v>1458</v>
      </c>
      <c r="C92" s="1" t="s">
        <v>3105</v>
      </c>
      <c r="D92" s="332"/>
      <c r="E92" s="678" t="str">
        <f>IF(G92="","",_xlfn.IFNA(VLOOKUP($H92,Ingredient_prices!$B:$C,2,FALSE),""))</f>
        <v>Pasta spaghetti</v>
      </c>
      <c r="F92" s="1199" t="str">
        <f t="shared" si="45"/>
        <v>ПАРТИЈА 2</v>
      </c>
      <c r="G92" s="1389">
        <v>62</v>
      </c>
      <c r="H92" s="1393" t="s">
        <v>1553</v>
      </c>
      <c r="I92" s="1393" t="s">
        <v>2690</v>
      </c>
      <c r="J92" s="1393">
        <v>1000</v>
      </c>
      <c r="K92" s="1394" t="s">
        <v>2327</v>
      </c>
      <c r="L92" s="1389">
        <v>20</v>
      </c>
      <c r="N92" s="1381">
        <v>230</v>
      </c>
      <c r="O92" s="1383">
        <f t="shared" si="37"/>
        <v>20</v>
      </c>
      <c r="P92" s="1382">
        <f t="shared" si="38"/>
        <v>276</v>
      </c>
      <c r="Q92" s="1383">
        <f t="shared" si="39"/>
        <v>4600</v>
      </c>
      <c r="R92" s="1383">
        <f t="shared" si="40"/>
        <v>5520</v>
      </c>
      <c r="T92" s="101">
        <f>IF(O92="","",IF('Charts and graphs'!$C$6="Conventional",IF(N92&gt;0,1000*P92/J92,""),IF(VLOOKUP($E92,$Y:$AE,7,FALSE)=0,IF(N92&gt;0,1000*P92/J92,""),VLOOKUP($E92,$Y:$AE,7,FALSE))))</f>
        <v>276</v>
      </c>
      <c r="U92" s="101">
        <f t="shared" si="41"/>
        <v>276</v>
      </c>
      <c r="V92" s="101">
        <f t="shared" si="44"/>
        <v>276</v>
      </c>
      <c r="W92" s="332"/>
      <c r="Y92" s="1" t="s">
        <v>3441</v>
      </c>
      <c r="Z92" s="1">
        <v>10</v>
      </c>
      <c r="AA92" s="749" t="s">
        <v>2378</v>
      </c>
      <c r="AG92" s="5" t="str">
        <f t="shared" si="42"/>
        <v/>
      </c>
      <c r="AH92" s="5" t="str">
        <f>IF(AG92="","",VLOOKUP($Y92,Nutrition_tables!$A:$N,10,FALSE))</f>
        <v/>
      </c>
      <c r="AI92" s="5" t="str">
        <f t="shared" si="36"/>
        <v/>
      </c>
    </row>
    <row r="93" spans="1:37" ht="15" customHeight="1">
      <c r="A93" s="699"/>
      <c r="B93" s="1" t="s">
        <v>1355</v>
      </c>
      <c r="C93" s="1" t="s">
        <v>3105</v>
      </c>
      <c r="D93" s="332"/>
      <c r="E93" s="678" t="str">
        <f>IF(G93="","",_xlfn.IFNA(VLOOKUP($H93,Ingredient_prices!$B:$C,2,FALSE),""))</f>
        <v>Lasagna sheets</v>
      </c>
      <c r="F93" s="1199" t="str">
        <f t="shared" si="45"/>
        <v>ПАРТИЈА 2</v>
      </c>
      <c r="G93" s="1389">
        <v>63</v>
      </c>
      <c r="H93" s="1389" t="s">
        <v>2309</v>
      </c>
      <c r="I93" s="1389" t="s">
        <v>2691</v>
      </c>
      <c r="J93" s="1389">
        <v>500</v>
      </c>
      <c r="K93" s="1392" t="s">
        <v>2327</v>
      </c>
      <c r="L93" s="1389">
        <v>50</v>
      </c>
      <c r="N93" s="1381">
        <v>346</v>
      </c>
      <c r="O93" s="1383">
        <f t="shared" si="37"/>
        <v>20</v>
      </c>
      <c r="P93" s="1382">
        <f t="shared" si="38"/>
        <v>415.2</v>
      </c>
      <c r="Q93" s="1383">
        <f t="shared" si="39"/>
        <v>17300</v>
      </c>
      <c r="R93" s="1383">
        <f t="shared" si="40"/>
        <v>20760</v>
      </c>
      <c r="T93" s="101">
        <f>IF(O93="","",IF('Charts and graphs'!$C$6="Conventional",IF(N93&gt;0,1000*P93/J93,""),IF(VLOOKUP($E93,$Y:$AE,7,FALSE)=0,IF(N93&gt;0,1000*P93/J93,""),VLOOKUP($E93,$Y:$AE,7,FALSE))))</f>
        <v>830.4</v>
      </c>
      <c r="U93" s="101">
        <f t="shared" si="41"/>
        <v>830.4</v>
      </c>
      <c r="V93" s="101">
        <f t="shared" si="44"/>
        <v>830.4</v>
      </c>
      <c r="W93" s="332"/>
      <c r="Y93" s="1" t="s">
        <v>3156</v>
      </c>
      <c r="Z93" s="1">
        <v>10</v>
      </c>
      <c r="AA93" s="749" t="s">
        <v>2378</v>
      </c>
      <c r="AB93" s="741">
        <v>250</v>
      </c>
      <c r="AC93" s="741"/>
      <c r="AD93" s="1" t="s">
        <v>34</v>
      </c>
      <c r="AE93" s="1"/>
      <c r="AG93" s="5" t="str">
        <f t="shared" si="42"/>
        <v/>
      </c>
      <c r="AH93" s="5" t="str">
        <f>IF(AG93="","",VLOOKUP($Y93,Nutrition_tables!$A:$N,10,FALSE))</f>
        <v/>
      </c>
      <c r="AI93" s="5" t="str">
        <f t="shared" si="36"/>
        <v/>
      </c>
    </row>
    <row r="94" spans="1:37" ht="17">
      <c r="A94" s="699"/>
      <c r="B94" s="1" t="s">
        <v>1591</v>
      </c>
      <c r="C94" s="1" t="s">
        <v>3113</v>
      </c>
      <c r="D94" s="332"/>
      <c r="E94" s="678" t="str">
        <f>IF(G94="","",_xlfn.IFNA(VLOOKUP($H94,Ingredient_prices!$B:$C,2,FALSE),""))</f>
        <v/>
      </c>
      <c r="F94" s="1199" t="str">
        <f t="shared" si="45"/>
        <v>ПАРТИЈА 2</v>
      </c>
      <c r="G94" s="1389">
        <v>64</v>
      </c>
      <c r="H94" s="1389" t="s">
        <v>2692</v>
      </c>
      <c r="I94" s="1389" t="s">
        <v>2693</v>
      </c>
      <c r="J94" s="1395">
        <v>1000</v>
      </c>
      <c r="K94" s="1392" t="s">
        <v>2327</v>
      </c>
      <c r="L94" s="1389">
        <v>50</v>
      </c>
      <c r="N94" s="1381">
        <v>255</v>
      </c>
      <c r="O94" s="1383" t="str">
        <f t="shared" si="37"/>
        <v/>
      </c>
      <c r="P94" s="1382" t="str">
        <f t="shared" si="38"/>
        <v/>
      </c>
      <c r="Q94" s="1383" t="str">
        <f t="shared" si="39"/>
        <v/>
      </c>
      <c r="R94" s="1383" t="str">
        <f t="shared" si="40"/>
        <v/>
      </c>
      <c r="T94" s="101" t="str">
        <f>IF(O94="","",IF('Charts and graphs'!$C$6="Conventional",IF(N94&gt;0,1000*P94/J94,""),IF(VLOOKUP($E94,$Y:$AE,7,FALSE)=0,IF(N94&gt;0,1000*P94/J94,""),VLOOKUP($E94,$Y:$AE,7,FALSE))))</f>
        <v/>
      </c>
      <c r="U94" s="101" t="str">
        <f t="shared" si="41"/>
        <v/>
      </c>
      <c r="V94" s="101" t="str">
        <f t="shared" si="44"/>
        <v/>
      </c>
      <c r="W94" s="332"/>
      <c r="Y94" s="24" t="s">
        <v>3157</v>
      </c>
      <c r="Z94" s="24">
        <v>10</v>
      </c>
      <c r="AA94" s="492" t="s">
        <v>2378</v>
      </c>
      <c r="AG94" s="5">
        <f t="shared" si="42"/>
        <v>352</v>
      </c>
      <c r="AH94" s="5">
        <f>IF(AG94="","",VLOOKUP($Y94,Nutrition_tables!$A:$N,10,FALSE))</f>
        <v>270.10000000000002</v>
      </c>
      <c r="AI94" s="5">
        <f t="shared" si="36"/>
        <v>0.13032210292484264</v>
      </c>
    </row>
    <row r="95" spans="1:37" ht="15" customHeight="1">
      <c r="A95" s="699"/>
      <c r="B95" s="1" t="s">
        <v>1491</v>
      </c>
      <c r="C95" s="1" t="s">
        <v>3113</v>
      </c>
      <c r="D95" s="332"/>
      <c r="E95" s="678" t="str">
        <f>IF(G95="","",_xlfn.IFNA(VLOOKUP($H95,Ingredient_prices!$B:$C,2,FALSE),""))</f>
        <v>Walnuts</v>
      </c>
      <c r="F95" s="1199" t="str">
        <f t="shared" si="45"/>
        <v>ПАРТИЈА 2</v>
      </c>
      <c r="G95" s="1389">
        <v>65</v>
      </c>
      <c r="H95" s="1389" t="s">
        <v>864</v>
      </c>
      <c r="I95" s="1389" t="s">
        <v>2683</v>
      </c>
      <c r="J95" s="1389">
        <v>1000</v>
      </c>
      <c r="K95" s="1392" t="s">
        <v>2327</v>
      </c>
      <c r="L95" s="1389">
        <v>3</v>
      </c>
      <c r="M95" s="699"/>
      <c r="N95" s="1381">
        <v>850</v>
      </c>
      <c r="O95" s="1383">
        <f t="shared" si="37"/>
        <v>10</v>
      </c>
      <c r="P95" s="1382">
        <f t="shared" si="38"/>
        <v>935</v>
      </c>
      <c r="Q95" s="1383">
        <f t="shared" si="39"/>
        <v>2550</v>
      </c>
      <c r="R95" s="1383">
        <f t="shared" si="40"/>
        <v>2805</v>
      </c>
      <c r="S95" s="699"/>
      <c r="T95" s="101">
        <f>IF(O95="","",IF('Charts and graphs'!$C$6="Conventional",IF(N95&gt;0,1000*P95/J95,""),IF(VLOOKUP($E95,$Y:$AE,7,FALSE)=0,IF(N95&gt;0,1000*P95/J95,""),VLOOKUP($E95,$Y:$AE,7,FALSE))))</f>
        <v>935</v>
      </c>
      <c r="U95" s="101">
        <f t="shared" si="41"/>
        <v>935</v>
      </c>
      <c r="V95" s="101">
        <f t="shared" si="44"/>
        <v>935</v>
      </c>
      <c r="W95" s="332"/>
      <c r="Y95" s="749" t="s">
        <v>3172</v>
      </c>
      <c r="Z95" s="1">
        <v>20</v>
      </c>
      <c r="AA95" s="749" t="s">
        <v>2379</v>
      </c>
      <c r="AG95" s="5" t="str">
        <f t="shared" si="42"/>
        <v/>
      </c>
      <c r="AH95" s="5" t="str">
        <f>IF(AG95="","",VLOOKUP($Y95,Nutrition_tables!$A:$N,10,FALSE))</f>
        <v/>
      </c>
      <c r="AI95" s="5" t="str">
        <f>IF(AG95="","",AG95/(AH95*10))</f>
        <v/>
      </c>
    </row>
    <row r="96" spans="1:37" ht="16">
      <c r="A96" s="699"/>
      <c r="B96" s="1" t="s">
        <v>1312</v>
      </c>
      <c r="C96" s="1" t="s">
        <v>414</v>
      </c>
      <c r="D96" s="332"/>
      <c r="E96" s="678" t="str">
        <f>IF(G96="","",_xlfn.IFNA(VLOOKUP($H96,Ingredient_prices!$B:$C,2,FALSE),""))</f>
        <v>Wheat grains</v>
      </c>
      <c r="F96" s="1199" t="str">
        <f t="shared" si="45"/>
        <v>ПАРТИЈА 2</v>
      </c>
      <c r="G96" s="1389">
        <v>66</v>
      </c>
      <c r="H96" s="1389" t="s">
        <v>865</v>
      </c>
      <c r="I96" s="1389" t="s">
        <v>2694</v>
      </c>
      <c r="J96" s="1389">
        <v>1000</v>
      </c>
      <c r="K96" s="1392" t="s">
        <v>2327</v>
      </c>
      <c r="L96" s="1389">
        <v>3</v>
      </c>
      <c r="M96" s="699"/>
      <c r="N96" s="1381">
        <v>550</v>
      </c>
      <c r="O96" s="1383">
        <f t="shared" si="37"/>
        <v>10</v>
      </c>
      <c r="P96" s="1382">
        <f t="shared" si="38"/>
        <v>605</v>
      </c>
      <c r="Q96" s="1383">
        <f t="shared" si="39"/>
        <v>1650</v>
      </c>
      <c r="R96" s="1383">
        <f t="shared" si="40"/>
        <v>1815</v>
      </c>
      <c r="S96" s="699"/>
      <c r="T96" s="101">
        <f>IF(O96="","",IF('Charts and graphs'!$C$6="Conventional",IF(N96&gt;0,1000*P96/J96,""),IF(VLOOKUP($E96,$Y:$AE,7,FALSE)=0,IF(N96&gt;0,1000*P96/J96,""),VLOOKUP($E96,$Y:$AE,7,FALSE))))</f>
        <v>605</v>
      </c>
      <c r="U96" s="101">
        <f t="shared" si="41"/>
        <v>605</v>
      </c>
      <c r="V96" s="101">
        <f t="shared" si="44"/>
        <v>605</v>
      </c>
      <c r="W96" s="332"/>
      <c r="X96" s="1210"/>
      <c r="Y96" s="749" t="s">
        <v>3173</v>
      </c>
      <c r="Z96" s="53">
        <v>20</v>
      </c>
      <c r="AA96" s="749" t="s">
        <v>2379</v>
      </c>
      <c r="AB96" s="102"/>
      <c r="AC96" s="102"/>
      <c r="AD96" s="491"/>
      <c r="AE96" s="491"/>
      <c r="AF96" s="491"/>
      <c r="AG96" s="97" t="str">
        <f t="shared" si="42"/>
        <v/>
      </c>
      <c r="AH96" s="97" t="str">
        <f>IF(AG96="","",VLOOKUP($Y96,Nutrition_tables!$A:$N,10,FALSE))</f>
        <v/>
      </c>
      <c r="AI96" s="97" t="str">
        <f>IF(AG96="","",AG96/(AH96*10))</f>
        <v/>
      </c>
      <c r="AJ96" s="491"/>
      <c r="AK96" s="491"/>
    </row>
    <row r="97" spans="1:37" ht="16">
      <c r="A97" s="699"/>
      <c r="B97" s="1" t="s">
        <v>1311</v>
      </c>
      <c r="C97" s="1" t="s">
        <v>3100</v>
      </c>
      <c r="D97" s="332"/>
      <c r="E97" s="678" t="str">
        <f>IF(G97="","",_xlfn.IFNA(VLOOKUP($H97,Ingredient_prices!$B:$C,2,FALSE),""))</f>
        <v>Cedevita orange</v>
      </c>
      <c r="F97" s="1199" t="str">
        <f t="shared" si="45"/>
        <v>ПАРТИЈА 2</v>
      </c>
      <c r="G97" s="1389">
        <v>67</v>
      </c>
      <c r="H97" s="1393" t="s">
        <v>866</v>
      </c>
      <c r="I97" s="1393" t="s">
        <v>2683</v>
      </c>
      <c r="J97" s="1393">
        <v>1000</v>
      </c>
      <c r="K97" s="1392" t="s">
        <v>2327</v>
      </c>
      <c r="L97" s="1389">
        <v>70</v>
      </c>
      <c r="M97" s="699"/>
      <c r="N97" s="1381">
        <v>470</v>
      </c>
      <c r="O97" s="1383">
        <f t="shared" si="37"/>
        <v>20</v>
      </c>
      <c r="P97" s="1382">
        <f t="shared" si="38"/>
        <v>564</v>
      </c>
      <c r="Q97" s="1383">
        <f t="shared" si="39"/>
        <v>32900</v>
      </c>
      <c r="R97" s="1383">
        <f t="shared" si="40"/>
        <v>39480</v>
      </c>
      <c r="S97" s="699"/>
      <c r="T97" s="101">
        <f>IF(O97="","",IF('Charts and graphs'!$C$6="Conventional",IF(N97&gt;0,1000*P97/J97,""),IF(VLOOKUP($E97,$Y:$AE,7,FALSE)=0,IF(N97&gt;0,1000*P97/J97,""),VLOOKUP($E97,$Y:$AE,7,FALSE))))</f>
        <v>564</v>
      </c>
      <c r="U97" s="101">
        <f t="shared" si="41"/>
        <v>564</v>
      </c>
      <c r="V97" s="101">
        <f t="shared" si="44"/>
        <v>564</v>
      </c>
      <c r="W97" s="332"/>
      <c r="X97" s="1210"/>
      <c r="Y97" s="53" t="s">
        <v>3174</v>
      </c>
      <c r="Z97" s="53">
        <v>20</v>
      </c>
      <c r="AA97" s="749" t="s">
        <v>2379</v>
      </c>
      <c r="AB97" s="102"/>
      <c r="AC97" s="102"/>
      <c r="AD97" s="491"/>
      <c r="AE97" s="491"/>
      <c r="AF97" s="491"/>
      <c r="AG97" s="97" t="str">
        <f t="shared" si="42"/>
        <v/>
      </c>
      <c r="AH97" s="97" t="str">
        <f>IF(AG97="","",VLOOKUP($Y97,Nutrition_tables!$A:$N,10,FALSE))</f>
        <v/>
      </c>
      <c r="AI97" s="97" t="str">
        <f>IF(AG97="","",AG97/(AH97*10))</f>
        <v/>
      </c>
      <c r="AJ97" s="491"/>
      <c r="AK97" s="491"/>
    </row>
    <row r="98" spans="1:37" ht="16">
      <c r="A98" s="699"/>
      <c r="B98" s="679" t="s">
        <v>2125</v>
      </c>
      <c r="C98" s="1" t="s">
        <v>3138</v>
      </c>
      <c r="D98" s="332"/>
      <c r="E98" s="678" t="str">
        <f>IF(G98="","",_xlfn.IFNA(VLOOKUP($H98,Ingredient_prices!$B:$C,2,FALSE),""))</f>
        <v>Cedevita lemon</v>
      </c>
      <c r="F98" s="1199" t="str">
        <f t="shared" si="45"/>
        <v>ПАРТИЈА 2</v>
      </c>
      <c r="G98" s="1389">
        <v>68</v>
      </c>
      <c r="H98" s="1393" t="s">
        <v>867</v>
      </c>
      <c r="I98" s="1393" t="s">
        <v>2683</v>
      </c>
      <c r="J98" s="1393">
        <v>1000</v>
      </c>
      <c r="K98" s="1392" t="s">
        <v>2327</v>
      </c>
      <c r="L98" s="1389">
        <v>20</v>
      </c>
      <c r="M98" s="699"/>
      <c r="N98" s="1381">
        <v>470</v>
      </c>
      <c r="O98" s="1383">
        <f t="shared" si="37"/>
        <v>20</v>
      </c>
      <c r="P98" s="1382">
        <f t="shared" si="38"/>
        <v>564</v>
      </c>
      <c r="Q98" s="1383">
        <f t="shared" si="39"/>
        <v>9400</v>
      </c>
      <c r="R98" s="1383">
        <f t="shared" si="40"/>
        <v>11280</v>
      </c>
      <c r="S98" s="699"/>
      <c r="T98" s="101">
        <f>IF(O98="","",IF('Charts and graphs'!$C$6="Conventional",IF(N98&gt;0,1000*P98/J98,""),IF(VLOOKUP($E98,$Y:$AE,7,FALSE)=0,IF(N98&gt;0,1000*P98/J98,""),VLOOKUP($E98,$Y:$AE,7,FALSE))))</f>
        <v>564</v>
      </c>
      <c r="U98" s="101">
        <f t="shared" si="41"/>
        <v>564</v>
      </c>
      <c r="V98" s="101">
        <f t="shared" si="44"/>
        <v>564</v>
      </c>
      <c r="W98" s="332"/>
      <c r="Y98" s="491" t="s">
        <v>3165</v>
      </c>
      <c r="Z98" s="1">
        <v>20</v>
      </c>
      <c r="AA98" s="749" t="s">
        <v>2379</v>
      </c>
      <c r="AG98" s="5" t="str">
        <f t="shared" si="42"/>
        <v/>
      </c>
      <c r="AH98" s="5" t="str">
        <f>IF(AG98="","",VLOOKUP($Y98,Nutrition_tables!$A:$N,10,FALSE))</f>
        <v/>
      </c>
      <c r="AI98" s="5" t="str">
        <f t="shared" si="36"/>
        <v/>
      </c>
    </row>
    <row r="99" spans="1:37" ht="16">
      <c r="A99" s="699"/>
      <c r="B99" s="1" t="s">
        <v>2489</v>
      </c>
      <c r="C99" s="1" t="s">
        <v>3093</v>
      </c>
      <c r="D99" s="332"/>
      <c r="E99" s="678" t="str">
        <f>IF(G99="","",_xlfn.IFNA(VLOOKUP($H99,Ingredient_prices!$B:$C,2,FALSE),""))</f>
        <v>Apple juice</v>
      </c>
      <c r="F99" s="1199" t="str">
        <f t="shared" si="45"/>
        <v>ПАРТИЈА 2</v>
      </c>
      <c r="G99" s="1389">
        <v>69</v>
      </c>
      <c r="H99" s="1389" t="s">
        <v>2136</v>
      </c>
      <c r="I99" s="1389" t="s">
        <v>2695</v>
      </c>
      <c r="J99" s="1389">
        <v>200</v>
      </c>
      <c r="K99" s="1392" t="s">
        <v>2327</v>
      </c>
      <c r="L99" s="1397">
        <v>2000</v>
      </c>
      <c r="M99" s="699"/>
      <c r="N99" s="1381">
        <v>25</v>
      </c>
      <c r="O99" s="1383">
        <f t="shared" si="37"/>
        <v>20</v>
      </c>
      <c r="P99" s="1382">
        <f t="shared" si="38"/>
        <v>30</v>
      </c>
      <c r="Q99" s="1383">
        <f t="shared" si="39"/>
        <v>50000</v>
      </c>
      <c r="R99" s="1383">
        <f t="shared" si="40"/>
        <v>60000</v>
      </c>
      <c r="S99" s="699"/>
      <c r="T99" s="101">
        <f>IF(O99="","",IF('Charts and graphs'!$C$6="Conventional",IF(N99&gt;0,1000*P99/J99,""),IF(VLOOKUP($E99,$Y:$AE,7,FALSE)=0,IF(N99&gt;0,1000*P99/J99,""),VLOOKUP($E99,$Y:$AE,7,FALSE))))</f>
        <v>150</v>
      </c>
      <c r="U99" s="101">
        <f t="shared" si="41"/>
        <v>150</v>
      </c>
      <c r="V99" s="101">
        <f t="shared" si="44"/>
        <v>150</v>
      </c>
      <c r="W99" s="332"/>
      <c r="Y99" s="1" t="s">
        <v>1823</v>
      </c>
      <c r="Z99" s="1">
        <v>20</v>
      </c>
      <c r="AA99" s="749" t="s">
        <v>2379</v>
      </c>
      <c r="AG99" s="5" t="str">
        <f t="shared" si="42"/>
        <v/>
      </c>
      <c r="AH99" s="5" t="str">
        <f>IF(AG99="","",VLOOKUP($Y99,Nutrition_tables!$A:$N,10,FALSE))</f>
        <v/>
      </c>
      <c r="AI99" s="5" t="str">
        <f t="shared" si="36"/>
        <v/>
      </c>
    </row>
    <row r="100" spans="1:37" ht="16">
      <c r="A100" s="699"/>
      <c r="B100" s="1" t="s">
        <v>1522</v>
      </c>
      <c r="C100" s="1" t="s">
        <v>3128</v>
      </c>
      <c r="D100" s="332"/>
      <c r="E100" s="678" t="str">
        <f>IF(G100="","",_xlfn.IFNA(VLOOKUP($H100,Ingredient_prices!$B:$C,2,FALSE),""))</f>
        <v>Sugar granulated</v>
      </c>
      <c r="F100" s="1199" t="str">
        <f t="shared" si="45"/>
        <v>ПАРТИЈА 2</v>
      </c>
      <c r="G100" s="1389">
        <v>70</v>
      </c>
      <c r="H100" s="1389" t="s">
        <v>868</v>
      </c>
      <c r="I100" s="1389" t="s">
        <v>2696</v>
      </c>
      <c r="J100" s="1389">
        <v>25000</v>
      </c>
      <c r="K100" s="1392" t="s">
        <v>2327</v>
      </c>
      <c r="L100" s="1389">
        <v>7</v>
      </c>
      <c r="M100" s="700"/>
      <c r="N100" s="1378">
        <v>1535</v>
      </c>
      <c r="O100" s="1383">
        <f t="shared" ref="O100:O131" si="46">IF($E100="","",VLOOKUP($E100,$Y:$AE,2,FALSE))</f>
        <v>10</v>
      </c>
      <c r="P100" s="1382">
        <f t="shared" si="38"/>
        <v>1688.5</v>
      </c>
      <c r="Q100" s="1383">
        <f t="shared" si="39"/>
        <v>10745</v>
      </c>
      <c r="R100" s="1383">
        <f t="shared" si="40"/>
        <v>11819.5</v>
      </c>
      <c r="S100" s="700"/>
      <c r="T100" s="101">
        <f>IF(O100="","",IF('Charts and graphs'!$C$6="Conventional",IF(N100&gt;0,1000*P100/J100,""),IF(VLOOKUP($E100,$Y:$AE,7,FALSE)=0,IF(N100&gt;0,1000*P100/J100,""),VLOOKUP($E100,$Y:$AE,7,FALSE))))</f>
        <v>67.540000000000006</v>
      </c>
      <c r="U100" s="101">
        <f t="shared" si="41"/>
        <v>67.540000000000006</v>
      </c>
      <c r="V100" s="101">
        <f t="shared" si="44"/>
        <v>67.540000000000006</v>
      </c>
      <c r="W100" s="332"/>
      <c r="Y100" s="1" t="s">
        <v>3166</v>
      </c>
      <c r="Z100" s="1">
        <v>20</v>
      </c>
      <c r="AA100" s="749" t="s">
        <v>2379</v>
      </c>
      <c r="AG100" s="5" t="str">
        <f t="shared" si="42"/>
        <v/>
      </c>
      <c r="AH100" s="5" t="str">
        <f>IF(AG100="","",VLOOKUP($Y100,Nutrition_tables!$A:$N,10,FALSE))</f>
        <v/>
      </c>
      <c r="AI100" s="5" t="str">
        <f t="shared" si="36"/>
        <v/>
      </c>
    </row>
    <row r="101" spans="1:37" ht="16">
      <c r="A101" s="699"/>
      <c r="B101" s="1135" t="s">
        <v>2851</v>
      </c>
      <c r="C101" s="1" t="s">
        <v>3107</v>
      </c>
      <c r="D101" s="332"/>
      <c r="E101" s="678" t="str">
        <f>IF(G101="","",_xlfn.IFNA(VLOOKUP($H101,Ingredient_prices!$B:$C,2,FALSE),""))</f>
        <v>Baking powder</v>
      </c>
      <c r="F101" s="1199" t="str">
        <f t="shared" si="45"/>
        <v>ПАРТИЈА 2</v>
      </c>
      <c r="G101" s="1389">
        <v>71</v>
      </c>
      <c r="H101" s="1389" t="s">
        <v>869</v>
      </c>
      <c r="I101" s="1389" t="s">
        <v>2697</v>
      </c>
      <c r="J101" s="1389">
        <v>12</v>
      </c>
      <c r="K101" s="1392" t="s">
        <v>2327</v>
      </c>
      <c r="L101" s="1389">
        <v>787</v>
      </c>
      <c r="M101" s="700"/>
      <c r="N101" s="1378">
        <v>2.5</v>
      </c>
      <c r="O101" s="1383">
        <f t="shared" si="46"/>
        <v>20</v>
      </c>
      <c r="P101" s="1382">
        <f t="shared" si="38"/>
        <v>3</v>
      </c>
      <c r="Q101" s="1383">
        <f t="shared" si="39"/>
        <v>1967.5</v>
      </c>
      <c r="R101" s="1383">
        <f t="shared" si="40"/>
        <v>2361</v>
      </c>
      <c r="S101" s="700"/>
      <c r="T101" s="101">
        <f>IF(O101="","",IF('Charts and graphs'!$C$6="Conventional",IF(N101&gt;0,1000*P101/J101,""),IF(VLOOKUP($E101,$Y:$AE,7,FALSE)=0,IF(N101&gt;0,1000*P101/J101,""),VLOOKUP($E101,$Y:$AE,7,FALSE))))</f>
        <v>250</v>
      </c>
      <c r="U101" s="101">
        <f t="shared" si="41"/>
        <v>250</v>
      </c>
      <c r="V101" s="101">
        <f t="shared" si="44"/>
        <v>250</v>
      </c>
      <c r="W101" s="332"/>
      <c r="Y101" s="1" t="s">
        <v>3175</v>
      </c>
      <c r="Z101" s="1">
        <v>20</v>
      </c>
      <c r="AA101" s="749" t="s">
        <v>2379</v>
      </c>
      <c r="AG101" s="5" t="str">
        <f t="shared" si="42"/>
        <v/>
      </c>
      <c r="AH101" s="5" t="str">
        <f>IF(AG101="","",VLOOKUP($Y101,Nutrition_tables!$A:$N,10,FALSE))</f>
        <v/>
      </c>
      <c r="AI101" s="5" t="str">
        <f t="shared" si="36"/>
        <v/>
      </c>
    </row>
    <row r="102" spans="1:37" ht="16">
      <c r="A102" s="699"/>
      <c r="B102" s="1135" t="s">
        <v>1452</v>
      </c>
      <c r="C102" s="1" t="s">
        <v>3107</v>
      </c>
      <c r="D102" s="332"/>
      <c r="E102" s="678" t="str">
        <f>IF(G102="","",_xlfn.IFNA(VLOOKUP($H102,Ingredient_prices!$B:$C,2,FALSE),""))</f>
        <v>Vanilla flavoured sugar</v>
      </c>
      <c r="F102" s="1199" t="str">
        <f t="shared" si="45"/>
        <v>ПАРТИЈА 2</v>
      </c>
      <c r="G102" s="1389">
        <v>72</v>
      </c>
      <c r="H102" s="1389" t="s">
        <v>870</v>
      </c>
      <c r="I102" s="1389" t="s">
        <v>2683</v>
      </c>
      <c r="J102" s="1389">
        <v>1000</v>
      </c>
      <c r="K102" s="1392" t="s">
        <v>2327</v>
      </c>
      <c r="L102" s="1389">
        <v>10</v>
      </c>
      <c r="M102" s="700"/>
      <c r="N102" s="1378">
        <v>156</v>
      </c>
      <c r="O102" s="1383">
        <f t="shared" si="46"/>
        <v>20</v>
      </c>
      <c r="P102" s="1382">
        <f t="shared" si="38"/>
        <v>187.2</v>
      </c>
      <c r="Q102" s="1383">
        <f t="shared" si="39"/>
        <v>1560</v>
      </c>
      <c r="R102" s="1383">
        <f t="shared" si="40"/>
        <v>1872</v>
      </c>
      <c r="S102" s="700"/>
      <c r="T102" s="101">
        <f>IF(O102="","",IF('Charts and graphs'!$C$6="Conventional",IF(N102&gt;0,1000*P102/J102,""),IF(VLOOKUP($E102,$Y:$AE,7,FALSE)=0,IF(N102&gt;0,1000*P102/J102,""),VLOOKUP($E102,$Y:$AE,7,FALSE))))</f>
        <v>187.2</v>
      </c>
      <c r="U102" s="101">
        <f t="shared" si="41"/>
        <v>187.2</v>
      </c>
      <c r="V102" s="101">
        <f t="shared" si="44"/>
        <v>187.2</v>
      </c>
      <c r="W102" s="332"/>
      <c r="Y102" s="1" t="s">
        <v>3167</v>
      </c>
      <c r="Z102" s="1">
        <v>20</v>
      </c>
      <c r="AA102" s="749" t="s">
        <v>2379</v>
      </c>
      <c r="AG102" s="5" t="str">
        <f t="shared" si="42"/>
        <v/>
      </c>
      <c r="AH102" s="5" t="str">
        <f>IF(AG102="","",VLOOKUP($Y102,Nutrition_tables!$A:$N,10,FALSE))</f>
        <v/>
      </c>
      <c r="AI102" s="5" t="str">
        <f t="shared" si="36"/>
        <v/>
      </c>
    </row>
    <row r="103" spans="1:37" ht="16">
      <c r="A103" s="699"/>
      <c r="B103" s="1135" t="s">
        <v>1499</v>
      </c>
      <c r="C103" s="1" t="s">
        <v>3128</v>
      </c>
      <c r="D103" s="332"/>
      <c r="E103" s="678" t="str">
        <f>IF(G103="","",_xlfn.IFNA(VLOOKUP($H103,Ingredient_prices!$B:$C,2,FALSE),""))</f>
        <v>Icing sugar</v>
      </c>
      <c r="F103" s="1199" t="str">
        <f t="shared" si="45"/>
        <v>ПАРТИЈА 2</v>
      </c>
      <c r="G103" s="1389">
        <v>73</v>
      </c>
      <c r="H103" s="1389" t="s">
        <v>871</v>
      </c>
      <c r="I103" s="1389" t="s">
        <v>2698</v>
      </c>
      <c r="J103" s="1389">
        <v>500</v>
      </c>
      <c r="K103" s="1392" t="s">
        <v>2327</v>
      </c>
      <c r="L103" s="1389">
        <v>40</v>
      </c>
      <c r="N103" s="1378">
        <v>50</v>
      </c>
      <c r="O103" s="1383">
        <f t="shared" si="46"/>
        <v>10</v>
      </c>
      <c r="P103" s="1382">
        <f t="shared" si="38"/>
        <v>55</v>
      </c>
      <c r="Q103" s="1383">
        <f t="shared" si="39"/>
        <v>2000</v>
      </c>
      <c r="R103" s="1383">
        <f t="shared" si="40"/>
        <v>2200</v>
      </c>
      <c r="T103" s="101">
        <f>IF(O103="","",IF('Charts and graphs'!$C$6="Conventional",IF(N103&gt;0,1000*P103/J103,""),IF(VLOOKUP($E103,$Y:$AE,7,FALSE)=0,IF(N103&gt;0,1000*P103/J103,""),VLOOKUP($E103,$Y:$AE,7,FALSE))))</f>
        <v>110</v>
      </c>
      <c r="U103" s="101">
        <f t="shared" si="41"/>
        <v>110</v>
      </c>
      <c r="V103" s="101">
        <f t="shared" si="44"/>
        <v>110</v>
      </c>
      <c r="W103" s="332"/>
      <c r="Y103" s="749" t="s">
        <v>3464</v>
      </c>
      <c r="Z103" s="1">
        <v>20</v>
      </c>
      <c r="AA103" s="749" t="s">
        <v>2379</v>
      </c>
      <c r="AG103" s="5" t="str">
        <f t="shared" si="42"/>
        <v/>
      </c>
      <c r="AH103" s="5" t="str">
        <f>IF(AG103="","",VLOOKUP($Y103,Nutrition_tables!$A:$N,10,FALSE))</f>
        <v/>
      </c>
      <c r="AI103" s="5" t="str">
        <f t="shared" si="36"/>
        <v/>
      </c>
    </row>
    <row r="104" spans="1:37" ht="16">
      <c r="A104" s="699"/>
      <c r="B104" s="1135" t="s">
        <v>1288</v>
      </c>
      <c r="C104" s="1" t="s">
        <v>3128</v>
      </c>
      <c r="D104" s="332"/>
      <c r="E104" s="678" t="str">
        <f>IF(G104="","",_xlfn.IFNA(VLOOKUP($H104,Ingredient_prices!$B:$C,2,FALSE),""))</f>
        <v>Chocolate pudding</v>
      </c>
      <c r="F104" s="1199" t="str">
        <f t="shared" si="45"/>
        <v>ПАРТИЈА 2</v>
      </c>
      <c r="G104" s="1389">
        <v>74</v>
      </c>
      <c r="H104" s="1389" t="s">
        <v>872</v>
      </c>
      <c r="I104" s="1389" t="s">
        <v>2683</v>
      </c>
      <c r="J104" s="1389">
        <v>1000</v>
      </c>
      <c r="K104" s="1392" t="s">
        <v>2328</v>
      </c>
      <c r="L104" s="1389">
        <v>6</v>
      </c>
      <c r="N104" s="1378">
        <v>92</v>
      </c>
      <c r="O104" s="1383">
        <f t="shared" si="46"/>
        <v>20</v>
      </c>
      <c r="P104" s="1382">
        <f t="shared" si="38"/>
        <v>110.4</v>
      </c>
      <c r="Q104" s="1383">
        <f t="shared" si="39"/>
        <v>552</v>
      </c>
      <c r="R104" s="1383">
        <f t="shared" si="40"/>
        <v>662.40000000000009</v>
      </c>
      <c r="T104" s="101">
        <f>IF(O104="","",IF('Charts and graphs'!$C$6="Conventional",IF(N104&gt;0,1000*P104/J104,""),IF(VLOOKUP($E104,$Y:$AE,7,FALSE)=0,IF(N104&gt;0,1000*P104/J104,""),VLOOKUP($E104,$Y:$AE,7,FALSE))))</f>
        <v>110.4</v>
      </c>
      <c r="U104" s="101">
        <f t="shared" si="41"/>
        <v>110.4</v>
      </c>
      <c r="V104" s="101">
        <f t="shared" si="44"/>
        <v>110.4</v>
      </c>
      <c r="W104" s="332"/>
      <c r="Y104" s="1" t="s">
        <v>3176</v>
      </c>
      <c r="Z104" s="1">
        <v>20</v>
      </c>
      <c r="AA104" s="749" t="s">
        <v>2379</v>
      </c>
      <c r="AG104" s="5">
        <f t="shared" si="42"/>
        <v>612</v>
      </c>
      <c r="AH104" s="5">
        <f>IF(AG104="","",VLOOKUP($Y104,Nutrition_tables!$A:$N,10,FALSE))</f>
        <v>490</v>
      </c>
      <c r="AI104" s="5">
        <f t="shared" si="36"/>
        <v>0.12489795918367347</v>
      </c>
    </row>
    <row r="105" spans="1:37" ht="16">
      <c r="A105" s="699"/>
      <c r="B105" s="1135" t="s">
        <v>2852</v>
      </c>
      <c r="C105" s="1" t="s">
        <v>3108</v>
      </c>
      <c r="D105" s="332"/>
      <c r="E105" s="678" t="str">
        <f>IF(G105="","",_xlfn.IFNA(VLOOKUP($H105,Ingredient_prices!$B:$C,2,FALSE),""))</f>
        <v>Vanilla pudding</v>
      </c>
      <c r="F105" s="1199" t="str">
        <f t="shared" si="45"/>
        <v>ПАРТИЈА 2</v>
      </c>
      <c r="G105" s="1389">
        <v>75</v>
      </c>
      <c r="H105" s="1389" t="s">
        <v>873</v>
      </c>
      <c r="I105" s="1389" t="s">
        <v>2699</v>
      </c>
      <c r="J105" s="1389">
        <v>1000</v>
      </c>
      <c r="K105" s="1392" t="s">
        <v>2328</v>
      </c>
      <c r="L105" s="1389">
        <v>6</v>
      </c>
      <c r="N105" s="1378">
        <v>80</v>
      </c>
      <c r="O105" s="1383">
        <f t="shared" si="46"/>
        <v>20</v>
      </c>
      <c r="P105" s="1382">
        <f t="shared" si="38"/>
        <v>96</v>
      </c>
      <c r="Q105" s="1383">
        <f t="shared" si="39"/>
        <v>480</v>
      </c>
      <c r="R105" s="1383">
        <f t="shared" si="40"/>
        <v>576</v>
      </c>
      <c r="T105" s="101">
        <f>IF(O105="","",IF('Charts and graphs'!$C$6="Conventional",IF(N105&gt;0,1000*P105/J105,""),IF(VLOOKUP($E105,$Y:$AE,7,FALSE)=0,IF(N105&gt;0,1000*P105/J105,""),VLOOKUP($E105,$Y:$AE,7,FALSE))))</f>
        <v>96</v>
      </c>
      <c r="U105" s="101">
        <f t="shared" si="41"/>
        <v>96</v>
      </c>
      <c r="V105" s="101">
        <f t="shared" si="44"/>
        <v>96</v>
      </c>
      <c r="W105" s="332"/>
      <c r="Y105" s="749" t="s">
        <v>3177</v>
      </c>
      <c r="Z105" s="1">
        <v>20</v>
      </c>
      <c r="AA105" s="749" t="s">
        <v>2379</v>
      </c>
      <c r="AG105" s="5" t="str">
        <f t="shared" si="42"/>
        <v/>
      </c>
      <c r="AH105" s="5" t="str">
        <f>IF(AG105="","",VLOOKUP($Y105,Nutrition_tables!$A:$N,10,FALSE))</f>
        <v/>
      </c>
      <c r="AI105" s="5" t="str">
        <f t="shared" si="36"/>
        <v/>
      </c>
    </row>
    <row r="106" spans="1:37" ht="15" customHeight="1">
      <c r="A106" s="699"/>
      <c r="B106" s="1135" t="s">
        <v>2233</v>
      </c>
      <c r="C106" s="1" t="s">
        <v>3128</v>
      </c>
      <c r="D106" s="332"/>
      <c r="E106" s="678" t="str">
        <f>IF(G106="","",_xlfn.IFNA(VLOOKUP($H106,Ingredient_prices!$B:$C,2,FALSE),""))</f>
        <v>Apricot filling</v>
      </c>
      <c r="F106" s="1199" t="str">
        <f t="shared" si="45"/>
        <v>ПАРТИЈА 2</v>
      </c>
      <c r="G106" s="1389">
        <v>76</v>
      </c>
      <c r="H106" s="1389" t="s">
        <v>874</v>
      </c>
      <c r="I106" s="1389" t="s">
        <v>2700</v>
      </c>
      <c r="J106" s="1389">
        <v>6000</v>
      </c>
      <c r="K106" s="1392" t="s">
        <v>2327</v>
      </c>
      <c r="L106" s="1389">
        <v>5</v>
      </c>
      <c r="N106" s="1378">
        <v>1936</v>
      </c>
      <c r="O106" s="1383">
        <f t="shared" si="46"/>
        <v>20</v>
      </c>
      <c r="P106" s="1382">
        <f t="shared" si="38"/>
        <v>2323.1999999999998</v>
      </c>
      <c r="Q106" s="1383">
        <f t="shared" si="39"/>
        <v>9680</v>
      </c>
      <c r="R106" s="1383">
        <f t="shared" si="40"/>
        <v>11616</v>
      </c>
      <c r="T106" s="101">
        <f>IF(O106="","",IF('Charts and graphs'!$C$6="Conventional",IF(N106&gt;0,1000*P106/J106,""),IF(VLOOKUP($E106,$Y:$AE,7,FALSE)=0,IF(N106&gt;0,1000*P106/J106,""),VLOOKUP($E106,$Y:$AE,7,FALSE))))</f>
        <v>387.2</v>
      </c>
      <c r="U106" s="101">
        <f t="shared" si="41"/>
        <v>387.2</v>
      </c>
      <c r="V106" s="101">
        <f t="shared" si="44"/>
        <v>387.2</v>
      </c>
      <c r="W106" s="332"/>
      <c r="Y106" s="1" t="s">
        <v>1827</v>
      </c>
      <c r="Z106" s="1">
        <v>20</v>
      </c>
      <c r="AA106" s="749" t="s">
        <v>2379</v>
      </c>
      <c r="AG106" s="5">
        <f t="shared" si="42"/>
        <v>732</v>
      </c>
      <c r="AH106" s="5">
        <f>IF(AG106="","",VLOOKUP($Y106,Nutrition_tables!$A:$N,10,FALSE))</f>
        <v>514</v>
      </c>
      <c r="AI106" s="5">
        <f t="shared" si="36"/>
        <v>0.1424124513618677</v>
      </c>
    </row>
    <row r="107" spans="1:37" ht="15" customHeight="1">
      <c r="A107" s="699"/>
      <c r="B107" s="1135" t="s">
        <v>2234</v>
      </c>
      <c r="C107" s="1" t="s">
        <v>3107</v>
      </c>
      <c r="D107" s="332"/>
      <c r="E107" s="678" t="str">
        <f>IF(G107="","",_xlfn.IFNA(VLOOKUP($H107,Ingredient_prices!$B:$C,2,FALSE),""))</f>
        <v>Cherry filling</v>
      </c>
      <c r="F107" s="1199" t="str">
        <f t="shared" si="45"/>
        <v>ПАРТИЈА 2</v>
      </c>
      <c r="G107" s="1389">
        <v>77</v>
      </c>
      <c r="H107" s="1389" t="s">
        <v>875</v>
      </c>
      <c r="I107" s="1389" t="s">
        <v>2701</v>
      </c>
      <c r="J107" s="1389">
        <v>6000</v>
      </c>
      <c r="K107" s="1392" t="s">
        <v>2327</v>
      </c>
      <c r="L107" s="1389">
        <v>5</v>
      </c>
      <c r="N107" s="1378">
        <v>1760</v>
      </c>
      <c r="O107" s="1383">
        <f t="shared" si="46"/>
        <v>20</v>
      </c>
      <c r="P107" s="1382">
        <f t="shared" si="38"/>
        <v>2112</v>
      </c>
      <c r="Q107" s="1383">
        <f t="shared" si="39"/>
        <v>8800</v>
      </c>
      <c r="R107" s="1383">
        <f t="shared" si="40"/>
        <v>10560</v>
      </c>
      <c r="T107" s="101">
        <f>IF(O107="","",IF('Charts and graphs'!$C$6="Conventional",IF(N107&gt;0,1000*P107/J107,""),IF(VLOOKUP($E107,$Y:$AE,7,FALSE)=0,IF(N107&gt;0,1000*P107/J107,""),VLOOKUP($E107,$Y:$AE,7,FALSE))))</f>
        <v>352</v>
      </c>
      <c r="U107" s="101">
        <f t="shared" si="41"/>
        <v>352</v>
      </c>
      <c r="V107" s="101">
        <f t="shared" si="44"/>
        <v>352</v>
      </c>
      <c r="W107" s="332"/>
      <c r="Y107" s="749" t="s">
        <v>3178</v>
      </c>
      <c r="Z107" s="1">
        <v>20</v>
      </c>
      <c r="AA107" s="749" t="s">
        <v>2379</v>
      </c>
      <c r="AG107" s="5" t="str">
        <f t="shared" si="42"/>
        <v/>
      </c>
      <c r="AH107" s="5" t="str">
        <f>IF(AG107="","",VLOOKUP($Y107,Nutrition_tables!$A:$N,10,FALSE))</f>
        <v/>
      </c>
      <c r="AI107" s="5" t="str">
        <f t="shared" si="36"/>
        <v/>
      </c>
    </row>
    <row r="108" spans="1:37" ht="16">
      <c r="A108" s="699"/>
      <c r="B108" s="1135" t="s">
        <v>2040</v>
      </c>
      <c r="C108" s="1" t="s">
        <v>3107</v>
      </c>
      <c r="D108" s="332"/>
      <c r="E108" s="678" t="str">
        <f>IF(G108="","",_xlfn.IFNA(VLOOKUP($H108,Ingredient_prices!$B:$C,2,FALSE),""))</f>
        <v>Plum jam</v>
      </c>
      <c r="F108" s="1199" t="str">
        <f t="shared" si="45"/>
        <v>ПАРТИЈА 2</v>
      </c>
      <c r="G108" s="1389">
        <v>78</v>
      </c>
      <c r="H108" s="1389" t="s">
        <v>876</v>
      </c>
      <c r="I108" s="1389" t="s">
        <v>2702</v>
      </c>
      <c r="J108" s="1389">
        <v>670</v>
      </c>
      <c r="K108" s="1392" t="s">
        <v>2327</v>
      </c>
      <c r="L108" s="1389">
        <v>50</v>
      </c>
      <c r="N108" s="1378">
        <v>464</v>
      </c>
      <c r="O108" s="1383">
        <f t="shared" si="46"/>
        <v>20</v>
      </c>
      <c r="P108" s="1382">
        <f t="shared" si="38"/>
        <v>556.79999999999995</v>
      </c>
      <c r="Q108" s="1383">
        <f t="shared" si="39"/>
        <v>23200</v>
      </c>
      <c r="R108" s="1383">
        <f t="shared" si="40"/>
        <v>27839.999999999996</v>
      </c>
      <c r="T108" s="101">
        <f>IF(O108="","",IF('Charts and graphs'!$C$6="Conventional",IF(N108&gt;0,1000*P108/J108,""),IF(VLOOKUP($E108,$Y:$AE,7,FALSE)=0,IF(N108&gt;0,1000*P108/J108,""),VLOOKUP($E108,$Y:$AE,7,FALSE))))</f>
        <v>831.04477611940297</v>
      </c>
      <c r="U108" s="101">
        <f t="shared" si="41"/>
        <v>831.04477611940297</v>
      </c>
      <c r="V108" s="101">
        <f t="shared" si="44"/>
        <v>831.04477611940297</v>
      </c>
      <c r="W108" s="332"/>
      <c r="Y108" s="749" t="s">
        <v>3179</v>
      </c>
      <c r="Z108" s="1">
        <v>20</v>
      </c>
      <c r="AA108" s="749" t="s">
        <v>2379</v>
      </c>
      <c r="AG108" s="5" t="str">
        <f t="shared" si="42"/>
        <v/>
      </c>
      <c r="AH108" s="5" t="str">
        <f>IF(AG108="","",VLOOKUP($Y108,Nutrition_tables!$A:$N,10,FALSE))</f>
        <v/>
      </c>
      <c r="AI108" s="5" t="str">
        <f t="shared" si="36"/>
        <v/>
      </c>
    </row>
    <row r="109" spans="1:37" ht="15" customHeight="1">
      <c r="A109" s="699"/>
      <c r="B109" s="1" t="s">
        <v>921</v>
      </c>
      <c r="C109" s="1" t="s">
        <v>417</v>
      </c>
      <c r="D109" s="400"/>
      <c r="E109" s="678" t="str">
        <f>IF(G109="","",_xlfn.IFNA(VLOOKUP($H109,Ingredient_prices!$B:$C,2,FALSE),""))</f>
        <v>Rose hip jam</v>
      </c>
      <c r="F109" s="1199" t="str">
        <f t="shared" si="45"/>
        <v>ПАРТИЈА 2</v>
      </c>
      <c r="G109" s="1389">
        <v>79</v>
      </c>
      <c r="H109" s="1389" t="s">
        <v>877</v>
      </c>
      <c r="I109" s="1389" t="s">
        <v>2703</v>
      </c>
      <c r="J109" s="1389">
        <v>680</v>
      </c>
      <c r="K109" s="1392" t="s">
        <v>2327</v>
      </c>
      <c r="L109" s="1389">
        <v>80</v>
      </c>
      <c r="N109" s="1378">
        <v>250</v>
      </c>
      <c r="O109" s="1383">
        <f t="shared" si="46"/>
        <v>20</v>
      </c>
      <c r="P109" s="1382">
        <f t="shared" si="38"/>
        <v>300</v>
      </c>
      <c r="Q109" s="1383">
        <f t="shared" si="39"/>
        <v>20000</v>
      </c>
      <c r="R109" s="1383">
        <f t="shared" si="40"/>
        <v>24000</v>
      </c>
      <c r="T109" s="101">
        <f>IF(O109="","",IF('Charts and graphs'!$C$6="Conventional",IF(N109&gt;0,1000*P109/J109,""),IF(VLOOKUP($E109,$Y:$AE,7,FALSE)=0,IF(N109&gt;0,1000*P109/J109,""),VLOOKUP($E109,$Y:$AE,7,FALSE))))</f>
        <v>441.1764705882353</v>
      </c>
      <c r="U109" s="101">
        <f t="shared" si="41"/>
        <v>441.1764705882353</v>
      </c>
      <c r="V109" s="101">
        <f t="shared" si="44"/>
        <v>441.1764705882353</v>
      </c>
      <c r="W109" s="332"/>
      <c r="Y109" s="1" t="s">
        <v>1831</v>
      </c>
      <c r="Z109" s="1">
        <v>20</v>
      </c>
      <c r="AA109" s="749" t="s">
        <v>2379</v>
      </c>
      <c r="AG109" s="5">
        <f t="shared" si="42"/>
        <v>354.84</v>
      </c>
      <c r="AH109" s="5">
        <f>IF(AG109="","",VLOOKUP($Y109,Nutrition_tables!$A:$N,10,FALSE))</f>
        <v>291</v>
      </c>
      <c r="AI109" s="5">
        <f t="shared" si="36"/>
        <v>0.1219381443298969</v>
      </c>
    </row>
    <row r="110" spans="1:37" ht="15" customHeight="1">
      <c r="A110" s="699"/>
      <c r="B110" s="1" t="s">
        <v>2483</v>
      </c>
      <c r="C110" s="1" t="s">
        <v>3130</v>
      </c>
      <c r="D110" s="332"/>
      <c r="E110" s="678" t="str">
        <f>IF(G110="","",_xlfn.IFNA(VLOOKUP($H110,Ingredient_prices!$B:$C,2,FALSE),""))</f>
        <v>Apricot jam</v>
      </c>
      <c r="F110" s="1199" t="str">
        <f t="shared" si="45"/>
        <v>ПАРТИЈА 2</v>
      </c>
      <c r="G110" s="1389">
        <v>80</v>
      </c>
      <c r="H110" s="1389" t="s">
        <v>878</v>
      </c>
      <c r="I110" s="1389" t="s">
        <v>2704</v>
      </c>
      <c r="J110" s="1389">
        <v>680</v>
      </c>
      <c r="K110" s="1392" t="s">
        <v>2327</v>
      </c>
      <c r="L110" s="1389">
        <v>30</v>
      </c>
      <c r="N110" s="1378">
        <v>250</v>
      </c>
      <c r="O110" s="1383">
        <f t="shared" si="46"/>
        <v>20</v>
      </c>
      <c r="P110" s="1382">
        <f t="shared" si="38"/>
        <v>300</v>
      </c>
      <c r="Q110" s="1383">
        <f t="shared" si="39"/>
        <v>7500</v>
      </c>
      <c r="R110" s="1383">
        <f t="shared" si="40"/>
        <v>9000</v>
      </c>
      <c r="T110" s="101">
        <f>IF(O110="","",IF('Charts and graphs'!$C$6="Conventional",IF(N110&gt;0,1000*P110/J110,""),IF(VLOOKUP($E110,$Y:$AE,7,FALSE)=0,IF(N110&gt;0,1000*P110/J110,""),VLOOKUP($E110,$Y:$AE,7,FALSE))))</f>
        <v>441.1764705882353</v>
      </c>
      <c r="U110" s="101">
        <f t="shared" si="41"/>
        <v>441.1764705882353</v>
      </c>
      <c r="V110" s="101">
        <f t="shared" si="44"/>
        <v>441.1764705882353</v>
      </c>
      <c r="W110" s="332"/>
      <c r="Y110" s="749" t="s">
        <v>3180</v>
      </c>
      <c r="Z110" s="1">
        <v>20</v>
      </c>
      <c r="AA110" s="749" t="s">
        <v>2379</v>
      </c>
      <c r="AG110" s="5" t="str">
        <f t="shared" si="42"/>
        <v/>
      </c>
      <c r="AH110" s="5" t="str">
        <f>IF(AG110="","",VLOOKUP($Y110,Nutrition_tables!$A:$N,10,FALSE))</f>
        <v/>
      </c>
      <c r="AI110" s="5" t="str">
        <f t="shared" si="36"/>
        <v/>
      </c>
    </row>
    <row r="111" spans="1:37" ht="16">
      <c r="A111" s="699"/>
      <c r="B111" s="1" t="s">
        <v>1693</v>
      </c>
      <c r="C111" s="1" t="s">
        <v>3131</v>
      </c>
      <c r="D111" s="332"/>
      <c r="E111" s="678" t="str">
        <f>IF(G111="","",_xlfn.IFNA(VLOOKUP($H111,Ingredient_prices!$B:$C,2,FALSE),""))</f>
        <v>Honey</v>
      </c>
      <c r="F111" s="1199" t="str">
        <f t="shared" si="45"/>
        <v>ПАРТИЈА 2</v>
      </c>
      <c r="G111" s="1389">
        <v>81</v>
      </c>
      <c r="H111" s="1389" t="s">
        <v>879</v>
      </c>
      <c r="I111" s="1389" t="s">
        <v>2683</v>
      </c>
      <c r="J111" s="1389">
        <v>1000</v>
      </c>
      <c r="K111" s="1392" t="s">
        <v>2327</v>
      </c>
      <c r="L111" s="1389">
        <v>5</v>
      </c>
      <c r="N111" s="1378">
        <v>300</v>
      </c>
      <c r="O111" s="1383">
        <f t="shared" si="46"/>
        <v>10</v>
      </c>
      <c r="P111" s="1382">
        <f t="shared" si="38"/>
        <v>330</v>
      </c>
      <c r="Q111" s="1383">
        <f t="shared" si="39"/>
        <v>1500</v>
      </c>
      <c r="R111" s="1383">
        <f t="shared" si="40"/>
        <v>1650</v>
      </c>
      <c r="T111" s="101">
        <f>IF(O111="","",IF('Charts and graphs'!$C$6="Conventional",IF(N111&gt;0,1000*P111/J111,""),IF(VLOOKUP($E111,$Y:$AE,7,FALSE)=0,IF(N111&gt;0,1000*P111/J111,""),VLOOKUP($E111,$Y:$AE,7,FALSE))))</f>
        <v>330</v>
      </c>
      <c r="U111" s="101">
        <f t="shared" si="41"/>
        <v>330</v>
      </c>
      <c r="V111" s="101">
        <f t="shared" si="44"/>
        <v>330</v>
      </c>
      <c r="W111" s="332"/>
      <c r="Y111" s="749" t="s">
        <v>3181</v>
      </c>
      <c r="Z111" s="1">
        <v>20</v>
      </c>
      <c r="AA111" s="749" t="s">
        <v>2379</v>
      </c>
      <c r="AG111" s="5" t="str">
        <f t="shared" si="42"/>
        <v/>
      </c>
      <c r="AH111" s="5" t="str">
        <f>IF(AG111="","",VLOOKUP($Y111,Nutrition_tables!$A:$N,10,FALSE))</f>
        <v/>
      </c>
      <c r="AI111" s="5" t="str">
        <f t="shared" si="36"/>
        <v/>
      </c>
    </row>
    <row r="112" spans="1:37" ht="15" customHeight="1">
      <c r="A112" s="699"/>
      <c r="B112" s="1" t="s">
        <v>1542</v>
      </c>
      <c r="C112" s="1" t="s">
        <v>3131</v>
      </c>
      <c r="D112" s="332"/>
      <c r="E112" s="678" t="str">
        <f>IF(G112="","",_xlfn.IFNA(VLOOKUP($H112,Ingredient_prices!$B:$C,2,FALSE),""))</f>
        <v>Sweet pepper (dry), ground</v>
      </c>
      <c r="F112" s="1199" t="str">
        <f t="shared" si="45"/>
        <v>ПАРТИЈА 2</v>
      </c>
      <c r="G112" s="1389">
        <v>82</v>
      </c>
      <c r="H112" s="1389" t="s">
        <v>2310</v>
      </c>
      <c r="I112" s="1389" t="s">
        <v>2705</v>
      </c>
      <c r="J112" s="1389">
        <v>100</v>
      </c>
      <c r="K112" s="1392" t="s">
        <v>2327</v>
      </c>
      <c r="L112" s="1389">
        <v>60</v>
      </c>
      <c r="N112" s="1378">
        <v>55</v>
      </c>
      <c r="O112" s="1383">
        <f t="shared" si="46"/>
        <v>20</v>
      </c>
      <c r="P112" s="1382">
        <f t="shared" si="38"/>
        <v>66</v>
      </c>
      <c r="Q112" s="1383">
        <f t="shared" si="39"/>
        <v>3300</v>
      </c>
      <c r="R112" s="1383">
        <f t="shared" si="40"/>
        <v>3960</v>
      </c>
      <c r="T112" s="101">
        <f>IF(O112="","",IF('Charts and graphs'!$C$6="Conventional",IF(N112&gt;0,1000*P112/J112,""),IF(VLOOKUP($E112,$Y:$AE,7,FALSE)=0,IF(N112&gt;0,1000*P112/J112,""),VLOOKUP($E112,$Y:$AE,7,FALSE))))</f>
        <v>660</v>
      </c>
      <c r="U112" s="101">
        <f t="shared" si="41"/>
        <v>660</v>
      </c>
      <c r="V112" s="101">
        <f t="shared" si="44"/>
        <v>660</v>
      </c>
      <c r="W112" s="332"/>
      <c r="Y112" s="749" t="s">
        <v>3182</v>
      </c>
      <c r="Z112" s="1">
        <v>20</v>
      </c>
      <c r="AA112" s="749" t="s">
        <v>2379</v>
      </c>
      <c r="AG112" s="5" t="str">
        <f t="shared" si="42"/>
        <v/>
      </c>
      <c r="AH112" s="5" t="str">
        <f>IF(AG112="","",VLOOKUP($Y112,Nutrition_tables!$A:$N,10,FALSE))</f>
        <v/>
      </c>
      <c r="AI112" s="5" t="str">
        <f t="shared" si="36"/>
        <v/>
      </c>
    </row>
    <row r="113" spans="1:35" ht="16">
      <c r="A113" s="699"/>
      <c r="B113" s="1" t="s">
        <v>1460</v>
      </c>
      <c r="C113" s="1" t="s">
        <v>3131</v>
      </c>
      <c r="D113" s="332"/>
      <c r="E113" s="678" t="str">
        <f>IF(G113="","",_xlfn.IFNA(VLOOKUP($H113,Ingredient_prices!$B:$C,2,FALSE),""))</f>
        <v>Salt</v>
      </c>
      <c r="F113" s="1199" t="str">
        <f t="shared" si="45"/>
        <v>ПАРТИЈА 2</v>
      </c>
      <c r="G113" s="1389">
        <v>83</v>
      </c>
      <c r="H113" s="1389" t="s">
        <v>882</v>
      </c>
      <c r="I113" s="1389" t="s">
        <v>2706</v>
      </c>
      <c r="J113" s="1389">
        <v>5000</v>
      </c>
      <c r="K113" s="1392" t="s">
        <v>2327</v>
      </c>
      <c r="L113" s="1389">
        <v>10</v>
      </c>
      <c r="N113" s="1378">
        <v>140</v>
      </c>
      <c r="O113" s="1383">
        <f t="shared" si="46"/>
        <v>20</v>
      </c>
      <c r="P113" s="1382">
        <f t="shared" si="38"/>
        <v>168</v>
      </c>
      <c r="Q113" s="1383">
        <f t="shared" si="39"/>
        <v>1400</v>
      </c>
      <c r="R113" s="1383">
        <f t="shared" si="40"/>
        <v>1680</v>
      </c>
      <c r="T113" s="101">
        <f>IF(O113="","",IF('Charts and graphs'!$C$6="Conventional",IF(N113&gt;0,1000*P113/J113,""),IF(VLOOKUP($E113,$Y:$AE,7,FALSE)=0,IF(N113&gt;0,1000*P113/J113,""),VLOOKUP($E113,$Y:$AE,7,FALSE))))</f>
        <v>33.6</v>
      </c>
      <c r="U113" s="101">
        <f t="shared" si="41"/>
        <v>33.6</v>
      </c>
      <c r="V113" s="101">
        <f t="shared" si="44"/>
        <v>33.6</v>
      </c>
      <c r="W113" s="332"/>
      <c r="Y113" s="1" t="s">
        <v>91</v>
      </c>
      <c r="Z113" s="1">
        <v>20</v>
      </c>
      <c r="AA113" s="749" t="s">
        <v>2379</v>
      </c>
      <c r="AG113" s="5" t="str">
        <f t="shared" si="42"/>
        <v/>
      </c>
      <c r="AH113" s="5" t="str">
        <f>IF(AG113="","",VLOOKUP($Y113,Nutrition_tables!$A:$N,10,FALSE))</f>
        <v/>
      </c>
      <c r="AI113" s="5" t="str">
        <f t="shared" si="36"/>
        <v/>
      </c>
    </row>
    <row r="114" spans="1:35" ht="15" customHeight="1">
      <c r="A114" s="699"/>
      <c r="B114" s="1" t="s">
        <v>922</v>
      </c>
      <c r="C114" s="1" t="s">
        <v>1766</v>
      </c>
      <c r="D114" s="332"/>
      <c r="E114" s="678" t="str">
        <f>IF(G114="","",_xlfn.IFNA(VLOOKUP($H114,Ingredient_prices!$B:$C,2,FALSE),""))</f>
        <v>Spice C</v>
      </c>
      <c r="F114" s="1199" t="str">
        <f t="shared" si="45"/>
        <v>ПАРТИЈА 2</v>
      </c>
      <c r="G114" s="1389">
        <v>84</v>
      </c>
      <c r="H114" s="1393" t="s">
        <v>881</v>
      </c>
      <c r="I114" s="1393" t="s">
        <v>2707</v>
      </c>
      <c r="J114" s="1393">
        <v>500</v>
      </c>
      <c r="K114" s="1392" t="s">
        <v>2327</v>
      </c>
      <c r="L114" s="1389">
        <v>60</v>
      </c>
      <c r="N114" s="1378">
        <v>154</v>
      </c>
      <c r="O114" s="1383">
        <f t="shared" si="46"/>
        <v>20</v>
      </c>
      <c r="P114" s="1382">
        <f t="shared" si="38"/>
        <v>184.8</v>
      </c>
      <c r="Q114" s="1383">
        <f t="shared" si="39"/>
        <v>9240</v>
      </c>
      <c r="R114" s="1383">
        <f t="shared" si="40"/>
        <v>11088</v>
      </c>
      <c r="T114" s="101">
        <f>IF(O114="","",IF('Charts and graphs'!$C$6="Conventional",IF(N114&gt;0,1000*P114/J114,""),IF(VLOOKUP($E114,$Y:$AE,7,FALSE)=0,IF(N114&gt;0,1000*P114/J114,""),VLOOKUP($E114,$Y:$AE,7,FALSE))))</f>
        <v>369.6</v>
      </c>
      <c r="U114" s="101">
        <f t="shared" si="41"/>
        <v>369.6</v>
      </c>
      <c r="V114" s="101">
        <f t="shared" si="44"/>
        <v>369.6</v>
      </c>
      <c r="W114" s="332"/>
      <c r="Y114" s="749" t="s">
        <v>3183</v>
      </c>
      <c r="Z114" s="1">
        <v>20</v>
      </c>
      <c r="AA114" s="749" t="s">
        <v>2379</v>
      </c>
      <c r="AG114" s="5" t="str">
        <f t="shared" si="42"/>
        <v/>
      </c>
      <c r="AH114" s="5" t="str">
        <f>IF(AG114="","",VLOOKUP($Y114,Nutrition_tables!$A:$N,10,FALSE))</f>
        <v/>
      </c>
      <c r="AI114" s="5" t="str">
        <f t="shared" si="36"/>
        <v/>
      </c>
    </row>
    <row r="115" spans="1:35" ht="15" customHeight="1">
      <c r="A115" s="699"/>
      <c r="B115" s="1" t="s">
        <v>923</v>
      </c>
      <c r="C115" s="1" t="s">
        <v>3093</v>
      </c>
      <c r="D115" s="332"/>
      <c r="E115" s="678" t="str">
        <f>IF(G115="","",_xlfn.IFNA(VLOOKUP($H115,Ingredient_prices!$B:$C,2,FALSE),""))</f>
        <v>Oregano, dry</v>
      </c>
      <c r="F115" s="1199" t="str">
        <f t="shared" si="45"/>
        <v>ПАРТИЈА 2</v>
      </c>
      <c r="G115" s="1389">
        <v>85</v>
      </c>
      <c r="H115" s="1389" t="s">
        <v>883</v>
      </c>
      <c r="I115" s="1389" t="s">
        <v>2708</v>
      </c>
      <c r="J115" s="1389">
        <v>300</v>
      </c>
      <c r="K115" s="1392" t="s">
        <v>2327</v>
      </c>
      <c r="L115" s="1389">
        <v>10</v>
      </c>
      <c r="N115" s="1378">
        <v>150</v>
      </c>
      <c r="O115" s="1383">
        <f t="shared" si="46"/>
        <v>20</v>
      </c>
      <c r="P115" s="1382">
        <f t="shared" si="38"/>
        <v>180</v>
      </c>
      <c r="Q115" s="1383">
        <f t="shared" si="39"/>
        <v>1500</v>
      </c>
      <c r="R115" s="1383">
        <f t="shared" si="40"/>
        <v>1800</v>
      </c>
      <c r="T115" s="101">
        <f>IF(O115="","",IF('Charts and graphs'!$C$6="Conventional",IF(N115&gt;0,1000*P115/J115,""),IF(VLOOKUP($E115,$Y:$AE,7,FALSE)=0,IF(N115&gt;0,1000*P115/J115,""),VLOOKUP($E115,$Y:$AE,7,FALSE))))</f>
        <v>600</v>
      </c>
      <c r="U115" s="101">
        <f t="shared" si="41"/>
        <v>600</v>
      </c>
      <c r="V115" s="101">
        <f t="shared" si="44"/>
        <v>600</v>
      </c>
      <c r="W115" s="332"/>
      <c r="Y115" s="749" t="s">
        <v>3169</v>
      </c>
      <c r="Z115" s="1">
        <v>20</v>
      </c>
      <c r="AA115" s="749" t="s">
        <v>2379</v>
      </c>
      <c r="AG115" s="5">
        <f t="shared" si="42"/>
        <v>1111.578947368421</v>
      </c>
      <c r="AH115" s="5">
        <f>IF(AG115="","",VLOOKUP($Y115,Nutrition_tables!$A:$N,10,FALSE))</f>
        <v>268</v>
      </c>
      <c r="AI115" s="5">
        <f t="shared" si="36"/>
        <v>0.41476826394344068</v>
      </c>
    </row>
    <row r="116" spans="1:35" ht="16">
      <c r="A116" s="699"/>
      <c r="B116" s="1" t="s">
        <v>2488</v>
      </c>
      <c r="C116" s="1" t="s">
        <v>1767</v>
      </c>
      <c r="D116" s="332"/>
      <c r="E116" s="678" t="str">
        <f>IF(G116="","",_xlfn.IFNA(VLOOKUP($H116,Ingredient_prices!$B:$C,2,FALSE),""))</f>
        <v>Sunflower oil</v>
      </c>
      <c r="F116" s="1199" t="str">
        <f t="shared" si="45"/>
        <v>ПАРТИЈА 2</v>
      </c>
      <c r="G116" s="1389">
        <v>86</v>
      </c>
      <c r="H116" s="1389" t="s">
        <v>1466</v>
      </c>
      <c r="I116" s="1389" t="s">
        <v>2709</v>
      </c>
      <c r="J116" s="1389">
        <v>5000</v>
      </c>
      <c r="K116" s="1392" t="s">
        <v>2327</v>
      </c>
      <c r="L116" s="1389">
        <v>80</v>
      </c>
      <c r="N116" s="1378">
        <v>550</v>
      </c>
      <c r="O116" s="1383">
        <f t="shared" si="46"/>
        <v>10</v>
      </c>
      <c r="P116" s="1382">
        <f t="shared" si="38"/>
        <v>605</v>
      </c>
      <c r="Q116" s="1383">
        <f t="shared" si="39"/>
        <v>44000</v>
      </c>
      <c r="R116" s="1383">
        <f t="shared" si="40"/>
        <v>48400</v>
      </c>
      <c r="T116" s="101">
        <f>IF(O116="","",IF('Charts and graphs'!$C$6="Conventional",IF(N116&gt;0,1000*P116/J116,""),IF(VLOOKUP($E116,$Y:$AE,7,FALSE)=0,IF(N116&gt;0,1000*P116/J116,""),VLOOKUP($E116,$Y:$AE,7,FALSE))))</f>
        <v>121</v>
      </c>
      <c r="U116" s="101">
        <f t="shared" si="41"/>
        <v>121</v>
      </c>
      <c r="V116" s="101">
        <f t="shared" si="44"/>
        <v>121</v>
      </c>
      <c r="W116" s="332"/>
      <c r="Y116" s="1" t="s">
        <v>1837</v>
      </c>
      <c r="Z116" s="1">
        <v>20</v>
      </c>
      <c r="AA116" s="749" t="s">
        <v>2379</v>
      </c>
      <c r="AG116" s="5">
        <f t="shared" si="42"/>
        <v>648</v>
      </c>
      <c r="AH116" s="5">
        <f>IF(AG116="","",VLOOKUP($Y116,Nutrition_tables!$A:$N,10,FALSE))</f>
        <v>94</v>
      </c>
      <c r="AI116" s="5">
        <f t="shared" si="36"/>
        <v>0.68936170212765957</v>
      </c>
    </row>
    <row r="117" spans="1:35" ht="16">
      <c r="A117" s="699"/>
      <c r="B117" s="1" t="s">
        <v>2853</v>
      </c>
      <c r="C117" s="1" t="s">
        <v>1767</v>
      </c>
      <c r="D117" s="332"/>
      <c r="E117" s="678" t="str">
        <f>IF(G117="","",_xlfn.IFNA(VLOOKUP($H117,Ingredient_prices!$B:$C,2,FALSE),""))</f>
        <v>Vinegar</v>
      </c>
      <c r="F117" s="1199" t="str">
        <f t="shared" si="45"/>
        <v>ПАРТИЈА 2</v>
      </c>
      <c r="G117" s="1389">
        <v>87</v>
      </c>
      <c r="H117" s="1389" t="s">
        <v>1555</v>
      </c>
      <c r="I117" s="1389" t="s">
        <v>2710</v>
      </c>
      <c r="J117" s="1389">
        <v>1000</v>
      </c>
      <c r="K117" s="1392" t="s">
        <v>2641</v>
      </c>
      <c r="L117" s="1389">
        <v>20</v>
      </c>
      <c r="N117" s="1378">
        <v>38</v>
      </c>
      <c r="O117" s="1383">
        <f t="shared" si="46"/>
        <v>20</v>
      </c>
      <c r="P117" s="1382">
        <f t="shared" si="38"/>
        <v>45.6</v>
      </c>
      <c r="Q117" s="1383">
        <f t="shared" si="39"/>
        <v>760</v>
      </c>
      <c r="R117" s="1383">
        <f t="shared" si="40"/>
        <v>912</v>
      </c>
      <c r="T117" s="101">
        <f>IF(O117="","",IF('Charts and graphs'!$C$6="Conventional",IF(N117&gt;0,1000*P117/J117,""),IF(VLOOKUP($E117,$Y:$AE,7,FALSE)=0,IF(N117&gt;0,1000*P117/J117,""),VLOOKUP($E117,$Y:$AE,7,FALSE))))</f>
        <v>45.6</v>
      </c>
      <c r="U117" s="101">
        <f t="shared" si="41"/>
        <v>45.6</v>
      </c>
      <c r="V117" s="101">
        <f t="shared" si="44"/>
        <v>45.6</v>
      </c>
      <c r="W117" s="332"/>
      <c r="Y117" s="1" t="s">
        <v>3465</v>
      </c>
      <c r="Z117" s="1">
        <v>20</v>
      </c>
      <c r="AA117" s="749" t="s">
        <v>2379</v>
      </c>
      <c r="AG117" s="5" t="str">
        <f t="shared" si="42"/>
        <v/>
      </c>
      <c r="AH117" s="5" t="str">
        <f>IF(AG117="","",VLOOKUP($Y117,Nutrition_tables!$A:$N,10,FALSE))</f>
        <v/>
      </c>
      <c r="AI117" s="5" t="str">
        <f t="shared" si="36"/>
        <v/>
      </c>
    </row>
    <row r="118" spans="1:35" ht="15" customHeight="1">
      <c r="A118" s="699"/>
      <c r="B118" s="1" t="s">
        <v>1346</v>
      </c>
      <c r="C118" s="1" t="s">
        <v>1767</v>
      </c>
      <c r="D118" s="332"/>
      <c r="E118" s="678" t="str">
        <f>IF(G118="","",_xlfn.IFNA(VLOOKUP($H118,Ingredient_prices!$B:$C,2,FALSE),""))</f>
        <v>Wheat flour white</v>
      </c>
      <c r="F118" s="1199" t="str">
        <f t="shared" si="45"/>
        <v>ПАРТИЈА 2</v>
      </c>
      <c r="G118" s="1389">
        <v>88</v>
      </c>
      <c r="H118" s="1389" t="s">
        <v>886</v>
      </c>
      <c r="I118" s="1389" t="s">
        <v>2711</v>
      </c>
      <c r="J118" s="1389">
        <v>25000</v>
      </c>
      <c r="K118" s="1392" t="s">
        <v>2327</v>
      </c>
      <c r="L118" s="1389">
        <v>20</v>
      </c>
      <c r="N118" s="1378">
        <v>980</v>
      </c>
      <c r="O118" s="1383">
        <f t="shared" si="46"/>
        <v>10</v>
      </c>
      <c r="P118" s="1382">
        <f t="shared" si="38"/>
        <v>1078</v>
      </c>
      <c r="Q118" s="1383">
        <f t="shared" si="39"/>
        <v>19600</v>
      </c>
      <c r="R118" s="1383">
        <f t="shared" si="40"/>
        <v>21560</v>
      </c>
      <c r="T118" s="101">
        <f>IF(O118="","",IF('Charts and graphs'!$C$6="Conventional",IF(N118&gt;0,1000*P118/J118,""),IF(VLOOKUP($E118,$Y:$AE,7,FALSE)=0,IF(N118&gt;0,1000*P118/J118,""),VLOOKUP($E118,$Y:$AE,7,FALSE))))</f>
        <v>43.12</v>
      </c>
      <c r="U118" s="101">
        <f t="shared" si="41"/>
        <v>43.12</v>
      </c>
      <c r="V118" s="101">
        <f t="shared" si="44"/>
        <v>43.12</v>
      </c>
      <c r="W118" s="332"/>
      <c r="Y118" s="1" t="s">
        <v>1872</v>
      </c>
      <c r="Z118" s="1">
        <v>20</v>
      </c>
      <c r="AA118" s="749" t="s">
        <v>2379</v>
      </c>
      <c r="AG118" s="5" t="str">
        <f t="shared" si="42"/>
        <v/>
      </c>
      <c r="AH118" s="5" t="str">
        <f>IF(AG118="","",VLOOKUP($Y118,Nutrition_tables!$A:$N,10,FALSE))</f>
        <v/>
      </c>
      <c r="AI118" s="5" t="str">
        <f t="shared" si="36"/>
        <v/>
      </c>
    </row>
    <row r="119" spans="1:35" ht="15" customHeight="1">
      <c r="A119" s="699"/>
      <c r="B119" s="1" t="s">
        <v>2847</v>
      </c>
      <c r="C119" s="1" t="s">
        <v>3132</v>
      </c>
      <c r="D119" s="332"/>
      <c r="E119" s="678" t="str">
        <f>IF(G119="","",_xlfn.IFNA(VLOOKUP($H119,Ingredient_prices!$B:$C,2,FALSE),""))</f>
        <v>Breadcrumbs</v>
      </c>
      <c r="F119" s="1199" t="str">
        <f t="shared" si="45"/>
        <v>ПАРТИЈА 2</v>
      </c>
      <c r="G119" s="1389">
        <v>89</v>
      </c>
      <c r="H119" s="1389" t="s">
        <v>887</v>
      </c>
      <c r="I119" s="1389" t="s">
        <v>2712</v>
      </c>
      <c r="J119" s="1389">
        <v>500</v>
      </c>
      <c r="K119" s="1392" t="s">
        <v>2327</v>
      </c>
      <c r="L119" s="1389">
        <v>50</v>
      </c>
      <c r="N119" s="1378">
        <v>60</v>
      </c>
      <c r="O119" s="1383">
        <f t="shared" si="46"/>
        <v>20</v>
      </c>
      <c r="P119" s="1382">
        <f t="shared" si="38"/>
        <v>72</v>
      </c>
      <c r="Q119" s="1383">
        <f t="shared" si="39"/>
        <v>3000</v>
      </c>
      <c r="R119" s="1383">
        <f t="shared" si="40"/>
        <v>3600</v>
      </c>
      <c r="T119" s="101">
        <f>IF(O119="","",IF('Charts and graphs'!$C$6="Conventional",IF(N119&gt;0,1000*P119/J119,""),IF(VLOOKUP($E119,$Y:$AE,7,FALSE)=0,IF(N119&gt;0,1000*P119/J119,""),VLOOKUP($E119,$Y:$AE,7,FALSE))))</f>
        <v>144</v>
      </c>
      <c r="U119" s="101">
        <f t="shared" si="41"/>
        <v>144</v>
      </c>
      <c r="V119" s="101">
        <f t="shared" si="44"/>
        <v>144</v>
      </c>
      <c r="W119" s="332"/>
      <c r="Y119" s="1" t="s">
        <v>1873</v>
      </c>
      <c r="Z119" s="1">
        <v>20</v>
      </c>
      <c r="AA119" s="749" t="s">
        <v>2379</v>
      </c>
      <c r="AG119" s="5" t="str">
        <f t="shared" si="42"/>
        <v/>
      </c>
      <c r="AH119" s="5" t="str">
        <f>IF(AG119="","",VLOOKUP($Y119,Nutrition_tables!$A:$N,10,FALSE))</f>
        <v/>
      </c>
      <c r="AI119" s="5" t="str">
        <f t="shared" si="36"/>
        <v/>
      </c>
    </row>
    <row r="120" spans="1:35" ht="15" customHeight="1">
      <c r="A120" s="699"/>
      <c r="B120" s="1" t="s">
        <v>1503</v>
      </c>
      <c r="C120" s="1" t="s">
        <v>3133</v>
      </c>
      <c r="D120" s="332"/>
      <c r="E120" s="678" t="str">
        <f>IF(G120="","",_xlfn.IFNA(VLOOKUP($H120,Ingredient_prices!$B:$C,2,FALSE),""))</f>
        <v>Wheat semolina</v>
      </c>
      <c r="F120" s="1199" t="str">
        <f t="shared" ref="F120:F168" si="47">IF(H120="","",IF(OR(LEFT(G120,1)="П",LEFT(G120,1)="P"),G120,F119))</f>
        <v>ПАРТИЈА 2</v>
      </c>
      <c r="G120" s="1389">
        <v>90</v>
      </c>
      <c r="H120" s="1389" t="s">
        <v>888</v>
      </c>
      <c r="I120" s="1389" t="s">
        <v>2713</v>
      </c>
      <c r="J120" s="1389">
        <v>1000</v>
      </c>
      <c r="K120" s="1392" t="s">
        <v>2327</v>
      </c>
      <c r="L120" s="1389">
        <v>20</v>
      </c>
      <c r="N120" s="1378">
        <v>48</v>
      </c>
      <c r="O120" s="1383">
        <f t="shared" si="46"/>
        <v>20</v>
      </c>
      <c r="P120" s="1382">
        <f t="shared" si="38"/>
        <v>57.6</v>
      </c>
      <c r="Q120" s="1383">
        <f t="shared" si="39"/>
        <v>960</v>
      </c>
      <c r="R120" s="1383">
        <f t="shared" si="40"/>
        <v>1152</v>
      </c>
      <c r="T120" s="101">
        <f>IF(O120="","",IF('Charts and graphs'!$C$6="Conventional",IF(N120&gt;0,1000*P120/J120,""),IF(VLOOKUP($E120,$Y:$AE,7,FALSE)=0,IF(N120&gt;0,1000*P120/J120,""),VLOOKUP($E120,$Y:$AE,7,FALSE))))</f>
        <v>57.6</v>
      </c>
      <c r="U120" s="101">
        <f t="shared" si="41"/>
        <v>57.6</v>
      </c>
      <c r="V120" s="101">
        <f t="shared" si="44"/>
        <v>57.6</v>
      </c>
      <c r="W120" s="332"/>
      <c r="Y120" s="1" t="s">
        <v>1839</v>
      </c>
      <c r="Z120" s="1">
        <v>20</v>
      </c>
      <c r="AA120" s="749" t="s">
        <v>2379</v>
      </c>
      <c r="AG120" s="5" t="str">
        <f t="shared" si="42"/>
        <v/>
      </c>
      <c r="AH120" s="5" t="str">
        <f>IF(AG120="","",VLOOKUP($Y120,Nutrition_tables!$A:$N,10,FALSE))</f>
        <v/>
      </c>
      <c r="AI120" s="5" t="str">
        <f t="shared" si="36"/>
        <v/>
      </c>
    </row>
    <row r="121" spans="1:35" ht="16">
      <c r="A121" s="699"/>
      <c r="B121" s="1" t="s">
        <v>1347</v>
      </c>
      <c r="C121" s="1" t="s">
        <v>3133</v>
      </c>
      <c r="D121" s="333"/>
      <c r="E121" s="678" t="str">
        <f>IF(G121="","",_xlfn.IFNA(VLOOKUP($H121,Ingredient_prices!$B:$C,2,FALSE),""))</f>
        <v>Corn flour, whole</v>
      </c>
      <c r="F121" s="1199" t="str">
        <f t="shared" si="47"/>
        <v>ПАРТИЈА 2</v>
      </c>
      <c r="G121" s="1389">
        <v>91</v>
      </c>
      <c r="H121" s="1389" t="s">
        <v>889</v>
      </c>
      <c r="I121" s="1389" t="s">
        <v>2714</v>
      </c>
      <c r="J121" s="1389">
        <v>400</v>
      </c>
      <c r="K121" s="1392" t="s">
        <v>2327</v>
      </c>
      <c r="L121" s="1389">
        <v>400</v>
      </c>
      <c r="N121" s="1378">
        <v>22</v>
      </c>
      <c r="O121" s="1383">
        <f t="shared" si="46"/>
        <v>10</v>
      </c>
      <c r="P121" s="1382">
        <f t="shared" si="38"/>
        <v>24.2</v>
      </c>
      <c r="Q121" s="1383">
        <f t="shared" si="39"/>
        <v>8800</v>
      </c>
      <c r="R121" s="1383">
        <f t="shared" si="40"/>
        <v>9680</v>
      </c>
      <c r="T121" s="101">
        <f>IF(O121="","",IF('Charts and graphs'!$C$6="Conventional",IF(N121&gt;0,1000*P121/J121,""),IF(VLOOKUP($E121,$Y:$AE,7,FALSE)=0,IF(N121&gt;0,1000*P121/J121,""),VLOOKUP($E121,$Y:$AE,7,FALSE))))</f>
        <v>60.5</v>
      </c>
      <c r="U121" s="101">
        <f t="shared" si="41"/>
        <v>60.5</v>
      </c>
      <c r="V121" s="101">
        <f t="shared" si="44"/>
        <v>60.5</v>
      </c>
      <c r="W121" s="332"/>
      <c r="Y121" s="749" t="s">
        <v>3184</v>
      </c>
      <c r="Z121" s="1">
        <v>20</v>
      </c>
      <c r="AA121" s="749" t="s">
        <v>2379</v>
      </c>
      <c r="AG121" s="5" t="str">
        <f t="shared" si="42"/>
        <v/>
      </c>
      <c r="AH121" s="5" t="str">
        <f>IF(AG121="","",VLOOKUP($Y121,Nutrition_tables!$A:$N,10,FALSE))</f>
        <v/>
      </c>
      <c r="AI121" s="5" t="str">
        <f t="shared" si="36"/>
        <v/>
      </c>
    </row>
    <row r="122" spans="1:35" ht="16">
      <c r="A122" s="699"/>
      <c r="B122" s="1" t="s">
        <v>1667</v>
      </c>
      <c r="C122" s="1" t="s">
        <v>3110</v>
      </c>
      <c r="D122" s="332"/>
      <c r="E122" s="678" t="str">
        <f>IF(G122="","",_xlfn.IFNA(VLOOKUP($H122,Ingredient_prices!$B:$C,2,FALSE),""))</f>
        <v>Corn semolina</v>
      </c>
      <c r="F122" s="1199" t="str">
        <f t="shared" si="47"/>
        <v>ПАРТИЈА 2</v>
      </c>
      <c r="G122" s="1389">
        <v>92</v>
      </c>
      <c r="H122" s="1389" t="s">
        <v>890</v>
      </c>
      <c r="I122" s="1389" t="s">
        <v>2715</v>
      </c>
      <c r="J122" s="1389">
        <v>400</v>
      </c>
      <c r="K122" s="1392" t="s">
        <v>2327</v>
      </c>
      <c r="L122" s="1389">
        <v>200</v>
      </c>
      <c r="N122" s="1378">
        <v>25</v>
      </c>
      <c r="O122" s="1383">
        <f t="shared" si="46"/>
        <v>20</v>
      </c>
      <c r="P122" s="1382">
        <f t="shared" si="38"/>
        <v>30</v>
      </c>
      <c r="Q122" s="1383">
        <f t="shared" si="39"/>
        <v>5000</v>
      </c>
      <c r="R122" s="1383">
        <f t="shared" si="40"/>
        <v>6000</v>
      </c>
      <c r="T122" s="101">
        <f>IF(O122="","",IF('Charts and graphs'!$C$6="Conventional",IF(N122&gt;0,1000*P122/J122,""),IF(VLOOKUP($E122,$Y:$AE,7,FALSE)=0,IF(N122&gt;0,1000*P122/J122,""),VLOOKUP($E122,$Y:$AE,7,FALSE))))</f>
        <v>75</v>
      </c>
      <c r="U122" s="101">
        <f t="shared" si="41"/>
        <v>75</v>
      </c>
      <c r="V122" s="101">
        <f t="shared" si="44"/>
        <v>75</v>
      </c>
      <c r="W122" s="332"/>
      <c r="Y122" s="749" t="s">
        <v>3185</v>
      </c>
      <c r="Z122" s="1">
        <v>20</v>
      </c>
      <c r="AA122" s="749" t="s">
        <v>2379</v>
      </c>
      <c r="AG122" s="5" t="str">
        <f t="shared" si="42"/>
        <v/>
      </c>
      <c r="AH122" s="5" t="str">
        <f>IF(AG122="","",VLOOKUP($Y122,Nutrition_tables!$A:$N,10,FALSE))</f>
        <v/>
      </c>
      <c r="AI122" s="5" t="str">
        <f t="shared" si="36"/>
        <v/>
      </c>
    </row>
    <row r="123" spans="1:35" ht="16">
      <c r="A123" s="699"/>
      <c r="B123" s="1" t="s">
        <v>821</v>
      </c>
      <c r="C123" s="1" t="s">
        <v>3110</v>
      </c>
      <c r="D123" s="332"/>
      <c r="E123" s="678" t="str">
        <f>IF(G123="","",_xlfn.IFNA(VLOOKUP($H123,Ingredient_prices!$B:$C,2,FALSE),""))</f>
        <v>Rice, white grain</v>
      </c>
      <c r="F123" s="1199" t="str">
        <f t="shared" si="47"/>
        <v>ПАРТИЈА 2</v>
      </c>
      <c r="G123" s="1389">
        <v>93</v>
      </c>
      <c r="H123" s="1389" t="s">
        <v>891</v>
      </c>
      <c r="I123" s="1389" t="s">
        <v>2716</v>
      </c>
      <c r="J123" s="1389">
        <v>1000</v>
      </c>
      <c r="K123" s="1392" t="s">
        <v>2327</v>
      </c>
      <c r="L123" s="1389">
        <v>100</v>
      </c>
      <c r="N123" s="1378">
        <v>72</v>
      </c>
      <c r="O123" s="1383">
        <f t="shared" si="46"/>
        <v>10</v>
      </c>
      <c r="P123" s="1382">
        <f t="shared" si="38"/>
        <v>79.2</v>
      </c>
      <c r="Q123" s="1383">
        <f t="shared" si="39"/>
        <v>7200</v>
      </c>
      <c r="R123" s="1383">
        <f t="shared" si="40"/>
        <v>7920</v>
      </c>
      <c r="T123" s="101">
        <f>IF(O123="","",IF('Charts and graphs'!$C$6="Conventional",IF(N123&gt;0,1000*P123/J123,""),IF(VLOOKUP($E123,$Y:$AE,7,FALSE)=0,IF(N123&gt;0,1000*P123/J123,""),VLOOKUP($E123,$Y:$AE,7,FALSE))))</f>
        <v>79.2</v>
      </c>
      <c r="U123" s="101">
        <f t="shared" si="41"/>
        <v>79.2</v>
      </c>
      <c r="V123" s="101">
        <f t="shared" si="44"/>
        <v>79.2</v>
      </c>
      <c r="W123" s="332"/>
      <c r="Y123" s="749" t="s">
        <v>3186</v>
      </c>
      <c r="Z123" s="1">
        <v>20</v>
      </c>
      <c r="AA123" s="749" t="s">
        <v>2379</v>
      </c>
      <c r="AG123" s="5">
        <f t="shared" si="42"/>
        <v>552</v>
      </c>
      <c r="AH123" s="5">
        <f>IF(AG123="","",VLOOKUP($Y123,Nutrition_tables!$A:$N,10,FALSE))</f>
        <v>323</v>
      </c>
      <c r="AI123" s="5">
        <f t="shared" si="36"/>
        <v>0.17089783281733747</v>
      </c>
    </row>
    <row r="124" spans="1:35" ht="16">
      <c r="A124" s="699"/>
      <c r="B124" s="1" t="s">
        <v>1456</v>
      </c>
      <c r="C124" s="1" t="s">
        <v>3110</v>
      </c>
      <c r="D124" s="332"/>
      <c r="E124" s="678" t="str">
        <f>IF(G124="","",_xlfn.IFNA(VLOOKUP($H124,Ingredient_prices!$B:$C,2,FALSE),""))</f>
        <v>Apple</v>
      </c>
      <c r="F124" s="1199" t="str">
        <f t="shared" si="47"/>
        <v>ПАРТИЈА 2</v>
      </c>
      <c r="G124" s="1389">
        <v>94</v>
      </c>
      <c r="H124" s="1389" t="s">
        <v>2311</v>
      </c>
      <c r="I124" s="1389" t="s">
        <v>2717</v>
      </c>
      <c r="J124" s="1389">
        <v>1000</v>
      </c>
      <c r="K124" s="1392" t="s">
        <v>2328</v>
      </c>
      <c r="L124" s="1397">
        <v>1000</v>
      </c>
      <c r="N124" s="1378">
        <v>45</v>
      </c>
      <c r="O124" s="1383">
        <f t="shared" si="46"/>
        <v>10</v>
      </c>
      <c r="P124" s="1382">
        <f t="shared" si="38"/>
        <v>49.5</v>
      </c>
      <c r="Q124" s="1383">
        <f t="shared" si="39"/>
        <v>45000</v>
      </c>
      <c r="R124" s="1383">
        <f t="shared" si="40"/>
        <v>49500</v>
      </c>
      <c r="T124" s="101">
        <f>IF(O124="","",IF('Charts and graphs'!$C$6="Conventional",IF(N124&gt;0,1000*P124/J124,""),IF(VLOOKUP($E124,$Y:$AE,7,FALSE)=0,IF(N124&gt;0,1000*P124/J124,""),VLOOKUP($E124,$Y:$AE,7,FALSE))))</f>
        <v>49.5</v>
      </c>
      <c r="U124" s="101">
        <f t="shared" si="41"/>
        <v>49.5</v>
      </c>
      <c r="V124" s="101">
        <f t="shared" si="44"/>
        <v>49.5</v>
      </c>
      <c r="W124" s="332"/>
      <c r="Y124" s="1" t="s">
        <v>3469</v>
      </c>
      <c r="Z124" s="1">
        <v>20</v>
      </c>
      <c r="AA124" s="749" t="s">
        <v>2379</v>
      </c>
      <c r="AG124" s="5" t="str">
        <f t="shared" si="42"/>
        <v/>
      </c>
      <c r="AH124" s="5" t="str">
        <f>IF(AG124="","",VLOOKUP($Y124,Nutrition_tables!$A:$N,10,FALSE))</f>
        <v/>
      </c>
      <c r="AI124" s="5" t="str">
        <f t="shared" si="36"/>
        <v/>
      </c>
    </row>
    <row r="125" spans="1:35" ht="16">
      <c r="A125" s="699"/>
      <c r="B125" s="1" t="s">
        <v>2012</v>
      </c>
      <c r="C125" s="1" t="s">
        <v>3111</v>
      </c>
      <c r="D125" s="332"/>
      <c r="E125" s="678" t="str">
        <f>IF(G125="","",_xlfn.IFNA(VLOOKUP($H125,Ingredient_prices!$B:$C,2,FALSE),""))</f>
        <v>Banana</v>
      </c>
      <c r="F125" s="1199" t="str">
        <f t="shared" si="47"/>
        <v>ПАРТИЈА 2</v>
      </c>
      <c r="G125" s="1389">
        <v>95</v>
      </c>
      <c r="H125" s="1389" t="s">
        <v>893</v>
      </c>
      <c r="I125" s="1389" t="s">
        <v>2718</v>
      </c>
      <c r="J125" s="1389">
        <v>1000</v>
      </c>
      <c r="K125" s="1392" t="s">
        <v>2328</v>
      </c>
      <c r="L125" s="1389">
        <v>950</v>
      </c>
      <c r="N125" s="1378">
        <v>130</v>
      </c>
      <c r="O125" s="1383">
        <f t="shared" si="46"/>
        <v>10</v>
      </c>
      <c r="P125" s="1382">
        <f t="shared" si="38"/>
        <v>143</v>
      </c>
      <c r="Q125" s="1383">
        <f t="shared" si="39"/>
        <v>123500</v>
      </c>
      <c r="R125" s="1383">
        <f t="shared" si="40"/>
        <v>135850</v>
      </c>
      <c r="T125" s="101">
        <f>IF(O125="","",IF('Charts and graphs'!$C$6="Conventional",IF(N125&gt;0,1000*P125/J125,""),IF(VLOOKUP($E125,$Y:$AE,7,FALSE)=0,IF(N125&gt;0,1000*P125/J125,""),VLOOKUP($E125,$Y:$AE,7,FALSE))))</f>
        <v>143</v>
      </c>
      <c r="U125" s="101">
        <f t="shared" si="41"/>
        <v>143</v>
      </c>
      <c r="V125" s="101">
        <f t="shared" si="44"/>
        <v>143</v>
      </c>
      <c r="W125" s="332"/>
      <c r="Y125" s="749" t="s">
        <v>3188</v>
      </c>
      <c r="Z125" s="1">
        <v>20</v>
      </c>
      <c r="AA125" s="749" t="s">
        <v>2379</v>
      </c>
      <c r="AG125" s="5" t="str">
        <f t="shared" si="42"/>
        <v/>
      </c>
      <c r="AH125" s="5" t="str">
        <f>IF(AG125="","",VLOOKUP($Y125,Nutrition_tables!$A:$N,10,FALSE))</f>
        <v/>
      </c>
      <c r="AI125" s="5" t="str">
        <f t="shared" si="36"/>
        <v/>
      </c>
    </row>
    <row r="126" spans="1:35" ht="16">
      <c r="A126" s="699"/>
      <c r="B126" s="1" t="s">
        <v>924</v>
      </c>
      <c r="C126" s="1" t="s">
        <v>3111</v>
      </c>
      <c r="E126" s="678" t="str">
        <f>IF(G126="","",_xlfn.IFNA(VLOOKUP($H126,Ingredient_prices!$B:$C,2,FALSE),""))</f>
        <v>Mandarin orange</v>
      </c>
      <c r="F126" s="1199" t="str">
        <f t="shared" si="47"/>
        <v>ПАРТИЈА 2</v>
      </c>
      <c r="G126" s="1389">
        <v>96</v>
      </c>
      <c r="H126" s="1389" t="s">
        <v>894</v>
      </c>
      <c r="I126" s="1389" t="s">
        <v>2718</v>
      </c>
      <c r="J126" s="1389">
        <v>1000</v>
      </c>
      <c r="K126" s="1392" t="s">
        <v>2328</v>
      </c>
      <c r="L126" s="1389">
        <v>340</v>
      </c>
      <c r="N126" s="1378">
        <v>115</v>
      </c>
      <c r="O126" s="1383">
        <f t="shared" si="46"/>
        <v>10</v>
      </c>
      <c r="P126" s="1382">
        <f t="shared" si="38"/>
        <v>126.5</v>
      </c>
      <c r="Q126" s="1383">
        <f t="shared" si="39"/>
        <v>39100</v>
      </c>
      <c r="R126" s="1383">
        <f t="shared" si="40"/>
        <v>43010</v>
      </c>
      <c r="T126" s="101">
        <f>IF(O126="","",IF('Charts and graphs'!$C$6="Conventional",IF(N126&gt;0,1000*P126/J126,""),IF(VLOOKUP($E126,$Y:$AE,7,FALSE)=0,IF(N126&gt;0,1000*P126/J126,""),VLOOKUP($E126,$Y:$AE,7,FALSE))))</f>
        <v>126.5</v>
      </c>
      <c r="U126" s="101">
        <f t="shared" si="41"/>
        <v>126.5</v>
      </c>
      <c r="V126" s="101">
        <f t="shared" si="44"/>
        <v>126.5</v>
      </c>
      <c r="W126" s="332"/>
      <c r="Y126" s="749" t="s">
        <v>3189</v>
      </c>
      <c r="Z126" s="1">
        <v>20</v>
      </c>
      <c r="AA126" s="749" t="s">
        <v>2379</v>
      </c>
      <c r="AG126" s="5">
        <f t="shared" si="42"/>
        <v>896.4</v>
      </c>
      <c r="AH126" s="5">
        <f>IF(AG126="","",VLOOKUP($Y126,Nutrition_tables!$A:$N,10,FALSE))</f>
        <v>434</v>
      </c>
      <c r="AI126" s="5">
        <f t="shared" si="36"/>
        <v>0.20654377880184333</v>
      </c>
    </row>
    <row r="127" spans="1:35" ht="16">
      <c r="A127" s="699"/>
      <c r="B127" s="1" t="s">
        <v>823</v>
      </c>
      <c r="C127" s="1" t="s">
        <v>441</v>
      </c>
      <c r="E127" s="678" t="str">
        <f>IF(G127="","",_xlfn.IFNA(VLOOKUP($H127,Ingredient_prices!$B:$C,2,FALSE),""))</f>
        <v>Orange</v>
      </c>
      <c r="F127" s="1199" t="str">
        <f t="shared" si="47"/>
        <v>ПАРТИЈА 2</v>
      </c>
      <c r="G127" s="1389">
        <v>97</v>
      </c>
      <c r="H127" s="1389" t="s">
        <v>895</v>
      </c>
      <c r="I127" s="1389" t="s">
        <v>2663</v>
      </c>
      <c r="J127" s="1389">
        <v>1000</v>
      </c>
      <c r="K127" s="1392" t="s">
        <v>2328</v>
      </c>
      <c r="L127" s="1389">
        <v>800</v>
      </c>
      <c r="N127" s="1378">
        <v>100</v>
      </c>
      <c r="O127" s="1383">
        <f t="shared" si="46"/>
        <v>10</v>
      </c>
      <c r="P127" s="1382">
        <f t="shared" si="38"/>
        <v>110</v>
      </c>
      <c r="Q127" s="1383">
        <f t="shared" si="39"/>
        <v>80000</v>
      </c>
      <c r="R127" s="1383">
        <f t="shared" si="40"/>
        <v>88000</v>
      </c>
      <c r="T127" s="101">
        <f>IF(O127="","",IF('Charts and graphs'!$C$6="Conventional",IF(N127&gt;0,1000*P127/J127,""),IF(VLOOKUP($E127,$Y:$AE,7,FALSE)=0,IF(N127&gt;0,1000*P127/J127,""),VLOOKUP($E127,$Y:$AE,7,FALSE))))</f>
        <v>110</v>
      </c>
      <c r="U127" s="101">
        <f t="shared" si="41"/>
        <v>110</v>
      </c>
      <c r="V127" s="101">
        <f t="shared" si="44"/>
        <v>110</v>
      </c>
      <c r="W127" s="332"/>
      <c r="Y127" s="1" t="s">
        <v>3170</v>
      </c>
      <c r="Z127" s="1">
        <v>20</v>
      </c>
      <c r="AA127" s="749" t="s">
        <v>2379</v>
      </c>
      <c r="AG127" s="5" t="str">
        <f t="shared" si="42"/>
        <v/>
      </c>
      <c r="AH127" s="5" t="str">
        <f>IF(AG127="","",VLOOKUP($Y127,Nutrition_tables!$A:$N,10,FALSE))</f>
        <v/>
      </c>
      <c r="AI127" s="5" t="str">
        <f t="shared" si="36"/>
        <v/>
      </c>
    </row>
    <row r="128" spans="1:35" ht="16">
      <c r="B128" s="1" t="s">
        <v>925</v>
      </c>
      <c r="C128" s="1" t="s">
        <v>441</v>
      </c>
      <c r="E128" s="678" t="str">
        <f>IF(G128="","",_xlfn.IFNA(VLOOKUP($H128,Ingredient_prices!$B:$C,2,FALSE),""))</f>
        <v>Kiwi fruit</v>
      </c>
      <c r="F128" s="1199" t="str">
        <f t="shared" si="47"/>
        <v>ПАРТИЈА 2</v>
      </c>
      <c r="G128" s="1389">
        <v>98</v>
      </c>
      <c r="H128" s="1389" t="s">
        <v>896</v>
      </c>
      <c r="I128" s="1389" t="s">
        <v>2719</v>
      </c>
      <c r="J128" s="1389">
        <v>1000</v>
      </c>
      <c r="K128" s="1392" t="s">
        <v>2328</v>
      </c>
      <c r="L128" s="1389">
        <v>60</v>
      </c>
      <c r="N128" s="1378">
        <v>120</v>
      </c>
      <c r="O128" s="1383">
        <f t="shared" si="46"/>
        <v>10</v>
      </c>
      <c r="P128" s="1382">
        <f t="shared" si="38"/>
        <v>132</v>
      </c>
      <c r="Q128" s="1383">
        <f t="shared" si="39"/>
        <v>7200</v>
      </c>
      <c r="R128" s="1383">
        <f t="shared" si="40"/>
        <v>7920</v>
      </c>
      <c r="T128" s="101">
        <f>IF(O128="","",IF('Charts and graphs'!$C$6="Conventional",IF(N128&gt;0,1000*P128/J128,""),IF(VLOOKUP($E128,$Y:$AE,7,FALSE)=0,IF(N128&gt;0,1000*P128/J128,""),VLOOKUP($E128,$Y:$AE,7,FALSE))))</f>
        <v>132</v>
      </c>
      <c r="U128" s="101">
        <f t="shared" si="41"/>
        <v>132</v>
      </c>
      <c r="V128" s="101">
        <f t="shared" si="44"/>
        <v>132</v>
      </c>
      <c r="W128" s="332"/>
      <c r="Y128" s="749" t="s">
        <v>3190</v>
      </c>
      <c r="Z128" s="1">
        <v>20</v>
      </c>
      <c r="AA128" s="749" t="s">
        <v>2379</v>
      </c>
      <c r="AG128" s="5">
        <f t="shared" si="42"/>
        <v>372</v>
      </c>
      <c r="AH128" s="5">
        <f>IF(AG128="","",VLOOKUP($Y128,Nutrition_tables!$A:$N,10,FALSE))</f>
        <v>129</v>
      </c>
      <c r="AI128" s="5">
        <f t="shared" si="36"/>
        <v>0.28837209302325584</v>
      </c>
    </row>
    <row r="129" spans="2:35" ht="16">
      <c r="B129" s="1" t="s">
        <v>822</v>
      </c>
      <c r="C129" s="1" t="s">
        <v>3135</v>
      </c>
      <c r="E129" s="678" t="str">
        <f>IF(G129="","",_xlfn.IFNA(VLOOKUP($H129,Ingredient_prices!$B:$C,2,FALSE),""))</f>
        <v>Pear</v>
      </c>
      <c r="F129" s="1199" t="str">
        <f t="shared" si="47"/>
        <v>ПАРТИЈА 2</v>
      </c>
      <c r="G129" s="1389">
        <v>99</v>
      </c>
      <c r="H129" s="1389" t="s">
        <v>897</v>
      </c>
      <c r="I129" s="1389" t="s">
        <v>2717</v>
      </c>
      <c r="J129" s="1389">
        <v>1000</v>
      </c>
      <c r="K129" s="1392" t="s">
        <v>2328</v>
      </c>
      <c r="L129" s="1389">
        <v>250</v>
      </c>
      <c r="N129" s="1378">
        <v>95</v>
      </c>
      <c r="O129" s="1383">
        <f t="shared" si="46"/>
        <v>10</v>
      </c>
      <c r="P129" s="1382">
        <f t="shared" si="38"/>
        <v>104.5</v>
      </c>
      <c r="Q129" s="1383">
        <f t="shared" si="39"/>
        <v>23750</v>
      </c>
      <c r="R129" s="1383">
        <f t="shared" si="40"/>
        <v>26125</v>
      </c>
      <c r="T129" s="101">
        <f>IF(O129="","",IF('Charts and graphs'!$C$6="Conventional",IF(N129&gt;0,1000*P129/J129,""),IF(VLOOKUP($E129,$Y:$AE,7,FALSE)=0,IF(N129&gt;0,1000*P129/J129,""),VLOOKUP($E129,$Y:$AE,7,FALSE))))</f>
        <v>104.5</v>
      </c>
      <c r="U129" s="101">
        <f t="shared" si="41"/>
        <v>104.5</v>
      </c>
      <c r="V129" s="101">
        <f t="shared" si="44"/>
        <v>104.5</v>
      </c>
      <c r="W129" s="332"/>
      <c r="Y129" s="749" t="s">
        <v>3191</v>
      </c>
      <c r="Z129" s="1">
        <v>20</v>
      </c>
      <c r="AA129" s="749" t="s">
        <v>2379</v>
      </c>
      <c r="AG129" s="5">
        <f t="shared" si="42"/>
        <v>372</v>
      </c>
      <c r="AH129" s="5">
        <f>IF(AG129="","",VLOOKUP($Y129,Nutrition_tables!$A:$N,10,FALSE))</f>
        <v>76</v>
      </c>
      <c r="AI129" s="5">
        <f t="shared" si="36"/>
        <v>0.48947368421052634</v>
      </c>
    </row>
    <row r="130" spans="2:35" ht="16">
      <c r="B130" s="82" t="s">
        <v>2501</v>
      </c>
      <c r="C130" s="1" t="s">
        <v>3134</v>
      </c>
      <c r="E130" s="678" t="str">
        <f>IF(B125="","",_xlfn.IFNA(VLOOKUP($H130,Ingredient_prices!$B:$C,2,FALSE),""))</f>
        <v>Grapes</v>
      </c>
      <c r="F130" s="1199" t="str">
        <f t="shared" si="47"/>
        <v>ПАРТИЈА 2</v>
      </c>
      <c r="G130" s="1389">
        <v>100</v>
      </c>
      <c r="H130" s="1389" t="s">
        <v>898</v>
      </c>
      <c r="I130" s="1389" t="s">
        <v>2720</v>
      </c>
      <c r="J130" s="1389">
        <v>1000</v>
      </c>
      <c r="K130" s="1392" t="s">
        <v>2328</v>
      </c>
      <c r="L130" s="1389">
        <v>150</v>
      </c>
      <c r="N130" s="1378">
        <v>95</v>
      </c>
      <c r="O130" s="1383">
        <f t="shared" si="46"/>
        <v>10</v>
      </c>
      <c r="P130" s="1382">
        <f t="shared" si="38"/>
        <v>104.5</v>
      </c>
      <c r="Q130" s="1383">
        <f t="shared" si="39"/>
        <v>14250</v>
      </c>
      <c r="R130" s="1383">
        <f t="shared" si="40"/>
        <v>15675</v>
      </c>
      <c r="T130" s="101">
        <f>IF(O130="","",IF('Charts and graphs'!$C$6="Conventional",IF(N130&gt;0,1000*P130/J130,""),IF(VLOOKUP($E130,$Y:$AE,7,FALSE)=0,IF(N130&gt;0,1000*P130/J130,""),VLOOKUP($E130,$Y:$AE,7,FALSE))))</f>
        <v>104.5</v>
      </c>
      <c r="U130" s="101">
        <f t="shared" si="41"/>
        <v>104.5</v>
      </c>
      <c r="V130" s="101">
        <f t="shared" si="44"/>
        <v>104.5</v>
      </c>
      <c r="W130" s="332"/>
      <c r="Y130" s="749" t="s">
        <v>3192</v>
      </c>
      <c r="Z130" s="1">
        <v>20</v>
      </c>
      <c r="AA130" s="749" t="s">
        <v>2379</v>
      </c>
      <c r="AG130" s="5">
        <f t="shared" si="42"/>
        <v>300</v>
      </c>
      <c r="AH130" s="5">
        <f>IF(AG130="","",VLOOKUP($Y130,Nutrition_tables!$A:$N,10,FALSE))</f>
        <v>112</v>
      </c>
      <c r="AI130" s="5">
        <f t="shared" si="36"/>
        <v>0.26785714285714285</v>
      </c>
    </row>
    <row r="131" spans="2:35" ht="16">
      <c r="B131" s="82" t="s">
        <v>2421</v>
      </c>
      <c r="C131" s="1" t="s">
        <v>3134</v>
      </c>
      <c r="E131" s="678" t="str">
        <f>IF(G131="","",_xlfn.IFNA(VLOOKUP($H131,Ingredient_prices!$B:$C,2,FALSE),""))</f>
        <v>Strawberries</v>
      </c>
      <c r="F131" s="1199" t="str">
        <f t="shared" si="47"/>
        <v>ПАРТИЈА 2</v>
      </c>
      <c r="G131" s="1389">
        <v>101</v>
      </c>
      <c r="H131" s="1389" t="s">
        <v>899</v>
      </c>
      <c r="I131" s="1389" t="s">
        <v>2717</v>
      </c>
      <c r="J131" s="1389">
        <v>1000</v>
      </c>
      <c r="K131" s="1392" t="s">
        <v>2328</v>
      </c>
      <c r="L131" s="1389">
        <v>100</v>
      </c>
      <c r="N131" s="1378">
        <v>120</v>
      </c>
      <c r="O131" s="1383">
        <f t="shared" si="46"/>
        <v>10</v>
      </c>
      <c r="P131" s="1382">
        <f t="shared" si="38"/>
        <v>132</v>
      </c>
      <c r="Q131" s="1383">
        <f t="shared" si="39"/>
        <v>12000</v>
      </c>
      <c r="R131" s="1383">
        <f t="shared" si="40"/>
        <v>13200</v>
      </c>
      <c r="T131" s="101">
        <f>IF(O131="","",IF('Charts and graphs'!$C$6="Conventional",IF(N131&gt;0,1000*P131/J131,""),IF(VLOOKUP($E131,$Y:$AE,7,FALSE)=0,IF(N131&gt;0,1000*P131/J131,""),VLOOKUP($E131,$Y:$AE,7,FALSE))))</f>
        <v>132</v>
      </c>
      <c r="U131" s="101">
        <f t="shared" si="41"/>
        <v>132</v>
      </c>
      <c r="V131" s="101">
        <f t="shared" si="44"/>
        <v>132</v>
      </c>
      <c r="W131" s="332"/>
      <c r="Y131" s="749" t="s">
        <v>3193</v>
      </c>
      <c r="Z131" s="1">
        <v>20</v>
      </c>
      <c r="AA131" s="749" t="s">
        <v>2379</v>
      </c>
      <c r="AG131" s="5">
        <f t="shared" si="42"/>
        <v>372</v>
      </c>
      <c r="AH131" s="5">
        <f>IF(AG131="","",VLOOKUP($Y131,Nutrition_tables!$A:$N,10,FALSE))</f>
        <v>361</v>
      </c>
      <c r="AI131" s="5">
        <f t="shared" si="36"/>
        <v>0.10304709141274238</v>
      </c>
    </row>
    <row r="132" spans="2:35" ht="16">
      <c r="B132" s="412" t="s">
        <v>2149</v>
      </c>
      <c r="C132" s="1" t="s">
        <v>3135</v>
      </c>
      <c r="E132" s="678" t="str">
        <f>IF(B138="","",_xlfn.IFNA(VLOOKUP($H132,Ingredient_prices!$B:$C,2,FALSE),""))</f>
        <v>Beans haricot (yellow)</v>
      </c>
      <c r="F132" s="1199" t="str">
        <f t="shared" si="47"/>
        <v>ПАРТИЈА 2</v>
      </c>
      <c r="G132" s="1389">
        <v>102</v>
      </c>
      <c r="H132" s="1393" t="s">
        <v>2312</v>
      </c>
      <c r="I132" s="1393" t="s">
        <v>2721</v>
      </c>
      <c r="J132" s="1389">
        <v>1000</v>
      </c>
      <c r="K132" s="1394" t="s">
        <v>2328</v>
      </c>
      <c r="L132" s="1393">
        <v>120</v>
      </c>
      <c r="N132" s="1378">
        <v>180</v>
      </c>
      <c r="O132" s="1383">
        <f t="shared" ref="O132:O163" si="48">IF($E132="","",VLOOKUP($E132,$Y:$AE,2,FALSE))</f>
        <v>10</v>
      </c>
      <c r="P132" s="1382">
        <f t="shared" ref="P132:P195" si="49">IF(O132="","",N132+(O132*N132/100))</f>
        <v>198</v>
      </c>
      <c r="Q132" s="1383">
        <f t="shared" ref="Q132:Q195" si="50">IF(O132="","",N132*L132)</f>
        <v>21600</v>
      </c>
      <c r="R132" s="1383">
        <f t="shared" ref="R132:R195" si="51">IF(O132="","",P132*L132)</f>
        <v>23760</v>
      </c>
      <c r="T132" s="101">
        <f>IF(O132="","",IF('Charts and graphs'!$C$6="Conventional",IF(N132&gt;0,1000*P132/J132,""),IF(VLOOKUP($E132,$Y:$AE,7,FALSE)=0,IF(N132&gt;0,1000*P132/J132,""),VLOOKUP($E132,$Y:$AE,7,FALSE))))</f>
        <v>500</v>
      </c>
      <c r="U132" s="101">
        <f t="shared" ref="U132:U195" si="52">IF(O132="","",IF(N132&gt;0,1000*P132/J132,""))</f>
        <v>198</v>
      </c>
      <c r="V132" s="101">
        <f t="shared" si="44"/>
        <v>500</v>
      </c>
      <c r="W132" s="332"/>
      <c r="Y132" s="1" t="s">
        <v>3171</v>
      </c>
      <c r="Z132" s="1">
        <v>20</v>
      </c>
      <c r="AA132" s="749" t="s">
        <v>2379</v>
      </c>
      <c r="AG132" s="5" t="str">
        <f t="shared" ref="AG132:AG153" si="53">_xlfn.IFNA(VLOOKUP($Y132,$E:$U,17,FALSE),"")</f>
        <v/>
      </c>
      <c r="AH132" s="5" t="str">
        <f>IF(AG132="","",VLOOKUP($Y132,Nutrition_tables!$A:$N,10,FALSE))</f>
        <v/>
      </c>
      <c r="AI132" s="5" t="str">
        <f t="shared" ref="AI132:AI195" si="54">IF(AG132="","",AG132/(AH132*10))</f>
        <v/>
      </c>
    </row>
    <row r="133" spans="2:35" ht="16">
      <c r="B133" s="412" t="s">
        <v>2116</v>
      </c>
      <c r="C133" s="1" t="s">
        <v>3135</v>
      </c>
      <c r="E133" s="678" t="str">
        <f>IF(G133="","",_xlfn.IFNA(VLOOKUP($H133,Ingredient_prices!$B:$C,2,FALSE),""))</f>
        <v>Cabbage grated, pickled</v>
      </c>
      <c r="F133" s="1199" t="str">
        <f t="shared" si="47"/>
        <v>ПАРТИЈА 2</v>
      </c>
      <c r="G133" s="1389">
        <v>103</v>
      </c>
      <c r="H133" s="1389" t="s">
        <v>2313</v>
      </c>
      <c r="I133" s="1389"/>
      <c r="J133" s="1389">
        <v>1000</v>
      </c>
      <c r="K133" s="1392" t="s">
        <v>2328</v>
      </c>
      <c r="L133" s="1389">
        <v>50</v>
      </c>
      <c r="N133" s="1378">
        <v>120</v>
      </c>
      <c r="O133" s="1383">
        <f t="shared" si="48"/>
        <v>20</v>
      </c>
      <c r="P133" s="1382">
        <f t="shared" si="49"/>
        <v>144</v>
      </c>
      <c r="Q133" s="1383">
        <f t="shared" si="50"/>
        <v>6000</v>
      </c>
      <c r="R133" s="1383">
        <f t="shared" si="51"/>
        <v>7200</v>
      </c>
      <c r="T133" s="101">
        <f>IF(O133="","",IF('Charts and graphs'!$C$6="Conventional",IF(N133&gt;0,1000*P133/J133,""),IF(VLOOKUP($E133,$Y:$AE,7,FALSE)=0,IF(N133&gt;0,1000*P133/J133,""),VLOOKUP($E133,$Y:$AE,7,FALSE))))</f>
        <v>144</v>
      </c>
      <c r="U133" s="101">
        <f t="shared" si="52"/>
        <v>144</v>
      </c>
      <c r="V133" s="101">
        <f t="shared" si="44"/>
        <v>144</v>
      </c>
      <c r="W133" s="332"/>
      <c r="Y133" s="1" t="s">
        <v>3466</v>
      </c>
      <c r="Z133" s="1">
        <v>20</v>
      </c>
      <c r="AA133" s="749" t="s">
        <v>2379</v>
      </c>
      <c r="AG133" s="5" t="str">
        <f t="shared" si="53"/>
        <v/>
      </c>
      <c r="AH133" s="5" t="str">
        <f>IF(AG133="","",VLOOKUP($Y133,Nutrition_tables!$A:$N,10,FALSE))</f>
        <v/>
      </c>
      <c r="AI133" s="5" t="str">
        <f t="shared" si="54"/>
        <v/>
      </c>
    </row>
    <row r="134" spans="2:35" ht="16">
      <c r="B134" s="1" t="s">
        <v>1694</v>
      </c>
      <c r="C134" s="1" t="s">
        <v>3134</v>
      </c>
      <c r="E134" s="678" t="str">
        <f>IF(G134="","",_xlfn.IFNA(VLOOKUP($H134,Ingredient_prices!$B:$C,2,FALSE),""))</f>
        <v>Carrot fresh</v>
      </c>
      <c r="F134" s="1199" t="str">
        <f t="shared" si="47"/>
        <v>ПАРТИЈА 2</v>
      </c>
      <c r="G134" s="1389">
        <v>104</v>
      </c>
      <c r="H134" s="1393" t="s">
        <v>1455</v>
      </c>
      <c r="I134" s="1393"/>
      <c r="J134" s="1389">
        <v>1000</v>
      </c>
      <c r="K134" s="1394" t="s">
        <v>2328</v>
      </c>
      <c r="L134" s="1393">
        <v>50</v>
      </c>
      <c r="N134" s="1378">
        <v>35</v>
      </c>
      <c r="O134" s="1383">
        <f t="shared" si="48"/>
        <v>10</v>
      </c>
      <c r="P134" s="1382">
        <f t="shared" si="49"/>
        <v>38.5</v>
      </c>
      <c r="Q134" s="1383">
        <f t="shared" si="50"/>
        <v>1750</v>
      </c>
      <c r="R134" s="1383">
        <f t="shared" si="51"/>
        <v>1925</v>
      </c>
      <c r="T134" s="101">
        <f>IF(O134="","",IF('Charts and graphs'!$C$6="Conventional",IF(N134&gt;0,1000*P134/J134,""),IF(VLOOKUP($E134,$Y:$AE,7,FALSE)=0,IF(N134&gt;0,1000*P134/J134,""),VLOOKUP($E134,$Y:$AE,7,FALSE))))</f>
        <v>110</v>
      </c>
      <c r="U134" s="101">
        <f t="shared" si="52"/>
        <v>38.5</v>
      </c>
      <c r="V134" s="101">
        <f t="shared" ref="V134:V197" si="55">IF(O134="","",IF(VLOOKUP($E134,$Y:$AE,7,FALSE)=0,IF(N134&gt;0,1000*P134/J134,""),VLOOKUP($E134,$Y:$AE,7,FALSE)))</f>
        <v>110</v>
      </c>
      <c r="W134" s="332"/>
      <c r="X134" s="1273"/>
      <c r="Y134" s="1" t="s">
        <v>3194</v>
      </c>
      <c r="Z134" s="1">
        <v>20</v>
      </c>
      <c r="AA134" s="749" t="s">
        <v>2379</v>
      </c>
      <c r="AG134" s="5">
        <f t="shared" si="53"/>
        <v>372</v>
      </c>
      <c r="AH134" s="5">
        <f>IF(AG134="","",VLOOKUP($Y134,Nutrition_tables!$A:$N,10,FALSE))</f>
        <v>361</v>
      </c>
      <c r="AI134" s="5">
        <f t="shared" si="54"/>
        <v>0.10304709141274238</v>
      </c>
    </row>
    <row r="135" spans="2:35" ht="16">
      <c r="B135" s="1" t="s">
        <v>2854</v>
      </c>
      <c r="C135" s="1" t="s">
        <v>3134</v>
      </c>
      <c r="E135" s="678" t="str">
        <f>IF(G135="","",_xlfn.IFNA(VLOOKUP($H135,Ingredient_prices!$B:$C,2,FALSE),""))</f>
        <v>Cabbage white fresh</v>
      </c>
      <c r="F135" s="1199" t="str">
        <f t="shared" si="47"/>
        <v>ПАРТИЈА 2</v>
      </c>
      <c r="G135" s="1389">
        <v>105</v>
      </c>
      <c r="H135" s="1389" t="s">
        <v>2314</v>
      </c>
      <c r="I135" s="1389"/>
      <c r="J135" s="1389">
        <v>1000</v>
      </c>
      <c r="K135" s="1392" t="s">
        <v>2328</v>
      </c>
      <c r="L135" s="1389">
        <v>300</v>
      </c>
      <c r="N135" s="1378">
        <v>60</v>
      </c>
      <c r="O135" s="1383">
        <f t="shared" si="48"/>
        <v>10</v>
      </c>
      <c r="P135" s="1382">
        <f t="shared" si="49"/>
        <v>66</v>
      </c>
      <c r="Q135" s="1383">
        <f t="shared" si="50"/>
        <v>18000</v>
      </c>
      <c r="R135" s="1383">
        <f t="shared" si="51"/>
        <v>19800</v>
      </c>
      <c r="T135" s="101">
        <f>IF(O135="","",IF('Charts and graphs'!$C$6="Conventional",IF(N135&gt;0,1000*P135/J135,""),IF(VLOOKUP($E135,$Y:$AE,7,FALSE)=0,IF(N135&gt;0,1000*P135/J135,""),VLOOKUP($E135,$Y:$AE,7,FALSE))))</f>
        <v>90</v>
      </c>
      <c r="U135" s="101">
        <f t="shared" si="52"/>
        <v>66</v>
      </c>
      <c r="V135" s="101">
        <f t="shared" si="55"/>
        <v>90</v>
      </c>
      <c r="W135" s="332"/>
      <c r="Y135" s="1" t="s">
        <v>3195</v>
      </c>
      <c r="Z135" s="1">
        <v>20</v>
      </c>
      <c r="AA135" s="749" t="s">
        <v>2379</v>
      </c>
      <c r="AG135" s="5" t="str">
        <f t="shared" si="53"/>
        <v/>
      </c>
      <c r="AH135" s="5" t="str">
        <f>IF(AG135="","",VLOOKUP($Y135,Nutrition_tables!$A:$N,10,FALSE))</f>
        <v/>
      </c>
      <c r="AI135" s="5" t="str">
        <f t="shared" si="54"/>
        <v/>
      </c>
    </row>
    <row r="136" spans="2:35" ht="16">
      <c r="B136" s="1" t="s">
        <v>2312</v>
      </c>
      <c r="C136" s="1" t="s">
        <v>3134</v>
      </c>
      <c r="E136" s="678" t="str">
        <f>IF(G136="","",_xlfn.IFNA(VLOOKUP($H136,Ingredient_prices!$B:$C,2,FALSE),""))</f>
        <v>Parsnip and carrot</v>
      </c>
      <c r="F136" s="1199" t="str">
        <f t="shared" si="47"/>
        <v>ПАРТИЈА 2</v>
      </c>
      <c r="G136" s="1389">
        <v>106</v>
      </c>
      <c r="H136" s="1389" t="s">
        <v>2315</v>
      </c>
      <c r="I136" s="1389" t="s">
        <v>2722</v>
      </c>
      <c r="J136" s="1395">
        <v>300</v>
      </c>
      <c r="K136" s="1392" t="s">
        <v>2327</v>
      </c>
      <c r="L136" s="1389">
        <v>30</v>
      </c>
      <c r="N136" s="1378">
        <v>55</v>
      </c>
      <c r="O136" s="1383">
        <f t="shared" si="48"/>
        <v>10</v>
      </c>
      <c r="P136" s="1382">
        <f t="shared" si="49"/>
        <v>60.5</v>
      </c>
      <c r="Q136" s="1383">
        <f t="shared" si="50"/>
        <v>1650</v>
      </c>
      <c r="R136" s="1383">
        <f t="shared" si="51"/>
        <v>1815</v>
      </c>
      <c r="T136" s="101">
        <f>IF(O136="","",IF('Charts and graphs'!$C$6="Conventional",IF(N136&gt;0,1000*P136/J136,""),IF(VLOOKUP($E136,$Y:$AE,7,FALSE)=0,IF(N136&gt;0,1000*P136/J136,""),VLOOKUP($E136,$Y:$AE,7,FALSE))))</f>
        <v>400</v>
      </c>
      <c r="U136" s="101">
        <f t="shared" si="52"/>
        <v>201.66666666666666</v>
      </c>
      <c r="V136" s="101">
        <f t="shared" si="55"/>
        <v>400</v>
      </c>
      <c r="W136" s="332"/>
      <c r="Y136" s="491" t="s">
        <v>3511</v>
      </c>
      <c r="Z136" s="1">
        <v>20</v>
      </c>
      <c r="AA136" s="749" t="s">
        <v>2379</v>
      </c>
      <c r="AG136" s="5" t="str">
        <f t="shared" si="53"/>
        <v/>
      </c>
      <c r="AH136" s="5" t="str">
        <f>IF(AG136="","",VLOOKUP($Y136,Nutrition_tables!$A:$N,10,FALSE))</f>
        <v/>
      </c>
      <c r="AI136" s="5" t="str">
        <f t="shared" si="54"/>
        <v/>
      </c>
    </row>
    <row r="137" spans="2:35" ht="16">
      <c r="B137" s="1" t="s">
        <v>1453</v>
      </c>
      <c r="C137" s="1" t="s">
        <v>3135</v>
      </c>
      <c r="E137" s="678" t="str">
        <f>IF(G137="","",_xlfn.IFNA(VLOOKUP($H137,Ingredient_prices!$B:$C,2,FALSE),""))</f>
        <v>Cauliflower</v>
      </c>
      <c r="F137" s="1199" t="str">
        <f t="shared" si="47"/>
        <v>ПАРТИЈА 2</v>
      </c>
      <c r="G137" s="1389">
        <v>107</v>
      </c>
      <c r="H137" s="1389" t="s">
        <v>2316</v>
      </c>
      <c r="I137" s="1389"/>
      <c r="J137" s="1389">
        <v>1000</v>
      </c>
      <c r="K137" s="1392" t="s">
        <v>2328</v>
      </c>
      <c r="L137" s="1389">
        <v>30</v>
      </c>
      <c r="N137" s="1378">
        <v>100</v>
      </c>
      <c r="O137" s="1383">
        <f t="shared" si="48"/>
        <v>10</v>
      </c>
      <c r="P137" s="1382">
        <f t="shared" si="49"/>
        <v>110</v>
      </c>
      <c r="Q137" s="1383">
        <f t="shared" si="50"/>
        <v>3000</v>
      </c>
      <c r="R137" s="1383">
        <f t="shared" si="51"/>
        <v>3300</v>
      </c>
      <c r="T137" s="101">
        <f>IF(O137="","",IF('Charts and graphs'!$C$6="Conventional",IF(N137&gt;0,1000*P137/J137,""),IF(VLOOKUP($E137,$Y:$AE,7,FALSE)=0,IF(N137&gt;0,1000*P137/J137,""),VLOOKUP($E137,$Y:$AE,7,FALSE))))</f>
        <v>300</v>
      </c>
      <c r="U137" s="101">
        <f t="shared" si="52"/>
        <v>110</v>
      </c>
      <c r="V137" s="101">
        <f t="shared" si="55"/>
        <v>300</v>
      </c>
      <c r="W137" s="332"/>
      <c r="Y137" s="491" t="s">
        <v>3510</v>
      </c>
      <c r="Z137" s="1">
        <v>20</v>
      </c>
      <c r="AA137" s="749" t="s">
        <v>2379</v>
      </c>
      <c r="AG137" s="5">
        <f t="shared" si="53"/>
        <v>708</v>
      </c>
      <c r="AH137" s="5">
        <f>IF(AG137="","",VLOOKUP($Y137,Nutrition_tables!$A:$N,10,FALSE))</f>
        <v>283</v>
      </c>
      <c r="AI137" s="5">
        <f t="shared" si="54"/>
        <v>0.25017667844522967</v>
      </c>
    </row>
    <row r="138" spans="2:35" ht="16">
      <c r="B138" s="1" t="s">
        <v>1539</v>
      </c>
      <c r="C138" s="1" t="s">
        <v>3135</v>
      </c>
      <c r="E138" s="678" t="str">
        <f>IF(G138="","",_xlfn.IFNA(VLOOKUP($H138,Ingredient_prices!$B:$C,2,FALSE),""))</f>
        <v>Courgette</v>
      </c>
      <c r="F138" s="1199" t="str">
        <f t="shared" si="47"/>
        <v>ПАРТИЈА 2</v>
      </c>
      <c r="G138" s="1389">
        <v>108</v>
      </c>
      <c r="H138" s="1389" t="s">
        <v>1512</v>
      </c>
      <c r="I138" s="1389"/>
      <c r="J138" s="1389">
        <v>1000</v>
      </c>
      <c r="K138" s="1392" t="s">
        <v>2328</v>
      </c>
      <c r="L138" s="1389">
        <v>30</v>
      </c>
      <c r="N138" s="1378">
        <v>45</v>
      </c>
      <c r="O138" s="1383">
        <f t="shared" si="48"/>
        <v>10</v>
      </c>
      <c r="P138" s="1382">
        <f t="shared" si="49"/>
        <v>49.5</v>
      </c>
      <c r="Q138" s="1383">
        <f t="shared" si="50"/>
        <v>1350</v>
      </c>
      <c r="R138" s="1383">
        <f t="shared" si="51"/>
        <v>1485</v>
      </c>
      <c r="T138" s="101">
        <f>IF(O138="","",IF('Charts and graphs'!$C$6="Conventional",IF(N138&gt;0,1000*P138/J138,""),IF(VLOOKUP($E138,$Y:$AE,7,FALSE)=0,IF(N138&gt;0,1000*P138/J138,""),VLOOKUP($E138,$Y:$AE,7,FALSE))))</f>
        <v>120</v>
      </c>
      <c r="U138" s="101">
        <f t="shared" si="52"/>
        <v>49.5</v>
      </c>
      <c r="V138" s="101">
        <f t="shared" si="55"/>
        <v>120</v>
      </c>
      <c r="Y138" s="492" t="s">
        <v>3512</v>
      </c>
      <c r="Z138" s="24">
        <v>20</v>
      </c>
      <c r="AA138" s="492" t="s">
        <v>2379</v>
      </c>
      <c r="AG138" s="5" t="str">
        <f t="shared" si="53"/>
        <v/>
      </c>
      <c r="AH138" s="5" t="str">
        <f>IF(AG138="","",VLOOKUP($Y138,Nutrition_tables!$A:$N,10,FALSE))</f>
        <v/>
      </c>
      <c r="AI138" s="5" t="str">
        <f t="shared" si="54"/>
        <v/>
      </c>
    </row>
    <row r="139" spans="2:35" ht="16">
      <c r="B139" s="1" t="s">
        <v>2855</v>
      </c>
      <c r="C139" s="1" t="s">
        <v>3144</v>
      </c>
      <c r="E139" s="678" t="str">
        <f>IF(G139="","",_xlfn.IFNA(VLOOKUP($H139,Ingredient_prices!$B:$C,2,FALSE),""))</f>
        <v>Aubergine</v>
      </c>
      <c r="F139" s="1199" t="str">
        <f t="shared" si="47"/>
        <v>ПАРТИЈА 2</v>
      </c>
      <c r="G139" s="1389">
        <v>109</v>
      </c>
      <c r="H139" s="1389" t="s">
        <v>2317</v>
      </c>
      <c r="I139" s="1389"/>
      <c r="J139" s="1389">
        <v>1000</v>
      </c>
      <c r="K139" s="1392" t="s">
        <v>2328</v>
      </c>
      <c r="L139" s="1389">
        <v>30</v>
      </c>
      <c r="N139" s="1378">
        <v>50</v>
      </c>
      <c r="O139" s="1383">
        <f t="shared" si="48"/>
        <v>10</v>
      </c>
      <c r="P139" s="1382">
        <f t="shared" si="49"/>
        <v>55</v>
      </c>
      <c r="Q139" s="1383">
        <f t="shared" si="50"/>
        <v>1500</v>
      </c>
      <c r="R139" s="1383">
        <f t="shared" si="51"/>
        <v>1650</v>
      </c>
      <c r="T139" s="101">
        <f>IF(O139="","",IF('Charts and graphs'!$C$6="Conventional",IF(N139&gt;0,1000*P139/J139,""),IF(VLOOKUP($E139,$Y:$AE,7,FALSE)=0,IF(N139&gt;0,1000*P139/J139,""),VLOOKUP($E139,$Y:$AE,7,FALSE))))</f>
        <v>200</v>
      </c>
      <c r="U139" s="101">
        <f t="shared" si="52"/>
        <v>55</v>
      </c>
      <c r="V139" s="101">
        <f t="shared" si="55"/>
        <v>200</v>
      </c>
      <c r="Y139" s="397" t="s">
        <v>1851</v>
      </c>
      <c r="Z139" s="1">
        <v>10</v>
      </c>
      <c r="AA139" s="749" t="s">
        <v>2380</v>
      </c>
      <c r="AG139" s="5">
        <f t="shared" si="53"/>
        <v>1100</v>
      </c>
      <c r="AH139" s="5">
        <f>IF(AG139="","",VLOOKUP($Y139,Nutrition_tables!$A:$N,10,FALSE))</f>
        <v>118.4</v>
      </c>
      <c r="AI139" s="5">
        <f t="shared" si="54"/>
        <v>0.92905405405405406</v>
      </c>
    </row>
    <row r="140" spans="2:35" ht="16">
      <c r="B140" s="1" t="s">
        <v>1434</v>
      </c>
      <c r="C140" s="1" t="s">
        <v>3144</v>
      </c>
      <c r="E140" s="678" t="str">
        <f>IF(G140="","",_xlfn.IFNA(VLOOKUP($H140,Ingredient_prices!$B:$C,2,FALSE),""))</f>
        <v>Peppers bell</v>
      </c>
      <c r="F140" s="1199" t="str">
        <f t="shared" si="47"/>
        <v>ПАРТИЈА 2</v>
      </c>
      <c r="G140" s="1389">
        <v>110</v>
      </c>
      <c r="H140" s="1389" t="s">
        <v>2318</v>
      </c>
      <c r="I140" s="1389"/>
      <c r="J140" s="1389">
        <v>1000</v>
      </c>
      <c r="K140" s="1392" t="s">
        <v>2328</v>
      </c>
      <c r="L140" s="1389">
        <v>70</v>
      </c>
      <c r="N140" s="1378">
        <v>85</v>
      </c>
      <c r="O140" s="1383">
        <f t="shared" si="48"/>
        <v>10</v>
      </c>
      <c r="P140" s="1382">
        <f t="shared" si="49"/>
        <v>93.5</v>
      </c>
      <c r="Q140" s="1383">
        <f t="shared" si="50"/>
        <v>5950</v>
      </c>
      <c r="R140" s="1383">
        <f t="shared" si="51"/>
        <v>6545</v>
      </c>
      <c r="T140" s="101">
        <f>IF(O140="","",IF('Charts and graphs'!$C$6="Conventional",IF(N140&gt;0,1000*P140/J140,""),IF(VLOOKUP($E140,$Y:$AE,7,FALSE)=0,IF(N140&gt;0,1000*P140/J140,""),VLOOKUP($E140,$Y:$AE,7,FALSE))))</f>
        <v>150</v>
      </c>
      <c r="U140" s="101">
        <f t="shared" si="52"/>
        <v>93.5</v>
      </c>
      <c r="V140" s="101">
        <f t="shared" si="55"/>
        <v>150</v>
      </c>
      <c r="Y140" s="1" t="s">
        <v>1861</v>
      </c>
      <c r="Z140" s="1">
        <v>10</v>
      </c>
      <c r="AA140" s="749" t="s">
        <v>2380</v>
      </c>
      <c r="AG140" s="5">
        <f t="shared" si="53"/>
        <v>265.10000000000002</v>
      </c>
      <c r="AH140" s="5">
        <f>IF(AG140="","",VLOOKUP($Y140,Nutrition_tables!$A:$N,10,FALSE))</f>
        <v>95</v>
      </c>
      <c r="AI140" s="5">
        <f t="shared" si="54"/>
        <v>0.27905263157894739</v>
      </c>
    </row>
    <row r="141" spans="2:35" ht="16">
      <c r="B141" s="1" t="s">
        <v>926</v>
      </c>
      <c r="C141" s="1" t="s">
        <v>3136</v>
      </c>
      <c r="E141" s="678" t="str">
        <f>IF(G141="","",_xlfn.IFNA(VLOOKUP($H141,Ingredient_prices!$B:$C,2,FALSE),""))</f>
        <v>Leek</v>
      </c>
      <c r="F141" s="1199" t="str">
        <f t="shared" si="47"/>
        <v>ПАРТИЈА 2</v>
      </c>
      <c r="G141" s="1389">
        <v>111</v>
      </c>
      <c r="H141" s="1389" t="s">
        <v>929</v>
      </c>
      <c r="I141" s="1389"/>
      <c r="J141" s="1389">
        <v>1000</v>
      </c>
      <c r="K141" s="1392" t="s">
        <v>2328</v>
      </c>
      <c r="L141" s="1389">
        <v>10</v>
      </c>
      <c r="N141" s="1384">
        <v>110</v>
      </c>
      <c r="O141" s="1383">
        <f t="shared" si="48"/>
        <v>10</v>
      </c>
      <c r="P141" s="1382">
        <f t="shared" si="49"/>
        <v>121</v>
      </c>
      <c r="Q141" s="1383">
        <f t="shared" si="50"/>
        <v>1100</v>
      </c>
      <c r="R141" s="1383">
        <f t="shared" si="51"/>
        <v>1210</v>
      </c>
      <c r="T141" s="101">
        <f>IF(O141="","",IF('Charts and graphs'!$C$6="Conventional",IF(N141&gt;0,1000*P141/J141,""),IF(VLOOKUP($E141,$Y:$AE,7,FALSE)=0,IF(N141&gt;0,1000*P141/J141,""),VLOOKUP($E141,$Y:$AE,7,FALSE))))</f>
        <v>121</v>
      </c>
      <c r="U141" s="101">
        <f t="shared" si="52"/>
        <v>121</v>
      </c>
      <c r="V141" s="101">
        <f t="shared" si="55"/>
        <v>121</v>
      </c>
      <c r="Y141" s="24" t="s">
        <v>3197</v>
      </c>
      <c r="Z141" s="24">
        <v>10</v>
      </c>
      <c r="AA141" s="492" t="s">
        <v>2380</v>
      </c>
      <c r="AG141" s="5" t="str">
        <f t="shared" si="53"/>
        <v/>
      </c>
      <c r="AH141" s="5" t="str">
        <f>IF(AG141="","",VLOOKUP($Y141,Nutrition_tables!$A:$N,10,FALSE))</f>
        <v/>
      </c>
      <c r="AI141" s="5" t="str">
        <f t="shared" si="54"/>
        <v/>
      </c>
    </row>
    <row r="142" spans="2:35" ht="16">
      <c r="B142" s="1" t="s">
        <v>927</v>
      </c>
      <c r="C142" s="1" t="s">
        <v>3112</v>
      </c>
      <c r="E142" s="678" t="str">
        <f>IF(G142="","",_xlfn.IFNA(VLOOKUP($H142,Ingredient_prices!$B:$C,2,FALSE),""))</f>
        <v>Pumpkin</v>
      </c>
      <c r="F142" s="1199" t="str">
        <f t="shared" si="47"/>
        <v>ПАРТИЈА 2</v>
      </c>
      <c r="G142" s="1389">
        <v>112</v>
      </c>
      <c r="H142" s="1389" t="s">
        <v>1511</v>
      </c>
      <c r="I142" s="1389"/>
      <c r="J142" s="1389">
        <v>1000</v>
      </c>
      <c r="K142" s="1392" t="s">
        <v>2328</v>
      </c>
      <c r="L142" s="1389">
        <v>50</v>
      </c>
      <c r="N142" s="1384">
        <v>60</v>
      </c>
      <c r="O142" s="1383">
        <f t="shared" si="48"/>
        <v>10</v>
      </c>
      <c r="P142" s="1382">
        <f t="shared" si="49"/>
        <v>66</v>
      </c>
      <c r="Q142" s="1383">
        <f t="shared" si="50"/>
        <v>3000</v>
      </c>
      <c r="R142" s="1383">
        <f t="shared" si="51"/>
        <v>3300</v>
      </c>
      <c r="T142" s="101">
        <f>IF(O142="","",IF('Charts and graphs'!$C$6="Conventional",IF(N142&gt;0,1000*P142/J142,""),IF(VLOOKUP($E142,$Y:$AE,7,FALSE)=0,IF(N142&gt;0,1000*P142/J142,""),VLOOKUP($E142,$Y:$AE,7,FALSE))))</f>
        <v>130</v>
      </c>
      <c r="U142" s="101">
        <f t="shared" si="52"/>
        <v>66</v>
      </c>
      <c r="V142" s="101">
        <f t="shared" si="55"/>
        <v>130</v>
      </c>
      <c r="Y142" s="397" t="s">
        <v>3198</v>
      </c>
      <c r="Z142" s="1">
        <v>20</v>
      </c>
      <c r="AA142" s="749" t="s">
        <v>2381</v>
      </c>
      <c r="AG142" s="5" t="str">
        <f t="shared" si="53"/>
        <v/>
      </c>
      <c r="AH142" s="5" t="str">
        <f>IF(AG142="","",VLOOKUP($Y142,Nutrition_tables!$A:$N,10,FALSE))</f>
        <v/>
      </c>
      <c r="AI142" s="5" t="str">
        <f t="shared" si="54"/>
        <v/>
      </c>
    </row>
    <row r="143" spans="2:35" ht="16">
      <c r="B143" s="1" t="s">
        <v>2856</v>
      </c>
      <c r="C143" s="1" t="s">
        <v>3113</v>
      </c>
      <c r="E143" s="678" t="str">
        <f>IF(G143="","",_xlfn.IFNA(VLOOKUP($H143,Ingredient_prices!$B:$C,2,FALSE),""))</f>
        <v>Onion</v>
      </c>
      <c r="F143" s="1199" t="str">
        <f t="shared" si="47"/>
        <v>ПАРТИЈА 2</v>
      </c>
      <c r="G143" s="1389">
        <v>113</v>
      </c>
      <c r="H143" s="1389" t="s">
        <v>826</v>
      </c>
      <c r="I143" s="1389"/>
      <c r="J143" s="1389">
        <v>1000</v>
      </c>
      <c r="K143" s="1392" t="s">
        <v>2328</v>
      </c>
      <c r="L143" s="1389">
        <v>200</v>
      </c>
      <c r="N143" s="1384">
        <v>85</v>
      </c>
      <c r="O143" s="1383">
        <f t="shared" si="48"/>
        <v>10</v>
      </c>
      <c r="P143" s="1382">
        <f t="shared" si="49"/>
        <v>93.5</v>
      </c>
      <c r="Q143" s="1383">
        <f t="shared" si="50"/>
        <v>17000</v>
      </c>
      <c r="R143" s="1383">
        <f t="shared" si="51"/>
        <v>18700</v>
      </c>
      <c r="T143" s="101">
        <f>IF(O143="","",IF('Charts and graphs'!$C$6="Conventional",IF(N143&gt;0,1000*P143/J143,""),IF(VLOOKUP($E143,$Y:$AE,7,FALSE)=0,IF(N143&gt;0,1000*P143/J143,""),VLOOKUP($E143,$Y:$AE,7,FALSE))))</f>
        <v>120</v>
      </c>
      <c r="U143" s="101">
        <f t="shared" si="52"/>
        <v>93.5</v>
      </c>
      <c r="V143" s="101">
        <f t="shared" si="55"/>
        <v>120</v>
      </c>
      <c r="Y143" s="749" t="s">
        <v>3199</v>
      </c>
      <c r="Z143" s="1">
        <v>20</v>
      </c>
      <c r="AA143" s="749" t="s">
        <v>2381</v>
      </c>
      <c r="AG143" s="5" t="str">
        <f t="shared" si="53"/>
        <v/>
      </c>
      <c r="AH143" s="5" t="str">
        <f>IF(AG143="","",VLOOKUP($Y143,Nutrition_tables!$A:$N,10,FALSE))</f>
        <v/>
      </c>
      <c r="AI143" s="5" t="str">
        <f t="shared" si="54"/>
        <v/>
      </c>
    </row>
    <row r="144" spans="2:35" ht="16">
      <c r="B144" s="1" t="s">
        <v>1118</v>
      </c>
      <c r="C144" s="1" t="s">
        <v>3113</v>
      </c>
      <c r="E144" s="678" t="str">
        <f>IF(G144="","",_xlfn.IFNA(VLOOKUP($H144,Ingredient_prices!$B:$C,2,FALSE),""))</f>
        <v>Lettuce</v>
      </c>
      <c r="F144" s="1199" t="str">
        <f t="shared" si="47"/>
        <v>ПАРТИЈА 2</v>
      </c>
      <c r="G144" s="1389">
        <v>114</v>
      </c>
      <c r="H144" s="1389" t="s">
        <v>816</v>
      </c>
      <c r="I144" s="1389" t="s">
        <v>2723</v>
      </c>
      <c r="J144" s="1395">
        <v>9000</v>
      </c>
      <c r="K144" s="1392" t="s">
        <v>2327</v>
      </c>
      <c r="L144" s="1389">
        <v>180</v>
      </c>
      <c r="N144" s="1384">
        <v>810</v>
      </c>
      <c r="O144" s="1383">
        <f t="shared" si="48"/>
        <v>10</v>
      </c>
      <c r="P144" s="1382">
        <f t="shared" si="49"/>
        <v>891</v>
      </c>
      <c r="Q144" s="1383">
        <f t="shared" si="50"/>
        <v>145800</v>
      </c>
      <c r="R144" s="1383">
        <f t="shared" si="51"/>
        <v>160380</v>
      </c>
      <c r="T144" s="101">
        <f>IF(O144="","",IF('Charts and graphs'!$C$6="Conventional",IF(N144&gt;0,1000*P144/J144,""),IF(VLOOKUP($E144,$Y:$AE,7,FALSE)=0,IF(N144&gt;0,1000*P144/J144,""),VLOOKUP($E144,$Y:$AE,7,FALSE))))</f>
        <v>125</v>
      </c>
      <c r="U144" s="101">
        <f t="shared" si="52"/>
        <v>99</v>
      </c>
      <c r="V144" s="101">
        <f t="shared" si="55"/>
        <v>125</v>
      </c>
      <c r="Y144" s="1" t="s">
        <v>3474</v>
      </c>
      <c r="Z144" s="1">
        <v>20</v>
      </c>
      <c r="AA144" s="749" t="s">
        <v>2381</v>
      </c>
      <c r="AG144" s="5" t="str">
        <f t="shared" si="53"/>
        <v/>
      </c>
      <c r="AH144" s="5" t="str">
        <f>IF(AG144="","",VLOOKUP($Y144,Nutrition_tables!$A:$N,10,FALSE))</f>
        <v/>
      </c>
      <c r="AI144" s="5" t="str">
        <f t="shared" si="54"/>
        <v/>
      </c>
    </row>
    <row r="145" spans="2:35" ht="16">
      <c r="B145" s="1" t="s">
        <v>928</v>
      </c>
      <c r="C145" s="1" t="s">
        <v>3113</v>
      </c>
      <c r="E145" s="678" t="str">
        <f>IF(G145="","",_xlfn.IFNA(VLOOKUP($H145,Ingredient_prices!$B:$C,2,FALSE),""))</f>
        <v>Potatoes white</v>
      </c>
      <c r="F145" s="1199" t="str">
        <f t="shared" si="47"/>
        <v>ПАРТИЈА 2</v>
      </c>
      <c r="G145" s="1389">
        <v>115</v>
      </c>
      <c r="H145" s="1389" t="s">
        <v>1615</v>
      </c>
      <c r="I145" s="1389" t="s">
        <v>2724</v>
      </c>
      <c r="J145" s="1389">
        <v>1000</v>
      </c>
      <c r="K145" s="1392" t="s">
        <v>2327</v>
      </c>
      <c r="L145" s="1389">
        <v>70</v>
      </c>
      <c r="N145" s="1384">
        <v>60</v>
      </c>
      <c r="O145" s="1383">
        <f t="shared" si="48"/>
        <v>10</v>
      </c>
      <c r="P145" s="1382">
        <f t="shared" si="49"/>
        <v>66</v>
      </c>
      <c r="Q145" s="1383">
        <f t="shared" si="50"/>
        <v>4200</v>
      </c>
      <c r="R145" s="1383">
        <f t="shared" si="51"/>
        <v>4620</v>
      </c>
      <c r="T145" s="101">
        <f>IF(O145="","",IF('Charts and graphs'!$C$6="Conventional",IF(N145&gt;0,1000*P145/J145,""),IF(VLOOKUP($E145,$Y:$AE,7,FALSE)=0,IF(N145&gt;0,1000*P145/J145,""),VLOOKUP($E145,$Y:$AE,7,FALSE))))</f>
        <v>135</v>
      </c>
      <c r="U145" s="101">
        <f t="shared" si="52"/>
        <v>66</v>
      </c>
      <c r="V145" s="101">
        <f t="shared" si="55"/>
        <v>135</v>
      </c>
      <c r="Y145" s="1" t="s">
        <v>3200</v>
      </c>
      <c r="Z145" s="1">
        <v>20</v>
      </c>
      <c r="AA145" s="749" t="s">
        <v>2381</v>
      </c>
      <c r="AG145" s="5">
        <f t="shared" si="53"/>
        <v>598.79999999999995</v>
      </c>
      <c r="AH145" s="5">
        <f>IF(AG145="","",VLOOKUP($Y145,Nutrition_tables!$A:$N,10,FALSE))</f>
        <v>155.7013</v>
      </c>
      <c r="AI145" s="5">
        <f t="shared" si="54"/>
        <v>0.38458253078169546</v>
      </c>
    </row>
    <row r="146" spans="2:35" ht="16">
      <c r="B146" s="1" t="s">
        <v>2317</v>
      </c>
      <c r="C146" s="1" t="s">
        <v>3136</v>
      </c>
      <c r="E146" s="678" t="str">
        <f>IF(G146="","",_xlfn.IFNA(VLOOKUP($H146,Ingredient_prices!$B:$C,2,FALSE),""))</f>
        <v>Cucumber fresh</v>
      </c>
      <c r="F146" s="1199" t="str">
        <f t="shared" si="47"/>
        <v>ПАРТИЈА 2</v>
      </c>
      <c r="G146" s="1389">
        <v>116</v>
      </c>
      <c r="H146" s="1389" t="s">
        <v>2319</v>
      </c>
      <c r="I146" s="1389"/>
      <c r="J146" s="1389">
        <v>1000</v>
      </c>
      <c r="K146" s="1392" t="s">
        <v>2328</v>
      </c>
      <c r="L146" s="1389">
        <v>100</v>
      </c>
      <c r="N146" s="1384">
        <v>60</v>
      </c>
      <c r="O146" s="1383">
        <f t="shared" si="48"/>
        <v>10</v>
      </c>
      <c r="P146" s="1382">
        <f t="shared" si="49"/>
        <v>66</v>
      </c>
      <c r="Q146" s="1383">
        <f t="shared" si="50"/>
        <v>6000</v>
      </c>
      <c r="R146" s="1383">
        <f t="shared" si="51"/>
        <v>6600</v>
      </c>
      <c r="T146" s="101">
        <f>IF(O146="","",IF('Charts and graphs'!$C$6="Conventional",IF(N146&gt;0,1000*P146/J146,""),IF(VLOOKUP($E146,$Y:$AE,7,FALSE)=0,IF(N146&gt;0,1000*P146/J146,""),VLOOKUP($E146,$Y:$AE,7,FALSE))))</f>
        <v>200</v>
      </c>
      <c r="U146" s="101">
        <f t="shared" si="52"/>
        <v>66</v>
      </c>
      <c r="V146" s="101">
        <f t="shared" si="55"/>
        <v>200</v>
      </c>
      <c r="Y146" s="1" t="s">
        <v>1855</v>
      </c>
      <c r="Z146" s="1">
        <v>20</v>
      </c>
      <c r="AA146" s="749" t="s">
        <v>2381</v>
      </c>
      <c r="AG146" s="5">
        <f t="shared" si="53"/>
        <v>1528.421052631579</v>
      </c>
      <c r="AH146" s="5">
        <f>IF(AG146="","",VLOOKUP($Y146,Nutrition_tables!$A:$N,10,FALSE))</f>
        <v>320</v>
      </c>
      <c r="AI146" s="5">
        <f t="shared" si="54"/>
        <v>0.47763157894736841</v>
      </c>
    </row>
    <row r="147" spans="2:35" ht="16">
      <c r="B147" s="82" t="s">
        <v>2422</v>
      </c>
      <c r="C147" s="1" t="s">
        <v>3087</v>
      </c>
      <c r="E147" s="678" t="str">
        <f>IF(G147="","",_xlfn.IFNA(VLOOKUP($H147,Ingredient_prices!$B:$C,2,FALSE),""))</f>
        <v>Tomatoes</v>
      </c>
      <c r="F147" s="1199" t="str">
        <f t="shared" si="47"/>
        <v>ПАРТИЈА 2</v>
      </c>
      <c r="G147" s="1389">
        <v>117</v>
      </c>
      <c r="H147" s="1389" t="s">
        <v>2320</v>
      </c>
      <c r="I147" s="1389"/>
      <c r="J147" s="1389">
        <v>1000</v>
      </c>
      <c r="K147" s="1392" t="s">
        <v>2328</v>
      </c>
      <c r="L147" s="1389">
        <v>300</v>
      </c>
      <c r="N147" s="1384">
        <v>85</v>
      </c>
      <c r="O147" s="1383">
        <f t="shared" si="48"/>
        <v>10</v>
      </c>
      <c r="P147" s="1382">
        <f t="shared" si="49"/>
        <v>93.5</v>
      </c>
      <c r="Q147" s="1383">
        <f t="shared" si="50"/>
        <v>25500</v>
      </c>
      <c r="R147" s="1383">
        <f t="shared" si="51"/>
        <v>28050</v>
      </c>
      <c r="T147" s="101">
        <f>IF(O147="","",IF('Charts and graphs'!$C$6="Conventional",IF(N147&gt;0,1000*P147/J147,""),IF(VLOOKUP($E147,$Y:$AE,7,FALSE)=0,IF(N147&gt;0,1000*P147/J147,""),VLOOKUP($E147,$Y:$AE,7,FALSE))))</f>
        <v>150</v>
      </c>
      <c r="U147" s="101">
        <f t="shared" si="52"/>
        <v>93.5</v>
      </c>
      <c r="V147" s="101">
        <f t="shared" si="55"/>
        <v>150</v>
      </c>
      <c r="Y147" s="1" t="s">
        <v>1856</v>
      </c>
      <c r="Z147" s="1">
        <v>20</v>
      </c>
      <c r="AA147" s="749" t="s">
        <v>2381</v>
      </c>
      <c r="AG147" s="5" t="str">
        <f t="shared" si="53"/>
        <v/>
      </c>
      <c r="AH147" s="5" t="str">
        <f>IF(AG147="","",VLOOKUP($Y147,Nutrition_tables!$A:$N,10,FALSE))</f>
        <v/>
      </c>
      <c r="AI147" s="5" t="str">
        <f t="shared" si="54"/>
        <v/>
      </c>
    </row>
    <row r="148" spans="2:35" ht="16">
      <c r="B148" s="1" t="s">
        <v>2046</v>
      </c>
      <c r="C148" s="1" t="s">
        <v>3428</v>
      </c>
      <c r="E148" s="678" t="str">
        <f>IF(G148="","",_xlfn.IFNA(VLOOKUP($H148,Ingredient_prices!$B:$C,2,FALSE),""))</f>
        <v>Peas frozen</v>
      </c>
      <c r="F148" s="1199" t="str">
        <f t="shared" si="47"/>
        <v>ПАРТИЈА 2</v>
      </c>
      <c r="G148" s="1389">
        <v>118</v>
      </c>
      <c r="H148" s="1389" t="s">
        <v>901</v>
      </c>
      <c r="I148" s="1389" t="s">
        <v>2725</v>
      </c>
      <c r="J148" s="1389">
        <v>1000</v>
      </c>
      <c r="K148" s="1392" t="s">
        <v>2328</v>
      </c>
      <c r="L148" s="1389">
        <v>500</v>
      </c>
      <c r="N148" s="1384">
        <v>100</v>
      </c>
      <c r="O148" s="1383">
        <f t="shared" si="48"/>
        <v>10</v>
      </c>
      <c r="P148" s="1382">
        <f t="shared" si="49"/>
        <v>110</v>
      </c>
      <c r="Q148" s="1383">
        <f t="shared" si="50"/>
        <v>50000</v>
      </c>
      <c r="R148" s="1383">
        <f t="shared" si="51"/>
        <v>55000</v>
      </c>
      <c r="T148" s="101">
        <f>IF(O148="","",IF('Charts and graphs'!$C$6="Conventional",IF(N148&gt;0,1000*P148/J148,""),IF(VLOOKUP($E148,$Y:$AE,7,FALSE)=0,IF(N148&gt;0,1000*P148/J148,""),VLOOKUP($E148,$Y:$AE,7,FALSE))))</f>
        <v>110</v>
      </c>
      <c r="U148" s="101">
        <f t="shared" si="52"/>
        <v>110</v>
      </c>
      <c r="V148" s="101">
        <f t="shared" si="55"/>
        <v>110</v>
      </c>
      <c r="Y148" s="1" t="s">
        <v>3207</v>
      </c>
      <c r="Z148" s="1">
        <v>20</v>
      </c>
      <c r="AA148" s="749" t="s">
        <v>2381</v>
      </c>
      <c r="AG148" s="5">
        <f t="shared" si="53"/>
        <v>234</v>
      </c>
      <c r="AH148" s="5">
        <f>IF(AG148="","",VLOOKUP($Y148,Nutrition_tables!$A:$N,10,FALSE))</f>
        <v>258</v>
      </c>
      <c r="AI148" s="5">
        <f t="shared" si="54"/>
        <v>9.0697674418604657E-2</v>
      </c>
    </row>
    <row r="149" spans="2:35" ht="16">
      <c r="B149" s="1" t="s">
        <v>2045</v>
      </c>
      <c r="C149" s="1" t="s">
        <v>3428</v>
      </c>
      <c r="E149" s="678" t="str">
        <f>IF(G149="","",_xlfn.IFNA(VLOOKUP($H149,Ingredient_prices!$B:$C,2,FALSE),""))</f>
        <v>Green (French) beans</v>
      </c>
      <c r="F149" s="1199" t="str">
        <f t="shared" si="47"/>
        <v>ПАРТИЈА 2</v>
      </c>
      <c r="G149" s="1389">
        <v>119</v>
      </c>
      <c r="H149" s="1389" t="s">
        <v>902</v>
      </c>
      <c r="I149" s="1389" t="s">
        <v>2726</v>
      </c>
      <c r="J149" s="1389">
        <v>1000</v>
      </c>
      <c r="K149" s="1392" t="s">
        <v>2328</v>
      </c>
      <c r="L149" s="1389">
        <v>350</v>
      </c>
      <c r="N149" s="1384">
        <v>80</v>
      </c>
      <c r="O149" s="1383">
        <f t="shared" si="48"/>
        <v>10</v>
      </c>
      <c r="P149" s="1382">
        <f t="shared" si="49"/>
        <v>88</v>
      </c>
      <c r="Q149" s="1383">
        <f t="shared" si="50"/>
        <v>28000</v>
      </c>
      <c r="R149" s="1383">
        <f t="shared" si="51"/>
        <v>30800</v>
      </c>
      <c r="T149" s="101">
        <f>IF(O149="","",IF('Charts and graphs'!$C$6="Conventional",IF(N149&gt;0,1000*P149/J149,""),IF(VLOOKUP($E149,$Y:$AE,7,FALSE)=0,IF(N149&gt;0,1000*P149/J149,""),VLOOKUP($E149,$Y:$AE,7,FALSE))))</f>
        <v>88</v>
      </c>
      <c r="U149" s="101">
        <f t="shared" si="52"/>
        <v>88</v>
      </c>
      <c r="V149" s="101">
        <f t="shared" si="55"/>
        <v>88</v>
      </c>
      <c r="Y149" s="1" t="s">
        <v>1858</v>
      </c>
      <c r="Z149" s="1">
        <v>20</v>
      </c>
      <c r="AA149" s="749" t="s">
        <v>2381</v>
      </c>
      <c r="AG149" s="5" t="str">
        <f t="shared" si="53"/>
        <v/>
      </c>
      <c r="AH149" s="5" t="str">
        <f>IF(AG149="","",VLOOKUP($Y149,Nutrition_tables!$A:$N,10,FALSE))</f>
        <v/>
      </c>
      <c r="AI149" s="5" t="str">
        <f t="shared" si="54"/>
        <v/>
      </c>
    </row>
    <row r="150" spans="2:35" ht="16">
      <c r="B150" s="1" t="s">
        <v>2047</v>
      </c>
      <c r="C150" s="1" t="s">
        <v>3429</v>
      </c>
      <c r="E150" s="678" t="str">
        <f>IF(G150="","",_xlfn.IFNA(VLOOKUP($H150,Ingredient_prices!$B:$C,2,FALSE),""))</f>
        <v>Carrots frozen</v>
      </c>
      <c r="F150" s="1199" t="str">
        <f t="shared" si="47"/>
        <v>ПАРТИЈА 2</v>
      </c>
      <c r="G150" s="1389">
        <v>120</v>
      </c>
      <c r="H150" s="1389" t="s">
        <v>2321</v>
      </c>
      <c r="I150" s="1389" t="s">
        <v>2727</v>
      </c>
      <c r="J150" s="1389">
        <v>1000</v>
      </c>
      <c r="K150" s="1392" t="s">
        <v>2328</v>
      </c>
      <c r="L150" s="1389">
        <v>200</v>
      </c>
      <c r="N150" s="1384">
        <v>70</v>
      </c>
      <c r="O150" s="1383">
        <f t="shared" si="48"/>
        <v>10</v>
      </c>
      <c r="P150" s="1382">
        <f t="shared" si="49"/>
        <v>77</v>
      </c>
      <c r="Q150" s="1383">
        <f t="shared" si="50"/>
        <v>14000</v>
      </c>
      <c r="R150" s="1383">
        <f t="shared" si="51"/>
        <v>15400</v>
      </c>
      <c r="T150" s="101">
        <f>IF(O150="","",IF('Charts and graphs'!$C$6="Conventional",IF(N150&gt;0,1000*P150/J150,""),IF(VLOOKUP($E150,$Y:$AE,7,FALSE)=0,IF(N150&gt;0,1000*P150/J150,""),VLOOKUP($E150,$Y:$AE,7,FALSE))))</f>
        <v>77</v>
      </c>
      <c r="U150" s="101">
        <f t="shared" si="52"/>
        <v>77</v>
      </c>
      <c r="V150" s="101">
        <f t="shared" si="55"/>
        <v>77</v>
      </c>
      <c r="Y150" s="1" t="s">
        <v>1859</v>
      </c>
      <c r="Z150" s="1">
        <v>20</v>
      </c>
      <c r="AA150" s="749" t="s">
        <v>2381</v>
      </c>
      <c r="AG150" s="5">
        <f t="shared" si="53"/>
        <v>708</v>
      </c>
      <c r="AH150" s="5">
        <f>IF(AG150="","",VLOOKUP($Y150,Nutrition_tables!$A:$N,10,FALSE))</f>
        <v>334</v>
      </c>
      <c r="AI150" s="5">
        <f t="shared" si="54"/>
        <v>0.21197604790419161</v>
      </c>
    </row>
    <row r="151" spans="2:35" ht="16">
      <c r="B151" s="1" t="s">
        <v>903</v>
      </c>
      <c r="C151" s="1" t="s">
        <v>3429</v>
      </c>
      <c r="E151" s="678" t="str">
        <f>IF(G151="","",_xlfn.IFNA(VLOOKUP($H151,Ingredient_prices!$B:$C,2,FALSE),""))</f>
        <v>Mixed vegetables for stew</v>
      </c>
      <c r="F151" s="1199" t="str">
        <f t="shared" si="47"/>
        <v>ПАРТИЈА 2</v>
      </c>
      <c r="G151" s="1389">
        <v>121</v>
      </c>
      <c r="H151" s="1389" t="s">
        <v>2322</v>
      </c>
      <c r="I151" s="1389" t="s">
        <v>2728</v>
      </c>
      <c r="J151" s="1389">
        <v>1000</v>
      </c>
      <c r="K151" s="1392" t="s">
        <v>2328</v>
      </c>
      <c r="L151" s="1389">
        <v>50</v>
      </c>
      <c r="N151" s="1384">
        <v>75</v>
      </c>
      <c r="O151" s="1383">
        <f t="shared" si="48"/>
        <v>10</v>
      </c>
      <c r="P151" s="1382">
        <f t="shared" si="49"/>
        <v>82.5</v>
      </c>
      <c r="Q151" s="1383">
        <f t="shared" si="50"/>
        <v>3750</v>
      </c>
      <c r="R151" s="1383">
        <f t="shared" si="51"/>
        <v>4125</v>
      </c>
      <c r="T151" s="101">
        <f>IF(O151="","",IF('Charts and graphs'!$C$6="Conventional",IF(N151&gt;0,1000*P151/J151,""),IF(VLOOKUP($E151,$Y:$AE,7,FALSE)=0,IF(N151&gt;0,1000*P151/J151,""),VLOOKUP($E151,$Y:$AE,7,FALSE))))</f>
        <v>82.5</v>
      </c>
      <c r="U151" s="101">
        <f t="shared" si="52"/>
        <v>82.5</v>
      </c>
      <c r="V151" s="101">
        <f t="shared" si="55"/>
        <v>82.5</v>
      </c>
      <c r="Y151" s="1" t="s">
        <v>3202</v>
      </c>
      <c r="Z151" s="1">
        <v>20</v>
      </c>
      <c r="AA151" s="749" t="s">
        <v>2381</v>
      </c>
      <c r="AG151" s="5" t="str">
        <f t="shared" si="53"/>
        <v/>
      </c>
      <c r="AH151" s="5" t="str">
        <f>IF(AG151="","",VLOOKUP($Y151,Nutrition_tables!$A:$N,10,FALSE))</f>
        <v/>
      </c>
      <c r="AI151" s="5" t="str">
        <f t="shared" si="54"/>
        <v/>
      </c>
    </row>
    <row r="152" spans="2:35" ht="16">
      <c r="B152" s="1" t="s">
        <v>929</v>
      </c>
      <c r="C152" s="1" t="s">
        <v>421</v>
      </c>
      <c r="E152" s="678" t="str">
        <f>IF(G152="","",_xlfn.IFNA(VLOOKUP($H152,Ingredient_prices!$B:$C,2,FALSE),""))</f>
        <v>Spinach frozen</v>
      </c>
      <c r="F152" s="1199" t="str">
        <f t="shared" si="47"/>
        <v>ПАРТИЈА 2</v>
      </c>
      <c r="G152" s="1389">
        <v>122</v>
      </c>
      <c r="H152" s="1389" t="s">
        <v>2323</v>
      </c>
      <c r="I152" s="1389" t="s">
        <v>2728</v>
      </c>
      <c r="J152" s="1389">
        <v>1000</v>
      </c>
      <c r="K152" s="1392" t="s">
        <v>2328</v>
      </c>
      <c r="L152" s="1389">
        <v>50</v>
      </c>
      <c r="N152" s="1384">
        <v>136</v>
      </c>
      <c r="O152" s="1383">
        <f t="shared" si="48"/>
        <v>10</v>
      </c>
      <c r="P152" s="1382">
        <f t="shared" si="49"/>
        <v>149.6</v>
      </c>
      <c r="Q152" s="1383">
        <f t="shared" si="50"/>
        <v>6800</v>
      </c>
      <c r="R152" s="1383">
        <f t="shared" si="51"/>
        <v>7480</v>
      </c>
      <c r="T152" s="101">
        <f>IF(O152="","",IF('Charts and graphs'!$C$6="Conventional",IF(N152&gt;0,1000*P152/J152,""),IF(VLOOKUP($E152,$Y:$AE,7,FALSE)=0,IF(N152&gt;0,1000*P152/J152,""),VLOOKUP($E152,$Y:$AE,7,FALSE))))</f>
        <v>149.6</v>
      </c>
      <c r="U152" s="101">
        <f t="shared" si="52"/>
        <v>149.6</v>
      </c>
      <c r="V152" s="101">
        <f t="shared" si="55"/>
        <v>149.6</v>
      </c>
      <c r="Y152" s="53" t="s">
        <v>3203</v>
      </c>
      <c r="Z152" s="1">
        <v>20</v>
      </c>
      <c r="AA152" s="749" t="s">
        <v>2381</v>
      </c>
      <c r="AG152" s="5">
        <f t="shared" si="53"/>
        <v>1800</v>
      </c>
      <c r="AH152" s="5">
        <f>IF(AG152="","",VLOOKUP($Y152,Nutrition_tables!$A:$N,10,FALSE))</f>
        <v>186</v>
      </c>
      <c r="AI152" s="5">
        <f t="shared" si="54"/>
        <v>0.967741935483871</v>
      </c>
    </row>
    <row r="153" spans="2:35" ht="16">
      <c r="B153" s="1" t="s">
        <v>1356</v>
      </c>
      <c r="C153" s="1" t="s">
        <v>422</v>
      </c>
      <c r="E153" s="678" t="str">
        <f>IF(G153="","",_xlfn.IFNA(VLOOKUP($H153,Ingredient_prices!$B:$C,2,FALSE),""))</f>
        <v>Swiss chard frozen</v>
      </c>
      <c r="F153" s="1199" t="str">
        <f t="shared" si="47"/>
        <v>ПАРТИЈА 2</v>
      </c>
      <c r="G153" s="1389">
        <v>123</v>
      </c>
      <c r="H153" s="1389" t="s">
        <v>2324</v>
      </c>
      <c r="I153" s="1389" t="s">
        <v>2729</v>
      </c>
      <c r="J153" s="1389">
        <v>1000</v>
      </c>
      <c r="K153" s="1392" t="s">
        <v>2328</v>
      </c>
      <c r="L153" s="1389">
        <v>10</v>
      </c>
      <c r="N153" s="1384">
        <v>180</v>
      </c>
      <c r="O153" s="1383">
        <f t="shared" si="48"/>
        <v>10</v>
      </c>
      <c r="P153" s="1382">
        <f t="shared" si="49"/>
        <v>198</v>
      </c>
      <c r="Q153" s="1383">
        <f t="shared" si="50"/>
        <v>1800</v>
      </c>
      <c r="R153" s="1383">
        <f t="shared" si="51"/>
        <v>1980</v>
      </c>
      <c r="T153" s="101">
        <f>IF(O153="","",IF('Charts and graphs'!$C$6="Conventional",IF(N153&gt;0,1000*P153/J153,""),IF(VLOOKUP($E153,$Y:$AE,7,FALSE)=0,IF(N153&gt;0,1000*P153/J153,""),VLOOKUP($E153,$Y:$AE,7,FALSE))))</f>
        <v>198</v>
      </c>
      <c r="U153" s="101">
        <f t="shared" si="52"/>
        <v>198</v>
      </c>
      <c r="V153" s="101">
        <f t="shared" si="55"/>
        <v>198</v>
      </c>
      <c r="Y153" s="24" t="s">
        <v>3204</v>
      </c>
      <c r="Z153" s="24">
        <v>20</v>
      </c>
      <c r="AA153" s="492" t="s">
        <v>2381</v>
      </c>
      <c r="AG153" s="5" t="str">
        <f t="shared" si="53"/>
        <v/>
      </c>
      <c r="AH153" s="5" t="str">
        <f>IF(AG153="","",VLOOKUP($Y153,Nutrition_tables!$A:$N,10,FALSE))</f>
        <v/>
      </c>
      <c r="AI153" s="5" t="str">
        <f t="shared" si="54"/>
        <v/>
      </c>
    </row>
    <row r="154" spans="2:35" ht="16">
      <c r="B154" s="1" t="s">
        <v>930</v>
      </c>
      <c r="C154" s="1" t="s">
        <v>422</v>
      </c>
      <c r="E154" s="678" t="str">
        <f>IF(G154="","",_xlfn.IFNA(VLOOKUP($H154,Ingredient_prices!$B:$C,2,FALSE),""))</f>
        <v>Sweetcorn frozen</v>
      </c>
      <c r="F154" s="1199" t="str">
        <f t="shared" si="47"/>
        <v>ПАРТИЈА 2</v>
      </c>
      <c r="G154" s="1389">
        <v>124</v>
      </c>
      <c r="H154" s="1389" t="s">
        <v>2325</v>
      </c>
      <c r="I154" s="1389" t="s">
        <v>2683</v>
      </c>
      <c r="J154" s="1389">
        <v>1000</v>
      </c>
      <c r="K154" s="1392" t="s">
        <v>2328</v>
      </c>
      <c r="L154" s="1389">
        <v>50</v>
      </c>
      <c r="N154" s="1384">
        <v>90</v>
      </c>
      <c r="O154" s="1383">
        <f t="shared" si="48"/>
        <v>10</v>
      </c>
      <c r="P154" s="1382">
        <f t="shared" si="49"/>
        <v>99</v>
      </c>
      <c r="Q154" s="1383">
        <f t="shared" si="50"/>
        <v>4500</v>
      </c>
      <c r="R154" s="1383">
        <f t="shared" si="51"/>
        <v>4950</v>
      </c>
      <c r="T154" s="101">
        <f>IF(O154="","",IF('Charts and graphs'!$C$6="Conventional",IF(N154&gt;0,1000*P154/J154,""),IF(VLOOKUP($E154,$Y:$AE,7,FALSE)=0,IF(N154&gt;0,1000*P154/J154,""),VLOOKUP($E154,$Y:$AE,7,FALSE))))</f>
        <v>99</v>
      </c>
      <c r="U154" s="101">
        <f t="shared" si="52"/>
        <v>99</v>
      </c>
      <c r="V154" s="101">
        <f t="shared" si="55"/>
        <v>99</v>
      </c>
      <c r="Y154" s="1233" t="s">
        <v>3208</v>
      </c>
      <c r="Z154" s="1">
        <v>10</v>
      </c>
      <c r="AA154" s="749" t="s">
        <v>224</v>
      </c>
      <c r="AG154" s="5" t="str">
        <f>_xlfn.IFNA(VLOOKUP($Y155,$E:$U,17,FALSE),"")</f>
        <v/>
      </c>
      <c r="AH154" s="5" t="str">
        <f>IF(AG154="","",VLOOKUP($Y155,Nutrition_tables!$A:$N,10,FALSE))</f>
        <v/>
      </c>
      <c r="AI154" s="5" t="str">
        <f t="shared" si="54"/>
        <v/>
      </c>
    </row>
    <row r="155" spans="2:35" ht="16">
      <c r="B155" s="1" t="s">
        <v>824</v>
      </c>
      <c r="C155" s="1" t="s">
        <v>422</v>
      </c>
      <c r="E155" s="678" t="str">
        <f>IF(G155="","",_xlfn.IFNA(VLOOKUP($H155,Ingredient_prices!$B:$C,2,FALSE),""))</f>
        <v>Mixed vegetables for soup</v>
      </c>
      <c r="F155" s="1199" t="str">
        <f t="shared" si="47"/>
        <v>ПАРТИЈА 2</v>
      </c>
      <c r="G155" s="1389">
        <v>125</v>
      </c>
      <c r="H155" s="1389" t="s">
        <v>903</v>
      </c>
      <c r="I155" s="1389" t="s">
        <v>2730</v>
      </c>
      <c r="J155" s="1389">
        <v>1000</v>
      </c>
      <c r="K155" s="1392" t="s">
        <v>2328</v>
      </c>
      <c r="L155" s="1389">
        <v>25</v>
      </c>
      <c r="N155" s="1384">
        <v>80</v>
      </c>
      <c r="O155" s="1383">
        <f t="shared" si="48"/>
        <v>10</v>
      </c>
      <c r="P155" s="1382">
        <f t="shared" si="49"/>
        <v>88</v>
      </c>
      <c r="Q155" s="1383">
        <f t="shared" si="50"/>
        <v>2000</v>
      </c>
      <c r="R155" s="1383">
        <f t="shared" si="51"/>
        <v>2200</v>
      </c>
      <c r="T155" s="101">
        <f>IF(O155="","",IF('Charts and graphs'!$C$6="Conventional",IF(N155&gt;0,1000*P155/J155,""),IF(VLOOKUP($E155,$Y:$AE,7,FALSE)=0,IF(N155&gt;0,1000*P155/J155,""),VLOOKUP($E155,$Y:$AE,7,FALSE))))</f>
        <v>88</v>
      </c>
      <c r="U155" s="101">
        <f t="shared" si="52"/>
        <v>88</v>
      </c>
      <c r="V155" s="101">
        <f t="shared" si="55"/>
        <v>88</v>
      </c>
      <c r="Y155" s="749" t="s">
        <v>3209</v>
      </c>
      <c r="Z155" s="1">
        <v>10</v>
      </c>
      <c r="AA155" s="749" t="s">
        <v>224</v>
      </c>
      <c r="AG155" s="5">
        <f>_xlfn.IFNA(VLOOKUP($Y154,$E:$U,17,FALSE),"")</f>
        <v>183.33333333333334</v>
      </c>
      <c r="AH155" s="5">
        <f>IF(AG155="","",VLOOKUP($Y154,Nutrition_tables!$A:$N,10,FALSE))</f>
        <v>141.99999999999997</v>
      </c>
      <c r="AI155" s="5">
        <f t="shared" si="54"/>
        <v>0.12910798122065731</v>
      </c>
    </row>
    <row r="156" spans="2:35" ht="16">
      <c r="B156" s="1" t="s">
        <v>931</v>
      </c>
      <c r="C156" s="1" t="s">
        <v>20</v>
      </c>
      <c r="E156" s="678" t="str">
        <f>IF(G156="","",_xlfn.IFNA(VLOOKUP($H156,Ingredient_prices!$B:$C,2,FALSE),""))</f>
        <v>Sour cherries, frozen</v>
      </c>
      <c r="F156" s="1199" t="str">
        <f t="shared" si="47"/>
        <v>ПАРТИЈА 2</v>
      </c>
      <c r="G156" s="1389">
        <v>126</v>
      </c>
      <c r="H156" s="1389" t="s">
        <v>904</v>
      </c>
      <c r="I156" s="1389" t="s">
        <v>2726</v>
      </c>
      <c r="J156" s="1389">
        <v>1000</v>
      </c>
      <c r="K156" s="1392" t="s">
        <v>2328</v>
      </c>
      <c r="L156" s="1389">
        <v>120</v>
      </c>
      <c r="N156" s="1384">
        <v>160</v>
      </c>
      <c r="O156" s="1383">
        <f t="shared" si="48"/>
        <v>10</v>
      </c>
      <c r="P156" s="1382">
        <f t="shared" si="49"/>
        <v>176</v>
      </c>
      <c r="Q156" s="1383">
        <f t="shared" si="50"/>
        <v>19200</v>
      </c>
      <c r="R156" s="1383">
        <f t="shared" si="51"/>
        <v>21120</v>
      </c>
      <c r="T156" s="101">
        <f>IF(O156="","",IF('Charts and graphs'!$C$6="Conventional",IF(N156&gt;0,1000*P156/J156,""),IF(VLOOKUP($E156,$Y:$AE,7,FALSE)=0,IF(N156&gt;0,1000*P156/J156,""),VLOOKUP($E156,$Y:$AE,7,FALSE))))</f>
        <v>176</v>
      </c>
      <c r="U156" s="101">
        <f t="shared" si="52"/>
        <v>176</v>
      </c>
      <c r="V156" s="101">
        <f t="shared" si="55"/>
        <v>176</v>
      </c>
      <c r="Y156" s="24" t="s">
        <v>3210</v>
      </c>
      <c r="Z156" s="24">
        <v>10</v>
      </c>
      <c r="AA156" s="492" t="s">
        <v>224</v>
      </c>
      <c r="AG156" s="5" t="str">
        <f t="shared" ref="AG156:AG219" si="56">_xlfn.IFNA(VLOOKUP($Y156,$E:$U,17,FALSE),"")</f>
        <v/>
      </c>
      <c r="AH156" s="5" t="str">
        <f>IF(AG156="","",VLOOKUP($Y156,Nutrition_tables!$A:$N,10,FALSE))</f>
        <v/>
      </c>
      <c r="AI156" s="5" t="str">
        <f t="shared" si="54"/>
        <v/>
      </c>
    </row>
    <row r="157" spans="2:35" ht="16">
      <c r="B157" s="1" t="s">
        <v>1386</v>
      </c>
      <c r="C157" s="1" t="s">
        <v>20</v>
      </c>
      <c r="E157" s="678" t="str">
        <f>IF(G157="","",_xlfn.IFNA(VLOOKUP($H157,Ingredient_prices!$B:$C,2,FALSE),""))</f>
        <v>Gherkins pickled</v>
      </c>
      <c r="F157" s="1199" t="str">
        <f t="shared" si="47"/>
        <v>ПАРТИЈА 2</v>
      </c>
      <c r="G157" s="1389">
        <v>127</v>
      </c>
      <c r="H157" s="1389" t="s">
        <v>905</v>
      </c>
      <c r="I157" s="1389" t="s">
        <v>2731</v>
      </c>
      <c r="J157" s="1389">
        <v>4000</v>
      </c>
      <c r="K157" s="1392" t="s">
        <v>2327</v>
      </c>
      <c r="L157" s="1389">
        <v>20</v>
      </c>
      <c r="N157" s="1384">
        <v>241</v>
      </c>
      <c r="O157" s="1383">
        <f t="shared" si="48"/>
        <v>20</v>
      </c>
      <c r="P157" s="1382">
        <f t="shared" si="49"/>
        <v>289.2</v>
      </c>
      <c r="Q157" s="1383">
        <f t="shared" si="50"/>
        <v>4820</v>
      </c>
      <c r="R157" s="1383">
        <f t="shared" si="51"/>
        <v>5784</v>
      </c>
      <c r="T157" s="101">
        <f>IF(O157="","",IF('Charts and graphs'!$C$6="Conventional",IF(N157&gt;0,1000*P157/J157,""),IF(VLOOKUP($E157,$Y:$AE,7,FALSE)=0,IF(N157&gt;0,1000*P157/J157,""),VLOOKUP($E157,$Y:$AE,7,FALSE))))</f>
        <v>72.3</v>
      </c>
      <c r="U157" s="101">
        <f t="shared" si="52"/>
        <v>72.3</v>
      </c>
      <c r="V157" s="101">
        <f t="shared" si="55"/>
        <v>72.3</v>
      </c>
      <c r="Y157" s="1" t="s">
        <v>3445</v>
      </c>
      <c r="Z157" s="1139">
        <v>10</v>
      </c>
      <c r="AA157" s="749" t="s">
        <v>2382</v>
      </c>
      <c r="AD157" s="178">
        <v>10</v>
      </c>
      <c r="AG157" s="5">
        <f t="shared" si="56"/>
        <v>165</v>
      </c>
      <c r="AH157" s="5">
        <f>IF(AG157="","",VLOOKUP($Y157,Nutrition_tables!$A:$N,10,FALSE))</f>
        <v>68.099999999999994</v>
      </c>
      <c r="AI157" s="5">
        <f t="shared" si="54"/>
        <v>0.24229074889867841</v>
      </c>
    </row>
    <row r="158" spans="2:35" ht="16">
      <c r="B158" s="679" t="s">
        <v>2437</v>
      </c>
      <c r="C158" s="1" t="s">
        <v>3095</v>
      </c>
      <c r="E158" s="678" t="str">
        <f>IF(G158="","",_xlfn.IFNA(VLOOKUP($H158,Ingredient_prices!$B:$C,2,FALSE),""))</f>
        <v>Beetroot, cooked, pickled</v>
      </c>
      <c r="F158" s="1199" t="str">
        <f t="shared" si="47"/>
        <v>ПАРТИЈА 2</v>
      </c>
      <c r="G158" s="1389">
        <v>128</v>
      </c>
      <c r="H158" s="1389" t="s">
        <v>906</v>
      </c>
      <c r="I158" s="1389" t="s">
        <v>2732</v>
      </c>
      <c r="J158" s="1389">
        <v>4200</v>
      </c>
      <c r="K158" s="1392" t="s">
        <v>2327</v>
      </c>
      <c r="L158" s="1389">
        <v>20</v>
      </c>
      <c r="N158" s="1384">
        <v>264</v>
      </c>
      <c r="O158" s="1383">
        <f t="shared" si="48"/>
        <v>20</v>
      </c>
      <c r="P158" s="1382">
        <f t="shared" si="49"/>
        <v>316.8</v>
      </c>
      <c r="Q158" s="1383">
        <f t="shared" si="50"/>
        <v>5280</v>
      </c>
      <c r="R158" s="1383">
        <f t="shared" si="51"/>
        <v>6336</v>
      </c>
      <c r="T158" s="101">
        <f>IF(O158="","",IF('Charts and graphs'!$C$6="Conventional",IF(N158&gt;0,1000*P158/J158,""),IF(VLOOKUP($E158,$Y:$AE,7,FALSE)=0,IF(N158&gt;0,1000*P158/J158,""),VLOOKUP($E158,$Y:$AE,7,FALSE))))</f>
        <v>75.428571428571431</v>
      </c>
      <c r="U158" s="101">
        <f t="shared" si="52"/>
        <v>75.428571428571431</v>
      </c>
      <c r="V158" s="101">
        <f t="shared" si="55"/>
        <v>75.428571428571431</v>
      </c>
      <c r="Y158" s="1" t="s">
        <v>3446</v>
      </c>
      <c r="Z158" s="1139">
        <v>10</v>
      </c>
      <c r="AA158" s="749" t="s">
        <v>2382</v>
      </c>
      <c r="AD158" s="178">
        <v>10</v>
      </c>
      <c r="AG158" s="5">
        <f t="shared" si="56"/>
        <v>162.80000000000001</v>
      </c>
      <c r="AH158" s="5">
        <f>IF(AG158="","",VLOOKUP($Y158,Nutrition_tables!$A:$N,10,FALSE))</f>
        <v>68.099999999999994</v>
      </c>
      <c r="AI158" s="5">
        <f t="shared" si="54"/>
        <v>0.23906020558002938</v>
      </c>
    </row>
    <row r="159" spans="2:35" ht="16">
      <c r="B159" s="1" t="s">
        <v>828</v>
      </c>
      <c r="C159" s="1" t="s">
        <v>3115</v>
      </c>
      <c r="E159" s="678" t="str">
        <f>IF(G159="","",_xlfn.IFNA(VLOOKUP($H159,Ingredient_prices!$B:$C,2,FALSE),""))</f>
        <v>Tomato puree</v>
      </c>
      <c r="F159" s="1199" t="str">
        <f t="shared" si="47"/>
        <v>ПАРТИЈА 2</v>
      </c>
      <c r="G159" s="1389">
        <v>129</v>
      </c>
      <c r="H159" s="1389" t="s">
        <v>907</v>
      </c>
      <c r="I159" s="1389" t="s">
        <v>2733</v>
      </c>
      <c r="J159" s="1389">
        <v>5500</v>
      </c>
      <c r="K159" s="1392" t="s">
        <v>2327</v>
      </c>
      <c r="L159" s="1389">
        <v>5</v>
      </c>
      <c r="N159" s="1384">
        <v>600</v>
      </c>
      <c r="O159" s="1383">
        <f t="shared" si="48"/>
        <v>20</v>
      </c>
      <c r="P159" s="1382">
        <f t="shared" si="49"/>
        <v>720</v>
      </c>
      <c r="Q159" s="1383">
        <f t="shared" si="50"/>
        <v>3000</v>
      </c>
      <c r="R159" s="1383">
        <f t="shared" si="51"/>
        <v>3600</v>
      </c>
      <c r="T159" s="101">
        <f>IF(O159="","",IF('Charts and graphs'!$C$6="Conventional",IF(N159&gt;0,1000*P159/J159,""),IF(VLOOKUP($E159,$Y:$AE,7,FALSE)=0,IF(N159&gt;0,1000*P159/J159,""),VLOOKUP($E159,$Y:$AE,7,FALSE))))</f>
        <v>130.90909090909091</v>
      </c>
      <c r="U159" s="101">
        <f t="shared" si="52"/>
        <v>130.90909090909091</v>
      </c>
      <c r="V159" s="101">
        <f t="shared" si="55"/>
        <v>130.90909090909091</v>
      </c>
      <c r="Y159" s="1" t="s">
        <v>1803</v>
      </c>
      <c r="Z159" s="1">
        <v>10</v>
      </c>
      <c r="AA159" s="749" t="s">
        <v>2382</v>
      </c>
      <c r="AG159" s="5" t="str">
        <f t="shared" si="56"/>
        <v/>
      </c>
      <c r="AH159" s="5" t="str">
        <f>IF(AG159="","",VLOOKUP($Y159,Nutrition_tables!$A:$N,10,FALSE))</f>
        <v/>
      </c>
      <c r="AI159" s="5" t="str">
        <f t="shared" si="54"/>
        <v/>
      </c>
    </row>
    <row r="160" spans="2:35" ht="16">
      <c r="B160" s="1" t="s">
        <v>1455</v>
      </c>
      <c r="C160" s="1" t="s">
        <v>3115</v>
      </c>
      <c r="E160" s="678" t="str">
        <f>IF(G160="","",_xlfn.IFNA(VLOOKUP($H160,Ingredient_prices!$B:$C,2,FALSE),""))</f>
        <v>Tomatoes cooked</v>
      </c>
      <c r="F160" s="1199" t="str">
        <f t="shared" si="47"/>
        <v>ПАРТИЈА 2</v>
      </c>
      <c r="G160" s="1389">
        <v>130</v>
      </c>
      <c r="H160" s="1389" t="s">
        <v>908</v>
      </c>
      <c r="I160" s="1389" t="s">
        <v>2734</v>
      </c>
      <c r="J160" s="1389">
        <v>1000</v>
      </c>
      <c r="K160" s="1392" t="s">
        <v>2641</v>
      </c>
      <c r="L160" s="1389">
        <v>150</v>
      </c>
      <c r="N160" s="1384">
        <v>60</v>
      </c>
      <c r="O160" s="1383">
        <f t="shared" si="48"/>
        <v>20</v>
      </c>
      <c r="P160" s="1382">
        <f t="shared" si="49"/>
        <v>72</v>
      </c>
      <c r="Q160" s="1383">
        <f t="shared" si="50"/>
        <v>9000</v>
      </c>
      <c r="R160" s="1383">
        <f t="shared" si="51"/>
        <v>10800</v>
      </c>
      <c r="T160" s="101">
        <f>IF(O160="","",IF('Charts and graphs'!$C$6="Conventional",IF(N160&gt;0,1000*P160/J160,""),IF(VLOOKUP($E160,$Y:$AE,7,FALSE)=0,IF(N160&gt;0,1000*P160/J160,""),VLOOKUP($E160,$Y:$AE,7,FALSE))))</f>
        <v>72</v>
      </c>
      <c r="U160" s="101">
        <f t="shared" si="52"/>
        <v>72</v>
      </c>
      <c r="V160" s="101">
        <f t="shared" si="55"/>
        <v>72</v>
      </c>
      <c r="Y160" s="1" t="s">
        <v>3448</v>
      </c>
      <c r="Z160" s="1">
        <v>10</v>
      </c>
      <c r="AA160" s="749" t="s">
        <v>2382</v>
      </c>
      <c r="AG160" s="5" t="str">
        <f t="shared" si="56"/>
        <v/>
      </c>
      <c r="AH160" s="5" t="str">
        <f>IF(AG160="","",VLOOKUP($Y160,Nutrition_tables!$A:$N,10,FALSE))</f>
        <v/>
      </c>
      <c r="AI160" s="5" t="str">
        <f t="shared" si="54"/>
        <v/>
      </c>
    </row>
    <row r="161" spans="2:35" ht="16">
      <c r="B161" s="1" t="s">
        <v>1540</v>
      </c>
      <c r="C161" s="1" t="s">
        <v>3115</v>
      </c>
      <c r="E161" s="678" t="str">
        <f>IF(G161="","",_xlfn.IFNA(VLOOKUP($H161,Ingredient_prices!$B:$C,2,FALSE),""))</f>
        <v>Ketchup</v>
      </c>
      <c r="F161" s="1199" t="str">
        <f t="shared" si="47"/>
        <v>ПАРТИЈА 2</v>
      </c>
      <c r="G161" s="1389">
        <v>131</v>
      </c>
      <c r="H161" s="1389" t="s">
        <v>909</v>
      </c>
      <c r="I161" s="1389" t="s">
        <v>2735</v>
      </c>
      <c r="J161" s="1389">
        <v>1000</v>
      </c>
      <c r="K161" s="1392" t="s">
        <v>2327</v>
      </c>
      <c r="L161" s="1389">
        <v>142</v>
      </c>
      <c r="N161" s="1384">
        <v>92</v>
      </c>
      <c r="O161" s="1383">
        <f t="shared" si="48"/>
        <v>20</v>
      </c>
      <c r="P161" s="1382">
        <f t="shared" si="49"/>
        <v>110.4</v>
      </c>
      <c r="Q161" s="1383">
        <f t="shared" si="50"/>
        <v>13064</v>
      </c>
      <c r="R161" s="1383">
        <f t="shared" si="51"/>
        <v>15676.800000000001</v>
      </c>
      <c r="T161" s="101">
        <f>IF(O161="","",IF('Charts and graphs'!$C$6="Conventional",IF(N161&gt;0,1000*P161/J161,""),IF(VLOOKUP($E161,$Y:$AE,7,FALSE)=0,IF(N161&gt;0,1000*P161/J161,""),VLOOKUP($E161,$Y:$AE,7,FALSE))))</f>
        <v>110.4</v>
      </c>
      <c r="U161" s="101">
        <f t="shared" si="52"/>
        <v>110.4</v>
      </c>
      <c r="V161" s="101">
        <f t="shared" si="55"/>
        <v>110.4</v>
      </c>
      <c r="Y161" s="325" t="s">
        <v>3450</v>
      </c>
      <c r="Z161" s="1">
        <v>10</v>
      </c>
      <c r="AA161" s="749" t="s">
        <v>2382</v>
      </c>
      <c r="AG161" s="5">
        <f t="shared" si="56"/>
        <v>89.833333333333329</v>
      </c>
      <c r="AH161" s="5">
        <f>IF(AG161="","",VLOOKUP($Y161,Nutrition_tables!$A:$N,10,FALSE))</f>
        <v>56</v>
      </c>
      <c r="AI161" s="5">
        <f t="shared" si="54"/>
        <v>0.16041666666666665</v>
      </c>
    </row>
    <row r="162" spans="2:35" ht="16">
      <c r="B162" s="1" t="s">
        <v>2321</v>
      </c>
      <c r="C162" s="1" t="s">
        <v>3114</v>
      </c>
      <c r="E162" s="678" t="str">
        <f>IF(G162="","",_xlfn.IFNA(VLOOKUP($H162,Ingredient_prices!$B:$C,2,FALSE),""))</f>
        <v>Yeast (fresh)</v>
      </c>
      <c r="F162" s="1199" t="str">
        <f t="shared" si="47"/>
        <v>ПАРТИЈА 2</v>
      </c>
      <c r="G162" s="1389">
        <v>132</v>
      </c>
      <c r="H162" s="1389" t="s">
        <v>2326</v>
      </c>
      <c r="I162" s="1389" t="s">
        <v>2736</v>
      </c>
      <c r="J162" s="1389">
        <v>50</v>
      </c>
      <c r="K162" s="1392" t="s">
        <v>2327</v>
      </c>
      <c r="L162" s="1389">
        <v>300</v>
      </c>
      <c r="N162" s="1384">
        <v>19</v>
      </c>
      <c r="O162" s="1383">
        <f t="shared" si="48"/>
        <v>20</v>
      </c>
      <c r="P162" s="1382">
        <f t="shared" si="49"/>
        <v>22.8</v>
      </c>
      <c r="Q162" s="1383">
        <f t="shared" si="50"/>
        <v>5700</v>
      </c>
      <c r="R162" s="1383">
        <f t="shared" si="51"/>
        <v>6840</v>
      </c>
      <c r="T162" s="101">
        <f>IF(O162="","",IF('Charts and graphs'!$C$6="Conventional",IF(N162&gt;0,1000*P162/J162,""),IF(VLOOKUP($E162,$Y:$AE,7,FALSE)=0,IF(N162&gt;0,1000*P162/J162,""),VLOOKUP($E162,$Y:$AE,7,FALSE))))</f>
        <v>456</v>
      </c>
      <c r="U162" s="101">
        <f t="shared" si="52"/>
        <v>456</v>
      </c>
      <c r="V162" s="101">
        <f t="shared" si="55"/>
        <v>456</v>
      </c>
      <c r="Y162" s="1" t="s">
        <v>3452</v>
      </c>
      <c r="Z162" s="1139">
        <v>10</v>
      </c>
      <c r="AA162" s="749" t="s">
        <v>2382</v>
      </c>
      <c r="AD162" s="1139">
        <v>10</v>
      </c>
      <c r="AG162" s="5" t="str">
        <f t="shared" si="56"/>
        <v/>
      </c>
      <c r="AH162" s="5" t="str">
        <f>IF(AG162="","",VLOOKUP($Y162,Nutrition_tables!$A:$N,10,FALSE))</f>
        <v/>
      </c>
      <c r="AI162" s="5" t="str">
        <f t="shared" si="54"/>
        <v/>
      </c>
    </row>
    <row r="163" spans="2:35" ht="16">
      <c r="B163" s="1" t="s">
        <v>2368</v>
      </c>
      <c r="C163" s="1" t="s">
        <v>3114</v>
      </c>
      <c r="E163" s="678" t="str">
        <f>IF(G163="","",_xlfn.IFNA(VLOOKUP($H163,Ingredient_prices!$B:$C,2,FALSE),""))</f>
        <v>Fish fingers</v>
      </c>
      <c r="F163" s="1199" t="str">
        <f t="shared" si="47"/>
        <v>ПАРТИЈА 2</v>
      </c>
      <c r="G163" s="1389">
        <v>133</v>
      </c>
      <c r="H163" s="1389" t="s">
        <v>1306</v>
      </c>
      <c r="I163" s="1389" t="s">
        <v>2737</v>
      </c>
      <c r="J163" s="1389">
        <v>5000</v>
      </c>
      <c r="K163" s="1392" t="s">
        <v>2327</v>
      </c>
      <c r="L163" s="1389">
        <v>28</v>
      </c>
      <c r="N163" s="1384">
        <v>975</v>
      </c>
      <c r="O163" s="1383">
        <f t="shared" si="48"/>
        <v>20</v>
      </c>
      <c r="P163" s="1382">
        <f t="shared" si="49"/>
        <v>1170</v>
      </c>
      <c r="Q163" s="1383">
        <f t="shared" si="50"/>
        <v>27300</v>
      </c>
      <c r="R163" s="1383">
        <f t="shared" si="51"/>
        <v>32760</v>
      </c>
      <c r="T163" s="101">
        <f>IF(O163="","",IF('Charts and graphs'!$C$6="Conventional",IF(N163&gt;0,1000*P163/J163,""),IF(VLOOKUP($E163,$Y:$AE,7,FALSE)=0,IF(N163&gt;0,1000*P163/J163,""),VLOOKUP($E163,$Y:$AE,7,FALSE))))</f>
        <v>234</v>
      </c>
      <c r="U163" s="101">
        <f t="shared" si="52"/>
        <v>234</v>
      </c>
      <c r="V163" s="101">
        <f t="shared" si="55"/>
        <v>234</v>
      </c>
      <c r="Y163" s="1" t="s">
        <v>3447</v>
      </c>
      <c r="Z163" s="1139">
        <v>10</v>
      </c>
      <c r="AA163" s="749" t="s">
        <v>2382</v>
      </c>
      <c r="AD163" s="1139">
        <v>10</v>
      </c>
      <c r="AG163" s="5" t="str">
        <f t="shared" si="56"/>
        <v/>
      </c>
      <c r="AH163" s="5" t="str">
        <f>IF(AG163="","",VLOOKUP($Y163,Nutrition_tables!$A:$N,10,FALSE))</f>
        <v/>
      </c>
      <c r="AI163" s="5" t="str">
        <f t="shared" si="54"/>
        <v/>
      </c>
    </row>
    <row r="164" spans="2:35" ht="16">
      <c r="B164" s="1" t="s">
        <v>2369</v>
      </c>
      <c r="C164" s="1" t="s">
        <v>3114</v>
      </c>
      <c r="E164" s="678" t="str">
        <f>IF(G164="","",_xlfn.IFNA(VLOOKUP($H164,Ingredient_prices!$B:$C,2,FALSE),""))</f>
        <v>Catfish</v>
      </c>
      <c r="F164" s="1199" t="str">
        <f t="shared" si="47"/>
        <v>ПАРТИЈА 2</v>
      </c>
      <c r="G164" s="1389">
        <v>134</v>
      </c>
      <c r="H164" s="1389" t="s">
        <v>911</v>
      </c>
      <c r="I164" s="1389" t="s">
        <v>2728</v>
      </c>
      <c r="J164" s="1389">
        <v>1000</v>
      </c>
      <c r="K164" s="1392" t="s">
        <v>2328</v>
      </c>
      <c r="L164" s="1389">
        <v>290</v>
      </c>
      <c r="N164" s="1384">
        <v>241</v>
      </c>
      <c r="O164" s="1383">
        <f t="shared" ref="O164:O195" si="57">IF($E164="","",VLOOKUP($E164,$Y:$AE,2,FALSE))</f>
        <v>10</v>
      </c>
      <c r="P164" s="1382">
        <f t="shared" si="49"/>
        <v>265.10000000000002</v>
      </c>
      <c r="Q164" s="1383">
        <f t="shared" si="50"/>
        <v>69890</v>
      </c>
      <c r="R164" s="1383">
        <f t="shared" si="51"/>
        <v>76879</v>
      </c>
      <c r="T164" s="101">
        <f>IF(O164="","",IF('Charts and graphs'!$C$6="Conventional",IF(N164&gt;0,1000*P164/J164,""),IF(VLOOKUP($E164,$Y:$AE,7,FALSE)=0,IF(N164&gt;0,1000*P164/J164,""),VLOOKUP($E164,$Y:$AE,7,FALSE))))</f>
        <v>265.10000000000002</v>
      </c>
      <c r="U164" s="101">
        <f t="shared" si="52"/>
        <v>265.10000000000002</v>
      </c>
      <c r="V164" s="101">
        <f t="shared" si="55"/>
        <v>265.10000000000002</v>
      </c>
      <c r="Y164" s="1" t="s">
        <v>3458</v>
      </c>
      <c r="Z164" s="1139">
        <v>10</v>
      </c>
      <c r="AA164" s="749" t="s">
        <v>2382</v>
      </c>
      <c r="AD164" s="1139">
        <v>10</v>
      </c>
      <c r="AG164" s="5" t="str">
        <f t="shared" si="56"/>
        <v/>
      </c>
      <c r="AH164" s="5" t="str">
        <f>IF(AG164="","",VLOOKUP($Y164,Nutrition_tables!$A:$N,10,FALSE))</f>
        <v/>
      </c>
      <c r="AI164" s="5" t="str">
        <f t="shared" si="54"/>
        <v/>
      </c>
    </row>
    <row r="165" spans="2:35" ht="16">
      <c r="B165" s="1" t="s">
        <v>2370</v>
      </c>
      <c r="C165" s="1" t="s">
        <v>3114</v>
      </c>
      <c r="E165" s="678" t="str">
        <f>IF(G165="","",_xlfn.IFNA(VLOOKUP($H165,Ingredient_prices!$B:$C,2,FALSE),""))</f>
        <v>Mayonnaise, plain</v>
      </c>
      <c r="F165" s="1199" t="str">
        <f t="shared" si="47"/>
        <v>ПАРТИЈА 2</v>
      </c>
      <c r="G165" s="82">
        <v>135</v>
      </c>
      <c r="H165" s="82" t="s">
        <v>1344</v>
      </c>
      <c r="I165" s="289"/>
      <c r="J165" s="1130">
        <v>300</v>
      </c>
      <c r="K165" s="82" t="s">
        <v>2641</v>
      </c>
      <c r="L165" s="82">
        <v>30</v>
      </c>
      <c r="N165" s="1385">
        <v>85</v>
      </c>
      <c r="O165" s="1383">
        <f t="shared" si="57"/>
        <v>20</v>
      </c>
      <c r="P165" s="1382">
        <f t="shared" si="49"/>
        <v>102</v>
      </c>
      <c r="Q165" s="1383">
        <f t="shared" si="50"/>
        <v>2550</v>
      </c>
      <c r="R165" s="1383">
        <f t="shared" si="51"/>
        <v>3060</v>
      </c>
      <c r="T165" s="101">
        <f>IF(O165="","",IF('Charts and graphs'!$C$6="Conventional",IF(N165&gt;0,1000*P165/J165,""),IF(VLOOKUP($E165,$Y:$AE,7,FALSE)=0,IF(N165&gt;0,1000*P165/J165,""),VLOOKUP($E165,$Y:$AE,7,FALSE))))</f>
        <v>340</v>
      </c>
      <c r="U165" s="101">
        <f t="shared" si="52"/>
        <v>340</v>
      </c>
      <c r="V165" s="101">
        <f t="shared" si="55"/>
        <v>340</v>
      </c>
      <c r="Y165" s="325" t="s">
        <v>3451</v>
      </c>
      <c r="Z165" s="1139">
        <v>10</v>
      </c>
      <c r="AA165" s="749" t="s">
        <v>2382</v>
      </c>
      <c r="AD165" s="1139">
        <v>10</v>
      </c>
      <c r="AG165" s="5">
        <f t="shared" si="56"/>
        <v>81.400000000000006</v>
      </c>
      <c r="AH165" s="5">
        <f>IF(AG165="","",VLOOKUP($Y165,Nutrition_tables!$A:$N,10,FALSE))</f>
        <v>62</v>
      </c>
      <c r="AI165" s="5">
        <f t="shared" si="54"/>
        <v>0.13129032258064516</v>
      </c>
    </row>
    <row r="166" spans="2:35" ht="16">
      <c r="B166" s="1" t="s">
        <v>2324</v>
      </c>
      <c r="C166" s="1" t="s">
        <v>3119</v>
      </c>
      <c r="E166" s="678" t="str">
        <f>IF(G166="","",_xlfn.IFNA(VLOOKUP($H166,Ingredient_prices!$B:$C,2,FALSE),""))</f>
        <v>Celery root</v>
      </c>
      <c r="F166" s="1199" t="str">
        <f t="shared" si="47"/>
        <v>ПАРТИЈА 2</v>
      </c>
      <c r="G166" s="82">
        <v>136</v>
      </c>
      <c r="H166" s="82" t="s">
        <v>913</v>
      </c>
      <c r="I166" s="289"/>
      <c r="J166" s="289">
        <v>1000</v>
      </c>
      <c r="K166" s="82" t="s">
        <v>2328</v>
      </c>
      <c r="L166" s="82">
        <v>10</v>
      </c>
      <c r="N166" s="1386">
        <v>200</v>
      </c>
      <c r="O166" s="1383">
        <f t="shared" si="57"/>
        <v>10</v>
      </c>
      <c r="P166" s="1382">
        <f t="shared" si="49"/>
        <v>220</v>
      </c>
      <c r="Q166" s="1383">
        <f t="shared" si="50"/>
        <v>2000</v>
      </c>
      <c r="R166" s="1383">
        <f t="shared" si="51"/>
        <v>2200</v>
      </c>
      <c r="T166" s="101">
        <f>IF(O166="","",IF('Charts and graphs'!$C$6="Conventional",IF(N166&gt;0,1000*P166/J166,""),IF(VLOOKUP($E166,$Y:$AE,7,FALSE)=0,IF(N166&gt;0,1000*P166/J166,""),VLOOKUP($E166,$Y:$AE,7,FALSE))))</f>
        <v>355.55555555555554</v>
      </c>
      <c r="U166" s="101">
        <f t="shared" si="52"/>
        <v>220</v>
      </c>
      <c r="V166" s="101">
        <f t="shared" si="55"/>
        <v>355.55555555555554</v>
      </c>
      <c r="Y166" s="1" t="s">
        <v>3211</v>
      </c>
      <c r="Z166" s="1">
        <v>10</v>
      </c>
      <c r="AA166" s="749" t="s">
        <v>2382</v>
      </c>
      <c r="AG166" s="5" t="str">
        <f t="shared" si="56"/>
        <v/>
      </c>
      <c r="AH166" s="5" t="str">
        <f>IF(AG166="","",VLOOKUP($Y166,Nutrition_tables!$A:$N,10,FALSE))</f>
        <v/>
      </c>
      <c r="AI166" s="5" t="str">
        <f t="shared" si="54"/>
        <v/>
      </c>
    </row>
    <row r="167" spans="2:35" ht="16">
      <c r="B167" s="412" t="s">
        <v>2150</v>
      </c>
      <c r="C167" s="1" t="s">
        <v>3121</v>
      </c>
      <c r="E167" s="678" t="str">
        <f>IF(G167="","",_xlfn.IFNA(VLOOKUP($H167,Ingredient_prices!$B:$C,2,FALSE),""))</f>
        <v>Meal supplement/Vegeta</v>
      </c>
      <c r="F167" s="1199" t="str">
        <f t="shared" si="47"/>
        <v>ПАРТИЈА 2</v>
      </c>
      <c r="G167" s="82">
        <v>137</v>
      </c>
      <c r="H167" s="82" t="s">
        <v>2250</v>
      </c>
      <c r="I167" s="289"/>
      <c r="J167" s="289">
        <v>1000</v>
      </c>
      <c r="K167" s="82" t="s">
        <v>2328</v>
      </c>
      <c r="L167" s="82">
        <v>10</v>
      </c>
      <c r="N167" s="1386">
        <v>400</v>
      </c>
      <c r="O167" s="1383">
        <f t="shared" si="57"/>
        <v>20</v>
      </c>
      <c r="P167" s="1382">
        <f t="shared" si="49"/>
        <v>480</v>
      </c>
      <c r="Q167" s="1383">
        <f t="shared" si="50"/>
        <v>4000</v>
      </c>
      <c r="R167" s="1383">
        <f t="shared" si="51"/>
        <v>4800</v>
      </c>
      <c r="T167" s="101">
        <f>IF(O167="","",IF('Charts and graphs'!$C$6="Conventional",IF(N167&gt;0,1000*P167/J167,""),IF(VLOOKUP($E167,$Y:$AE,7,FALSE)=0,IF(N167&gt;0,1000*P167/J167,""),VLOOKUP($E167,$Y:$AE,7,FALSE))))</f>
        <v>480</v>
      </c>
      <c r="U167" s="101">
        <f t="shared" si="52"/>
        <v>480</v>
      </c>
      <c r="V167" s="101">
        <f t="shared" si="55"/>
        <v>480</v>
      </c>
      <c r="Y167" s="1" t="s">
        <v>3212</v>
      </c>
      <c r="Z167" s="1139">
        <v>20</v>
      </c>
      <c r="AA167" s="749" t="s">
        <v>2382</v>
      </c>
      <c r="AB167" s="490" t="s">
        <v>683</v>
      </c>
      <c r="AC167" s="1130" t="s">
        <v>2289</v>
      </c>
      <c r="AD167" s="178">
        <v>20</v>
      </c>
      <c r="AG167" s="5">
        <f t="shared" si="56"/>
        <v>489.6</v>
      </c>
      <c r="AH167" s="5">
        <f>IF(AG167="","",VLOOKUP($Y167,Nutrition_tables!$A:$N,10,FALSE))</f>
        <v>78</v>
      </c>
      <c r="AI167" s="5">
        <f t="shared" si="54"/>
        <v>0.62769230769230777</v>
      </c>
    </row>
    <row r="168" spans="2:35" ht="16">
      <c r="B168" s="412" t="s">
        <v>2118</v>
      </c>
      <c r="C168" s="1" t="s">
        <v>3121</v>
      </c>
      <c r="E168" s="678" t="str">
        <f>IF(G168="","",_xlfn.IFNA(VLOOKUP($H168,Ingredient_prices!$B:$C,2,FALSE),""))</f>
        <v>Chickpeas</v>
      </c>
      <c r="F168" s="1199" t="str">
        <f t="shared" si="47"/>
        <v>ПАРТИЈА 2</v>
      </c>
      <c r="G168" s="82">
        <v>138</v>
      </c>
      <c r="H168" s="1" t="s">
        <v>1510</v>
      </c>
      <c r="I168" s="289"/>
      <c r="J168" s="289">
        <v>1000</v>
      </c>
      <c r="K168" s="82" t="s">
        <v>2328</v>
      </c>
      <c r="L168" s="82">
        <v>10</v>
      </c>
      <c r="N168" s="1386">
        <v>800</v>
      </c>
      <c r="O168" s="1383">
        <f t="shared" si="57"/>
        <v>20</v>
      </c>
      <c r="P168" s="1382">
        <f t="shared" si="49"/>
        <v>960</v>
      </c>
      <c r="Q168" s="1383">
        <f t="shared" si="50"/>
        <v>8000</v>
      </c>
      <c r="R168" s="1383">
        <f t="shared" si="51"/>
        <v>9600</v>
      </c>
      <c r="T168" s="101">
        <f>IF(O168="","",IF('Charts and graphs'!$C$6="Conventional",IF(N168&gt;0,1000*P168/J168,""),IF(VLOOKUP($E168,$Y:$AE,7,FALSE)=0,IF(N168&gt;0,1000*P168/J168,""),VLOOKUP($E168,$Y:$AE,7,FALSE))))</f>
        <v>960</v>
      </c>
      <c r="U168" s="101">
        <f t="shared" si="52"/>
        <v>960</v>
      </c>
      <c r="V168" s="101">
        <f t="shared" si="55"/>
        <v>960</v>
      </c>
      <c r="Y168" s="1" t="s">
        <v>3457</v>
      </c>
      <c r="Z168" s="1139">
        <v>20</v>
      </c>
      <c r="AA168" s="749" t="s">
        <v>2382</v>
      </c>
      <c r="AB168" s="490" t="s">
        <v>56</v>
      </c>
      <c r="AC168" s="1130" t="s">
        <v>2343</v>
      </c>
      <c r="AD168" s="178">
        <v>20</v>
      </c>
      <c r="AG168" s="5">
        <f t="shared" si="56"/>
        <v>146.4</v>
      </c>
      <c r="AH168" s="5">
        <f>IF(AG168="","",VLOOKUP($Y168,Nutrition_tables!$A:$N,10,FALSE))</f>
        <v>81</v>
      </c>
      <c r="AI168" s="5">
        <f t="shared" si="54"/>
        <v>0.18074074074074076</v>
      </c>
    </row>
    <row r="169" spans="2:35" ht="16">
      <c r="B169" s="1" t="s">
        <v>1219</v>
      </c>
      <c r="C169" s="1" t="s">
        <v>3107</v>
      </c>
      <c r="E169" s="678" t="str">
        <f>IF(G169="","",_xlfn.IFNA(VLOOKUP($H169,Ingredient_prices!$B:$C,2,FALSE),""))</f>
        <v>Barley</v>
      </c>
      <c r="F169" s="1199" t="str">
        <f t="shared" ref="F169:F179" si="58">IF(H169="","",IF(OR(LEFT(G169,1)="П",LEFT(G169,1)="P"),G169,F168))</f>
        <v>ПАРТИЈА 2</v>
      </c>
      <c r="G169" s="82">
        <v>139</v>
      </c>
      <c r="H169" s="82" t="s">
        <v>1611</v>
      </c>
      <c r="I169" s="289"/>
      <c r="J169" s="289">
        <v>1000</v>
      </c>
      <c r="K169" s="82" t="s">
        <v>2328</v>
      </c>
      <c r="L169" s="82">
        <v>10</v>
      </c>
      <c r="N169" s="1388">
        <v>200</v>
      </c>
      <c r="O169" s="1383">
        <f t="shared" si="57"/>
        <v>10</v>
      </c>
      <c r="P169" s="1382">
        <f t="shared" si="49"/>
        <v>220</v>
      </c>
      <c r="Q169" s="1383">
        <f t="shared" si="50"/>
        <v>2000</v>
      </c>
      <c r="R169" s="1383">
        <f t="shared" si="51"/>
        <v>2200</v>
      </c>
      <c r="T169" s="101">
        <f>IF(O169="","",IF('Charts and graphs'!$C$6="Conventional",IF(N169&gt;0,1000*P169/J169,""),IF(VLOOKUP($E169,$Y:$AE,7,FALSE)=0,IF(N169&gt;0,1000*P169/J169,""),VLOOKUP($E169,$Y:$AE,7,FALSE))))</f>
        <v>220</v>
      </c>
      <c r="U169" s="101">
        <f t="shared" si="52"/>
        <v>220</v>
      </c>
      <c r="V169" s="101">
        <f t="shared" si="55"/>
        <v>220</v>
      </c>
      <c r="Y169" s="1" t="s">
        <v>3219</v>
      </c>
      <c r="Z169" s="1">
        <v>20</v>
      </c>
      <c r="AA169" s="749" t="s">
        <v>2382</v>
      </c>
      <c r="AG169" s="5" t="str">
        <f t="shared" si="56"/>
        <v/>
      </c>
      <c r="AH169" s="5" t="str">
        <f>IF(AG169="","",VLOOKUP($Y169,Nutrition_tables!$A:$N,10,FALSE))</f>
        <v/>
      </c>
      <c r="AI169" s="5" t="str">
        <f t="shared" si="54"/>
        <v/>
      </c>
    </row>
    <row r="170" spans="2:35" ht="16">
      <c r="B170" s="1" t="s">
        <v>2039</v>
      </c>
      <c r="C170" s="1" t="s">
        <v>3114</v>
      </c>
      <c r="E170" s="678" t="str">
        <f>IF(G170="","",_xlfn.IFNA(VLOOKUP($H170,Ingredient_prices!$B:$C,2,FALSE),""))</f>
        <v>Lentils</v>
      </c>
      <c r="F170" s="1199" t="str">
        <f t="shared" si="58"/>
        <v>ПАРТИЈА 2</v>
      </c>
      <c r="G170" s="82">
        <v>140</v>
      </c>
      <c r="H170" s="82" t="s">
        <v>932</v>
      </c>
      <c r="I170" s="289"/>
      <c r="J170" s="289">
        <v>1000</v>
      </c>
      <c r="K170" s="82" t="s">
        <v>2328</v>
      </c>
      <c r="L170" s="82">
        <v>10</v>
      </c>
      <c r="N170" s="1386">
        <v>205</v>
      </c>
      <c r="O170" s="1383">
        <f t="shared" si="57"/>
        <v>20</v>
      </c>
      <c r="P170" s="1382">
        <f t="shared" si="49"/>
        <v>246</v>
      </c>
      <c r="Q170" s="1383">
        <f t="shared" si="50"/>
        <v>2050</v>
      </c>
      <c r="R170" s="1383">
        <f t="shared" si="51"/>
        <v>2460</v>
      </c>
      <c r="T170" s="101">
        <f>IF(O170="","",IF('Charts and graphs'!$C$6="Conventional",IF(N170&gt;0,1000*P170/J170,""),IF(VLOOKUP($E170,$Y:$AE,7,FALSE)=0,IF(N170&gt;0,1000*P170/J170,""),VLOOKUP($E170,$Y:$AE,7,FALSE))))</f>
        <v>246</v>
      </c>
      <c r="U170" s="101">
        <f t="shared" si="52"/>
        <v>246</v>
      </c>
      <c r="V170" s="101">
        <f t="shared" si="55"/>
        <v>246</v>
      </c>
      <c r="Y170" s="1" t="s">
        <v>480</v>
      </c>
      <c r="Z170" s="1">
        <v>20</v>
      </c>
      <c r="AA170" s="749" t="s">
        <v>2382</v>
      </c>
      <c r="AG170" s="5">
        <f t="shared" si="56"/>
        <v>537.6</v>
      </c>
      <c r="AH170" s="5">
        <f>IF(AG170="","",VLOOKUP($Y170,Nutrition_tables!$A:$N,10,FALSE))</f>
        <v>481</v>
      </c>
      <c r="AI170" s="5">
        <f t="shared" si="54"/>
        <v>0.11176715176715177</v>
      </c>
    </row>
    <row r="171" spans="2:35" ht="16">
      <c r="B171" s="412" t="s">
        <v>2322</v>
      </c>
      <c r="C171" s="1" t="s">
        <v>3107</v>
      </c>
      <c r="E171" s="678" t="str">
        <f>IF(G171="","",_xlfn.IFNA(VLOOKUP($H171,Ingredient_prices!$B:$C,2,FALSE),""))</f>
        <v>Garlic</v>
      </c>
      <c r="F171" s="1199" t="str">
        <f t="shared" si="58"/>
        <v>ПАРТИЈА 2</v>
      </c>
      <c r="G171" s="82">
        <v>141</v>
      </c>
      <c r="H171" s="82" t="s">
        <v>813</v>
      </c>
      <c r="I171" s="289"/>
      <c r="J171" s="289">
        <v>1000</v>
      </c>
      <c r="K171" s="82" t="s">
        <v>2328</v>
      </c>
      <c r="L171" s="82">
        <v>10</v>
      </c>
      <c r="N171" s="1386">
        <v>1142.9000000000001</v>
      </c>
      <c r="O171" s="1383">
        <f t="shared" si="57"/>
        <v>10</v>
      </c>
      <c r="P171" s="1382">
        <f t="shared" si="49"/>
        <v>1257.19</v>
      </c>
      <c r="Q171" s="1383">
        <f t="shared" si="50"/>
        <v>11429</v>
      </c>
      <c r="R171" s="1383">
        <f t="shared" si="51"/>
        <v>12571.900000000001</v>
      </c>
      <c r="T171" s="101">
        <f>IF(O171="","",IF('Charts and graphs'!$C$6="Conventional",IF(N171&gt;0,1000*P171/J171,""),IF(VLOOKUP($E171,$Y:$AE,7,FALSE)=0,IF(N171&gt;0,1000*P171/J171,""),VLOOKUP($E171,$Y:$AE,7,FALSE))))</f>
        <v>1142.8571428571429</v>
      </c>
      <c r="U171" s="101">
        <f t="shared" si="52"/>
        <v>1257.19</v>
      </c>
      <c r="V171" s="101">
        <f t="shared" si="55"/>
        <v>1142.8571428571429</v>
      </c>
      <c r="Y171" s="1" t="s">
        <v>3455</v>
      </c>
      <c r="Z171" s="1">
        <v>20</v>
      </c>
      <c r="AA171" s="749" t="s">
        <v>2382</v>
      </c>
      <c r="AG171" s="5" t="str">
        <f t="shared" si="56"/>
        <v/>
      </c>
      <c r="AH171" s="5" t="str">
        <f>IF(AG171="","",VLOOKUP($Y171,Nutrition_tables!$A:$N,10,FALSE))</f>
        <v/>
      </c>
      <c r="AI171" s="5" t="str">
        <f t="shared" si="54"/>
        <v/>
      </c>
    </row>
    <row r="172" spans="2:35" ht="16">
      <c r="B172" s="412" t="s">
        <v>2117</v>
      </c>
      <c r="C172" s="1" t="s">
        <v>3107</v>
      </c>
      <c r="E172" s="678" t="str">
        <f>IF(G172="","",_xlfn.IFNA(VLOOKUP($H172,Ingredient_prices!$B:$C,2,FALSE),""))</f>
        <v>Cheese, hard, grated</v>
      </c>
      <c r="F172" s="1199" t="str">
        <f t="shared" si="58"/>
        <v>ПАРТИЈА 2</v>
      </c>
      <c r="G172" s="82">
        <v>142</v>
      </c>
      <c r="H172" s="82" t="s">
        <v>1398</v>
      </c>
      <c r="I172" s="289"/>
      <c r="J172" s="289">
        <v>1000</v>
      </c>
      <c r="K172" s="82" t="s">
        <v>2328</v>
      </c>
      <c r="L172" s="82">
        <v>10</v>
      </c>
      <c r="N172" s="1386">
        <v>870</v>
      </c>
      <c r="O172" s="1383">
        <f t="shared" si="57"/>
        <v>20</v>
      </c>
      <c r="P172" s="1382">
        <f t="shared" si="49"/>
        <v>1044</v>
      </c>
      <c r="Q172" s="1383">
        <f t="shared" si="50"/>
        <v>8700</v>
      </c>
      <c r="R172" s="1383">
        <f t="shared" si="51"/>
        <v>10440</v>
      </c>
      <c r="T172" s="101">
        <f>IF(O172="","",IF('Charts and graphs'!$C$6="Conventional",IF(N172&gt;0,1000*P172/J172,""),IF(VLOOKUP($E172,$Y:$AE,7,FALSE)=0,IF(N172&gt;0,1000*P172/J172,""),VLOOKUP($E172,$Y:$AE,7,FALSE))))</f>
        <v>1044</v>
      </c>
      <c r="U172" s="101">
        <f t="shared" si="52"/>
        <v>1044</v>
      </c>
      <c r="V172" s="101">
        <f t="shared" si="55"/>
        <v>1044</v>
      </c>
      <c r="Y172" s="1232" t="s">
        <v>3454</v>
      </c>
      <c r="Z172" s="1">
        <v>20</v>
      </c>
      <c r="AA172" s="749" t="s">
        <v>2382</v>
      </c>
      <c r="AG172" s="5">
        <f t="shared" si="56"/>
        <v>202.28571428571428</v>
      </c>
      <c r="AH172" s="5">
        <f>IF(AG172="","",VLOOKUP($Y172,Nutrition_tables!$A:$N,10,FALSE))</f>
        <v>204</v>
      </c>
      <c r="AI172" s="5">
        <f t="shared" si="54"/>
        <v>9.9159663865546213E-2</v>
      </c>
    </row>
    <row r="173" spans="2:35" ht="16">
      <c r="B173" s="1135" t="s">
        <v>1291</v>
      </c>
      <c r="C173" s="1" t="s">
        <v>3123</v>
      </c>
      <c r="E173" s="678" t="str">
        <f>IF(G173="","",_xlfn.IFNA(VLOOKUP($H173,Ingredient_prices!$B:$C,2,FALSE),""))</f>
        <v>Pork minced meat</v>
      </c>
      <c r="F173" s="1199" t="str">
        <f t="shared" si="58"/>
        <v>ПАРТИЈА 2</v>
      </c>
      <c r="G173" s="82">
        <v>143</v>
      </c>
      <c r="H173" s="82" t="s">
        <v>1019</v>
      </c>
      <c r="I173" s="289"/>
      <c r="J173" s="289">
        <v>1000</v>
      </c>
      <c r="K173" s="82" t="s">
        <v>2328</v>
      </c>
      <c r="L173" s="82">
        <v>10</v>
      </c>
      <c r="N173" s="1386">
        <v>320</v>
      </c>
      <c r="O173" s="1383">
        <f t="shared" si="57"/>
        <v>10</v>
      </c>
      <c r="P173" s="1382">
        <f t="shared" si="49"/>
        <v>352</v>
      </c>
      <c r="Q173" s="1383">
        <f t="shared" si="50"/>
        <v>3200</v>
      </c>
      <c r="R173" s="1383">
        <f t="shared" si="51"/>
        <v>3520</v>
      </c>
      <c r="T173" s="101">
        <f>IF(O173="","",IF('Charts and graphs'!$C$6="Conventional",IF(N173&gt;0,1000*P173/J173,""),IF(VLOOKUP($E173,$Y:$AE,7,FALSE)=0,IF(N173&gt;0,1000*P173/J173,""),VLOOKUP($E173,$Y:$AE,7,FALSE))))</f>
        <v>352</v>
      </c>
      <c r="U173" s="101">
        <f t="shared" si="52"/>
        <v>352</v>
      </c>
      <c r="V173" s="101">
        <f t="shared" si="55"/>
        <v>352</v>
      </c>
      <c r="Y173" s="325" t="s">
        <v>3453</v>
      </c>
      <c r="Z173" s="1">
        <v>20</v>
      </c>
      <c r="AA173" s="749" t="s">
        <v>2382</v>
      </c>
      <c r="AG173" s="5">
        <f t="shared" si="56"/>
        <v>110</v>
      </c>
      <c r="AH173" s="5">
        <f>IF(AG173="","",VLOOKUP($Y173,Nutrition_tables!$A:$N,10,FALSE))</f>
        <v>60</v>
      </c>
      <c r="AI173" s="5">
        <f t="shared" si="54"/>
        <v>0.18333333333333332</v>
      </c>
    </row>
    <row r="174" spans="2:35" ht="16">
      <c r="B174" s="1" t="s">
        <v>2325</v>
      </c>
      <c r="C174" s="1" t="s">
        <v>3126</v>
      </c>
      <c r="E174" s="678" t="str">
        <f>IF(G174="","",_xlfn.IFNA(VLOOKUP($H174,Ingredient_prices!$B:$C,2,FALSE),""))</f>
        <v>Lemon</v>
      </c>
      <c r="F174" s="1199" t="str">
        <f t="shared" si="58"/>
        <v>ПАРТИЈА 2</v>
      </c>
      <c r="G174" s="82">
        <v>144</v>
      </c>
      <c r="H174" s="82" t="s">
        <v>953</v>
      </c>
      <c r="I174" s="289"/>
      <c r="J174" s="289">
        <v>1000</v>
      </c>
      <c r="K174" s="82" t="s">
        <v>2328</v>
      </c>
      <c r="L174" s="82">
        <v>10</v>
      </c>
      <c r="N174" s="1386">
        <v>187</v>
      </c>
      <c r="O174" s="1383">
        <f t="shared" si="57"/>
        <v>10</v>
      </c>
      <c r="P174" s="1382">
        <f t="shared" si="49"/>
        <v>205.7</v>
      </c>
      <c r="Q174" s="1383">
        <f t="shared" si="50"/>
        <v>1870</v>
      </c>
      <c r="R174" s="1383">
        <f t="shared" si="51"/>
        <v>2057</v>
      </c>
      <c r="T174" s="101">
        <f>IF(O174="","",IF('Charts and graphs'!$C$6="Conventional",IF(N174&gt;0,1000*P174/J174,""),IF(VLOOKUP($E174,$Y:$AE,7,FALSE)=0,IF(N174&gt;0,1000*P174/J174,""),VLOOKUP($E174,$Y:$AE,7,FALSE))))</f>
        <v>205.7</v>
      </c>
      <c r="U174" s="101">
        <f t="shared" si="52"/>
        <v>205.7</v>
      </c>
      <c r="V174" s="101">
        <f t="shared" si="55"/>
        <v>205.7</v>
      </c>
      <c r="Y174" s="1" t="s">
        <v>3213</v>
      </c>
      <c r="Z174" s="1">
        <v>20</v>
      </c>
      <c r="AA174" s="749" t="s">
        <v>2382</v>
      </c>
      <c r="AG174" s="5">
        <f t="shared" si="56"/>
        <v>750</v>
      </c>
      <c r="AH174" s="5">
        <f>IF(AG174="","",VLOOKUP($Y174,Nutrition_tables!$A:$N,10,FALSE))</f>
        <v>251</v>
      </c>
      <c r="AI174" s="5">
        <f t="shared" si="54"/>
        <v>0.29880478087649404</v>
      </c>
    </row>
    <row r="175" spans="2:35" ht="16">
      <c r="B175" s="1135" t="s">
        <v>1290</v>
      </c>
      <c r="C175" s="1" t="s">
        <v>3430</v>
      </c>
      <c r="E175" s="678" t="str">
        <f>IF(G175="","",_xlfn.IFNA(VLOOKUP($H175,Ingredient_prices!$B:$C,2,FALSE),""))</f>
        <v>Bay leaves</v>
      </c>
      <c r="F175" s="1199" t="str">
        <f t="shared" si="58"/>
        <v>ПАРТИЈА 2</v>
      </c>
      <c r="G175" s="82">
        <v>145</v>
      </c>
      <c r="H175" s="82" t="s">
        <v>1114</v>
      </c>
      <c r="I175" s="289"/>
      <c r="J175" s="289">
        <v>1000</v>
      </c>
      <c r="K175" s="82" t="s">
        <v>2328</v>
      </c>
      <c r="L175" s="82">
        <v>10</v>
      </c>
      <c r="N175" s="1386">
        <v>2430.6</v>
      </c>
      <c r="O175" s="1383">
        <f t="shared" si="57"/>
        <v>20</v>
      </c>
      <c r="P175" s="1382">
        <f t="shared" si="49"/>
        <v>2916.72</v>
      </c>
      <c r="Q175" s="1383">
        <f t="shared" si="50"/>
        <v>24306</v>
      </c>
      <c r="R175" s="1383">
        <f t="shared" si="51"/>
        <v>29167.199999999997</v>
      </c>
      <c r="T175" s="101">
        <f>IF(O175="","",IF('Charts and graphs'!$C$6="Conventional",IF(N175&gt;0,1000*P175/J175,""),IF(VLOOKUP($E175,$Y:$AE,7,FALSE)=0,IF(N175&gt;0,1000*P175/J175,""),VLOOKUP($E175,$Y:$AE,7,FALSE))))</f>
        <v>2916.72</v>
      </c>
      <c r="U175" s="101">
        <f t="shared" si="52"/>
        <v>2916.72</v>
      </c>
      <c r="V175" s="101">
        <f t="shared" si="55"/>
        <v>2916.72</v>
      </c>
      <c r="Y175" s="1" t="s">
        <v>3456</v>
      </c>
      <c r="Z175" s="1">
        <v>20</v>
      </c>
      <c r="AA175" s="749" t="s">
        <v>2382</v>
      </c>
      <c r="AG175" s="5">
        <f t="shared" si="56"/>
        <v>300</v>
      </c>
      <c r="AH175" s="5">
        <f>IF(AG175="","",VLOOKUP($Y175,Nutrition_tables!$A:$N,10,FALSE))</f>
        <v>225</v>
      </c>
      <c r="AI175" s="5">
        <f t="shared" si="54"/>
        <v>0.13333333333333333</v>
      </c>
    </row>
    <row r="176" spans="2:35" ht="16">
      <c r="B176" s="1135" t="s">
        <v>2323</v>
      </c>
      <c r="C176" s="1" t="s">
        <v>3137</v>
      </c>
      <c r="E176" s="678" t="str">
        <f>IF(G176="","",_xlfn.IFNA(VLOOKUP($H176,Ingredient_prices!$B:$C,2,FALSE),""))</f>
        <v>Cocoa powder, unsweetened</v>
      </c>
      <c r="F176" s="1199" t="str">
        <f t="shared" si="58"/>
        <v>ПАРТИЈА 2</v>
      </c>
      <c r="G176" s="82">
        <v>146</v>
      </c>
      <c r="H176" s="82" t="s">
        <v>1474</v>
      </c>
      <c r="I176" s="289"/>
      <c r="J176" s="289">
        <v>1000</v>
      </c>
      <c r="K176" s="82" t="s">
        <v>2328</v>
      </c>
      <c r="L176" s="82">
        <v>10</v>
      </c>
      <c r="N176" s="1385">
        <v>380</v>
      </c>
      <c r="O176" s="1383">
        <f t="shared" si="57"/>
        <v>20</v>
      </c>
      <c r="P176" s="1382">
        <f t="shared" si="49"/>
        <v>456</v>
      </c>
      <c r="Q176" s="1383">
        <f t="shared" si="50"/>
        <v>3800</v>
      </c>
      <c r="R176" s="1383">
        <f t="shared" si="51"/>
        <v>4560</v>
      </c>
      <c r="T176" s="101">
        <f>IF(O176="","",IF('Charts and graphs'!$C$6="Conventional",IF(N176&gt;0,1000*P176/J176,""),IF(VLOOKUP($E176,$Y:$AE,7,FALSE)=0,IF(N176&gt;0,1000*P176/J176,""),VLOOKUP($E176,$Y:$AE,7,FALSE))))</f>
        <v>456</v>
      </c>
      <c r="U176" s="101">
        <f t="shared" si="52"/>
        <v>456</v>
      </c>
      <c r="V176" s="101">
        <f t="shared" si="55"/>
        <v>456</v>
      </c>
      <c r="Y176" s="1" t="s">
        <v>3214</v>
      </c>
      <c r="Z176" s="1">
        <v>20</v>
      </c>
      <c r="AA176" s="749" t="s">
        <v>2382</v>
      </c>
      <c r="AG176" s="5" t="str">
        <f t="shared" si="56"/>
        <v/>
      </c>
      <c r="AH176" s="5" t="str">
        <f>IF(AG176="","",VLOOKUP($Y176,Nutrition_tables!$A:$N,10,FALSE))</f>
        <v/>
      </c>
      <c r="AI176" s="5" t="str">
        <f t="shared" si="54"/>
        <v/>
      </c>
    </row>
    <row r="177" spans="2:35" ht="16">
      <c r="B177" s="1" t="s">
        <v>932</v>
      </c>
      <c r="C177" s="1" t="s">
        <v>518</v>
      </c>
      <c r="E177" s="678" t="str">
        <f>IF(G177="","",_xlfn.IFNA(VLOOKUP($H177,Ingredient_prices!$B:$C,2,FALSE),""))</f>
        <v>Poppy seeds</v>
      </c>
      <c r="F177" s="1199" t="str">
        <f t="shared" si="58"/>
        <v>ПАРТИЈА 2</v>
      </c>
      <c r="G177" s="82">
        <v>147</v>
      </c>
      <c r="H177" s="82" t="s">
        <v>2983</v>
      </c>
      <c r="I177" s="289"/>
      <c r="J177" s="289">
        <v>1000</v>
      </c>
      <c r="K177" s="82" t="s">
        <v>2328</v>
      </c>
      <c r="L177" s="82">
        <v>10</v>
      </c>
      <c r="N177" s="1385">
        <v>800</v>
      </c>
      <c r="O177" s="1383">
        <f t="shared" si="57"/>
        <v>20</v>
      </c>
      <c r="P177" s="1382">
        <f t="shared" si="49"/>
        <v>960</v>
      </c>
      <c r="Q177" s="1383">
        <f t="shared" si="50"/>
        <v>8000</v>
      </c>
      <c r="R177" s="1383">
        <f t="shared" si="51"/>
        <v>9600</v>
      </c>
      <c r="T177" s="101">
        <f>IF(O177="","",IF('Charts and graphs'!$C$6="Conventional",IF(N177&gt;0,1000*P177/J177,""),IF(VLOOKUP($E177,$Y:$AE,7,FALSE)=0,IF(N177&gt;0,1000*P177/J177,""),VLOOKUP($E177,$Y:$AE,7,FALSE))))</f>
        <v>960</v>
      </c>
      <c r="U177" s="101">
        <f t="shared" si="52"/>
        <v>960</v>
      </c>
      <c r="V177" s="101">
        <f t="shared" si="55"/>
        <v>960</v>
      </c>
      <c r="Y177" s="1232" t="s">
        <v>3215</v>
      </c>
      <c r="Z177" s="1">
        <v>20</v>
      </c>
      <c r="AA177" s="749" t="s">
        <v>2382</v>
      </c>
      <c r="AG177" s="5">
        <f t="shared" si="56"/>
        <v>468</v>
      </c>
      <c r="AH177" s="5">
        <f>IF(AG177="","",VLOOKUP($Y177,Nutrition_tables!$A:$N,10,FALSE))</f>
        <v>115.5</v>
      </c>
      <c r="AI177" s="5">
        <f t="shared" si="54"/>
        <v>0.40519480519480522</v>
      </c>
    </row>
    <row r="178" spans="2:35" ht="16">
      <c r="B178" s="1" t="s">
        <v>933</v>
      </c>
      <c r="C178" s="1" t="s">
        <v>518</v>
      </c>
      <c r="E178" s="678" t="str">
        <f>IF(G178="","",_xlfn.IFNA(VLOOKUP($H178,Ingredient_prices!$B:$C,2,FALSE),""))</f>
        <v>Raisins (dried grapes)</v>
      </c>
      <c r="F178" s="1199" t="str">
        <f t="shared" si="58"/>
        <v>ПАРТИЈА 2</v>
      </c>
      <c r="G178" s="82">
        <v>148</v>
      </c>
      <c r="H178" s="82" t="s">
        <v>965</v>
      </c>
      <c r="I178" s="289"/>
      <c r="J178" s="289">
        <v>1000</v>
      </c>
      <c r="K178" s="82" t="s">
        <v>2328</v>
      </c>
      <c r="L178" s="82">
        <v>10</v>
      </c>
      <c r="N178" s="1385">
        <v>667</v>
      </c>
      <c r="O178" s="1383">
        <f t="shared" si="57"/>
        <v>20</v>
      </c>
      <c r="P178" s="1382">
        <f t="shared" si="49"/>
        <v>800.4</v>
      </c>
      <c r="Q178" s="1383">
        <f t="shared" si="50"/>
        <v>6670</v>
      </c>
      <c r="R178" s="1383">
        <f t="shared" si="51"/>
        <v>8004</v>
      </c>
      <c r="T178" s="101">
        <f>IF(O178="","",IF('Charts and graphs'!$C$6="Conventional",IF(N178&gt;0,1000*P178/J178,""),IF(VLOOKUP($E178,$Y:$AE,7,FALSE)=0,IF(N178&gt;0,1000*P178/J178,""),VLOOKUP($E178,$Y:$AE,7,FALSE))))</f>
        <v>800.4</v>
      </c>
      <c r="U178" s="101">
        <f t="shared" si="52"/>
        <v>800.4</v>
      </c>
      <c r="V178" s="101">
        <f t="shared" si="55"/>
        <v>800.4</v>
      </c>
      <c r="Y178" s="1" t="s">
        <v>1809</v>
      </c>
      <c r="Z178" s="1">
        <v>20</v>
      </c>
      <c r="AA178" s="749" t="s">
        <v>2382</v>
      </c>
      <c r="AG178" s="5">
        <f t="shared" si="56"/>
        <v>525</v>
      </c>
      <c r="AH178" s="5">
        <f>IF(AG178="","",VLOOKUP($Y178,Nutrition_tables!$A:$N,10,FALSE))</f>
        <v>496</v>
      </c>
      <c r="AI178" s="5">
        <f t="shared" si="54"/>
        <v>0.10584677419354839</v>
      </c>
    </row>
    <row r="179" spans="2:35" ht="16">
      <c r="B179" s="1" t="s">
        <v>934</v>
      </c>
      <c r="C179" s="1" t="s">
        <v>3275</v>
      </c>
      <c r="E179" s="678" t="str">
        <f>IF(G179="","",_xlfn.IFNA(VLOOKUP($H179,Ingredient_prices!$B:$C,2,FALSE),""))</f>
        <v>Margarine from milk (less than 500g)</v>
      </c>
      <c r="F179" s="1199" t="str">
        <f t="shared" si="58"/>
        <v>ПАРТИЈА 2</v>
      </c>
      <c r="G179" s="82">
        <v>149</v>
      </c>
      <c r="H179" s="82" t="s">
        <v>1719</v>
      </c>
      <c r="I179" s="289"/>
      <c r="J179" s="289">
        <v>1000</v>
      </c>
      <c r="K179" s="82" t="s">
        <v>2328</v>
      </c>
      <c r="L179" s="82">
        <v>10</v>
      </c>
      <c r="N179" s="1385">
        <v>288</v>
      </c>
      <c r="O179" s="1383">
        <f t="shared" si="57"/>
        <v>20</v>
      </c>
      <c r="P179" s="1382">
        <f t="shared" si="49"/>
        <v>345.6</v>
      </c>
      <c r="Q179" s="1383">
        <f t="shared" si="50"/>
        <v>2880</v>
      </c>
      <c r="R179" s="1383">
        <f t="shared" si="51"/>
        <v>3456</v>
      </c>
      <c r="T179" s="101">
        <f>IF(O179="","",IF('Charts and graphs'!$C$6="Conventional",IF(N179&gt;0,1000*P179/J179,""),IF(VLOOKUP($E179,$Y:$AE,7,FALSE)=0,IF(N179&gt;0,1000*P179/J179,""),VLOOKUP($E179,$Y:$AE,7,FALSE))))</f>
        <v>345.6</v>
      </c>
      <c r="U179" s="101">
        <f t="shared" si="52"/>
        <v>345.6</v>
      </c>
      <c r="V179" s="101">
        <f t="shared" si="55"/>
        <v>345.6</v>
      </c>
      <c r="Y179" s="1233" t="s">
        <v>3221</v>
      </c>
      <c r="Z179" s="1">
        <v>10</v>
      </c>
      <c r="AA179" s="749" t="s">
        <v>2382</v>
      </c>
      <c r="AG179" s="5">
        <f t="shared" si="56"/>
        <v>91.3</v>
      </c>
      <c r="AH179" s="5">
        <f>IF(AG179="","",VLOOKUP($Y179,Nutrition_tables!$A:$N,10,FALSE))</f>
        <v>60</v>
      </c>
      <c r="AI179" s="5">
        <f t="shared" si="54"/>
        <v>0.15216666666666667</v>
      </c>
    </row>
    <row r="180" spans="2:35" ht="16">
      <c r="B180" s="1" t="s">
        <v>825</v>
      </c>
      <c r="C180" s="1" t="s">
        <v>3116</v>
      </c>
      <c r="E180" s="678" t="str">
        <f>IF(B208="","",_xlfn.IFNA(VLOOKUP($H180,Ingredient_prices!$B:$C,2,FALSE),""))</f>
        <v>Pudding powder</v>
      </c>
      <c r="F180" s="1199" t="str">
        <f>IF(H180="","",IF(OR(LEFT(B208,1)="П",LEFT(B208,1)="P"),B208,F179))</f>
        <v>ПАРТИЈА 2</v>
      </c>
      <c r="G180" s="82">
        <v>150</v>
      </c>
      <c r="H180" s="82" t="s">
        <v>1053</v>
      </c>
      <c r="I180" s="289"/>
      <c r="J180" s="289">
        <v>1000</v>
      </c>
      <c r="K180" s="82" t="s">
        <v>2328</v>
      </c>
      <c r="L180" s="82">
        <v>10</v>
      </c>
      <c r="N180" s="1385">
        <v>687.3</v>
      </c>
      <c r="O180" s="1383">
        <f t="shared" si="57"/>
        <v>20</v>
      </c>
      <c r="P180" s="1382">
        <f t="shared" si="49"/>
        <v>824.76</v>
      </c>
      <c r="Q180" s="1383">
        <f t="shared" si="50"/>
        <v>6873</v>
      </c>
      <c r="R180" s="1383">
        <f t="shared" si="51"/>
        <v>8247.6</v>
      </c>
      <c r="T180" s="101">
        <f>IF(O180="","",IF('Charts and graphs'!$C$6="Conventional",IF(N180&gt;0,1000*P180/J180,""),IF(VLOOKUP($E180,$Y:$AE,7,FALSE)=0,IF(N180&gt;0,1000*P180/J180,""),VLOOKUP($E180,$Y:$AE,7,FALSE))))</f>
        <v>824.76</v>
      </c>
      <c r="U180" s="101">
        <f t="shared" si="52"/>
        <v>824.76</v>
      </c>
      <c r="V180" s="101">
        <f t="shared" si="55"/>
        <v>824.76</v>
      </c>
      <c r="Y180" s="1" t="s">
        <v>3220</v>
      </c>
      <c r="Z180" s="1">
        <v>10</v>
      </c>
      <c r="AA180" s="749" t="s">
        <v>2382</v>
      </c>
      <c r="AG180" s="5">
        <f t="shared" si="56"/>
        <v>187</v>
      </c>
      <c r="AH180" s="5">
        <f>IF(AG180="","",VLOOKUP($Y180,Nutrition_tables!$A:$N,10,FALSE))</f>
        <v>62.619599999999998</v>
      </c>
      <c r="AI180" s="5">
        <f t="shared" si="54"/>
        <v>0.29862854441740283</v>
      </c>
    </row>
    <row r="181" spans="2:35" ht="16">
      <c r="B181" s="1" t="s">
        <v>1588</v>
      </c>
      <c r="C181" s="1" t="s">
        <v>3116</v>
      </c>
      <c r="E181" s="678" t="str">
        <f>IF(G181="","",_xlfn.IFNA(VLOOKUP($H181,Ingredient_prices!$B:$C,2,FALSE),""))</f>
        <v>Soya flour (fat extracted)</v>
      </c>
      <c r="F181" s="1199" t="str">
        <f t="shared" ref="F181:F199" si="59">IF(H181="","",IF(OR(LEFT(G181,1)="П",LEFT(G181,1)="P"),G181,F180))</f>
        <v>ПАРТИЈА 2</v>
      </c>
      <c r="G181" s="82">
        <v>151</v>
      </c>
      <c r="H181" s="1" t="s">
        <v>934</v>
      </c>
      <c r="I181" s="289"/>
      <c r="J181" s="289">
        <v>1000</v>
      </c>
      <c r="K181" s="82" t="s">
        <v>2328</v>
      </c>
      <c r="L181" s="82">
        <v>10</v>
      </c>
      <c r="N181" s="1385">
        <v>190.8</v>
      </c>
      <c r="O181" s="1383">
        <f t="shared" si="57"/>
        <v>20</v>
      </c>
      <c r="P181" s="1382">
        <f t="shared" si="49"/>
        <v>228.96</v>
      </c>
      <c r="Q181" s="1383">
        <f t="shared" si="50"/>
        <v>1908</v>
      </c>
      <c r="R181" s="1383">
        <f t="shared" si="51"/>
        <v>2289.6</v>
      </c>
      <c r="T181" s="101">
        <f>IF(O181="","",IF('Charts and graphs'!$C$6="Conventional",IF(N181&gt;0,1000*P181/J181,""),IF(VLOOKUP($E181,$Y:$AE,7,FALSE)=0,IF(N181&gt;0,1000*P181/J181,""),VLOOKUP($E181,$Y:$AE,7,FALSE))))</f>
        <v>228.96</v>
      </c>
      <c r="U181" s="101">
        <f t="shared" si="52"/>
        <v>228.96</v>
      </c>
      <c r="V181" s="101">
        <f t="shared" si="55"/>
        <v>228.96</v>
      </c>
      <c r="Y181" s="1" t="s">
        <v>3222</v>
      </c>
      <c r="Z181" s="1">
        <v>20</v>
      </c>
      <c r="AA181" s="749" t="s">
        <v>2382</v>
      </c>
      <c r="AG181" s="5" t="str">
        <f t="shared" si="56"/>
        <v/>
      </c>
      <c r="AH181" s="5" t="str">
        <f>IF(AG181="","",VLOOKUP($Y181,Nutrition_tables!$A:$N,10,FALSE))</f>
        <v/>
      </c>
      <c r="AI181" s="5" t="str">
        <f t="shared" si="54"/>
        <v/>
      </c>
    </row>
    <row r="182" spans="2:35" ht="16">
      <c r="B182" s="1" t="s">
        <v>1488</v>
      </c>
      <c r="C182" s="1" t="s">
        <v>3116</v>
      </c>
      <c r="E182" s="678" t="str">
        <f>IF(G182="","",_xlfn.IFNA(VLOOKUP($H182,Ingredient_prices!$B:$C,2,FALSE),""))</f>
        <v>Ground pepper</v>
      </c>
      <c r="F182" s="1199" t="str">
        <f t="shared" si="59"/>
        <v>ПАРТИЈА 2</v>
      </c>
      <c r="G182" s="82">
        <v>152</v>
      </c>
      <c r="H182" s="82" t="s">
        <v>2015</v>
      </c>
      <c r="I182" s="289"/>
      <c r="J182" s="1398">
        <v>10</v>
      </c>
      <c r="K182" s="1399" t="s">
        <v>2327</v>
      </c>
      <c r="L182" s="1400">
        <v>100</v>
      </c>
      <c r="M182" s="1229"/>
      <c r="N182" s="1387">
        <v>20</v>
      </c>
      <c r="O182" s="1383">
        <f t="shared" si="57"/>
        <v>20</v>
      </c>
      <c r="P182" s="1382">
        <f t="shared" si="49"/>
        <v>24</v>
      </c>
      <c r="Q182" s="1383">
        <f t="shared" si="50"/>
        <v>2000</v>
      </c>
      <c r="R182" s="1383">
        <f t="shared" si="51"/>
        <v>2400</v>
      </c>
      <c r="T182" s="101">
        <f>IF(O182="","",IF('Charts and graphs'!$C$6="Conventional",IF(N182&gt;0,1000*P182/J182,""),IF(VLOOKUP($E182,$Y:$AE,7,FALSE)=0,IF(N182&gt;0,1000*P182/J182,""),VLOOKUP($E182,$Y:$AE,7,FALSE))))</f>
        <v>2400</v>
      </c>
      <c r="U182" s="101">
        <f t="shared" si="52"/>
        <v>2400</v>
      </c>
      <c r="V182" s="101">
        <f t="shared" si="55"/>
        <v>2400</v>
      </c>
      <c r="Y182" s="1" t="s">
        <v>1811</v>
      </c>
      <c r="Z182" s="1">
        <v>20</v>
      </c>
      <c r="AA182" s="749" t="s">
        <v>2382</v>
      </c>
      <c r="AG182" s="5" t="str">
        <f t="shared" si="56"/>
        <v/>
      </c>
      <c r="AH182" s="5" t="str">
        <f>IF(AG182="","",VLOOKUP($Y182,Nutrition_tables!$A:$N,10,FALSE))</f>
        <v/>
      </c>
      <c r="AI182" s="5" t="str">
        <f t="shared" si="54"/>
        <v/>
      </c>
    </row>
    <row r="183" spans="2:35" ht="16">
      <c r="B183" s="1135" t="s">
        <v>1302</v>
      </c>
      <c r="C183" s="1" t="s">
        <v>3137</v>
      </c>
      <c r="E183" s="678" t="str">
        <f>IF(G183="","",_xlfn.IFNA(VLOOKUP($H183,Ingredient_prices!$B:$C,2,FALSE),""))</f>
        <v>Parsnip</v>
      </c>
      <c r="F183" s="1199" t="str">
        <f t="shared" si="59"/>
        <v>ПАРТИЈА 2</v>
      </c>
      <c r="G183" s="82">
        <v>153</v>
      </c>
      <c r="H183" s="82" t="s">
        <v>823</v>
      </c>
      <c r="I183" s="289"/>
      <c r="J183" s="289">
        <v>1000</v>
      </c>
      <c r="K183" s="82" t="s">
        <v>2328</v>
      </c>
      <c r="L183" s="82">
        <v>10</v>
      </c>
      <c r="N183" s="1385">
        <v>135</v>
      </c>
      <c r="O183" s="1383">
        <f t="shared" si="57"/>
        <v>10</v>
      </c>
      <c r="P183" s="1382">
        <f t="shared" si="49"/>
        <v>148.5</v>
      </c>
      <c r="Q183" s="1383">
        <f t="shared" si="50"/>
        <v>1350</v>
      </c>
      <c r="R183" s="1383">
        <f t="shared" si="51"/>
        <v>1485</v>
      </c>
      <c r="T183" s="101">
        <f>IF(O183="","",IF('Charts and graphs'!$C$6="Conventional",IF(N183&gt;0,1000*P183/J183,""),IF(VLOOKUP($E183,$Y:$AE,7,FALSE)=0,IF(N183&gt;0,1000*P183/J183,""),VLOOKUP($E183,$Y:$AE,7,FALSE))))</f>
        <v>148.5</v>
      </c>
      <c r="U183" s="101">
        <f t="shared" si="52"/>
        <v>148.5</v>
      </c>
      <c r="V183" s="101">
        <f t="shared" si="55"/>
        <v>148.5</v>
      </c>
      <c r="Y183" s="1" t="s">
        <v>3223</v>
      </c>
      <c r="Z183" s="1">
        <v>20</v>
      </c>
      <c r="AA183" s="749" t="s">
        <v>2382</v>
      </c>
      <c r="AG183" s="5" t="str">
        <f t="shared" si="56"/>
        <v/>
      </c>
      <c r="AH183" s="5" t="str">
        <f>IF(AG183="","",VLOOKUP($Y183,Nutrition_tables!$A:$N,10,FALSE))</f>
        <v/>
      </c>
      <c r="AI183" s="5" t="str">
        <f t="shared" si="54"/>
        <v/>
      </c>
    </row>
    <row r="184" spans="2:35" ht="16">
      <c r="B184" s="1135" t="s">
        <v>1589</v>
      </c>
      <c r="C184" s="1" t="s">
        <v>3137</v>
      </c>
      <c r="E184" s="678" t="str">
        <f>IF(G184="","",_xlfn.IFNA(VLOOKUP($H184,Ingredient_prices!$B:$C,2,FALSE),""))</f>
        <v>Pork fat</v>
      </c>
      <c r="F184" s="1199" t="str">
        <f t="shared" si="59"/>
        <v>ПАРТИЈА 2</v>
      </c>
      <c r="G184" s="82">
        <v>154</v>
      </c>
      <c r="H184" s="82" t="s">
        <v>2418</v>
      </c>
      <c r="I184" s="289"/>
      <c r="J184" s="289">
        <v>1000</v>
      </c>
      <c r="K184" s="82" t="s">
        <v>2328</v>
      </c>
      <c r="L184" s="82">
        <v>10</v>
      </c>
      <c r="N184" s="1385">
        <v>141.69999999999999</v>
      </c>
      <c r="O184" s="1383">
        <f t="shared" si="57"/>
        <v>20</v>
      </c>
      <c r="P184" s="1382">
        <f t="shared" si="49"/>
        <v>170.04</v>
      </c>
      <c r="Q184" s="1383">
        <f t="shared" si="50"/>
        <v>1417</v>
      </c>
      <c r="R184" s="1383">
        <f t="shared" si="51"/>
        <v>1700.3999999999999</v>
      </c>
      <c r="T184" s="101">
        <f>IF(O184="","",IF('Charts and graphs'!$C$6="Conventional",IF(N184&gt;0,1000*P184/J184,""),IF(VLOOKUP($E184,$Y:$AE,7,FALSE)=0,IF(N184&gt;0,1000*P184/J184,""),VLOOKUP($E184,$Y:$AE,7,FALSE))))</f>
        <v>170.04</v>
      </c>
      <c r="U184" s="101">
        <f t="shared" si="52"/>
        <v>170.04</v>
      </c>
      <c r="V184" s="101">
        <f t="shared" si="55"/>
        <v>170.04</v>
      </c>
      <c r="Y184" s="325" t="s">
        <v>3216</v>
      </c>
      <c r="Z184" s="1">
        <v>20</v>
      </c>
      <c r="AA184" s="749" t="s">
        <v>2382</v>
      </c>
      <c r="AG184" s="5">
        <f t="shared" si="56"/>
        <v>460.8</v>
      </c>
      <c r="AH184" s="5">
        <f>IF(AG184="","",VLOOKUP($Y184,Nutrition_tables!$A:$N,10,FALSE))</f>
        <v>284</v>
      </c>
      <c r="AI184" s="5">
        <f>IF(AG184="","",AG184/(AH184*10))</f>
        <v>0.16225352112676056</v>
      </c>
    </row>
    <row r="185" spans="2:35" ht="16">
      <c r="B185" s="1" t="s">
        <v>1352</v>
      </c>
      <c r="C185" s="1" t="s">
        <v>3137</v>
      </c>
      <c r="E185" s="678" t="str">
        <f>IF(G185="","",_xlfn.IFNA(VLOOKUP($H185,Ingredient_prices!$B:$C,2,FALSE),""))</f>
        <v>Minced meat beef/pork mixed</v>
      </c>
      <c r="F185" s="1199" t="str">
        <f t="shared" si="59"/>
        <v>ПАРТИЈА 2</v>
      </c>
      <c r="G185" s="82">
        <v>155</v>
      </c>
      <c r="H185" s="82" t="s">
        <v>1322</v>
      </c>
      <c r="I185" s="289"/>
      <c r="J185" s="289">
        <v>1000</v>
      </c>
      <c r="K185" s="82" t="s">
        <v>2328</v>
      </c>
      <c r="L185" s="82">
        <v>10</v>
      </c>
      <c r="N185" s="1385">
        <v>500</v>
      </c>
      <c r="O185" s="1383">
        <f t="shared" si="57"/>
        <v>10</v>
      </c>
      <c r="P185" s="1382">
        <f t="shared" si="49"/>
        <v>550</v>
      </c>
      <c r="Q185" s="1383">
        <f t="shared" si="50"/>
        <v>5000</v>
      </c>
      <c r="R185" s="1383">
        <f t="shared" si="51"/>
        <v>5500</v>
      </c>
      <c r="T185" s="101">
        <f>IF(O185="","",IF('Charts and graphs'!$C$6="Conventional",IF(N185&gt;0,1000*P185/J185,""),IF(VLOOKUP($E185,$Y:$AE,7,FALSE)=0,IF(N185&gt;0,1000*P185/J185,""),VLOOKUP($E185,$Y:$AE,7,FALSE))))</f>
        <v>550</v>
      </c>
      <c r="U185" s="101">
        <f t="shared" si="52"/>
        <v>550</v>
      </c>
      <c r="V185" s="101">
        <f t="shared" si="55"/>
        <v>550</v>
      </c>
      <c r="Y185" s="82" t="s">
        <v>3224</v>
      </c>
      <c r="Z185" s="1">
        <v>20</v>
      </c>
      <c r="AA185" s="749" t="s">
        <v>2382</v>
      </c>
      <c r="AG185" s="5" t="str">
        <f t="shared" si="56"/>
        <v/>
      </c>
      <c r="AH185" s="5" t="str">
        <f>IF(AG185="","",VLOOKUP($Y185,Nutrition_tables!$A:$N,10,FALSE))</f>
        <v/>
      </c>
      <c r="AI185" s="5" t="str">
        <f t="shared" si="54"/>
        <v/>
      </c>
    </row>
    <row r="186" spans="2:35" ht="16">
      <c r="B186" s="1" t="s">
        <v>2316</v>
      </c>
      <c r="C186" s="1" t="s">
        <v>469</v>
      </c>
      <c r="E186" s="678" t="str">
        <f>IF(G186="","",_xlfn.IFNA(VLOOKUP($H186,Ingredient_prices!$B:$C,2,FALSE),""))</f>
        <v>Whole milk powder</v>
      </c>
      <c r="F186" s="1199" t="str">
        <f t="shared" si="59"/>
        <v>ПАРТИЈА 2</v>
      </c>
      <c r="G186" s="82">
        <v>156</v>
      </c>
      <c r="H186" s="1" t="s">
        <v>968</v>
      </c>
      <c r="I186" s="289"/>
      <c r="J186" s="289">
        <v>1000</v>
      </c>
      <c r="K186" s="82" t="s">
        <v>2328</v>
      </c>
      <c r="L186" s="82">
        <v>10</v>
      </c>
      <c r="N186" s="1385">
        <v>437.5</v>
      </c>
      <c r="O186" s="1383">
        <f t="shared" si="57"/>
        <v>20</v>
      </c>
      <c r="P186" s="1382">
        <f t="shared" si="49"/>
        <v>525</v>
      </c>
      <c r="Q186" s="1383">
        <f t="shared" si="50"/>
        <v>4375</v>
      </c>
      <c r="R186" s="1383">
        <f t="shared" si="51"/>
        <v>5250</v>
      </c>
      <c r="T186" s="101">
        <f>IF(O186="","",IF('Charts and graphs'!$C$6="Conventional",IF(N186&gt;0,1000*P186/J186,""),IF(VLOOKUP($E186,$Y:$AE,7,FALSE)=0,IF(N186&gt;0,1000*P186/J186,""),VLOOKUP($E186,$Y:$AE,7,FALSE))))</f>
        <v>525</v>
      </c>
      <c r="U186" s="101">
        <f t="shared" si="52"/>
        <v>525</v>
      </c>
      <c r="V186" s="101">
        <f t="shared" si="55"/>
        <v>525</v>
      </c>
      <c r="Y186" s="1" t="s">
        <v>3226</v>
      </c>
      <c r="Z186" s="1">
        <v>20</v>
      </c>
      <c r="AA186" s="749" t="s">
        <v>2382</v>
      </c>
      <c r="AG186" s="5" t="str">
        <f t="shared" si="56"/>
        <v/>
      </c>
      <c r="AH186" s="5" t="str">
        <f>IF(AG186="","",VLOOKUP($Y186,Nutrition_tables!$A:$N,10,FALSE))</f>
        <v/>
      </c>
      <c r="AI186" s="5" t="str">
        <f t="shared" si="54"/>
        <v/>
      </c>
    </row>
    <row r="187" spans="2:35" ht="16">
      <c r="B187" s="1" t="s">
        <v>2319</v>
      </c>
      <c r="C187" s="1" t="s">
        <v>3104</v>
      </c>
      <c r="E187" s="678" t="str">
        <f>IF(G187="","",_xlfn.IFNA(VLOOKUP($H187,Ingredient_prices!$B:$C,2,FALSE),""))</f>
        <v>Parsley leaf, fresh</v>
      </c>
      <c r="F187" s="1199" t="str">
        <f t="shared" si="59"/>
        <v>ПАРТИЈА 2</v>
      </c>
      <c r="G187" s="82">
        <v>157</v>
      </c>
      <c r="H187" s="82" t="s">
        <v>928</v>
      </c>
      <c r="I187" s="289"/>
      <c r="J187" s="289">
        <v>1000</v>
      </c>
      <c r="K187" s="82" t="s">
        <v>2328</v>
      </c>
      <c r="L187" s="82">
        <v>10</v>
      </c>
      <c r="N187" s="1385">
        <v>3000</v>
      </c>
      <c r="O187" s="1383">
        <f t="shared" si="57"/>
        <v>10</v>
      </c>
      <c r="P187" s="1382">
        <f t="shared" si="49"/>
        <v>3300</v>
      </c>
      <c r="Q187" s="1383">
        <f t="shared" si="50"/>
        <v>30000</v>
      </c>
      <c r="R187" s="1383">
        <f t="shared" si="51"/>
        <v>33000</v>
      </c>
      <c r="T187" s="101">
        <f>IF(O187="","",IF('Charts and graphs'!$C$6="Conventional",IF(N187&gt;0,1000*P187/J187,""),IF(VLOOKUP($E187,$Y:$AE,7,FALSE)=0,IF(N187&gt;0,1000*P187/J187,""),VLOOKUP($E187,$Y:$AE,7,FALSE))))</f>
        <v>3300</v>
      </c>
      <c r="U187" s="101">
        <f t="shared" si="52"/>
        <v>3300</v>
      </c>
      <c r="V187" s="101">
        <f t="shared" si="55"/>
        <v>3300</v>
      </c>
      <c r="Y187" s="1" t="s">
        <v>3227</v>
      </c>
      <c r="Z187" s="1">
        <v>20</v>
      </c>
      <c r="AA187" s="749" t="s">
        <v>2382</v>
      </c>
      <c r="AG187" s="5">
        <f t="shared" si="56"/>
        <v>309</v>
      </c>
      <c r="AH187" s="5">
        <f>IF(AG187="","",VLOOKUP($Y187,Nutrition_tables!$A:$N,10,FALSE))</f>
        <v>183</v>
      </c>
      <c r="AI187" s="5">
        <f t="shared" si="54"/>
        <v>0.16885245901639345</v>
      </c>
    </row>
    <row r="188" spans="2:35" ht="16">
      <c r="B188" s="1" t="s">
        <v>2314</v>
      </c>
      <c r="C188" s="1" t="s">
        <v>3105</v>
      </c>
      <c r="E188" s="678" t="str">
        <f>IF(G188="","",_xlfn.IFNA(VLOOKUP($H188,Ingredient_prices!$B:$C,2,FALSE),""))</f>
        <v>Beetroot fresh</v>
      </c>
      <c r="F188" s="1199" t="str">
        <f t="shared" si="59"/>
        <v>ПАРТИЈА 2</v>
      </c>
      <c r="G188" s="82">
        <v>158</v>
      </c>
      <c r="H188" s="82" t="s">
        <v>2993</v>
      </c>
      <c r="I188" s="289"/>
      <c r="J188" s="289">
        <v>1000</v>
      </c>
      <c r="K188" s="82" t="s">
        <v>2328</v>
      </c>
      <c r="L188" s="82">
        <v>10</v>
      </c>
      <c r="N188" s="1385">
        <v>60</v>
      </c>
      <c r="O188" s="1383">
        <f t="shared" si="57"/>
        <v>10</v>
      </c>
      <c r="P188" s="1382">
        <f t="shared" si="49"/>
        <v>66</v>
      </c>
      <c r="Q188" s="1383">
        <f t="shared" si="50"/>
        <v>600</v>
      </c>
      <c r="R188" s="1383">
        <f t="shared" si="51"/>
        <v>660</v>
      </c>
      <c r="T188" s="101">
        <f>IF(O188="","",IF('Charts and graphs'!$C$6="Conventional",IF(N188&gt;0,1000*P188/J188,""),IF(VLOOKUP($E188,$Y:$AE,7,FALSE)=0,IF(N188&gt;0,1000*P188/J188,""),VLOOKUP($E188,$Y:$AE,7,FALSE))))</f>
        <v>66</v>
      </c>
      <c r="U188" s="101">
        <f t="shared" si="52"/>
        <v>66</v>
      </c>
      <c r="V188" s="101">
        <f t="shared" si="55"/>
        <v>66</v>
      </c>
      <c r="Y188" s="1" t="s">
        <v>3228</v>
      </c>
      <c r="Z188" s="1">
        <v>20</v>
      </c>
      <c r="AA188" s="749" t="s">
        <v>2382</v>
      </c>
      <c r="AG188" s="5">
        <f t="shared" si="56"/>
        <v>187.2</v>
      </c>
      <c r="AH188" s="5">
        <f>IF(AG188="","",VLOOKUP($Y188,Nutrition_tables!$A:$N,10,FALSE))</f>
        <v>183</v>
      </c>
      <c r="AI188" s="5">
        <f t="shared" si="54"/>
        <v>0.10229508196721311</v>
      </c>
    </row>
    <row r="189" spans="2:35" ht="16">
      <c r="B189" s="1" t="s">
        <v>2320</v>
      </c>
      <c r="C189" s="1" t="s">
        <v>3110</v>
      </c>
      <c r="E189" s="678" t="str">
        <f>IF(G189="","",_xlfn.IFNA(VLOOKUP($H189,Ingredient_prices!$B:$C,2,FALSE),""))</f>
        <v>Hake breaded (fillets)</v>
      </c>
      <c r="F189" s="1199" t="str">
        <f t="shared" si="59"/>
        <v>ПАРТИЈА 2</v>
      </c>
      <c r="G189" s="82">
        <v>159</v>
      </c>
      <c r="H189" s="82" t="s">
        <v>2041</v>
      </c>
      <c r="I189" s="289"/>
      <c r="J189" s="289">
        <v>1000</v>
      </c>
      <c r="K189" s="82" t="s">
        <v>2328</v>
      </c>
      <c r="L189" s="82">
        <v>10</v>
      </c>
      <c r="N189" s="1385">
        <v>499</v>
      </c>
      <c r="O189" s="1383">
        <f t="shared" si="57"/>
        <v>20</v>
      </c>
      <c r="P189" s="1382">
        <f t="shared" si="49"/>
        <v>598.79999999999995</v>
      </c>
      <c r="Q189" s="1383">
        <f t="shared" si="50"/>
        <v>4990</v>
      </c>
      <c r="R189" s="1383">
        <f t="shared" si="51"/>
        <v>5988</v>
      </c>
      <c r="T189" s="101">
        <f>IF(O189="","",IF('Charts and graphs'!$C$6="Conventional",IF(N189&gt;0,1000*P189/J189,""),IF(VLOOKUP($E189,$Y:$AE,7,FALSE)=0,IF(N189&gt;0,1000*P189/J189,""),VLOOKUP($E189,$Y:$AE,7,FALSE))))</f>
        <v>598.79999999999995</v>
      </c>
      <c r="U189" s="101">
        <f t="shared" si="52"/>
        <v>598.79999999999995</v>
      </c>
      <c r="V189" s="101">
        <f t="shared" si="55"/>
        <v>598.79999999999995</v>
      </c>
      <c r="Y189" s="1" t="s">
        <v>3460</v>
      </c>
      <c r="Z189" s="1">
        <v>20</v>
      </c>
      <c r="AA189" s="749" t="s">
        <v>2382</v>
      </c>
      <c r="AG189" s="5">
        <f t="shared" si="56"/>
        <v>570</v>
      </c>
      <c r="AH189" s="5">
        <f>IF(AG189="","",VLOOKUP($Y189,Nutrition_tables!$A:$N,10,FALSE))</f>
        <v>296</v>
      </c>
      <c r="AI189" s="5">
        <f t="shared" si="54"/>
        <v>0.19256756756756757</v>
      </c>
    </row>
    <row r="190" spans="2:35" ht="16">
      <c r="B190" s="749" t="s">
        <v>2123</v>
      </c>
      <c r="C190" s="1" t="s">
        <v>3116</v>
      </c>
      <c r="E190" s="678" t="str">
        <f>IF(G190="","",_xlfn.IFNA(VLOOKUP($H190,Ingredient_prices!$B:$C,2,FALSE),""))</f>
        <v>Whey powder</v>
      </c>
      <c r="F190" s="1199" t="str">
        <f t="shared" si="59"/>
        <v>ПАРТИЈА 2</v>
      </c>
      <c r="G190" s="82">
        <v>160</v>
      </c>
      <c r="H190" s="82" t="s">
        <v>2611</v>
      </c>
      <c r="I190" s="289"/>
      <c r="J190" s="289">
        <v>1000</v>
      </c>
      <c r="K190" s="82" t="s">
        <v>2328</v>
      </c>
      <c r="L190" s="82">
        <v>10</v>
      </c>
      <c r="N190" s="1385">
        <v>320</v>
      </c>
      <c r="O190" s="1383">
        <f t="shared" si="57"/>
        <v>20</v>
      </c>
      <c r="P190" s="1382">
        <f t="shared" si="49"/>
        <v>384</v>
      </c>
      <c r="Q190" s="1383">
        <f t="shared" si="50"/>
        <v>3200</v>
      </c>
      <c r="R190" s="1383">
        <f t="shared" si="51"/>
        <v>3840</v>
      </c>
      <c r="T190" s="101">
        <f>IF(O190="","",IF('Charts and graphs'!$C$6="Conventional",IF(N190&gt;0,1000*P190/J190,""),IF(VLOOKUP($E190,$Y:$AE,7,FALSE)=0,IF(N190&gt;0,1000*P190/J190,""),VLOOKUP($E190,$Y:$AE,7,FALSE))))</f>
        <v>384</v>
      </c>
      <c r="U190" s="101">
        <f t="shared" si="52"/>
        <v>384</v>
      </c>
      <c r="V190" s="101">
        <f t="shared" si="55"/>
        <v>384</v>
      </c>
      <c r="Y190" s="1" t="s">
        <v>3225</v>
      </c>
      <c r="Z190" s="1">
        <v>20</v>
      </c>
      <c r="AA190" s="749" t="s">
        <v>2382</v>
      </c>
      <c r="AG190" s="5" t="str">
        <f t="shared" si="56"/>
        <v/>
      </c>
      <c r="AH190" s="5" t="str">
        <f>IF(AG190="","",VLOOKUP($Y190,Nutrition_tables!$A:$N,10,FALSE))</f>
        <v/>
      </c>
      <c r="AI190" s="5" t="str">
        <f t="shared" si="54"/>
        <v/>
      </c>
    </row>
    <row r="191" spans="2:35" ht="16">
      <c r="B191" s="749" t="s">
        <v>2121</v>
      </c>
      <c r="C191" s="1" t="s">
        <v>3131</v>
      </c>
      <c r="E191" s="678" t="str">
        <f>IF(G191="","",_xlfn.IFNA(VLOOKUP($H191,Ingredient_prices!$B:$C,2,FALSE),""))</f>
        <v>Mixed salad, canned</v>
      </c>
      <c r="F191" s="1199" t="str">
        <f t="shared" si="59"/>
        <v>ПАРТИЈА 2</v>
      </c>
      <c r="G191" s="82">
        <v>161</v>
      </c>
      <c r="H191" s="1401" t="s">
        <v>1292</v>
      </c>
      <c r="I191" s="289"/>
      <c r="J191" s="289">
        <v>1000</v>
      </c>
      <c r="K191" s="82" t="s">
        <v>2328</v>
      </c>
      <c r="L191" s="82">
        <v>10</v>
      </c>
      <c r="N191" s="1385">
        <v>177.1</v>
      </c>
      <c r="O191" s="1383">
        <f t="shared" si="57"/>
        <v>20</v>
      </c>
      <c r="P191" s="1382">
        <f t="shared" si="49"/>
        <v>212.51999999999998</v>
      </c>
      <c r="Q191" s="1383">
        <f t="shared" si="50"/>
        <v>1771</v>
      </c>
      <c r="R191" s="1383">
        <f t="shared" si="51"/>
        <v>2125.1999999999998</v>
      </c>
      <c r="T191" s="101">
        <f>IF(O191="","",IF('Charts and graphs'!$C$6="Conventional",IF(N191&gt;0,1000*P191/J191,""),IF(VLOOKUP($E191,$Y:$AE,7,FALSE)=0,IF(N191&gt;0,1000*P191/J191,""),VLOOKUP($E191,$Y:$AE,7,FALSE))))</f>
        <v>212.51999999999998</v>
      </c>
      <c r="U191" s="101">
        <f t="shared" si="52"/>
        <v>212.51999999999998</v>
      </c>
      <c r="V191" s="101">
        <f t="shared" si="55"/>
        <v>212.51999999999998</v>
      </c>
      <c r="Y191" s="1" t="s">
        <v>3217</v>
      </c>
      <c r="Z191" s="1">
        <v>20</v>
      </c>
      <c r="AA191" s="749" t="s">
        <v>2382</v>
      </c>
      <c r="AG191" s="5">
        <f t="shared" si="56"/>
        <v>1146.4000000000001</v>
      </c>
      <c r="AH191" s="5">
        <f>IF(AG191="","",VLOOKUP($Y191,Nutrition_tables!$A:$N,10,FALSE))</f>
        <v>236.90357023690362</v>
      </c>
      <c r="AI191" s="5">
        <f t="shared" si="54"/>
        <v>0.48390997183098583</v>
      </c>
    </row>
    <row r="192" spans="2:35" ht="16">
      <c r="B192" s="1" t="s">
        <v>2367</v>
      </c>
      <c r="C192" s="1" t="s">
        <v>3131</v>
      </c>
      <c r="E192" s="678" t="str">
        <f>IF(G192="","",_xlfn.IFNA(VLOOKUP($H192,Ingredient_prices!$B:$C,2,FALSE),""))</f>
        <v>Oats</v>
      </c>
      <c r="F192" s="1199" t="str">
        <f t="shared" si="59"/>
        <v>ПАРТИЈА 2</v>
      </c>
      <c r="G192" s="82">
        <v>162</v>
      </c>
      <c r="H192" s="1194" t="s">
        <v>1516</v>
      </c>
      <c r="I192" s="289"/>
      <c r="J192" s="289">
        <v>1000</v>
      </c>
      <c r="K192" s="82" t="s">
        <v>2328</v>
      </c>
      <c r="L192" s="82">
        <v>10</v>
      </c>
      <c r="N192" s="1385">
        <v>272.7</v>
      </c>
      <c r="O192" s="1383">
        <f t="shared" si="57"/>
        <v>10</v>
      </c>
      <c r="P192" s="1382">
        <f t="shared" si="49"/>
        <v>299.96999999999997</v>
      </c>
      <c r="Q192" s="1383">
        <f t="shared" si="50"/>
        <v>2727</v>
      </c>
      <c r="R192" s="1383">
        <f t="shared" si="51"/>
        <v>2999.7</v>
      </c>
      <c r="T192" s="101">
        <f>IF(O192="","",IF('Charts and graphs'!$C$6="Conventional",IF(N192&gt;0,1000*P192/J192,""),IF(VLOOKUP($E192,$Y:$AE,7,FALSE)=0,IF(N192&gt;0,1000*P192/J192,""),VLOOKUP($E192,$Y:$AE,7,FALSE))))</f>
        <v>299.96999999999991</v>
      </c>
      <c r="U192" s="101">
        <f t="shared" si="52"/>
        <v>299.96999999999991</v>
      </c>
      <c r="V192" s="101">
        <f t="shared" si="55"/>
        <v>299.96999999999991</v>
      </c>
      <c r="Y192" s="749" t="s">
        <v>3229</v>
      </c>
      <c r="Z192" s="1">
        <v>20</v>
      </c>
      <c r="AA192" s="749" t="s">
        <v>2382</v>
      </c>
      <c r="AG192" s="5" t="str">
        <f t="shared" si="56"/>
        <v/>
      </c>
      <c r="AH192" s="5" t="str">
        <f>IF(AG192="","",VLOOKUP($Y192,Nutrition_tables!$A:$N,10,FALSE))</f>
        <v/>
      </c>
      <c r="AI192" s="5" t="str">
        <f t="shared" si="54"/>
        <v/>
      </c>
    </row>
    <row r="193" spans="2:42" ht="16">
      <c r="B193" s="1" t="s">
        <v>2318</v>
      </c>
      <c r="C193" s="1" t="s">
        <v>3131</v>
      </c>
      <c r="E193" s="678" t="str">
        <f>IF(G193="","",_xlfn.IFNA(VLOOKUP($H193,Ingredient_prices!$B:$C,2,FALSE),""))</f>
        <v>Instant mashed potatoes</v>
      </c>
      <c r="F193" s="1199" t="str">
        <f t="shared" si="59"/>
        <v>ПАРТИЈА 2</v>
      </c>
      <c r="G193" s="82">
        <v>163</v>
      </c>
      <c r="H193" s="1" t="s">
        <v>1349</v>
      </c>
      <c r="I193" s="289"/>
      <c r="J193" s="289">
        <v>120</v>
      </c>
      <c r="K193" s="82" t="s">
        <v>2328</v>
      </c>
      <c r="L193" s="82">
        <v>10</v>
      </c>
      <c r="N193" s="1385">
        <v>66.67</v>
      </c>
      <c r="O193" s="1383">
        <f t="shared" si="57"/>
        <v>20</v>
      </c>
      <c r="P193" s="1382">
        <f t="shared" si="49"/>
        <v>80.004000000000005</v>
      </c>
      <c r="Q193" s="1383">
        <f t="shared" si="50"/>
        <v>666.7</v>
      </c>
      <c r="R193" s="1383">
        <f t="shared" si="51"/>
        <v>800.04000000000008</v>
      </c>
      <c r="T193" s="101">
        <f>IF(O193="","",IF('Charts and graphs'!$C$6="Conventional",IF(N193&gt;0,1000*P193/J193,""),IF(VLOOKUP($E193,$Y:$AE,7,FALSE)=0,IF(N193&gt;0,1000*P193/J193,""),VLOOKUP($E193,$Y:$AE,7,FALSE))))</f>
        <v>666.7</v>
      </c>
      <c r="U193" s="101">
        <f t="shared" si="52"/>
        <v>666.7</v>
      </c>
      <c r="V193" s="101">
        <f t="shared" si="55"/>
        <v>666.7</v>
      </c>
      <c r="Y193" s="749" t="s">
        <v>3230</v>
      </c>
      <c r="Z193" s="1">
        <v>20</v>
      </c>
      <c r="AA193" s="749" t="s">
        <v>2382</v>
      </c>
      <c r="AG193" s="5">
        <f t="shared" si="56"/>
        <v>375</v>
      </c>
      <c r="AH193" s="5">
        <f>IF(AG193="","",VLOOKUP($Y193,Nutrition_tables!$A:$N,10,FALSE))</f>
        <v>296.60000000000002</v>
      </c>
      <c r="AI193" s="5">
        <f t="shared" si="54"/>
        <v>0.12643290627107215</v>
      </c>
    </row>
    <row r="194" spans="2:42" ht="16">
      <c r="B194" s="1" t="s">
        <v>2315</v>
      </c>
      <c r="C194" s="1" t="s">
        <v>3138</v>
      </c>
      <c r="E194" s="678" t="str">
        <f>IF(G194="","",_xlfn.IFNA(VLOOKUP($H194,Ingredient_prices!$B:$C,2,FALSE),""))</f>
        <v>Wheat flour wholemeal</v>
      </c>
      <c r="F194" s="1199" t="str">
        <f t="shared" si="59"/>
        <v>ПАРТИЈА 2</v>
      </c>
      <c r="G194" s="82">
        <v>164</v>
      </c>
      <c r="H194" s="1" t="s">
        <v>1606</v>
      </c>
      <c r="I194" s="289"/>
      <c r="J194" s="289">
        <v>1000</v>
      </c>
      <c r="K194" s="82" t="s">
        <v>2328</v>
      </c>
      <c r="L194" s="82">
        <v>10</v>
      </c>
      <c r="N194" s="1385">
        <v>60.6</v>
      </c>
      <c r="O194" s="1383">
        <f t="shared" si="57"/>
        <v>10</v>
      </c>
      <c r="P194" s="1382">
        <f t="shared" si="49"/>
        <v>66.66</v>
      </c>
      <c r="Q194" s="1383">
        <f t="shared" si="50"/>
        <v>606</v>
      </c>
      <c r="R194" s="1383">
        <f t="shared" si="51"/>
        <v>666.59999999999991</v>
      </c>
      <c r="T194" s="101">
        <f>IF(O194="","",IF('Charts and graphs'!$C$6="Conventional",IF(N194&gt;0,1000*P194/J194,""),IF(VLOOKUP($E194,$Y:$AE,7,FALSE)=0,IF(N194&gt;0,1000*P194/J194,""),VLOOKUP($E194,$Y:$AE,7,FALSE))))</f>
        <v>66.66</v>
      </c>
      <c r="U194" s="101">
        <f t="shared" si="52"/>
        <v>66.66</v>
      </c>
      <c r="V194" s="101">
        <f t="shared" si="55"/>
        <v>66.66</v>
      </c>
      <c r="Y194" s="1" t="s">
        <v>3232</v>
      </c>
      <c r="Z194" s="1">
        <v>20</v>
      </c>
      <c r="AA194" s="749" t="s">
        <v>2382</v>
      </c>
      <c r="AG194" s="5" t="str">
        <f t="shared" si="56"/>
        <v/>
      </c>
      <c r="AH194" s="5" t="str">
        <f>IF(AG194="","",VLOOKUP($Y194,Nutrition_tables!$A:$N,10,FALSE))</f>
        <v/>
      </c>
      <c r="AI194" s="5" t="str">
        <f t="shared" si="54"/>
        <v/>
      </c>
    </row>
    <row r="195" spans="2:42" ht="16">
      <c r="B195" s="1" t="s">
        <v>1602</v>
      </c>
      <c r="C195" s="1" t="s">
        <v>3117</v>
      </c>
      <c r="E195" s="678" t="str">
        <f>IF(G195="","",_xlfn.IFNA(VLOOKUP($H195,Ingredient_prices!$B:$C,2,FALSE),""))</f>
        <v>Peppers red, sweet</v>
      </c>
      <c r="F195" s="1199" t="str">
        <f t="shared" si="59"/>
        <v>ПАРТИЈА 2</v>
      </c>
      <c r="G195" s="82">
        <v>165</v>
      </c>
      <c r="H195" s="82" t="s">
        <v>2847</v>
      </c>
      <c r="I195" s="289"/>
      <c r="J195" s="289">
        <v>1000</v>
      </c>
      <c r="K195" s="82" t="s">
        <v>2328</v>
      </c>
      <c r="L195" s="82">
        <v>10</v>
      </c>
      <c r="M195" s="330"/>
      <c r="N195" s="1385">
        <v>100</v>
      </c>
      <c r="O195" s="1383">
        <f t="shared" si="57"/>
        <v>10</v>
      </c>
      <c r="P195" s="1382">
        <f t="shared" si="49"/>
        <v>110</v>
      </c>
      <c r="Q195" s="1383">
        <f t="shared" si="50"/>
        <v>1000</v>
      </c>
      <c r="R195" s="1383">
        <f t="shared" si="51"/>
        <v>1100</v>
      </c>
      <c r="T195" s="101">
        <f>IF(O195="","",IF('Charts and graphs'!$C$6="Conventional",IF(N195&gt;0,1000*P195/J195,""),IF(VLOOKUP($E195,$Y:$AE,7,FALSE)=0,IF(N195&gt;0,1000*P195/J195,""),VLOOKUP($E195,$Y:$AE,7,FALSE))))</f>
        <v>175</v>
      </c>
      <c r="U195" s="101">
        <f t="shared" si="52"/>
        <v>110</v>
      </c>
      <c r="V195" s="101">
        <f t="shared" si="55"/>
        <v>175</v>
      </c>
      <c r="Y195" s="749" t="s">
        <v>3231</v>
      </c>
      <c r="Z195" s="1">
        <v>20</v>
      </c>
      <c r="AA195" s="749" t="s">
        <v>2382</v>
      </c>
      <c r="AG195" s="5">
        <f t="shared" si="56"/>
        <v>1044</v>
      </c>
      <c r="AH195" s="5">
        <f>IF(AG195="","",VLOOKUP($Y195,Nutrition_tables!$A:$N,10,FALSE))</f>
        <v>426</v>
      </c>
      <c r="AI195" s="5">
        <f t="shared" si="54"/>
        <v>0.24507042253521127</v>
      </c>
    </row>
    <row r="196" spans="2:42" ht="16">
      <c r="B196" s="1" t="s">
        <v>935</v>
      </c>
      <c r="C196" s="1" t="s">
        <v>3431</v>
      </c>
      <c r="E196" s="678" t="str">
        <f>IF(G196="","",_xlfn.IFNA(VLOOKUP($H196,Ingredient_prices!$B:$C,2,FALSE),""))</f>
        <v>Peppers pickled</v>
      </c>
      <c r="F196" s="1199" t="str">
        <f t="shared" si="59"/>
        <v>ПАРТИЈА 2</v>
      </c>
      <c r="G196" s="82">
        <v>166</v>
      </c>
      <c r="H196" s="82" t="s">
        <v>923</v>
      </c>
      <c r="I196" s="289"/>
      <c r="J196" s="289">
        <v>1000</v>
      </c>
      <c r="K196" s="82" t="s">
        <v>2328</v>
      </c>
      <c r="L196" s="82">
        <v>10</v>
      </c>
      <c r="M196" s="330"/>
      <c r="N196" s="1385">
        <v>357.1</v>
      </c>
      <c r="O196" s="1383">
        <v>0</v>
      </c>
      <c r="P196" s="1382">
        <f t="shared" ref="P196:P257" si="60">IF(O196="","",N196+(O196*N196/100))</f>
        <v>357.1</v>
      </c>
      <c r="Q196" s="1383">
        <f t="shared" ref="Q196:Q257" si="61">IF(O196="","",N196*L196)</f>
        <v>3571</v>
      </c>
      <c r="R196" s="1383">
        <f t="shared" ref="R196:R257" si="62">IF(O196="","",P196*L196)</f>
        <v>3571</v>
      </c>
      <c r="T196" s="101">
        <f>IF(O196="","",IF('Charts and graphs'!$C$6="Conventional",IF(N196&gt;0,1000*P196/J196,""),IF(VLOOKUP($E196,$Y:$AE,7,FALSE)=0,IF(N196&gt;0,1000*P196/J196,""),VLOOKUP($E196,$Y:$AE,7,FALSE))))</f>
        <v>357.1</v>
      </c>
      <c r="U196" s="101">
        <f t="shared" ref="U196:U259" si="63">IF(O196="","",IF(N196&gt;0,1000*P196/J196,""))</f>
        <v>357.1</v>
      </c>
      <c r="V196" s="101">
        <f t="shared" si="55"/>
        <v>357.1</v>
      </c>
      <c r="Y196" s="1" t="s">
        <v>3233</v>
      </c>
      <c r="Z196" s="1">
        <v>20</v>
      </c>
      <c r="AA196" s="749" t="s">
        <v>2382</v>
      </c>
      <c r="AG196" s="5">
        <f t="shared" si="56"/>
        <v>638.4</v>
      </c>
      <c r="AH196" s="5">
        <f>IF(AG196="","",VLOOKUP($Y196,Nutrition_tables!$A:$N,10,FALSE))</f>
        <v>252</v>
      </c>
      <c r="AI196" s="5">
        <f t="shared" ref="AI196:AI265" si="64">IF(AG196="","",AG196/(AH196*10))</f>
        <v>0.2533333333333333</v>
      </c>
    </row>
    <row r="197" spans="2:42" ht="16">
      <c r="B197" s="1" t="s">
        <v>1387</v>
      </c>
      <c r="C197" s="1" t="s">
        <v>3431</v>
      </c>
      <c r="E197" s="678" t="str">
        <f>IF(G197="","",_xlfn.IFNA(VLOOKUP($H197,Ingredient_prices!$B:$C,2,FALSE),""))</f>
        <v>Mixed salad pickled</v>
      </c>
      <c r="F197" s="1199" t="str">
        <f t="shared" si="59"/>
        <v>ПАРТИЈА 2</v>
      </c>
      <c r="G197" s="82">
        <v>167</v>
      </c>
      <c r="H197" s="82" t="s">
        <v>1501</v>
      </c>
      <c r="I197" s="289"/>
      <c r="J197" s="289">
        <v>1000</v>
      </c>
      <c r="K197" s="82" t="s">
        <v>2328</v>
      </c>
      <c r="L197" s="82">
        <v>10</v>
      </c>
      <c r="M197" s="330"/>
      <c r="N197" s="1385">
        <v>172.6</v>
      </c>
      <c r="O197" s="1383">
        <f>IF($E197="","",VLOOKUP($E197,$Y:$AE,2,FALSE))</f>
        <v>20</v>
      </c>
      <c r="P197" s="1382">
        <f t="shared" si="60"/>
        <v>207.12</v>
      </c>
      <c r="Q197" s="1383">
        <f t="shared" si="61"/>
        <v>1726</v>
      </c>
      <c r="R197" s="1383">
        <f t="shared" si="62"/>
        <v>2071.1999999999998</v>
      </c>
      <c r="T197" s="101">
        <f>IF(O197="","",IF('Charts and graphs'!$C$6="Conventional",IF(N197&gt;0,1000*P197/J197,""),IF(VLOOKUP($E197,$Y:$AE,7,FALSE)=0,IF(N197&gt;0,1000*P197/J197,""),VLOOKUP($E197,$Y:$AE,7,FALSE))))</f>
        <v>207.12</v>
      </c>
      <c r="U197" s="101">
        <f t="shared" si="63"/>
        <v>207.12</v>
      </c>
      <c r="V197" s="101">
        <f t="shared" si="55"/>
        <v>207.12</v>
      </c>
      <c r="Y197" s="1" t="s">
        <v>3234</v>
      </c>
      <c r="Z197" s="1">
        <v>20</v>
      </c>
      <c r="AA197" s="749" t="s">
        <v>2382</v>
      </c>
      <c r="AG197" s="5">
        <f t="shared" si="56"/>
        <v>942.85714285714289</v>
      </c>
      <c r="AH197" s="5">
        <f>IF(AG197="","",VLOOKUP($Y197,Nutrition_tables!$A:$N,10,FALSE))</f>
        <v>279</v>
      </c>
      <c r="AI197" s="5">
        <f t="shared" si="64"/>
        <v>0.33794162826420893</v>
      </c>
    </row>
    <row r="198" spans="2:42" ht="16">
      <c r="B198" s="1" t="s">
        <v>1512</v>
      </c>
      <c r="C198" s="1" t="s">
        <v>3431</v>
      </c>
      <c r="E198" s="678" t="str">
        <f>IF(G198="","",_xlfn.IFNA(VLOOKUP($H198,Ingredient_prices!$B:$C,2,FALSE),""))</f>
        <v>Olives pasteurized</v>
      </c>
      <c r="F198" s="1199" t="str">
        <f t="shared" si="59"/>
        <v>ПАРТИЈА 2</v>
      </c>
      <c r="G198" s="82">
        <v>168</v>
      </c>
      <c r="H198" s="1" t="s">
        <v>1513</v>
      </c>
      <c r="I198" s="289"/>
      <c r="J198" s="289">
        <v>1000</v>
      </c>
      <c r="K198" s="82" t="s">
        <v>2328</v>
      </c>
      <c r="L198" s="82">
        <v>10</v>
      </c>
      <c r="M198" s="330"/>
      <c r="N198" s="1385">
        <v>500</v>
      </c>
      <c r="O198" s="1383">
        <f>IF($E198="","",VLOOKUP($E198,$Y:$AE,2,FALSE))</f>
        <v>20</v>
      </c>
      <c r="P198" s="1382">
        <f t="shared" si="60"/>
        <v>600</v>
      </c>
      <c r="Q198" s="1383">
        <f t="shared" si="61"/>
        <v>5000</v>
      </c>
      <c r="R198" s="1383">
        <f t="shared" si="62"/>
        <v>6000</v>
      </c>
      <c r="T198" s="101">
        <f>IF(O198="","",IF('Charts and graphs'!$C$6="Conventional",IF(N198&gt;0,1000*P198/J198,""),IF(VLOOKUP($E198,$Y:$AE,7,FALSE)=0,IF(N198&gt;0,1000*P198/J198,""),VLOOKUP($E198,$Y:$AE,7,FALSE))))</f>
        <v>600</v>
      </c>
      <c r="U198" s="101">
        <f t="shared" si="63"/>
        <v>600</v>
      </c>
      <c r="V198" s="101">
        <f t="shared" ref="V198:V261" si="65">IF(O198="","",IF(VLOOKUP($E198,$Y:$AE,7,FALSE)=0,IF(N198&gt;0,1000*P198/J198,""),VLOOKUP($E198,$Y:$AE,7,FALSE)))</f>
        <v>600</v>
      </c>
      <c r="Y198" s="82" t="s">
        <v>1907</v>
      </c>
      <c r="Z198" s="1">
        <v>20</v>
      </c>
      <c r="AA198" s="749" t="s">
        <v>2382</v>
      </c>
      <c r="AG198" s="5" t="str">
        <f t="shared" si="56"/>
        <v/>
      </c>
      <c r="AH198" s="5" t="str">
        <f>IF(AG198="","",VLOOKUP($Y198,Nutrition_tables!$A:$N,10,FALSE))</f>
        <v/>
      </c>
      <c r="AI198" s="5" t="str">
        <f t="shared" si="64"/>
        <v/>
      </c>
    </row>
    <row r="199" spans="2:42" ht="16">
      <c r="B199" s="1" t="s">
        <v>1501</v>
      </c>
      <c r="C199" s="1264" t="s">
        <v>3097</v>
      </c>
      <c r="E199" s="678" t="str">
        <f>IF(G199="","",_xlfn.IFNA(VLOOKUP($H199,Ingredient_prices!$B:$C,2,FALSE),""))</f>
        <v>Pasta macaroni</v>
      </c>
      <c r="F199" s="1199" t="str">
        <f t="shared" si="59"/>
        <v>ПАРТИЈА 2</v>
      </c>
      <c r="G199" s="82">
        <v>169</v>
      </c>
      <c r="H199" s="82" t="s">
        <v>1556</v>
      </c>
      <c r="I199" s="289"/>
      <c r="J199" s="289">
        <v>1000</v>
      </c>
      <c r="K199" s="82" t="s">
        <v>2328</v>
      </c>
      <c r="L199" s="82">
        <v>10</v>
      </c>
      <c r="M199" s="330"/>
      <c r="N199" s="1385">
        <v>145</v>
      </c>
      <c r="O199" s="1383">
        <f>IF($E199="","",VLOOKUP($E199,$Y:$AE,2,FALSE))</f>
        <v>20</v>
      </c>
      <c r="P199" s="1382">
        <f t="shared" si="60"/>
        <v>174</v>
      </c>
      <c r="Q199" s="1383">
        <f t="shared" si="61"/>
        <v>1450</v>
      </c>
      <c r="R199" s="1383">
        <f t="shared" si="62"/>
        <v>1740</v>
      </c>
      <c r="T199" s="101">
        <f>IF(O199="","",IF('Charts and graphs'!$C$6="Conventional",IF(N199&gt;0,1000*P199/J199,""),IF(VLOOKUP($E199,$Y:$AE,7,FALSE)=0,IF(N199&gt;0,1000*P199/J199,""),VLOOKUP($E199,$Y:$AE,7,FALSE))))</f>
        <v>174</v>
      </c>
      <c r="U199" s="101">
        <f t="shared" si="63"/>
        <v>174</v>
      </c>
      <c r="V199" s="101">
        <f t="shared" si="65"/>
        <v>174</v>
      </c>
      <c r="X199" s="1210"/>
      <c r="Y199" s="53" t="s">
        <v>475</v>
      </c>
      <c r="Z199" s="53">
        <v>20</v>
      </c>
      <c r="AA199" s="491" t="s">
        <v>2382</v>
      </c>
      <c r="AB199" s="102"/>
      <c r="AC199" s="102"/>
      <c r="AD199" s="491"/>
      <c r="AE199" s="491"/>
      <c r="AF199" s="491"/>
      <c r="AG199" s="97" t="str">
        <f t="shared" si="56"/>
        <v/>
      </c>
      <c r="AH199" s="97" t="str">
        <f>IF(AG199="","",VLOOKUP($Y199,Nutrition_tables!$A:$N,10,FALSE))</f>
        <v/>
      </c>
      <c r="AI199" s="97" t="str">
        <f t="shared" ref="AI199" si="66">IF(AG199="","",AG199/(AH199*10))</f>
        <v/>
      </c>
      <c r="AJ199" s="491"/>
      <c r="AK199" s="491"/>
      <c r="AL199" s="491"/>
    </row>
    <row r="200" spans="2:42" ht="16">
      <c r="B200" s="1" t="s">
        <v>1459</v>
      </c>
      <c r="C200" s="1" t="s">
        <v>3138</v>
      </c>
      <c r="E200" s="678" t="str">
        <f>IF(G200="","",_xlfn.IFNA(VLOOKUP($H200,Ingredient_prices!$B:$C,2,FALSE),""))</f>
        <v>Swiss chard fresh</v>
      </c>
      <c r="F200" s="1199" t="str">
        <f>IF(H200="","",IF(OR(LEFT(B246,1)="П",LEFT(B246,1)="P"),B246,F199))</f>
        <v>ПАРТИЈА 2</v>
      </c>
      <c r="G200" s="82">
        <v>170</v>
      </c>
      <c r="H200" s="82" t="s">
        <v>814</v>
      </c>
      <c r="I200" s="289"/>
      <c r="J200" s="289">
        <v>250</v>
      </c>
      <c r="K200" s="82" t="s">
        <v>2328</v>
      </c>
      <c r="L200" s="82">
        <v>10</v>
      </c>
      <c r="M200" s="330"/>
      <c r="N200" s="1385">
        <v>60</v>
      </c>
      <c r="O200" s="1383">
        <f>IF($E200="","",VLOOKUP($E200,$Y:$AE,2,FALSE))</f>
        <v>10</v>
      </c>
      <c r="P200" s="1382">
        <f t="shared" si="60"/>
        <v>66</v>
      </c>
      <c r="Q200" s="1383">
        <f t="shared" si="61"/>
        <v>600</v>
      </c>
      <c r="R200" s="1383">
        <f t="shared" si="62"/>
        <v>660</v>
      </c>
      <c r="T200" s="101">
        <f>IF(O200="","",IF('Charts and graphs'!$C$6="Conventional",IF(N200&gt;0,1000*P200/J200,""),IF(VLOOKUP($E200,$Y:$AE,7,FALSE)=0,IF(N200&gt;0,1000*P200/J200,""),VLOOKUP($E200,$Y:$AE,7,FALSE))))</f>
        <v>240</v>
      </c>
      <c r="U200" s="101">
        <f t="shared" si="63"/>
        <v>264</v>
      </c>
      <c r="V200" s="101">
        <f t="shared" si="65"/>
        <v>240</v>
      </c>
      <c r="Y200" s="24" t="s">
        <v>3218</v>
      </c>
      <c r="Z200" s="24">
        <v>20</v>
      </c>
      <c r="AA200" s="492" t="s">
        <v>2382</v>
      </c>
      <c r="AG200" s="5">
        <f t="shared" si="56"/>
        <v>384</v>
      </c>
      <c r="AH200" s="5">
        <f>IF(AG200="","",VLOOKUP($Y200,Nutrition_tables!$A:$N,10,FALSE))</f>
        <v>343</v>
      </c>
      <c r="AI200" s="5">
        <f t="shared" si="64"/>
        <v>0.1119533527696793</v>
      </c>
    </row>
    <row r="201" spans="2:42" ht="16">
      <c r="B201" s="1" t="s">
        <v>816</v>
      </c>
      <c r="C201" s="1" t="s">
        <v>415</v>
      </c>
      <c r="E201" s="678" t="str">
        <f>IF(G201="","",_xlfn.IFNA(VLOOKUP($H201,Ingredient_prices!$B:$C,2,FALSE),""))</f>
        <v>Cheese, cow, low fat, mozzarella</v>
      </c>
      <c r="F201" s="1199" t="str">
        <f>IF(H201="","",IF(OR(LEFT(G201,1)="П",LEFT(G201,1)="P"),G201,F200))</f>
        <v>ПАРТИЈА 2</v>
      </c>
      <c r="G201" s="82">
        <v>171</v>
      </c>
      <c r="H201" s="82" t="s">
        <v>975</v>
      </c>
      <c r="I201" s="289"/>
      <c r="J201" s="289">
        <v>125</v>
      </c>
      <c r="K201" s="82" t="s">
        <v>2328</v>
      </c>
      <c r="L201" s="82">
        <v>10</v>
      </c>
      <c r="M201" s="330"/>
      <c r="N201" s="1385">
        <v>143.30000000000001</v>
      </c>
      <c r="O201" s="1383">
        <v>0</v>
      </c>
      <c r="P201" s="1382">
        <f t="shared" si="60"/>
        <v>143.30000000000001</v>
      </c>
      <c r="Q201" s="1383">
        <f t="shared" si="61"/>
        <v>1433</v>
      </c>
      <c r="R201" s="1383">
        <f t="shared" si="62"/>
        <v>1433</v>
      </c>
      <c r="T201" s="101">
        <f>IF(O201="","",IF('Charts and graphs'!$C$6="Conventional",IF(N201&gt;0,1000*P201/J201,""),IF(VLOOKUP($E201,$Y:$AE,7,FALSE)=0,IF(N201&gt;0,1000*P201/J201,""),VLOOKUP($E201,$Y:$AE,7,FALSE))))</f>
        <v>1146.4000000000001</v>
      </c>
      <c r="U201" s="101">
        <f t="shared" si="63"/>
        <v>1146.4000000000001</v>
      </c>
      <c r="V201" s="101">
        <f t="shared" si="65"/>
        <v>1146.4000000000001</v>
      </c>
      <c r="Y201" s="1" t="s">
        <v>3473</v>
      </c>
      <c r="Z201" s="1">
        <v>20</v>
      </c>
      <c r="AA201" s="749" t="s">
        <v>2383</v>
      </c>
      <c r="AG201" s="5" t="str">
        <f t="shared" si="56"/>
        <v/>
      </c>
      <c r="AH201" s="5" t="str">
        <f>IF(AG201="","",VLOOKUP($Y201,Nutrition_tables!$A:$N,10,FALSE))</f>
        <v/>
      </c>
      <c r="AI201" s="5" t="str">
        <f t="shared" si="64"/>
        <v/>
      </c>
    </row>
    <row r="202" spans="2:42" ht="16">
      <c r="B202" s="1" t="s">
        <v>2373</v>
      </c>
      <c r="C202" s="1" t="s">
        <v>3118</v>
      </c>
      <c r="E202" s="678" t="str">
        <f>IF(G202="","",_xlfn.IFNA(VLOOKUP($H202,Ingredient_prices!$B:$C,2,FALSE),""))</f>
        <v>Broccoli</v>
      </c>
      <c r="F202" s="1199" t="str">
        <f>IF(H202="","",IF(OR(LEFT(G202,1)="П",LEFT(G202,1)="P"),G202,F201))</f>
        <v>ПАРТИЈА 2</v>
      </c>
      <c r="G202" s="82">
        <v>172</v>
      </c>
      <c r="H202" s="82" t="s">
        <v>1590</v>
      </c>
      <c r="I202" s="289"/>
      <c r="J202" s="289">
        <v>1000</v>
      </c>
      <c r="K202" s="82" t="s">
        <v>2328</v>
      </c>
      <c r="L202" s="82">
        <v>10</v>
      </c>
      <c r="M202" s="330"/>
      <c r="N202" s="1385">
        <v>200</v>
      </c>
      <c r="O202" s="1383">
        <f t="shared" ref="O202:O214" si="67">IF($E202="","",VLOOKUP($E202,$Y:$AE,2,FALSE))</f>
        <v>10</v>
      </c>
      <c r="P202" s="1382">
        <f t="shared" si="60"/>
        <v>220</v>
      </c>
      <c r="Q202" s="1383">
        <f t="shared" si="61"/>
        <v>2000</v>
      </c>
      <c r="R202" s="1383">
        <f t="shared" si="62"/>
        <v>2200</v>
      </c>
      <c r="T202" s="101">
        <f>IF(O202="","",IF('Charts and graphs'!$C$6="Conventional",IF(N202&gt;0,1000*P202/J202,""),IF(VLOOKUP($E202,$Y:$AE,7,FALSE)=0,IF(N202&gt;0,1000*P202/J202,""),VLOOKUP($E202,$Y:$AE,7,FALSE))))</f>
        <v>400</v>
      </c>
      <c r="U202" s="101">
        <f t="shared" si="63"/>
        <v>220</v>
      </c>
      <c r="V202" s="101">
        <f t="shared" si="65"/>
        <v>400</v>
      </c>
      <c r="Y202" s="1" t="s">
        <v>3235</v>
      </c>
      <c r="Z202" s="1">
        <v>20</v>
      </c>
      <c r="AA202" s="749" t="s">
        <v>2383</v>
      </c>
      <c r="AG202" s="5" t="str">
        <f t="shared" si="56"/>
        <v/>
      </c>
      <c r="AH202" s="5" t="str">
        <f>IF(AG202="","",VLOOKUP($Y202,Nutrition_tables!$A:$N,10,FALSE))</f>
        <v/>
      </c>
      <c r="AI202" s="5" t="str">
        <f t="shared" si="64"/>
        <v/>
      </c>
    </row>
    <row r="203" spans="2:42" ht="16">
      <c r="B203" s="1" t="s">
        <v>936</v>
      </c>
      <c r="C203" s="1" t="s">
        <v>3139</v>
      </c>
      <c r="E203" s="678" t="str">
        <f>IF(G203="","",_xlfn.IFNA(VLOOKUP($H203,Ingredient_prices!$B:$C,2,FALSE),""))</f>
        <v>Chicken soup thick packet</v>
      </c>
      <c r="F203" s="1199" t="str">
        <f>IF(H203="","",IF(OR(LEFT(G203,1)="П",LEFT(G203,1)="P"),G203,F202))</f>
        <v>ПАРТИЈА 2</v>
      </c>
      <c r="G203" s="82">
        <v>174</v>
      </c>
      <c r="H203" s="82" t="s">
        <v>2606</v>
      </c>
      <c r="I203" s="289"/>
      <c r="J203" s="289">
        <v>45</v>
      </c>
      <c r="K203" s="82" t="s">
        <v>2328</v>
      </c>
      <c r="L203" s="82">
        <v>10</v>
      </c>
      <c r="M203" s="330"/>
      <c r="N203" s="1385">
        <v>45</v>
      </c>
      <c r="O203" s="1383">
        <f t="shared" si="67"/>
        <v>20</v>
      </c>
      <c r="P203" s="1382">
        <f t="shared" si="60"/>
        <v>54</v>
      </c>
      <c r="Q203" s="1383">
        <f t="shared" si="61"/>
        <v>450</v>
      </c>
      <c r="R203" s="1383">
        <f t="shared" si="62"/>
        <v>540</v>
      </c>
      <c r="T203" s="101">
        <f>IF(O203="","",IF('Charts and graphs'!$C$6="Conventional",IF(N203&gt;0,1000*P203/J203,""),IF(VLOOKUP($E203,$Y:$AE,7,FALSE)=0,IF(N203&gt;0,1000*P203/J203,""),VLOOKUP($E203,$Y:$AE,7,FALSE))))</f>
        <v>1200</v>
      </c>
      <c r="U203" s="101">
        <f t="shared" si="63"/>
        <v>1200</v>
      </c>
      <c r="V203" s="101">
        <f t="shared" si="65"/>
        <v>1200</v>
      </c>
      <c r="Y203" s="1" t="s">
        <v>3242</v>
      </c>
      <c r="Z203" s="1">
        <v>20</v>
      </c>
      <c r="AA203" s="749" t="s">
        <v>2383</v>
      </c>
      <c r="AG203" s="5">
        <f t="shared" si="56"/>
        <v>345.6</v>
      </c>
      <c r="AH203" s="5">
        <f>IF(AG203="","",VLOOKUP($Y203,Nutrition_tables!$A:$N,10,FALSE))</f>
        <v>547</v>
      </c>
      <c r="AI203" s="5">
        <f t="shared" si="64"/>
        <v>6.3180987202925046E-2</v>
      </c>
    </row>
    <row r="204" spans="2:42" ht="16">
      <c r="B204" s="24" t="s">
        <v>937</v>
      </c>
      <c r="C204" s="24" t="s">
        <v>3425</v>
      </c>
      <c r="E204" s="678" t="str">
        <f>IF(B207="","",_xlfn.IFNA(VLOOKUP($H204,Ingredient_prices!$B:$C,2,FALSE),""))</f>
        <v>Sausage Serbian</v>
      </c>
      <c r="F204" s="1199" t="str">
        <f>IF(H204="","",IF(OR(LEFT(B207,1)="П",LEFT(B207,1)="P"),B207,F203))</f>
        <v>ПАРТИЈА 2</v>
      </c>
      <c r="G204" s="82">
        <v>175</v>
      </c>
      <c r="H204" s="82" t="s">
        <v>997</v>
      </c>
      <c r="I204" s="289"/>
      <c r="J204" s="289">
        <v>1000</v>
      </c>
      <c r="K204" s="82" t="s">
        <v>2328</v>
      </c>
      <c r="L204" s="82">
        <v>10</v>
      </c>
      <c r="M204" s="330"/>
      <c r="N204" s="1385">
        <v>295.7</v>
      </c>
      <c r="O204" s="1383">
        <f t="shared" si="67"/>
        <v>20</v>
      </c>
      <c r="P204" s="1382">
        <f t="shared" si="60"/>
        <v>354.84</v>
      </c>
      <c r="Q204" s="1383">
        <f t="shared" si="61"/>
        <v>2957</v>
      </c>
      <c r="R204" s="1383">
        <f t="shared" si="62"/>
        <v>3548.3999999999996</v>
      </c>
      <c r="T204" s="101">
        <f>IF(O204="","",IF('Charts and graphs'!$C$6="Conventional",IF(N204&gt;0,1000*P204/J204,""),IF(VLOOKUP($E204,$Y:$AE,7,FALSE)=0,IF(N204&gt;0,1000*P204/J204,""),VLOOKUP($E204,$Y:$AE,7,FALSE))))</f>
        <v>354.84</v>
      </c>
      <c r="U204" s="101">
        <f t="shared" si="63"/>
        <v>354.84</v>
      </c>
      <c r="V204" s="101">
        <f t="shared" si="65"/>
        <v>354.84</v>
      </c>
      <c r="Y204" s="1" t="s">
        <v>3243</v>
      </c>
      <c r="Z204" s="1">
        <v>20</v>
      </c>
      <c r="AA204" s="749" t="s">
        <v>2383</v>
      </c>
      <c r="AG204" s="5" t="str">
        <f t="shared" si="56"/>
        <v/>
      </c>
      <c r="AH204" s="5" t="str">
        <f>IF(AG204="","",VLOOKUP($Y204,Nutrition_tables!$A:$N,10,FALSE))</f>
        <v/>
      </c>
      <c r="AI204" s="5" t="str">
        <f t="shared" si="64"/>
        <v/>
      </c>
    </row>
    <row r="205" spans="2:42" ht="16">
      <c r="B205" s="1" t="s">
        <v>938</v>
      </c>
      <c r="C205" s="1" t="s">
        <v>1773</v>
      </c>
      <c r="E205" s="678" t="str">
        <f>IF(G205="","",_xlfn.IFNA(VLOOKUP($H205,Ingredient_prices!$B:$C,2,FALSE),""))</f>
        <v>Kit Kat milk chocolate</v>
      </c>
      <c r="F205" s="1199" t="str">
        <f>IF(H205="","",IF(OR(LEFT(G205,1)="П",LEFT(G205,1)="P"),G205,F204))</f>
        <v>ПАРТИЈА 2</v>
      </c>
      <c r="G205" s="82">
        <v>176</v>
      </c>
      <c r="H205" s="1" t="s">
        <v>1045</v>
      </c>
      <c r="I205" s="289"/>
      <c r="J205" s="289">
        <v>1000</v>
      </c>
      <c r="K205" s="82" t="s">
        <v>2328</v>
      </c>
      <c r="L205" s="82">
        <v>10</v>
      </c>
      <c r="N205" s="1385">
        <v>999.8</v>
      </c>
      <c r="O205" s="1383">
        <f t="shared" si="67"/>
        <v>20</v>
      </c>
      <c r="P205" s="1382">
        <f t="shared" si="60"/>
        <v>1199.76</v>
      </c>
      <c r="Q205" s="1383">
        <f t="shared" si="61"/>
        <v>9998</v>
      </c>
      <c r="R205" s="1383">
        <f t="shared" si="62"/>
        <v>11997.6</v>
      </c>
      <c r="T205" s="101">
        <f>IF(O205="","",IF('Charts and graphs'!$C$6="Conventional",IF(N205&gt;0,1000*P205/J205,""),IF(VLOOKUP($E205,$Y:$AE,7,FALSE)=0,IF(N205&gt;0,1000*P205/J205,""),VLOOKUP($E205,$Y:$AE,7,FALSE))))</f>
        <v>1199.76</v>
      </c>
      <c r="U205" s="101">
        <f t="shared" si="63"/>
        <v>1199.76</v>
      </c>
      <c r="V205" s="101">
        <f t="shared" si="65"/>
        <v>1199.76</v>
      </c>
      <c r="Y205" s="1" t="s">
        <v>3236</v>
      </c>
      <c r="Z205" s="1">
        <v>20</v>
      </c>
      <c r="AA205" s="749" t="s">
        <v>2383</v>
      </c>
      <c r="AG205" s="5" t="str">
        <f t="shared" si="56"/>
        <v/>
      </c>
      <c r="AH205" s="5" t="str">
        <f>IF(AG205="","",VLOOKUP($Y205,Nutrition_tables!$A:$N,10,FALSE))</f>
        <v/>
      </c>
      <c r="AI205" s="5" t="str">
        <f t="shared" si="64"/>
        <v/>
      </c>
    </row>
    <row r="206" spans="2:42" ht="16">
      <c r="B206" s="1" t="s">
        <v>939</v>
      </c>
      <c r="C206" s="1" t="s">
        <v>3315</v>
      </c>
      <c r="E206" s="678" t="str">
        <f>IF(G206="","",_xlfn.IFNA(VLOOKUP($H206,Ingredient_prices!$B:$C,2,FALSE),""))</f>
        <v>Bread, wholemeal</v>
      </c>
      <c r="F206" s="1199" t="str">
        <f>IF(H206="","",IF(OR(LEFT(G206,1)="П",LEFT(G206,1)="P"),G206,F205))</f>
        <v>ПАРТИЈА 2</v>
      </c>
      <c r="G206" s="82">
        <v>177</v>
      </c>
      <c r="H206" s="82" t="s">
        <v>2902</v>
      </c>
      <c r="I206" s="289"/>
      <c r="J206" s="289">
        <v>1000</v>
      </c>
      <c r="K206" s="82" t="s">
        <v>2328</v>
      </c>
      <c r="L206" s="82">
        <v>10</v>
      </c>
      <c r="N206" s="1385">
        <v>70</v>
      </c>
      <c r="O206" s="1383">
        <f t="shared" si="67"/>
        <v>10</v>
      </c>
      <c r="P206" s="1382">
        <f t="shared" si="60"/>
        <v>77</v>
      </c>
      <c r="Q206" s="1383">
        <f t="shared" si="61"/>
        <v>700</v>
      </c>
      <c r="R206" s="1383">
        <f t="shared" si="62"/>
        <v>770</v>
      </c>
      <c r="T206" s="101">
        <f>IF(O206="","",IF('Charts and graphs'!$C$6="Conventional",IF(N206&gt;0,1000*P206/J206,""),IF(VLOOKUP($E206,$Y:$AE,7,FALSE)=0,IF(N206&gt;0,1000*P206/J206,""),VLOOKUP($E206,$Y:$AE,7,FALSE))))</f>
        <v>77</v>
      </c>
      <c r="U206" s="101">
        <f t="shared" si="63"/>
        <v>77</v>
      </c>
      <c r="V206" s="101">
        <f t="shared" si="65"/>
        <v>77</v>
      </c>
      <c r="Y206" s="1" t="s">
        <v>3244</v>
      </c>
      <c r="Z206" s="1">
        <v>20</v>
      </c>
      <c r="AA206" s="749" t="s">
        <v>2383</v>
      </c>
      <c r="AG206" s="5" t="str">
        <f t="shared" si="56"/>
        <v/>
      </c>
      <c r="AH206" s="5" t="str">
        <f>IF(AG206="","",VLOOKUP($Y206,Nutrition_tables!$A:$N,10,FALSE))</f>
        <v/>
      </c>
      <c r="AI206" s="5" t="str">
        <f t="shared" si="64"/>
        <v/>
      </c>
      <c r="AM206" s="379"/>
    </row>
    <row r="207" spans="2:42" ht="16">
      <c r="B207" s="1" t="s">
        <v>893</v>
      </c>
      <c r="C207" s="1" t="s">
        <v>27</v>
      </c>
      <c r="E207" s="678" t="str">
        <f>IF(G207="","",_xlfn.IFNA(VLOOKUP($H207,Ingredient_prices!$B:$C,2,FALSE),""))</f>
        <v>Noblice biscuit</v>
      </c>
      <c r="F207" s="1199" t="str">
        <f>IF(H207="","",IF(OR(LEFT(G207,1)="П",LEFT(G207,1)="P"),G207,F206))</f>
        <v>ПАРТИЈА 2</v>
      </c>
      <c r="G207" s="82">
        <v>178</v>
      </c>
      <c r="H207" s="82" t="s">
        <v>2254</v>
      </c>
      <c r="I207" s="289"/>
      <c r="J207" s="289">
        <v>1000</v>
      </c>
      <c r="K207" s="82" t="s">
        <v>2328</v>
      </c>
      <c r="L207" s="82">
        <v>10</v>
      </c>
      <c r="N207" s="1385">
        <v>440</v>
      </c>
      <c r="O207" s="1383">
        <f t="shared" si="67"/>
        <v>20</v>
      </c>
      <c r="P207" s="1382">
        <f t="shared" si="60"/>
        <v>528</v>
      </c>
      <c r="Q207" s="1383">
        <f t="shared" si="61"/>
        <v>4400</v>
      </c>
      <c r="R207" s="1383">
        <f t="shared" si="62"/>
        <v>5280</v>
      </c>
      <c r="T207" s="101">
        <f>IF(O207="","",IF('Charts and graphs'!$C$6="Conventional",IF(N207&gt;0,1000*P207/J207,""),IF(VLOOKUP($E207,$Y:$AE,7,FALSE)=0,IF(N207&gt;0,1000*P207/J207,""),VLOOKUP($E207,$Y:$AE,7,FALSE))))</f>
        <v>528</v>
      </c>
      <c r="U207" s="101">
        <f t="shared" si="63"/>
        <v>528</v>
      </c>
      <c r="V207" s="101">
        <f t="shared" si="65"/>
        <v>528</v>
      </c>
      <c r="Y207" s="1" t="s">
        <v>3237</v>
      </c>
      <c r="Z207" s="1">
        <v>20</v>
      </c>
      <c r="AA207" s="749" t="s">
        <v>2383</v>
      </c>
      <c r="AG207" s="5">
        <f t="shared" si="56"/>
        <v>1324.8</v>
      </c>
      <c r="AH207" s="5">
        <f>IF(AG207="","",VLOOKUP($Y207,Nutrition_tables!$A:$N,10,FALSE))</f>
        <v>733.9860000000001</v>
      </c>
      <c r="AI207" s="5">
        <f t="shared" si="64"/>
        <v>0.18049390587831374</v>
      </c>
      <c r="AL207" s="379"/>
      <c r="AM207" s="379"/>
      <c r="AN207" s="379"/>
    </row>
    <row r="208" spans="2:42" ht="16">
      <c r="B208" s="1" t="s">
        <v>1354</v>
      </c>
      <c r="C208" s="1" t="s">
        <v>27</v>
      </c>
      <c r="E208" s="678" t="str">
        <f>IF(G208="","",_xlfn.IFNA(VLOOKUP($H208,Ingredient_prices!$B:$C,2,FALSE),""))</f>
        <v>Parsley leaf, dry</v>
      </c>
      <c r="F208" s="1199" t="str">
        <f>IF(H208="","",IF(OR(LEFT(G208,1)="П",LEFT(G208,1)="P"),G208,F207))</f>
        <v>ПАРТИЈА 2</v>
      </c>
      <c r="G208" s="82">
        <v>179</v>
      </c>
      <c r="H208" s="82" t="s">
        <v>2406</v>
      </c>
      <c r="I208" s="289"/>
      <c r="J208" s="289">
        <v>1000</v>
      </c>
      <c r="K208" s="82" t="s">
        <v>2328</v>
      </c>
      <c r="L208" s="82">
        <v>10</v>
      </c>
      <c r="N208" s="1385">
        <v>7000</v>
      </c>
      <c r="O208" s="1383">
        <f t="shared" si="67"/>
        <v>20</v>
      </c>
      <c r="P208" s="1382">
        <f t="shared" si="60"/>
        <v>8400</v>
      </c>
      <c r="Q208" s="1383">
        <f t="shared" si="61"/>
        <v>70000</v>
      </c>
      <c r="R208" s="1383">
        <f t="shared" si="62"/>
        <v>84000</v>
      </c>
      <c r="T208" s="101">
        <f>IF(O208="","",IF('Charts and graphs'!$C$6="Conventional",IF(N208&gt;0,1000*P208/J208,""),IF(VLOOKUP($E208,$Y:$AE,7,FALSE)=0,IF(N208&gt;0,1000*P208/J208,""),VLOOKUP($E208,$Y:$AE,7,FALSE))))</f>
        <v>8400</v>
      </c>
      <c r="U208" s="101">
        <f t="shared" si="63"/>
        <v>8400</v>
      </c>
      <c r="V208" s="101">
        <f t="shared" si="65"/>
        <v>8400</v>
      </c>
      <c r="Y208" s="1" t="s">
        <v>3238</v>
      </c>
      <c r="Z208" s="6">
        <v>20</v>
      </c>
      <c r="AA208" s="749" t="s">
        <v>2383</v>
      </c>
      <c r="AG208" s="5">
        <f t="shared" si="56"/>
        <v>170.04</v>
      </c>
      <c r="AH208" s="5">
        <f>IF(AG208="","",VLOOKUP($Y208,Nutrition_tables!$A:$N,10,FALSE))</f>
        <v>881</v>
      </c>
      <c r="AI208" s="5">
        <f t="shared" si="64"/>
        <v>1.9300794551645857E-2</v>
      </c>
      <c r="AL208" s="379"/>
      <c r="AN208" s="379"/>
      <c r="AO208" s="379"/>
      <c r="AP208" s="379"/>
    </row>
    <row r="209" spans="1:42" s="379" customFormat="1" ht="16">
      <c r="A209" s="330"/>
      <c r="B209" s="1" t="s">
        <v>940</v>
      </c>
      <c r="C209" s="1" t="s">
        <v>1776</v>
      </c>
      <c r="D209" s="330"/>
      <c r="E209" s="678" t="str">
        <f>IF(G209="","",_xlfn.IFNA(VLOOKUP($H209,Ingredient_prices!$B:$C,2,FALSE),""))</f>
        <v>Dill leaves, dry</v>
      </c>
      <c r="F209" s="1199" t="str">
        <f>IF(H209="","",IF(OR(LEFT(G209,1)="П",LEFT(G209,1)="P"),G209,F208))</f>
        <v>ПАРТИЈА 2</v>
      </c>
      <c r="G209" s="82">
        <v>180</v>
      </c>
      <c r="H209" s="1" t="s">
        <v>1585</v>
      </c>
      <c r="I209" s="289"/>
      <c r="J209" s="289">
        <v>1000</v>
      </c>
      <c r="K209" s="82" t="s">
        <v>2328</v>
      </c>
      <c r="L209" s="82">
        <v>10</v>
      </c>
      <c r="M209" s="1202"/>
      <c r="N209" s="1385">
        <v>7000</v>
      </c>
      <c r="O209" s="1383">
        <f t="shared" si="67"/>
        <v>20</v>
      </c>
      <c r="P209" s="1382">
        <f t="shared" si="60"/>
        <v>8400</v>
      </c>
      <c r="Q209" s="1383">
        <f t="shared" si="61"/>
        <v>70000</v>
      </c>
      <c r="R209" s="1383">
        <f t="shared" si="62"/>
        <v>84000</v>
      </c>
      <c r="S209" s="1202"/>
      <c r="T209" s="101">
        <f>IF(O209="","",IF('Charts and graphs'!$C$6="Conventional",IF(N209&gt;0,1000*P209/J209,""),IF(VLOOKUP($E209,$Y:$AE,7,FALSE)=0,IF(N209&gt;0,1000*P209/J209,""),VLOOKUP($E209,$Y:$AE,7,FALSE))))</f>
        <v>8400</v>
      </c>
      <c r="U209" s="101">
        <f t="shared" si="63"/>
        <v>8400</v>
      </c>
      <c r="V209" s="101">
        <f t="shared" si="65"/>
        <v>8400</v>
      </c>
      <c r="W209" s="330"/>
      <c r="X209" s="99"/>
      <c r="Y209" s="1" t="s">
        <v>1880</v>
      </c>
      <c r="Z209" s="1">
        <v>10</v>
      </c>
      <c r="AA209" s="749" t="s">
        <v>2383</v>
      </c>
      <c r="AB209" s="421"/>
      <c r="AC209" s="421"/>
      <c r="AD209" s="749"/>
      <c r="AE209" s="749"/>
      <c r="AF209" s="749"/>
      <c r="AG209" s="5" t="str">
        <f t="shared" si="56"/>
        <v/>
      </c>
      <c r="AH209" s="5" t="str">
        <f>IF(AG209="","",VLOOKUP($Y209,Nutrition_tables!$A:$N,10,FALSE))</f>
        <v/>
      </c>
      <c r="AI209" s="5" t="str">
        <f t="shared" si="64"/>
        <v/>
      </c>
      <c r="AJ209" s="749"/>
      <c r="AK209"/>
      <c r="AL209"/>
      <c r="AM209"/>
      <c r="AN209"/>
    </row>
    <row r="210" spans="1:42" s="379" customFormat="1" ht="16">
      <c r="A210" s="330"/>
      <c r="B210" s="1" t="s">
        <v>2231</v>
      </c>
      <c r="C210" s="1" t="s">
        <v>1776</v>
      </c>
      <c r="D210" s="330"/>
      <c r="E210" s="678" t="str">
        <f>IF(B213="","",_xlfn.IFNA(VLOOKUP($H210,Ingredient_prices!$B:$C,2,FALSE),""))</f>
        <v>Kale</v>
      </c>
      <c r="F210" s="1199" t="str">
        <f>IF(H210="","",IF(OR(LEFT(B213,1)="П",LEFT(B213,1)="P"),B213,F209))</f>
        <v>ПАРТИЈА 2</v>
      </c>
      <c r="G210" s="82">
        <v>181</v>
      </c>
      <c r="H210" s="82" t="s">
        <v>916</v>
      </c>
      <c r="I210" s="289"/>
      <c r="J210" s="289">
        <v>1000</v>
      </c>
      <c r="K210" s="82" t="s">
        <v>2328</v>
      </c>
      <c r="L210" s="82">
        <v>10</v>
      </c>
      <c r="M210" s="1202"/>
      <c r="N210" s="1385">
        <v>100</v>
      </c>
      <c r="O210" s="1383">
        <f t="shared" si="67"/>
        <v>10</v>
      </c>
      <c r="P210" s="1382">
        <f t="shared" si="60"/>
        <v>110</v>
      </c>
      <c r="Q210" s="1383">
        <f t="shared" si="61"/>
        <v>1000</v>
      </c>
      <c r="R210" s="1383">
        <f t="shared" si="62"/>
        <v>1100</v>
      </c>
      <c r="S210" s="1202"/>
      <c r="T210" s="101">
        <f>IF(O210="","",IF('Charts and graphs'!$C$6="Conventional",IF(N210&gt;0,1000*P210/J210,""),IF(VLOOKUP($E210,$Y:$AE,7,FALSE)=0,IF(N210&gt;0,1000*P210/J210,""),VLOOKUP($E210,$Y:$AE,7,FALSE))))</f>
        <v>110</v>
      </c>
      <c r="U210" s="101">
        <f t="shared" si="63"/>
        <v>110</v>
      </c>
      <c r="V210" s="101">
        <f t="shared" si="65"/>
        <v>110</v>
      </c>
      <c r="W210" s="330"/>
      <c r="X210" s="99"/>
      <c r="Y210" s="24" t="s">
        <v>3239</v>
      </c>
      <c r="Z210" s="24">
        <v>10</v>
      </c>
      <c r="AA210" s="492" t="s">
        <v>2383</v>
      </c>
      <c r="AB210" s="421"/>
      <c r="AC210" s="421"/>
      <c r="AD210" s="749"/>
      <c r="AE210" s="749"/>
      <c r="AF210" s="749"/>
      <c r="AG210" s="5">
        <f t="shared" si="56"/>
        <v>121</v>
      </c>
      <c r="AH210" s="5">
        <f>IF(AG210="","",VLOOKUP($Y210,Nutrition_tables!$A:$N,10,FALSE))</f>
        <v>884.32100000000014</v>
      </c>
      <c r="AI210" s="5">
        <f t="shared" si="64"/>
        <v>1.3682814272193014E-2</v>
      </c>
      <c r="AJ210" s="749"/>
      <c r="AK210"/>
      <c r="AL210"/>
      <c r="AM210"/>
      <c r="AN210"/>
      <c r="AO210"/>
      <c r="AP210"/>
    </row>
    <row r="211" spans="1:42" ht="16">
      <c r="B211" s="1" t="s">
        <v>941</v>
      </c>
      <c r="C211" s="1" t="s">
        <v>1777</v>
      </c>
      <c r="E211" s="678" t="str">
        <f>IF(G211="","",_xlfn.IFNA(VLOOKUP($H211,Ingredient_prices!$B:$C,2,FALSE),""))</f>
        <v>Mushrooms</v>
      </c>
      <c r="F211" s="1199" t="str">
        <f t="shared" ref="F211:F247" si="68">IF(H211="","",IF(OR(LEFT(G211,1)="П",LEFT(G211,1)="P"),G211,F210))</f>
        <v>ПАРТИЈА 2</v>
      </c>
      <c r="G211" s="82">
        <v>182</v>
      </c>
      <c r="H211" s="1" t="s">
        <v>1386</v>
      </c>
      <c r="I211" s="289"/>
      <c r="J211" s="289">
        <v>1000</v>
      </c>
      <c r="K211" s="82" t="s">
        <v>2328</v>
      </c>
      <c r="L211" s="82">
        <v>10</v>
      </c>
      <c r="N211" s="1385">
        <v>170</v>
      </c>
      <c r="O211" s="1383">
        <f t="shared" si="67"/>
        <v>10</v>
      </c>
      <c r="P211" s="1382">
        <f t="shared" si="60"/>
        <v>187</v>
      </c>
      <c r="Q211" s="1383">
        <f t="shared" si="61"/>
        <v>1700</v>
      </c>
      <c r="R211" s="1383">
        <f t="shared" si="62"/>
        <v>1870</v>
      </c>
      <c r="T211" s="101">
        <f>IF(O211="","",IF('Charts and graphs'!$C$6="Conventional",IF(N211&gt;0,1000*P211/J211,""),IF(VLOOKUP($E211,$Y:$AE,7,FALSE)=0,IF(N211&gt;0,1000*P211/J211,""),VLOOKUP($E211,$Y:$AE,7,FALSE))))</f>
        <v>700</v>
      </c>
      <c r="U211" s="101">
        <f t="shared" si="63"/>
        <v>187</v>
      </c>
      <c r="V211" s="101">
        <f t="shared" si="65"/>
        <v>700</v>
      </c>
      <c r="Y211" s="397" t="s">
        <v>3245</v>
      </c>
      <c r="Z211" s="1">
        <v>10</v>
      </c>
      <c r="AA211" s="494" t="s">
        <v>2384</v>
      </c>
      <c r="AG211" s="5">
        <f t="shared" si="56"/>
        <v>43.12</v>
      </c>
      <c r="AH211" s="5">
        <f>IF(AG211="","",VLOOKUP($Y211,Nutrition_tables!$A:$N,10,FALSE))</f>
        <v>355.89976689976686</v>
      </c>
      <c r="AI211" s="5">
        <f t="shared" si="64"/>
        <v>1.2115770790078662E-2</v>
      </c>
      <c r="AK211" s="379"/>
    </row>
    <row r="212" spans="1:42" ht="16">
      <c r="B212" s="1" t="s">
        <v>942</v>
      </c>
      <c r="C212" s="1" t="s">
        <v>1801</v>
      </c>
      <c r="E212" s="678" t="str">
        <f>IF(G212="","",_xlfn.IFNA(VLOOKUP($H212,Ingredient_prices!$B:$C,2,FALSE),""))</f>
        <v>Hake fillets</v>
      </c>
      <c r="F212" s="1199" t="str">
        <f t="shared" si="68"/>
        <v>ПАРТИЈА 2</v>
      </c>
      <c r="G212" s="82">
        <v>183</v>
      </c>
      <c r="H212" s="82" t="s">
        <v>1303</v>
      </c>
      <c r="I212" s="289"/>
      <c r="J212" s="289">
        <v>1000</v>
      </c>
      <c r="K212" s="82" t="s">
        <v>2328</v>
      </c>
      <c r="L212" s="82">
        <v>10</v>
      </c>
      <c r="N212" s="1385">
        <v>1000</v>
      </c>
      <c r="O212" s="1383">
        <f t="shared" si="67"/>
        <v>10</v>
      </c>
      <c r="P212" s="1382">
        <f t="shared" si="60"/>
        <v>1100</v>
      </c>
      <c r="Q212" s="1383">
        <f t="shared" si="61"/>
        <v>10000</v>
      </c>
      <c r="R212" s="1383">
        <f t="shared" si="62"/>
        <v>11000</v>
      </c>
      <c r="T212" s="101">
        <f>IF(O212="","",IF('Charts and graphs'!$C$6="Conventional",IF(N212&gt;0,1000*P212/J212,""),IF(VLOOKUP($E212,$Y:$AE,7,FALSE)=0,IF(N212&gt;0,1000*P212/J212,""),VLOOKUP($E212,$Y:$AE,7,FALSE))))</f>
        <v>1100</v>
      </c>
      <c r="U212" s="101">
        <f t="shared" si="63"/>
        <v>1100</v>
      </c>
      <c r="V212" s="101">
        <f t="shared" si="65"/>
        <v>1100</v>
      </c>
      <c r="Y212" s="1" t="s">
        <v>3260</v>
      </c>
      <c r="Z212" s="1">
        <v>10</v>
      </c>
      <c r="AA212" s="749" t="s">
        <v>2384</v>
      </c>
      <c r="AG212" s="5">
        <f t="shared" si="56"/>
        <v>66.66</v>
      </c>
      <c r="AH212" s="5">
        <f>IF(AG212="","",VLOOKUP($Y212,Nutrition_tables!$A:$N,10,FALSE))</f>
        <v>318</v>
      </c>
      <c r="AI212" s="5">
        <f t="shared" si="64"/>
        <v>2.0962264150943394E-2</v>
      </c>
      <c r="AK212" s="379"/>
    </row>
    <row r="213" spans="1:42" ht="16">
      <c r="B213" s="1" t="s">
        <v>943</v>
      </c>
      <c r="C213" s="1" t="s">
        <v>1778</v>
      </c>
      <c r="E213" s="678" t="str">
        <f>IF(G213="","",_xlfn.IFNA(VLOOKUP($H213,Ingredient_prices!$B:$C,2,FALSE),""))</f>
        <v>Spinach fresh</v>
      </c>
      <c r="F213" s="1199" t="str">
        <f t="shared" si="68"/>
        <v>ПАРТИЈА 2</v>
      </c>
      <c r="G213" s="82">
        <v>184</v>
      </c>
      <c r="H213" s="82" t="s">
        <v>1588</v>
      </c>
      <c r="I213" s="289"/>
      <c r="J213" s="289">
        <v>1000</v>
      </c>
      <c r="K213" s="82" t="s">
        <v>2328</v>
      </c>
      <c r="L213" s="82">
        <v>10</v>
      </c>
      <c r="N213" s="1385">
        <v>450</v>
      </c>
      <c r="O213" s="1383">
        <f t="shared" si="67"/>
        <v>10</v>
      </c>
      <c r="P213" s="1382">
        <f t="shared" si="60"/>
        <v>495</v>
      </c>
      <c r="Q213" s="1383">
        <f t="shared" si="61"/>
        <v>4500</v>
      </c>
      <c r="R213" s="1383">
        <f t="shared" si="62"/>
        <v>4950</v>
      </c>
      <c r="T213" s="101">
        <f>IF(O213="","",IF('Charts and graphs'!$C$6="Conventional",IF(N213&gt;0,1000*P213/J213,""),IF(VLOOKUP($E213,$Y:$AE,7,FALSE)=0,IF(N213&gt;0,1000*P213/J213,""),VLOOKUP($E213,$Y:$AE,7,FALSE))))</f>
        <v>450</v>
      </c>
      <c r="U213" s="101">
        <f t="shared" si="63"/>
        <v>495</v>
      </c>
      <c r="V213" s="101">
        <f t="shared" si="65"/>
        <v>450</v>
      </c>
      <c r="Y213" s="1" t="s">
        <v>1936</v>
      </c>
      <c r="Z213" s="1">
        <v>10</v>
      </c>
      <c r="AA213" s="749" t="s">
        <v>2384</v>
      </c>
      <c r="AG213" s="5" t="str">
        <f t="shared" si="56"/>
        <v/>
      </c>
      <c r="AH213" s="5" t="str">
        <f>IF(AG213="","",VLOOKUP($Y213,Nutrition_tables!$A:$N,10,FALSE))</f>
        <v/>
      </c>
      <c r="AI213" s="5" t="str">
        <f t="shared" si="64"/>
        <v/>
      </c>
    </row>
    <row r="214" spans="1:42">
      <c r="B214" s="1" t="s">
        <v>898</v>
      </c>
      <c r="C214" s="1" t="s">
        <v>460</v>
      </c>
      <c r="E214" s="678" t="str">
        <f>IF(G214="","",_xlfn.IFNA(VLOOKUP($H214,Ingredient_prices!$B:$C,2,FALSE),""))</f>
        <v/>
      </c>
      <c r="F214" s="1199" t="str">
        <f t="shared" si="68"/>
        <v/>
      </c>
      <c r="G214" s="82">
        <v>185</v>
      </c>
      <c r="I214" s="749"/>
      <c r="J214" s="749"/>
      <c r="N214" s="1379"/>
      <c r="O214" s="1375" t="str">
        <f t="shared" si="67"/>
        <v/>
      </c>
      <c r="P214" s="1376" t="str">
        <f t="shared" si="60"/>
        <v/>
      </c>
      <c r="Q214" s="1377" t="str">
        <f t="shared" si="61"/>
        <v/>
      </c>
      <c r="R214" s="1377" t="str">
        <f t="shared" si="62"/>
        <v/>
      </c>
      <c r="T214" s="101" t="str">
        <f>IF(O214="","",IF('Charts and graphs'!$C$6="Conventional",IF(N214&gt;0,1000*P214/J214,""),IF(VLOOKUP($E214,$Y:$AE,7,FALSE)=0,IF(N214&gt;0,1000*P214/J214,""),VLOOKUP($E214,$Y:$AE,7,FALSE))))</f>
        <v/>
      </c>
      <c r="U214" s="101" t="str">
        <f t="shared" si="63"/>
        <v/>
      </c>
      <c r="V214" s="101" t="str">
        <f t="shared" si="65"/>
        <v/>
      </c>
      <c r="Y214" s="1" t="s">
        <v>3261</v>
      </c>
      <c r="Z214" s="1139">
        <v>20</v>
      </c>
      <c r="AA214" s="749" t="s">
        <v>2384</v>
      </c>
      <c r="AB214" s="421" t="s">
        <v>561</v>
      </c>
      <c r="AC214" s="1130" t="s">
        <v>888</v>
      </c>
      <c r="AD214" s="1205">
        <v>20</v>
      </c>
      <c r="AG214" s="5">
        <f t="shared" si="56"/>
        <v>57.6</v>
      </c>
      <c r="AH214" s="5">
        <f>IF(AG214="","",VLOOKUP($Y214,Nutrition_tables!$A:$N,10,FALSE))</f>
        <v>357.79</v>
      </c>
      <c r="AI214" s="5">
        <f t="shared" si="64"/>
        <v>1.6098828921993349E-2</v>
      </c>
      <c r="AL214" s="749"/>
      <c r="AM214" s="749"/>
    </row>
    <row r="215" spans="1:42">
      <c r="B215" s="1" t="s">
        <v>892</v>
      </c>
      <c r="C215" s="1" t="s">
        <v>3308</v>
      </c>
      <c r="E215" s="678" t="str">
        <f>IF(G215="","",_xlfn.IFNA(VLOOKUP($H215,Ingredient_prices!$B:$C,2,FALSE),""))</f>
        <v/>
      </c>
      <c r="F215" s="1199" t="str">
        <f t="shared" si="68"/>
        <v/>
      </c>
      <c r="G215" s="82">
        <v>186</v>
      </c>
      <c r="I215" s="749"/>
      <c r="J215" s="749"/>
      <c r="N215" s="1379"/>
      <c r="O215" s="1375"/>
      <c r="P215" s="1376" t="str">
        <f t="shared" si="60"/>
        <v/>
      </c>
      <c r="Q215" s="1377" t="str">
        <f t="shared" si="61"/>
        <v/>
      </c>
      <c r="R215" s="1377" t="str">
        <f t="shared" si="62"/>
        <v/>
      </c>
      <c r="T215" s="101" t="str">
        <f>IF(O215="","",IF('Charts and graphs'!$C$6="Conventional",IF(N215&gt;0,1000*P215/J215,""),IF(VLOOKUP($E215,$Y:$AE,7,FALSE)=0,IF(N215&gt;0,1000*P215/J215,""),VLOOKUP($E215,$Y:$AE,7,FALSE))))</f>
        <v/>
      </c>
      <c r="U215" s="101" t="str">
        <f t="shared" si="63"/>
        <v/>
      </c>
      <c r="V215" s="101" t="str">
        <f t="shared" si="65"/>
        <v/>
      </c>
      <c r="Y215" s="749" t="s">
        <v>3262</v>
      </c>
      <c r="Z215" s="1"/>
      <c r="AA215" s="749" t="s">
        <v>2384</v>
      </c>
      <c r="AG215" s="5" t="str">
        <f t="shared" si="56"/>
        <v/>
      </c>
      <c r="AH215" s="5" t="str">
        <f>IF(AG215="","",VLOOKUP($Y215,Nutrition_tables!$A:$N,10,FALSE))</f>
        <v/>
      </c>
      <c r="AI215" s="5" t="str">
        <f t="shared" si="64"/>
        <v/>
      </c>
      <c r="AM215" s="379"/>
      <c r="AN215" s="379"/>
    </row>
    <row r="216" spans="1:42">
      <c r="B216" s="82" t="s">
        <v>2486</v>
      </c>
      <c r="C216" s="1" t="s">
        <v>3308</v>
      </c>
      <c r="E216" s="678" t="str">
        <f>IF(G216="","",_xlfn.IFNA(VLOOKUP($H216,Ingredient_prices!$B:$C,2,FALSE),""))</f>
        <v/>
      </c>
      <c r="F216" s="1199" t="str">
        <f t="shared" si="68"/>
        <v/>
      </c>
      <c r="G216" s="82">
        <v>187</v>
      </c>
      <c r="I216" s="749"/>
      <c r="J216" s="749"/>
      <c r="N216" s="1379"/>
      <c r="O216" s="1375" t="str">
        <f t="shared" ref="O216:O247" si="69">IF($E216="","",VLOOKUP($E216,$Y:$AE,2,FALSE))</f>
        <v/>
      </c>
      <c r="P216" s="1376" t="str">
        <f t="shared" si="60"/>
        <v/>
      </c>
      <c r="Q216" s="1377" t="str">
        <f t="shared" si="61"/>
        <v/>
      </c>
      <c r="R216" s="1377" t="str">
        <f t="shared" si="62"/>
        <v/>
      </c>
      <c r="T216" s="101" t="str">
        <f>IF(O216="","",IF('Charts and graphs'!$C$6="Conventional",IF(N216&gt;0,1000*P216/J216,""),IF(VLOOKUP($E216,$Y:$AE,7,FALSE)=0,IF(N216&gt;0,1000*P216/J216,""),VLOOKUP($E216,$Y:$AE,7,FALSE))))</f>
        <v/>
      </c>
      <c r="U216" s="101" t="str">
        <f t="shared" si="63"/>
        <v/>
      </c>
      <c r="V216" s="101" t="str">
        <f t="shared" si="65"/>
        <v/>
      </c>
      <c r="Y216" s="1" t="s">
        <v>3246</v>
      </c>
      <c r="Z216" s="1">
        <v>10</v>
      </c>
      <c r="AA216" s="749" t="s">
        <v>2384</v>
      </c>
      <c r="AG216" s="5">
        <f t="shared" si="56"/>
        <v>220</v>
      </c>
      <c r="AH216" s="5">
        <f>IF(AG216="","",VLOOKUP($Y216,Nutrition_tables!$A:$N,10,FALSE))</f>
        <v>354</v>
      </c>
      <c r="AI216" s="5">
        <f t="shared" si="64"/>
        <v>6.2146892655367235E-2</v>
      </c>
      <c r="AL216" s="379"/>
      <c r="AM216" s="379"/>
      <c r="AN216" s="379"/>
      <c r="AO216" s="379"/>
      <c r="AP216" s="379"/>
    </row>
    <row r="217" spans="1:42" s="379" customFormat="1">
      <c r="A217" s="330"/>
      <c r="B217" s="749" t="s">
        <v>2311</v>
      </c>
      <c r="C217" s="1" t="s">
        <v>3308</v>
      </c>
      <c r="D217" s="330"/>
      <c r="E217" s="678" t="str">
        <f>IF(G217="","",_xlfn.IFNA(VLOOKUP($H217,Ingredient_prices!$B:$C,2,FALSE),""))</f>
        <v/>
      </c>
      <c r="F217" s="1199" t="str">
        <f t="shared" si="68"/>
        <v/>
      </c>
      <c r="G217" s="82">
        <v>188</v>
      </c>
      <c r="H217" s="82"/>
      <c r="I217" s="749"/>
      <c r="J217" s="749"/>
      <c r="K217" s="82"/>
      <c r="L217" s="82"/>
      <c r="M217" s="1202"/>
      <c r="N217" s="1379"/>
      <c r="O217" s="1375" t="str">
        <f t="shared" si="69"/>
        <v/>
      </c>
      <c r="P217" s="1376" t="str">
        <f t="shared" si="60"/>
        <v/>
      </c>
      <c r="Q217" s="1377" t="str">
        <f t="shared" si="61"/>
        <v/>
      </c>
      <c r="R217" s="1377" t="str">
        <f t="shared" si="62"/>
        <v/>
      </c>
      <c r="S217" s="1202"/>
      <c r="T217" s="101" t="str">
        <f>IF(O217="","",IF('Charts and graphs'!$C$6="Conventional",IF(N217&gt;0,1000*P217/J217,""),IF(VLOOKUP($E217,$Y:$AE,7,FALSE)=0,IF(N217&gt;0,1000*P217/J217,""),VLOOKUP($E217,$Y:$AE,7,FALSE))))</f>
        <v/>
      </c>
      <c r="U217" s="101" t="str">
        <f t="shared" si="63"/>
        <v/>
      </c>
      <c r="V217" s="101" t="str">
        <f t="shared" si="65"/>
        <v/>
      </c>
      <c r="W217" s="330"/>
      <c r="X217" s="99"/>
      <c r="Y217" s="749" t="s">
        <v>3263</v>
      </c>
      <c r="Z217" s="704">
        <v>20</v>
      </c>
      <c r="AA217" s="749" t="s">
        <v>2384</v>
      </c>
      <c r="AB217" s="421"/>
      <c r="AC217" s="421"/>
      <c r="AD217" s="749"/>
      <c r="AE217" s="749"/>
      <c r="AF217" s="749"/>
      <c r="AG217" s="5" t="str">
        <f t="shared" si="56"/>
        <v/>
      </c>
      <c r="AH217" s="5" t="str">
        <f>IF(AG217="","",VLOOKUP($Y217,Nutrition_tables!$A:$N,10,FALSE))</f>
        <v/>
      </c>
      <c r="AI217" s="5" t="str">
        <f t="shared" si="64"/>
        <v/>
      </c>
      <c r="AJ217" s="749"/>
      <c r="AK217"/>
      <c r="AM217"/>
      <c r="AN217"/>
    </row>
    <row r="218" spans="1:42" s="379" customFormat="1">
      <c r="A218" s="330"/>
      <c r="B218" s="1" t="s">
        <v>944</v>
      </c>
      <c r="C218" s="1" t="s">
        <v>3309</v>
      </c>
      <c r="D218" s="330"/>
      <c r="E218" s="678" t="str">
        <f>IF(G218="","",_xlfn.IFNA(VLOOKUP($H218,Ingredient_prices!$B:$C,2,FALSE),""))</f>
        <v/>
      </c>
      <c r="F218" s="1199" t="str">
        <f t="shared" si="68"/>
        <v/>
      </c>
      <c r="G218" s="82">
        <v>189</v>
      </c>
      <c r="H218" s="82"/>
      <c r="I218" s="749"/>
      <c r="J218" s="749"/>
      <c r="K218" s="82"/>
      <c r="L218" s="82"/>
      <c r="M218" s="1202"/>
      <c r="N218" s="1379"/>
      <c r="O218" s="1375" t="str">
        <f t="shared" si="69"/>
        <v/>
      </c>
      <c r="P218" s="1376" t="str">
        <f t="shared" si="60"/>
        <v/>
      </c>
      <c r="Q218" s="1377" t="str">
        <f t="shared" si="61"/>
        <v/>
      </c>
      <c r="R218" s="1377" t="str">
        <f t="shared" si="62"/>
        <v/>
      </c>
      <c r="S218" s="1202"/>
      <c r="T218" s="101" t="str">
        <f>IF(O218="","",IF('Charts and graphs'!$C$6="Conventional",IF(N218&gt;0,1000*P218/J218,""),IF(VLOOKUP($E218,$Y:$AE,7,FALSE)=0,IF(N218&gt;0,1000*P218/J218,""),VLOOKUP($E218,$Y:$AE,7,FALSE))))</f>
        <v/>
      </c>
      <c r="U218" s="101" t="str">
        <f t="shared" si="63"/>
        <v/>
      </c>
      <c r="V218" s="101" t="str">
        <f t="shared" si="65"/>
        <v/>
      </c>
      <c r="W218" s="330"/>
      <c r="X218" s="99"/>
      <c r="Y218" s="749" t="s">
        <v>3264</v>
      </c>
      <c r="Z218" s="1139">
        <v>20</v>
      </c>
      <c r="AA218" s="749" t="s">
        <v>2384</v>
      </c>
      <c r="AB218" s="679" t="s">
        <v>2366</v>
      </c>
      <c r="AC218" s="748" t="s">
        <v>829</v>
      </c>
      <c r="AD218" s="1205">
        <v>20</v>
      </c>
      <c r="AE218" s="749"/>
      <c r="AF218" s="749"/>
      <c r="AG218" s="5">
        <f t="shared" si="56"/>
        <v>830.4</v>
      </c>
      <c r="AH218" s="5">
        <f>IF(AG218="","",VLOOKUP($Y218,Nutrition_tables!$A:$N,10,FALSE))</f>
        <v>225</v>
      </c>
      <c r="AI218" s="5">
        <f t="shared" ref="AI218" si="70">IF(AG218="","",AG218/(AH218*10))</f>
        <v>0.36906666666666665</v>
      </c>
      <c r="AJ218" s="749"/>
      <c r="AK218" s="749"/>
      <c r="AL218"/>
      <c r="AM218"/>
      <c r="AN218"/>
      <c r="AO218"/>
      <c r="AP218"/>
    </row>
    <row r="219" spans="1:42">
      <c r="B219" s="1" t="s">
        <v>945</v>
      </c>
      <c r="C219" s="1" t="s">
        <v>3310</v>
      </c>
      <c r="E219" s="678" t="str">
        <f>IF(G219="","",_xlfn.IFNA(VLOOKUP($H219,Ingredient_prices!$B:$C,2,FALSE),""))</f>
        <v/>
      </c>
      <c r="F219" s="1199" t="str">
        <f t="shared" si="68"/>
        <v/>
      </c>
      <c r="G219" s="82">
        <v>190</v>
      </c>
      <c r="I219" s="749"/>
      <c r="J219" s="749"/>
      <c r="N219" s="1379"/>
      <c r="O219" s="1375" t="str">
        <f t="shared" si="69"/>
        <v/>
      </c>
      <c r="P219" s="1376" t="str">
        <f t="shared" si="60"/>
        <v/>
      </c>
      <c r="Q219" s="1377" t="str">
        <f t="shared" si="61"/>
        <v/>
      </c>
      <c r="R219" s="1377" t="str">
        <f t="shared" si="62"/>
        <v/>
      </c>
      <c r="T219" s="101" t="str">
        <f>IF(O219="","",IF('Charts and graphs'!$C$6="Conventional",IF(N219&gt;0,1000*P219/J219,""),IF(VLOOKUP($E219,$Y:$AE,7,FALSE)=0,IF(N219&gt;0,1000*P219/J219,""),VLOOKUP($E219,$Y:$AE,7,FALSE))))</f>
        <v/>
      </c>
      <c r="U219" s="101" t="str">
        <f t="shared" si="63"/>
        <v/>
      </c>
      <c r="V219" s="101" t="str">
        <f t="shared" si="65"/>
        <v/>
      </c>
      <c r="Y219" s="749" t="s">
        <v>3265</v>
      </c>
      <c r="Z219" s="1139">
        <v>10</v>
      </c>
      <c r="AA219" s="749" t="s">
        <v>2384</v>
      </c>
      <c r="AB219" s="679" t="s">
        <v>2366</v>
      </c>
      <c r="AC219" s="748" t="s">
        <v>829</v>
      </c>
      <c r="AD219" s="1205">
        <v>10</v>
      </c>
      <c r="AG219" s="5">
        <f t="shared" si="56"/>
        <v>115.5</v>
      </c>
      <c r="AH219" s="5">
        <f>IF(AG219="","",VLOOKUP($Y219,Nutrition_tables!$A:$N,10,FALSE))</f>
        <v>225</v>
      </c>
      <c r="AI219" s="5">
        <f t="shared" si="64"/>
        <v>5.1333333333333335E-2</v>
      </c>
    </row>
    <row r="220" spans="1:42">
      <c r="B220" s="749" t="s">
        <v>2857</v>
      </c>
      <c r="C220" s="1" t="s">
        <v>3311</v>
      </c>
      <c r="E220" s="678" t="str">
        <f>IF(G220="","",_xlfn.IFNA(VLOOKUP($H220,Ingredient_prices!$B:$C,2,FALSE),""))</f>
        <v/>
      </c>
      <c r="F220" s="1199" t="str">
        <f t="shared" si="68"/>
        <v/>
      </c>
      <c r="I220" s="749"/>
      <c r="J220" s="749"/>
      <c r="N220" s="1379"/>
      <c r="O220" s="1375" t="str">
        <f t="shared" si="69"/>
        <v/>
      </c>
      <c r="P220" s="1376" t="str">
        <f t="shared" si="60"/>
        <v/>
      </c>
      <c r="Q220" s="1377" t="str">
        <f t="shared" si="61"/>
        <v/>
      </c>
      <c r="R220" s="1377" t="str">
        <f t="shared" si="62"/>
        <v/>
      </c>
      <c r="T220" s="101" t="str">
        <f>IF(O220="","",IF('Charts and graphs'!$C$6="Conventional",IF(N220&gt;0,1000*P220/J220,""),IF(VLOOKUP($E220,$Y:$AE,7,FALSE)=0,IF(N220&gt;0,1000*P220/J220,""),VLOOKUP($E220,$Y:$AE,7,FALSE))))</f>
        <v/>
      </c>
      <c r="U220" s="101" t="str">
        <f t="shared" si="63"/>
        <v/>
      </c>
      <c r="V220" s="101" t="str">
        <f t="shared" si="65"/>
        <v/>
      </c>
      <c r="Y220" s="749" t="s">
        <v>3266</v>
      </c>
      <c r="Z220" s="1">
        <v>20</v>
      </c>
      <c r="AA220" s="749" t="s">
        <v>2384</v>
      </c>
      <c r="AG220" s="5" t="str">
        <f t="shared" ref="AG220:AG283" si="71">_xlfn.IFNA(VLOOKUP($Y220,$E:$U,17,FALSE),"")</f>
        <v/>
      </c>
      <c r="AH220" s="5" t="str">
        <f>IF(AG220="","",VLOOKUP($Y220,Nutrition_tables!$A:$N,10,FALSE))</f>
        <v/>
      </c>
      <c r="AI220" s="5" t="str">
        <f t="shared" si="64"/>
        <v/>
      </c>
      <c r="AK220" s="379"/>
    </row>
    <row r="221" spans="1:42">
      <c r="B221" s="1" t="s">
        <v>1634</v>
      </c>
      <c r="C221" s="1" t="s">
        <v>3311</v>
      </c>
      <c r="E221" s="678" t="str">
        <f>IF(G221="","",_xlfn.IFNA(VLOOKUP($H221,Ingredient_prices!$B:$C,2,FALSE),""))</f>
        <v/>
      </c>
      <c r="F221" s="1199" t="str">
        <f t="shared" si="68"/>
        <v/>
      </c>
      <c r="I221" s="749"/>
      <c r="J221" s="749"/>
      <c r="N221" s="1379"/>
      <c r="O221" s="1375" t="str">
        <f t="shared" si="69"/>
        <v/>
      </c>
      <c r="P221" s="1376" t="str">
        <f t="shared" si="60"/>
        <v/>
      </c>
      <c r="Q221" s="1377" t="str">
        <f t="shared" si="61"/>
        <v/>
      </c>
      <c r="R221" s="1377" t="str">
        <f t="shared" si="62"/>
        <v/>
      </c>
      <c r="T221" s="101" t="str">
        <f>IF(O221="","",IF('Charts and graphs'!$C$6="Conventional",IF(N221&gt;0,1000*P221/J221,""),IF(VLOOKUP($E221,$Y:$AE,7,FALSE)=0,IF(N221&gt;0,1000*P221/J221,""),VLOOKUP($E221,$Y:$AE,7,FALSE))))</f>
        <v/>
      </c>
      <c r="U221" s="101" t="str">
        <f t="shared" si="63"/>
        <v/>
      </c>
      <c r="V221" s="101" t="str">
        <f t="shared" si="65"/>
        <v/>
      </c>
      <c r="Y221" s="749" t="s">
        <v>3267</v>
      </c>
      <c r="Z221" s="1">
        <v>20</v>
      </c>
      <c r="AA221" s="749" t="s">
        <v>2384</v>
      </c>
      <c r="AG221" s="5" t="str">
        <f t="shared" si="71"/>
        <v/>
      </c>
      <c r="AH221" s="5" t="str">
        <f>IF(AG221="","",VLOOKUP($Y221,Nutrition_tables!$A:$N,10,FALSE))</f>
        <v/>
      </c>
      <c r="AI221" s="5" t="str">
        <f t="shared" si="64"/>
        <v/>
      </c>
      <c r="AK221" s="379"/>
    </row>
    <row r="222" spans="1:42">
      <c r="B222" s="1" t="s">
        <v>946</v>
      </c>
      <c r="C222" s="1" t="s">
        <v>3439</v>
      </c>
      <c r="E222" s="678" t="str">
        <f>IF(G222="","",_xlfn.IFNA(VLOOKUP($H222,Ingredient_prices!$B:$C,2,FALSE),""))</f>
        <v/>
      </c>
      <c r="F222" s="1199" t="str">
        <f t="shared" si="68"/>
        <v/>
      </c>
      <c r="N222" s="1379"/>
      <c r="O222" s="1375" t="str">
        <f t="shared" si="69"/>
        <v/>
      </c>
      <c r="P222" s="1376" t="str">
        <f t="shared" si="60"/>
        <v/>
      </c>
      <c r="Q222" s="1377" t="str">
        <f t="shared" si="61"/>
        <v/>
      </c>
      <c r="R222" s="1377" t="str">
        <f t="shared" si="62"/>
        <v/>
      </c>
      <c r="T222" s="101" t="str">
        <f>IF(O222="","",IF('Charts and graphs'!$C$6="Conventional",IF(N222&gt;0,1000*P222/J222,""),IF(VLOOKUP($E222,$Y:$AE,7,FALSE)=0,IF(N222&gt;0,1000*P222/J222,""),VLOOKUP($E222,$Y:$AE,7,FALSE))))</f>
        <v/>
      </c>
      <c r="U222" s="101" t="str">
        <f t="shared" si="63"/>
        <v/>
      </c>
      <c r="V222" s="101" t="str">
        <f t="shared" si="65"/>
        <v/>
      </c>
      <c r="Y222" s="1" t="s">
        <v>3247</v>
      </c>
      <c r="Z222" s="1">
        <v>20</v>
      </c>
      <c r="AA222" s="749" t="s">
        <v>2384</v>
      </c>
      <c r="AG222" s="5" t="str">
        <f t="shared" si="71"/>
        <v/>
      </c>
      <c r="AH222" s="5" t="str">
        <f>IF(AG222="","",VLOOKUP($Y222,Nutrition_tables!$A:$N,10,FALSE))</f>
        <v/>
      </c>
      <c r="AI222" s="5" t="str">
        <f t="shared" si="64"/>
        <v/>
      </c>
    </row>
    <row r="223" spans="1:42">
      <c r="B223" s="82" t="s">
        <v>2487</v>
      </c>
      <c r="C223" s="1" t="s">
        <v>3312</v>
      </c>
      <c r="E223" s="678" t="str">
        <f>IF(G223="","",_xlfn.IFNA(VLOOKUP($H223,Ingredient_prices!$B:$C,2,FALSE),""))</f>
        <v/>
      </c>
      <c r="F223" s="1199" t="str">
        <f t="shared" si="68"/>
        <v/>
      </c>
      <c r="N223" s="1379"/>
      <c r="O223" s="1375" t="str">
        <f t="shared" si="69"/>
        <v/>
      </c>
      <c r="P223" s="1376" t="str">
        <f t="shared" si="60"/>
        <v/>
      </c>
      <c r="Q223" s="1377" t="str">
        <f t="shared" si="61"/>
        <v/>
      </c>
      <c r="R223" s="1377" t="str">
        <f t="shared" si="62"/>
        <v/>
      </c>
      <c r="T223" s="101" t="str">
        <f>IF(O223="","",IF('Charts and graphs'!$C$6="Conventional",IF(N223&gt;0,1000*P223/J223,""),IF(VLOOKUP($E223,$Y:$AE,7,FALSE)=0,IF(N223&gt;0,1000*P223/J223,""),VLOOKUP($E223,$Y:$AE,7,FALSE))))</f>
        <v/>
      </c>
      <c r="U223" s="101" t="str">
        <f t="shared" si="63"/>
        <v/>
      </c>
      <c r="V223" s="101" t="str">
        <f t="shared" si="65"/>
        <v/>
      </c>
      <c r="Y223" s="1" t="s">
        <v>3268</v>
      </c>
      <c r="Z223" s="1139">
        <v>20</v>
      </c>
      <c r="AA223" s="749" t="s">
        <v>2384</v>
      </c>
      <c r="AB223" s="490" t="s">
        <v>1212</v>
      </c>
      <c r="AD223" s="1205">
        <v>20</v>
      </c>
      <c r="AG223" s="5">
        <f t="shared" si="71"/>
        <v>75</v>
      </c>
      <c r="AH223" s="5">
        <f>IF(AG223="","",VLOOKUP($Y223,Nutrition_tables!$A:$N,10,FALSE))</f>
        <v>351</v>
      </c>
      <c r="AI223" s="5">
        <f t="shared" si="64"/>
        <v>2.1367521367521368E-2</v>
      </c>
    </row>
    <row r="224" spans="1:42">
      <c r="B224" s="1" t="s">
        <v>947</v>
      </c>
      <c r="C224" s="1" t="s">
        <v>3312</v>
      </c>
      <c r="E224" s="678" t="str">
        <f>IF(G224="","",_xlfn.IFNA(VLOOKUP($H224,Ingredient_prices!$B:$C,2,FALSE),""))</f>
        <v/>
      </c>
      <c r="F224" s="1199" t="str">
        <f t="shared" si="68"/>
        <v/>
      </c>
      <c r="N224" s="1379"/>
      <c r="O224" s="1375" t="str">
        <f t="shared" si="69"/>
        <v/>
      </c>
      <c r="P224" s="1376" t="str">
        <f t="shared" si="60"/>
        <v/>
      </c>
      <c r="Q224" s="1377" t="str">
        <f t="shared" si="61"/>
        <v/>
      </c>
      <c r="R224" s="1377" t="str">
        <f t="shared" si="62"/>
        <v/>
      </c>
      <c r="T224" s="101" t="str">
        <f>IF(O224="","",IF('Charts and graphs'!$C$6="Conventional",IF(N224&gt;0,1000*P224/J224,""),IF(VLOOKUP($E224,$Y:$AE,7,FALSE)=0,IF(N224&gt;0,1000*P224/J224,""),VLOOKUP($E224,$Y:$AE,7,FALSE))))</f>
        <v/>
      </c>
      <c r="U224" s="101" t="str">
        <f t="shared" si="63"/>
        <v/>
      </c>
      <c r="V224" s="101" t="str">
        <f t="shared" si="65"/>
        <v/>
      </c>
      <c r="Y224" s="1" t="s">
        <v>3248</v>
      </c>
      <c r="Z224" s="1139">
        <v>10</v>
      </c>
      <c r="AA224" s="749" t="s">
        <v>2384</v>
      </c>
      <c r="AB224" s="1" t="s">
        <v>1211</v>
      </c>
      <c r="AD224" s="1205">
        <v>10</v>
      </c>
      <c r="AG224" s="5">
        <f t="shared" si="71"/>
        <v>60.5</v>
      </c>
      <c r="AH224" s="5">
        <f>IF(AG224="","",VLOOKUP($Y224,Nutrition_tables!$A:$N,10,FALSE))</f>
        <v>365</v>
      </c>
      <c r="AI224" s="5">
        <f t="shared" si="64"/>
        <v>1.6575342465753425E-2</v>
      </c>
    </row>
    <row r="225" spans="2:40">
      <c r="B225" s="1" t="s">
        <v>1308</v>
      </c>
      <c r="C225" s="1" t="s">
        <v>3308</v>
      </c>
      <c r="E225" s="678" t="str">
        <f>IF(G225="","",_xlfn.IFNA(VLOOKUP($H225,Ingredient_prices!$B:$C,2,FALSE),""))</f>
        <v/>
      </c>
      <c r="F225" s="1199" t="str">
        <f t="shared" si="68"/>
        <v/>
      </c>
      <c r="N225" s="1379"/>
      <c r="O225" s="1375" t="str">
        <f t="shared" si="69"/>
        <v/>
      </c>
      <c r="P225" s="1376" t="str">
        <f t="shared" si="60"/>
        <v/>
      </c>
      <c r="Q225" s="1377" t="str">
        <f t="shared" si="61"/>
        <v/>
      </c>
      <c r="R225" s="1377" t="str">
        <f t="shared" si="62"/>
        <v/>
      </c>
      <c r="T225" s="101" t="str">
        <f>IF(O225="","",IF('Charts and graphs'!$C$6="Conventional",IF(N225&gt;0,1000*P225/J225,""),IF(VLOOKUP($E225,$Y:$AE,7,FALSE)=0,IF(N225&gt;0,1000*P225/J225,""),VLOOKUP($E225,$Y:$AE,7,FALSE))))</f>
        <v/>
      </c>
      <c r="U225" s="101" t="str">
        <f t="shared" si="63"/>
        <v/>
      </c>
      <c r="V225" s="101" t="str">
        <f t="shared" si="65"/>
        <v/>
      </c>
      <c r="Y225" s="1" t="s">
        <v>3269</v>
      </c>
      <c r="Z225" s="1">
        <v>20</v>
      </c>
      <c r="AA225" s="749" t="s">
        <v>2384</v>
      </c>
      <c r="AG225" s="5">
        <f t="shared" si="71"/>
        <v>960</v>
      </c>
      <c r="AH225" s="5">
        <f>IF(AG225="","",VLOOKUP($Y225,Nutrition_tables!$A:$N,10,FALSE))</f>
        <v>364</v>
      </c>
      <c r="AI225" s="5">
        <f t="shared" si="64"/>
        <v>0.26373626373626374</v>
      </c>
    </row>
    <row r="226" spans="2:40">
      <c r="B226" s="1" t="s">
        <v>899</v>
      </c>
      <c r="C226" s="1" t="s">
        <v>468</v>
      </c>
      <c r="E226" s="678" t="str">
        <f>IF(G226="","",_xlfn.IFNA(VLOOKUP($H226,Ingredient_prices!$B:$C,2,FALSE),""))</f>
        <v/>
      </c>
      <c r="F226" s="1199" t="str">
        <f t="shared" si="68"/>
        <v/>
      </c>
      <c r="N226" s="1379"/>
      <c r="O226" s="1375" t="str">
        <f t="shared" si="69"/>
        <v/>
      </c>
      <c r="P226" s="1376" t="str">
        <f t="shared" si="60"/>
        <v/>
      </c>
      <c r="Q226" s="1377" t="str">
        <f t="shared" si="61"/>
        <v/>
      </c>
      <c r="R226" s="1377" t="str">
        <f t="shared" si="62"/>
        <v/>
      </c>
      <c r="T226" s="101" t="str">
        <f>IF(O226="","",IF('Charts and graphs'!$C$6="Conventional",IF(N226&gt;0,1000*P226/J226,""),IF(VLOOKUP($E226,$Y:$AE,7,FALSE)=0,IF(N226&gt;0,1000*P226/J226,""),VLOOKUP($E226,$Y:$AE,7,FALSE))))</f>
        <v/>
      </c>
      <c r="U226" s="101" t="str">
        <f t="shared" si="63"/>
        <v/>
      </c>
      <c r="V226" s="101" t="str">
        <f t="shared" si="65"/>
        <v/>
      </c>
      <c r="Y226" s="1" t="s">
        <v>1924</v>
      </c>
      <c r="Z226" s="1">
        <v>20</v>
      </c>
      <c r="AA226" s="749" t="s">
        <v>2384</v>
      </c>
      <c r="AG226" s="5" t="str">
        <f t="shared" si="71"/>
        <v/>
      </c>
      <c r="AH226" s="5" t="str">
        <f>IF(AG226="","",VLOOKUP($Y226,Nutrition_tables!$A:$N,10,FALSE))</f>
        <v/>
      </c>
      <c r="AI226" s="5" t="str">
        <f t="shared" si="64"/>
        <v/>
      </c>
    </row>
    <row r="227" spans="2:40">
      <c r="B227" s="1" t="s">
        <v>948</v>
      </c>
      <c r="C227" s="1" t="s">
        <v>468</v>
      </c>
      <c r="E227" s="678" t="str">
        <f>IF(G227="","",_xlfn.IFNA(VLOOKUP($H227,Ingredient_prices!$B:$C,2,FALSE),""))</f>
        <v/>
      </c>
      <c r="F227" s="1199" t="str">
        <f t="shared" si="68"/>
        <v/>
      </c>
      <c r="N227" s="1379"/>
      <c r="O227" s="1375" t="str">
        <f t="shared" si="69"/>
        <v/>
      </c>
      <c r="P227" s="1376" t="str">
        <f t="shared" si="60"/>
        <v/>
      </c>
      <c r="Q227" s="1377" t="str">
        <f t="shared" si="61"/>
        <v/>
      </c>
      <c r="R227" s="1377" t="str">
        <f t="shared" si="62"/>
        <v/>
      </c>
      <c r="T227" s="101" t="str">
        <f>IF(O227="","",IF('Charts and graphs'!$C$6="Conventional",IF(N227&gt;0,1000*P227/J227,""),IF(VLOOKUP($E227,$Y:$AE,7,FALSE)=0,IF(N227&gt;0,1000*P227/J227,""),VLOOKUP($E227,$Y:$AE,7,FALSE))))</f>
        <v/>
      </c>
      <c r="U227" s="101" t="str">
        <f t="shared" si="63"/>
        <v/>
      </c>
      <c r="V227" s="101" t="str">
        <f t="shared" si="65"/>
        <v/>
      </c>
      <c r="Y227" s="1" t="s">
        <v>3249</v>
      </c>
      <c r="Z227" s="1">
        <v>20</v>
      </c>
      <c r="AA227" s="749" t="s">
        <v>2384</v>
      </c>
      <c r="AG227" s="5">
        <f t="shared" si="71"/>
        <v>960</v>
      </c>
      <c r="AH227" s="5">
        <f>IF(AG227="","",VLOOKUP($Y227,Nutrition_tables!$A:$N,10,FALSE))</f>
        <v>525</v>
      </c>
      <c r="AI227" s="5">
        <f t="shared" si="64"/>
        <v>0.18285714285714286</v>
      </c>
    </row>
    <row r="228" spans="2:40">
      <c r="B228" s="1" t="s">
        <v>949</v>
      </c>
      <c r="C228" s="1" t="s">
        <v>1779</v>
      </c>
      <c r="E228" s="678" t="str">
        <f>IF(G228="","",_xlfn.IFNA(VLOOKUP($H228,Ingredient_prices!$B:$C,2,FALSE),""))</f>
        <v/>
      </c>
      <c r="F228" s="1199" t="str">
        <f t="shared" si="68"/>
        <v/>
      </c>
      <c r="N228" s="1379"/>
      <c r="O228" s="1375" t="str">
        <f t="shared" si="69"/>
        <v/>
      </c>
      <c r="P228" s="1376" t="str">
        <f t="shared" si="60"/>
        <v/>
      </c>
      <c r="Q228" s="1377" t="str">
        <f t="shared" si="61"/>
        <v/>
      </c>
      <c r="R228" s="1377" t="str">
        <f t="shared" si="62"/>
        <v/>
      </c>
      <c r="T228" s="101" t="str">
        <f>IF(O228="","",IF('Charts and graphs'!$C$6="Conventional",IF(N228&gt;0,1000*P228/J228,""),IF(VLOOKUP($E228,$Y:$AE,7,FALSE)=0,IF(N228&gt;0,1000*P228/J228,""),VLOOKUP($E228,$Y:$AE,7,FALSE))))</f>
        <v/>
      </c>
      <c r="U228" s="101" t="str">
        <f t="shared" si="63"/>
        <v/>
      </c>
      <c r="V228" s="101" t="str">
        <f t="shared" si="65"/>
        <v/>
      </c>
      <c r="Y228" s="1" t="s">
        <v>3506</v>
      </c>
      <c r="Z228" s="1">
        <v>20</v>
      </c>
      <c r="AA228" s="749" t="s">
        <v>2384</v>
      </c>
      <c r="AG228" s="5" t="str">
        <f t="shared" si="71"/>
        <v/>
      </c>
      <c r="AH228" s="5" t="str">
        <f>IF(AG228="","",VLOOKUP($Y228,Nutrition_tables!$A:$N,10,FALSE))</f>
        <v/>
      </c>
      <c r="AI228" s="5" t="str">
        <f t="shared" si="64"/>
        <v/>
      </c>
    </row>
    <row r="229" spans="2:40">
      <c r="B229" s="1" t="s">
        <v>1544</v>
      </c>
      <c r="C229" s="1" t="s">
        <v>1779</v>
      </c>
      <c r="E229" s="678" t="str">
        <f>IF(G229="","",_xlfn.IFNA(VLOOKUP($H229,Ingredient_prices!$B:$C,2,FALSE),""))</f>
        <v/>
      </c>
      <c r="F229" s="1199" t="str">
        <f t="shared" si="68"/>
        <v/>
      </c>
      <c r="N229" s="1379"/>
      <c r="O229" s="1375" t="str">
        <f t="shared" si="69"/>
        <v/>
      </c>
      <c r="P229" s="1376" t="str">
        <f t="shared" si="60"/>
        <v/>
      </c>
      <c r="Q229" s="1377" t="str">
        <f t="shared" si="61"/>
        <v/>
      </c>
      <c r="R229" s="1377" t="str">
        <f t="shared" si="62"/>
        <v/>
      </c>
      <c r="T229" s="101" t="str">
        <f>IF(O229="","",IF('Charts and graphs'!$C$6="Conventional",IF(N229&gt;0,1000*P229/J229,""),IF(VLOOKUP($E229,$Y:$AE,7,FALSE)=0,IF(N229&gt;0,1000*P229/J229,""),VLOOKUP($E229,$Y:$AE,7,FALSE))))</f>
        <v/>
      </c>
      <c r="U229" s="101" t="str">
        <f t="shared" si="63"/>
        <v/>
      </c>
      <c r="V229" s="101" t="str">
        <f t="shared" si="65"/>
        <v/>
      </c>
      <c r="Y229" s="1" t="s">
        <v>3250</v>
      </c>
      <c r="Z229" s="1">
        <v>20</v>
      </c>
      <c r="AA229" s="749" t="s">
        <v>2384</v>
      </c>
      <c r="AG229" s="5">
        <f t="shared" si="71"/>
        <v>204</v>
      </c>
      <c r="AH229" s="5">
        <f>IF(AG229="","",VLOOKUP($Y229,Nutrition_tables!$A:$N,10,FALSE))</f>
        <v>375</v>
      </c>
      <c r="AI229" s="5">
        <f t="shared" si="64"/>
        <v>5.4399999999999997E-2</v>
      </c>
    </row>
    <row r="230" spans="2:40">
      <c r="B230" s="1" t="s">
        <v>950</v>
      </c>
      <c r="C230" s="1" t="s">
        <v>3316</v>
      </c>
      <c r="E230" s="678" t="str">
        <f>IF(G230="","",_xlfn.IFNA(VLOOKUP($H230,Ingredient_prices!$B:$C,2,FALSE),""))</f>
        <v/>
      </c>
      <c r="F230" s="1199" t="str">
        <f t="shared" si="68"/>
        <v/>
      </c>
      <c r="N230" s="1379"/>
      <c r="O230" s="1375" t="str">
        <f t="shared" si="69"/>
        <v/>
      </c>
      <c r="P230" s="1376" t="str">
        <f t="shared" si="60"/>
        <v/>
      </c>
      <c r="Q230" s="1377" t="str">
        <f t="shared" si="61"/>
        <v/>
      </c>
      <c r="R230" s="1377" t="str">
        <f t="shared" si="62"/>
        <v/>
      </c>
      <c r="T230" s="101" t="str">
        <f>IF(O230="","",IF('Charts and graphs'!$C$6="Conventional",IF(N230&gt;0,1000*P230/J230,""),IF(VLOOKUP($E230,$Y:$AE,7,FALSE)=0,IF(N230&gt;0,1000*P230/J230,""),VLOOKUP($E230,$Y:$AE,7,FALSE))))</f>
        <v/>
      </c>
      <c r="U230" s="101" t="str">
        <f t="shared" si="63"/>
        <v/>
      </c>
      <c r="V230" s="101" t="str">
        <f t="shared" si="65"/>
        <v/>
      </c>
      <c r="Y230" s="1" t="s">
        <v>3251</v>
      </c>
      <c r="Z230" s="1">
        <v>10</v>
      </c>
      <c r="AA230" s="749" t="s">
        <v>2384</v>
      </c>
      <c r="AG230" s="5">
        <f t="shared" si="71"/>
        <v>299.96999999999991</v>
      </c>
      <c r="AH230" s="5">
        <f>IF(AG230="","",VLOOKUP($Y230,Nutrition_tables!$A:$N,10,FALSE))</f>
        <v>389</v>
      </c>
      <c r="AI230" s="5">
        <f t="shared" si="64"/>
        <v>7.7113110539845736E-2</v>
      </c>
    </row>
    <row r="231" spans="2:40">
      <c r="B231" s="1" t="s">
        <v>896</v>
      </c>
      <c r="C231" s="1" t="s">
        <v>481</v>
      </c>
      <c r="E231" s="678" t="str">
        <f>IF(G231="","",_xlfn.IFNA(VLOOKUP($H231,Ingredient_prices!$B:$C,2,FALSE),""))</f>
        <v/>
      </c>
      <c r="F231" s="1199" t="str">
        <f t="shared" si="68"/>
        <v/>
      </c>
      <c r="N231" s="1379"/>
      <c r="O231" s="1375" t="str">
        <f t="shared" si="69"/>
        <v/>
      </c>
      <c r="P231" s="1376" t="str">
        <f t="shared" si="60"/>
        <v/>
      </c>
      <c r="Q231" s="1377" t="str">
        <f t="shared" si="61"/>
        <v/>
      </c>
      <c r="R231" s="1377" t="str">
        <f t="shared" si="62"/>
        <v/>
      </c>
      <c r="T231" s="101" t="str">
        <f>IF(O231="","",IF('Charts and graphs'!$C$6="Conventional",IF(N231&gt;0,1000*P231/J231,""),IF(VLOOKUP($E231,$Y:$AE,7,FALSE)=0,IF(N231&gt;0,1000*P231/J231,""),VLOOKUP($E231,$Y:$AE,7,FALSE))))</f>
        <v/>
      </c>
      <c r="U231" s="101" t="str">
        <f t="shared" si="63"/>
        <v/>
      </c>
      <c r="V231" s="101" t="str">
        <f t="shared" si="65"/>
        <v/>
      </c>
      <c r="Y231" s="1" t="s">
        <v>3270</v>
      </c>
      <c r="Z231" s="1">
        <v>20</v>
      </c>
      <c r="AA231" s="749" t="s">
        <v>2384</v>
      </c>
      <c r="AG231" s="5" t="str">
        <f t="shared" si="71"/>
        <v/>
      </c>
      <c r="AH231" s="5" t="str">
        <f>IF(AG231="","",VLOOKUP($Y231,Nutrition_tables!$A:$N,10,FALSE))</f>
        <v/>
      </c>
      <c r="AI231" s="5" t="str">
        <f t="shared" si="64"/>
        <v/>
      </c>
    </row>
    <row r="232" spans="2:40">
      <c r="B232" s="1" t="s">
        <v>897</v>
      </c>
      <c r="C232" s="1" t="s">
        <v>3313</v>
      </c>
      <c r="E232" s="678" t="str">
        <f>IF(G232="","",_xlfn.IFNA(VLOOKUP($H232,Ingredient_prices!$B:$C,2,FALSE),""))</f>
        <v/>
      </c>
      <c r="F232" s="1199" t="str">
        <f t="shared" si="68"/>
        <v/>
      </c>
      <c r="N232" s="1379"/>
      <c r="O232" s="1375" t="str">
        <f t="shared" si="69"/>
        <v/>
      </c>
      <c r="P232" s="1376" t="str">
        <f t="shared" si="60"/>
        <v/>
      </c>
      <c r="Q232" s="1377" t="str">
        <f t="shared" si="61"/>
        <v/>
      </c>
      <c r="R232" s="1377" t="str">
        <f t="shared" si="62"/>
        <v/>
      </c>
      <c r="T232" s="101" t="str">
        <f>IF(O232="","",IF('Charts and graphs'!$C$6="Conventional",IF(N232&gt;0,1000*P232/J232,""),IF(VLOOKUP($E232,$Y:$AE,7,FALSE)=0,IF(N232&gt;0,1000*P232/J232,""),VLOOKUP($E232,$Y:$AE,7,FALSE))))</f>
        <v/>
      </c>
      <c r="U232" s="101" t="str">
        <f t="shared" si="63"/>
        <v/>
      </c>
      <c r="V232" s="101" t="str">
        <f t="shared" si="65"/>
        <v/>
      </c>
      <c r="Y232" s="1" t="s">
        <v>3252</v>
      </c>
      <c r="Z232" s="1">
        <v>10</v>
      </c>
      <c r="AA232" s="749" t="s">
        <v>2384</v>
      </c>
      <c r="AG232" s="5">
        <f t="shared" si="71"/>
        <v>79.2</v>
      </c>
      <c r="AH232" s="5">
        <f>IF(AG232="","",VLOOKUP($Y232,Nutrition_tables!$A:$N,10,FALSE))</f>
        <v>364.24450000000002</v>
      </c>
      <c r="AI232" s="5">
        <f t="shared" si="64"/>
        <v>2.174363648593184E-2</v>
      </c>
    </row>
    <row r="233" spans="2:40">
      <c r="B233" s="1" t="s">
        <v>2271</v>
      </c>
      <c r="C233" s="1" t="s">
        <v>3313</v>
      </c>
      <c r="E233" s="678" t="str">
        <f>IF(G233="","",_xlfn.IFNA(VLOOKUP($H233,Ingredient_prices!$B:$C,2,FALSE),""))</f>
        <v/>
      </c>
      <c r="F233" s="1199" t="str">
        <f t="shared" si="68"/>
        <v/>
      </c>
      <c r="N233" s="1379"/>
      <c r="O233" s="1375" t="str">
        <f t="shared" si="69"/>
        <v/>
      </c>
      <c r="P233" s="1376" t="str">
        <f t="shared" si="60"/>
        <v/>
      </c>
      <c r="Q233" s="1377" t="str">
        <f t="shared" si="61"/>
        <v/>
      </c>
      <c r="R233" s="1377" t="str">
        <f t="shared" si="62"/>
        <v/>
      </c>
      <c r="T233" s="101" t="str">
        <f>IF(O233="","",IF('Charts and graphs'!$C$6="Conventional",IF(N233&gt;0,1000*P233/J233,""),IF(VLOOKUP($E233,$Y:$AE,7,FALSE)=0,IF(N233&gt;0,1000*P233/J233,""),VLOOKUP($E233,$Y:$AE,7,FALSE))))</f>
        <v/>
      </c>
      <c r="U233" s="101" t="str">
        <f t="shared" si="63"/>
        <v/>
      </c>
      <c r="V233" s="101" t="str">
        <f t="shared" si="65"/>
        <v/>
      </c>
      <c r="Y233" s="1" t="s">
        <v>3253</v>
      </c>
      <c r="Z233" s="1">
        <v>10</v>
      </c>
      <c r="AA233" s="749" t="s">
        <v>2384</v>
      </c>
      <c r="AG233" s="5" t="str">
        <f t="shared" si="71"/>
        <v/>
      </c>
      <c r="AH233" s="5" t="str">
        <f>IF(AG233="","",VLOOKUP($Y233,Nutrition_tables!$A:$N,10,FALSE))</f>
        <v/>
      </c>
      <c r="AI233" s="5" t="str">
        <f t="shared" si="64"/>
        <v/>
      </c>
    </row>
    <row r="234" spans="2:40">
      <c r="B234" s="1" t="s">
        <v>951</v>
      </c>
      <c r="C234" s="1" t="s">
        <v>1781</v>
      </c>
      <c r="E234" s="678" t="str">
        <f>IF(G234="","",_xlfn.IFNA(VLOOKUP($H234,Ingredient_prices!$B:$C,2,FALSE),""))</f>
        <v/>
      </c>
      <c r="F234" s="1199" t="str">
        <f t="shared" si="68"/>
        <v/>
      </c>
      <c r="N234" s="1379"/>
      <c r="O234" s="1375" t="str">
        <f t="shared" si="69"/>
        <v/>
      </c>
      <c r="P234" s="1376" t="str">
        <f t="shared" si="60"/>
        <v/>
      </c>
      <c r="Q234" s="1377" t="str">
        <f t="shared" si="61"/>
        <v/>
      </c>
      <c r="R234" s="1377" t="str">
        <f t="shared" si="62"/>
        <v/>
      </c>
      <c r="T234" s="101" t="str">
        <f>IF(O234="","",IF('Charts and graphs'!$C$6="Conventional",IF(N234&gt;0,1000*P234/J234,""),IF(VLOOKUP($E234,$Y:$AE,7,FALSE)=0,IF(N234&gt;0,1000*P234/J234,""),VLOOKUP($E234,$Y:$AE,7,FALSE))))</f>
        <v/>
      </c>
      <c r="U234" s="101" t="str">
        <f t="shared" si="63"/>
        <v/>
      </c>
      <c r="V234" s="101" t="str">
        <f t="shared" si="65"/>
        <v/>
      </c>
      <c r="Y234" s="1" t="s">
        <v>3271</v>
      </c>
      <c r="Z234" s="1">
        <v>20</v>
      </c>
      <c r="AA234" s="749" t="s">
        <v>2384</v>
      </c>
      <c r="AG234" s="5">
        <f t="shared" si="71"/>
        <v>144</v>
      </c>
      <c r="AH234" s="5">
        <f>IF(AG234="","",VLOOKUP($Y234,Nutrition_tables!$A:$N,10,FALSE))</f>
        <v>366.00000000000006</v>
      </c>
      <c r="AI234" s="5">
        <f t="shared" ref="AI234" si="72">IF(AG234="","",AG234/(AH234*10))</f>
        <v>3.9344262295081964E-2</v>
      </c>
      <c r="AK234" s="749"/>
      <c r="AL234" s="749"/>
    </row>
    <row r="235" spans="2:40">
      <c r="B235" s="1" t="s">
        <v>2858</v>
      </c>
      <c r="C235" s="1" t="s">
        <v>3317</v>
      </c>
      <c r="E235" s="678" t="str">
        <f>IF(G235="","",_xlfn.IFNA(VLOOKUP($H235,Ingredient_prices!$B:$C,2,FALSE),""))</f>
        <v/>
      </c>
      <c r="F235" s="1199" t="str">
        <f t="shared" si="68"/>
        <v/>
      </c>
      <c r="N235" s="1379"/>
      <c r="O235" s="1375" t="str">
        <f t="shared" si="69"/>
        <v/>
      </c>
      <c r="P235" s="1376" t="str">
        <f t="shared" si="60"/>
        <v/>
      </c>
      <c r="Q235" s="1377" t="str">
        <f t="shared" si="61"/>
        <v/>
      </c>
      <c r="R235" s="1377" t="str">
        <f t="shared" si="62"/>
        <v/>
      </c>
      <c r="T235" s="101" t="str">
        <f>IF(O235="","",IF('Charts and graphs'!$C$6="Conventional",IF(N235&gt;0,1000*P235/J235,""),IF(VLOOKUP($E235,$Y:$AE,7,FALSE)=0,IF(N235&gt;0,1000*P235/J235,""),VLOOKUP($E235,$Y:$AE,7,FALSE))))</f>
        <v/>
      </c>
      <c r="U235" s="101" t="str">
        <f t="shared" si="63"/>
        <v/>
      </c>
      <c r="V235" s="101" t="str">
        <f t="shared" si="65"/>
        <v/>
      </c>
      <c r="Y235" s="749" t="s">
        <v>3272</v>
      </c>
      <c r="Z235" s="1">
        <v>20</v>
      </c>
      <c r="AA235" s="749" t="s">
        <v>2384</v>
      </c>
      <c r="AG235" s="5" t="str">
        <f t="shared" si="71"/>
        <v/>
      </c>
      <c r="AH235" s="5" t="str">
        <f>IF(AG235="","",VLOOKUP($Y235,Nutrition_tables!$A:$N,10,FALSE))</f>
        <v/>
      </c>
      <c r="AI235" s="5" t="str">
        <f t="shared" si="64"/>
        <v/>
      </c>
    </row>
    <row r="236" spans="2:40">
      <c r="B236" s="1" t="s">
        <v>952</v>
      </c>
      <c r="C236" s="1" t="s">
        <v>3317</v>
      </c>
      <c r="E236" s="678" t="str">
        <f>IF(G236="","",_xlfn.IFNA(VLOOKUP($H236,Ingredient_prices!$B:$C,2,FALSE),""))</f>
        <v/>
      </c>
      <c r="F236" s="1199" t="str">
        <f t="shared" si="68"/>
        <v/>
      </c>
      <c r="N236" s="1379"/>
      <c r="O236" s="1375" t="str">
        <f t="shared" si="69"/>
        <v/>
      </c>
      <c r="P236" s="1376" t="str">
        <f t="shared" si="60"/>
        <v/>
      </c>
      <c r="Q236" s="1377" t="str">
        <f t="shared" si="61"/>
        <v/>
      </c>
      <c r="R236" s="1377" t="str">
        <f t="shared" si="62"/>
        <v/>
      </c>
      <c r="T236" s="101" t="str">
        <f>IF(O236="","",IF('Charts and graphs'!$C$6="Conventional",IF(N236&gt;0,1000*P236/J236,""),IF(VLOOKUP($E236,$Y:$AE,7,FALSE)=0,IF(N236&gt;0,1000*P236/J236,""),VLOOKUP($E236,$Y:$AE,7,FALSE))))</f>
        <v/>
      </c>
      <c r="U236" s="101" t="str">
        <f t="shared" si="63"/>
        <v/>
      </c>
      <c r="V236" s="101" t="str">
        <f t="shared" si="65"/>
        <v/>
      </c>
      <c r="Y236" s="749" t="s">
        <v>3273</v>
      </c>
      <c r="Z236" s="1">
        <v>10</v>
      </c>
      <c r="AA236" s="749" t="s">
        <v>2384</v>
      </c>
      <c r="AG236" s="5">
        <f t="shared" si="71"/>
        <v>605</v>
      </c>
      <c r="AH236" s="5">
        <f>IF(AG236="","",VLOOKUP($Y236,Nutrition_tables!$A:$N,10,FALSE))</f>
        <v>326</v>
      </c>
      <c r="AI236" s="5">
        <f t="shared" si="64"/>
        <v>0.18558282208588958</v>
      </c>
    </row>
    <row r="237" spans="2:40">
      <c r="B237" s="1" t="s">
        <v>953</v>
      </c>
      <c r="C237" s="1" t="s">
        <v>1783</v>
      </c>
      <c r="E237" s="678" t="str">
        <f>IF(G237="","",_xlfn.IFNA(VLOOKUP($H237,Ingredient_prices!$B:$C,2,FALSE),""))</f>
        <v/>
      </c>
      <c r="F237" s="1199" t="str">
        <f t="shared" si="68"/>
        <v/>
      </c>
      <c r="N237" s="1379"/>
      <c r="O237" s="1375" t="str">
        <f t="shared" si="69"/>
        <v/>
      </c>
      <c r="P237" s="1376" t="str">
        <f t="shared" si="60"/>
        <v/>
      </c>
      <c r="Q237" s="1377" t="str">
        <f t="shared" si="61"/>
        <v/>
      </c>
      <c r="R237" s="1377" t="str">
        <f t="shared" si="62"/>
        <v/>
      </c>
      <c r="T237" s="101" t="str">
        <f>IF(O237="","",IF('Charts and graphs'!$C$6="Conventional",IF(N237&gt;0,1000*P237/J237,""),IF(VLOOKUP($E237,$Y:$AE,7,FALSE)=0,IF(N237&gt;0,1000*P237/J237,""),VLOOKUP($E237,$Y:$AE,7,FALSE))))</f>
        <v/>
      </c>
      <c r="U237" s="101" t="str">
        <f t="shared" si="63"/>
        <v/>
      </c>
      <c r="V237" s="101" t="str">
        <f t="shared" si="65"/>
        <v/>
      </c>
      <c r="Y237" s="749" t="s">
        <v>3274</v>
      </c>
      <c r="Z237" s="1">
        <v>20</v>
      </c>
      <c r="AA237" s="749" t="s">
        <v>2384</v>
      </c>
      <c r="AG237" s="5" t="str">
        <f t="shared" si="71"/>
        <v/>
      </c>
      <c r="AH237" s="5" t="str">
        <f>IF(AG237="","",VLOOKUP($Y237,Nutrition_tables!$A:$N,10,FALSE))</f>
        <v/>
      </c>
      <c r="AI237" s="5" t="str">
        <f t="shared" ref="AI237" si="73">IF(AG237="","",AG237/(AH237*10))</f>
        <v/>
      </c>
      <c r="AK237" s="749"/>
      <c r="AL237" s="749"/>
      <c r="AM237" s="749"/>
      <c r="AN237" s="749"/>
    </row>
    <row r="238" spans="2:40">
      <c r="B238" s="1" t="s">
        <v>954</v>
      </c>
      <c r="C238" s="1" t="s">
        <v>1784</v>
      </c>
      <c r="E238" s="678" t="str">
        <f>IF(G238="","",_xlfn.IFNA(VLOOKUP($H238,Ingredient_prices!$B:$C,2,FALSE),""))</f>
        <v/>
      </c>
      <c r="F238" s="1199" t="str">
        <f t="shared" si="68"/>
        <v/>
      </c>
      <c r="N238" s="1379"/>
      <c r="O238" s="1375" t="str">
        <f t="shared" si="69"/>
        <v/>
      </c>
      <c r="P238" s="1376" t="str">
        <f t="shared" si="60"/>
        <v/>
      </c>
      <c r="Q238" s="1377" t="str">
        <f t="shared" si="61"/>
        <v/>
      </c>
      <c r="R238" s="1377" t="str">
        <f t="shared" si="62"/>
        <v/>
      </c>
      <c r="T238" s="101" t="str">
        <f>IF(O238="","",IF('Charts and graphs'!$C$6="Conventional",IF(N238&gt;0,1000*P238/J238,""),IF(VLOOKUP($E238,$Y:$AE,7,FALSE)=0,IF(N238&gt;0,1000*P238/J238,""),VLOOKUP($E238,$Y:$AE,7,FALSE))))</f>
        <v/>
      </c>
      <c r="U238" s="101" t="str">
        <f t="shared" si="63"/>
        <v/>
      </c>
      <c r="V238" s="101" t="str">
        <f t="shared" si="65"/>
        <v/>
      </c>
      <c r="Y238" s="1" t="s">
        <v>3503</v>
      </c>
      <c r="Z238" s="1">
        <v>20</v>
      </c>
      <c r="AA238" s="749" t="s">
        <v>2384</v>
      </c>
      <c r="AG238" s="5">
        <f t="shared" si="71"/>
        <v>468</v>
      </c>
      <c r="AH238" s="5">
        <f>IF(AG238="","",VLOOKUP($Y238,Nutrition_tables!$A:$N,10,FALSE))</f>
        <v>362</v>
      </c>
      <c r="AI238" s="5">
        <f t="shared" si="64"/>
        <v>0.1292817679558011</v>
      </c>
    </row>
    <row r="239" spans="2:40">
      <c r="B239" s="1" t="s">
        <v>955</v>
      </c>
      <c r="C239" s="1" t="s">
        <v>1785</v>
      </c>
      <c r="E239" s="678" t="str">
        <f>IF(G239="","",_xlfn.IFNA(VLOOKUP($H239,Ingredient_prices!$B:$C,2,FALSE),""))</f>
        <v/>
      </c>
      <c r="F239" s="1199" t="str">
        <f t="shared" si="68"/>
        <v/>
      </c>
      <c r="N239" s="1379"/>
      <c r="O239" s="1375" t="str">
        <f t="shared" si="69"/>
        <v/>
      </c>
      <c r="P239" s="1376" t="str">
        <f t="shared" si="60"/>
        <v/>
      </c>
      <c r="Q239" s="1377" t="str">
        <f t="shared" si="61"/>
        <v/>
      </c>
      <c r="R239" s="1377" t="str">
        <f t="shared" si="62"/>
        <v/>
      </c>
      <c r="T239" s="101" t="str">
        <f>IF(O239="","",IF('Charts and graphs'!$C$6="Conventional",IF(N239&gt;0,1000*P239/J239,""),IF(VLOOKUP($E239,$Y:$AE,7,FALSE)=0,IF(N239&gt;0,1000*P239/J239,""),VLOOKUP($E239,$Y:$AE,7,FALSE))))</f>
        <v/>
      </c>
      <c r="U239" s="101" t="str">
        <f t="shared" si="63"/>
        <v/>
      </c>
      <c r="V239" s="101" t="str">
        <f t="shared" si="65"/>
        <v/>
      </c>
      <c r="Y239" s="1" t="s">
        <v>3254</v>
      </c>
      <c r="Z239" s="1">
        <v>20</v>
      </c>
      <c r="AA239" s="749" t="s">
        <v>2384</v>
      </c>
      <c r="AG239" s="5">
        <f t="shared" si="71"/>
        <v>468</v>
      </c>
      <c r="AH239" s="5">
        <f>IF(AG239="","",VLOOKUP($Y239,Nutrition_tables!$A:$N,10,FALSE))</f>
        <v>362</v>
      </c>
      <c r="AI239" s="5">
        <f t="shared" si="64"/>
        <v>0.1292817679558011</v>
      </c>
    </row>
    <row r="240" spans="2:40">
      <c r="B240" s="1" t="s">
        <v>956</v>
      </c>
      <c r="C240" s="1" t="s">
        <v>1786</v>
      </c>
      <c r="E240" s="678" t="str">
        <f>IF(G240="","",_xlfn.IFNA(VLOOKUP($H240,Ingredient_prices!$B:$C,2,FALSE),""))</f>
        <v/>
      </c>
      <c r="F240" s="1199" t="str">
        <f t="shared" si="68"/>
        <v/>
      </c>
      <c r="N240" s="1379"/>
      <c r="O240" s="1375" t="str">
        <f t="shared" si="69"/>
        <v/>
      </c>
      <c r="P240" s="1376" t="str">
        <f t="shared" si="60"/>
        <v/>
      </c>
      <c r="Q240" s="1377" t="str">
        <f t="shared" si="61"/>
        <v/>
      </c>
      <c r="R240" s="1377" t="str">
        <f t="shared" si="62"/>
        <v/>
      </c>
      <c r="T240" s="101" t="str">
        <f>IF(O240="","",IF('Charts and graphs'!$C$6="Conventional",IF(N240&gt;0,1000*P240/J240,""),IF(VLOOKUP($E240,$Y:$AE,7,FALSE)=0,IF(N240&gt;0,1000*P240/J240,""),VLOOKUP($E240,$Y:$AE,7,FALSE))))</f>
        <v/>
      </c>
      <c r="U240" s="101" t="str">
        <f t="shared" si="63"/>
        <v/>
      </c>
      <c r="V240" s="101" t="str">
        <f t="shared" si="65"/>
        <v/>
      </c>
      <c r="Y240" s="749" t="s">
        <v>3504</v>
      </c>
      <c r="Z240" s="1">
        <v>20</v>
      </c>
      <c r="AA240" s="749" t="s">
        <v>2384</v>
      </c>
      <c r="AG240" s="5" t="str">
        <f t="shared" si="71"/>
        <v/>
      </c>
      <c r="AH240" s="5" t="str">
        <f>IF(AG240="","",VLOOKUP($Y240,Nutrition_tables!$A:$N,10,FALSE))</f>
        <v/>
      </c>
      <c r="AI240" s="5" t="str">
        <f t="shared" ref="AI240" si="74">IF(AG240="","",AG240/(AH240*10))</f>
        <v/>
      </c>
      <c r="AK240" s="749"/>
      <c r="AL240" s="749"/>
    </row>
    <row r="241" spans="2:38">
      <c r="B241" s="1" t="s">
        <v>894</v>
      </c>
      <c r="C241" s="1" t="s">
        <v>3440</v>
      </c>
      <c r="E241" s="678" t="str">
        <f>IF(G241="","",_xlfn.IFNA(VLOOKUP($H241,Ingredient_prices!$B:$C,2,FALSE),""))</f>
        <v/>
      </c>
      <c r="F241" s="1199" t="str">
        <f t="shared" si="68"/>
        <v/>
      </c>
      <c r="N241" s="1379"/>
      <c r="O241" s="1375" t="str">
        <f t="shared" si="69"/>
        <v/>
      </c>
      <c r="P241" s="1376" t="str">
        <f t="shared" si="60"/>
        <v/>
      </c>
      <c r="Q241" s="1377" t="str">
        <f t="shared" si="61"/>
        <v/>
      </c>
      <c r="R241" s="1377" t="str">
        <f t="shared" si="62"/>
        <v/>
      </c>
      <c r="T241" s="101" t="str">
        <f>IF(O241="","",IF('Charts and graphs'!$C$6="Conventional",IF(N241&gt;0,1000*P241/J241,""),IF(VLOOKUP($E241,$Y:$AE,7,FALSE)=0,IF(N241&gt;0,1000*P241/J241,""),VLOOKUP($E241,$Y:$AE,7,FALSE))))</f>
        <v/>
      </c>
      <c r="U241" s="101" t="str">
        <f t="shared" si="63"/>
        <v/>
      </c>
      <c r="V241" s="101" t="str">
        <f t="shared" si="65"/>
        <v/>
      </c>
      <c r="Y241" s="1" t="s">
        <v>3275</v>
      </c>
      <c r="Z241" s="1">
        <v>20</v>
      </c>
      <c r="AA241" s="749" t="s">
        <v>2384</v>
      </c>
      <c r="AG241" s="5">
        <f t="shared" si="71"/>
        <v>228.96</v>
      </c>
      <c r="AH241" s="5">
        <f>IF(AG241="","",VLOOKUP($Y241,Nutrition_tables!$A:$N,10,FALSE))</f>
        <v>346</v>
      </c>
      <c r="AI241" s="5">
        <f t="shared" si="64"/>
        <v>6.617341040462428E-2</v>
      </c>
    </row>
    <row r="242" spans="2:38">
      <c r="B242" s="1" t="s">
        <v>1463</v>
      </c>
      <c r="C242" s="1" t="s">
        <v>3440</v>
      </c>
      <c r="E242" s="678" t="str">
        <f>IF(G242="","",_xlfn.IFNA(VLOOKUP($H242,Ingredient_prices!$B:$C,2,FALSE),""))</f>
        <v/>
      </c>
      <c r="F242" s="1199" t="str">
        <f t="shared" si="68"/>
        <v/>
      </c>
      <c r="N242" s="1379"/>
      <c r="O242" s="1375" t="str">
        <f t="shared" si="69"/>
        <v/>
      </c>
      <c r="P242" s="1376" t="str">
        <f t="shared" si="60"/>
        <v/>
      </c>
      <c r="Q242" s="1377" t="str">
        <f t="shared" si="61"/>
        <v/>
      </c>
      <c r="R242" s="1377" t="str">
        <f t="shared" si="62"/>
        <v/>
      </c>
      <c r="T242" s="101" t="str">
        <f>IF(O242="","",IF('Charts and graphs'!$C$6="Conventional",IF(N242&gt;0,1000*P242/J242,""),IF(VLOOKUP($E242,$Y:$AE,7,FALSE)=0,IF(N242&gt;0,1000*P242/J242,""),VLOOKUP($E242,$Y:$AE,7,FALSE))))</f>
        <v/>
      </c>
      <c r="U242" s="101" t="str">
        <f t="shared" si="63"/>
        <v/>
      </c>
      <c r="V242" s="101" t="str">
        <f t="shared" si="65"/>
        <v/>
      </c>
      <c r="Y242" s="1" t="s">
        <v>3255</v>
      </c>
      <c r="Z242" s="1">
        <v>20</v>
      </c>
      <c r="AA242" s="749" t="s">
        <v>2384</v>
      </c>
      <c r="AG242" s="5" t="str">
        <f t="shared" si="71"/>
        <v/>
      </c>
      <c r="AH242" s="5" t="str">
        <f>IF(AG242="","",VLOOKUP($Y242,Nutrition_tables!$A:$N,10,FALSE))</f>
        <v/>
      </c>
      <c r="AI242" s="5" t="str">
        <f t="shared" si="64"/>
        <v/>
      </c>
    </row>
    <row r="243" spans="2:38">
      <c r="B243" s="1" t="s">
        <v>1603</v>
      </c>
      <c r="C243" s="1" t="s">
        <v>3318</v>
      </c>
      <c r="E243" s="678" t="str">
        <f>IF(G243="","",_xlfn.IFNA(VLOOKUP($H243,Ingredient_prices!$B:$C,2,FALSE),""))</f>
        <v/>
      </c>
      <c r="F243" s="1199" t="str">
        <f t="shared" si="68"/>
        <v/>
      </c>
      <c r="N243" s="1379"/>
      <c r="O243" s="1375" t="str">
        <f t="shared" si="69"/>
        <v/>
      </c>
      <c r="P243" s="1376" t="str">
        <f t="shared" si="60"/>
        <v/>
      </c>
      <c r="Q243" s="1377" t="str">
        <f t="shared" si="61"/>
        <v/>
      </c>
      <c r="R243" s="1377" t="str">
        <f t="shared" si="62"/>
        <v/>
      </c>
      <c r="T243" s="101" t="str">
        <f>IF(O243="","",IF('Charts and graphs'!$C$6="Conventional",IF(N243&gt;0,1000*P243/J243,""),IF(VLOOKUP($E243,$Y:$AE,7,FALSE)=0,IF(N243&gt;0,1000*P243/J243,""),VLOOKUP($E243,$Y:$AE,7,FALSE))))</f>
        <v/>
      </c>
      <c r="U243" s="101" t="str">
        <f t="shared" si="63"/>
        <v/>
      </c>
      <c r="V243" s="101" t="str">
        <f t="shared" si="65"/>
        <v/>
      </c>
      <c r="Y243" s="1" t="s">
        <v>3505</v>
      </c>
      <c r="Z243" s="1">
        <v>20</v>
      </c>
      <c r="AA243" s="749" t="s">
        <v>2384</v>
      </c>
      <c r="AG243" s="5" t="str">
        <f t="shared" si="71"/>
        <v/>
      </c>
      <c r="AH243" s="5" t="str">
        <f>IF(AG243="","",VLOOKUP($Y243,Nutrition_tables!$A:$N,10,FALSE))</f>
        <v/>
      </c>
      <c r="AI243" s="5" t="str">
        <f t="shared" si="64"/>
        <v/>
      </c>
    </row>
    <row r="244" spans="2:38">
      <c r="B244" s="1" t="s">
        <v>1513</v>
      </c>
      <c r="C244" s="1" t="s">
        <v>3318</v>
      </c>
      <c r="E244" s="678" t="str">
        <f>IF(G244="","",_xlfn.IFNA(VLOOKUP($H244,Ingredient_prices!$B:$C,2,FALSE),""))</f>
        <v/>
      </c>
      <c r="F244" s="1199" t="str">
        <f t="shared" si="68"/>
        <v/>
      </c>
      <c r="N244" s="1379"/>
      <c r="O244" s="1375" t="str">
        <f t="shared" si="69"/>
        <v/>
      </c>
      <c r="P244" s="1376" t="str">
        <f t="shared" si="60"/>
        <v/>
      </c>
      <c r="Q244" s="1377" t="str">
        <f t="shared" si="61"/>
        <v/>
      </c>
      <c r="R244" s="1377" t="str">
        <f t="shared" si="62"/>
        <v/>
      </c>
      <c r="T244" s="101" t="str">
        <f>IF(O244="","",IF('Charts and graphs'!$C$6="Conventional",IF(N244&gt;0,1000*P244/J244,""),IF(VLOOKUP($E244,$Y:$AE,7,FALSE)=0,IF(N244&gt;0,1000*P244/J244,""),VLOOKUP($E244,$Y:$AE,7,FALSE))))</f>
        <v/>
      </c>
      <c r="U244" s="101" t="str">
        <f t="shared" si="63"/>
        <v/>
      </c>
      <c r="V244" s="101" t="str">
        <f t="shared" si="65"/>
        <v/>
      </c>
      <c r="Y244" s="1" t="s">
        <v>3276</v>
      </c>
      <c r="Z244" s="1">
        <v>20</v>
      </c>
      <c r="AA244" s="749" t="s">
        <v>2384</v>
      </c>
      <c r="AG244" s="5">
        <f t="shared" si="71"/>
        <v>345.6</v>
      </c>
      <c r="AH244" s="5">
        <f>IF(AG244="","",VLOOKUP($Y244,Nutrition_tables!$A:$N,10,FALSE))</f>
        <v>349</v>
      </c>
      <c r="AI244" s="5">
        <f t="shared" si="64"/>
        <v>9.9025787965616049E-2</v>
      </c>
    </row>
    <row r="245" spans="2:38">
      <c r="B245" s="1" t="s">
        <v>2859</v>
      </c>
      <c r="C245" s="1" t="s">
        <v>3318</v>
      </c>
      <c r="E245" s="678" t="str">
        <f>IF(G245="","",_xlfn.IFNA(VLOOKUP($H245,Ingredient_prices!$B:$C,2,FALSE),""))</f>
        <v/>
      </c>
      <c r="F245" s="1199" t="str">
        <f t="shared" si="68"/>
        <v/>
      </c>
      <c r="N245" s="1379"/>
      <c r="O245" s="1375" t="str">
        <f t="shared" si="69"/>
        <v/>
      </c>
      <c r="P245" s="1376" t="str">
        <f t="shared" si="60"/>
        <v/>
      </c>
      <c r="Q245" s="1377" t="str">
        <f t="shared" si="61"/>
        <v/>
      </c>
      <c r="R245" s="1377" t="str">
        <f t="shared" si="62"/>
        <v/>
      </c>
      <c r="T245" s="101" t="str">
        <f>IF(O245="","",IF('Charts and graphs'!$C$6="Conventional",IF(N245&gt;0,1000*P245/J245,""),IF(VLOOKUP($E245,$Y:$AE,7,FALSE)=0,IF(N245&gt;0,1000*P245/J245,""),VLOOKUP($E245,$Y:$AE,7,FALSE))))</f>
        <v/>
      </c>
      <c r="U245" s="101" t="str">
        <f t="shared" si="63"/>
        <v/>
      </c>
      <c r="V245" s="101" t="str">
        <f t="shared" si="65"/>
        <v/>
      </c>
      <c r="Y245" s="1" t="s">
        <v>3256</v>
      </c>
      <c r="Z245" s="1">
        <v>20</v>
      </c>
      <c r="AA245" s="749" t="s">
        <v>2384</v>
      </c>
      <c r="AG245" s="5">
        <f t="shared" si="71"/>
        <v>174</v>
      </c>
      <c r="AH245" s="5">
        <f>IF(AG245="","",VLOOKUP($Y245,Nutrition_tables!$A:$N,10,FALSE))</f>
        <v>377</v>
      </c>
      <c r="AI245" s="5">
        <f t="shared" si="64"/>
        <v>4.6153846153846156E-2</v>
      </c>
    </row>
    <row r="246" spans="2:38">
      <c r="B246" s="1" t="s">
        <v>957</v>
      </c>
      <c r="C246" s="1" t="s">
        <v>3318</v>
      </c>
      <c r="E246" s="678" t="str">
        <f>IF(G246="","",_xlfn.IFNA(VLOOKUP($H246,Ingredient_prices!$B:$C,2,FALSE),""))</f>
        <v/>
      </c>
      <c r="F246" s="1199" t="str">
        <f t="shared" si="68"/>
        <v/>
      </c>
      <c r="N246" s="1379"/>
      <c r="O246" s="1375" t="str">
        <f t="shared" si="69"/>
        <v/>
      </c>
      <c r="P246" s="1376" t="str">
        <f t="shared" si="60"/>
        <v/>
      </c>
      <c r="Q246" s="1377" t="str">
        <f t="shared" si="61"/>
        <v/>
      </c>
      <c r="R246" s="1377" t="str">
        <f t="shared" si="62"/>
        <v/>
      </c>
      <c r="T246" s="101" t="str">
        <f>IF(O246="","",IF('Charts and graphs'!$C$6="Conventional",IF(N246&gt;0,1000*P246/J246,""),IF(VLOOKUP($E246,$Y:$AE,7,FALSE)=0,IF(N246&gt;0,1000*P246/J246,""),VLOOKUP($E246,$Y:$AE,7,FALSE))))</f>
        <v/>
      </c>
      <c r="U246" s="101" t="str">
        <f t="shared" si="63"/>
        <v/>
      </c>
      <c r="V246" s="101" t="str">
        <f t="shared" si="65"/>
        <v/>
      </c>
      <c r="Y246" s="1" t="s">
        <v>3277</v>
      </c>
      <c r="Z246" s="1">
        <v>20</v>
      </c>
      <c r="AA246" s="749" t="s">
        <v>2384</v>
      </c>
      <c r="AG246" s="5" t="str">
        <f t="shared" si="71"/>
        <v/>
      </c>
      <c r="AH246" s="5" t="str">
        <f>IF(AG246="","",VLOOKUP($Y246,Nutrition_tables!$A:$N,10,FALSE))</f>
        <v/>
      </c>
      <c r="AI246" s="5" t="str">
        <f t="shared" si="64"/>
        <v/>
      </c>
    </row>
    <row r="247" spans="2:38">
      <c r="B247" s="1" t="s">
        <v>1487</v>
      </c>
      <c r="C247" s="1" t="s">
        <v>3321</v>
      </c>
      <c r="E247" s="678" t="str">
        <f>IF(G247="","",_xlfn.IFNA(VLOOKUP($H247,Ingredient_prices!$B:$C,2,FALSE),""))</f>
        <v/>
      </c>
      <c r="F247" s="1199" t="str">
        <f t="shared" si="68"/>
        <v/>
      </c>
      <c r="N247" s="1379"/>
      <c r="O247" s="1375" t="str">
        <f t="shared" si="69"/>
        <v/>
      </c>
      <c r="P247" s="1376" t="str">
        <f t="shared" si="60"/>
        <v/>
      </c>
      <c r="Q247" s="1377" t="str">
        <f t="shared" si="61"/>
        <v/>
      </c>
      <c r="R247" s="1377" t="str">
        <f t="shared" si="62"/>
        <v/>
      </c>
      <c r="T247" s="101" t="str">
        <f>IF(O247="","",IF('Charts and graphs'!$C$6="Conventional",IF(N247&gt;0,1000*P247/J247,""),IF(VLOOKUP($E247,$Y:$AE,7,FALSE)=0,IF(N247&gt;0,1000*P247/J247,""),VLOOKUP($E247,$Y:$AE,7,FALSE))))</f>
        <v/>
      </c>
      <c r="U247" s="101" t="str">
        <f t="shared" si="63"/>
        <v/>
      </c>
      <c r="V247" s="101" t="str">
        <f t="shared" si="65"/>
        <v/>
      </c>
      <c r="Y247" s="1" t="s">
        <v>3257</v>
      </c>
      <c r="Z247" s="1">
        <v>20</v>
      </c>
      <c r="AA247" s="749" t="s">
        <v>2384</v>
      </c>
      <c r="AG247" s="5">
        <f t="shared" si="71"/>
        <v>276</v>
      </c>
      <c r="AH247" s="5">
        <f>IF(AG247="","",VLOOKUP($Y247,Nutrition_tables!$A:$N,10,FALSE))</f>
        <v>377</v>
      </c>
      <c r="AI247" s="5">
        <f t="shared" si="64"/>
        <v>7.3209549071618044E-2</v>
      </c>
    </row>
    <row r="248" spans="2:38">
      <c r="B248" s="1" t="s">
        <v>958</v>
      </c>
      <c r="C248" s="1" t="s">
        <v>1789</v>
      </c>
      <c r="E248" s="466">
        <f>COUNTIF(E4:E247,"Čaj")</f>
        <v>0</v>
      </c>
      <c r="F248" s="1199" t="str">
        <f t="shared" ref="F248:F257" si="75">IF(G248="","",IF(LEFT(G248,1)="P",G248,F247))</f>
        <v/>
      </c>
      <c r="N248" s="1379"/>
      <c r="O248" s="1380"/>
      <c r="P248" s="1376" t="str">
        <f t="shared" si="60"/>
        <v/>
      </c>
      <c r="Q248" s="1377" t="str">
        <f t="shared" si="61"/>
        <v/>
      </c>
      <c r="R248" s="1377" t="str">
        <f t="shared" si="62"/>
        <v/>
      </c>
      <c r="T248" s="101" t="str">
        <f>IF(O248="","",IF('Charts and graphs'!$C$6="Conventional",IF(N248&gt;0,1000*P248/J248,""),IF(VLOOKUP($E248,$Y:$AE,7,FALSE)=0,IF(N248&gt;0,1000*P248/J248,""),VLOOKUP($E248,$Y:$AE,7,FALSE))))</f>
        <v/>
      </c>
      <c r="U248" s="101" t="str">
        <f t="shared" si="63"/>
        <v/>
      </c>
      <c r="V248" s="101" t="str">
        <f t="shared" si="65"/>
        <v/>
      </c>
      <c r="Y248" s="1" t="s">
        <v>3258</v>
      </c>
      <c r="Z248" s="1">
        <v>20</v>
      </c>
      <c r="AA248" s="749" t="s">
        <v>2384</v>
      </c>
      <c r="AG248" s="5" t="str">
        <f t="shared" si="71"/>
        <v/>
      </c>
      <c r="AH248" s="5" t="str">
        <f>IF(AG248="","",VLOOKUP($Y248,Nutrition_tables!$A:$N,10,FALSE))</f>
        <v/>
      </c>
      <c r="AI248" s="5" t="str">
        <f>IF(AG248="","",AG248/(AH248*10))</f>
        <v/>
      </c>
    </row>
    <row r="249" spans="2:38">
      <c r="B249" s="1" t="s">
        <v>895</v>
      </c>
      <c r="C249" s="1" t="s">
        <v>1790</v>
      </c>
      <c r="E249" s="466"/>
      <c r="F249" s="1199" t="str">
        <f t="shared" si="75"/>
        <v/>
      </c>
      <c r="N249" s="1379"/>
      <c r="O249" s="1380"/>
      <c r="P249" s="1376" t="str">
        <f t="shared" si="60"/>
        <v/>
      </c>
      <c r="Q249" s="1377" t="str">
        <f t="shared" si="61"/>
        <v/>
      </c>
      <c r="R249" s="1377" t="str">
        <f t="shared" si="62"/>
        <v/>
      </c>
      <c r="T249" s="101" t="str">
        <f>IF(O249="","",IF('Charts and graphs'!$C$6="Conventional",IF(N249&gt;0,1000*P249/J249,""),IF(VLOOKUP($E249,$Y:$AE,7,FALSE)=0,IF(N249&gt;0,1000*P249/J249,""),VLOOKUP($E249,$Y:$AE,7,FALSE))))</f>
        <v/>
      </c>
      <c r="U249" s="101" t="str">
        <f t="shared" si="63"/>
        <v/>
      </c>
      <c r="V249" s="101" t="str">
        <f t="shared" si="65"/>
        <v/>
      </c>
      <c r="Y249" s="1" t="s">
        <v>3259</v>
      </c>
      <c r="Z249" s="1">
        <v>20</v>
      </c>
      <c r="AA249" s="749" t="s">
        <v>2384</v>
      </c>
      <c r="AG249" s="5" t="str">
        <f t="shared" si="71"/>
        <v/>
      </c>
      <c r="AH249" s="5" t="str">
        <f>IF(AG249="","",VLOOKUP($Y249,Nutrition_tables!$A:$N,10,FALSE))</f>
        <v/>
      </c>
      <c r="AI249" s="5" t="str">
        <f t="shared" si="64"/>
        <v/>
      </c>
    </row>
    <row r="250" spans="2:38">
      <c r="B250" s="1" t="s">
        <v>959</v>
      </c>
      <c r="C250" s="1" t="s">
        <v>1791</v>
      </c>
      <c r="E250" s="466"/>
      <c r="F250" s="1199" t="str">
        <f t="shared" si="75"/>
        <v/>
      </c>
      <c r="N250" s="1379"/>
      <c r="O250" s="1380"/>
      <c r="P250" s="1376" t="str">
        <f t="shared" si="60"/>
        <v/>
      </c>
      <c r="Q250" s="1377" t="str">
        <f t="shared" si="61"/>
        <v/>
      </c>
      <c r="R250" s="1377" t="str">
        <f t="shared" si="62"/>
        <v/>
      </c>
      <c r="T250" s="101" t="str">
        <f>IF(O250="","",IF('Charts and graphs'!$C$6="Conventional",IF(N250&gt;0,1000*P250/J250,""),IF(VLOOKUP($E250,$Y:$AE,7,FALSE)=0,IF(N250&gt;0,1000*P250/J250,""),VLOOKUP($E250,$Y:$AE,7,FALSE))))</f>
        <v/>
      </c>
      <c r="U250" s="101" t="str">
        <f t="shared" si="63"/>
        <v/>
      </c>
      <c r="V250" s="101" t="str">
        <f t="shared" si="65"/>
        <v/>
      </c>
      <c r="Y250" s="24" t="s">
        <v>3278</v>
      </c>
      <c r="Z250" s="24"/>
      <c r="AA250" s="492" t="s">
        <v>2384</v>
      </c>
      <c r="AG250" s="5" t="str">
        <f t="shared" si="71"/>
        <v/>
      </c>
      <c r="AH250" s="5" t="str">
        <f>IF(AG250="","",VLOOKUP($Y250,Nutrition_tables!$A:$N,10,FALSE))</f>
        <v/>
      </c>
      <c r="AI250" s="5" t="str">
        <f t="shared" si="64"/>
        <v/>
      </c>
    </row>
    <row r="251" spans="2:38">
      <c r="B251" s="1" t="s">
        <v>1725</v>
      </c>
      <c r="C251" s="1" t="s">
        <v>1792</v>
      </c>
      <c r="E251" s="466"/>
      <c r="F251" s="1199" t="str">
        <f t="shared" si="75"/>
        <v/>
      </c>
      <c r="N251" s="1379"/>
      <c r="O251" s="1380"/>
      <c r="P251" s="1376" t="str">
        <f t="shared" si="60"/>
        <v/>
      </c>
      <c r="Q251" s="1377" t="str">
        <f t="shared" si="61"/>
        <v/>
      </c>
      <c r="R251" s="1377" t="str">
        <f t="shared" si="62"/>
        <v/>
      </c>
      <c r="T251" s="101" t="str">
        <f>IF(O251="","",IF('Charts and graphs'!$C$6="Conventional",IF(N251&gt;0,1000*P251/J251,""),IF(VLOOKUP($E251,$Y:$AE,7,FALSE)=0,IF(N251&gt;0,1000*P251/J251,""),VLOOKUP($E251,$Y:$AE,7,FALSE))))</f>
        <v/>
      </c>
      <c r="U251" s="101" t="str">
        <f t="shared" si="63"/>
        <v/>
      </c>
      <c r="V251" s="101" t="str">
        <f t="shared" si="65"/>
        <v/>
      </c>
      <c r="Y251" s="1" t="s">
        <v>3279</v>
      </c>
      <c r="Z251" s="1">
        <v>20</v>
      </c>
      <c r="AA251" s="749" t="s">
        <v>2385</v>
      </c>
      <c r="AG251" s="5" t="str">
        <f t="shared" si="71"/>
        <v/>
      </c>
      <c r="AH251" s="5" t="str">
        <f>IF(AG251="","",VLOOKUP($Y251,Nutrition_tables!$A:$N,10,FALSE))</f>
        <v/>
      </c>
      <c r="AI251" s="5" t="str">
        <f t="shared" si="64"/>
        <v/>
      </c>
    </row>
    <row r="252" spans="2:38">
      <c r="B252" s="1" t="s">
        <v>864</v>
      </c>
      <c r="C252" s="1" t="s">
        <v>1792</v>
      </c>
      <c r="E252" s="466"/>
      <c r="F252" s="1199" t="str">
        <f t="shared" si="75"/>
        <v/>
      </c>
      <c r="N252" s="1379"/>
      <c r="O252" s="1380"/>
      <c r="P252" s="1376" t="str">
        <f t="shared" si="60"/>
        <v/>
      </c>
      <c r="Q252" s="1377" t="str">
        <f t="shared" si="61"/>
        <v/>
      </c>
      <c r="R252" s="1377" t="str">
        <f t="shared" si="62"/>
        <v/>
      </c>
      <c r="T252" s="101" t="str">
        <f>IF(O252="","",IF('Charts and graphs'!$C$6="Conventional",IF(N252&gt;0,1000*P252/J252,""),IF(VLOOKUP($E252,$Y:$AE,7,FALSE)=0,IF(N252&gt;0,1000*P252/J252,""),VLOOKUP($E252,$Y:$AE,7,FALSE))))</f>
        <v/>
      </c>
      <c r="U252" s="101" t="str">
        <f t="shared" si="63"/>
        <v/>
      </c>
      <c r="V252" s="101" t="str">
        <f t="shared" si="65"/>
        <v/>
      </c>
      <c r="Y252" s="1" t="s">
        <v>3286</v>
      </c>
      <c r="Z252" s="1">
        <v>20</v>
      </c>
      <c r="AA252" s="749" t="s">
        <v>2385</v>
      </c>
      <c r="AG252" s="5" t="str">
        <f t="shared" si="71"/>
        <v/>
      </c>
      <c r="AH252" s="5" t="str">
        <f>IF(AG252="","",VLOOKUP($Y252,Nutrition_tables!$A:$N,10,FALSE))</f>
        <v/>
      </c>
      <c r="AI252" s="5" t="str">
        <f t="shared" ref="AI252" si="76">IF(AG252="","",AG252/(AH252*10))</f>
        <v/>
      </c>
      <c r="AK252" s="749"/>
      <c r="AL252" s="749"/>
    </row>
    <row r="253" spans="2:38">
      <c r="B253" s="1" t="s">
        <v>960</v>
      </c>
      <c r="C253" s="1" t="s">
        <v>1792</v>
      </c>
      <c r="E253" s="466"/>
      <c r="F253" s="1199" t="str">
        <f t="shared" si="75"/>
        <v/>
      </c>
      <c r="N253" s="1379"/>
      <c r="O253" s="1380"/>
      <c r="P253" s="1376" t="str">
        <f t="shared" si="60"/>
        <v/>
      </c>
      <c r="Q253" s="1377" t="str">
        <f t="shared" si="61"/>
        <v/>
      </c>
      <c r="R253" s="1377" t="str">
        <f t="shared" si="62"/>
        <v/>
      </c>
      <c r="T253" s="101" t="str">
        <f>IF(O253="","",IF('Charts and graphs'!$C$6="Conventional",IF(N253&gt;0,1000*P253/J253,""),IF(VLOOKUP($E253,$Y:$AE,7,FALSE)=0,IF(N253&gt;0,1000*P253/J253,""),VLOOKUP($E253,$Y:$AE,7,FALSE))))</f>
        <v/>
      </c>
      <c r="U253" s="101" t="str">
        <f t="shared" si="63"/>
        <v/>
      </c>
      <c r="V253" s="101" t="str">
        <f t="shared" si="65"/>
        <v/>
      </c>
      <c r="Y253" s="1" t="s">
        <v>3287</v>
      </c>
      <c r="Z253" s="1">
        <v>20</v>
      </c>
      <c r="AA253" s="749" t="s">
        <v>2385</v>
      </c>
      <c r="AG253" s="5" t="str">
        <f t="shared" si="71"/>
        <v/>
      </c>
      <c r="AH253" s="5" t="str">
        <f>IF(AG253="","",VLOOKUP($Y253,Nutrition_tables!$A:$N,10,FALSE))</f>
        <v/>
      </c>
      <c r="AI253" s="5" t="str">
        <f t="shared" si="64"/>
        <v/>
      </c>
    </row>
    <row r="254" spans="2:38">
      <c r="B254" s="1" t="s">
        <v>1498</v>
      </c>
      <c r="C254" s="1" t="s">
        <v>1792</v>
      </c>
      <c r="E254" s="466"/>
      <c r="F254" s="1199" t="str">
        <f t="shared" si="75"/>
        <v/>
      </c>
      <c r="N254" s="1379"/>
      <c r="O254" s="1380"/>
      <c r="P254" s="1376" t="str">
        <f t="shared" si="60"/>
        <v/>
      </c>
      <c r="Q254" s="1377" t="str">
        <f t="shared" si="61"/>
        <v/>
      </c>
      <c r="R254" s="1377" t="str">
        <f t="shared" si="62"/>
        <v/>
      </c>
      <c r="T254" s="101" t="str">
        <f>IF(O254="","",IF('Charts and graphs'!$C$6="Conventional",IF(N254&gt;0,1000*P254/J254,""),IF(VLOOKUP($E254,$Y:$AE,7,FALSE)=0,IF(N254&gt;0,1000*P254/J254,""),VLOOKUP($E254,$Y:$AE,7,FALSE))))</f>
        <v/>
      </c>
      <c r="U254" s="101" t="str">
        <f t="shared" si="63"/>
        <v/>
      </c>
      <c r="V254" s="101" t="str">
        <f t="shared" si="65"/>
        <v/>
      </c>
      <c r="Y254" s="1" t="s">
        <v>3280</v>
      </c>
      <c r="Z254" s="1">
        <v>20</v>
      </c>
      <c r="AA254" s="749" t="s">
        <v>2385</v>
      </c>
      <c r="AG254" s="5">
        <f t="shared" si="71"/>
        <v>110.4</v>
      </c>
      <c r="AH254" s="5">
        <f>IF(AG254="","",VLOOKUP($Y254,Nutrition_tables!$A:$N,10,FALSE))</f>
        <v>114</v>
      </c>
      <c r="AI254" s="5">
        <f t="shared" si="64"/>
        <v>9.6842105263157896E-2</v>
      </c>
    </row>
    <row r="255" spans="2:38">
      <c r="B255" s="1" t="s">
        <v>961</v>
      </c>
      <c r="C255" s="1" t="s">
        <v>3319</v>
      </c>
      <c r="E255" s="466"/>
      <c r="F255" s="1199" t="str">
        <f t="shared" si="75"/>
        <v/>
      </c>
      <c r="N255" s="1379"/>
      <c r="O255" s="1380"/>
      <c r="P255" s="1376" t="str">
        <f t="shared" si="60"/>
        <v/>
      </c>
      <c r="Q255" s="1377" t="str">
        <f t="shared" si="61"/>
        <v/>
      </c>
      <c r="R255" s="1377" t="str">
        <f t="shared" si="62"/>
        <v/>
      </c>
      <c r="T255" s="101" t="str">
        <f>IF(O255="","",IF('Charts and graphs'!$C$6="Conventional",IF(N255&gt;0,1000*P255/J255,""),IF(VLOOKUP($E255,$Y:$AE,7,FALSE)=0,IF(N255&gt;0,1000*P255/J255,""),VLOOKUP($E255,$Y:$AE,7,FALSE))))</f>
        <v/>
      </c>
      <c r="U255" s="101" t="str">
        <f t="shared" si="63"/>
        <v/>
      </c>
      <c r="V255" s="101" t="str">
        <f t="shared" si="65"/>
        <v/>
      </c>
      <c r="Y255" s="1" t="s">
        <v>3281</v>
      </c>
      <c r="Z255" s="1">
        <v>20</v>
      </c>
      <c r="AA255" s="749" t="s">
        <v>2385</v>
      </c>
      <c r="AG255" s="5" t="str">
        <f t="shared" si="71"/>
        <v/>
      </c>
      <c r="AH255" s="5" t="str">
        <f>IF(AG255="","",VLOOKUP($Y255,Nutrition_tables!$A:$N,10,FALSE))</f>
        <v/>
      </c>
      <c r="AI255" s="5" t="str">
        <f t="shared" si="64"/>
        <v/>
      </c>
    </row>
    <row r="256" spans="2:38">
      <c r="B256" s="1135" t="s">
        <v>1309</v>
      </c>
      <c r="C256" s="1" t="s">
        <v>3319</v>
      </c>
      <c r="E256" s="466"/>
      <c r="F256" s="1199" t="str">
        <f t="shared" si="75"/>
        <v/>
      </c>
      <c r="N256" s="1379"/>
      <c r="O256" s="1380"/>
      <c r="P256" s="1376" t="str">
        <f t="shared" si="60"/>
        <v/>
      </c>
      <c r="Q256" s="1377" t="str">
        <f t="shared" si="61"/>
        <v/>
      </c>
      <c r="R256" s="1377" t="str">
        <f t="shared" si="62"/>
        <v/>
      </c>
      <c r="T256" s="101" t="str">
        <f>IF(O256="","",IF('Charts and graphs'!$C$6="Conventional",IF(N256&gt;0,1000*P256/J256,""),IF(VLOOKUP($E256,$Y:$AE,7,FALSE)=0,IF(N256&gt;0,1000*P256/J256,""),VLOOKUP($E256,$Y:$AE,7,FALSE))))</f>
        <v/>
      </c>
      <c r="U256" s="101" t="str">
        <f t="shared" si="63"/>
        <v/>
      </c>
      <c r="V256" s="101" t="str">
        <f t="shared" si="65"/>
        <v/>
      </c>
      <c r="Y256" s="1" t="s">
        <v>1958</v>
      </c>
      <c r="Z256" s="1">
        <v>20</v>
      </c>
      <c r="AA256" s="749" t="s">
        <v>2385</v>
      </c>
      <c r="AG256" s="5" t="str">
        <f t="shared" si="71"/>
        <v/>
      </c>
      <c r="AH256" s="5" t="str">
        <f>IF(AG256="","",VLOOKUP($Y256,Nutrition_tables!$A:$N,10,FALSE))</f>
        <v/>
      </c>
      <c r="AI256" s="5" t="str">
        <f t="shared" si="64"/>
        <v/>
      </c>
    </row>
    <row r="257" spans="1:42">
      <c r="B257" s="1" t="s">
        <v>962</v>
      </c>
      <c r="C257" s="1" t="s">
        <v>467</v>
      </c>
      <c r="E257" s="466"/>
      <c r="F257" s="1199" t="str">
        <f t="shared" si="75"/>
        <v/>
      </c>
      <c r="N257" s="1379"/>
      <c r="O257" s="1380"/>
      <c r="P257" s="1376" t="str">
        <f t="shared" si="60"/>
        <v/>
      </c>
      <c r="Q257" s="1377" t="str">
        <f t="shared" si="61"/>
        <v/>
      </c>
      <c r="R257" s="1377" t="str">
        <f t="shared" si="62"/>
        <v/>
      </c>
      <c r="T257" s="101" t="str">
        <f>IF(O257="","",IF('Charts and graphs'!$C$6="Conventional",IF(N257&gt;0,1000*P257/J257,""),IF(VLOOKUP($E257,$Y:$AE,7,FALSE)=0,IF(N257&gt;0,1000*P257/J257,""),VLOOKUP($E257,$Y:$AE,7,FALSE))))</f>
        <v/>
      </c>
      <c r="U257" s="101" t="str">
        <f t="shared" si="63"/>
        <v/>
      </c>
      <c r="V257" s="101" t="str">
        <f t="shared" si="65"/>
        <v/>
      </c>
      <c r="Y257" s="1" t="s">
        <v>1959</v>
      </c>
      <c r="Z257" s="1">
        <v>20</v>
      </c>
      <c r="AA257" s="749" t="s">
        <v>2385</v>
      </c>
      <c r="AG257" s="5" t="str">
        <f t="shared" si="71"/>
        <v/>
      </c>
      <c r="AH257" s="5" t="str">
        <f>IF(AG257="","",VLOOKUP($Y257,Nutrition_tables!$A:$N,10,FALSE))</f>
        <v/>
      </c>
      <c r="AI257" s="5" t="str">
        <f t="shared" si="64"/>
        <v/>
      </c>
    </row>
    <row r="258" spans="1:42">
      <c r="B258" s="749" t="s">
        <v>2124</v>
      </c>
      <c r="C258" s="1" t="s">
        <v>467</v>
      </c>
      <c r="E258" s="466"/>
      <c r="T258" s="101" t="str">
        <f>IF(O258="","",IF('Charts and graphs'!$C$6="Conventional",IF(N258&gt;0,1000*P258/J258,""),IF(VLOOKUP($E258,$Y:$AE,7,FALSE)=0,IF(N258&gt;0,1000*P258/J258,""),VLOOKUP($E258,$Y:$AE,7,FALSE))))</f>
        <v/>
      </c>
      <c r="U258" s="101" t="str">
        <f t="shared" si="63"/>
        <v/>
      </c>
      <c r="V258" s="101" t="str">
        <f t="shared" si="65"/>
        <v/>
      </c>
      <c r="Y258" s="1" t="s">
        <v>1960</v>
      </c>
      <c r="Z258" s="1">
        <v>20</v>
      </c>
      <c r="AA258" s="749" t="s">
        <v>2385</v>
      </c>
      <c r="AG258" s="5" t="str">
        <f t="shared" si="71"/>
        <v/>
      </c>
      <c r="AH258" s="5" t="str">
        <f>IF(AG258="","",VLOOKUP($Y258,Nutrition_tables!$A:$N,10,FALSE))</f>
        <v/>
      </c>
      <c r="AI258" s="5" t="str">
        <f t="shared" si="64"/>
        <v/>
      </c>
    </row>
    <row r="259" spans="1:42">
      <c r="B259" s="1" t="s">
        <v>963</v>
      </c>
      <c r="C259" s="1" t="s">
        <v>3320</v>
      </c>
      <c r="E259" s="466"/>
      <c r="T259" s="101" t="str">
        <f>IF(O259="","",IF('Charts and graphs'!$C$6="Conventional",IF(N259&gt;0,1000*P259/J259,""),IF(VLOOKUP($E259,$Y:$AE,7,FALSE)=0,IF(N259&gt;0,1000*P259/J259,""),VLOOKUP($E259,$Y:$AE,7,FALSE))))</f>
        <v/>
      </c>
      <c r="U259" s="101" t="str">
        <f t="shared" si="63"/>
        <v/>
      </c>
      <c r="V259" s="101" t="str">
        <f t="shared" si="65"/>
        <v/>
      </c>
      <c r="Y259" s="749" t="s">
        <v>3288</v>
      </c>
      <c r="Z259" s="1">
        <v>20</v>
      </c>
      <c r="AA259" s="749" t="s">
        <v>2385</v>
      </c>
      <c r="AG259" s="5">
        <f t="shared" si="71"/>
        <v>72</v>
      </c>
      <c r="AH259" s="5">
        <f>IF(AG259="","",VLOOKUP($Y259,Nutrition_tables!$A:$N,10,FALSE))</f>
        <v>27</v>
      </c>
      <c r="AI259" s="5">
        <f t="shared" si="64"/>
        <v>0.26666666666666666</v>
      </c>
    </row>
    <row r="260" spans="1:42">
      <c r="B260" s="1" t="s">
        <v>964</v>
      </c>
      <c r="C260" s="1" t="s">
        <v>3321</v>
      </c>
      <c r="E260" s="466"/>
      <c r="T260" s="101" t="str">
        <f>IF(O260="","",IF('Charts and graphs'!$C$6="Conventional",IF(N260&gt;0,1000*P260/J260,""),IF(VLOOKUP($E260,$Y:$AE,7,FALSE)=0,IF(N260&gt;0,1000*P260/J260,""),VLOOKUP($E260,$Y:$AE,7,FALSE))))</f>
        <v/>
      </c>
      <c r="U260" s="101" t="str">
        <f t="shared" ref="U260:U317" si="77">IF(O260="","",IF(N260&gt;0,1000*P260/J260,""))</f>
        <v/>
      </c>
      <c r="V260" s="101" t="str">
        <f t="shared" si="65"/>
        <v/>
      </c>
      <c r="Y260" s="1" t="s">
        <v>1961</v>
      </c>
      <c r="Z260" s="1">
        <v>20</v>
      </c>
      <c r="AA260" s="749" t="s">
        <v>2385</v>
      </c>
      <c r="AG260" s="5">
        <f t="shared" si="71"/>
        <v>456</v>
      </c>
      <c r="AH260" s="5">
        <f>IF(AG260="","",VLOOKUP($Y260,Nutrition_tables!$A:$N,10,FALSE))</f>
        <v>88</v>
      </c>
      <c r="AI260" s="5">
        <f t="shared" si="64"/>
        <v>0.51818181818181819</v>
      </c>
    </row>
    <row r="261" spans="1:42">
      <c r="B261" s="1" t="s">
        <v>965</v>
      </c>
      <c r="C261" s="749" t="s">
        <v>3322</v>
      </c>
      <c r="E261" s="466"/>
      <c r="T261" s="101" t="str">
        <f>IF(O261="","",IF('Charts and graphs'!$C$6="Conventional",IF(N261&gt;0,1000*P261/J261,""),IF(VLOOKUP($E261,$Y:$AE,7,FALSE)=0,IF(N261&gt;0,1000*P261/J261,""),VLOOKUP($E261,$Y:$AE,7,FALSE))))</f>
        <v/>
      </c>
      <c r="U261" s="101" t="str">
        <f t="shared" si="77"/>
        <v/>
      </c>
      <c r="V261" s="101" t="str">
        <f t="shared" si="65"/>
        <v/>
      </c>
      <c r="Y261" s="749" t="s">
        <v>3289</v>
      </c>
      <c r="Z261" s="1">
        <v>20</v>
      </c>
      <c r="AA261" s="749" t="s">
        <v>2385</v>
      </c>
      <c r="AG261" s="5" t="str">
        <f t="shared" si="71"/>
        <v/>
      </c>
      <c r="AH261" s="5" t="str">
        <f>IF(AG261="","",VLOOKUP($Y261,Nutrition_tables!$A:$N,10,FALSE))</f>
        <v/>
      </c>
      <c r="AI261" s="5" t="str">
        <f t="shared" si="64"/>
        <v/>
      </c>
    </row>
    <row r="262" spans="1:42">
      <c r="B262" s="1" t="s">
        <v>1598</v>
      </c>
      <c r="C262" s="1" t="s">
        <v>3314</v>
      </c>
      <c r="E262" s="466"/>
      <c r="T262" s="101" t="str">
        <f>IF(O262="","",IF('Charts and graphs'!$C$6="Conventional",IF(N262&gt;0,1000*P262/J262,""),IF(VLOOKUP($E262,$Y:$AE,7,FALSE)=0,IF(N262&gt;0,1000*P262/J262,""),VLOOKUP($E262,$Y:$AE,7,FALSE))))</f>
        <v/>
      </c>
      <c r="U262" s="101" t="str">
        <f t="shared" si="77"/>
        <v/>
      </c>
      <c r="V262" s="101" t="str">
        <f t="shared" ref="V262:V317" si="78">IF(O262="","",IF(VLOOKUP($E262,$Y:$AE,7,FALSE)=0,IF(N262&gt;0,1000*P262/J262,""),VLOOKUP($E262,$Y:$AE,7,FALSE)))</f>
        <v/>
      </c>
      <c r="Y262" s="1" t="s">
        <v>1962</v>
      </c>
      <c r="Z262" s="1">
        <v>20</v>
      </c>
      <c r="AA262" s="749" t="s">
        <v>2385</v>
      </c>
      <c r="AG262" s="5" t="str">
        <f t="shared" si="71"/>
        <v/>
      </c>
      <c r="AH262" s="5" t="str">
        <f>IF(AG262="","",VLOOKUP($Y262,Nutrition_tables!$A:$N,10,FALSE))</f>
        <v/>
      </c>
      <c r="AI262" s="5" t="str">
        <f t="shared" si="64"/>
        <v/>
      </c>
    </row>
    <row r="263" spans="1:42">
      <c r="B263" s="1" t="s">
        <v>1504</v>
      </c>
      <c r="C263" s="1" t="s">
        <v>3314</v>
      </c>
      <c r="E263" s="466"/>
      <c r="T263" s="101" t="str">
        <f>IF(O263="","",IF('Charts and graphs'!$C$6="Conventional",IF(N263&gt;0,1000*P263/J263,""),IF(VLOOKUP($E263,$Y:$AE,7,FALSE)=0,IF(N263&gt;0,1000*P263/J263,""),VLOOKUP($E263,$Y:$AE,7,FALSE))))</f>
        <v/>
      </c>
      <c r="U263" s="101" t="str">
        <f t="shared" si="77"/>
        <v/>
      </c>
      <c r="V263" s="101" t="str">
        <f t="shared" si="78"/>
        <v/>
      </c>
      <c r="Y263" s="1" t="s">
        <v>1963</v>
      </c>
      <c r="Z263" s="1">
        <v>20</v>
      </c>
      <c r="AA263" s="749" t="s">
        <v>2385</v>
      </c>
      <c r="AG263" s="5">
        <f t="shared" si="71"/>
        <v>340</v>
      </c>
      <c r="AH263" s="5">
        <f>IF(AG263="","",VLOOKUP($Y263,Nutrition_tables!$A:$N,10,FALSE))</f>
        <v>728</v>
      </c>
      <c r="AI263" s="5">
        <f t="shared" si="64"/>
        <v>4.6703296703296704E-2</v>
      </c>
    </row>
    <row r="264" spans="1:42">
      <c r="B264" s="1" t="s">
        <v>966</v>
      </c>
      <c r="C264" s="1" t="s">
        <v>3323</v>
      </c>
      <c r="E264" s="466"/>
      <c r="T264" s="101" t="str">
        <f>IF(O264="","",IF('Charts and graphs'!$C$6="Conventional",IF(N264&gt;0,1000*P264/J264,""),IF(VLOOKUP($E264,$Y:$AE,7,FALSE)=0,IF(N264&gt;0,1000*P264/J264,""),VLOOKUP($E264,$Y:$AE,7,FALSE))))</f>
        <v/>
      </c>
      <c r="U264" s="101" t="str">
        <f t="shared" si="77"/>
        <v/>
      </c>
      <c r="V264" s="101" t="str">
        <f t="shared" si="78"/>
        <v/>
      </c>
      <c r="Y264" s="1" t="s">
        <v>1964</v>
      </c>
      <c r="Z264" s="1">
        <v>20</v>
      </c>
      <c r="AA264" s="749" t="s">
        <v>2385</v>
      </c>
      <c r="AG264" s="5" t="str">
        <f t="shared" si="71"/>
        <v/>
      </c>
      <c r="AH264" s="5" t="str">
        <f>IF(AG264="","",VLOOKUP($Y264,Nutrition_tables!$A:$N,10,FALSE))</f>
        <v/>
      </c>
      <c r="AI264" s="5" t="str">
        <f t="shared" si="64"/>
        <v/>
      </c>
    </row>
    <row r="265" spans="1:42">
      <c r="B265" s="1" t="s">
        <v>2232</v>
      </c>
      <c r="C265" s="1" t="s">
        <v>3323</v>
      </c>
      <c r="E265" s="466"/>
      <c r="T265" s="101" t="str">
        <f>IF(O265="","",IF('Charts and graphs'!$C$6="Conventional",IF(N265&gt;0,1000*P265/J265,""),IF(VLOOKUP($E265,$Y:$AE,7,FALSE)=0,IF(N265&gt;0,1000*P265/J265,""),VLOOKUP($E265,$Y:$AE,7,FALSE))))</f>
        <v/>
      </c>
      <c r="U265" s="101" t="str">
        <f t="shared" si="77"/>
        <v/>
      </c>
      <c r="V265" s="101" t="str">
        <f t="shared" si="78"/>
        <v/>
      </c>
      <c r="Y265" s="1154" t="s">
        <v>3290</v>
      </c>
      <c r="Z265" s="1">
        <v>20</v>
      </c>
      <c r="AA265" s="749" t="s">
        <v>2385</v>
      </c>
      <c r="AG265" s="5" t="str">
        <f t="shared" si="71"/>
        <v/>
      </c>
      <c r="AH265" s="5" t="str">
        <f>IF(AG265="","",VLOOKUP($Y265,Nutrition_tables!$A:$N,10,FALSE))</f>
        <v/>
      </c>
      <c r="AI265" s="5" t="str">
        <f t="shared" si="64"/>
        <v/>
      </c>
    </row>
    <row r="266" spans="1:42">
      <c r="B266" s="1" t="s">
        <v>904</v>
      </c>
      <c r="C266" s="53" t="s">
        <v>3324</v>
      </c>
      <c r="E266" s="466"/>
      <c r="T266" s="101" t="str">
        <f>IF(O266="","",IF('Charts and graphs'!$C$6="Conventional",IF(N266&gt;0,1000*P266/J266,""),IF(VLOOKUP($E266,$Y:$AE,7,FALSE)=0,IF(N266&gt;0,1000*P266/J266,""),VLOOKUP($E266,$Y:$AE,7,FALSE))))</f>
        <v/>
      </c>
      <c r="U266" s="101" t="str">
        <f t="shared" si="77"/>
        <v/>
      </c>
      <c r="V266" s="101" t="str">
        <f t="shared" si="78"/>
        <v/>
      </c>
      <c r="Y266" s="749" t="s">
        <v>3291</v>
      </c>
      <c r="Z266" s="1">
        <v>20</v>
      </c>
      <c r="AA266" s="749" t="s">
        <v>2385</v>
      </c>
      <c r="AG266" s="5" t="str">
        <f t="shared" si="71"/>
        <v/>
      </c>
      <c r="AH266" s="5" t="str">
        <f>IF(AG266="","",VLOOKUP($Y266,Nutrition_tables!$A:$N,10,FALSE))</f>
        <v/>
      </c>
      <c r="AI266" s="5" t="str">
        <f t="shared" ref="AI266:AI331" si="79">IF(AG266="","",AG266/(AH266*10))</f>
        <v/>
      </c>
    </row>
    <row r="267" spans="1:42">
      <c r="B267" s="1" t="s">
        <v>1451</v>
      </c>
      <c r="C267" s="53" t="s">
        <v>3324</v>
      </c>
      <c r="E267" s="466"/>
      <c r="T267" s="101" t="str">
        <f>IF(O267="","",IF('Charts and graphs'!$C$6="Conventional",IF(N267&gt;0,1000*P267/J267,""),IF(VLOOKUP($E267,$Y:$AE,7,FALSE)=0,IF(N267&gt;0,1000*P267/J267,""),VLOOKUP($E267,$Y:$AE,7,FALSE))))</f>
        <v/>
      </c>
      <c r="U267" s="101" t="str">
        <f t="shared" si="77"/>
        <v/>
      </c>
      <c r="V267" s="101" t="str">
        <f t="shared" si="78"/>
        <v/>
      </c>
      <c r="Y267" s="749" t="s">
        <v>3292</v>
      </c>
      <c r="Z267" s="1">
        <v>20</v>
      </c>
      <c r="AA267" s="749" t="s">
        <v>2385</v>
      </c>
      <c r="AG267" s="5" t="str">
        <f t="shared" si="71"/>
        <v/>
      </c>
      <c r="AH267" s="5" t="str">
        <f>IF(AG267="","",VLOOKUP($Y267,Nutrition_tables!$A:$N,10,FALSE))</f>
        <v/>
      </c>
      <c r="AI267" s="5" t="str">
        <f t="shared" si="79"/>
        <v/>
      </c>
    </row>
    <row r="268" spans="1:42">
      <c r="B268" s="24" t="s">
        <v>2440</v>
      </c>
      <c r="C268" s="24" t="s">
        <v>3324</v>
      </c>
      <c r="E268" s="466"/>
      <c r="T268" s="101" t="str">
        <f>IF(O268="","",IF('Charts and graphs'!$C$6="Conventional",IF(N268&gt;0,1000*P268/J268,""),IF(VLOOKUP($E268,$Y:$AE,7,FALSE)=0,IF(N268&gt;0,1000*P268/J268,""),VLOOKUP($E268,$Y:$AE,7,FALSE))))</f>
        <v/>
      </c>
      <c r="U268" s="101" t="str">
        <f t="shared" si="77"/>
        <v/>
      </c>
      <c r="V268" s="101" t="str">
        <f t="shared" si="78"/>
        <v/>
      </c>
      <c r="Y268" s="749" t="s">
        <v>3293</v>
      </c>
      <c r="Z268" s="1">
        <v>20</v>
      </c>
      <c r="AA268" s="749" t="s">
        <v>2385</v>
      </c>
      <c r="AG268" s="5">
        <f t="shared" si="71"/>
        <v>130.90909090909091</v>
      </c>
      <c r="AH268" s="5">
        <f>IF(AG268="","",VLOOKUP($Y268,Nutrition_tables!$A:$N,10,FALSE))</f>
        <v>97.753999999999991</v>
      </c>
      <c r="AI268" s="5">
        <f t="shared" si="79"/>
        <v>0.13391686366705291</v>
      </c>
    </row>
    <row r="269" spans="1:42">
      <c r="B269" s="1" t="s">
        <v>2375</v>
      </c>
      <c r="C269" s="1" t="s">
        <v>3445</v>
      </c>
      <c r="E269" s="466"/>
      <c r="T269" s="101" t="str">
        <f>IF(O269="","",IF('Charts and graphs'!$C$6="Conventional",IF(N269&gt;0,1000*P269/J269,""),IF(VLOOKUP($E269,$Y:$AE,7,FALSE)=0,IF(N269&gt;0,1000*P269/J269,""),VLOOKUP($E269,$Y:$AE,7,FALSE))))</f>
        <v/>
      </c>
      <c r="U269" s="101" t="str">
        <f t="shared" si="77"/>
        <v/>
      </c>
      <c r="V269" s="101" t="str">
        <f t="shared" si="78"/>
        <v/>
      </c>
      <c r="Y269" s="1" t="s">
        <v>3282</v>
      </c>
      <c r="Z269" s="1">
        <v>20</v>
      </c>
      <c r="AA269" s="749" t="s">
        <v>2385</v>
      </c>
      <c r="AG269" s="5" t="str">
        <f t="shared" si="71"/>
        <v/>
      </c>
      <c r="AH269" s="5" t="str">
        <f>IF(AG269="","",VLOOKUP($Y269,Nutrition_tables!$A:$N,10,FALSE))</f>
        <v/>
      </c>
      <c r="AI269" s="5" t="str">
        <f t="shared" si="79"/>
        <v/>
      </c>
      <c r="AM269" s="379"/>
      <c r="AN269" s="379"/>
      <c r="AO269" s="379"/>
      <c r="AP269" s="379"/>
    </row>
    <row r="270" spans="1:42" s="379" customFormat="1">
      <c r="A270" s="330"/>
      <c r="B270" s="1" t="s">
        <v>2347</v>
      </c>
      <c r="C270" s="1" t="s">
        <v>3445</v>
      </c>
      <c r="D270" s="330"/>
      <c r="E270" s="466"/>
      <c r="F270" s="1197"/>
      <c r="G270" s="82"/>
      <c r="H270" s="82"/>
      <c r="I270"/>
      <c r="J270"/>
      <c r="K270" s="82"/>
      <c r="L270" s="82"/>
      <c r="M270" s="1202"/>
      <c r="N270" s="247"/>
      <c r="O270" s="1139"/>
      <c r="P270"/>
      <c r="Q270"/>
      <c r="R270"/>
      <c r="S270" s="1202"/>
      <c r="T270" s="101" t="str">
        <f>IF(O270="","",IF('Charts and graphs'!$C$6="Conventional",IF(N270&gt;0,1000*P270/J270,""),IF(VLOOKUP($E270,$Y:$AE,7,FALSE)=0,IF(N270&gt;0,1000*P270/J270,""),VLOOKUP($E270,$Y:$AE,7,FALSE))))</f>
        <v/>
      </c>
      <c r="U270" s="101" t="str">
        <f t="shared" si="77"/>
        <v/>
      </c>
      <c r="V270" s="101" t="str">
        <f t="shared" si="78"/>
        <v/>
      </c>
      <c r="W270" s="330"/>
      <c r="X270" s="99"/>
      <c r="Y270" s="1" t="s">
        <v>3283</v>
      </c>
      <c r="Z270" s="1">
        <v>20</v>
      </c>
      <c r="AA270" s="749" t="s">
        <v>2385</v>
      </c>
      <c r="AB270" s="421"/>
      <c r="AC270" s="421"/>
      <c r="AD270" s="749"/>
      <c r="AE270" s="749"/>
      <c r="AF270" s="749"/>
      <c r="AG270" s="5">
        <f t="shared" si="71"/>
        <v>250</v>
      </c>
      <c r="AH270" s="5">
        <f>IF(AG270="","",VLOOKUP($Y270,Nutrition_tables!$A:$N,10,FALSE))</f>
        <v>82</v>
      </c>
      <c r="AI270" s="5">
        <f t="shared" si="79"/>
        <v>0.3048780487804878</v>
      </c>
      <c r="AJ270" s="749"/>
      <c r="AK270"/>
      <c r="AL270"/>
      <c r="AM270"/>
      <c r="AN270"/>
      <c r="AO270"/>
      <c r="AP270"/>
    </row>
    <row r="271" spans="1:42">
      <c r="B271" s="1" t="s">
        <v>2348</v>
      </c>
      <c r="C271" s="1" t="s">
        <v>3445</v>
      </c>
      <c r="E271" s="466"/>
      <c r="T271" s="101" t="str">
        <f>IF(O271="","",IF('Charts and graphs'!$C$6="Conventional",IF(N271&gt;0,1000*P271/J271,""),IF(VLOOKUP($E271,$Y:$AE,7,FALSE)=0,IF(N271&gt;0,1000*P271/J271,""),VLOOKUP($E271,$Y:$AE,7,FALSE))))</f>
        <v/>
      </c>
      <c r="U271" s="101" t="str">
        <f t="shared" si="77"/>
        <v/>
      </c>
      <c r="V271" s="101" t="str">
        <f t="shared" si="78"/>
        <v/>
      </c>
      <c r="Y271" s="1" t="s">
        <v>3531</v>
      </c>
      <c r="Z271" s="1">
        <v>20</v>
      </c>
      <c r="AA271" s="749" t="s">
        <v>2385</v>
      </c>
      <c r="AG271" s="5" t="str">
        <f t="shared" si="71"/>
        <v/>
      </c>
      <c r="AH271" s="5" t="str">
        <f>IF(AG271="","",VLOOKUP($Y271,Nutrition_tables!$A:$N,10,FALSE))</f>
        <v/>
      </c>
      <c r="AI271" s="5" t="str">
        <f t="shared" si="79"/>
        <v/>
      </c>
    </row>
    <row r="272" spans="1:42">
      <c r="B272" s="1" t="s">
        <v>2349</v>
      </c>
      <c r="C272" s="1" t="s">
        <v>3445</v>
      </c>
      <c r="E272" s="466"/>
      <c r="T272" s="101" t="str">
        <f>IF(O272="","",IF('Charts and graphs'!$C$6="Conventional",IF(N272&gt;0,1000*P272/J272,""),IF(VLOOKUP($E272,$Y:$AE,7,FALSE)=0,IF(N272&gt;0,1000*P272/J272,""),VLOOKUP($E272,$Y:$AE,7,FALSE))))</f>
        <v/>
      </c>
      <c r="U272" s="101" t="str">
        <f t="shared" si="77"/>
        <v/>
      </c>
      <c r="V272" s="101" t="str">
        <f t="shared" si="78"/>
        <v/>
      </c>
      <c r="Y272" s="1" t="s">
        <v>492</v>
      </c>
      <c r="Z272" s="1">
        <v>20</v>
      </c>
      <c r="AA272" s="749" t="s">
        <v>2385</v>
      </c>
      <c r="AG272" s="5" t="str">
        <f t="shared" si="71"/>
        <v/>
      </c>
      <c r="AH272" s="5" t="str">
        <f>IF(AG272="","",VLOOKUP($Y272,Nutrition_tables!$A:$N,10,FALSE))</f>
        <v/>
      </c>
      <c r="AI272" s="5" t="str">
        <f t="shared" si="79"/>
        <v/>
      </c>
    </row>
    <row r="273" spans="1:42">
      <c r="B273" s="1" t="s">
        <v>2350</v>
      </c>
      <c r="C273" s="1" t="s">
        <v>3446</v>
      </c>
      <c r="E273" s="466"/>
      <c r="I273" s="379"/>
      <c r="J273" s="379"/>
      <c r="P273" s="379"/>
      <c r="Q273" s="379"/>
      <c r="R273" s="379"/>
      <c r="T273" s="101" t="str">
        <f>IF(O273="","",IF('Charts and graphs'!$C$6="Conventional",IF(N273&gt;0,1000*P273/J273,""),IF(VLOOKUP($E273,$Y:$AE,7,FALSE)=0,IF(N273&gt;0,1000*P273/J273,""),VLOOKUP($E273,$Y:$AE,7,FALSE))))</f>
        <v/>
      </c>
      <c r="U273" s="101" t="str">
        <f t="shared" si="77"/>
        <v/>
      </c>
      <c r="V273" s="101" t="str">
        <f t="shared" si="78"/>
        <v/>
      </c>
      <c r="Y273" s="1" t="s">
        <v>498</v>
      </c>
      <c r="Z273" s="1">
        <v>20</v>
      </c>
      <c r="AA273" s="749" t="s">
        <v>2385</v>
      </c>
      <c r="AG273" s="5">
        <f t="shared" si="71"/>
        <v>45.6</v>
      </c>
      <c r="AH273" s="5">
        <f>IF(AG273="","",VLOOKUP($Y273,Nutrition_tables!$A:$N,10,FALSE))</f>
        <v>32</v>
      </c>
      <c r="AI273" s="5">
        <f t="shared" si="79"/>
        <v>0.14250000000000002</v>
      </c>
      <c r="AL273" s="379"/>
    </row>
    <row r="274" spans="1:42">
      <c r="B274" s="1" t="s">
        <v>2351</v>
      </c>
      <c r="C274" s="1" t="s">
        <v>3446</v>
      </c>
      <c r="E274" s="466"/>
      <c r="T274" s="101" t="str">
        <f>IF(O274="","",IF('Charts and graphs'!$C$6="Conventional",IF(N274&gt;0,1000*P274/J274,""),IF(VLOOKUP($E274,$Y:$AE,7,FALSE)=0,IF(N274&gt;0,1000*P274/J274,""),VLOOKUP($E274,$Y:$AE,7,FALSE))))</f>
        <v/>
      </c>
      <c r="U274" s="101" t="str">
        <f t="shared" si="77"/>
        <v/>
      </c>
      <c r="V274" s="101" t="str">
        <f t="shared" si="78"/>
        <v/>
      </c>
      <c r="Y274" s="1" t="s">
        <v>3284</v>
      </c>
      <c r="Z274" s="1">
        <v>20</v>
      </c>
      <c r="AA274" s="749" t="s">
        <v>2385</v>
      </c>
      <c r="AG274" s="5" t="str">
        <f t="shared" si="71"/>
        <v/>
      </c>
      <c r="AH274" s="5" t="str">
        <f>IF(AG274="","",VLOOKUP($Y274,Nutrition_tables!$A:$N,10,FALSE))</f>
        <v/>
      </c>
      <c r="AI274" s="5" t="str">
        <f t="shared" si="79"/>
        <v/>
      </c>
    </row>
    <row r="275" spans="1:42">
      <c r="B275" s="1" t="s">
        <v>2352</v>
      </c>
      <c r="C275" s="1" t="s">
        <v>3446</v>
      </c>
      <c r="E275" s="466"/>
      <c r="T275" s="101" t="str">
        <f>IF(O275="","",IF('Charts and graphs'!$C$6="Conventional",IF(N275&gt;0,1000*P275/J275,""),IF(VLOOKUP($E275,$Y:$AE,7,FALSE)=0,IF(N275&gt;0,1000*P275/J275,""),VLOOKUP($E275,$Y:$AE,7,FALSE))))</f>
        <v/>
      </c>
      <c r="U275" s="101" t="str">
        <f t="shared" si="77"/>
        <v/>
      </c>
      <c r="V275" s="101" t="str">
        <f t="shared" si="78"/>
        <v/>
      </c>
      <c r="Y275" s="1" t="s">
        <v>3285</v>
      </c>
      <c r="Z275" s="82">
        <v>20</v>
      </c>
      <c r="AA275" s="749" t="s">
        <v>2385</v>
      </c>
      <c r="AG275" s="5" t="str">
        <f t="shared" si="71"/>
        <v/>
      </c>
      <c r="AH275" s="5" t="str">
        <f>IF(AG275="","",VLOOKUP($Y275,Nutrition_tables!$A:$N,10,FALSE))</f>
        <v/>
      </c>
      <c r="AI275" s="5" t="str">
        <f t="shared" si="79"/>
        <v/>
      </c>
      <c r="AM275" s="379"/>
      <c r="AN275" s="379"/>
      <c r="AO275" s="379"/>
      <c r="AP275" s="379"/>
    </row>
    <row r="276" spans="1:42" s="379" customFormat="1">
      <c r="A276" s="330"/>
      <c r="B276" s="1" t="s">
        <v>967</v>
      </c>
      <c r="C276" s="1" t="s">
        <v>1803</v>
      </c>
      <c r="D276" s="330"/>
      <c r="E276" s="466"/>
      <c r="F276" s="1197"/>
      <c r="G276" s="82"/>
      <c r="H276" s="82"/>
      <c r="I276"/>
      <c r="J276"/>
      <c r="K276" s="82"/>
      <c r="L276" s="82"/>
      <c r="M276" s="1202"/>
      <c r="N276" s="247"/>
      <c r="O276" s="1139"/>
      <c r="P276"/>
      <c r="Q276"/>
      <c r="R276"/>
      <c r="S276" s="1202"/>
      <c r="T276" s="101" t="str">
        <f>IF(O276="","",IF('Charts and graphs'!$C$6="Conventional",IF(N276&gt;0,1000*P276/J276,""),IF(VLOOKUP($E276,$Y:$AE,7,FALSE)=0,IF(N276&gt;0,1000*P276/J276,""),VLOOKUP($E276,$Y:$AE,7,FALSE))))</f>
        <v/>
      </c>
      <c r="U276" s="101" t="str">
        <f t="shared" si="77"/>
        <v/>
      </c>
      <c r="V276" s="101" t="str">
        <f t="shared" si="78"/>
        <v/>
      </c>
      <c r="W276" s="330"/>
      <c r="X276" s="99"/>
      <c r="Y276" s="1276" t="s">
        <v>3294</v>
      </c>
      <c r="Z276" s="24">
        <v>20</v>
      </c>
      <c r="AA276" s="492" t="s">
        <v>2385</v>
      </c>
      <c r="AB276" s="421"/>
      <c r="AC276" s="421"/>
      <c r="AD276" s="749"/>
      <c r="AE276" s="749"/>
      <c r="AF276" s="749"/>
      <c r="AG276" s="5" t="str">
        <f t="shared" si="71"/>
        <v/>
      </c>
      <c r="AH276" s="5" t="str">
        <f>IF(AG276="","",VLOOKUP($Y276,Nutrition_tables!$A:$N,10,FALSE))</f>
        <v/>
      </c>
      <c r="AI276" s="5" t="str">
        <f t="shared" si="79"/>
        <v/>
      </c>
      <c r="AJ276" s="749"/>
      <c r="AK276"/>
      <c r="AL276"/>
      <c r="AM276"/>
      <c r="AN276"/>
      <c r="AO276"/>
      <c r="AP276"/>
    </row>
    <row r="277" spans="1:42">
      <c r="B277" s="1" t="s">
        <v>1496</v>
      </c>
      <c r="C277" s="1" t="s">
        <v>3223</v>
      </c>
      <c r="E277" s="466"/>
      <c r="T277" s="101" t="str">
        <f>IF(O277="","",IF('Charts and graphs'!$C$6="Conventional",IF(N277&gt;0,1000*P277/J277,""),IF(VLOOKUP($E277,$Y:$AE,7,FALSE)=0,IF(N277&gt;0,1000*P277/J277,""),VLOOKUP($E277,$Y:$AE,7,FALSE))))</f>
        <v/>
      </c>
      <c r="U277" s="101" t="str">
        <f t="shared" si="77"/>
        <v/>
      </c>
      <c r="V277" s="101" t="str">
        <f t="shared" si="78"/>
        <v/>
      </c>
      <c r="Y277" s="397" t="s">
        <v>1966</v>
      </c>
      <c r="Z277" s="1">
        <v>20</v>
      </c>
      <c r="AA277" s="749" t="s">
        <v>232</v>
      </c>
      <c r="AB277" s="379"/>
      <c r="AG277" s="5" t="str">
        <f t="shared" si="71"/>
        <v/>
      </c>
      <c r="AH277" s="5" t="str">
        <f>IF(AG277="","",VLOOKUP($Y277,Nutrition_tables!$A:$N,10,FALSE))</f>
        <v/>
      </c>
      <c r="AI277" s="5" t="str">
        <f t="shared" ref="AI277:AI295" si="80">IF(AG277="","",AG277/(AH277*10))</f>
        <v/>
      </c>
      <c r="AK277" s="379"/>
    </row>
    <row r="278" spans="1:42">
      <c r="B278" s="1" t="s">
        <v>2177</v>
      </c>
      <c r="C278" s="1" t="s">
        <v>3448</v>
      </c>
      <c r="E278" s="466"/>
      <c r="T278" s="101" t="str">
        <f>IF(O278="","",IF('Charts and graphs'!$C$6="Conventional",IF(N278&gt;0,1000*P278/J278,""),IF(VLOOKUP($E278,$Y:$AE,7,FALSE)=0,IF(N278&gt;0,1000*P278/J278,""),VLOOKUP($E278,$Y:$AE,7,FALSE))))</f>
        <v/>
      </c>
      <c r="U278" s="101" t="str">
        <f t="shared" si="77"/>
        <v/>
      </c>
      <c r="V278" s="101" t="str">
        <f t="shared" si="78"/>
        <v/>
      </c>
      <c r="Y278" s="53" t="s">
        <v>3295</v>
      </c>
      <c r="Z278" s="1">
        <v>20</v>
      </c>
      <c r="AA278" s="749" t="s">
        <v>232</v>
      </c>
      <c r="AG278" s="5" t="str">
        <f t="shared" si="71"/>
        <v/>
      </c>
      <c r="AH278" s="5" t="str">
        <f>IF(AG278="","",VLOOKUP($Y278,Nutrition_tables!$A:$N,10,FALSE))</f>
        <v/>
      </c>
      <c r="AI278" s="5" t="str">
        <f t="shared" si="80"/>
        <v/>
      </c>
    </row>
    <row r="279" spans="1:42">
      <c r="B279" s="1" t="s">
        <v>2178</v>
      </c>
      <c r="C279" s="1" t="s">
        <v>3448</v>
      </c>
      <c r="E279" s="466"/>
      <c r="I279" s="379"/>
      <c r="J279" s="379"/>
      <c r="P279" s="379"/>
      <c r="Q279" s="379"/>
      <c r="R279" s="379"/>
      <c r="T279" s="101" t="str">
        <f>IF(O279="","",IF('Charts and graphs'!$C$6="Conventional",IF(N279&gt;0,1000*P279/J279,""),IF(VLOOKUP($E279,$Y:$AE,7,FALSE)=0,IF(N279&gt;0,1000*P279/J279,""),VLOOKUP($E279,$Y:$AE,7,FALSE))))</f>
        <v/>
      </c>
      <c r="U279" s="101" t="str">
        <f t="shared" si="77"/>
        <v/>
      </c>
      <c r="V279" s="101" t="str">
        <f t="shared" si="78"/>
        <v/>
      </c>
      <c r="Y279" s="53" t="s">
        <v>3296</v>
      </c>
      <c r="Z279" s="1">
        <v>20</v>
      </c>
      <c r="AA279" s="749" t="s">
        <v>232</v>
      </c>
      <c r="AG279" s="5">
        <f t="shared" si="71"/>
        <v>2400</v>
      </c>
      <c r="AH279" s="5">
        <f>IF(AG279="","",VLOOKUP($Y279,Nutrition_tables!$A:$N,10,FALSE))</f>
        <v>347.24999999999994</v>
      </c>
      <c r="AI279" s="5">
        <f t="shared" si="80"/>
        <v>0.6911447084233262</v>
      </c>
      <c r="AL279" s="379"/>
    </row>
    <row r="280" spans="1:42">
      <c r="B280" s="1" t="s">
        <v>2179</v>
      </c>
      <c r="C280" s="1" t="s">
        <v>3448</v>
      </c>
      <c r="E280" s="466"/>
      <c r="T280" s="101" t="str">
        <f>IF(O280="","",IF('Charts and graphs'!$C$6="Conventional",IF(N280&gt;0,1000*P280/J280,""),IF(VLOOKUP($E280,$Y:$AE,7,FALSE)=0,IF(N280&gt;0,1000*P280/J280,""),VLOOKUP($E280,$Y:$AE,7,FALSE))))</f>
        <v/>
      </c>
      <c r="U280" s="101" t="str">
        <f t="shared" si="77"/>
        <v/>
      </c>
      <c r="V280" s="101" t="str">
        <f t="shared" si="78"/>
        <v/>
      </c>
      <c r="Y280" s="53" t="s">
        <v>3514</v>
      </c>
      <c r="Z280" s="1">
        <v>20</v>
      </c>
      <c r="AA280" s="749" t="s">
        <v>232</v>
      </c>
      <c r="AG280" s="5" t="str">
        <f t="shared" si="71"/>
        <v/>
      </c>
      <c r="AH280" s="5" t="str">
        <f>IF(AG280="","",VLOOKUP($Y280,Nutrition_tables!$A:$N,10,FALSE))</f>
        <v/>
      </c>
      <c r="AI280" s="5" t="str">
        <f t="shared" si="80"/>
        <v/>
      </c>
    </row>
    <row r="281" spans="1:42">
      <c r="B281" s="1" t="s">
        <v>2180</v>
      </c>
      <c r="C281" s="1" t="s">
        <v>3448</v>
      </c>
      <c r="E281" s="466"/>
      <c r="T281" s="101" t="str">
        <f>IF(O281="","",IF('Charts and graphs'!$C$6="Conventional",IF(N281&gt;0,1000*P281/J281,""),IF(VLOOKUP($E281,$Y:$AE,7,FALSE)=0,IF(N281&gt;0,1000*P281/J281,""),VLOOKUP($E281,$Y:$AE,7,FALSE))))</f>
        <v/>
      </c>
      <c r="U281" s="101" t="str">
        <f t="shared" si="77"/>
        <v/>
      </c>
      <c r="V281" s="101" t="str">
        <f t="shared" si="78"/>
        <v/>
      </c>
      <c r="Y281" s="53" t="s">
        <v>3297</v>
      </c>
      <c r="Z281" s="1">
        <v>20</v>
      </c>
      <c r="AA281" s="749" t="s">
        <v>232</v>
      </c>
      <c r="AG281" s="5" t="str">
        <f t="shared" si="71"/>
        <v/>
      </c>
      <c r="AH281" s="5" t="str">
        <f>IF(AG281="","",VLOOKUP($Y281,Nutrition_tables!$A:$N,10,FALSE))</f>
        <v/>
      </c>
      <c r="AI281" s="5" t="str">
        <f t="shared" si="80"/>
        <v/>
      </c>
    </row>
    <row r="282" spans="1:42">
      <c r="B282" s="1" t="s">
        <v>2181</v>
      </c>
      <c r="C282" s="1" t="s">
        <v>3450</v>
      </c>
      <c r="E282" s="466"/>
      <c r="T282" s="101" t="str">
        <f>IF(O282="","",IF('Charts and graphs'!$C$6="Conventional",IF(N282&gt;0,1000*P282/J282,""),IF(VLOOKUP($E282,$Y:$AE,7,FALSE)=0,IF(N282&gt;0,1000*P282/J282,""),VLOOKUP($E282,$Y:$AE,7,FALSE))))</f>
        <v/>
      </c>
      <c r="U282" s="101" t="str">
        <f t="shared" si="77"/>
        <v/>
      </c>
      <c r="V282" s="101" t="str">
        <f t="shared" si="78"/>
        <v/>
      </c>
      <c r="Y282" s="53" t="s">
        <v>1969</v>
      </c>
      <c r="Z282" s="1">
        <v>20</v>
      </c>
      <c r="AA282" s="749" t="s">
        <v>232</v>
      </c>
      <c r="AG282" s="5" t="str">
        <f t="shared" si="71"/>
        <v/>
      </c>
      <c r="AH282" s="5" t="str">
        <f>IF(AG282="","",VLOOKUP($Y282,Nutrition_tables!$A:$N,10,FALSE))</f>
        <v/>
      </c>
      <c r="AI282" s="5" t="str">
        <f t="shared" si="80"/>
        <v/>
      </c>
    </row>
    <row r="283" spans="1:42">
      <c r="B283" s="1" t="s">
        <v>2182</v>
      </c>
      <c r="C283" s="1" t="s">
        <v>3450</v>
      </c>
      <c r="E283" s="466"/>
      <c r="T283" s="101" t="str">
        <f>IF(O283="","",IF('Charts and graphs'!$C$6="Conventional",IF(N283&gt;0,1000*P283/J283,""),IF(VLOOKUP($E283,$Y:$AE,7,FALSE)=0,IF(N283&gt;0,1000*P283/J283,""),VLOOKUP($E283,$Y:$AE,7,FALSE))))</f>
        <v/>
      </c>
      <c r="U283" s="101" t="str">
        <f t="shared" si="77"/>
        <v/>
      </c>
      <c r="V283" s="101" t="str">
        <f t="shared" si="78"/>
        <v/>
      </c>
      <c r="Y283" s="749" t="s">
        <v>3513</v>
      </c>
      <c r="Z283" s="1">
        <v>20</v>
      </c>
      <c r="AA283" s="749" t="s">
        <v>232</v>
      </c>
      <c r="AG283" s="5">
        <f t="shared" si="71"/>
        <v>480</v>
      </c>
      <c r="AH283" s="5">
        <f>IF(AG283="","",VLOOKUP($Y283,Nutrition_tables!$A:$N,10,FALSE))</f>
        <v>290.99999999999994</v>
      </c>
      <c r="AI283" s="5">
        <f t="shared" si="80"/>
        <v>0.16494845360824745</v>
      </c>
      <c r="AK283" s="749"/>
    </row>
    <row r="284" spans="1:42">
      <c r="B284" s="1" t="s">
        <v>2183</v>
      </c>
      <c r="C284" s="1" t="s">
        <v>3450</v>
      </c>
      <c r="E284" s="466"/>
      <c r="T284" s="101" t="str">
        <f>IF(O284="","",IF('Charts and graphs'!$C$6="Conventional",IF(N284&gt;0,1000*P284/J284,""),IF(VLOOKUP($E284,$Y:$AE,7,FALSE)=0,IF(N284&gt;0,1000*P284/J284,""),VLOOKUP($E284,$Y:$AE,7,FALSE))))</f>
        <v/>
      </c>
      <c r="U284" s="101" t="str">
        <f t="shared" si="77"/>
        <v/>
      </c>
      <c r="V284" s="101" t="str">
        <f t="shared" si="78"/>
        <v/>
      </c>
      <c r="Y284" s="53" t="s">
        <v>3302</v>
      </c>
      <c r="Z284" s="1">
        <v>20</v>
      </c>
      <c r="AA284" s="749" t="s">
        <v>232</v>
      </c>
      <c r="AG284" s="5" t="str">
        <f t="shared" ref="AG284:AG347" si="81">_xlfn.IFNA(VLOOKUP($Y284,$E:$U,17,FALSE),"")</f>
        <v/>
      </c>
      <c r="AH284" s="5" t="str">
        <f>IF(AG284="","",VLOOKUP($Y284,Nutrition_tables!$A:$N,10,FALSE))</f>
        <v/>
      </c>
      <c r="AI284" s="5" t="str">
        <f t="shared" si="80"/>
        <v/>
      </c>
      <c r="AK284" s="749"/>
      <c r="AL284" s="749"/>
    </row>
    <row r="285" spans="1:42">
      <c r="B285" s="1" t="s">
        <v>2184</v>
      </c>
      <c r="C285" s="1" t="s">
        <v>3450</v>
      </c>
      <c r="E285" s="466"/>
      <c r="T285" s="101" t="str">
        <f>IF(O285="","",IF('Charts and graphs'!$C$6="Conventional",IF(N285&gt;0,1000*P285/J285,""),IF(VLOOKUP($E285,$Y:$AE,7,FALSE)=0,IF(N285&gt;0,1000*P285/J285,""),VLOOKUP($E285,$Y:$AE,7,FALSE))))</f>
        <v/>
      </c>
      <c r="U285" s="101" t="str">
        <f t="shared" si="77"/>
        <v/>
      </c>
      <c r="V285" s="101" t="str">
        <f t="shared" si="78"/>
        <v/>
      </c>
      <c r="Y285" s="749" t="s">
        <v>3303</v>
      </c>
      <c r="Z285" s="1">
        <v>20</v>
      </c>
      <c r="AA285" s="749" t="s">
        <v>232</v>
      </c>
      <c r="AG285" s="5">
        <f t="shared" si="81"/>
        <v>2916.72</v>
      </c>
      <c r="AH285" s="5">
        <f>IF(AG285="","",VLOOKUP($Y285,Nutrition_tables!$A:$N,10,FALSE))</f>
        <v>374</v>
      </c>
      <c r="AI285" s="5">
        <f t="shared" si="80"/>
        <v>0.77987165775401068</v>
      </c>
      <c r="AK285" s="379"/>
    </row>
    <row r="286" spans="1:42">
      <c r="B286" s="1" t="s">
        <v>2185</v>
      </c>
      <c r="C286" s="1" t="s">
        <v>3452</v>
      </c>
      <c r="E286" s="466"/>
      <c r="T286" s="101" t="str">
        <f>IF(O286="","",IF('Charts and graphs'!$C$6="Conventional",IF(N286&gt;0,1000*P286/J286,""),IF(VLOOKUP($E286,$Y:$AE,7,FALSE)=0,IF(N286&gt;0,1000*P286/J286,""),VLOOKUP($E286,$Y:$AE,7,FALSE))))</f>
        <v/>
      </c>
      <c r="U286" s="101" t="str">
        <f t="shared" si="77"/>
        <v/>
      </c>
      <c r="V286" s="101" t="str">
        <f t="shared" si="78"/>
        <v/>
      </c>
      <c r="Y286" s="749" t="s">
        <v>3304</v>
      </c>
      <c r="Z286" s="1">
        <v>20</v>
      </c>
      <c r="AA286" s="749" t="s">
        <v>232</v>
      </c>
      <c r="AG286" s="5">
        <f t="shared" si="81"/>
        <v>8400</v>
      </c>
      <c r="AH286" s="5">
        <f>IF(AG286="","",VLOOKUP($Y286,Nutrition_tables!$A:$N,10,FALSE))</f>
        <v>253</v>
      </c>
      <c r="AI286" s="5">
        <f t="shared" si="80"/>
        <v>3.3201581027667983</v>
      </c>
    </row>
    <row r="287" spans="1:42">
      <c r="B287" s="1" t="s">
        <v>2186</v>
      </c>
      <c r="C287" s="1" t="s">
        <v>3452</v>
      </c>
      <c r="E287" s="466"/>
      <c r="T287" s="101" t="str">
        <f>IF(O287="","",IF('Charts and graphs'!$C$6="Conventional",IF(N287&gt;0,1000*P287/J287,""),IF(VLOOKUP($E287,$Y:$AE,7,FALSE)=0,IF(N287&gt;0,1000*P287/J287,""),VLOOKUP($E287,$Y:$AE,7,FALSE))))</f>
        <v/>
      </c>
      <c r="U287" s="101" t="str">
        <f t="shared" si="77"/>
        <v/>
      </c>
      <c r="V287" s="101" t="str">
        <f t="shared" si="78"/>
        <v/>
      </c>
      <c r="Y287" s="749" t="s">
        <v>3305</v>
      </c>
      <c r="Z287" s="1">
        <v>20</v>
      </c>
      <c r="AA287" s="749" t="s">
        <v>232</v>
      </c>
      <c r="AG287" s="5" t="str">
        <f t="shared" si="81"/>
        <v/>
      </c>
      <c r="AH287" s="5" t="str">
        <f>IF(AG287="","",VLOOKUP($Y287,Nutrition_tables!$A:$N,10,FALSE))</f>
        <v/>
      </c>
      <c r="AI287" s="5" t="str">
        <f t="shared" si="80"/>
        <v/>
      </c>
    </row>
    <row r="288" spans="1:42">
      <c r="B288" s="1" t="s">
        <v>2187</v>
      </c>
      <c r="C288" s="1" t="s">
        <v>3452</v>
      </c>
      <c r="E288" s="466"/>
      <c r="T288" s="101" t="str">
        <f>IF(O288="","",IF('Charts and graphs'!$C$6="Conventional",IF(N288&gt;0,1000*P288/J288,""),IF(VLOOKUP($E288,$Y:$AE,7,FALSE)=0,IF(N288&gt;0,1000*P288/J288,""),VLOOKUP($E288,$Y:$AE,7,FALSE))))</f>
        <v/>
      </c>
      <c r="U288" s="101" t="str">
        <f t="shared" si="77"/>
        <v/>
      </c>
      <c r="V288" s="101" t="str">
        <f t="shared" si="78"/>
        <v/>
      </c>
      <c r="Y288" s="749" t="s">
        <v>3306</v>
      </c>
      <c r="Z288" s="1">
        <v>20</v>
      </c>
      <c r="AA288" s="749" t="s">
        <v>232</v>
      </c>
      <c r="AG288" s="5" t="str">
        <f t="shared" si="81"/>
        <v/>
      </c>
      <c r="AH288" s="5" t="str">
        <f>IF(AG288="","",VLOOKUP($Y288,Nutrition_tables!$A:$N,10,FALSE))</f>
        <v/>
      </c>
      <c r="AI288" s="5" t="str">
        <f t="shared" si="80"/>
        <v/>
      </c>
    </row>
    <row r="289" spans="1:42">
      <c r="B289" s="1" t="s">
        <v>2188</v>
      </c>
      <c r="C289" s="1" t="s">
        <v>3452</v>
      </c>
      <c r="E289" s="466"/>
      <c r="T289" s="101" t="str">
        <f>IF(O289="","",IF('Charts and graphs'!$C$6="Conventional",IF(N289&gt;0,1000*P289/J289,""),IF(VLOOKUP($E289,$Y:$AE,7,FALSE)=0,IF(N289&gt;0,1000*P289/J289,""),VLOOKUP($E289,$Y:$AE,7,FALSE))))</f>
        <v/>
      </c>
      <c r="U289" s="101" t="str">
        <f t="shared" si="77"/>
        <v/>
      </c>
      <c r="V289" s="101" t="str">
        <f t="shared" si="78"/>
        <v/>
      </c>
      <c r="Y289" s="53" t="s">
        <v>3298</v>
      </c>
      <c r="Z289" s="1">
        <v>20</v>
      </c>
      <c r="AA289" s="749" t="s">
        <v>232</v>
      </c>
      <c r="AG289" s="5">
        <f t="shared" si="81"/>
        <v>600</v>
      </c>
      <c r="AH289" s="5">
        <f>IF(AG289="","",VLOOKUP($Y289,Nutrition_tables!$A:$N,10,FALSE))</f>
        <v>330</v>
      </c>
      <c r="AI289" s="5">
        <f t="shared" si="80"/>
        <v>0.18181818181818182</v>
      </c>
    </row>
    <row r="290" spans="1:42">
      <c r="B290" s="1" t="s">
        <v>2189</v>
      </c>
      <c r="C290" s="1" t="s">
        <v>3452</v>
      </c>
      <c r="E290" s="466"/>
      <c r="T290" s="101" t="str">
        <f>IF(O290="","",IF('Charts and graphs'!$C$6="Conventional",IF(N290&gt;0,1000*P290/J290,""),IF(VLOOKUP($E290,$Y:$AE,7,FALSE)=0,IF(N290&gt;0,1000*P290/J290,""),VLOOKUP($E290,$Y:$AE,7,FALSE))))</f>
        <v/>
      </c>
      <c r="U290" s="101" t="str">
        <f t="shared" si="77"/>
        <v/>
      </c>
      <c r="V290" s="101" t="str">
        <f t="shared" si="78"/>
        <v/>
      </c>
      <c r="Y290" s="749" t="s">
        <v>3307</v>
      </c>
      <c r="Z290" s="1">
        <v>20</v>
      </c>
      <c r="AA290" s="749" t="s">
        <v>232</v>
      </c>
      <c r="AG290" s="5">
        <f t="shared" si="81"/>
        <v>660</v>
      </c>
      <c r="AH290" s="5">
        <f>IF(AG290="","",VLOOKUP($Y290,Nutrition_tables!$A:$N,10,FALSE))</f>
        <v>307</v>
      </c>
      <c r="AI290" s="5">
        <f t="shared" si="80"/>
        <v>0.21498371335504887</v>
      </c>
    </row>
    <row r="291" spans="1:42">
      <c r="B291" s="1" t="s">
        <v>2190</v>
      </c>
      <c r="C291" s="1" t="s">
        <v>3447</v>
      </c>
      <c r="E291" s="466"/>
      <c r="T291" s="101" t="str">
        <f>IF(O291="","",IF('Charts and graphs'!$C$6="Conventional",IF(N291&gt;0,1000*P291/J291,""),IF(VLOOKUP($E291,$Y:$AE,7,FALSE)=0,IF(N291&gt;0,1000*P291/J291,""),VLOOKUP($E291,$Y:$AE,7,FALSE))))</f>
        <v/>
      </c>
      <c r="U291" s="101" t="str">
        <f t="shared" si="77"/>
        <v/>
      </c>
      <c r="V291" s="101" t="str">
        <f t="shared" si="78"/>
        <v/>
      </c>
      <c r="Y291" s="53" t="s">
        <v>3299</v>
      </c>
      <c r="Z291" s="1">
        <v>20</v>
      </c>
      <c r="AA291" s="749" t="s">
        <v>232</v>
      </c>
      <c r="AG291" s="5">
        <f t="shared" si="81"/>
        <v>8400</v>
      </c>
      <c r="AH291" s="5">
        <f>IF(AG291="","",VLOOKUP($Y291,Nutrition_tables!$A:$N,10,FALSE))</f>
        <v>292</v>
      </c>
      <c r="AI291" s="5">
        <f t="shared" si="80"/>
        <v>2.8767123287671232</v>
      </c>
    </row>
    <row r="292" spans="1:42">
      <c r="B292" s="1" t="s">
        <v>2191</v>
      </c>
      <c r="C292" s="1" t="s">
        <v>3447</v>
      </c>
      <c r="E292" s="466"/>
      <c r="T292" s="101" t="str">
        <f>IF(O292="","",IF('Charts and graphs'!$C$6="Conventional",IF(N292&gt;0,1000*P292/J292,""),IF(VLOOKUP($E292,$Y:$AE,7,FALSE)=0,IF(N292&gt;0,1000*P292/J292,""),VLOOKUP($E292,$Y:$AE,7,FALSE))))</f>
        <v/>
      </c>
      <c r="U292" s="101" t="str">
        <f t="shared" si="77"/>
        <v/>
      </c>
      <c r="V292" s="101" t="str">
        <f t="shared" si="78"/>
        <v/>
      </c>
      <c r="Y292" s="53" t="s">
        <v>3300</v>
      </c>
      <c r="Z292" s="1">
        <v>20</v>
      </c>
      <c r="AA292" s="749" t="s">
        <v>232</v>
      </c>
      <c r="AG292" s="5" t="str">
        <f t="shared" si="81"/>
        <v/>
      </c>
      <c r="AH292" s="5" t="str">
        <f>IF(AG292="","",VLOOKUP($Y292,Nutrition_tables!$A:$N,10,FALSE))</f>
        <v/>
      </c>
      <c r="AI292" s="5" t="str">
        <f t="shared" si="80"/>
        <v/>
      </c>
    </row>
    <row r="293" spans="1:42">
      <c r="B293" s="1" t="s">
        <v>2192</v>
      </c>
      <c r="C293" s="1" t="s">
        <v>3447</v>
      </c>
      <c r="E293" s="466"/>
      <c r="T293" s="101" t="str">
        <f>IF(O293="","",IF('Charts and graphs'!$C$6="Conventional",IF(N293&gt;0,1000*P293/J293,""),IF(VLOOKUP($E293,$Y:$AE,7,FALSE)=0,IF(N293&gt;0,1000*P293/J293,""),VLOOKUP($E293,$Y:$AE,7,FALSE))))</f>
        <v/>
      </c>
      <c r="U293" s="101" t="str">
        <f t="shared" si="77"/>
        <v/>
      </c>
      <c r="V293" s="101" t="str">
        <f t="shared" si="78"/>
        <v/>
      </c>
      <c r="Y293" s="53" t="s">
        <v>3249</v>
      </c>
      <c r="Z293" s="1">
        <v>20</v>
      </c>
      <c r="AA293" s="749" t="s">
        <v>232</v>
      </c>
      <c r="AG293" s="5">
        <f t="shared" si="81"/>
        <v>960</v>
      </c>
      <c r="AH293" s="5">
        <f>IF(AG293="","",VLOOKUP($Y293,Nutrition_tables!$A:$N,10,FALSE))</f>
        <v>525</v>
      </c>
      <c r="AI293" s="5">
        <f t="shared" si="80"/>
        <v>0.18285714285714286</v>
      </c>
    </row>
    <row r="294" spans="1:42">
      <c r="B294" s="1" t="s">
        <v>2193</v>
      </c>
      <c r="C294" s="1" t="s">
        <v>3447</v>
      </c>
      <c r="E294" s="466"/>
      <c r="T294" s="101" t="str">
        <f>IF(O294="","",IF('Charts and graphs'!$C$6="Conventional",IF(N294&gt;0,1000*P294/J294,""),IF(VLOOKUP($E294,$Y:$AE,7,FALSE)=0,IF(N294&gt;0,1000*P294/J294,""),VLOOKUP($E294,$Y:$AE,7,FALSE))))</f>
        <v/>
      </c>
      <c r="U294" s="101" t="str">
        <f t="shared" si="77"/>
        <v/>
      </c>
      <c r="V294" s="101" t="str">
        <f t="shared" si="78"/>
        <v/>
      </c>
      <c r="Y294" s="53" t="s">
        <v>495</v>
      </c>
      <c r="Z294" s="1">
        <v>20</v>
      </c>
      <c r="AA294" s="749" t="s">
        <v>232</v>
      </c>
      <c r="AG294" s="5">
        <f t="shared" si="81"/>
        <v>33.6</v>
      </c>
      <c r="AH294" s="5">
        <f>IF(AG294="","",VLOOKUP($Y294,Nutrition_tables!$A:$N,10,FALSE))</f>
        <v>0</v>
      </c>
      <c r="AI294" s="5" t="e">
        <f t="shared" si="80"/>
        <v>#DIV/0!</v>
      </c>
      <c r="AM294" s="379"/>
      <c r="AN294" s="379"/>
      <c r="AO294" s="379"/>
      <c r="AP294" s="379"/>
    </row>
    <row r="295" spans="1:42" s="379" customFormat="1">
      <c r="A295" s="330"/>
      <c r="B295" s="1" t="s">
        <v>2194</v>
      </c>
      <c r="C295" s="1" t="s">
        <v>3449</v>
      </c>
      <c r="D295" s="330"/>
      <c r="E295" s="466"/>
      <c r="F295" s="1197"/>
      <c r="G295" s="690"/>
      <c r="H295" s="82"/>
      <c r="I295"/>
      <c r="J295"/>
      <c r="K295" s="82"/>
      <c r="L295" s="82"/>
      <c r="M295" s="1202"/>
      <c r="N295" s="247"/>
      <c r="O295" s="1139"/>
      <c r="P295"/>
      <c r="Q295"/>
      <c r="R295"/>
      <c r="S295" s="1202"/>
      <c r="T295" s="101" t="str">
        <f>IF(O295="","",IF('Charts and graphs'!$C$6="Conventional",IF(N295&gt;0,1000*P295/J295,""),IF(VLOOKUP($E295,$Y:$AE,7,FALSE)=0,IF(N295&gt;0,1000*P295/J295,""),VLOOKUP($E295,$Y:$AE,7,FALSE))))</f>
        <v/>
      </c>
      <c r="U295" s="101" t="str">
        <f t="shared" si="77"/>
        <v/>
      </c>
      <c r="V295" s="101" t="str">
        <f t="shared" si="78"/>
        <v/>
      </c>
      <c r="W295" s="330"/>
      <c r="X295" s="99"/>
      <c r="Y295" s="24" t="s">
        <v>3301</v>
      </c>
      <c r="Z295" s="24">
        <v>20</v>
      </c>
      <c r="AA295" s="492" t="s">
        <v>232</v>
      </c>
      <c r="AB295" s="421"/>
      <c r="AC295" s="421"/>
      <c r="AD295" s="749"/>
      <c r="AE295" s="749"/>
      <c r="AF295" s="749"/>
      <c r="AG295" s="5">
        <f t="shared" si="81"/>
        <v>369.6</v>
      </c>
      <c r="AH295" s="5">
        <f>IF(AG295="","",VLOOKUP($Y295,Nutrition_tables!$A:$N,10,FALSE))</f>
        <v>137</v>
      </c>
      <c r="AI295" s="5">
        <f t="shared" si="80"/>
        <v>0.26978102189781022</v>
      </c>
      <c r="AJ295" s="749"/>
      <c r="AK295"/>
      <c r="AL295"/>
    </row>
    <row r="296" spans="1:42" s="379" customFormat="1">
      <c r="A296" s="330"/>
      <c r="B296" s="1" t="s">
        <v>2195</v>
      </c>
      <c r="C296" s="1" t="s">
        <v>3449</v>
      </c>
      <c r="D296" s="330"/>
      <c r="E296" s="466"/>
      <c r="F296" s="1197"/>
      <c r="G296" s="690"/>
      <c r="H296" s="82"/>
      <c r="I296"/>
      <c r="J296"/>
      <c r="K296" s="82"/>
      <c r="L296" s="82"/>
      <c r="M296" s="1202"/>
      <c r="N296" s="247"/>
      <c r="O296" s="1139"/>
      <c r="P296"/>
      <c r="Q296"/>
      <c r="R296"/>
      <c r="S296" s="1202"/>
      <c r="T296" s="101" t="str">
        <f>IF(O296="","",IF('Charts and graphs'!$C$6="Conventional",IF(N296&gt;0,1000*P296/J296,""),IF(VLOOKUP($E296,$Y:$AE,7,FALSE)=0,IF(N296&gt;0,1000*P296/J296,""),VLOOKUP($E296,$Y:$AE,7,FALSE))))</f>
        <v/>
      </c>
      <c r="U296" s="101" t="str">
        <f t="shared" si="77"/>
        <v/>
      </c>
      <c r="V296" s="101" t="str">
        <f t="shared" si="78"/>
        <v/>
      </c>
      <c r="W296" s="330"/>
      <c r="X296" s="99"/>
      <c r="Y296" s="397" t="s">
        <v>1773</v>
      </c>
      <c r="Z296" s="1">
        <v>10</v>
      </c>
      <c r="AA296" s="749" t="s">
        <v>2386</v>
      </c>
      <c r="AC296" s="421"/>
      <c r="AD296" s="749"/>
      <c r="AE296" s="749"/>
      <c r="AF296" s="749"/>
      <c r="AG296" s="5" t="str">
        <f t="shared" si="81"/>
        <v/>
      </c>
      <c r="AH296" s="5" t="str">
        <f>IF(AG296="","",VLOOKUP($Y296,Nutrition_tables!$A:$N,10,FALSE))</f>
        <v/>
      </c>
      <c r="AI296" s="5" t="str">
        <f t="shared" si="79"/>
        <v/>
      </c>
      <c r="AJ296" s="749"/>
      <c r="AK296"/>
      <c r="AL296"/>
      <c r="AM296"/>
      <c r="AN296"/>
      <c r="AO296"/>
      <c r="AP296"/>
    </row>
    <row r="297" spans="1:42">
      <c r="B297" s="1" t="s">
        <v>2196</v>
      </c>
      <c r="C297" s="1" t="s">
        <v>3449</v>
      </c>
      <c r="E297" s="466"/>
      <c r="G297" s="690"/>
      <c r="T297" s="101" t="str">
        <f>IF(O297="","",IF('Charts and graphs'!$C$6="Conventional",IF(N297&gt;0,1000*P297/J297,""),IF(VLOOKUP($E297,$Y:$AE,7,FALSE)=0,IF(N297&gt;0,1000*P297/J297,""),VLOOKUP($E297,$Y:$AE,7,FALSE))))</f>
        <v/>
      </c>
      <c r="U297" s="101" t="str">
        <f t="shared" si="77"/>
        <v/>
      </c>
      <c r="V297" s="101" t="str">
        <f t="shared" si="78"/>
        <v/>
      </c>
      <c r="Y297" s="1" t="s">
        <v>3315</v>
      </c>
      <c r="Z297" s="1">
        <v>10</v>
      </c>
      <c r="AA297" s="749" t="s">
        <v>2386</v>
      </c>
      <c r="AG297" s="5" t="str">
        <f t="shared" si="81"/>
        <v/>
      </c>
      <c r="AH297" s="5" t="str">
        <f>IF(AG297="","",VLOOKUP($Y297,Nutrition_tables!$A:$N,10,FALSE))</f>
        <v/>
      </c>
      <c r="AI297" s="5" t="str">
        <f t="shared" si="79"/>
        <v/>
      </c>
    </row>
    <row r="298" spans="1:42">
      <c r="B298" s="1" t="s">
        <v>2197</v>
      </c>
      <c r="C298" s="1" t="s">
        <v>3449</v>
      </c>
      <c r="E298" s="466"/>
      <c r="G298" s="690"/>
      <c r="I298" s="379"/>
      <c r="J298" s="379"/>
      <c r="P298" s="379"/>
      <c r="Q298" s="379"/>
      <c r="R298" s="379"/>
      <c r="T298" s="101" t="str">
        <f>IF(O298="","",IF('Charts and graphs'!$C$6="Conventional",IF(N298&gt;0,1000*P298/J298,""),IF(VLOOKUP($E298,$Y:$AE,7,FALSE)=0,IF(N298&gt;0,1000*P298/J298,""),VLOOKUP($E298,$Y:$AE,7,FALSE))))</f>
        <v/>
      </c>
      <c r="U298" s="101" t="str">
        <f t="shared" si="77"/>
        <v/>
      </c>
      <c r="V298" s="101" t="str">
        <f t="shared" si="78"/>
        <v/>
      </c>
      <c r="Y298" s="1" t="s">
        <v>27</v>
      </c>
      <c r="Z298" s="1">
        <v>10</v>
      </c>
      <c r="AA298" s="749" t="s">
        <v>2386</v>
      </c>
      <c r="AG298" s="5">
        <f t="shared" si="81"/>
        <v>143</v>
      </c>
      <c r="AH298" s="5">
        <f>IF(AG298="","",VLOOKUP($Y298,Nutrition_tables!$A:$N,10,FALSE))</f>
        <v>88.999999999999986</v>
      </c>
      <c r="AI298" s="5">
        <f t="shared" si="79"/>
        <v>0.16067415730337081</v>
      </c>
      <c r="AM298" s="379"/>
      <c r="AN298" s="379"/>
      <c r="AO298" s="379"/>
      <c r="AP298" s="379"/>
    </row>
    <row r="299" spans="1:42" s="379" customFormat="1">
      <c r="A299" s="330"/>
      <c r="B299" s="1" t="s">
        <v>2198</v>
      </c>
      <c r="C299" s="1" t="s">
        <v>3451</v>
      </c>
      <c r="D299" s="330"/>
      <c r="E299" s="466"/>
      <c r="F299" s="1197"/>
      <c r="G299" s="82"/>
      <c r="H299" s="82"/>
      <c r="K299" s="82"/>
      <c r="L299" s="82"/>
      <c r="M299" s="1202"/>
      <c r="N299" s="247"/>
      <c r="O299" s="1139"/>
      <c r="S299" s="1202"/>
      <c r="T299" s="101" t="str">
        <f>IF(O299="","",IF('Charts and graphs'!$C$6="Conventional",IF(N299&gt;0,1000*P299/J299,""),IF(VLOOKUP($E299,$Y:$AE,7,FALSE)=0,IF(N299&gt;0,1000*P299/J299,""),VLOOKUP($E299,$Y:$AE,7,FALSE))))</f>
        <v/>
      </c>
      <c r="U299" s="101" t="str">
        <f t="shared" si="77"/>
        <v/>
      </c>
      <c r="V299" s="101" t="str">
        <f t="shared" si="78"/>
        <v/>
      </c>
      <c r="W299" s="330"/>
      <c r="X299" s="99"/>
      <c r="Y299" s="1" t="s">
        <v>1776</v>
      </c>
      <c r="Z299" s="1">
        <v>10</v>
      </c>
      <c r="AA299" s="749" t="s">
        <v>2386</v>
      </c>
      <c r="AB299" s="421"/>
      <c r="AC299" s="421"/>
      <c r="AD299" s="749"/>
      <c r="AE299" s="749"/>
      <c r="AF299" s="749"/>
      <c r="AG299" s="5" t="str">
        <f t="shared" si="81"/>
        <v/>
      </c>
      <c r="AH299" s="5" t="str">
        <f>IF(AG299="","",VLOOKUP($Y299,Nutrition_tables!$A:$N,10,FALSE))</f>
        <v/>
      </c>
      <c r="AI299" s="5" t="str">
        <f t="shared" si="79"/>
        <v/>
      </c>
      <c r="AJ299" s="749"/>
      <c r="AK299"/>
    </row>
    <row r="300" spans="1:42" s="379" customFormat="1">
      <c r="A300" s="330"/>
      <c r="B300" s="1" t="s">
        <v>2199</v>
      </c>
      <c r="C300" s="1" t="s">
        <v>3451</v>
      </c>
      <c r="D300" s="330"/>
      <c r="E300" s="466"/>
      <c r="F300" s="1197"/>
      <c r="G300" s="82"/>
      <c r="H300" s="82"/>
      <c r="I300"/>
      <c r="J300"/>
      <c r="K300" s="82"/>
      <c r="L300" s="82"/>
      <c r="M300" s="1202"/>
      <c r="N300" s="247"/>
      <c r="O300" s="1139"/>
      <c r="P300"/>
      <c r="Q300"/>
      <c r="R300"/>
      <c r="S300" s="1202"/>
      <c r="T300" s="101" t="str">
        <f>IF(O300="","",IF('Charts and graphs'!$C$6="Conventional",IF(N300&gt;0,1000*P300/J300,""),IF(VLOOKUP($E300,$Y:$AE,7,FALSE)=0,IF(N300&gt;0,1000*P300/J300,""),VLOOKUP($E300,$Y:$AE,7,FALSE))))</f>
        <v/>
      </c>
      <c r="U300" s="101" t="str">
        <f t="shared" si="77"/>
        <v/>
      </c>
      <c r="V300" s="101" t="str">
        <f t="shared" si="78"/>
        <v/>
      </c>
      <c r="W300" s="330"/>
      <c r="X300" s="99"/>
      <c r="Y300" s="1" t="s">
        <v>1777</v>
      </c>
      <c r="Z300" s="1">
        <v>10</v>
      </c>
      <c r="AA300" s="749" t="s">
        <v>2386</v>
      </c>
      <c r="AB300" s="421"/>
      <c r="AC300" s="421"/>
      <c r="AD300" s="749"/>
      <c r="AE300" s="749"/>
      <c r="AF300" s="749"/>
      <c r="AG300" s="5" t="str">
        <f t="shared" si="81"/>
        <v/>
      </c>
      <c r="AH300" s="5" t="str">
        <f>IF(AG300="","",VLOOKUP($Y300,Nutrition_tables!$A:$N,10,FALSE))</f>
        <v/>
      </c>
      <c r="AI300" s="5" t="str">
        <f t="shared" si="79"/>
        <v/>
      </c>
      <c r="AJ300" s="749"/>
      <c r="AK300"/>
      <c r="AM300"/>
      <c r="AN300"/>
      <c r="AO300"/>
      <c r="AP300"/>
    </row>
    <row r="301" spans="1:42">
      <c r="B301" s="1" t="s">
        <v>2200</v>
      </c>
      <c r="C301" s="1" t="s">
        <v>3451</v>
      </c>
      <c r="E301" s="466"/>
      <c r="T301" s="101" t="str">
        <f>IF(O301="","",IF('Charts and graphs'!$C$6="Conventional",IF(N301&gt;0,1000*P301/J301,""),IF(VLOOKUP($E301,$Y:$AE,7,FALSE)=0,IF(N301&gt;0,1000*P301/J301,""),VLOOKUP($E301,$Y:$AE,7,FALSE))))</f>
        <v/>
      </c>
      <c r="U301" s="101" t="str">
        <f t="shared" si="77"/>
        <v/>
      </c>
      <c r="V301" s="101" t="str">
        <f t="shared" si="78"/>
        <v/>
      </c>
      <c r="Y301" s="1" t="s">
        <v>1801</v>
      </c>
      <c r="Z301" s="1">
        <v>10</v>
      </c>
      <c r="AA301" s="749" t="s">
        <v>2386</v>
      </c>
      <c r="AG301" s="5" t="str">
        <f t="shared" si="81"/>
        <v/>
      </c>
      <c r="AH301" s="5" t="str">
        <f>IF(AG301="","",VLOOKUP($Y301,Nutrition_tables!$A:$N,10,FALSE))</f>
        <v/>
      </c>
      <c r="AI301" s="5" t="str">
        <f t="shared" si="79"/>
        <v/>
      </c>
      <c r="AM301" s="379"/>
      <c r="AN301" s="379"/>
      <c r="AO301" s="379"/>
      <c r="AP301" s="379"/>
    </row>
    <row r="302" spans="1:42" s="379" customFormat="1">
      <c r="A302" s="330"/>
      <c r="B302" s="1" t="s">
        <v>2201</v>
      </c>
      <c r="C302" s="1" t="s">
        <v>3451</v>
      </c>
      <c r="D302" s="330"/>
      <c r="E302" s="466"/>
      <c r="F302" s="1197"/>
      <c r="G302" s="82"/>
      <c r="H302" s="82"/>
      <c r="K302" s="82"/>
      <c r="L302" s="82"/>
      <c r="M302" s="1202"/>
      <c r="N302" s="247"/>
      <c r="O302" s="1139"/>
      <c r="S302" s="1202"/>
      <c r="T302" s="101" t="str">
        <f>IF(O302="","",IF('Charts and graphs'!$C$6="Conventional",IF(N302&gt;0,1000*P302/J302,""),IF(VLOOKUP($E302,$Y:$AE,7,FALSE)=0,IF(N302&gt;0,1000*P302/J302,""),VLOOKUP($E302,$Y:$AE,7,FALSE))))</f>
        <v/>
      </c>
      <c r="U302" s="101" t="str">
        <f t="shared" si="77"/>
        <v/>
      </c>
      <c r="V302" s="101" t="str">
        <f t="shared" si="78"/>
        <v/>
      </c>
      <c r="W302" s="330"/>
      <c r="X302" s="99"/>
      <c r="Y302" s="1" t="s">
        <v>1778</v>
      </c>
      <c r="Z302" s="1">
        <v>10</v>
      </c>
      <c r="AA302" s="749" t="s">
        <v>2386</v>
      </c>
      <c r="AB302" s="421"/>
      <c r="AC302" s="421"/>
      <c r="AD302" s="749"/>
      <c r="AE302" s="749"/>
      <c r="AF302" s="749"/>
      <c r="AG302" s="5" t="str">
        <f t="shared" si="81"/>
        <v/>
      </c>
      <c r="AH302" s="5" t="str">
        <f>IF(AG302="","",VLOOKUP($Y302,Nutrition_tables!$A:$N,10,FALSE))</f>
        <v/>
      </c>
      <c r="AI302" s="5" t="str">
        <f t="shared" si="79"/>
        <v/>
      </c>
      <c r="AJ302" s="749"/>
      <c r="AK302"/>
      <c r="AL302"/>
      <c r="AM302"/>
      <c r="AN302"/>
      <c r="AO302"/>
      <c r="AP302"/>
    </row>
    <row r="303" spans="1:42">
      <c r="B303" s="1" t="s">
        <v>2202</v>
      </c>
      <c r="C303" s="1" t="s">
        <v>3451</v>
      </c>
      <c r="E303" s="379"/>
      <c r="I303" s="379"/>
      <c r="J303" s="379"/>
      <c r="P303" s="379"/>
      <c r="Q303" s="379"/>
      <c r="R303" s="379"/>
      <c r="T303" s="101" t="str">
        <f>IF(O303="","",IF('Charts and graphs'!$C$6="Conventional",IF(N303&gt;0,1000*P303/J303,""),IF(VLOOKUP($E303,$Y:$AE,7,FALSE)=0,IF(N303&gt;0,1000*P303/J303,""),VLOOKUP($E303,$Y:$AE,7,FALSE))))</f>
        <v/>
      </c>
      <c r="U303" s="101" t="str">
        <f t="shared" si="77"/>
        <v/>
      </c>
      <c r="V303" s="101" t="str">
        <f t="shared" si="78"/>
        <v/>
      </c>
      <c r="Y303" s="1" t="s">
        <v>460</v>
      </c>
      <c r="Z303" s="1">
        <v>10</v>
      </c>
      <c r="AA303" s="749" t="s">
        <v>2386</v>
      </c>
      <c r="AG303" s="5">
        <f t="shared" si="81"/>
        <v>104.5</v>
      </c>
      <c r="AH303" s="5">
        <f>IF(AG303="","",VLOOKUP($Y303,Nutrition_tables!$A:$N,10,FALSE))</f>
        <v>60.3</v>
      </c>
      <c r="AI303" s="5">
        <f t="shared" si="79"/>
        <v>0.17330016583747926</v>
      </c>
      <c r="AL303" s="379"/>
    </row>
    <row r="304" spans="1:42">
      <c r="B304" s="1" t="s">
        <v>2203</v>
      </c>
      <c r="C304" s="1" t="s">
        <v>3212</v>
      </c>
      <c r="E304" s="379" t="str">
        <f>_xlfn.IFNA(VLOOKUP($H304,Ingredient_prices!$B:$C,2,FALSE),"")</f>
        <v/>
      </c>
      <c r="T304" s="101" t="str">
        <f>IF(O304="","",IF('Charts and graphs'!$C$6="Conventional",IF(N304&gt;0,1000*P304/J304,""),IF(VLOOKUP($E304,$Y:$AE,7,FALSE)=0,IF(N304&gt;0,1000*P304/J304,""),VLOOKUP($E304,$Y:$AE,7,FALSE))))</f>
        <v/>
      </c>
      <c r="U304" s="101" t="str">
        <f t="shared" si="77"/>
        <v/>
      </c>
      <c r="V304" s="101" t="str">
        <f t="shared" si="78"/>
        <v/>
      </c>
      <c r="Y304" s="1" t="s">
        <v>3308</v>
      </c>
      <c r="Z304" s="1">
        <v>10</v>
      </c>
      <c r="AA304" s="749" t="s">
        <v>2386</v>
      </c>
      <c r="AG304" s="5">
        <f t="shared" si="81"/>
        <v>49.5</v>
      </c>
      <c r="AH304" s="5">
        <f>IF(AG304="","",VLOOKUP($Y304,Nutrition_tables!$A:$N,10,FALSE))</f>
        <v>45</v>
      </c>
      <c r="AI304" s="5">
        <f t="shared" si="79"/>
        <v>0.11</v>
      </c>
      <c r="AK304" s="379"/>
      <c r="AL304" s="379"/>
      <c r="AM304" s="379"/>
      <c r="AN304" s="379"/>
      <c r="AO304" s="379"/>
      <c r="AP304" s="379"/>
    </row>
    <row r="305" spans="1:42" s="379" customFormat="1">
      <c r="A305" s="330"/>
      <c r="B305" s="82" t="s">
        <v>2454</v>
      </c>
      <c r="C305" s="1" t="s">
        <v>3212</v>
      </c>
      <c r="D305" s="330"/>
      <c r="F305" s="1197"/>
      <c r="G305" s="82"/>
      <c r="H305" s="82"/>
      <c r="K305" s="82"/>
      <c r="L305" s="82"/>
      <c r="M305" s="1202"/>
      <c r="N305" s="247"/>
      <c r="O305" s="1139"/>
      <c r="S305" s="1202"/>
      <c r="T305" s="101" t="str">
        <f>IF(O305="","",IF('Charts and graphs'!$C$6="Conventional",IF(N305&gt;0,1000*P305/J305,""),IF(VLOOKUP($E305,$Y:$AE,7,FALSE)=0,IF(N305&gt;0,1000*P305/J305,""),VLOOKUP($E305,$Y:$AE,7,FALSE))))</f>
        <v/>
      </c>
      <c r="U305" s="101" t="str">
        <f t="shared" si="77"/>
        <v/>
      </c>
      <c r="V305" s="101" t="str">
        <f t="shared" si="78"/>
        <v/>
      </c>
      <c r="W305" s="330"/>
      <c r="X305" s="99"/>
      <c r="Y305" s="1" t="s">
        <v>3309</v>
      </c>
      <c r="Z305" s="1">
        <v>10</v>
      </c>
      <c r="AA305" s="749" t="s">
        <v>2386</v>
      </c>
      <c r="AB305" s="421"/>
      <c r="AC305" s="421"/>
      <c r="AD305" s="749"/>
      <c r="AE305" s="749"/>
      <c r="AF305" s="749"/>
      <c r="AG305" s="5" t="str">
        <f t="shared" si="81"/>
        <v/>
      </c>
      <c r="AH305" s="5" t="str">
        <f>IF(AG305="","",VLOOKUP($Y305,Nutrition_tables!$A:$N,10,FALSE))</f>
        <v/>
      </c>
      <c r="AI305" s="5" t="str">
        <f t="shared" si="79"/>
        <v/>
      </c>
      <c r="AJ305" s="749"/>
      <c r="AL305"/>
      <c r="AM305"/>
      <c r="AN305"/>
      <c r="AO305"/>
      <c r="AP305"/>
    </row>
    <row r="306" spans="1:42">
      <c r="B306" s="1" t="s">
        <v>1153</v>
      </c>
      <c r="C306" s="1" t="s">
        <v>3457</v>
      </c>
      <c r="E306" s="379" t="str">
        <f>_xlfn.IFNA(VLOOKUP($H306,Ingredient_prices!$B:$C,2,FALSE),"")</f>
        <v/>
      </c>
      <c r="G306" s="690"/>
      <c r="T306" s="101" t="str">
        <f>IF(O306="","",IF('Charts and graphs'!$C$6="Conventional",IF(N306&gt;0,1000*P306/J306,""),IF(VLOOKUP($E306,$Y:$AE,7,FALSE)=0,IF(N306&gt;0,1000*P306/J306,""),VLOOKUP($E306,$Y:$AE,7,FALSE))))</f>
        <v/>
      </c>
      <c r="U306" s="101" t="str">
        <f t="shared" si="77"/>
        <v/>
      </c>
      <c r="V306" s="101" t="str">
        <f t="shared" si="78"/>
        <v/>
      </c>
      <c r="Y306" s="1" t="s">
        <v>3310</v>
      </c>
      <c r="Z306" s="1">
        <v>10</v>
      </c>
      <c r="AA306" s="749" t="s">
        <v>2386</v>
      </c>
      <c r="AG306" s="5" t="str">
        <f t="shared" si="81"/>
        <v/>
      </c>
      <c r="AH306" s="5" t="str">
        <f>IF(AG306="","",VLOOKUP($Y306,Nutrition_tables!$A:$N,10,FALSE))</f>
        <v/>
      </c>
      <c r="AI306" s="5" t="str">
        <f t="shared" si="79"/>
        <v/>
      </c>
      <c r="AL306" s="379"/>
      <c r="AM306" s="379"/>
      <c r="AN306" s="379"/>
      <c r="AO306" s="379"/>
      <c r="AP306" s="379"/>
    </row>
    <row r="307" spans="1:42" s="379" customFormat="1">
      <c r="A307" s="330"/>
      <c r="B307" s="1" t="s">
        <v>2007</v>
      </c>
      <c r="C307" s="1" t="s">
        <v>3211</v>
      </c>
      <c r="D307" s="330"/>
      <c r="E307" s="379" t="str">
        <f>_xlfn.IFNA(VLOOKUP($H307,Ingredient_prices!$B:$C,2,FALSE),"")</f>
        <v/>
      </c>
      <c r="F307" s="1197"/>
      <c r="G307" s="82"/>
      <c r="H307" s="82"/>
      <c r="I307"/>
      <c r="J307"/>
      <c r="K307" s="82"/>
      <c r="L307" s="82"/>
      <c r="M307" s="1202"/>
      <c r="N307" s="247"/>
      <c r="O307" s="1139"/>
      <c r="P307"/>
      <c r="Q307"/>
      <c r="R307"/>
      <c r="S307" s="1202"/>
      <c r="T307" s="101" t="str">
        <f>IF(O307="","",IF('Charts and graphs'!$C$6="Conventional",IF(N307&gt;0,1000*P307/J307,""),IF(VLOOKUP($E307,$Y:$AE,7,FALSE)=0,IF(N307&gt;0,1000*P307/J307,""),VLOOKUP($E307,$Y:$AE,7,FALSE))))</f>
        <v/>
      </c>
      <c r="U307" s="101" t="str">
        <f t="shared" si="77"/>
        <v/>
      </c>
      <c r="V307" s="101" t="str">
        <f t="shared" si="78"/>
        <v/>
      </c>
      <c r="W307" s="330"/>
      <c r="X307" s="99"/>
      <c r="Y307" s="1" t="s">
        <v>3311</v>
      </c>
      <c r="Z307" s="1">
        <v>10</v>
      </c>
      <c r="AA307" s="749" t="s">
        <v>2386</v>
      </c>
      <c r="AB307" s="421"/>
      <c r="AC307" s="421"/>
      <c r="AD307" s="749"/>
      <c r="AE307" s="749"/>
      <c r="AF307" s="749"/>
      <c r="AG307" s="5" t="str">
        <f t="shared" si="81"/>
        <v/>
      </c>
      <c r="AH307" s="5" t="str">
        <f>IF(AG307="","",VLOOKUP($Y307,Nutrition_tables!$A:$N,10,FALSE))</f>
        <v/>
      </c>
      <c r="AI307" s="5" t="str">
        <f t="shared" si="79"/>
        <v/>
      </c>
      <c r="AJ307" s="749"/>
      <c r="AK307"/>
      <c r="AL307"/>
      <c r="AM307"/>
      <c r="AN307"/>
      <c r="AO307"/>
      <c r="AP307"/>
    </row>
    <row r="308" spans="1:42">
      <c r="B308" s="1" t="s">
        <v>1247</v>
      </c>
      <c r="C308" s="1" t="s">
        <v>3459</v>
      </c>
      <c r="E308" s="379" t="str">
        <f>_xlfn.IFNA(VLOOKUP($H308,Ingredient_prices!$B:$C,2,FALSE),"")</f>
        <v/>
      </c>
      <c r="I308" s="379"/>
      <c r="J308" s="379"/>
      <c r="P308" s="379"/>
      <c r="Q308" s="379"/>
      <c r="R308" s="379"/>
      <c r="T308" s="101" t="str">
        <f>IF(O308="","",IF('Charts and graphs'!$C$6="Conventional",IF(N308&gt;0,1000*P308/J308,""),IF(VLOOKUP($E308,$Y:$AE,7,FALSE)=0,IF(N308&gt;0,1000*P308/J308,""),VLOOKUP($E308,$Y:$AE,7,FALSE))))</f>
        <v/>
      </c>
      <c r="U308" s="101" t="str">
        <f t="shared" si="77"/>
        <v/>
      </c>
      <c r="V308" s="101" t="str">
        <f t="shared" si="78"/>
        <v/>
      </c>
      <c r="Y308" s="1" t="s">
        <v>3439</v>
      </c>
      <c r="Z308" s="1">
        <v>10</v>
      </c>
      <c r="AA308" s="749" t="s">
        <v>2386</v>
      </c>
      <c r="AG308" s="5" t="str">
        <f t="shared" si="81"/>
        <v/>
      </c>
      <c r="AH308" s="5" t="str">
        <f>IF(AG308="","",VLOOKUP($Y308,Nutrition_tables!$A:$N,10,FALSE))</f>
        <v/>
      </c>
      <c r="AI308" s="5" t="str">
        <f t="shared" si="79"/>
        <v/>
      </c>
      <c r="AK308" s="379"/>
    </row>
    <row r="309" spans="1:42">
      <c r="B309" s="1" t="s">
        <v>1677</v>
      </c>
      <c r="C309" s="1" t="s">
        <v>3461</v>
      </c>
      <c r="E309" s="379" t="str">
        <f>_xlfn.IFNA(VLOOKUP($H309,Ingredient_prices!$B:$C,2,FALSE),"")</f>
        <v/>
      </c>
      <c r="T309" s="101" t="str">
        <f>IF(O309="","",IF('Charts and graphs'!$C$6="Conventional",IF(N309&gt;0,1000*P309/J309,""),IF(VLOOKUP($E309,$Y:$AE,7,FALSE)=0,IF(N309&gt;0,1000*P309/J309,""),VLOOKUP($E309,$Y:$AE,7,FALSE))))</f>
        <v/>
      </c>
      <c r="U309" s="101" t="str">
        <f t="shared" si="77"/>
        <v/>
      </c>
      <c r="V309" s="101" t="str">
        <f t="shared" si="78"/>
        <v/>
      </c>
      <c r="Y309" s="1" t="s">
        <v>3312</v>
      </c>
      <c r="Z309" s="1">
        <v>10</v>
      </c>
      <c r="AA309" s="749" t="s">
        <v>2386</v>
      </c>
      <c r="AG309" s="5" t="str">
        <f t="shared" si="81"/>
        <v/>
      </c>
      <c r="AH309" s="5" t="str">
        <f>IF(AG309="","",VLOOKUP($Y309,Nutrition_tables!$A:$N,10,FALSE))</f>
        <v/>
      </c>
      <c r="AI309" s="5" t="str">
        <f t="shared" si="79"/>
        <v/>
      </c>
      <c r="AK309" s="379"/>
      <c r="AL309" s="379"/>
    </row>
    <row r="310" spans="1:42">
      <c r="B310" s="1" t="s">
        <v>836</v>
      </c>
      <c r="C310" s="1" t="s">
        <v>480</v>
      </c>
      <c r="E310" s="379"/>
      <c r="I310" s="379"/>
      <c r="J310" s="379"/>
      <c r="P310" s="379"/>
      <c r="Q310" s="379"/>
      <c r="R310" s="379"/>
      <c r="T310" s="101" t="str">
        <f>IF(O310="","",IF('Charts and graphs'!$C$6="Conventional",IF(N310&gt;0,1000*P310/J310,""),IF(VLOOKUP($E310,$Y:$AE,7,FALSE)=0,IF(N310&gt;0,1000*P310/J310,""),VLOOKUP($E310,$Y:$AE,7,FALSE))))</f>
        <v/>
      </c>
      <c r="U310" s="101" t="str">
        <f t="shared" si="77"/>
        <v/>
      </c>
      <c r="V310" s="101" t="str">
        <f t="shared" si="78"/>
        <v/>
      </c>
      <c r="Y310" s="1" t="s">
        <v>468</v>
      </c>
      <c r="Z310" s="1">
        <v>10</v>
      </c>
      <c r="AA310" s="749" t="s">
        <v>2386</v>
      </c>
      <c r="AG310" s="5">
        <f t="shared" si="81"/>
        <v>132</v>
      </c>
      <c r="AH310" s="5">
        <f>IF(AG310="","",VLOOKUP($Y310,Nutrition_tables!$A:$N,10,FALSE))</f>
        <v>41</v>
      </c>
      <c r="AI310" s="5">
        <f t="shared" si="79"/>
        <v>0.32195121951219513</v>
      </c>
    </row>
    <row r="311" spans="1:42">
      <c r="B311" s="1" t="s">
        <v>1169</v>
      </c>
      <c r="C311" s="1" t="s">
        <v>3455</v>
      </c>
      <c r="E311" s="379" t="str">
        <f>_xlfn.IFNA(VLOOKUP($H311,Ingredient_prices!$B:$C,2,FALSE),"")</f>
        <v/>
      </c>
      <c r="T311" s="101" t="str">
        <f>IF(O311="","",IF('Charts and graphs'!$C$6="Conventional",IF(N311&gt;0,1000*P311/J311,""),IF(VLOOKUP($E311,$Y:$AE,7,FALSE)=0,IF(N311&gt;0,1000*P311/J311,""),VLOOKUP($E311,$Y:$AE,7,FALSE))))</f>
        <v/>
      </c>
      <c r="U311" s="101" t="str">
        <f t="shared" si="77"/>
        <v/>
      </c>
      <c r="V311" s="101" t="str">
        <f t="shared" si="78"/>
        <v/>
      </c>
      <c r="Y311" s="1" t="s">
        <v>1779</v>
      </c>
      <c r="Z311" s="1">
        <v>10</v>
      </c>
      <c r="AA311" s="749" t="s">
        <v>2386</v>
      </c>
      <c r="AG311" s="5" t="str">
        <f t="shared" si="81"/>
        <v/>
      </c>
      <c r="AH311" s="5" t="str">
        <f>IF(AG311="","",VLOOKUP($Y311,Nutrition_tables!$A:$N,10,FALSE))</f>
        <v/>
      </c>
      <c r="AI311" s="5" t="str">
        <f t="shared" si="79"/>
        <v/>
      </c>
      <c r="AK311" s="379"/>
      <c r="AL311" s="379"/>
    </row>
    <row r="312" spans="1:42">
      <c r="B312" s="1" t="s">
        <v>1171</v>
      </c>
      <c r="C312" s="1" t="s">
        <v>3454</v>
      </c>
      <c r="E312" s="379" t="str">
        <f>_xlfn.IFNA(VLOOKUP($H312,Ingredient_prices!$B:$C,2,FALSE),"")</f>
        <v/>
      </c>
      <c r="T312" s="101" t="str">
        <f>IF(O312="","",IF('Charts and graphs'!$C$6="Conventional",IF(N312&gt;0,1000*P312/J312,""),IF(VLOOKUP($E312,$Y:$AE,7,FALSE)=0,IF(N312&gt;0,1000*P312/J312,""),VLOOKUP($E312,$Y:$AE,7,FALSE))))</f>
        <v/>
      </c>
      <c r="U312" s="101" t="str">
        <f t="shared" si="77"/>
        <v/>
      </c>
      <c r="V312" s="101" t="str">
        <f t="shared" si="78"/>
        <v/>
      </c>
      <c r="Y312" s="1" t="s">
        <v>3316</v>
      </c>
      <c r="Z312" s="1"/>
      <c r="AA312" s="749" t="s">
        <v>2386</v>
      </c>
      <c r="AG312" s="5" t="str">
        <f t="shared" si="81"/>
        <v/>
      </c>
      <c r="AH312" s="5" t="str">
        <f>IF(AG312="","",VLOOKUP($Y312,Nutrition_tables!$A:$N,10,FALSE))</f>
        <v/>
      </c>
      <c r="AI312" s="5" t="str">
        <f t="shared" si="79"/>
        <v/>
      </c>
    </row>
    <row r="313" spans="1:42">
      <c r="B313" s="1" t="s">
        <v>1170</v>
      </c>
      <c r="C313" s="1" t="s">
        <v>3454</v>
      </c>
      <c r="E313" s="379" t="str">
        <f>_xlfn.IFNA(VLOOKUP($H313,Ingredient_prices!$B:$C,2,FALSE),"")</f>
        <v/>
      </c>
      <c r="T313" s="101" t="str">
        <f>IF(O313="","",IF('Charts and graphs'!$C$6="Conventional",IF(N313&gt;0,1000*P313/J313,""),IF(VLOOKUP($E313,$Y:$AE,7,FALSE)=0,IF(N313&gt;0,1000*P313/J313,""),VLOOKUP($E313,$Y:$AE,7,FALSE))))</f>
        <v/>
      </c>
      <c r="U313" s="101" t="str">
        <f t="shared" si="77"/>
        <v/>
      </c>
      <c r="V313" s="101" t="str">
        <f t="shared" si="78"/>
        <v/>
      </c>
      <c r="Y313" s="1" t="s">
        <v>481</v>
      </c>
      <c r="Z313" s="1">
        <v>10</v>
      </c>
      <c r="AA313" s="749" t="s">
        <v>2386</v>
      </c>
      <c r="AG313" s="5">
        <f t="shared" si="81"/>
        <v>132</v>
      </c>
      <c r="AH313" s="5">
        <f>IF(AG313="","",VLOOKUP($Y313,Nutrition_tables!$A:$N,10,FALSE))</f>
        <v>57.7</v>
      </c>
      <c r="AI313" s="5">
        <f t="shared" si="79"/>
        <v>0.22876949740034663</v>
      </c>
    </row>
    <row r="314" spans="1:42">
      <c r="B314" s="1" t="s">
        <v>1167</v>
      </c>
      <c r="C314" s="1" t="s">
        <v>3454</v>
      </c>
      <c r="E314" s="379" t="str">
        <f>_xlfn.IFNA(VLOOKUP($H314,Ingredient_prices!$B:$C,2,FALSE),"")</f>
        <v/>
      </c>
      <c r="T314" s="101" t="str">
        <f>IF(O314="","",IF('Charts and graphs'!$C$6="Conventional",IF(N314&gt;0,1000*P314/J314,""),IF(VLOOKUP($E314,$Y:$AE,7,FALSE)=0,IF(N314&gt;0,1000*P314/J314,""),VLOOKUP($E314,$Y:$AE,7,FALSE))))</f>
        <v/>
      </c>
      <c r="U314" s="101" t="str">
        <f t="shared" si="77"/>
        <v/>
      </c>
      <c r="V314" s="101" t="str">
        <f t="shared" si="78"/>
        <v/>
      </c>
      <c r="Y314" s="1" t="s">
        <v>3313</v>
      </c>
      <c r="Z314" s="1">
        <v>10</v>
      </c>
      <c r="AA314" s="749" t="s">
        <v>2386</v>
      </c>
      <c r="AG314" s="5">
        <f t="shared" si="81"/>
        <v>104.5</v>
      </c>
      <c r="AH314" s="5">
        <f>IF(AG314="","",VLOOKUP($Y314,Nutrition_tables!$A:$N,10,FALSE))</f>
        <v>48</v>
      </c>
      <c r="AI314" s="5">
        <f t="shared" si="79"/>
        <v>0.21770833333333334</v>
      </c>
      <c r="AK314" s="379"/>
    </row>
    <row r="315" spans="1:42">
      <c r="B315" s="1" t="s">
        <v>1168</v>
      </c>
      <c r="C315" s="1" t="s">
        <v>3454</v>
      </c>
      <c r="E315" s="379" t="str">
        <f>_xlfn.IFNA(VLOOKUP($H315,Ingredient_prices!$B:$C,2,FALSE),"")</f>
        <v/>
      </c>
      <c r="T315" s="101" t="str">
        <f>IF(O315="","",IF('Charts and graphs'!$C$6="Conventional",IF(N315&gt;0,1000*P315/J315,""),IF(VLOOKUP($E315,$Y:$AE,7,FALSE)=0,IF(N315&gt;0,1000*P315/J315,""),VLOOKUP($E315,$Y:$AE,7,FALSE))))</f>
        <v/>
      </c>
      <c r="U315" s="101" t="str">
        <f t="shared" si="77"/>
        <v/>
      </c>
      <c r="V315" s="101" t="str">
        <f t="shared" si="78"/>
        <v/>
      </c>
      <c r="Y315" s="1" t="s">
        <v>1781</v>
      </c>
      <c r="Z315" s="1">
        <v>10</v>
      </c>
      <c r="AA315" s="749" t="s">
        <v>2386</v>
      </c>
      <c r="AG315" s="5" t="str">
        <f t="shared" si="81"/>
        <v/>
      </c>
      <c r="AH315" s="5" t="str">
        <f>IF(AG315="","",VLOOKUP($Y315,Nutrition_tables!$A:$N,10,FALSE))</f>
        <v/>
      </c>
      <c r="AI315" s="5" t="str">
        <f t="shared" si="79"/>
        <v/>
      </c>
    </row>
    <row r="316" spans="1:42">
      <c r="B316" s="1" t="s">
        <v>1678</v>
      </c>
      <c r="C316" s="1" t="s">
        <v>3454</v>
      </c>
      <c r="E316" s="379" t="str">
        <f>_xlfn.IFNA(VLOOKUP($H316,Ingredient_prices!$B:$C,2,FALSE),"")</f>
        <v/>
      </c>
      <c r="T316" s="101" t="str">
        <f>IF(O316="","",IF('Charts and graphs'!$C$6="Conventional",IF(N316&gt;0,1000*P316/J316,""),IF(VLOOKUP($E316,$Y:$AE,7,FALSE)=0,IF(N316&gt;0,1000*P316/J316,""),VLOOKUP($E316,$Y:$AE,7,FALSE))))</f>
        <v/>
      </c>
      <c r="U316" s="101" t="str">
        <f t="shared" si="77"/>
        <v/>
      </c>
      <c r="V316" s="101" t="str">
        <f t="shared" si="78"/>
        <v/>
      </c>
      <c r="Y316" s="1" t="s">
        <v>3317</v>
      </c>
      <c r="Z316" s="1">
        <v>10</v>
      </c>
      <c r="AA316" s="749" t="s">
        <v>2386</v>
      </c>
      <c r="AG316" s="5" t="str">
        <f t="shared" si="81"/>
        <v/>
      </c>
      <c r="AH316" s="5" t="str">
        <f>IF(AG316="","",VLOOKUP($Y316,Nutrition_tables!$A:$N,10,FALSE))</f>
        <v/>
      </c>
      <c r="AI316" s="5" t="str">
        <f t="shared" si="79"/>
        <v/>
      </c>
      <c r="AK316" s="379"/>
    </row>
    <row r="317" spans="1:42">
      <c r="B317" s="749" t="s">
        <v>2241</v>
      </c>
      <c r="C317" s="1" t="s">
        <v>3453</v>
      </c>
      <c r="E317" s="379" t="str">
        <f>_xlfn.IFNA(VLOOKUP($H317,Ingredient_prices!$B:$C,2,FALSE),"")</f>
        <v/>
      </c>
      <c r="T317" s="101" t="str">
        <f>IF(O317="","",IF('Charts and graphs'!$C$6="Conventional",IF(N317&gt;0,1000*P317/J317,""),IF(VLOOKUP($E317,$Y:$AE,7,FALSE)=0,IF(N317&gt;0,1000*P317/J317,""),VLOOKUP($E317,$Y:$AE,7,FALSE))))</f>
        <v/>
      </c>
      <c r="U317" s="101" t="str">
        <f t="shared" si="77"/>
        <v/>
      </c>
      <c r="V317" s="101" t="str">
        <f t="shared" si="78"/>
        <v/>
      </c>
      <c r="Y317" s="1" t="s">
        <v>1783</v>
      </c>
      <c r="Z317" s="1">
        <v>10</v>
      </c>
      <c r="AA317" s="749" t="s">
        <v>2386</v>
      </c>
      <c r="AG317" s="5">
        <f t="shared" si="81"/>
        <v>205.7</v>
      </c>
      <c r="AH317" s="5">
        <f>IF(AG317="","",VLOOKUP($Y317,Nutrition_tables!$A:$N,10,FALSE))</f>
        <v>31.5</v>
      </c>
      <c r="AI317" s="5">
        <f t="shared" si="79"/>
        <v>0.65301587301587294</v>
      </c>
    </row>
    <row r="318" spans="1:42">
      <c r="B318" s="1" t="s">
        <v>1549</v>
      </c>
      <c r="C318" s="1" t="s">
        <v>3453</v>
      </c>
      <c r="E318" s="379" t="str">
        <f>_xlfn.IFNA(VLOOKUP($H318,Ingredient_prices!$B:$C,2,FALSE),"")</f>
        <v/>
      </c>
      <c r="T318" s="337">
        <v>200</v>
      </c>
      <c r="U318" s="337">
        <v>200</v>
      </c>
      <c r="V318" s="337"/>
      <c r="Y318" s="1" t="s">
        <v>1784</v>
      </c>
      <c r="Z318" s="1">
        <v>10</v>
      </c>
      <c r="AA318" s="749" t="s">
        <v>2386</v>
      </c>
      <c r="AG318" s="5" t="str">
        <f t="shared" si="81"/>
        <v/>
      </c>
      <c r="AH318" s="5" t="str">
        <f>IF(AG318="","",VLOOKUP($Y318,Nutrition_tables!$A:$N,10,FALSE))</f>
        <v/>
      </c>
      <c r="AI318" s="5" t="str">
        <f t="shared" si="79"/>
        <v/>
      </c>
    </row>
    <row r="319" spans="1:42">
      <c r="B319" s="1" t="s">
        <v>1548</v>
      </c>
      <c r="C319" s="1" t="s">
        <v>3453</v>
      </c>
      <c r="E319" s="379" t="str">
        <f>_xlfn.IFNA(VLOOKUP($H319,Ingredient_prices!$B:$C,2,FALSE),"")</f>
        <v/>
      </c>
      <c r="T319" s="337">
        <v>200</v>
      </c>
      <c r="U319" s="337">
        <v>200</v>
      </c>
      <c r="V319" s="337"/>
      <c r="Y319" s="1" t="s">
        <v>1785</v>
      </c>
      <c r="Z319" s="1">
        <v>10</v>
      </c>
      <c r="AA319" s="749" t="s">
        <v>2386</v>
      </c>
      <c r="AG319" s="5" t="str">
        <f t="shared" si="81"/>
        <v/>
      </c>
      <c r="AH319" s="5" t="str">
        <f>IF(AG319="","",VLOOKUP($Y319,Nutrition_tables!$A:$N,10,FALSE))</f>
        <v/>
      </c>
      <c r="AI319" s="5" t="str">
        <f t="shared" si="79"/>
        <v/>
      </c>
    </row>
    <row r="320" spans="1:42">
      <c r="B320" s="1" t="s">
        <v>1380</v>
      </c>
      <c r="C320" s="1" t="s">
        <v>3453</v>
      </c>
      <c r="E320" s="379" t="str">
        <f>_xlfn.IFNA(VLOOKUP($H320,Ingredient_prices!$B:$C,2,FALSE),"")</f>
        <v/>
      </c>
      <c r="T320" s="337" t="str">
        <f t="shared" ref="T320:T351" si="82">IF(N321&gt;0,1000*P321/J321,"")</f>
        <v/>
      </c>
      <c r="U320" s="337" t="str">
        <f t="shared" ref="U320:U351" si="83">IF(N321&gt;0,1000*P321/J321,"")</f>
        <v/>
      </c>
      <c r="V320" s="337"/>
      <c r="Y320" s="1" t="s">
        <v>1786</v>
      </c>
      <c r="Z320" s="1">
        <v>10</v>
      </c>
      <c r="AA320" s="749" t="s">
        <v>2386</v>
      </c>
      <c r="AG320" s="5" t="str">
        <f t="shared" si="81"/>
        <v/>
      </c>
      <c r="AH320" s="5" t="str">
        <f>IF(AG320="","",VLOOKUP($Y320,Nutrition_tables!$A:$N,10,FALSE))</f>
        <v/>
      </c>
      <c r="AI320" s="5" t="str">
        <f t="shared" si="79"/>
        <v/>
      </c>
      <c r="AM320" s="379"/>
      <c r="AN320" s="379"/>
      <c r="AO320" s="379"/>
      <c r="AP320" s="379"/>
    </row>
    <row r="321" spans="1:42" s="379" customFormat="1">
      <c r="A321" s="330"/>
      <c r="B321" s="1" t="s">
        <v>1500</v>
      </c>
      <c r="C321" s="1" t="s">
        <v>3228</v>
      </c>
      <c r="D321" s="330"/>
      <c r="E321" s="379" t="str">
        <f>_xlfn.IFNA(VLOOKUP($H321,Ingredient_prices!$B:$C,2,FALSE),"")</f>
        <v/>
      </c>
      <c r="F321" s="1197"/>
      <c r="G321" s="82"/>
      <c r="H321" s="82"/>
      <c r="I321"/>
      <c r="J321"/>
      <c r="K321" s="82"/>
      <c r="L321" s="82"/>
      <c r="M321" s="1202"/>
      <c r="N321" s="247"/>
      <c r="O321" s="1139"/>
      <c r="P321"/>
      <c r="Q321"/>
      <c r="R321"/>
      <c r="S321" s="1202"/>
      <c r="T321" s="337" t="str">
        <f t="shared" si="82"/>
        <v/>
      </c>
      <c r="U321" s="337" t="str">
        <f t="shared" si="83"/>
        <v/>
      </c>
      <c r="V321" s="337"/>
      <c r="W321" s="330"/>
      <c r="X321" s="99"/>
      <c r="Y321" s="1" t="s">
        <v>3440</v>
      </c>
      <c r="Z321" s="1">
        <v>10</v>
      </c>
      <c r="AA321" s="749" t="s">
        <v>2386</v>
      </c>
      <c r="AB321" s="421"/>
      <c r="AC321" s="421"/>
      <c r="AD321" s="749"/>
      <c r="AE321" s="749"/>
      <c r="AF321" s="749"/>
      <c r="AG321" s="5">
        <f t="shared" si="81"/>
        <v>126.5</v>
      </c>
      <c r="AH321" s="5">
        <f>IF(AG321="","",VLOOKUP($Y321,Nutrition_tables!$A:$N,10,FALSE))</f>
        <v>48.5</v>
      </c>
      <c r="AI321" s="5">
        <f t="shared" si="79"/>
        <v>0.26082474226804125</v>
      </c>
      <c r="AJ321" s="749"/>
      <c r="AK321"/>
      <c r="AL321"/>
    </row>
    <row r="322" spans="1:42" s="379" customFormat="1">
      <c r="A322" s="330"/>
      <c r="B322" s="1" t="s">
        <v>837</v>
      </c>
      <c r="C322" s="1" t="s">
        <v>3213</v>
      </c>
      <c r="D322" s="330"/>
      <c r="E322" s="379" t="str">
        <f>_xlfn.IFNA(VLOOKUP($H322,Ingredient_prices!$B:$C,2,FALSE),"")</f>
        <v/>
      </c>
      <c r="F322" s="1197"/>
      <c r="G322" s="82"/>
      <c r="H322" s="82"/>
      <c r="I322"/>
      <c r="J322"/>
      <c r="K322" s="82"/>
      <c r="L322" s="82"/>
      <c r="M322" s="1202"/>
      <c r="N322" s="247"/>
      <c r="O322" s="1139"/>
      <c r="P322"/>
      <c r="Q322"/>
      <c r="R322"/>
      <c r="S322" s="1202"/>
      <c r="T322" s="337" t="str">
        <f t="shared" si="82"/>
        <v/>
      </c>
      <c r="U322" s="337" t="str">
        <f t="shared" si="83"/>
        <v/>
      </c>
      <c r="V322" s="337"/>
      <c r="W322" s="330"/>
      <c r="X322" s="99"/>
      <c r="Y322" s="1" t="s">
        <v>3318</v>
      </c>
      <c r="Z322" s="1139">
        <v>20</v>
      </c>
      <c r="AA322" s="749" t="s">
        <v>2386</v>
      </c>
      <c r="AB322" s="421"/>
      <c r="AC322" s="421"/>
      <c r="AD322" s="749"/>
      <c r="AE322" s="749"/>
      <c r="AF322" s="749"/>
      <c r="AG322" s="5">
        <f t="shared" si="81"/>
        <v>600</v>
      </c>
      <c r="AH322" s="5">
        <f>IF(AG322="","",VLOOKUP($Y322,Nutrition_tables!$A:$N,10,FALSE))</f>
        <v>125</v>
      </c>
      <c r="AI322" s="5">
        <f t="shared" si="79"/>
        <v>0.48</v>
      </c>
      <c r="AJ322" s="749"/>
      <c r="AK322"/>
      <c r="AL322"/>
      <c r="AM322"/>
      <c r="AN322"/>
      <c r="AO322"/>
      <c r="AP322"/>
    </row>
    <row r="323" spans="1:42">
      <c r="B323" s="749" t="s">
        <v>2290</v>
      </c>
      <c r="C323" s="1" t="s">
        <v>3213</v>
      </c>
      <c r="E323" s="379" t="str">
        <f>_xlfn.IFNA(VLOOKUP($H323,Ingredient_prices!$B:$C,2,FALSE),"")</f>
        <v/>
      </c>
      <c r="T323" s="337" t="str">
        <f t="shared" si="82"/>
        <v/>
      </c>
      <c r="U323" s="337" t="str">
        <f t="shared" si="83"/>
        <v/>
      </c>
      <c r="V323" s="337"/>
      <c r="Y323" s="1" t="s">
        <v>1789</v>
      </c>
      <c r="Z323" s="1"/>
      <c r="AA323" s="749" t="s">
        <v>2386</v>
      </c>
      <c r="AG323" s="5" t="str">
        <f t="shared" si="81"/>
        <v/>
      </c>
      <c r="AH323" s="5" t="str">
        <f>IF(AG323="","",VLOOKUP($Y323,Nutrition_tables!$A:$N,10,FALSE))</f>
        <v/>
      </c>
      <c r="AI323" s="5" t="str">
        <f t="shared" si="79"/>
        <v/>
      </c>
    </row>
    <row r="324" spans="1:42">
      <c r="B324" s="1" t="s">
        <v>1571</v>
      </c>
      <c r="C324" s="1" t="s">
        <v>3213</v>
      </c>
      <c r="E324" s="379" t="str">
        <f>_xlfn.IFNA(VLOOKUP($H324,Ingredient_prices!$B:$C,2,FALSE),"")</f>
        <v/>
      </c>
      <c r="G324" s="690"/>
      <c r="I324" s="379"/>
      <c r="J324" s="379"/>
      <c r="P324" s="379"/>
      <c r="Q324" s="379"/>
      <c r="R324" s="379"/>
      <c r="T324" s="337" t="str">
        <f t="shared" si="82"/>
        <v/>
      </c>
      <c r="U324" s="337" t="str">
        <f t="shared" si="83"/>
        <v/>
      </c>
      <c r="V324" s="337"/>
      <c r="Y324" s="1" t="s">
        <v>1790</v>
      </c>
      <c r="Z324" s="1">
        <v>10</v>
      </c>
      <c r="AA324" s="749" t="s">
        <v>2386</v>
      </c>
      <c r="AG324" s="5">
        <f t="shared" si="81"/>
        <v>110</v>
      </c>
      <c r="AH324" s="5">
        <f>IF(AG324="","",VLOOKUP($Y324,Nutrition_tables!$A:$N,10,FALSE))</f>
        <v>46</v>
      </c>
      <c r="AI324" s="5">
        <f t="shared" si="79"/>
        <v>0.2391304347826087</v>
      </c>
    </row>
    <row r="325" spans="1:42">
      <c r="B325" s="1" t="s">
        <v>1478</v>
      </c>
      <c r="C325" s="1" t="s">
        <v>3213</v>
      </c>
      <c r="E325" s="379" t="str">
        <f>_xlfn.IFNA(VLOOKUP($H325,Ingredient_prices!$B:$C,2,FALSE),"")</f>
        <v/>
      </c>
      <c r="G325" s="690"/>
      <c r="I325" s="379"/>
      <c r="J325" s="379"/>
      <c r="P325" s="379"/>
      <c r="Q325" s="379"/>
      <c r="R325" s="379"/>
      <c r="T325" s="337" t="str">
        <f t="shared" si="82"/>
        <v/>
      </c>
      <c r="U325" s="337" t="str">
        <f t="shared" si="83"/>
        <v/>
      </c>
      <c r="V325" s="337"/>
      <c r="Y325" s="1" t="s">
        <v>1791</v>
      </c>
      <c r="Z325" s="1">
        <v>10</v>
      </c>
      <c r="AA325" s="749" t="s">
        <v>2386</v>
      </c>
      <c r="AG325" s="5" t="str">
        <f t="shared" si="81"/>
        <v/>
      </c>
      <c r="AH325" s="5" t="str">
        <f>IF(AG325="","",VLOOKUP($Y325,Nutrition_tables!$A:$N,10,FALSE))</f>
        <v/>
      </c>
      <c r="AI325" s="5" t="str">
        <f t="shared" si="79"/>
        <v/>
      </c>
      <c r="AL325" s="379"/>
    </row>
    <row r="326" spans="1:42">
      <c r="B326" s="1" t="s">
        <v>1321</v>
      </c>
      <c r="C326" s="1" t="s">
        <v>3213</v>
      </c>
      <c r="E326" s="379" t="str">
        <f>_xlfn.IFNA(VLOOKUP($H326,Ingredient_prices!$B:$C,2,FALSE),"")</f>
        <v/>
      </c>
      <c r="G326" s="690"/>
      <c r="T326" s="337" t="str">
        <f t="shared" si="82"/>
        <v/>
      </c>
      <c r="U326" s="337" t="str">
        <f t="shared" si="83"/>
        <v/>
      </c>
      <c r="V326" s="337"/>
      <c r="Y326" s="1" t="s">
        <v>1792</v>
      </c>
      <c r="Z326" s="1">
        <v>10</v>
      </c>
      <c r="AA326" s="749" t="s">
        <v>2386</v>
      </c>
      <c r="AG326" s="5">
        <f t="shared" si="81"/>
        <v>935</v>
      </c>
      <c r="AH326" s="5">
        <f>IF(AG326="","",VLOOKUP($Y326,Nutrition_tables!$A:$N,10,FALSE))</f>
        <v>671</v>
      </c>
      <c r="AI326" s="5">
        <f t="shared" si="79"/>
        <v>0.13934426229508196</v>
      </c>
      <c r="AL326" s="379"/>
    </row>
    <row r="327" spans="1:42">
      <c r="B327" s="1" t="s">
        <v>2345</v>
      </c>
      <c r="C327" s="1" t="s">
        <v>3456</v>
      </c>
      <c r="E327" s="379" t="str">
        <f>_xlfn.IFNA(VLOOKUP($H327,Ingredient_prices!$B:$C,2,FALSE),"")</f>
        <v/>
      </c>
      <c r="T327" s="337" t="str">
        <f t="shared" si="82"/>
        <v/>
      </c>
      <c r="U327" s="337" t="str">
        <f t="shared" si="83"/>
        <v/>
      </c>
      <c r="V327" s="337"/>
      <c r="Y327" s="1" t="s">
        <v>3319</v>
      </c>
      <c r="Z327" s="1">
        <v>10</v>
      </c>
      <c r="AA327" s="749" t="s">
        <v>2386</v>
      </c>
      <c r="AG327" s="5" t="str">
        <f t="shared" si="81"/>
        <v/>
      </c>
      <c r="AH327" s="5" t="str">
        <f>IF(AG327="","",VLOOKUP($Y327,Nutrition_tables!$A:$N,10,FALSE))</f>
        <v/>
      </c>
      <c r="AI327" s="5" t="str">
        <f t="shared" si="79"/>
        <v/>
      </c>
    </row>
    <row r="328" spans="1:42">
      <c r="B328" s="1" t="s">
        <v>2291</v>
      </c>
      <c r="C328" s="1" t="s">
        <v>3456</v>
      </c>
      <c r="E328" s="379" t="str">
        <f>_xlfn.IFNA(VLOOKUP($H328,Ingredient_prices!$B:$C,2,FALSE),"")</f>
        <v/>
      </c>
      <c r="T328" s="337" t="str">
        <f t="shared" si="82"/>
        <v/>
      </c>
      <c r="U328" s="337" t="str">
        <f t="shared" si="83"/>
        <v/>
      </c>
      <c r="V328" s="337"/>
      <c r="Y328" s="1" t="s">
        <v>467</v>
      </c>
      <c r="Z328" s="1">
        <v>10</v>
      </c>
      <c r="AA328" s="749" t="s">
        <v>2386</v>
      </c>
      <c r="AG328" s="5" t="str">
        <f t="shared" si="81"/>
        <v/>
      </c>
      <c r="AH328" s="5" t="str">
        <f>IF(AG328="","",VLOOKUP($Y328,Nutrition_tables!$A:$N,10,FALSE))</f>
        <v/>
      </c>
      <c r="AI328" s="5" t="str">
        <f t="shared" si="79"/>
        <v/>
      </c>
    </row>
    <row r="329" spans="1:42">
      <c r="B329" s="1" t="s">
        <v>1157</v>
      </c>
      <c r="C329" s="1" t="s">
        <v>3456</v>
      </c>
      <c r="E329" s="379" t="str">
        <f>_xlfn.IFNA(VLOOKUP($H329,Ingredient_prices!$B:$C,2,FALSE),"")</f>
        <v/>
      </c>
      <c r="T329" s="337" t="str">
        <f t="shared" si="82"/>
        <v/>
      </c>
      <c r="U329" s="337" t="str">
        <f t="shared" si="83"/>
        <v/>
      </c>
      <c r="V329" s="337"/>
      <c r="Y329" s="1" t="s">
        <v>3320</v>
      </c>
      <c r="Z329" s="1">
        <v>10</v>
      </c>
      <c r="AA329" s="749" t="s">
        <v>2386</v>
      </c>
      <c r="AG329" s="5" t="str">
        <f t="shared" si="81"/>
        <v/>
      </c>
      <c r="AH329" s="5" t="str">
        <f>IF(AG329="","",VLOOKUP($Y329,Nutrition_tables!$A:$N,10,FALSE))</f>
        <v/>
      </c>
      <c r="AI329" s="5" t="str">
        <f t="shared" si="79"/>
        <v/>
      </c>
    </row>
    <row r="330" spans="1:42">
      <c r="B330" s="1" t="s">
        <v>2346</v>
      </c>
      <c r="C330" s="1" t="s">
        <v>3456</v>
      </c>
      <c r="E330" s="379" t="str">
        <f>_xlfn.IFNA(VLOOKUP($H330,Ingredient_prices!$B:$C,2,FALSE),"")</f>
        <v/>
      </c>
      <c r="T330" s="337" t="str">
        <f t="shared" si="82"/>
        <v/>
      </c>
      <c r="U330" s="337" t="str">
        <f t="shared" si="83"/>
        <v/>
      </c>
      <c r="V330" s="337"/>
      <c r="Y330" s="1" t="s">
        <v>3321</v>
      </c>
      <c r="Z330" s="1">
        <v>10</v>
      </c>
      <c r="AA330" s="749" t="s">
        <v>2386</v>
      </c>
      <c r="AG330" s="5" t="str">
        <f t="shared" si="81"/>
        <v/>
      </c>
      <c r="AH330" s="5" t="str">
        <f>IF(AG330="","",VLOOKUP($Y330,Nutrition_tables!$A:$N,10,FALSE))</f>
        <v/>
      </c>
      <c r="AI330" s="5" t="str">
        <f t="shared" si="79"/>
        <v/>
      </c>
      <c r="AK330" s="379"/>
    </row>
    <row r="331" spans="1:42">
      <c r="B331" s="1" t="s">
        <v>2245</v>
      </c>
      <c r="C331" s="1" t="s">
        <v>3214</v>
      </c>
      <c r="E331" s="379" t="str">
        <f>_xlfn.IFNA(VLOOKUP($H331,Ingredient_prices!$B:$C,2,FALSE),"")</f>
        <v/>
      </c>
      <c r="T331" s="337" t="str">
        <f t="shared" si="82"/>
        <v/>
      </c>
      <c r="U331" s="337" t="str">
        <f t="shared" si="83"/>
        <v/>
      </c>
      <c r="V331" s="337"/>
      <c r="Y331" s="749" t="s">
        <v>3322</v>
      </c>
      <c r="Z331" s="1">
        <v>20</v>
      </c>
      <c r="AA331" s="749" t="s">
        <v>2386</v>
      </c>
      <c r="AG331" s="5">
        <f t="shared" si="81"/>
        <v>800.4</v>
      </c>
      <c r="AH331" s="5">
        <f>IF(AG331="","",VLOOKUP($Y331,Nutrition_tables!$A:$N,10,FALSE))</f>
        <v>303</v>
      </c>
      <c r="AI331" s="5">
        <f t="shared" si="79"/>
        <v>0.26415841584158417</v>
      </c>
      <c r="AK331" s="379"/>
    </row>
    <row r="332" spans="1:42">
      <c r="B332" s="749" t="s">
        <v>2293</v>
      </c>
      <c r="C332" s="1" t="s">
        <v>3215</v>
      </c>
      <c r="E332" s="379" t="str">
        <f>_xlfn.IFNA(VLOOKUP($H332,Ingredient_prices!$B:$C,2,FALSE),"")</f>
        <v/>
      </c>
      <c r="T332" s="337" t="str">
        <f t="shared" si="82"/>
        <v/>
      </c>
      <c r="U332" s="337" t="str">
        <f t="shared" si="83"/>
        <v/>
      </c>
      <c r="V332" s="337"/>
      <c r="Y332" s="1" t="s">
        <v>3314</v>
      </c>
      <c r="Z332" s="1">
        <v>20</v>
      </c>
      <c r="AA332" s="749" t="s">
        <v>2386</v>
      </c>
      <c r="AG332" s="5" t="str">
        <f t="shared" si="81"/>
        <v/>
      </c>
      <c r="AH332" s="5" t="str">
        <f>IF(AG332="","",VLOOKUP($Y332,Nutrition_tables!$A:$N,10,FALSE))</f>
        <v/>
      </c>
      <c r="AI332" s="5" t="str">
        <f t="shared" ref="AI332:AI394" si="84">IF(AG332="","",AG332/(AH332*10))</f>
        <v/>
      </c>
    </row>
    <row r="333" spans="1:42">
      <c r="B333" s="1" t="s">
        <v>1495</v>
      </c>
      <c r="C333" s="1" t="s">
        <v>480</v>
      </c>
      <c r="E333" s="379" t="str">
        <f>_xlfn.IFNA(VLOOKUP($H333,Ingredient_prices!$B:$C,2,FALSE),"")</f>
        <v/>
      </c>
      <c r="T333" s="337" t="str">
        <f t="shared" si="82"/>
        <v/>
      </c>
      <c r="U333" s="337" t="str">
        <f t="shared" si="83"/>
        <v/>
      </c>
      <c r="V333" s="337"/>
      <c r="Y333" s="1" t="s">
        <v>3323</v>
      </c>
      <c r="Z333" s="1">
        <v>10</v>
      </c>
      <c r="AA333" s="749" t="s">
        <v>2386</v>
      </c>
      <c r="AG333" s="5" t="str">
        <f t="shared" si="81"/>
        <v/>
      </c>
      <c r="AH333" s="5" t="str">
        <f>IF(AG333="","",VLOOKUP($Y333,Nutrition_tables!$A:$N,10,FALSE))</f>
        <v/>
      </c>
      <c r="AI333" s="5" t="str">
        <f t="shared" si="84"/>
        <v/>
      </c>
    </row>
    <row r="334" spans="1:42">
      <c r="B334" s="1" t="s">
        <v>2010</v>
      </c>
      <c r="C334" s="1" t="s">
        <v>3446</v>
      </c>
      <c r="E334" s="379" t="str">
        <f>_xlfn.IFNA(VLOOKUP($H334,Ingredient_prices!$B:$C,2,FALSE),"")</f>
        <v/>
      </c>
      <c r="T334" s="337" t="str">
        <f t="shared" si="82"/>
        <v/>
      </c>
      <c r="U334" s="337" t="str">
        <f t="shared" si="83"/>
        <v/>
      </c>
      <c r="V334" s="337"/>
      <c r="Y334" s="24" t="s">
        <v>3324</v>
      </c>
      <c r="Z334" s="24">
        <v>10</v>
      </c>
      <c r="AA334" s="492" t="s">
        <v>2386</v>
      </c>
      <c r="AG334" s="5">
        <f t="shared" si="81"/>
        <v>176</v>
      </c>
      <c r="AH334" s="5">
        <f>IF(AG334="","",VLOOKUP($Y334,Nutrition_tables!$A:$N,10,FALSE))</f>
        <v>60</v>
      </c>
      <c r="AI334" s="5">
        <f t="shared" si="84"/>
        <v>0.29333333333333333</v>
      </c>
      <c r="AM334" s="379"/>
      <c r="AN334" s="379"/>
      <c r="AO334" s="379"/>
      <c r="AP334" s="379"/>
    </row>
    <row r="335" spans="1:42" s="379" customFormat="1">
      <c r="A335" s="330"/>
      <c r="B335" s="1" t="s">
        <v>2009</v>
      </c>
      <c r="C335" s="1" t="s">
        <v>3446</v>
      </c>
      <c r="D335" s="330"/>
      <c r="E335" s="379" t="str">
        <f>_xlfn.IFNA(VLOOKUP($H335,Ingredient_prices!$B:$C,2,FALSE),"")</f>
        <v/>
      </c>
      <c r="F335" s="1197"/>
      <c r="G335" s="82"/>
      <c r="H335" s="82"/>
      <c r="I335"/>
      <c r="J335"/>
      <c r="K335" s="82"/>
      <c r="L335" s="82"/>
      <c r="M335" s="1202"/>
      <c r="N335" s="247"/>
      <c r="O335" s="1139"/>
      <c r="P335"/>
      <c r="Q335"/>
      <c r="R335"/>
      <c r="S335" s="1202"/>
      <c r="T335" s="337" t="str">
        <f t="shared" si="82"/>
        <v/>
      </c>
      <c r="U335" s="337" t="str">
        <f t="shared" si="83"/>
        <v/>
      </c>
      <c r="V335" s="337"/>
      <c r="W335" s="330"/>
      <c r="X335" s="99"/>
      <c r="Y335" s="397" t="s">
        <v>3342</v>
      </c>
      <c r="Z335" s="1">
        <v>20</v>
      </c>
      <c r="AA335" s="494" t="s">
        <v>2387</v>
      </c>
      <c r="AB335" s="421"/>
      <c r="AC335" s="421"/>
      <c r="AD335" s="749"/>
      <c r="AE335" s="749"/>
      <c r="AF335" s="749"/>
      <c r="AG335" s="5" t="str">
        <f t="shared" si="81"/>
        <v/>
      </c>
      <c r="AH335" s="5" t="str">
        <f>IF(AG335="","",VLOOKUP($Y335,Nutrition_tables!$A:$N,10,FALSE))</f>
        <v/>
      </c>
      <c r="AI335" s="5" t="str">
        <f t="shared" si="84"/>
        <v/>
      </c>
      <c r="AJ335" s="749"/>
      <c r="AK335"/>
      <c r="AL335"/>
    </row>
    <row r="336" spans="1:42" s="379" customFormat="1">
      <c r="A336" s="330"/>
      <c r="B336" s="1" t="s">
        <v>2372</v>
      </c>
      <c r="C336" s="1" t="s">
        <v>3445</v>
      </c>
      <c r="D336" s="330"/>
      <c r="E336" s="379" t="str">
        <f>_xlfn.IFNA(VLOOKUP($H336,Ingredient_prices!$B:$C,2,FALSE),"")</f>
        <v/>
      </c>
      <c r="F336" s="1197"/>
      <c r="G336" s="82"/>
      <c r="H336" s="82"/>
      <c r="I336"/>
      <c r="J336"/>
      <c r="K336" s="82"/>
      <c r="L336" s="82"/>
      <c r="M336" s="1202"/>
      <c r="N336" s="247"/>
      <c r="O336" s="1139"/>
      <c r="P336"/>
      <c r="Q336"/>
      <c r="R336"/>
      <c r="S336" s="1202"/>
      <c r="T336" s="337" t="str">
        <f t="shared" si="82"/>
        <v/>
      </c>
      <c r="U336" s="337" t="str">
        <f t="shared" si="83"/>
        <v/>
      </c>
      <c r="V336" s="337"/>
      <c r="W336" s="330"/>
      <c r="X336" s="99"/>
      <c r="Y336" s="1" t="s">
        <v>3487</v>
      </c>
      <c r="Z336" s="1">
        <v>20</v>
      </c>
      <c r="AA336" s="749" t="s">
        <v>2387</v>
      </c>
      <c r="AB336" s="421"/>
      <c r="AC336" s="421"/>
      <c r="AD336" s="749"/>
      <c r="AE336" s="749"/>
      <c r="AF336" s="749"/>
      <c r="AG336" s="5" t="str">
        <f t="shared" si="81"/>
        <v/>
      </c>
      <c r="AH336" s="5" t="str">
        <f>IF(AG336="","",VLOOKUP($Y336,Nutrition_tables!$A:$N,10,FALSE))</f>
        <v/>
      </c>
      <c r="AI336" s="5" t="str">
        <f t="shared" si="84"/>
        <v/>
      </c>
      <c r="AJ336" s="749"/>
      <c r="AK336"/>
      <c r="AL336"/>
      <c r="AM336"/>
      <c r="AN336"/>
      <c r="AO336"/>
      <c r="AP336"/>
    </row>
    <row r="337" spans="1:42">
      <c r="B337" s="1" t="s">
        <v>2371</v>
      </c>
      <c r="C337" s="1" t="s">
        <v>3445</v>
      </c>
      <c r="E337" s="379" t="str">
        <f>_xlfn.IFNA(VLOOKUP($H337,Ingredient_prices!$B:$C,2,FALSE),"")</f>
        <v/>
      </c>
      <c r="G337" s="690"/>
      <c r="T337" s="337" t="str">
        <f t="shared" si="82"/>
        <v/>
      </c>
      <c r="U337" s="337" t="str">
        <f t="shared" si="83"/>
        <v/>
      </c>
      <c r="V337" s="337"/>
      <c r="Y337" s="1" t="s">
        <v>2261</v>
      </c>
      <c r="Z337" s="1">
        <v>20</v>
      </c>
      <c r="AA337" s="749" t="s">
        <v>2387</v>
      </c>
      <c r="AG337" s="5" t="str">
        <f t="shared" si="81"/>
        <v/>
      </c>
      <c r="AH337" s="5" t="str">
        <f>IF(AG337="","",VLOOKUP($Y337,Nutrition_tables!$A:$N,10,FALSE))</f>
        <v/>
      </c>
      <c r="AI337" s="5" t="str">
        <f t="shared" si="84"/>
        <v/>
      </c>
    </row>
    <row r="338" spans="1:42">
      <c r="B338" s="1" t="s">
        <v>1467</v>
      </c>
      <c r="C338" s="1" t="s">
        <v>3446</v>
      </c>
      <c r="E338" s="379" t="str">
        <f>_xlfn.IFNA(VLOOKUP($H338,Ingredient_prices!$B:$C,2,FALSE),"")</f>
        <v/>
      </c>
      <c r="G338" s="690"/>
      <c r="I338" s="379"/>
      <c r="J338" s="379"/>
      <c r="P338" s="379"/>
      <c r="Q338" s="379"/>
      <c r="R338" s="379"/>
      <c r="T338" s="337" t="str">
        <f t="shared" si="82"/>
        <v/>
      </c>
      <c r="U338" s="337" t="str">
        <f t="shared" si="83"/>
        <v/>
      </c>
      <c r="V338" s="337"/>
      <c r="Y338" s="1" t="s">
        <v>1625</v>
      </c>
      <c r="Z338" s="1">
        <v>20</v>
      </c>
      <c r="AA338" s="749" t="s">
        <v>2387</v>
      </c>
      <c r="AG338" s="5" t="str">
        <f t="shared" si="81"/>
        <v/>
      </c>
      <c r="AH338" s="5" t="str">
        <f>IF(AG338="","",VLOOKUP($Y338,Nutrition_tables!$A:$N,10,FALSE))</f>
        <v/>
      </c>
      <c r="AI338" s="5" t="str">
        <f t="shared" si="84"/>
        <v/>
      </c>
    </row>
    <row r="339" spans="1:42">
      <c r="B339" s="1" t="s">
        <v>968</v>
      </c>
      <c r="C339" s="1" t="s">
        <v>1809</v>
      </c>
      <c r="E339" s="379" t="str">
        <f>_xlfn.IFNA(VLOOKUP($H339,Ingredient_prices!$B:$C,2,FALSE),"")</f>
        <v/>
      </c>
      <c r="I339" s="379"/>
      <c r="J339" s="379"/>
      <c r="P339" s="379"/>
      <c r="Q339" s="379"/>
      <c r="R339" s="379"/>
      <c r="T339" s="337" t="str">
        <f t="shared" si="82"/>
        <v/>
      </c>
      <c r="U339" s="337" t="str">
        <f t="shared" si="83"/>
        <v/>
      </c>
      <c r="V339" s="337"/>
      <c r="Y339" s="1272" t="s">
        <v>3344</v>
      </c>
      <c r="Z339" s="1">
        <v>20</v>
      </c>
      <c r="AA339" s="749" t="s">
        <v>2387</v>
      </c>
      <c r="AG339" s="5" t="str">
        <f t="shared" si="81"/>
        <v/>
      </c>
      <c r="AH339" s="5" t="str">
        <f>IF(AG339="","",VLOOKUP($Y339,Nutrition_tables!$A:$N,10,FALSE))</f>
        <v/>
      </c>
      <c r="AI339" s="5" t="str">
        <f t="shared" si="84"/>
        <v/>
      </c>
      <c r="AL339" s="379"/>
    </row>
    <row r="340" spans="1:42">
      <c r="B340" s="749" t="s">
        <v>2243</v>
      </c>
      <c r="C340" s="1" t="s">
        <v>3221</v>
      </c>
      <c r="E340" s="379" t="str">
        <f>_xlfn.IFNA(VLOOKUP($H340,Ingredient_prices!$B:$C,2,FALSE),"")</f>
        <v/>
      </c>
      <c r="T340" s="337" t="str">
        <f t="shared" si="82"/>
        <v/>
      </c>
      <c r="U340" s="337" t="str">
        <f t="shared" si="83"/>
        <v/>
      </c>
      <c r="V340" s="337"/>
      <c r="Y340" s="1" t="s">
        <v>484</v>
      </c>
      <c r="Z340" s="1">
        <v>20</v>
      </c>
      <c r="AA340" s="749" t="s">
        <v>2387</v>
      </c>
      <c r="AG340" s="5" t="str">
        <f t="shared" si="81"/>
        <v/>
      </c>
      <c r="AH340" s="5" t="str">
        <f>IF(AG340="","",VLOOKUP($Y340,Nutrition_tables!$A:$N,10,FALSE))</f>
        <v/>
      </c>
      <c r="AI340" s="5" t="str">
        <f t="shared" si="84"/>
        <v/>
      </c>
      <c r="AL340" s="379"/>
    </row>
    <row r="341" spans="1:42">
      <c r="B341" s="82" t="s">
        <v>2860</v>
      </c>
      <c r="C341" s="1" t="s">
        <v>3462</v>
      </c>
      <c r="E341" s="379" t="str">
        <f>_xlfn.IFNA(VLOOKUP($H341,Ingredient_prices!$B:$C,2,FALSE),"")</f>
        <v/>
      </c>
      <c r="T341" s="337" t="str">
        <f t="shared" si="82"/>
        <v/>
      </c>
      <c r="U341" s="337" t="str">
        <f t="shared" si="83"/>
        <v/>
      </c>
      <c r="V341" s="337"/>
      <c r="Y341" s="749" t="s">
        <v>3325</v>
      </c>
      <c r="Z341" s="1">
        <v>20</v>
      </c>
      <c r="AA341" s="749" t="s">
        <v>2387</v>
      </c>
      <c r="AG341" s="5" t="str">
        <f t="shared" si="81"/>
        <v/>
      </c>
      <c r="AH341" s="5" t="str">
        <f>IF(AG341="","",VLOOKUP($Y341,Nutrition_tables!$A:$N,10,FALSE))</f>
        <v/>
      </c>
      <c r="AI341" s="5" t="str">
        <f t="shared" si="84"/>
        <v/>
      </c>
    </row>
    <row r="342" spans="1:42">
      <c r="B342" s="1" t="s">
        <v>1547</v>
      </c>
      <c r="C342" s="1" t="s">
        <v>3221</v>
      </c>
      <c r="E342" s="379" t="str">
        <f>_xlfn.IFNA(VLOOKUP($H342,Ingredient_prices!$B:$C,2,FALSE),"")</f>
        <v/>
      </c>
      <c r="T342" s="337" t="str">
        <f t="shared" si="82"/>
        <v/>
      </c>
      <c r="U342" s="337" t="str">
        <f t="shared" si="83"/>
        <v/>
      </c>
      <c r="V342" s="337"/>
      <c r="Y342" s="1" t="s">
        <v>1881</v>
      </c>
      <c r="Z342" s="1">
        <v>20</v>
      </c>
      <c r="AA342" s="749" t="s">
        <v>2387</v>
      </c>
      <c r="AG342" s="5">
        <f t="shared" si="81"/>
        <v>900</v>
      </c>
      <c r="AH342" s="5">
        <f>IF(AG342="","",VLOOKUP($Y342,Nutrition_tables!$A:$N,10,FALSE))</f>
        <v>528</v>
      </c>
      <c r="AI342" s="5">
        <f t="shared" si="84"/>
        <v>0.17045454545454544</v>
      </c>
    </row>
    <row r="343" spans="1:42">
      <c r="B343" s="1" t="s">
        <v>1546</v>
      </c>
      <c r="C343" s="1" t="s">
        <v>3221</v>
      </c>
      <c r="E343" s="379" t="str">
        <f>_xlfn.IFNA(VLOOKUP($H343,Ingredient_prices!$B:$C,2,FALSE),"")</f>
        <v/>
      </c>
      <c r="T343" s="337" t="str">
        <f t="shared" si="82"/>
        <v/>
      </c>
      <c r="U343" s="337" t="str">
        <f t="shared" si="83"/>
        <v/>
      </c>
      <c r="V343" s="337"/>
      <c r="Y343" s="1272" t="s">
        <v>3326</v>
      </c>
      <c r="Z343" s="1">
        <v>20</v>
      </c>
      <c r="AA343" s="749" t="s">
        <v>2387</v>
      </c>
      <c r="AG343" s="5" t="str">
        <f t="shared" si="81"/>
        <v/>
      </c>
      <c r="AH343" s="5" t="str">
        <f>IF(AG343="","",VLOOKUP($Y343,Nutrition_tables!$A:$N,10,FALSE))</f>
        <v/>
      </c>
      <c r="AI343" s="5" t="str">
        <f t="shared" si="84"/>
        <v/>
      </c>
    </row>
    <row r="344" spans="1:42">
      <c r="B344" s="1" t="s">
        <v>969</v>
      </c>
      <c r="C344" s="1" t="s">
        <v>3221</v>
      </c>
      <c r="E344" s="379" t="str">
        <f>_xlfn.IFNA(VLOOKUP($H344,Ingredient_prices!$B:$C,2,FALSE),"")</f>
        <v/>
      </c>
      <c r="T344" s="337" t="str">
        <f t="shared" si="82"/>
        <v/>
      </c>
      <c r="U344" s="337" t="str">
        <f t="shared" si="83"/>
        <v/>
      </c>
      <c r="V344" s="337"/>
      <c r="Y344" s="1" t="s">
        <v>3327</v>
      </c>
      <c r="Z344" s="1">
        <v>20</v>
      </c>
      <c r="AA344" s="749" t="s">
        <v>2387</v>
      </c>
      <c r="AG344" s="5">
        <f t="shared" si="81"/>
        <v>1440</v>
      </c>
      <c r="AH344" s="5">
        <f>IF(AG344="","",VLOOKUP($Y344,Nutrition_tables!$A:$N,10,FALSE))</f>
        <v>491</v>
      </c>
      <c r="AI344" s="5">
        <f t="shared" si="84"/>
        <v>0.29327902240325865</v>
      </c>
      <c r="AK344" s="379"/>
    </row>
    <row r="345" spans="1:42">
      <c r="B345" s="749" t="s">
        <v>2338</v>
      </c>
      <c r="C345" s="1" t="s">
        <v>3221</v>
      </c>
      <c r="E345" s="379" t="str">
        <f>_xlfn.IFNA(VLOOKUP($H345,Ingredient_prices!$B:$C,2,FALSE),"")</f>
        <v/>
      </c>
      <c r="T345" s="337" t="str">
        <f t="shared" si="82"/>
        <v/>
      </c>
      <c r="U345" s="337" t="str">
        <f t="shared" si="83"/>
        <v/>
      </c>
      <c r="V345" s="337"/>
      <c r="Y345" s="749" t="s">
        <v>3345</v>
      </c>
      <c r="Z345" s="1">
        <v>20</v>
      </c>
      <c r="AA345" s="749" t="s">
        <v>2387</v>
      </c>
      <c r="AG345" s="5" t="str">
        <f t="shared" si="81"/>
        <v/>
      </c>
      <c r="AH345" s="5" t="str">
        <f>IF(AG345="","",VLOOKUP($Y345,Nutrition_tables!$A:$N,10,FALSE))</f>
        <v/>
      </c>
      <c r="AI345" s="5" t="str">
        <f t="shared" si="84"/>
        <v/>
      </c>
      <c r="AK345" s="379"/>
      <c r="AM345" s="379"/>
      <c r="AN345" s="379"/>
      <c r="AO345" s="379"/>
      <c r="AP345" s="379"/>
    </row>
    <row r="346" spans="1:42" s="379" customFormat="1">
      <c r="A346" s="330"/>
      <c r="B346" s="1" t="s">
        <v>1663</v>
      </c>
      <c r="C346" s="1" t="s">
        <v>3220</v>
      </c>
      <c r="D346" s="330"/>
      <c r="E346" s="379" t="str">
        <f>_xlfn.IFNA(VLOOKUP($H346,Ingredient_prices!$B:$C,2,FALSE),"")</f>
        <v/>
      </c>
      <c r="F346" s="1197"/>
      <c r="G346" s="82"/>
      <c r="H346" s="82"/>
      <c r="I346"/>
      <c r="J346"/>
      <c r="K346" s="82"/>
      <c r="L346" s="82"/>
      <c r="M346" s="1202"/>
      <c r="N346" s="247"/>
      <c r="O346" s="1139"/>
      <c r="P346"/>
      <c r="Q346"/>
      <c r="R346"/>
      <c r="S346" s="1202"/>
      <c r="T346" s="337" t="str">
        <f t="shared" si="82"/>
        <v/>
      </c>
      <c r="U346" s="337" t="str">
        <f t="shared" si="83"/>
        <v/>
      </c>
      <c r="V346" s="337"/>
      <c r="W346" s="330"/>
      <c r="X346" s="99"/>
      <c r="Y346" s="1" t="s">
        <v>3328</v>
      </c>
      <c r="Z346" s="1">
        <v>20</v>
      </c>
      <c r="AA346" s="749" t="s">
        <v>2387</v>
      </c>
      <c r="AB346" s="421"/>
      <c r="AC346" s="421"/>
      <c r="AD346" s="749"/>
      <c r="AE346" s="749"/>
      <c r="AF346" s="749"/>
      <c r="AG346" s="5">
        <f t="shared" si="81"/>
        <v>222</v>
      </c>
      <c r="AH346" s="5">
        <f>IF(AG346="","",VLOOKUP($Y346,Nutrition_tables!$A:$N,10,FALSE))</f>
        <v>388</v>
      </c>
      <c r="AI346" s="5">
        <f t="shared" si="84"/>
        <v>5.7216494845360823E-2</v>
      </c>
      <c r="AJ346" s="749"/>
      <c r="AK346" s="1138"/>
      <c r="AL346"/>
      <c r="AM346"/>
      <c r="AN346"/>
      <c r="AO346"/>
      <c r="AP346"/>
    </row>
    <row r="347" spans="1:42">
      <c r="B347" s="1" t="s">
        <v>1664</v>
      </c>
      <c r="C347" s="1" t="s">
        <v>3220</v>
      </c>
      <c r="E347" s="379" t="str">
        <f>_xlfn.IFNA(VLOOKUP($H347,Ingredient_prices!$B:$C,2,FALSE),"")</f>
        <v/>
      </c>
      <c r="T347" s="337" t="str">
        <f t="shared" si="82"/>
        <v/>
      </c>
      <c r="U347" s="337" t="str">
        <f t="shared" si="83"/>
        <v/>
      </c>
      <c r="V347" s="337"/>
      <c r="Y347" s="1" t="s">
        <v>3329</v>
      </c>
      <c r="Z347" s="1">
        <v>20</v>
      </c>
      <c r="AA347" s="749" t="s">
        <v>2387</v>
      </c>
      <c r="AG347" s="5" t="str">
        <f t="shared" si="81"/>
        <v/>
      </c>
      <c r="AH347" s="5" t="str">
        <f>IF(AG347="","",VLOOKUP($Y347,Nutrition_tables!$A:$N,10,FALSE))</f>
        <v/>
      </c>
      <c r="AI347" s="5" t="str">
        <f t="shared" si="84"/>
        <v/>
      </c>
    </row>
    <row r="348" spans="1:42">
      <c r="B348" s="749" t="s">
        <v>2239</v>
      </c>
      <c r="C348" s="1" t="s">
        <v>3220</v>
      </c>
      <c r="E348" s="379" t="str">
        <f>_xlfn.IFNA(VLOOKUP($H348,Ingredient_prices!$B:$C,2,FALSE),"")</f>
        <v/>
      </c>
      <c r="T348" s="337" t="str">
        <f t="shared" si="82"/>
        <v/>
      </c>
      <c r="U348" s="337" t="str">
        <f t="shared" si="83"/>
        <v/>
      </c>
      <c r="V348" s="337"/>
      <c r="Y348" s="1" t="s">
        <v>3484</v>
      </c>
      <c r="Z348" s="1">
        <v>20</v>
      </c>
      <c r="AA348" s="749" t="s">
        <v>2387</v>
      </c>
      <c r="AG348" s="5" t="str">
        <f t="shared" ref="AG348:AG411" si="85">_xlfn.IFNA(VLOOKUP($Y348,$E:$U,17,FALSE),"")</f>
        <v/>
      </c>
      <c r="AH348" s="5" t="str">
        <f>IF(AG348="","",VLOOKUP($Y348,Nutrition_tables!$A:$N,10,FALSE))</f>
        <v/>
      </c>
      <c r="AI348" s="5" t="str">
        <f t="shared" si="84"/>
        <v/>
      </c>
    </row>
    <row r="349" spans="1:42">
      <c r="B349" s="1" t="s">
        <v>1665</v>
      </c>
      <c r="C349" s="1" t="s">
        <v>3220</v>
      </c>
      <c r="E349" s="379" t="str">
        <f>_xlfn.IFNA(VLOOKUP($H349,Ingredient_prices!$B:$C,2,FALSE),"")</f>
        <v/>
      </c>
      <c r="I349" s="379"/>
      <c r="J349" s="379"/>
      <c r="P349" s="379"/>
      <c r="Q349" s="379"/>
      <c r="R349" s="379"/>
      <c r="T349" s="337" t="str">
        <f t="shared" si="82"/>
        <v/>
      </c>
      <c r="U349" s="337" t="str">
        <f t="shared" si="83"/>
        <v/>
      </c>
      <c r="V349" s="337"/>
      <c r="Y349" s="1" t="s">
        <v>1885</v>
      </c>
      <c r="Z349" s="1">
        <v>20</v>
      </c>
      <c r="AA349" s="749" t="s">
        <v>2387</v>
      </c>
      <c r="AG349" s="5" t="str">
        <f t="shared" si="85"/>
        <v/>
      </c>
      <c r="AH349" s="5" t="str">
        <f>IF(AG349="","",VLOOKUP($Y349,Nutrition_tables!$A:$N,10,FALSE))</f>
        <v/>
      </c>
      <c r="AI349" s="5" t="str">
        <f t="shared" si="84"/>
        <v/>
      </c>
      <c r="AM349" s="379"/>
      <c r="AN349" s="379"/>
      <c r="AO349" s="379"/>
      <c r="AP349" s="379"/>
    </row>
    <row r="350" spans="1:42" s="379" customFormat="1">
      <c r="A350" s="330"/>
      <c r="B350" s="749" t="s">
        <v>2288</v>
      </c>
      <c r="C350" s="1" t="s">
        <v>3220</v>
      </c>
      <c r="D350" s="330"/>
      <c r="E350" s="379" t="str">
        <f>_xlfn.IFNA(VLOOKUP($H350,Ingredient_prices!$B:$C,2,FALSE),"")</f>
        <v/>
      </c>
      <c r="F350" s="1197"/>
      <c r="G350" s="82"/>
      <c r="H350" s="82"/>
      <c r="I350"/>
      <c r="J350"/>
      <c r="K350" s="82"/>
      <c r="L350" s="82"/>
      <c r="M350" s="1202"/>
      <c r="N350" s="247"/>
      <c r="O350" s="1139"/>
      <c r="P350"/>
      <c r="Q350"/>
      <c r="R350"/>
      <c r="S350" s="1202"/>
      <c r="T350" s="337" t="str">
        <f t="shared" si="82"/>
        <v/>
      </c>
      <c r="U350" s="337" t="str">
        <f t="shared" si="83"/>
        <v/>
      </c>
      <c r="V350" s="337"/>
      <c r="W350" s="330"/>
      <c r="X350" s="99"/>
      <c r="Y350" s="1" t="s">
        <v>510</v>
      </c>
      <c r="Z350" s="1">
        <v>20</v>
      </c>
      <c r="AA350" s="749" t="s">
        <v>2387</v>
      </c>
      <c r="AB350" s="421"/>
      <c r="AC350" s="421"/>
      <c r="AD350" s="749"/>
      <c r="AE350" s="749"/>
      <c r="AF350" s="749"/>
      <c r="AG350" s="5">
        <f t="shared" si="85"/>
        <v>441.1764705882353</v>
      </c>
      <c r="AH350" s="5">
        <f>IF(AG350="","",VLOOKUP($Y350,Nutrition_tables!$A:$N,10,FALSE))</f>
        <v>283</v>
      </c>
      <c r="AI350" s="5">
        <f>IF(AG350="","",AG350/(AH350*10))</f>
        <v>0.15589274579089588</v>
      </c>
      <c r="AJ350" s="749"/>
      <c r="AK350"/>
      <c r="AM350"/>
      <c r="AN350"/>
      <c r="AO350"/>
      <c r="AP350"/>
    </row>
    <row r="351" spans="1:42">
      <c r="B351" s="82" t="s">
        <v>2456</v>
      </c>
      <c r="C351" s="1" t="s">
        <v>3213</v>
      </c>
      <c r="E351" s="379" t="str">
        <f>_xlfn.IFNA(VLOOKUP($H351,Ingredient_prices!$B:$C,2,FALSE),"")</f>
        <v/>
      </c>
      <c r="T351" s="337" t="str">
        <f t="shared" si="82"/>
        <v/>
      </c>
      <c r="U351" s="337" t="str">
        <f t="shared" si="83"/>
        <v/>
      </c>
      <c r="V351" s="337"/>
      <c r="Y351" s="1" t="s">
        <v>3347</v>
      </c>
      <c r="Z351" s="1">
        <v>20</v>
      </c>
      <c r="AA351" s="749" t="s">
        <v>2387</v>
      </c>
      <c r="AG351" s="5">
        <f t="shared" si="85"/>
        <v>441.1764705882353</v>
      </c>
      <c r="AH351" s="5">
        <f>IF(AG351="","",VLOOKUP($Y351,Nutrition_tables!$A:$N,10,FALSE))</f>
        <v>226</v>
      </c>
      <c r="AI351" s="5">
        <f t="shared" si="84"/>
        <v>0.19521082769390943</v>
      </c>
    </row>
    <row r="352" spans="1:42">
      <c r="B352" s="1" t="s">
        <v>1518</v>
      </c>
      <c r="C352" s="1" t="s">
        <v>1811</v>
      </c>
      <c r="E352" s="379" t="str">
        <f>_xlfn.IFNA(VLOOKUP($H352,Ingredient_prices!$B:$C,2,FALSE),"")</f>
        <v/>
      </c>
      <c r="T352" s="337"/>
      <c r="U352" s="337"/>
      <c r="V352" s="337"/>
      <c r="Y352" s="1" t="s">
        <v>3330</v>
      </c>
      <c r="Z352" s="1">
        <v>20</v>
      </c>
      <c r="AA352" s="749" t="s">
        <v>2387</v>
      </c>
      <c r="AG352" s="5">
        <f t="shared" si="85"/>
        <v>518.4</v>
      </c>
      <c r="AH352" s="5">
        <f>IF(AG352="","",VLOOKUP($Y352,Nutrition_tables!$A:$N,10,FALSE))</f>
        <v>523.90066666666667</v>
      </c>
      <c r="AI352" s="5">
        <f t="shared" si="84"/>
        <v>9.8950055417630065E-2</v>
      </c>
    </row>
    <row r="353" spans="1:42">
      <c r="B353" s="1" t="s">
        <v>970</v>
      </c>
      <c r="C353" s="1" t="s">
        <v>3222</v>
      </c>
      <c r="E353" s="379"/>
      <c r="I353" s="379"/>
      <c r="J353" s="379"/>
      <c r="P353" s="379"/>
      <c r="Q353" s="379"/>
      <c r="R353" s="379"/>
      <c r="T353" s="337" t="str">
        <f t="shared" ref="T353:T378" si="86">IF(N354&gt;0,1000*P354/J354,"")</f>
        <v/>
      </c>
      <c r="U353" s="337" t="str">
        <f t="shared" ref="U353:U378" si="87">IF(N354&gt;0,1000*P354/J354,"")</f>
        <v/>
      </c>
      <c r="V353" s="337"/>
      <c r="Y353" s="1" t="s">
        <v>3331</v>
      </c>
      <c r="Z353" s="1">
        <v>20</v>
      </c>
      <c r="AA353" s="749" t="s">
        <v>2387</v>
      </c>
      <c r="AG353" s="5" t="str">
        <f t="shared" si="85"/>
        <v/>
      </c>
      <c r="AH353" s="5" t="str">
        <f>IF(AG353="","",VLOOKUP($Y353,Nutrition_tables!$A:$N,10,FALSE))</f>
        <v/>
      </c>
      <c r="AI353" s="5" t="str">
        <f t="shared" si="84"/>
        <v/>
      </c>
    </row>
    <row r="354" spans="1:42">
      <c r="B354" s="1" t="s">
        <v>1550</v>
      </c>
      <c r="C354" s="1" t="s">
        <v>3454</v>
      </c>
      <c r="E354" s="379" t="str">
        <f>_xlfn.IFNA(VLOOKUP($H354,Ingredient_prices!$B:$C,2,FALSE),"")</f>
        <v/>
      </c>
      <c r="T354" s="337" t="str">
        <f t="shared" si="86"/>
        <v/>
      </c>
      <c r="U354" s="337" t="str">
        <f t="shared" si="87"/>
        <v/>
      </c>
      <c r="V354" s="337"/>
      <c r="Y354" s="1" t="s">
        <v>1887</v>
      </c>
      <c r="Z354" s="1">
        <v>20</v>
      </c>
      <c r="AA354" s="749" t="s">
        <v>2387</v>
      </c>
      <c r="AG354" s="5" t="str">
        <f t="shared" si="85"/>
        <v/>
      </c>
      <c r="AH354" s="5" t="str">
        <f>IF(AG354="","",VLOOKUP($Y354,Nutrition_tables!$A:$N,10,FALSE))</f>
        <v/>
      </c>
      <c r="AI354" s="5" t="str">
        <f t="shared" si="84"/>
        <v/>
      </c>
      <c r="AL354" s="379"/>
    </row>
    <row r="355" spans="1:42">
      <c r="B355" s="82" t="s">
        <v>2410</v>
      </c>
      <c r="C355" s="1" t="s">
        <v>3454</v>
      </c>
      <c r="E355" s="379" t="str">
        <f>_xlfn.IFNA(VLOOKUP($H355,Ingredient_prices!$B:$C,2,FALSE),"")</f>
        <v/>
      </c>
      <c r="T355" s="337" t="str">
        <f t="shared" si="86"/>
        <v/>
      </c>
      <c r="U355" s="337" t="str">
        <f t="shared" si="87"/>
        <v/>
      </c>
      <c r="V355" s="337"/>
      <c r="Y355" s="1" t="s">
        <v>3478</v>
      </c>
      <c r="Z355" s="1">
        <v>20</v>
      </c>
      <c r="AA355" s="749" t="s">
        <v>2387</v>
      </c>
      <c r="AG355" s="5" t="str">
        <f t="shared" si="85"/>
        <v/>
      </c>
      <c r="AH355" s="5" t="str">
        <f>IF(AG355="","",VLOOKUP($Y355,Nutrition_tables!$A:$N,10,FALSE))</f>
        <v/>
      </c>
      <c r="AI355" s="5" t="str">
        <f t="shared" si="84"/>
        <v/>
      </c>
      <c r="AK355" s="379"/>
    </row>
    <row r="356" spans="1:42">
      <c r="B356" s="1" t="s">
        <v>1551</v>
      </c>
      <c r="C356" s="1" t="s">
        <v>3454</v>
      </c>
      <c r="E356" s="379" t="str">
        <f>_xlfn.IFNA(VLOOKUP($H356,Ingredient_prices!$B:$C,2,FALSE),"")</f>
        <v/>
      </c>
      <c r="T356" s="337" t="str">
        <f t="shared" si="86"/>
        <v/>
      </c>
      <c r="U356" s="337" t="str">
        <f t="shared" si="87"/>
        <v/>
      </c>
      <c r="V356" s="337"/>
      <c r="Y356" s="1" t="s">
        <v>3332</v>
      </c>
      <c r="Z356" s="1">
        <v>20</v>
      </c>
      <c r="AA356" s="749" t="s">
        <v>2387</v>
      </c>
      <c r="AG356" s="5">
        <f t="shared" si="85"/>
        <v>456</v>
      </c>
      <c r="AH356" s="5">
        <f>IF(AG356="","",VLOOKUP($Y356,Nutrition_tables!$A:$N,10,FALSE))</f>
        <v>402.96503496503499</v>
      </c>
      <c r="AI356" s="5">
        <f t="shared" si="84"/>
        <v>0.11316118284048311</v>
      </c>
    </row>
    <row r="357" spans="1:42">
      <c r="B357" s="749" t="s">
        <v>2240</v>
      </c>
      <c r="C357" s="1" t="s">
        <v>3454</v>
      </c>
      <c r="E357" s="379" t="str">
        <f>_xlfn.IFNA(VLOOKUP($H357,Ingredient_prices!$B:$C,2,FALSE),"")</f>
        <v/>
      </c>
      <c r="T357" s="337" t="str">
        <f t="shared" si="86"/>
        <v/>
      </c>
      <c r="U357" s="337" t="str">
        <f t="shared" si="87"/>
        <v/>
      </c>
      <c r="V357" s="337"/>
      <c r="Y357" s="1" t="s">
        <v>3333</v>
      </c>
      <c r="Z357" s="1">
        <v>20</v>
      </c>
      <c r="AA357" s="749" t="s">
        <v>2387</v>
      </c>
      <c r="AG357" s="5" t="str">
        <f t="shared" si="85"/>
        <v/>
      </c>
      <c r="AH357" s="5" t="str">
        <f>IF(AG357="","",VLOOKUP($Y357,Nutrition_tables!$A:$N,10,FALSE))</f>
        <v/>
      </c>
      <c r="AI357" s="5" t="str">
        <f t="shared" si="84"/>
        <v/>
      </c>
    </row>
    <row r="358" spans="1:42">
      <c r="B358" s="749" t="s">
        <v>2267</v>
      </c>
      <c r="C358" s="1" t="s">
        <v>3454</v>
      </c>
      <c r="E358" s="379" t="str">
        <f>_xlfn.IFNA(VLOOKUP($H358,Ingredient_prices!$B:$C,2,FALSE),"")</f>
        <v/>
      </c>
      <c r="T358" s="337" t="str">
        <f t="shared" si="86"/>
        <v/>
      </c>
      <c r="U358" s="337" t="str">
        <f t="shared" si="87"/>
        <v/>
      </c>
      <c r="V358" s="337"/>
      <c r="Y358" s="1" t="s">
        <v>3349</v>
      </c>
      <c r="Z358" s="1">
        <v>20</v>
      </c>
      <c r="AA358" s="749" t="s">
        <v>2387</v>
      </c>
      <c r="AG358" s="5" t="str">
        <f t="shared" si="85"/>
        <v/>
      </c>
      <c r="AH358" s="5" t="str">
        <f>IF(AG358="","",VLOOKUP($Y358,Nutrition_tables!$A:$N,10,FALSE))</f>
        <v/>
      </c>
      <c r="AI358" s="5" t="str">
        <f t="shared" si="84"/>
        <v/>
      </c>
    </row>
    <row r="359" spans="1:42">
      <c r="B359" s="1" t="s">
        <v>971</v>
      </c>
      <c r="C359" s="1" t="s">
        <v>1811</v>
      </c>
      <c r="E359" s="379" t="str">
        <f>_xlfn.IFNA(VLOOKUP($H359,Ingredient_prices!$B:$C,2,FALSE),"")</f>
        <v/>
      </c>
      <c r="T359" s="337" t="str">
        <f t="shared" si="86"/>
        <v/>
      </c>
      <c r="U359" s="337" t="str">
        <f t="shared" si="87"/>
        <v/>
      </c>
      <c r="V359" s="337"/>
      <c r="Y359" s="1" t="s">
        <v>3334</v>
      </c>
      <c r="Z359" s="1">
        <v>20</v>
      </c>
      <c r="AA359" s="749" t="s">
        <v>2387</v>
      </c>
      <c r="AG359" s="5">
        <f t="shared" si="85"/>
        <v>528</v>
      </c>
      <c r="AH359" s="5">
        <f>IF(AG359="","",VLOOKUP($Y359,Nutrition_tables!$A:$N,10,FALSE))</f>
        <v>495</v>
      </c>
      <c r="AI359" s="5">
        <f t="shared" si="84"/>
        <v>0.10666666666666667</v>
      </c>
      <c r="AK359" s="379"/>
      <c r="AM359" s="379"/>
      <c r="AN359" s="379"/>
      <c r="AO359" s="379"/>
      <c r="AP359" s="379"/>
    </row>
    <row r="360" spans="1:42" s="379" customFormat="1">
      <c r="A360" s="330"/>
      <c r="B360" s="1" t="s">
        <v>1320</v>
      </c>
      <c r="C360" s="1" t="s">
        <v>3221</v>
      </c>
      <c r="D360" s="330"/>
      <c r="E360" s="379" t="str">
        <f>_xlfn.IFNA(VLOOKUP($H360,Ingredient_prices!$B:$C,2,FALSE),"")</f>
        <v/>
      </c>
      <c r="F360" s="1197"/>
      <c r="G360" s="82"/>
      <c r="H360" s="82"/>
      <c r="I360"/>
      <c r="J360"/>
      <c r="K360" s="82"/>
      <c r="L360" s="82"/>
      <c r="M360" s="1202"/>
      <c r="N360" s="247"/>
      <c r="O360" s="1139"/>
      <c r="P360"/>
      <c r="Q360"/>
      <c r="R360"/>
      <c r="S360" s="1202"/>
      <c r="T360" s="337" t="str">
        <f t="shared" si="86"/>
        <v/>
      </c>
      <c r="U360" s="337" t="str">
        <f t="shared" si="87"/>
        <v/>
      </c>
      <c r="V360" s="337"/>
      <c r="W360" s="330"/>
      <c r="X360" s="99"/>
      <c r="Y360" s="1" t="s">
        <v>3350</v>
      </c>
      <c r="Z360" s="1">
        <v>20</v>
      </c>
      <c r="AA360" s="749" t="s">
        <v>2387</v>
      </c>
      <c r="AB360" s="421"/>
      <c r="AC360" s="421"/>
      <c r="AD360" s="749"/>
      <c r="AE360" s="749"/>
      <c r="AF360" s="749"/>
      <c r="AG360" s="5" t="str">
        <f t="shared" si="85"/>
        <v/>
      </c>
      <c r="AH360" s="5" t="str">
        <f>IF(AG360="","",VLOOKUP($Y360,Nutrition_tables!$A:$N,10,FALSE))</f>
        <v/>
      </c>
      <c r="AI360" s="5" t="str">
        <f t="shared" si="84"/>
        <v/>
      </c>
      <c r="AJ360" s="749"/>
      <c r="AK360"/>
      <c r="AL360"/>
      <c r="AM360"/>
      <c r="AN360"/>
      <c r="AO360"/>
      <c r="AP360"/>
    </row>
    <row r="361" spans="1:42">
      <c r="B361" s="1" t="s">
        <v>1250</v>
      </c>
      <c r="C361" s="1" t="s">
        <v>3221</v>
      </c>
      <c r="E361" s="379" t="str">
        <f>_xlfn.IFNA(VLOOKUP($H361,Ingredient_prices!$B:$C,2,FALSE),"")</f>
        <v/>
      </c>
      <c r="T361" s="337" t="str">
        <f t="shared" si="86"/>
        <v/>
      </c>
      <c r="U361" s="337" t="str">
        <f t="shared" si="87"/>
        <v/>
      </c>
      <c r="V361" s="337"/>
      <c r="Y361" s="1" t="s">
        <v>3351</v>
      </c>
      <c r="Z361" s="1">
        <v>20</v>
      </c>
      <c r="AA361" s="749" t="s">
        <v>2387</v>
      </c>
      <c r="AG361" s="5">
        <f t="shared" si="85"/>
        <v>704</v>
      </c>
      <c r="AH361" s="5">
        <f>IF(AG361="","",VLOOKUP($Y361,Nutrition_tables!$A:$N,10,FALSE))</f>
        <v>437.2</v>
      </c>
      <c r="AI361" s="5">
        <f t="shared" si="84"/>
        <v>0.16102470265324795</v>
      </c>
    </row>
    <row r="362" spans="1:42">
      <c r="B362" s="82" t="s">
        <v>2455</v>
      </c>
      <c r="C362" s="1" t="s">
        <v>3228</v>
      </c>
      <c r="E362" s="379" t="str">
        <f>_xlfn.IFNA(VLOOKUP($H362,Ingredient_prices!$B:$C,2,FALSE),"")</f>
        <v/>
      </c>
      <c r="T362" s="337" t="str">
        <f t="shared" si="86"/>
        <v/>
      </c>
      <c r="U362" s="337" t="str">
        <f t="shared" si="87"/>
        <v/>
      </c>
      <c r="V362" s="337"/>
      <c r="Y362" s="749" t="s">
        <v>3352</v>
      </c>
      <c r="Z362" s="1">
        <v>20</v>
      </c>
      <c r="AA362" s="749" t="s">
        <v>2387</v>
      </c>
      <c r="AG362" s="5" t="str">
        <f t="shared" si="85"/>
        <v/>
      </c>
      <c r="AH362" s="5" t="str">
        <f>IF(AG362="","",VLOOKUP($Y362,Nutrition_tables!$A:$N,10,FALSE))</f>
        <v/>
      </c>
      <c r="AI362" s="5" t="str">
        <f t="shared" si="84"/>
        <v/>
      </c>
    </row>
    <row r="363" spans="1:42">
      <c r="B363" s="82" t="s">
        <v>2861</v>
      </c>
      <c r="C363" s="1" t="s">
        <v>3223</v>
      </c>
      <c r="E363" s="379" t="str">
        <f>_xlfn.IFNA(VLOOKUP($H363,Ingredient_prices!$B:$C,2,FALSE),"")</f>
        <v/>
      </c>
      <c r="I363" s="379"/>
      <c r="J363" s="379"/>
      <c r="P363" s="379"/>
      <c r="Q363" s="379"/>
      <c r="R363" s="379"/>
      <c r="T363" s="337" t="str">
        <f t="shared" si="86"/>
        <v/>
      </c>
      <c r="U363" s="337" t="str">
        <f t="shared" si="87"/>
        <v/>
      </c>
      <c r="V363" s="337"/>
      <c r="Y363" s="1" t="s">
        <v>1894</v>
      </c>
      <c r="Z363" s="1">
        <v>20</v>
      </c>
      <c r="AA363" s="749" t="s">
        <v>2387</v>
      </c>
      <c r="AG363" s="5" t="str">
        <f t="shared" si="85"/>
        <v/>
      </c>
      <c r="AH363" s="5" t="str">
        <f>IF(AG363="","",VLOOKUP($Y363,Nutrition_tables!$A:$N,10,FALSE))</f>
        <v/>
      </c>
      <c r="AI363" s="5" t="str">
        <f t="shared" si="84"/>
        <v/>
      </c>
      <c r="AL363" s="379"/>
    </row>
    <row r="364" spans="1:42">
      <c r="B364" s="1" t="s">
        <v>972</v>
      </c>
      <c r="C364" s="1" t="s">
        <v>3223</v>
      </c>
      <c r="E364" s="379" t="str">
        <f>_xlfn.IFNA(VLOOKUP($H364,Ingredient_prices!$B:$C,2,FALSE),"")</f>
        <v/>
      </c>
      <c r="T364" s="337" t="str">
        <f t="shared" si="86"/>
        <v/>
      </c>
      <c r="U364" s="337" t="str">
        <f t="shared" si="87"/>
        <v/>
      </c>
      <c r="V364" s="337"/>
      <c r="Y364" s="1" t="s">
        <v>1895</v>
      </c>
      <c r="Z364" s="1">
        <v>20</v>
      </c>
      <c r="AA364" s="749" t="s">
        <v>2387</v>
      </c>
      <c r="AG364" s="5">
        <f t="shared" si="85"/>
        <v>1199.76</v>
      </c>
      <c r="AH364" s="5">
        <f>IF(AG364="","",VLOOKUP($Y364,Nutrition_tables!$A:$N,10,FALSE))</f>
        <v>521</v>
      </c>
      <c r="AI364" s="5">
        <f t="shared" si="84"/>
        <v>0.23028023032629558</v>
      </c>
    </row>
    <row r="365" spans="1:42">
      <c r="B365" s="1" t="s">
        <v>973</v>
      </c>
      <c r="C365" s="1" t="s">
        <v>3224</v>
      </c>
      <c r="E365" s="379" t="str">
        <f>_xlfn.IFNA(VLOOKUP($H365,Ingredient_prices!$B:$C,2,FALSE),"")</f>
        <v/>
      </c>
      <c r="T365" s="337" t="str">
        <f t="shared" si="86"/>
        <v/>
      </c>
      <c r="U365" s="337" t="str">
        <f t="shared" si="87"/>
        <v/>
      </c>
      <c r="V365" s="337"/>
      <c r="Y365" s="1" t="s">
        <v>1896</v>
      </c>
      <c r="Z365" s="1">
        <v>20</v>
      </c>
      <c r="AA365" s="749" t="s">
        <v>2387</v>
      </c>
      <c r="AG365" s="5" t="str">
        <f t="shared" si="85"/>
        <v/>
      </c>
      <c r="AH365" s="5" t="str">
        <f>IF(AG365="","",VLOOKUP($Y365,Nutrition_tables!$A:$N,10,FALSE))</f>
        <v/>
      </c>
      <c r="AI365" s="5" t="str">
        <f t="shared" si="84"/>
        <v/>
      </c>
    </row>
    <row r="366" spans="1:42">
      <c r="B366" s="1" t="s">
        <v>1319</v>
      </c>
      <c r="C366" s="1" t="s">
        <v>3226</v>
      </c>
      <c r="E366" s="379" t="str">
        <f>_xlfn.IFNA(VLOOKUP($H366,Ingredient_prices!$B:$C,2,FALSE),"")</f>
        <v/>
      </c>
      <c r="T366" s="337" t="str">
        <f t="shared" si="86"/>
        <v/>
      </c>
      <c r="U366" s="337" t="str">
        <f t="shared" si="87"/>
        <v/>
      </c>
      <c r="V366" s="337"/>
      <c r="Y366" s="1" t="s">
        <v>3481</v>
      </c>
      <c r="Z366" s="1">
        <v>20</v>
      </c>
      <c r="AA366" s="749" t="s">
        <v>2387</v>
      </c>
      <c r="AG366" s="5" t="str">
        <f t="shared" si="85"/>
        <v/>
      </c>
      <c r="AH366" s="5" t="str">
        <f>IF(AG366="","",VLOOKUP($Y366,Nutrition_tables!$A:$N,10,FALSE))</f>
        <v/>
      </c>
      <c r="AI366" s="5" t="str">
        <f t="shared" si="84"/>
        <v/>
      </c>
    </row>
    <row r="367" spans="1:42">
      <c r="B367" s="1" t="s">
        <v>1159</v>
      </c>
      <c r="C367" s="1" t="s">
        <v>3228</v>
      </c>
      <c r="E367" s="379" t="str">
        <f>_xlfn.IFNA(VLOOKUP($H367,Ingredient_prices!$B:$C,2,FALSE),"")</f>
        <v/>
      </c>
      <c r="T367" s="337" t="str">
        <f t="shared" si="86"/>
        <v/>
      </c>
      <c r="U367" s="337" t="str">
        <f t="shared" si="87"/>
        <v/>
      </c>
      <c r="V367" s="337"/>
      <c r="Y367" s="1" t="s">
        <v>1898</v>
      </c>
      <c r="Z367" s="1">
        <v>20</v>
      </c>
      <c r="AA367" s="749" t="s">
        <v>2387</v>
      </c>
      <c r="AG367" s="5" t="str">
        <f t="shared" si="85"/>
        <v/>
      </c>
      <c r="AH367" s="5" t="str">
        <f>IF(AG367="","",VLOOKUP($Y367,Nutrition_tables!$A:$N,10,FALSE))</f>
        <v/>
      </c>
      <c r="AI367" s="5" t="str">
        <f t="shared" si="84"/>
        <v/>
      </c>
    </row>
    <row r="368" spans="1:42">
      <c r="B368" s="1" t="s">
        <v>1155</v>
      </c>
      <c r="C368" s="1" t="s">
        <v>3213</v>
      </c>
      <c r="E368" s="379" t="str">
        <f>_xlfn.IFNA(VLOOKUP($H368,Ingredient_prices!$B:$C,2,FALSE),"")</f>
        <v/>
      </c>
      <c r="T368" s="337" t="str">
        <f t="shared" si="86"/>
        <v/>
      </c>
      <c r="U368" s="337" t="str">
        <f t="shared" si="87"/>
        <v/>
      </c>
      <c r="V368" s="337"/>
      <c r="Y368" s="1" t="s">
        <v>3483</v>
      </c>
      <c r="Z368" s="1">
        <v>20</v>
      </c>
      <c r="AA368" s="749" t="s">
        <v>2387</v>
      </c>
      <c r="AG368" s="5" t="str">
        <f t="shared" si="85"/>
        <v/>
      </c>
      <c r="AH368" s="5" t="str">
        <f>IF(AG368="","",VLOOKUP($Y368,Nutrition_tables!$A:$N,10,FALSE))</f>
        <v/>
      </c>
      <c r="AI368" s="5" t="str">
        <f t="shared" si="84"/>
        <v/>
      </c>
      <c r="AK368" s="379"/>
    </row>
    <row r="369" spans="1:42">
      <c r="B369" s="1" t="s">
        <v>1249</v>
      </c>
      <c r="C369" s="1" t="s">
        <v>3228</v>
      </c>
      <c r="E369" s="379" t="str">
        <f>_xlfn.IFNA(VLOOKUP($H369,Ingredient_prices!$B:$C,2,FALSE),"")</f>
        <v/>
      </c>
      <c r="T369" s="337" t="str">
        <f t="shared" si="86"/>
        <v/>
      </c>
      <c r="U369" s="337" t="str">
        <f t="shared" si="87"/>
        <v/>
      </c>
      <c r="V369" s="337"/>
      <c r="Y369" s="1" t="s">
        <v>3480</v>
      </c>
      <c r="Z369" s="1">
        <v>20</v>
      </c>
      <c r="AA369" s="749" t="s">
        <v>2387</v>
      </c>
      <c r="AG369" s="5" t="str">
        <f t="shared" si="85"/>
        <v/>
      </c>
      <c r="AH369" s="5" t="str">
        <f>IF(AG369="","",VLOOKUP($Y369,Nutrition_tables!$A:$N,10,FALSE))</f>
        <v/>
      </c>
      <c r="AI369" s="5" t="str">
        <f t="shared" si="84"/>
        <v/>
      </c>
    </row>
    <row r="370" spans="1:42">
      <c r="B370" s="749" t="s">
        <v>2355</v>
      </c>
      <c r="C370" s="1" t="s">
        <v>3227</v>
      </c>
      <c r="E370" s="379" t="str">
        <f>_xlfn.IFNA(VLOOKUP($H370,Ingredient_prices!$B:$C,2,FALSE),"")</f>
        <v/>
      </c>
      <c r="G370" s="690"/>
      <c r="T370" s="337" t="str">
        <f t="shared" si="86"/>
        <v/>
      </c>
      <c r="U370" s="337" t="str">
        <f t="shared" si="87"/>
        <v/>
      </c>
      <c r="V370" s="337"/>
      <c r="Y370" s="1" t="s">
        <v>3353</v>
      </c>
      <c r="Z370" s="1">
        <v>20</v>
      </c>
      <c r="AA370" s="749" t="s">
        <v>2387</v>
      </c>
      <c r="AG370" s="5" t="str">
        <f t="shared" si="85"/>
        <v/>
      </c>
      <c r="AH370" s="5" t="str">
        <f>IF(AG370="","",VLOOKUP($Y370,Nutrition_tables!$A:$N,10,FALSE))</f>
        <v/>
      </c>
      <c r="AI370" s="5" t="str">
        <f t="shared" si="84"/>
        <v/>
      </c>
    </row>
    <row r="371" spans="1:42">
      <c r="B371" s="1" t="s">
        <v>2354</v>
      </c>
      <c r="C371" s="1" t="s">
        <v>3228</v>
      </c>
      <c r="E371" s="379" t="str">
        <f>_xlfn.IFNA(VLOOKUP($H371,Ingredient_prices!$B:$C,2,FALSE),"")</f>
        <v/>
      </c>
      <c r="T371" s="337" t="str">
        <f t="shared" si="86"/>
        <v/>
      </c>
      <c r="U371" s="337" t="str">
        <f t="shared" si="87"/>
        <v/>
      </c>
      <c r="V371" s="337"/>
      <c r="Y371" s="1" t="s">
        <v>3354</v>
      </c>
      <c r="Z371" s="1">
        <v>20</v>
      </c>
      <c r="AA371" s="749" t="s">
        <v>2387</v>
      </c>
      <c r="AG371" s="5" t="str">
        <f t="shared" si="85"/>
        <v/>
      </c>
      <c r="AH371" s="5" t="str">
        <f>IF(AG371="","",VLOOKUP($Y371,Nutrition_tables!$A:$N,10,FALSE))</f>
        <v/>
      </c>
      <c r="AI371" s="5" t="str">
        <f t="shared" si="84"/>
        <v/>
      </c>
    </row>
    <row r="372" spans="1:42">
      <c r="B372" s="749" t="s">
        <v>2292</v>
      </c>
      <c r="C372" s="1" t="s">
        <v>3228</v>
      </c>
      <c r="E372" s="379" t="str">
        <f>_xlfn.IFNA(VLOOKUP($H372,Ingredient_prices!$B:$C,2,FALSE),"")</f>
        <v/>
      </c>
      <c r="T372" s="337" t="str">
        <f t="shared" si="86"/>
        <v/>
      </c>
      <c r="U372" s="337" t="str">
        <f t="shared" si="87"/>
        <v/>
      </c>
      <c r="V372" s="337"/>
      <c r="Y372" s="1" t="s">
        <v>503</v>
      </c>
      <c r="Z372" s="1">
        <v>10</v>
      </c>
      <c r="AA372" s="749" t="s">
        <v>2387</v>
      </c>
      <c r="AG372" s="5">
        <f t="shared" si="85"/>
        <v>330</v>
      </c>
      <c r="AH372" s="5">
        <f>IF(AG372="","",VLOOKUP($Y372,Nutrition_tables!$A:$N,10,FALSE))</f>
        <v>304</v>
      </c>
      <c r="AI372" s="5">
        <f t="shared" si="84"/>
        <v>0.10855263157894737</v>
      </c>
    </row>
    <row r="373" spans="1:42">
      <c r="B373" s="749" t="s">
        <v>2353</v>
      </c>
      <c r="C373" s="1" t="s">
        <v>3228</v>
      </c>
      <c r="E373" s="379" t="str">
        <f>_xlfn.IFNA(VLOOKUP($H373,Ingredient_prices!$B:$C,2,FALSE),"")</f>
        <v/>
      </c>
      <c r="T373" s="337" t="str">
        <f t="shared" si="86"/>
        <v/>
      </c>
      <c r="U373" s="337" t="str">
        <f t="shared" si="87"/>
        <v/>
      </c>
      <c r="V373" s="337"/>
      <c r="Y373" s="1" t="s">
        <v>3355</v>
      </c>
      <c r="Z373" s="1">
        <v>20</v>
      </c>
      <c r="AA373" s="749" t="s">
        <v>2387</v>
      </c>
      <c r="AG373" s="5">
        <f t="shared" si="85"/>
        <v>210</v>
      </c>
      <c r="AH373" s="5">
        <f>IF(AG373="","",VLOOKUP($Y373,Nutrition_tables!$A:$N,10,FALSE))</f>
        <v>550</v>
      </c>
      <c r="AI373" s="5">
        <f t="shared" si="84"/>
        <v>3.8181818181818185E-2</v>
      </c>
    </row>
    <row r="374" spans="1:42">
      <c r="B374" s="1" t="s">
        <v>1494</v>
      </c>
      <c r="C374" s="1" t="s">
        <v>3216</v>
      </c>
      <c r="E374" s="379" t="str">
        <f>_xlfn.IFNA(VLOOKUP($H374,Ingredient_prices!$B:$C,2,FALSE),"")</f>
        <v/>
      </c>
      <c r="T374" s="337" t="str">
        <f t="shared" si="86"/>
        <v/>
      </c>
      <c r="U374" s="337" t="str">
        <f t="shared" si="87"/>
        <v/>
      </c>
      <c r="V374" s="337"/>
      <c r="Y374" s="1" t="s">
        <v>3336</v>
      </c>
      <c r="Z374" s="1">
        <v>20</v>
      </c>
      <c r="AA374" s="749" t="s">
        <v>2387</v>
      </c>
      <c r="AG374" s="5">
        <f t="shared" si="85"/>
        <v>633</v>
      </c>
      <c r="AH374" s="5">
        <f>IF(AG374="","",VLOOKUP($Y374,Nutrition_tables!$A:$N,10,FALSE))</f>
        <v>377</v>
      </c>
      <c r="AI374" s="5">
        <f t="shared" si="84"/>
        <v>0.16790450928381964</v>
      </c>
    </row>
    <row r="375" spans="1:42">
      <c r="B375" s="1" t="s">
        <v>1166</v>
      </c>
      <c r="C375" s="1" t="s">
        <v>3216</v>
      </c>
      <c r="E375" s="379" t="str">
        <f>_xlfn.IFNA(VLOOKUP($H375,Ingredient_prices!$B:$C,2,FALSE),"")</f>
        <v/>
      </c>
      <c r="T375" s="337" t="str">
        <f t="shared" si="86"/>
        <v/>
      </c>
      <c r="U375" s="337" t="str">
        <f t="shared" si="87"/>
        <v/>
      </c>
      <c r="V375" s="337"/>
      <c r="Y375" s="1" t="s">
        <v>134</v>
      </c>
      <c r="Z375" s="1">
        <v>20</v>
      </c>
      <c r="AA375" s="749" t="s">
        <v>2387</v>
      </c>
      <c r="AG375" s="5">
        <f t="shared" si="85"/>
        <v>784</v>
      </c>
      <c r="AH375" s="5">
        <f>IF(AG375="","",VLOOKUP($Y375,Nutrition_tables!$A:$N,10,FALSE))</f>
        <v>523.90066666666667</v>
      </c>
      <c r="AI375" s="5">
        <f t="shared" si="84"/>
        <v>0.14964668874888498</v>
      </c>
    </row>
    <row r="376" spans="1:42">
      <c r="B376" s="1" t="s">
        <v>838</v>
      </c>
      <c r="C376" s="1" t="s">
        <v>3216</v>
      </c>
      <c r="E376" s="379" t="str">
        <f>_xlfn.IFNA(VLOOKUP($H376,Ingredient_prices!$B:$C,2,FALSE),"")</f>
        <v/>
      </c>
      <c r="T376" s="337" t="str">
        <f t="shared" si="86"/>
        <v/>
      </c>
      <c r="U376" s="337" t="str">
        <f t="shared" si="87"/>
        <v/>
      </c>
      <c r="V376" s="337"/>
      <c r="Y376" s="1" t="s">
        <v>3356</v>
      </c>
      <c r="Z376" s="1">
        <v>20</v>
      </c>
      <c r="AA376" s="749" t="s">
        <v>2387</v>
      </c>
      <c r="AG376" s="5" t="str">
        <f t="shared" si="85"/>
        <v/>
      </c>
      <c r="AH376" s="5" t="str">
        <f>IF(AG376="","",VLOOKUP($Y376,Nutrition_tables!$A:$N,10,FALSE))</f>
        <v/>
      </c>
      <c r="AI376" s="5" t="str">
        <f t="shared" si="84"/>
        <v/>
      </c>
    </row>
    <row r="377" spans="1:42">
      <c r="B377" s="1" t="s">
        <v>1164</v>
      </c>
      <c r="C377" s="1" t="s">
        <v>3216</v>
      </c>
      <c r="E377" s="379" t="str">
        <f>_xlfn.IFNA(VLOOKUP($H377,Ingredient_prices!$B:$C,2,FALSE),"")</f>
        <v/>
      </c>
      <c r="T377" s="337" t="str">
        <f t="shared" si="86"/>
        <v/>
      </c>
      <c r="U377" s="337" t="str">
        <f t="shared" si="87"/>
        <v/>
      </c>
      <c r="V377" s="337"/>
      <c r="Y377" s="1" t="s">
        <v>510</v>
      </c>
      <c r="Z377" s="1">
        <v>20</v>
      </c>
      <c r="AA377" s="749" t="s">
        <v>2387</v>
      </c>
      <c r="AG377" s="5">
        <f t="shared" si="85"/>
        <v>441.1764705882353</v>
      </c>
      <c r="AH377" s="5">
        <f>IF(AG377="","",VLOOKUP($Y377,Nutrition_tables!$A:$N,10,FALSE))</f>
        <v>283</v>
      </c>
      <c r="AI377" s="5">
        <f t="shared" si="84"/>
        <v>0.15589274579089588</v>
      </c>
      <c r="AM377" s="379"/>
      <c r="AN377" s="379"/>
      <c r="AO377" s="379"/>
      <c r="AP377" s="379"/>
    </row>
    <row r="378" spans="1:42" s="379" customFormat="1">
      <c r="A378" s="330"/>
      <c r="B378" s="1" t="s">
        <v>1165</v>
      </c>
      <c r="C378" s="1" t="s">
        <v>3216</v>
      </c>
      <c r="D378" s="330"/>
      <c r="E378" s="379" t="str">
        <f>_xlfn.IFNA(VLOOKUP($H378,Ingredient_prices!$B:$C,2,FALSE),"")</f>
        <v/>
      </c>
      <c r="F378" s="1197"/>
      <c r="G378" s="82"/>
      <c r="H378" s="82"/>
      <c r="I378"/>
      <c r="J378"/>
      <c r="K378" s="82"/>
      <c r="L378" s="82"/>
      <c r="M378" s="1202"/>
      <c r="N378" s="247"/>
      <c r="O378" s="1139"/>
      <c r="P378"/>
      <c r="Q378"/>
      <c r="R378"/>
      <c r="S378" s="1202"/>
      <c r="T378" s="337" t="str">
        <f t="shared" si="86"/>
        <v/>
      </c>
      <c r="U378" s="337" t="str">
        <f t="shared" si="87"/>
        <v/>
      </c>
      <c r="V378" s="337"/>
      <c r="W378" s="330"/>
      <c r="X378" s="99"/>
      <c r="Y378" s="1" t="s">
        <v>3337</v>
      </c>
      <c r="Z378" s="1">
        <v>20</v>
      </c>
      <c r="AA378" s="749" t="s">
        <v>2387</v>
      </c>
      <c r="AB378" s="421"/>
      <c r="AC378" s="421"/>
      <c r="AD378" s="749"/>
      <c r="AE378" s="749"/>
      <c r="AF378" s="749"/>
      <c r="AG378" s="5">
        <f t="shared" si="85"/>
        <v>831.04477611940297</v>
      </c>
      <c r="AH378" s="5">
        <f>IF(AG378="","",VLOOKUP($Y378,Nutrition_tables!$A:$N,10,FALSE))</f>
        <v>240</v>
      </c>
      <c r="AI378" s="5">
        <f t="shared" si="84"/>
        <v>0.34626865671641788</v>
      </c>
      <c r="AJ378" s="749"/>
      <c r="AK378"/>
      <c r="AL378"/>
      <c r="AM378"/>
      <c r="AN378"/>
      <c r="AO378"/>
      <c r="AP378"/>
    </row>
    <row r="379" spans="1:42">
      <c r="B379" s="82" t="s">
        <v>2862</v>
      </c>
      <c r="C379" s="1" t="s">
        <v>3216</v>
      </c>
      <c r="E379" s="379" t="str">
        <f>_xlfn.IFNA(VLOOKUP($H379,Ingredient_prices!$B:$C,2,FALSE),"")</f>
        <v/>
      </c>
      <c r="T379" s="54">
        <v>200</v>
      </c>
      <c r="U379" s="337">
        <v>200</v>
      </c>
      <c r="V379" s="337"/>
      <c r="Y379" s="1" t="s">
        <v>3338</v>
      </c>
      <c r="Z379" s="1">
        <v>20</v>
      </c>
      <c r="AA379" s="749" t="s">
        <v>2387</v>
      </c>
      <c r="AG379" s="5" t="str">
        <f t="shared" si="85"/>
        <v/>
      </c>
      <c r="AH379" s="5" t="str">
        <f>IF(AG379="","",VLOOKUP($Y379,Nutrition_tables!$A:$N,10,FALSE))</f>
        <v/>
      </c>
      <c r="AI379" s="5" t="str">
        <f t="shared" si="84"/>
        <v/>
      </c>
    </row>
    <row r="380" spans="1:42">
      <c r="B380" s="1" t="s">
        <v>1593</v>
      </c>
      <c r="C380" s="1" t="s">
        <v>3216</v>
      </c>
      <c r="E380" s="379" t="str">
        <f>_xlfn.IFNA(VLOOKUP($H380,Ingredient_prices!$B:$C,2,FALSE),"")</f>
        <v/>
      </c>
      <c r="T380" s="54"/>
      <c r="U380" s="337"/>
      <c r="V380" s="337"/>
      <c r="Y380" s="1" t="s">
        <v>3339</v>
      </c>
      <c r="Z380" s="1">
        <v>20</v>
      </c>
      <c r="AA380" s="749" t="s">
        <v>2387</v>
      </c>
      <c r="AG380" s="5">
        <f t="shared" si="85"/>
        <v>110.4</v>
      </c>
      <c r="AH380" s="5">
        <f>IF(AG380="","",VLOOKUP($Y380,Nutrition_tables!$A:$N,10,FALSE))</f>
        <v>362</v>
      </c>
      <c r="AI380" s="5">
        <f t="shared" si="84"/>
        <v>3.0497237569060774E-2</v>
      </c>
    </row>
    <row r="381" spans="1:42">
      <c r="B381" s="1" t="s">
        <v>1163</v>
      </c>
      <c r="C381" s="1" t="s">
        <v>3216</v>
      </c>
      <c r="E381" s="379"/>
      <c r="I381" s="379"/>
      <c r="J381" s="379"/>
      <c r="P381" s="379"/>
      <c r="Q381" s="379"/>
      <c r="R381" s="379"/>
      <c r="T381" s="337" t="str">
        <f t="shared" ref="T381:T403" si="88">IF(N382&gt;0,1000*P382/J382,"")</f>
        <v/>
      </c>
      <c r="U381" s="337" t="str">
        <f t="shared" ref="U381:U403" si="89">IF(N382&gt;0,1000*P382/J382,"")</f>
        <v/>
      </c>
      <c r="V381" s="337"/>
      <c r="Y381" s="1" t="s">
        <v>3340</v>
      </c>
      <c r="Z381" s="1">
        <v>20</v>
      </c>
      <c r="AA381" s="749" t="s">
        <v>2387</v>
      </c>
      <c r="AG381" s="5" t="str">
        <f t="shared" si="85"/>
        <v/>
      </c>
      <c r="AH381" s="5" t="str">
        <f>IF(AG381="","",VLOOKUP($Y381,Nutrition_tables!$A:$N,10,FALSE))</f>
        <v/>
      </c>
      <c r="AI381" s="5" t="str">
        <f t="shared" si="84"/>
        <v/>
      </c>
      <c r="AL381" s="379"/>
    </row>
    <row r="382" spans="1:42">
      <c r="B382" s="1" t="s">
        <v>1162</v>
      </c>
      <c r="C382" s="1" t="s">
        <v>3216</v>
      </c>
      <c r="E382" s="379" t="str">
        <f>_xlfn.IFNA(VLOOKUP($H382,Ingredient_prices!$B:$C,2,FALSE),"")</f>
        <v/>
      </c>
      <c r="T382" s="337" t="str">
        <f t="shared" si="88"/>
        <v/>
      </c>
      <c r="U382" s="337" t="str">
        <f t="shared" si="89"/>
        <v/>
      </c>
      <c r="V382" s="337"/>
      <c r="Y382" s="8" t="s">
        <v>3341</v>
      </c>
      <c r="Z382" s="1">
        <v>20</v>
      </c>
      <c r="AA382" s="749" t="s">
        <v>2387</v>
      </c>
      <c r="AG382" s="5">
        <f t="shared" si="85"/>
        <v>96</v>
      </c>
      <c r="AH382" s="5">
        <f>IF(AG382="","",VLOOKUP($Y382,Nutrition_tables!$A:$N,10,FALSE))</f>
        <v>90</v>
      </c>
      <c r="AI382" s="5">
        <f t="shared" si="84"/>
        <v>0.10666666666666667</v>
      </c>
    </row>
    <row r="383" spans="1:42">
      <c r="B383" s="1" t="s">
        <v>1161</v>
      </c>
      <c r="C383" s="1" t="s">
        <v>3216</v>
      </c>
      <c r="E383" s="379" t="str">
        <f>_xlfn.IFNA(VLOOKUP($H383,Ingredient_prices!$B:$C,2,FALSE),"")</f>
        <v/>
      </c>
      <c r="T383" s="337" t="str">
        <f t="shared" si="88"/>
        <v/>
      </c>
      <c r="U383" s="337" t="str">
        <f t="shared" si="89"/>
        <v/>
      </c>
      <c r="V383" s="337"/>
      <c r="Y383" s="1" t="s">
        <v>3357</v>
      </c>
      <c r="Z383" s="1">
        <v>20</v>
      </c>
      <c r="AA383" s="749" t="s">
        <v>2387</v>
      </c>
      <c r="AG383" s="5">
        <f t="shared" si="85"/>
        <v>824.76</v>
      </c>
      <c r="AH383" s="5">
        <f>IF(AG383="","",VLOOKUP($Y383,Nutrition_tables!$A:$N,10,FALSE))</f>
        <v>340</v>
      </c>
      <c r="AI383" s="5">
        <f t="shared" si="84"/>
        <v>0.24257647058823528</v>
      </c>
    </row>
    <row r="384" spans="1:42">
      <c r="B384" s="1" t="s">
        <v>1160</v>
      </c>
      <c r="C384" s="1" t="s">
        <v>3216</v>
      </c>
      <c r="E384" s="379" t="str">
        <f>_xlfn.IFNA(VLOOKUP($H384,Ingredient_prices!$B:$C,2,FALSE),"")</f>
        <v/>
      </c>
      <c r="T384" s="337" t="str">
        <f t="shared" si="88"/>
        <v/>
      </c>
      <c r="U384" s="337" t="str">
        <f t="shared" si="89"/>
        <v/>
      </c>
      <c r="V384" s="337"/>
      <c r="Y384" s="1272" t="s">
        <v>3358</v>
      </c>
      <c r="Z384" s="1">
        <v>20</v>
      </c>
      <c r="AA384" s="749" t="s">
        <v>2387</v>
      </c>
      <c r="AG384" s="5" t="str">
        <f t="shared" si="85"/>
        <v/>
      </c>
      <c r="AH384" s="5" t="str">
        <f>IF(AG384="","",VLOOKUP($Y384,Nutrition_tables!$A:$N,10,FALSE))</f>
        <v/>
      </c>
      <c r="AI384" s="5" t="str">
        <f t="shared" si="84"/>
        <v/>
      </c>
    </row>
    <row r="385" spans="1:42">
      <c r="B385" s="1" t="s">
        <v>974</v>
      </c>
      <c r="C385" s="1" t="s">
        <v>3216</v>
      </c>
      <c r="E385" s="379" t="str">
        <f>_xlfn.IFNA(VLOOKUP($H385,Ingredient_prices!$B:$C,2,FALSE),"")</f>
        <v/>
      </c>
      <c r="T385" s="337" t="str">
        <f t="shared" si="88"/>
        <v/>
      </c>
      <c r="U385" s="337" t="str">
        <f t="shared" si="89"/>
        <v/>
      </c>
      <c r="V385" s="337"/>
      <c r="Y385" s="1272" t="s">
        <v>3485</v>
      </c>
      <c r="Z385" s="1">
        <v>20</v>
      </c>
      <c r="AA385" s="749" t="s">
        <v>2387</v>
      </c>
      <c r="AB385" s="379"/>
      <c r="AC385" s="379"/>
      <c r="AD385" s="379"/>
      <c r="AG385" s="5" t="str">
        <f t="shared" si="85"/>
        <v/>
      </c>
      <c r="AH385" s="5" t="str">
        <f>IF(AG385="","",VLOOKUP($Y385,Nutrition_tables!$A:$N,10,FALSE))</f>
        <v/>
      </c>
      <c r="AI385" s="5" t="str">
        <f t="shared" si="84"/>
        <v/>
      </c>
    </row>
    <row r="386" spans="1:42">
      <c r="B386" s="1" t="s">
        <v>1399</v>
      </c>
      <c r="C386" s="1" t="s">
        <v>3219</v>
      </c>
      <c r="E386" s="379" t="str">
        <f>_xlfn.IFNA(VLOOKUP($H386,Ingredient_prices!$B:$C,2,FALSE),"")</f>
        <v/>
      </c>
      <c r="T386" s="337" t="str">
        <f t="shared" si="88"/>
        <v/>
      </c>
      <c r="U386" s="337" t="str">
        <f t="shared" si="89"/>
        <v/>
      </c>
      <c r="V386" s="337"/>
      <c r="Y386" s="1" t="s">
        <v>3359</v>
      </c>
      <c r="Z386" s="1207">
        <v>10</v>
      </c>
      <c r="AA386" s="749" t="s">
        <v>2387</v>
      </c>
      <c r="AB386" s="1" t="s">
        <v>1205</v>
      </c>
      <c r="AD386" s="1205">
        <v>10</v>
      </c>
      <c r="AG386" s="5">
        <f t="shared" si="85"/>
        <v>67.540000000000006</v>
      </c>
      <c r="AH386" s="5">
        <f>IF(AG386="","",VLOOKUP($Y386,Nutrition_tables!$A:$N,10,FALSE))</f>
        <v>409.89503149055281</v>
      </c>
      <c r="AI386" s="5">
        <f t="shared" si="84"/>
        <v>1.6477389285348452E-2</v>
      </c>
      <c r="AK386" s="379"/>
    </row>
    <row r="387" spans="1:42">
      <c r="B387" s="1" t="s">
        <v>2006</v>
      </c>
      <c r="C387" s="1" t="s">
        <v>3225</v>
      </c>
      <c r="E387" s="379" t="str">
        <f>_xlfn.IFNA(VLOOKUP($H387,Ingredient_prices!$B:$C,2,FALSE),"")</f>
        <v/>
      </c>
      <c r="T387" s="337" t="str">
        <f t="shared" si="88"/>
        <v/>
      </c>
      <c r="U387" s="337" t="str">
        <f t="shared" si="89"/>
        <v/>
      </c>
      <c r="V387" s="337"/>
      <c r="Y387" s="1" t="s">
        <v>3360</v>
      </c>
      <c r="Z387" s="1207">
        <v>10</v>
      </c>
      <c r="AA387" s="749" t="s">
        <v>2387</v>
      </c>
      <c r="AB387" s="1" t="s">
        <v>688</v>
      </c>
      <c r="AD387" s="1205">
        <v>10</v>
      </c>
      <c r="AG387" s="5">
        <f t="shared" si="85"/>
        <v>110</v>
      </c>
      <c r="AH387" s="5">
        <f>IF(AG387="","",VLOOKUP($Y387,Nutrition_tables!$A:$N,10,FALSE))</f>
        <v>405</v>
      </c>
      <c r="AI387" s="5">
        <f t="shared" si="84"/>
        <v>2.7160493827160494E-2</v>
      </c>
    </row>
    <row r="388" spans="1:42">
      <c r="B388" s="1" t="s">
        <v>975</v>
      </c>
      <c r="C388" s="1" t="s">
        <v>3217</v>
      </c>
      <c r="E388" s="379" t="str">
        <f>_xlfn.IFNA(VLOOKUP($H388,Ingredient_prices!$B:$C,2,FALSE),"")</f>
        <v/>
      </c>
      <c r="T388" s="337" t="str">
        <f t="shared" si="88"/>
        <v/>
      </c>
      <c r="U388" s="337" t="str">
        <f t="shared" si="89"/>
        <v/>
      </c>
      <c r="V388" s="337"/>
      <c r="Y388" s="1" t="s">
        <v>3475</v>
      </c>
      <c r="Z388" s="1">
        <v>20</v>
      </c>
      <c r="AA388" s="749" t="s">
        <v>2387</v>
      </c>
      <c r="AG388" s="5" t="str">
        <f t="shared" si="85"/>
        <v/>
      </c>
      <c r="AH388" s="5" t="str">
        <f>IF(AG388="","",VLOOKUP($Y388,Nutrition_tables!$A:$N,10,FALSE))</f>
        <v/>
      </c>
      <c r="AI388" s="5" t="str">
        <f t="shared" si="84"/>
        <v/>
      </c>
    </row>
    <row r="389" spans="1:42">
      <c r="B389" s="749" t="s">
        <v>2329</v>
      </c>
      <c r="C389" s="749" t="s">
        <v>3230</v>
      </c>
      <c r="E389" s="379" t="str">
        <f>_xlfn.IFNA(VLOOKUP($H389,Ingredient_prices!$B:$C,2,FALSE),"")</f>
        <v/>
      </c>
      <c r="T389" s="337" t="str">
        <f t="shared" si="88"/>
        <v/>
      </c>
      <c r="U389" s="337" t="str">
        <f t="shared" si="89"/>
        <v/>
      </c>
      <c r="V389" s="337"/>
      <c r="Y389" s="1" t="s">
        <v>3362</v>
      </c>
      <c r="Z389" s="1">
        <v>20</v>
      </c>
      <c r="AA389" s="749" t="s">
        <v>2387</v>
      </c>
      <c r="AG389" s="5">
        <f t="shared" si="85"/>
        <v>187.2</v>
      </c>
      <c r="AH389" s="5">
        <f>IF(AG389="","",VLOOKUP($Y389,Nutrition_tables!$A:$N,10,FALSE))</f>
        <v>400</v>
      </c>
      <c r="AI389" s="5">
        <f t="shared" si="84"/>
        <v>4.6799999999999994E-2</v>
      </c>
    </row>
    <row r="390" spans="1:42">
      <c r="B390" s="1" t="s">
        <v>976</v>
      </c>
      <c r="C390" s="1" t="s">
        <v>3229</v>
      </c>
      <c r="E390" s="379" t="str">
        <f>_xlfn.IFNA(VLOOKUP($H390,Ingredient_prices!$B:$C,2,FALSE),"")</f>
        <v/>
      </c>
      <c r="T390" s="337" t="str">
        <f t="shared" si="88"/>
        <v/>
      </c>
      <c r="U390" s="337" t="str">
        <f t="shared" si="89"/>
        <v/>
      </c>
      <c r="V390" s="337"/>
      <c r="Y390" s="1" t="s">
        <v>3363</v>
      </c>
      <c r="Z390" s="1">
        <v>20</v>
      </c>
      <c r="AA390" s="749" t="s">
        <v>2387</v>
      </c>
      <c r="AG390" s="5">
        <f t="shared" si="85"/>
        <v>387.2</v>
      </c>
      <c r="AH390" s="5">
        <f>IF(AG390="","",VLOOKUP($Y390,Nutrition_tables!$A:$N,10,FALSE))</f>
        <v>190</v>
      </c>
      <c r="AI390" s="5">
        <f t="shared" si="84"/>
        <v>0.20378947368421052</v>
      </c>
    </row>
    <row r="391" spans="1:42">
      <c r="B391" s="749" t="s">
        <v>2357</v>
      </c>
      <c r="C391" s="1" t="s">
        <v>3234</v>
      </c>
      <c r="E391" s="379" t="str">
        <f>_xlfn.IFNA(VLOOKUP($H391,Ingredient_prices!$B:$C,2,FALSE),"")</f>
        <v/>
      </c>
      <c r="T391" s="337" t="str">
        <f t="shared" si="88"/>
        <v/>
      </c>
      <c r="U391" s="337" t="str">
        <f t="shared" si="89"/>
        <v/>
      </c>
      <c r="V391" s="337"/>
      <c r="Y391" s="1" t="s">
        <v>3364</v>
      </c>
      <c r="Z391" s="1">
        <v>20</v>
      </c>
      <c r="AA391" s="749" t="s">
        <v>2387</v>
      </c>
      <c r="AG391" s="5">
        <f t="shared" si="85"/>
        <v>352</v>
      </c>
      <c r="AH391" s="5">
        <f>IF(AG391="","",VLOOKUP($Y391,Nutrition_tables!$A:$N,10,FALSE))</f>
        <v>190</v>
      </c>
      <c r="AI391" s="5">
        <f t="shared" si="84"/>
        <v>0.18526315789473685</v>
      </c>
    </row>
    <row r="392" spans="1:42">
      <c r="B392" s="1" t="s">
        <v>1397</v>
      </c>
      <c r="C392" s="749" t="s">
        <v>3230</v>
      </c>
      <c r="E392" s="379" t="str">
        <f>_xlfn.IFNA(VLOOKUP($H392,Ingredient_prices!$B:$C,2,FALSE),"")</f>
        <v/>
      </c>
      <c r="T392" s="337" t="str">
        <f t="shared" si="88"/>
        <v/>
      </c>
      <c r="U392" s="337" t="str">
        <f t="shared" si="89"/>
        <v/>
      </c>
      <c r="V392" s="337"/>
      <c r="Y392" s="24" t="s">
        <v>3488</v>
      </c>
      <c r="Z392" s="24">
        <v>20</v>
      </c>
      <c r="AA392" s="492" t="s">
        <v>2387</v>
      </c>
      <c r="AG392" s="5" t="str">
        <f t="shared" si="85"/>
        <v/>
      </c>
      <c r="AH392" s="5" t="str">
        <f>IF(AG392="","",VLOOKUP($Y392,Nutrition_tables!$A:$N,10,FALSE))</f>
        <v/>
      </c>
      <c r="AI392" s="5" t="str">
        <f t="shared" si="84"/>
        <v/>
      </c>
      <c r="AK392" s="749"/>
    </row>
    <row r="393" spans="1:42">
      <c r="B393" s="1" t="s">
        <v>2108</v>
      </c>
      <c r="C393" s="1" t="s">
        <v>3232</v>
      </c>
      <c r="D393" s="334"/>
      <c r="E393" s="379" t="str">
        <f>_xlfn.IFNA(VLOOKUP($H393,Ingredient_prices!$B:$C,2,FALSE),"")</f>
        <v/>
      </c>
      <c r="T393" s="337" t="str">
        <f t="shared" si="88"/>
        <v/>
      </c>
      <c r="U393" s="337" t="str">
        <f t="shared" si="89"/>
        <v/>
      </c>
      <c r="V393" s="337"/>
      <c r="Y393" s="1" t="s">
        <v>146</v>
      </c>
      <c r="Z393" s="1">
        <v>10</v>
      </c>
      <c r="AA393" s="494" t="s">
        <v>2388</v>
      </c>
      <c r="AG393" s="5" t="str">
        <f t="shared" si="85"/>
        <v/>
      </c>
      <c r="AH393" s="5" t="str">
        <f>IF(AG393="","",VLOOKUP($Y393,Nutrition_tables!$A:$N,10,FALSE))</f>
        <v/>
      </c>
      <c r="AI393" s="5" t="str">
        <f t="shared" si="84"/>
        <v/>
      </c>
    </row>
    <row r="394" spans="1:42">
      <c r="B394" s="82" t="s">
        <v>2411</v>
      </c>
      <c r="C394" s="1" t="s">
        <v>3232</v>
      </c>
      <c r="E394" s="379" t="str">
        <f>_xlfn.IFNA(VLOOKUP($H394,Ingredient_prices!$B:$C,2,FALSE),"")</f>
        <v/>
      </c>
      <c r="T394" s="337" t="str">
        <f t="shared" si="88"/>
        <v/>
      </c>
      <c r="U394" s="337" t="str">
        <f t="shared" si="89"/>
        <v/>
      </c>
      <c r="V394" s="337"/>
      <c r="Y394" s="749" t="s">
        <v>3367</v>
      </c>
      <c r="Z394" s="1">
        <v>20</v>
      </c>
      <c r="AA394" s="749" t="s">
        <v>2388</v>
      </c>
      <c r="AG394" s="5" t="str">
        <f t="shared" si="85"/>
        <v/>
      </c>
      <c r="AH394" s="5" t="str">
        <f>IF(AG394="","",VLOOKUP($Y394,Nutrition_tables!$A:$N,10,FALSE))</f>
        <v/>
      </c>
      <c r="AI394" s="5" t="str">
        <f t="shared" si="84"/>
        <v/>
      </c>
      <c r="AM394" s="52"/>
      <c r="AN394" s="52"/>
      <c r="AO394" s="52"/>
      <c r="AP394" s="52"/>
    </row>
    <row r="395" spans="1:42" s="52" customFormat="1">
      <c r="A395" s="330"/>
      <c r="B395" s="1" t="s">
        <v>2142</v>
      </c>
      <c r="C395" s="1" t="s">
        <v>3232</v>
      </c>
      <c r="D395" s="330"/>
      <c r="E395" s="379" t="str">
        <f>_xlfn.IFNA(VLOOKUP($H395,Ingredient_prices!$B:$C,2,FALSE),"")</f>
        <v/>
      </c>
      <c r="F395" s="1197"/>
      <c r="G395" s="82"/>
      <c r="H395" s="82"/>
      <c r="I395"/>
      <c r="J395"/>
      <c r="K395" s="82"/>
      <c r="L395" s="82"/>
      <c r="M395" s="1202"/>
      <c r="N395" s="247"/>
      <c r="O395" s="1139"/>
      <c r="P395"/>
      <c r="Q395"/>
      <c r="R395"/>
      <c r="S395" s="1202"/>
      <c r="T395" s="337" t="str">
        <f t="shared" si="88"/>
        <v/>
      </c>
      <c r="U395" s="337" t="str">
        <f t="shared" si="89"/>
        <v/>
      </c>
      <c r="V395" s="337"/>
      <c r="W395" s="330"/>
      <c r="X395" s="99"/>
      <c r="Y395" s="1" t="s">
        <v>3365</v>
      </c>
      <c r="Z395" s="1139">
        <v>10</v>
      </c>
      <c r="AA395" s="749" t="s">
        <v>2388</v>
      </c>
      <c r="AB395" s="679" t="s">
        <v>148</v>
      </c>
      <c r="AC395" s="748" t="s">
        <v>2272</v>
      </c>
      <c r="AD395" s="1205">
        <v>10</v>
      </c>
      <c r="AE395" s="749"/>
      <c r="AF395" s="749"/>
      <c r="AG395" s="5">
        <f t="shared" si="85"/>
        <v>70.400000000000006</v>
      </c>
      <c r="AH395" s="5">
        <f>IF(AG395="","",VLOOKUP($Y395,Nutrition_tables!$A:$N,10,FALSE))</f>
        <v>262.89999999999998</v>
      </c>
      <c r="AI395" s="5">
        <f t="shared" ref="AI395:AI458" si="90">IF(AG395="","",AG395/(AH395*10))</f>
        <v>2.677824267782427E-2</v>
      </c>
      <c r="AJ395" s="749"/>
      <c r="AK395"/>
      <c r="AL395"/>
      <c r="AM395"/>
      <c r="AN395"/>
      <c r="AO395"/>
      <c r="AP395"/>
    </row>
    <row r="396" spans="1:42">
      <c r="B396" s="1" t="s">
        <v>1654</v>
      </c>
      <c r="C396" s="1" t="s">
        <v>3232</v>
      </c>
      <c r="E396" s="379" t="str">
        <f>_xlfn.IFNA(VLOOKUP($H396,Ingredient_prices!$B:$C,2,FALSE),"")</f>
        <v/>
      </c>
      <c r="T396" s="337" t="str">
        <f t="shared" si="88"/>
        <v/>
      </c>
      <c r="U396" s="337" t="str">
        <f t="shared" si="89"/>
        <v/>
      </c>
      <c r="V396" s="337"/>
      <c r="Y396" s="1" t="s">
        <v>3368</v>
      </c>
      <c r="Z396" s="1">
        <v>10</v>
      </c>
      <c r="AA396" s="749" t="s">
        <v>2388</v>
      </c>
      <c r="AG396" s="5">
        <f t="shared" si="85"/>
        <v>77</v>
      </c>
      <c r="AH396" s="5">
        <f>IF(AG396="","",VLOOKUP($Y396,Nutrition_tables!$A:$N,10,FALSE))</f>
        <v>198</v>
      </c>
      <c r="AI396" s="5">
        <f t="shared" si="90"/>
        <v>3.888888888888889E-2</v>
      </c>
    </row>
    <row r="397" spans="1:42">
      <c r="B397" s="1" t="s">
        <v>1398</v>
      </c>
      <c r="C397" s="749" t="s">
        <v>3231</v>
      </c>
      <c r="E397" s="379" t="str">
        <f>_xlfn.IFNA(VLOOKUP($H397,Ingredient_prices!$B:$C,2,FALSE),"")</f>
        <v/>
      </c>
      <c r="F397" s="1200"/>
      <c r="G397" s="701"/>
      <c r="H397" s="701"/>
      <c r="I397" s="52"/>
      <c r="J397" s="52"/>
      <c r="K397" s="701"/>
      <c r="L397" s="701"/>
      <c r="M397" s="1203"/>
      <c r="N397" s="264"/>
      <c r="O397" s="1204"/>
      <c r="S397" s="1203"/>
      <c r="T397" s="337" t="str">
        <f t="shared" si="88"/>
        <v/>
      </c>
      <c r="U397" s="337" t="str">
        <f t="shared" si="89"/>
        <v/>
      </c>
      <c r="V397" s="337"/>
      <c r="Y397" s="1" t="s">
        <v>3366</v>
      </c>
      <c r="Z397" s="1139">
        <v>10</v>
      </c>
      <c r="AA397" s="749" t="s">
        <v>2388</v>
      </c>
      <c r="AB397" s="679" t="s">
        <v>149</v>
      </c>
      <c r="AC397" s="748" t="s">
        <v>1720</v>
      </c>
      <c r="AD397" s="1205">
        <v>10</v>
      </c>
      <c r="AG397" s="5">
        <f t="shared" si="85"/>
        <v>52.425999999999995</v>
      </c>
      <c r="AH397" s="5">
        <f>IF(AG397="","",VLOOKUP($Y397,Nutrition_tables!$A:$N,10,FALSE))</f>
        <v>230.45</v>
      </c>
      <c r="AI397" s="5">
        <f t="shared" si="90"/>
        <v>2.274940334128878E-2</v>
      </c>
    </row>
    <row r="398" spans="1:42">
      <c r="B398" s="1" t="s">
        <v>2344</v>
      </c>
      <c r="C398" s="1" t="s">
        <v>3233</v>
      </c>
      <c r="E398" s="379" t="str">
        <f>_xlfn.IFNA(VLOOKUP($H398,Ingredient_prices!$B:$C,2,FALSE),"")</f>
        <v/>
      </c>
      <c r="P398" s="52"/>
      <c r="Q398" s="52"/>
      <c r="R398" s="52"/>
      <c r="T398" s="337" t="str">
        <f t="shared" si="88"/>
        <v/>
      </c>
      <c r="U398" s="337" t="str">
        <f t="shared" si="89"/>
        <v/>
      </c>
      <c r="V398" s="337"/>
      <c r="Y398" s="749" t="s">
        <v>3369</v>
      </c>
      <c r="Z398" s="1">
        <v>10</v>
      </c>
      <c r="AA398" s="749" t="s">
        <v>2388</v>
      </c>
      <c r="AG398" s="5" t="str">
        <f t="shared" si="85"/>
        <v/>
      </c>
      <c r="AH398" s="5" t="str">
        <f>IF(AG398="","",VLOOKUP($Y398,Nutrition_tables!$A:$N,10,FALSE))</f>
        <v/>
      </c>
      <c r="AI398" s="5" t="str">
        <f t="shared" si="90"/>
        <v/>
      </c>
      <c r="AL398" s="52"/>
    </row>
    <row r="399" spans="1:42">
      <c r="B399" s="1" t="s">
        <v>1156</v>
      </c>
      <c r="C399" s="1" t="s">
        <v>3233</v>
      </c>
      <c r="E399" s="379" t="str">
        <f>_xlfn.IFNA(VLOOKUP($H399,Ingredient_prices!$B:$C,2,FALSE),"")</f>
        <v/>
      </c>
      <c r="T399" s="337" t="str">
        <f t="shared" si="88"/>
        <v/>
      </c>
      <c r="U399" s="337" t="str">
        <f t="shared" si="89"/>
        <v/>
      </c>
      <c r="V399" s="337"/>
      <c r="Y399" s="749" t="s">
        <v>3370</v>
      </c>
      <c r="Z399" s="1139">
        <v>10</v>
      </c>
      <c r="AA399" s="749" t="s">
        <v>2388</v>
      </c>
      <c r="AB399" s="679" t="s">
        <v>2330</v>
      </c>
      <c r="AC399" s="748" t="s">
        <v>2273</v>
      </c>
      <c r="AD399" s="1205">
        <v>10</v>
      </c>
      <c r="AG399" s="5">
        <f t="shared" si="85"/>
        <v>156.56666666666663</v>
      </c>
      <c r="AH399" s="5">
        <f>IF(AG399="","",VLOOKUP($Y399,Nutrition_tables!$A:$N,10,FALSE))</f>
        <v>265</v>
      </c>
      <c r="AI399" s="5">
        <f t="shared" si="90"/>
        <v>5.9081761006289299E-2</v>
      </c>
    </row>
    <row r="400" spans="1:42">
      <c r="B400" s="1" t="s">
        <v>2356</v>
      </c>
      <c r="C400" s="1" t="s">
        <v>3234</v>
      </c>
      <c r="E400" s="379" t="str">
        <f>_xlfn.IFNA(VLOOKUP($H400,Ingredient_prices!$B:$C,2,FALSE),"")</f>
        <v/>
      </c>
      <c r="T400" s="337" t="str">
        <f t="shared" si="88"/>
        <v/>
      </c>
      <c r="U400" s="337" t="str">
        <f t="shared" si="89"/>
        <v/>
      </c>
      <c r="V400" s="337"/>
      <c r="Y400" s="749" t="s">
        <v>3378</v>
      </c>
      <c r="Z400" s="1139">
        <v>10</v>
      </c>
      <c r="AA400" s="749" t="s">
        <v>2388</v>
      </c>
      <c r="AB400" s="679" t="s">
        <v>689</v>
      </c>
      <c r="AC400" s="748" t="s">
        <v>2286</v>
      </c>
      <c r="AD400" s="1205">
        <v>10</v>
      </c>
      <c r="AG400" s="5">
        <f t="shared" si="85"/>
        <v>188.98</v>
      </c>
      <c r="AH400" s="5">
        <f>IF(AG400="","",VLOOKUP($Y400,Nutrition_tables!$A:$N,10,FALSE))</f>
        <v>265</v>
      </c>
      <c r="AI400" s="5">
        <f t="shared" si="90"/>
        <v>7.1313207547169813E-2</v>
      </c>
    </row>
    <row r="401" spans="1:42">
      <c r="B401" s="1" t="s">
        <v>977</v>
      </c>
      <c r="C401" s="1" t="s">
        <v>475</v>
      </c>
      <c r="E401" s="379" t="str">
        <f>_xlfn.IFNA(VLOOKUP($H401,Ingredient_prices!$B:$C,2,FALSE),"")</f>
        <v/>
      </c>
      <c r="G401" s="690"/>
      <c r="T401" s="337" t="str">
        <f t="shared" si="88"/>
        <v/>
      </c>
      <c r="U401" s="337" t="str">
        <f t="shared" si="89"/>
        <v/>
      </c>
      <c r="V401" s="337"/>
      <c r="Y401" s="1" t="s">
        <v>1951</v>
      </c>
      <c r="Z401" s="1">
        <v>10</v>
      </c>
      <c r="AA401" s="749" t="s">
        <v>2388</v>
      </c>
      <c r="AG401" s="5" t="str">
        <f t="shared" si="85"/>
        <v/>
      </c>
      <c r="AH401" s="5" t="str">
        <f>IF(AG401="","",VLOOKUP($Y401,Nutrition_tables!$A:$N,10,FALSE))</f>
        <v/>
      </c>
      <c r="AI401" s="5" t="str">
        <f t="shared" si="90"/>
        <v/>
      </c>
      <c r="AM401" s="379"/>
      <c r="AN401" s="379"/>
      <c r="AO401" s="379"/>
      <c r="AP401" s="379"/>
    </row>
    <row r="402" spans="1:42" s="379" customFormat="1">
      <c r="A402" s="330"/>
      <c r="B402" s="749" t="s">
        <v>2242</v>
      </c>
      <c r="C402" s="749" t="s">
        <v>3230</v>
      </c>
      <c r="D402" s="330"/>
      <c r="E402" s="379" t="str">
        <f>_xlfn.IFNA(VLOOKUP($H402,Ingredient_prices!$B:$C,2,FALSE),"")</f>
        <v/>
      </c>
      <c r="F402" s="1197"/>
      <c r="G402" s="82"/>
      <c r="H402" s="82"/>
      <c r="I402"/>
      <c r="J402"/>
      <c r="K402" s="82"/>
      <c r="L402" s="82"/>
      <c r="M402" s="1202"/>
      <c r="N402" s="247"/>
      <c r="O402" s="1139"/>
      <c r="P402"/>
      <c r="Q402"/>
      <c r="R402"/>
      <c r="S402" s="1202"/>
      <c r="T402" s="337" t="str">
        <f t="shared" si="88"/>
        <v/>
      </c>
      <c r="U402" s="337" t="str">
        <f t="shared" si="89"/>
        <v/>
      </c>
      <c r="V402" s="337"/>
      <c r="W402" s="330"/>
      <c r="X402" s="99"/>
      <c r="Y402" s="490" t="s">
        <v>3493</v>
      </c>
      <c r="Z402" s="1139">
        <v>10</v>
      </c>
      <c r="AA402" s="749" t="s">
        <v>2388</v>
      </c>
      <c r="AB402" s="679" t="s">
        <v>2337</v>
      </c>
      <c r="AC402" s="748" t="s">
        <v>2282</v>
      </c>
      <c r="AD402" s="1205">
        <v>10</v>
      </c>
      <c r="AE402" s="749"/>
      <c r="AF402" s="749"/>
      <c r="AG402" s="5">
        <f t="shared" si="85"/>
        <v>130.03157894736844</v>
      </c>
      <c r="AH402" s="5" t="e">
        <f>IF(AG402="","",VLOOKUP($Y402,Nutrition_tables!$A:$N,10,FALSE))</f>
        <v>#N/A</v>
      </c>
      <c r="AI402" s="5" t="e">
        <f t="shared" si="90"/>
        <v>#N/A</v>
      </c>
      <c r="AJ402" s="749"/>
      <c r="AK402"/>
      <c r="AL402"/>
      <c r="AM402"/>
      <c r="AN402"/>
      <c r="AO402"/>
      <c r="AP402"/>
    </row>
    <row r="403" spans="1:42">
      <c r="B403" s="82" t="s">
        <v>2863</v>
      </c>
      <c r="C403" s="749" t="s">
        <v>3230</v>
      </c>
      <c r="E403" s="379" t="str">
        <f>_xlfn.IFNA(VLOOKUP($H403,Ingredient_prices!$B:$C,2,FALSE),"")</f>
        <v/>
      </c>
      <c r="T403" s="337" t="str">
        <f t="shared" si="88"/>
        <v/>
      </c>
      <c r="U403" s="337" t="str">
        <f t="shared" si="89"/>
        <v/>
      </c>
      <c r="V403" s="337"/>
      <c r="Y403" s="749" t="s">
        <v>3371</v>
      </c>
      <c r="Z403" s="1">
        <v>10</v>
      </c>
      <c r="AA403" s="749" t="s">
        <v>2388</v>
      </c>
      <c r="AG403" s="5" t="str">
        <f t="shared" si="85"/>
        <v/>
      </c>
      <c r="AH403" s="5" t="str">
        <f>IF(AG403="","",VLOOKUP($Y403,Nutrition_tables!$A:$N,10,FALSE))</f>
        <v/>
      </c>
      <c r="AI403" s="5" t="str">
        <f t="shared" si="90"/>
        <v/>
      </c>
    </row>
    <row r="404" spans="1:42">
      <c r="B404" s="82" t="s">
        <v>2457</v>
      </c>
      <c r="C404" s="1" t="s">
        <v>3232</v>
      </c>
      <c r="E404" s="379" t="str">
        <f>_xlfn.IFNA(VLOOKUP($H404,Ingredient_prices!$B:$C,2,FALSE),"")</f>
        <v/>
      </c>
      <c r="T404" s="337"/>
      <c r="U404" s="337"/>
      <c r="V404" s="337"/>
      <c r="Y404" s="749" t="s">
        <v>3372</v>
      </c>
      <c r="Z404" s="1139">
        <v>10</v>
      </c>
      <c r="AA404" s="749" t="s">
        <v>2388</v>
      </c>
      <c r="AB404" s="679" t="s">
        <v>241</v>
      </c>
      <c r="AC404" s="748" t="s">
        <v>2274</v>
      </c>
      <c r="AD404" s="1205">
        <v>10</v>
      </c>
      <c r="AG404" s="5">
        <f t="shared" si="85"/>
        <v>150.79166666666666</v>
      </c>
      <c r="AH404" s="5">
        <f>IF(AG404="","",VLOOKUP($Y404,Nutrition_tables!$A:$N,10,FALSE))</f>
        <v>410</v>
      </c>
      <c r="AI404" s="5">
        <f t="shared" si="90"/>
        <v>3.6778455284552841E-2</v>
      </c>
      <c r="AK404" s="52"/>
    </row>
    <row r="405" spans="1:42">
      <c r="B405" s="1" t="s">
        <v>1493</v>
      </c>
      <c r="C405" s="1" t="s">
        <v>3232</v>
      </c>
      <c r="E405" s="379"/>
      <c r="I405" s="379"/>
      <c r="J405" s="379"/>
      <c r="P405" s="379"/>
      <c r="Q405" s="379"/>
      <c r="R405" s="379"/>
      <c r="T405" s="337">
        <v>200</v>
      </c>
      <c r="U405" s="337">
        <v>200</v>
      </c>
      <c r="V405" s="337"/>
      <c r="W405" s="334"/>
      <c r="Y405" s="1" t="s">
        <v>3373</v>
      </c>
      <c r="Z405" s="1">
        <v>10</v>
      </c>
      <c r="AA405" s="749" t="s">
        <v>2388</v>
      </c>
      <c r="AG405" s="5" t="str">
        <f t="shared" si="85"/>
        <v/>
      </c>
      <c r="AH405" s="5" t="str">
        <f>IF(AG405="","",VLOOKUP($Y405,Nutrition_tables!$A:$N,10,FALSE))</f>
        <v/>
      </c>
      <c r="AI405" s="5" t="str">
        <f t="shared" si="90"/>
        <v/>
      </c>
      <c r="AL405" s="379"/>
    </row>
    <row r="406" spans="1:42">
      <c r="B406" s="749" t="s">
        <v>2227</v>
      </c>
      <c r="C406" s="1" t="s">
        <v>3460</v>
      </c>
      <c r="E406" s="379" t="str">
        <f>_xlfn.IFNA(VLOOKUP($H406,Ingredient_prices!$B:$C,2,FALSE),"")</f>
        <v/>
      </c>
      <c r="T406" s="337" t="str">
        <f t="shared" ref="T406:T419" si="91">IF(N407&gt;0,1000*P407/J407,"")</f>
        <v/>
      </c>
      <c r="U406" s="337" t="str">
        <f t="shared" ref="U406:U419" si="92">IF(N407&gt;0,1000*P407/J407,"")</f>
        <v/>
      </c>
      <c r="V406" s="337"/>
      <c r="Y406" s="1" t="s">
        <v>2256</v>
      </c>
      <c r="Z406" s="1">
        <v>10</v>
      </c>
      <c r="AA406" s="749" t="s">
        <v>2388</v>
      </c>
      <c r="AG406" s="5" t="str">
        <f t="shared" si="85"/>
        <v/>
      </c>
      <c r="AH406" s="5" t="str">
        <f>IF(AG406="","",VLOOKUP($Y406,Nutrition_tables!$A:$N,10,FALSE))</f>
        <v/>
      </c>
      <c r="AI406" s="5" t="str">
        <f t="shared" si="90"/>
        <v/>
      </c>
    </row>
    <row r="407" spans="1:42">
      <c r="B407" s="749" t="s">
        <v>2266</v>
      </c>
      <c r="C407" s="1" t="s">
        <v>3460</v>
      </c>
      <c r="E407" s="379" t="str">
        <f>_xlfn.IFNA(VLOOKUP($H407,Ingredient_prices!$B:$C,2,FALSE),"")</f>
        <v/>
      </c>
      <c r="T407" s="337" t="str">
        <f t="shared" si="91"/>
        <v/>
      </c>
      <c r="U407" s="337" t="str">
        <f t="shared" si="92"/>
        <v/>
      </c>
      <c r="V407" s="337"/>
      <c r="Y407" s="1" t="s">
        <v>1928</v>
      </c>
      <c r="Z407" s="1">
        <v>10</v>
      </c>
      <c r="AA407" s="749" t="s">
        <v>2388</v>
      </c>
      <c r="AG407" s="5" t="str">
        <f t="shared" si="85"/>
        <v/>
      </c>
      <c r="AH407" s="5" t="str">
        <f>IF(AG407="","",VLOOKUP($Y407,Nutrition_tables!$A:$N,10,FALSE))</f>
        <v/>
      </c>
      <c r="AI407" s="5" t="str">
        <f t="shared" si="90"/>
        <v/>
      </c>
    </row>
    <row r="408" spans="1:42">
      <c r="B408" s="1" t="s">
        <v>1174</v>
      </c>
      <c r="C408" s="1" t="s">
        <v>3460</v>
      </c>
      <c r="E408" s="379" t="str">
        <f>_xlfn.IFNA(VLOOKUP($H408,Ingredient_prices!$B:$C,2,FALSE),"")</f>
        <v/>
      </c>
      <c r="T408" s="337" t="str">
        <f t="shared" si="91"/>
        <v/>
      </c>
      <c r="U408" s="337" t="str">
        <f t="shared" si="92"/>
        <v/>
      </c>
      <c r="V408" s="337"/>
      <c r="Y408" s="1" t="s">
        <v>3375</v>
      </c>
      <c r="Z408" s="1">
        <v>10</v>
      </c>
      <c r="AA408" s="749" t="s">
        <v>2388</v>
      </c>
      <c r="AG408" s="5" t="str">
        <f t="shared" si="85"/>
        <v/>
      </c>
      <c r="AH408" s="5" t="str">
        <f>IF(AG408="","",VLOOKUP($Y408,Nutrition_tables!$A:$N,10,FALSE))</f>
        <v/>
      </c>
      <c r="AI408" s="5" t="str">
        <f t="shared" si="90"/>
        <v/>
      </c>
    </row>
    <row r="409" spans="1:42">
      <c r="B409" s="1" t="s">
        <v>1173</v>
      </c>
      <c r="C409" s="1" t="s">
        <v>3460</v>
      </c>
      <c r="E409" s="379" t="str">
        <f>_xlfn.IFNA(VLOOKUP($H409,Ingredient_prices!$B:$C,2,FALSE),"")</f>
        <v/>
      </c>
      <c r="T409" s="337" t="str">
        <f t="shared" si="91"/>
        <v/>
      </c>
      <c r="U409" s="337" t="str">
        <f t="shared" si="92"/>
        <v/>
      </c>
      <c r="V409" s="337"/>
      <c r="Y409" s="749" t="s">
        <v>3509</v>
      </c>
      <c r="Z409" s="1">
        <v>10</v>
      </c>
      <c r="AA409" s="749" t="s">
        <v>2388</v>
      </c>
      <c r="AB409" s="379"/>
      <c r="AC409" s="379"/>
      <c r="AD409" s="379"/>
      <c r="AG409" s="5" t="str">
        <f t="shared" si="85"/>
        <v/>
      </c>
      <c r="AH409" s="5" t="str">
        <f>IF(AG409="","",VLOOKUP($Y409,Nutrition_tables!$A:$N,10,FALSE))</f>
        <v/>
      </c>
      <c r="AI409" s="5" t="str">
        <f t="shared" si="90"/>
        <v/>
      </c>
    </row>
    <row r="410" spans="1:42">
      <c r="B410" s="1" t="s">
        <v>1172</v>
      </c>
      <c r="C410" s="1" t="s">
        <v>3460</v>
      </c>
      <c r="E410" s="379" t="str">
        <f>_xlfn.IFNA(VLOOKUP($H410,Ingredient_prices!$B:$C,2,FALSE),"")</f>
        <v/>
      </c>
      <c r="T410" s="337" t="str">
        <f t="shared" si="91"/>
        <v/>
      </c>
      <c r="U410" s="337" t="str">
        <f t="shared" si="92"/>
        <v/>
      </c>
      <c r="V410" s="337"/>
      <c r="Y410" s="1" t="s">
        <v>1933</v>
      </c>
      <c r="Z410" s="1">
        <v>10</v>
      </c>
      <c r="AA410" s="749" t="s">
        <v>2388</v>
      </c>
      <c r="AG410" s="5" t="str">
        <f t="shared" si="85"/>
        <v/>
      </c>
      <c r="AH410" s="5" t="str">
        <f>IF(AG410="","",VLOOKUP($Y410,Nutrition_tables!$A:$N,10,FALSE))</f>
        <v/>
      </c>
      <c r="AI410" s="5" t="str">
        <f t="shared" si="90"/>
        <v/>
      </c>
    </row>
    <row r="411" spans="1:42">
      <c r="B411" s="1" t="s">
        <v>839</v>
      </c>
      <c r="C411" s="1" t="s">
        <v>3460</v>
      </c>
      <c r="E411" s="379" t="str">
        <f>_xlfn.IFNA(VLOOKUP($H411,Ingredient_prices!$B:$C,2,FALSE),"")</f>
        <v/>
      </c>
      <c r="T411" s="337" t="str">
        <f t="shared" si="91"/>
        <v/>
      </c>
      <c r="U411" s="337" t="str">
        <f t="shared" si="92"/>
        <v/>
      </c>
      <c r="V411" s="337"/>
      <c r="Y411" s="749" t="s">
        <v>3509</v>
      </c>
      <c r="Z411" s="1">
        <v>10</v>
      </c>
      <c r="AA411" s="749" t="s">
        <v>2388</v>
      </c>
      <c r="AG411" s="5" t="str">
        <f t="shared" si="85"/>
        <v/>
      </c>
      <c r="AH411" s="5" t="str">
        <f>IF(AG411="","",VLOOKUP($Y411,Nutrition_tables!$A:$N,10,FALSE))</f>
        <v/>
      </c>
      <c r="AI411" s="5" t="str">
        <f t="shared" si="90"/>
        <v/>
      </c>
      <c r="AK411" s="379"/>
    </row>
    <row r="412" spans="1:42">
      <c r="B412" s="1" t="s">
        <v>2611</v>
      </c>
      <c r="C412" s="1" t="s">
        <v>3218</v>
      </c>
      <c r="E412" s="379" t="str">
        <f>_xlfn.IFNA(VLOOKUP($H412,Ingredient_prices!$B:$C,2,FALSE),"")</f>
        <v/>
      </c>
      <c r="T412" s="337" t="str">
        <f t="shared" si="91"/>
        <v/>
      </c>
      <c r="U412" s="337" t="str">
        <f t="shared" si="92"/>
        <v/>
      </c>
      <c r="V412" s="337"/>
      <c r="Y412" s="24" t="s">
        <v>3500</v>
      </c>
      <c r="Z412" s="24">
        <v>10</v>
      </c>
      <c r="AA412" s="492" t="s">
        <v>2388</v>
      </c>
      <c r="AG412" s="5" t="str">
        <f t="shared" ref="AG412:AG475" si="93">_xlfn.IFNA(VLOOKUP($Y412,$E:$U,17,FALSE),"")</f>
        <v/>
      </c>
      <c r="AH412" s="5" t="str">
        <f>IF(AG412="","",VLOOKUP($Y412,Nutrition_tables!$A:$N,10,FALSE))</f>
        <v/>
      </c>
      <c r="AI412" s="5" t="str">
        <f t="shared" si="90"/>
        <v/>
      </c>
    </row>
    <row r="413" spans="1:42">
      <c r="B413" s="749" t="s">
        <v>2343</v>
      </c>
      <c r="C413" s="1" t="s">
        <v>3457</v>
      </c>
      <c r="E413" s="379" t="str">
        <f>_xlfn.IFNA(VLOOKUP($H413,Ingredient_prices!$B:$C,2,FALSE),"")</f>
        <v/>
      </c>
      <c r="T413" s="337" t="str">
        <f t="shared" si="91"/>
        <v/>
      </c>
      <c r="U413" s="337" t="str">
        <f t="shared" si="92"/>
        <v/>
      </c>
      <c r="V413" s="337"/>
      <c r="Y413" s="397" t="s">
        <v>3379</v>
      </c>
      <c r="Z413" s="1"/>
      <c r="AA413" s="749" t="s">
        <v>2389</v>
      </c>
      <c r="AG413" s="5" t="str">
        <f t="shared" si="93"/>
        <v/>
      </c>
      <c r="AH413" s="5" t="str">
        <f>IF(AG413="","",VLOOKUP($Y413,Nutrition_tables!$A:$N,10,FALSE))</f>
        <v/>
      </c>
      <c r="AI413" s="5" t="str">
        <f t="shared" si="90"/>
        <v/>
      </c>
    </row>
    <row r="414" spans="1:42">
      <c r="B414" s="749" t="s">
        <v>2289</v>
      </c>
      <c r="C414" s="1" t="s">
        <v>3212</v>
      </c>
      <c r="E414" s="379" t="str">
        <f>_xlfn.IFNA(VLOOKUP($H414,Ingredient_prices!$B:$C,2,FALSE),"")</f>
        <v/>
      </c>
      <c r="T414" s="337" t="str">
        <f t="shared" si="91"/>
        <v/>
      </c>
      <c r="U414" s="337" t="str">
        <f t="shared" si="92"/>
        <v/>
      </c>
      <c r="V414" s="337"/>
      <c r="Y414" s="1" t="s">
        <v>3380</v>
      </c>
      <c r="Z414" s="1"/>
      <c r="AA414" s="749" t="s">
        <v>2389</v>
      </c>
      <c r="AG414" s="5" t="str">
        <f t="shared" si="93"/>
        <v/>
      </c>
      <c r="AH414" s="5" t="str">
        <f>IF(AG414="","",VLOOKUP($Y414,Nutrition_tables!$A:$N,10,FALSE))</f>
        <v/>
      </c>
      <c r="AI414" s="5" t="str">
        <f t="shared" si="90"/>
        <v/>
      </c>
    </row>
    <row r="415" spans="1:42">
      <c r="B415" s="24" t="s">
        <v>1248</v>
      </c>
      <c r="C415" s="24" t="s">
        <v>3212</v>
      </c>
      <c r="E415" s="379" t="str">
        <f>_xlfn.IFNA(VLOOKUP($H415,Ingredient_prices!$B:$C,2,FALSE),"")</f>
        <v/>
      </c>
      <c r="T415" s="337" t="str">
        <f t="shared" si="91"/>
        <v/>
      </c>
      <c r="U415" s="337" t="str">
        <f t="shared" si="92"/>
        <v/>
      </c>
      <c r="V415" s="337"/>
      <c r="Y415" s="1" t="s">
        <v>1912</v>
      </c>
      <c r="Z415" s="1">
        <v>10</v>
      </c>
      <c r="AA415" s="749" t="s">
        <v>2389</v>
      </c>
      <c r="AG415" s="5">
        <f t="shared" si="93"/>
        <v>227.46428571428572</v>
      </c>
      <c r="AH415" s="5">
        <f>IF(AG415="","",VLOOKUP($Y415,Nutrition_tables!$A:$N,10,FALSE))</f>
        <v>292</v>
      </c>
      <c r="AI415" s="5">
        <f t="shared" si="90"/>
        <v>7.7898727984344426E-2</v>
      </c>
    </row>
    <row r="416" spans="1:42">
      <c r="B416" s="1" t="s">
        <v>978</v>
      </c>
      <c r="C416" s="1" t="s">
        <v>3209</v>
      </c>
      <c r="E416" s="379" t="str">
        <f>_xlfn.IFNA(VLOOKUP($H416,Ingredient_prices!$B:$C,2,FALSE),"")</f>
        <v/>
      </c>
      <c r="T416" s="337" t="str">
        <f t="shared" si="91"/>
        <v/>
      </c>
      <c r="U416" s="337" t="str">
        <f t="shared" si="92"/>
        <v/>
      </c>
      <c r="V416" s="337"/>
      <c r="Y416" s="1" t="s">
        <v>3381</v>
      </c>
      <c r="Z416" s="1"/>
      <c r="AA416" s="749" t="s">
        <v>2389</v>
      </c>
      <c r="AG416" s="5" t="str">
        <f t="shared" si="93"/>
        <v/>
      </c>
      <c r="AH416" s="5" t="str">
        <f>IF(AG416="","",VLOOKUP($Y416,Nutrition_tables!$A:$N,10,FALSE))</f>
        <v/>
      </c>
      <c r="AI416" s="5" t="str">
        <f t="shared" si="90"/>
        <v/>
      </c>
    </row>
    <row r="417" spans="1:42">
      <c r="B417" s="1" t="s">
        <v>860</v>
      </c>
      <c r="C417" s="1" t="s">
        <v>3208</v>
      </c>
      <c r="E417" s="379" t="str">
        <f>_xlfn.IFNA(VLOOKUP($H417,Ingredient_prices!$B:$C,2,FALSE),"")</f>
        <v/>
      </c>
      <c r="T417" s="337" t="str">
        <f t="shared" si="91"/>
        <v/>
      </c>
      <c r="U417" s="337" t="str">
        <f t="shared" si="92"/>
        <v/>
      </c>
      <c r="V417" s="337"/>
      <c r="Y417" s="490" t="s">
        <v>3507</v>
      </c>
      <c r="Z417" s="1139">
        <v>10</v>
      </c>
      <c r="AA417" s="749" t="s">
        <v>2389</v>
      </c>
      <c r="AB417" s="679" t="s">
        <v>2336</v>
      </c>
      <c r="AC417" s="748" t="s">
        <v>2281</v>
      </c>
      <c r="AD417" s="1205">
        <v>10</v>
      </c>
      <c r="AG417" s="5">
        <f t="shared" si="93"/>
        <v>286.91666666666663</v>
      </c>
      <c r="AH417" s="5" t="e">
        <f>IF(AG417="","",VLOOKUP($Y417,Nutrition_tables!$A:$N,10,FALSE))</f>
        <v>#N/A</v>
      </c>
      <c r="AI417" s="5" t="e">
        <f t="shared" si="90"/>
        <v>#N/A</v>
      </c>
      <c r="AM417" s="379"/>
      <c r="AN417" s="379"/>
      <c r="AO417" s="379"/>
      <c r="AP417" s="379"/>
    </row>
    <row r="418" spans="1:42" s="379" customFormat="1">
      <c r="A418" s="330"/>
      <c r="B418" s="1" t="s">
        <v>1199</v>
      </c>
      <c r="C418" s="1" t="s">
        <v>3208</v>
      </c>
      <c r="D418" s="330"/>
      <c r="E418" s="379" t="str">
        <f>_xlfn.IFNA(VLOOKUP($H418,Ingredient_prices!$B:$C,2,FALSE),"")</f>
        <v/>
      </c>
      <c r="F418" s="1197"/>
      <c r="G418" s="82"/>
      <c r="H418" s="82"/>
      <c r="I418"/>
      <c r="J418"/>
      <c r="K418" s="82"/>
      <c r="L418" s="82"/>
      <c r="M418" s="1202"/>
      <c r="N418" s="247"/>
      <c r="O418" s="1139"/>
      <c r="P418"/>
      <c r="Q418"/>
      <c r="R418"/>
      <c r="S418" s="1202"/>
      <c r="T418" s="337" t="str">
        <f t="shared" si="91"/>
        <v/>
      </c>
      <c r="U418" s="337" t="str">
        <f t="shared" si="92"/>
        <v/>
      </c>
      <c r="V418" s="337"/>
      <c r="W418" s="330"/>
      <c r="X418" s="99"/>
      <c r="Y418" s="749" t="s">
        <v>3382</v>
      </c>
      <c r="Z418" s="1">
        <v>20</v>
      </c>
      <c r="AA418" s="749" t="s">
        <v>2389</v>
      </c>
      <c r="AB418" s="421"/>
      <c r="AC418" s="421"/>
      <c r="AD418" s="749"/>
      <c r="AE418" s="749"/>
      <c r="AF418" s="749"/>
      <c r="AG418" s="5" t="str">
        <f t="shared" si="93"/>
        <v/>
      </c>
      <c r="AH418" s="5" t="str">
        <f>IF(AG418="","",VLOOKUP($Y418,Nutrition_tables!$A:$N,10,FALSE))</f>
        <v/>
      </c>
      <c r="AI418" s="5" t="str">
        <f t="shared" si="90"/>
        <v/>
      </c>
      <c r="AJ418" s="749"/>
      <c r="AK418"/>
      <c r="AL418"/>
      <c r="AM418"/>
      <c r="AN418"/>
      <c r="AO418"/>
      <c r="AP418"/>
    </row>
    <row r="419" spans="1:42">
      <c r="B419" s="749" t="s">
        <v>2864</v>
      </c>
      <c r="C419" s="1" t="s">
        <v>3208</v>
      </c>
      <c r="E419" s="379" t="str">
        <f>_xlfn.IFNA(VLOOKUP($H419,Ingredient_prices!$B:$C,2,FALSE),"")</f>
        <v/>
      </c>
      <c r="T419" s="337" t="str">
        <f t="shared" si="91"/>
        <v/>
      </c>
      <c r="U419" s="337" t="str">
        <f t="shared" si="92"/>
        <v/>
      </c>
      <c r="V419" s="337"/>
      <c r="Y419" s="1" t="s">
        <v>1987</v>
      </c>
      <c r="Z419" s="1">
        <v>10</v>
      </c>
      <c r="AA419" s="749" t="s">
        <v>2389</v>
      </c>
      <c r="AG419" s="5" t="str">
        <f t="shared" si="93"/>
        <v/>
      </c>
      <c r="AH419" s="5" t="str">
        <f>IF(AG419="","",VLOOKUP($Y419,Nutrition_tables!$A:$N,10,FALSE))</f>
        <v/>
      </c>
      <c r="AI419" s="5" t="str">
        <f t="shared" si="90"/>
        <v/>
      </c>
    </row>
    <row r="420" spans="1:42">
      <c r="B420" s="82" t="s">
        <v>2865</v>
      </c>
      <c r="C420" s="1" t="s">
        <v>3208</v>
      </c>
      <c r="E420" s="379" t="str">
        <f>_xlfn.IFNA(VLOOKUP($H420,Ingredient_prices!$B:$C,2,FALSE),"")</f>
        <v/>
      </c>
      <c r="G420" s="732"/>
      <c r="T420" s="337"/>
      <c r="U420" s="337"/>
      <c r="V420" s="337"/>
      <c r="Y420" s="1" t="s">
        <v>3383</v>
      </c>
      <c r="Z420" s="1"/>
      <c r="AA420" s="749" t="s">
        <v>2389</v>
      </c>
      <c r="AG420" s="5" t="str">
        <f t="shared" si="93"/>
        <v/>
      </c>
      <c r="AH420" s="5" t="str">
        <f>IF(AG420="","",VLOOKUP($Y420,Nutrition_tables!$A:$N,10,FALSE))</f>
        <v/>
      </c>
      <c r="AI420" s="5" t="str">
        <f t="shared" si="90"/>
        <v/>
      </c>
    </row>
    <row r="421" spans="1:42">
      <c r="B421" s="82" t="s">
        <v>2866</v>
      </c>
      <c r="C421" s="1" t="s">
        <v>3208</v>
      </c>
      <c r="E421" s="379"/>
      <c r="I421" s="379"/>
      <c r="J421" s="379"/>
      <c r="P421" s="379"/>
      <c r="Q421" s="379"/>
      <c r="R421" s="379"/>
      <c r="T421" s="337" t="str">
        <f t="shared" ref="T421:T450" si="94">IF(N422&gt;0,1000*P422/J422,"")</f>
        <v/>
      </c>
      <c r="U421" s="337" t="str">
        <f t="shared" ref="U421:U450" si="95">IF(N422&gt;0,1000*P422/J422,"")</f>
        <v/>
      </c>
      <c r="V421" s="337"/>
      <c r="Y421" s="749" t="s">
        <v>3384</v>
      </c>
      <c r="Z421" s="1">
        <v>10</v>
      </c>
      <c r="AA421" s="749" t="s">
        <v>2389</v>
      </c>
      <c r="AG421" s="5" t="str">
        <f t="shared" si="93"/>
        <v/>
      </c>
      <c r="AH421" s="5" t="str">
        <f>IF(AG421="","",VLOOKUP($Y421,Nutrition_tables!$A:$N,10,FALSE))</f>
        <v/>
      </c>
      <c r="AI421" s="5" t="str">
        <f t="shared" si="90"/>
        <v/>
      </c>
      <c r="AL421" s="379"/>
    </row>
    <row r="422" spans="1:42">
      <c r="B422" s="749" t="s">
        <v>1679</v>
      </c>
      <c r="C422" s="1" t="s">
        <v>3208</v>
      </c>
      <c r="E422" s="379" t="str">
        <f>_xlfn.IFNA(VLOOKUP($H422,Ingredient_prices!$B:$C,2,FALSE),"")</f>
        <v/>
      </c>
      <c r="T422" s="337" t="str">
        <f t="shared" si="94"/>
        <v/>
      </c>
      <c r="U422" s="337" t="str">
        <f t="shared" si="95"/>
        <v/>
      </c>
      <c r="V422" s="337"/>
      <c r="Y422" s="1" t="s">
        <v>1989</v>
      </c>
      <c r="Z422" s="1">
        <v>10</v>
      </c>
      <c r="AA422" s="749" t="s">
        <v>2389</v>
      </c>
      <c r="AG422" s="5" t="str">
        <f t="shared" si="93"/>
        <v/>
      </c>
      <c r="AH422" s="5" t="str">
        <f>IF(AG422="","",VLOOKUP($Y422,Nutrition_tables!$A:$N,10,FALSE))</f>
        <v/>
      </c>
      <c r="AI422" s="5" t="str">
        <f t="shared" si="90"/>
        <v/>
      </c>
    </row>
    <row r="423" spans="1:42">
      <c r="B423" s="1" t="s">
        <v>979</v>
      </c>
      <c r="C423" s="1" t="s">
        <v>3208</v>
      </c>
      <c r="E423" s="379" t="str">
        <f>_xlfn.IFNA(VLOOKUP($H423,Ingredient_prices!$B:$C,2,FALSE),"")</f>
        <v/>
      </c>
      <c r="T423" s="337" t="str">
        <f t="shared" si="94"/>
        <v/>
      </c>
      <c r="U423" s="337" t="str">
        <f t="shared" si="95"/>
        <v/>
      </c>
      <c r="V423" s="337"/>
      <c r="Y423" s="490" t="s">
        <v>3385</v>
      </c>
      <c r="Z423" s="1139">
        <v>10</v>
      </c>
      <c r="AA423" s="749" t="s">
        <v>2389</v>
      </c>
      <c r="AB423" s="679" t="s">
        <v>2335</v>
      </c>
      <c r="AC423" s="748" t="s">
        <v>2279</v>
      </c>
      <c r="AD423" s="1205">
        <v>10</v>
      </c>
      <c r="AG423" s="5">
        <f t="shared" si="93"/>
        <v>180.84000000000003</v>
      </c>
      <c r="AH423" s="5">
        <f>IF(AG423="","",VLOOKUP($Y423,Nutrition_tables!$A:$N,10,FALSE))</f>
        <v>296</v>
      </c>
      <c r="AI423" s="5">
        <f t="shared" si="90"/>
        <v>6.1094594594594605E-2</v>
      </c>
    </row>
    <row r="424" spans="1:42">
      <c r="B424" s="24" t="s">
        <v>980</v>
      </c>
      <c r="C424" s="24" t="s">
        <v>3210</v>
      </c>
      <c r="E424" s="379" t="str">
        <f>_xlfn.IFNA(VLOOKUP($H424,Ingredient_prices!$B:$C,2,FALSE),"")</f>
        <v/>
      </c>
      <c r="T424" s="337" t="str">
        <f t="shared" si="94"/>
        <v/>
      </c>
      <c r="U424" s="337" t="str">
        <f t="shared" si="95"/>
        <v/>
      </c>
      <c r="V424" s="337"/>
      <c r="Y424" s="1" t="s">
        <v>3386</v>
      </c>
      <c r="Z424" s="1">
        <v>10</v>
      </c>
      <c r="AA424" s="749" t="s">
        <v>2389</v>
      </c>
      <c r="AG424" s="5" t="str">
        <f t="shared" si="93"/>
        <v/>
      </c>
      <c r="AH424" s="5" t="str">
        <f>IF(AG424="","",VLOOKUP($Y424,Nutrition_tables!$A:$N,10,FALSE))</f>
        <v/>
      </c>
      <c r="AI424" s="5" t="str">
        <f t="shared" si="90"/>
        <v/>
      </c>
    </row>
    <row r="425" spans="1:42">
      <c r="B425" s="1" t="s">
        <v>1253</v>
      </c>
      <c r="C425" s="749" t="s">
        <v>3172</v>
      </c>
      <c r="E425" s="379" t="str">
        <f>_xlfn.IFNA(VLOOKUP($H425,Ingredient_prices!$B:$C,2,FALSE),"")</f>
        <v/>
      </c>
      <c r="T425" s="337" t="str">
        <f t="shared" si="94"/>
        <v/>
      </c>
      <c r="U425" s="337" t="str">
        <f t="shared" si="95"/>
        <v/>
      </c>
      <c r="V425" s="337"/>
      <c r="Y425" s="1" t="s">
        <v>1990</v>
      </c>
      <c r="Z425" s="1">
        <v>10</v>
      </c>
      <c r="AA425" s="749" t="s">
        <v>2389</v>
      </c>
      <c r="AG425" s="5" t="str">
        <f t="shared" si="93"/>
        <v/>
      </c>
      <c r="AH425" s="5" t="str">
        <f>IF(AG425="","",VLOOKUP($Y425,Nutrition_tables!$A:$N,10,FALSE))</f>
        <v/>
      </c>
      <c r="AI425" s="5" t="str">
        <f t="shared" si="90"/>
        <v/>
      </c>
    </row>
    <row r="426" spans="1:42">
      <c r="B426" s="1" t="s">
        <v>981</v>
      </c>
      <c r="C426" s="749" t="s">
        <v>3172</v>
      </c>
      <c r="E426" s="379" t="str">
        <f>_xlfn.IFNA(VLOOKUP($H426,Ingredient_prices!$B:$C,2,FALSE),"")</f>
        <v/>
      </c>
      <c r="T426" s="337" t="str">
        <f t="shared" si="94"/>
        <v/>
      </c>
      <c r="U426" s="337" t="str">
        <f t="shared" si="95"/>
        <v/>
      </c>
      <c r="V426" s="337"/>
      <c r="Y426" s="749" t="s">
        <v>3387</v>
      </c>
      <c r="Z426" s="1139">
        <v>10</v>
      </c>
      <c r="AA426" s="749" t="s">
        <v>2389</v>
      </c>
      <c r="AB426" s="679" t="s">
        <v>2334</v>
      </c>
      <c r="AC426" s="748" t="s">
        <v>2278</v>
      </c>
      <c r="AD426" s="1205">
        <v>10</v>
      </c>
      <c r="AG426" s="5">
        <f t="shared" si="93"/>
        <v>240.59999999999997</v>
      </c>
      <c r="AH426" s="5" t="e">
        <f>IF(AG426="","",VLOOKUP($Y426,Nutrition_tables!$A:$N,10,FALSE))</f>
        <v>#N/A</v>
      </c>
      <c r="AI426" s="5" t="e">
        <f t="shared" si="90"/>
        <v>#N/A</v>
      </c>
    </row>
    <row r="427" spans="1:42">
      <c r="B427" s="248" t="s">
        <v>2295</v>
      </c>
      <c r="C427" s="1" t="s">
        <v>3158</v>
      </c>
      <c r="E427" s="379" t="str">
        <f>_xlfn.IFNA(VLOOKUP($H427,Ingredient_prices!$B:$C,2,FALSE),"")</f>
        <v/>
      </c>
      <c r="T427" s="337" t="str">
        <f t="shared" si="94"/>
        <v/>
      </c>
      <c r="U427" s="337" t="str">
        <f t="shared" si="95"/>
        <v/>
      </c>
      <c r="V427" s="337"/>
      <c r="Y427" s="490" t="s">
        <v>3496</v>
      </c>
      <c r="Z427" s="1139">
        <v>10</v>
      </c>
      <c r="AA427" s="749" t="s">
        <v>2389</v>
      </c>
      <c r="AB427" s="679" t="s">
        <v>2333</v>
      </c>
      <c r="AC427" s="748" t="s">
        <v>2277</v>
      </c>
      <c r="AD427" s="1205">
        <v>10</v>
      </c>
      <c r="AG427" s="5" t="str">
        <f t="shared" si="93"/>
        <v/>
      </c>
      <c r="AH427" s="5" t="str">
        <f>IF(AG427="","",VLOOKUP($Y427,Nutrition_tables!$A:$N,10,FALSE))</f>
        <v/>
      </c>
      <c r="AI427" s="5" t="str">
        <f t="shared" si="90"/>
        <v/>
      </c>
      <c r="AK427" s="379"/>
    </row>
    <row r="428" spans="1:42">
      <c r="B428" s="1" t="s">
        <v>2054</v>
      </c>
      <c r="C428" s="1" t="s">
        <v>3158</v>
      </c>
      <c r="E428" s="379" t="str">
        <f>_xlfn.IFNA(VLOOKUP($H428,Ingredient_prices!$B:$C,2,FALSE),"")</f>
        <v/>
      </c>
      <c r="T428" s="337" t="str">
        <f t="shared" si="94"/>
        <v/>
      </c>
      <c r="U428" s="337" t="str">
        <f t="shared" si="95"/>
        <v/>
      </c>
      <c r="V428" s="337"/>
      <c r="Y428" s="1" t="s">
        <v>3388</v>
      </c>
      <c r="Z428" s="1139">
        <v>10</v>
      </c>
      <c r="AA428" s="749" t="s">
        <v>2389</v>
      </c>
      <c r="AB428" s="679" t="s">
        <v>1148</v>
      </c>
      <c r="AC428" s="748" t="s">
        <v>1149</v>
      </c>
      <c r="AD428" s="1205">
        <v>10</v>
      </c>
      <c r="AG428" s="5">
        <f t="shared" si="93"/>
        <v>134.75</v>
      </c>
      <c r="AH428" s="5">
        <f>IF(AG428="","",VLOOKUP($Y428,Nutrition_tables!$A:$N,10,FALSE))</f>
        <v>311.7</v>
      </c>
      <c r="AI428" s="5">
        <f t="shared" si="90"/>
        <v>4.3230670516522296E-2</v>
      </c>
    </row>
    <row r="429" spans="1:42">
      <c r="B429" s="1" t="s">
        <v>847</v>
      </c>
      <c r="C429" s="1" t="s">
        <v>3176</v>
      </c>
      <c r="E429" s="379" t="str">
        <f>_xlfn.IFNA(VLOOKUP($H429,Ingredient_prices!$B:$C,2,FALSE),"")</f>
        <v/>
      </c>
      <c r="T429" s="337" t="str">
        <f t="shared" si="94"/>
        <v/>
      </c>
      <c r="U429" s="337" t="str">
        <f t="shared" si="95"/>
        <v/>
      </c>
      <c r="V429" s="337"/>
      <c r="Y429" s="749" t="s">
        <v>3389</v>
      </c>
      <c r="Z429" s="1">
        <v>10</v>
      </c>
      <c r="AA429" s="749" t="s">
        <v>2389</v>
      </c>
      <c r="AG429" s="5" t="str">
        <f t="shared" si="93"/>
        <v/>
      </c>
      <c r="AH429" s="5" t="str">
        <f>IF(AG429="","",VLOOKUP($Y429,Nutrition_tables!$A:$N,10,FALSE))</f>
        <v/>
      </c>
      <c r="AI429" s="5" t="str">
        <f t="shared" si="90"/>
        <v/>
      </c>
    </row>
    <row r="430" spans="1:42">
      <c r="B430" s="1" t="s">
        <v>982</v>
      </c>
      <c r="C430" s="1" t="s">
        <v>3173</v>
      </c>
      <c r="E430" s="379" t="str">
        <f>_xlfn.IFNA(VLOOKUP($H430,Ingredient_prices!$B:$C,2,FALSE),"")</f>
        <v/>
      </c>
      <c r="T430" s="337" t="str">
        <f t="shared" si="94"/>
        <v/>
      </c>
      <c r="U430" s="337" t="str">
        <f t="shared" si="95"/>
        <v/>
      </c>
      <c r="V430" s="337"/>
      <c r="Y430" s="749" t="s">
        <v>3390</v>
      </c>
      <c r="Z430" s="1139">
        <v>10</v>
      </c>
      <c r="AA430" s="749" t="s">
        <v>2389</v>
      </c>
      <c r="AB430" s="679" t="s">
        <v>2342</v>
      </c>
      <c r="AC430" s="748" t="s">
        <v>2287</v>
      </c>
      <c r="AD430" s="1205">
        <v>10</v>
      </c>
      <c r="AG430" s="5">
        <f t="shared" si="93"/>
        <v>383.9</v>
      </c>
      <c r="AH430" s="5">
        <f>IF(AG430="","",VLOOKUP($Y430,Nutrition_tables!$A:$N,10,FALSE))</f>
        <v>265</v>
      </c>
      <c r="AI430" s="5">
        <f t="shared" si="90"/>
        <v>0.14486792452830188</v>
      </c>
    </row>
    <row r="431" spans="1:42">
      <c r="B431" s="1" t="s">
        <v>983</v>
      </c>
      <c r="C431" s="1" t="s">
        <v>1821</v>
      </c>
      <c r="E431" s="379" t="str">
        <f>_xlfn.IFNA(VLOOKUP($H431,Ingredient_prices!$B:$C,2,FALSE),"")</f>
        <v/>
      </c>
      <c r="G431" s="248"/>
      <c r="T431" s="337" t="str">
        <f t="shared" si="94"/>
        <v/>
      </c>
      <c r="U431" s="337" t="str">
        <f t="shared" si="95"/>
        <v/>
      </c>
      <c r="V431" s="337"/>
      <c r="Y431" s="749" t="s">
        <v>3391</v>
      </c>
      <c r="Z431" s="82">
        <v>10</v>
      </c>
      <c r="AA431" s="749" t="s">
        <v>2389</v>
      </c>
      <c r="AG431" s="5" t="str">
        <f t="shared" si="93"/>
        <v/>
      </c>
      <c r="AH431" s="5" t="str">
        <f>IF(AG431="","",VLOOKUP($Y431,Nutrition_tables!$A:$N,10,FALSE))</f>
        <v/>
      </c>
      <c r="AI431" s="5" t="str">
        <f t="shared" si="90"/>
        <v/>
      </c>
    </row>
    <row r="432" spans="1:42">
      <c r="B432" s="82" t="s">
        <v>2496</v>
      </c>
      <c r="C432" s="749" t="s">
        <v>3182</v>
      </c>
      <c r="E432" s="379" t="str">
        <f>_xlfn.IFNA(VLOOKUP($H432,Ingredient_prices!$B:$C,2,FALSE),"")</f>
        <v/>
      </c>
      <c r="T432" s="337" t="str">
        <f t="shared" si="94"/>
        <v/>
      </c>
      <c r="U432" s="337" t="str">
        <f t="shared" si="95"/>
        <v/>
      </c>
      <c r="V432" s="337"/>
      <c r="Y432" s="749" t="s">
        <v>3392</v>
      </c>
      <c r="Z432" s="1139">
        <v>10</v>
      </c>
      <c r="AA432" s="749" t="s">
        <v>2389</v>
      </c>
      <c r="AB432" s="679" t="s">
        <v>1331</v>
      </c>
      <c r="AC432" s="748" t="s">
        <v>2280</v>
      </c>
      <c r="AD432" s="1205">
        <v>10</v>
      </c>
      <c r="AG432" s="5">
        <f t="shared" si="93"/>
        <v>274.12000000000006</v>
      </c>
      <c r="AH432" s="5">
        <f>IF(AG432="","",VLOOKUP($Y432,Nutrition_tables!$A:$N,10,FALSE))</f>
        <v>353</v>
      </c>
      <c r="AI432" s="5">
        <f t="shared" si="90"/>
        <v>7.7654390934844206E-2</v>
      </c>
      <c r="AM432" s="379"/>
      <c r="AN432" s="379"/>
      <c r="AO432" s="379"/>
      <c r="AP432" s="379"/>
    </row>
    <row r="433" spans="1:42" s="379" customFormat="1">
      <c r="A433" s="330"/>
      <c r="B433" s="1" t="s">
        <v>1505</v>
      </c>
      <c r="C433" s="1" t="s">
        <v>3153</v>
      </c>
      <c r="D433" s="330"/>
      <c r="E433" s="379" t="str">
        <f>_xlfn.IFNA(VLOOKUP($H433,Ingredient_prices!$B:$C,2,FALSE),"")</f>
        <v/>
      </c>
      <c r="F433" s="1197"/>
      <c r="G433" s="82"/>
      <c r="H433" s="82"/>
      <c r="I433"/>
      <c r="J433"/>
      <c r="K433" s="82"/>
      <c r="L433" s="82"/>
      <c r="M433" s="1202"/>
      <c r="N433" s="247"/>
      <c r="O433" s="1139"/>
      <c r="P433"/>
      <c r="Q433"/>
      <c r="R433"/>
      <c r="S433" s="1202"/>
      <c r="T433" s="337" t="str">
        <f t="shared" si="94"/>
        <v/>
      </c>
      <c r="U433" s="337" t="str">
        <f t="shared" si="95"/>
        <v/>
      </c>
      <c r="V433" s="337"/>
      <c r="W433" s="330"/>
      <c r="X433" s="99"/>
      <c r="Y433" s="1" t="s">
        <v>1937</v>
      </c>
      <c r="Z433" s="1139">
        <v>10</v>
      </c>
      <c r="AA433" s="749" t="s">
        <v>2389</v>
      </c>
      <c r="AB433" s="679" t="s">
        <v>170</v>
      </c>
      <c r="AC433" s="748" t="s">
        <v>832</v>
      </c>
      <c r="AD433" s="1205">
        <v>10</v>
      </c>
      <c r="AE433" s="749"/>
      <c r="AF433" s="749"/>
      <c r="AG433" s="5">
        <f t="shared" si="93"/>
        <v>199.94791666666666</v>
      </c>
      <c r="AH433" s="5" t="e">
        <f>IF(AG433="","",VLOOKUP($Y433,Nutrition_tables!$A:$N,10,FALSE))</f>
        <v>#N/A</v>
      </c>
      <c r="AI433" s="5" t="e">
        <f t="shared" si="90"/>
        <v>#N/A</v>
      </c>
      <c r="AJ433" s="749"/>
      <c r="AK433"/>
      <c r="AL433"/>
      <c r="AM433"/>
      <c r="AN433"/>
      <c r="AO433"/>
      <c r="AP433"/>
    </row>
    <row r="434" spans="1:42">
      <c r="B434" s="1" t="s">
        <v>1440</v>
      </c>
      <c r="C434" s="1" t="s">
        <v>3153</v>
      </c>
      <c r="E434" s="379" t="str">
        <f>_xlfn.IFNA(VLOOKUP($H434,Ingredient_prices!$B:$C,2,FALSE),"")</f>
        <v/>
      </c>
      <c r="T434" s="337" t="str">
        <f t="shared" si="94"/>
        <v/>
      </c>
      <c r="U434" s="337" t="str">
        <f t="shared" si="95"/>
        <v/>
      </c>
      <c r="V434" s="337"/>
      <c r="Y434" s="24" t="s">
        <v>3548</v>
      </c>
      <c r="Z434" s="1206">
        <v>10</v>
      </c>
      <c r="AA434" s="492" t="s">
        <v>2389</v>
      </c>
      <c r="AB434" s="679" t="s">
        <v>245</v>
      </c>
      <c r="AC434" s="748" t="s">
        <v>834</v>
      </c>
      <c r="AD434" s="1205">
        <v>10</v>
      </c>
      <c r="AG434" s="5">
        <f t="shared" si="93"/>
        <v>310.79999999999995</v>
      </c>
      <c r="AH434" s="5">
        <f>IF(AG434="","",VLOOKUP($Y434,Nutrition_tables!$A:$N,10,FALSE))</f>
        <v>362</v>
      </c>
      <c r="AI434" s="5">
        <f t="shared" si="90"/>
        <v>8.5856353591160214E-2</v>
      </c>
    </row>
    <row r="435" spans="1:42">
      <c r="B435" s="1" t="s">
        <v>1255</v>
      </c>
      <c r="C435" s="749" t="s">
        <v>3186</v>
      </c>
      <c r="E435" s="379" t="str">
        <f>_xlfn.IFNA(VLOOKUP($H435,Ingredient_prices!$B:$C,2,FALSE),"")</f>
        <v/>
      </c>
      <c r="T435" s="337" t="str">
        <f t="shared" si="94"/>
        <v/>
      </c>
      <c r="U435" s="337" t="str">
        <f t="shared" si="95"/>
        <v/>
      </c>
      <c r="V435" s="337"/>
      <c r="Y435" s="749" t="s">
        <v>3397</v>
      </c>
      <c r="Z435" s="1"/>
      <c r="AA435" s="749" t="s">
        <v>2390</v>
      </c>
      <c r="AG435" s="5" t="str">
        <f t="shared" si="93"/>
        <v/>
      </c>
      <c r="AH435" s="5" t="str">
        <f>IF(AG435="","",VLOOKUP($Y435,Nutrition_tables!$A:$N,10,FALSE))</f>
        <v/>
      </c>
      <c r="AI435" s="5" t="str">
        <f t="shared" si="90"/>
        <v/>
      </c>
    </row>
    <row r="436" spans="1:42">
      <c r="B436" s="1" t="s">
        <v>1674</v>
      </c>
      <c r="C436" s="749" t="s">
        <v>3186</v>
      </c>
      <c r="E436" s="379" t="str">
        <f>_xlfn.IFNA(VLOOKUP($H436,Ingredient_prices!$B:$C,2,FALSE),"")</f>
        <v/>
      </c>
      <c r="I436" s="379"/>
      <c r="J436" s="379"/>
      <c r="P436" s="379"/>
      <c r="Q436" s="379"/>
      <c r="R436" s="379"/>
      <c r="T436" s="337" t="str">
        <f t="shared" si="94"/>
        <v/>
      </c>
      <c r="U436" s="337" t="str">
        <f t="shared" si="95"/>
        <v/>
      </c>
      <c r="V436" s="337"/>
      <c r="Y436" s="1" t="s">
        <v>1913</v>
      </c>
      <c r="Z436" s="1139">
        <v>10</v>
      </c>
      <c r="AA436" s="749" t="s">
        <v>2390</v>
      </c>
      <c r="AB436" s="679" t="s">
        <v>145</v>
      </c>
      <c r="AC436" s="748" t="s">
        <v>1152</v>
      </c>
      <c r="AD436" s="1205">
        <v>10</v>
      </c>
      <c r="AG436" s="5">
        <f t="shared" si="93"/>
        <v>309.54000000000002</v>
      </c>
      <c r="AH436" s="5">
        <f>IF(AG436="","",VLOOKUP($Y436,Nutrition_tables!$A:$N,10,FALSE))</f>
        <v>286</v>
      </c>
      <c r="AI436" s="5">
        <f t="shared" si="90"/>
        <v>0.10823076923076924</v>
      </c>
      <c r="AL436" s="379"/>
    </row>
    <row r="437" spans="1:42">
      <c r="B437" s="749" t="s">
        <v>2298</v>
      </c>
      <c r="C437" s="1" t="s">
        <v>3194</v>
      </c>
      <c r="E437" s="379" t="str">
        <f>_xlfn.IFNA(VLOOKUP($H437,Ingredient_prices!$B:$C,2,FALSE),"")</f>
        <v/>
      </c>
      <c r="T437" s="337" t="str">
        <f t="shared" si="94"/>
        <v/>
      </c>
      <c r="U437" s="337" t="str">
        <f t="shared" si="95"/>
        <v/>
      </c>
      <c r="V437" s="337"/>
      <c r="Y437" s="749" t="s">
        <v>3477</v>
      </c>
      <c r="AA437" s="749" t="s">
        <v>2390</v>
      </c>
      <c r="AG437" s="5" t="str">
        <f t="shared" si="93"/>
        <v/>
      </c>
      <c r="AH437" s="5" t="str">
        <f>IF(AG437="","",VLOOKUP($Y437,Nutrition_tables!$A:$N,10,FALSE))</f>
        <v/>
      </c>
      <c r="AI437" s="5" t="str">
        <f t="shared" si="90"/>
        <v/>
      </c>
    </row>
    <row r="438" spans="1:42">
      <c r="B438" s="1" t="s">
        <v>2061</v>
      </c>
      <c r="C438" s="1" t="s">
        <v>3194</v>
      </c>
      <c r="E438" s="379" t="str">
        <f>_xlfn.IFNA(VLOOKUP($H438,Ingredient_prices!$B:$C,2,FALSE),"")</f>
        <v/>
      </c>
      <c r="T438" s="337" t="str">
        <f t="shared" si="94"/>
        <v/>
      </c>
      <c r="U438" s="337" t="str">
        <f t="shared" si="95"/>
        <v/>
      </c>
      <c r="V438" s="337"/>
      <c r="Y438" s="679" t="s">
        <v>3394</v>
      </c>
      <c r="Z438" s="178">
        <v>10</v>
      </c>
      <c r="AA438" s="749" t="s">
        <v>2390</v>
      </c>
      <c r="AB438" s="679" t="s">
        <v>690</v>
      </c>
      <c r="AC438" s="748" t="s">
        <v>833</v>
      </c>
      <c r="AD438" s="1205">
        <v>10</v>
      </c>
      <c r="AG438" s="5">
        <f t="shared" si="93"/>
        <v>221.60416666666666</v>
      </c>
      <c r="AH438" s="5">
        <f>IF(AG438="","",VLOOKUP($Y438,Nutrition_tables!$A:$N,10,FALSE))</f>
        <v>377</v>
      </c>
      <c r="AI438" s="5">
        <f t="shared" si="90"/>
        <v>5.8780946065428823E-2</v>
      </c>
    </row>
    <row r="439" spans="1:42">
      <c r="B439" s="1" t="s">
        <v>1524</v>
      </c>
      <c r="C439" s="1" t="s">
        <v>3152</v>
      </c>
      <c r="E439" s="379" t="str">
        <f>_xlfn.IFNA(VLOOKUP($H439,Ingredient_prices!$B:$C,2,FALSE),"")</f>
        <v/>
      </c>
      <c r="T439" s="337" t="str">
        <f t="shared" si="94"/>
        <v/>
      </c>
      <c r="U439" s="337" t="str">
        <f t="shared" si="95"/>
        <v/>
      </c>
      <c r="V439" s="337"/>
      <c r="Y439" s="490" t="s">
        <v>3501</v>
      </c>
      <c r="Z439" s="1139">
        <v>10</v>
      </c>
      <c r="AA439" s="749" t="s">
        <v>2390</v>
      </c>
      <c r="AB439" s="679" t="s">
        <v>2339</v>
      </c>
      <c r="AC439" s="748" t="s">
        <v>2283</v>
      </c>
      <c r="AD439" s="1205">
        <v>10</v>
      </c>
      <c r="AG439" s="5">
        <f t="shared" si="93"/>
        <v>352</v>
      </c>
      <c r="AH439" s="5" t="e">
        <f>IF(AG439="","",VLOOKUP($Y439,Nutrition_tables!$A:$N,10,FALSE))</f>
        <v>#N/A</v>
      </c>
      <c r="AI439" s="5" t="e">
        <f t="shared" si="90"/>
        <v>#N/A</v>
      </c>
    </row>
    <row r="440" spans="1:42">
      <c r="B440" s="1" t="s">
        <v>2055</v>
      </c>
      <c r="C440" s="749" t="s">
        <v>3189</v>
      </c>
      <c r="E440" s="379" t="str">
        <f>_xlfn.IFNA(VLOOKUP($H440,Ingredient_prices!$B:$C,2,FALSE),"")</f>
        <v/>
      </c>
      <c r="T440" s="337" t="str">
        <f t="shared" si="94"/>
        <v/>
      </c>
      <c r="U440" s="337" t="str">
        <f t="shared" si="95"/>
        <v/>
      </c>
      <c r="V440" s="337"/>
      <c r="Y440" s="490" t="s">
        <v>3508</v>
      </c>
      <c r="Z440" s="178">
        <v>10</v>
      </c>
      <c r="AA440" s="749" t="s">
        <v>2390</v>
      </c>
      <c r="AB440" s="679" t="s">
        <v>2332</v>
      </c>
      <c r="AC440" s="748" t="s">
        <v>2276</v>
      </c>
      <c r="AD440" s="1205">
        <v>10</v>
      </c>
      <c r="AG440" s="5">
        <f t="shared" si="93"/>
        <v>254.20000000000005</v>
      </c>
      <c r="AH440" s="5" t="e">
        <f>IF(AG440="","",VLOOKUP($Y440,Nutrition_tables!$A:$N,10,FALSE))</f>
        <v>#N/A</v>
      </c>
      <c r="AI440" s="5" t="e">
        <f t="shared" si="90"/>
        <v>#N/A</v>
      </c>
    </row>
    <row r="441" spans="1:42">
      <c r="B441" s="749" t="s">
        <v>2297</v>
      </c>
      <c r="C441" s="749" t="s">
        <v>3193</v>
      </c>
      <c r="E441" s="379" t="str">
        <f>_xlfn.IFNA(VLOOKUP($H441,Ingredient_prices!$B:$C,2,FALSE),"")</f>
        <v/>
      </c>
      <c r="T441" s="337" t="str">
        <f t="shared" si="94"/>
        <v/>
      </c>
      <c r="U441" s="337" t="str">
        <f t="shared" si="95"/>
        <v/>
      </c>
      <c r="V441" s="337"/>
      <c r="Y441" s="749" t="s">
        <v>3398</v>
      </c>
      <c r="Z441" s="178">
        <v>10</v>
      </c>
      <c r="AA441" s="749" t="s">
        <v>2390</v>
      </c>
      <c r="AB441" s="679" t="s">
        <v>2331</v>
      </c>
      <c r="AC441" s="748" t="s">
        <v>2275</v>
      </c>
      <c r="AD441" s="1205">
        <v>10</v>
      </c>
      <c r="AG441" s="5">
        <f t="shared" si="93"/>
        <v>247.4</v>
      </c>
      <c r="AH441" s="5" t="e">
        <f>IF(AG441="","",VLOOKUP($Y441,Nutrition_tables!$A:$N,10,FALSE))</f>
        <v>#N/A</v>
      </c>
      <c r="AI441" s="5" t="e">
        <f t="shared" si="90"/>
        <v>#N/A</v>
      </c>
    </row>
    <row r="442" spans="1:42">
      <c r="B442" s="1" t="s">
        <v>1254</v>
      </c>
      <c r="C442" s="749" t="s">
        <v>3193</v>
      </c>
      <c r="E442" s="379" t="str">
        <f>_xlfn.IFNA(VLOOKUP($H442,Ingredient_prices!$B:$C,2,FALSE),"")</f>
        <v/>
      </c>
      <c r="T442" s="337" t="str">
        <f t="shared" si="94"/>
        <v/>
      </c>
      <c r="U442" s="337" t="str">
        <f t="shared" si="95"/>
        <v/>
      </c>
      <c r="V442" s="337"/>
      <c r="Y442" s="1" t="s">
        <v>1931</v>
      </c>
      <c r="Z442" s="178">
        <v>10</v>
      </c>
      <c r="AA442" s="749" t="s">
        <v>2390</v>
      </c>
      <c r="AB442" s="679" t="s">
        <v>164</v>
      </c>
      <c r="AC442" s="748" t="s">
        <v>835</v>
      </c>
      <c r="AD442" s="1205">
        <v>10</v>
      </c>
      <c r="AG442" s="5">
        <f t="shared" si="93"/>
        <v>293.60000000000002</v>
      </c>
      <c r="AH442" s="5">
        <f>IF(AG442="","",VLOOKUP($Y442,Nutrition_tables!$A:$N,10,FALSE))</f>
        <v>282</v>
      </c>
      <c r="AI442" s="5">
        <f t="shared" si="90"/>
        <v>0.10411347517730497</v>
      </c>
      <c r="AK442" s="379"/>
    </row>
    <row r="443" spans="1:42">
      <c r="B443" s="749" t="s">
        <v>2230</v>
      </c>
      <c r="C443" s="749" t="s">
        <v>3189</v>
      </c>
      <c r="E443" s="379" t="str">
        <f>_xlfn.IFNA(VLOOKUP($H443,Ingredient_prices!$B:$C,2,FALSE),"")</f>
        <v/>
      </c>
      <c r="T443" s="337" t="str">
        <f t="shared" si="94"/>
        <v/>
      </c>
      <c r="U443" s="337" t="str">
        <f t="shared" si="95"/>
        <v/>
      </c>
      <c r="V443" s="337"/>
      <c r="Y443" s="1" t="s">
        <v>1932</v>
      </c>
      <c r="Z443" s="749">
        <v>10</v>
      </c>
      <c r="AA443" s="749" t="s">
        <v>2390</v>
      </c>
      <c r="AG443" s="5" t="str">
        <f t="shared" si="93"/>
        <v/>
      </c>
      <c r="AH443" s="5" t="str">
        <f>IF(AG443="","",VLOOKUP($Y443,Nutrition_tables!$A:$N,10,FALSE))</f>
        <v/>
      </c>
      <c r="AI443" s="5" t="str">
        <f t="shared" si="90"/>
        <v/>
      </c>
    </row>
    <row r="444" spans="1:42">
      <c r="B444" s="1" t="s">
        <v>2056</v>
      </c>
      <c r="C444" s="1" t="s">
        <v>3194</v>
      </c>
      <c r="E444" s="379" t="str">
        <f>_xlfn.IFNA(VLOOKUP($H444,Ingredient_prices!$B:$C,2,FALSE),"")</f>
        <v/>
      </c>
      <c r="T444" s="337" t="str">
        <f t="shared" si="94"/>
        <v/>
      </c>
      <c r="U444" s="337" t="str">
        <f t="shared" si="95"/>
        <v/>
      </c>
      <c r="V444" s="337"/>
      <c r="Y444" s="749" t="s">
        <v>3399</v>
      </c>
      <c r="Z444" s="178">
        <v>10</v>
      </c>
      <c r="AA444" s="749" t="s">
        <v>2390</v>
      </c>
      <c r="AG444" s="5" t="str">
        <f t="shared" si="93"/>
        <v/>
      </c>
      <c r="AH444" s="5" t="str">
        <f>IF(AG444="","",VLOOKUP($Y444,Nutrition_tables!$A:$N,10,FALSE))</f>
        <v/>
      </c>
      <c r="AI444" s="5" t="str">
        <f t="shared" si="90"/>
        <v/>
      </c>
    </row>
    <row r="445" spans="1:42">
      <c r="B445" s="82" t="s">
        <v>2867</v>
      </c>
      <c r="C445" s="1" t="s">
        <v>3174</v>
      </c>
      <c r="E445" s="379" t="str">
        <f>_xlfn.IFNA(VLOOKUP($H445,Ingredient_prices!$B:$C,2,FALSE),"")</f>
        <v/>
      </c>
      <c r="T445" s="337" t="str">
        <f t="shared" si="94"/>
        <v/>
      </c>
      <c r="U445" s="337" t="str">
        <f t="shared" si="95"/>
        <v/>
      </c>
      <c r="V445" s="337"/>
      <c r="Y445" s="1" t="s">
        <v>1938</v>
      </c>
      <c r="Z445" s="178">
        <v>10</v>
      </c>
      <c r="AA445" s="749" t="s">
        <v>2390</v>
      </c>
      <c r="AB445" s="679" t="s">
        <v>171</v>
      </c>
      <c r="AC445" s="748" t="s">
        <v>2284</v>
      </c>
      <c r="AD445" s="1205">
        <v>10</v>
      </c>
      <c r="AG445" s="5">
        <f t="shared" si="93"/>
        <v>363.11</v>
      </c>
      <c r="AH445" s="5">
        <f>IF(AG445="","",VLOOKUP($Y445,Nutrition_tables!$A:$N,10,FALSE))</f>
        <v>305</v>
      </c>
      <c r="AI445" s="5">
        <f t="shared" si="90"/>
        <v>0.11905245901639344</v>
      </c>
    </row>
    <row r="446" spans="1:42">
      <c r="B446" s="1" t="s">
        <v>984</v>
      </c>
      <c r="C446" s="1" t="s">
        <v>3168</v>
      </c>
      <c r="E446" s="379" t="str">
        <f>_xlfn.IFNA(VLOOKUP($H446,Ingredient_prices!$B:$C,2,FALSE),"")</f>
        <v/>
      </c>
      <c r="T446" s="337" t="str">
        <f t="shared" si="94"/>
        <v/>
      </c>
      <c r="U446" s="337" t="str">
        <f t="shared" si="95"/>
        <v/>
      </c>
      <c r="V446" s="337"/>
      <c r="Y446" s="1" t="s">
        <v>1940</v>
      </c>
      <c r="Z446" s="289">
        <v>10</v>
      </c>
      <c r="AA446" s="749" t="s">
        <v>2390</v>
      </c>
      <c r="AG446" s="5" t="str">
        <f t="shared" si="93"/>
        <v/>
      </c>
      <c r="AH446" s="5" t="str">
        <f>IF(AG446="","",VLOOKUP($Y446,Nutrition_tables!$A:$N,10,FALSE))</f>
        <v/>
      </c>
      <c r="AI446" s="5" t="str">
        <f t="shared" si="90"/>
        <v/>
      </c>
    </row>
    <row r="447" spans="1:42">
      <c r="B447" s="1" t="s">
        <v>2057</v>
      </c>
      <c r="C447" s="1" t="s">
        <v>3165</v>
      </c>
      <c r="E447" s="379" t="str">
        <f>_xlfn.IFNA(VLOOKUP($H447,Ingredient_prices!$B:$C,2,FALSE),"")</f>
        <v/>
      </c>
      <c r="T447" s="337" t="str">
        <f t="shared" si="94"/>
        <v/>
      </c>
      <c r="U447" s="337" t="str">
        <f t="shared" si="95"/>
        <v/>
      </c>
      <c r="V447" s="337"/>
      <c r="Y447" s="1" t="s">
        <v>3395</v>
      </c>
      <c r="AA447" s="749" t="s">
        <v>2390</v>
      </c>
      <c r="AG447" s="5" t="str">
        <f t="shared" si="93"/>
        <v/>
      </c>
      <c r="AH447" s="5" t="str">
        <f>IF(AG447="","",VLOOKUP($Y447,Nutrition_tables!$A:$N,10,FALSE))</f>
        <v/>
      </c>
      <c r="AI447" s="5" t="str">
        <f t="shared" si="90"/>
        <v/>
      </c>
    </row>
    <row r="448" spans="1:42">
      <c r="B448" s="248" t="s">
        <v>2868</v>
      </c>
      <c r="C448" s="749" t="s">
        <v>3186</v>
      </c>
      <c r="E448" s="379" t="str">
        <f>_xlfn.IFNA(VLOOKUP($H448,Ingredient_prices!$B:$C,2,FALSE),"")</f>
        <v/>
      </c>
      <c r="T448" s="337" t="str">
        <f t="shared" si="94"/>
        <v/>
      </c>
      <c r="U448" s="337" t="str">
        <f t="shared" si="95"/>
        <v/>
      </c>
      <c r="V448" s="337"/>
      <c r="Y448" s="1" t="s">
        <v>3396</v>
      </c>
      <c r="AA448" s="749" t="s">
        <v>2390</v>
      </c>
      <c r="AG448" s="5" t="str">
        <f t="shared" si="93"/>
        <v/>
      </c>
      <c r="AH448" s="5" t="str">
        <f>IF(AG448="","",VLOOKUP($Y448,Nutrition_tables!$A:$N,10,FALSE))</f>
        <v/>
      </c>
      <c r="AI448" s="5" t="str">
        <f t="shared" si="90"/>
        <v/>
      </c>
      <c r="AM448" s="379"/>
      <c r="AN448" s="379"/>
      <c r="AO448" s="379"/>
      <c r="AP448" s="379"/>
    </row>
    <row r="449" spans="1:42" s="379" customFormat="1">
      <c r="A449" s="330"/>
      <c r="B449" s="1" t="s">
        <v>985</v>
      </c>
      <c r="C449" s="1" t="s">
        <v>1822</v>
      </c>
      <c r="D449" s="330"/>
      <c r="E449" s="379" t="str">
        <f>_xlfn.IFNA(VLOOKUP($H449,Ingredient_prices!$B:$C,2,FALSE),"")</f>
        <v/>
      </c>
      <c r="F449" s="1197"/>
      <c r="G449" s="82"/>
      <c r="H449" s="82"/>
      <c r="I449"/>
      <c r="J449"/>
      <c r="K449" s="82"/>
      <c r="L449" s="82"/>
      <c r="M449" s="1202"/>
      <c r="N449" s="247"/>
      <c r="O449" s="1139"/>
      <c r="P449"/>
      <c r="Q449"/>
      <c r="R449"/>
      <c r="S449" s="1202"/>
      <c r="T449" s="337" t="str">
        <f t="shared" si="94"/>
        <v/>
      </c>
      <c r="U449" s="337" t="str">
        <f t="shared" si="95"/>
        <v/>
      </c>
      <c r="V449" s="337"/>
      <c r="W449" s="330"/>
      <c r="X449" s="99"/>
      <c r="Y449" s="24" t="s">
        <v>1997</v>
      </c>
      <c r="Z449" s="492"/>
      <c r="AA449" s="492" t="s">
        <v>2390</v>
      </c>
      <c r="AB449" s="421"/>
      <c r="AC449" s="421"/>
      <c r="AD449" s="749"/>
      <c r="AE449" s="749"/>
      <c r="AF449" s="749"/>
      <c r="AG449" s="5" t="str">
        <f t="shared" si="93"/>
        <v/>
      </c>
      <c r="AH449" s="5" t="str">
        <f>IF(AG449="","",VLOOKUP($Y449,Nutrition_tables!$A:$N,10,FALSE))</f>
        <v/>
      </c>
      <c r="AI449" s="5" t="str">
        <f t="shared" si="90"/>
        <v/>
      </c>
      <c r="AJ449" s="749"/>
      <c r="AK449"/>
      <c r="AL449"/>
      <c r="AM449"/>
      <c r="AN449"/>
      <c r="AO449"/>
      <c r="AP449"/>
    </row>
    <row r="450" spans="1:42">
      <c r="B450" s="1" t="s">
        <v>1327</v>
      </c>
      <c r="C450" s="1" t="s">
        <v>1823</v>
      </c>
      <c r="E450" s="379" t="str">
        <f>_xlfn.IFNA(VLOOKUP($H450,Ingredient_prices!$B:$C,2,FALSE),"")</f>
        <v/>
      </c>
      <c r="T450" s="337" t="str">
        <f t="shared" si="94"/>
        <v/>
      </c>
      <c r="U450" s="337" t="str">
        <f t="shared" si="95"/>
        <v/>
      </c>
      <c r="V450" s="337"/>
      <c r="Y450" s="749" t="s">
        <v>3400</v>
      </c>
      <c r="Z450" s="749">
        <v>20</v>
      </c>
      <c r="AA450" s="494" t="s">
        <v>2391</v>
      </c>
      <c r="AG450" s="5" t="str">
        <f t="shared" si="93"/>
        <v/>
      </c>
      <c r="AH450" s="5" t="str">
        <f>IF(AG450="","",VLOOKUP($Y450,Nutrition_tables!$A:$N,10,FALSE))</f>
        <v/>
      </c>
      <c r="AI450" s="5" t="str">
        <f t="shared" si="90"/>
        <v/>
      </c>
    </row>
    <row r="451" spans="1:42">
      <c r="B451" s="82" t="s">
        <v>2869</v>
      </c>
      <c r="C451" s="1" t="s">
        <v>3166</v>
      </c>
      <c r="E451" s="379" t="str">
        <f>_xlfn.IFNA(VLOOKUP($H451,Ingredient_prices!$B:$C,2,FALSE),"")</f>
        <v/>
      </c>
      <c r="T451" s="337"/>
      <c r="U451" s="337"/>
      <c r="V451" s="337"/>
      <c r="Y451" s="749" t="s">
        <v>3401</v>
      </c>
      <c r="Z451" s="749">
        <v>20</v>
      </c>
      <c r="AA451" s="749" t="s">
        <v>2391</v>
      </c>
      <c r="AG451" s="5" t="str">
        <f t="shared" si="93"/>
        <v/>
      </c>
      <c r="AH451" s="5" t="str">
        <f>IF(AG451="","",VLOOKUP($Y451,Nutrition_tables!$A:$N,10,FALSE))</f>
        <v/>
      </c>
      <c r="AI451" s="5" t="str">
        <f t="shared" si="90"/>
        <v/>
      </c>
      <c r="AL451" s="749"/>
    </row>
    <row r="452" spans="1:42">
      <c r="B452" s="82" t="s">
        <v>2870</v>
      </c>
      <c r="C452" s="1" t="s">
        <v>3166</v>
      </c>
      <c r="E452" s="379"/>
      <c r="I452" s="379"/>
      <c r="J452" s="379"/>
      <c r="P452" s="379"/>
      <c r="Q452" s="379"/>
      <c r="R452" s="379"/>
      <c r="T452" s="337" t="str">
        <f>IF(N453&gt;0,1000*P453/J453,"")</f>
        <v/>
      </c>
      <c r="U452" s="337" t="str">
        <f>IF(N453&gt;0,1000*P453/J453,"")</f>
        <v/>
      </c>
      <c r="V452" s="337"/>
      <c r="Y452" s="749" t="s">
        <v>3403</v>
      </c>
      <c r="Z452" s="749">
        <v>20</v>
      </c>
      <c r="AA452" s="749" t="s">
        <v>2391</v>
      </c>
      <c r="AG452" s="5" t="str">
        <f t="shared" si="93"/>
        <v/>
      </c>
      <c r="AH452" s="5" t="str">
        <f>IF(AG452="","",VLOOKUP($Y452,Nutrition_tables!$A:$N,10,FALSE))</f>
        <v/>
      </c>
      <c r="AI452" s="5" t="str">
        <f t="shared" si="90"/>
        <v/>
      </c>
      <c r="AM452" s="379"/>
      <c r="AN452" s="379"/>
      <c r="AO452" s="379"/>
      <c r="AP452" s="379"/>
    </row>
    <row r="453" spans="1:42" s="379" customFormat="1">
      <c r="A453" s="330"/>
      <c r="B453" s="1" t="s">
        <v>2414</v>
      </c>
      <c r="C453" s="749" t="s">
        <v>3159</v>
      </c>
      <c r="D453" s="330"/>
      <c r="E453" s="379" t="str">
        <f>_xlfn.IFNA(VLOOKUP($H453,Ingredient_prices!$B:$C,2,FALSE),"")</f>
        <v/>
      </c>
      <c r="F453" s="1197"/>
      <c r="G453" s="82"/>
      <c r="H453" s="82"/>
      <c r="I453"/>
      <c r="J453"/>
      <c r="K453" s="82"/>
      <c r="L453" s="82"/>
      <c r="M453" s="1202"/>
      <c r="N453" s="247"/>
      <c r="O453" s="1139"/>
      <c r="P453"/>
      <c r="Q453"/>
      <c r="R453"/>
      <c r="S453" s="1202"/>
      <c r="T453" s="337" t="str">
        <f>IF(N454&gt;0,1000*P454/J454,"")</f>
        <v/>
      </c>
      <c r="U453" s="337" t="str">
        <f>IF(N454&gt;0,1000*P454/J454,"")</f>
        <v/>
      </c>
      <c r="V453" s="337"/>
      <c r="W453" s="330"/>
      <c r="X453" s="99"/>
      <c r="Y453" s="749" t="s">
        <v>3404</v>
      </c>
      <c r="Z453" s="749">
        <v>20</v>
      </c>
      <c r="AA453" s="749" t="s">
        <v>2391</v>
      </c>
      <c r="AB453" s="421"/>
      <c r="AC453" s="421"/>
      <c r="AD453" s="749"/>
      <c r="AE453" s="749"/>
      <c r="AF453" s="749"/>
      <c r="AG453" s="5" t="str">
        <f t="shared" si="93"/>
        <v/>
      </c>
      <c r="AH453" s="5" t="str">
        <f>IF(AG453="","",VLOOKUP($Y453,Nutrition_tables!$A:$N,10,FALSE))</f>
        <v/>
      </c>
      <c r="AI453" s="5" t="str">
        <f t="shared" si="90"/>
        <v/>
      </c>
      <c r="AJ453" s="749"/>
      <c r="AK453"/>
    </row>
    <row r="454" spans="1:42" s="379" customFormat="1">
      <c r="A454" s="330"/>
      <c r="B454" s="1" t="s">
        <v>2413</v>
      </c>
      <c r="C454" s="749" t="s">
        <v>3159</v>
      </c>
      <c r="D454" s="330"/>
      <c r="E454" s="379" t="str">
        <f>_xlfn.IFNA(VLOOKUP($H454,Ingredient_prices!$B:$C,2,FALSE),"")</f>
        <v/>
      </c>
      <c r="F454" s="1197"/>
      <c r="G454" s="82"/>
      <c r="H454" s="82"/>
      <c r="I454"/>
      <c r="J454"/>
      <c r="K454" s="82"/>
      <c r="L454" s="82"/>
      <c r="M454" s="1202"/>
      <c r="N454" s="247"/>
      <c r="O454" s="1139"/>
      <c r="P454"/>
      <c r="Q454"/>
      <c r="R454"/>
      <c r="S454" s="1202"/>
      <c r="T454" s="337" t="str">
        <f>IF(N455&gt;0,1000*P455/J455,"")</f>
        <v/>
      </c>
      <c r="U454" s="337" t="str">
        <f>IF(N455&gt;0,1000*P455/J455,"")</f>
        <v/>
      </c>
      <c r="V454" s="337"/>
      <c r="W454" s="330"/>
      <c r="X454" s="99"/>
      <c r="Y454" s="749" t="s">
        <v>3405</v>
      </c>
      <c r="Z454" s="749">
        <v>20</v>
      </c>
      <c r="AA454" s="749" t="s">
        <v>2391</v>
      </c>
      <c r="AB454" s="421"/>
      <c r="AC454" s="421"/>
      <c r="AD454" s="749"/>
      <c r="AE454" s="749"/>
      <c r="AF454" s="749"/>
      <c r="AG454" s="5">
        <f t="shared" si="93"/>
        <v>1200</v>
      </c>
      <c r="AH454" s="5">
        <f>IF(AG454="","",VLOOKUP($Y454,Nutrition_tables!$A:$N,10,FALSE))</f>
        <v>310</v>
      </c>
      <c r="AI454" s="5">
        <f t="shared" si="90"/>
        <v>0.38709677419354838</v>
      </c>
      <c r="AJ454" s="749"/>
      <c r="AK454"/>
      <c r="AL454"/>
      <c r="AM454"/>
      <c r="AN454"/>
      <c r="AO454"/>
      <c r="AP454"/>
    </row>
    <row r="455" spans="1:42">
      <c r="B455" s="1" t="s">
        <v>843</v>
      </c>
      <c r="C455" s="749" t="s">
        <v>3159</v>
      </c>
      <c r="E455" s="379" t="str">
        <f>_xlfn.IFNA(VLOOKUP($H455,Ingredient_prices!$B:$C,2,FALSE),"")</f>
        <v/>
      </c>
      <c r="T455" s="337"/>
      <c r="U455" s="337"/>
      <c r="V455" s="337"/>
      <c r="Y455" s="749" t="s">
        <v>496</v>
      </c>
      <c r="Z455" s="749">
        <v>20</v>
      </c>
      <c r="AA455" s="749" t="s">
        <v>2391</v>
      </c>
      <c r="AG455" s="5" t="str">
        <f t="shared" si="93"/>
        <v/>
      </c>
      <c r="AH455" s="5" t="str">
        <f>IF(AG455="","",VLOOKUP($Y455,Nutrition_tables!$A:$N,10,FALSE))</f>
        <v/>
      </c>
      <c r="AI455" s="5" t="str">
        <f t="shared" si="90"/>
        <v/>
      </c>
    </row>
    <row r="456" spans="1:42">
      <c r="B456" s="1" t="s">
        <v>2871</v>
      </c>
      <c r="C456" s="749" t="s">
        <v>3159</v>
      </c>
      <c r="E456" s="379"/>
      <c r="I456" s="379"/>
      <c r="J456" s="379"/>
      <c r="P456" s="379"/>
      <c r="Q456" s="379"/>
      <c r="R456" s="379"/>
      <c r="T456" s="337"/>
      <c r="U456" s="337"/>
      <c r="V456" s="337"/>
      <c r="Y456" s="749" t="s">
        <v>3402</v>
      </c>
      <c r="Z456" s="749">
        <v>20</v>
      </c>
      <c r="AA456" s="749" t="s">
        <v>2391</v>
      </c>
      <c r="AG456" s="5" t="str">
        <f t="shared" si="93"/>
        <v/>
      </c>
      <c r="AH456" s="5" t="str">
        <f>IF(AG456="","",VLOOKUP($Y456,Nutrition_tables!$A:$N,10,FALSE))</f>
        <v/>
      </c>
      <c r="AI456" s="5" t="str">
        <f t="shared" si="90"/>
        <v/>
      </c>
      <c r="AK456" s="749"/>
    </row>
    <row r="457" spans="1:42">
      <c r="B457" s="1" t="s">
        <v>2048</v>
      </c>
      <c r="C457" s="749" t="s">
        <v>3159</v>
      </c>
      <c r="E457" s="379"/>
      <c r="I457" s="379"/>
      <c r="J457" s="379"/>
      <c r="P457" s="379"/>
      <c r="Q457" s="379"/>
      <c r="R457" s="379"/>
      <c r="T457" s="337" t="str">
        <f>IF(N458&gt;0,1000*P458/J458,"")</f>
        <v/>
      </c>
      <c r="U457" s="337" t="str">
        <f>IF(N458&gt;0,1000*P458/J458,"")</f>
        <v/>
      </c>
      <c r="V457" s="337"/>
      <c r="Y457" s="490" t="s">
        <v>3528</v>
      </c>
      <c r="Z457" s="178">
        <v>10</v>
      </c>
      <c r="AA457" s="749" t="s">
        <v>2391</v>
      </c>
      <c r="AB457" s="679" t="s">
        <v>2341</v>
      </c>
      <c r="AC457" s="748" t="s">
        <v>2340</v>
      </c>
      <c r="AD457" s="1205">
        <v>10</v>
      </c>
      <c r="AG457" s="5">
        <f t="shared" si="93"/>
        <v>306.79000000000002</v>
      </c>
      <c r="AH457" s="5" t="e">
        <f>IF(AG457="","",VLOOKUP($Y457,Nutrition_tables!$A:$N,10,FALSE))</f>
        <v>#N/A</v>
      </c>
      <c r="AI457" s="5" t="e">
        <f t="shared" si="90"/>
        <v>#N/A</v>
      </c>
      <c r="AL457" s="379"/>
    </row>
    <row r="458" spans="1:42">
      <c r="B458" s="1" t="s">
        <v>844</v>
      </c>
      <c r="C458" s="749" t="s">
        <v>3159</v>
      </c>
      <c r="E458" s="379" t="str">
        <f>_xlfn.IFNA(VLOOKUP($H458,Ingredient_prices!$B:$C,2,FALSE),"")</f>
        <v/>
      </c>
      <c r="T458" s="337" t="str">
        <f>IF(N459&gt;0,1000*P459/J459,"")</f>
        <v/>
      </c>
      <c r="U458" s="337" t="str">
        <f>IF(N459&gt;0,1000*P459/J459,"")</f>
        <v/>
      </c>
      <c r="V458" s="337"/>
      <c r="Y458" s="1" t="s">
        <v>3407</v>
      </c>
      <c r="Z458" s="749">
        <v>20</v>
      </c>
      <c r="AA458" s="749" t="s">
        <v>2391</v>
      </c>
      <c r="AG458" s="5" t="str">
        <f t="shared" si="93"/>
        <v/>
      </c>
      <c r="AH458" s="5" t="str">
        <f>IF(AG458="","",VLOOKUP($Y458,Nutrition_tables!$A:$N,10,FALSE))</f>
        <v/>
      </c>
      <c r="AI458" s="5" t="str">
        <f t="shared" si="90"/>
        <v/>
      </c>
      <c r="AL458" s="379"/>
      <c r="AM458" s="379"/>
      <c r="AN458" s="379"/>
      <c r="AO458" s="379"/>
      <c r="AP458" s="379"/>
    </row>
    <row r="459" spans="1:42" s="379" customFormat="1">
      <c r="A459" s="330"/>
      <c r="B459" s="1" t="s">
        <v>1669</v>
      </c>
      <c r="C459" s="1" t="s">
        <v>3467</v>
      </c>
      <c r="D459" s="330"/>
      <c r="E459" s="379" t="str">
        <f>_xlfn.IFNA(VLOOKUP($H459,Ingredient_prices!$B:$C,2,FALSE),"")</f>
        <v/>
      </c>
      <c r="F459" s="1197"/>
      <c r="G459" s="82"/>
      <c r="H459" s="82"/>
      <c r="I459"/>
      <c r="J459"/>
      <c r="K459" s="82"/>
      <c r="L459" s="82"/>
      <c r="M459" s="1202"/>
      <c r="N459" s="247"/>
      <c r="O459" s="1139"/>
      <c r="P459"/>
      <c r="Q459"/>
      <c r="R459"/>
      <c r="S459" s="1202"/>
      <c r="T459" s="337" t="str">
        <f>IF(N460&gt;0,1000*P460/J460,"")</f>
        <v/>
      </c>
      <c r="U459" s="337" t="str">
        <f>IF(N460&gt;0,1000*P460/J460,"")</f>
        <v/>
      </c>
      <c r="V459" s="337"/>
      <c r="W459" s="330"/>
      <c r="X459" s="99"/>
      <c r="Y459" s="1" t="s">
        <v>1992</v>
      </c>
      <c r="Z459" s="749">
        <v>20</v>
      </c>
      <c r="AA459" s="749" t="s">
        <v>2391</v>
      </c>
      <c r="AB459" s="421"/>
      <c r="AC459" s="421"/>
      <c r="AD459" s="749"/>
      <c r="AE459" s="749"/>
      <c r="AF459" s="749"/>
      <c r="AG459" s="5" t="str">
        <f t="shared" si="93"/>
        <v/>
      </c>
      <c r="AH459" s="5" t="str">
        <f>IF(AG459="","",VLOOKUP($Y459,Nutrition_tables!$A:$N,10,FALSE))</f>
        <v/>
      </c>
      <c r="AI459" s="5" t="str">
        <f t="shared" ref="AI459:AI488" si="96">IF(AG459="","",AG459/(AH459*10))</f>
        <v/>
      </c>
      <c r="AJ459" s="749"/>
      <c r="AL459"/>
      <c r="AM459"/>
      <c r="AN459"/>
      <c r="AO459"/>
      <c r="AP459"/>
    </row>
    <row r="460" spans="1:42">
      <c r="B460" s="82" t="s">
        <v>2400</v>
      </c>
      <c r="C460" s="749" t="s">
        <v>3159</v>
      </c>
      <c r="E460" s="379" t="str">
        <f>_xlfn.IFNA(VLOOKUP($H460,Ingredient_prices!$B:$C,2,FALSE),"")</f>
        <v/>
      </c>
      <c r="T460" s="337" t="str">
        <f>IF(N461&gt;0,1000*P461/J461,"")</f>
        <v/>
      </c>
      <c r="U460" s="337" t="str">
        <f>IF(N461&gt;0,1000*P461/J461,"")</f>
        <v/>
      </c>
      <c r="V460" s="337"/>
      <c r="Y460" s="1" t="s">
        <v>1993</v>
      </c>
      <c r="Z460" s="749">
        <v>20</v>
      </c>
      <c r="AA460" s="749" t="s">
        <v>2391</v>
      </c>
      <c r="AG460" s="5" t="str">
        <f t="shared" si="93"/>
        <v/>
      </c>
      <c r="AH460" s="5" t="str">
        <f>IF(AG460="","",VLOOKUP($Y460,Nutrition_tables!$A:$N,10,FALSE))</f>
        <v/>
      </c>
      <c r="AI460" s="5" t="str">
        <f t="shared" si="96"/>
        <v/>
      </c>
    </row>
    <row r="461" spans="1:42">
      <c r="B461" s="1" t="s">
        <v>986</v>
      </c>
      <c r="C461" s="749" t="s">
        <v>3159</v>
      </c>
      <c r="E461" s="379" t="str">
        <f>_xlfn.IFNA(VLOOKUP($H461,Ingredient_prices!$B:$C,2,FALSE),"")</f>
        <v/>
      </c>
      <c r="T461" s="337"/>
      <c r="U461" s="337"/>
      <c r="V461" s="337"/>
      <c r="Y461" s="749" t="s">
        <v>3408</v>
      </c>
      <c r="Z461" s="749">
        <v>20</v>
      </c>
      <c r="AA461" s="749" t="s">
        <v>2391</v>
      </c>
      <c r="AG461" s="5" t="str">
        <f t="shared" si="93"/>
        <v/>
      </c>
      <c r="AH461" s="5" t="str">
        <f>IF(AG461="","",VLOOKUP($Y461,Nutrition_tables!$A:$N,10,FALSE))</f>
        <v/>
      </c>
      <c r="AI461" s="5" t="str">
        <f t="shared" si="96"/>
        <v/>
      </c>
    </row>
    <row r="462" spans="1:42">
      <c r="B462" s="1" t="s">
        <v>987</v>
      </c>
      <c r="C462" s="1" t="s">
        <v>3160</v>
      </c>
      <c r="E462" s="379"/>
      <c r="I462" s="379"/>
      <c r="J462" s="379"/>
      <c r="P462" s="379"/>
      <c r="Q462" s="379"/>
      <c r="R462" s="379"/>
      <c r="T462" s="337" t="str">
        <f t="shared" ref="T462:T467" si="97">IF(N463&gt;0,1000*P463/J463,"")</f>
        <v/>
      </c>
      <c r="U462" s="337" t="str">
        <f t="shared" ref="U462:U467" si="98">IF(N463&gt;0,1000*P463/J463,"")</f>
        <v/>
      </c>
      <c r="V462" s="337"/>
      <c r="Y462" s="24" t="s">
        <v>3409</v>
      </c>
      <c r="Z462" s="492">
        <v>20</v>
      </c>
      <c r="AA462" s="492" t="s">
        <v>2391</v>
      </c>
      <c r="AG462" s="5" t="str">
        <f t="shared" si="93"/>
        <v/>
      </c>
      <c r="AH462" s="5" t="str">
        <f>IF(AG462="","",VLOOKUP($Y462,Nutrition_tables!$A:$N,10,FALSE))</f>
        <v/>
      </c>
      <c r="AI462" s="5" t="str">
        <f t="shared" si="96"/>
        <v/>
      </c>
    </row>
    <row r="463" spans="1:42">
      <c r="B463" s="1" t="s">
        <v>988</v>
      </c>
      <c r="C463" s="749" t="s">
        <v>3161</v>
      </c>
      <c r="E463" s="379" t="str">
        <f>_xlfn.IFNA(VLOOKUP($H463,Ingredient_prices!$B:$C,2,FALSE),"")</f>
        <v/>
      </c>
      <c r="T463" s="337" t="str">
        <f t="shared" si="97"/>
        <v/>
      </c>
      <c r="U463" s="337" t="str">
        <f t="shared" si="98"/>
        <v/>
      </c>
      <c r="V463" s="337"/>
      <c r="Y463" s="397" t="s">
        <v>502</v>
      </c>
      <c r="Z463" s="749">
        <v>20</v>
      </c>
      <c r="AA463" s="11" t="s">
        <v>2392</v>
      </c>
      <c r="AG463" s="5" t="str">
        <f t="shared" si="93"/>
        <v/>
      </c>
      <c r="AH463" s="5" t="str">
        <f>IF(AG463="","",VLOOKUP($Y463,Nutrition_tables!$A:$N,10,FALSE))</f>
        <v/>
      </c>
      <c r="AI463" s="5" t="str">
        <f t="shared" si="96"/>
        <v/>
      </c>
      <c r="AK463" s="379"/>
      <c r="AL463" s="379"/>
    </row>
    <row r="464" spans="1:42">
      <c r="B464" s="82" t="s">
        <v>2872</v>
      </c>
      <c r="C464" s="749" t="s">
        <v>3161</v>
      </c>
      <c r="E464" s="379" t="str">
        <f>_xlfn.IFNA(VLOOKUP($H464,Ingredient_prices!$B:$C,2,FALSE),"")</f>
        <v/>
      </c>
      <c r="T464" s="337" t="str">
        <f t="shared" si="97"/>
        <v/>
      </c>
      <c r="U464" s="337" t="str">
        <f t="shared" si="98"/>
        <v/>
      </c>
      <c r="V464" s="337"/>
      <c r="Y464" s="1" t="s">
        <v>3410</v>
      </c>
      <c r="Z464" s="749">
        <v>20</v>
      </c>
      <c r="AA464" s="11" t="s">
        <v>2392</v>
      </c>
      <c r="AG464" s="5" t="str">
        <f t="shared" si="93"/>
        <v/>
      </c>
      <c r="AH464" s="5" t="str">
        <f>IF(AG464="","",VLOOKUP($Y464,Nutrition_tables!$A:$N,10,FALSE))</f>
        <v/>
      </c>
      <c r="AI464" s="5" t="str">
        <f t="shared" si="96"/>
        <v/>
      </c>
      <c r="AK464" s="379"/>
    </row>
    <row r="465" spans="1:42">
      <c r="B465" s="1" t="s">
        <v>989</v>
      </c>
      <c r="C465" s="1" t="s">
        <v>3146</v>
      </c>
      <c r="E465" s="379" t="str">
        <f>_xlfn.IFNA(VLOOKUP($H465,Ingredient_prices!$B:$C,2,FALSE),"")</f>
        <v/>
      </c>
      <c r="T465" s="337" t="str">
        <f t="shared" si="97"/>
        <v/>
      </c>
      <c r="U465" s="337" t="str">
        <f t="shared" si="98"/>
        <v/>
      </c>
      <c r="V465" s="337"/>
      <c r="Y465" s="749" t="s">
        <v>3411</v>
      </c>
      <c r="Z465" s="749">
        <v>20</v>
      </c>
      <c r="AA465" s="11" t="s">
        <v>2392</v>
      </c>
      <c r="AG465" s="5" t="str">
        <f t="shared" si="93"/>
        <v/>
      </c>
      <c r="AH465" s="5" t="str">
        <f>IF(AG465="","",VLOOKUP($Y465,Nutrition_tables!$A:$N,10,FALSE))</f>
        <v/>
      </c>
      <c r="AI465" s="5" t="str">
        <f t="shared" si="96"/>
        <v/>
      </c>
    </row>
    <row r="466" spans="1:42">
      <c r="B466" s="1" t="s">
        <v>990</v>
      </c>
      <c r="C466" s="1" t="s">
        <v>3147</v>
      </c>
      <c r="E466" s="379" t="str">
        <f>_xlfn.IFNA(VLOOKUP($H466,Ingredient_prices!$B:$C,2,FALSE),"")</f>
        <v/>
      </c>
      <c r="T466" s="337" t="str">
        <f t="shared" si="97"/>
        <v/>
      </c>
      <c r="U466" s="337" t="str">
        <f t="shared" si="98"/>
        <v/>
      </c>
      <c r="V466" s="337"/>
      <c r="Y466" s="749" t="s">
        <v>3413</v>
      </c>
      <c r="Z466" s="749">
        <v>20</v>
      </c>
      <c r="AA466" s="11" t="s">
        <v>2392</v>
      </c>
      <c r="AG466" s="5" t="str">
        <f t="shared" si="93"/>
        <v/>
      </c>
      <c r="AH466" s="5" t="str">
        <f>IF(AG466="","",VLOOKUP($Y466,Nutrition_tables!$A:$N,10,FALSE))</f>
        <v/>
      </c>
      <c r="AI466" s="5" t="str">
        <f t="shared" si="96"/>
        <v/>
      </c>
    </row>
    <row r="467" spans="1:42">
      <c r="B467" s="1" t="s">
        <v>1718</v>
      </c>
      <c r="C467" s="1" t="s">
        <v>3175</v>
      </c>
      <c r="E467" s="379" t="str">
        <f>_xlfn.IFNA(VLOOKUP($H467,Ingredient_prices!$B:$C,2,FALSE),"")</f>
        <v/>
      </c>
      <c r="T467" s="337" t="str">
        <f t="shared" si="97"/>
        <v/>
      </c>
      <c r="U467" s="337" t="str">
        <f t="shared" si="98"/>
        <v/>
      </c>
      <c r="V467" s="337"/>
      <c r="Y467" s="749" t="s">
        <v>3416</v>
      </c>
      <c r="Z467" s="749">
        <v>20</v>
      </c>
      <c r="AA467" s="11" t="s">
        <v>2392</v>
      </c>
      <c r="AG467" s="5" t="str">
        <f t="shared" si="93"/>
        <v/>
      </c>
      <c r="AH467" s="5" t="str">
        <f>IF(AG467="","",VLOOKUP($Y467,Nutrition_tables!$A:$N,10,FALSE))</f>
        <v/>
      </c>
      <c r="AI467" s="5" t="str">
        <f t="shared" si="96"/>
        <v/>
      </c>
    </row>
    <row r="468" spans="1:42">
      <c r="B468" s="1" t="s">
        <v>991</v>
      </c>
      <c r="C468" s="1" t="s">
        <v>3175</v>
      </c>
      <c r="E468" s="379" t="str">
        <f>_xlfn.IFNA(VLOOKUP($H468,Ingredient_prices!$B:$C,2,FALSE),"")</f>
        <v/>
      </c>
      <c r="T468" s="337">
        <v>200</v>
      </c>
      <c r="U468" s="337">
        <v>200</v>
      </c>
      <c r="V468" s="337"/>
      <c r="Y468" s="749" t="s">
        <v>3412</v>
      </c>
      <c r="Z468" s="749">
        <v>20</v>
      </c>
      <c r="AA468" s="11" t="s">
        <v>2392</v>
      </c>
      <c r="AG468" s="5">
        <f t="shared" si="93"/>
        <v>552</v>
      </c>
      <c r="AH468" s="5">
        <f>IF(AG468="","",VLOOKUP($Y468,Nutrition_tables!$A:$N,10,FALSE))</f>
        <v>1</v>
      </c>
      <c r="AI468" s="5">
        <f t="shared" si="96"/>
        <v>55.2</v>
      </c>
    </row>
    <row r="469" spans="1:42">
      <c r="B469" s="82" t="s">
        <v>2461</v>
      </c>
      <c r="C469" s="1" t="s">
        <v>3167</v>
      </c>
      <c r="E469" s="379" t="str">
        <f>_xlfn.IFNA(VLOOKUP($H469,Ingredient_prices!$B:$C,2,FALSE),"")</f>
        <v/>
      </c>
      <c r="T469" s="337">
        <v>200</v>
      </c>
      <c r="U469" s="337">
        <v>200</v>
      </c>
      <c r="V469" s="337"/>
      <c r="Y469" s="749" t="s">
        <v>3532</v>
      </c>
      <c r="Z469" s="749">
        <v>20</v>
      </c>
      <c r="AA469" s="11" t="s">
        <v>2392</v>
      </c>
      <c r="AG469" s="5">
        <f t="shared" si="93"/>
        <v>331.2</v>
      </c>
      <c r="AH469" s="5" t="e">
        <f>IF(AG469="","",VLOOKUP($Y469,Nutrition_tables!$A:$N,10,FALSE))</f>
        <v>#N/A</v>
      </c>
      <c r="AI469" s="5" t="e">
        <f t="shared" si="96"/>
        <v>#N/A</v>
      </c>
      <c r="AK469" s="379"/>
      <c r="AM469" s="379"/>
      <c r="AN469" s="379"/>
      <c r="AO469" s="379"/>
      <c r="AP469" s="379"/>
    </row>
    <row r="470" spans="1:42" s="379" customFormat="1">
      <c r="A470" s="330"/>
      <c r="B470" s="1" t="s">
        <v>1379</v>
      </c>
      <c r="C470" s="1" t="s">
        <v>3167</v>
      </c>
      <c r="D470" s="330"/>
      <c r="E470" s="379" t="str">
        <f>_xlfn.IFNA(VLOOKUP($H470,Ingredient_prices!$B:$C,2,FALSE),"")</f>
        <v/>
      </c>
      <c r="F470" s="1197"/>
      <c r="G470" s="82"/>
      <c r="H470" s="82"/>
      <c r="I470"/>
      <c r="J470"/>
      <c r="K470" s="82"/>
      <c r="L470" s="82"/>
      <c r="M470" s="1202"/>
      <c r="N470" s="247"/>
      <c r="O470" s="1139"/>
      <c r="P470"/>
      <c r="Q470"/>
      <c r="R470"/>
      <c r="S470" s="1202"/>
      <c r="T470" s="337" t="str">
        <f t="shared" ref="T470:T504" si="99">IF(N471&gt;0,1000*P471/J471,"")</f>
        <v/>
      </c>
      <c r="U470" s="337" t="str">
        <f t="shared" ref="U470:U504" si="100">IF(N471&gt;0,1000*P471/J471,"")</f>
        <v/>
      </c>
      <c r="V470" s="337"/>
      <c r="W470" s="330"/>
      <c r="X470" s="99"/>
      <c r="Y470" s="1" t="s">
        <v>3414</v>
      </c>
      <c r="Z470" s="749">
        <v>20</v>
      </c>
      <c r="AA470" s="11" t="s">
        <v>2392</v>
      </c>
      <c r="AB470" s="421"/>
      <c r="AC470" s="421"/>
      <c r="AD470" s="749"/>
      <c r="AE470" s="749"/>
      <c r="AF470" s="749"/>
      <c r="AG470" s="5">
        <f t="shared" si="93"/>
        <v>564</v>
      </c>
      <c r="AH470" s="5">
        <f>IF(AG470="","",VLOOKUP($Y470,Nutrition_tables!$A:$N,10,FALSE))</f>
        <v>44</v>
      </c>
      <c r="AI470" s="5">
        <f t="shared" si="96"/>
        <v>1.2818181818181817</v>
      </c>
      <c r="AJ470" s="749"/>
      <c r="AK470"/>
      <c r="AL470"/>
    </row>
    <row r="471" spans="1:42" s="379" customFormat="1">
      <c r="A471" s="330"/>
      <c r="B471" s="1" t="s">
        <v>1261</v>
      </c>
      <c r="C471" s="749" t="s">
        <v>3177</v>
      </c>
      <c r="D471" s="330"/>
      <c r="E471" s="379" t="str">
        <f>_xlfn.IFNA(VLOOKUP($H471,Ingredient_prices!$B:$C,2,FALSE),"")</f>
        <v/>
      </c>
      <c r="F471" s="1197"/>
      <c r="H471" s="82"/>
      <c r="I471"/>
      <c r="J471"/>
      <c r="K471" s="82"/>
      <c r="L471" s="82"/>
      <c r="M471" s="1202"/>
      <c r="N471" s="247"/>
      <c r="O471" s="1139"/>
      <c r="P471"/>
      <c r="Q471"/>
      <c r="R471"/>
      <c r="S471" s="1202"/>
      <c r="T471" s="337" t="str">
        <f t="shared" si="99"/>
        <v/>
      </c>
      <c r="U471" s="337" t="str">
        <f t="shared" si="100"/>
        <v/>
      </c>
      <c r="V471" s="337"/>
      <c r="W471" s="330"/>
      <c r="X471" s="99"/>
      <c r="Y471" s="1" t="s">
        <v>2739</v>
      </c>
      <c r="Z471" s="749">
        <v>20</v>
      </c>
      <c r="AA471" s="11" t="s">
        <v>2392</v>
      </c>
      <c r="AB471" s="421"/>
      <c r="AC471" s="421"/>
      <c r="AD471" s="749"/>
      <c r="AE471" s="749"/>
      <c r="AF471" s="749"/>
      <c r="AG471" s="5" t="str">
        <f t="shared" si="93"/>
        <v/>
      </c>
      <c r="AH471" s="5" t="str">
        <f>IF(AG471="","",VLOOKUP($Y471,Nutrition_tables!$A:$N,10,FALSE))</f>
        <v/>
      </c>
      <c r="AI471" s="5" t="str">
        <f t="shared" si="96"/>
        <v/>
      </c>
      <c r="AJ471" s="749"/>
      <c r="AK471"/>
      <c r="AL471"/>
      <c r="AM471"/>
      <c r="AN471"/>
      <c r="AO471"/>
      <c r="AP471"/>
    </row>
    <row r="472" spans="1:42">
      <c r="B472" s="1" t="s">
        <v>992</v>
      </c>
      <c r="C472" s="749" t="s">
        <v>3177</v>
      </c>
      <c r="E472" s="379" t="str">
        <f>_xlfn.IFNA(VLOOKUP($H472,Ingredient_prices!$B:$C,2,FALSE),"")</f>
        <v/>
      </c>
      <c r="T472" s="337" t="str">
        <f t="shared" si="99"/>
        <v/>
      </c>
      <c r="U472" s="337" t="str">
        <f t="shared" si="100"/>
        <v/>
      </c>
      <c r="V472" s="337"/>
      <c r="Y472" s="1" t="s">
        <v>3517</v>
      </c>
      <c r="Z472" s="749">
        <v>20</v>
      </c>
      <c r="AA472" s="11" t="s">
        <v>2392</v>
      </c>
      <c r="AG472" s="5">
        <f t="shared" si="93"/>
        <v>564</v>
      </c>
      <c r="AH472" s="5">
        <f>IF(AG472="","",VLOOKUP($Y472,Nutrition_tables!$A:$N,10,FALSE))</f>
        <v>44</v>
      </c>
      <c r="AI472" s="5">
        <f t="shared" si="96"/>
        <v>1.2818181818181817</v>
      </c>
    </row>
    <row r="473" spans="1:42">
      <c r="B473" s="1" t="s">
        <v>993</v>
      </c>
      <c r="C473" s="1" t="s">
        <v>1827</v>
      </c>
      <c r="E473" s="379" t="str">
        <f>_xlfn.IFNA(VLOOKUP($H473,Ingredient_prices!$B:$C,2,FALSE),"")</f>
        <v/>
      </c>
      <c r="I473" s="379"/>
      <c r="J473" s="379"/>
      <c r="P473" s="379"/>
      <c r="Q473" s="379"/>
      <c r="R473" s="379"/>
      <c r="T473" s="337" t="str">
        <f t="shared" si="99"/>
        <v/>
      </c>
      <c r="U473" s="337" t="str">
        <f t="shared" si="100"/>
        <v/>
      </c>
      <c r="V473" s="337"/>
      <c r="Y473" s="1" t="s">
        <v>3415</v>
      </c>
      <c r="Z473" s="749">
        <v>20</v>
      </c>
      <c r="AA473" s="11" t="s">
        <v>2392</v>
      </c>
      <c r="AG473" s="5" t="str">
        <f t="shared" si="93"/>
        <v/>
      </c>
      <c r="AH473" s="5" t="str">
        <f>IF(AG473="","",VLOOKUP($Y473,Nutrition_tables!$A:$N,10,FALSE))</f>
        <v/>
      </c>
      <c r="AI473" s="5" t="str">
        <f t="shared" si="96"/>
        <v/>
      </c>
    </row>
    <row r="474" spans="1:42">
      <c r="B474" s="1" t="s">
        <v>994</v>
      </c>
      <c r="C474" s="1" t="s">
        <v>3176</v>
      </c>
      <c r="E474" s="379" t="str">
        <f>_xlfn.IFNA(VLOOKUP($H474,Ingredient_prices!$B:$C,2,FALSE),"")</f>
        <v/>
      </c>
      <c r="I474" s="379"/>
      <c r="J474" s="379"/>
      <c r="P474" s="379"/>
      <c r="Q474" s="379"/>
      <c r="R474" s="379"/>
      <c r="T474" s="337" t="str">
        <f t="shared" si="99"/>
        <v/>
      </c>
      <c r="U474" s="337" t="str">
        <f t="shared" si="100"/>
        <v/>
      </c>
      <c r="V474" s="337"/>
      <c r="Y474" s="1" t="s">
        <v>1975</v>
      </c>
      <c r="Z474" s="749">
        <v>20</v>
      </c>
      <c r="AA474" s="11" t="s">
        <v>2392</v>
      </c>
      <c r="AG474" s="5" t="str">
        <f t="shared" si="93"/>
        <v/>
      </c>
      <c r="AH474" s="5" t="str">
        <f>IF(AG474="","",VLOOKUP($Y474,Nutrition_tables!$A:$N,10,FALSE))</f>
        <v/>
      </c>
      <c r="AI474" s="5" t="str">
        <f t="shared" si="96"/>
        <v/>
      </c>
      <c r="AL474" s="379"/>
    </row>
    <row r="475" spans="1:42">
      <c r="B475" s="1" t="s">
        <v>1262</v>
      </c>
      <c r="C475" s="749" t="s">
        <v>3178</v>
      </c>
      <c r="E475" s="379" t="str">
        <f>_xlfn.IFNA(VLOOKUP($H475,Ingredient_prices!$B:$C,2,FALSE),"")</f>
        <v/>
      </c>
      <c r="T475" s="337" t="str">
        <f t="shared" si="99"/>
        <v/>
      </c>
      <c r="U475" s="337" t="str">
        <f t="shared" si="100"/>
        <v/>
      </c>
      <c r="V475" s="337"/>
      <c r="Y475" s="1" t="s">
        <v>1974</v>
      </c>
      <c r="AA475" s="11" t="s">
        <v>2392</v>
      </c>
      <c r="AG475" s="5" t="str">
        <f t="shared" si="93"/>
        <v/>
      </c>
      <c r="AH475" s="5" t="str">
        <f>IF(AG475="","",VLOOKUP($Y475,Nutrition_tables!$A:$N,10,FALSE))</f>
        <v/>
      </c>
      <c r="AI475" s="5" t="str">
        <f t="shared" si="96"/>
        <v/>
      </c>
      <c r="AL475" s="379"/>
    </row>
    <row r="476" spans="1:42">
      <c r="B476" s="1" t="s">
        <v>2146</v>
      </c>
      <c r="C476" s="749" t="s">
        <v>3178</v>
      </c>
      <c r="E476" s="379" t="str">
        <f>_xlfn.IFNA(VLOOKUP($H476,Ingredient_prices!$B:$C,2,FALSE),"")</f>
        <v/>
      </c>
      <c r="T476" s="337" t="str">
        <f t="shared" si="99"/>
        <v/>
      </c>
      <c r="U476" s="337" t="str">
        <f t="shared" si="100"/>
        <v/>
      </c>
      <c r="V476" s="337"/>
      <c r="Y476" s="1" t="s">
        <v>1977</v>
      </c>
      <c r="AA476" s="11" t="s">
        <v>2392</v>
      </c>
      <c r="AG476" s="5" t="str">
        <f t="shared" ref="AG476:AG539" si="101">_xlfn.IFNA(VLOOKUP($Y476,$E:$U,17,FALSE),"")</f>
        <v/>
      </c>
      <c r="AH476" s="5" t="str">
        <f>IF(AG476="","",VLOOKUP($Y476,Nutrition_tables!$A:$N,10,FALSE))</f>
        <v/>
      </c>
      <c r="AI476" s="5" t="str">
        <f t="shared" si="96"/>
        <v/>
      </c>
    </row>
    <row r="477" spans="1:42">
      <c r="B477" s="1" t="s">
        <v>1329</v>
      </c>
      <c r="C477" s="749" t="s">
        <v>3178</v>
      </c>
      <c r="E477" s="379" t="str">
        <f>_xlfn.IFNA(VLOOKUP($H477,Ingredient_prices!$B:$C,2,FALSE),"")</f>
        <v/>
      </c>
      <c r="G477" s="248"/>
      <c r="T477" s="337" t="str">
        <f t="shared" si="99"/>
        <v/>
      </c>
      <c r="U477" s="337" t="str">
        <f t="shared" si="100"/>
        <v/>
      </c>
      <c r="V477" s="337"/>
      <c r="Y477" s="1" t="s">
        <v>3523</v>
      </c>
      <c r="Z477" s="749">
        <v>20</v>
      </c>
      <c r="AA477" s="11" t="s">
        <v>2392</v>
      </c>
      <c r="AG477" s="5" t="str">
        <f t="shared" si="101"/>
        <v/>
      </c>
      <c r="AH477" s="5" t="str">
        <f>IF(AG477="","",VLOOKUP($Y477,Nutrition_tables!$A:$N,10,FALSE))</f>
        <v/>
      </c>
      <c r="AI477" s="5" t="str">
        <f t="shared" si="96"/>
        <v/>
      </c>
    </row>
    <row r="478" spans="1:42">
      <c r="B478" s="1" t="s">
        <v>995</v>
      </c>
      <c r="C478" s="749" t="s">
        <v>3178</v>
      </c>
      <c r="E478" s="379" t="str">
        <f>_xlfn.IFNA(VLOOKUP($H478,Ingredient_prices!$B:$C,2,FALSE),"")</f>
        <v/>
      </c>
      <c r="G478" s="248"/>
      <c r="T478" s="337" t="str">
        <f t="shared" si="99"/>
        <v/>
      </c>
      <c r="U478" s="337" t="str">
        <f t="shared" si="100"/>
        <v/>
      </c>
      <c r="V478" s="337"/>
      <c r="Y478" s="1" t="s">
        <v>3524</v>
      </c>
      <c r="Z478" s="749">
        <v>20</v>
      </c>
      <c r="AA478" s="11" t="s">
        <v>2392</v>
      </c>
      <c r="AG478" s="5" t="str">
        <f t="shared" si="101"/>
        <v/>
      </c>
      <c r="AH478" s="5" t="str">
        <f>IF(AG478="","",VLOOKUP($Y478,Nutrition_tables!$A:$N,10,FALSE))</f>
        <v/>
      </c>
      <c r="AI478" s="5" t="str">
        <f t="shared" si="96"/>
        <v/>
      </c>
    </row>
    <row r="479" spans="1:42">
      <c r="B479" s="1" t="s">
        <v>996</v>
      </c>
      <c r="C479" s="749" t="s">
        <v>3179</v>
      </c>
      <c r="E479" s="379" t="str">
        <f>_xlfn.IFNA(VLOOKUP($H479,Ingredient_prices!$B:$C,2,FALSE),"")</f>
        <v/>
      </c>
      <c r="T479" s="337" t="str">
        <f t="shared" si="99"/>
        <v/>
      </c>
      <c r="U479" s="337" t="str">
        <f t="shared" si="100"/>
        <v/>
      </c>
      <c r="V479" s="337"/>
      <c r="Y479" s="1" t="s">
        <v>3525</v>
      </c>
      <c r="Z479" s="749">
        <v>20</v>
      </c>
      <c r="AA479" s="11" t="s">
        <v>2392</v>
      </c>
      <c r="AG479" s="5" t="str">
        <f t="shared" si="101"/>
        <v/>
      </c>
      <c r="AH479" s="5" t="str">
        <f>IF(AG479="","",VLOOKUP($Y479,Nutrition_tables!$A:$N,10,FALSE))</f>
        <v/>
      </c>
      <c r="AI479" s="5" t="str">
        <f t="shared" si="96"/>
        <v/>
      </c>
    </row>
    <row r="480" spans="1:42">
      <c r="B480" s="1" t="s">
        <v>997</v>
      </c>
      <c r="C480" s="1" t="s">
        <v>1831</v>
      </c>
      <c r="E480" s="379" t="str">
        <f>_xlfn.IFNA(VLOOKUP($H480,Ingredient_prices!$B:$C,2,FALSE),"")</f>
        <v/>
      </c>
      <c r="T480" s="337" t="str">
        <f t="shared" si="99"/>
        <v/>
      </c>
      <c r="U480" s="337" t="str">
        <f t="shared" si="100"/>
        <v/>
      </c>
      <c r="V480" s="337"/>
      <c r="Y480" s="1274" t="s">
        <v>3527</v>
      </c>
      <c r="Z480" s="749">
        <v>20</v>
      </c>
      <c r="AA480" s="11" t="s">
        <v>2392</v>
      </c>
      <c r="AG480" s="5" t="str">
        <f t="shared" si="101"/>
        <v/>
      </c>
      <c r="AH480" s="5" t="str">
        <f>IF(AG480="","",VLOOKUP($Y480,Nutrition_tables!$A:$N,10,FALSE))</f>
        <v/>
      </c>
      <c r="AI480" s="5" t="str">
        <f t="shared" si="96"/>
        <v/>
      </c>
      <c r="AK480" s="379"/>
    </row>
    <row r="481" spans="2:37">
      <c r="B481" s="1" t="s">
        <v>998</v>
      </c>
      <c r="C481" s="749" t="s">
        <v>3180</v>
      </c>
      <c r="E481" s="379" t="str">
        <f>_xlfn.IFNA(VLOOKUP($H481,Ingredient_prices!$B:$C,2,FALSE),"")</f>
        <v/>
      </c>
      <c r="T481" s="337" t="str">
        <f t="shared" si="99"/>
        <v/>
      </c>
      <c r="U481" s="337" t="str">
        <f t="shared" si="100"/>
        <v/>
      </c>
      <c r="V481" s="337"/>
      <c r="Y481" s="1" t="s">
        <v>3530</v>
      </c>
      <c r="Z481" s="749">
        <v>20</v>
      </c>
      <c r="AA481" s="11" t="s">
        <v>2392</v>
      </c>
      <c r="AG481" s="5" t="str">
        <f t="shared" si="101"/>
        <v/>
      </c>
      <c r="AH481" s="5" t="str">
        <f>IF(AG481="","",VLOOKUP($Y481,Nutrition_tables!$A:$N,10,FALSE))</f>
        <v/>
      </c>
      <c r="AI481" s="5" t="str">
        <f t="shared" si="96"/>
        <v/>
      </c>
      <c r="AK481" s="379"/>
    </row>
    <row r="482" spans="2:37">
      <c r="B482" s="1" t="s">
        <v>999</v>
      </c>
      <c r="C482" s="749" t="s">
        <v>3181</v>
      </c>
      <c r="E482" s="379" t="str">
        <f>_xlfn.IFNA(VLOOKUP($H482,Ingredient_prices!$B:$C,2,FALSE),"")</f>
        <v/>
      </c>
      <c r="T482" s="337" t="str">
        <f t="shared" si="99"/>
        <v/>
      </c>
      <c r="U482" s="337" t="str">
        <f t="shared" si="100"/>
        <v/>
      </c>
      <c r="V482" s="337"/>
      <c r="Y482" s="1" t="s">
        <v>3526</v>
      </c>
      <c r="Z482" s="749">
        <v>20</v>
      </c>
      <c r="AA482" s="11" t="s">
        <v>2392</v>
      </c>
      <c r="AG482" s="5" t="str">
        <f t="shared" si="101"/>
        <v/>
      </c>
      <c r="AH482" s="5" t="str">
        <f>IF(AG482="","",VLOOKUP($Y482,Nutrition_tables!$A:$N,10,FALSE))</f>
        <v/>
      </c>
      <c r="AI482" s="5" t="str">
        <f t="shared" si="96"/>
        <v/>
      </c>
    </row>
    <row r="483" spans="2:37">
      <c r="B483" s="1" t="s">
        <v>1000</v>
      </c>
      <c r="C483" s="749" t="s">
        <v>3182</v>
      </c>
      <c r="E483" s="379" t="str">
        <f>_xlfn.IFNA(VLOOKUP($H483,Ingredient_prices!$B:$C,2,FALSE),"")</f>
        <v/>
      </c>
      <c r="T483" s="337" t="str">
        <f t="shared" si="99"/>
        <v/>
      </c>
      <c r="U483" s="337" t="str">
        <f t="shared" si="100"/>
        <v/>
      </c>
      <c r="V483" s="337"/>
      <c r="Y483" s="24" t="s">
        <v>3418</v>
      </c>
      <c r="Z483" s="492"/>
      <c r="AA483" s="703" t="s">
        <v>2392</v>
      </c>
      <c r="AG483" s="5" t="str">
        <f t="shared" si="101"/>
        <v/>
      </c>
      <c r="AH483" s="5" t="str">
        <f>IF(AG483="","",VLOOKUP($Y483,Nutrition_tables!$A:$N,10,FALSE))</f>
        <v/>
      </c>
      <c r="AI483" s="5" t="str">
        <f t="shared" si="96"/>
        <v/>
      </c>
    </row>
    <row r="484" spans="2:37">
      <c r="B484" s="749" t="s">
        <v>2303</v>
      </c>
      <c r="C484" s="1" t="s">
        <v>3169</v>
      </c>
      <c r="E484" s="379" t="str">
        <f>_xlfn.IFNA(VLOOKUP($H484,Ingredient_prices!$B:$C,2,FALSE),"")</f>
        <v/>
      </c>
      <c r="T484" s="337" t="str">
        <f t="shared" si="99"/>
        <v/>
      </c>
      <c r="U484" s="337" t="str">
        <f t="shared" si="100"/>
        <v/>
      </c>
      <c r="V484" s="337"/>
      <c r="Y484" s="397" t="s">
        <v>1976</v>
      </c>
      <c r="Z484" s="749">
        <v>20</v>
      </c>
      <c r="AA484" s="749" t="s">
        <v>2393</v>
      </c>
      <c r="AG484" s="5" t="str">
        <f t="shared" si="101"/>
        <v/>
      </c>
      <c r="AH484" s="5" t="str">
        <f>IF(AG484="","",VLOOKUP($Y484,Nutrition_tables!$A:$N,10,FALSE))</f>
        <v/>
      </c>
      <c r="AI484" s="5" t="str">
        <f t="shared" si="96"/>
        <v/>
      </c>
    </row>
    <row r="485" spans="2:37">
      <c r="B485" s="1" t="s">
        <v>1001</v>
      </c>
      <c r="C485" s="749" t="s">
        <v>3162</v>
      </c>
      <c r="E485" s="379" t="str">
        <f>_xlfn.IFNA(VLOOKUP($H485,Ingredient_prices!$B:$C,2,FALSE),"")</f>
        <v/>
      </c>
      <c r="T485" s="337" t="str">
        <f t="shared" si="99"/>
        <v/>
      </c>
      <c r="U485" s="337" t="str">
        <f t="shared" si="100"/>
        <v/>
      </c>
      <c r="V485" s="337"/>
      <c r="Y485" s="749" t="s">
        <v>3419</v>
      </c>
      <c r="Z485" s="749">
        <v>20</v>
      </c>
      <c r="AA485" s="749" t="s">
        <v>2393</v>
      </c>
      <c r="AG485" s="5" t="str">
        <f t="shared" si="101"/>
        <v/>
      </c>
      <c r="AH485" s="5" t="str">
        <f>IF(AG485="","",VLOOKUP($Y485,Nutrition_tables!$A:$N,10,FALSE))</f>
        <v/>
      </c>
      <c r="AI485" s="5" t="str">
        <f t="shared" si="96"/>
        <v/>
      </c>
    </row>
    <row r="486" spans="2:37">
      <c r="B486" s="749" t="s">
        <v>2299</v>
      </c>
      <c r="C486" s="1" t="s">
        <v>1827</v>
      </c>
      <c r="E486" s="379" t="str">
        <f>_xlfn.IFNA(VLOOKUP($H486,Ingredient_prices!$B:$C,2,FALSE),"")</f>
        <v/>
      </c>
      <c r="T486" s="337" t="str">
        <f t="shared" si="99"/>
        <v/>
      </c>
      <c r="U486" s="337" t="str">
        <f t="shared" si="100"/>
        <v/>
      </c>
      <c r="V486" s="337"/>
      <c r="Y486" s="1274" t="s">
        <v>3420</v>
      </c>
      <c r="Z486" s="749">
        <v>20</v>
      </c>
      <c r="AA486" s="749" t="s">
        <v>2393</v>
      </c>
      <c r="AG486" s="5" t="str">
        <f t="shared" si="101"/>
        <v/>
      </c>
      <c r="AH486" s="5" t="str">
        <f>IF(AG486="","",VLOOKUP($Y486,Nutrition_tables!$A:$N,10,FALSE))</f>
        <v/>
      </c>
      <c r="AI486" s="5" t="str">
        <f t="shared" si="96"/>
        <v/>
      </c>
    </row>
    <row r="487" spans="2:37">
      <c r="B487" s="1" t="s">
        <v>1252</v>
      </c>
      <c r="C487" s="1" t="s">
        <v>3443</v>
      </c>
      <c r="E487" s="379" t="str">
        <f>_xlfn.IFNA(VLOOKUP($H487,Ingredient_prices!$B:$C,2,FALSE),"")</f>
        <v/>
      </c>
      <c r="T487" s="337" t="str">
        <f t="shared" si="99"/>
        <v/>
      </c>
      <c r="U487" s="337" t="str">
        <f t="shared" si="100"/>
        <v/>
      </c>
      <c r="V487" s="337"/>
      <c r="Y487" s="1" t="s">
        <v>1983</v>
      </c>
      <c r="Z487" s="749">
        <v>20</v>
      </c>
      <c r="AA487" s="749" t="s">
        <v>2393</v>
      </c>
      <c r="AG487" s="5" t="str">
        <f t="shared" si="101"/>
        <v/>
      </c>
      <c r="AH487" s="5" t="str">
        <f>IF(AG487="","",VLOOKUP($Y487,Nutrition_tables!$A:$N,10,FALSE))</f>
        <v/>
      </c>
      <c r="AI487" s="5" t="str">
        <f t="shared" si="96"/>
        <v/>
      </c>
    </row>
    <row r="488" spans="2:37">
      <c r="B488" s="749" t="s">
        <v>2296</v>
      </c>
      <c r="C488" s="749" t="s">
        <v>3161</v>
      </c>
      <c r="E488" s="379" t="str">
        <f>_xlfn.IFNA(VLOOKUP($H488,Ingredient_prices!$B:$C,2,FALSE),"")</f>
        <v/>
      </c>
      <c r="T488" s="337" t="str">
        <f t="shared" si="99"/>
        <v/>
      </c>
      <c r="U488" s="337" t="str">
        <f t="shared" si="100"/>
        <v/>
      </c>
      <c r="V488" s="337"/>
      <c r="Y488" s="1" t="s">
        <v>1984</v>
      </c>
      <c r="Z488" s="749">
        <v>20</v>
      </c>
      <c r="AA488" s="749" t="s">
        <v>2393</v>
      </c>
      <c r="AG488" s="5">
        <f t="shared" si="101"/>
        <v>150</v>
      </c>
      <c r="AH488" s="5">
        <f>IF(AG488="","",VLOOKUP($Y488,Nutrition_tables!$A:$N,10,FALSE))</f>
        <v>47</v>
      </c>
      <c r="AI488" s="5">
        <f t="shared" si="96"/>
        <v>0.31914893617021278</v>
      </c>
    </row>
    <row r="489" spans="2:37">
      <c r="B489" s="82" t="s">
        <v>2395</v>
      </c>
      <c r="C489" s="749" t="s">
        <v>3161</v>
      </c>
      <c r="E489" s="379" t="str">
        <f>_xlfn.IFNA(VLOOKUP($H489,Ingredient_prices!$B:$C,2,FALSE),"")</f>
        <v/>
      </c>
      <c r="T489" s="337" t="str">
        <f t="shared" si="99"/>
        <v/>
      </c>
      <c r="U489" s="337" t="str">
        <f t="shared" si="100"/>
        <v/>
      </c>
      <c r="V489" s="337"/>
      <c r="Y489" s="24" t="s">
        <v>3423</v>
      </c>
      <c r="Z489" s="492">
        <v>20</v>
      </c>
      <c r="AA489" s="492" t="s">
        <v>2393</v>
      </c>
      <c r="AG489" s="5" t="str">
        <f t="shared" si="101"/>
        <v/>
      </c>
      <c r="AH489" s="5" t="str">
        <f>IF(AG489="","",VLOOKUP($Y489,Nutrition_tables!$A:$N,10,FALSE))</f>
        <v/>
      </c>
    </row>
    <row r="490" spans="2:37">
      <c r="B490" s="1" t="s">
        <v>2143</v>
      </c>
      <c r="C490" s="1" t="s">
        <v>3443</v>
      </c>
      <c r="E490" s="379" t="str">
        <f>_xlfn.IFNA(VLOOKUP($H490,Ingredient_prices!$B:$C,2,FALSE),"")</f>
        <v/>
      </c>
      <c r="T490" s="337" t="str">
        <f t="shared" si="99"/>
        <v/>
      </c>
      <c r="U490" s="337" t="str">
        <f t="shared" si="100"/>
        <v/>
      </c>
      <c r="V490" s="337"/>
      <c r="AG490" s="5" t="str">
        <f t="shared" si="101"/>
        <v/>
      </c>
      <c r="AH490" s="5" t="str">
        <f>IF(AG490="","",VLOOKUP($Y490,Nutrition_tables!$A:$N,10,FALSE))</f>
        <v/>
      </c>
    </row>
    <row r="491" spans="2:37">
      <c r="B491" s="1" t="s">
        <v>2109</v>
      </c>
      <c r="C491" s="1" t="s">
        <v>3443</v>
      </c>
      <c r="E491" s="379" t="str">
        <f>_xlfn.IFNA(VLOOKUP($H491,Ingredient_prices!$B:$C,2,FALSE),"")</f>
        <v/>
      </c>
      <c r="T491" s="337" t="str">
        <f t="shared" si="99"/>
        <v/>
      </c>
      <c r="U491" s="337" t="str">
        <f t="shared" si="100"/>
        <v/>
      </c>
      <c r="V491" s="337"/>
      <c r="AG491" s="5" t="str">
        <f t="shared" si="101"/>
        <v/>
      </c>
      <c r="AH491" s="5" t="str">
        <f>IF(AG491="","",VLOOKUP($Y491,Nutrition_tables!$A:$N,10,FALSE))</f>
        <v/>
      </c>
    </row>
    <row r="492" spans="2:37">
      <c r="B492" s="1" t="s">
        <v>1322</v>
      </c>
      <c r="C492" s="1" t="s">
        <v>3443</v>
      </c>
      <c r="E492" s="379" t="str">
        <f>_xlfn.IFNA(VLOOKUP($H492,Ingredient_prices!$B:$C,2,FALSE),"")</f>
        <v/>
      </c>
      <c r="T492" s="337" t="str">
        <f t="shared" si="99"/>
        <v/>
      </c>
      <c r="U492" s="337" t="str">
        <f t="shared" si="100"/>
        <v/>
      </c>
      <c r="V492" s="337"/>
      <c r="AG492" s="5" t="str">
        <f t="shared" si="101"/>
        <v/>
      </c>
      <c r="AH492" s="5" t="str">
        <f>IF(AG492="","",VLOOKUP($Y492,Nutrition_tables!$A:$N,10,FALSE))</f>
        <v/>
      </c>
    </row>
    <row r="493" spans="2:37">
      <c r="B493" s="1" t="s">
        <v>1002</v>
      </c>
      <c r="C493" s="1" t="s">
        <v>3443</v>
      </c>
      <c r="E493" s="379" t="str">
        <f>_xlfn.IFNA(VLOOKUP($H493,Ingredient_prices!$B:$C,2,FALSE),"")</f>
        <v/>
      </c>
      <c r="T493" s="337" t="str">
        <f t="shared" si="99"/>
        <v/>
      </c>
      <c r="U493" s="337" t="str">
        <f t="shared" si="100"/>
        <v/>
      </c>
      <c r="V493" s="337"/>
      <c r="AG493" s="5" t="str">
        <f t="shared" si="101"/>
        <v/>
      </c>
      <c r="AH493" s="5" t="str">
        <f>IF(AG493="","",VLOOKUP($Y493,Nutrition_tables!$A:$N,10,FALSE))</f>
        <v/>
      </c>
    </row>
    <row r="494" spans="2:37">
      <c r="B494" s="82" t="s">
        <v>2399</v>
      </c>
      <c r="C494" s="1" t="s">
        <v>3157</v>
      </c>
      <c r="E494" s="379" t="str">
        <f>_xlfn.IFNA(VLOOKUP($H494,Ingredient_prices!$B:$C,2,FALSE),"")</f>
        <v/>
      </c>
      <c r="T494" s="337" t="str">
        <f t="shared" si="99"/>
        <v/>
      </c>
      <c r="U494" s="337" t="str">
        <f t="shared" si="100"/>
        <v/>
      </c>
      <c r="V494" s="337"/>
      <c r="AG494" s="5" t="str">
        <f t="shared" si="101"/>
        <v/>
      </c>
      <c r="AH494" s="5" t="str">
        <f>IF(AG494="","",VLOOKUP($Y494,Nutrition_tables!$A:$N,10,FALSE))</f>
        <v/>
      </c>
    </row>
    <row r="495" spans="2:37">
      <c r="B495" s="1" t="s">
        <v>1003</v>
      </c>
      <c r="C495" s="1" t="s">
        <v>91</v>
      </c>
      <c r="E495" s="379" t="str">
        <f>_xlfn.IFNA(VLOOKUP($H495,Ingredient_prices!$B:$C,2,FALSE),"")</f>
        <v/>
      </c>
      <c r="T495" s="337" t="str">
        <f t="shared" si="99"/>
        <v/>
      </c>
      <c r="U495" s="337" t="str">
        <f t="shared" si="100"/>
        <v/>
      </c>
      <c r="V495" s="337"/>
      <c r="AG495" s="5" t="str">
        <f t="shared" si="101"/>
        <v/>
      </c>
      <c r="AH495" s="5" t="str">
        <f>IF(AG495="","",VLOOKUP($Y495,Nutrition_tables!$A:$N,10,FALSE))</f>
        <v/>
      </c>
    </row>
    <row r="496" spans="2:37">
      <c r="B496" s="1" t="s">
        <v>1688</v>
      </c>
      <c r="C496" s="1" t="s">
        <v>3465</v>
      </c>
      <c r="E496" s="379" t="str">
        <f>_xlfn.IFNA(VLOOKUP($H496,Ingredient_prices!$B:$C,2,FALSE),"")</f>
        <v/>
      </c>
      <c r="T496" s="337" t="str">
        <f t="shared" si="99"/>
        <v/>
      </c>
      <c r="U496" s="337" t="str">
        <f t="shared" si="100"/>
        <v/>
      </c>
      <c r="V496" s="337"/>
      <c r="AG496" s="5" t="str">
        <f t="shared" si="101"/>
        <v/>
      </c>
      <c r="AH496" s="5" t="str">
        <f>IF(AG496="","",VLOOKUP($Y496,Nutrition_tables!$A:$N,10,FALSE))</f>
        <v/>
      </c>
    </row>
    <row r="497" spans="2:34">
      <c r="B497" s="1" t="s">
        <v>1328</v>
      </c>
      <c r="C497" s="1" t="s">
        <v>1823</v>
      </c>
      <c r="E497" s="379" t="str">
        <f>_xlfn.IFNA(VLOOKUP($H497,Ingredient_prices!$B:$C,2,FALSE),"")</f>
        <v/>
      </c>
      <c r="T497" s="337" t="str">
        <f t="shared" si="99"/>
        <v/>
      </c>
      <c r="U497" s="337" t="str">
        <f t="shared" si="100"/>
        <v/>
      </c>
      <c r="V497" s="337"/>
      <c r="AG497" s="5" t="str">
        <f t="shared" si="101"/>
        <v/>
      </c>
      <c r="AH497" s="5" t="str">
        <f>IF(AG497="","",VLOOKUP($Y497,Nutrition_tables!$A:$N,10,FALSE))</f>
        <v/>
      </c>
    </row>
    <row r="498" spans="2:34">
      <c r="B498" s="1" t="s">
        <v>1326</v>
      </c>
      <c r="C498" s="1" t="s">
        <v>1823</v>
      </c>
      <c r="E498" s="379" t="str">
        <f>_xlfn.IFNA(VLOOKUP($H498,Ingredient_prices!$B:$C,2,FALSE),"")</f>
        <v/>
      </c>
      <c r="T498" s="337" t="str">
        <f t="shared" si="99"/>
        <v/>
      </c>
      <c r="U498" s="337" t="str">
        <f t="shared" si="100"/>
        <v/>
      </c>
      <c r="V498" s="337"/>
      <c r="AG498" s="5" t="str">
        <f t="shared" si="101"/>
        <v/>
      </c>
      <c r="AH498" s="5" t="str">
        <f>IF(AG498="","",VLOOKUP($Y498,Nutrition_tables!$A:$N,10,FALSE))</f>
        <v/>
      </c>
    </row>
    <row r="499" spans="2:34">
      <c r="B499" s="749" t="s">
        <v>2302</v>
      </c>
      <c r="C499" s="1" t="s">
        <v>3169</v>
      </c>
      <c r="E499" s="379" t="str">
        <f>_xlfn.IFNA(VLOOKUP($H499,Ingredient_prices!$B:$C,2,FALSE),"")</f>
        <v/>
      </c>
      <c r="T499" s="337" t="str">
        <f t="shared" si="99"/>
        <v/>
      </c>
      <c r="U499" s="337" t="str">
        <f t="shared" si="100"/>
        <v/>
      </c>
      <c r="V499" s="337"/>
      <c r="AG499" s="5" t="str">
        <f t="shared" si="101"/>
        <v/>
      </c>
      <c r="AH499" s="5" t="str">
        <f>IF(AG499="","",VLOOKUP($Y499,Nutrition_tables!$A:$N,10,FALSE))</f>
        <v/>
      </c>
    </row>
    <row r="500" spans="2:34">
      <c r="B500" s="749" t="s">
        <v>2361</v>
      </c>
      <c r="C500" s="1" t="s">
        <v>3169</v>
      </c>
      <c r="E500" s="379" t="str">
        <f>_xlfn.IFNA(VLOOKUP($H500,Ingredient_prices!$B:$C,2,FALSE),"")</f>
        <v/>
      </c>
      <c r="T500" s="337" t="str">
        <f t="shared" si="99"/>
        <v/>
      </c>
      <c r="U500" s="337" t="str">
        <f t="shared" si="100"/>
        <v/>
      </c>
      <c r="V500" s="337"/>
      <c r="AG500" s="5" t="str">
        <f t="shared" si="101"/>
        <v/>
      </c>
      <c r="AH500" s="5" t="str">
        <f>IF(AG500="","",VLOOKUP($Y500,Nutrition_tables!$A:$N,10,FALSE))</f>
        <v/>
      </c>
    </row>
    <row r="501" spans="2:34">
      <c r="B501" s="1" t="s">
        <v>1195</v>
      </c>
      <c r="C501" s="1" t="s">
        <v>3169</v>
      </c>
      <c r="E501" s="379" t="str">
        <f>_xlfn.IFNA(VLOOKUP($H501,Ingredient_prices!$B:$C,2,FALSE),"")</f>
        <v/>
      </c>
      <c r="T501" s="337" t="str">
        <f t="shared" si="99"/>
        <v/>
      </c>
      <c r="U501" s="337" t="str">
        <f t="shared" si="100"/>
        <v/>
      </c>
      <c r="V501" s="337"/>
      <c r="AG501" s="5" t="str">
        <f t="shared" si="101"/>
        <v/>
      </c>
      <c r="AH501" s="5" t="str">
        <f>IF(AG501="","",VLOOKUP($Y501,Nutrition_tables!$A:$N,10,FALSE))</f>
        <v/>
      </c>
    </row>
    <row r="502" spans="2:34">
      <c r="B502" s="749" t="s">
        <v>2228</v>
      </c>
      <c r="C502" s="1" t="s">
        <v>3169</v>
      </c>
      <c r="E502" s="379" t="str">
        <f>_xlfn.IFNA(VLOOKUP($H502,Ingredient_prices!$B:$C,2,FALSE),"")</f>
        <v/>
      </c>
      <c r="T502" s="337" t="str">
        <f t="shared" si="99"/>
        <v/>
      </c>
      <c r="U502" s="337" t="str">
        <f t="shared" si="100"/>
        <v/>
      </c>
      <c r="V502" s="337"/>
      <c r="AG502" s="5" t="str">
        <f t="shared" si="101"/>
        <v/>
      </c>
      <c r="AH502" s="5" t="str">
        <f>IF(AG502="","",VLOOKUP($Y502,Nutrition_tables!$A:$N,10,FALSE))</f>
        <v/>
      </c>
    </row>
    <row r="503" spans="2:34">
      <c r="B503" s="82" t="s">
        <v>2463</v>
      </c>
      <c r="C503" s="1" t="s">
        <v>1823</v>
      </c>
      <c r="E503" s="379" t="str">
        <f>_xlfn.IFNA(VLOOKUP($H503,Ingredient_prices!$B:$C,2,FALSE),"")</f>
        <v/>
      </c>
      <c r="T503" s="337" t="str">
        <f t="shared" si="99"/>
        <v/>
      </c>
      <c r="U503" s="337" t="str">
        <f t="shared" si="100"/>
        <v/>
      </c>
      <c r="V503" s="337"/>
      <c r="AG503" s="5" t="str">
        <f t="shared" si="101"/>
        <v/>
      </c>
      <c r="AH503" s="5" t="str">
        <f>IF(AG503="","",VLOOKUP($Y503,Nutrition_tables!$A:$N,10,FALSE))</f>
        <v/>
      </c>
    </row>
    <row r="504" spans="2:34">
      <c r="B504" s="1" t="s">
        <v>851</v>
      </c>
      <c r="C504" s="1" t="s">
        <v>3169</v>
      </c>
      <c r="E504" s="379" t="str">
        <f>_xlfn.IFNA(VLOOKUP($H504,Ingredient_prices!$B:$C,2,FALSE),"")</f>
        <v/>
      </c>
      <c r="T504" s="337" t="str">
        <f t="shared" si="99"/>
        <v/>
      </c>
      <c r="U504" s="337" t="str">
        <f t="shared" si="100"/>
        <v/>
      </c>
      <c r="V504" s="337"/>
      <c r="AG504" s="5" t="str">
        <f t="shared" si="101"/>
        <v/>
      </c>
      <c r="AH504" s="5" t="str">
        <f>IF(AG504="","",VLOOKUP($Y504,Nutrition_tables!$A:$N,10,FALSE))</f>
        <v/>
      </c>
    </row>
    <row r="505" spans="2:34">
      <c r="B505" s="1" t="s">
        <v>1260</v>
      </c>
      <c r="C505" s="1" t="s">
        <v>3169</v>
      </c>
      <c r="E505" s="379" t="str">
        <f>_xlfn.IFNA(VLOOKUP($H505,Ingredient_prices!$B:$C,2,FALSE),"")</f>
        <v/>
      </c>
      <c r="T505" s="338">
        <v>200</v>
      </c>
      <c r="U505" s="337">
        <v>200</v>
      </c>
      <c r="V505" s="337"/>
      <c r="AG505" s="5" t="str">
        <f t="shared" si="101"/>
        <v/>
      </c>
      <c r="AH505" s="5" t="str">
        <f>IF(AG505="","",VLOOKUP($Y505,Nutrition_tables!$A:$N,10,FALSE))</f>
        <v/>
      </c>
    </row>
    <row r="506" spans="2:34">
      <c r="B506" s="1" t="s">
        <v>1256</v>
      </c>
      <c r="C506" s="749" t="s">
        <v>3189</v>
      </c>
      <c r="E506" s="379" t="str">
        <f>_xlfn.IFNA(VLOOKUP($H506,Ingredient_prices!$B:$C,2,FALSE),"")</f>
        <v/>
      </c>
      <c r="T506" s="337">
        <v>200</v>
      </c>
      <c r="U506" s="337">
        <v>200</v>
      </c>
      <c r="V506" s="337"/>
      <c r="AG506" s="5" t="str">
        <f t="shared" si="101"/>
        <v/>
      </c>
      <c r="AH506" s="5" t="str">
        <f>IF(AG506="","",VLOOKUP($Y506,Nutrition_tables!$A:$N,10,FALSE))</f>
        <v/>
      </c>
    </row>
    <row r="507" spans="2:34">
      <c r="B507" s="1" t="s">
        <v>1258</v>
      </c>
      <c r="C507" s="749" t="s">
        <v>3192</v>
      </c>
      <c r="E507" s="379" t="str">
        <f>_xlfn.IFNA(VLOOKUP($H507,Ingredient_prices!$B:$C,2,FALSE),"")</f>
        <v/>
      </c>
      <c r="T507" s="337" t="str">
        <f t="shared" ref="T507:T526" si="102">IF(N508&gt;0,1000*P508/J508,"")</f>
        <v/>
      </c>
      <c r="U507" s="337" t="str">
        <f t="shared" ref="U507:U526" si="103">IF(N508&gt;0,1000*P508/J508,"")</f>
        <v/>
      </c>
      <c r="V507" s="337"/>
      <c r="AG507" s="5" t="str">
        <f t="shared" si="101"/>
        <v/>
      </c>
      <c r="AH507" s="5" t="str">
        <f>IF(AG507="","",VLOOKUP($Y507,Nutrition_tables!$A:$N,10,FALSE))</f>
        <v/>
      </c>
    </row>
    <row r="508" spans="2:34">
      <c r="B508" s="82" t="s">
        <v>2873</v>
      </c>
      <c r="C508" s="1" t="s">
        <v>1835</v>
      </c>
      <c r="E508" s="379" t="str">
        <f>_xlfn.IFNA(VLOOKUP($H508,Ingredient_prices!$B:$C,2,FALSE),"")</f>
        <v/>
      </c>
      <c r="T508" s="337" t="str">
        <f t="shared" si="102"/>
        <v/>
      </c>
      <c r="U508" s="337" t="str">
        <f t="shared" si="103"/>
        <v/>
      </c>
      <c r="V508" s="337"/>
      <c r="AG508" s="5" t="str">
        <f t="shared" si="101"/>
        <v/>
      </c>
      <c r="AH508" s="5" t="str">
        <f>IF(AG508="","",VLOOKUP($Y508,Nutrition_tables!$A:$N,10,FALSE))</f>
        <v/>
      </c>
    </row>
    <row r="509" spans="2:34">
      <c r="B509" s="1" t="s">
        <v>1194</v>
      </c>
      <c r="C509" s="1" t="s">
        <v>3169</v>
      </c>
      <c r="E509" s="379" t="str">
        <f>_xlfn.IFNA(VLOOKUP($H509,Ingredient_prices!$B:$C,2,FALSE),"")</f>
        <v/>
      </c>
      <c r="T509" s="337" t="str">
        <f t="shared" si="102"/>
        <v/>
      </c>
      <c r="U509" s="337" t="str">
        <f t="shared" si="103"/>
        <v/>
      </c>
      <c r="V509" s="337"/>
      <c r="AG509" s="5" t="str">
        <f t="shared" si="101"/>
        <v/>
      </c>
      <c r="AH509" s="5" t="str">
        <f>IF(AG509="","",VLOOKUP($Y509,Nutrition_tables!$A:$N,10,FALSE))</f>
        <v/>
      </c>
    </row>
    <row r="510" spans="2:34">
      <c r="B510" s="1" t="s">
        <v>1193</v>
      </c>
      <c r="C510" s="1" t="s">
        <v>3169</v>
      </c>
      <c r="E510" s="379" t="str">
        <f>_xlfn.IFNA(VLOOKUP($H510,Ingredient_prices!$B:$C,2,FALSE),"")</f>
        <v/>
      </c>
      <c r="T510" s="337" t="str">
        <f t="shared" si="102"/>
        <v/>
      </c>
      <c r="U510" s="337" t="str">
        <f t="shared" si="103"/>
        <v/>
      </c>
      <c r="V510" s="337"/>
      <c r="AG510" s="5" t="str">
        <f t="shared" si="101"/>
        <v/>
      </c>
      <c r="AH510" s="5" t="str">
        <f>IF(AG510="","",VLOOKUP($Y510,Nutrition_tables!$A:$N,10,FALSE))</f>
        <v/>
      </c>
    </row>
    <row r="511" spans="2:34">
      <c r="B511" s="1" t="s">
        <v>1385</v>
      </c>
      <c r="C511" s="1" t="s">
        <v>1837</v>
      </c>
      <c r="E511" s="379" t="str">
        <f>_xlfn.IFNA(VLOOKUP($H511,Ingredient_prices!$B:$C,2,FALSE),"")</f>
        <v/>
      </c>
      <c r="T511" s="337" t="str">
        <f t="shared" si="102"/>
        <v/>
      </c>
      <c r="U511" s="337" t="str">
        <f t="shared" si="103"/>
        <v/>
      </c>
      <c r="V511" s="337"/>
      <c r="AG511" s="5" t="str">
        <f t="shared" si="101"/>
        <v/>
      </c>
      <c r="AH511" s="5" t="str">
        <f>IF(AG511="","",VLOOKUP($Y511,Nutrition_tables!$A:$N,10,FALSE))</f>
        <v/>
      </c>
    </row>
    <row r="512" spans="2:34">
      <c r="B512" s="1" t="s">
        <v>850</v>
      </c>
      <c r="C512" s="1" t="s">
        <v>1837</v>
      </c>
      <c r="E512" s="379" t="str">
        <f>_xlfn.IFNA(VLOOKUP($H512,Ingredient_prices!$B:$C,2,FALSE),"")</f>
        <v/>
      </c>
      <c r="T512" s="337" t="str">
        <f t="shared" si="102"/>
        <v/>
      </c>
      <c r="U512" s="337" t="str">
        <f t="shared" si="103"/>
        <v/>
      </c>
      <c r="V512" s="337"/>
      <c r="AG512" s="5" t="str">
        <f t="shared" si="101"/>
        <v/>
      </c>
      <c r="AH512" s="5" t="str">
        <f>IF(AG512="","",VLOOKUP($Y512,Nutrition_tables!$A:$N,10,FALSE))</f>
        <v/>
      </c>
    </row>
    <row r="513" spans="2:34">
      <c r="B513" s="1" t="s">
        <v>846</v>
      </c>
      <c r="C513" s="491" t="s">
        <v>3510</v>
      </c>
      <c r="E513" s="379" t="str">
        <f>_xlfn.IFNA(VLOOKUP($H513,Ingredient_prices!$B:$C,2,FALSE),"")</f>
        <v/>
      </c>
      <c r="T513" s="337" t="str">
        <f t="shared" si="102"/>
        <v/>
      </c>
      <c r="U513" s="337" t="str">
        <f t="shared" si="103"/>
        <v/>
      </c>
      <c r="V513" s="337"/>
      <c r="AG513" s="5" t="str">
        <f t="shared" si="101"/>
        <v/>
      </c>
      <c r="AH513" s="5" t="str">
        <f>IF(AG513="","",VLOOKUP($Y513,Nutrition_tables!$A:$N,10,FALSE))</f>
        <v/>
      </c>
    </row>
    <row r="514" spans="2:34">
      <c r="B514" s="1" t="s">
        <v>1234</v>
      </c>
      <c r="C514" s="1" t="s">
        <v>3148</v>
      </c>
      <c r="E514" s="379" t="str">
        <f>_xlfn.IFNA(VLOOKUP($H514,Ingredient_prices!$B:$C,2,FALSE),"")</f>
        <v/>
      </c>
      <c r="T514" s="337" t="str">
        <f t="shared" si="102"/>
        <v/>
      </c>
      <c r="U514" s="337" t="str">
        <f t="shared" si="103"/>
        <v/>
      </c>
      <c r="V514" s="337"/>
      <c r="AG514" s="5" t="str">
        <f t="shared" si="101"/>
        <v/>
      </c>
      <c r="AH514" s="5" t="str">
        <f>IF(AG514="","",VLOOKUP($Y514,Nutrition_tables!$A:$N,10,FALSE))</f>
        <v/>
      </c>
    </row>
    <row r="515" spans="2:34">
      <c r="B515" s="1" t="s">
        <v>2058</v>
      </c>
      <c r="C515" s="1" t="s">
        <v>3444</v>
      </c>
      <c r="E515" s="379" t="str">
        <f>_xlfn.IFNA(VLOOKUP($H515,Ingredient_prices!$B:$C,2,FALSE),"")</f>
        <v/>
      </c>
      <c r="T515" s="337" t="str">
        <f t="shared" si="102"/>
        <v/>
      </c>
      <c r="U515" s="337" t="str">
        <f t="shared" si="103"/>
        <v/>
      </c>
      <c r="V515" s="337"/>
      <c r="AG515" s="5" t="str">
        <f t="shared" si="101"/>
        <v/>
      </c>
      <c r="AH515" s="5" t="str">
        <f>IF(AG515="","",VLOOKUP($Y515,Nutrition_tables!$A:$N,10,FALSE))</f>
        <v/>
      </c>
    </row>
    <row r="516" spans="2:34">
      <c r="B516" s="1" t="s">
        <v>2110</v>
      </c>
      <c r="C516" s="1" t="s">
        <v>1839</v>
      </c>
      <c r="E516" s="379" t="str">
        <f>_xlfn.IFNA(VLOOKUP($H516,Ingredient_prices!$B:$C,2,FALSE),"")</f>
        <v/>
      </c>
      <c r="T516" s="337" t="str">
        <f t="shared" si="102"/>
        <v/>
      </c>
      <c r="U516" s="337" t="str">
        <f t="shared" si="103"/>
        <v/>
      </c>
      <c r="V516" s="337"/>
      <c r="AG516" s="5" t="str">
        <f t="shared" si="101"/>
        <v/>
      </c>
      <c r="AH516" s="5" t="str">
        <f>IF(AG516="","",VLOOKUP($Y516,Nutrition_tables!$A:$N,10,FALSE))</f>
        <v/>
      </c>
    </row>
    <row r="517" spans="2:34">
      <c r="B517" s="1" t="s">
        <v>1675</v>
      </c>
      <c r="C517" s="491" t="s">
        <v>3510</v>
      </c>
      <c r="E517" s="379" t="str">
        <f>_xlfn.IFNA(VLOOKUP($H517,Ingredient_prices!$B:$C,2,FALSE),"")</f>
        <v/>
      </c>
      <c r="T517" s="337" t="str">
        <f t="shared" si="102"/>
        <v/>
      </c>
      <c r="U517" s="337" t="str">
        <f t="shared" si="103"/>
        <v/>
      </c>
      <c r="V517" s="337"/>
      <c r="AG517" s="5" t="str">
        <f t="shared" si="101"/>
        <v/>
      </c>
      <c r="AH517" s="5" t="str">
        <f>IF(AG517="","",VLOOKUP($Y517,Nutrition_tables!$A:$N,10,FALSE))</f>
        <v/>
      </c>
    </row>
    <row r="518" spans="2:34">
      <c r="B518" s="1" t="s">
        <v>2147</v>
      </c>
      <c r="C518" s="749" t="s">
        <v>3163</v>
      </c>
      <c r="E518" s="379" t="str">
        <f>_xlfn.IFNA(VLOOKUP($H518,Ingredient_prices!$B:$C,2,FALSE),"")</f>
        <v/>
      </c>
      <c r="T518" s="337" t="str">
        <f t="shared" si="102"/>
        <v/>
      </c>
      <c r="U518" s="337" t="str">
        <f t="shared" si="103"/>
        <v/>
      </c>
      <c r="V518" s="337"/>
      <c r="AG518" s="5" t="str">
        <f t="shared" si="101"/>
        <v/>
      </c>
      <c r="AH518" s="5" t="str">
        <f>IF(AG518="","",VLOOKUP($Y518,Nutrition_tables!$A:$N,10,FALSE))</f>
        <v/>
      </c>
    </row>
    <row r="519" spans="2:34">
      <c r="B519" s="1" t="s">
        <v>1004</v>
      </c>
      <c r="C519" s="749" t="s">
        <v>3163</v>
      </c>
      <c r="E519" s="379" t="str">
        <f>_xlfn.IFNA(VLOOKUP($H519,Ingredient_prices!$B:$C,2,FALSE),"")</f>
        <v/>
      </c>
      <c r="T519" s="337" t="str">
        <f t="shared" si="102"/>
        <v/>
      </c>
      <c r="U519" s="337" t="str">
        <f t="shared" si="103"/>
        <v/>
      </c>
      <c r="V519" s="337"/>
      <c r="AG519" s="5" t="str">
        <f t="shared" si="101"/>
        <v/>
      </c>
      <c r="AH519" s="5" t="str">
        <f>IF(AG519="","",VLOOKUP($Y519,Nutrition_tables!$A:$N,10,FALSE))</f>
        <v/>
      </c>
    </row>
    <row r="520" spans="2:34">
      <c r="B520" s="82" t="s">
        <v>2447</v>
      </c>
      <c r="C520" s="749" t="s">
        <v>3149</v>
      </c>
      <c r="E520" s="379" t="str">
        <f>_xlfn.IFNA(VLOOKUP($H520,Ingredient_prices!$B:$C,2,FALSE),"")</f>
        <v/>
      </c>
      <c r="T520" s="337" t="str">
        <f t="shared" si="102"/>
        <v/>
      </c>
      <c r="U520" s="337" t="str">
        <f t="shared" si="103"/>
        <v/>
      </c>
      <c r="V520" s="337"/>
      <c r="AG520" s="5" t="str">
        <f t="shared" si="101"/>
        <v/>
      </c>
      <c r="AH520" s="5" t="str">
        <f>IF(AG520="","",VLOOKUP($Y520,Nutrition_tables!$A:$N,10,FALSE))</f>
        <v/>
      </c>
    </row>
    <row r="521" spans="2:34">
      <c r="B521" s="1" t="s">
        <v>1180</v>
      </c>
      <c r="C521" s="749" t="s">
        <v>3149</v>
      </c>
      <c r="E521" s="379" t="str">
        <f>_xlfn.IFNA(VLOOKUP($H521,Ingredient_prices!$B:$C,2,FALSE),"")</f>
        <v/>
      </c>
      <c r="T521" s="337" t="str">
        <f t="shared" si="102"/>
        <v/>
      </c>
      <c r="U521" s="337" t="str">
        <f t="shared" si="103"/>
        <v/>
      </c>
      <c r="V521" s="337"/>
      <c r="AG521" s="5" t="str">
        <f t="shared" si="101"/>
        <v/>
      </c>
      <c r="AH521" s="5" t="str">
        <f>IF(AG521="","",VLOOKUP($Y521,Nutrition_tables!$A:$N,10,FALSE))</f>
        <v/>
      </c>
    </row>
    <row r="522" spans="2:34">
      <c r="B522" s="1" t="s">
        <v>840</v>
      </c>
      <c r="C522" s="749" t="s">
        <v>3149</v>
      </c>
      <c r="E522" s="379" t="str">
        <f>_xlfn.IFNA(VLOOKUP($H522,Ingredient_prices!$B:$C,2,FALSE),"")</f>
        <v/>
      </c>
      <c r="T522" s="337" t="str">
        <f t="shared" si="102"/>
        <v/>
      </c>
      <c r="U522" s="337" t="str">
        <f t="shared" si="103"/>
        <v/>
      </c>
      <c r="V522" s="337"/>
      <c r="AG522" s="5" t="str">
        <f t="shared" si="101"/>
        <v/>
      </c>
      <c r="AH522" s="5" t="str">
        <f>IF(AG522="","",VLOOKUP($Y522,Nutrition_tables!$A:$N,10,FALSE))</f>
        <v/>
      </c>
    </row>
    <row r="523" spans="2:34">
      <c r="B523" s="82" t="s">
        <v>2396</v>
      </c>
      <c r="C523" s="749" t="s">
        <v>3149</v>
      </c>
      <c r="E523" s="379" t="str">
        <f>_xlfn.IFNA(VLOOKUP($H523,Ingredient_prices!$B:$C,2,FALSE),"")</f>
        <v/>
      </c>
      <c r="T523" s="337" t="str">
        <f t="shared" si="102"/>
        <v/>
      </c>
      <c r="U523" s="337" t="str">
        <f t="shared" si="103"/>
        <v/>
      </c>
      <c r="V523" s="337"/>
      <c r="AG523" s="5" t="str">
        <f t="shared" si="101"/>
        <v/>
      </c>
      <c r="AH523" s="5" t="str">
        <f>IF(AG523="","",VLOOKUP($Y523,Nutrition_tables!$A:$N,10,FALSE))</f>
        <v/>
      </c>
    </row>
    <row r="524" spans="2:34">
      <c r="B524" s="1" t="s">
        <v>2053</v>
      </c>
      <c r="C524" s="749" t="s">
        <v>3149</v>
      </c>
      <c r="E524" s="379" t="str">
        <f>_xlfn.IFNA(VLOOKUP($H524,Ingredient_prices!$B:$C,2,FALSE),"")</f>
        <v/>
      </c>
      <c r="T524" s="337" t="str">
        <f t="shared" si="102"/>
        <v/>
      </c>
      <c r="U524" s="337" t="str">
        <f t="shared" si="103"/>
        <v/>
      </c>
      <c r="V524" s="337"/>
      <c r="AG524" s="5" t="str">
        <f t="shared" si="101"/>
        <v/>
      </c>
      <c r="AH524" s="5" t="str">
        <f>IF(AG524="","",VLOOKUP($Y524,Nutrition_tables!$A:$N,10,FALSE))</f>
        <v/>
      </c>
    </row>
    <row r="525" spans="2:34">
      <c r="B525" s="1" t="s">
        <v>2060</v>
      </c>
      <c r="C525" s="749" t="s">
        <v>3149</v>
      </c>
      <c r="E525" s="379" t="str">
        <f>_xlfn.IFNA(VLOOKUP($H525,Ingredient_prices!$B:$C,2,FALSE),"")</f>
        <v/>
      </c>
      <c r="T525" s="337" t="str">
        <f t="shared" si="102"/>
        <v/>
      </c>
      <c r="U525" s="337" t="str">
        <f t="shared" si="103"/>
        <v/>
      </c>
      <c r="V525" s="337"/>
      <c r="AG525" s="5" t="str">
        <f t="shared" si="101"/>
        <v/>
      </c>
      <c r="AH525" s="5" t="str">
        <f>IF(AG525="","",VLOOKUP($Y525,Nutrition_tables!$A:$N,10,FALSE))</f>
        <v/>
      </c>
    </row>
    <row r="526" spans="2:34">
      <c r="B526" s="1" t="s">
        <v>2113</v>
      </c>
      <c r="C526" s="749" t="s">
        <v>3149</v>
      </c>
      <c r="E526" s="379" t="str">
        <f>_xlfn.IFNA(VLOOKUP($H526,Ingredient_prices!$B:$C,2,FALSE),"")</f>
        <v/>
      </c>
      <c r="T526" s="337" t="str">
        <f t="shared" si="102"/>
        <v/>
      </c>
      <c r="U526" s="337" t="str">
        <f t="shared" si="103"/>
        <v/>
      </c>
      <c r="V526" s="337"/>
      <c r="AG526" s="5" t="str">
        <f t="shared" si="101"/>
        <v/>
      </c>
      <c r="AH526" s="5" t="str">
        <f>IF(AG526="","",VLOOKUP($Y526,Nutrition_tables!$A:$N,10,FALSE))</f>
        <v/>
      </c>
    </row>
    <row r="527" spans="2:34">
      <c r="B527" s="1" t="s">
        <v>1181</v>
      </c>
      <c r="C527" s="749" t="s">
        <v>3149</v>
      </c>
      <c r="E527" s="379" t="str">
        <f>_xlfn.IFNA(VLOOKUP($H527,Ingredient_prices!$B:$C,2,FALSE),"")</f>
        <v/>
      </c>
      <c r="T527">
        <v>9.9999999999999995E-7</v>
      </c>
      <c r="U527">
        <v>9.9999999999999995E-7</v>
      </c>
      <c r="AG527" s="5" t="str">
        <f t="shared" si="101"/>
        <v/>
      </c>
      <c r="AH527" s="5" t="str">
        <f>IF(AG527="","",VLOOKUP($Y527,Nutrition_tables!$A:$N,10,FALSE))</f>
        <v/>
      </c>
    </row>
    <row r="528" spans="2:34">
      <c r="B528" s="82" t="s">
        <v>2401</v>
      </c>
      <c r="C528" s="1" t="s">
        <v>3444</v>
      </c>
      <c r="E528" s="379" t="str">
        <f>_xlfn.IFNA(VLOOKUP($H528,Ingredient_prices!$B:$C,2,FALSE),"")</f>
        <v/>
      </c>
      <c r="G528" s="82" t="s">
        <v>804</v>
      </c>
      <c r="H528" s="82" t="s">
        <v>804</v>
      </c>
      <c r="I528">
        <v>9.9999999999999995E-7</v>
      </c>
      <c r="J528">
        <v>9.9999999999999995E-7</v>
      </c>
      <c r="K528" s="82">
        <v>9.9999999999999995E-7</v>
      </c>
      <c r="L528" s="82">
        <v>9.9999999999999995E-7</v>
      </c>
      <c r="N528" s="247">
        <v>9.9999999999999995E-7</v>
      </c>
      <c r="O528" s="1139">
        <v>9.9999999999999995E-7</v>
      </c>
      <c r="P528">
        <v>9.9999999999999995E-7</v>
      </c>
      <c r="Q528">
        <v>9.9999999999999995E-7</v>
      </c>
      <c r="R528">
        <v>9.9999999999999995E-7</v>
      </c>
      <c r="AG528" s="5" t="str">
        <f t="shared" si="101"/>
        <v/>
      </c>
      <c r="AH528" s="5" t="str">
        <f>IF(AG528="","",VLOOKUP($Y528,Nutrition_tables!$A:$N,10,FALSE))</f>
        <v/>
      </c>
    </row>
    <row r="529" spans="2:34">
      <c r="B529" s="1" t="s">
        <v>1235</v>
      </c>
      <c r="C529" s="1" t="s">
        <v>3444</v>
      </c>
      <c r="E529" s="379" t="str">
        <f>_xlfn.IFNA(VLOOKUP($H529,Ingredient_prices!$B:$C,2,FALSE),"")</f>
        <v/>
      </c>
      <c r="AG529" s="5" t="str">
        <f t="shared" si="101"/>
        <v/>
      </c>
      <c r="AH529" s="5" t="str">
        <f>IF(AG529="","",VLOOKUP($Y529,Nutrition_tables!$A:$N,10,FALSE))</f>
        <v/>
      </c>
    </row>
    <row r="530" spans="2:34">
      <c r="B530" s="1" t="s">
        <v>2874</v>
      </c>
      <c r="C530" s="1" t="s">
        <v>3151</v>
      </c>
      <c r="E530" s="379" t="str">
        <f>_xlfn.IFNA(VLOOKUP($H530,Ingredient_prices!$B:$C,2,FALSE),"")</f>
        <v/>
      </c>
      <c r="AG530" s="5" t="str">
        <f t="shared" si="101"/>
        <v/>
      </c>
      <c r="AH530" s="5" t="str">
        <f>IF(AG530="","",VLOOKUP($Y530,Nutrition_tables!$A:$N,10,FALSE))</f>
        <v/>
      </c>
    </row>
    <row r="531" spans="2:34">
      <c r="B531" s="1" t="s">
        <v>2052</v>
      </c>
      <c r="C531" s="1" t="s">
        <v>3151</v>
      </c>
      <c r="E531" s="379" t="str">
        <f>_xlfn.IFNA(VLOOKUP($H531,Ingredient_prices!$B:$C,2,FALSE),"")</f>
        <v/>
      </c>
      <c r="AG531" s="5" t="str">
        <f t="shared" si="101"/>
        <v/>
      </c>
      <c r="AH531" s="5" t="str">
        <f>IF(AG531="","",VLOOKUP($Y531,Nutrition_tables!$A:$N,10,FALSE))</f>
        <v/>
      </c>
    </row>
    <row r="532" spans="2:34">
      <c r="B532" s="1" t="s">
        <v>2059</v>
      </c>
      <c r="C532" s="1" t="s">
        <v>3151</v>
      </c>
      <c r="E532" s="379" t="str">
        <f>_xlfn.IFNA(VLOOKUP($H532,Ingredient_prices!$B:$C,2,FALSE),"")</f>
        <v/>
      </c>
      <c r="AG532" s="5" t="str">
        <f t="shared" si="101"/>
        <v/>
      </c>
      <c r="AH532" s="5" t="str">
        <f>IF(AG532="","",VLOOKUP($Y532,Nutrition_tables!$A:$N,10,FALSE))</f>
        <v/>
      </c>
    </row>
    <row r="533" spans="2:34">
      <c r="B533" s="1" t="s">
        <v>842</v>
      </c>
      <c r="C533" s="1" t="s">
        <v>3444</v>
      </c>
      <c r="E533" s="379" t="str">
        <f>_xlfn.IFNA(VLOOKUP($H533,Ingredient_prices!$B:$C,2,FALSE),"")</f>
        <v/>
      </c>
      <c r="AG533" s="5" t="str">
        <f t="shared" si="101"/>
        <v/>
      </c>
      <c r="AH533" s="5" t="str">
        <f>IF(AG533="","",VLOOKUP($Y533,Nutrition_tables!$A:$N,10,FALSE))</f>
        <v/>
      </c>
    </row>
    <row r="534" spans="2:34">
      <c r="B534" s="1" t="s">
        <v>1670</v>
      </c>
      <c r="C534" s="1" t="s">
        <v>3444</v>
      </c>
      <c r="E534" s="379" t="str">
        <f>_xlfn.IFNA(VLOOKUP($H534,Ingredient_prices!$B:$C,2,FALSE),"")</f>
        <v/>
      </c>
      <c r="AG534" s="5" t="str">
        <f t="shared" si="101"/>
        <v/>
      </c>
      <c r="AH534" s="5" t="str">
        <f>IF(AG534="","",VLOOKUP($Y534,Nutrition_tables!$A:$N,10,FALSE))</f>
        <v/>
      </c>
    </row>
    <row r="535" spans="2:34">
      <c r="B535" s="1" t="s">
        <v>1382</v>
      </c>
      <c r="C535" s="1" t="s">
        <v>3465</v>
      </c>
      <c r="E535" s="379" t="str">
        <f>_xlfn.IFNA(VLOOKUP($H535,Ingredient_prices!$B:$C,2,FALSE),"")</f>
        <v/>
      </c>
      <c r="AG535" s="5" t="str">
        <f t="shared" si="101"/>
        <v/>
      </c>
      <c r="AH535" s="5" t="str">
        <f>IF(AG535="","",VLOOKUP($Y535,Nutrition_tables!$A:$N,10,FALSE))</f>
        <v/>
      </c>
    </row>
    <row r="536" spans="2:34">
      <c r="B536" s="1" t="s">
        <v>1182</v>
      </c>
      <c r="C536" s="1" t="s">
        <v>3150</v>
      </c>
      <c r="E536" s="379" t="str">
        <f>_xlfn.IFNA(VLOOKUP($H536,Ingredient_prices!$B:$C,2,FALSE),"")</f>
        <v/>
      </c>
      <c r="AG536" s="5" t="str">
        <f t="shared" si="101"/>
        <v/>
      </c>
      <c r="AH536" s="5" t="str">
        <f>IF(AG536="","",VLOOKUP($Y536,Nutrition_tables!$A:$N,10,FALSE))</f>
        <v/>
      </c>
    </row>
    <row r="537" spans="2:34">
      <c r="B537" s="1" t="s">
        <v>841</v>
      </c>
      <c r="C537" s="1" t="s">
        <v>3150</v>
      </c>
      <c r="E537" s="379" t="str">
        <f>_xlfn.IFNA(VLOOKUP($H537,Ingredient_prices!$B:$C,2,FALSE),"")</f>
        <v/>
      </c>
      <c r="AG537" s="5" t="str">
        <f t="shared" si="101"/>
        <v/>
      </c>
      <c r="AH537" s="5" t="str">
        <f>IF(AG537="","",VLOOKUP($Y537,Nutrition_tables!$A:$N,10,FALSE))</f>
        <v/>
      </c>
    </row>
    <row r="538" spans="2:34">
      <c r="B538" s="1" t="s">
        <v>1383</v>
      </c>
      <c r="C538" s="1" t="s">
        <v>3150</v>
      </c>
      <c r="E538" s="379" t="str">
        <f>_xlfn.IFNA(VLOOKUP($H538,Ingredient_prices!$B:$C,2,FALSE),"")</f>
        <v/>
      </c>
      <c r="AG538" s="5" t="str">
        <f t="shared" si="101"/>
        <v/>
      </c>
      <c r="AH538" s="5" t="str">
        <f>IF(AG538="","",VLOOKUP($Y538,Nutrition_tables!$A:$N,10,FALSE))</f>
        <v/>
      </c>
    </row>
    <row r="539" spans="2:34">
      <c r="B539" s="1" t="s">
        <v>1384</v>
      </c>
      <c r="C539" s="1" t="s">
        <v>3444</v>
      </c>
      <c r="E539" s="379" t="str">
        <f>_xlfn.IFNA(VLOOKUP($H539,Ingredient_prices!$B:$C,2,FALSE),"")</f>
        <v/>
      </c>
      <c r="AG539" s="5" t="str">
        <f t="shared" si="101"/>
        <v/>
      </c>
      <c r="AH539" s="5" t="str">
        <f>IF(AG539="","",VLOOKUP($Y539,Nutrition_tables!$A:$N,10,FALSE))</f>
        <v/>
      </c>
    </row>
    <row r="540" spans="2:34">
      <c r="B540" s="1" t="s">
        <v>1384</v>
      </c>
      <c r="C540" s="1" t="s">
        <v>3444</v>
      </c>
      <c r="E540" s="379" t="str">
        <f>_xlfn.IFNA(VLOOKUP($H540,Ingredient_prices!$B:$C,2,FALSE),"")</f>
        <v/>
      </c>
      <c r="AG540" s="5" t="str">
        <f t="shared" ref="AG540:AG547" si="104">_xlfn.IFNA(VLOOKUP($Y540,$E:$U,17,FALSE),"")</f>
        <v/>
      </c>
      <c r="AH540" s="5" t="str">
        <f>IF(AG540="","",VLOOKUP($Y540,Nutrition_tables!$A:$N,10,FALSE))</f>
        <v/>
      </c>
    </row>
    <row r="541" spans="2:34">
      <c r="B541" s="82" t="s">
        <v>2875</v>
      </c>
      <c r="C541" s="1" t="s">
        <v>3466</v>
      </c>
      <c r="E541" s="379" t="str">
        <f>_xlfn.IFNA(VLOOKUP($H541,Ingredient_prices!$B:$C,2,FALSE),"")</f>
        <v/>
      </c>
      <c r="AG541" s="5" t="str">
        <f t="shared" si="104"/>
        <v/>
      </c>
      <c r="AH541" s="5" t="str">
        <f>IF(AG541="","",VLOOKUP($Y541,Nutrition_tables!$A:$N,10,FALSE))</f>
        <v/>
      </c>
    </row>
    <row r="542" spans="2:34">
      <c r="B542" s="1" t="s">
        <v>1438</v>
      </c>
      <c r="C542" s="1" t="s">
        <v>3466</v>
      </c>
      <c r="E542" s="379" t="str">
        <f>_xlfn.IFNA(VLOOKUP($H542,Ingredient_prices!$B:$C,2,FALSE),"")</f>
        <v/>
      </c>
      <c r="AG542" s="5" t="str">
        <f t="shared" si="104"/>
        <v/>
      </c>
      <c r="AH542" s="5" t="str">
        <f>IF(AG542="","",VLOOKUP($Y542,Nutrition_tables!$A:$N,10,FALSE))</f>
        <v/>
      </c>
    </row>
    <row r="543" spans="2:34">
      <c r="B543" s="1" t="s">
        <v>1263</v>
      </c>
      <c r="C543" s="1" t="s">
        <v>1831</v>
      </c>
      <c r="E543" s="379" t="str">
        <f>_xlfn.IFNA(VLOOKUP($H543,Ingredient_prices!$B:$C,2,FALSE),"")</f>
        <v/>
      </c>
      <c r="AG543" s="5" t="str">
        <f t="shared" si="104"/>
        <v/>
      </c>
      <c r="AH543" s="5" t="str">
        <f>IF(AG543="","",VLOOKUP($Y543,Nutrition_tables!$A:$N,10,FALSE))</f>
        <v/>
      </c>
    </row>
    <row r="544" spans="2:34">
      <c r="B544" s="82" t="s">
        <v>2876</v>
      </c>
      <c r="C544" s="1" t="s">
        <v>3468</v>
      </c>
      <c r="E544" s="379" t="str">
        <f>_xlfn.IFNA(VLOOKUP($H544,Ingredient_prices!$B:$C,2,FALSE),"")</f>
        <v/>
      </c>
      <c r="AG544" s="5" t="str">
        <f t="shared" si="104"/>
        <v/>
      </c>
      <c r="AH544" s="5" t="str">
        <f>IF(AG544="","",VLOOKUP($Y544,Nutrition_tables!$A:$N,10,FALSE))</f>
        <v/>
      </c>
    </row>
    <row r="545" spans="2:34">
      <c r="B545" s="749" t="s">
        <v>2301</v>
      </c>
      <c r="C545" s="1" t="s">
        <v>3190</v>
      </c>
      <c r="E545" s="379" t="str">
        <f>_xlfn.IFNA(VLOOKUP($H545,Ingredient_prices!$B:$C,2,FALSE),"")</f>
        <v/>
      </c>
      <c r="AG545" s="5" t="str">
        <f t="shared" si="104"/>
        <v/>
      </c>
      <c r="AH545" s="5" t="str">
        <f>IF(AG545="","",VLOOKUP($Y545,Nutrition_tables!$A:$N,10,FALSE))</f>
        <v/>
      </c>
    </row>
    <row r="546" spans="2:34">
      <c r="B546" s="1" t="s">
        <v>2049</v>
      </c>
      <c r="C546" s="1" t="s">
        <v>3154</v>
      </c>
      <c r="E546" s="379" t="str">
        <f>_xlfn.IFNA(VLOOKUP($H546,Ingredient_prices!$B:$C,2,FALSE),"")</f>
        <v/>
      </c>
      <c r="AG546" s="5" t="str">
        <f t="shared" si="104"/>
        <v/>
      </c>
      <c r="AH546" s="5" t="str">
        <f>IF(AG546="","",VLOOKUP($Y546,Nutrition_tables!$A:$N,10,FALSE))</f>
        <v/>
      </c>
    </row>
    <row r="547" spans="2:34">
      <c r="B547" s="82" t="s">
        <v>2459</v>
      </c>
      <c r="C547" s="1" t="s">
        <v>1872</v>
      </c>
      <c r="E547" s="379" t="str">
        <f>_xlfn.IFNA(VLOOKUP($H547,Ingredient_prices!$B:$C,2,FALSE),"")</f>
        <v/>
      </c>
      <c r="T547">
        <v>200</v>
      </c>
      <c r="U547">
        <v>200</v>
      </c>
      <c r="AG547" s="5" t="str">
        <f t="shared" si="104"/>
        <v/>
      </c>
      <c r="AH547" s="5" t="str">
        <f>IF(AG547="","",VLOOKUP($Y547,Nutrition_tables!$A:$N,10,FALSE))</f>
        <v/>
      </c>
    </row>
    <row r="548" spans="2:34">
      <c r="B548" s="1" t="s">
        <v>1005</v>
      </c>
      <c r="C548" s="1" t="s">
        <v>1872</v>
      </c>
      <c r="E548" s="379" t="str">
        <f>_xlfn.IFNA(VLOOKUP($H548,Ingredient_prices!$B:$C,2,FALSE),"")</f>
        <v/>
      </c>
      <c r="AH548" s="5" t="str">
        <f>IF(AG548="","",VLOOKUP($Y548,Nutrition_tables!$A:$N,10,FALSE))</f>
        <v/>
      </c>
    </row>
    <row r="549" spans="2:34">
      <c r="B549" s="1" t="s">
        <v>2217</v>
      </c>
      <c r="C549" s="1" t="s">
        <v>1873</v>
      </c>
      <c r="E549" s="379" t="str">
        <f>_xlfn.IFNA(VLOOKUP($H549,Ingredient_prices!$B:$C,2,FALSE),"")</f>
        <v/>
      </c>
      <c r="AH549" s="5" t="str">
        <f>IF(AG549="","",VLOOKUP($Y549,Nutrition_tables!$A:$N,10,FALSE))</f>
        <v/>
      </c>
    </row>
    <row r="550" spans="2:34">
      <c r="B550" s="1" t="s">
        <v>1006</v>
      </c>
      <c r="C550" s="1" t="s">
        <v>1873</v>
      </c>
      <c r="E550" s="379" t="str">
        <f>_xlfn.IFNA(VLOOKUP($H550,Ingredient_prices!$B:$C,2,FALSE),"")</f>
        <v/>
      </c>
      <c r="AH550" s="5" t="str">
        <f>IF(AG550="","",VLOOKUP($Y550,Nutrition_tables!$A:$N,10,FALSE))</f>
        <v/>
      </c>
    </row>
    <row r="551" spans="2:34">
      <c r="B551" s="1" t="s">
        <v>2145</v>
      </c>
      <c r="C551" s="1" t="s">
        <v>1839</v>
      </c>
      <c r="E551" s="379" t="str">
        <f>_xlfn.IFNA(VLOOKUP($H551,Ingredient_prices!$B:$C,2,FALSE),"")</f>
        <v/>
      </c>
      <c r="AH551" s="5" t="str">
        <f>IF(AG551="","",VLOOKUP($Y551,Nutrition_tables!$A:$N,10,FALSE))</f>
        <v/>
      </c>
    </row>
    <row r="552" spans="2:34">
      <c r="B552" s="1" t="s">
        <v>2144</v>
      </c>
      <c r="C552" s="1" t="s">
        <v>1839</v>
      </c>
      <c r="E552" s="379" t="str">
        <f>_xlfn.IFNA(VLOOKUP($H552,Ingredient_prices!$B:$C,2,FALSE),"")</f>
        <v/>
      </c>
      <c r="G552" s="248"/>
      <c r="AH552" s="5" t="str">
        <f>IF(AG552="","",VLOOKUP($Y552,Nutrition_tables!$A:$N,10,FALSE))</f>
        <v/>
      </c>
    </row>
    <row r="553" spans="2:34">
      <c r="B553" s="1" t="s">
        <v>1007</v>
      </c>
      <c r="C553" s="1" t="s">
        <v>1839</v>
      </c>
      <c r="E553" s="379" t="str">
        <f>_xlfn.IFNA(VLOOKUP($H553,Ingredient_prices!$B:$C,2,FALSE),"")</f>
        <v/>
      </c>
      <c r="AH553" s="5" t="str">
        <f>IF(AG553="","",VLOOKUP($Y553,Nutrition_tables!$A:$N,10,FALSE))</f>
        <v/>
      </c>
    </row>
    <row r="554" spans="2:34">
      <c r="B554" s="1" t="s">
        <v>1008</v>
      </c>
      <c r="C554" s="749" t="s">
        <v>3184</v>
      </c>
      <c r="E554" s="379" t="str">
        <f>_xlfn.IFNA(VLOOKUP($H554,Ingredient_prices!$B:$C,2,FALSE),"")</f>
        <v/>
      </c>
      <c r="AH554" s="5" t="str">
        <f>IF(AG554="","",VLOOKUP($Y554,Nutrition_tables!$A:$N,10,FALSE))</f>
        <v/>
      </c>
    </row>
    <row r="555" spans="2:34">
      <c r="B555" s="1" t="s">
        <v>1656</v>
      </c>
      <c r="C555" s="749" t="s">
        <v>3184</v>
      </c>
      <c r="E555" s="379" t="str">
        <f>_xlfn.IFNA(VLOOKUP($H555,Ingredient_prices!$B:$C,2,FALSE),"")</f>
        <v/>
      </c>
      <c r="AH555" s="5" t="str">
        <f>IF(AG555="","",VLOOKUP($Y555,Nutrition_tables!$A:$N,10,FALSE))</f>
        <v/>
      </c>
    </row>
    <row r="556" spans="2:34">
      <c r="B556" s="1" t="s">
        <v>1657</v>
      </c>
      <c r="C556" s="749" t="s">
        <v>3185</v>
      </c>
      <c r="E556" s="379" t="str">
        <f>_xlfn.IFNA(VLOOKUP($H556,Ingredient_prices!$B:$C,2,FALSE),"")</f>
        <v/>
      </c>
      <c r="AH556" s="5" t="str">
        <f>IF(AG556="","",VLOOKUP($Y556,Nutrition_tables!$A:$N,10,FALSE))</f>
        <v/>
      </c>
    </row>
    <row r="557" spans="2:34">
      <c r="B557" s="1" t="s">
        <v>1439</v>
      </c>
      <c r="C557" s="749" t="s">
        <v>3185</v>
      </c>
      <c r="E557" s="379" t="str">
        <f>_xlfn.IFNA(VLOOKUP($H557,Ingredient_prices!$B:$C,2,FALSE),"")</f>
        <v/>
      </c>
      <c r="AH557" s="5" t="str">
        <f>IF(AG557="","",VLOOKUP($Y557,Nutrition_tables!$A:$N,10,FALSE))</f>
        <v/>
      </c>
    </row>
    <row r="558" spans="2:34">
      <c r="B558" s="1" t="s">
        <v>1184</v>
      </c>
      <c r="C558" s="749" t="s">
        <v>3186</v>
      </c>
      <c r="E558" s="379" t="str">
        <f>_xlfn.IFNA(VLOOKUP($H558,Ingredient_prices!$B:$C,2,FALSE),"")</f>
        <v/>
      </c>
      <c r="AH558" s="5" t="str">
        <f>IF(AG558="","",VLOOKUP($Y558,Nutrition_tables!$A:$N,10,FALSE))</f>
        <v/>
      </c>
    </row>
    <row r="559" spans="2:34">
      <c r="B559" s="1" t="s">
        <v>1183</v>
      </c>
      <c r="C559" s="749" t="s">
        <v>3186</v>
      </c>
      <c r="E559" s="379" t="str">
        <f>_xlfn.IFNA(VLOOKUP($H559,Ingredient_prices!$B:$C,2,FALSE),"")</f>
        <v/>
      </c>
    </row>
    <row r="560" spans="2:34">
      <c r="B560" s="679" t="s">
        <v>2419</v>
      </c>
      <c r="C560" s="749" t="s">
        <v>3186</v>
      </c>
      <c r="E560" s="379" t="str">
        <f>_xlfn.IFNA(VLOOKUP($H560,Ingredient_prices!$B:$C,2,FALSE),"")</f>
        <v/>
      </c>
    </row>
    <row r="561" spans="2:5">
      <c r="B561" s="1" t="s">
        <v>1009</v>
      </c>
      <c r="C561" s="749" t="s">
        <v>3186</v>
      </c>
      <c r="E561" s="379" t="str">
        <f>_xlfn.IFNA(VLOOKUP($H561,Ingredient_prices!$B:$C,2,FALSE),"")</f>
        <v/>
      </c>
    </row>
    <row r="562" spans="2:5">
      <c r="B562" s="1" t="s">
        <v>1010</v>
      </c>
      <c r="C562" s="749" t="s">
        <v>3185</v>
      </c>
      <c r="E562" s="379" t="str">
        <f>_xlfn.IFNA(VLOOKUP($H562,Ingredient_prices!$B:$C,2,FALSE),"")</f>
        <v/>
      </c>
    </row>
    <row r="563" spans="2:5">
      <c r="B563" s="1" t="s">
        <v>2877</v>
      </c>
      <c r="C563" s="749" t="s">
        <v>3179</v>
      </c>
      <c r="E563" s="379" t="str">
        <f>_xlfn.IFNA(VLOOKUP($H563,Ingredient_prices!$B:$C,2,FALSE),"")</f>
        <v/>
      </c>
    </row>
    <row r="564" spans="2:5">
      <c r="B564" s="1" t="s">
        <v>1259</v>
      </c>
      <c r="C564" s="749" t="s">
        <v>3191</v>
      </c>
      <c r="E564" s="379" t="str">
        <f>_xlfn.IFNA(VLOOKUP($H564,Ingredient_prices!$B:$C,2,FALSE),"")</f>
        <v/>
      </c>
    </row>
    <row r="565" spans="2:5">
      <c r="B565" s="749" t="s">
        <v>2300</v>
      </c>
      <c r="C565" s="749" t="s">
        <v>3191</v>
      </c>
      <c r="E565" s="379" t="str">
        <f>_xlfn.IFNA(VLOOKUP($H565,Ingredient_prices!$B:$C,2,FALSE),"")</f>
        <v/>
      </c>
    </row>
    <row r="566" spans="2:5">
      <c r="B566" s="1" t="s">
        <v>1011</v>
      </c>
      <c r="C566" s="1" t="s">
        <v>3187</v>
      </c>
      <c r="E566" s="379" t="str">
        <f>_xlfn.IFNA(VLOOKUP($H566,Ingredient_prices!$B:$C,2,FALSE),"")</f>
        <v/>
      </c>
    </row>
    <row r="567" spans="2:5">
      <c r="B567" s="1" t="s">
        <v>1012</v>
      </c>
      <c r="C567" s="749" t="s">
        <v>3188</v>
      </c>
      <c r="E567" s="379" t="str">
        <f>_xlfn.IFNA(VLOOKUP($H567,Ingredient_prices!$B:$C,2,FALSE),"")</f>
        <v/>
      </c>
    </row>
    <row r="568" spans="2:5">
      <c r="B568" s="1" t="s">
        <v>1013</v>
      </c>
      <c r="C568" s="749" t="s">
        <v>3189</v>
      </c>
      <c r="E568" s="379" t="str">
        <f>_xlfn.IFNA(VLOOKUP($H568,Ingredient_prices!$B:$C,2,FALSE),"")</f>
        <v/>
      </c>
    </row>
    <row r="569" spans="2:5">
      <c r="B569" s="1" t="s">
        <v>1324</v>
      </c>
      <c r="C569" s="1" t="s">
        <v>3170</v>
      </c>
      <c r="E569" s="379" t="str">
        <f>_xlfn.IFNA(VLOOKUP($H569,Ingredient_prices!$B:$C,2,FALSE),"")</f>
        <v/>
      </c>
    </row>
    <row r="570" spans="2:5">
      <c r="B570" s="749" t="s">
        <v>2359</v>
      </c>
      <c r="C570" s="1" t="s">
        <v>3190</v>
      </c>
      <c r="E570" s="379" t="str">
        <f>_xlfn.IFNA(VLOOKUP($H570,Ingredient_prices!$B:$C,2,FALSE),"")</f>
        <v/>
      </c>
    </row>
    <row r="571" spans="2:5">
      <c r="B571" s="749" t="s">
        <v>2358</v>
      </c>
      <c r="C571" s="1" t="s">
        <v>3190</v>
      </c>
      <c r="E571" s="379" t="str">
        <f>_xlfn.IFNA(VLOOKUP($H571,Ingredient_prices!$B:$C,2,FALSE),"")</f>
        <v/>
      </c>
    </row>
    <row r="572" spans="2:5">
      <c r="B572" s="1" t="s">
        <v>849</v>
      </c>
      <c r="C572" s="749" t="s">
        <v>3191</v>
      </c>
      <c r="E572" s="379" t="str">
        <f>_xlfn.IFNA(VLOOKUP($H572,Ingredient_prices!$B:$C,2,FALSE),"")</f>
        <v/>
      </c>
    </row>
    <row r="573" spans="2:5">
      <c r="B573" s="1" t="s">
        <v>1192</v>
      </c>
      <c r="C573" s="749" t="s">
        <v>3191</v>
      </c>
      <c r="E573" s="379" t="str">
        <f>_xlfn.IFNA(VLOOKUP($H573,Ingredient_prices!$B:$C,2,FALSE),"")</f>
        <v/>
      </c>
    </row>
    <row r="574" spans="2:5">
      <c r="B574" s="1" t="s">
        <v>1191</v>
      </c>
      <c r="C574" s="749" t="s">
        <v>3191</v>
      </c>
      <c r="E574" s="379" t="str">
        <f>_xlfn.IFNA(VLOOKUP($H574,Ingredient_prices!$B:$C,2,FALSE),"")</f>
        <v/>
      </c>
    </row>
    <row r="575" spans="2:5">
      <c r="B575" s="1" t="s">
        <v>848</v>
      </c>
      <c r="C575" s="749" t="s">
        <v>3192</v>
      </c>
      <c r="E575" s="379" t="str">
        <f>_xlfn.IFNA(VLOOKUP($H575,Ingredient_prices!$B:$C,2,FALSE),"")</f>
        <v/>
      </c>
    </row>
    <row r="576" spans="2:5">
      <c r="B576" s="1" t="s">
        <v>1189</v>
      </c>
      <c r="C576" s="749" t="s">
        <v>3192</v>
      </c>
      <c r="E576" s="379" t="str">
        <f>_xlfn.IFNA(VLOOKUP($H576,Ingredient_prices!$B:$C,2,FALSE),"")</f>
        <v/>
      </c>
    </row>
    <row r="577" spans="2:5">
      <c r="B577" s="1" t="s">
        <v>1190</v>
      </c>
      <c r="C577" s="749" t="s">
        <v>3192</v>
      </c>
      <c r="E577" s="379" t="str">
        <f>_xlfn.IFNA(VLOOKUP($H577,Ingredient_prices!$B:$C,2,FALSE),"")</f>
        <v/>
      </c>
    </row>
    <row r="578" spans="2:5">
      <c r="B578" s="1" t="s">
        <v>1014</v>
      </c>
      <c r="C578" s="749" t="s">
        <v>3193</v>
      </c>
      <c r="E578" s="379" t="str">
        <f>_xlfn.IFNA(VLOOKUP($H578,Ingredient_prices!$B:$C,2,FALSE),"")</f>
        <v/>
      </c>
    </row>
    <row r="579" spans="2:5">
      <c r="B579" s="82" t="s">
        <v>2458</v>
      </c>
      <c r="C579" s="749" t="s">
        <v>3193</v>
      </c>
      <c r="E579" s="379" t="str">
        <f>_xlfn.IFNA(VLOOKUP($H579,Ingredient_prices!$B:$C,2,FALSE),"")</f>
        <v/>
      </c>
    </row>
    <row r="580" spans="2:5">
      <c r="B580" s="82" t="s">
        <v>2878</v>
      </c>
      <c r="C580" s="1" t="s">
        <v>3194</v>
      </c>
      <c r="E580" s="379" t="str">
        <f>_xlfn.IFNA(VLOOKUP($H580,Ingredient_prices!$B:$C,2,FALSE),"")</f>
        <v/>
      </c>
    </row>
    <row r="581" spans="2:5">
      <c r="B581" s="749" t="s">
        <v>2112</v>
      </c>
      <c r="C581" s="749" t="s">
        <v>3186</v>
      </c>
      <c r="E581" s="379" t="str">
        <f>_xlfn.IFNA(VLOOKUP($H581,Ingredient_prices!$B:$C,2,FALSE),"")</f>
        <v/>
      </c>
    </row>
    <row r="582" spans="2:5">
      <c r="B582" s="749" t="s">
        <v>1717</v>
      </c>
      <c r="C582" s="749" t="s">
        <v>3193</v>
      </c>
      <c r="E582" s="379" t="str">
        <f>_xlfn.IFNA(VLOOKUP($H582,Ingredient_prices!$B:$C,2,FALSE),"")</f>
        <v/>
      </c>
    </row>
    <row r="583" spans="2:5">
      <c r="B583" s="1" t="s">
        <v>1676</v>
      </c>
      <c r="C583" s="749" t="s">
        <v>3193</v>
      </c>
      <c r="E583" s="379" t="str">
        <f>_xlfn.IFNA(VLOOKUP($H583,Ingredient_prices!$B:$C,2,FALSE),"")</f>
        <v/>
      </c>
    </row>
    <row r="584" spans="2:5">
      <c r="B584" s="1" t="s">
        <v>1257</v>
      </c>
      <c r="C584" s="1" t="s">
        <v>3194</v>
      </c>
      <c r="E584" s="379" t="str">
        <f>_xlfn.IFNA(VLOOKUP($H584,Ingredient_prices!$B:$C,2,FALSE),"")</f>
        <v/>
      </c>
    </row>
    <row r="585" spans="2:5">
      <c r="B585" s="1" t="s">
        <v>2111</v>
      </c>
      <c r="C585" s="1" t="s">
        <v>3194</v>
      </c>
      <c r="E585" s="379" t="str">
        <f>_xlfn.IFNA(VLOOKUP($H585,Ingredient_prices!$B:$C,2,FALSE),"")</f>
        <v/>
      </c>
    </row>
    <row r="586" spans="2:5">
      <c r="B586" s="1" t="s">
        <v>1015</v>
      </c>
      <c r="C586" s="749" t="s">
        <v>3164</v>
      </c>
      <c r="E586" s="379" t="str">
        <f>_xlfn.IFNA(VLOOKUP($H586,Ingredient_prices!$B:$C,2,FALSE),"")</f>
        <v/>
      </c>
    </row>
    <row r="587" spans="2:5">
      <c r="B587" s="1" t="s">
        <v>1524</v>
      </c>
      <c r="C587" s="749" t="s">
        <v>3164</v>
      </c>
      <c r="E587" s="379" t="str">
        <f>_xlfn.IFNA(VLOOKUP($H587,Ingredient_prices!$B:$C,2,FALSE),"")</f>
        <v/>
      </c>
    </row>
    <row r="588" spans="2:5">
      <c r="B588" s="1" t="s">
        <v>1523</v>
      </c>
      <c r="C588" s="749" t="s">
        <v>3164</v>
      </c>
      <c r="E588" s="379" t="str">
        <f>_xlfn.IFNA(VLOOKUP($H588,Ingredient_prices!$B:$C,2,FALSE),"")</f>
        <v/>
      </c>
    </row>
    <row r="589" spans="2:5">
      <c r="B589" s="1" t="s">
        <v>1187</v>
      </c>
      <c r="C589" s="749" t="s">
        <v>3164</v>
      </c>
      <c r="E589" s="379" t="str">
        <f>_xlfn.IFNA(VLOOKUP($H589,Ingredient_prices!$B:$C,2,FALSE),"")</f>
        <v/>
      </c>
    </row>
    <row r="590" spans="2:5">
      <c r="B590" s="1" t="s">
        <v>1186</v>
      </c>
      <c r="C590" s="749" t="s">
        <v>3164</v>
      </c>
      <c r="E590" s="379" t="str">
        <f>_xlfn.IFNA(VLOOKUP($H590,Ingredient_prices!$B:$C,2,FALSE),"")</f>
        <v/>
      </c>
    </row>
    <row r="591" spans="2:5">
      <c r="B591" s="1" t="s">
        <v>1437</v>
      </c>
      <c r="C591" s="749" t="s">
        <v>3193</v>
      </c>
      <c r="E591" s="379" t="str">
        <f>_xlfn.IFNA(VLOOKUP($H591,Ingredient_prices!$B:$C,2,FALSE),"")</f>
        <v/>
      </c>
    </row>
    <row r="592" spans="2:5">
      <c r="B592" s="1" t="s">
        <v>1668</v>
      </c>
      <c r="C592" s="1" t="s">
        <v>3153</v>
      </c>
      <c r="E592" s="379" t="str">
        <f>_xlfn.IFNA(VLOOKUP($H592,Ingredient_prices!$B:$C,2,FALSE),"")</f>
        <v/>
      </c>
    </row>
    <row r="593" spans="2:7">
      <c r="B593" s="1" t="s">
        <v>1441</v>
      </c>
      <c r="C593" s="1" t="s">
        <v>3171</v>
      </c>
      <c r="E593" s="379" t="str">
        <f>_xlfn.IFNA(VLOOKUP($H593,Ingredient_prices!$B:$C,2,FALSE),"")</f>
        <v/>
      </c>
    </row>
    <row r="594" spans="2:7">
      <c r="B594" s="1" t="s">
        <v>1185</v>
      </c>
      <c r="C594" s="749" t="s">
        <v>3193</v>
      </c>
      <c r="E594" s="379" t="str">
        <f>_xlfn.IFNA(VLOOKUP($H594,Ingredient_prices!$B:$C,2,FALSE),"")</f>
        <v/>
      </c>
      <c r="G594" s="248"/>
    </row>
    <row r="595" spans="2:7">
      <c r="B595" s="1" t="s">
        <v>2412</v>
      </c>
      <c r="C595" s="1" t="s">
        <v>3155</v>
      </c>
      <c r="E595" s="379" t="str">
        <f>_xlfn.IFNA(VLOOKUP($H595,Ingredient_prices!$B:$C,2,FALSE),"")</f>
        <v/>
      </c>
    </row>
    <row r="596" spans="2:7">
      <c r="B596" s="82" t="s">
        <v>2879</v>
      </c>
      <c r="C596" s="1" t="s">
        <v>3196</v>
      </c>
      <c r="E596" s="379" t="str">
        <f>_xlfn.IFNA(VLOOKUP($H596,Ingredient_prices!$B:$C,2,FALSE),"")</f>
        <v/>
      </c>
    </row>
    <row r="597" spans="2:7">
      <c r="B597" s="1" t="s">
        <v>1436</v>
      </c>
      <c r="C597" s="1" t="s">
        <v>3155</v>
      </c>
      <c r="E597" s="379" t="str">
        <f>_xlfn.IFNA(VLOOKUP($H597,Ingredient_prices!$B:$C,2,FALSE),"")</f>
        <v/>
      </c>
    </row>
    <row r="598" spans="2:7">
      <c r="B598" s="1" t="s">
        <v>1016</v>
      </c>
      <c r="C598" s="1" t="s">
        <v>3466</v>
      </c>
      <c r="E598" s="379" t="str">
        <f>_xlfn.IFNA(VLOOKUP($H598,Ingredient_prices!$B:$C,2,FALSE),"")</f>
        <v/>
      </c>
    </row>
    <row r="599" spans="2:7">
      <c r="B599" s="1" t="s">
        <v>845</v>
      </c>
      <c r="C599" s="1" t="s">
        <v>3155</v>
      </c>
      <c r="E599" s="379" t="str">
        <f>_xlfn.IFNA(VLOOKUP($H599,Ingredient_prices!$B:$C,2,FALSE),"")</f>
        <v/>
      </c>
    </row>
    <row r="600" spans="2:7">
      <c r="B600" s="82" t="s">
        <v>2460</v>
      </c>
      <c r="C600" s="1" t="s">
        <v>3170</v>
      </c>
      <c r="E600" s="379" t="str">
        <f>_xlfn.IFNA(VLOOKUP($H600,Ingredient_prices!$B:$C,2,FALSE),"")</f>
        <v/>
      </c>
    </row>
    <row r="601" spans="2:7">
      <c r="B601" s="1" t="s">
        <v>1435</v>
      </c>
      <c r="C601" s="1" t="s">
        <v>3155</v>
      </c>
      <c r="E601" s="379" t="str">
        <f>_xlfn.IFNA(VLOOKUP($H601,Ingredient_prices!$B:$C,2,FALSE),"")</f>
        <v/>
      </c>
    </row>
    <row r="602" spans="2:7">
      <c r="B602" s="82" t="s">
        <v>2880</v>
      </c>
      <c r="C602" s="1" t="s">
        <v>3153</v>
      </c>
      <c r="E602" s="379" t="str">
        <f>_xlfn.IFNA(VLOOKUP($H602,Ingredient_prices!$B:$C,2,FALSE),"")</f>
        <v/>
      </c>
    </row>
    <row r="603" spans="2:7">
      <c r="B603" s="1" t="s">
        <v>2050</v>
      </c>
      <c r="C603" s="1" t="s">
        <v>3153</v>
      </c>
      <c r="E603" s="379" t="str">
        <f>_xlfn.IFNA(VLOOKUP($H603,Ingredient_prices!$B:$C,2,FALSE),"")</f>
        <v/>
      </c>
    </row>
    <row r="604" spans="2:7">
      <c r="B604" s="1" t="s">
        <v>2051</v>
      </c>
      <c r="C604" s="1" t="s">
        <v>3156</v>
      </c>
      <c r="E604" s="379" t="str">
        <f>_xlfn.IFNA(VLOOKUP($H604,Ingredient_prices!$B:$C,2,FALSE),"")</f>
        <v/>
      </c>
      <c r="G604" s="732"/>
    </row>
    <row r="605" spans="2:7">
      <c r="B605" s="1" t="s">
        <v>1017</v>
      </c>
      <c r="C605" s="1" t="s">
        <v>3156</v>
      </c>
      <c r="E605" s="379" t="str">
        <f>_xlfn.IFNA(VLOOKUP($H605,Ingredient_prices!$B:$C,2,FALSE),"")</f>
        <v/>
      </c>
    </row>
    <row r="606" spans="2:7">
      <c r="B606" s="82" t="s">
        <v>2881</v>
      </c>
      <c r="C606" s="1" t="s">
        <v>3441</v>
      </c>
      <c r="E606" s="379" t="str">
        <f>_xlfn.IFNA(VLOOKUP($H606,Ingredient_prices!$B:$C,2,FALSE),"")</f>
        <v/>
      </c>
    </row>
    <row r="607" spans="2:7">
      <c r="B607" s="1" t="s">
        <v>1527</v>
      </c>
      <c r="C607" s="1" t="s">
        <v>3171</v>
      </c>
      <c r="E607" s="379" t="str">
        <f>_xlfn.IFNA(VLOOKUP($H607,Ingredient_prices!$B:$C,2,FALSE),"")</f>
        <v/>
      </c>
    </row>
    <row r="608" spans="2:7">
      <c r="B608" s="1" t="s">
        <v>1018</v>
      </c>
      <c r="C608" s="1" t="s">
        <v>3194</v>
      </c>
      <c r="E608" s="379" t="str">
        <f>_xlfn.IFNA(VLOOKUP($H608,Ingredient_prices!$B:$C,2,FALSE),"")</f>
        <v/>
      </c>
      <c r="G608" s="82" t="s">
        <v>3194</v>
      </c>
    </row>
    <row r="609" spans="2:7">
      <c r="B609" s="1" t="s">
        <v>1251</v>
      </c>
      <c r="C609" s="1" t="s">
        <v>3155</v>
      </c>
      <c r="E609" s="379" t="str">
        <f>_xlfn.IFNA(VLOOKUP($H609,Ingredient_prices!$B:$C,2,FALSE),"")</f>
        <v/>
      </c>
    </row>
    <row r="610" spans="2:7">
      <c r="B610" s="1" t="s">
        <v>1019</v>
      </c>
      <c r="C610" s="1" t="s">
        <v>3157</v>
      </c>
      <c r="E610" s="379" t="str">
        <f>_xlfn.IFNA(VLOOKUP($H610,Ingredient_prices!$B:$C,2,FALSE),"")</f>
        <v/>
      </c>
      <c r="G610" s="248"/>
    </row>
    <row r="611" spans="2:7">
      <c r="B611" s="1" t="s">
        <v>1323</v>
      </c>
      <c r="C611" s="1" t="s">
        <v>3195</v>
      </c>
      <c r="E611" s="379" t="str">
        <f>_xlfn.IFNA(VLOOKUP($H611,Ingredient_prices!$B:$C,2,FALSE),"")</f>
        <v/>
      </c>
    </row>
    <row r="612" spans="2:7">
      <c r="B612" s="1" t="s">
        <v>1325</v>
      </c>
      <c r="C612" s="749" t="s">
        <v>3511</v>
      </c>
      <c r="E612" s="379" t="str">
        <f>_xlfn.IFNA(VLOOKUP($H612,Ingredient_prices!$B:$C,2,FALSE),"")</f>
        <v/>
      </c>
    </row>
    <row r="613" spans="2:7">
      <c r="B613" s="1" t="s">
        <v>2229</v>
      </c>
      <c r="C613" s="749" t="s">
        <v>3511</v>
      </c>
      <c r="E613" s="379" t="str">
        <f>_xlfn.IFNA(VLOOKUP($H613,Ingredient_prices!$B:$C,2,FALSE),"")</f>
        <v/>
      </c>
    </row>
    <row r="614" spans="2:7">
      <c r="B614" s="1" t="s">
        <v>1020</v>
      </c>
      <c r="C614" s="749" t="s">
        <v>3511</v>
      </c>
      <c r="E614" s="379" t="str">
        <f>_xlfn.IFNA(VLOOKUP($H614,Ingredient_prices!$B:$C,2,FALSE),"")</f>
        <v/>
      </c>
    </row>
    <row r="615" spans="2:7">
      <c r="B615" s="1" t="s">
        <v>1021</v>
      </c>
      <c r="C615" s="491" t="s">
        <v>3510</v>
      </c>
      <c r="E615" s="379" t="str">
        <f>_xlfn.IFNA(VLOOKUP($H615,Ingredient_prices!$B:$C,2,FALSE),"")</f>
        <v/>
      </c>
    </row>
    <row r="616" spans="2:7">
      <c r="B616" s="1" t="s">
        <v>1188</v>
      </c>
      <c r="C616" s="491" t="s">
        <v>3510</v>
      </c>
      <c r="E616" s="379" t="str">
        <f>_xlfn.IFNA(VLOOKUP($H616,Ingredient_prices!$B:$C,2,FALSE),"")</f>
        <v/>
      </c>
    </row>
    <row r="617" spans="2:7">
      <c r="B617" s="82" t="s">
        <v>2462</v>
      </c>
      <c r="C617" s="1" t="s">
        <v>3512</v>
      </c>
      <c r="E617" s="379" t="str">
        <f>_xlfn.IFNA(VLOOKUP($H617,Ingredient_prices!$B:$C,2,FALSE),"")</f>
        <v/>
      </c>
    </row>
    <row r="618" spans="2:7">
      <c r="B618" s="110" t="s">
        <v>1022</v>
      </c>
      <c r="C618" s="110" t="s">
        <v>3512</v>
      </c>
      <c r="E618" s="379" t="str">
        <f>_xlfn.IFNA(VLOOKUP($H618,Ingredient_prices!$B:$C,2,FALSE),"")</f>
        <v/>
      </c>
    </row>
    <row r="619" spans="2:7">
      <c r="B619" s="1" t="s">
        <v>1023</v>
      </c>
      <c r="C619" s="1" t="s">
        <v>3198</v>
      </c>
      <c r="E619" s="379" t="str">
        <f>_xlfn.IFNA(VLOOKUP($H619,Ingredient_prices!$B:$C,2,FALSE),"")</f>
        <v/>
      </c>
    </row>
    <row r="620" spans="2:7">
      <c r="B620" s="1135" t="s">
        <v>1303</v>
      </c>
      <c r="C620" s="1" t="s">
        <v>1851</v>
      </c>
      <c r="E620" s="379" t="str">
        <f>_xlfn.IFNA(VLOOKUP($H620,Ingredient_prices!$B:$C,2,FALSE),"")</f>
        <v/>
      </c>
    </row>
    <row r="621" spans="2:7">
      <c r="B621" s="1" t="s">
        <v>1671</v>
      </c>
      <c r="C621" s="1" t="s">
        <v>1851</v>
      </c>
      <c r="E621" s="379" t="str">
        <f>_xlfn.IFNA(VLOOKUP($H621,Ingredient_prices!$B:$C,2,FALSE),"")</f>
        <v/>
      </c>
    </row>
    <row r="622" spans="2:7">
      <c r="B622" s="1" t="s">
        <v>1024</v>
      </c>
      <c r="C622" s="1" t="s">
        <v>1851</v>
      </c>
      <c r="E622" s="379" t="str">
        <f>_xlfn.IFNA(VLOOKUP($H622,Ingredient_prices!$B:$C,2,FALSE),"")</f>
        <v/>
      </c>
    </row>
    <row r="623" spans="2:7">
      <c r="B623" s="1" t="s">
        <v>1396</v>
      </c>
      <c r="C623" s="1" t="s">
        <v>1851</v>
      </c>
      <c r="E623" s="379" t="str">
        <f>_xlfn.IFNA(VLOOKUP($H623,Ingredient_prices!$B:$C,2,FALSE),"")</f>
        <v/>
      </c>
    </row>
    <row r="624" spans="2:7">
      <c r="B624" s="1" t="s">
        <v>1443</v>
      </c>
      <c r="C624" s="749" t="s">
        <v>3474</v>
      </c>
      <c r="E624" s="379" t="str">
        <f>_xlfn.IFNA(VLOOKUP($H624,Ingredient_prices!$B:$C,2,FALSE),"")</f>
        <v/>
      </c>
    </row>
    <row r="625" spans="2:5">
      <c r="B625" s="1" t="s">
        <v>1530</v>
      </c>
      <c r="C625" s="749" t="s">
        <v>3474</v>
      </c>
      <c r="E625" s="379" t="str">
        <f>_xlfn.IFNA(VLOOKUP($H625,Ingredient_prices!$B:$C,2,FALSE),"")</f>
        <v/>
      </c>
    </row>
    <row r="626" spans="2:5">
      <c r="B626" s="1" t="s">
        <v>1395</v>
      </c>
      <c r="C626" s="749" t="s">
        <v>3474</v>
      </c>
      <c r="E626" s="379" t="str">
        <f>_xlfn.IFNA(VLOOKUP($H626,Ingredient_prices!$B:$C,2,FALSE),"")</f>
        <v/>
      </c>
    </row>
    <row r="627" spans="2:5">
      <c r="B627" s="1" t="s">
        <v>1025</v>
      </c>
      <c r="C627" s="1" t="s">
        <v>3198</v>
      </c>
      <c r="E627" s="379" t="str">
        <f>_xlfn.IFNA(VLOOKUP($H627,Ingredient_prices!$B:$C,2,FALSE),"")</f>
        <v/>
      </c>
    </row>
    <row r="628" spans="2:5">
      <c r="B628" s="82" t="s">
        <v>2882</v>
      </c>
      <c r="C628" s="1" t="s">
        <v>3199</v>
      </c>
      <c r="E628" s="379" t="str">
        <f>_xlfn.IFNA(VLOOKUP($H628,Ingredient_prices!$B:$C,2,FALSE),"")</f>
        <v/>
      </c>
    </row>
    <row r="629" spans="2:5">
      <c r="B629" s="82" t="s">
        <v>2481</v>
      </c>
      <c r="C629" s="1" t="s">
        <v>3200</v>
      </c>
      <c r="E629" s="379" t="str">
        <f>_xlfn.IFNA(VLOOKUP($H629,Ingredient_prices!$B:$C,2,FALSE),"")</f>
        <v/>
      </c>
    </row>
    <row r="630" spans="2:5">
      <c r="B630" s="1" t="s">
        <v>1026</v>
      </c>
      <c r="C630" s="1" t="s">
        <v>3200</v>
      </c>
      <c r="E630" s="379" t="str">
        <f>_xlfn.IFNA(VLOOKUP($H630,Ingredient_prices!$B:$C,2,FALSE),"")</f>
        <v/>
      </c>
    </row>
    <row r="631" spans="2:5">
      <c r="B631" s="1135" t="s">
        <v>2041</v>
      </c>
      <c r="C631" s="1" t="s">
        <v>3200</v>
      </c>
      <c r="E631" s="379" t="str">
        <f>_xlfn.IFNA(VLOOKUP($H631,Ingredient_prices!$B:$C,2,FALSE),"")</f>
        <v/>
      </c>
    </row>
    <row r="632" spans="2:5">
      <c r="B632" s="1135" t="s">
        <v>1306</v>
      </c>
      <c r="C632" s="1" t="s">
        <v>3207</v>
      </c>
      <c r="E632" s="379" t="str">
        <f>_xlfn.IFNA(VLOOKUP($H632,Ingredient_prices!$B:$C,2,FALSE),"")</f>
        <v/>
      </c>
    </row>
    <row r="633" spans="2:5">
      <c r="B633" s="1" t="s">
        <v>1221</v>
      </c>
      <c r="C633" s="1" t="s">
        <v>3207</v>
      </c>
      <c r="E633" s="379" t="str">
        <f>_xlfn.IFNA(VLOOKUP($H633,Ingredient_prices!$B:$C,2,FALSE),"")</f>
        <v/>
      </c>
    </row>
    <row r="634" spans="2:5">
      <c r="B634" s="82" t="s">
        <v>2397</v>
      </c>
      <c r="C634" s="749" t="s">
        <v>3474</v>
      </c>
      <c r="E634" s="379" t="str">
        <f>_xlfn.IFNA(VLOOKUP($H634,Ingredient_prices!$B:$C,2,FALSE),"")</f>
        <v/>
      </c>
    </row>
    <row r="635" spans="2:5">
      <c r="B635" s="1" t="s">
        <v>1027</v>
      </c>
      <c r="C635" s="1" t="s">
        <v>3207</v>
      </c>
      <c r="E635" s="379" t="str">
        <f>_xlfn.IFNA(VLOOKUP($H635,Ingredient_prices!$B:$C,2,FALSE),"")</f>
        <v/>
      </c>
    </row>
    <row r="636" spans="2:5">
      <c r="B636" s="1" t="s">
        <v>1647</v>
      </c>
      <c r="C636" s="1" t="s">
        <v>1855</v>
      </c>
      <c r="E636" s="379" t="str">
        <f>_xlfn.IFNA(VLOOKUP($H636,Ingredient_prices!$B:$C,2,FALSE),"")</f>
        <v/>
      </c>
    </row>
    <row r="637" spans="2:5">
      <c r="B637" s="7" t="s">
        <v>2023</v>
      </c>
      <c r="C637" s="1" t="s">
        <v>1855</v>
      </c>
      <c r="E637" s="379" t="str">
        <f>_xlfn.IFNA(VLOOKUP($H637,Ingredient_prices!$B:$C,2,FALSE),"")</f>
        <v/>
      </c>
    </row>
    <row r="638" spans="2:5">
      <c r="B638" s="7" t="s">
        <v>1028</v>
      </c>
      <c r="C638" s="1" t="s">
        <v>1855</v>
      </c>
      <c r="E638" s="379" t="str">
        <f>_xlfn.IFNA(VLOOKUP($H638,Ingredient_prices!$B:$C,2,FALSE),"")</f>
        <v/>
      </c>
    </row>
    <row r="639" spans="2:5">
      <c r="B639" s="7" t="s">
        <v>1196</v>
      </c>
      <c r="C639" s="1" t="s">
        <v>1855</v>
      </c>
      <c r="E639" s="379" t="str">
        <f>_xlfn.IFNA(VLOOKUP($H639,Ingredient_prices!$B:$C,2,FALSE),"")</f>
        <v/>
      </c>
    </row>
    <row r="640" spans="2:5">
      <c r="B640" s="7" t="s">
        <v>852</v>
      </c>
      <c r="C640" s="1" t="s">
        <v>1855</v>
      </c>
      <c r="E640" s="379" t="str">
        <f>_xlfn.IFNA(VLOOKUP($H640,Ingredient_prices!$B:$C,2,FALSE),"")</f>
        <v/>
      </c>
    </row>
    <row r="641" spans="2:5">
      <c r="B641" s="1" t="s">
        <v>1029</v>
      </c>
      <c r="C641" s="1" t="s">
        <v>1856</v>
      </c>
      <c r="E641" s="379" t="str">
        <f>_xlfn.IFNA(VLOOKUP($H641,Ingredient_prices!$B:$C,2,FALSE),"")</f>
        <v/>
      </c>
    </row>
    <row r="642" spans="2:5">
      <c r="B642" s="736" t="s">
        <v>1444</v>
      </c>
      <c r="C642" s="1" t="s">
        <v>3198</v>
      </c>
      <c r="E642" s="379" t="str">
        <f>_xlfn.IFNA(VLOOKUP($H642,Ingredient_prices!$B:$C,2,FALSE),"")</f>
        <v/>
      </c>
    </row>
    <row r="643" spans="2:5">
      <c r="B643" s="736" t="s">
        <v>1307</v>
      </c>
      <c r="C643" s="1" t="s">
        <v>3198</v>
      </c>
      <c r="E643" s="379" t="str">
        <f>_xlfn.IFNA(VLOOKUP($H643,Ingredient_prices!$B:$C,2,FALSE),"")</f>
        <v/>
      </c>
    </row>
    <row r="644" spans="2:5">
      <c r="B644" s="1" t="s">
        <v>2304</v>
      </c>
      <c r="C644" s="1" t="s">
        <v>1859</v>
      </c>
      <c r="E644" s="379" t="str">
        <f>_xlfn.IFNA(VLOOKUP($H644,Ingredient_prices!$B:$C,2,FALSE),"")</f>
        <v/>
      </c>
    </row>
    <row r="645" spans="2:5">
      <c r="B645" s="679" t="s">
        <v>2883</v>
      </c>
      <c r="C645" s="1" t="s">
        <v>1859</v>
      </c>
      <c r="E645" s="379" t="str">
        <f>_xlfn.IFNA(VLOOKUP($H645,Ingredient_prices!$B:$C,2,FALSE),"")</f>
        <v/>
      </c>
    </row>
    <row r="646" spans="2:5">
      <c r="B646" s="679" t="s">
        <v>2884</v>
      </c>
      <c r="C646" s="1" t="s">
        <v>1859</v>
      </c>
      <c r="E646" s="379" t="str">
        <f>_xlfn.IFNA(VLOOKUP($H646,Ingredient_prices!$B:$C,2,FALSE),"")</f>
        <v/>
      </c>
    </row>
    <row r="647" spans="2:5">
      <c r="B647" s="679" t="s">
        <v>2417</v>
      </c>
      <c r="C647" s="1" t="s">
        <v>1859</v>
      </c>
      <c r="E647" s="379" t="str">
        <f>_xlfn.IFNA(VLOOKUP($H647,Ingredient_prices!$B:$C,2,FALSE),"")</f>
        <v/>
      </c>
    </row>
    <row r="648" spans="2:5">
      <c r="B648" s="1" t="s">
        <v>1529</v>
      </c>
      <c r="C648" s="1" t="s">
        <v>1859</v>
      </c>
    </row>
    <row r="649" spans="2:5">
      <c r="B649" s="1" t="s">
        <v>2955</v>
      </c>
      <c r="C649" s="1" t="s">
        <v>3201</v>
      </c>
    </row>
    <row r="650" spans="2:5">
      <c r="B650" s="1" t="s">
        <v>1353</v>
      </c>
      <c r="C650" s="1" t="s">
        <v>1859</v>
      </c>
    </row>
    <row r="651" spans="2:5">
      <c r="B651" s="1135" t="s">
        <v>1304</v>
      </c>
      <c r="C651" s="1" t="s">
        <v>1859</v>
      </c>
    </row>
    <row r="652" spans="2:5">
      <c r="B652" s="1" t="s">
        <v>2885</v>
      </c>
      <c r="C652" s="1" t="s">
        <v>3202</v>
      </c>
    </row>
    <row r="653" spans="2:5">
      <c r="B653" s="1" t="s">
        <v>1030</v>
      </c>
      <c r="C653" s="1" t="s">
        <v>3202</v>
      </c>
    </row>
    <row r="654" spans="2:5">
      <c r="B654" s="248" t="s">
        <v>2114</v>
      </c>
      <c r="C654" s="1" t="s">
        <v>1851</v>
      </c>
    </row>
    <row r="655" spans="2:5">
      <c r="B655" s="82" t="s">
        <v>2886</v>
      </c>
      <c r="C655" s="1" t="s">
        <v>1861</v>
      </c>
    </row>
    <row r="656" spans="2:5">
      <c r="B656" s="1" t="s">
        <v>911</v>
      </c>
      <c r="C656" s="1" t="s">
        <v>1861</v>
      </c>
    </row>
    <row r="657" spans="2:3">
      <c r="B657" s="1" t="s">
        <v>1031</v>
      </c>
      <c r="C657" s="1" t="s">
        <v>1861</v>
      </c>
    </row>
    <row r="658" spans="2:3">
      <c r="B658" s="1" t="s">
        <v>1394</v>
      </c>
      <c r="C658" s="1" t="s">
        <v>1861</v>
      </c>
    </row>
    <row r="659" spans="2:3">
      <c r="B659" s="1" t="s">
        <v>1032</v>
      </c>
      <c r="C659" s="1" t="s">
        <v>3472</v>
      </c>
    </row>
    <row r="660" spans="2:3">
      <c r="B660" s="82" t="s">
        <v>2398</v>
      </c>
      <c r="C660" s="1" t="s">
        <v>3197</v>
      </c>
    </row>
    <row r="661" spans="2:3">
      <c r="B661" s="7" t="s">
        <v>1197</v>
      </c>
      <c r="C661" s="7" t="s">
        <v>1855</v>
      </c>
    </row>
    <row r="662" spans="2:3">
      <c r="B662" s="1135" t="s">
        <v>1531</v>
      </c>
      <c r="C662" s="53" t="s">
        <v>3203</v>
      </c>
    </row>
    <row r="663" spans="2:3">
      <c r="B663" s="1135" t="s">
        <v>1305</v>
      </c>
      <c r="C663" s="53" t="s">
        <v>3203</v>
      </c>
    </row>
    <row r="664" spans="2:3">
      <c r="B664" s="679" t="s">
        <v>2416</v>
      </c>
      <c r="C664" s="53" t="s">
        <v>3203</v>
      </c>
    </row>
    <row r="665" spans="2:3">
      <c r="B665" s="82" t="s">
        <v>2482</v>
      </c>
      <c r="C665" s="53" t="s">
        <v>3203</v>
      </c>
    </row>
    <row r="666" spans="2:3">
      <c r="B666" s="1" t="s">
        <v>1033</v>
      </c>
      <c r="C666" s="53" t="s">
        <v>3203</v>
      </c>
    </row>
    <row r="667" spans="2:3">
      <c r="B667" s="24" t="s">
        <v>1034</v>
      </c>
      <c r="C667" s="24" t="s">
        <v>3204</v>
      </c>
    </row>
    <row r="668" spans="2:3">
      <c r="B668" s="1" t="s">
        <v>1442</v>
      </c>
      <c r="C668" s="1" t="s">
        <v>3238</v>
      </c>
    </row>
    <row r="669" spans="2:3">
      <c r="B669" s="1" t="s">
        <v>1719</v>
      </c>
      <c r="C669" s="1" t="s">
        <v>3242</v>
      </c>
    </row>
    <row r="670" spans="2:3">
      <c r="B670" s="1" t="s">
        <v>2204</v>
      </c>
      <c r="C670" s="1" t="s">
        <v>3242</v>
      </c>
    </row>
    <row r="671" spans="2:3">
      <c r="B671" s="1" t="s">
        <v>2206</v>
      </c>
      <c r="C671" s="1" t="s">
        <v>3240</v>
      </c>
    </row>
    <row r="672" spans="2:3">
      <c r="B672" s="1135" t="s">
        <v>2207</v>
      </c>
      <c r="C672" s="1" t="s">
        <v>3242</v>
      </c>
    </row>
    <row r="673" spans="2:3">
      <c r="B673" s="82" t="s">
        <v>2464</v>
      </c>
      <c r="C673" s="1" t="s">
        <v>3242</v>
      </c>
    </row>
    <row r="674" spans="2:3">
      <c r="B674" s="1" t="s">
        <v>2208</v>
      </c>
      <c r="C674" s="1" t="s">
        <v>3242</v>
      </c>
    </row>
    <row r="675" spans="2:3">
      <c r="B675" s="1" t="s">
        <v>2209</v>
      </c>
      <c r="C675" s="1" t="s">
        <v>3236</v>
      </c>
    </row>
    <row r="676" spans="2:3">
      <c r="B676" s="1" t="s">
        <v>2205</v>
      </c>
      <c r="C676" s="1" t="s">
        <v>3243</v>
      </c>
    </row>
    <row r="677" spans="2:3">
      <c r="B677" s="1" t="s">
        <v>2210</v>
      </c>
      <c r="C677" s="1" t="s">
        <v>3241</v>
      </c>
    </row>
    <row r="678" spans="2:3">
      <c r="B678" s="1135" t="s">
        <v>2211</v>
      </c>
      <c r="C678" s="1" t="s">
        <v>3243</v>
      </c>
    </row>
    <row r="679" spans="2:3">
      <c r="B679" s="1" t="s">
        <v>2212</v>
      </c>
      <c r="C679" s="1" t="s">
        <v>3243</v>
      </c>
    </row>
    <row r="680" spans="2:3">
      <c r="B680" s="1" t="s">
        <v>2213</v>
      </c>
      <c r="C680" s="1" t="s">
        <v>3244</v>
      </c>
    </row>
    <row r="681" spans="2:3">
      <c r="B681" s="1" t="s">
        <v>1573</v>
      </c>
      <c r="C681" s="1" t="s">
        <v>3237</v>
      </c>
    </row>
    <row r="682" spans="2:3">
      <c r="B682" s="749" t="s">
        <v>2294</v>
      </c>
      <c r="C682" s="1" t="s">
        <v>3237</v>
      </c>
    </row>
    <row r="683" spans="2:3">
      <c r="B683" s="1" t="s">
        <v>1176</v>
      </c>
      <c r="C683" s="1" t="s">
        <v>3237</v>
      </c>
    </row>
    <row r="684" spans="2:3">
      <c r="B684" s="1" t="s">
        <v>1177</v>
      </c>
      <c r="C684" s="1" t="s">
        <v>3237</v>
      </c>
    </row>
    <row r="685" spans="2:3">
      <c r="B685" s="1" t="s">
        <v>1175</v>
      </c>
      <c r="C685" s="1" t="s">
        <v>3237</v>
      </c>
    </row>
    <row r="686" spans="2:3">
      <c r="B686" s="1" t="s">
        <v>1175</v>
      </c>
      <c r="C686" s="1" t="s">
        <v>3237</v>
      </c>
    </row>
    <row r="687" spans="2:3">
      <c r="B687" s="1" t="s">
        <v>1035</v>
      </c>
      <c r="C687" s="1" t="s">
        <v>3237</v>
      </c>
    </row>
    <row r="688" spans="2:3">
      <c r="B688" s="1" t="s">
        <v>2014</v>
      </c>
      <c r="C688" s="1" t="s">
        <v>1880</v>
      </c>
    </row>
    <row r="689" spans="2:3">
      <c r="B689" s="82" t="s">
        <v>2418</v>
      </c>
      <c r="C689" s="1" t="s">
        <v>3238</v>
      </c>
    </row>
    <row r="690" spans="2:3">
      <c r="B690" s="1" t="s">
        <v>1036</v>
      </c>
      <c r="C690" s="1" t="s">
        <v>3238</v>
      </c>
    </row>
    <row r="691" spans="2:3">
      <c r="B691" s="749" t="s">
        <v>2225</v>
      </c>
      <c r="C691" s="1" t="s">
        <v>3242</v>
      </c>
    </row>
    <row r="692" spans="2:3">
      <c r="B692" s="749" t="s">
        <v>2887</v>
      </c>
      <c r="C692" s="1" t="s">
        <v>3243</v>
      </c>
    </row>
    <row r="693" spans="2:3">
      <c r="B693" s="749" t="s">
        <v>2252</v>
      </c>
      <c r="C693" s="1" t="s">
        <v>3236</v>
      </c>
    </row>
    <row r="694" spans="2:3">
      <c r="B694" s="1" t="s">
        <v>1599</v>
      </c>
      <c r="C694" s="1" t="s">
        <v>3237</v>
      </c>
    </row>
    <row r="695" spans="2:3">
      <c r="B695" s="1" t="s">
        <v>1570</v>
      </c>
      <c r="C695" s="1" t="s">
        <v>3236</v>
      </c>
    </row>
    <row r="696" spans="2:3">
      <c r="B696" s="1" t="s">
        <v>1466</v>
      </c>
      <c r="C696" s="1" t="s">
        <v>3239</v>
      </c>
    </row>
    <row r="697" spans="2:3">
      <c r="B697" s="1" t="s">
        <v>1528</v>
      </c>
      <c r="C697" s="1" t="s">
        <v>3238</v>
      </c>
    </row>
    <row r="698" spans="2:3">
      <c r="B698" s="1" t="s">
        <v>1266</v>
      </c>
      <c r="C698" s="1" t="s">
        <v>3239</v>
      </c>
    </row>
    <row r="699" spans="2:3">
      <c r="B699" s="82" t="s">
        <v>2403</v>
      </c>
      <c r="C699" s="1" t="s">
        <v>3239</v>
      </c>
    </row>
    <row r="700" spans="2:3">
      <c r="B700" s="749" t="s">
        <v>2129</v>
      </c>
      <c r="C700" s="1" t="s">
        <v>3239</v>
      </c>
    </row>
    <row r="701" spans="2:3">
      <c r="B701" s="1" t="s">
        <v>1037</v>
      </c>
      <c r="C701" s="1" t="s">
        <v>1880</v>
      </c>
    </row>
    <row r="702" spans="2:3">
      <c r="B702" s="82" t="s">
        <v>2888</v>
      </c>
      <c r="C702" s="1" t="s">
        <v>3239</v>
      </c>
    </row>
    <row r="703" spans="2:3">
      <c r="B703" s="749" t="s">
        <v>2251</v>
      </c>
      <c r="C703" s="1" t="s">
        <v>3239</v>
      </c>
    </row>
    <row r="704" spans="2:3">
      <c r="B704" s="24" t="s">
        <v>884</v>
      </c>
      <c r="C704" s="24" t="s">
        <v>3239</v>
      </c>
    </row>
    <row r="705" spans="2:3">
      <c r="B705" s="1" t="s">
        <v>2024</v>
      </c>
      <c r="C705" s="1" t="s">
        <v>3342</v>
      </c>
    </row>
    <row r="706" spans="2:3">
      <c r="B706" s="749" t="s">
        <v>2215</v>
      </c>
      <c r="C706" s="749" t="s">
        <v>3345</v>
      </c>
    </row>
    <row r="707" spans="2:3">
      <c r="B707" s="82" t="s">
        <v>2433</v>
      </c>
      <c r="C707" s="749" t="s">
        <v>3345</v>
      </c>
    </row>
    <row r="708" spans="2:3">
      <c r="B708" s="1" t="s">
        <v>1339</v>
      </c>
      <c r="C708" s="749" t="s">
        <v>3345</v>
      </c>
    </row>
    <row r="709" spans="2:3">
      <c r="B709" s="1" t="s">
        <v>1274</v>
      </c>
      <c r="C709" s="1" t="s">
        <v>3343</v>
      </c>
    </row>
    <row r="710" spans="2:3">
      <c r="B710" s="1" t="s">
        <v>1628</v>
      </c>
      <c r="C710" s="1" t="s">
        <v>1625</v>
      </c>
    </row>
    <row r="711" spans="2:3">
      <c r="B711" s="1135" t="s">
        <v>1278</v>
      </c>
      <c r="C711" s="1272" t="s">
        <v>3344</v>
      </c>
    </row>
    <row r="712" spans="2:3">
      <c r="B712" s="82" t="s">
        <v>2889</v>
      </c>
      <c r="C712" s="749" t="s">
        <v>3345</v>
      </c>
    </row>
    <row r="713" spans="2:3">
      <c r="B713" s="1" t="s">
        <v>1038</v>
      </c>
      <c r="C713" s="1" t="s">
        <v>484</v>
      </c>
    </row>
    <row r="714" spans="2:3">
      <c r="B714" s="82" t="s">
        <v>2472</v>
      </c>
      <c r="C714" s="1" t="s">
        <v>484</v>
      </c>
    </row>
    <row r="715" spans="2:3">
      <c r="B715" s="1" t="s">
        <v>2025</v>
      </c>
      <c r="C715" s="1" t="s">
        <v>3325</v>
      </c>
    </row>
    <row r="716" spans="2:3">
      <c r="B716" s="1" t="s">
        <v>2032</v>
      </c>
      <c r="C716" s="1" t="s">
        <v>3325</v>
      </c>
    </row>
    <row r="717" spans="2:3">
      <c r="B717" s="82" t="s">
        <v>2890</v>
      </c>
      <c r="C717" s="1" t="s">
        <v>1881</v>
      </c>
    </row>
    <row r="718" spans="2:3">
      <c r="B718" s="1" t="s">
        <v>856</v>
      </c>
      <c r="C718" s="1" t="s">
        <v>1881</v>
      </c>
    </row>
    <row r="719" spans="2:3">
      <c r="B719" s="1" t="s">
        <v>2026</v>
      </c>
      <c r="C719" s="1" t="s">
        <v>1881</v>
      </c>
    </row>
    <row r="720" spans="2:3">
      <c r="B720" s="1" t="s">
        <v>1039</v>
      </c>
      <c r="C720" s="1" t="s">
        <v>1881</v>
      </c>
    </row>
    <row r="721" spans="2:3">
      <c r="B721" s="82" t="s">
        <v>2477</v>
      </c>
      <c r="C721" s="1" t="s">
        <v>1881</v>
      </c>
    </row>
    <row r="722" spans="2:3">
      <c r="B722" s="1135" t="s">
        <v>1295</v>
      </c>
      <c r="C722" s="1272" t="s">
        <v>3326</v>
      </c>
    </row>
    <row r="723" spans="2:3">
      <c r="B723" s="1" t="s">
        <v>855</v>
      </c>
      <c r="C723" s="1" t="s">
        <v>3327</v>
      </c>
    </row>
    <row r="724" spans="2:3">
      <c r="B724" s="1" t="s">
        <v>1040</v>
      </c>
      <c r="C724" s="1" t="s">
        <v>3327</v>
      </c>
    </row>
    <row r="725" spans="2:3">
      <c r="B725" s="1" t="s">
        <v>1041</v>
      </c>
      <c r="C725" s="749" t="s">
        <v>3345</v>
      </c>
    </row>
    <row r="726" spans="2:3">
      <c r="B726" s="1" t="s">
        <v>1340</v>
      </c>
      <c r="C726" s="749" t="s">
        <v>3345</v>
      </c>
    </row>
    <row r="727" spans="2:3">
      <c r="B727" s="1" t="s">
        <v>1631</v>
      </c>
      <c r="C727" s="1" t="s">
        <v>3329</v>
      </c>
    </row>
    <row r="728" spans="2:3">
      <c r="B728" s="1" t="s">
        <v>854</v>
      </c>
      <c r="C728" s="1" t="s">
        <v>3328</v>
      </c>
    </row>
    <row r="729" spans="2:3">
      <c r="B729" s="1" t="s">
        <v>1448</v>
      </c>
      <c r="C729" s="1" t="s">
        <v>3484</v>
      </c>
    </row>
    <row r="730" spans="2:3">
      <c r="B730" s="1" t="s">
        <v>1152</v>
      </c>
      <c r="C730" s="1" t="s">
        <v>1913</v>
      </c>
    </row>
    <row r="731" spans="2:3">
      <c r="B731" s="1" t="s">
        <v>877</v>
      </c>
      <c r="C731" s="1" t="s">
        <v>3347</v>
      </c>
    </row>
    <row r="732" spans="2:3">
      <c r="B732" s="1" t="s">
        <v>1521</v>
      </c>
      <c r="C732" s="1" t="s">
        <v>1885</v>
      </c>
    </row>
    <row r="733" spans="2:3">
      <c r="B733" s="1" t="s">
        <v>1715</v>
      </c>
      <c r="C733" s="1" t="s">
        <v>510</v>
      </c>
    </row>
    <row r="734" spans="2:3">
      <c r="B734" s="1" t="s">
        <v>1042</v>
      </c>
      <c r="C734" s="1" t="s">
        <v>1885</v>
      </c>
    </row>
    <row r="735" spans="2:3">
      <c r="B735" s="1" t="s">
        <v>1282</v>
      </c>
      <c r="C735" s="1" t="s">
        <v>3330</v>
      </c>
    </row>
    <row r="736" spans="2:3">
      <c r="B736" s="1" t="s">
        <v>862</v>
      </c>
      <c r="C736" s="1" t="s">
        <v>3330</v>
      </c>
    </row>
    <row r="737" spans="2:7">
      <c r="B737" s="1" t="s">
        <v>1632</v>
      </c>
      <c r="C737" s="1" t="s">
        <v>3331</v>
      </c>
    </row>
    <row r="738" spans="2:7">
      <c r="B738" s="1" t="s">
        <v>1043</v>
      </c>
      <c r="C738" s="1" t="s">
        <v>1887</v>
      </c>
    </row>
    <row r="739" spans="2:7">
      <c r="B739" s="1" t="s">
        <v>2253</v>
      </c>
      <c r="C739" s="1" t="s">
        <v>3478</v>
      </c>
    </row>
    <row r="740" spans="2:7">
      <c r="B740" s="82" t="s">
        <v>2891</v>
      </c>
      <c r="C740" s="1" t="s">
        <v>3478</v>
      </c>
    </row>
    <row r="741" spans="2:7">
      <c r="B741" s="1" t="s">
        <v>1338</v>
      </c>
      <c r="C741" s="1" t="s">
        <v>3332</v>
      </c>
      <c r="G741" s="248"/>
    </row>
    <row r="742" spans="2:7">
      <c r="B742" s="1" t="s">
        <v>1474</v>
      </c>
      <c r="C742" s="1" t="s">
        <v>3332</v>
      </c>
      <c r="G742" s="248"/>
    </row>
    <row r="743" spans="2:7">
      <c r="B743" s="1" t="s">
        <v>1044</v>
      </c>
      <c r="C743" s="1" t="s">
        <v>3332</v>
      </c>
    </row>
    <row r="744" spans="2:7">
      <c r="B744" s="1" t="s">
        <v>1213</v>
      </c>
      <c r="C744" s="1" t="s">
        <v>3333</v>
      </c>
    </row>
    <row r="745" spans="2:7">
      <c r="B745" s="1" t="s">
        <v>1341</v>
      </c>
      <c r="C745" s="1" t="s">
        <v>3351</v>
      </c>
    </row>
    <row r="746" spans="2:7">
      <c r="B746" s="1" t="s">
        <v>1277</v>
      </c>
      <c r="C746" s="1" t="s">
        <v>3351</v>
      </c>
    </row>
    <row r="747" spans="2:7">
      <c r="B747" s="1" t="s">
        <v>1596</v>
      </c>
      <c r="C747" s="1" t="s">
        <v>3351</v>
      </c>
    </row>
    <row r="748" spans="2:7">
      <c r="B748" s="1" t="s">
        <v>1597</v>
      </c>
      <c r="C748" s="1" t="s">
        <v>3351</v>
      </c>
    </row>
    <row r="749" spans="2:7">
      <c r="B749" s="1135" t="s">
        <v>1279</v>
      </c>
      <c r="C749" s="1" t="s">
        <v>3334</v>
      </c>
    </row>
    <row r="750" spans="2:7">
      <c r="B750" s="82" t="s">
        <v>2473</v>
      </c>
      <c r="C750" s="1" t="s">
        <v>3334</v>
      </c>
    </row>
    <row r="751" spans="2:7">
      <c r="B751" s="1" t="s">
        <v>1578</v>
      </c>
      <c r="C751" s="1" t="s">
        <v>3334</v>
      </c>
    </row>
    <row r="752" spans="2:7">
      <c r="B752" s="749" t="s">
        <v>2254</v>
      </c>
      <c r="C752" s="1" t="s">
        <v>3334</v>
      </c>
    </row>
    <row r="753" spans="2:7">
      <c r="B753" s="1" t="s">
        <v>1673</v>
      </c>
      <c r="C753" s="1" t="s">
        <v>3350</v>
      </c>
    </row>
    <row r="754" spans="2:7">
      <c r="B754" s="1" t="s">
        <v>857</v>
      </c>
      <c r="C754" s="1" t="s">
        <v>3351</v>
      </c>
    </row>
    <row r="755" spans="2:7">
      <c r="B755" s="82" t="s">
        <v>2465</v>
      </c>
      <c r="C755" s="1" t="s">
        <v>3351</v>
      </c>
    </row>
    <row r="756" spans="2:7">
      <c r="B756" s="1" t="s">
        <v>2497</v>
      </c>
      <c r="C756" s="1" t="s">
        <v>3351</v>
      </c>
    </row>
    <row r="757" spans="2:7">
      <c r="B757" s="1" t="s">
        <v>1580</v>
      </c>
      <c r="C757" s="749" t="s">
        <v>3352</v>
      </c>
    </row>
    <row r="758" spans="2:7">
      <c r="B758" s="1" t="s">
        <v>1581</v>
      </c>
      <c r="C758" s="1" t="s">
        <v>1894</v>
      </c>
    </row>
    <row r="759" spans="2:7">
      <c r="B759" s="1" t="s">
        <v>1579</v>
      </c>
      <c r="C759" s="1" t="s">
        <v>1894</v>
      </c>
    </row>
    <row r="760" spans="2:7">
      <c r="B760" s="1" t="s">
        <v>1045</v>
      </c>
      <c r="C760" s="1" t="s">
        <v>1895</v>
      </c>
    </row>
    <row r="761" spans="2:7">
      <c r="B761" s="1" t="s">
        <v>1046</v>
      </c>
      <c r="C761" s="1" t="s">
        <v>1896</v>
      </c>
      <c r="G761" s="248"/>
    </row>
    <row r="762" spans="2:7">
      <c r="B762" s="1" t="s">
        <v>2236</v>
      </c>
      <c r="C762" s="1" t="s">
        <v>3481</v>
      </c>
    </row>
    <row r="763" spans="2:7">
      <c r="B763" s="1" t="s">
        <v>1047</v>
      </c>
      <c r="C763" s="1" t="s">
        <v>3481</v>
      </c>
    </row>
    <row r="764" spans="2:7">
      <c r="B764" s="1" t="s">
        <v>1047</v>
      </c>
      <c r="C764" s="1" t="s">
        <v>3481</v>
      </c>
    </row>
    <row r="765" spans="2:7">
      <c r="B765" s="1" t="s">
        <v>2235</v>
      </c>
      <c r="C765" s="1" t="s">
        <v>3481</v>
      </c>
    </row>
    <row r="766" spans="2:7">
      <c r="B766" s="1" t="s">
        <v>1048</v>
      </c>
      <c r="C766" s="1" t="s">
        <v>1898</v>
      </c>
    </row>
    <row r="767" spans="2:7">
      <c r="B767" s="1" t="s">
        <v>1276</v>
      </c>
      <c r="C767" s="1" t="s">
        <v>3483</v>
      </c>
    </row>
    <row r="768" spans="2:7">
      <c r="B768" s="1" t="s">
        <v>868</v>
      </c>
      <c r="C768" s="1" t="s">
        <v>3359</v>
      </c>
      <c r="G768" s="248"/>
    </row>
    <row r="769" spans="2:7">
      <c r="B769" s="1" t="s">
        <v>1450</v>
      </c>
      <c r="C769" s="1" t="s">
        <v>3480</v>
      </c>
      <c r="G769" s="248"/>
    </row>
    <row r="770" spans="2:7">
      <c r="B770" s="82" t="s">
        <v>2892</v>
      </c>
      <c r="C770" s="1" t="s">
        <v>3333</v>
      </c>
    </row>
    <row r="771" spans="2:7">
      <c r="B771" s="1" t="s">
        <v>1049</v>
      </c>
      <c r="C771" s="1" t="s">
        <v>3353</v>
      </c>
    </row>
    <row r="772" spans="2:7">
      <c r="B772" s="1135" t="s">
        <v>1281</v>
      </c>
      <c r="C772" s="1" t="s">
        <v>510</v>
      </c>
    </row>
    <row r="773" spans="2:7">
      <c r="B773" s="82" t="s">
        <v>2405</v>
      </c>
      <c r="C773" s="1" t="s">
        <v>510</v>
      </c>
      <c r="G773" s="732"/>
    </row>
    <row r="774" spans="2:7">
      <c r="B774" s="1" t="s">
        <v>1672</v>
      </c>
      <c r="C774" s="1" t="s">
        <v>3347</v>
      </c>
    </row>
    <row r="775" spans="2:7">
      <c r="B775" s="1135" t="s">
        <v>1576</v>
      </c>
      <c r="C775" s="1" t="s">
        <v>3354</v>
      </c>
    </row>
    <row r="776" spans="2:7">
      <c r="B776" s="1135" t="s">
        <v>1575</v>
      </c>
      <c r="C776" s="1" t="s">
        <v>3354</v>
      </c>
    </row>
    <row r="777" spans="2:7">
      <c r="B777" s="1135" t="s">
        <v>1574</v>
      </c>
      <c r="C777" s="1" t="s">
        <v>3354</v>
      </c>
    </row>
    <row r="778" spans="2:7">
      <c r="B778" s="1135" t="s">
        <v>1577</v>
      </c>
      <c r="C778" s="1" t="s">
        <v>3354</v>
      </c>
    </row>
    <row r="779" spans="2:7">
      <c r="B779" s="1135" t="s">
        <v>1283</v>
      </c>
      <c r="C779" s="1" t="s">
        <v>3354</v>
      </c>
    </row>
    <row r="780" spans="2:7">
      <c r="B780" s="1" t="s">
        <v>1479</v>
      </c>
      <c r="C780" s="1" t="s">
        <v>510</v>
      </c>
    </row>
    <row r="781" spans="2:7">
      <c r="B781" s="1" t="s">
        <v>1646</v>
      </c>
      <c r="C781" s="1" t="s">
        <v>3347</v>
      </c>
    </row>
    <row r="782" spans="2:7">
      <c r="B782" s="1" t="s">
        <v>879</v>
      </c>
      <c r="C782" s="1" t="s">
        <v>503</v>
      </c>
    </row>
    <row r="783" spans="2:7">
      <c r="B783" s="1" t="s">
        <v>1208</v>
      </c>
      <c r="C783" s="1" t="s">
        <v>503</v>
      </c>
    </row>
    <row r="784" spans="2:7">
      <c r="B784" s="1" t="s">
        <v>1050</v>
      </c>
      <c r="C784" s="1" t="s">
        <v>503</v>
      </c>
    </row>
    <row r="785" spans="2:3">
      <c r="B785" s="749" t="s">
        <v>2135</v>
      </c>
      <c r="C785" s="1" t="s">
        <v>3354</v>
      </c>
    </row>
    <row r="786" spans="2:3">
      <c r="B786" s="1" t="s">
        <v>1520</v>
      </c>
      <c r="C786" s="749" t="s">
        <v>3351</v>
      </c>
    </row>
    <row r="787" spans="2:3">
      <c r="B787" s="1" t="s">
        <v>1502</v>
      </c>
      <c r="C787" s="749" t="s">
        <v>3351</v>
      </c>
    </row>
    <row r="788" spans="2:3">
      <c r="B788" s="82" t="s">
        <v>2893</v>
      </c>
      <c r="C788" s="1" t="s">
        <v>1881</v>
      </c>
    </row>
    <row r="789" spans="2:3">
      <c r="B789" s="749" t="s">
        <v>2244</v>
      </c>
      <c r="C789" s="1" t="s">
        <v>3355</v>
      </c>
    </row>
    <row r="790" spans="2:3">
      <c r="B790" s="1" t="s">
        <v>858</v>
      </c>
      <c r="C790" s="1" t="s">
        <v>3355</v>
      </c>
    </row>
    <row r="791" spans="2:3">
      <c r="B791" s="1" t="s">
        <v>1051</v>
      </c>
      <c r="C791" s="1" t="s">
        <v>3355</v>
      </c>
    </row>
    <row r="792" spans="2:3">
      <c r="B792" s="82" t="s">
        <v>2894</v>
      </c>
      <c r="C792" s="1" t="s">
        <v>3355</v>
      </c>
    </row>
    <row r="793" spans="2:3">
      <c r="B793" s="82" t="s">
        <v>2895</v>
      </c>
      <c r="C793" s="1" t="s">
        <v>3355</v>
      </c>
    </row>
    <row r="794" spans="2:3">
      <c r="B794" s="1" t="s">
        <v>1198</v>
      </c>
      <c r="C794" s="1" t="s">
        <v>3336</v>
      </c>
    </row>
    <row r="795" spans="2:3">
      <c r="B795" s="1" t="s">
        <v>1052</v>
      </c>
      <c r="C795" s="1" t="s">
        <v>3336</v>
      </c>
    </row>
    <row r="796" spans="2:3">
      <c r="B796" s="1" t="s">
        <v>1200</v>
      </c>
      <c r="C796" s="1" t="s">
        <v>134</v>
      </c>
    </row>
    <row r="797" spans="2:3">
      <c r="B797" s="1" t="s">
        <v>861</v>
      </c>
      <c r="C797" s="1" t="s">
        <v>134</v>
      </c>
    </row>
    <row r="798" spans="2:3">
      <c r="B798" s="1" t="s">
        <v>1475</v>
      </c>
      <c r="C798" s="1" t="s">
        <v>3356</v>
      </c>
    </row>
    <row r="799" spans="2:3">
      <c r="B799" s="1" t="s">
        <v>2896</v>
      </c>
      <c r="C799" s="1" t="s">
        <v>3356</v>
      </c>
    </row>
    <row r="800" spans="2:3">
      <c r="B800" s="1" t="s">
        <v>878</v>
      </c>
      <c r="C800" s="1" t="s">
        <v>510</v>
      </c>
    </row>
    <row r="801" spans="2:3">
      <c r="B801" s="1" t="s">
        <v>876</v>
      </c>
      <c r="C801" s="1" t="s">
        <v>3337</v>
      </c>
    </row>
    <row r="802" spans="2:3">
      <c r="B802" s="749" t="s">
        <v>2140</v>
      </c>
      <c r="C802" s="1" t="s">
        <v>3360</v>
      </c>
    </row>
    <row r="803" spans="2:3">
      <c r="B803" s="82" t="s">
        <v>2427</v>
      </c>
      <c r="C803" s="749" t="s">
        <v>3351</v>
      </c>
    </row>
    <row r="804" spans="2:3">
      <c r="B804" s="82" t="s">
        <v>857</v>
      </c>
      <c r="C804" s="749" t="s">
        <v>3351</v>
      </c>
    </row>
    <row r="805" spans="2:3">
      <c r="B805" s="1" t="s">
        <v>1449</v>
      </c>
      <c r="C805" s="1" t="s">
        <v>3338</v>
      </c>
    </row>
    <row r="806" spans="2:3">
      <c r="B806" s="1" t="s">
        <v>1336</v>
      </c>
      <c r="C806" s="8" t="s">
        <v>3341</v>
      </c>
    </row>
    <row r="807" spans="2:3">
      <c r="B807" s="1" t="s">
        <v>1333</v>
      </c>
      <c r="C807" s="8" t="s">
        <v>3341</v>
      </c>
    </row>
    <row r="808" spans="2:3">
      <c r="B808" s="82" t="s">
        <v>2429</v>
      </c>
      <c r="C808" s="8" t="s">
        <v>3341</v>
      </c>
    </row>
    <row r="809" spans="2:3">
      <c r="B809" s="1" t="s">
        <v>1332</v>
      </c>
      <c r="C809" s="8" t="s">
        <v>3341</v>
      </c>
    </row>
    <row r="810" spans="2:3">
      <c r="B810" s="1" t="s">
        <v>1335</v>
      </c>
      <c r="C810" s="1" t="s">
        <v>3339</v>
      </c>
    </row>
    <row r="811" spans="2:3">
      <c r="B811" s="1" t="s">
        <v>1334</v>
      </c>
      <c r="C811" s="1" t="s">
        <v>3339</v>
      </c>
    </row>
    <row r="812" spans="2:3">
      <c r="B812" s="1" t="s">
        <v>2248</v>
      </c>
      <c r="C812" s="1" t="s">
        <v>3340</v>
      </c>
    </row>
    <row r="813" spans="2:3">
      <c r="B813" s="1" t="s">
        <v>872</v>
      </c>
      <c r="C813" s="1" t="s">
        <v>3339</v>
      </c>
    </row>
    <row r="814" spans="2:3">
      <c r="B814" s="8" t="s">
        <v>873</v>
      </c>
      <c r="C814" s="8" t="s">
        <v>3341</v>
      </c>
    </row>
    <row r="815" spans="2:3">
      <c r="B815" s="1" t="s">
        <v>1053</v>
      </c>
      <c r="C815" s="1" t="s">
        <v>3357</v>
      </c>
    </row>
    <row r="816" spans="2:3">
      <c r="B816" s="82" t="s">
        <v>2897</v>
      </c>
      <c r="C816" s="8" t="s">
        <v>3341</v>
      </c>
    </row>
    <row r="817" spans="2:7">
      <c r="B817" s="1135" t="s">
        <v>1287</v>
      </c>
      <c r="C817" s="1272" t="s">
        <v>3358</v>
      </c>
    </row>
    <row r="818" spans="2:7">
      <c r="B818" s="82" t="s">
        <v>2453</v>
      </c>
      <c r="C818" s="1272" t="s">
        <v>3485</v>
      </c>
    </row>
    <row r="819" spans="2:7">
      <c r="B819" s="82" t="s">
        <v>1055</v>
      </c>
      <c r="C819" s="82" t="s">
        <v>1907</v>
      </c>
    </row>
    <row r="820" spans="2:7">
      <c r="B820" s="1" t="s">
        <v>1471</v>
      </c>
      <c r="C820" s="1" t="s">
        <v>3359</v>
      </c>
    </row>
    <row r="821" spans="2:7">
      <c r="B821" s="82" t="s">
        <v>2424</v>
      </c>
      <c r="C821" s="1" t="s">
        <v>3359</v>
      </c>
    </row>
    <row r="822" spans="2:7">
      <c r="B822" s="1" t="s">
        <v>1206</v>
      </c>
      <c r="C822" s="1" t="s">
        <v>3359</v>
      </c>
    </row>
    <row r="823" spans="2:7">
      <c r="B823" s="1" t="s">
        <v>1054</v>
      </c>
      <c r="C823" s="1" t="s">
        <v>3359</v>
      </c>
    </row>
    <row r="824" spans="2:7">
      <c r="B824" s="1" t="s">
        <v>871</v>
      </c>
      <c r="C824" s="1" t="s">
        <v>3360</v>
      </c>
    </row>
    <row r="825" spans="2:7">
      <c r="B825" s="1" t="s">
        <v>1207</v>
      </c>
      <c r="C825" s="1" t="s">
        <v>3362</v>
      </c>
    </row>
    <row r="826" spans="2:7">
      <c r="B826" s="1" t="s">
        <v>1476</v>
      </c>
      <c r="C826" s="1" t="s">
        <v>3361</v>
      </c>
    </row>
    <row r="827" spans="2:7">
      <c r="B827" s="1" t="s">
        <v>1056</v>
      </c>
      <c r="C827" s="1" t="s">
        <v>1997</v>
      </c>
    </row>
    <row r="828" spans="2:7">
      <c r="B828" s="1" t="s">
        <v>1447</v>
      </c>
      <c r="C828" s="1" t="s">
        <v>1997</v>
      </c>
    </row>
    <row r="829" spans="2:7">
      <c r="B829" s="1" t="s">
        <v>870</v>
      </c>
      <c r="C829" s="1" t="s">
        <v>3362</v>
      </c>
    </row>
    <row r="830" spans="2:7">
      <c r="B830" s="1" t="s">
        <v>1057</v>
      </c>
      <c r="C830" s="1" t="s">
        <v>3362</v>
      </c>
      <c r="G830" s="679"/>
    </row>
    <row r="831" spans="2:7">
      <c r="B831" s="1" t="s">
        <v>874</v>
      </c>
      <c r="C831" s="1" t="s">
        <v>3363</v>
      </c>
      <c r="G831" s="679"/>
    </row>
    <row r="832" spans="2:7">
      <c r="B832" s="1" t="s">
        <v>875</v>
      </c>
      <c r="C832" s="1" t="s">
        <v>3364</v>
      </c>
    </row>
    <row r="833" spans="1:42">
      <c r="B833" s="1" t="s">
        <v>1058</v>
      </c>
      <c r="C833" s="1" t="s">
        <v>3488</v>
      </c>
    </row>
    <row r="834" spans="1:42">
      <c r="B834" s="1" t="s">
        <v>1582</v>
      </c>
      <c r="C834" s="1" t="s">
        <v>1894</v>
      </c>
    </row>
    <row r="835" spans="1:42">
      <c r="B835" s="1" t="s">
        <v>1059</v>
      </c>
      <c r="C835" s="1" t="s">
        <v>1894</v>
      </c>
    </row>
    <row r="836" spans="1:42" ht="15" thickBot="1">
      <c r="B836" s="335" t="s">
        <v>1506</v>
      </c>
      <c r="C836" s="335" t="s">
        <v>3343</v>
      </c>
    </row>
    <row r="837" spans="1:42">
      <c r="B837" s="1" t="s">
        <v>1237</v>
      </c>
      <c r="C837" s="749" t="s">
        <v>3378</v>
      </c>
    </row>
    <row r="838" spans="1:42">
      <c r="B838" s="1" t="s">
        <v>2898</v>
      </c>
      <c r="C838" s="749" t="s">
        <v>3477</v>
      </c>
    </row>
    <row r="839" spans="1:42">
      <c r="B839" s="1" t="s">
        <v>2899</v>
      </c>
      <c r="C839" s="749" t="s">
        <v>3477</v>
      </c>
    </row>
    <row r="840" spans="1:42">
      <c r="B840" s="1" t="s">
        <v>2900</v>
      </c>
      <c r="C840" s="749" t="s">
        <v>3477</v>
      </c>
    </row>
    <row r="841" spans="1:42">
      <c r="B841" s="1" t="s">
        <v>1060</v>
      </c>
      <c r="C841" s="749" t="s">
        <v>3477</v>
      </c>
    </row>
    <row r="842" spans="1:42">
      <c r="B842" s="1" t="s">
        <v>1264</v>
      </c>
      <c r="C842" s="1" t="s">
        <v>3245</v>
      </c>
    </row>
    <row r="843" spans="1:42">
      <c r="B843" s="1" t="s">
        <v>1685</v>
      </c>
      <c r="C843" s="1" t="s">
        <v>3245</v>
      </c>
    </row>
    <row r="844" spans="1:42">
      <c r="B844" s="1" t="s">
        <v>1687</v>
      </c>
      <c r="C844" s="1" t="s">
        <v>3245</v>
      </c>
    </row>
    <row r="845" spans="1:42">
      <c r="B845" s="1" t="s">
        <v>1608</v>
      </c>
      <c r="C845" s="1" t="s">
        <v>3245</v>
      </c>
      <c r="AM845" s="443"/>
      <c r="AN845" s="443"/>
      <c r="AO845" s="443"/>
      <c r="AP845" s="443"/>
    </row>
    <row r="846" spans="1:42" s="443" customFormat="1">
      <c r="A846" s="330"/>
      <c r="B846" s="1" t="s">
        <v>1606</v>
      </c>
      <c r="C846" s="1" t="s">
        <v>3260</v>
      </c>
      <c r="D846" s="330"/>
      <c r="E846"/>
      <c r="F846" s="1197"/>
      <c r="G846" s="82"/>
      <c r="H846" s="82"/>
      <c r="I846"/>
      <c r="J846"/>
      <c r="K846" s="82"/>
      <c r="L846" s="82"/>
      <c r="M846" s="1202"/>
      <c r="N846" s="247"/>
      <c r="O846" s="1139"/>
      <c r="P846"/>
      <c r="Q846"/>
      <c r="R846"/>
      <c r="S846" s="1202"/>
      <c r="T846"/>
      <c r="U846"/>
      <c r="V846" s="749"/>
      <c r="W846" s="330"/>
      <c r="X846" s="99"/>
      <c r="Y846" s="749"/>
      <c r="Z846" s="749"/>
      <c r="AA846" s="749"/>
      <c r="AB846" s="421"/>
      <c r="AC846" s="421"/>
      <c r="AD846" s="749"/>
      <c r="AE846" s="749"/>
      <c r="AF846" s="749"/>
      <c r="AG846" s="749"/>
      <c r="AH846" s="749"/>
      <c r="AI846" s="749"/>
      <c r="AJ846" s="749"/>
      <c r="AK846"/>
      <c r="AL846"/>
    </row>
    <row r="847" spans="1:42" s="443" customFormat="1">
      <c r="A847" s="330"/>
      <c r="B847" s="1" t="s">
        <v>1607</v>
      </c>
      <c r="C847" s="1" t="s">
        <v>3260</v>
      </c>
      <c r="D847" s="330"/>
      <c r="E847"/>
      <c r="F847" s="1197"/>
      <c r="G847" s="248"/>
      <c r="H847" s="82"/>
      <c r="I847"/>
      <c r="J847"/>
      <c r="K847" s="82"/>
      <c r="L847" s="82"/>
      <c r="M847" s="1202"/>
      <c r="N847" s="247"/>
      <c r="O847" s="1139"/>
      <c r="P847"/>
      <c r="Q847"/>
      <c r="R847"/>
      <c r="S847" s="1202"/>
      <c r="V847" s="749"/>
      <c r="W847" s="330"/>
      <c r="X847" s="99"/>
      <c r="Y847" s="749"/>
      <c r="Z847" s="749"/>
      <c r="AA847" s="749"/>
      <c r="AB847" s="421"/>
      <c r="AC847" s="421"/>
      <c r="AD847" s="749"/>
      <c r="AE847" s="749"/>
      <c r="AF847" s="749"/>
      <c r="AG847" s="749"/>
      <c r="AH847" s="749"/>
      <c r="AI847" s="749"/>
      <c r="AJ847" s="749"/>
      <c r="AK847"/>
      <c r="AL847"/>
      <c r="AM847"/>
      <c r="AN847"/>
      <c r="AO847"/>
      <c r="AP847"/>
    </row>
    <row r="848" spans="1:42">
      <c r="B848" s="1" t="s">
        <v>1686</v>
      </c>
      <c r="C848" s="1" t="s">
        <v>3245</v>
      </c>
      <c r="E848" s="443"/>
      <c r="I848" s="443"/>
      <c r="J848" s="443"/>
      <c r="P848" s="443"/>
      <c r="Q848" s="443"/>
      <c r="R848" s="443"/>
      <c r="T848" s="443"/>
      <c r="U848" s="443"/>
    </row>
    <row r="849" spans="2:38">
      <c r="B849" s="1" t="s">
        <v>1061</v>
      </c>
      <c r="C849" s="1" t="s">
        <v>3379</v>
      </c>
      <c r="E849" s="443"/>
      <c r="I849" s="443"/>
      <c r="J849" s="443"/>
      <c r="P849" s="443"/>
      <c r="Q849" s="443"/>
      <c r="R849" s="443"/>
    </row>
    <row r="850" spans="2:38">
      <c r="B850" s="679" t="s">
        <v>2409</v>
      </c>
      <c r="C850" s="749" t="s">
        <v>3381</v>
      </c>
      <c r="AL850" s="443"/>
    </row>
    <row r="851" spans="2:38">
      <c r="B851" s="1" t="s">
        <v>1062</v>
      </c>
      <c r="C851" s="749" t="s">
        <v>3381</v>
      </c>
      <c r="AL851" s="443"/>
    </row>
    <row r="852" spans="2:38">
      <c r="B852" s="1" t="s">
        <v>1063</v>
      </c>
      <c r="C852" s="749" t="s">
        <v>3380</v>
      </c>
    </row>
    <row r="853" spans="2:38">
      <c r="B853" s="1" t="s">
        <v>1064</v>
      </c>
      <c r="C853" s="1" t="s">
        <v>1912</v>
      </c>
    </row>
    <row r="854" spans="2:38">
      <c r="B854" s="1" t="s">
        <v>2261</v>
      </c>
      <c r="C854" s="1" t="s">
        <v>2261</v>
      </c>
    </row>
    <row r="855" spans="2:38">
      <c r="B855" s="1" t="s">
        <v>1683</v>
      </c>
      <c r="C855" s="1" t="s">
        <v>3254</v>
      </c>
    </row>
    <row r="856" spans="2:38">
      <c r="B856" s="1" t="s">
        <v>1532</v>
      </c>
      <c r="C856" s="1" t="s">
        <v>3365</v>
      </c>
      <c r="AK856" s="443"/>
    </row>
    <row r="857" spans="2:38">
      <c r="B857" s="1" t="s">
        <v>1065</v>
      </c>
      <c r="C857" s="1" t="s">
        <v>146</v>
      </c>
      <c r="AK857" s="443"/>
    </row>
    <row r="858" spans="2:38">
      <c r="B858" s="1" t="s">
        <v>1389</v>
      </c>
      <c r="C858" s="749" t="s">
        <v>3367</v>
      </c>
    </row>
    <row r="859" spans="2:38">
      <c r="B859" s="1" t="s">
        <v>1554</v>
      </c>
      <c r="C859" s="1" t="s">
        <v>3503</v>
      </c>
    </row>
    <row r="860" spans="2:38">
      <c r="B860" s="1" t="s">
        <v>1681</v>
      </c>
      <c r="C860" s="1" t="s">
        <v>3503</v>
      </c>
    </row>
    <row r="861" spans="2:38">
      <c r="B861" s="1" t="s">
        <v>2034</v>
      </c>
      <c r="C861" s="1" t="s">
        <v>3503</v>
      </c>
    </row>
    <row r="862" spans="2:38">
      <c r="B862" s="1" t="s">
        <v>1680</v>
      </c>
      <c r="C862" s="1" t="s">
        <v>3503</v>
      </c>
    </row>
    <row r="863" spans="2:38">
      <c r="B863" s="1" t="s">
        <v>2038</v>
      </c>
      <c r="C863" s="1" t="s">
        <v>3503</v>
      </c>
    </row>
    <row r="864" spans="2:38">
      <c r="B864" s="248" t="s">
        <v>2426</v>
      </c>
      <c r="C864" s="1" t="s">
        <v>3503</v>
      </c>
    </row>
    <row r="865" spans="2:3">
      <c r="B865" s="82" t="s">
        <v>2407</v>
      </c>
      <c r="C865" s="1" t="s">
        <v>3261</v>
      </c>
    </row>
    <row r="866" spans="2:3">
      <c r="B866" s="82" t="s">
        <v>2901</v>
      </c>
      <c r="C866" s="1" t="s">
        <v>3261</v>
      </c>
    </row>
    <row r="867" spans="2:3">
      <c r="B867" s="82" t="s">
        <v>2466</v>
      </c>
      <c r="C867" s="1" t="s">
        <v>3261</v>
      </c>
    </row>
    <row r="868" spans="2:3">
      <c r="B868" s="749" t="s">
        <v>2432</v>
      </c>
      <c r="C868" s="1" t="s">
        <v>3261</v>
      </c>
    </row>
    <row r="869" spans="2:3">
      <c r="B869" s="1" t="s">
        <v>1066</v>
      </c>
      <c r="C869" s="1" t="s">
        <v>3261</v>
      </c>
    </row>
    <row r="870" spans="2:3">
      <c r="B870" s="82" t="s">
        <v>2467</v>
      </c>
      <c r="C870" s="1" t="s">
        <v>3268</v>
      </c>
    </row>
    <row r="871" spans="2:3">
      <c r="B871" s="1" t="s">
        <v>1534</v>
      </c>
      <c r="C871" s="749" t="s">
        <v>3262</v>
      </c>
    </row>
    <row r="872" spans="2:3">
      <c r="B872" s="1" t="s">
        <v>1446</v>
      </c>
      <c r="C872" s="749" t="s">
        <v>3262</v>
      </c>
    </row>
    <row r="873" spans="2:3">
      <c r="B873" s="1" t="s">
        <v>830</v>
      </c>
      <c r="C873" s="1" t="s">
        <v>3365</v>
      </c>
    </row>
    <row r="874" spans="2:3">
      <c r="B874" s="1" t="s">
        <v>2272</v>
      </c>
      <c r="C874" s="1" t="s">
        <v>3365</v>
      </c>
    </row>
    <row r="875" spans="2:3">
      <c r="B875" s="1" t="s">
        <v>1067</v>
      </c>
      <c r="C875" s="1" t="s">
        <v>3365</v>
      </c>
    </row>
    <row r="876" spans="2:3">
      <c r="B876" s="82" t="s">
        <v>2902</v>
      </c>
      <c r="C876" s="1" t="s">
        <v>3368</v>
      </c>
    </row>
    <row r="877" spans="2:3">
      <c r="B877" s="82" t="s">
        <v>2903</v>
      </c>
      <c r="C877" s="1" t="s">
        <v>3368</v>
      </c>
    </row>
    <row r="878" spans="2:3">
      <c r="B878" s="1" t="s">
        <v>1068</v>
      </c>
      <c r="C878" s="1" t="s">
        <v>3368</v>
      </c>
    </row>
    <row r="879" spans="2:3">
      <c r="B879" s="1" t="s">
        <v>1720</v>
      </c>
      <c r="C879" s="1" t="s">
        <v>3366</v>
      </c>
    </row>
    <row r="880" spans="2:3">
      <c r="B880" s="1" t="s">
        <v>1069</v>
      </c>
      <c r="C880" s="1" t="s">
        <v>3366</v>
      </c>
    </row>
    <row r="881" spans="2:7">
      <c r="B881" s="1" t="s">
        <v>2218</v>
      </c>
      <c r="C881" s="749" t="s">
        <v>3509</v>
      </c>
    </row>
    <row r="882" spans="2:7">
      <c r="B882" s="1" t="s">
        <v>1605</v>
      </c>
      <c r="C882" s="749" t="s">
        <v>3371</v>
      </c>
    </row>
    <row r="883" spans="2:7">
      <c r="B883" s="1" t="s">
        <v>1633</v>
      </c>
      <c r="C883" s="1" t="s">
        <v>3349</v>
      </c>
    </row>
    <row r="884" spans="2:7">
      <c r="B884" s="1" t="s">
        <v>1726</v>
      </c>
      <c r="C884" s="1" t="s">
        <v>3253</v>
      </c>
    </row>
    <row r="885" spans="2:7">
      <c r="B885" s="1" t="s">
        <v>1070</v>
      </c>
      <c r="C885" s="1" t="s">
        <v>1916</v>
      </c>
    </row>
    <row r="886" spans="2:7">
      <c r="B886" s="1" t="s">
        <v>1515</v>
      </c>
      <c r="C886" s="1" t="s">
        <v>3489</v>
      </c>
    </row>
    <row r="887" spans="2:7">
      <c r="B887" s="1" t="s">
        <v>1611</v>
      </c>
      <c r="C887" s="1" t="s">
        <v>3246</v>
      </c>
    </row>
    <row r="888" spans="2:7">
      <c r="B888" s="1" t="s">
        <v>1612</v>
      </c>
      <c r="C888" s="1" t="s">
        <v>3246</v>
      </c>
    </row>
    <row r="889" spans="2:7">
      <c r="B889" s="1" t="s">
        <v>1514</v>
      </c>
      <c r="C889" s="1" t="s">
        <v>3246</v>
      </c>
      <c r="G889" s="732"/>
    </row>
    <row r="890" spans="2:7">
      <c r="B890" s="749" t="s">
        <v>2273</v>
      </c>
      <c r="C890" s="1" t="s">
        <v>3370</v>
      </c>
    </row>
    <row r="891" spans="2:7">
      <c r="B891" s="1" t="s">
        <v>1619</v>
      </c>
      <c r="C891" s="1" t="s">
        <v>3491</v>
      </c>
    </row>
    <row r="892" spans="2:7">
      <c r="B892" s="82" t="s">
        <v>2904</v>
      </c>
      <c r="C892" s="1" t="s">
        <v>3491</v>
      </c>
    </row>
    <row r="893" spans="2:7">
      <c r="B893" s="82" t="s">
        <v>2905</v>
      </c>
      <c r="C893" s="1" t="s">
        <v>3491</v>
      </c>
    </row>
    <row r="894" spans="2:7">
      <c r="B894" s="82" t="s">
        <v>2906</v>
      </c>
      <c r="C894" s="1" t="s">
        <v>3491</v>
      </c>
    </row>
    <row r="895" spans="2:7">
      <c r="B895" s="82" t="s">
        <v>2907</v>
      </c>
      <c r="C895" s="1" t="s">
        <v>3491</v>
      </c>
    </row>
    <row r="896" spans="2:7">
      <c r="B896" s="1" t="s">
        <v>1244</v>
      </c>
      <c r="C896" s="1" t="s">
        <v>3492</v>
      </c>
    </row>
    <row r="897" spans="2:3">
      <c r="B897" s="82" t="s">
        <v>2448</v>
      </c>
      <c r="C897" s="749" t="s">
        <v>3378</v>
      </c>
    </row>
    <row r="898" spans="2:3">
      <c r="B898" s="1" t="s">
        <v>1071</v>
      </c>
      <c r="C898" s="749" t="s">
        <v>3378</v>
      </c>
    </row>
    <row r="899" spans="2:3">
      <c r="B899" s="1" t="s">
        <v>1072</v>
      </c>
      <c r="C899" s="749" t="s">
        <v>1951</v>
      </c>
    </row>
    <row r="900" spans="2:3">
      <c r="B900" s="749" t="s">
        <v>2282</v>
      </c>
      <c r="C900" s="1" t="s">
        <v>3493</v>
      </c>
    </row>
    <row r="901" spans="2:3">
      <c r="B901" s="1" t="s">
        <v>1073</v>
      </c>
      <c r="C901" s="749" t="s">
        <v>3371</v>
      </c>
    </row>
    <row r="902" spans="2:3">
      <c r="B902" s="1" t="s">
        <v>1692</v>
      </c>
      <c r="C902" s="749" t="s">
        <v>3378</v>
      </c>
    </row>
    <row r="903" spans="2:3">
      <c r="B903" s="1" t="s">
        <v>1691</v>
      </c>
      <c r="C903" s="749" t="s">
        <v>3378</v>
      </c>
    </row>
    <row r="904" spans="2:3">
      <c r="B904" s="749" t="s">
        <v>2286</v>
      </c>
      <c r="C904" s="749" t="s">
        <v>3378</v>
      </c>
    </row>
    <row r="905" spans="2:3">
      <c r="B905" s="749" t="s">
        <v>2285</v>
      </c>
      <c r="C905" s="1" t="s">
        <v>3493</v>
      </c>
    </row>
    <row r="906" spans="2:3">
      <c r="B906" s="1" t="s">
        <v>2439</v>
      </c>
      <c r="C906" s="749" t="s">
        <v>3263</v>
      </c>
    </row>
    <row r="907" spans="2:3">
      <c r="B907" s="1" t="s">
        <v>1684</v>
      </c>
      <c r="C907" s="749" t="s">
        <v>3263</v>
      </c>
    </row>
    <row r="908" spans="2:3">
      <c r="B908" s="1" t="s">
        <v>1074</v>
      </c>
      <c r="C908" s="749" t="s">
        <v>3263</v>
      </c>
    </row>
    <row r="909" spans="2:3">
      <c r="B909" s="1" t="s">
        <v>1075</v>
      </c>
      <c r="C909" s="1" t="s">
        <v>3383</v>
      </c>
    </row>
    <row r="910" spans="2:3">
      <c r="B910" s="1" t="s">
        <v>1533</v>
      </c>
      <c r="C910" s="749" t="s">
        <v>3265</v>
      </c>
    </row>
    <row r="911" spans="2:3">
      <c r="B911" s="1" t="s">
        <v>1445</v>
      </c>
      <c r="C911" s="749" t="s">
        <v>3265</v>
      </c>
    </row>
    <row r="912" spans="2:3">
      <c r="B912" s="749" t="s">
        <v>2309</v>
      </c>
      <c r="C912" s="749" t="s">
        <v>3264</v>
      </c>
    </row>
    <row r="913" spans="2:7">
      <c r="B913" s="1" t="s">
        <v>1236</v>
      </c>
      <c r="C913" s="749" t="s">
        <v>3265</v>
      </c>
    </row>
    <row r="914" spans="2:7">
      <c r="B914" s="82" t="s">
        <v>2450</v>
      </c>
      <c r="C914" s="749" t="s">
        <v>3265</v>
      </c>
    </row>
    <row r="915" spans="2:7">
      <c r="B915" s="1" t="s">
        <v>829</v>
      </c>
      <c r="C915" s="749" t="s">
        <v>3265</v>
      </c>
    </row>
    <row r="916" spans="2:7">
      <c r="B916" s="1" t="s">
        <v>1400</v>
      </c>
      <c r="C916" s="749" t="s">
        <v>3266</v>
      </c>
    </row>
    <row r="917" spans="2:7">
      <c r="B917" s="1" t="s">
        <v>1519</v>
      </c>
      <c r="C917" s="1" t="s">
        <v>3247</v>
      </c>
    </row>
    <row r="918" spans="2:7">
      <c r="B918" s="1" t="s">
        <v>1271</v>
      </c>
      <c r="C918" s="1" t="s">
        <v>3247</v>
      </c>
    </row>
    <row r="919" spans="2:7">
      <c r="B919" s="82" t="s">
        <v>2908</v>
      </c>
      <c r="C919" s="1" t="s">
        <v>3247</v>
      </c>
      <c r="G919" s="733"/>
    </row>
    <row r="920" spans="2:7">
      <c r="B920" s="248" t="s">
        <v>2274</v>
      </c>
      <c r="C920" s="749" t="s">
        <v>3372</v>
      </c>
    </row>
    <row r="921" spans="2:7">
      <c r="B921" s="1" t="s">
        <v>1076</v>
      </c>
      <c r="C921" s="749" t="s">
        <v>3372</v>
      </c>
    </row>
    <row r="922" spans="2:7">
      <c r="B922" s="1135" t="s">
        <v>1286</v>
      </c>
      <c r="C922" s="1272" t="s">
        <v>3267</v>
      </c>
    </row>
    <row r="923" spans="2:7">
      <c r="B923" s="1" t="s">
        <v>1337</v>
      </c>
      <c r="C923" s="1" t="s">
        <v>3247</v>
      </c>
    </row>
    <row r="924" spans="2:7">
      <c r="B924" s="1" t="s">
        <v>1077</v>
      </c>
      <c r="C924" s="1" t="s">
        <v>3247</v>
      </c>
    </row>
    <row r="925" spans="2:7">
      <c r="B925" s="1" t="s">
        <v>890</v>
      </c>
      <c r="C925" s="1" t="s">
        <v>3268</v>
      </c>
    </row>
    <row r="926" spans="2:7">
      <c r="B926" s="1" t="s">
        <v>889</v>
      </c>
      <c r="C926" s="1" t="s">
        <v>3248</v>
      </c>
    </row>
    <row r="927" spans="2:7">
      <c r="B927" s="1" t="s">
        <v>889</v>
      </c>
      <c r="C927" s="1" t="s">
        <v>3248</v>
      </c>
    </row>
    <row r="928" spans="2:7">
      <c r="B928" s="1" t="s">
        <v>1517</v>
      </c>
      <c r="C928" s="749" t="s">
        <v>3264</v>
      </c>
    </row>
    <row r="929" spans="2:3">
      <c r="B929" s="1" t="s">
        <v>1509</v>
      </c>
      <c r="C929" s="749" t="s">
        <v>3269</v>
      </c>
    </row>
    <row r="930" spans="2:3">
      <c r="B930" s="1" t="s">
        <v>1510</v>
      </c>
      <c r="C930" s="749" t="s">
        <v>3269</v>
      </c>
    </row>
    <row r="931" spans="2:3">
      <c r="B931" s="1" t="s">
        <v>1600</v>
      </c>
      <c r="C931" s="749" t="s">
        <v>3269</v>
      </c>
    </row>
    <row r="932" spans="2:3">
      <c r="B932" s="1" t="s">
        <v>1601</v>
      </c>
      <c r="C932" s="749" t="s">
        <v>3269</v>
      </c>
    </row>
    <row r="933" spans="2:3">
      <c r="B933" s="1" t="s">
        <v>1078</v>
      </c>
      <c r="C933" s="1" t="s">
        <v>3373</v>
      </c>
    </row>
    <row r="934" spans="2:3">
      <c r="B934" s="1" t="s">
        <v>1079</v>
      </c>
      <c r="C934" s="1" t="s">
        <v>1924</v>
      </c>
    </row>
    <row r="935" spans="2:3">
      <c r="B935" s="1" t="s">
        <v>2151</v>
      </c>
      <c r="C935" s="1" t="s">
        <v>3249</v>
      </c>
    </row>
    <row r="936" spans="2:3">
      <c r="B936" s="1" t="s">
        <v>1485</v>
      </c>
      <c r="C936" s="1" t="s">
        <v>3249</v>
      </c>
    </row>
    <row r="937" spans="2:3">
      <c r="B937" s="82" t="s">
        <v>2909</v>
      </c>
      <c r="C937" s="1" t="s">
        <v>3249</v>
      </c>
    </row>
    <row r="938" spans="2:3">
      <c r="B938" s="82" t="s">
        <v>2910</v>
      </c>
      <c r="C938" s="1" t="s">
        <v>3249</v>
      </c>
    </row>
    <row r="939" spans="2:3">
      <c r="B939" s="1" t="s">
        <v>1147</v>
      </c>
      <c r="C939" s="1" t="s">
        <v>3249</v>
      </c>
    </row>
    <row r="940" spans="2:3">
      <c r="B940" s="1" t="s">
        <v>1682</v>
      </c>
      <c r="C940" s="1" t="s">
        <v>3506</v>
      </c>
    </row>
    <row r="941" spans="2:3">
      <c r="B941" s="1" t="s">
        <v>1080</v>
      </c>
      <c r="C941" s="1" t="s">
        <v>3506</v>
      </c>
    </row>
    <row r="942" spans="2:3">
      <c r="B942" s="1" t="s">
        <v>1552</v>
      </c>
      <c r="C942" s="1" t="s">
        <v>3256</v>
      </c>
    </row>
    <row r="943" spans="2:3">
      <c r="B943" s="1" t="s">
        <v>1556</v>
      </c>
      <c r="C943" s="1" t="s">
        <v>3256</v>
      </c>
    </row>
    <row r="944" spans="2:3">
      <c r="B944" s="1" t="s">
        <v>853</v>
      </c>
      <c r="C944" s="1" t="s">
        <v>3250</v>
      </c>
    </row>
    <row r="945" spans="2:3">
      <c r="B945" s="82" t="s">
        <v>2471</v>
      </c>
      <c r="C945" s="1" t="s">
        <v>3250</v>
      </c>
    </row>
    <row r="946" spans="2:3">
      <c r="B946" s="749" t="s">
        <v>2305</v>
      </c>
      <c r="C946" s="1" t="s">
        <v>3250</v>
      </c>
    </row>
    <row r="947" spans="2:3">
      <c r="B947" s="82" t="s">
        <v>2408</v>
      </c>
      <c r="C947" s="1" t="s">
        <v>3250</v>
      </c>
    </row>
    <row r="948" spans="2:3" ht="15">
      <c r="B948" s="1194" t="s">
        <v>1516</v>
      </c>
      <c r="C948" s="1194" t="s">
        <v>3251</v>
      </c>
    </row>
    <row r="949" spans="2:3" ht="15">
      <c r="B949" s="1194" t="s">
        <v>1604</v>
      </c>
      <c r="C949" s="1194" t="s">
        <v>3251</v>
      </c>
    </row>
    <row r="950" spans="2:3">
      <c r="B950" s="1" t="s">
        <v>1081</v>
      </c>
      <c r="C950" s="1" t="s">
        <v>3270</v>
      </c>
    </row>
    <row r="951" spans="2:3">
      <c r="B951" s="1" t="s">
        <v>1150</v>
      </c>
      <c r="C951" s="1" t="s">
        <v>1927</v>
      </c>
    </row>
    <row r="952" spans="2:3">
      <c r="B952" s="1" t="s">
        <v>1082</v>
      </c>
      <c r="C952" s="1" t="s">
        <v>3374</v>
      </c>
    </row>
    <row r="953" spans="2:3">
      <c r="B953" s="1" t="s">
        <v>1083</v>
      </c>
      <c r="C953" s="1" t="s">
        <v>244</v>
      </c>
    </row>
    <row r="954" spans="2:3">
      <c r="B954" s="1" t="s">
        <v>1390</v>
      </c>
      <c r="C954" s="1" t="s">
        <v>1990</v>
      </c>
    </row>
    <row r="955" spans="2:3">
      <c r="B955" s="1" t="s">
        <v>1084</v>
      </c>
      <c r="C955" s="1" t="s">
        <v>1990</v>
      </c>
    </row>
    <row r="956" spans="2:3">
      <c r="B956" s="1" t="s">
        <v>891</v>
      </c>
      <c r="C956" s="1" t="s">
        <v>3252</v>
      </c>
    </row>
    <row r="957" spans="2:3">
      <c r="B957" s="1" t="s">
        <v>1214</v>
      </c>
      <c r="C957" s="1" t="s">
        <v>3253</v>
      </c>
    </row>
    <row r="958" spans="2:3">
      <c r="B958" s="1" t="s">
        <v>1566</v>
      </c>
      <c r="C958" s="1" t="s">
        <v>3252</v>
      </c>
    </row>
    <row r="959" spans="2:3">
      <c r="B959" s="1" t="s">
        <v>1472</v>
      </c>
      <c r="C959" s="1" t="s">
        <v>3252</v>
      </c>
    </row>
    <row r="960" spans="2:3">
      <c r="B960" s="1" t="s">
        <v>1565</v>
      </c>
      <c r="C960" s="1" t="s">
        <v>3252</v>
      </c>
    </row>
    <row r="961" spans="2:7">
      <c r="B961" s="1" t="s">
        <v>1563</v>
      </c>
      <c r="C961" s="1" t="s">
        <v>3252</v>
      </c>
    </row>
    <row r="962" spans="2:7">
      <c r="B962" s="1" t="s">
        <v>1567</v>
      </c>
      <c r="C962" s="1" t="s">
        <v>3253</v>
      </c>
    </row>
    <row r="963" spans="2:7">
      <c r="B963" s="1" t="s">
        <v>1473</v>
      </c>
      <c r="C963" s="1" t="s">
        <v>3253</v>
      </c>
      <c r="G963" s="732"/>
    </row>
    <row r="964" spans="2:7">
      <c r="B964" s="1" t="s">
        <v>1564</v>
      </c>
      <c r="C964" s="1" t="s">
        <v>3253</v>
      </c>
    </row>
    <row r="965" spans="2:7">
      <c r="B965" s="1" t="s">
        <v>2220</v>
      </c>
      <c r="C965" s="749" t="s">
        <v>3376</v>
      </c>
    </row>
    <row r="966" spans="2:7">
      <c r="B966" s="1" t="s">
        <v>1240</v>
      </c>
      <c r="C966" s="1" t="s">
        <v>1951</v>
      </c>
    </row>
    <row r="967" spans="2:7">
      <c r="B967" s="82" t="s">
        <v>2451</v>
      </c>
      <c r="C967" s="1" t="s">
        <v>1987</v>
      </c>
    </row>
    <row r="968" spans="2:7">
      <c r="B968" s="1" t="s">
        <v>1317</v>
      </c>
      <c r="C968" s="1" t="s">
        <v>1987</v>
      </c>
    </row>
    <row r="969" spans="2:7">
      <c r="B969" s="1" t="s">
        <v>1149</v>
      </c>
      <c r="C969" s="1" t="s">
        <v>3388</v>
      </c>
    </row>
    <row r="970" spans="2:7">
      <c r="B970" s="1" t="s">
        <v>1087</v>
      </c>
      <c r="C970" s="1" t="s">
        <v>1933</v>
      </c>
    </row>
    <row r="971" spans="2:7">
      <c r="B971" s="1" t="s">
        <v>2106</v>
      </c>
      <c r="C971" s="749" t="s">
        <v>3378</v>
      </c>
    </row>
    <row r="972" spans="2:7">
      <c r="B972" s="1" t="s">
        <v>1269</v>
      </c>
      <c r="C972" s="1" t="s">
        <v>3271</v>
      </c>
    </row>
    <row r="973" spans="2:7">
      <c r="B973" s="1" t="s">
        <v>887</v>
      </c>
      <c r="C973" s="1" t="s">
        <v>3271</v>
      </c>
    </row>
    <row r="974" spans="2:7">
      <c r="B974" s="82" t="s">
        <v>2911</v>
      </c>
      <c r="C974" s="1" t="s">
        <v>685</v>
      </c>
    </row>
    <row r="975" spans="2:7">
      <c r="B975" s="1" t="s">
        <v>1265</v>
      </c>
      <c r="C975" s="1" t="s">
        <v>3248</v>
      </c>
    </row>
    <row r="976" spans="2:7">
      <c r="B976" s="1" t="s">
        <v>2609</v>
      </c>
      <c r="C976" s="749" t="s">
        <v>3272</v>
      </c>
    </row>
    <row r="977" spans="2:3">
      <c r="B977" s="1" t="s">
        <v>1651</v>
      </c>
      <c r="C977" s="1" t="s">
        <v>3499</v>
      </c>
    </row>
    <row r="978" spans="2:3">
      <c r="B978" s="82" t="s">
        <v>2434</v>
      </c>
      <c r="C978" s="749" t="s">
        <v>3273</v>
      </c>
    </row>
    <row r="979" spans="2:3">
      <c r="B979" s="1" t="s">
        <v>865</v>
      </c>
      <c r="C979" s="749" t="s">
        <v>3273</v>
      </c>
    </row>
    <row r="980" spans="2:3">
      <c r="B980" s="1" t="s">
        <v>1376</v>
      </c>
      <c r="C980" s="749" t="s">
        <v>3273</v>
      </c>
    </row>
    <row r="981" spans="2:3">
      <c r="B981" s="1" t="s">
        <v>1210</v>
      </c>
      <c r="C981" s="1" t="s">
        <v>3261</v>
      </c>
    </row>
    <row r="982" spans="2:3">
      <c r="B982" s="1" t="s">
        <v>888</v>
      </c>
      <c r="C982" s="1" t="s">
        <v>3261</v>
      </c>
    </row>
    <row r="983" spans="2:3">
      <c r="B983" s="1" t="s">
        <v>886</v>
      </c>
      <c r="C983" s="1" t="s">
        <v>3245</v>
      </c>
    </row>
    <row r="984" spans="2:3">
      <c r="B984" s="1" t="s">
        <v>1233</v>
      </c>
      <c r="C984" s="1" t="s">
        <v>3260</v>
      </c>
    </row>
    <row r="985" spans="2:3">
      <c r="B985" s="1" t="s">
        <v>1088</v>
      </c>
      <c r="C985" s="1" t="s">
        <v>3260</v>
      </c>
    </row>
    <row r="986" spans="2:3">
      <c r="B986" s="1" t="s">
        <v>1089</v>
      </c>
      <c r="C986" s="1" t="s">
        <v>3245</v>
      </c>
    </row>
    <row r="987" spans="2:3">
      <c r="B987" s="1" t="s">
        <v>1090</v>
      </c>
      <c r="C987" s="1" t="s">
        <v>1936</v>
      </c>
    </row>
    <row r="988" spans="2:3">
      <c r="B988" s="1" t="s">
        <v>2280</v>
      </c>
      <c r="C988" s="749" t="s">
        <v>3392</v>
      </c>
    </row>
    <row r="989" spans="2:3">
      <c r="B989" s="1" t="s">
        <v>1091</v>
      </c>
      <c r="C989" s="749" t="s">
        <v>3392</v>
      </c>
    </row>
    <row r="990" spans="2:3">
      <c r="B990" s="1" t="s">
        <v>2610</v>
      </c>
      <c r="C990" s="749" t="s">
        <v>3274</v>
      </c>
    </row>
    <row r="991" spans="2:3">
      <c r="B991" s="1" t="s">
        <v>1092</v>
      </c>
      <c r="C991" s="1" t="s">
        <v>3503</v>
      </c>
    </row>
    <row r="992" spans="2:3">
      <c r="B992" s="1" t="s">
        <v>1558</v>
      </c>
      <c r="C992" s="1" t="s">
        <v>3503</v>
      </c>
    </row>
    <row r="993" spans="2:3">
      <c r="B993" s="1" t="s">
        <v>1557</v>
      </c>
      <c r="C993" s="1" t="s">
        <v>3254</v>
      </c>
    </row>
    <row r="994" spans="2:3">
      <c r="B994" s="1" t="s">
        <v>2979</v>
      </c>
      <c r="C994" s="749" t="s">
        <v>3504</v>
      </c>
    </row>
    <row r="995" spans="2:3">
      <c r="B995" s="749" t="s">
        <v>2132</v>
      </c>
      <c r="C995" s="1" t="s">
        <v>3503</v>
      </c>
    </row>
    <row r="996" spans="2:3">
      <c r="B996" s="1" t="s">
        <v>1093</v>
      </c>
      <c r="C996" s="749" t="s">
        <v>3393</v>
      </c>
    </row>
    <row r="997" spans="2:3">
      <c r="B997" s="1" t="s">
        <v>1313</v>
      </c>
      <c r="C997" s="1" t="s">
        <v>1938</v>
      </c>
    </row>
    <row r="998" spans="2:3">
      <c r="B998" s="82" t="s">
        <v>2449</v>
      </c>
      <c r="C998" s="1" t="s">
        <v>1938</v>
      </c>
    </row>
    <row r="999" spans="2:3">
      <c r="B999" s="1" t="s">
        <v>1094</v>
      </c>
      <c r="C999" s="1" t="s">
        <v>1938</v>
      </c>
    </row>
    <row r="1000" spans="2:3">
      <c r="B1000" s="749" t="s">
        <v>2284</v>
      </c>
      <c r="C1000" s="1" t="s">
        <v>1938</v>
      </c>
    </row>
    <row r="1001" spans="2:3">
      <c r="B1001" s="1" t="s">
        <v>1241</v>
      </c>
      <c r="C1001" s="1" t="s">
        <v>3548</v>
      </c>
    </row>
    <row r="1002" spans="2:3">
      <c r="B1002" s="1" t="s">
        <v>834</v>
      </c>
      <c r="C1002" s="1" t="s">
        <v>3548</v>
      </c>
    </row>
    <row r="1003" spans="2:3">
      <c r="B1003" s="82" t="s">
        <v>2912</v>
      </c>
      <c r="C1003" s="1" t="s">
        <v>3548</v>
      </c>
    </row>
    <row r="1004" spans="2:3">
      <c r="B1004" s="1" t="s">
        <v>1095</v>
      </c>
      <c r="C1004" s="1" t="s">
        <v>1940</v>
      </c>
    </row>
    <row r="1005" spans="2:3">
      <c r="B1005" s="1" t="s">
        <v>832</v>
      </c>
      <c r="C1005" s="1" t="s">
        <v>1937</v>
      </c>
    </row>
    <row r="1006" spans="2:3">
      <c r="B1006" s="1" t="s">
        <v>1318</v>
      </c>
      <c r="C1006" s="1" t="s">
        <v>1987</v>
      </c>
    </row>
    <row r="1007" spans="2:3">
      <c r="B1007" s="1" t="s">
        <v>1151</v>
      </c>
      <c r="C1007" s="1" t="s">
        <v>1938</v>
      </c>
    </row>
    <row r="1008" spans="2:3">
      <c r="B1008" s="1" t="s">
        <v>1203</v>
      </c>
      <c r="C1008" s="1" t="s">
        <v>3257</v>
      </c>
    </row>
    <row r="1009" spans="2:3">
      <c r="B1009" s="1" t="s">
        <v>1096</v>
      </c>
      <c r="C1009" s="1" t="s">
        <v>3257</v>
      </c>
    </row>
    <row r="1010" spans="2:3">
      <c r="B1010" s="1" t="s">
        <v>1701</v>
      </c>
      <c r="C1010" s="1" t="s">
        <v>1924</v>
      </c>
    </row>
    <row r="1011" spans="2:3">
      <c r="B1011" s="412" t="s">
        <v>1702</v>
      </c>
      <c r="C1011" s="1" t="s">
        <v>3278</v>
      </c>
    </row>
    <row r="1012" spans="2:3">
      <c r="B1012" s="412" t="s">
        <v>1703</v>
      </c>
      <c r="C1012" s="749" t="s">
        <v>3378</v>
      </c>
    </row>
    <row r="1013" spans="2:3">
      <c r="B1013" s="412" t="s">
        <v>1704</v>
      </c>
      <c r="C1013" s="1" t="s">
        <v>3372</v>
      </c>
    </row>
    <row r="1014" spans="2:3">
      <c r="B1014" s="749" t="s">
        <v>2283</v>
      </c>
      <c r="C1014" s="1" t="s">
        <v>3501</v>
      </c>
    </row>
    <row r="1015" spans="2:3">
      <c r="B1015" s="412" t="s">
        <v>1705</v>
      </c>
      <c r="C1015" s="1" t="s">
        <v>3502</v>
      </c>
    </row>
    <row r="1016" spans="2:3">
      <c r="B1016" s="412" t="s">
        <v>1706</v>
      </c>
      <c r="C1016" s="1" t="s">
        <v>3394</v>
      </c>
    </row>
    <row r="1017" spans="2:3">
      <c r="B1017" s="412" t="s">
        <v>1707</v>
      </c>
      <c r="C1017" s="1" t="s">
        <v>3548</v>
      </c>
    </row>
    <row r="1018" spans="2:3">
      <c r="B1018" s="412" t="s">
        <v>1708</v>
      </c>
      <c r="C1018" s="1" t="s">
        <v>3386</v>
      </c>
    </row>
    <row r="1019" spans="2:3">
      <c r="B1019" s="412" t="s">
        <v>1709</v>
      </c>
      <c r="C1019" s="1" t="s">
        <v>1933</v>
      </c>
    </row>
    <row r="1020" spans="2:3">
      <c r="B1020" s="412" t="s">
        <v>1710</v>
      </c>
      <c r="C1020" s="1" t="s">
        <v>1938</v>
      </c>
    </row>
    <row r="1021" spans="2:3">
      <c r="B1021" s="412" t="s">
        <v>1711</v>
      </c>
      <c r="C1021" s="749" t="s">
        <v>3391</v>
      </c>
    </row>
    <row r="1022" spans="2:3">
      <c r="B1022" s="1" t="s">
        <v>1712</v>
      </c>
      <c r="C1022" s="1" t="s">
        <v>1997</v>
      </c>
    </row>
    <row r="1023" spans="2:3">
      <c r="B1023" s="1" t="s">
        <v>1690</v>
      </c>
      <c r="C1023" s="1" t="s">
        <v>3365</v>
      </c>
    </row>
    <row r="1024" spans="2:3">
      <c r="B1024" s="1" t="s">
        <v>1689</v>
      </c>
      <c r="C1024" s="1" t="s">
        <v>3365</v>
      </c>
    </row>
    <row r="1025" spans="2:3">
      <c r="B1025" s="1" t="s">
        <v>1480</v>
      </c>
      <c r="C1025" s="1" t="s">
        <v>3255</v>
      </c>
    </row>
    <row r="1026" spans="2:3">
      <c r="B1026" s="1" t="s">
        <v>1583</v>
      </c>
      <c r="C1026" s="1" t="s">
        <v>3255</v>
      </c>
    </row>
    <row r="1027" spans="2:3">
      <c r="B1027" s="1" t="s">
        <v>1553</v>
      </c>
      <c r="C1027" s="1" t="s">
        <v>3257</v>
      </c>
    </row>
    <row r="1028" spans="2:3">
      <c r="B1028" s="749" t="s">
        <v>2139</v>
      </c>
      <c r="C1028" s="1" t="s">
        <v>3257</v>
      </c>
    </row>
    <row r="1029" spans="2:3">
      <c r="B1029" s="1" t="s">
        <v>1401</v>
      </c>
      <c r="C1029" s="1" t="s">
        <v>3257</v>
      </c>
    </row>
    <row r="1030" spans="2:3">
      <c r="B1030" s="1" t="s">
        <v>2219</v>
      </c>
      <c r="C1030" s="749" t="s">
        <v>3509</v>
      </c>
    </row>
    <row r="1031" spans="2:3">
      <c r="B1031" s="1" t="s">
        <v>2153</v>
      </c>
      <c r="C1031" s="1" t="s">
        <v>3258</v>
      </c>
    </row>
    <row r="1032" spans="2:3">
      <c r="B1032" s="1" t="s">
        <v>2152</v>
      </c>
      <c r="C1032" s="1" t="s">
        <v>3258</v>
      </c>
    </row>
    <row r="1033" spans="2:3">
      <c r="B1033" s="1" t="s">
        <v>1097</v>
      </c>
      <c r="C1033" s="1" t="s">
        <v>3505</v>
      </c>
    </row>
    <row r="1034" spans="2:3">
      <c r="B1034" s="1" t="s">
        <v>1202</v>
      </c>
      <c r="C1034" s="1" t="s">
        <v>3276</v>
      </c>
    </row>
    <row r="1035" spans="2:3">
      <c r="B1035" s="1" t="s">
        <v>1201</v>
      </c>
      <c r="C1035" s="1" t="s">
        <v>3276</v>
      </c>
    </row>
    <row r="1036" spans="2:3">
      <c r="B1036" s="1" t="s">
        <v>1098</v>
      </c>
      <c r="C1036" s="1" t="s">
        <v>3256</v>
      </c>
    </row>
    <row r="1037" spans="2:3">
      <c r="B1037" s="1" t="s">
        <v>2154</v>
      </c>
      <c r="C1037" s="1" t="s">
        <v>3277</v>
      </c>
    </row>
    <row r="1038" spans="2:3">
      <c r="B1038" s="749" t="s">
        <v>2307</v>
      </c>
      <c r="C1038" s="1" t="s">
        <v>3503</v>
      </c>
    </row>
    <row r="1039" spans="2:3">
      <c r="B1039" s="1" t="s">
        <v>863</v>
      </c>
      <c r="C1039" s="1" t="s">
        <v>3503</v>
      </c>
    </row>
    <row r="1040" spans="2:3">
      <c r="B1040" s="749" t="s">
        <v>2365</v>
      </c>
      <c r="C1040" s="1" t="s">
        <v>3254</v>
      </c>
    </row>
    <row r="1041" spans="2:3">
      <c r="B1041" s="749" t="s">
        <v>2223</v>
      </c>
      <c r="C1041" s="1" t="s">
        <v>3503</v>
      </c>
    </row>
    <row r="1042" spans="2:3">
      <c r="B1042" s="82" t="s">
        <v>2913</v>
      </c>
      <c r="C1042" s="1" t="s">
        <v>3503</v>
      </c>
    </row>
    <row r="1043" spans="2:3">
      <c r="B1043" s="82" t="s">
        <v>2914</v>
      </c>
      <c r="C1043" s="1" t="s">
        <v>3254</v>
      </c>
    </row>
    <row r="1044" spans="2:3">
      <c r="B1044" s="82" t="s">
        <v>2915</v>
      </c>
      <c r="C1044" s="1" t="s">
        <v>3254</v>
      </c>
    </row>
    <row r="1045" spans="2:3">
      <c r="B1045" s="749" t="s">
        <v>2308</v>
      </c>
      <c r="C1045" s="1" t="s">
        <v>3276</v>
      </c>
    </row>
    <row r="1046" spans="2:3">
      <c r="B1046" s="1" t="s">
        <v>1280</v>
      </c>
      <c r="C1046" s="1" t="s">
        <v>3256</v>
      </c>
    </row>
    <row r="1047" spans="2:3">
      <c r="B1047" s="1" t="s">
        <v>1267</v>
      </c>
      <c r="C1047" s="1" t="s">
        <v>3257</v>
      </c>
    </row>
    <row r="1048" spans="2:3">
      <c r="B1048" s="1" t="s">
        <v>831</v>
      </c>
      <c r="C1048" s="1" t="s">
        <v>3500</v>
      </c>
    </row>
    <row r="1049" spans="2:3">
      <c r="B1049" s="749" t="s">
        <v>2224</v>
      </c>
      <c r="C1049" s="1" t="s">
        <v>2261</v>
      </c>
    </row>
    <row r="1050" spans="2:3">
      <c r="B1050" s="1" t="s">
        <v>1099</v>
      </c>
      <c r="C1050" s="1" t="s">
        <v>3259</v>
      </c>
    </row>
    <row r="1051" spans="2:3" ht="15" thickBot="1">
      <c r="B1051" s="335" t="s">
        <v>1100</v>
      </c>
      <c r="C1051" s="335" t="s">
        <v>3278</v>
      </c>
    </row>
    <row r="1052" spans="2:3">
      <c r="B1052" s="1135" t="s">
        <v>1350</v>
      </c>
      <c r="C1052" s="1" t="s">
        <v>3279</v>
      </c>
    </row>
    <row r="1053" spans="2:3">
      <c r="B1053" s="1" t="s">
        <v>2980</v>
      </c>
      <c r="C1053" s="1" t="s">
        <v>3279</v>
      </c>
    </row>
    <row r="1054" spans="2:3">
      <c r="B1054" s="1" t="s">
        <v>2981</v>
      </c>
      <c r="C1054" s="1" t="s">
        <v>3286</v>
      </c>
    </row>
    <row r="1055" spans="2:3">
      <c r="B1055" s="1" t="s">
        <v>1101</v>
      </c>
      <c r="C1055" s="1" t="s">
        <v>3279</v>
      </c>
    </row>
    <row r="1056" spans="2:3">
      <c r="B1056" s="1" t="s">
        <v>1555</v>
      </c>
      <c r="C1056" s="1" t="s">
        <v>498</v>
      </c>
    </row>
    <row r="1057" spans="2:3">
      <c r="B1057" s="1" t="s">
        <v>2916</v>
      </c>
      <c r="C1057" s="1" t="s">
        <v>3287</v>
      </c>
    </row>
    <row r="1058" spans="2:3">
      <c r="B1058" s="1" t="s">
        <v>1497</v>
      </c>
      <c r="C1058" s="1" t="s">
        <v>3287</v>
      </c>
    </row>
    <row r="1059" spans="2:3">
      <c r="B1059" s="1" t="s">
        <v>1343</v>
      </c>
      <c r="C1059" s="1" t="s">
        <v>3280</v>
      </c>
    </row>
    <row r="1060" spans="2:3">
      <c r="B1060" s="1" t="s">
        <v>1559</v>
      </c>
      <c r="C1060" s="1" t="s">
        <v>3281</v>
      </c>
    </row>
    <row r="1061" spans="2:3">
      <c r="B1061" s="82" t="s">
        <v>2425</v>
      </c>
      <c r="C1061" s="1" t="s">
        <v>3280</v>
      </c>
    </row>
    <row r="1062" spans="2:3">
      <c r="B1062" s="1" t="s">
        <v>1220</v>
      </c>
      <c r="C1062" s="1" t="s">
        <v>3280</v>
      </c>
    </row>
    <row r="1063" spans="2:3">
      <c r="B1063" s="1" t="s">
        <v>909</v>
      </c>
      <c r="C1063" s="1" t="s">
        <v>3280</v>
      </c>
    </row>
    <row r="1064" spans="2:3">
      <c r="B1064" s="1" t="s">
        <v>1102</v>
      </c>
      <c r="C1064" s="1" t="s">
        <v>1958</v>
      </c>
    </row>
    <row r="1065" spans="2:3">
      <c r="B1065" s="1" t="s">
        <v>1103</v>
      </c>
      <c r="C1065" s="1" t="s">
        <v>1959</v>
      </c>
    </row>
    <row r="1066" spans="2:3">
      <c r="B1066" s="1" t="s">
        <v>1104</v>
      </c>
      <c r="C1066" s="1" t="s">
        <v>1960</v>
      </c>
    </row>
    <row r="1067" spans="2:3">
      <c r="B1067" s="1" t="s">
        <v>908</v>
      </c>
      <c r="C1067" s="749" t="s">
        <v>3288</v>
      </c>
    </row>
    <row r="1068" spans="2:3">
      <c r="B1068" s="1" t="s">
        <v>2030</v>
      </c>
      <c r="C1068" s="1" t="s">
        <v>1961</v>
      </c>
    </row>
    <row r="1069" spans="2:3">
      <c r="B1069" s="1" t="s">
        <v>910</v>
      </c>
      <c r="C1069" s="1" t="s">
        <v>1961</v>
      </c>
    </row>
    <row r="1070" spans="2:3">
      <c r="B1070" s="749" t="s">
        <v>2263</v>
      </c>
      <c r="C1070" s="1" t="s">
        <v>1961</v>
      </c>
    </row>
    <row r="1071" spans="2:3">
      <c r="B1071" s="749" t="s">
        <v>2226</v>
      </c>
      <c r="C1071" s="1" t="s">
        <v>1961</v>
      </c>
    </row>
    <row r="1072" spans="2:3">
      <c r="B1072" s="1" t="s">
        <v>1105</v>
      </c>
      <c r="C1072" s="1" t="s">
        <v>1961</v>
      </c>
    </row>
    <row r="1073" spans="2:3">
      <c r="B1073" s="1" t="s">
        <v>2031</v>
      </c>
      <c r="C1073" s="749" t="s">
        <v>3289</v>
      </c>
    </row>
    <row r="1074" spans="2:3">
      <c r="B1074" s="1" t="s">
        <v>1344</v>
      </c>
      <c r="C1074" s="1" t="s">
        <v>1963</v>
      </c>
    </row>
    <row r="1075" spans="2:3">
      <c r="B1075" s="1" t="s">
        <v>1595</v>
      </c>
      <c r="C1075" s="1" t="s">
        <v>1962</v>
      </c>
    </row>
    <row r="1076" spans="2:3">
      <c r="B1076" s="1" t="s">
        <v>1106</v>
      </c>
      <c r="C1076" s="1" t="s">
        <v>1963</v>
      </c>
    </row>
    <row r="1077" spans="2:3">
      <c r="B1077" s="1" t="s">
        <v>1107</v>
      </c>
      <c r="C1077" s="1" t="s">
        <v>1964</v>
      </c>
    </row>
    <row r="1078" spans="2:3">
      <c r="B1078" s="1" t="s">
        <v>2022</v>
      </c>
      <c r="C1078" s="1" t="s">
        <v>1963</v>
      </c>
    </row>
    <row r="1079" spans="2:3">
      <c r="B1079" s="1154" t="s">
        <v>2917</v>
      </c>
      <c r="C1079" s="1154" t="s">
        <v>3290</v>
      </c>
    </row>
    <row r="1080" spans="2:3">
      <c r="B1080" s="1154" t="s">
        <v>2918</v>
      </c>
      <c r="C1080" s="749" t="s">
        <v>3291</v>
      </c>
    </row>
    <row r="1081" spans="2:3">
      <c r="B1081" s="1154" t="s">
        <v>2919</v>
      </c>
      <c r="C1081" s="749" t="s">
        <v>3291</v>
      </c>
    </row>
    <row r="1082" spans="2:3">
      <c r="B1082" s="749" t="s">
        <v>2131</v>
      </c>
      <c r="C1082" s="749" t="s">
        <v>3292</v>
      </c>
    </row>
    <row r="1083" spans="2:3">
      <c r="B1083" s="1" t="s">
        <v>1464</v>
      </c>
      <c r="C1083" s="749" t="s">
        <v>3292</v>
      </c>
    </row>
    <row r="1084" spans="2:3">
      <c r="B1084" s="1" t="s">
        <v>907</v>
      </c>
      <c r="C1084" s="749" t="s">
        <v>3293</v>
      </c>
    </row>
    <row r="1085" spans="2:3">
      <c r="B1085" s="1135" t="s">
        <v>1284</v>
      </c>
      <c r="C1085" s="749" t="s">
        <v>3293</v>
      </c>
    </row>
    <row r="1086" spans="2:3">
      <c r="B1086" s="1" t="s">
        <v>1594</v>
      </c>
      <c r="C1086" s="1" t="s">
        <v>3282</v>
      </c>
    </row>
    <row r="1087" spans="2:3">
      <c r="B1087" s="1" t="s">
        <v>1545</v>
      </c>
      <c r="C1087" s="749" t="s">
        <v>3292</v>
      </c>
    </row>
    <row r="1088" spans="2:3">
      <c r="B1088" s="1" t="s">
        <v>869</v>
      </c>
      <c r="C1088" s="1" t="s">
        <v>3283</v>
      </c>
    </row>
    <row r="1089" spans="2:3">
      <c r="B1089" s="1" t="s">
        <v>1108</v>
      </c>
      <c r="C1089" s="1" t="s">
        <v>3531</v>
      </c>
    </row>
    <row r="1090" spans="2:3">
      <c r="B1090" s="1" t="s">
        <v>1109</v>
      </c>
      <c r="C1090" s="1" t="s">
        <v>492</v>
      </c>
    </row>
    <row r="1091" spans="2:3">
      <c r="B1091" s="1" t="s">
        <v>2033</v>
      </c>
      <c r="C1091" s="1" t="s">
        <v>3284</v>
      </c>
    </row>
    <row r="1092" spans="2:3">
      <c r="B1092" s="1" t="s">
        <v>1330</v>
      </c>
      <c r="C1092" s="1" t="s">
        <v>498</v>
      </c>
    </row>
    <row r="1093" spans="2:3">
      <c r="B1093" s="1" t="s">
        <v>885</v>
      </c>
      <c r="C1093" s="1" t="s">
        <v>498</v>
      </c>
    </row>
    <row r="1094" spans="2:3">
      <c r="B1094" s="1" t="s">
        <v>1120</v>
      </c>
      <c r="C1094" s="1" t="s">
        <v>498</v>
      </c>
    </row>
    <row r="1095" spans="2:3">
      <c r="B1095" s="1" t="s">
        <v>1714</v>
      </c>
      <c r="C1095" s="1" t="s">
        <v>3285</v>
      </c>
    </row>
    <row r="1096" spans="2:3">
      <c r="B1096" s="1" t="s">
        <v>1121</v>
      </c>
      <c r="C1096" s="1" t="s">
        <v>3285</v>
      </c>
    </row>
    <row r="1097" spans="2:3">
      <c r="B1097" s="1135" t="s">
        <v>2141</v>
      </c>
      <c r="C1097" s="1274" t="s">
        <v>3294</v>
      </c>
    </row>
    <row r="1098" spans="2:3">
      <c r="B1098" s="1" t="s">
        <v>1572</v>
      </c>
      <c r="C1098" s="1" t="s">
        <v>1961</v>
      </c>
    </row>
    <row r="1099" spans="2:3">
      <c r="B1099" s="749" t="s">
        <v>2326</v>
      </c>
      <c r="C1099" s="1" t="s">
        <v>1961</v>
      </c>
    </row>
    <row r="1100" spans="2:3">
      <c r="B1100" s="1" t="s">
        <v>1477</v>
      </c>
      <c r="C1100" s="1" t="s">
        <v>1961</v>
      </c>
    </row>
    <row r="1101" spans="2:3" ht="15" thickBot="1">
      <c r="B1101" s="1219" t="s">
        <v>1285</v>
      </c>
      <c r="C1101" s="1275" t="s">
        <v>3292</v>
      </c>
    </row>
    <row r="1102" spans="2:3">
      <c r="B1102" s="1" t="s">
        <v>1110</v>
      </c>
      <c r="C1102" s="1" t="s">
        <v>1966</v>
      </c>
    </row>
    <row r="1103" spans="2:3">
      <c r="B1103" s="1" t="s">
        <v>2015</v>
      </c>
      <c r="C1103" s="1" t="s">
        <v>3296</v>
      </c>
    </row>
    <row r="1104" spans="2:3">
      <c r="B1104" s="1" t="s">
        <v>1698</v>
      </c>
      <c r="C1104" s="1" t="s">
        <v>3296</v>
      </c>
    </row>
    <row r="1105" spans="2:3">
      <c r="B1105" s="1" t="s">
        <v>1699</v>
      </c>
      <c r="C1105" s="1" t="s">
        <v>3296</v>
      </c>
    </row>
    <row r="1106" spans="2:3">
      <c r="B1106" s="1" t="s">
        <v>1111</v>
      </c>
      <c r="C1106" s="1" t="s">
        <v>3296</v>
      </c>
    </row>
    <row r="1107" spans="2:3">
      <c r="B1107" s="1" t="s">
        <v>1482</v>
      </c>
      <c r="C1107" s="1" t="s">
        <v>3514</v>
      </c>
    </row>
    <row r="1108" spans="2:3">
      <c r="B1108" s="82" t="s">
        <v>2420</v>
      </c>
      <c r="C1108" s="1" t="s">
        <v>3295</v>
      </c>
    </row>
    <row r="1109" spans="2:3">
      <c r="B1109" s="1" t="s">
        <v>1561</v>
      </c>
      <c r="C1109" s="1" t="s">
        <v>3295</v>
      </c>
    </row>
    <row r="1110" spans="2:3">
      <c r="B1110" s="1" t="s">
        <v>1268</v>
      </c>
      <c r="C1110" s="1" t="s">
        <v>3301</v>
      </c>
    </row>
    <row r="1111" spans="2:3">
      <c r="B1111" s="1" t="s">
        <v>2438</v>
      </c>
      <c r="C1111" s="1" t="s">
        <v>3297</v>
      </c>
    </row>
    <row r="1112" spans="2:3">
      <c r="B1112" s="1" t="s">
        <v>2019</v>
      </c>
      <c r="C1112" s="1" t="s">
        <v>3297</v>
      </c>
    </row>
    <row r="1113" spans="2:3">
      <c r="B1113" s="1" t="s">
        <v>2035</v>
      </c>
      <c r="C1113" s="1" t="s">
        <v>3297</v>
      </c>
    </row>
    <row r="1114" spans="2:3">
      <c r="B1114" s="1" t="s">
        <v>1112</v>
      </c>
      <c r="C1114" s="1" t="s">
        <v>3297</v>
      </c>
    </row>
    <row r="1115" spans="2:3">
      <c r="B1115" s="1" t="s">
        <v>1560</v>
      </c>
      <c r="C1115" s="749" t="s">
        <v>3307</v>
      </c>
    </row>
    <row r="1116" spans="2:3">
      <c r="B1116" s="82" t="s">
        <v>2430</v>
      </c>
      <c r="C1116" s="749" t="s">
        <v>3307</v>
      </c>
    </row>
    <row r="1117" spans="2:3">
      <c r="B1117" s="1" t="s">
        <v>2016</v>
      </c>
      <c r="C1117" s="749" t="s">
        <v>3307</v>
      </c>
    </row>
    <row r="1118" spans="2:3">
      <c r="B1118" s="749" t="s">
        <v>2310</v>
      </c>
      <c r="C1118" s="749" t="s">
        <v>3307</v>
      </c>
    </row>
    <row r="1119" spans="2:3">
      <c r="B1119" s="1" t="s">
        <v>2017</v>
      </c>
      <c r="C1119" s="749" t="s">
        <v>3307</v>
      </c>
    </row>
    <row r="1120" spans="2:3">
      <c r="B1120" s="1" t="s">
        <v>2018</v>
      </c>
      <c r="C1120" s="749" t="s">
        <v>3307</v>
      </c>
    </row>
    <row r="1121" spans="2:3">
      <c r="B1121" s="1" t="s">
        <v>880</v>
      </c>
      <c r="C1121" s="749" t="s">
        <v>3307</v>
      </c>
    </row>
    <row r="1122" spans="2:3">
      <c r="B1122" s="1" t="s">
        <v>1113</v>
      </c>
      <c r="C1122" s="1" t="s">
        <v>1969</v>
      </c>
    </row>
    <row r="1123" spans="2:3">
      <c r="B1123" s="82" t="s">
        <v>2920</v>
      </c>
      <c r="C1123" s="749" t="s">
        <v>3513</v>
      </c>
    </row>
    <row r="1124" spans="2:3">
      <c r="B1124" s="1" t="s">
        <v>2250</v>
      </c>
      <c r="C1124" s="749" t="s">
        <v>3513</v>
      </c>
    </row>
    <row r="1125" spans="2:3">
      <c r="B1125" s="1" t="s">
        <v>2435</v>
      </c>
      <c r="C1125" s="1" t="s">
        <v>3302</v>
      </c>
    </row>
    <row r="1126" spans="2:3">
      <c r="B1126" s="1" t="s">
        <v>1114</v>
      </c>
      <c r="C1126" s="749" t="s">
        <v>3303</v>
      </c>
    </row>
    <row r="1127" spans="2:3">
      <c r="B1127" s="749" t="s">
        <v>2255</v>
      </c>
      <c r="C1127" s="749" t="s">
        <v>3303</v>
      </c>
    </row>
    <row r="1128" spans="2:3">
      <c r="B1128" s="1135" t="s">
        <v>1298</v>
      </c>
      <c r="C1128" s="749" t="s">
        <v>3303</v>
      </c>
    </row>
    <row r="1129" spans="2:3">
      <c r="B1129" s="82" t="s">
        <v>2474</v>
      </c>
      <c r="C1129" s="749" t="s">
        <v>3303</v>
      </c>
    </row>
    <row r="1130" spans="2:3">
      <c r="B1130" s="82" t="s">
        <v>2921</v>
      </c>
      <c r="C1130" s="749" t="s">
        <v>3303</v>
      </c>
    </row>
    <row r="1131" spans="2:3">
      <c r="B1131" s="1" t="s">
        <v>1115</v>
      </c>
      <c r="C1131" s="749" t="s">
        <v>3304</v>
      </c>
    </row>
    <row r="1132" spans="2:3">
      <c r="B1132" s="1" t="s">
        <v>2021</v>
      </c>
      <c r="C1132" s="749" t="s">
        <v>3304</v>
      </c>
    </row>
    <row r="1133" spans="2:3">
      <c r="B1133" s="1" t="s">
        <v>1585</v>
      </c>
      <c r="C1133" s="749" t="s">
        <v>3304</v>
      </c>
    </row>
    <row r="1134" spans="2:3">
      <c r="B1134" s="1" t="s">
        <v>2037</v>
      </c>
      <c r="C1134" s="749" t="s">
        <v>3304</v>
      </c>
    </row>
    <row r="1135" spans="2:3">
      <c r="B1135" s="1" t="s">
        <v>1483</v>
      </c>
      <c r="C1135" s="749" t="s">
        <v>3304</v>
      </c>
    </row>
    <row r="1136" spans="2:3">
      <c r="B1136" s="1" t="s">
        <v>1484</v>
      </c>
      <c r="C1136" s="749" t="s">
        <v>3305</v>
      </c>
    </row>
    <row r="1137" spans="2:3">
      <c r="B1137" s="1" t="s">
        <v>1586</v>
      </c>
      <c r="C1137" s="749" t="s">
        <v>3305</v>
      </c>
    </row>
    <row r="1138" spans="2:3">
      <c r="B1138" s="1" t="s">
        <v>1116</v>
      </c>
      <c r="C1138" s="749" t="s">
        <v>3305</v>
      </c>
    </row>
    <row r="1139" spans="2:3">
      <c r="B1139" s="82" t="s">
        <v>2922</v>
      </c>
      <c r="C1139" s="1" t="s">
        <v>3296</v>
      </c>
    </row>
    <row r="1140" spans="2:3">
      <c r="B1140" s="1" t="s">
        <v>2436</v>
      </c>
      <c r="C1140" s="749" t="s">
        <v>3306</v>
      </c>
    </row>
    <row r="1141" spans="2:3">
      <c r="B1141" s="1" t="s">
        <v>1700</v>
      </c>
      <c r="C1141" s="749" t="s">
        <v>3306</v>
      </c>
    </row>
    <row r="1142" spans="2:3">
      <c r="B1142" s="1" t="s">
        <v>883</v>
      </c>
      <c r="C1142" s="1" t="s">
        <v>3298</v>
      </c>
    </row>
    <row r="1143" spans="2:3">
      <c r="B1143" s="1" t="s">
        <v>2036</v>
      </c>
      <c r="C1143" s="1" t="s">
        <v>3298</v>
      </c>
    </row>
    <row r="1144" spans="2:3">
      <c r="B1144" s="1" t="s">
        <v>2020</v>
      </c>
      <c r="C1144" s="1" t="s">
        <v>3298</v>
      </c>
    </row>
    <row r="1145" spans="2:3">
      <c r="B1145" s="1" t="s">
        <v>1209</v>
      </c>
      <c r="C1145" s="1" t="s">
        <v>3298</v>
      </c>
    </row>
    <row r="1146" spans="2:3">
      <c r="B1146" s="1" t="s">
        <v>1697</v>
      </c>
      <c r="C1146" s="749" t="s">
        <v>3307</v>
      </c>
    </row>
    <row r="1147" spans="2:3">
      <c r="B1147" s="1" t="s">
        <v>1117</v>
      </c>
      <c r="C1147" s="749" t="s">
        <v>3307</v>
      </c>
    </row>
    <row r="1148" spans="2:3">
      <c r="B1148" s="82" t="s">
        <v>2406</v>
      </c>
      <c r="C1148" s="1" t="s">
        <v>3299</v>
      </c>
    </row>
    <row r="1149" spans="2:3">
      <c r="B1149" s="1" t="s">
        <v>2013</v>
      </c>
      <c r="C1149" s="1" t="s">
        <v>3299</v>
      </c>
    </row>
    <row r="1150" spans="2:3">
      <c r="B1150" s="1" t="s">
        <v>1592</v>
      </c>
      <c r="C1150" s="1" t="s">
        <v>3299</v>
      </c>
    </row>
    <row r="1151" spans="2:3">
      <c r="B1151" s="1" t="s">
        <v>1492</v>
      </c>
      <c r="C1151" s="1" t="s">
        <v>3299</v>
      </c>
    </row>
    <row r="1152" spans="2:3">
      <c r="B1152" s="1" t="s">
        <v>1119</v>
      </c>
      <c r="C1152" s="1" t="s">
        <v>3300</v>
      </c>
    </row>
    <row r="1153" spans="2:3">
      <c r="B1153" s="1" t="s">
        <v>1621</v>
      </c>
      <c r="C1153" s="1" t="s">
        <v>3249</v>
      </c>
    </row>
    <row r="1154" spans="2:3">
      <c r="B1154" s="1" t="s">
        <v>2249</v>
      </c>
      <c r="C1154" s="749" t="s">
        <v>3307</v>
      </c>
    </row>
    <row r="1155" spans="2:3">
      <c r="B1155" s="1" t="s">
        <v>882</v>
      </c>
      <c r="C1155" s="1" t="s">
        <v>495</v>
      </c>
    </row>
    <row r="1156" spans="2:3">
      <c r="B1156" s="1" t="s">
        <v>1122</v>
      </c>
      <c r="C1156" s="1" t="s">
        <v>495</v>
      </c>
    </row>
    <row r="1157" spans="2:3">
      <c r="B1157" s="82" t="s">
        <v>2923</v>
      </c>
      <c r="C1157" s="1" t="s">
        <v>495</v>
      </c>
    </row>
    <row r="1158" spans="2:3">
      <c r="B1158" s="82" t="s">
        <v>2404</v>
      </c>
      <c r="C1158" s="1" t="s">
        <v>495</v>
      </c>
    </row>
    <row r="1159" spans="2:3">
      <c r="B1159" s="1" t="s">
        <v>1737</v>
      </c>
      <c r="C1159" s="749" t="s">
        <v>3513</v>
      </c>
    </row>
    <row r="1160" spans="2:3">
      <c r="B1160" s="1" t="s">
        <v>1696</v>
      </c>
      <c r="C1160" s="1" t="s">
        <v>3301</v>
      </c>
    </row>
    <row r="1161" spans="2:3">
      <c r="B1161" s="1" t="s">
        <v>2126</v>
      </c>
      <c r="C1161" s="749" t="s">
        <v>3513</v>
      </c>
    </row>
    <row r="1162" spans="2:3">
      <c r="B1162" s="1135" t="s">
        <v>1272</v>
      </c>
      <c r="C1162" s="1" t="s">
        <v>3301</v>
      </c>
    </row>
    <row r="1163" spans="2:3">
      <c r="B1163" s="749" t="s">
        <v>2128</v>
      </c>
      <c r="C1163" s="1" t="s">
        <v>3301</v>
      </c>
    </row>
    <row r="1164" spans="2:3">
      <c r="B1164" s="1135" t="s">
        <v>1273</v>
      </c>
      <c r="C1164" s="1" t="s">
        <v>3301</v>
      </c>
    </row>
    <row r="1165" spans="2:3">
      <c r="B1165" s="749" t="s">
        <v>2127</v>
      </c>
      <c r="C1165" s="1" t="s">
        <v>3301</v>
      </c>
    </row>
    <row r="1166" spans="2:3">
      <c r="B1166" s="1" t="s">
        <v>881</v>
      </c>
      <c r="C1166" s="1" t="s">
        <v>3301</v>
      </c>
    </row>
    <row r="1167" spans="2:3">
      <c r="B1167" s="1" t="s">
        <v>1123</v>
      </c>
      <c r="C1167" s="1" t="s">
        <v>3301</v>
      </c>
    </row>
    <row r="1168" spans="2:3" ht="15" thickBot="1">
      <c r="B1168" s="335" t="s">
        <v>1470</v>
      </c>
      <c r="C1168" s="335" t="s">
        <v>3301</v>
      </c>
    </row>
    <row r="1169" spans="2:3">
      <c r="B1169" s="1" t="s">
        <v>1275</v>
      </c>
      <c r="C1169" s="1" t="s">
        <v>502</v>
      </c>
    </row>
    <row r="1170" spans="2:3">
      <c r="B1170" s="82" t="s">
        <v>2468</v>
      </c>
      <c r="C1170" s="1" t="s">
        <v>502</v>
      </c>
    </row>
    <row r="1171" spans="2:3">
      <c r="B1171" s="82" t="s">
        <v>2924</v>
      </c>
      <c r="C1171" s="1" t="s">
        <v>3410</v>
      </c>
    </row>
    <row r="1172" spans="2:3">
      <c r="B1172" s="1" t="s">
        <v>1124</v>
      </c>
      <c r="C1172" s="1" t="s">
        <v>502</v>
      </c>
    </row>
    <row r="1173" spans="2:3">
      <c r="B1173" s="1" t="s">
        <v>859</v>
      </c>
      <c r="C1173" s="749" t="s">
        <v>3412</v>
      </c>
    </row>
    <row r="1174" spans="2:3">
      <c r="B1174" s="1" t="s">
        <v>2925</v>
      </c>
      <c r="C1174" s="749" t="s">
        <v>3413</v>
      </c>
    </row>
    <row r="1175" spans="2:3">
      <c r="B1175" s="1" t="s">
        <v>1469</v>
      </c>
      <c r="C1175" s="749" t="s">
        <v>3412</v>
      </c>
    </row>
    <row r="1176" spans="2:3">
      <c r="B1176" s="1" t="s">
        <v>2264</v>
      </c>
      <c r="C1176" s="749" t="s">
        <v>3416</v>
      </c>
    </row>
    <row r="1177" spans="2:3">
      <c r="B1177" s="1" t="s">
        <v>1507</v>
      </c>
      <c r="C1177" s="749" t="s">
        <v>3411</v>
      </c>
    </row>
    <row r="1178" spans="2:3">
      <c r="B1178" s="1" t="s">
        <v>2265</v>
      </c>
      <c r="C1178" s="749" t="s">
        <v>3411</v>
      </c>
    </row>
    <row r="1179" spans="2:3">
      <c r="B1179" s="1" t="s">
        <v>1508</v>
      </c>
      <c r="C1179" s="1" t="s">
        <v>502</v>
      </c>
    </row>
    <row r="1180" spans="2:3">
      <c r="B1180" s="1135" t="s">
        <v>1342</v>
      </c>
      <c r="C1180" s="1" t="s">
        <v>502</v>
      </c>
    </row>
    <row r="1181" spans="2:3">
      <c r="B1181" s="1135" t="s">
        <v>2362</v>
      </c>
      <c r="C1181" s="1" t="s">
        <v>502</v>
      </c>
    </row>
    <row r="1182" spans="2:3">
      <c r="B1182" s="1135" t="s">
        <v>2363</v>
      </c>
      <c r="C1182" s="1" t="s">
        <v>502</v>
      </c>
    </row>
    <row r="1183" spans="2:3">
      <c r="B1183" s="1135" t="s">
        <v>2364</v>
      </c>
      <c r="C1183" s="749" t="s">
        <v>3416</v>
      </c>
    </row>
    <row r="1184" spans="2:3">
      <c r="B1184" s="749" t="s">
        <v>2306</v>
      </c>
      <c r="C1184" s="749" t="s">
        <v>3532</v>
      </c>
    </row>
    <row r="1185" spans="2:3">
      <c r="B1185" s="82" t="s">
        <v>2498</v>
      </c>
      <c r="C1185" s="749" t="s">
        <v>3532</v>
      </c>
    </row>
    <row r="1186" spans="2:3">
      <c r="B1186" s="1135" t="s">
        <v>1468</v>
      </c>
      <c r="C1186" s="749" t="s">
        <v>3411</v>
      </c>
    </row>
    <row r="1187" spans="2:3">
      <c r="B1187" s="1135" t="s">
        <v>1695</v>
      </c>
      <c r="C1187" s="749" t="s">
        <v>3411</v>
      </c>
    </row>
    <row r="1188" spans="2:3">
      <c r="B1188" s="1" t="s">
        <v>867</v>
      </c>
      <c r="C1188" s="1" t="s">
        <v>3414</v>
      </c>
    </row>
    <row r="1189" spans="2:3">
      <c r="B1189" s="1" t="s">
        <v>866</v>
      </c>
      <c r="C1189" s="1" t="s">
        <v>3517</v>
      </c>
    </row>
    <row r="1190" spans="2:3">
      <c r="B1190" s="749" t="s">
        <v>2133</v>
      </c>
      <c r="C1190" s="1" t="s">
        <v>502</v>
      </c>
    </row>
    <row r="1191" spans="2:3">
      <c r="B1191" s="82" t="s">
        <v>2926</v>
      </c>
      <c r="C1191" s="1" t="s">
        <v>1974</v>
      </c>
    </row>
    <row r="1192" spans="2:3">
      <c r="B1192" s="82" t="s">
        <v>1974</v>
      </c>
      <c r="C1192" s="1" t="s">
        <v>1974</v>
      </c>
    </row>
    <row r="1193" spans="2:3">
      <c r="B1193" s="82" t="s">
        <v>2500</v>
      </c>
      <c r="C1193" s="1" t="s">
        <v>1974</v>
      </c>
    </row>
    <row r="1194" spans="2:3">
      <c r="B1194" s="1" t="s">
        <v>1125</v>
      </c>
      <c r="C1194" s="1" t="s">
        <v>1976</v>
      </c>
    </row>
    <row r="1195" spans="2:3">
      <c r="B1195" s="1" t="s">
        <v>1126</v>
      </c>
      <c r="C1195" s="1" t="s">
        <v>1977</v>
      </c>
    </row>
    <row r="1196" spans="2:3">
      <c r="B1196" s="82" t="s">
        <v>2428</v>
      </c>
      <c r="C1196" s="1" t="s">
        <v>1984</v>
      </c>
    </row>
    <row r="1197" spans="2:3">
      <c r="B1197" s="82" t="s">
        <v>2927</v>
      </c>
      <c r="C1197" s="1" t="s">
        <v>3414</v>
      </c>
    </row>
    <row r="1198" spans="2:3">
      <c r="B1198" s="1" t="s">
        <v>2928</v>
      </c>
      <c r="C1198" s="1" t="s">
        <v>2739</v>
      </c>
    </row>
    <row r="1199" spans="2:3">
      <c r="B1199" s="1" t="s">
        <v>2929</v>
      </c>
      <c r="C1199" s="1" t="s">
        <v>3517</v>
      </c>
    </row>
    <row r="1200" spans="2:3">
      <c r="B1200" s="1" t="s">
        <v>1204</v>
      </c>
      <c r="C1200" s="1" t="s">
        <v>3415</v>
      </c>
    </row>
    <row r="1201" spans="2:3">
      <c r="B1201" s="1" t="s">
        <v>1127</v>
      </c>
      <c r="C1201" s="1" t="s">
        <v>3523</v>
      </c>
    </row>
    <row r="1202" spans="2:3">
      <c r="B1202" s="1" t="s">
        <v>1128</v>
      </c>
      <c r="C1202" s="1" t="s">
        <v>3524</v>
      </c>
    </row>
    <row r="1203" spans="2:3">
      <c r="B1203" s="1" t="s">
        <v>1129</v>
      </c>
      <c r="C1203" s="1" t="s">
        <v>3525</v>
      </c>
    </row>
    <row r="1204" spans="2:3">
      <c r="B1204" s="1" t="s">
        <v>1716</v>
      </c>
      <c r="C1204" s="1274" t="s">
        <v>3527</v>
      </c>
    </row>
    <row r="1205" spans="2:3">
      <c r="B1205" s="1" t="s">
        <v>1713</v>
      </c>
      <c r="C1205" s="1274" t="s">
        <v>3527</v>
      </c>
    </row>
    <row r="1206" spans="2:3">
      <c r="B1206" s="1" t="s">
        <v>1130</v>
      </c>
      <c r="C1206" s="1" t="s">
        <v>3530</v>
      </c>
    </row>
    <row r="1207" spans="2:3">
      <c r="B1207" s="1" t="s">
        <v>1131</v>
      </c>
      <c r="C1207" s="1" t="s">
        <v>3526</v>
      </c>
    </row>
    <row r="1208" spans="2:3">
      <c r="B1208" s="749" t="s">
        <v>2130</v>
      </c>
      <c r="C1208" s="1274" t="s">
        <v>3527</v>
      </c>
    </row>
    <row r="1209" spans="2:3">
      <c r="B1209" s="1135" t="s">
        <v>2136</v>
      </c>
      <c r="C1209" s="1" t="s">
        <v>1984</v>
      </c>
    </row>
    <row r="1210" spans="2:3">
      <c r="B1210" s="1135" t="s">
        <v>2930</v>
      </c>
      <c r="C1210" s="1" t="s">
        <v>3419</v>
      </c>
    </row>
    <row r="1211" spans="2:3">
      <c r="B1211" s="1135" t="s">
        <v>2931</v>
      </c>
      <c r="C1211" s="1" t="s">
        <v>1984</v>
      </c>
    </row>
    <row r="1212" spans="2:3">
      <c r="B1212" s="1135" t="s">
        <v>2932</v>
      </c>
      <c r="C1212" s="1" t="s">
        <v>3423</v>
      </c>
    </row>
    <row r="1213" spans="2:3">
      <c r="B1213" s="1135" t="s">
        <v>1300</v>
      </c>
      <c r="C1213" s="1274" t="s">
        <v>3420</v>
      </c>
    </row>
    <row r="1214" spans="2:3">
      <c r="B1214" s="1135" t="s">
        <v>1297</v>
      </c>
      <c r="C1214" s="1" t="s">
        <v>1974</v>
      </c>
    </row>
    <row r="1215" spans="2:3">
      <c r="B1215" s="1135" t="s">
        <v>1301</v>
      </c>
      <c r="C1215" s="1" t="s">
        <v>1984</v>
      </c>
    </row>
    <row r="1216" spans="2:3">
      <c r="B1216" s="1135" t="s">
        <v>1296</v>
      </c>
      <c r="C1216" s="1" t="s">
        <v>1974</v>
      </c>
    </row>
    <row r="1217" spans="2:3">
      <c r="B1217" s="82" t="s">
        <v>2246</v>
      </c>
      <c r="C1217" s="1" t="s">
        <v>3423</v>
      </c>
    </row>
    <row r="1218" spans="2:3">
      <c r="B1218" s="82" t="s">
        <v>2933</v>
      </c>
      <c r="C1218" s="1" t="s">
        <v>3423</v>
      </c>
    </row>
    <row r="1219" spans="2:3">
      <c r="B1219" s="1" t="s">
        <v>1132</v>
      </c>
      <c r="C1219" s="1" t="s">
        <v>1983</v>
      </c>
    </row>
    <row r="1220" spans="2:3">
      <c r="B1220" s="1" t="s">
        <v>1133</v>
      </c>
      <c r="C1220" s="1" t="s">
        <v>1984</v>
      </c>
    </row>
    <row r="1221" spans="2:3">
      <c r="B1221" s="82" t="s">
        <v>2499</v>
      </c>
      <c r="C1221" s="1" t="s">
        <v>3423</v>
      </c>
    </row>
    <row r="1222" spans="2:3">
      <c r="B1222" s="749" t="s">
        <v>2246</v>
      </c>
      <c r="C1222" s="1" t="s">
        <v>3423</v>
      </c>
    </row>
    <row r="1223" spans="2:3">
      <c r="B1223" s="1" t="s">
        <v>1134</v>
      </c>
      <c r="C1223" s="1" t="s">
        <v>3423</v>
      </c>
    </row>
    <row r="1224" spans="2:3">
      <c r="B1224" s="82" t="s">
        <v>2469</v>
      </c>
      <c r="C1224" s="1274" t="s">
        <v>3527</v>
      </c>
    </row>
    <row r="1225" spans="2:3">
      <c r="B1225" s="82" t="s">
        <v>2470</v>
      </c>
      <c r="C1225" s="1274" t="s">
        <v>3527</v>
      </c>
    </row>
    <row r="1226" spans="2:3">
      <c r="B1226" s="1135" t="s">
        <v>1294</v>
      </c>
      <c r="C1226" s="1274" t="s">
        <v>3527</v>
      </c>
    </row>
    <row r="1227" spans="2:3">
      <c r="B1227" s="1" t="s">
        <v>1135</v>
      </c>
      <c r="C1227" s="749" t="s">
        <v>3418</v>
      </c>
    </row>
    <row r="1228" spans="2:3">
      <c r="B1228" s="1" t="s">
        <v>1270</v>
      </c>
      <c r="C1228" s="1" t="s">
        <v>3415</v>
      </c>
    </row>
    <row r="1229" spans="2:3">
      <c r="B1229" s="1" t="s">
        <v>1136</v>
      </c>
      <c r="C1229" s="1" t="s">
        <v>1975</v>
      </c>
    </row>
    <row r="1230" spans="2:3">
      <c r="B1230" s="1" t="s">
        <v>2027</v>
      </c>
      <c r="C1230" s="1" t="s">
        <v>2739</v>
      </c>
    </row>
    <row r="1231" spans="2:3">
      <c r="B1231" s="1" t="s">
        <v>1465</v>
      </c>
      <c r="C1231" s="1" t="s">
        <v>1984</v>
      </c>
    </row>
    <row r="1232" spans="2:3">
      <c r="B1232" s="1" t="s">
        <v>2029</v>
      </c>
      <c r="C1232" s="1" t="s">
        <v>1984</v>
      </c>
    </row>
    <row r="1233" spans="2:3">
      <c r="B1233" s="1" t="s">
        <v>2028</v>
      </c>
      <c r="C1233" s="1" t="s">
        <v>3423</v>
      </c>
    </row>
    <row r="1234" spans="2:3">
      <c r="B1234" s="24" t="s">
        <v>1137</v>
      </c>
      <c r="C1234" s="24" t="s">
        <v>3421</v>
      </c>
    </row>
    <row r="1235" spans="2:3">
      <c r="B1235" s="1" t="s">
        <v>1626</v>
      </c>
      <c r="C1235" s="749" t="s">
        <v>3397</v>
      </c>
    </row>
    <row r="1236" spans="2:3">
      <c r="B1236" s="1" t="s">
        <v>1138</v>
      </c>
      <c r="C1236" s="749" t="s">
        <v>3400</v>
      </c>
    </row>
    <row r="1237" spans="2:3">
      <c r="B1237" s="1" t="s">
        <v>2247</v>
      </c>
      <c r="C1237" s="749" t="s">
        <v>3401</v>
      </c>
    </row>
    <row r="1238" spans="2:3">
      <c r="B1238" s="1" t="s">
        <v>1139</v>
      </c>
      <c r="C1238" s="749" t="s">
        <v>3401</v>
      </c>
    </row>
    <row r="1239" spans="2:3">
      <c r="B1239" s="749" t="s">
        <v>2281</v>
      </c>
      <c r="C1239" s="1" t="s">
        <v>3507</v>
      </c>
    </row>
    <row r="1240" spans="2:3">
      <c r="B1240" s="749" t="s">
        <v>2138</v>
      </c>
      <c r="C1240" s="749" t="s">
        <v>3403</v>
      </c>
    </row>
    <row r="1241" spans="2:3">
      <c r="B1241" s="1" t="s">
        <v>2606</v>
      </c>
      <c r="C1241" s="749" t="s">
        <v>3405</v>
      </c>
    </row>
    <row r="1242" spans="2:3">
      <c r="B1242" s="749" t="s">
        <v>2134</v>
      </c>
      <c r="C1242" s="749" t="s">
        <v>3404</v>
      </c>
    </row>
    <row r="1243" spans="2:3">
      <c r="B1243" s="1" t="s">
        <v>2137</v>
      </c>
      <c r="C1243" s="749" t="s">
        <v>3402</v>
      </c>
    </row>
    <row r="1244" spans="2:3">
      <c r="B1244" s="82" t="s">
        <v>2431</v>
      </c>
      <c r="C1244" s="1" t="s">
        <v>3393</v>
      </c>
    </row>
    <row r="1245" spans="2:3">
      <c r="B1245" s="1" t="s">
        <v>1140</v>
      </c>
      <c r="C1245" s="1" t="s">
        <v>1987</v>
      </c>
    </row>
    <row r="1246" spans="2:3">
      <c r="B1246" s="1135" t="s">
        <v>1299</v>
      </c>
      <c r="C1246" s="1274" t="s">
        <v>496</v>
      </c>
    </row>
    <row r="1247" spans="2:3">
      <c r="B1247" s="82" t="s">
        <v>2476</v>
      </c>
      <c r="C1247" s="1274" t="s">
        <v>496</v>
      </c>
    </row>
    <row r="1248" spans="2:3">
      <c r="B1248" s="82" t="s">
        <v>2475</v>
      </c>
      <c r="C1248" s="749" t="s">
        <v>3406</v>
      </c>
    </row>
    <row r="1249" spans="2:3">
      <c r="B1249" s="1" t="s">
        <v>1141</v>
      </c>
      <c r="C1249" s="749" t="s">
        <v>3406</v>
      </c>
    </row>
    <row r="1250" spans="2:3">
      <c r="B1250" s="82" t="s">
        <v>2934</v>
      </c>
      <c r="C1250" s="749" t="s">
        <v>3406</v>
      </c>
    </row>
    <row r="1251" spans="2:3">
      <c r="B1251" s="1" t="s">
        <v>1246</v>
      </c>
      <c r="C1251" s="749" t="s">
        <v>1990</v>
      </c>
    </row>
    <row r="1252" spans="2:3">
      <c r="B1252" s="1" t="s">
        <v>1238</v>
      </c>
      <c r="C1252" s="1" t="s">
        <v>3394</v>
      </c>
    </row>
    <row r="1253" spans="2:3">
      <c r="B1253" s="1" t="s">
        <v>833</v>
      </c>
      <c r="C1253" s="1" t="s">
        <v>3394</v>
      </c>
    </row>
    <row r="1254" spans="2:3">
      <c r="B1254" s="1" t="s">
        <v>1239</v>
      </c>
      <c r="C1254" s="749" t="s">
        <v>3384</v>
      </c>
    </row>
    <row r="1255" spans="2:3">
      <c r="B1255" s="1" t="s">
        <v>1142</v>
      </c>
      <c r="C1255" s="1" t="s">
        <v>1989</v>
      </c>
    </row>
    <row r="1256" spans="2:3">
      <c r="B1256" s="749" t="s">
        <v>2258</v>
      </c>
      <c r="C1256" s="749" t="s">
        <v>3399</v>
      </c>
    </row>
    <row r="1257" spans="2:3">
      <c r="B1257" s="749" t="s">
        <v>2279</v>
      </c>
      <c r="C1257" s="749" t="s">
        <v>3385</v>
      </c>
    </row>
    <row r="1258" spans="2:3">
      <c r="B1258" s="749" t="s">
        <v>2340</v>
      </c>
      <c r="C1258" s="1274" t="s">
        <v>3528</v>
      </c>
    </row>
    <row r="1259" spans="2:3">
      <c r="B1259" s="1" t="s">
        <v>1242</v>
      </c>
      <c r="C1259" s="1" t="s">
        <v>1993</v>
      </c>
    </row>
    <row r="1260" spans="2:3">
      <c r="B1260" s="1" t="s">
        <v>1314</v>
      </c>
      <c r="C1260" s="1" t="s">
        <v>3407</v>
      </c>
    </row>
    <row r="1261" spans="2:3">
      <c r="B1261" s="1" t="s">
        <v>1315</v>
      </c>
      <c r="C1261" s="749" t="s">
        <v>1992</v>
      </c>
    </row>
    <row r="1262" spans="2:3">
      <c r="B1262" s="1" t="s">
        <v>1316</v>
      </c>
      <c r="C1262" s="1" t="s">
        <v>1993</v>
      </c>
    </row>
    <row r="1263" spans="2:3">
      <c r="B1263" s="82" t="s">
        <v>2935</v>
      </c>
      <c r="C1263" s="1274" t="s">
        <v>3528</v>
      </c>
    </row>
    <row r="1264" spans="2:3">
      <c r="B1264" s="749" t="s">
        <v>2278</v>
      </c>
      <c r="C1264" s="749" t="s">
        <v>3387</v>
      </c>
    </row>
    <row r="1265" spans="2:3">
      <c r="B1265" s="749" t="s">
        <v>2276</v>
      </c>
      <c r="C1265" s="1" t="s">
        <v>3508</v>
      </c>
    </row>
    <row r="1266" spans="2:3">
      <c r="B1266" s="749" t="s">
        <v>2275</v>
      </c>
      <c r="C1266" s="749" t="s">
        <v>3398</v>
      </c>
    </row>
    <row r="1267" spans="2:3">
      <c r="B1267" s="749" t="s">
        <v>2277</v>
      </c>
      <c r="C1267" s="749" t="s">
        <v>1912</v>
      </c>
    </row>
    <row r="1268" spans="2:3">
      <c r="B1268" s="1" t="s">
        <v>1085</v>
      </c>
      <c r="C1268" s="1" t="s">
        <v>1931</v>
      </c>
    </row>
    <row r="1269" spans="2:3">
      <c r="B1269" s="1" t="s">
        <v>1086</v>
      </c>
      <c r="C1269" s="1" t="s">
        <v>1932</v>
      </c>
    </row>
    <row r="1270" spans="2:3" ht="15">
      <c r="B1270" s="1194" t="s">
        <v>835</v>
      </c>
      <c r="C1270" s="1" t="s">
        <v>1931</v>
      </c>
    </row>
    <row r="1271" spans="2:3">
      <c r="B1271" s="1" t="s">
        <v>2107</v>
      </c>
      <c r="C1271" s="749" t="s">
        <v>3389</v>
      </c>
    </row>
    <row r="1272" spans="2:3">
      <c r="B1272" s="1" t="s">
        <v>1243</v>
      </c>
      <c r="C1272" s="749" t="s">
        <v>3389</v>
      </c>
    </row>
    <row r="1273" spans="2:3">
      <c r="B1273" s="749" t="s">
        <v>2287</v>
      </c>
      <c r="C1273" s="749" t="s">
        <v>3390</v>
      </c>
    </row>
    <row r="1274" spans="2:3">
      <c r="B1274" s="749" t="s">
        <v>2222</v>
      </c>
      <c r="C1274" s="749" t="s">
        <v>3399</v>
      </c>
    </row>
    <row r="1275" spans="2:3">
      <c r="B1275" s="749" t="s">
        <v>2221</v>
      </c>
      <c r="C1275" s="1" t="s">
        <v>3395</v>
      </c>
    </row>
    <row r="1276" spans="2:3">
      <c r="B1276" s="82" t="s">
        <v>2936</v>
      </c>
      <c r="C1276" s="1" t="s">
        <v>3396</v>
      </c>
    </row>
    <row r="1277" spans="2:3">
      <c r="B1277" s="1" t="s">
        <v>1245</v>
      </c>
      <c r="C1277" s="1" t="s">
        <v>1997</v>
      </c>
    </row>
    <row r="1278" spans="2:3">
      <c r="B1278" s="1" t="s">
        <v>1143</v>
      </c>
      <c r="C1278" s="749" t="s">
        <v>3391</v>
      </c>
    </row>
    <row r="1279" spans="2:3">
      <c r="B1279" s="1" t="s">
        <v>1144</v>
      </c>
      <c r="C1279" s="749" t="s">
        <v>3408</v>
      </c>
    </row>
    <row r="1280" spans="2:3">
      <c r="B1280" s="82" t="s">
        <v>2937</v>
      </c>
      <c r="C1280" s="1" t="s">
        <v>1987</v>
      </c>
    </row>
    <row r="1281" spans="2:3">
      <c r="B1281" s="1" t="s">
        <v>1145</v>
      </c>
      <c r="C1281" s="749" t="s">
        <v>3409</v>
      </c>
    </row>
    <row r="1282" spans="2:3">
      <c r="B1282" s="1"/>
      <c r="C1282" s="1"/>
    </row>
    <row r="1283" spans="2:3">
      <c r="B1283" s="1"/>
      <c r="C1283" s="1"/>
    </row>
    <row r="1284" spans="2:3">
      <c r="B1284" s="1"/>
      <c r="C1284" s="1"/>
    </row>
    <row r="1285" spans="2:3">
      <c r="B1285" s="1"/>
      <c r="C1285" s="1"/>
    </row>
  </sheetData>
  <mergeCells count="2">
    <mergeCell ref="G2:L2"/>
    <mergeCell ref="N2:R2"/>
  </mergeCells>
  <dataValidations count="1">
    <dataValidation type="list" allowBlank="1" showInputMessage="1" showErrorMessage="1" sqref="Y4" xr:uid="{A0A9B902-A89C-BF4C-8220-D39CCA92D8CF}">
      <formula1>Food_category</formula1>
    </dataValidation>
  </dataValidations>
  <hyperlinks>
    <hyperlink ref="H1" location="Meal_entry_week_2!A10" display="Meal_entry_week_2" xr:uid="{3DD1DB8C-3B60-CA49-8032-78C077FB262E}"/>
    <hyperlink ref="E1" location="Meal_entry_week_1!A10" display="Meal_entry_week_1" xr:uid="{75E960FE-95BA-C54C-BB18-9D55F8D240B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2D2F5-A06B-8344-9829-140B4C2FDE13}">
  <sheetPr codeName="Sheet2"/>
  <dimension ref="A1:BS584"/>
  <sheetViews>
    <sheetView zoomScale="120" zoomScaleNormal="120" workbookViewId="0">
      <pane ySplit="9" topLeftCell="A10" activePane="bottomLeft" state="frozen"/>
      <selection pane="bottomLeft" activeCell="I570" sqref="I570"/>
    </sheetView>
  </sheetViews>
  <sheetFormatPr baseColWidth="10" defaultRowHeight="14"/>
  <cols>
    <col min="1" max="1" width="10.33203125" style="435" customWidth="1"/>
    <col min="2" max="2" width="11.83203125" customWidth="1"/>
    <col min="3" max="3" width="9.1640625" customWidth="1"/>
    <col min="4" max="4" width="14.33203125" style="85" customWidth="1"/>
    <col min="5" max="5" width="13.1640625" style="85" customWidth="1"/>
    <col min="6" max="6" width="25.1640625" style="710" customWidth="1"/>
    <col min="7" max="7" width="31.33203125" customWidth="1"/>
    <col min="8" max="8" width="46" style="2" customWidth="1"/>
    <col min="9" max="9" width="11.6640625" customWidth="1"/>
    <col min="10" max="10" width="11.83203125" customWidth="1"/>
    <col min="11" max="11" width="11.6640625" customWidth="1"/>
    <col min="12" max="12" width="7.6640625" style="421" customWidth="1"/>
    <col min="13" max="13" width="2.1640625" style="421" customWidth="1"/>
    <col min="14" max="14" width="9.1640625" style="421" customWidth="1"/>
    <col min="15" max="15" width="66.83203125" style="421" customWidth="1"/>
    <col min="16" max="16" width="41.1640625" style="380" customWidth="1"/>
    <col min="17" max="17" width="8.1640625" customWidth="1"/>
    <col min="18" max="18" width="10.33203125" customWidth="1"/>
    <col min="19" max="19" width="10.33203125" style="476" customWidth="1"/>
    <col min="20" max="20" width="11" customWidth="1"/>
    <col min="21" max="21" width="10.33203125" customWidth="1"/>
    <col min="22" max="22" width="10.5" style="66" customWidth="1"/>
    <col min="23" max="23" width="11.6640625" bestFit="1" customWidth="1"/>
    <col min="24" max="24" width="11" bestFit="1" customWidth="1"/>
    <col min="25" max="25" width="12" customWidth="1"/>
    <col min="26" max="26" width="11" bestFit="1" customWidth="1"/>
    <col min="27" max="27" width="12.6640625" customWidth="1"/>
    <col min="28" max="28" width="12.6640625" style="66" customWidth="1"/>
    <col min="29" max="35" width="12.6640625" customWidth="1"/>
    <col min="36" max="36" width="12.6640625" style="66" customWidth="1"/>
    <col min="37" max="44" width="12.6640625" customWidth="1"/>
    <col min="45" max="45" width="12.6640625" style="66" customWidth="1"/>
    <col min="46" max="47" width="10.83203125" style="749" customWidth="1"/>
    <col min="48" max="70" width="10.83203125" customWidth="1"/>
  </cols>
  <sheetData>
    <row r="1" spans="1:71" ht="49" customHeight="1">
      <c r="A1" s="855"/>
      <c r="B1" s="92"/>
      <c r="C1" s="92"/>
      <c r="D1" s="92"/>
      <c r="E1" s="265"/>
      <c r="F1" s="830"/>
      <c r="G1" s="265"/>
      <c r="H1" s="92"/>
      <c r="I1" s="92"/>
      <c r="J1" s="92"/>
      <c r="K1" s="92"/>
      <c r="L1" s="831"/>
      <c r="M1" s="831"/>
      <c r="N1" s="831"/>
      <c r="O1" s="831"/>
      <c r="P1" s="92"/>
      <c r="Q1" s="92"/>
      <c r="R1" s="92"/>
      <c r="S1" s="92"/>
      <c r="T1" s="92"/>
      <c r="U1" s="92"/>
      <c r="V1" s="859"/>
      <c r="W1" s="92"/>
      <c r="X1" s="92"/>
      <c r="Y1" s="92"/>
      <c r="Z1" s="92"/>
      <c r="AA1" s="92"/>
      <c r="AB1" s="859"/>
      <c r="AC1" s="92"/>
      <c r="AD1" s="92"/>
      <c r="AE1" s="92"/>
      <c r="AF1" s="92"/>
      <c r="AG1" s="92"/>
      <c r="AH1" s="92"/>
      <c r="AI1" s="92"/>
      <c r="AJ1" s="859"/>
      <c r="AK1" s="92"/>
      <c r="AL1" s="92"/>
      <c r="AM1" s="92"/>
      <c r="AN1" s="92"/>
      <c r="AO1" s="92"/>
      <c r="AP1" s="92"/>
      <c r="AQ1" s="92"/>
      <c r="AR1" s="92"/>
      <c r="AS1" s="859"/>
      <c r="AT1" s="92"/>
      <c r="AU1" s="92"/>
      <c r="AV1" s="120" t="s">
        <v>542</v>
      </c>
    </row>
    <row r="2" spans="1:71" s="749" customFormat="1" ht="7" customHeight="1">
      <c r="A2" s="855"/>
      <c r="B2" s="92"/>
      <c r="C2" s="92"/>
      <c r="D2" s="92"/>
      <c r="E2" s="265"/>
      <c r="F2" s="830"/>
      <c r="G2" s="265"/>
      <c r="H2" s="92"/>
      <c r="I2" s="92"/>
      <c r="J2" s="92"/>
      <c r="K2" s="92"/>
      <c r="L2" s="831"/>
      <c r="M2" s="831"/>
      <c r="N2" s="831"/>
      <c r="O2" s="831"/>
      <c r="P2" s="92"/>
      <c r="Q2" s="92"/>
      <c r="R2" s="92"/>
      <c r="S2" s="92"/>
      <c r="T2" s="92"/>
      <c r="U2" s="92"/>
      <c r="V2" s="859"/>
      <c r="W2" s="92"/>
      <c r="X2" s="92"/>
      <c r="Y2" s="92"/>
      <c r="Z2" s="92"/>
      <c r="AA2" s="92"/>
      <c r="AB2" s="859"/>
      <c r="AC2" s="92"/>
      <c r="AD2" s="92"/>
      <c r="AE2" s="92"/>
      <c r="AF2" s="92"/>
      <c r="AG2" s="92"/>
      <c r="AH2" s="92"/>
      <c r="AI2" s="92"/>
      <c r="AJ2" s="859"/>
      <c r="AK2" s="92"/>
      <c r="AL2" s="92"/>
      <c r="AM2" s="92"/>
      <c r="AN2" s="92"/>
      <c r="AO2" s="92"/>
      <c r="AP2" s="92"/>
      <c r="AQ2" s="92"/>
      <c r="AR2" s="92"/>
      <c r="AS2" s="859"/>
      <c r="AT2" s="92"/>
      <c r="AU2" s="92"/>
    </row>
    <row r="3" spans="1:71" s="229" customFormat="1" ht="20" customHeight="1">
      <c r="A3" s="856"/>
      <c r="B3" s="522"/>
      <c r="C3" s="1411" t="s">
        <v>3052</v>
      </c>
      <c r="D3" s="1411"/>
      <c r="E3" s="1411"/>
      <c r="F3" s="1411"/>
      <c r="G3" s="1412" t="s">
        <v>2529</v>
      </c>
      <c r="H3" s="1410" t="s">
        <v>3053</v>
      </c>
      <c r="I3" s="1410"/>
      <c r="J3" s="1410"/>
      <c r="K3" s="1410"/>
      <c r="L3" s="1117">
        <v>1</v>
      </c>
      <c r="M3" s="832"/>
      <c r="N3" s="832"/>
      <c r="O3" s="857"/>
      <c r="P3" s="522"/>
      <c r="Q3" s="522"/>
      <c r="R3" s="522"/>
      <c r="S3" s="522"/>
      <c r="T3" s="522"/>
      <c r="U3" s="522"/>
      <c r="V3" s="860"/>
      <c r="W3" s="522"/>
      <c r="X3" s="522"/>
      <c r="Y3" s="522"/>
      <c r="Z3" s="522"/>
      <c r="AA3" s="522"/>
      <c r="AB3" s="860"/>
      <c r="AC3" s="522"/>
      <c r="AD3" s="522"/>
      <c r="AE3" s="522"/>
      <c r="AF3" s="522"/>
      <c r="AG3" s="522"/>
      <c r="AH3" s="522"/>
      <c r="AI3" s="522"/>
      <c r="AJ3" s="860"/>
      <c r="AK3" s="522"/>
      <c r="AL3" s="522"/>
      <c r="AM3" s="522"/>
      <c r="AN3" s="522"/>
      <c r="AO3" s="522"/>
      <c r="AP3" s="522"/>
      <c r="AQ3" s="522"/>
      <c r="AR3" s="522"/>
      <c r="AS3" s="860"/>
      <c r="AT3" s="522"/>
      <c r="AU3" s="522"/>
    </row>
    <row r="4" spans="1:71" s="749" customFormat="1" ht="20" customHeight="1">
      <c r="A4" s="855"/>
      <c r="B4" s="92"/>
      <c r="C4" s="1411"/>
      <c r="D4" s="1411"/>
      <c r="E4" s="1411"/>
      <c r="F4" s="1411"/>
      <c r="G4" s="1412"/>
      <c r="H4" s="1410"/>
      <c r="I4" s="1410"/>
      <c r="J4" s="1410"/>
      <c r="K4" s="1410"/>
      <c r="L4" s="831"/>
      <c r="M4" s="831"/>
      <c r="N4" s="831"/>
      <c r="O4" s="831"/>
      <c r="P4" s="92"/>
      <c r="Q4" s="92"/>
      <c r="R4" s="92"/>
      <c r="S4" s="92"/>
      <c r="T4" s="92"/>
      <c r="U4" s="92"/>
      <c r="V4" s="859"/>
      <c r="W4" s="92"/>
      <c r="X4" s="92"/>
      <c r="Y4" s="92"/>
      <c r="Z4" s="92"/>
      <c r="AA4" s="92"/>
      <c r="AB4" s="859"/>
      <c r="AC4" s="92"/>
      <c r="AD4" s="92"/>
      <c r="AE4" s="92"/>
      <c r="AF4" s="92"/>
      <c r="AG4" s="92"/>
      <c r="AH4" s="92"/>
      <c r="AI4" s="92"/>
      <c r="AJ4" s="859"/>
      <c r="AK4" s="92"/>
      <c r="AL4" s="92"/>
      <c r="AM4" s="92"/>
      <c r="AN4" s="92"/>
      <c r="AO4" s="92"/>
      <c r="AP4" s="92"/>
      <c r="AQ4" s="92"/>
      <c r="AR4" s="92"/>
      <c r="AS4" s="859"/>
      <c r="AT4" s="92"/>
      <c r="AU4" s="92"/>
    </row>
    <row r="5" spans="1:71" s="749" customFormat="1" ht="8" customHeight="1">
      <c r="A5" s="855"/>
      <c r="B5" s="92"/>
      <c r="C5" s="833"/>
      <c r="D5" s="833"/>
      <c r="E5" s="833"/>
      <c r="F5" s="833"/>
      <c r="G5" s="834"/>
      <c r="H5" s="835"/>
      <c r="I5" s="835"/>
      <c r="J5" s="835"/>
      <c r="K5" s="835"/>
      <c r="L5" s="831"/>
      <c r="M5" s="831"/>
      <c r="N5" s="831"/>
      <c r="O5" s="831"/>
      <c r="P5" s="92"/>
      <c r="Q5" s="92"/>
      <c r="R5" s="92"/>
      <c r="S5" s="92"/>
      <c r="T5" s="92"/>
      <c r="U5" s="92"/>
      <c r="V5" s="859"/>
      <c r="W5" s="92"/>
      <c r="X5" s="92"/>
      <c r="Y5" s="92"/>
      <c r="Z5" s="92"/>
      <c r="AA5" s="92"/>
      <c r="AB5" s="859"/>
      <c r="AC5" s="92"/>
      <c r="AD5" s="92"/>
      <c r="AE5" s="92"/>
      <c r="AF5" s="92"/>
      <c r="AG5" s="92"/>
      <c r="AH5" s="92"/>
      <c r="AI5" s="92"/>
      <c r="AJ5" s="859"/>
      <c r="AK5" s="92"/>
      <c r="AL5" s="92"/>
      <c r="AM5" s="92"/>
      <c r="AN5" s="92"/>
      <c r="AO5" s="92"/>
      <c r="AP5" s="92"/>
      <c r="AQ5" s="92"/>
      <c r="AR5" s="92"/>
      <c r="AS5" s="859"/>
      <c r="AT5" s="92"/>
      <c r="AU5" s="92"/>
    </row>
    <row r="6" spans="1:71" s="749" customFormat="1" ht="20" customHeight="1">
      <c r="A6" s="855"/>
      <c r="B6" s="92"/>
      <c r="C6" s="1409" t="s">
        <v>3086</v>
      </c>
      <c r="D6" s="1409"/>
      <c r="E6" s="1409"/>
      <c r="F6" s="1409"/>
      <c r="G6" s="1409"/>
      <c r="H6" s="1409"/>
      <c r="I6" s="1409"/>
      <c r="J6" s="1409"/>
      <c r="K6" s="1409"/>
      <c r="L6" s="831"/>
      <c r="M6" s="831"/>
      <c r="N6" s="831"/>
      <c r="O6" s="831"/>
      <c r="P6" s="92"/>
      <c r="Q6" s="92"/>
      <c r="R6" s="92"/>
      <c r="S6" s="92"/>
      <c r="T6" s="92"/>
      <c r="U6" s="92"/>
      <c r="V6" s="859"/>
      <c r="W6" s="92"/>
      <c r="X6" s="92"/>
      <c r="Y6" s="92"/>
      <c r="Z6" s="92"/>
      <c r="AA6" s="92"/>
      <c r="AB6" s="859"/>
      <c r="AC6" s="92"/>
      <c r="AD6" s="92"/>
      <c r="AE6" s="92"/>
      <c r="AF6" s="92"/>
      <c r="AG6" s="92"/>
      <c r="AH6" s="92"/>
      <c r="AI6" s="92"/>
      <c r="AJ6" s="859"/>
      <c r="AK6" s="92"/>
      <c r="AL6" s="92"/>
      <c r="AM6" s="92"/>
      <c r="AN6" s="92"/>
      <c r="AO6" s="92"/>
      <c r="AP6" s="92"/>
      <c r="AQ6" s="92"/>
      <c r="AR6" s="92"/>
      <c r="AS6" s="859"/>
      <c r="AT6" s="92"/>
      <c r="AU6" s="92"/>
    </row>
    <row r="7" spans="1:71" s="749" customFormat="1" ht="20" customHeight="1">
      <c r="A7" s="855"/>
      <c r="B7" s="92"/>
      <c r="C7" s="1409"/>
      <c r="D7" s="1409"/>
      <c r="E7" s="1409"/>
      <c r="F7" s="1409"/>
      <c r="G7" s="1409"/>
      <c r="H7" s="1409"/>
      <c r="I7" s="1409"/>
      <c r="J7" s="1409"/>
      <c r="K7" s="1409"/>
      <c r="L7" s="831"/>
      <c r="M7" s="831"/>
      <c r="N7" s="831"/>
      <c r="O7" s="831"/>
      <c r="P7" s="92"/>
      <c r="Q7" s="92"/>
      <c r="R7" s="92"/>
      <c r="S7" s="92"/>
      <c r="T7" s="92"/>
      <c r="U7" s="92"/>
      <c r="V7" s="859"/>
      <c r="W7" s="92"/>
      <c r="X7" s="92"/>
      <c r="Y7" s="92"/>
      <c r="Z7" s="92"/>
      <c r="AA7" s="92"/>
      <c r="AB7" s="859"/>
      <c r="AC7" s="92"/>
      <c r="AD7" s="92"/>
      <c r="AE7" s="92"/>
      <c r="AF7" s="92"/>
      <c r="AG7" s="92"/>
      <c r="AH7" s="92"/>
      <c r="AI7" s="92"/>
      <c r="AJ7" s="859"/>
      <c r="AK7" s="92"/>
      <c r="AL7" s="92"/>
      <c r="AM7" s="92"/>
      <c r="AN7" s="92"/>
      <c r="AO7" s="92"/>
      <c r="AP7" s="92"/>
      <c r="AQ7" s="92"/>
      <c r="AR7" s="92"/>
      <c r="AS7" s="859"/>
      <c r="AT7" s="92"/>
      <c r="AU7" s="92"/>
    </row>
    <row r="8" spans="1:71" s="749" customFormat="1" ht="8" customHeight="1">
      <c r="A8" s="855"/>
      <c r="B8" s="92"/>
      <c r="C8" s="92"/>
      <c r="D8" s="92"/>
      <c r="E8" s="265"/>
      <c r="F8" s="830"/>
      <c r="G8" s="265"/>
      <c r="H8" s="92"/>
      <c r="I8" s="92"/>
      <c r="J8" s="92"/>
      <c r="K8" s="92"/>
      <c r="L8" s="831"/>
      <c r="M8" s="831"/>
      <c r="N8" s="831"/>
      <c r="O8" s="831"/>
      <c r="P8" s="92"/>
      <c r="Q8" s="92"/>
      <c r="R8" s="92"/>
      <c r="S8" s="92"/>
      <c r="T8" s="92"/>
      <c r="U8" s="92"/>
      <c r="V8" s="859"/>
      <c r="W8" s="92"/>
      <c r="X8" s="92"/>
      <c r="Y8" s="92"/>
      <c r="Z8" s="92"/>
      <c r="AA8" s="92"/>
      <c r="AB8" s="859"/>
      <c r="AC8" s="92"/>
      <c r="AD8" s="92"/>
      <c r="AE8" s="92"/>
      <c r="AF8" s="92"/>
      <c r="AG8" s="92"/>
      <c r="AH8" s="92"/>
      <c r="AI8" s="92"/>
      <c r="AJ8" s="859"/>
      <c r="AK8" s="92"/>
      <c r="AL8" s="92"/>
      <c r="AM8" s="92"/>
      <c r="AN8" s="92"/>
      <c r="AO8" s="92"/>
      <c r="AP8" s="92"/>
      <c r="AQ8" s="92"/>
      <c r="AR8" s="92"/>
      <c r="AS8" s="859"/>
      <c r="AT8" s="92"/>
      <c r="AU8" s="92"/>
    </row>
    <row r="9" spans="1:71" ht="59" customHeight="1">
      <c r="A9" s="855"/>
      <c r="B9" s="326" t="s">
        <v>3051</v>
      </c>
      <c r="C9" s="326" t="s">
        <v>66</v>
      </c>
      <c r="D9" s="84" t="s">
        <v>3061</v>
      </c>
      <c r="E9" s="84" t="s">
        <v>3062</v>
      </c>
      <c r="F9" s="705" t="s">
        <v>3063</v>
      </c>
      <c r="G9" s="327" t="s">
        <v>3054</v>
      </c>
      <c r="H9" s="328" t="s">
        <v>3055</v>
      </c>
      <c r="I9" s="84" t="s">
        <v>3056</v>
      </c>
      <c r="J9" s="84" t="s">
        <v>3057</v>
      </c>
      <c r="K9" s="2" t="s">
        <v>3058</v>
      </c>
      <c r="L9" s="413" t="s">
        <v>3059</v>
      </c>
      <c r="M9" s="855"/>
      <c r="N9" s="413" t="s">
        <v>3060</v>
      </c>
      <c r="O9" s="855"/>
      <c r="P9" s="858"/>
      <c r="Q9" s="2" t="s">
        <v>805</v>
      </c>
      <c r="R9" s="2" t="s">
        <v>1729</v>
      </c>
      <c r="S9" s="2" t="s">
        <v>2086</v>
      </c>
      <c r="T9" s="2" t="s">
        <v>1730</v>
      </c>
      <c r="U9" s="2" t="s">
        <v>1731</v>
      </c>
      <c r="V9" s="114" t="s">
        <v>1732</v>
      </c>
      <c r="W9" s="2" t="s">
        <v>75</v>
      </c>
      <c r="X9" s="2" t="s">
        <v>76</v>
      </c>
      <c r="Y9" s="2" t="s">
        <v>77</v>
      </c>
      <c r="Z9" s="2" t="s">
        <v>78</v>
      </c>
      <c r="AA9" s="2" t="s">
        <v>79</v>
      </c>
      <c r="AB9" s="114" t="s">
        <v>263</v>
      </c>
      <c r="AC9" s="112" t="s">
        <v>264</v>
      </c>
      <c r="AD9" s="2" t="s">
        <v>265</v>
      </c>
      <c r="AE9" s="2" t="s">
        <v>266</v>
      </c>
      <c r="AF9" s="2" t="s">
        <v>267</v>
      </c>
      <c r="AG9" s="2" t="s">
        <v>268</v>
      </c>
      <c r="AH9" s="2" t="s">
        <v>269</v>
      </c>
      <c r="AI9" s="2" t="s">
        <v>270</v>
      </c>
      <c r="AJ9" s="114" t="s">
        <v>271</v>
      </c>
      <c r="AK9" s="112" t="s">
        <v>380</v>
      </c>
      <c r="AL9" s="2" t="s">
        <v>273</v>
      </c>
      <c r="AM9" s="2" t="s">
        <v>274</v>
      </c>
      <c r="AN9" s="2" t="s">
        <v>382</v>
      </c>
      <c r="AO9" s="2" t="s">
        <v>276</v>
      </c>
      <c r="AP9" s="2" t="s">
        <v>277</v>
      </c>
      <c r="AQ9" s="2" t="s">
        <v>278</v>
      </c>
      <c r="AR9" s="2" t="s">
        <v>381</v>
      </c>
      <c r="AS9" s="114" t="s">
        <v>280</v>
      </c>
      <c r="AT9" s="2" t="s">
        <v>3973</v>
      </c>
      <c r="AU9" s="2" t="s">
        <v>3974</v>
      </c>
      <c r="AV9" s="2" t="s">
        <v>75</v>
      </c>
      <c r="AW9" s="2" t="s">
        <v>76</v>
      </c>
      <c r="AX9" s="2" t="s">
        <v>77</v>
      </c>
      <c r="AY9" s="2" t="s">
        <v>78</v>
      </c>
      <c r="AZ9" s="2" t="s">
        <v>79</v>
      </c>
      <c r="BA9" s="114" t="s">
        <v>263</v>
      </c>
      <c r="BB9" s="112" t="s">
        <v>264</v>
      </c>
      <c r="BC9" s="2" t="s">
        <v>265</v>
      </c>
      <c r="BD9" s="2" t="s">
        <v>266</v>
      </c>
      <c r="BE9" s="2" t="s">
        <v>267</v>
      </c>
      <c r="BF9" s="2" t="s">
        <v>268</v>
      </c>
      <c r="BG9" s="2" t="s">
        <v>269</v>
      </c>
      <c r="BH9" s="2" t="s">
        <v>270</v>
      </c>
      <c r="BI9" s="114" t="s">
        <v>271</v>
      </c>
      <c r="BJ9" s="112" t="s">
        <v>380</v>
      </c>
      <c r="BK9" s="2" t="s">
        <v>273</v>
      </c>
      <c r="BL9" s="2" t="s">
        <v>274</v>
      </c>
      <c r="BM9" s="2" t="s">
        <v>382</v>
      </c>
      <c r="BN9" s="2" t="s">
        <v>276</v>
      </c>
      <c r="BO9" s="2" t="s">
        <v>277</v>
      </c>
      <c r="BP9" s="2" t="s">
        <v>278</v>
      </c>
      <c r="BQ9" s="2" t="s">
        <v>381</v>
      </c>
      <c r="BR9" s="114" t="s">
        <v>280</v>
      </c>
      <c r="BS9" s="121" t="s">
        <v>547</v>
      </c>
    </row>
    <row r="10" spans="1:71" s="466" customFormat="1" ht="16" thickBot="1">
      <c r="A10" s="437"/>
      <c r="B10" s="93"/>
      <c r="C10" s="93"/>
      <c r="D10" s="94"/>
      <c r="E10" s="94"/>
      <c r="F10" s="706" t="s">
        <v>454</v>
      </c>
      <c r="G10" s="95"/>
      <c r="H10" s="95"/>
      <c r="I10" s="94"/>
      <c r="J10" s="94"/>
      <c r="K10" s="94"/>
      <c r="L10" s="409"/>
      <c r="M10" s="409"/>
      <c r="N10" s="409"/>
      <c r="O10" s="414"/>
      <c r="P10" s="94"/>
      <c r="Q10" s="95"/>
      <c r="R10" s="95"/>
      <c r="S10" s="95"/>
      <c r="T10" s="95"/>
      <c r="U10" s="147"/>
      <c r="V10" s="115"/>
      <c r="W10" s="95"/>
      <c r="X10" s="95"/>
      <c r="Y10" s="95"/>
      <c r="Z10" s="95"/>
      <c r="AA10" s="487">
        <f>COUNTIF(AA11:AA30,"&lt;0")</f>
        <v>0</v>
      </c>
      <c r="AB10" s="487">
        <f t="shared" ref="AB10:AS10" si="0">COUNTIF(AB11:AB30,"&lt;0")</f>
        <v>0</v>
      </c>
      <c r="AC10" s="487">
        <f t="shared" si="0"/>
        <v>0</v>
      </c>
      <c r="AD10" s="487">
        <f t="shared" si="0"/>
        <v>0</v>
      </c>
      <c r="AE10" s="487">
        <f t="shared" si="0"/>
        <v>0</v>
      </c>
      <c r="AF10" s="487">
        <f t="shared" si="0"/>
        <v>0</v>
      </c>
      <c r="AG10" s="487">
        <f t="shared" si="0"/>
        <v>0</v>
      </c>
      <c r="AH10" s="487">
        <f t="shared" si="0"/>
        <v>0</v>
      </c>
      <c r="AI10" s="487">
        <f t="shared" si="0"/>
        <v>0</v>
      </c>
      <c r="AJ10" s="487">
        <f t="shared" si="0"/>
        <v>0</v>
      </c>
      <c r="AK10" s="487">
        <f t="shared" si="0"/>
        <v>0</v>
      </c>
      <c r="AL10" s="487">
        <f t="shared" si="0"/>
        <v>0</v>
      </c>
      <c r="AM10" s="487">
        <f t="shared" si="0"/>
        <v>0</v>
      </c>
      <c r="AN10" s="487">
        <f t="shared" si="0"/>
        <v>0</v>
      </c>
      <c r="AO10" s="487">
        <f t="shared" si="0"/>
        <v>0</v>
      </c>
      <c r="AP10" s="487">
        <f t="shared" si="0"/>
        <v>0</v>
      </c>
      <c r="AQ10" s="487">
        <f t="shared" si="0"/>
        <v>0</v>
      </c>
      <c r="AR10" s="487">
        <f t="shared" si="0"/>
        <v>0</v>
      </c>
      <c r="AS10" s="487">
        <f t="shared" si="0"/>
        <v>0</v>
      </c>
      <c r="AT10" s="93"/>
      <c r="AU10" s="93"/>
    </row>
    <row r="11" spans="1:71" s="229" customFormat="1" ht="15" customHeight="1" thickBot="1">
      <c r="A11" s="590"/>
      <c r="B11" s="575" t="s">
        <v>3064</v>
      </c>
      <c r="C11" s="229" t="s">
        <v>67</v>
      </c>
      <c r="D11" s="576"/>
      <c r="E11" s="691">
        <v>0</v>
      </c>
      <c r="F11" s="85"/>
      <c r="G11" s="406" t="s">
        <v>3054</v>
      </c>
      <c r="H11" s="1262" t="s">
        <v>3055</v>
      </c>
      <c r="I11" s="85">
        <v>0</v>
      </c>
      <c r="J11" s="682">
        <v>1</v>
      </c>
      <c r="K11" s="579" t="str">
        <f t="shared" ref="K11:K30" si="1">IF(I11&gt;0,1.1*Q11*E11/1000,"")</f>
        <v/>
      </c>
      <c r="L11" s="580" t="str">
        <f>IF(H11="Select ingredient:","",IF(G11="","",_xlfn.IFNA(VLOOKUP($H11,Ingredient_prices!$E:$U,16,FALSE),0)))</f>
        <v/>
      </c>
      <c r="M11" s="591"/>
      <c r="N11" s="861">
        <f>$W32</f>
        <v>0</v>
      </c>
      <c r="O11" s="591"/>
      <c r="P11" s="592"/>
      <c r="Q11" s="583">
        <f t="shared" ref="Q11:Q30" si="2">I11/J11</f>
        <v>0</v>
      </c>
      <c r="R11" s="583">
        <f>VLOOKUP($H11,'CO2_emission+%_food_waste'!$A:$K,6,FALSE)*$Q11/100</f>
        <v>0</v>
      </c>
      <c r="S11" s="583">
        <f>Q11-R11</f>
        <v>0</v>
      </c>
      <c r="T11" s="583" t="str">
        <f>IF(H11="Select ingredient:","",IF(G11="Select food category:","",_xlfn.IFNA(VLOOKUP($H11,Ingredient_prices!$E:$U,16,FALSE)*$Q11/1000,"not bought")))</f>
        <v/>
      </c>
      <c r="U11" s="583" t="str">
        <f>IF(G11="Select food category:","",_xlfn.IFNA(VLOOKUP($H11,Ingredient_prices!$E:$U,16,FALSE)*$R11/1000,"not bought"))</f>
        <v/>
      </c>
      <c r="V11" s="549">
        <f>VLOOKUP($H11,'CO2_emission+%_food_waste'!$A:$K,4,FALSE)*$Q11</f>
        <v>0</v>
      </c>
      <c r="W11" s="583">
        <f>VLOOKUP($H11,Nutrition_tables!$A:$N,10,FALSE)*$Q11/100</f>
        <v>0</v>
      </c>
      <c r="X11" s="583">
        <f>VLOOKUP($H11,Nutrition_tables!$A:$N,11,FALSE)*$Q11/100</f>
        <v>0</v>
      </c>
      <c r="Y11" s="583">
        <f>VLOOKUP($H11,Nutrition_tables!$A:$N,12,FALSE)*$Q11/100</f>
        <v>0</v>
      </c>
      <c r="Z11" s="583">
        <f>VLOOKUP($H11,Nutrition_tables!$A:$N,14,FALSE)*$Q11/100</f>
        <v>0</v>
      </c>
      <c r="AA11" s="583">
        <f>VLOOKUP($H11,Nutrition_tables!$A:$AF,13,FALSE)*$Q11/100</f>
        <v>0</v>
      </c>
      <c r="AB11" s="549">
        <f>VLOOKUP($H11,Nutrition_tables!$A:$AF,15,FALSE)*$Q11/100</f>
        <v>0</v>
      </c>
      <c r="AC11" s="583">
        <f>VLOOKUP($H11,Nutrition_tables!$A:$AF,16,FALSE)*$Q11/100</f>
        <v>0</v>
      </c>
      <c r="AD11" s="583">
        <f>VLOOKUP($H11,Nutrition_tables!$A:$AF,17,FALSE)*$Q11/100</f>
        <v>0</v>
      </c>
      <c r="AE11" s="583">
        <f>VLOOKUP($H11,Nutrition_tables!$A:$AF,18,FALSE)*$Q11/100</f>
        <v>0</v>
      </c>
      <c r="AF11" s="583">
        <f>VLOOKUP($H11,Nutrition_tables!$A:$AF,19,FALSE)*$Q11/100</f>
        <v>0</v>
      </c>
      <c r="AG11" s="583">
        <f>VLOOKUP($H11,Nutrition_tables!$A:$AF,20,FALSE)*$Q11/100</f>
        <v>0</v>
      </c>
      <c r="AH11" s="583">
        <f>VLOOKUP($H11,Nutrition_tables!$A:$AF,21,FALSE)*$Q11/100</f>
        <v>0</v>
      </c>
      <c r="AI11" s="583">
        <f>VLOOKUP($H11,Nutrition_tables!$A:$AF,22,FALSE)*$Q11/100</f>
        <v>0</v>
      </c>
      <c r="AJ11" s="549">
        <f>VLOOKUP($H11,Nutrition_tables!$A:$AF,23,FALSE)*$Q11/100</f>
        <v>0</v>
      </c>
      <c r="AK11" s="583">
        <f>VLOOKUP($H11,Nutrition_tables!$A:$AF,24,FALSE)*$Q11/100</f>
        <v>0</v>
      </c>
      <c r="AL11" s="583">
        <f>VLOOKUP($H11,Nutrition_tables!$A:$AF,25,FALSE)*$Q11/100</f>
        <v>0</v>
      </c>
      <c r="AM11" s="583">
        <f>VLOOKUP($H11,Nutrition_tables!$A:$AF,26,FALSE)*$Q11/100</f>
        <v>0</v>
      </c>
      <c r="AN11" s="583">
        <f>VLOOKUP($H11,Nutrition_tables!$A:$AF,27,FALSE)*$Q11/100</f>
        <v>0</v>
      </c>
      <c r="AO11" s="583">
        <f>VLOOKUP($H11,Nutrition_tables!$A:$AF,28,FALSE)*$Q11/100</f>
        <v>0</v>
      </c>
      <c r="AP11" s="583">
        <f>VLOOKUP($H11,Nutrition_tables!$A:$AF,29,FALSE)*$Q11/100</f>
        <v>0</v>
      </c>
      <c r="AQ11" s="583">
        <f>VLOOKUP($H11,Nutrition_tables!$A:$AF,30,FALSE)*$Q11/100</f>
        <v>0</v>
      </c>
      <c r="AR11" s="583">
        <f>VLOOKUP($H11,Nutrition_tables!$A:$AF,31,FALSE)*$Q11/100</f>
        <v>0</v>
      </c>
      <c r="AS11" s="549">
        <f>VLOOKUP($H11,Nutrition_tables!$A:$AF,32,FALSE)*$Q11/100</f>
        <v>0</v>
      </c>
      <c r="AT11" s="583" t="str">
        <f>IF(H11="Select ingredient:","",IF(G11="Select food category:","",IFERROR(VLOOKUP($H11,Ingredient_prices!$E:$W,17,FALSE)*$Q11/1000,"not bought")))</f>
        <v/>
      </c>
      <c r="AU11" s="583" t="str">
        <f>IF(H11="Select ingredient:","",IF(G11="Select food category:","",IFERROR(VLOOKUP($H11,Ingredient_prices!$E:$W,18,FALSE)*$Q11/1000,"not bought")))</f>
        <v/>
      </c>
      <c r="AV11" s="583">
        <f t="shared" ref="AV11:AV30" si="3">W11*($Q11-$R11)/($Q11+0.00001)</f>
        <v>0</v>
      </c>
      <c r="AW11" s="583">
        <f t="shared" ref="AW11:AW30" si="4">X11*($Q11-$R11)/($Q11+0.00001)</f>
        <v>0</v>
      </c>
      <c r="AX11" s="583">
        <f t="shared" ref="AX11:AX30" si="5">Y11*($Q11-$R11)/($Q11+0.00001)</f>
        <v>0</v>
      </c>
      <c r="AY11" s="583">
        <f t="shared" ref="AY11:AY30" si="6">Z11*($Q11-$R11)/($Q11+0.00001)</f>
        <v>0</v>
      </c>
      <c r="AZ11" s="583">
        <f t="shared" ref="AZ11:AZ30" si="7">AA11*($Q11-$R11)/($Q11+0.00001)</f>
        <v>0</v>
      </c>
      <c r="BA11" s="583">
        <f t="shared" ref="BA11:BA30" si="8">AB11*($Q11-$R11)/($Q11+0.00001)</f>
        <v>0</v>
      </c>
      <c r="BB11" s="583">
        <f t="shared" ref="BB11:BB30" si="9">AC11*($Q11-$R11)/($Q11+0.00001)</f>
        <v>0</v>
      </c>
      <c r="BC11" s="583">
        <f t="shared" ref="BC11:BC30" si="10">AD11*($Q11-$R11)/($Q11+0.00001)</f>
        <v>0</v>
      </c>
      <c r="BD11" s="583">
        <f t="shared" ref="BD11:BD30" si="11">AE11*($Q11-$R11)/($Q11+0.00001)</f>
        <v>0</v>
      </c>
      <c r="BE11" s="583">
        <f t="shared" ref="BE11:BE30" si="12">AF11*($Q11-$R11)/($Q11+0.00001)</f>
        <v>0</v>
      </c>
      <c r="BF11" s="583">
        <f t="shared" ref="BF11:BF30" si="13">AG11*($Q11-$R11)/($Q11+0.00001)</f>
        <v>0</v>
      </c>
      <c r="BG11" s="583">
        <f t="shared" ref="BG11:BG30" si="14">AH11*($Q11-$R11)/($Q11+0.00001)</f>
        <v>0</v>
      </c>
      <c r="BH11" s="583">
        <f t="shared" ref="BH11:BH30" si="15">AI11*($Q11-$R11)/($Q11+0.00001)</f>
        <v>0</v>
      </c>
      <c r="BI11" s="583">
        <f t="shared" ref="BI11:BI30" si="16">AJ11*($Q11-$R11)/($Q11+0.00001)</f>
        <v>0</v>
      </c>
      <c r="BJ11" s="583">
        <f t="shared" ref="BJ11:BJ30" si="17">AK11*($Q11-$R11)/($Q11+0.00001)</f>
        <v>0</v>
      </c>
      <c r="BK11" s="583">
        <f t="shared" ref="BK11:BK30" si="18">AL11*($Q11-$R11)/($Q11+0.00001)</f>
        <v>0</v>
      </c>
      <c r="BL11" s="583">
        <f t="shared" ref="BL11:BL30" si="19">AM11*($Q11-$R11)/($Q11+0.00001)</f>
        <v>0</v>
      </c>
      <c r="BM11" s="583">
        <f t="shared" ref="BM11:BM30" si="20">AN11*($Q11-$R11)/($Q11+0.00001)</f>
        <v>0</v>
      </c>
      <c r="BN11" s="583">
        <f t="shared" ref="BN11:BN30" si="21">AO11*($Q11-$R11)/($Q11+0.00001)</f>
        <v>0</v>
      </c>
      <c r="BO11" s="583">
        <f t="shared" ref="BO11:BO30" si="22">AP11*($Q11-$R11)/($Q11+0.00001)</f>
        <v>0</v>
      </c>
      <c r="BP11" s="583">
        <f t="shared" ref="BP11:BP30" si="23">AQ11*($Q11-$R11)/($Q11+0.00001)</f>
        <v>0</v>
      </c>
      <c r="BQ11" s="583">
        <f t="shared" ref="BQ11:BQ30" si="24">AR11*($Q11-$R11)/($Q11+0.00001)</f>
        <v>0</v>
      </c>
      <c r="BR11" s="583">
        <f t="shared" ref="BR11:BR30" si="25">AS11*($Q11-$R11)/($Q11+0.00001)</f>
        <v>0</v>
      </c>
    </row>
    <row r="12" spans="1:71" s="229" customFormat="1" ht="15" customHeight="1">
      <c r="A12" s="590"/>
      <c r="E12" s="576" t="str">
        <f>IF(E$11&gt;0,E$11,"")</f>
        <v/>
      </c>
      <c r="F12" s="85"/>
      <c r="G12" s="406" t="s">
        <v>3054</v>
      </c>
      <c r="H12" s="1262" t="s">
        <v>3055</v>
      </c>
      <c r="I12" s="85">
        <v>0</v>
      </c>
      <c r="J12" s="682">
        <v>1</v>
      </c>
      <c r="K12" s="579" t="str">
        <f t="shared" si="1"/>
        <v/>
      </c>
      <c r="L12" s="580" t="str">
        <f>IF(H12="Select ingredient:","",IF(G12="","",_xlfn.IFNA(VLOOKUP($H12,Ingredient_prices!$E:$U,16,FALSE),0)))</f>
        <v/>
      </c>
      <c r="M12" s="591"/>
      <c r="N12" s="591"/>
      <c r="O12" s="591"/>
      <c r="P12" s="592"/>
      <c r="Q12" s="583">
        <f t="shared" si="2"/>
        <v>0</v>
      </c>
      <c r="R12" s="583">
        <f>VLOOKUP($H12,'CO2_emission+%_food_waste'!$A:$K,6,FALSE)*$Q12/100</f>
        <v>0</v>
      </c>
      <c r="S12" s="583">
        <f t="shared" ref="S12:S30" si="26">Q12-R12</f>
        <v>0</v>
      </c>
      <c r="T12" s="583" t="str">
        <f>IF(H12="Select ingredient:","",IF(G12="Select food category:","",_xlfn.IFNA(VLOOKUP($H12,Ingredient_prices!$E:$U,16,FALSE)*$Q12/1000,"not bought")))</f>
        <v/>
      </c>
      <c r="U12" s="583" t="str">
        <f>IF(G12="Select food category:","",_xlfn.IFNA(VLOOKUP($H12,Ingredient_prices!$E:$U,16,FALSE)*$R12/1000,"not bought"))</f>
        <v/>
      </c>
      <c r="V12" s="549">
        <f>VLOOKUP($H12,'CO2_emission+%_food_waste'!$A:$K,4,FALSE)*$Q12</f>
        <v>0</v>
      </c>
      <c r="W12" s="583">
        <f>VLOOKUP($H12,Nutrition_tables!$A:$N,10,FALSE)*$Q12/100</f>
        <v>0</v>
      </c>
      <c r="X12" s="583">
        <f>VLOOKUP($H12,Nutrition_tables!$A:$N,11,FALSE)*$Q12/100</f>
        <v>0</v>
      </c>
      <c r="Y12" s="583">
        <f>VLOOKUP($H12,Nutrition_tables!$A:$N,12,FALSE)*$Q12/100</f>
        <v>0</v>
      </c>
      <c r="Z12" s="583">
        <f>VLOOKUP($H12,Nutrition_tables!$A:$N,14,FALSE)*$Q12/100</f>
        <v>0</v>
      </c>
      <c r="AA12" s="583">
        <f>VLOOKUP($H12,Nutrition_tables!$A:$AF,13,FALSE)*$Q12/100</f>
        <v>0</v>
      </c>
      <c r="AB12" s="549">
        <f>VLOOKUP($H12,Nutrition_tables!$A:$AF,15,FALSE)*$Q12/100</f>
        <v>0</v>
      </c>
      <c r="AC12" s="583">
        <f>VLOOKUP($H12,Nutrition_tables!$A:$AF,16,FALSE)*$Q12/100</f>
        <v>0</v>
      </c>
      <c r="AD12" s="583">
        <f>VLOOKUP($H12,Nutrition_tables!$A:$AF,17,FALSE)*$Q12/100</f>
        <v>0</v>
      </c>
      <c r="AE12" s="583">
        <f>VLOOKUP($H12,Nutrition_tables!$A:$AF,18,FALSE)*$Q12/100</f>
        <v>0</v>
      </c>
      <c r="AF12" s="583">
        <f>VLOOKUP($H12,Nutrition_tables!$A:$AF,19,FALSE)*$Q12/100</f>
        <v>0</v>
      </c>
      <c r="AG12" s="583">
        <f>VLOOKUP($H12,Nutrition_tables!$A:$AF,20,FALSE)*$Q12/100</f>
        <v>0</v>
      </c>
      <c r="AH12" s="583">
        <f>VLOOKUP($H12,Nutrition_tables!$A:$AF,21,FALSE)*$Q12/100</f>
        <v>0</v>
      </c>
      <c r="AI12" s="583">
        <f>VLOOKUP($H12,Nutrition_tables!$A:$AF,22,FALSE)*$Q12/100</f>
        <v>0</v>
      </c>
      <c r="AJ12" s="549">
        <f>VLOOKUP($H12,Nutrition_tables!$A:$AF,23,FALSE)*$Q12/100</f>
        <v>0</v>
      </c>
      <c r="AK12" s="583">
        <f>VLOOKUP($H12,Nutrition_tables!$A:$AF,24,FALSE)*$Q12/100</f>
        <v>0</v>
      </c>
      <c r="AL12" s="583">
        <f>VLOOKUP($H12,Nutrition_tables!$A:$AF,25,FALSE)*$Q12/100</f>
        <v>0</v>
      </c>
      <c r="AM12" s="583">
        <f>VLOOKUP($H12,Nutrition_tables!$A:$AF,26,FALSE)*$Q12/100</f>
        <v>0</v>
      </c>
      <c r="AN12" s="583">
        <f>VLOOKUP($H12,Nutrition_tables!$A:$AF,27,FALSE)*$Q12/100</f>
        <v>0</v>
      </c>
      <c r="AO12" s="583">
        <f>VLOOKUP($H12,Nutrition_tables!$A:$AF,28,FALSE)*$Q12/100</f>
        <v>0</v>
      </c>
      <c r="AP12" s="583">
        <f>VLOOKUP($H12,Nutrition_tables!$A:$AF,29,FALSE)*$Q12/100</f>
        <v>0</v>
      </c>
      <c r="AQ12" s="583">
        <f>VLOOKUP($H12,Nutrition_tables!$A:$AF,30,FALSE)*$Q12/100</f>
        <v>0</v>
      </c>
      <c r="AR12" s="583">
        <f>VLOOKUP($H12,Nutrition_tables!$A:$AF,31,FALSE)*$Q12/100</f>
        <v>0</v>
      </c>
      <c r="AS12" s="549">
        <f>VLOOKUP($H12,Nutrition_tables!$A:$AF,32,FALSE)*$Q12/100</f>
        <v>0</v>
      </c>
      <c r="AT12" s="583" t="str">
        <f>IF(H12="Select ingredient:","",IF(G12="Select food category:","",IFERROR(VLOOKUP($H12,Ingredient_prices!$E:$W,17,FALSE)*$Q12/1000,"not bought")))</f>
        <v/>
      </c>
      <c r="AU12" s="583" t="str">
        <f>IF(H12="Select ingredient:","",IF(G12="Select food category:","",IFERROR(VLOOKUP($H12,Ingredient_prices!$E:$W,18,FALSE)*$Q12/1000,"not bought")))</f>
        <v/>
      </c>
      <c r="AV12" s="583">
        <f t="shared" si="3"/>
        <v>0</v>
      </c>
      <c r="AW12" s="583">
        <f t="shared" si="4"/>
        <v>0</v>
      </c>
      <c r="AX12" s="583">
        <f t="shared" si="5"/>
        <v>0</v>
      </c>
      <c r="AY12" s="583">
        <f t="shared" si="6"/>
        <v>0</v>
      </c>
      <c r="AZ12" s="583">
        <f t="shared" si="7"/>
        <v>0</v>
      </c>
      <c r="BA12" s="583">
        <f t="shared" si="8"/>
        <v>0</v>
      </c>
      <c r="BB12" s="583">
        <f t="shared" si="9"/>
        <v>0</v>
      </c>
      <c r="BC12" s="583">
        <f t="shared" si="10"/>
        <v>0</v>
      </c>
      <c r="BD12" s="583">
        <f t="shared" si="11"/>
        <v>0</v>
      </c>
      <c r="BE12" s="583">
        <f t="shared" si="12"/>
        <v>0</v>
      </c>
      <c r="BF12" s="583">
        <f t="shared" si="13"/>
        <v>0</v>
      </c>
      <c r="BG12" s="583">
        <f t="shared" si="14"/>
        <v>0</v>
      </c>
      <c r="BH12" s="583">
        <f t="shared" si="15"/>
        <v>0</v>
      </c>
      <c r="BI12" s="583">
        <f t="shared" si="16"/>
        <v>0</v>
      </c>
      <c r="BJ12" s="583">
        <f t="shared" si="17"/>
        <v>0</v>
      </c>
      <c r="BK12" s="583">
        <f t="shared" si="18"/>
        <v>0</v>
      </c>
      <c r="BL12" s="583">
        <f t="shared" si="19"/>
        <v>0</v>
      </c>
      <c r="BM12" s="583">
        <f t="shared" si="20"/>
        <v>0</v>
      </c>
      <c r="BN12" s="583">
        <f t="shared" si="21"/>
        <v>0</v>
      </c>
      <c r="BO12" s="583">
        <f t="shared" si="22"/>
        <v>0</v>
      </c>
      <c r="BP12" s="583">
        <f t="shared" si="23"/>
        <v>0</v>
      </c>
      <c r="BQ12" s="583">
        <f t="shared" si="24"/>
        <v>0</v>
      </c>
      <c r="BR12" s="583">
        <f t="shared" si="25"/>
        <v>0</v>
      </c>
    </row>
    <row r="13" spans="1:71" s="229" customFormat="1" ht="15" customHeight="1">
      <c r="A13" s="590"/>
      <c r="E13" s="576" t="str">
        <f>IF(E$11&gt;0,E$11,"")</f>
        <v/>
      </c>
      <c r="F13" s="85"/>
      <c r="G13" s="406" t="s">
        <v>3054</v>
      </c>
      <c r="H13" s="1262" t="s">
        <v>3055</v>
      </c>
      <c r="I13" s="85">
        <v>0</v>
      </c>
      <c r="J13" s="682">
        <v>1</v>
      </c>
      <c r="K13" s="579" t="str">
        <f t="shared" si="1"/>
        <v/>
      </c>
      <c r="L13" s="580" t="str">
        <f>IF(H13="Select ingredient:","",IF(G13="","",_xlfn.IFNA(VLOOKUP($H13,Ingredient_prices!$E:$U,16,FALSE),0)))</f>
        <v/>
      </c>
      <c r="M13" s="591"/>
      <c r="N13" s="591"/>
      <c r="O13" s="591"/>
      <c r="P13" s="592"/>
      <c r="Q13" s="583">
        <f t="shared" si="2"/>
        <v>0</v>
      </c>
      <c r="R13" s="583">
        <f>VLOOKUP($H13,'CO2_emission+%_food_waste'!$A:$K,6,FALSE)*$Q13/100</f>
        <v>0</v>
      </c>
      <c r="S13" s="583">
        <f t="shared" si="26"/>
        <v>0</v>
      </c>
      <c r="T13" s="583" t="str">
        <f>IF(H13="Select ingredient:","",IF(G13="Select food category:","",_xlfn.IFNA(VLOOKUP($H13,Ingredient_prices!$E:$U,16,FALSE)*$Q13/1000,"not bought")))</f>
        <v/>
      </c>
      <c r="U13" s="583" t="str">
        <f>IF(G13="Select food category:","",_xlfn.IFNA(VLOOKUP($H13,Ingredient_prices!$E:$U,16,FALSE)*$R13/1000,"not bought"))</f>
        <v/>
      </c>
      <c r="V13" s="549">
        <f>VLOOKUP($H13,'CO2_emission+%_food_waste'!$A:$K,4,FALSE)*$Q13</f>
        <v>0</v>
      </c>
      <c r="W13" s="583">
        <f>VLOOKUP($H13,Nutrition_tables!$A:$N,10,FALSE)*$Q13/100</f>
        <v>0</v>
      </c>
      <c r="X13" s="583">
        <f>VLOOKUP($H13,Nutrition_tables!$A:$N,11,FALSE)*$Q13/100</f>
        <v>0</v>
      </c>
      <c r="Y13" s="583">
        <f>VLOOKUP($H13,Nutrition_tables!$A:$N,12,FALSE)*$Q13/100</f>
        <v>0</v>
      </c>
      <c r="Z13" s="583">
        <f>VLOOKUP($H13,Nutrition_tables!$A:$N,14,FALSE)*$Q13/100</f>
        <v>0</v>
      </c>
      <c r="AA13" s="583">
        <f>VLOOKUP($H13,Nutrition_tables!$A:$AF,13,FALSE)*$Q13/100</f>
        <v>0</v>
      </c>
      <c r="AB13" s="549">
        <f>VLOOKUP($H13,Nutrition_tables!$A:$AF,15,FALSE)*$Q13/100</f>
        <v>0</v>
      </c>
      <c r="AC13" s="583">
        <f>VLOOKUP($H13,Nutrition_tables!$A:$AF,16,FALSE)*$Q13/100</f>
        <v>0</v>
      </c>
      <c r="AD13" s="583">
        <f>VLOOKUP($H13,Nutrition_tables!$A:$AF,17,FALSE)*$Q13/100</f>
        <v>0</v>
      </c>
      <c r="AE13" s="583">
        <f>VLOOKUP($H13,Nutrition_tables!$A:$AF,18,FALSE)*$Q13/100</f>
        <v>0</v>
      </c>
      <c r="AF13" s="583">
        <f>VLOOKUP($H13,Nutrition_tables!$A:$AF,19,FALSE)*$Q13/100</f>
        <v>0</v>
      </c>
      <c r="AG13" s="583">
        <f>VLOOKUP($H13,Nutrition_tables!$A:$AF,20,FALSE)*$Q13/100</f>
        <v>0</v>
      </c>
      <c r="AH13" s="583">
        <f>VLOOKUP($H13,Nutrition_tables!$A:$AF,21,FALSE)*$Q13/100</f>
        <v>0</v>
      </c>
      <c r="AI13" s="583">
        <f>VLOOKUP($H13,Nutrition_tables!$A:$AF,22,FALSE)*$Q13/100</f>
        <v>0</v>
      </c>
      <c r="AJ13" s="549">
        <f>VLOOKUP($H13,Nutrition_tables!$A:$AF,23,FALSE)*$Q13/100</f>
        <v>0</v>
      </c>
      <c r="AK13" s="583">
        <f>VLOOKUP($H13,Nutrition_tables!$A:$AF,24,FALSE)*$Q13/100</f>
        <v>0</v>
      </c>
      <c r="AL13" s="583">
        <f>VLOOKUP($H13,Nutrition_tables!$A:$AF,25,FALSE)*$Q13/100</f>
        <v>0</v>
      </c>
      <c r="AM13" s="583">
        <f>VLOOKUP($H13,Nutrition_tables!$A:$AF,26,FALSE)*$Q13/100</f>
        <v>0</v>
      </c>
      <c r="AN13" s="583">
        <f>VLOOKUP($H13,Nutrition_tables!$A:$AF,27,FALSE)*$Q13/100</f>
        <v>0</v>
      </c>
      <c r="AO13" s="583">
        <f>VLOOKUP($H13,Nutrition_tables!$A:$AF,28,FALSE)*$Q13/100</f>
        <v>0</v>
      </c>
      <c r="AP13" s="583">
        <f>VLOOKUP($H13,Nutrition_tables!$A:$AF,29,FALSE)*$Q13/100</f>
        <v>0</v>
      </c>
      <c r="AQ13" s="583">
        <f>VLOOKUP($H13,Nutrition_tables!$A:$AF,30,FALSE)*$Q13/100</f>
        <v>0</v>
      </c>
      <c r="AR13" s="583">
        <f>VLOOKUP($H13,Nutrition_tables!$A:$AF,31,FALSE)*$Q13/100</f>
        <v>0</v>
      </c>
      <c r="AS13" s="549">
        <f>VLOOKUP($H13,Nutrition_tables!$A:$AF,32,FALSE)*$Q13/100</f>
        <v>0</v>
      </c>
      <c r="AT13" s="583" t="str">
        <f>IF(H13="Select ingredient:","",IF(G13="Select food category:","",IFERROR(VLOOKUP($H13,Ingredient_prices!$E:$W,17,FALSE)*$Q13/1000,"not bought")))</f>
        <v/>
      </c>
      <c r="AU13" s="583" t="str">
        <f>IF(H13="Select ingredient:","",IF(G13="Select food category:","",IFERROR(VLOOKUP($H13,Ingredient_prices!$E:$W,18,FALSE)*$Q13/1000,"not bought")))</f>
        <v/>
      </c>
      <c r="AV13" s="583">
        <f t="shared" si="3"/>
        <v>0</v>
      </c>
      <c r="AW13" s="583">
        <f t="shared" si="4"/>
        <v>0</v>
      </c>
      <c r="AX13" s="583">
        <f t="shared" si="5"/>
        <v>0</v>
      </c>
      <c r="AY13" s="583">
        <f t="shared" si="6"/>
        <v>0</v>
      </c>
      <c r="AZ13" s="583">
        <f t="shared" si="7"/>
        <v>0</v>
      </c>
      <c r="BA13" s="583">
        <f t="shared" si="8"/>
        <v>0</v>
      </c>
      <c r="BB13" s="583">
        <f t="shared" si="9"/>
        <v>0</v>
      </c>
      <c r="BC13" s="583">
        <f t="shared" si="10"/>
        <v>0</v>
      </c>
      <c r="BD13" s="583">
        <f t="shared" si="11"/>
        <v>0</v>
      </c>
      <c r="BE13" s="583">
        <f t="shared" si="12"/>
        <v>0</v>
      </c>
      <c r="BF13" s="583">
        <f t="shared" si="13"/>
        <v>0</v>
      </c>
      <c r="BG13" s="583">
        <f t="shared" si="14"/>
        <v>0</v>
      </c>
      <c r="BH13" s="583">
        <f t="shared" si="15"/>
        <v>0</v>
      </c>
      <c r="BI13" s="583">
        <f t="shared" si="16"/>
        <v>0</v>
      </c>
      <c r="BJ13" s="583">
        <f t="shared" si="17"/>
        <v>0</v>
      </c>
      <c r="BK13" s="583">
        <f t="shared" si="18"/>
        <v>0</v>
      </c>
      <c r="BL13" s="583">
        <f t="shared" si="19"/>
        <v>0</v>
      </c>
      <c r="BM13" s="583">
        <f t="shared" si="20"/>
        <v>0</v>
      </c>
      <c r="BN13" s="583">
        <f t="shared" si="21"/>
        <v>0</v>
      </c>
      <c r="BO13" s="583">
        <f t="shared" si="22"/>
        <v>0</v>
      </c>
      <c r="BP13" s="583">
        <f t="shared" si="23"/>
        <v>0</v>
      </c>
      <c r="BQ13" s="583">
        <f t="shared" si="24"/>
        <v>0</v>
      </c>
      <c r="BR13" s="583">
        <f t="shared" si="25"/>
        <v>0</v>
      </c>
    </row>
    <row r="14" spans="1:71" s="229" customFormat="1" ht="15" customHeight="1">
      <c r="A14" s="590"/>
      <c r="E14" s="576" t="str">
        <f t="shared" ref="E14:E29" si="27">IF(E$11&gt;0,E$11,"")</f>
        <v/>
      </c>
      <c r="F14" s="406"/>
      <c r="G14" s="406" t="s">
        <v>3054</v>
      </c>
      <c r="H14" s="1262" t="s">
        <v>3055</v>
      </c>
      <c r="I14" s="85">
        <v>0</v>
      </c>
      <c r="J14" s="682">
        <v>1</v>
      </c>
      <c r="K14" s="579" t="str">
        <f t="shared" si="1"/>
        <v/>
      </c>
      <c r="L14" s="580" t="str">
        <f>IF(H14="Select ingredient:","",IF(G14="","",_xlfn.IFNA(VLOOKUP($H14,Ingredient_prices!$E:$U,16,FALSE),0)))</f>
        <v/>
      </c>
      <c r="M14" s="591"/>
      <c r="N14" s="591"/>
      <c r="O14" s="591"/>
      <c r="P14" s="592"/>
      <c r="Q14" s="583">
        <f t="shared" si="2"/>
        <v>0</v>
      </c>
      <c r="R14" s="583">
        <f>VLOOKUP($H14,'CO2_emission+%_food_waste'!$A:$K,6,FALSE)*$Q14/100</f>
        <v>0</v>
      </c>
      <c r="S14" s="583">
        <f t="shared" si="26"/>
        <v>0</v>
      </c>
      <c r="T14" s="583" t="str">
        <f>IF(H14="Select ingredient:","",IF(G14="Select food category:","",_xlfn.IFNA(VLOOKUP($H14,Ingredient_prices!$E:$U,16,FALSE)*$Q14/1000,"not bought")))</f>
        <v/>
      </c>
      <c r="U14" s="583" t="str">
        <f>IF(G14="Select food category:","",_xlfn.IFNA(VLOOKUP($H14,Ingredient_prices!$E:$U,16,FALSE)*$R14/1000,"not bought"))</f>
        <v/>
      </c>
      <c r="V14" s="549">
        <f>VLOOKUP($H14,'CO2_emission+%_food_waste'!$A:$K,4,FALSE)*$Q14</f>
        <v>0</v>
      </c>
      <c r="W14" s="583">
        <f>VLOOKUP($H14,Nutrition_tables!$A:$N,10,FALSE)*$Q14/100</f>
        <v>0</v>
      </c>
      <c r="X14" s="583">
        <f>VLOOKUP($H14,Nutrition_tables!$A:$N,11,FALSE)*$Q14/100</f>
        <v>0</v>
      </c>
      <c r="Y14" s="583">
        <f>VLOOKUP($H14,Nutrition_tables!$A:$N,12,FALSE)*$Q14/100</f>
        <v>0</v>
      </c>
      <c r="Z14" s="583">
        <f>VLOOKUP($H14,Nutrition_tables!$A:$N,14,FALSE)*$Q14/100</f>
        <v>0</v>
      </c>
      <c r="AA14" s="583">
        <f>VLOOKUP($H14,Nutrition_tables!$A:$AF,13,FALSE)*$Q14/100</f>
        <v>0</v>
      </c>
      <c r="AB14" s="549">
        <f>VLOOKUP($H14,Nutrition_tables!$A:$AF,15,FALSE)*$Q14/100</f>
        <v>0</v>
      </c>
      <c r="AC14" s="583">
        <f>VLOOKUP($H14,Nutrition_tables!$A:$AF,16,FALSE)*$Q14/100</f>
        <v>0</v>
      </c>
      <c r="AD14" s="583">
        <f>VLOOKUP($H14,Nutrition_tables!$A:$AF,17,FALSE)*$Q14/100</f>
        <v>0</v>
      </c>
      <c r="AE14" s="583">
        <f>VLOOKUP($H14,Nutrition_tables!$A:$AF,18,FALSE)*$Q14/100</f>
        <v>0</v>
      </c>
      <c r="AF14" s="583">
        <f>VLOOKUP($H14,Nutrition_tables!$A:$AF,19,FALSE)*$Q14/100</f>
        <v>0</v>
      </c>
      <c r="AG14" s="583">
        <f>VLOOKUP($H14,Nutrition_tables!$A:$AF,20,FALSE)*$Q14/100</f>
        <v>0</v>
      </c>
      <c r="AH14" s="583">
        <f>VLOOKUP($H14,Nutrition_tables!$A:$AF,21,FALSE)*$Q14/100</f>
        <v>0</v>
      </c>
      <c r="AI14" s="583">
        <f>VLOOKUP($H14,Nutrition_tables!$A:$AF,22,FALSE)*$Q14/100</f>
        <v>0</v>
      </c>
      <c r="AJ14" s="549">
        <f>VLOOKUP($H14,Nutrition_tables!$A:$AF,23,FALSE)*$Q14/100</f>
        <v>0</v>
      </c>
      <c r="AK14" s="583">
        <f>VLOOKUP($H14,Nutrition_tables!$A:$AF,24,FALSE)*$Q14/100</f>
        <v>0</v>
      </c>
      <c r="AL14" s="583">
        <f>VLOOKUP($H14,Nutrition_tables!$A:$AF,25,FALSE)*$Q14/100</f>
        <v>0</v>
      </c>
      <c r="AM14" s="583">
        <f>VLOOKUP($H14,Nutrition_tables!$A:$AF,26,FALSE)*$Q14/100</f>
        <v>0</v>
      </c>
      <c r="AN14" s="583">
        <f>VLOOKUP($H14,Nutrition_tables!$A:$AF,27,FALSE)*$Q14/100</f>
        <v>0</v>
      </c>
      <c r="AO14" s="583">
        <f>VLOOKUP($H14,Nutrition_tables!$A:$AF,28,FALSE)*$Q14/100</f>
        <v>0</v>
      </c>
      <c r="AP14" s="583">
        <f>VLOOKUP($H14,Nutrition_tables!$A:$AF,29,FALSE)*$Q14/100</f>
        <v>0</v>
      </c>
      <c r="AQ14" s="583">
        <f>VLOOKUP($H14,Nutrition_tables!$A:$AF,30,FALSE)*$Q14/100</f>
        <v>0</v>
      </c>
      <c r="AR14" s="583">
        <f>VLOOKUP($H14,Nutrition_tables!$A:$AF,31,FALSE)*$Q14/100</f>
        <v>0</v>
      </c>
      <c r="AS14" s="549">
        <f>VLOOKUP($H14,Nutrition_tables!$A:$AF,32,FALSE)*$Q14/100</f>
        <v>0</v>
      </c>
      <c r="AT14" s="583" t="str">
        <f>IF(H14="Select ingredient:","",IF(G14="Select food category:","",IFERROR(VLOOKUP($H14,Ingredient_prices!$E:$W,17,FALSE)*$Q14/1000,"not bought")))</f>
        <v/>
      </c>
      <c r="AU14" s="583" t="str">
        <f>IF(H14="Select ingredient:","",IF(G14="Select food category:","",IFERROR(VLOOKUP($H14,Ingredient_prices!$E:$W,18,FALSE)*$Q14/1000,"not bought")))</f>
        <v/>
      </c>
      <c r="AV14" s="583">
        <f t="shared" si="3"/>
        <v>0</v>
      </c>
      <c r="AW14" s="583">
        <f t="shared" si="4"/>
        <v>0</v>
      </c>
      <c r="AX14" s="583">
        <f t="shared" si="5"/>
        <v>0</v>
      </c>
      <c r="AY14" s="583">
        <f t="shared" si="6"/>
        <v>0</v>
      </c>
      <c r="AZ14" s="583">
        <f t="shared" si="7"/>
        <v>0</v>
      </c>
      <c r="BA14" s="583">
        <f t="shared" si="8"/>
        <v>0</v>
      </c>
      <c r="BB14" s="583">
        <f t="shared" si="9"/>
        <v>0</v>
      </c>
      <c r="BC14" s="583">
        <f t="shared" si="10"/>
        <v>0</v>
      </c>
      <c r="BD14" s="583">
        <f t="shared" si="11"/>
        <v>0</v>
      </c>
      <c r="BE14" s="583">
        <f t="shared" si="12"/>
        <v>0</v>
      </c>
      <c r="BF14" s="583">
        <f t="shared" si="13"/>
        <v>0</v>
      </c>
      <c r="BG14" s="583">
        <f t="shared" si="14"/>
        <v>0</v>
      </c>
      <c r="BH14" s="583">
        <f t="shared" si="15"/>
        <v>0</v>
      </c>
      <c r="BI14" s="583">
        <f t="shared" si="16"/>
        <v>0</v>
      </c>
      <c r="BJ14" s="583">
        <f t="shared" si="17"/>
        <v>0</v>
      </c>
      <c r="BK14" s="583">
        <f t="shared" si="18"/>
        <v>0</v>
      </c>
      <c r="BL14" s="583">
        <f t="shared" si="19"/>
        <v>0</v>
      </c>
      <c r="BM14" s="583">
        <f t="shared" si="20"/>
        <v>0</v>
      </c>
      <c r="BN14" s="583">
        <f t="shared" si="21"/>
        <v>0</v>
      </c>
      <c r="BO14" s="583">
        <f t="shared" si="22"/>
        <v>0</v>
      </c>
      <c r="BP14" s="583">
        <f t="shared" si="23"/>
        <v>0</v>
      </c>
      <c r="BQ14" s="583">
        <f t="shared" si="24"/>
        <v>0</v>
      </c>
      <c r="BR14" s="583">
        <f t="shared" si="25"/>
        <v>0</v>
      </c>
    </row>
    <row r="15" spans="1:71" s="229" customFormat="1" ht="15" customHeight="1">
      <c r="A15" s="590"/>
      <c r="E15" s="576" t="str">
        <f t="shared" si="27"/>
        <v/>
      </c>
      <c r="F15" s="85"/>
      <c r="G15" s="406" t="s">
        <v>3054</v>
      </c>
      <c r="H15" s="1262" t="s">
        <v>3055</v>
      </c>
      <c r="I15" s="85">
        <v>0</v>
      </c>
      <c r="J15" s="682">
        <v>1</v>
      </c>
      <c r="K15" s="579" t="str">
        <f t="shared" si="1"/>
        <v/>
      </c>
      <c r="L15" s="580" t="str">
        <f>IF(H15="Select ingredient:","",IF(G15="","",_xlfn.IFNA(VLOOKUP($H15,Ingredient_prices!$E:$U,16,FALSE),0)))</f>
        <v/>
      </c>
      <c r="M15" s="591"/>
      <c r="N15" s="591"/>
      <c r="O15" s="591"/>
      <c r="P15" s="592"/>
      <c r="Q15" s="583">
        <f t="shared" si="2"/>
        <v>0</v>
      </c>
      <c r="R15" s="583">
        <f>VLOOKUP($H15,'CO2_emission+%_food_waste'!$A:$K,6,FALSE)*$Q15/100</f>
        <v>0</v>
      </c>
      <c r="S15" s="583">
        <f t="shared" si="26"/>
        <v>0</v>
      </c>
      <c r="T15" s="583" t="str">
        <f>IF(H15="Select ingredient:","",IF(G15="Select food category:","",_xlfn.IFNA(VLOOKUP($H15,Ingredient_prices!$E:$U,16,FALSE)*$Q15/1000,"not bought")))</f>
        <v/>
      </c>
      <c r="U15" s="583" t="str">
        <f>IF(G15="Select food category:","",_xlfn.IFNA(VLOOKUP($H15,Ingredient_prices!$E:$U,16,FALSE)*$R15/1000,"not bought"))</f>
        <v/>
      </c>
      <c r="V15" s="549">
        <f>VLOOKUP($H15,'CO2_emission+%_food_waste'!$A:$K,4,FALSE)*$Q15</f>
        <v>0</v>
      </c>
      <c r="W15" s="583">
        <f>VLOOKUP($H15,Nutrition_tables!$A:$N,10,FALSE)*$Q15/100</f>
        <v>0</v>
      </c>
      <c r="X15" s="583">
        <f>VLOOKUP($H15,Nutrition_tables!$A:$N,11,FALSE)*$Q15/100</f>
        <v>0</v>
      </c>
      <c r="Y15" s="583">
        <f>VLOOKUP($H15,Nutrition_tables!$A:$N,12,FALSE)*$Q15/100</f>
        <v>0</v>
      </c>
      <c r="Z15" s="583">
        <f>VLOOKUP($H15,Nutrition_tables!$A:$N,14,FALSE)*$Q15/100</f>
        <v>0</v>
      </c>
      <c r="AA15" s="583">
        <f>VLOOKUP($H15,Nutrition_tables!$A:$AF,13,FALSE)*$Q15/100</f>
        <v>0</v>
      </c>
      <c r="AB15" s="549">
        <f>VLOOKUP($H15,Nutrition_tables!$A:$AF,15,FALSE)*$Q15/100</f>
        <v>0</v>
      </c>
      <c r="AC15" s="583">
        <f>VLOOKUP($H15,Nutrition_tables!$A:$AF,16,FALSE)*$Q15/100</f>
        <v>0</v>
      </c>
      <c r="AD15" s="583">
        <f>VLOOKUP($H15,Nutrition_tables!$A:$AF,17,FALSE)*$Q15/100</f>
        <v>0</v>
      </c>
      <c r="AE15" s="583">
        <f>VLOOKUP($H15,Nutrition_tables!$A:$AF,18,FALSE)*$Q15/100</f>
        <v>0</v>
      </c>
      <c r="AF15" s="583">
        <f>VLOOKUP($H15,Nutrition_tables!$A:$AF,19,FALSE)*$Q15/100</f>
        <v>0</v>
      </c>
      <c r="AG15" s="583">
        <f>VLOOKUP($H15,Nutrition_tables!$A:$AF,20,FALSE)*$Q15/100</f>
        <v>0</v>
      </c>
      <c r="AH15" s="583">
        <f>VLOOKUP($H15,Nutrition_tables!$A:$AF,21,FALSE)*$Q15/100</f>
        <v>0</v>
      </c>
      <c r="AI15" s="583">
        <f>VLOOKUP($H15,Nutrition_tables!$A:$AF,22,FALSE)*$Q15/100</f>
        <v>0</v>
      </c>
      <c r="AJ15" s="549">
        <f>VLOOKUP($H15,Nutrition_tables!$A:$AF,23,FALSE)*$Q15/100</f>
        <v>0</v>
      </c>
      <c r="AK15" s="583">
        <f>VLOOKUP($H15,Nutrition_tables!$A:$AF,24,FALSE)*$Q15/100</f>
        <v>0</v>
      </c>
      <c r="AL15" s="583">
        <f>VLOOKUP($H15,Nutrition_tables!$A:$AF,25,FALSE)*$Q15/100</f>
        <v>0</v>
      </c>
      <c r="AM15" s="583">
        <f>VLOOKUP($H15,Nutrition_tables!$A:$AF,26,FALSE)*$Q15/100</f>
        <v>0</v>
      </c>
      <c r="AN15" s="583">
        <f>VLOOKUP($H15,Nutrition_tables!$A:$AF,27,FALSE)*$Q15/100</f>
        <v>0</v>
      </c>
      <c r="AO15" s="583">
        <f>VLOOKUP($H15,Nutrition_tables!$A:$AF,28,FALSE)*$Q15/100</f>
        <v>0</v>
      </c>
      <c r="AP15" s="583">
        <f>VLOOKUP($H15,Nutrition_tables!$A:$AF,29,FALSE)*$Q15/100</f>
        <v>0</v>
      </c>
      <c r="AQ15" s="583">
        <f>VLOOKUP($H15,Nutrition_tables!$A:$AF,30,FALSE)*$Q15/100</f>
        <v>0</v>
      </c>
      <c r="AR15" s="583">
        <f>VLOOKUP($H15,Nutrition_tables!$A:$AF,31,FALSE)*$Q15/100</f>
        <v>0</v>
      </c>
      <c r="AS15" s="549">
        <f>VLOOKUP($H15,Nutrition_tables!$A:$AF,32,FALSE)*$Q15/100</f>
        <v>0</v>
      </c>
      <c r="AT15" s="583" t="str">
        <f>IF(H15="Select ingredient:","",IF(G15="Select food category:","",IFERROR(VLOOKUP($H15,Ingredient_prices!$E:$W,17,FALSE)*$Q15/1000,"not bought")))</f>
        <v/>
      </c>
      <c r="AU15" s="583" t="str">
        <f>IF(H15="Select ingredient:","",IF(G15="Select food category:","",IFERROR(VLOOKUP($H15,Ingredient_prices!$E:$W,18,FALSE)*$Q15/1000,"not bought")))</f>
        <v/>
      </c>
      <c r="AV15" s="583">
        <f t="shared" si="3"/>
        <v>0</v>
      </c>
      <c r="AW15" s="583">
        <f t="shared" si="4"/>
        <v>0</v>
      </c>
      <c r="AX15" s="583">
        <f t="shared" si="5"/>
        <v>0</v>
      </c>
      <c r="AY15" s="583">
        <f t="shared" si="6"/>
        <v>0</v>
      </c>
      <c r="AZ15" s="583">
        <f t="shared" si="7"/>
        <v>0</v>
      </c>
      <c r="BA15" s="583">
        <f t="shared" si="8"/>
        <v>0</v>
      </c>
      <c r="BB15" s="583">
        <f t="shared" si="9"/>
        <v>0</v>
      </c>
      <c r="BC15" s="583">
        <f t="shared" si="10"/>
        <v>0</v>
      </c>
      <c r="BD15" s="583">
        <f t="shared" si="11"/>
        <v>0</v>
      </c>
      <c r="BE15" s="583">
        <f t="shared" si="12"/>
        <v>0</v>
      </c>
      <c r="BF15" s="583">
        <f t="shared" si="13"/>
        <v>0</v>
      </c>
      <c r="BG15" s="583">
        <f t="shared" si="14"/>
        <v>0</v>
      </c>
      <c r="BH15" s="583">
        <f t="shared" si="15"/>
        <v>0</v>
      </c>
      <c r="BI15" s="583">
        <f t="shared" si="16"/>
        <v>0</v>
      </c>
      <c r="BJ15" s="583">
        <f t="shared" si="17"/>
        <v>0</v>
      </c>
      <c r="BK15" s="583">
        <f t="shared" si="18"/>
        <v>0</v>
      </c>
      <c r="BL15" s="583">
        <f t="shared" si="19"/>
        <v>0</v>
      </c>
      <c r="BM15" s="583">
        <f t="shared" si="20"/>
        <v>0</v>
      </c>
      <c r="BN15" s="583">
        <f t="shared" si="21"/>
        <v>0</v>
      </c>
      <c r="BO15" s="583">
        <f t="shared" si="22"/>
        <v>0</v>
      </c>
      <c r="BP15" s="583">
        <f t="shared" si="23"/>
        <v>0</v>
      </c>
      <c r="BQ15" s="583">
        <f t="shared" si="24"/>
        <v>0</v>
      </c>
      <c r="BR15" s="583">
        <f t="shared" si="25"/>
        <v>0</v>
      </c>
    </row>
    <row r="16" spans="1:71" s="229" customFormat="1" ht="15" customHeight="1">
      <c r="A16" s="590"/>
      <c r="E16" s="576" t="str">
        <f t="shared" si="27"/>
        <v/>
      </c>
      <c r="F16" s="85"/>
      <c r="G16" s="406" t="s">
        <v>3054</v>
      </c>
      <c r="H16" s="1262" t="s">
        <v>3055</v>
      </c>
      <c r="I16" s="85">
        <v>0</v>
      </c>
      <c r="J16" s="682">
        <v>1</v>
      </c>
      <c r="K16" s="579" t="str">
        <f t="shared" si="1"/>
        <v/>
      </c>
      <c r="L16" s="580" t="str">
        <f>IF(H16="Select ingredient:","",IF(G16="","",_xlfn.IFNA(VLOOKUP($H16,Ingredient_prices!$E:$U,16,FALSE),0)))</f>
        <v/>
      </c>
      <c r="M16" s="591"/>
      <c r="N16" s="591"/>
      <c r="O16" s="591"/>
      <c r="P16" s="592"/>
      <c r="Q16" s="583">
        <f t="shared" si="2"/>
        <v>0</v>
      </c>
      <c r="R16" s="583">
        <f>VLOOKUP($H16,'CO2_emission+%_food_waste'!$A:$K,6,FALSE)*$Q16/100</f>
        <v>0</v>
      </c>
      <c r="S16" s="583">
        <f t="shared" si="26"/>
        <v>0</v>
      </c>
      <c r="T16" s="583" t="str">
        <f>IF(H16="Select ingredient:","",IF(G16="Select food category:","",_xlfn.IFNA(VLOOKUP($H16,Ingredient_prices!$E:$U,16,FALSE)*$Q16/1000,"not bought")))</f>
        <v/>
      </c>
      <c r="U16" s="583" t="str">
        <f>IF(G16="Select food category:","",_xlfn.IFNA(VLOOKUP($H16,Ingredient_prices!$E:$U,16,FALSE)*$R16/1000,"not bought"))</f>
        <v/>
      </c>
      <c r="V16" s="549">
        <f>VLOOKUP($H16,'CO2_emission+%_food_waste'!$A:$K,4,FALSE)*$Q16</f>
        <v>0</v>
      </c>
      <c r="W16" s="583">
        <f>VLOOKUP($H16,Nutrition_tables!$A:$N,10,FALSE)*$Q16/100</f>
        <v>0</v>
      </c>
      <c r="X16" s="583">
        <f>VLOOKUP($H16,Nutrition_tables!$A:$N,11,FALSE)*$Q16/100</f>
        <v>0</v>
      </c>
      <c r="Y16" s="583">
        <f>VLOOKUP($H16,Nutrition_tables!$A:$N,12,FALSE)*$Q16/100</f>
        <v>0</v>
      </c>
      <c r="Z16" s="583">
        <f>VLOOKUP($H16,Nutrition_tables!$A:$N,14,FALSE)*$Q16/100</f>
        <v>0</v>
      </c>
      <c r="AA16" s="583">
        <f>VLOOKUP($H16,Nutrition_tables!$A:$AF,13,FALSE)*$Q16/100</f>
        <v>0</v>
      </c>
      <c r="AB16" s="549">
        <f>VLOOKUP($H16,Nutrition_tables!$A:$AF,15,FALSE)*$Q16/100</f>
        <v>0</v>
      </c>
      <c r="AC16" s="583">
        <f>VLOOKUP($H16,Nutrition_tables!$A:$AF,16,FALSE)*$Q16/100</f>
        <v>0</v>
      </c>
      <c r="AD16" s="583">
        <f>VLOOKUP($H16,Nutrition_tables!$A:$AF,17,FALSE)*$Q16/100</f>
        <v>0</v>
      </c>
      <c r="AE16" s="583">
        <f>VLOOKUP($H16,Nutrition_tables!$A:$AF,18,FALSE)*$Q16/100</f>
        <v>0</v>
      </c>
      <c r="AF16" s="583">
        <f>VLOOKUP($H16,Nutrition_tables!$A:$AF,19,FALSE)*$Q16/100</f>
        <v>0</v>
      </c>
      <c r="AG16" s="583">
        <f>VLOOKUP($H16,Nutrition_tables!$A:$AF,20,FALSE)*$Q16/100</f>
        <v>0</v>
      </c>
      <c r="AH16" s="583">
        <f>VLOOKUP($H16,Nutrition_tables!$A:$AF,21,FALSE)*$Q16/100</f>
        <v>0</v>
      </c>
      <c r="AI16" s="583">
        <f>VLOOKUP($H16,Nutrition_tables!$A:$AF,22,FALSE)*$Q16/100</f>
        <v>0</v>
      </c>
      <c r="AJ16" s="549">
        <f>VLOOKUP($H16,Nutrition_tables!$A:$AF,23,FALSE)*$Q16/100</f>
        <v>0</v>
      </c>
      <c r="AK16" s="583">
        <f>VLOOKUP($H16,Nutrition_tables!$A:$AF,24,FALSE)*$Q16/100</f>
        <v>0</v>
      </c>
      <c r="AL16" s="583">
        <f>VLOOKUP($H16,Nutrition_tables!$A:$AF,25,FALSE)*$Q16/100</f>
        <v>0</v>
      </c>
      <c r="AM16" s="583">
        <f>VLOOKUP($H16,Nutrition_tables!$A:$AF,26,FALSE)*$Q16/100</f>
        <v>0</v>
      </c>
      <c r="AN16" s="583">
        <f>VLOOKUP($H16,Nutrition_tables!$A:$AF,27,FALSE)*$Q16/100</f>
        <v>0</v>
      </c>
      <c r="AO16" s="583">
        <f>VLOOKUP($H16,Nutrition_tables!$A:$AF,28,FALSE)*$Q16/100</f>
        <v>0</v>
      </c>
      <c r="AP16" s="583">
        <f>VLOOKUP($H16,Nutrition_tables!$A:$AF,29,FALSE)*$Q16/100</f>
        <v>0</v>
      </c>
      <c r="AQ16" s="583">
        <f>VLOOKUP($H16,Nutrition_tables!$A:$AF,30,FALSE)*$Q16/100</f>
        <v>0</v>
      </c>
      <c r="AR16" s="583">
        <f>VLOOKUP($H16,Nutrition_tables!$A:$AF,31,FALSE)*$Q16/100</f>
        <v>0</v>
      </c>
      <c r="AS16" s="549">
        <f>VLOOKUP($H16,Nutrition_tables!$A:$AF,32,FALSE)*$Q16/100</f>
        <v>0</v>
      </c>
      <c r="AT16" s="583" t="str">
        <f>IF(H16="Select ingredient:","",IF(G16="Select food category:","",IFERROR(VLOOKUP($H16,Ingredient_prices!$E:$W,17,FALSE)*$Q16/1000,"not bought")))</f>
        <v/>
      </c>
      <c r="AU16" s="583" t="str">
        <f>IF(H16="Select ingredient:","",IF(G16="Select food category:","",IFERROR(VLOOKUP($H16,Ingredient_prices!$E:$W,18,FALSE)*$Q16/1000,"not bought")))</f>
        <v/>
      </c>
      <c r="AV16" s="583">
        <f t="shared" si="3"/>
        <v>0</v>
      </c>
      <c r="AW16" s="583">
        <f t="shared" si="4"/>
        <v>0</v>
      </c>
      <c r="AX16" s="583">
        <f t="shared" si="5"/>
        <v>0</v>
      </c>
      <c r="AY16" s="583">
        <f t="shared" si="6"/>
        <v>0</v>
      </c>
      <c r="AZ16" s="583">
        <f t="shared" si="7"/>
        <v>0</v>
      </c>
      <c r="BA16" s="583">
        <f t="shared" si="8"/>
        <v>0</v>
      </c>
      <c r="BB16" s="583">
        <f t="shared" si="9"/>
        <v>0</v>
      </c>
      <c r="BC16" s="583">
        <f t="shared" si="10"/>
        <v>0</v>
      </c>
      <c r="BD16" s="583">
        <f t="shared" si="11"/>
        <v>0</v>
      </c>
      <c r="BE16" s="583">
        <f t="shared" si="12"/>
        <v>0</v>
      </c>
      <c r="BF16" s="583">
        <f t="shared" si="13"/>
        <v>0</v>
      </c>
      <c r="BG16" s="583">
        <f t="shared" si="14"/>
        <v>0</v>
      </c>
      <c r="BH16" s="583">
        <f t="shared" si="15"/>
        <v>0</v>
      </c>
      <c r="BI16" s="583">
        <f t="shared" si="16"/>
        <v>0</v>
      </c>
      <c r="BJ16" s="583">
        <f t="shared" si="17"/>
        <v>0</v>
      </c>
      <c r="BK16" s="583">
        <f t="shared" si="18"/>
        <v>0</v>
      </c>
      <c r="BL16" s="583">
        <f t="shared" si="19"/>
        <v>0</v>
      </c>
      <c r="BM16" s="583">
        <f t="shared" si="20"/>
        <v>0</v>
      </c>
      <c r="BN16" s="583">
        <f t="shared" si="21"/>
        <v>0</v>
      </c>
      <c r="BO16" s="583">
        <f t="shared" si="22"/>
        <v>0</v>
      </c>
      <c r="BP16" s="583">
        <f t="shared" si="23"/>
        <v>0</v>
      </c>
      <c r="BQ16" s="583">
        <f t="shared" si="24"/>
        <v>0</v>
      </c>
      <c r="BR16" s="583">
        <f t="shared" si="25"/>
        <v>0</v>
      </c>
    </row>
    <row r="17" spans="1:70" s="229" customFormat="1" ht="15" customHeight="1">
      <c r="A17" s="590"/>
      <c r="E17" s="576" t="str">
        <f t="shared" si="27"/>
        <v/>
      </c>
      <c r="F17" s="85"/>
      <c r="G17" s="406" t="s">
        <v>3054</v>
      </c>
      <c r="H17" s="1262" t="s">
        <v>3055</v>
      </c>
      <c r="I17" s="85">
        <v>0</v>
      </c>
      <c r="J17" s="682">
        <v>1</v>
      </c>
      <c r="K17" s="579" t="str">
        <f t="shared" si="1"/>
        <v/>
      </c>
      <c r="L17" s="580" t="str">
        <f>IF(H17="Select ingredient:","",IF(G17="","",_xlfn.IFNA(VLOOKUP($H17,Ingredient_prices!$E:$U,16,FALSE),0)))</f>
        <v/>
      </c>
      <c r="M17" s="591"/>
      <c r="N17" s="591"/>
      <c r="O17" s="591"/>
      <c r="P17" s="592"/>
      <c r="Q17" s="583">
        <f t="shared" si="2"/>
        <v>0</v>
      </c>
      <c r="R17" s="583">
        <f>VLOOKUP($H17,'CO2_emission+%_food_waste'!$A:$K,6,FALSE)*$Q17/100</f>
        <v>0</v>
      </c>
      <c r="S17" s="583">
        <f t="shared" si="26"/>
        <v>0</v>
      </c>
      <c r="T17" s="583" t="str">
        <f>IF(H17="Select ingredient:","",IF(G17="Select food category:","",_xlfn.IFNA(VLOOKUP($H17,Ingredient_prices!$E:$U,16,FALSE)*$Q17/1000,"not bought")))</f>
        <v/>
      </c>
      <c r="U17" s="583" t="str">
        <f>IF(G17="Select food category:","",_xlfn.IFNA(VLOOKUP($H17,Ingredient_prices!$E:$U,16,FALSE)*$R17/1000,"not bought"))</f>
        <v/>
      </c>
      <c r="V17" s="549">
        <f>VLOOKUP($H17,'CO2_emission+%_food_waste'!$A:$K,4,FALSE)*$Q17</f>
        <v>0</v>
      </c>
      <c r="W17" s="583">
        <f>VLOOKUP($H17,Nutrition_tables!$A:$N,10,FALSE)*$Q17/100</f>
        <v>0</v>
      </c>
      <c r="X17" s="583">
        <f>VLOOKUP($H17,Nutrition_tables!$A:$N,11,FALSE)*$Q17/100</f>
        <v>0</v>
      </c>
      <c r="Y17" s="583">
        <f>VLOOKUP($H17,Nutrition_tables!$A:$N,12,FALSE)*$Q17/100</f>
        <v>0</v>
      </c>
      <c r="Z17" s="583">
        <f>VLOOKUP($H17,Nutrition_tables!$A:$N,14,FALSE)*$Q17/100</f>
        <v>0</v>
      </c>
      <c r="AA17" s="583">
        <f>VLOOKUP($H17,Nutrition_tables!$A:$AF,13,FALSE)*$Q17/100</f>
        <v>0</v>
      </c>
      <c r="AB17" s="549">
        <f>VLOOKUP($H17,Nutrition_tables!$A:$AF,15,FALSE)*$Q17/100</f>
        <v>0</v>
      </c>
      <c r="AC17" s="583">
        <f>VLOOKUP($H17,Nutrition_tables!$A:$AF,16,FALSE)*$Q17/100</f>
        <v>0</v>
      </c>
      <c r="AD17" s="583">
        <f>VLOOKUP($H17,Nutrition_tables!$A:$AF,17,FALSE)*$Q17/100</f>
        <v>0</v>
      </c>
      <c r="AE17" s="583">
        <f>VLOOKUP($H17,Nutrition_tables!$A:$AF,18,FALSE)*$Q17/100</f>
        <v>0</v>
      </c>
      <c r="AF17" s="583">
        <f>VLOOKUP($H17,Nutrition_tables!$A:$AF,19,FALSE)*$Q17/100</f>
        <v>0</v>
      </c>
      <c r="AG17" s="583">
        <f>VLOOKUP($H17,Nutrition_tables!$A:$AF,20,FALSE)*$Q17/100</f>
        <v>0</v>
      </c>
      <c r="AH17" s="583">
        <f>VLOOKUP($H17,Nutrition_tables!$A:$AF,21,FALSE)*$Q17/100</f>
        <v>0</v>
      </c>
      <c r="AI17" s="583">
        <f>VLOOKUP($H17,Nutrition_tables!$A:$AF,22,FALSE)*$Q17/100</f>
        <v>0</v>
      </c>
      <c r="AJ17" s="549">
        <f>VLOOKUP($H17,Nutrition_tables!$A:$AF,23,FALSE)*$Q17/100</f>
        <v>0</v>
      </c>
      <c r="AK17" s="583">
        <f>VLOOKUP($H17,Nutrition_tables!$A:$AF,24,FALSE)*$Q17/100</f>
        <v>0</v>
      </c>
      <c r="AL17" s="583">
        <f>VLOOKUP($H17,Nutrition_tables!$A:$AF,25,FALSE)*$Q17/100</f>
        <v>0</v>
      </c>
      <c r="AM17" s="583">
        <f>VLOOKUP($H17,Nutrition_tables!$A:$AF,26,FALSE)*$Q17/100</f>
        <v>0</v>
      </c>
      <c r="AN17" s="583">
        <f>VLOOKUP($H17,Nutrition_tables!$A:$AF,27,FALSE)*$Q17/100</f>
        <v>0</v>
      </c>
      <c r="AO17" s="583">
        <f>VLOOKUP($H17,Nutrition_tables!$A:$AF,28,FALSE)*$Q17/100</f>
        <v>0</v>
      </c>
      <c r="AP17" s="583">
        <f>VLOOKUP($H17,Nutrition_tables!$A:$AF,29,FALSE)*$Q17/100</f>
        <v>0</v>
      </c>
      <c r="AQ17" s="583">
        <f>VLOOKUP($H17,Nutrition_tables!$A:$AF,30,FALSE)*$Q17/100</f>
        <v>0</v>
      </c>
      <c r="AR17" s="583">
        <f>VLOOKUP($H17,Nutrition_tables!$A:$AF,31,FALSE)*$Q17/100</f>
        <v>0</v>
      </c>
      <c r="AS17" s="549">
        <f>VLOOKUP($H17,Nutrition_tables!$A:$AF,32,FALSE)*$Q17/100</f>
        <v>0</v>
      </c>
      <c r="AT17" s="583" t="str">
        <f>IF(H17="Select ingredient:","",IF(G17="Select food category:","",IFERROR(VLOOKUP($H17,Ingredient_prices!$E:$W,17,FALSE)*$Q17/1000,"not bought")))</f>
        <v/>
      </c>
      <c r="AU17" s="583" t="str">
        <f>IF(H17="Select ingredient:","",IF(G17="Select food category:","",IFERROR(VLOOKUP($H17,Ingredient_prices!$E:$W,18,FALSE)*$Q17/1000,"not bought")))</f>
        <v/>
      </c>
      <c r="AV17" s="583">
        <f t="shared" si="3"/>
        <v>0</v>
      </c>
      <c r="AW17" s="583">
        <f t="shared" si="4"/>
        <v>0</v>
      </c>
      <c r="AX17" s="583">
        <f t="shared" si="5"/>
        <v>0</v>
      </c>
      <c r="AY17" s="583">
        <f t="shared" si="6"/>
        <v>0</v>
      </c>
      <c r="AZ17" s="583">
        <f t="shared" si="7"/>
        <v>0</v>
      </c>
      <c r="BA17" s="583">
        <f t="shared" si="8"/>
        <v>0</v>
      </c>
      <c r="BB17" s="583">
        <f t="shared" si="9"/>
        <v>0</v>
      </c>
      <c r="BC17" s="583">
        <f t="shared" si="10"/>
        <v>0</v>
      </c>
      <c r="BD17" s="583">
        <f t="shared" si="11"/>
        <v>0</v>
      </c>
      <c r="BE17" s="583">
        <f t="shared" si="12"/>
        <v>0</v>
      </c>
      <c r="BF17" s="583">
        <f t="shared" si="13"/>
        <v>0</v>
      </c>
      <c r="BG17" s="583">
        <f t="shared" si="14"/>
        <v>0</v>
      </c>
      <c r="BH17" s="583">
        <f t="shared" si="15"/>
        <v>0</v>
      </c>
      <c r="BI17" s="583">
        <f t="shared" si="16"/>
        <v>0</v>
      </c>
      <c r="BJ17" s="583">
        <f t="shared" si="17"/>
        <v>0</v>
      </c>
      <c r="BK17" s="583">
        <f t="shared" si="18"/>
        <v>0</v>
      </c>
      <c r="BL17" s="583">
        <f t="shared" si="19"/>
        <v>0</v>
      </c>
      <c r="BM17" s="583">
        <f t="shared" si="20"/>
        <v>0</v>
      </c>
      <c r="BN17" s="583">
        <f t="shared" si="21"/>
        <v>0</v>
      </c>
      <c r="BO17" s="583">
        <f t="shared" si="22"/>
        <v>0</v>
      </c>
      <c r="BP17" s="583">
        <f t="shared" si="23"/>
        <v>0</v>
      </c>
      <c r="BQ17" s="583">
        <f t="shared" si="24"/>
        <v>0</v>
      </c>
      <c r="BR17" s="583">
        <f t="shared" si="25"/>
        <v>0</v>
      </c>
    </row>
    <row r="18" spans="1:70" s="229" customFormat="1" ht="15" customHeight="1">
      <c r="A18" s="590"/>
      <c r="E18" s="576" t="str">
        <f t="shared" si="27"/>
        <v/>
      </c>
      <c r="F18" s="85"/>
      <c r="G18" s="406" t="s">
        <v>3054</v>
      </c>
      <c r="H18" s="1262" t="s">
        <v>3055</v>
      </c>
      <c r="I18" s="85">
        <v>0</v>
      </c>
      <c r="J18" s="682">
        <v>1</v>
      </c>
      <c r="K18" s="579" t="str">
        <f t="shared" si="1"/>
        <v/>
      </c>
      <c r="L18" s="580" t="str">
        <f>IF(H18="Select ingredient:","",IF(G18="","",_xlfn.IFNA(VLOOKUP($H18,Ingredient_prices!$E:$U,16,FALSE),0)))</f>
        <v/>
      </c>
      <c r="M18" s="591"/>
      <c r="N18" s="591"/>
      <c r="O18" s="591"/>
      <c r="P18" s="592"/>
      <c r="Q18" s="583">
        <f t="shared" si="2"/>
        <v>0</v>
      </c>
      <c r="R18" s="583">
        <f>VLOOKUP($H18,'CO2_emission+%_food_waste'!$A:$K,6,FALSE)*$Q18/100</f>
        <v>0</v>
      </c>
      <c r="S18" s="583">
        <f t="shared" si="26"/>
        <v>0</v>
      </c>
      <c r="T18" s="583" t="str">
        <f>IF(H18="Select ingredient:","",IF(G18="Select food category:","",_xlfn.IFNA(VLOOKUP($H18,Ingredient_prices!$E:$U,16,FALSE)*$Q18/1000,"not bought")))</f>
        <v/>
      </c>
      <c r="U18" s="583" t="str">
        <f>IF(G18="Select food category:","",_xlfn.IFNA(VLOOKUP($H18,Ingredient_prices!$E:$U,16,FALSE)*$R18/1000,"not bought"))</f>
        <v/>
      </c>
      <c r="V18" s="549">
        <f>VLOOKUP($H18,'CO2_emission+%_food_waste'!$A:$K,4,FALSE)*$Q18</f>
        <v>0</v>
      </c>
      <c r="W18" s="583">
        <f>VLOOKUP($H18,Nutrition_tables!$A:$N,10,FALSE)*$Q18/100</f>
        <v>0</v>
      </c>
      <c r="X18" s="583">
        <f>VLOOKUP($H18,Nutrition_tables!$A:$N,11,FALSE)*$Q18/100</f>
        <v>0</v>
      </c>
      <c r="Y18" s="583">
        <f>VLOOKUP($H18,Nutrition_tables!$A:$N,12,FALSE)*$Q18/100</f>
        <v>0</v>
      </c>
      <c r="Z18" s="583">
        <f>VLOOKUP($H18,Nutrition_tables!$A:$N,14,FALSE)*$Q18/100</f>
        <v>0</v>
      </c>
      <c r="AA18" s="583">
        <f>VLOOKUP($H18,Nutrition_tables!$A:$AF,13,FALSE)*$Q18/100</f>
        <v>0</v>
      </c>
      <c r="AB18" s="549">
        <f>VLOOKUP($H18,Nutrition_tables!$A:$AF,15,FALSE)*$Q18/100</f>
        <v>0</v>
      </c>
      <c r="AC18" s="583">
        <f>VLOOKUP($H18,Nutrition_tables!$A:$AF,16,FALSE)*$Q18/100</f>
        <v>0</v>
      </c>
      <c r="AD18" s="583">
        <f>VLOOKUP($H18,Nutrition_tables!$A:$AF,17,FALSE)*$Q18/100</f>
        <v>0</v>
      </c>
      <c r="AE18" s="583">
        <f>VLOOKUP($H18,Nutrition_tables!$A:$AF,18,FALSE)*$Q18/100</f>
        <v>0</v>
      </c>
      <c r="AF18" s="583">
        <f>VLOOKUP($H18,Nutrition_tables!$A:$AF,19,FALSE)*$Q18/100</f>
        <v>0</v>
      </c>
      <c r="AG18" s="583">
        <f>VLOOKUP($H18,Nutrition_tables!$A:$AF,20,FALSE)*$Q18/100</f>
        <v>0</v>
      </c>
      <c r="AH18" s="583">
        <f>VLOOKUP($H18,Nutrition_tables!$A:$AF,21,FALSE)*$Q18/100</f>
        <v>0</v>
      </c>
      <c r="AI18" s="583">
        <f>VLOOKUP($H18,Nutrition_tables!$A:$AF,22,FALSE)*$Q18/100</f>
        <v>0</v>
      </c>
      <c r="AJ18" s="549">
        <f>VLOOKUP($H18,Nutrition_tables!$A:$AF,23,FALSE)*$Q18/100</f>
        <v>0</v>
      </c>
      <c r="AK18" s="583">
        <f>VLOOKUP($H18,Nutrition_tables!$A:$AF,24,FALSE)*$Q18/100</f>
        <v>0</v>
      </c>
      <c r="AL18" s="583">
        <f>VLOOKUP($H18,Nutrition_tables!$A:$AF,25,FALSE)*$Q18/100</f>
        <v>0</v>
      </c>
      <c r="AM18" s="583">
        <f>VLOOKUP($H18,Nutrition_tables!$A:$AF,26,FALSE)*$Q18/100</f>
        <v>0</v>
      </c>
      <c r="AN18" s="583">
        <f>VLOOKUP($H18,Nutrition_tables!$A:$AF,27,FALSE)*$Q18/100</f>
        <v>0</v>
      </c>
      <c r="AO18" s="583">
        <f>VLOOKUP($H18,Nutrition_tables!$A:$AF,28,FALSE)*$Q18/100</f>
        <v>0</v>
      </c>
      <c r="AP18" s="583">
        <f>VLOOKUP($H18,Nutrition_tables!$A:$AF,29,FALSE)*$Q18/100</f>
        <v>0</v>
      </c>
      <c r="AQ18" s="583">
        <f>VLOOKUP($H18,Nutrition_tables!$A:$AF,30,FALSE)*$Q18/100</f>
        <v>0</v>
      </c>
      <c r="AR18" s="583">
        <f>VLOOKUP($H18,Nutrition_tables!$A:$AF,31,FALSE)*$Q18/100</f>
        <v>0</v>
      </c>
      <c r="AS18" s="549">
        <f>VLOOKUP($H18,Nutrition_tables!$A:$AF,32,FALSE)*$Q18/100</f>
        <v>0</v>
      </c>
      <c r="AT18" s="583" t="str">
        <f>IF(H18="Select ingredient:","",IF(G18="Select food category:","",IFERROR(VLOOKUP($H18,Ingredient_prices!$E:$W,17,FALSE)*$Q18/1000,"not bought")))</f>
        <v/>
      </c>
      <c r="AU18" s="583" t="str">
        <f>IF(H18="Select ingredient:","",IF(G18="Select food category:","",IFERROR(VLOOKUP($H18,Ingredient_prices!$E:$W,18,FALSE)*$Q18/1000,"not bought")))</f>
        <v/>
      </c>
      <c r="AV18" s="583">
        <f t="shared" si="3"/>
        <v>0</v>
      </c>
      <c r="AW18" s="583">
        <f t="shared" si="4"/>
        <v>0</v>
      </c>
      <c r="AX18" s="583">
        <f t="shared" si="5"/>
        <v>0</v>
      </c>
      <c r="AY18" s="583">
        <f t="shared" si="6"/>
        <v>0</v>
      </c>
      <c r="AZ18" s="583">
        <f t="shared" si="7"/>
        <v>0</v>
      </c>
      <c r="BA18" s="583">
        <f t="shared" si="8"/>
        <v>0</v>
      </c>
      <c r="BB18" s="583">
        <f t="shared" si="9"/>
        <v>0</v>
      </c>
      <c r="BC18" s="583">
        <f t="shared" si="10"/>
        <v>0</v>
      </c>
      <c r="BD18" s="583">
        <f t="shared" si="11"/>
        <v>0</v>
      </c>
      <c r="BE18" s="583">
        <f t="shared" si="12"/>
        <v>0</v>
      </c>
      <c r="BF18" s="583">
        <f t="shared" si="13"/>
        <v>0</v>
      </c>
      <c r="BG18" s="583">
        <f t="shared" si="14"/>
        <v>0</v>
      </c>
      <c r="BH18" s="583">
        <f t="shared" si="15"/>
        <v>0</v>
      </c>
      <c r="BI18" s="583">
        <f t="shared" si="16"/>
        <v>0</v>
      </c>
      <c r="BJ18" s="583">
        <f t="shared" si="17"/>
        <v>0</v>
      </c>
      <c r="BK18" s="583">
        <f t="shared" si="18"/>
        <v>0</v>
      </c>
      <c r="BL18" s="583">
        <f t="shared" si="19"/>
        <v>0</v>
      </c>
      <c r="BM18" s="583">
        <f t="shared" si="20"/>
        <v>0</v>
      </c>
      <c r="BN18" s="583">
        <f t="shared" si="21"/>
        <v>0</v>
      </c>
      <c r="BO18" s="583">
        <f t="shared" si="22"/>
        <v>0</v>
      </c>
      <c r="BP18" s="583">
        <f t="shared" si="23"/>
        <v>0</v>
      </c>
      <c r="BQ18" s="583">
        <f t="shared" si="24"/>
        <v>0</v>
      </c>
      <c r="BR18" s="583">
        <f t="shared" si="25"/>
        <v>0</v>
      </c>
    </row>
    <row r="19" spans="1:70" s="229" customFormat="1" ht="15" customHeight="1">
      <c r="A19" s="590"/>
      <c r="E19" s="576" t="str">
        <f t="shared" si="27"/>
        <v/>
      </c>
      <c r="F19" s="85"/>
      <c r="G19" s="406" t="s">
        <v>3054</v>
      </c>
      <c r="H19" s="1262" t="s">
        <v>3055</v>
      </c>
      <c r="I19" s="85">
        <v>0</v>
      </c>
      <c r="J19" s="682">
        <v>1</v>
      </c>
      <c r="K19" s="579" t="str">
        <f t="shared" si="1"/>
        <v/>
      </c>
      <c r="L19" s="580" t="str">
        <f>IF(H19="Select ingredient:","",IF(G19="","",_xlfn.IFNA(VLOOKUP($H19,Ingredient_prices!$E:$U,16,FALSE),0)))</f>
        <v/>
      </c>
      <c r="M19" s="591"/>
      <c r="N19" s="591"/>
      <c r="O19" s="591"/>
      <c r="P19" s="592"/>
      <c r="Q19" s="583">
        <f t="shared" si="2"/>
        <v>0</v>
      </c>
      <c r="R19" s="583">
        <f>VLOOKUP($H19,'CO2_emission+%_food_waste'!$A:$K,6,FALSE)*$Q19/100</f>
        <v>0</v>
      </c>
      <c r="S19" s="583">
        <f t="shared" si="26"/>
        <v>0</v>
      </c>
      <c r="T19" s="583" t="str">
        <f>IF(H19="Select ingredient:","",IF(G19="Select food category:","",_xlfn.IFNA(VLOOKUP($H19,Ingredient_prices!$E:$U,16,FALSE)*$Q19/1000,"not bought")))</f>
        <v/>
      </c>
      <c r="U19" s="583" t="str">
        <f>IF(G19="Select food category:","",_xlfn.IFNA(VLOOKUP($H19,Ingredient_prices!$E:$U,16,FALSE)*$R19/1000,"not bought"))</f>
        <v/>
      </c>
      <c r="V19" s="549">
        <f>VLOOKUP($H19,'CO2_emission+%_food_waste'!$A:$K,4,FALSE)*$Q19</f>
        <v>0</v>
      </c>
      <c r="W19" s="583">
        <f>VLOOKUP($H19,Nutrition_tables!$A:$N,10,FALSE)*$Q19/100</f>
        <v>0</v>
      </c>
      <c r="X19" s="583">
        <f>VLOOKUP($H19,Nutrition_tables!$A:$N,11,FALSE)*$Q19/100</f>
        <v>0</v>
      </c>
      <c r="Y19" s="583">
        <f>VLOOKUP($H19,Nutrition_tables!$A:$N,12,FALSE)*$Q19/100</f>
        <v>0</v>
      </c>
      <c r="Z19" s="583">
        <f>VLOOKUP($H19,Nutrition_tables!$A:$N,14,FALSE)*$Q19/100</f>
        <v>0</v>
      </c>
      <c r="AA19" s="583">
        <f>VLOOKUP($H19,Nutrition_tables!$A:$AF,13,FALSE)*$Q19/100</f>
        <v>0</v>
      </c>
      <c r="AB19" s="549">
        <f>VLOOKUP($H19,Nutrition_tables!$A:$AF,15,FALSE)*$Q19/100</f>
        <v>0</v>
      </c>
      <c r="AC19" s="583">
        <f>VLOOKUP($H19,Nutrition_tables!$A:$AF,16,FALSE)*$Q19/100</f>
        <v>0</v>
      </c>
      <c r="AD19" s="583">
        <f>VLOOKUP($H19,Nutrition_tables!$A:$AF,17,FALSE)*$Q19/100</f>
        <v>0</v>
      </c>
      <c r="AE19" s="583">
        <f>VLOOKUP($H19,Nutrition_tables!$A:$AF,18,FALSE)*$Q19/100</f>
        <v>0</v>
      </c>
      <c r="AF19" s="583">
        <f>VLOOKUP($H19,Nutrition_tables!$A:$AF,19,FALSE)*$Q19/100</f>
        <v>0</v>
      </c>
      <c r="AG19" s="583">
        <f>VLOOKUP($H19,Nutrition_tables!$A:$AF,20,FALSE)*$Q19/100</f>
        <v>0</v>
      </c>
      <c r="AH19" s="583">
        <f>VLOOKUP($H19,Nutrition_tables!$A:$AF,21,FALSE)*$Q19/100</f>
        <v>0</v>
      </c>
      <c r="AI19" s="583">
        <f>VLOOKUP($H19,Nutrition_tables!$A:$AF,22,FALSE)*$Q19/100</f>
        <v>0</v>
      </c>
      <c r="AJ19" s="549">
        <f>VLOOKUP($H19,Nutrition_tables!$A:$AF,23,FALSE)*$Q19/100</f>
        <v>0</v>
      </c>
      <c r="AK19" s="583">
        <f>VLOOKUP($H19,Nutrition_tables!$A:$AF,24,FALSE)*$Q19/100</f>
        <v>0</v>
      </c>
      <c r="AL19" s="583">
        <f>VLOOKUP($H19,Nutrition_tables!$A:$AF,25,FALSE)*$Q19/100</f>
        <v>0</v>
      </c>
      <c r="AM19" s="583">
        <f>VLOOKUP($H19,Nutrition_tables!$A:$AF,26,FALSE)*$Q19/100</f>
        <v>0</v>
      </c>
      <c r="AN19" s="583">
        <f>VLOOKUP($H19,Nutrition_tables!$A:$AF,27,FALSE)*$Q19/100</f>
        <v>0</v>
      </c>
      <c r="AO19" s="583">
        <f>VLOOKUP($H19,Nutrition_tables!$A:$AF,28,FALSE)*$Q19/100</f>
        <v>0</v>
      </c>
      <c r="AP19" s="583">
        <f>VLOOKUP($H19,Nutrition_tables!$A:$AF,29,FALSE)*$Q19/100</f>
        <v>0</v>
      </c>
      <c r="AQ19" s="583">
        <f>VLOOKUP($H19,Nutrition_tables!$A:$AF,30,FALSE)*$Q19/100</f>
        <v>0</v>
      </c>
      <c r="AR19" s="583">
        <f>VLOOKUP($H19,Nutrition_tables!$A:$AF,31,FALSE)*$Q19/100</f>
        <v>0</v>
      </c>
      <c r="AS19" s="549">
        <f>VLOOKUP($H19,Nutrition_tables!$A:$AF,32,FALSE)*$Q19/100</f>
        <v>0</v>
      </c>
      <c r="AT19" s="583" t="str">
        <f>IF(H19="Select ingredient:","",IF(G19="Select food category:","",IFERROR(VLOOKUP($H19,Ingredient_prices!$E:$W,17,FALSE)*$Q19/1000,"not bought")))</f>
        <v/>
      </c>
      <c r="AU19" s="583" t="str">
        <f>IF(H19="Select ingredient:","",IF(G19="Select food category:","",IFERROR(VLOOKUP($H19,Ingredient_prices!$E:$W,18,FALSE)*$Q19/1000,"not bought")))</f>
        <v/>
      </c>
      <c r="AV19" s="583">
        <f t="shared" si="3"/>
        <v>0</v>
      </c>
      <c r="AW19" s="583">
        <f t="shared" si="4"/>
        <v>0</v>
      </c>
      <c r="AX19" s="583">
        <f t="shared" si="5"/>
        <v>0</v>
      </c>
      <c r="AY19" s="583">
        <f t="shared" si="6"/>
        <v>0</v>
      </c>
      <c r="AZ19" s="583">
        <f t="shared" si="7"/>
        <v>0</v>
      </c>
      <c r="BA19" s="583">
        <f t="shared" si="8"/>
        <v>0</v>
      </c>
      <c r="BB19" s="583">
        <f t="shared" si="9"/>
        <v>0</v>
      </c>
      <c r="BC19" s="583">
        <f t="shared" si="10"/>
        <v>0</v>
      </c>
      <c r="BD19" s="583">
        <f t="shared" si="11"/>
        <v>0</v>
      </c>
      <c r="BE19" s="583">
        <f t="shared" si="12"/>
        <v>0</v>
      </c>
      <c r="BF19" s="583">
        <f t="shared" si="13"/>
        <v>0</v>
      </c>
      <c r="BG19" s="583">
        <f t="shared" si="14"/>
        <v>0</v>
      </c>
      <c r="BH19" s="583">
        <f t="shared" si="15"/>
        <v>0</v>
      </c>
      <c r="BI19" s="583">
        <f t="shared" si="16"/>
        <v>0</v>
      </c>
      <c r="BJ19" s="583">
        <f t="shared" si="17"/>
        <v>0</v>
      </c>
      <c r="BK19" s="583">
        <f t="shared" si="18"/>
        <v>0</v>
      </c>
      <c r="BL19" s="583">
        <f t="shared" si="19"/>
        <v>0</v>
      </c>
      <c r="BM19" s="583">
        <f t="shared" si="20"/>
        <v>0</v>
      </c>
      <c r="BN19" s="583">
        <f t="shared" si="21"/>
        <v>0</v>
      </c>
      <c r="BO19" s="583">
        <f t="shared" si="22"/>
        <v>0</v>
      </c>
      <c r="BP19" s="583">
        <f t="shared" si="23"/>
        <v>0</v>
      </c>
      <c r="BQ19" s="583">
        <f t="shared" si="24"/>
        <v>0</v>
      </c>
      <c r="BR19" s="583">
        <f t="shared" si="25"/>
        <v>0</v>
      </c>
    </row>
    <row r="20" spans="1:70" s="229" customFormat="1" ht="15" customHeight="1">
      <c r="A20" s="590"/>
      <c r="D20" s="85"/>
      <c r="E20" s="576" t="str">
        <f t="shared" si="27"/>
        <v/>
      </c>
      <c r="F20" s="85"/>
      <c r="G20" s="406" t="s">
        <v>3054</v>
      </c>
      <c r="H20" s="1262" t="s">
        <v>3055</v>
      </c>
      <c r="I20" s="85">
        <v>0</v>
      </c>
      <c r="J20" s="682">
        <v>1</v>
      </c>
      <c r="K20" s="579" t="str">
        <f t="shared" si="1"/>
        <v/>
      </c>
      <c r="L20" s="580" t="str">
        <f>IF(H20="Select ingredient:","",IF(G20="","",_xlfn.IFNA(VLOOKUP($H20,Ingredient_prices!$E:$U,16,FALSE),0)))</f>
        <v/>
      </c>
      <c r="M20" s="591"/>
      <c r="N20" s="591"/>
      <c r="O20" s="591"/>
      <c r="P20" s="592"/>
      <c r="Q20" s="583">
        <f t="shared" si="2"/>
        <v>0</v>
      </c>
      <c r="R20" s="583">
        <f>VLOOKUP($H20,'CO2_emission+%_food_waste'!$A:$K,6,FALSE)*$Q20/100</f>
        <v>0</v>
      </c>
      <c r="S20" s="583">
        <f t="shared" si="26"/>
        <v>0</v>
      </c>
      <c r="T20" s="583" t="str">
        <f>IF(H20="Select ingredient:","",IF(G20="Select food category:","",_xlfn.IFNA(VLOOKUP($H20,Ingredient_prices!$E:$U,16,FALSE)*$Q20/1000,"not bought")))</f>
        <v/>
      </c>
      <c r="U20" s="583" t="str">
        <f>IF(G20="Select food category:","",_xlfn.IFNA(VLOOKUP($H20,Ingredient_prices!$E:$U,16,FALSE)*$R20/1000,"not bought"))</f>
        <v/>
      </c>
      <c r="V20" s="549">
        <f>VLOOKUP($H20,'CO2_emission+%_food_waste'!$A:$K,4,FALSE)*$Q20</f>
        <v>0</v>
      </c>
      <c r="W20" s="583">
        <f>VLOOKUP($H20,Nutrition_tables!$A:$N,10,FALSE)*$Q20/100</f>
        <v>0</v>
      </c>
      <c r="X20" s="583">
        <f>VLOOKUP($H20,Nutrition_tables!$A:$N,11,FALSE)*$Q20/100</f>
        <v>0</v>
      </c>
      <c r="Y20" s="583">
        <f>VLOOKUP($H20,Nutrition_tables!$A:$N,12,FALSE)*$Q20/100</f>
        <v>0</v>
      </c>
      <c r="Z20" s="583">
        <f>VLOOKUP($H20,Nutrition_tables!$A:$N,14,FALSE)*$Q20/100</f>
        <v>0</v>
      </c>
      <c r="AA20" s="583">
        <f>VLOOKUP($H20,Nutrition_tables!$A:$AF,13,FALSE)*$Q20/100</f>
        <v>0</v>
      </c>
      <c r="AB20" s="549">
        <f>VLOOKUP($H20,Nutrition_tables!$A:$AF,15,FALSE)*$Q20/100</f>
        <v>0</v>
      </c>
      <c r="AC20" s="583">
        <f>VLOOKUP($H20,Nutrition_tables!$A:$AF,16,FALSE)*$Q20/100</f>
        <v>0</v>
      </c>
      <c r="AD20" s="583">
        <f>VLOOKUP($H20,Nutrition_tables!$A:$AF,17,FALSE)*$Q20/100</f>
        <v>0</v>
      </c>
      <c r="AE20" s="583">
        <f>VLOOKUP($H20,Nutrition_tables!$A:$AF,18,FALSE)*$Q20/100</f>
        <v>0</v>
      </c>
      <c r="AF20" s="583">
        <f>VLOOKUP($H20,Nutrition_tables!$A:$AF,19,FALSE)*$Q20/100</f>
        <v>0</v>
      </c>
      <c r="AG20" s="583">
        <f>VLOOKUP($H20,Nutrition_tables!$A:$AF,20,FALSE)*$Q20/100</f>
        <v>0</v>
      </c>
      <c r="AH20" s="583">
        <f>VLOOKUP($H20,Nutrition_tables!$A:$AF,21,FALSE)*$Q20/100</f>
        <v>0</v>
      </c>
      <c r="AI20" s="583">
        <f>VLOOKUP($H20,Nutrition_tables!$A:$AF,22,FALSE)*$Q20/100</f>
        <v>0</v>
      </c>
      <c r="AJ20" s="549">
        <f>VLOOKUP($H20,Nutrition_tables!$A:$AF,23,FALSE)*$Q20/100</f>
        <v>0</v>
      </c>
      <c r="AK20" s="583">
        <f>VLOOKUP($H20,Nutrition_tables!$A:$AF,24,FALSE)*$Q20/100</f>
        <v>0</v>
      </c>
      <c r="AL20" s="583">
        <f>VLOOKUP($H20,Nutrition_tables!$A:$AF,25,FALSE)*$Q20/100</f>
        <v>0</v>
      </c>
      <c r="AM20" s="583">
        <f>VLOOKUP($H20,Nutrition_tables!$A:$AF,26,FALSE)*$Q20/100</f>
        <v>0</v>
      </c>
      <c r="AN20" s="583">
        <f>VLOOKUP($H20,Nutrition_tables!$A:$AF,27,FALSE)*$Q20/100</f>
        <v>0</v>
      </c>
      <c r="AO20" s="583">
        <f>VLOOKUP($H20,Nutrition_tables!$A:$AF,28,FALSE)*$Q20/100</f>
        <v>0</v>
      </c>
      <c r="AP20" s="583">
        <f>VLOOKUP($H20,Nutrition_tables!$A:$AF,29,FALSE)*$Q20/100</f>
        <v>0</v>
      </c>
      <c r="AQ20" s="583">
        <f>VLOOKUP($H20,Nutrition_tables!$A:$AF,30,FALSE)*$Q20/100</f>
        <v>0</v>
      </c>
      <c r="AR20" s="583">
        <f>VLOOKUP($H20,Nutrition_tables!$A:$AF,31,FALSE)*$Q20/100</f>
        <v>0</v>
      </c>
      <c r="AS20" s="549">
        <f>VLOOKUP($H20,Nutrition_tables!$A:$AF,32,FALSE)*$Q20/100</f>
        <v>0</v>
      </c>
      <c r="AT20" s="583" t="str">
        <f>IF(H20="Select ingredient:","",IF(G20="Select food category:","",IFERROR(VLOOKUP($H20,Ingredient_prices!$E:$W,17,FALSE)*$Q20/1000,"not bought")))</f>
        <v/>
      </c>
      <c r="AU20" s="583" t="str">
        <f>IF(H20="Select ingredient:","",IF(G20="Select food category:","",IFERROR(VLOOKUP($H20,Ingredient_prices!$E:$W,18,FALSE)*$Q20/1000,"not bought")))</f>
        <v/>
      </c>
      <c r="AV20" s="583">
        <f t="shared" si="3"/>
        <v>0</v>
      </c>
      <c r="AW20" s="583">
        <f t="shared" si="4"/>
        <v>0</v>
      </c>
      <c r="AX20" s="583">
        <f t="shared" si="5"/>
        <v>0</v>
      </c>
      <c r="AY20" s="583">
        <f t="shared" si="6"/>
        <v>0</v>
      </c>
      <c r="AZ20" s="583">
        <f t="shared" si="7"/>
        <v>0</v>
      </c>
      <c r="BA20" s="583">
        <f t="shared" si="8"/>
        <v>0</v>
      </c>
      <c r="BB20" s="583">
        <f t="shared" si="9"/>
        <v>0</v>
      </c>
      <c r="BC20" s="583">
        <f t="shared" si="10"/>
        <v>0</v>
      </c>
      <c r="BD20" s="583">
        <f t="shared" si="11"/>
        <v>0</v>
      </c>
      <c r="BE20" s="583">
        <f t="shared" si="12"/>
        <v>0</v>
      </c>
      <c r="BF20" s="583">
        <f t="shared" si="13"/>
        <v>0</v>
      </c>
      <c r="BG20" s="583">
        <f t="shared" si="14"/>
        <v>0</v>
      </c>
      <c r="BH20" s="583">
        <f t="shared" si="15"/>
        <v>0</v>
      </c>
      <c r="BI20" s="583">
        <f t="shared" si="16"/>
        <v>0</v>
      </c>
      <c r="BJ20" s="583">
        <f t="shared" si="17"/>
        <v>0</v>
      </c>
      <c r="BK20" s="583">
        <f t="shared" si="18"/>
        <v>0</v>
      </c>
      <c r="BL20" s="583">
        <f t="shared" si="19"/>
        <v>0</v>
      </c>
      <c r="BM20" s="583">
        <f t="shared" si="20"/>
        <v>0</v>
      </c>
      <c r="BN20" s="583">
        <f t="shared" si="21"/>
        <v>0</v>
      </c>
      <c r="BO20" s="583">
        <f t="shared" si="22"/>
        <v>0</v>
      </c>
      <c r="BP20" s="583">
        <f t="shared" si="23"/>
        <v>0</v>
      </c>
      <c r="BQ20" s="583">
        <f t="shared" si="24"/>
        <v>0</v>
      </c>
      <c r="BR20" s="583">
        <f t="shared" si="25"/>
        <v>0</v>
      </c>
    </row>
    <row r="21" spans="1:70" s="229" customFormat="1" ht="15" customHeight="1">
      <c r="A21" s="590"/>
      <c r="D21" s="85"/>
      <c r="E21" s="576" t="str">
        <f t="shared" si="27"/>
        <v/>
      </c>
      <c r="F21" s="85"/>
      <c r="G21" s="406" t="s">
        <v>3054</v>
      </c>
      <c r="H21" s="1262" t="s">
        <v>3055</v>
      </c>
      <c r="I21" s="85">
        <v>0</v>
      </c>
      <c r="J21" s="682">
        <v>1</v>
      </c>
      <c r="K21" s="579" t="str">
        <f t="shared" si="1"/>
        <v/>
      </c>
      <c r="L21" s="580" t="str">
        <f>IF(H21="Select ingredient:","",IF(G21="","",_xlfn.IFNA(VLOOKUP($H21,Ingredient_prices!$E:$U,16,FALSE),0)))</f>
        <v/>
      </c>
      <c r="M21" s="591"/>
      <c r="N21" s="591"/>
      <c r="O21" s="591"/>
      <c r="P21" s="592"/>
      <c r="Q21" s="583">
        <f t="shared" si="2"/>
        <v>0</v>
      </c>
      <c r="R21" s="583">
        <f>VLOOKUP($H21,'CO2_emission+%_food_waste'!$A:$K,6,FALSE)*$Q21/100</f>
        <v>0</v>
      </c>
      <c r="S21" s="583">
        <f t="shared" si="26"/>
        <v>0</v>
      </c>
      <c r="T21" s="583" t="str">
        <f>IF(H21="Select ingredient:","",IF(G21="Select food category:","",_xlfn.IFNA(VLOOKUP($H21,Ingredient_prices!$E:$U,16,FALSE)*$Q21/1000,"not bought")))</f>
        <v/>
      </c>
      <c r="U21" s="583" t="str">
        <f>IF(G21="Select food category:","",_xlfn.IFNA(VLOOKUP($H21,Ingredient_prices!$E:$U,16,FALSE)*$R21/1000,"not bought"))</f>
        <v/>
      </c>
      <c r="V21" s="549">
        <f>VLOOKUP($H21,'CO2_emission+%_food_waste'!$A:$K,4,FALSE)*$Q21</f>
        <v>0</v>
      </c>
      <c r="W21" s="583">
        <f>VLOOKUP($H21,Nutrition_tables!$A:$N,10,FALSE)*$Q21/100</f>
        <v>0</v>
      </c>
      <c r="X21" s="583">
        <f>VLOOKUP($H21,Nutrition_tables!$A:$N,11,FALSE)*$Q21/100</f>
        <v>0</v>
      </c>
      <c r="Y21" s="583">
        <f>VLOOKUP($H21,Nutrition_tables!$A:$N,12,FALSE)*$Q21/100</f>
        <v>0</v>
      </c>
      <c r="Z21" s="583">
        <f>VLOOKUP($H21,Nutrition_tables!$A:$N,14,FALSE)*$Q21/100</f>
        <v>0</v>
      </c>
      <c r="AA21" s="583">
        <f>VLOOKUP($H21,Nutrition_tables!$A:$AF,13,FALSE)*$Q21/100</f>
        <v>0</v>
      </c>
      <c r="AB21" s="549">
        <f>VLOOKUP($H21,Nutrition_tables!$A:$AF,15,FALSE)*$Q21/100</f>
        <v>0</v>
      </c>
      <c r="AC21" s="583">
        <f>VLOOKUP($H21,Nutrition_tables!$A:$AF,16,FALSE)*$Q21/100</f>
        <v>0</v>
      </c>
      <c r="AD21" s="583">
        <f>VLOOKUP($H21,Nutrition_tables!$A:$AF,17,FALSE)*$Q21/100</f>
        <v>0</v>
      </c>
      <c r="AE21" s="583">
        <f>VLOOKUP($H21,Nutrition_tables!$A:$AF,18,FALSE)*$Q21/100</f>
        <v>0</v>
      </c>
      <c r="AF21" s="583">
        <f>VLOOKUP($H21,Nutrition_tables!$A:$AF,19,FALSE)*$Q21/100</f>
        <v>0</v>
      </c>
      <c r="AG21" s="583">
        <f>VLOOKUP($H21,Nutrition_tables!$A:$AF,20,FALSE)*$Q21/100</f>
        <v>0</v>
      </c>
      <c r="AH21" s="583">
        <f>VLOOKUP($H21,Nutrition_tables!$A:$AF,21,FALSE)*$Q21/100</f>
        <v>0</v>
      </c>
      <c r="AI21" s="583">
        <f>VLOOKUP($H21,Nutrition_tables!$A:$AF,22,FALSE)*$Q21/100</f>
        <v>0</v>
      </c>
      <c r="AJ21" s="549">
        <f>VLOOKUP($H21,Nutrition_tables!$A:$AF,23,FALSE)*$Q21/100</f>
        <v>0</v>
      </c>
      <c r="AK21" s="583">
        <f>VLOOKUP($H21,Nutrition_tables!$A:$AF,24,FALSE)*$Q21/100</f>
        <v>0</v>
      </c>
      <c r="AL21" s="583">
        <f>VLOOKUP($H21,Nutrition_tables!$A:$AF,25,FALSE)*$Q21/100</f>
        <v>0</v>
      </c>
      <c r="AM21" s="583">
        <f>VLOOKUP($H21,Nutrition_tables!$A:$AF,26,FALSE)*$Q21/100</f>
        <v>0</v>
      </c>
      <c r="AN21" s="583">
        <f>VLOOKUP($H21,Nutrition_tables!$A:$AF,27,FALSE)*$Q21/100</f>
        <v>0</v>
      </c>
      <c r="AO21" s="583">
        <f>VLOOKUP($H21,Nutrition_tables!$A:$AF,28,FALSE)*$Q21/100</f>
        <v>0</v>
      </c>
      <c r="AP21" s="583">
        <f>VLOOKUP($H21,Nutrition_tables!$A:$AF,29,FALSE)*$Q21/100</f>
        <v>0</v>
      </c>
      <c r="AQ21" s="583">
        <f>VLOOKUP($H21,Nutrition_tables!$A:$AF,30,FALSE)*$Q21/100</f>
        <v>0</v>
      </c>
      <c r="AR21" s="583">
        <f>VLOOKUP($H21,Nutrition_tables!$A:$AF,31,FALSE)*$Q21/100</f>
        <v>0</v>
      </c>
      <c r="AS21" s="549">
        <f>VLOOKUP($H21,Nutrition_tables!$A:$AF,32,FALSE)*$Q21/100</f>
        <v>0</v>
      </c>
      <c r="AT21" s="583" t="str">
        <f>IF(H21="Select ingredient:","",IF(G21="Select food category:","",IFERROR(VLOOKUP($H21,Ingredient_prices!$E:$W,17,FALSE)*$Q21/1000,"not bought")))</f>
        <v/>
      </c>
      <c r="AU21" s="583" t="str">
        <f>IF(H21="Select ingredient:","",IF(G21="Select food category:","",IFERROR(VLOOKUP($H21,Ingredient_prices!$E:$W,18,FALSE)*$Q21/1000,"not bought")))</f>
        <v/>
      </c>
      <c r="AV21" s="583">
        <f t="shared" si="3"/>
        <v>0</v>
      </c>
      <c r="AW21" s="583">
        <f t="shared" si="4"/>
        <v>0</v>
      </c>
      <c r="AX21" s="583">
        <f t="shared" si="5"/>
        <v>0</v>
      </c>
      <c r="AY21" s="583">
        <f t="shared" si="6"/>
        <v>0</v>
      </c>
      <c r="AZ21" s="583">
        <f t="shared" si="7"/>
        <v>0</v>
      </c>
      <c r="BA21" s="583">
        <f t="shared" si="8"/>
        <v>0</v>
      </c>
      <c r="BB21" s="583">
        <f t="shared" si="9"/>
        <v>0</v>
      </c>
      <c r="BC21" s="583">
        <f t="shared" si="10"/>
        <v>0</v>
      </c>
      <c r="BD21" s="583">
        <f t="shared" si="11"/>
        <v>0</v>
      </c>
      <c r="BE21" s="583">
        <f t="shared" si="12"/>
        <v>0</v>
      </c>
      <c r="BF21" s="583">
        <f t="shared" si="13"/>
        <v>0</v>
      </c>
      <c r="BG21" s="583">
        <f t="shared" si="14"/>
        <v>0</v>
      </c>
      <c r="BH21" s="583">
        <f t="shared" si="15"/>
        <v>0</v>
      </c>
      <c r="BI21" s="583">
        <f t="shared" si="16"/>
        <v>0</v>
      </c>
      <c r="BJ21" s="583">
        <f t="shared" si="17"/>
        <v>0</v>
      </c>
      <c r="BK21" s="583">
        <f t="shared" si="18"/>
        <v>0</v>
      </c>
      <c r="BL21" s="583">
        <f t="shared" si="19"/>
        <v>0</v>
      </c>
      <c r="BM21" s="583">
        <f t="shared" si="20"/>
        <v>0</v>
      </c>
      <c r="BN21" s="583">
        <f t="shared" si="21"/>
        <v>0</v>
      </c>
      <c r="BO21" s="583">
        <f t="shared" si="22"/>
        <v>0</v>
      </c>
      <c r="BP21" s="583">
        <f t="shared" si="23"/>
        <v>0</v>
      </c>
      <c r="BQ21" s="583">
        <f t="shared" si="24"/>
        <v>0</v>
      </c>
      <c r="BR21" s="583">
        <f t="shared" si="25"/>
        <v>0</v>
      </c>
    </row>
    <row r="22" spans="1:70" s="229" customFormat="1" ht="15" customHeight="1">
      <c r="A22" s="590"/>
      <c r="D22" s="85"/>
      <c r="E22" s="576" t="str">
        <f t="shared" si="27"/>
        <v/>
      </c>
      <c r="F22" s="85"/>
      <c r="G22" s="406" t="s">
        <v>3054</v>
      </c>
      <c r="H22" s="1262" t="s">
        <v>3055</v>
      </c>
      <c r="I22" s="85">
        <v>0</v>
      </c>
      <c r="J22" s="682">
        <v>1</v>
      </c>
      <c r="K22" s="579" t="str">
        <f t="shared" si="1"/>
        <v/>
      </c>
      <c r="L22" s="580" t="str">
        <f>IF(H22="Select ingredient:","",IF(G22="","",_xlfn.IFNA(VLOOKUP($H22,Ingredient_prices!$E:$U,16,FALSE),0)))</f>
        <v/>
      </c>
      <c r="M22" s="591"/>
      <c r="N22" s="591"/>
      <c r="O22" s="591"/>
      <c r="P22" s="592"/>
      <c r="Q22" s="583">
        <f t="shared" si="2"/>
        <v>0</v>
      </c>
      <c r="R22" s="583">
        <f>VLOOKUP($H22,'CO2_emission+%_food_waste'!$A:$K,6,FALSE)*$Q22/100</f>
        <v>0</v>
      </c>
      <c r="S22" s="583">
        <f t="shared" si="26"/>
        <v>0</v>
      </c>
      <c r="T22" s="583" t="str">
        <f>IF(H22="Select ingredient:","",IF(G22="Select food category:","",_xlfn.IFNA(VLOOKUP($H22,Ingredient_prices!$E:$U,16,FALSE)*$Q22/1000,"not bought")))</f>
        <v/>
      </c>
      <c r="U22" s="583" t="str">
        <f>IF(G22="Select food category:","",_xlfn.IFNA(VLOOKUP($H22,Ingredient_prices!$E:$U,16,FALSE)*$R22/1000,"not bought"))</f>
        <v/>
      </c>
      <c r="V22" s="549">
        <f>VLOOKUP($H22,'CO2_emission+%_food_waste'!$A:$K,4,FALSE)*$Q22</f>
        <v>0</v>
      </c>
      <c r="W22" s="583">
        <f>VLOOKUP($H22,Nutrition_tables!$A:$N,10,FALSE)*$Q22/100</f>
        <v>0</v>
      </c>
      <c r="X22" s="583">
        <f>VLOOKUP($H22,Nutrition_tables!$A:$N,11,FALSE)*$Q22/100</f>
        <v>0</v>
      </c>
      <c r="Y22" s="583">
        <f>VLOOKUP($H22,Nutrition_tables!$A:$N,12,FALSE)*$Q22/100</f>
        <v>0</v>
      </c>
      <c r="Z22" s="583">
        <f>VLOOKUP($H22,Nutrition_tables!$A:$N,14,FALSE)*$Q22/100</f>
        <v>0</v>
      </c>
      <c r="AA22" s="583">
        <f>VLOOKUP($H22,Nutrition_tables!$A:$AF,13,FALSE)*$Q22/100</f>
        <v>0</v>
      </c>
      <c r="AB22" s="549">
        <f>VLOOKUP($H22,Nutrition_tables!$A:$AF,15,FALSE)*$Q22/100</f>
        <v>0</v>
      </c>
      <c r="AC22" s="583">
        <f>VLOOKUP($H22,Nutrition_tables!$A:$AF,16,FALSE)*$Q22/100</f>
        <v>0</v>
      </c>
      <c r="AD22" s="583">
        <f>VLOOKUP($H22,Nutrition_tables!$A:$AF,17,FALSE)*$Q22/100</f>
        <v>0</v>
      </c>
      <c r="AE22" s="583">
        <f>VLOOKUP($H22,Nutrition_tables!$A:$AF,18,FALSE)*$Q22/100</f>
        <v>0</v>
      </c>
      <c r="AF22" s="583">
        <f>VLOOKUP($H22,Nutrition_tables!$A:$AF,19,FALSE)*$Q22/100</f>
        <v>0</v>
      </c>
      <c r="AG22" s="583">
        <f>VLOOKUP($H22,Nutrition_tables!$A:$AF,20,FALSE)*$Q22/100</f>
        <v>0</v>
      </c>
      <c r="AH22" s="583">
        <f>VLOOKUP($H22,Nutrition_tables!$A:$AF,21,FALSE)*$Q22/100</f>
        <v>0</v>
      </c>
      <c r="AI22" s="583">
        <f>VLOOKUP($H22,Nutrition_tables!$A:$AF,22,FALSE)*$Q22/100</f>
        <v>0</v>
      </c>
      <c r="AJ22" s="549">
        <f>VLOOKUP($H22,Nutrition_tables!$A:$AF,23,FALSE)*$Q22/100</f>
        <v>0</v>
      </c>
      <c r="AK22" s="583">
        <f>VLOOKUP($H22,Nutrition_tables!$A:$AF,24,FALSE)*$Q22/100</f>
        <v>0</v>
      </c>
      <c r="AL22" s="583">
        <f>VLOOKUP($H22,Nutrition_tables!$A:$AF,25,FALSE)*$Q22/100</f>
        <v>0</v>
      </c>
      <c r="AM22" s="583">
        <f>VLOOKUP($H22,Nutrition_tables!$A:$AF,26,FALSE)*$Q22/100</f>
        <v>0</v>
      </c>
      <c r="AN22" s="583">
        <f>VLOOKUP($H22,Nutrition_tables!$A:$AF,27,FALSE)*$Q22/100</f>
        <v>0</v>
      </c>
      <c r="AO22" s="583">
        <f>VLOOKUP($H22,Nutrition_tables!$A:$AF,28,FALSE)*$Q22/100</f>
        <v>0</v>
      </c>
      <c r="AP22" s="583">
        <f>VLOOKUP($H22,Nutrition_tables!$A:$AF,29,FALSE)*$Q22/100</f>
        <v>0</v>
      </c>
      <c r="AQ22" s="583">
        <f>VLOOKUP($H22,Nutrition_tables!$A:$AF,30,FALSE)*$Q22/100</f>
        <v>0</v>
      </c>
      <c r="AR22" s="583">
        <f>VLOOKUP($H22,Nutrition_tables!$A:$AF,31,FALSE)*$Q22/100</f>
        <v>0</v>
      </c>
      <c r="AS22" s="549">
        <f>VLOOKUP($H22,Nutrition_tables!$A:$AF,32,FALSE)*$Q22/100</f>
        <v>0</v>
      </c>
      <c r="AT22" s="583" t="str">
        <f>IF(H22="Select ingredient:","",IF(G22="Select food category:","",IFERROR(VLOOKUP($H22,Ingredient_prices!$E:$W,17,FALSE)*$Q22/1000,"not bought")))</f>
        <v/>
      </c>
      <c r="AU22" s="583" t="str">
        <f>IF(H22="Select ingredient:","",IF(G22="Select food category:","",IFERROR(VLOOKUP($H22,Ingredient_prices!$E:$W,18,FALSE)*$Q22/1000,"not bought")))</f>
        <v/>
      </c>
      <c r="AV22" s="583">
        <f t="shared" si="3"/>
        <v>0</v>
      </c>
      <c r="AW22" s="583">
        <f t="shared" si="4"/>
        <v>0</v>
      </c>
      <c r="AX22" s="583">
        <f t="shared" si="5"/>
        <v>0</v>
      </c>
      <c r="AY22" s="583">
        <f t="shared" si="6"/>
        <v>0</v>
      </c>
      <c r="AZ22" s="583">
        <f t="shared" si="7"/>
        <v>0</v>
      </c>
      <c r="BA22" s="583">
        <f t="shared" si="8"/>
        <v>0</v>
      </c>
      <c r="BB22" s="583">
        <f t="shared" si="9"/>
        <v>0</v>
      </c>
      <c r="BC22" s="583">
        <f t="shared" si="10"/>
        <v>0</v>
      </c>
      <c r="BD22" s="583">
        <f t="shared" si="11"/>
        <v>0</v>
      </c>
      <c r="BE22" s="583">
        <f t="shared" si="12"/>
        <v>0</v>
      </c>
      <c r="BF22" s="583">
        <f t="shared" si="13"/>
        <v>0</v>
      </c>
      <c r="BG22" s="583">
        <f t="shared" si="14"/>
        <v>0</v>
      </c>
      <c r="BH22" s="583">
        <f t="shared" si="15"/>
        <v>0</v>
      </c>
      <c r="BI22" s="583">
        <f t="shared" si="16"/>
        <v>0</v>
      </c>
      <c r="BJ22" s="583">
        <f t="shared" si="17"/>
        <v>0</v>
      </c>
      <c r="BK22" s="583">
        <f t="shared" si="18"/>
        <v>0</v>
      </c>
      <c r="BL22" s="583">
        <f t="shared" si="19"/>
        <v>0</v>
      </c>
      <c r="BM22" s="583">
        <f t="shared" si="20"/>
        <v>0</v>
      </c>
      <c r="BN22" s="583">
        <f t="shared" si="21"/>
        <v>0</v>
      </c>
      <c r="BO22" s="583">
        <f t="shared" si="22"/>
        <v>0</v>
      </c>
      <c r="BP22" s="583">
        <f t="shared" si="23"/>
        <v>0</v>
      </c>
      <c r="BQ22" s="583">
        <f t="shared" si="24"/>
        <v>0</v>
      </c>
      <c r="BR22" s="583">
        <f t="shared" si="25"/>
        <v>0</v>
      </c>
    </row>
    <row r="23" spans="1:70" s="229" customFormat="1" ht="15" customHeight="1">
      <c r="A23" s="590"/>
      <c r="D23" s="85"/>
      <c r="E23" s="576" t="str">
        <f t="shared" si="27"/>
        <v/>
      </c>
      <c r="F23" s="85"/>
      <c r="G23" s="406" t="s">
        <v>3054</v>
      </c>
      <c r="H23" s="1262" t="s">
        <v>3055</v>
      </c>
      <c r="I23" s="85">
        <v>0</v>
      </c>
      <c r="J23" s="682">
        <v>1</v>
      </c>
      <c r="K23" s="579" t="str">
        <f t="shared" si="1"/>
        <v/>
      </c>
      <c r="L23" s="580" t="str">
        <f>IF(H23="Select ingredient:","",IF(G23="","",_xlfn.IFNA(VLOOKUP($H23,Ingredient_prices!$E:$U,16,FALSE),0)))</f>
        <v/>
      </c>
      <c r="M23" s="591"/>
      <c r="N23" s="591"/>
      <c r="O23" s="591"/>
      <c r="P23" s="592"/>
      <c r="Q23" s="583">
        <f t="shared" si="2"/>
        <v>0</v>
      </c>
      <c r="R23" s="583">
        <f>VLOOKUP($H23,'CO2_emission+%_food_waste'!$A:$K,6,FALSE)*$Q23/100</f>
        <v>0</v>
      </c>
      <c r="S23" s="583">
        <f t="shared" si="26"/>
        <v>0</v>
      </c>
      <c r="T23" s="583" t="str">
        <f>IF(H23="Select ingredient:","",IF(G23="Select food category:","",_xlfn.IFNA(VLOOKUP($H23,Ingredient_prices!$E:$U,16,FALSE)*$Q23/1000,"not bought")))</f>
        <v/>
      </c>
      <c r="U23" s="583" t="str">
        <f>IF(G23="Select food category:","",_xlfn.IFNA(VLOOKUP($H23,Ingredient_prices!$E:$U,16,FALSE)*$R23/1000,"not bought"))</f>
        <v/>
      </c>
      <c r="V23" s="549">
        <f>VLOOKUP($H23,'CO2_emission+%_food_waste'!$A:$K,4,FALSE)*$Q23</f>
        <v>0</v>
      </c>
      <c r="W23" s="583">
        <f>VLOOKUP($H23,Nutrition_tables!$A:$N,10,FALSE)*$Q23/100</f>
        <v>0</v>
      </c>
      <c r="X23" s="583">
        <f>VLOOKUP($H23,Nutrition_tables!$A:$N,11,FALSE)*$Q23/100</f>
        <v>0</v>
      </c>
      <c r="Y23" s="583">
        <f>VLOOKUP($H23,Nutrition_tables!$A:$N,12,FALSE)*$Q23/100</f>
        <v>0</v>
      </c>
      <c r="Z23" s="583">
        <f>VLOOKUP($H23,Nutrition_tables!$A:$N,14,FALSE)*$Q23/100</f>
        <v>0</v>
      </c>
      <c r="AA23" s="583">
        <f>VLOOKUP($H23,Nutrition_tables!$A:$AF,13,FALSE)*$Q23/100</f>
        <v>0</v>
      </c>
      <c r="AB23" s="549">
        <f>VLOOKUP($H23,Nutrition_tables!$A:$AF,15,FALSE)*$Q23/100</f>
        <v>0</v>
      </c>
      <c r="AC23" s="583">
        <f>VLOOKUP($H23,Nutrition_tables!$A:$AF,16,FALSE)*$Q23/100</f>
        <v>0</v>
      </c>
      <c r="AD23" s="583">
        <f>VLOOKUP($H23,Nutrition_tables!$A:$AF,17,FALSE)*$Q23/100</f>
        <v>0</v>
      </c>
      <c r="AE23" s="583">
        <f>VLOOKUP($H23,Nutrition_tables!$A:$AF,18,FALSE)*$Q23/100</f>
        <v>0</v>
      </c>
      <c r="AF23" s="583">
        <f>VLOOKUP($H23,Nutrition_tables!$A:$AF,19,FALSE)*$Q23/100</f>
        <v>0</v>
      </c>
      <c r="AG23" s="583">
        <f>VLOOKUP($H23,Nutrition_tables!$A:$AF,20,FALSE)*$Q23/100</f>
        <v>0</v>
      </c>
      <c r="AH23" s="583">
        <f>VLOOKUP($H23,Nutrition_tables!$A:$AF,21,FALSE)*$Q23/100</f>
        <v>0</v>
      </c>
      <c r="AI23" s="583">
        <f>VLOOKUP($H23,Nutrition_tables!$A:$AF,22,FALSE)*$Q23/100</f>
        <v>0</v>
      </c>
      <c r="AJ23" s="549">
        <f>VLOOKUP($H23,Nutrition_tables!$A:$AF,23,FALSE)*$Q23/100</f>
        <v>0</v>
      </c>
      <c r="AK23" s="583">
        <f>VLOOKUP($H23,Nutrition_tables!$A:$AF,24,FALSE)*$Q23/100</f>
        <v>0</v>
      </c>
      <c r="AL23" s="583">
        <f>VLOOKUP($H23,Nutrition_tables!$A:$AF,25,FALSE)*$Q23/100</f>
        <v>0</v>
      </c>
      <c r="AM23" s="583">
        <f>VLOOKUP($H23,Nutrition_tables!$A:$AF,26,FALSE)*$Q23/100</f>
        <v>0</v>
      </c>
      <c r="AN23" s="583">
        <f>VLOOKUP($H23,Nutrition_tables!$A:$AF,27,FALSE)*$Q23/100</f>
        <v>0</v>
      </c>
      <c r="AO23" s="583">
        <f>VLOOKUP($H23,Nutrition_tables!$A:$AF,28,FALSE)*$Q23/100</f>
        <v>0</v>
      </c>
      <c r="AP23" s="583">
        <f>VLOOKUP($H23,Nutrition_tables!$A:$AF,29,FALSE)*$Q23/100</f>
        <v>0</v>
      </c>
      <c r="AQ23" s="583">
        <f>VLOOKUP($H23,Nutrition_tables!$A:$AF,30,FALSE)*$Q23/100</f>
        <v>0</v>
      </c>
      <c r="AR23" s="583">
        <f>VLOOKUP($H23,Nutrition_tables!$A:$AF,31,FALSE)*$Q23/100</f>
        <v>0</v>
      </c>
      <c r="AS23" s="549">
        <f>VLOOKUP($H23,Nutrition_tables!$A:$AF,32,FALSE)*$Q23/100</f>
        <v>0</v>
      </c>
      <c r="AT23" s="583" t="str">
        <f>IF(H23="Select ingredient:","",IF(G23="Select food category:","",IFERROR(VLOOKUP($H23,Ingredient_prices!$E:$W,17,FALSE)*$Q23/1000,"not bought")))</f>
        <v/>
      </c>
      <c r="AU23" s="583" t="str">
        <f>IF(H23="Select ingredient:","",IF(G23="Select food category:","",IFERROR(VLOOKUP($H23,Ingredient_prices!$E:$W,18,FALSE)*$Q23/1000,"not bought")))</f>
        <v/>
      </c>
      <c r="AV23" s="583">
        <f t="shared" si="3"/>
        <v>0</v>
      </c>
      <c r="AW23" s="583">
        <f t="shared" si="4"/>
        <v>0</v>
      </c>
      <c r="AX23" s="583">
        <f t="shared" si="5"/>
        <v>0</v>
      </c>
      <c r="AY23" s="583">
        <f t="shared" si="6"/>
        <v>0</v>
      </c>
      <c r="AZ23" s="583">
        <f t="shared" si="7"/>
        <v>0</v>
      </c>
      <c r="BA23" s="583">
        <f t="shared" si="8"/>
        <v>0</v>
      </c>
      <c r="BB23" s="583">
        <f t="shared" si="9"/>
        <v>0</v>
      </c>
      <c r="BC23" s="583">
        <f t="shared" si="10"/>
        <v>0</v>
      </c>
      <c r="BD23" s="583">
        <f t="shared" si="11"/>
        <v>0</v>
      </c>
      <c r="BE23" s="583">
        <f t="shared" si="12"/>
        <v>0</v>
      </c>
      <c r="BF23" s="583">
        <f t="shared" si="13"/>
        <v>0</v>
      </c>
      <c r="BG23" s="583">
        <f t="shared" si="14"/>
        <v>0</v>
      </c>
      <c r="BH23" s="583">
        <f t="shared" si="15"/>
        <v>0</v>
      </c>
      <c r="BI23" s="583">
        <f t="shared" si="16"/>
        <v>0</v>
      </c>
      <c r="BJ23" s="583">
        <f t="shared" si="17"/>
        <v>0</v>
      </c>
      <c r="BK23" s="583">
        <f t="shared" si="18"/>
        <v>0</v>
      </c>
      <c r="BL23" s="583">
        <f t="shared" si="19"/>
        <v>0</v>
      </c>
      <c r="BM23" s="583">
        <f t="shared" si="20"/>
        <v>0</v>
      </c>
      <c r="BN23" s="583">
        <f t="shared" si="21"/>
        <v>0</v>
      </c>
      <c r="BO23" s="583">
        <f t="shared" si="22"/>
        <v>0</v>
      </c>
      <c r="BP23" s="583">
        <f t="shared" si="23"/>
        <v>0</v>
      </c>
      <c r="BQ23" s="583">
        <f t="shared" si="24"/>
        <v>0</v>
      </c>
      <c r="BR23" s="583">
        <f t="shared" si="25"/>
        <v>0</v>
      </c>
    </row>
    <row r="24" spans="1:70" s="229" customFormat="1" ht="15" customHeight="1">
      <c r="A24" s="590"/>
      <c r="D24" s="85"/>
      <c r="E24" s="576" t="str">
        <f t="shared" si="27"/>
        <v/>
      </c>
      <c r="F24" s="85"/>
      <c r="G24" s="406" t="s">
        <v>3054</v>
      </c>
      <c r="H24" s="1262" t="s">
        <v>3055</v>
      </c>
      <c r="I24" s="85">
        <v>0</v>
      </c>
      <c r="J24" s="682">
        <v>1</v>
      </c>
      <c r="K24" s="579" t="str">
        <f t="shared" si="1"/>
        <v/>
      </c>
      <c r="L24" s="580" t="str">
        <f>IF(H24="Select ingredient:","",IF(G24="","",_xlfn.IFNA(VLOOKUP($H24,Ingredient_prices!$E:$U,16,FALSE),0)))</f>
        <v/>
      </c>
      <c r="M24" s="591"/>
      <c r="N24" s="591"/>
      <c r="O24" s="591"/>
      <c r="P24" s="592"/>
      <c r="Q24" s="583">
        <f t="shared" si="2"/>
        <v>0</v>
      </c>
      <c r="R24" s="583">
        <f>VLOOKUP($H24,'CO2_emission+%_food_waste'!$A:$K,6,FALSE)*$Q24/100</f>
        <v>0</v>
      </c>
      <c r="S24" s="583">
        <f t="shared" si="26"/>
        <v>0</v>
      </c>
      <c r="T24" s="583" t="str">
        <f>IF(H24="Select ingredient:","",IF(G24="Select food category:","",_xlfn.IFNA(VLOOKUP($H24,Ingredient_prices!$E:$U,16,FALSE)*$Q24/1000,"not bought")))</f>
        <v/>
      </c>
      <c r="U24" s="583" t="str">
        <f>IF(G24="Select food category:","",_xlfn.IFNA(VLOOKUP($H24,Ingredient_prices!$E:$U,16,FALSE)*$R24/1000,"not bought"))</f>
        <v/>
      </c>
      <c r="V24" s="549">
        <f>VLOOKUP($H24,'CO2_emission+%_food_waste'!$A:$K,4,FALSE)*$Q24</f>
        <v>0</v>
      </c>
      <c r="W24" s="583">
        <f>VLOOKUP($H24,Nutrition_tables!$A:$N,10,FALSE)*$Q24/100</f>
        <v>0</v>
      </c>
      <c r="X24" s="583">
        <f>VLOOKUP($H24,Nutrition_tables!$A:$N,11,FALSE)*$Q24/100</f>
        <v>0</v>
      </c>
      <c r="Y24" s="583">
        <f>VLOOKUP($H24,Nutrition_tables!$A:$N,12,FALSE)*$Q24/100</f>
        <v>0</v>
      </c>
      <c r="Z24" s="583">
        <f>VLOOKUP($H24,Nutrition_tables!$A:$N,14,FALSE)*$Q24/100</f>
        <v>0</v>
      </c>
      <c r="AA24" s="583">
        <f>VLOOKUP($H24,Nutrition_tables!$A:$AF,13,FALSE)*$Q24/100</f>
        <v>0</v>
      </c>
      <c r="AB24" s="549">
        <f>VLOOKUP($H24,Nutrition_tables!$A:$AF,15,FALSE)*$Q24/100</f>
        <v>0</v>
      </c>
      <c r="AC24" s="583">
        <f>VLOOKUP($H24,Nutrition_tables!$A:$AF,16,FALSE)*$Q24/100</f>
        <v>0</v>
      </c>
      <c r="AD24" s="583">
        <f>VLOOKUP($H24,Nutrition_tables!$A:$AF,17,FALSE)*$Q24/100</f>
        <v>0</v>
      </c>
      <c r="AE24" s="583">
        <f>VLOOKUP($H24,Nutrition_tables!$A:$AF,18,FALSE)*$Q24/100</f>
        <v>0</v>
      </c>
      <c r="AF24" s="583">
        <f>VLOOKUP($H24,Nutrition_tables!$A:$AF,19,FALSE)*$Q24/100</f>
        <v>0</v>
      </c>
      <c r="AG24" s="583">
        <f>VLOOKUP($H24,Nutrition_tables!$A:$AF,20,FALSE)*$Q24/100</f>
        <v>0</v>
      </c>
      <c r="AH24" s="583">
        <f>VLOOKUP($H24,Nutrition_tables!$A:$AF,21,FALSE)*$Q24/100</f>
        <v>0</v>
      </c>
      <c r="AI24" s="583">
        <f>VLOOKUP($H24,Nutrition_tables!$A:$AF,22,FALSE)*$Q24/100</f>
        <v>0</v>
      </c>
      <c r="AJ24" s="549">
        <f>VLOOKUP($H24,Nutrition_tables!$A:$AF,23,FALSE)*$Q24/100</f>
        <v>0</v>
      </c>
      <c r="AK24" s="583">
        <f>VLOOKUP($H24,Nutrition_tables!$A:$AF,24,FALSE)*$Q24/100</f>
        <v>0</v>
      </c>
      <c r="AL24" s="583">
        <f>VLOOKUP($H24,Nutrition_tables!$A:$AF,25,FALSE)*$Q24/100</f>
        <v>0</v>
      </c>
      <c r="AM24" s="583">
        <f>VLOOKUP($H24,Nutrition_tables!$A:$AF,26,FALSE)*$Q24/100</f>
        <v>0</v>
      </c>
      <c r="AN24" s="583">
        <f>VLOOKUP($H24,Nutrition_tables!$A:$AF,27,FALSE)*$Q24/100</f>
        <v>0</v>
      </c>
      <c r="AO24" s="583">
        <f>VLOOKUP($H24,Nutrition_tables!$A:$AF,28,FALSE)*$Q24/100</f>
        <v>0</v>
      </c>
      <c r="AP24" s="583">
        <f>VLOOKUP($H24,Nutrition_tables!$A:$AF,29,FALSE)*$Q24/100</f>
        <v>0</v>
      </c>
      <c r="AQ24" s="583">
        <f>VLOOKUP($H24,Nutrition_tables!$A:$AF,30,FALSE)*$Q24/100</f>
        <v>0</v>
      </c>
      <c r="AR24" s="583">
        <f>VLOOKUP($H24,Nutrition_tables!$A:$AF,31,FALSE)*$Q24/100</f>
        <v>0</v>
      </c>
      <c r="AS24" s="549">
        <f>VLOOKUP($H24,Nutrition_tables!$A:$AF,32,FALSE)*$Q24/100</f>
        <v>0</v>
      </c>
      <c r="AT24" s="583" t="str">
        <f>IF(H24="Select ingredient:","",IF(G24="Select food category:","",IFERROR(VLOOKUP($H24,Ingredient_prices!$E:$W,17,FALSE)*$Q24/1000,"not bought")))</f>
        <v/>
      </c>
      <c r="AU24" s="583" t="str">
        <f>IF(H24="Select ingredient:","",IF(G24="Select food category:","",IFERROR(VLOOKUP($H24,Ingredient_prices!$E:$W,18,FALSE)*$Q24/1000,"not bought")))</f>
        <v/>
      </c>
      <c r="AV24" s="583">
        <f t="shared" si="3"/>
        <v>0</v>
      </c>
      <c r="AW24" s="583">
        <f t="shared" si="4"/>
        <v>0</v>
      </c>
      <c r="AX24" s="583">
        <f t="shared" si="5"/>
        <v>0</v>
      </c>
      <c r="AY24" s="583">
        <f t="shared" si="6"/>
        <v>0</v>
      </c>
      <c r="AZ24" s="583">
        <f t="shared" si="7"/>
        <v>0</v>
      </c>
      <c r="BA24" s="583">
        <f t="shared" si="8"/>
        <v>0</v>
      </c>
      <c r="BB24" s="583">
        <f t="shared" si="9"/>
        <v>0</v>
      </c>
      <c r="BC24" s="583">
        <f t="shared" si="10"/>
        <v>0</v>
      </c>
      <c r="BD24" s="583">
        <f t="shared" si="11"/>
        <v>0</v>
      </c>
      <c r="BE24" s="583">
        <f t="shared" si="12"/>
        <v>0</v>
      </c>
      <c r="BF24" s="583">
        <f t="shared" si="13"/>
        <v>0</v>
      </c>
      <c r="BG24" s="583">
        <f t="shared" si="14"/>
        <v>0</v>
      </c>
      <c r="BH24" s="583">
        <f t="shared" si="15"/>
        <v>0</v>
      </c>
      <c r="BI24" s="583">
        <f t="shared" si="16"/>
        <v>0</v>
      </c>
      <c r="BJ24" s="583">
        <f t="shared" si="17"/>
        <v>0</v>
      </c>
      <c r="BK24" s="583">
        <f t="shared" si="18"/>
        <v>0</v>
      </c>
      <c r="BL24" s="583">
        <f t="shared" si="19"/>
        <v>0</v>
      </c>
      <c r="BM24" s="583">
        <f t="shared" si="20"/>
        <v>0</v>
      </c>
      <c r="BN24" s="583">
        <f t="shared" si="21"/>
        <v>0</v>
      </c>
      <c r="BO24" s="583">
        <f t="shared" si="22"/>
        <v>0</v>
      </c>
      <c r="BP24" s="583">
        <f t="shared" si="23"/>
        <v>0</v>
      </c>
      <c r="BQ24" s="583">
        <f t="shared" si="24"/>
        <v>0</v>
      </c>
      <c r="BR24" s="583">
        <f t="shared" si="25"/>
        <v>0</v>
      </c>
    </row>
    <row r="25" spans="1:70" s="229" customFormat="1" ht="15" customHeight="1">
      <c r="A25" s="590"/>
      <c r="D25" s="85"/>
      <c r="E25" s="576" t="str">
        <f t="shared" si="27"/>
        <v/>
      </c>
      <c r="F25" s="85"/>
      <c r="G25" s="406" t="s">
        <v>3054</v>
      </c>
      <c r="H25" s="1262" t="s">
        <v>3055</v>
      </c>
      <c r="I25" s="85">
        <v>0</v>
      </c>
      <c r="J25" s="682">
        <v>1</v>
      </c>
      <c r="K25" s="579" t="str">
        <f t="shared" si="1"/>
        <v/>
      </c>
      <c r="L25" s="580" t="str">
        <f>IF(H25="Select ingredient:","",IF(G25="","",_xlfn.IFNA(VLOOKUP($H25,Ingredient_prices!$E:$U,16,FALSE),0)))</f>
        <v/>
      </c>
      <c r="M25" s="591"/>
      <c r="N25" s="591"/>
      <c r="O25" s="591"/>
      <c r="P25" s="592"/>
      <c r="Q25" s="583">
        <f t="shared" si="2"/>
        <v>0</v>
      </c>
      <c r="R25" s="583">
        <f>VLOOKUP($H25,'CO2_emission+%_food_waste'!$A:$K,6,FALSE)*$Q25/100</f>
        <v>0</v>
      </c>
      <c r="S25" s="583">
        <f t="shared" si="26"/>
        <v>0</v>
      </c>
      <c r="T25" s="583" t="str">
        <f>IF(H25="Select ingredient:","",IF(G25="Select food category:","",_xlfn.IFNA(VLOOKUP($H25,Ingredient_prices!$E:$U,16,FALSE)*$Q25/1000,"not bought")))</f>
        <v/>
      </c>
      <c r="U25" s="583" t="str">
        <f>IF(G25="Select food category:","",_xlfn.IFNA(VLOOKUP($H25,Ingredient_prices!$E:$U,16,FALSE)*$R25/1000,"not bought"))</f>
        <v/>
      </c>
      <c r="V25" s="549">
        <f>VLOOKUP($H25,'CO2_emission+%_food_waste'!$A:$K,4,FALSE)*$Q25</f>
        <v>0</v>
      </c>
      <c r="W25" s="583">
        <f>VLOOKUP($H25,Nutrition_tables!$A:$N,10,FALSE)*$Q25/100</f>
        <v>0</v>
      </c>
      <c r="X25" s="583">
        <f>VLOOKUP($H25,Nutrition_tables!$A:$N,11,FALSE)*$Q25/100</f>
        <v>0</v>
      </c>
      <c r="Y25" s="583">
        <f>VLOOKUP($H25,Nutrition_tables!$A:$N,12,FALSE)*$Q25/100</f>
        <v>0</v>
      </c>
      <c r="Z25" s="583">
        <f>VLOOKUP($H25,Nutrition_tables!$A:$N,14,FALSE)*$Q25/100</f>
        <v>0</v>
      </c>
      <c r="AA25" s="583">
        <f>VLOOKUP($H25,Nutrition_tables!$A:$AF,13,FALSE)*$Q25/100</f>
        <v>0</v>
      </c>
      <c r="AB25" s="549">
        <f>VLOOKUP($H25,Nutrition_tables!$A:$AF,15,FALSE)*$Q25/100</f>
        <v>0</v>
      </c>
      <c r="AC25" s="583">
        <f>VLOOKUP($H25,Nutrition_tables!$A:$AF,16,FALSE)*$Q25/100</f>
        <v>0</v>
      </c>
      <c r="AD25" s="583">
        <f>VLOOKUP($H25,Nutrition_tables!$A:$AF,17,FALSE)*$Q25/100</f>
        <v>0</v>
      </c>
      <c r="AE25" s="583">
        <f>VLOOKUP($H25,Nutrition_tables!$A:$AF,18,FALSE)*$Q25/100</f>
        <v>0</v>
      </c>
      <c r="AF25" s="583">
        <f>VLOOKUP($H25,Nutrition_tables!$A:$AF,19,FALSE)*$Q25/100</f>
        <v>0</v>
      </c>
      <c r="AG25" s="583">
        <f>VLOOKUP($H25,Nutrition_tables!$A:$AF,20,FALSE)*$Q25/100</f>
        <v>0</v>
      </c>
      <c r="AH25" s="583">
        <f>VLOOKUP($H25,Nutrition_tables!$A:$AF,21,FALSE)*$Q25/100</f>
        <v>0</v>
      </c>
      <c r="AI25" s="583">
        <f>VLOOKUP($H25,Nutrition_tables!$A:$AF,22,FALSE)*$Q25/100</f>
        <v>0</v>
      </c>
      <c r="AJ25" s="549">
        <f>VLOOKUP($H25,Nutrition_tables!$A:$AF,23,FALSE)*$Q25/100</f>
        <v>0</v>
      </c>
      <c r="AK25" s="583">
        <f>VLOOKUP($H25,Nutrition_tables!$A:$AF,24,FALSE)*$Q25/100</f>
        <v>0</v>
      </c>
      <c r="AL25" s="583">
        <f>VLOOKUP($H25,Nutrition_tables!$A:$AF,25,FALSE)*$Q25/100</f>
        <v>0</v>
      </c>
      <c r="AM25" s="583">
        <f>VLOOKUP($H25,Nutrition_tables!$A:$AF,26,FALSE)*$Q25/100</f>
        <v>0</v>
      </c>
      <c r="AN25" s="583">
        <f>VLOOKUP($H25,Nutrition_tables!$A:$AF,27,FALSE)*$Q25/100</f>
        <v>0</v>
      </c>
      <c r="AO25" s="583">
        <f>VLOOKUP($H25,Nutrition_tables!$A:$AF,28,FALSE)*$Q25/100</f>
        <v>0</v>
      </c>
      <c r="AP25" s="583">
        <f>VLOOKUP($H25,Nutrition_tables!$A:$AF,29,FALSE)*$Q25/100</f>
        <v>0</v>
      </c>
      <c r="AQ25" s="583">
        <f>VLOOKUP($H25,Nutrition_tables!$A:$AF,30,FALSE)*$Q25/100</f>
        <v>0</v>
      </c>
      <c r="AR25" s="583">
        <f>VLOOKUP($H25,Nutrition_tables!$A:$AF,31,FALSE)*$Q25/100</f>
        <v>0</v>
      </c>
      <c r="AS25" s="549">
        <f>VLOOKUP($H25,Nutrition_tables!$A:$AF,32,FALSE)*$Q25/100</f>
        <v>0</v>
      </c>
      <c r="AT25" s="583" t="str">
        <f>IF(H25="Select ingredient:","",IF(G25="Select food category:","",IFERROR(VLOOKUP($H25,Ingredient_prices!$E:$W,17,FALSE)*$Q25/1000,"not bought")))</f>
        <v/>
      </c>
      <c r="AU25" s="583" t="str">
        <f>IF(H25="Select ingredient:","",IF(G25="Select food category:","",IFERROR(VLOOKUP($H25,Ingredient_prices!$E:$W,18,FALSE)*$Q25/1000,"not bought")))</f>
        <v/>
      </c>
      <c r="AV25" s="583">
        <f t="shared" si="3"/>
        <v>0</v>
      </c>
      <c r="AW25" s="583">
        <f t="shared" si="4"/>
        <v>0</v>
      </c>
      <c r="AX25" s="583">
        <f t="shared" si="5"/>
        <v>0</v>
      </c>
      <c r="AY25" s="583">
        <f t="shared" si="6"/>
        <v>0</v>
      </c>
      <c r="AZ25" s="583">
        <f t="shared" si="7"/>
        <v>0</v>
      </c>
      <c r="BA25" s="583">
        <f t="shared" si="8"/>
        <v>0</v>
      </c>
      <c r="BB25" s="583">
        <f t="shared" si="9"/>
        <v>0</v>
      </c>
      <c r="BC25" s="583">
        <f t="shared" si="10"/>
        <v>0</v>
      </c>
      <c r="BD25" s="583">
        <f t="shared" si="11"/>
        <v>0</v>
      </c>
      <c r="BE25" s="583">
        <f t="shared" si="12"/>
        <v>0</v>
      </c>
      <c r="BF25" s="583">
        <f t="shared" si="13"/>
        <v>0</v>
      </c>
      <c r="BG25" s="583">
        <f t="shared" si="14"/>
        <v>0</v>
      </c>
      <c r="BH25" s="583">
        <f t="shared" si="15"/>
        <v>0</v>
      </c>
      <c r="BI25" s="583">
        <f t="shared" si="16"/>
        <v>0</v>
      </c>
      <c r="BJ25" s="583">
        <f t="shared" si="17"/>
        <v>0</v>
      </c>
      <c r="BK25" s="583">
        <f t="shared" si="18"/>
        <v>0</v>
      </c>
      <c r="BL25" s="583">
        <f t="shared" si="19"/>
        <v>0</v>
      </c>
      <c r="BM25" s="583">
        <f t="shared" si="20"/>
        <v>0</v>
      </c>
      <c r="BN25" s="583">
        <f t="shared" si="21"/>
        <v>0</v>
      </c>
      <c r="BO25" s="583">
        <f t="shared" si="22"/>
        <v>0</v>
      </c>
      <c r="BP25" s="583">
        <f t="shared" si="23"/>
        <v>0</v>
      </c>
      <c r="BQ25" s="583">
        <f t="shared" si="24"/>
        <v>0</v>
      </c>
      <c r="BR25" s="583">
        <f t="shared" si="25"/>
        <v>0</v>
      </c>
    </row>
    <row r="26" spans="1:70" s="229" customFormat="1" ht="15" customHeight="1">
      <c r="A26" s="590"/>
      <c r="D26" s="85"/>
      <c r="E26" s="576" t="str">
        <f t="shared" si="27"/>
        <v/>
      </c>
      <c r="F26" s="85"/>
      <c r="G26" s="406" t="s">
        <v>3054</v>
      </c>
      <c r="H26" s="1262" t="s">
        <v>3055</v>
      </c>
      <c r="I26" s="85">
        <v>0</v>
      </c>
      <c r="J26" s="682">
        <v>1</v>
      </c>
      <c r="K26" s="579" t="str">
        <f t="shared" si="1"/>
        <v/>
      </c>
      <c r="L26" s="580" t="str">
        <f>IF(H26="Select ingredient:","",IF(G26="","",_xlfn.IFNA(VLOOKUP($H26,Ingredient_prices!$E:$U,16,FALSE),0)))</f>
        <v/>
      </c>
      <c r="M26" s="591"/>
      <c r="N26" s="591"/>
      <c r="O26" s="591"/>
      <c r="P26" s="592"/>
      <c r="Q26" s="583">
        <f t="shared" si="2"/>
        <v>0</v>
      </c>
      <c r="R26" s="583">
        <f>VLOOKUP($H26,'CO2_emission+%_food_waste'!$A:$K,6,FALSE)*$Q26/100</f>
        <v>0</v>
      </c>
      <c r="S26" s="583">
        <f t="shared" si="26"/>
        <v>0</v>
      </c>
      <c r="T26" s="583" t="str">
        <f>IF(H26="Select ingredient:","",IF(G26="Select food category:","",_xlfn.IFNA(VLOOKUP($H26,Ingredient_prices!$E:$U,16,FALSE)*$Q26/1000,"not bought")))</f>
        <v/>
      </c>
      <c r="U26" s="583" t="str">
        <f>IF(G26="Select food category:","",_xlfn.IFNA(VLOOKUP($H26,Ingredient_prices!$E:$U,16,FALSE)*$R26/1000,"not bought"))</f>
        <v/>
      </c>
      <c r="V26" s="549">
        <f>VLOOKUP($H26,'CO2_emission+%_food_waste'!$A:$K,4,FALSE)*$Q26</f>
        <v>0</v>
      </c>
      <c r="W26" s="583">
        <f>VLOOKUP($H26,Nutrition_tables!$A:$N,10,FALSE)*$Q26/100</f>
        <v>0</v>
      </c>
      <c r="X26" s="583">
        <f>VLOOKUP($H26,Nutrition_tables!$A:$N,11,FALSE)*$Q26/100</f>
        <v>0</v>
      </c>
      <c r="Y26" s="583">
        <f>VLOOKUP($H26,Nutrition_tables!$A:$N,12,FALSE)*$Q26/100</f>
        <v>0</v>
      </c>
      <c r="Z26" s="583">
        <f>VLOOKUP($H26,Nutrition_tables!$A:$N,14,FALSE)*$Q26/100</f>
        <v>0</v>
      </c>
      <c r="AA26" s="583">
        <f>VLOOKUP($H26,Nutrition_tables!$A:$AF,13,FALSE)*$Q26/100</f>
        <v>0</v>
      </c>
      <c r="AB26" s="549">
        <f>VLOOKUP($H26,Nutrition_tables!$A:$AF,15,FALSE)*$Q26/100</f>
        <v>0</v>
      </c>
      <c r="AC26" s="583">
        <f>VLOOKUP($H26,Nutrition_tables!$A:$AF,16,FALSE)*$Q26/100</f>
        <v>0</v>
      </c>
      <c r="AD26" s="583">
        <f>VLOOKUP($H26,Nutrition_tables!$A:$AF,17,FALSE)*$Q26/100</f>
        <v>0</v>
      </c>
      <c r="AE26" s="583">
        <f>VLOOKUP($H26,Nutrition_tables!$A:$AF,18,FALSE)*$Q26/100</f>
        <v>0</v>
      </c>
      <c r="AF26" s="583">
        <f>VLOOKUP($H26,Nutrition_tables!$A:$AF,19,FALSE)*$Q26/100</f>
        <v>0</v>
      </c>
      <c r="AG26" s="583">
        <f>VLOOKUP($H26,Nutrition_tables!$A:$AF,20,FALSE)*$Q26/100</f>
        <v>0</v>
      </c>
      <c r="AH26" s="583">
        <f>VLOOKUP($H26,Nutrition_tables!$A:$AF,21,FALSE)*$Q26/100</f>
        <v>0</v>
      </c>
      <c r="AI26" s="583">
        <f>VLOOKUP($H26,Nutrition_tables!$A:$AF,22,FALSE)*$Q26/100</f>
        <v>0</v>
      </c>
      <c r="AJ26" s="549">
        <f>VLOOKUP($H26,Nutrition_tables!$A:$AF,23,FALSE)*$Q26/100</f>
        <v>0</v>
      </c>
      <c r="AK26" s="583">
        <f>VLOOKUP($H26,Nutrition_tables!$A:$AF,24,FALSE)*$Q26/100</f>
        <v>0</v>
      </c>
      <c r="AL26" s="583">
        <f>VLOOKUP($H26,Nutrition_tables!$A:$AF,25,FALSE)*$Q26/100</f>
        <v>0</v>
      </c>
      <c r="AM26" s="583">
        <f>VLOOKUP($H26,Nutrition_tables!$A:$AF,26,FALSE)*$Q26/100</f>
        <v>0</v>
      </c>
      <c r="AN26" s="583">
        <f>VLOOKUP($H26,Nutrition_tables!$A:$AF,27,FALSE)*$Q26/100</f>
        <v>0</v>
      </c>
      <c r="AO26" s="583">
        <f>VLOOKUP($H26,Nutrition_tables!$A:$AF,28,FALSE)*$Q26/100</f>
        <v>0</v>
      </c>
      <c r="AP26" s="583">
        <f>VLOOKUP($H26,Nutrition_tables!$A:$AF,29,FALSE)*$Q26/100</f>
        <v>0</v>
      </c>
      <c r="AQ26" s="583">
        <f>VLOOKUP($H26,Nutrition_tables!$A:$AF,30,FALSE)*$Q26/100</f>
        <v>0</v>
      </c>
      <c r="AR26" s="583">
        <f>VLOOKUP($H26,Nutrition_tables!$A:$AF,31,FALSE)*$Q26/100</f>
        <v>0</v>
      </c>
      <c r="AS26" s="549">
        <f>VLOOKUP($H26,Nutrition_tables!$A:$AF,32,FALSE)*$Q26/100</f>
        <v>0</v>
      </c>
      <c r="AT26" s="583" t="str">
        <f>IF(H26="Select ingredient:","",IF(G26="Select food category:","",IFERROR(VLOOKUP($H26,Ingredient_prices!$E:$W,17,FALSE)*$Q26/1000,"not bought")))</f>
        <v/>
      </c>
      <c r="AU26" s="583" t="str">
        <f>IF(H26="Select ingredient:","",IF(G26="Select food category:","",IFERROR(VLOOKUP($H26,Ingredient_prices!$E:$W,18,FALSE)*$Q26/1000,"not bought")))</f>
        <v/>
      </c>
      <c r="AV26" s="583">
        <f t="shared" si="3"/>
        <v>0</v>
      </c>
      <c r="AW26" s="583">
        <f t="shared" si="4"/>
        <v>0</v>
      </c>
      <c r="AX26" s="583">
        <f t="shared" si="5"/>
        <v>0</v>
      </c>
      <c r="AY26" s="583">
        <f t="shared" si="6"/>
        <v>0</v>
      </c>
      <c r="AZ26" s="583">
        <f t="shared" si="7"/>
        <v>0</v>
      </c>
      <c r="BA26" s="583">
        <f t="shared" si="8"/>
        <v>0</v>
      </c>
      <c r="BB26" s="583">
        <f t="shared" si="9"/>
        <v>0</v>
      </c>
      <c r="BC26" s="583">
        <f t="shared" si="10"/>
        <v>0</v>
      </c>
      <c r="BD26" s="583">
        <f t="shared" si="11"/>
        <v>0</v>
      </c>
      <c r="BE26" s="583">
        <f t="shared" si="12"/>
        <v>0</v>
      </c>
      <c r="BF26" s="583">
        <f t="shared" si="13"/>
        <v>0</v>
      </c>
      <c r="BG26" s="583">
        <f t="shared" si="14"/>
        <v>0</v>
      </c>
      <c r="BH26" s="583">
        <f t="shared" si="15"/>
        <v>0</v>
      </c>
      <c r="BI26" s="583">
        <f t="shared" si="16"/>
        <v>0</v>
      </c>
      <c r="BJ26" s="583">
        <f t="shared" si="17"/>
        <v>0</v>
      </c>
      <c r="BK26" s="583">
        <f t="shared" si="18"/>
        <v>0</v>
      </c>
      <c r="BL26" s="583">
        <f t="shared" si="19"/>
        <v>0</v>
      </c>
      <c r="BM26" s="583">
        <f t="shared" si="20"/>
        <v>0</v>
      </c>
      <c r="BN26" s="583">
        <f t="shared" si="21"/>
        <v>0</v>
      </c>
      <c r="BO26" s="583">
        <f t="shared" si="22"/>
        <v>0</v>
      </c>
      <c r="BP26" s="583">
        <f t="shared" si="23"/>
        <v>0</v>
      </c>
      <c r="BQ26" s="583">
        <f t="shared" si="24"/>
        <v>0</v>
      </c>
      <c r="BR26" s="583">
        <f t="shared" si="25"/>
        <v>0</v>
      </c>
    </row>
    <row r="27" spans="1:70" s="229" customFormat="1" ht="15" customHeight="1">
      <c r="A27" s="590"/>
      <c r="D27" s="85"/>
      <c r="E27" s="576" t="str">
        <f t="shared" si="27"/>
        <v/>
      </c>
      <c r="F27" s="85"/>
      <c r="G27" s="406" t="s">
        <v>3054</v>
      </c>
      <c r="H27" s="1262" t="s">
        <v>3055</v>
      </c>
      <c r="I27" s="85">
        <v>0</v>
      </c>
      <c r="J27" s="682">
        <v>1</v>
      </c>
      <c r="K27" s="579" t="str">
        <f t="shared" si="1"/>
        <v/>
      </c>
      <c r="L27" s="580" t="str">
        <f>IF(H27="Select ingredient:","",IF(G27="","",_xlfn.IFNA(VLOOKUP($H27,Ingredient_prices!$E:$U,16,FALSE),0)))</f>
        <v/>
      </c>
      <c r="M27" s="591"/>
      <c r="N27" s="591"/>
      <c r="O27" s="591"/>
      <c r="P27" s="592"/>
      <c r="Q27" s="583">
        <f t="shared" si="2"/>
        <v>0</v>
      </c>
      <c r="R27" s="583">
        <f>VLOOKUP($H27,'CO2_emission+%_food_waste'!$A:$K,6,FALSE)*$Q27/100</f>
        <v>0</v>
      </c>
      <c r="S27" s="583">
        <f t="shared" si="26"/>
        <v>0</v>
      </c>
      <c r="T27" s="583" t="str">
        <f>IF(H27="Select ingredient:","",IF(G27="Select food category:","",_xlfn.IFNA(VLOOKUP($H27,Ingredient_prices!$E:$U,16,FALSE)*$Q27/1000,"not bought")))</f>
        <v/>
      </c>
      <c r="U27" s="583" t="str">
        <f>IF(G27="Select food category:","",_xlfn.IFNA(VLOOKUP($H27,Ingredient_prices!$E:$U,16,FALSE)*$R27/1000,"not bought"))</f>
        <v/>
      </c>
      <c r="V27" s="549">
        <f>VLOOKUP($H27,'CO2_emission+%_food_waste'!$A:$K,4,FALSE)*$Q27</f>
        <v>0</v>
      </c>
      <c r="W27" s="583">
        <f>VLOOKUP($H27,Nutrition_tables!$A:$N,10,FALSE)*$Q27/100</f>
        <v>0</v>
      </c>
      <c r="X27" s="583">
        <f>VLOOKUP($H27,Nutrition_tables!$A:$N,11,FALSE)*$Q27/100</f>
        <v>0</v>
      </c>
      <c r="Y27" s="583">
        <f>VLOOKUP($H27,Nutrition_tables!$A:$N,12,FALSE)*$Q27/100</f>
        <v>0</v>
      </c>
      <c r="Z27" s="583">
        <f>VLOOKUP($H27,Nutrition_tables!$A:$N,14,FALSE)*$Q27/100</f>
        <v>0</v>
      </c>
      <c r="AA27" s="583">
        <f>VLOOKUP($H27,Nutrition_tables!$A:$AF,13,FALSE)*$Q27/100</f>
        <v>0</v>
      </c>
      <c r="AB27" s="549">
        <f>VLOOKUP($H27,Nutrition_tables!$A:$AF,15,FALSE)*$Q27/100</f>
        <v>0</v>
      </c>
      <c r="AC27" s="583">
        <f>VLOOKUP($H27,Nutrition_tables!$A:$AF,16,FALSE)*$Q27/100</f>
        <v>0</v>
      </c>
      <c r="AD27" s="583">
        <f>VLOOKUP($H27,Nutrition_tables!$A:$AF,17,FALSE)*$Q27/100</f>
        <v>0</v>
      </c>
      <c r="AE27" s="583">
        <f>VLOOKUP($H27,Nutrition_tables!$A:$AF,18,FALSE)*$Q27/100</f>
        <v>0</v>
      </c>
      <c r="AF27" s="583">
        <f>VLOOKUP($H27,Nutrition_tables!$A:$AF,19,FALSE)*$Q27/100</f>
        <v>0</v>
      </c>
      <c r="AG27" s="583">
        <f>VLOOKUP($H27,Nutrition_tables!$A:$AF,20,FALSE)*$Q27/100</f>
        <v>0</v>
      </c>
      <c r="AH27" s="583">
        <f>VLOOKUP($H27,Nutrition_tables!$A:$AF,21,FALSE)*$Q27/100</f>
        <v>0</v>
      </c>
      <c r="AI27" s="583">
        <f>VLOOKUP($H27,Nutrition_tables!$A:$AF,22,FALSE)*$Q27/100</f>
        <v>0</v>
      </c>
      <c r="AJ27" s="549">
        <f>VLOOKUP($H27,Nutrition_tables!$A:$AF,23,FALSE)*$Q27/100</f>
        <v>0</v>
      </c>
      <c r="AK27" s="583">
        <f>VLOOKUP($H27,Nutrition_tables!$A:$AF,24,FALSE)*$Q27/100</f>
        <v>0</v>
      </c>
      <c r="AL27" s="583">
        <f>VLOOKUP($H27,Nutrition_tables!$A:$AF,25,FALSE)*$Q27/100</f>
        <v>0</v>
      </c>
      <c r="AM27" s="583">
        <f>VLOOKUP($H27,Nutrition_tables!$A:$AF,26,FALSE)*$Q27/100</f>
        <v>0</v>
      </c>
      <c r="AN27" s="583">
        <f>VLOOKUP($H27,Nutrition_tables!$A:$AF,27,FALSE)*$Q27/100</f>
        <v>0</v>
      </c>
      <c r="AO27" s="583">
        <f>VLOOKUP($H27,Nutrition_tables!$A:$AF,28,FALSE)*$Q27/100</f>
        <v>0</v>
      </c>
      <c r="AP27" s="583">
        <f>VLOOKUP($H27,Nutrition_tables!$A:$AF,29,FALSE)*$Q27/100</f>
        <v>0</v>
      </c>
      <c r="AQ27" s="583">
        <f>VLOOKUP($H27,Nutrition_tables!$A:$AF,30,FALSE)*$Q27/100</f>
        <v>0</v>
      </c>
      <c r="AR27" s="583">
        <f>VLOOKUP($H27,Nutrition_tables!$A:$AF,31,FALSE)*$Q27/100</f>
        <v>0</v>
      </c>
      <c r="AS27" s="549">
        <f>VLOOKUP($H27,Nutrition_tables!$A:$AF,32,FALSE)*$Q27/100</f>
        <v>0</v>
      </c>
      <c r="AT27" s="583" t="str">
        <f>IF(H27="Select ingredient:","",IF(G27="Select food category:","",IFERROR(VLOOKUP($H27,Ingredient_prices!$E:$W,17,FALSE)*$Q27/1000,"not bought")))</f>
        <v/>
      </c>
      <c r="AU27" s="583" t="str">
        <f>IF(H27="Select ingredient:","",IF(G27="Select food category:","",IFERROR(VLOOKUP($H27,Ingredient_prices!$E:$W,18,FALSE)*$Q27/1000,"not bought")))</f>
        <v/>
      </c>
      <c r="AV27" s="583">
        <f t="shared" si="3"/>
        <v>0</v>
      </c>
      <c r="AW27" s="583">
        <f t="shared" si="4"/>
        <v>0</v>
      </c>
      <c r="AX27" s="583">
        <f t="shared" si="5"/>
        <v>0</v>
      </c>
      <c r="AY27" s="583">
        <f t="shared" si="6"/>
        <v>0</v>
      </c>
      <c r="AZ27" s="583">
        <f t="shared" si="7"/>
        <v>0</v>
      </c>
      <c r="BA27" s="583">
        <f t="shared" si="8"/>
        <v>0</v>
      </c>
      <c r="BB27" s="583">
        <f t="shared" si="9"/>
        <v>0</v>
      </c>
      <c r="BC27" s="583">
        <f t="shared" si="10"/>
        <v>0</v>
      </c>
      <c r="BD27" s="583">
        <f t="shared" si="11"/>
        <v>0</v>
      </c>
      <c r="BE27" s="583">
        <f t="shared" si="12"/>
        <v>0</v>
      </c>
      <c r="BF27" s="583">
        <f t="shared" si="13"/>
        <v>0</v>
      </c>
      <c r="BG27" s="583">
        <f t="shared" si="14"/>
        <v>0</v>
      </c>
      <c r="BH27" s="583">
        <f t="shared" si="15"/>
        <v>0</v>
      </c>
      <c r="BI27" s="583">
        <f t="shared" si="16"/>
        <v>0</v>
      </c>
      <c r="BJ27" s="583">
        <f t="shared" si="17"/>
        <v>0</v>
      </c>
      <c r="BK27" s="583">
        <f t="shared" si="18"/>
        <v>0</v>
      </c>
      <c r="BL27" s="583">
        <f t="shared" si="19"/>
        <v>0</v>
      </c>
      <c r="BM27" s="583">
        <f t="shared" si="20"/>
        <v>0</v>
      </c>
      <c r="BN27" s="583">
        <f t="shared" si="21"/>
        <v>0</v>
      </c>
      <c r="BO27" s="583">
        <f t="shared" si="22"/>
        <v>0</v>
      </c>
      <c r="BP27" s="583">
        <f t="shared" si="23"/>
        <v>0</v>
      </c>
      <c r="BQ27" s="583">
        <f t="shared" si="24"/>
        <v>0</v>
      </c>
      <c r="BR27" s="583">
        <f t="shared" si="25"/>
        <v>0</v>
      </c>
    </row>
    <row r="28" spans="1:70" s="229" customFormat="1" ht="15" customHeight="1">
      <c r="A28" s="590"/>
      <c r="D28" s="85"/>
      <c r="E28" s="576" t="str">
        <f t="shared" si="27"/>
        <v/>
      </c>
      <c r="F28" s="85"/>
      <c r="G28" s="406" t="s">
        <v>3054</v>
      </c>
      <c r="H28" s="1262" t="s">
        <v>3055</v>
      </c>
      <c r="I28" s="85">
        <v>0</v>
      </c>
      <c r="J28" s="682">
        <v>1</v>
      </c>
      <c r="K28" s="579" t="str">
        <f t="shared" si="1"/>
        <v/>
      </c>
      <c r="L28" s="580" t="str">
        <f>IF(H28="Select ingredient:","",IF(G28="","",_xlfn.IFNA(VLOOKUP($H28,Ingredient_prices!$E:$U,16,FALSE),0)))</f>
        <v/>
      </c>
      <c r="M28" s="591"/>
      <c r="N28" s="591"/>
      <c r="O28" s="591"/>
      <c r="P28" s="592"/>
      <c r="Q28" s="583">
        <f t="shared" si="2"/>
        <v>0</v>
      </c>
      <c r="R28" s="583">
        <f>VLOOKUP($H28,'CO2_emission+%_food_waste'!$A:$K,6,FALSE)*$Q28/100</f>
        <v>0</v>
      </c>
      <c r="S28" s="583">
        <f t="shared" si="26"/>
        <v>0</v>
      </c>
      <c r="T28" s="583" t="str">
        <f>IF(H28="Select ingredient:","",IF(G28="Select food category:","",_xlfn.IFNA(VLOOKUP($H28,Ingredient_prices!$E:$U,16,FALSE)*$Q28/1000,"not bought")))</f>
        <v/>
      </c>
      <c r="U28" s="583" t="str">
        <f>IF(G28="Select food category:","",_xlfn.IFNA(VLOOKUP($H28,Ingredient_prices!$E:$U,16,FALSE)*$R28/1000,"not bought"))</f>
        <v/>
      </c>
      <c r="V28" s="549">
        <f>VLOOKUP($H28,'CO2_emission+%_food_waste'!$A:$K,4,FALSE)*$Q28</f>
        <v>0</v>
      </c>
      <c r="W28" s="583">
        <f>VLOOKUP($H28,Nutrition_tables!$A:$N,10,FALSE)*$Q28/100</f>
        <v>0</v>
      </c>
      <c r="X28" s="583">
        <f>VLOOKUP($H28,Nutrition_tables!$A:$N,11,FALSE)*$Q28/100</f>
        <v>0</v>
      </c>
      <c r="Y28" s="583">
        <f>VLOOKUP($H28,Nutrition_tables!$A:$N,12,FALSE)*$Q28/100</f>
        <v>0</v>
      </c>
      <c r="Z28" s="583">
        <f>VLOOKUP($H28,Nutrition_tables!$A:$N,14,FALSE)*$Q28/100</f>
        <v>0</v>
      </c>
      <c r="AA28" s="583">
        <f>VLOOKUP($H28,Nutrition_tables!$A:$AF,13,FALSE)*$Q28/100</f>
        <v>0</v>
      </c>
      <c r="AB28" s="549">
        <f>VLOOKUP($H28,Nutrition_tables!$A:$AF,15,FALSE)*$Q28/100</f>
        <v>0</v>
      </c>
      <c r="AC28" s="583">
        <f>VLOOKUP($H28,Nutrition_tables!$A:$AF,16,FALSE)*$Q28/100</f>
        <v>0</v>
      </c>
      <c r="AD28" s="583">
        <f>VLOOKUP($H28,Nutrition_tables!$A:$AF,17,FALSE)*$Q28/100</f>
        <v>0</v>
      </c>
      <c r="AE28" s="583">
        <f>VLOOKUP($H28,Nutrition_tables!$A:$AF,18,FALSE)*$Q28/100</f>
        <v>0</v>
      </c>
      <c r="AF28" s="583">
        <f>VLOOKUP($H28,Nutrition_tables!$A:$AF,19,FALSE)*$Q28/100</f>
        <v>0</v>
      </c>
      <c r="AG28" s="583">
        <f>VLOOKUP($H28,Nutrition_tables!$A:$AF,20,FALSE)*$Q28/100</f>
        <v>0</v>
      </c>
      <c r="AH28" s="583">
        <f>VLOOKUP($H28,Nutrition_tables!$A:$AF,21,FALSE)*$Q28/100</f>
        <v>0</v>
      </c>
      <c r="AI28" s="583">
        <f>VLOOKUP($H28,Nutrition_tables!$A:$AF,22,FALSE)*$Q28/100</f>
        <v>0</v>
      </c>
      <c r="AJ28" s="549">
        <f>VLOOKUP($H28,Nutrition_tables!$A:$AF,23,FALSE)*$Q28/100</f>
        <v>0</v>
      </c>
      <c r="AK28" s="583">
        <f>VLOOKUP($H28,Nutrition_tables!$A:$AF,24,FALSE)*$Q28/100</f>
        <v>0</v>
      </c>
      <c r="AL28" s="583">
        <f>VLOOKUP($H28,Nutrition_tables!$A:$AF,25,FALSE)*$Q28/100</f>
        <v>0</v>
      </c>
      <c r="AM28" s="583">
        <f>VLOOKUP($H28,Nutrition_tables!$A:$AF,26,FALSE)*$Q28/100</f>
        <v>0</v>
      </c>
      <c r="AN28" s="583">
        <f>VLOOKUP($H28,Nutrition_tables!$A:$AF,27,FALSE)*$Q28/100</f>
        <v>0</v>
      </c>
      <c r="AO28" s="583">
        <f>VLOOKUP($H28,Nutrition_tables!$A:$AF,28,FALSE)*$Q28/100</f>
        <v>0</v>
      </c>
      <c r="AP28" s="583">
        <f>VLOOKUP($H28,Nutrition_tables!$A:$AF,29,FALSE)*$Q28/100</f>
        <v>0</v>
      </c>
      <c r="AQ28" s="583">
        <f>VLOOKUP($H28,Nutrition_tables!$A:$AF,30,FALSE)*$Q28/100</f>
        <v>0</v>
      </c>
      <c r="AR28" s="583">
        <f>VLOOKUP($H28,Nutrition_tables!$A:$AF,31,FALSE)*$Q28/100</f>
        <v>0</v>
      </c>
      <c r="AS28" s="549">
        <f>VLOOKUP($H28,Nutrition_tables!$A:$AF,32,FALSE)*$Q28/100</f>
        <v>0</v>
      </c>
      <c r="AT28" s="583" t="str">
        <f>IF(H28="Select ingredient:","",IF(G28="Select food category:","",IFERROR(VLOOKUP($H28,Ingredient_prices!$E:$W,17,FALSE)*$Q28/1000,"not bought")))</f>
        <v/>
      </c>
      <c r="AU28" s="583" t="str">
        <f>IF(H28="Select ingredient:","",IF(G28="Select food category:","",IFERROR(VLOOKUP($H28,Ingredient_prices!$E:$W,18,FALSE)*$Q28/1000,"not bought")))</f>
        <v/>
      </c>
      <c r="AV28" s="583">
        <f t="shared" si="3"/>
        <v>0</v>
      </c>
      <c r="AW28" s="583">
        <f t="shared" si="4"/>
        <v>0</v>
      </c>
      <c r="AX28" s="583">
        <f t="shared" si="5"/>
        <v>0</v>
      </c>
      <c r="AY28" s="583">
        <f t="shared" si="6"/>
        <v>0</v>
      </c>
      <c r="AZ28" s="583">
        <f t="shared" si="7"/>
        <v>0</v>
      </c>
      <c r="BA28" s="583">
        <f t="shared" si="8"/>
        <v>0</v>
      </c>
      <c r="BB28" s="583">
        <f t="shared" si="9"/>
        <v>0</v>
      </c>
      <c r="BC28" s="583">
        <f t="shared" si="10"/>
        <v>0</v>
      </c>
      <c r="BD28" s="583">
        <f t="shared" si="11"/>
        <v>0</v>
      </c>
      <c r="BE28" s="583">
        <f t="shared" si="12"/>
        <v>0</v>
      </c>
      <c r="BF28" s="583">
        <f t="shared" si="13"/>
        <v>0</v>
      </c>
      <c r="BG28" s="583">
        <f t="shared" si="14"/>
        <v>0</v>
      </c>
      <c r="BH28" s="583">
        <f t="shared" si="15"/>
        <v>0</v>
      </c>
      <c r="BI28" s="583">
        <f t="shared" si="16"/>
        <v>0</v>
      </c>
      <c r="BJ28" s="583">
        <f t="shared" si="17"/>
        <v>0</v>
      </c>
      <c r="BK28" s="583">
        <f t="shared" si="18"/>
        <v>0</v>
      </c>
      <c r="BL28" s="583">
        <f t="shared" si="19"/>
        <v>0</v>
      </c>
      <c r="BM28" s="583">
        <f t="shared" si="20"/>
        <v>0</v>
      </c>
      <c r="BN28" s="583">
        <f t="shared" si="21"/>
        <v>0</v>
      </c>
      <c r="BO28" s="583">
        <f t="shared" si="22"/>
        <v>0</v>
      </c>
      <c r="BP28" s="583">
        <f t="shared" si="23"/>
        <v>0</v>
      </c>
      <c r="BQ28" s="583">
        <f t="shared" si="24"/>
        <v>0</v>
      </c>
      <c r="BR28" s="583">
        <f t="shared" si="25"/>
        <v>0</v>
      </c>
    </row>
    <row r="29" spans="1:70" s="229" customFormat="1" ht="15" customHeight="1">
      <c r="A29" s="590"/>
      <c r="D29" s="85"/>
      <c r="E29" s="576" t="str">
        <f t="shared" si="27"/>
        <v/>
      </c>
      <c r="F29" s="85"/>
      <c r="G29" s="406" t="s">
        <v>3054</v>
      </c>
      <c r="H29" s="1262" t="s">
        <v>3055</v>
      </c>
      <c r="I29" s="85">
        <v>0</v>
      </c>
      <c r="J29" s="682">
        <v>1</v>
      </c>
      <c r="K29" s="579" t="str">
        <f t="shared" si="1"/>
        <v/>
      </c>
      <c r="L29" s="580" t="str">
        <f>IF(H29="Select ingredient:","",IF(G29="","",_xlfn.IFNA(VLOOKUP($H29,Ingredient_prices!$E:$U,16,FALSE),0)))</f>
        <v/>
      </c>
      <c r="M29" s="591"/>
      <c r="N29" s="591"/>
      <c r="O29" s="591"/>
      <c r="P29" s="592"/>
      <c r="Q29" s="583">
        <f t="shared" si="2"/>
        <v>0</v>
      </c>
      <c r="R29" s="583">
        <f>VLOOKUP($H29,'CO2_emission+%_food_waste'!$A:$K,6,FALSE)*$Q29/100</f>
        <v>0</v>
      </c>
      <c r="S29" s="583">
        <f t="shared" si="26"/>
        <v>0</v>
      </c>
      <c r="T29" s="583" t="str">
        <f>IF(H29="Select ingredient:","",IF(G29="Select food category:","",_xlfn.IFNA(VLOOKUP($H29,Ingredient_prices!$E:$U,16,FALSE)*$Q29/1000,"not bought")))</f>
        <v/>
      </c>
      <c r="U29" s="583" t="str">
        <f>IF(G29="Select food category:","",_xlfn.IFNA(VLOOKUP($H29,Ingredient_prices!$E:$U,16,FALSE)*$R29/1000,"not bought"))</f>
        <v/>
      </c>
      <c r="V29" s="549">
        <f>VLOOKUP($H29,'CO2_emission+%_food_waste'!$A:$K,4,FALSE)*$Q29</f>
        <v>0</v>
      </c>
      <c r="W29" s="583">
        <f>VLOOKUP($H29,Nutrition_tables!$A:$N,10,FALSE)*$Q29/100</f>
        <v>0</v>
      </c>
      <c r="X29" s="583">
        <f>VLOOKUP($H29,Nutrition_tables!$A:$N,11,FALSE)*$Q29/100</f>
        <v>0</v>
      </c>
      <c r="Y29" s="583">
        <f>VLOOKUP($H29,Nutrition_tables!$A:$N,12,FALSE)*$Q29/100</f>
        <v>0</v>
      </c>
      <c r="Z29" s="583">
        <f>VLOOKUP($H29,Nutrition_tables!$A:$N,14,FALSE)*$Q29/100</f>
        <v>0</v>
      </c>
      <c r="AA29" s="583">
        <f>VLOOKUP($H29,Nutrition_tables!$A:$AF,13,FALSE)*$Q29/100</f>
        <v>0</v>
      </c>
      <c r="AB29" s="549">
        <f>VLOOKUP($H29,Nutrition_tables!$A:$AF,15,FALSE)*$Q29/100</f>
        <v>0</v>
      </c>
      <c r="AC29" s="583">
        <f>VLOOKUP($H29,Nutrition_tables!$A:$AF,16,FALSE)*$Q29/100</f>
        <v>0</v>
      </c>
      <c r="AD29" s="583">
        <f>VLOOKUP($H29,Nutrition_tables!$A:$AF,17,FALSE)*$Q29/100</f>
        <v>0</v>
      </c>
      <c r="AE29" s="583">
        <f>VLOOKUP($H29,Nutrition_tables!$A:$AF,18,FALSE)*$Q29/100</f>
        <v>0</v>
      </c>
      <c r="AF29" s="583">
        <f>VLOOKUP($H29,Nutrition_tables!$A:$AF,19,FALSE)*$Q29/100</f>
        <v>0</v>
      </c>
      <c r="AG29" s="583">
        <f>VLOOKUP($H29,Nutrition_tables!$A:$AF,20,FALSE)*$Q29/100</f>
        <v>0</v>
      </c>
      <c r="AH29" s="583">
        <f>VLOOKUP($H29,Nutrition_tables!$A:$AF,21,FALSE)*$Q29/100</f>
        <v>0</v>
      </c>
      <c r="AI29" s="583">
        <f>VLOOKUP($H29,Nutrition_tables!$A:$AF,22,FALSE)*$Q29/100</f>
        <v>0</v>
      </c>
      <c r="AJ29" s="549">
        <f>VLOOKUP($H29,Nutrition_tables!$A:$AF,23,FALSE)*$Q29/100</f>
        <v>0</v>
      </c>
      <c r="AK29" s="583">
        <f>VLOOKUP($H29,Nutrition_tables!$A:$AF,24,FALSE)*$Q29/100</f>
        <v>0</v>
      </c>
      <c r="AL29" s="583">
        <f>VLOOKUP($H29,Nutrition_tables!$A:$AF,25,FALSE)*$Q29/100</f>
        <v>0</v>
      </c>
      <c r="AM29" s="583">
        <f>VLOOKUP($H29,Nutrition_tables!$A:$AF,26,FALSE)*$Q29/100</f>
        <v>0</v>
      </c>
      <c r="AN29" s="583">
        <f>VLOOKUP($H29,Nutrition_tables!$A:$AF,27,FALSE)*$Q29/100</f>
        <v>0</v>
      </c>
      <c r="AO29" s="583">
        <f>VLOOKUP($H29,Nutrition_tables!$A:$AF,28,FALSE)*$Q29/100</f>
        <v>0</v>
      </c>
      <c r="AP29" s="583">
        <f>VLOOKUP($H29,Nutrition_tables!$A:$AF,29,FALSE)*$Q29/100</f>
        <v>0</v>
      </c>
      <c r="AQ29" s="583">
        <f>VLOOKUP($H29,Nutrition_tables!$A:$AF,30,FALSE)*$Q29/100</f>
        <v>0</v>
      </c>
      <c r="AR29" s="583">
        <f>VLOOKUP($H29,Nutrition_tables!$A:$AF,31,FALSE)*$Q29/100</f>
        <v>0</v>
      </c>
      <c r="AS29" s="549">
        <f>VLOOKUP($H29,Nutrition_tables!$A:$AF,32,FALSE)*$Q29/100</f>
        <v>0</v>
      </c>
      <c r="AT29" s="583" t="str">
        <f>IF(H29="Select ingredient:","",IF(G29="Select food category:","",IFERROR(VLOOKUP($H29,Ingredient_prices!$E:$W,17,FALSE)*$Q29/1000,"not bought")))</f>
        <v/>
      </c>
      <c r="AU29" s="583" t="str">
        <f>IF(H29="Select ingredient:","",IF(G29="Select food category:","",IFERROR(VLOOKUP($H29,Ingredient_prices!$E:$W,18,FALSE)*$Q29/1000,"not bought")))</f>
        <v/>
      </c>
      <c r="AV29" s="583">
        <f t="shared" si="3"/>
        <v>0</v>
      </c>
      <c r="AW29" s="583">
        <f t="shared" si="4"/>
        <v>0</v>
      </c>
      <c r="AX29" s="583">
        <f t="shared" si="5"/>
        <v>0</v>
      </c>
      <c r="AY29" s="583">
        <f t="shared" si="6"/>
        <v>0</v>
      </c>
      <c r="AZ29" s="583">
        <f t="shared" si="7"/>
        <v>0</v>
      </c>
      <c r="BA29" s="583">
        <f t="shared" si="8"/>
        <v>0</v>
      </c>
      <c r="BB29" s="583">
        <f t="shared" si="9"/>
        <v>0</v>
      </c>
      <c r="BC29" s="583">
        <f t="shared" si="10"/>
        <v>0</v>
      </c>
      <c r="BD29" s="583">
        <f t="shared" si="11"/>
        <v>0</v>
      </c>
      <c r="BE29" s="583">
        <f t="shared" si="12"/>
        <v>0</v>
      </c>
      <c r="BF29" s="583">
        <f t="shared" si="13"/>
        <v>0</v>
      </c>
      <c r="BG29" s="583">
        <f t="shared" si="14"/>
        <v>0</v>
      </c>
      <c r="BH29" s="583">
        <f t="shared" si="15"/>
        <v>0</v>
      </c>
      <c r="BI29" s="583">
        <f t="shared" si="16"/>
        <v>0</v>
      </c>
      <c r="BJ29" s="583">
        <f t="shared" si="17"/>
        <v>0</v>
      </c>
      <c r="BK29" s="583">
        <f t="shared" si="18"/>
        <v>0</v>
      </c>
      <c r="BL29" s="583">
        <f t="shared" si="19"/>
        <v>0</v>
      </c>
      <c r="BM29" s="583">
        <f t="shared" si="20"/>
        <v>0</v>
      </c>
      <c r="BN29" s="583">
        <f t="shared" si="21"/>
        <v>0</v>
      </c>
      <c r="BO29" s="583">
        <f t="shared" si="22"/>
        <v>0</v>
      </c>
      <c r="BP29" s="583">
        <f t="shared" si="23"/>
        <v>0</v>
      </c>
      <c r="BQ29" s="583">
        <f t="shared" si="24"/>
        <v>0</v>
      </c>
      <c r="BR29" s="583">
        <f t="shared" si="25"/>
        <v>0</v>
      </c>
    </row>
    <row r="30" spans="1:70" s="229" customFormat="1" ht="15" customHeight="1">
      <c r="A30" s="590"/>
      <c r="D30" s="85"/>
      <c r="E30" s="576" t="str">
        <f>IF(E$11&gt;0,E$11,"")</f>
        <v/>
      </c>
      <c r="F30" s="85"/>
      <c r="G30" s="406" t="s">
        <v>3054</v>
      </c>
      <c r="H30" s="1262" t="s">
        <v>3055</v>
      </c>
      <c r="I30" s="85">
        <v>0</v>
      </c>
      <c r="J30" s="682">
        <v>1</v>
      </c>
      <c r="K30" s="579" t="str">
        <f t="shared" si="1"/>
        <v/>
      </c>
      <c r="L30" s="580" t="str">
        <f>IF(H30="Select ingredient:","",IF(G30="","",_xlfn.IFNA(VLOOKUP($H30,Ingredient_prices!$E:$U,16,FALSE),0)))</f>
        <v/>
      </c>
      <c r="M30" s="591"/>
      <c r="N30" s="591"/>
      <c r="O30" s="591"/>
      <c r="P30" s="592"/>
      <c r="Q30" s="583">
        <f t="shared" si="2"/>
        <v>0</v>
      </c>
      <c r="R30" s="583">
        <f>VLOOKUP($H30,'CO2_emission+%_food_waste'!$A:$K,6,FALSE)*$Q30/100</f>
        <v>0</v>
      </c>
      <c r="S30" s="583">
        <f t="shared" si="26"/>
        <v>0</v>
      </c>
      <c r="T30" s="583" t="str">
        <f>IF(H30="Select ingredient:","",IF(G30="Select food category:","",_xlfn.IFNA(VLOOKUP($H30,Ingredient_prices!$E:$U,16,FALSE)*$Q30/1000,"not bought")))</f>
        <v/>
      </c>
      <c r="U30" s="583" t="str">
        <f>IF(G30="Select food category:","",_xlfn.IFNA(VLOOKUP($H30,Ingredient_prices!$E:$U,16,FALSE)*$R30/1000,"not bought"))</f>
        <v/>
      </c>
      <c r="V30" s="549">
        <f>VLOOKUP($H30,'CO2_emission+%_food_waste'!$A:$K,4,FALSE)*$Q30</f>
        <v>0</v>
      </c>
      <c r="W30" s="583">
        <f>VLOOKUP($H30,Nutrition_tables!$A:$N,10,FALSE)*$Q30/100</f>
        <v>0</v>
      </c>
      <c r="X30" s="583">
        <f>VLOOKUP($H30,Nutrition_tables!$A:$N,11,FALSE)*$Q30/100</f>
        <v>0</v>
      </c>
      <c r="Y30" s="583">
        <f>VLOOKUP($H30,Nutrition_tables!$A:$N,12,FALSE)*$Q30/100</f>
        <v>0</v>
      </c>
      <c r="Z30" s="583">
        <f>VLOOKUP($H30,Nutrition_tables!$A:$N,14,FALSE)*$Q30/100</f>
        <v>0</v>
      </c>
      <c r="AA30" s="583">
        <f>VLOOKUP($H30,Nutrition_tables!$A:$AF,13,FALSE)*$Q30/100</f>
        <v>0</v>
      </c>
      <c r="AB30" s="549">
        <f>VLOOKUP($H30,Nutrition_tables!$A:$AF,15,FALSE)*$Q30/100</f>
        <v>0</v>
      </c>
      <c r="AC30" s="583">
        <f>VLOOKUP($H30,Nutrition_tables!$A:$AF,16,FALSE)*$Q30/100</f>
        <v>0</v>
      </c>
      <c r="AD30" s="583">
        <f>VLOOKUP($H30,Nutrition_tables!$A:$AF,17,FALSE)*$Q30/100</f>
        <v>0</v>
      </c>
      <c r="AE30" s="583">
        <f>VLOOKUP($H30,Nutrition_tables!$A:$AF,18,FALSE)*$Q30/100</f>
        <v>0</v>
      </c>
      <c r="AF30" s="583">
        <f>VLOOKUP($H30,Nutrition_tables!$A:$AF,19,FALSE)*$Q30/100</f>
        <v>0</v>
      </c>
      <c r="AG30" s="583">
        <f>VLOOKUP($H30,Nutrition_tables!$A:$AF,20,FALSE)*$Q30/100</f>
        <v>0</v>
      </c>
      <c r="AH30" s="583">
        <f>VLOOKUP($H30,Nutrition_tables!$A:$AF,21,FALSE)*$Q30/100</f>
        <v>0</v>
      </c>
      <c r="AI30" s="583">
        <f>VLOOKUP($H30,Nutrition_tables!$A:$AF,22,FALSE)*$Q30/100</f>
        <v>0</v>
      </c>
      <c r="AJ30" s="549">
        <f>VLOOKUP($H30,Nutrition_tables!$A:$AF,23,FALSE)*$Q30/100</f>
        <v>0</v>
      </c>
      <c r="AK30" s="583">
        <f>VLOOKUP($H30,Nutrition_tables!$A:$AF,24,FALSE)*$Q30/100</f>
        <v>0</v>
      </c>
      <c r="AL30" s="583">
        <f>VLOOKUP($H30,Nutrition_tables!$A:$AF,25,FALSE)*$Q30/100</f>
        <v>0</v>
      </c>
      <c r="AM30" s="583">
        <f>VLOOKUP($H30,Nutrition_tables!$A:$AF,26,FALSE)*$Q30/100</f>
        <v>0</v>
      </c>
      <c r="AN30" s="583">
        <f>VLOOKUP($H30,Nutrition_tables!$A:$AF,27,FALSE)*$Q30/100</f>
        <v>0</v>
      </c>
      <c r="AO30" s="583">
        <f>VLOOKUP($H30,Nutrition_tables!$A:$AF,28,FALSE)*$Q30/100</f>
        <v>0</v>
      </c>
      <c r="AP30" s="583">
        <f>VLOOKUP($H30,Nutrition_tables!$A:$AF,29,FALSE)*$Q30/100</f>
        <v>0</v>
      </c>
      <c r="AQ30" s="583">
        <f>VLOOKUP($H30,Nutrition_tables!$A:$AF,30,FALSE)*$Q30/100</f>
        <v>0</v>
      </c>
      <c r="AR30" s="583">
        <f>VLOOKUP($H30,Nutrition_tables!$A:$AF,31,FALSE)*$Q30/100</f>
        <v>0</v>
      </c>
      <c r="AS30" s="549">
        <f>VLOOKUP($H30,Nutrition_tables!$A:$AF,32,FALSE)*$Q30/100</f>
        <v>0</v>
      </c>
      <c r="AT30" s="583" t="str">
        <f>IF(H30="Select ingredient:","",IF(G30="Select food category:","",IFERROR(VLOOKUP($H30,Ingredient_prices!$E:$W,17,FALSE)*$Q30/1000,"not bought")))</f>
        <v/>
      </c>
      <c r="AU30" s="583" t="str">
        <f>IF(H30="Select ingredient:","",IF(G30="Select food category:","",IFERROR(VLOOKUP($H30,Ingredient_prices!$E:$W,18,FALSE)*$Q30/1000,"not bought")))</f>
        <v/>
      </c>
      <c r="AV30" s="583">
        <f t="shared" si="3"/>
        <v>0</v>
      </c>
      <c r="AW30" s="583">
        <f t="shared" si="4"/>
        <v>0</v>
      </c>
      <c r="AX30" s="583">
        <f t="shared" si="5"/>
        <v>0</v>
      </c>
      <c r="AY30" s="583">
        <f t="shared" si="6"/>
        <v>0</v>
      </c>
      <c r="AZ30" s="583">
        <f t="shared" si="7"/>
        <v>0</v>
      </c>
      <c r="BA30" s="583">
        <f t="shared" si="8"/>
        <v>0</v>
      </c>
      <c r="BB30" s="583">
        <f t="shared" si="9"/>
        <v>0</v>
      </c>
      <c r="BC30" s="583">
        <f t="shared" si="10"/>
        <v>0</v>
      </c>
      <c r="BD30" s="583">
        <f t="shared" si="11"/>
        <v>0</v>
      </c>
      <c r="BE30" s="583">
        <f t="shared" si="12"/>
        <v>0</v>
      </c>
      <c r="BF30" s="583">
        <f t="shared" si="13"/>
        <v>0</v>
      </c>
      <c r="BG30" s="583">
        <f t="shared" si="14"/>
        <v>0</v>
      </c>
      <c r="BH30" s="583">
        <f t="shared" si="15"/>
        <v>0</v>
      </c>
      <c r="BI30" s="583">
        <f t="shared" si="16"/>
        <v>0</v>
      </c>
      <c r="BJ30" s="583">
        <f t="shared" si="17"/>
        <v>0</v>
      </c>
      <c r="BK30" s="583">
        <f t="shared" si="18"/>
        <v>0</v>
      </c>
      <c r="BL30" s="583">
        <f t="shared" si="19"/>
        <v>0</v>
      </c>
      <c r="BM30" s="583">
        <f t="shared" si="20"/>
        <v>0</v>
      </c>
      <c r="BN30" s="583">
        <f t="shared" si="21"/>
        <v>0</v>
      </c>
      <c r="BO30" s="583">
        <f t="shared" si="22"/>
        <v>0</v>
      </c>
      <c r="BP30" s="583">
        <f t="shared" si="23"/>
        <v>0</v>
      </c>
      <c r="BQ30" s="583">
        <f t="shared" si="24"/>
        <v>0</v>
      </c>
      <c r="BR30" s="583">
        <f t="shared" si="25"/>
        <v>0</v>
      </c>
    </row>
    <row r="31" spans="1:70" s="603" customFormat="1" ht="56">
      <c r="A31" s="590"/>
      <c r="B31" s="593"/>
      <c r="C31" s="522"/>
      <c r="D31" s="141"/>
      <c r="E31" s="594"/>
      <c r="F31" s="708"/>
      <c r="G31" s="594"/>
      <c r="H31" s="594"/>
      <c r="I31" s="92"/>
      <c r="J31" s="87"/>
      <c r="K31" s="595"/>
      <c r="L31" s="596"/>
      <c r="M31" s="597"/>
      <c r="N31" s="597"/>
      <c r="O31" s="597"/>
      <c r="P31" s="598"/>
      <c r="Q31" s="599" t="s">
        <v>384</v>
      </c>
      <c r="R31" s="600" t="s">
        <v>455</v>
      </c>
      <c r="S31" s="600" t="s">
        <v>2087</v>
      </c>
      <c r="T31" s="600" t="s">
        <v>456</v>
      </c>
      <c r="U31" s="600" t="s">
        <v>535</v>
      </c>
      <c r="V31" s="601" t="s">
        <v>457</v>
      </c>
      <c r="W31" s="600" t="s">
        <v>75</v>
      </c>
      <c r="X31" s="600" t="s">
        <v>385</v>
      </c>
      <c r="Y31" s="600" t="s">
        <v>386</v>
      </c>
      <c r="Z31" s="600" t="s">
        <v>387</v>
      </c>
      <c r="AA31" s="600" t="s">
        <v>388</v>
      </c>
      <c r="AB31" s="601" t="s">
        <v>389</v>
      </c>
      <c r="AC31" s="602" t="s">
        <v>390</v>
      </c>
      <c r="AD31" s="600" t="s">
        <v>391</v>
      </c>
      <c r="AE31" s="600" t="s">
        <v>392</v>
      </c>
      <c r="AF31" s="600" t="s">
        <v>393</v>
      </c>
      <c r="AG31" s="600" t="s">
        <v>394</v>
      </c>
      <c r="AH31" s="600" t="s">
        <v>395</v>
      </c>
      <c r="AI31" s="600" t="s">
        <v>396</v>
      </c>
      <c r="AJ31" s="601" t="s">
        <v>397</v>
      </c>
      <c r="AK31" s="602" t="s">
        <v>398</v>
      </c>
      <c r="AL31" s="600" t="s">
        <v>399</v>
      </c>
      <c r="AM31" s="600" t="s">
        <v>400</v>
      </c>
      <c r="AN31" s="600" t="s">
        <v>401</v>
      </c>
      <c r="AO31" s="600" t="s">
        <v>402</v>
      </c>
      <c r="AP31" s="600" t="s">
        <v>406</v>
      </c>
      <c r="AQ31" s="600" t="s">
        <v>405</v>
      </c>
      <c r="AR31" s="600" t="s">
        <v>403</v>
      </c>
      <c r="AS31" s="601" t="s">
        <v>404</v>
      </c>
      <c r="AT31" s="593"/>
      <c r="AU31" s="593"/>
    </row>
    <row r="32" spans="1:70" s="229" customFormat="1">
      <c r="A32" s="590"/>
      <c r="B32" s="522"/>
      <c r="C32" s="522"/>
      <c r="D32" s="141"/>
      <c r="E32" s="594"/>
      <c r="F32" s="708"/>
      <c r="G32" s="594"/>
      <c r="H32" s="594"/>
      <c r="I32" s="92"/>
      <c r="J32" s="87"/>
      <c r="K32" s="595"/>
      <c r="L32" s="596"/>
      <c r="M32" s="597"/>
      <c r="N32" s="597"/>
      <c r="O32" s="605"/>
      <c r="P32" s="606" t="s">
        <v>383</v>
      </c>
      <c r="Q32" s="583">
        <f t="shared" ref="Q32:AS32" si="28">SUM(Q11:Q30)</f>
        <v>0</v>
      </c>
      <c r="R32" s="583">
        <f t="shared" si="28"/>
        <v>0</v>
      </c>
      <c r="S32" s="583">
        <f t="shared" si="28"/>
        <v>0</v>
      </c>
      <c r="T32" s="583">
        <f t="shared" si="28"/>
        <v>0</v>
      </c>
      <c r="U32" s="583">
        <f t="shared" si="28"/>
        <v>0</v>
      </c>
      <c r="V32" s="549">
        <f t="shared" si="28"/>
        <v>0</v>
      </c>
      <c r="W32" s="583">
        <f t="shared" si="28"/>
        <v>0</v>
      </c>
      <c r="X32" s="583">
        <f t="shared" si="28"/>
        <v>0</v>
      </c>
      <c r="Y32" s="583">
        <f t="shared" si="28"/>
        <v>0</v>
      </c>
      <c r="Z32" s="583">
        <f t="shared" si="28"/>
        <v>0</v>
      </c>
      <c r="AA32" s="583">
        <f t="shared" si="28"/>
        <v>0</v>
      </c>
      <c r="AB32" s="549">
        <f t="shared" si="28"/>
        <v>0</v>
      </c>
      <c r="AC32" s="583">
        <f t="shared" si="28"/>
        <v>0</v>
      </c>
      <c r="AD32" s="583">
        <f t="shared" si="28"/>
        <v>0</v>
      </c>
      <c r="AE32" s="583">
        <f t="shared" si="28"/>
        <v>0</v>
      </c>
      <c r="AF32" s="583">
        <f t="shared" si="28"/>
        <v>0</v>
      </c>
      <c r="AG32" s="583">
        <f t="shared" si="28"/>
        <v>0</v>
      </c>
      <c r="AH32" s="583">
        <f t="shared" si="28"/>
        <v>0</v>
      </c>
      <c r="AI32" s="583">
        <f t="shared" si="28"/>
        <v>0</v>
      </c>
      <c r="AJ32" s="549">
        <f t="shared" si="28"/>
        <v>0</v>
      </c>
      <c r="AK32" s="583">
        <f t="shared" si="28"/>
        <v>0</v>
      </c>
      <c r="AL32" s="583">
        <f t="shared" si="28"/>
        <v>0</v>
      </c>
      <c r="AM32" s="583">
        <f t="shared" si="28"/>
        <v>0</v>
      </c>
      <c r="AN32" s="583">
        <f t="shared" si="28"/>
        <v>0</v>
      </c>
      <c r="AO32" s="583">
        <f t="shared" si="28"/>
        <v>0</v>
      </c>
      <c r="AP32" s="583">
        <f t="shared" si="28"/>
        <v>0</v>
      </c>
      <c r="AQ32" s="583">
        <f t="shared" si="28"/>
        <v>0</v>
      </c>
      <c r="AR32" s="583">
        <f t="shared" si="28"/>
        <v>0</v>
      </c>
      <c r="AS32" s="549">
        <f t="shared" si="28"/>
        <v>0</v>
      </c>
      <c r="AT32" s="583">
        <f t="shared" ref="AT32:AU32" si="29">SUM(AT11:AT30)</f>
        <v>0</v>
      </c>
      <c r="AU32" s="583">
        <f t="shared" si="29"/>
        <v>0</v>
      </c>
      <c r="AV32" s="583">
        <f>SUM(AV11:AV30)</f>
        <v>0</v>
      </c>
      <c r="AW32" s="583">
        <f t="shared" ref="AW32:BR32" si="30">SUM(AW11:AW30)</f>
        <v>0</v>
      </c>
      <c r="AX32" s="583">
        <f t="shared" si="30"/>
        <v>0</v>
      </c>
      <c r="AY32" s="583">
        <f t="shared" si="30"/>
        <v>0</v>
      </c>
      <c r="AZ32" s="583">
        <f t="shared" si="30"/>
        <v>0</v>
      </c>
      <c r="BA32" s="583">
        <f t="shared" si="30"/>
        <v>0</v>
      </c>
      <c r="BB32" s="583">
        <f t="shared" si="30"/>
        <v>0</v>
      </c>
      <c r="BC32" s="583">
        <f t="shared" si="30"/>
        <v>0</v>
      </c>
      <c r="BD32" s="583">
        <f t="shared" si="30"/>
        <v>0</v>
      </c>
      <c r="BE32" s="583">
        <f t="shared" si="30"/>
        <v>0</v>
      </c>
      <c r="BF32" s="583">
        <f t="shared" si="30"/>
        <v>0</v>
      </c>
      <c r="BG32" s="583">
        <f t="shared" si="30"/>
        <v>0</v>
      </c>
      <c r="BH32" s="583">
        <f t="shared" si="30"/>
        <v>0</v>
      </c>
      <c r="BI32" s="583">
        <f t="shared" si="30"/>
        <v>0</v>
      </c>
      <c r="BJ32" s="583">
        <f t="shared" si="30"/>
        <v>0</v>
      </c>
      <c r="BK32" s="583">
        <f t="shared" si="30"/>
        <v>0</v>
      </c>
      <c r="BL32" s="583">
        <f t="shared" si="30"/>
        <v>0</v>
      </c>
      <c r="BM32" s="583">
        <f t="shared" si="30"/>
        <v>0</v>
      </c>
      <c r="BN32" s="583">
        <f t="shared" si="30"/>
        <v>0</v>
      </c>
      <c r="BO32" s="583">
        <f t="shared" si="30"/>
        <v>0</v>
      </c>
      <c r="BP32" s="583">
        <f t="shared" si="30"/>
        <v>0</v>
      </c>
      <c r="BQ32" s="583">
        <f t="shared" si="30"/>
        <v>0</v>
      </c>
      <c r="BR32" s="583">
        <f t="shared" si="30"/>
        <v>0</v>
      </c>
    </row>
    <row r="33" spans="1:70" s="229" customFormat="1">
      <c r="A33" s="590"/>
      <c r="B33" s="522"/>
      <c r="C33" s="522"/>
      <c r="D33" s="141"/>
      <c r="E33" s="594"/>
      <c r="F33" s="708"/>
      <c r="G33" s="594"/>
      <c r="H33" s="594"/>
      <c r="I33" s="92"/>
      <c r="J33" s="87"/>
      <c r="K33" s="595"/>
      <c r="L33" s="596"/>
      <c r="M33" s="597"/>
      <c r="N33" s="597"/>
      <c r="O33" s="605"/>
      <c r="P33" s="606" t="s">
        <v>538</v>
      </c>
      <c r="V33" s="527" t="s">
        <v>588</v>
      </c>
      <c r="W33" s="229">
        <v>649.25</v>
      </c>
      <c r="X33" s="229">
        <v>81.199999999999989</v>
      </c>
      <c r="Y33" s="229">
        <v>20.299999999999997</v>
      </c>
      <c r="Z33" s="229">
        <v>21.7</v>
      </c>
      <c r="AA33" s="229">
        <v>6.6499999999999995</v>
      </c>
      <c r="AB33" s="526">
        <v>7</v>
      </c>
      <c r="AC33" s="229">
        <v>482.99999999999994</v>
      </c>
      <c r="AD33" s="229">
        <v>630</v>
      </c>
      <c r="AE33" s="229">
        <v>315</v>
      </c>
      <c r="AF33" s="229">
        <v>59.499999999999993</v>
      </c>
      <c r="AG33" s="229">
        <v>280</v>
      </c>
      <c r="AH33" s="229">
        <v>3.5</v>
      </c>
      <c r="AI33" s="229">
        <v>2.4499999999999997</v>
      </c>
      <c r="AJ33" s="526">
        <v>0.4375</v>
      </c>
      <c r="AK33" s="229">
        <v>280</v>
      </c>
      <c r="AL33" s="229">
        <v>0.35</v>
      </c>
      <c r="AM33" s="229">
        <v>0.38500000000000001</v>
      </c>
      <c r="AN33" s="229">
        <v>4.1999999999999993</v>
      </c>
      <c r="AO33" s="229">
        <v>0.24499999999999997</v>
      </c>
      <c r="AP33" s="229">
        <v>105</v>
      </c>
      <c r="AQ33" s="229">
        <v>0.63</v>
      </c>
      <c r="AR33" s="229">
        <v>28</v>
      </c>
      <c r="AS33" s="526">
        <v>1.75</v>
      </c>
      <c r="AV33" s="229">
        <v>649.25</v>
      </c>
      <c r="AW33" s="229">
        <v>81.199999999999989</v>
      </c>
      <c r="AX33" s="229">
        <v>20.299999999999997</v>
      </c>
      <c r="AY33" s="229">
        <v>21.7</v>
      </c>
      <c r="AZ33" s="229">
        <v>6.6499999999999995</v>
      </c>
      <c r="BA33" s="526">
        <v>7</v>
      </c>
      <c r="BB33" s="229">
        <v>482.99999999999994</v>
      </c>
      <c r="BC33" s="229">
        <v>630</v>
      </c>
      <c r="BD33" s="229">
        <v>315</v>
      </c>
      <c r="BE33" s="229">
        <v>59.499999999999993</v>
      </c>
      <c r="BF33" s="229">
        <v>280</v>
      </c>
      <c r="BG33" s="229">
        <v>3.5</v>
      </c>
      <c r="BH33" s="229">
        <v>2.4499999999999997</v>
      </c>
      <c r="BI33" s="526">
        <v>0.4375</v>
      </c>
      <c r="BJ33" s="229">
        <v>280</v>
      </c>
      <c r="BK33" s="229">
        <v>0.35</v>
      </c>
      <c r="BL33" s="229">
        <v>0.38500000000000001</v>
      </c>
      <c r="BM33" s="229">
        <v>4.1999999999999993</v>
      </c>
      <c r="BN33" s="229">
        <v>0.24499999999999997</v>
      </c>
      <c r="BO33" s="229">
        <v>105</v>
      </c>
      <c r="BP33" s="229">
        <v>0.63</v>
      </c>
      <c r="BQ33" s="229">
        <v>28</v>
      </c>
      <c r="BR33" s="526">
        <v>1.75</v>
      </c>
    </row>
    <row r="34" spans="1:70" s="229" customFormat="1">
      <c r="A34" s="590"/>
      <c r="B34" s="522"/>
      <c r="C34" s="522"/>
      <c r="D34" s="141"/>
      <c r="E34" s="594"/>
      <c r="F34" s="708"/>
      <c r="G34" s="594"/>
      <c r="H34" s="594"/>
      <c r="I34" s="92"/>
      <c r="J34" s="87"/>
      <c r="K34" s="595"/>
      <c r="L34" s="596"/>
      <c r="M34" s="597"/>
      <c r="N34" s="597"/>
      <c r="O34" s="605"/>
      <c r="P34" s="606" t="s">
        <v>407</v>
      </c>
      <c r="V34" s="526"/>
      <c r="W34" s="514">
        <f t="shared" ref="W34:AS34" si="31">100*W32/W33</f>
        <v>0</v>
      </c>
      <c r="X34" s="514">
        <f t="shared" si="31"/>
        <v>0</v>
      </c>
      <c r="Y34" s="514">
        <f t="shared" si="31"/>
        <v>0</v>
      </c>
      <c r="Z34" s="514">
        <f t="shared" si="31"/>
        <v>0</v>
      </c>
      <c r="AA34" s="514">
        <f t="shared" si="31"/>
        <v>0</v>
      </c>
      <c r="AB34" s="506">
        <f t="shared" si="31"/>
        <v>0</v>
      </c>
      <c r="AC34" s="514">
        <f t="shared" si="31"/>
        <v>0</v>
      </c>
      <c r="AD34" s="514">
        <f t="shared" si="31"/>
        <v>0</v>
      </c>
      <c r="AE34" s="514">
        <f t="shared" si="31"/>
        <v>0</v>
      </c>
      <c r="AF34" s="514">
        <f t="shared" si="31"/>
        <v>0</v>
      </c>
      <c r="AG34" s="514">
        <f t="shared" si="31"/>
        <v>0</v>
      </c>
      <c r="AH34" s="514">
        <f t="shared" si="31"/>
        <v>0</v>
      </c>
      <c r="AI34" s="514">
        <f t="shared" si="31"/>
        <v>0</v>
      </c>
      <c r="AJ34" s="506">
        <f t="shared" si="31"/>
        <v>0</v>
      </c>
      <c r="AK34" s="514">
        <f t="shared" si="31"/>
        <v>0</v>
      </c>
      <c r="AL34" s="514">
        <f t="shared" si="31"/>
        <v>0</v>
      </c>
      <c r="AM34" s="514">
        <f t="shared" si="31"/>
        <v>0</v>
      </c>
      <c r="AN34" s="514">
        <f t="shared" si="31"/>
        <v>0</v>
      </c>
      <c r="AO34" s="514">
        <f t="shared" si="31"/>
        <v>0</v>
      </c>
      <c r="AP34" s="514">
        <f t="shared" si="31"/>
        <v>0</v>
      </c>
      <c r="AQ34" s="514">
        <f t="shared" si="31"/>
        <v>0</v>
      </c>
      <c r="AR34" s="514">
        <f t="shared" si="31"/>
        <v>0</v>
      </c>
      <c r="AS34" s="506">
        <f t="shared" si="31"/>
        <v>0</v>
      </c>
      <c r="AV34" s="514">
        <f t="shared" ref="AV34:BR34" si="32">100*AV32/AV33</f>
        <v>0</v>
      </c>
      <c r="AW34" s="514">
        <f t="shared" si="32"/>
        <v>0</v>
      </c>
      <c r="AX34" s="514">
        <f t="shared" si="32"/>
        <v>0</v>
      </c>
      <c r="AY34" s="514">
        <f t="shared" si="32"/>
        <v>0</v>
      </c>
      <c r="AZ34" s="514">
        <f t="shared" si="32"/>
        <v>0</v>
      </c>
      <c r="BA34" s="506">
        <f t="shared" si="32"/>
        <v>0</v>
      </c>
      <c r="BB34" s="514">
        <f t="shared" si="32"/>
        <v>0</v>
      </c>
      <c r="BC34" s="514">
        <f t="shared" si="32"/>
        <v>0</v>
      </c>
      <c r="BD34" s="514">
        <f t="shared" si="32"/>
        <v>0</v>
      </c>
      <c r="BE34" s="514">
        <f t="shared" si="32"/>
        <v>0</v>
      </c>
      <c r="BF34" s="514">
        <f t="shared" si="32"/>
        <v>0</v>
      </c>
      <c r="BG34" s="514">
        <f t="shared" si="32"/>
        <v>0</v>
      </c>
      <c r="BH34" s="514">
        <f t="shared" si="32"/>
        <v>0</v>
      </c>
      <c r="BI34" s="506">
        <f t="shared" si="32"/>
        <v>0</v>
      </c>
      <c r="BJ34" s="514">
        <f t="shared" si="32"/>
        <v>0</v>
      </c>
      <c r="BK34" s="514">
        <f t="shared" si="32"/>
        <v>0</v>
      </c>
      <c r="BL34" s="514">
        <f t="shared" si="32"/>
        <v>0</v>
      </c>
      <c r="BM34" s="514">
        <f t="shared" si="32"/>
        <v>0</v>
      </c>
      <c r="BN34" s="514">
        <f t="shared" si="32"/>
        <v>0</v>
      </c>
      <c r="BO34" s="514">
        <f t="shared" si="32"/>
        <v>0</v>
      </c>
      <c r="BP34" s="514">
        <f t="shared" si="32"/>
        <v>0</v>
      </c>
      <c r="BQ34" s="514">
        <f t="shared" si="32"/>
        <v>0</v>
      </c>
      <c r="BR34" s="506">
        <f t="shared" si="32"/>
        <v>0</v>
      </c>
    </row>
    <row r="35" spans="1:70" s="229" customFormat="1">
      <c r="A35" s="590"/>
      <c r="B35" s="522"/>
      <c r="C35" s="522"/>
      <c r="D35" s="141"/>
      <c r="E35" s="594"/>
      <c r="F35" s="708"/>
      <c r="G35" s="594"/>
      <c r="H35" s="594"/>
      <c r="I35" s="92"/>
      <c r="J35" s="87"/>
      <c r="K35" s="595"/>
      <c r="L35" s="596"/>
      <c r="M35" s="597"/>
      <c r="N35" s="597"/>
      <c r="O35" s="605"/>
      <c r="P35" s="606" t="s">
        <v>548</v>
      </c>
      <c r="V35" s="526"/>
      <c r="W35" s="583">
        <f>AV32</f>
        <v>0</v>
      </c>
      <c r="X35" s="583">
        <f t="shared" ref="X35:AM35" si="33">AW32</f>
        <v>0</v>
      </c>
      <c r="Y35" s="583">
        <f t="shared" si="33"/>
        <v>0</v>
      </c>
      <c r="Z35" s="583">
        <f t="shared" si="33"/>
        <v>0</v>
      </c>
      <c r="AA35" s="583">
        <f t="shared" si="33"/>
        <v>0</v>
      </c>
      <c r="AB35" s="549">
        <f t="shared" si="33"/>
        <v>0</v>
      </c>
      <c r="AC35" s="583">
        <f t="shared" si="33"/>
        <v>0</v>
      </c>
      <c r="AD35" s="583">
        <f t="shared" si="33"/>
        <v>0</v>
      </c>
      <c r="AE35" s="583">
        <f t="shared" si="33"/>
        <v>0</v>
      </c>
      <c r="AF35" s="583">
        <f t="shared" si="33"/>
        <v>0</v>
      </c>
      <c r="AG35" s="583">
        <f t="shared" si="33"/>
        <v>0</v>
      </c>
      <c r="AH35" s="583">
        <f t="shared" si="33"/>
        <v>0</v>
      </c>
      <c r="AI35" s="583">
        <f t="shared" si="33"/>
        <v>0</v>
      </c>
      <c r="AJ35" s="549">
        <f t="shared" si="33"/>
        <v>0</v>
      </c>
      <c r="AK35" s="583">
        <f t="shared" si="33"/>
        <v>0</v>
      </c>
      <c r="AL35" s="583">
        <f t="shared" si="33"/>
        <v>0</v>
      </c>
      <c r="AM35" s="583">
        <f t="shared" si="33"/>
        <v>0</v>
      </c>
      <c r="AN35" s="583">
        <f>BM32</f>
        <v>0</v>
      </c>
      <c r="AO35" s="583">
        <f t="shared" ref="AO35" si="34">BN32</f>
        <v>0</v>
      </c>
      <c r="AP35" s="583">
        <f t="shared" ref="AP35" si="35">BO32</f>
        <v>0</v>
      </c>
      <c r="AQ35" s="583">
        <f t="shared" ref="AQ35" si="36">BP32</f>
        <v>0</v>
      </c>
      <c r="AR35" s="583">
        <f t="shared" ref="AR35" si="37">BQ32</f>
        <v>0</v>
      </c>
      <c r="AS35" s="549">
        <f>BR32</f>
        <v>0</v>
      </c>
    </row>
    <row r="36" spans="1:70" s="229" customFormat="1">
      <c r="A36" s="590"/>
      <c r="B36" s="522"/>
      <c r="C36" s="522"/>
      <c r="D36" s="141"/>
      <c r="E36" s="594"/>
      <c r="F36" s="708"/>
      <c r="G36" s="594"/>
      <c r="H36" s="594"/>
      <c r="I36" s="92"/>
      <c r="J36" s="87"/>
      <c r="K36" s="595"/>
      <c r="L36" s="596"/>
      <c r="M36" s="597"/>
      <c r="N36" s="597"/>
      <c r="O36" s="605"/>
      <c r="P36" s="606" t="s">
        <v>543</v>
      </c>
      <c r="V36" s="526"/>
      <c r="W36" s="514">
        <f t="shared" ref="W36:AS36" si="38">AV34</f>
        <v>0</v>
      </c>
      <c r="X36" s="514">
        <f t="shared" si="38"/>
        <v>0</v>
      </c>
      <c r="Y36" s="514">
        <f t="shared" si="38"/>
        <v>0</v>
      </c>
      <c r="Z36" s="514">
        <f t="shared" si="38"/>
        <v>0</v>
      </c>
      <c r="AA36" s="514">
        <f t="shared" si="38"/>
        <v>0</v>
      </c>
      <c r="AB36" s="506">
        <f t="shared" si="38"/>
        <v>0</v>
      </c>
      <c r="AC36" s="514">
        <f t="shared" si="38"/>
        <v>0</v>
      </c>
      <c r="AD36" s="514">
        <f t="shared" si="38"/>
        <v>0</v>
      </c>
      <c r="AE36" s="514">
        <f t="shared" si="38"/>
        <v>0</v>
      </c>
      <c r="AF36" s="514">
        <f t="shared" si="38"/>
        <v>0</v>
      </c>
      <c r="AG36" s="514">
        <f t="shared" si="38"/>
        <v>0</v>
      </c>
      <c r="AH36" s="514">
        <f t="shared" si="38"/>
        <v>0</v>
      </c>
      <c r="AI36" s="514">
        <f t="shared" si="38"/>
        <v>0</v>
      </c>
      <c r="AJ36" s="506">
        <f t="shared" si="38"/>
        <v>0</v>
      </c>
      <c r="AK36" s="514">
        <f t="shared" si="38"/>
        <v>0</v>
      </c>
      <c r="AL36" s="514">
        <f t="shared" si="38"/>
        <v>0</v>
      </c>
      <c r="AM36" s="514">
        <f t="shared" si="38"/>
        <v>0</v>
      </c>
      <c r="AN36" s="514">
        <f t="shared" si="38"/>
        <v>0</v>
      </c>
      <c r="AO36" s="514">
        <f t="shared" si="38"/>
        <v>0</v>
      </c>
      <c r="AP36" s="514">
        <f t="shared" si="38"/>
        <v>0</v>
      </c>
      <c r="AQ36" s="514">
        <f t="shared" si="38"/>
        <v>0</v>
      </c>
      <c r="AR36" s="514">
        <f t="shared" si="38"/>
        <v>0</v>
      </c>
      <c r="AS36" s="506">
        <f t="shared" si="38"/>
        <v>0</v>
      </c>
      <c r="AV36" s="514"/>
      <c r="AW36" s="514"/>
      <c r="AX36" s="514"/>
      <c r="AY36" s="514"/>
      <c r="AZ36" s="514"/>
      <c r="BA36" s="505"/>
      <c r="BB36" s="514"/>
      <c r="BC36" s="514"/>
      <c r="BD36" s="514"/>
      <c r="BE36" s="514"/>
      <c r="BF36" s="514"/>
      <c r="BG36" s="514"/>
      <c r="BH36" s="514"/>
      <c r="BI36" s="505"/>
      <c r="BJ36" s="514"/>
      <c r="BK36" s="514"/>
      <c r="BL36" s="514"/>
      <c r="BM36" s="514"/>
      <c r="BN36" s="514"/>
      <c r="BO36" s="514"/>
      <c r="BP36" s="514"/>
      <c r="BQ36" s="514"/>
      <c r="BR36" s="505"/>
    </row>
    <row r="37" spans="1:70" s="229" customFormat="1" ht="16" thickBot="1">
      <c r="A37" s="590"/>
      <c r="B37" s="607"/>
      <c r="C37" s="607"/>
      <c r="D37" s="683"/>
      <c r="E37" s="608"/>
      <c r="F37" s="709"/>
      <c r="G37" s="609" t="s">
        <v>3054</v>
      </c>
      <c r="H37" s="610"/>
      <c r="I37" s="93"/>
      <c r="J37" s="93"/>
      <c r="K37" s="607"/>
      <c r="L37" s="611"/>
      <c r="M37" s="611"/>
      <c r="N37" s="611"/>
      <c r="O37" s="605"/>
      <c r="P37" s="607"/>
      <c r="Q37" s="607"/>
      <c r="R37" s="607"/>
      <c r="S37" s="607"/>
      <c r="T37" s="607"/>
      <c r="U37" s="612"/>
      <c r="V37" s="613"/>
      <c r="W37" s="607"/>
      <c r="X37" s="607"/>
      <c r="Y37" s="607"/>
      <c r="Z37" s="607"/>
      <c r="AA37" s="614">
        <f>COUNTIF(AA38:AA49,"&lt;0")</f>
        <v>0</v>
      </c>
      <c r="AB37" s="614">
        <f t="shared" ref="AB37:AS37" si="39">COUNTIF(AB38:AB49,"&lt;0")</f>
        <v>0</v>
      </c>
      <c r="AC37" s="614">
        <f t="shared" si="39"/>
        <v>0</v>
      </c>
      <c r="AD37" s="614">
        <f t="shared" si="39"/>
        <v>0</v>
      </c>
      <c r="AE37" s="614">
        <f t="shared" si="39"/>
        <v>0</v>
      </c>
      <c r="AF37" s="614">
        <f t="shared" si="39"/>
        <v>0</v>
      </c>
      <c r="AG37" s="614">
        <f t="shared" si="39"/>
        <v>0</v>
      </c>
      <c r="AH37" s="614">
        <f t="shared" si="39"/>
        <v>0</v>
      </c>
      <c r="AI37" s="614">
        <f t="shared" si="39"/>
        <v>0</v>
      </c>
      <c r="AJ37" s="614">
        <f t="shared" si="39"/>
        <v>0</v>
      </c>
      <c r="AK37" s="614">
        <f t="shared" si="39"/>
        <v>0</v>
      </c>
      <c r="AL37" s="614">
        <f t="shared" si="39"/>
        <v>0</v>
      </c>
      <c r="AM37" s="614">
        <f t="shared" si="39"/>
        <v>0</v>
      </c>
      <c r="AN37" s="614">
        <f t="shared" si="39"/>
        <v>0</v>
      </c>
      <c r="AO37" s="614">
        <f t="shared" si="39"/>
        <v>0</v>
      </c>
      <c r="AP37" s="614">
        <f t="shared" si="39"/>
        <v>0</v>
      </c>
      <c r="AQ37" s="614">
        <f t="shared" si="39"/>
        <v>0</v>
      </c>
      <c r="AR37" s="614">
        <f t="shared" si="39"/>
        <v>0</v>
      </c>
      <c r="AS37" s="614">
        <f t="shared" si="39"/>
        <v>0</v>
      </c>
      <c r="AT37" s="607"/>
      <c r="AU37" s="607"/>
    </row>
    <row r="38" spans="1:70" s="229" customFormat="1" ht="17" thickBot="1">
      <c r="A38" s="590"/>
      <c r="B38" s="575" t="s">
        <v>3064</v>
      </c>
      <c r="C38" s="229" t="s">
        <v>1362</v>
      </c>
      <c r="D38" s="85" t="s">
        <v>2740</v>
      </c>
      <c r="E38" s="577">
        <v>100</v>
      </c>
      <c r="F38" s="85" t="s">
        <v>3898</v>
      </c>
      <c r="G38" s="406" t="s">
        <v>3085</v>
      </c>
      <c r="H38" s="1262" t="s">
        <v>3451</v>
      </c>
      <c r="I38" s="85">
        <v>100</v>
      </c>
      <c r="J38" s="682">
        <v>1</v>
      </c>
      <c r="K38" s="579">
        <f>IF(I38&gt;0,1.1*Q38*E38/1000,"")</f>
        <v>11.000000000000002</v>
      </c>
      <c r="L38" s="580">
        <f>IF(H38="Select ingredient:","",IF(G38="","",_xlfn.IFNA(VLOOKUP($H38,Ingredient_prices!$E:$U,16,FALSE),0)))</f>
        <v>81.400000000000006</v>
      </c>
      <c r="M38" s="591"/>
      <c r="N38" s="1228">
        <f>$W51</f>
        <v>376.33749999999998</v>
      </c>
      <c r="O38" s="591"/>
      <c r="P38" s="592"/>
      <c r="Q38" s="583">
        <f t="shared" ref="Q38:Q49" si="40">I38/J38</f>
        <v>100</v>
      </c>
      <c r="R38" s="583">
        <f>VLOOKUP($H38,'CO2_emission+%_food_waste'!$A:$K,6,FALSE)*$Q38/100</f>
        <v>4.5</v>
      </c>
      <c r="S38" s="583">
        <f t="shared" ref="S38:S49" si="41">Q38-R38</f>
        <v>95.5</v>
      </c>
      <c r="T38" s="583">
        <f>IF(H38="Select ingredient:","",IF(G38="Select food category:","",_xlfn.IFNA(VLOOKUP($H38,Ingredient_prices!$E:$U,16,FALSE)*$Q38/1000,"not bought")))</f>
        <v>8.14</v>
      </c>
      <c r="U38" s="583">
        <f>IF(G38="Select food category:","",_xlfn.IFNA(VLOOKUP($H38,Ingredient_prices!$E:$U,16,FALSE)*$R38/1000,"not bought"))</f>
        <v>0.36630000000000001</v>
      </c>
      <c r="V38" s="549">
        <f>VLOOKUP($H38,'CO2_emission+%_food_waste'!$A:$K,4,FALSE)*$Q38</f>
        <v>202.99999999999997</v>
      </c>
      <c r="W38" s="583">
        <f>VLOOKUP($H38,Nutrition_tables!$A:$N,10,FALSE)*$Q38/100</f>
        <v>62</v>
      </c>
      <c r="X38" s="583">
        <f>VLOOKUP($H38,Nutrition_tables!$A:$N,11,FALSE)*$Q38/100</f>
        <v>4.5</v>
      </c>
      <c r="Y38" s="583">
        <f>VLOOKUP($H38,Nutrition_tables!$A:$N,12,FALSE)*$Q38/100</f>
        <v>3.2</v>
      </c>
      <c r="Z38" s="583">
        <f>VLOOKUP($H38,Nutrition_tables!$A:$N,14,FALSE)*$Q38/100</f>
        <v>3.2</v>
      </c>
      <c r="AA38" s="583">
        <f>VLOOKUP($H38,Nutrition_tables!$A:$AF,13,FALSE)*$Q38/100</f>
        <v>0</v>
      </c>
      <c r="AB38" s="549">
        <f>VLOOKUP($H38,Nutrition_tables!$A:$AF,15,FALSE)*$Q38/100</f>
        <v>2.1</v>
      </c>
      <c r="AC38" s="583">
        <f>VLOOKUP($H38,Nutrition_tables!$A:$AF,16,FALSE)*$Q38/100</f>
        <v>46</v>
      </c>
      <c r="AD38" s="583">
        <f>VLOOKUP($H38,Nutrition_tables!$A:$AF,17,FALSE)*$Q38/100</f>
        <v>155</v>
      </c>
      <c r="AE38" s="583">
        <f>VLOOKUP($H38,Nutrition_tables!$A:$AF,18,FALSE)*$Q38/100</f>
        <v>120</v>
      </c>
      <c r="AF38" s="583">
        <f>VLOOKUP($H38,Nutrition_tables!$A:$AF,19,FALSE)*$Q38/100</f>
        <v>11</v>
      </c>
      <c r="AG38" s="583">
        <f>VLOOKUP($H38,Nutrition_tables!$A:$AF,20,FALSE)*$Q38/100</f>
        <v>95</v>
      </c>
      <c r="AH38" s="583">
        <f>VLOOKUP($H38,Nutrition_tables!$A:$AF,21,FALSE)*$Q38/100</f>
        <v>0.1</v>
      </c>
      <c r="AI38" s="583">
        <f>VLOOKUP($H38,Nutrition_tables!$A:$AF,22,FALSE)*$Q38/100</f>
        <v>0.59</v>
      </c>
      <c r="AJ38" s="549">
        <f>VLOOKUP($H38,Nutrition_tables!$A:$AF,23,FALSE)*$Q38/100</f>
        <v>8.9999999999999993E-3</v>
      </c>
      <c r="AK38" s="583">
        <f>VLOOKUP($H38,Nutrition_tables!$A:$AF,24,FALSE)*$Q38/100</f>
        <v>30</v>
      </c>
      <c r="AL38" s="583">
        <f>VLOOKUP($H38,Nutrition_tables!$A:$AF,25,FALSE)*$Q38/100</f>
        <v>0.03</v>
      </c>
      <c r="AM38" s="583">
        <f>VLOOKUP($H38,Nutrition_tables!$A:$AF,26,FALSE)*$Q38/100</f>
        <v>0.14000000000000001</v>
      </c>
      <c r="AN38" s="583">
        <f>VLOOKUP($H38,Nutrition_tables!$A:$AF,27,FALSE)*$Q38/100</f>
        <v>0.1</v>
      </c>
      <c r="AO38" s="583">
        <f>VLOOKUP($H38,Nutrition_tables!$A:$AF,28,FALSE)*$Q38/100</f>
        <v>3.5000000000000003E-2</v>
      </c>
      <c r="AP38" s="583">
        <f>VLOOKUP($H38,Nutrition_tables!$A:$AF,29,FALSE)*$Q38/100</f>
        <v>8</v>
      </c>
      <c r="AQ38" s="583">
        <f>VLOOKUP($H38,Nutrition_tables!$A:$AF,30,FALSE)*$Q38/100</f>
        <v>0.3</v>
      </c>
      <c r="AR38" s="583">
        <f>VLOOKUP($H38,Nutrition_tables!$A:$AF,31,FALSE)*$Q38/100</f>
        <v>0.5</v>
      </c>
      <c r="AS38" s="549">
        <f>VLOOKUP($H38,Nutrition_tables!$A:$AF,32,FALSE)*$Q38/100</f>
        <v>0.06</v>
      </c>
      <c r="AT38" s="583">
        <f>IF(H38="Select ingredient:","",IF(G38="Select food category:","",IFERROR(VLOOKUP($H38,Ingredient_prices!$E:$W,17,FALSE)*$Q38/1000,"not bought")))</f>
        <v>8.14</v>
      </c>
      <c r="AU38" s="583">
        <f>IF(H38="Select ingredient:","",IF(G38="Select food category:","",IFERROR(VLOOKUP($H38,Ingredient_prices!$E:$W,18,FALSE)*$Q38/1000,"not bought")))</f>
        <v>8.14</v>
      </c>
      <c r="AV38" s="583">
        <f t="shared" ref="AV38:AV49" si="42">W38*($Q38-$R38)/($Q38+0.00001)</f>
        <v>59.209994079000587</v>
      </c>
      <c r="AW38" s="583">
        <f t="shared" ref="AW38:AW49" si="43">X38*($Q38-$R38)/($Q38+0.00001)</f>
        <v>4.2974995702500429</v>
      </c>
      <c r="AX38" s="583">
        <f t="shared" ref="AX38:AX49" si="44">Y38*($Q38-$R38)/($Q38+0.00001)</f>
        <v>3.0559996944000307</v>
      </c>
      <c r="AY38" s="583">
        <f t="shared" ref="AY38:AY49" si="45">Z38*($Q38-$R38)/($Q38+0.00001)</f>
        <v>3.0559996944000307</v>
      </c>
      <c r="AZ38" s="583">
        <f t="shared" ref="AZ38:AZ49" si="46">AA38*($Q38-$R38)/($Q38+0.00001)</f>
        <v>0</v>
      </c>
      <c r="BA38" s="583">
        <f t="shared" ref="BA38:BA49" si="47">AB38*($Q38-$R38)/($Q38+0.00001)</f>
        <v>2.0054997994500203</v>
      </c>
      <c r="BB38" s="583">
        <f t="shared" ref="BB38:BB49" si="48">AC38*($Q38-$R38)/($Q38+0.00001)</f>
        <v>43.929995607000436</v>
      </c>
      <c r="BC38" s="583">
        <f t="shared" ref="BC38:BC49" si="49">AD38*($Q38-$R38)/($Q38+0.00001)</f>
        <v>148.02498519750148</v>
      </c>
      <c r="BD38" s="583">
        <f t="shared" ref="BD38:BD49" si="50">AE38*($Q38-$R38)/($Q38+0.00001)</f>
        <v>114.59998854000115</v>
      </c>
      <c r="BE38" s="583">
        <f t="shared" ref="BE38:BE49" si="51">AF38*($Q38-$R38)/($Q38+0.00001)</f>
        <v>10.504998949500104</v>
      </c>
      <c r="BF38" s="583">
        <f t="shared" ref="BF38:BF49" si="52">AG38*($Q38-$R38)/($Q38+0.00001)</f>
        <v>90.724990927500897</v>
      </c>
      <c r="BG38" s="583">
        <f t="shared" ref="BG38:BG49" si="53">AH38*($Q38-$R38)/($Q38+0.00001)</f>
        <v>9.549999045000096E-2</v>
      </c>
      <c r="BH38" s="583">
        <f t="shared" ref="BH38:BH49" si="54">AI38*($Q38-$R38)/($Q38+0.00001)</f>
        <v>0.56344994365500556</v>
      </c>
      <c r="BI38" s="583">
        <f t="shared" ref="BI38:BI49" si="55">AJ38*($Q38-$R38)/($Q38+0.00001)</f>
        <v>8.5949991405000845E-3</v>
      </c>
      <c r="BJ38" s="583">
        <f t="shared" ref="BJ38:BJ49" si="56">AK38*($Q38-$R38)/($Q38+0.00001)</f>
        <v>28.649997135000287</v>
      </c>
      <c r="BK38" s="583">
        <f t="shared" ref="BK38:BK49" si="57">AL38*($Q38-$R38)/($Q38+0.00001)</f>
        <v>2.8649997135000282E-2</v>
      </c>
      <c r="BL38" s="583">
        <f t="shared" ref="BL38:BL49" si="58">AM38*($Q38-$R38)/($Q38+0.00001)</f>
        <v>0.13369998663000135</v>
      </c>
      <c r="BM38" s="583">
        <f t="shared" ref="BM38:BM49" si="59">AN38*($Q38-$R38)/($Q38+0.00001)</f>
        <v>9.549999045000096E-2</v>
      </c>
      <c r="BN38" s="583">
        <f t="shared" ref="BN38:BN49" si="60">AO38*($Q38-$R38)/($Q38+0.00001)</f>
        <v>3.3424996657500337E-2</v>
      </c>
      <c r="BO38" s="583">
        <f t="shared" ref="BO38:BO49" si="61">AP38*($Q38-$R38)/($Q38+0.00001)</f>
        <v>7.6399992360000759</v>
      </c>
      <c r="BP38" s="583">
        <f t="shared" ref="BP38:BP49" si="62">AQ38*($Q38-$R38)/($Q38+0.00001)</f>
        <v>0.28649997135000282</v>
      </c>
      <c r="BQ38" s="583">
        <f t="shared" ref="BQ38:BQ49" si="63">AR38*($Q38-$R38)/($Q38+0.00001)</f>
        <v>0.47749995225000474</v>
      </c>
      <c r="BR38" s="583">
        <f t="shared" ref="BR38:BR49" si="64">AS38*($Q38-$R38)/($Q38+0.00001)</f>
        <v>5.7299994270000564E-2</v>
      </c>
    </row>
    <row r="39" spans="1:70" s="229" customFormat="1" ht="15" customHeight="1">
      <c r="A39" s="590"/>
      <c r="D39" s="85" t="s">
        <v>2741</v>
      </c>
      <c r="E39" s="576">
        <f>IF(E$38&gt;0,E$38,"")</f>
        <v>100</v>
      </c>
      <c r="F39" s="85"/>
      <c r="G39" s="406" t="s">
        <v>3070</v>
      </c>
      <c r="H39" s="1262" t="s">
        <v>3510</v>
      </c>
      <c r="I39" s="85">
        <v>50</v>
      </c>
      <c r="J39" s="682">
        <v>1</v>
      </c>
      <c r="K39" s="579">
        <f t="shared" ref="K39:K49" si="65">IF(I39&gt;0,1.1*Q39*E39/1000,"")</f>
        <v>5.5000000000000009</v>
      </c>
      <c r="L39" s="580">
        <f>IF(H39="Select ingredient:","",IF(G39="","",_xlfn.IFNA(VLOOKUP($H39,Ingredient_prices!$E:$U,16,FALSE),0)))</f>
        <v>708</v>
      </c>
      <c r="M39" s="591"/>
      <c r="N39" s="591"/>
      <c r="O39" s="591"/>
      <c r="P39" s="592"/>
      <c r="Q39" s="583">
        <f t="shared" si="40"/>
        <v>50</v>
      </c>
      <c r="R39" s="583">
        <f>VLOOKUP($H39,'CO2_emission+%_food_waste'!$A:$K,6,FALSE)*$Q39/100</f>
        <v>16.649999999999999</v>
      </c>
      <c r="S39" s="583">
        <f t="shared" si="41"/>
        <v>33.35</v>
      </c>
      <c r="T39" s="583">
        <f>IF(H39="Select ingredient:","",IF(G39="Select food category:","",_xlfn.IFNA(VLOOKUP($H39,Ingredient_prices!$E:$U,16,FALSE)*$Q39/1000,"not bought")))</f>
        <v>35.4</v>
      </c>
      <c r="U39" s="583">
        <f>IF(G39="Select food category:","",_xlfn.IFNA(VLOOKUP($H39,Ingredient_prices!$E:$U,16,FALSE)*$R39/1000,"not bought"))</f>
        <v>11.7882</v>
      </c>
      <c r="V39" s="549">
        <f>VLOOKUP($H39,'CO2_emission+%_food_waste'!$A:$K,4,FALSE)*$Q39</f>
        <v>156</v>
      </c>
      <c r="W39" s="583">
        <f>VLOOKUP($H39,Nutrition_tables!$A:$N,10,FALSE)*$Q39/100</f>
        <v>141.5</v>
      </c>
      <c r="X39" s="583">
        <f>VLOOKUP($H39,Nutrition_tables!$A:$N,11,FALSE)*$Q39/100</f>
        <v>3.4</v>
      </c>
      <c r="Y39" s="583">
        <f>VLOOKUP($H39,Nutrition_tables!$A:$N,12,FALSE)*$Q39/100</f>
        <v>6.55</v>
      </c>
      <c r="Z39" s="583">
        <f>VLOOKUP($H39,Nutrition_tables!$A:$N,14,FALSE)*$Q39/100</f>
        <v>12.85</v>
      </c>
      <c r="AA39" s="583">
        <f>VLOOKUP($H39,Nutrition_tables!$A:$AF,13,FALSE)*$Q39/100</f>
        <v>0</v>
      </c>
      <c r="AB39" s="549">
        <f>VLOOKUP($H39,Nutrition_tables!$A:$AF,15,FALSE)*$Q39/100</f>
        <v>4.5449999999999999</v>
      </c>
      <c r="AC39" s="583">
        <f>VLOOKUP($H39,Nutrition_tables!$A:$AF,16,FALSE)*$Q39/100</f>
        <v>411</v>
      </c>
      <c r="AD39" s="583">
        <f>VLOOKUP($H39,Nutrition_tables!$A:$AF,17,FALSE)*$Q39/100</f>
        <v>11.9</v>
      </c>
      <c r="AE39" s="583">
        <f>VLOOKUP($H39,Nutrition_tables!$A:$AF,18,FALSE)*$Q39/100</f>
        <v>22.15</v>
      </c>
      <c r="AF39" s="583">
        <f>VLOOKUP($H39,Nutrition_tables!$A:$AF,19,FALSE)*$Q39/100</f>
        <v>10</v>
      </c>
      <c r="AG39" s="583">
        <f>VLOOKUP($H39,Nutrition_tables!$A:$AF,20,FALSE)*$Q39/100</f>
        <v>81</v>
      </c>
      <c r="AH39" s="583">
        <f>VLOOKUP($H39,Nutrition_tables!$A:$AF,21,FALSE)*$Q39/100</f>
        <v>0.8</v>
      </c>
      <c r="AI39" s="583">
        <f>VLOOKUP($H39,Nutrition_tables!$A:$AF,22,FALSE)*$Q39/100</f>
        <v>0.55500000000000005</v>
      </c>
      <c r="AJ39" s="549">
        <f>VLOOKUP($H39,Nutrition_tables!$A:$AF,23,FALSE)*$Q39/100</f>
        <v>3.9E-2</v>
      </c>
      <c r="AK39" s="583">
        <f>VLOOKUP($H39,Nutrition_tables!$A:$AF,24,FALSE)*$Q39/100</f>
        <v>0</v>
      </c>
      <c r="AL39" s="583">
        <f>VLOOKUP($H39,Nutrition_tables!$A:$AF,25,FALSE)*$Q39/100</f>
        <v>3.5000000000000003E-2</v>
      </c>
      <c r="AM39" s="583">
        <f>VLOOKUP($H39,Nutrition_tables!$A:$AF,26,FALSE)*$Q39/100</f>
        <v>5.5000000000000007E-2</v>
      </c>
      <c r="AN39" s="583">
        <f>VLOOKUP($H39,Nutrition_tables!$A:$AF,27,FALSE)*$Q39/100</f>
        <v>1.55</v>
      </c>
      <c r="AO39" s="583">
        <f>VLOOKUP($H39,Nutrition_tables!$A:$AF,28,FALSE)*$Q39/100</f>
        <v>4.845E-2</v>
      </c>
      <c r="AP39" s="583">
        <f>VLOOKUP($H39,Nutrition_tables!$A:$AF,29,FALSE)*$Q39/100</f>
        <v>1.05</v>
      </c>
      <c r="AQ39" s="583">
        <f>VLOOKUP($H39,Nutrition_tables!$A:$AF,30,FALSE)*$Q39/100</f>
        <v>8.1000000000000003E-2</v>
      </c>
      <c r="AR39" s="583">
        <f>VLOOKUP($H39,Nutrition_tables!$A:$AF,31,FALSE)*$Q39/100</f>
        <v>0</v>
      </c>
      <c r="AS39" s="549">
        <f>VLOOKUP($H39,Nutrition_tables!$A:$AF,32,FALSE)*$Q39/100</f>
        <v>7.8750000000000001E-2</v>
      </c>
      <c r="AT39" s="583">
        <f>IF(H39="Select ingredient:","",IF(G39="Select food category:","",IFERROR(VLOOKUP($H39,Ingredient_prices!$E:$W,17,FALSE)*$Q39/1000,"not bought")))</f>
        <v>35.4</v>
      </c>
      <c r="AU39" s="583">
        <f>IF(H39="Select ingredient:","",IF(G39="Select food category:","",IFERROR(VLOOKUP($H39,Ingredient_prices!$E:$W,18,FALSE)*$Q39/1000,"not bought")))</f>
        <v>35.4</v>
      </c>
      <c r="AV39" s="583">
        <f t="shared" si="42"/>
        <v>94.380481123903778</v>
      </c>
      <c r="AW39" s="583">
        <f t="shared" si="43"/>
        <v>2.2677995464400906</v>
      </c>
      <c r="AX39" s="583">
        <f t="shared" si="44"/>
        <v>4.3688491262301747</v>
      </c>
      <c r="AY39" s="583">
        <f t="shared" si="45"/>
        <v>8.5709482858103421</v>
      </c>
      <c r="AZ39" s="583">
        <f t="shared" si="46"/>
        <v>0</v>
      </c>
      <c r="BA39" s="583">
        <f t="shared" si="47"/>
        <v>3.0315143936971212</v>
      </c>
      <c r="BB39" s="583">
        <f t="shared" si="48"/>
        <v>274.13694517261098</v>
      </c>
      <c r="BC39" s="583">
        <f t="shared" si="49"/>
        <v>7.9372984125403168</v>
      </c>
      <c r="BD39" s="583">
        <f t="shared" si="50"/>
        <v>14.77404704519059</v>
      </c>
      <c r="BE39" s="583">
        <f t="shared" si="51"/>
        <v>6.6699986660002661</v>
      </c>
      <c r="BF39" s="583">
        <f t="shared" si="52"/>
        <v>54.026989194602159</v>
      </c>
      <c r="BG39" s="583">
        <f t="shared" si="53"/>
        <v>0.53359989328002133</v>
      </c>
      <c r="BH39" s="583">
        <f t="shared" si="54"/>
        <v>0.37018492596301483</v>
      </c>
      <c r="BI39" s="583">
        <f t="shared" si="55"/>
        <v>2.6012994797401042E-2</v>
      </c>
      <c r="BJ39" s="583">
        <f t="shared" si="56"/>
        <v>0</v>
      </c>
      <c r="BK39" s="583">
        <f t="shared" si="57"/>
        <v>2.3344995331000935E-2</v>
      </c>
      <c r="BL39" s="583">
        <f t="shared" si="58"/>
        <v>3.6684992663001473E-2</v>
      </c>
      <c r="BM39" s="583">
        <f t="shared" si="59"/>
        <v>1.0338497932300414</v>
      </c>
      <c r="BN39" s="583">
        <f t="shared" si="60"/>
        <v>3.2316143536771293E-2</v>
      </c>
      <c r="BO39" s="583">
        <f t="shared" si="61"/>
        <v>0.70034985993002807</v>
      </c>
      <c r="BP39" s="583">
        <f t="shared" si="62"/>
        <v>5.4026989194602158E-2</v>
      </c>
      <c r="BQ39" s="583">
        <f t="shared" si="63"/>
        <v>0</v>
      </c>
      <c r="BR39" s="583">
        <f t="shared" si="64"/>
        <v>5.2526239494752096E-2</v>
      </c>
    </row>
    <row r="40" spans="1:70" s="229" customFormat="1" ht="15" customHeight="1">
      <c r="A40" s="590"/>
      <c r="D40" s="85"/>
      <c r="E40" s="576">
        <f t="shared" ref="E40:E49" si="66">IF(E$38&gt;0,E$38,"")</f>
        <v>100</v>
      </c>
      <c r="F40" s="85"/>
      <c r="G40" s="406" t="s">
        <v>3079</v>
      </c>
      <c r="H40" s="1262" t="s">
        <v>3366</v>
      </c>
      <c r="I40" s="85">
        <v>75</v>
      </c>
      <c r="J40" s="682">
        <v>1</v>
      </c>
      <c r="K40" s="579">
        <f t="shared" si="65"/>
        <v>8.25</v>
      </c>
      <c r="L40" s="580">
        <f>IF(H40="Select ingredient:","",IF(G40="","",_xlfn.IFNA(VLOOKUP($H40,Ingredient_prices!$E:$U,16,FALSE),0)))</f>
        <v>52.425999999999995</v>
      </c>
      <c r="M40" s="591"/>
      <c r="N40" s="591"/>
      <c r="O40" s="591"/>
      <c r="P40" s="592"/>
      <c r="Q40" s="583">
        <f t="shared" si="40"/>
        <v>75</v>
      </c>
      <c r="R40" s="583">
        <f>VLOOKUP($H40,'CO2_emission+%_food_waste'!$A:$K,6,FALSE)*$Q40/100</f>
        <v>27.15</v>
      </c>
      <c r="S40" s="583">
        <f t="shared" si="41"/>
        <v>47.85</v>
      </c>
      <c r="T40" s="583">
        <f>IF(H40="Select ingredient:","",IF(G40="Select food category:","",_xlfn.IFNA(VLOOKUP($H40,Ingredient_prices!$E:$U,16,FALSE)*$Q40/1000,"not bought")))</f>
        <v>3.9319499999999996</v>
      </c>
      <c r="U40" s="583">
        <f>IF(G40="Select food category:","",_xlfn.IFNA(VLOOKUP($H40,Ingredient_prices!$E:$U,16,FALSE)*$R40/1000,"not bought"))</f>
        <v>1.4233658999999999</v>
      </c>
      <c r="V40" s="549">
        <f>VLOOKUP($H40,'CO2_emission+%_food_waste'!$A:$K,4,FALSE)*$Q40</f>
        <v>121.50000000000001</v>
      </c>
      <c r="W40" s="583">
        <f>VLOOKUP($H40,Nutrition_tables!$A:$N,10,FALSE)*$Q40/100</f>
        <v>172.83750000000001</v>
      </c>
      <c r="X40" s="583">
        <f>VLOOKUP($H40,Nutrition_tables!$A:$N,11,FALSE)*$Q40/100</f>
        <v>33.580124999999995</v>
      </c>
      <c r="Y40" s="583">
        <f>VLOOKUP($H40,Nutrition_tables!$A:$N,12,FALSE)*$Q40/100</f>
        <v>5.2856249999999996</v>
      </c>
      <c r="Z40" s="583">
        <f>VLOOKUP($H40,Nutrition_tables!$A:$N,14,FALSE)*$Q40/100</f>
        <v>0.63787499999999997</v>
      </c>
      <c r="AA40" s="583">
        <f>VLOOKUP($H40,Nutrition_tables!$A:$AF,13,FALSE)*$Q40/100</f>
        <v>4.6556249999999997</v>
      </c>
      <c r="AB40" s="549">
        <f>VLOOKUP($H40,Nutrition_tables!$A:$AF,15,FALSE)*$Q40/100</f>
        <v>0.10050000000000001</v>
      </c>
      <c r="AC40" s="583">
        <f>VLOOKUP($H40,Nutrition_tables!$A:$AF,16,FALSE)*$Q40/100</f>
        <v>388.875</v>
      </c>
      <c r="AD40" s="583">
        <f>VLOOKUP($H40,Nutrition_tables!$A:$AF,17,FALSE)*$Q40/100</f>
        <v>152.25</v>
      </c>
      <c r="AE40" s="583">
        <f>VLOOKUP($H40,Nutrition_tables!$A:$AF,18,FALSE)*$Q40/100</f>
        <v>50.25</v>
      </c>
      <c r="AF40" s="583">
        <f>VLOOKUP($H40,Nutrition_tables!$A:$AF,19,FALSE)*$Q40/100</f>
        <v>9.5786249999999988</v>
      </c>
      <c r="AG40" s="583">
        <f>VLOOKUP($H40,Nutrition_tables!$A:$AF,20,FALSE)*$Q40/100</f>
        <v>75.375</v>
      </c>
      <c r="AH40" s="583">
        <f>VLOOKUP($H40,Nutrition_tables!$A:$AF,21,FALSE)*$Q40/100</f>
        <v>1.3230000000000002</v>
      </c>
      <c r="AI40" s="583">
        <f>VLOOKUP($H40,Nutrition_tables!$A:$AF,22,FALSE)*$Q40/100</f>
        <v>1.9994999999999998</v>
      </c>
      <c r="AJ40" s="549">
        <f>VLOOKUP($H40,Nutrition_tables!$A:$AF,23,FALSE)*$Q40/100</f>
        <v>0.20775000000000002</v>
      </c>
      <c r="AK40" s="583">
        <f>VLOOKUP($H40,Nutrition_tables!$A:$AF,24,FALSE)*$Q40/100</f>
        <v>0.375</v>
      </c>
      <c r="AL40" s="583">
        <f>VLOOKUP($H40,Nutrition_tables!$A:$AF,25,FALSE)*$Q40/100</f>
        <v>0.14249999999999999</v>
      </c>
      <c r="AM40" s="583">
        <f>VLOOKUP($H40,Nutrition_tables!$A:$AF,26,FALSE)*$Q40/100</f>
        <v>8.6249999999999993E-2</v>
      </c>
      <c r="AN40" s="583">
        <f>VLOOKUP($H40,Nutrition_tables!$A:$AF,27,FALSE)*$Q40/100</f>
        <v>1.6136250000000001</v>
      </c>
      <c r="AO40" s="583">
        <f>VLOOKUP($H40,Nutrition_tables!$A:$AF,28,FALSE)*$Q40/100</f>
        <v>7.7249999999999999E-2</v>
      </c>
      <c r="AP40" s="583">
        <f>VLOOKUP($H40,Nutrition_tables!$A:$AF,29,FALSE)*$Q40/100</f>
        <v>23.625</v>
      </c>
      <c r="AQ40" s="583">
        <f>VLOOKUP($H40,Nutrition_tables!$A:$AF,30,FALSE)*$Q40/100</f>
        <v>3.7499999999999999E-3</v>
      </c>
      <c r="AR40" s="583">
        <f>VLOOKUP($H40,Nutrition_tables!$A:$AF,31,FALSE)*$Q40/100</f>
        <v>7.4999999999999997E-2</v>
      </c>
      <c r="AS40" s="549">
        <f>VLOOKUP($H40,Nutrition_tables!$A:$AF,32,FALSE)*$Q40/100</f>
        <v>8.2500000000000004E-2</v>
      </c>
      <c r="AT40" s="583">
        <f>IF(H40="Select ingredient:","",IF(G40="Select food category:","",IFERROR(VLOOKUP($H40,Ingredient_prices!$E:$W,17,FALSE)*$Q40/1000,"not bought")))</f>
        <v>3.9319499999999996</v>
      </c>
      <c r="AU40" s="583">
        <f>IF(H40="Select ingredient:","",IF(G40="Select food category:","",IFERROR(VLOOKUP($H40,Ingredient_prices!$E:$W,18,FALSE)*$Q40/1000,"not bought")))</f>
        <v>3.9319499999999996</v>
      </c>
      <c r="AV40" s="583">
        <f t="shared" si="42"/>
        <v>110.27031029729197</v>
      </c>
      <c r="AW40" s="583">
        <f t="shared" si="43"/>
        <v>21.424116893451078</v>
      </c>
      <c r="AX40" s="583">
        <f t="shared" si="44"/>
        <v>3.3722283003695597</v>
      </c>
      <c r="AY40" s="583">
        <f t="shared" si="45"/>
        <v>0.40696419573810722</v>
      </c>
      <c r="AZ40" s="583">
        <f t="shared" si="46"/>
        <v>2.9702883539615526</v>
      </c>
      <c r="BA40" s="583">
        <f t="shared" si="47"/>
        <v>6.4118991450801147E-2</v>
      </c>
      <c r="BB40" s="583">
        <f t="shared" si="48"/>
        <v>248.1022169197044</v>
      </c>
      <c r="BC40" s="583">
        <f t="shared" si="49"/>
        <v>97.135487048601732</v>
      </c>
      <c r="BD40" s="583">
        <f t="shared" si="50"/>
        <v>32.059495725400566</v>
      </c>
      <c r="BE40" s="583">
        <f t="shared" si="51"/>
        <v>6.1111619351784077</v>
      </c>
      <c r="BF40" s="583">
        <f t="shared" si="52"/>
        <v>48.08924358810085</v>
      </c>
      <c r="BG40" s="583">
        <f t="shared" si="53"/>
        <v>0.84407388745681511</v>
      </c>
      <c r="BH40" s="583">
        <f t="shared" si="54"/>
        <v>1.2756808299092226</v>
      </c>
      <c r="BI40" s="583">
        <f t="shared" si="55"/>
        <v>0.13254448232740235</v>
      </c>
      <c r="BJ40" s="583">
        <f t="shared" si="56"/>
        <v>0.23924996810000426</v>
      </c>
      <c r="BK40" s="583">
        <f t="shared" si="57"/>
        <v>9.0914987878001605E-2</v>
      </c>
      <c r="BL40" s="583">
        <f t="shared" si="58"/>
        <v>5.5027492663000978E-2</v>
      </c>
      <c r="BM40" s="583">
        <f t="shared" si="59"/>
        <v>1.0294926127343182</v>
      </c>
      <c r="BN40" s="583">
        <f t="shared" si="60"/>
        <v>4.9285493428600877E-2</v>
      </c>
      <c r="BO40" s="583">
        <f t="shared" si="61"/>
        <v>15.072747990300266</v>
      </c>
      <c r="BP40" s="583">
        <f t="shared" si="62"/>
        <v>2.3924996810000426E-3</v>
      </c>
      <c r="BQ40" s="583">
        <f t="shared" si="63"/>
        <v>4.784999362000085E-2</v>
      </c>
      <c r="BR40" s="583">
        <f t="shared" si="64"/>
        <v>5.2634992982000937E-2</v>
      </c>
    </row>
    <row r="41" spans="1:70" s="229" customFormat="1">
      <c r="A41" s="590"/>
      <c r="D41" s="85"/>
      <c r="E41" s="576">
        <f t="shared" si="66"/>
        <v>100</v>
      </c>
      <c r="F41" s="85"/>
      <c r="G41" s="406" t="s">
        <v>3140</v>
      </c>
      <c r="H41" s="1262" t="s">
        <v>3102</v>
      </c>
      <c r="I41" s="85">
        <v>0</v>
      </c>
      <c r="J41" s="682">
        <v>1</v>
      </c>
      <c r="K41" s="579" t="str">
        <f t="shared" si="65"/>
        <v/>
      </c>
      <c r="L41" s="580">
        <f>IF(H41="Select ingredient:","",IF(G41="","",_xlfn.IFNA(VLOOKUP($H41,Ingredient_prices!$E:$U,16,FALSE),0)))</f>
        <v>66</v>
      </c>
      <c r="M41" s="591"/>
      <c r="N41" s="591"/>
      <c r="O41" s="591"/>
      <c r="P41" s="592"/>
      <c r="Q41" s="583">
        <f t="shared" si="40"/>
        <v>0</v>
      </c>
      <c r="R41" s="583">
        <f>VLOOKUP($H41,'CO2_emission+%_food_waste'!$A:$K,6,FALSE)*$Q41/100</f>
        <v>0</v>
      </c>
      <c r="S41" s="583">
        <f t="shared" si="41"/>
        <v>0</v>
      </c>
      <c r="T41" s="583">
        <f>IF(H41="Select ingredient:","",IF(G41="Select food category:","",_xlfn.IFNA(VLOOKUP($H41,Ingredient_prices!$E:$U,16,FALSE)*$Q41/1000,"not bought")))</f>
        <v>0</v>
      </c>
      <c r="U41" s="583">
        <f>IF(G41="Select food category:","",_xlfn.IFNA(VLOOKUP($H41,Ingredient_prices!$E:$U,16,FALSE)*$R41/1000,"not bought"))</f>
        <v>0</v>
      </c>
      <c r="V41" s="549">
        <f>VLOOKUP($H41,'CO2_emission+%_food_waste'!$A:$K,4,FALSE)*$Q41</f>
        <v>0</v>
      </c>
      <c r="W41" s="583">
        <f>VLOOKUP($H41,Nutrition_tables!$A:$N,10,FALSE)*$Q41/100</f>
        <v>0</v>
      </c>
      <c r="X41" s="583">
        <f>VLOOKUP($H41,Nutrition_tables!$A:$N,11,FALSE)*$Q41/100</f>
        <v>0</v>
      </c>
      <c r="Y41" s="583">
        <f>VLOOKUP($H41,Nutrition_tables!$A:$N,12,FALSE)*$Q41/100</f>
        <v>0</v>
      </c>
      <c r="Z41" s="583">
        <f>VLOOKUP($H41,Nutrition_tables!$A:$N,14,FALSE)*$Q41/100</f>
        <v>0</v>
      </c>
      <c r="AA41" s="583">
        <f>VLOOKUP($H41,Nutrition_tables!$A:$AF,13,FALSE)*$Q41/100</f>
        <v>0</v>
      </c>
      <c r="AB41" s="549">
        <f>VLOOKUP($H41,Nutrition_tables!$A:$AF,15,FALSE)*$Q41/100</f>
        <v>0</v>
      </c>
      <c r="AC41" s="583">
        <f>VLOOKUP($H41,Nutrition_tables!$A:$AF,16,FALSE)*$Q41/100</f>
        <v>0</v>
      </c>
      <c r="AD41" s="583">
        <f>VLOOKUP($H41,Nutrition_tables!$A:$AF,17,FALSE)*$Q41/100</f>
        <v>0</v>
      </c>
      <c r="AE41" s="583">
        <f>VLOOKUP($H41,Nutrition_tables!$A:$AF,18,FALSE)*$Q41/100</f>
        <v>0</v>
      </c>
      <c r="AF41" s="583">
        <f>VLOOKUP($H41,Nutrition_tables!$A:$AF,19,FALSE)*$Q41/100</f>
        <v>0</v>
      </c>
      <c r="AG41" s="583">
        <f>VLOOKUP($H41,Nutrition_tables!$A:$AF,20,FALSE)*$Q41/100</f>
        <v>0</v>
      </c>
      <c r="AH41" s="583">
        <f>VLOOKUP($H41,Nutrition_tables!$A:$AF,21,FALSE)*$Q41/100</f>
        <v>0</v>
      </c>
      <c r="AI41" s="583">
        <f>VLOOKUP($H41,Nutrition_tables!$A:$AF,22,FALSE)*$Q41/100</f>
        <v>0</v>
      </c>
      <c r="AJ41" s="549">
        <f>VLOOKUP($H41,Nutrition_tables!$A:$AF,23,FALSE)*$Q41/100</f>
        <v>0</v>
      </c>
      <c r="AK41" s="583">
        <f>VLOOKUP($H41,Nutrition_tables!$A:$AF,24,FALSE)*$Q41/100</f>
        <v>0</v>
      </c>
      <c r="AL41" s="583">
        <f>VLOOKUP($H41,Nutrition_tables!$A:$AF,25,FALSE)*$Q41/100</f>
        <v>0</v>
      </c>
      <c r="AM41" s="583">
        <f>VLOOKUP($H41,Nutrition_tables!$A:$AF,26,FALSE)*$Q41/100</f>
        <v>0</v>
      </c>
      <c r="AN41" s="583">
        <f>VLOOKUP($H41,Nutrition_tables!$A:$AF,27,FALSE)*$Q41/100</f>
        <v>0</v>
      </c>
      <c r="AO41" s="583">
        <f>VLOOKUP($H41,Nutrition_tables!$A:$AF,28,FALSE)*$Q41/100</f>
        <v>0</v>
      </c>
      <c r="AP41" s="583">
        <f>VLOOKUP($H41,Nutrition_tables!$A:$AF,29,FALSE)*$Q41/100</f>
        <v>0</v>
      </c>
      <c r="AQ41" s="583">
        <f>VLOOKUP($H41,Nutrition_tables!$A:$AF,30,FALSE)*$Q41/100</f>
        <v>0</v>
      </c>
      <c r="AR41" s="583">
        <f>VLOOKUP($H41,Nutrition_tables!$A:$AF,31,FALSE)*$Q41/100</f>
        <v>0</v>
      </c>
      <c r="AS41" s="549">
        <f>VLOOKUP($H41,Nutrition_tables!$A:$AF,32,FALSE)*$Q41/100</f>
        <v>0</v>
      </c>
      <c r="AT41" s="583">
        <f>IF(H41="Select ingredient:","",IF(G41="Select food category:","",IFERROR(VLOOKUP($H41,Ingredient_prices!$E:$W,17,FALSE)*$Q41/1000,"not bought")))</f>
        <v>0</v>
      </c>
      <c r="AU41" s="583">
        <f>IF(H41="Select ingredient:","",IF(G41="Select food category:","",IFERROR(VLOOKUP($H41,Ingredient_prices!$E:$W,18,FALSE)*$Q41/1000,"not bought")))</f>
        <v>0</v>
      </c>
      <c r="AV41" s="583">
        <f t="shared" si="42"/>
        <v>0</v>
      </c>
      <c r="AW41" s="583">
        <f t="shared" si="43"/>
        <v>0</v>
      </c>
      <c r="AX41" s="583">
        <f t="shared" si="44"/>
        <v>0</v>
      </c>
      <c r="AY41" s="583">
        <f t="shared" si="45"/>
        <v>0</v>
      </c>
      <c r="AZ41" s="583">
        <f t="shared" si="46"/>
        <v>0</v>
      </c>
      <c r="BA41" s="583">
        <f t="shared" si="47"/>
        <v>0</v>
      </c>
      <c r="BB41" s="583">
        <f t="shared" si="48"/>
        <v>0</v>
      </c>
      <c r="BC41" s="583">
        <f t="shared" si="49"/>
        <v>0</v>
      </c>
      <c r="BD41" s="583">
        <f t="shared" si="50"/>
        <v>0</v>
      </c>
      <c r="BE41" s="583">
        <f t="shared" si="51"/>
        <v>0</v>
      </c>
      <c r="BF41" s="583">
        <f t="shared" si="52"/>
        <v>0</v>
      </c>
      <c r="BG41" s="583">
        <f t="shared" si="53"/>
        <v>0</v>
      </c>
      <c r="BH41" s="583">
        <f t="shared" si="54"/>
        <v>0</v>
      </c>
      <c r="BI41" s="583">
        <f t="shared" si="55"/>
        <v>0</v>
      </c>
      <c r="BJ41" s="583">
        <f t="shared" si="56"/>
        <v>0</v>
      </c>
      <c r="BK41" s="583">
        <f t="shared" si="57"/>
        <v>0</v>
      </c>
      <c r="BL41" s="583">
        <f t="shared" si="58"/>
        <v>0</v>
      </c>
      <c r="BM41" s="583">
        <f t="shared" si="59"/>
        <v>0</v>
      </c>
      <c r="BN41" s="583">
        <f t="shared" si="60"/>
        <v>0</v>
      </c>
      <c r="BO41" s="583">
        <f t="shared" si="61"/>
        <v>0</v>
      </c>
      <c r="BP41" s="583">
        <f t="shared" si="62"/>
        <v>0</v>
      </c>
      <c r="BQ41" s="583">
        <f t="shared" si="63"/>
        <v>0</v>
      </c>
      <c r="BR41" s="583">
        <f t="shared" si="64"/>
        <v>0</v>
      </c>
    </row>
    <row r="42" spans="1:70" s="229" customFormat="1" ht="15" customHeight="1">
      <c r="A42" s="590"/>
      <c r="D42" s="85"/>
      <c r="E42" s="576">
        <f t="shared" si="66"/>
        <v>100</v>
      </c>
      <c r="F42" s="85"/>
      <c r="G42" s="406" t="s">
        <v>3054</v>
      </c>
      <c r="H42" s="1262" t="s">
        <v>3055</v>
      </c>
      <c r="I42" s="85">
        <v>0</v>
      </c>
      <c r="J42" s="682">
        <v>1</v>
      </c>
      <c r="K42" s="579" t="str">
        <f t="shared" si="65"/>
        <v/>
      </c>
      <c r="L42" s="580" t="str">
        <f>IF(H42="Select ingredient:","",IF(G42="","",_xlfn.IFNA(VLOOKUP($H42,Ingredient_prices!$E:$U,16,FALSE),0)))</f>
        <v/>
      </c>
      <c r="M42" s="591"/>
      <c r="N42" s="591"/>
      <c r="O42" s="591"/>
      <c r="P42" s="592"/>
      <c r="Q42" s="583">
        <f t="shared" si="40"/>
        <v>0</v>
      </c>
      <c r="R42" s="583">
        <f>VLOOKUP($H42,'CO2_emission+%_food_waste'!$A:$K,6,FALSE)*$Q42/100</f>
        <v>0</v>
      </c>
      <c r="S42" s="583">
        <f t="shared" si="41"/>
        <v>0</v>
      </c>
      <c r="T42" s="583" t="str">
        <f>IF(H42="Select ingredient:","",IF(G42="Select food category:","",_xlfn.IFNA(VLOOKUP($H42,Ingredient_prices!$E:$U,16,FALSE)*$Q42/1000,"not bought")))</f>
        <v/>
      </c>
      <c r="U42" s="583" t="str">
        <f>IF(G42="Select food category:","",_xlfn.IFNA(VLOOKUP($H42,Ingredient_prices!$E:$U,16,FALSE)*$R42/1000,"not bought"))</f>
        <v/>
      </c>
      <c r="V42" s="549">
        <f>VLOOKUP($H42,'CO2_emission+%_food_waste'!$A:$K,4,FALSE)*$Q42</f>
        <v>0</v>
      </c>
      <c r="W42" s="583">
        <f>VLOOKUP($H42,Nutrition_tables!$A:$N,10,FALSE)*$Q42/100</f>
        <v>0</v>
      </c>
      <c r="X42" s="583">
        <f>VLOOKUP($H42,Nutrition_tables!$A:$N,11,FALSE)*$Q42/100</f>
        <v>0</v>
      </c>
      <c r="Y42" s="583">
        <f>VLOOKUP($H42,Nutrition_tables!$A:$N,12,FALSE)*$Q42/100</f>
        <v>0</v>
      </c>
      <c r="Z42" s="583">
        <f>VLOOKUP($H42,Nutrition_tables!$A:$N,14,FALSE)*$Q42/100</f>
        <v>0</v>
      </c>
      <c r="AA42" s="583">
        <f>VLOOKUP($H42,Nutrition_tables!$A:$AF,13,FALSE)*$Q42/100</f>
        <v>0</v>
      </c>
      <c r="AB42" s="549">
        <f>VLOOKUP($H42,Nutrition_tables!$A:$AF,15,FALSE)*$Q42/100</f>
        <v>0</v>
      </c>
      <c r="AC42" s="583">
        <f>VLOOKUP($H42,Nutrition_tables!$A:$AF,16,FALSE)*$Q42/100</f>
        <v>0</v>
      </c>
      <c r="AD42" s="583">
        <f>VLOOKUP($H42,Nutrition_tables!$A:$AF,17,FALSE)*$Q42/100</f>
        <v>0</v>
      </c>
      <c r="AE42" s="583">
        <f>VLOOKUP($H42,Nutrition_tables!$A:$AF,18,FALSE)*$Q42/100</f>
        <v>0</v>
      </c>
      <c r="AF42" s="583">
        <f>VLOOKUP($H42,Nutrition_tables!$A:$AF,19,FALSE)*$Q42/100</f>
        <v>0</v>
      </c>
      <c r="AG42" s="583">
        <f>VLOOKUP($H42,Nutrition_tables!$A:$AF,20,FALSE)*$Q42/100</f>
        <v>0</v>
      </c>
      <c r="AH42" s="583">
        <f>VLOOKUP($H42,Nutrition_tables!$A:$AF,21,FALSE)*$Q42/100</f>
        <v>0</v>
      </c>
      <c r="AI42" s="583">
        <f>VLOOKUP($H42,Nutrition_tables!$A:$AF,22,FALSE)*$Q42/100</f>
        <v>0</v>
      </c>
      <c r="AJ42" s="549">
        <f>VLOOKUP($H42,Nutrition_tables!$A:$AF,23,FALSE)*$Q42/100</f>
        <v>0</v>
      </c>
      <c r="AK42" s="583">
        <f>VLOOKUP($H42,Nutrition_tables!$A:$AF,24,FALSE)*$Q42/100</f>
        <v>0</v>
      </c>
      <c r="AL42" s="583">
        <f>VLOOKUP($H42,Nutrition_tables!$A:$AF,25,FALSE)*$Q42/100</f>
        <v>0</v>
      </c>
      <c r="AM42" s="583">
        <f>VLOOKUP($H42,Nutrition_tables!$A:$AF,26,FALSE)*$Q42/100</f>
        <v>0</v>
      </c>
      <c r="AN42" s="583">
        <f>VLOOKUP($H42,Nutrition_tables!$A:$AF,27,FALSE)*$Q42/100</f>
        <v>0</v>
      </c>
      <c r="AO42" s="583">
        <f>VLOOKUP($H42,Nutrition_tables!$A:$AF,28,FALSE)*$Q42/100</f>
        <v>0</v>
      </c>
      <c r="AP42" s="583">
        <f>VLOOKUP($H42,Nutrition_tables!$A:$AF,29,FALSE)*$Q42/100</f>
        <v>0</v>
      </c>
      <c r="AQ42" s="583">
        <f>VLOOKUP($H42,Nutrition_tables!$A:$AF,30,FALSE)*$Q42/100</f>
        <v>0</v>
      </c>
      <c r="AR42" s="583">
        <f>VLOOKUP($H42,Nutrition_tables!$A:$AF,31,FALSE)*$Q42/100</f>
        <v>0</v>
      </c>
      <c r="AS42" s="549">
        <f>VLOOKUP($H42,Nutrition_tables!$A:$AF,32,FALSE)*$Q42/100</f>
        <v>0</v>
      </c>
      <c r="AT42" s="583" t="str">
        <f>IF(H42="Select ingredient:","",IF(G42="Select food category:","",IFERROR(VLOOKUP($H42,Ingredient_prices!$E:$W,17,FALSE)*$Q42/1000,"not bought")))</f>
        <v/>
      </c>
      <c r="AU42" s="583" t="str">
        <f>IF(H42="Select ingredient:","",IF(G42="Select food category:","",IFERROR(VLOOKUP($H42,Ingredient_prices!$E:$W,18,FALSE)*$Q42/1000,"not bought")))</f>
        <v/>
      </c>
      <c r="AV42" s="583">
        <f t="shared" si="42"/>
        <v>0</v>
      </c>
      <c r="AW42" s="583">
        <f t="shared" si="43"/>
        <v>0</v>
      </c>
      <c r="AX42" s="583">
        <f t="shared" si="44"/>
        <v>0</v>
      </c>
      <c r="AY42" s="583">
        <f t="shared" si="45"/>
        <v>0</v>
      </c>
      <c r="AZ42" s="583">
        <f t="shared" si="46"/>
        <v>0</v>
      </c>
      <c r="BA42" s="583">
        <f t="shared" si="47"/>
        <v>0</v>
      </c>
      <c r="BB42" s="583">
        <f t="shared" si="48"/>
        <v>0</v>
      </c>
      <c r="BC42" s="583">
        <f t="shared" si="49"/>
        <v>0</v>
      </c>
      <c r="BD42" s="583">
        <f t="shared" si="50"/>
        <v>0</v>
      </c>
      <c r="BE42" s="583">
        <f t="shared" si="51"/>
        <v>0</v>
      </c>
      <c r="BF42" s="583">
        <f t="shared" si="52"/>
        <v>0</v>
      </c>
      <c r="BG42" s="583">
        <f t="shared" si="53"/>
        <v>0</v>
      </c>
      <c r="BH42" s="583">
        <f t="shared" si="54"/>
        <v>0</v>
      </c>
      <c r="BI42" s="583">
        <f t="shared" si="55"/>
        <v>0</v>
      </c>
      <c r="BJ42" s="583">
        <f t="shared" si="56"/>
        <v>0</v>
      </c>
      <c r="BK42" s="583">
        <f t="shared" si="57"/>
        <v>0</v>
      </c>
      <c r="BL42" s="583">
        <f t="shared" si="58"/>
        <v>0</v>
      </c>
      <c r="BM42" s="583">
        <f t="shared" si="59"/>
        <v>0</v>
      </c>
      <c r="BN42" s="583">
        <f t="shared" si="60"/>
        <v>0</v>
      </c>
      <c r="BO42" s="583">
        <f t="shared" si="61"/>
        <v>0</v>
      </c>
      <c r="BP42" s="583">
        <f t="shared" si="62"/>
        <v>0</v>
      </c>
      <c r="BQ42" s="583">
        <f t="shared" si="63"/>
        <v>0</v>
      </c>
      <c r="BR42" s="583">
        <f t="shared" si="64"/>
        <v>0</v>
      </c>
    </row>
    <row r="43" spans="1:70" s="229" customFormat="1" ht="15" customHeight="1">
      <c r="A43" s="590"/>
      <c r="D43" s="85"/>
      <c r="E43" s="576">
        <f t="shared" si="66"/>
        <v>100</v>
      </c>
      <c r="F43" s="85"/>
      <c r="G43" s="406" t="s">
        <v>3140</v>
      </c>
      <c r="H43" s="1262" t="s">
        <v>438</v>
      </c>
      <c r="I43" s="85">
        <v>0</v>
      </c>
      <c r="J43" s="682">
        <v>1</v>
      </c>
      <c r="K43" s="579" t="str">
        <f t="shared" si="65"/>
        <v/>
      </c>
      <c r="L43" s="580">
        <f>IF(H43="Select ingredient:","",IF(G43="","",_xlfn.IFNA(VLOOKUP($H43,Ingredient_prices!$E:$U,16,FALSE),0)))</f>
        <v>355.55555555555554</v>
      </c>
      <c r="M43" s="591"/>
      <c r="N43" s="591"/>
      <c r="O43" s="591"/>
      <c r="P43" s="592"/>
      <c r="Q43" s="583">
        <f t="shared" si="40"/>
        <v>0</v>
      </c>
      <c r="R43" s="583">
        <f>VLOOKUP($H43,'CO2_emission+%_food_waste'!$A:$K,6,FALSE)*$Q43/100</f>
        <v>0</v>
      </c>
      <c r="S43" s="583">
        <f t="shared" si="41"/>
        <v>0</v>
      </c>
      <c r="T43" s="583">
        <f>IF(H43="Select ingredient:","",IF(G43="Select food category:","",_xlfn.IFNA(VLOOKUP($H43,Ingredient_prices!$E:$U,16,FALSE)*$Q43/1000,"not bought")))</f>
        <v>0</v>
      </c>
      <c r="U43" s="583">
        <f>IF(G43="Select food category:","",_xlfn.IFNA(VLOOKUP($H43,Ingredient_prices!$E:$U,16,FALSE)*$R43/1000,"not bought"))</f>
        <v>0</v>
      </c>
      <c r="V43" s="549">
        <f>VLOOKUP($H43,'CO2_emission+%_food_waste'!$A:$K,4,FALSE)*$Q43</f>
        <v>0</v>
      </c>
      <c r="W43" s="583">
        <f>VLOOKUP($H43,Nutrition_tables!$A:$N,10,FALSE)*$Q43/100</f>
        <v>0</v>
      </c>
      <c r="X43" s="583">
        <f>VLOOKUP($H43,Nutrition_tables!$A:$N,11,FALSE)*$Q43/100</f>
        <v>0</v>
      </c>
      <c r="Y43" s="583">
        <f>VLOOKUP($H43,Nutrition_tables!$A:$N,12,FALSE)*$Q43/100</f>
        <v>0</v>
      </c>
      <c r="Z43" s="583">
        <f>VLOOKUP($H43,Nutrition_tables!$A:$N,14,FALSE)*$Q43/100</f>
        <v>0</v>
      </c>
      <c r="AA43" s="583">
        <f>VLOOKUP($H43,Nutrition_tables!$A:$AF,13,FALSE)*$Q43/100</f>
        <v>0</v>
      </c>
      <c r="AB43" s="549">
        <f>VLOOKUP($H43,Nutrition_tables!$A:$AF,15,FALSE)*$Q43/100</f>
        <v>0</v>
      </c>
      <c r="AC43" s="583">
        <f>VLOOKUP($H43,Nutrition_tables!$A:$AF,16,FALSE)*$Q43/100</f>
        <v>0</v>
      </c>
      <c r="AD43" s="583">
        <f>VLOOKUP($H43,Nutrition_tables!$A:$AF,17,FALSE)*$Q43/100</f>
        <v>0</v>
      </c>
      <c r="AE43" s="583">
        <f>VLOOKUP($H43,Nutrition_tables!$A:$AF,18,FALSE)*$Q43/100</f>
        <v>0</v>
      </c>
      <c r="AF43" s="583">
        <f>VLOOKUP($H43,Nutrition_tables!$A:$AF,19,FALSE)*$Q43/100</f>
        <v>0</v>
      </c>
      <c r="AG43" s="583">
        <f>VLOOKUP($H43,Nutrition_tables!$A:$AF,20,FALSE)*$Q43/100</f>
        <v>0</v>
      </c>
      <c r="AH43" s="583">
        <f>VLOOKUP($H43,Nutrition_tables!$A:$AF,21,FALSE)*$Q43/100</f>
        <v>0</v>
      </c>
      <c r="AI43" s="583">
        <f>VLOOKUP($H43,Nutrition_tables!$A:$AF,22,FALSE)*$Q43/100</f>
        <v>0</v>
      </c>
      <c r="AJ43" s="549">
        <f>VLOOKUP($H43,Nutrition_tables!$A:$AF,23,FALSE)*$Q43/100</f>
        <v>0</v>
      </c>
      <c r="AK43" s="583">
        <f>VLOOKUP($H43,Nutrition_tables!$A:$AF,24,FALSE)*$Q43/100</f>
        <v>0</v>
      </c>
      <c r="AL43" s="583">
        <f>VLOOKUP($H43,Nutrition_tables!$A:$AF,25,FALSE)*$Q43/100</f>
        <v>0</v>
      </c>
      <c r="AM43" s="583">
        <f>VLOOKUP($H43,Nutrition_tables!$A:$AF,26,FALSE)*$Q43/100</f>
        <v>0</v>
      </c>
      <c r="AN43" s="583">
        <f>VLOOKUP($H43,Nutrition_tables!$A:$AF,27,FALSE)*$Q43/100</f>
        <v>0</v>
      </c>
      <c r="AO43" s="583">
        <f>VLOOKUP($H43,Nutrition_tables!$A:$AF,28,FALSE)*$Q43/100</f>
        <v>0</v>
      </c>
      <c r="AP43" s="583">
        <f>VLOOKUP($H43,Nutrition_tables!$A:$AF,29,FALSE)*$Q43/100</f>
        <v>0</v>
      </c>
      <c r="AQ43" s="583">
        <f>VLOOKUP($H43,Nutrition_tables!$A:$AF,30,FALSE)*$Q43/100</f>
        <v>0</v>
      </c>
      <c r="AR43" s="583">
        <f>VLOOKUP($H43,Nutrition_tables!$A:$AF,31,FALSE)*$Q43/100</f>
        <v>0</v>
      </c>
      <c r="AS43" s="549">
        <f>VLOOKUP($H43,Nutrition_tables!$A:$AF,32,FALSE)*$Q43/100</f>
        <v>0</v>
      </c>
      <c r="AT43" s="583">
        <f>IF(H43="Select ingredient:","",IF(G43="Select food category:","",IFERROR(VLOOKUP($H43,Ingredient_prices!$E:$W,17,FALSE)*$Q43/1000,"not bought")))</f>
        <v>0</v>
      </c>
      <c r="AU43" s="583">
        <f>IF(H43="Select ingredient:","",IF(G43="Select food category:","",IFERROR(VLOOKUP($H43,Ingredient_prices!$E:$W,18,FALSE)*$Q43/1000,"not bought")))</f>
        <v>0</v>
      </c>
      <c r="AV43" s="583">
        <f t="shared" si="42"/>
        <v>0</v>
      </c>
      <c r="AW43" s="583">
        <f t="shared" si="43"/>
        <v>0</v>
      </c>
      <c r="AX43" s="583">
        <f t="shared" si="44"/>
        <v>0</v>
      </c>
      <c r="AY43" s="583">
        <f t="shared" si="45"/>
        <v>0</v>
      </c>
      <c r="AZ43" s="583">
        <f t="shared" si="46"/>
        <v>0</v>
      </c>
      <c r="BA43" s="583">
        <f t="shared" si="47"/>
        <v>0</v>
      </c>
      <c r="BB43" s="583">
        <f t="shared" si="48"/>
        <v>0</v>
      </c>
      <c r="BC43" s="583">
        <f t="shared" si="49"/>
        <v>0</v>
      </c>
      <c r="BD43" s="583">
        <f t="shared" si="50"/>
        <v>0</v>
      </c>
      <c r="BE43" s="583">
        <f t="shared" si="51"/>
        <v>0</v>
      </c>
      <c r="BF43" s="583">
        <f t="shared" si="52"/>
        <v>0</v>
      </c>
      <c r="BG43" s="583">
        <f t="shared" si="53"/>
        <v>0</v>
      </c>
      <c r="BH43" s="583">
        <f t="shared" si="54"/>
        <v>0</v>
      </c>
      <c r="BI43" s="583">
        <f t="shared" si="55"/>
        <v>0</v>
      </c>
      <c r="BJ43" s="583">
        <f t="shared" si="56"/>
        <v>0</v>
      </c>
      <c r="BK43" s="583">
        <f t="shared" si="57"/>
        <v>0</v>
      </c>
      <c r="BL43" s="583">
        <f t="shared" si="58"/>
        <v>0</v>
      </c>
      <c r="BM43" s="583">
        <f t="shared" si="59"/>
        <v>0</v>
      </c>
      <c r="BN43" s="583">
        <f t="shared" si="60"/>
        <v>0</v>
      </c>
      <c r="BO43" s="583">
        <f t="shared" si="61"/>
        <v>0</v>
      </c>
      <c r="BP43" s="583">
        <f t="shared" si="62"/>
        <v>0</v>
      </c>
      <c r="BQ43" s="583">
        <f t="shared" si="63"/>
        <v>0</v>
      </c>
      <c r="BR43" s="583">
        <f t="shared" si="64"/>
        <v>0</v>
      </c>
    </row>
    <row r="44" spans="1:70" s="229" customFormat="1" ht="15" customHeight="1">
      <c r="A44" s="590"/>
      <c r="D44" s="85"/>
      <c r="E44" s="576">
        <f t="shared" si="66"/>
        <v>100</v>
      </c>
      <c r="F44" s="85"/>
      <c r="G44" s="406" t="s">
        <v>3054</v>
      </c>
      <c r="H44" s="1262" t="s">
        <v>3055</v>
      </c>
      <c r="I44" s="85">
        <v>0</v>
      </c>
      <c r="J44" s="682">
        <v>1</v>
      </c>
      <c r="K44" s="579" t="str">
        <f t="shared" si="65"/>
        <v/>
      </c>
      <c r="L44" s="580" t="str">
        <f>IF(H44="Select ingredient:","",IF(G44="","",_xlfn.IFNA(VLOOKUP($H44,Ingredient_prices!$E:$U,16,FALSE),0)))</f>
        <v/>
      </c>
      <c r="M44" s="591"/>
      <c r="N44" s="591"/>
      <c r="O44" s="591"/>
      <c r="P44" s="592"/>
      <c r="Q44" s="583">
        <f t="shared" si="40"/>
        <v>0</v>
      </c>
      <c r="R44" s="583">
        <f>VLOOKUP($H44,'CO2_emission+%_food_waste'!$A:$K,6,FALSE)*$Q44/100</f>
        <v>0</v>
      </c>
      <c r="S44" s="583">
        <f t="shared" si="41"/>
        <v>0</v>
      </c>
      <c r="T44" s="583" t="str">
        <f>IF(H44="Select ingredient:","",IF(G44="Select food category:","",_xlfn.IFNA(VLOOKUP($H44,Ingredient_prices!$E:$U,16,FALSE)*$Q44/1000,"not bought")))</f>
        <v/>
      </c>
      <c r="U44" s="583" t="str">
        <f>IF(G44="Select food category:","",_xlfn.IFNA(VLOOKUP($H44,Ingredient_prices!$E:$U,16,FALSE)*$R44/1000,"not bought"))</f>
        <v/>
      </c>
      <c r="V44" s="549">
        <f>VLOOKUP($H44,'CO2_emission+%_food_waste'!$A:$K,4,FALSE)*$Q44</f>
        <v>0</v>
      </c>
      <c r="W44" s="583">
        <f>VLOOKUP($H44,Nutrition_tables!$A:$N,10,FALSE)*$Q44/100</f>
        <v>0</v>
      </c>
      <c r="X44" s="583">
        <f>VLOOKUP($H44,Nutrition_tables!$A:$N,11,FALSE)*$Q44/100</f>
        <v>0</v>
      </c>
      <c r="Y44" s="583">
        <f>VLOOKUP($H44,Nutrition_tables!$A:$N,12,FALSE)*$Q44/100</f>
        <v>0</v>
      </c>
      <c r="Z44" s="583">
        <f>VLOOKUP($H44,Nutrition_tables!$A:$N,14,FALSE)*$Q44/100</f>
        <v>0</v>
      </c>
      <c r="AA44" s="583">
        <f>VLOOKUP($H44,Nutrition_tables!$A:$AF,13,FALSE)*$Q44/100</f>
        <v>0</v>
      </c>
      <c r="AB44" s="549">
        <f>VLOOKUP($H44,Nutrition_tables!$A:$AF,15,FALSE)*$Q44/100</f>
        <v>0</v>
      </c>
      <c r="AC44" s="583">
        <f>VLOOKUP($H44,Nutrition_tables!$A:$AF,16,FALSE)*$Q44/100</f>
        <v>0</v>
      </c>
      <c r="AD44" s="583">
        <f>VLOOKUP($H44,Nutrition_tables!$A:$AF,17,FALSE)*$Q44/100</f>
        <v>0</v>
      </c>
      <c r="AE44" s="583">
        <f>VLOOKUP($H44,Nutrition_tables!$A:$AF,18,FALSE)*$Q44/100</f>
        <v>0</v>
      </c>
      <c r="AF44" s="583">
        <f>VLOOKUP($H44,Nutrition_tables!$A:$AF,19,FALSE)*$Q44/100</f>
        <v>0</v>
      </c>
      <c r="AG44" s="583">
        <f>VLOOKUP($H44,Nutrition_tables!$A:$AF,20,FALSE)*$Q44/100</f>
        <v>0</v>
      </c>
      <c r="AH44" s="583">
        <f>VLOOKUP($H44,Nutrition_tables!$A:$AF,21,FALSE)*$Q44/100</f>
        <v>0</v>
      </c>
      <c r="AI44" s="583">
        <f>VLOOKUP($H44,Nutrition_tables!$A:$AF,22,FALSE)*$Q44/100</f>
        <v>0</v>
      </c>
      <c r="AJ44" s="549">
        <f>VLOOKUP($H44,Nutrition_tables!$A:$AF,23,FALSE)*$Q44/100</f>
        <v>0</v>
      </c>
      <c r="AK44" s="583">
        <f>VLOOKUP($H44,Nutrition_tables!$A:$AF,24,FALSE)*$Q44/100</f>
        <v>0</v>
      </c>
      <c r="AL44" s="583">
        <f>VLOOKUP($H44,Nutrition_tables!$A:$AF,25,FALSE)*$Q44/100</f>
        <v>0</v>
      </c>
      <c r="AM44" s="583">
        <f>VLOOKUP($H44,Nutrition_tables!$A:$AF,26,FALSE)*$Q44/100</f>
        <v>0</v>
      </c>
      <c r="AN44" s="583">
        <f>VLOOKUP($H44,Nutrition_tables!$A:$AF,27,FALSE)*$Q44/100</f>
        <v>0</v>
      </c>
      <c r="AO44" s="583">
        <f>VLOOKUP($H44,Nutrition_tables!$A:$AF,28,FALSE)*$Q44/100</f>
        <v>0</v>
      </c>
      <c r="AP44" s="583">
        <f>VLOOKUP($H44,Nutrition_tables!$A:$AF,29,FALSE)*$Q44/100</f>
        <v>0</v>
      </c>
      <c r="AQ44" s="583">
        <f>VLOOKUP($H44,Nutrition_tables!$A:$AF,30,FALSE)*$Q44/100</f>
        <v>0</v>
      </c>
      <c r="AR44" s="583">
        <f>VLOOKUP($H44,Nutrition_tables!$A:$AF,31,FALSE)*$Q44/100</f>
        <v>0</v>
      </c>
      <c r="AS44" s="549">
        <f>VLOOKUP($H44,Nutrition_tables!$A:$AF,32,FALSE)*$Q44/100</f>
        <v>0</v>
      </c>
      <c r="AT44" s="583" t="str">
        <f>IF(H44="Select ingredient:","",IF(G44="Select food category:","",IFERROR(VLOOKUP($H44,Ingredient_prices!$E:$W,17,FALSE)*$Q44/1000,"not bought")))</f>
        <v/>
      </c>
      <c r="AU44" s="583" t="str">
        <f>IF(H44="Select ingredient:","",IF(G44="Select food category:","",IFERROR(VLOOKUP($H44,Ingredient_prices!$E:$W,18,FALSE)*$Q44/1000,"not bought")))</f>
        <v/>
      </c>
      <c r="AV44" s="583">
        <f t="shared" si="42"/>
        <v>0</v>
      </c>
      <c r="AW44" s="583">
        <f t="shared" si="43"/>
        <v>0</v>
      </c>
      <c r="AX44" s="583">
        <f t="shared" si="44"/>
        <v>0</v>
      </c>
      <c r="AY44" s="583">
        <f t="shared" si="45"/>
        <v>0</v>
      </c>
      <c r="AZ44" s="583">
        <f t="shared" si="46"/>
        <v>0</v>
      </c>
      <c r="BA44" s="583">
        <f t="shared" si="47"/>
        <v>0</v>
      </c>
      <c r="BB44" s="583">
        <f t="shared" si="48"/>
        <v>0</v>
      </c>
      <c r="BC44" s="583">
        <f t="shared" si="49"/>
        <v>0</v>
      </c>
      <c r="BD44" s="583">
        <f t="shared" si="50"/>
        <v>0</v>
      </c>
      <c r="BE44" s="583">
        <f t="shared" si="51"/>
        <v>0</v>
      </c>
      <c r="BF44" s="583">
        <f t="shared" si="52"/>
        <v>0</v>
      </c>
      <c r="BG44" s="583">
        <f t="shared" si="53"/>
        <v>0</v>
      </c>
      <c r="BH44" s="583">
        <f t="shared" si="54"/>
        <v>0</v>
      </c>
      <c r="BI44" s="583">
        <f t="shared" si="55"/>
        <v>0</v>
      </c>
      <c r="BJ44" s="583">
        <f t="shared" si="56"/>
        <v>0</v>
      </c>
      <c r="BK44" s="583">
        <f t="shared" si="57"/>
        <v>0</v>
      </c>
      <c r="BL44" s="583">
        <f t="shared" si="58"/>
        <v>0</v>
      </c>
      <c r="BM44" s="583">
        <f t="shared" si="59"/>
        <v>0</v>
      </c>
      <c r="BN44" s="583">
        <f t="shared" si="60"/>
        <v>0</v>
      </c>
      <c r="BO44" s="583">
        <f t="shared" si="61"/>
        <v>0</v>
      </c>
      <c r="BP44" s="583">
        <f t="shared" si="62"/>
        <v>0</v>
      </c>
      <c r="BQ44" s="583">
        <f t="shared" si="63"/>
        <v>0</v>
      </c>
      <c r="BR44" s="583">
        <f t="shared" si="64"/>
        <v>0</v>
      </c>
    </row>
    <row r="45" spans="1:70" s="229" customFormat="1" ht="15" customHeight="1">
      <c r="A45" s="590"/>
      <c r="D45" s="85"/>
      <c r="E45" s="576">
        <f t="shared" si="66"/>
        <v>100</v>
      </c>
      <c r="F45" s="85"/>
      <c r="G45" s="406" t="s">
        <v>3054</v>
      </c>
      <c r="H45" s="1262" t="s">
        <v>3055</v>
      </c>
      <c r="I45" s="85">
        <v>0</v>
      </c>
      <c r="J45" s="682">
        <v>1</v>
      </c>
      <c r="K45" s="579" t="str">
        <f t="shared" si="65"/>
        <v/>
      </c>
      <c r="L45" s="580" t="str">
        <f>IF(H45="Select ingredient:","",IF(G45="","",_xlfn.IFNA(VLOOKUP($H45,Ingredient_prices!$E:$U,16,FALSE),0)))</f>
        <v/>
      </c>
      <c r="M45" s="591"/>
      <c r="N45" s="591"/>
      <c r="O45" s="591"/>
      <c r="P45" s="592"/>
      <c r="Q45" s="583">
        <f t="shared" si="40"/>
        <v>0</v>
      </c>
      <c r="R45" s="583">
        <f>VLOOKUP($H45,'CO2_emission+%_food_waste'!$A:$K,6,FALSE)*$Q45/100</f>
        <v>0</v>
      </c>
      <c r="S45" s="583">
        <f t="shared" si="41"/>
        <v>0</v>
      </c>
      <c r="T45" s="583" t="str">
        <f>IF(H45="Select ingredient:","",IF(G45="Select food category:","",_xlfn.IFNA(VLOOKUP($H45,Ingredient_prices!$E:$U,16,FALSE)*$Q45/1000,"not bought")))</f>
        <v/>
      </c>
      <c r="U45" s="583" t="str">
        <f>IF(G45="Select food category:","",_xlfn.IFNA(VLOOKUP($H45,Ingredient_prices!$E:$U,16,FALSE)*$R45/1000,"not bought"))</f>
        <v/>
      </c>
      <c r="V45" s="549">
        <f>VLOOKUP($H45,'CO2_emission+%_food_waste'!$A:$K,4,FALSE)*$Q45</f>
        <v>0</v>
      </c>
      <c r="W45" s="583">
        <f>VLOOKUP($H45,Nutrition_tables!$A:$N,10,FALSE)*$Q45/100</f>
        <v>0</v>
      </c>
      <c r="X45" s="583">
        <f>VLOOKUP($H45,Nutrition_tables!$A:$N,11,FALSE)*$Q45/100</f>
        <v>0</v>
      </c>
      <c r="Y45" s="583">
        <f>VLOOKUP($H45,Nutrition_tables!$A:$N,12,FALSE)*$Q45/100</f>
        <v>0</v>
      </c>
      <c r="Z45" s="583">
        <f>VLOOKUP($H45,Nutrition_tables!$A:$N,14,FALSE)*$Q45/100</f>
        <v>0</v>
      </c>
      <c r="AA45" s="583">
        <f>VLOOKUP($H45,Nutrition_tables!$A:$AF,13,FALSE)*$Q45/100</f>
        <v>0</v>
      </c>
      <c r="AB45" s="549">
        <f>VLOOKUP($H45,Nutrition_tables!$A:$AF,15,FALSE)*$Q45/100</f>
        <v>0</v>
      </c>
      <c r="AC45" s="583">
        <f>VLOOKUP($H45,Nutrition_tables!$A:$AF,16,FALSE)*$Q45/100</f>
        <v>0</v>
      </c>
      <c r="AD45" s="583">
        <f>VLOOKUP($H45,Nutrition_tables!$A:$AF,17,FALSE)*$Q45/100</f>
        <v>0</v>
      </c>
      <c r="AE45" s="583">
        <f>VLOOKUP($H45,Nutrition_tables!$A:$AF,18,FALSE)*$Q45/100</f>
        <v>0</v>
      </c>
      <c r="AF45" s="583">
        <f>VLOOKUP($H45,Nutrition_tables!$A:$AF,19,FALSE)*$Q45/100</f>
        <v>0</v>
      </c>
      <c r="AG45" s="583">
        <f>VLOOKUP($H45,Nutrition_tables!$A:$AF,20,FALSE)*$Q45/100</f>
        <v>0</v>
      </c>
      <c r="AH45" s="583">
        <f>VLOOKUP($H45,Nutrition_tables!$A:$AF,21,FALSE)*$Q45/100</f>
        <v>0</v>
      </c>
      <c r="AI45" s="583">
        <f>VLOOKUP($H45,Nutrition_tables!$A:$AF,22,FALSE)*$Q45/100</f>
        <v>0</v>
      </c>
      <c r="AJ45" s="549">
        <f>VLOOKUP($H45,Nutrition_tables!$A:$AF,23,FALSE)*$Q45/100</f>
        <v>0</v>
      </c>
      <c r="AK45" s="583">
        <f>VLOOKUP($H45,Nutrition_tables!$A:$AF,24,FALSE)*$Q45/100</f>
        <v>0</v>
      </c>
      <c r="AL45" s="583">
        <f>VLOOKUP($H45,Nutrition_tables!$A:$AF,25,FALSE)*$Q45/100</f>
        <v>0</v>
      </c>
      <c r="AM45" s="583">
        <f>VLOOKUP($H45,Nutrition_tables!$A:$AF,26,FALSE)*$Q45/100</f>
        <v>0</v>
      </c>
      <c r="AN45" s="583">
        <f>VLOOKUP($H45,Nutrition_tables!$A:$AF,27,FALSE)*$Q45/100</f>
        <v>0</v>
      </c>
      <c r="AO45" s="583">
        <f>VLOOKUP($H45,Nutrition_tables!$A:$AF,28,FALSE)*$Q45/100</f>
        <v>0</v>
      </c>
      <c r="AP45" s="583">
        <f>VLOOKUP($H45,Nutrition_tables!$A:$AF,29,FALSE)*$Q45/100</f>
        <v>0</v>
      </c>
      <c r="AQ45" s="583">
        <f>VLOOKUP($H45,Nutrition_tables!$A:$AF,30,FALSE)*$Q45/100</f>
        <v>0</v>
      </c>
      <c r="AR45" s="583">
        <f>VLOOKUP($H45,Nutrition_tables!$A:$AF,31,FALSE)*$Q45/100</f>
        <v>0</v>
      </c>
      <c r="AS45" s="549">
        <f>VLOOKUP($H45,Nutrition_tables!$A:$AF,32,FALSE)*$Q45/100</f>
        <v>0</v>
      </c>
      <c r="AT45" s="583" t="str">
        <f>IF(H45="Select ingredient:","",IF(G45="Select food category:","",IFERROR(VLOOKUP($H45,Ingredient_prices!$E:$W,17,FALSE)*$Q45/1000,"not bought")))</f>
        <v/>
      </c>
      <c r="AU45" s="583" t="str">
        <f>IF(H45="Select ingredient:","",IF(G45="Select food category:","",IFERROR(VLOOKUP($H45,Ingredient_prices!$E:$W,18,FALSE)*$Q45/1000,"not bought")))</f>
        <v/>
      </c>
      <c r="AV45" s="583">
        <f t="shared" si="42"/>
        <v>0</v>
      </c>
      <c r="AW45" s="583">
        <f t="shared" si="43"/>
        <v>0</v>
      </c>
      <c r="AX45" s="583">
        <f t="shared" si="44"/>
        <v>0</v>
      </c>
      <c r="AY45" s="583">
        <f t="shared" si="45"/>
        <v>0</v>
      </c>
      <c r="AZ45" s="583">
        <f t="shared" si="46"/>
        <v>0</v>
      </c>
      <c r="BA45" s="583">
        <f t="shared" si="47"/>
        <v>0</v>
      </c>
      <c r="BB45" s="583">
        <f t="shared" si="48"/>
        <v>0</v>
      </c>
      <c r="BC45" s="583">
        <f t="shared" si="49"/>
        <v>0</v>
      </c>
      <c r="BD45" s="583">
        <f t="shared" si="50"/>
        <v>0</v>
      </c>
      <c r="BE45" s="583">
        <f t="shared" si="51"/>
        <v>0</v>
      </c>
      <c r="BF45" s="583">
        <f t="shared" si="52"/>
        <v>0</v>
      </c>
      <c r="BG45" s="583">
        <f t="shared" si="53"/>
        <v>0</v>
      </c>
      <c r="BH45" s="583">
        <f t="shared" si="54"/>
        <v>0</v>
      </c>
      <c r="BI45" s="583">
        <f t="shared" si="55"/>
        <v>0</v>
      </c>
      <c r="BJ45" s="583">
        <f t="shared" si="56"/>
        <v>0</v>
      </c>
      <c r="BK45" s="583">
        <f t="shared" si="57"/>
        <v>0</v>
      </c>
      <c r="BL45" s="583">
        <f t="shared" si="58"/>
        <v>0</v>
      </c>
      <c r="BM45" s="583">
        <f t="shared" si="59"/>
        <v>0</v>
      </c>
      <c r="BN45" s="583">
        <f t="shared" si="60"/>
        <v>0</v>
      </c>
      <c r="BO45" s="583">
        <f t="shared" si="61"/>
        <v>0</v>
      </c>
      <c r="BP45" s="583">
        <f t="shared" si="62"/>
        <v>0</v>
      </c>
      <c r="BQ45" s="583">
        <f t="shared" si="63"/>
        <v>0</v>
      </c>
      <c r="BR45" s="583">
        <f t="shared" si="64"/>
        <v>0</v>
      </c>
    </row>
    <row r="46" spans="1:70" s="229" customFormat="1" ht="15" customHeight="1">
      <c r="A46" s="590"/>
      <c r="D46" s="85"/>
      <c r="E46" s="576">
        <f t="shared" si="66"/>
        <v>100</v>
      </c>
      <c r="F46" s="85"/>
      <c r="G46" s="406" t="s">
        <v>3054</v>
      </c>
      <c r="H46" s="1262" t="s">
        <v>3055</v>
      </c>
      <c r="I46" s="85">
        <v>0</v>
      </c>
      <c r="J46" s="682">
        <v>1</v>
      </c>
      <c r="K46" s="579" t="str">
        <f t="shared" si="65"/>
        <v/>
      </c>
      <c r="L46" s="580" t="str">
        <f>IF(H46="Select ingredient:","",IF(G46="","",_xlfn.IFNA(VLOOKUP($H46,Ingredient_prices!$E:$U,16,FALSE),0)))</f>
        <v/>
      </c>
      <c r="M46" s="591"/>
      <c r="N46" s="591"/>
      <c r="O46" s="591"/>
      <c r="P46" s="592"/>
      <c r="Q46" s="583">
        <f t="shared" si="40"/>
        <v>0</v>
      </c>
      <c r="R46" s="583">
        <f>VLOOKUP($H46,'CO2_emission+%_food_waste'!$A:$K,6,FALSE)*$Q46/100</f>
        <v>0</v>
      </c>
      <c r="S46" s="583">
        <f t="shared" si="41"/>
        <v>0</v>
      </c>
      <c r="T46" s="583" t="str">
        <f>IF(H46="Select ingredient:","",IF(G46="Select food category:","",_xlfn.IFNA(VLOOKUP($H46,Ingredient_prices!$E:$U,16,FALSE)*$Q46/1000,"not bought")))</f>
        <v/>
      </c>
      <c r="U46" s="583" t="str">
        <f>IF(G46="Select food category:","",_xlfn.IFNA(VLOOKUP($H46,Ingredient_prices!$E:$U,16,FALSE)*$R46/1000,"not bought"))</f>
        <v/>
      </c>
      <c r="V46" s="549">
        <f>VLOOKUP($H46,'CO2_emission+%_food_waste'!$A:$K,4,FALSE)*$Q46</f>
        <v>0</v>
      </c>
      <c r="W46" s="583">
        <f>VLOOKUP($H46,Nutrition_tables!$A:$N,10,FALSE)*$Q46/100</f>
        <v>0</v>
      </c>
      <c r="X46" s="583">
        <f>VLOOKUP($H46,Nutrition_tables!$A:$N,11,FALSE)*$Q46/100</f>
        <v>0</v>
      </c>
      <c r="Y46" s="583">
        <f>VLOOKUP($H46,Nutrition_tables!$A:$N,12,FALSE)*$Q46/100</f>
        <v>0</v>
      </c>
      <c r="Z46" s="583">
        <f>VLOOKUP($H46,Nutrition_tables!$A:$N,14,FALSE)*$Q46/100</f>
        <v>0</v>
      </c>
      <c r="AA46" s="583">
        <f>VLOOKUP($H46,Nutrition_tables!$A:$AF,13,FALSE)*$Q46/100</f>
        <v>0</v>
      </c>
      <c r="AB46" s="549">
        <f>VLOOKUP($H46,Nutrition_tables!$A:$AF,15,FALSE)*$Q46/100</f>
        <v>0</v>
      </c>
      <c r="AC46" s="583">
        <f>VLOOKUP($H46,Nutrition_tables!$A:$AF,16,FALSE)*$Q46/100</f>
        <v>0</v>
      </c>
      <c r="AD46" s="583">
        <f>VLOOKUP($H46,Nutrition_tables!$A:$AF,17,FALSE)*$Q46/100</f>
        <v>0</v>
      </c>
      <c r="AE46" s="583">
        <f>VLOOKUP($H46,Nutrition_tables!$A:$AF,18,FALSE)*$Q46/100</f>
        <v>0</v>
      </c>
      <c r="AF46" s="583">
        <f>VLOOKUP($H46,Nutrition_tables!$A:$AF,19,FALSE)*$Q46/100</f>
        <v>0</v>
      </c>
      <c r="AG46" s="583">
        <f>VLOOKUP($H46,Nutrition_tables!$A:$AF,20,FALSE)*$Q46/100</f>
        <v>0</v>
      </c>
      <c r="AH46" s="583">
        <f>VLOOKUP($H46,Nutrition_tables!$A:$AF,21,FALSE)*$Q46/100</f>
        <v>0</v>
      </c>
      <c r="AI46" s="583">
        <f>VLOOKUP($H46,Nutrition_tables!$A:$AF,22,FALSE)*$Q46/100</f>
        <v>0</v>
      </c>
      <c r="AJ46" s="549">
        <f>VLOOKUP($H46,Nutrition_tables!$A:$AF,23,FALSE)*$Q46/100</f>
        <v>0</v>
      </c>
      <c r="AK46" s="583">
        <f>VLOOKUP($H46,Nutrition_tables!$A:$AF,24,FALSE)*$Q46/100</f>
        <v>0</v>
      </c>
      <c r="AL46" s="583">
        <f>VLOOKUP($H46,Nutrition_tables!$A:$AF,25,FALSE)*$Q46/100</f>
        <v>0</v>
      </c>
      <c r="AM46" s="583">
        <f>VLOOKUP($H46,Nutrition_tables!$A:$AF,26,FALSE)*$Q46/100</f>
        <v>0</v>
      </c>
      <c r="AN46" s="583">
        <f>VLOOKUP($H46,Nutrition_tables!$A:$AF,27,FALSE)*$Q46/100</f>
        <v>0</v>
      </c>
      <c r="AO46" s="583">
        <f>VLOOKUP($H46,Nutrition_tables!$A:$AF,28,FALSE)*$Q46/100</f>
        <v>0</v>
      </c>
      <c r="AP46" s="583">
        <f>VLOOKUP($H46,Nutrition_tables!$A:$AF,29,FALSE)*$Q46/100</f>
        <v>0</v>
      </c>
      <c r="AQ46" s="583">
        <f>VLOOKUP($H46,Nutrition_tables!$A:$AF,30,FALSE)*$Q46/100</f>
        <v>0</v>
      </c>
      <c r="AR46" s="583">
        <f>VLOOKUP($H46,Nutrition_tables!$A:$AF,31,FALSE)*$Q46/100</f>
        <v>0</v>
      </c>
      <c r="AS46" s="549">
        <f>VLOOKUP($H46,Nutrition_tables!$A:$AF,32,FALSE)*$Q46/100</f>
        <v>0</v>
      </c>
      <c r="AT46" s="583" t="str">
        <f>IF(H46="Select ingredient:","",IF(G46="Select food category:","",IFERROR(VLOOKUP($H46,Ingredient_prices!$E:$W,17,FALSE)*$Q46/1000,"not bought")))</f>
        <v/>
      </c>
      <c r="AU46" s="583" t="str">
        <f>IF(H46="Select ingredient:","",IF(G46="Select food category:","",IFERROR(VLOOKUP($H46,Ingredient_prices!$E:$W,18,FALSE)*$Q46/1000,"not bought")))</f>
        <v/>
      </c>
      <c r="AV46" s="583">
        <f t="shared" si="42"/>
        <v>0</v>
      </c>
      <c r="AW46" s="583">
        <f t="shared" si="43"/>
        <v>0</v>
      </c>
      <c r="AX46" s="583">
        <f t="shared" si="44"/>
        <v>0</v>
      </c>
      <c r="AY46" s="583">
        <f t="shared" si="45"/>
        <v>0</v>
      </c>
      <c r="AZ46" s="583">
        <f t="shared" si="46"/>
        <v>0</v>
      </c>
      <c r="BA46" s="583">
        <f t="shared" si="47"/>
        <v>0</v>
      </c>
      <c r="BB46" s="583">
        <f t="shared" si="48"/>
        <v>0</v>
      </c>
      <c r="BC46" s="583">
        <f t="shared" si="49"/>
        <v>0</v>
      </c>
      <c r="BD46" s="583">
        <f t="shared" si="50"/>
        <v>0</v>
      </c>
      <c r="BE46" s="583">
        <f t="shared" si="51"/>
        <v>0</v>
      </c>
      <c r="BF46" s="583">
        <f t="shared" si="52"/>
        <v>0</v>
      </c>
      <c r="BG46" s="583">
        <f t="shared" si="53"/>
        <v>0</v>
      </c>
      <c r="BH46" s="583">
        <f t="shared" si="54"/>
        <v>0</v>
      </c>
      <c r="BI46" s="583">
        <f t="shared" si="55"/>
        <v>0</v>
      </c>
      <c r="BJ46" s="583">
        <f t="shared" si="56"/>
        <v>0</v>
      </c>
      <c r="BK46" s="583">
        <f t="shared" si="57"/>
        <v>0</v>
      </c>
      <c r="BL46" s="583">
        <f t="shared" si="58"/>
        <v>0</v>
      </c>
      <c r="BM46" s="583">
        <f t="shared" si="59"/>
        <v>0</v>
      </c>
      <c r="BN46" s="583">
        <f t="shared" si="60"/>
        <v>0</v>
      </c>
      <c r="BO46" s="583">
        <f t="shared" si="61"/>
        <v>0</v>
      </c>
      <c r="BP46" s="583">
        <f t="shared" si="62"/>
        <v>0</v>
      </c>
      <c r="BQ46" s="583">
        <f t="shared" si="63"/>
        <v>0</v>
      </c>
      <c r="BR46" s="583">
        <f t="shared" si="64"/>
        <v>0</v>
      </c>
    </row>
    <row r="47" spans="1:70" s="229" customFormat="1" ht="15" customHeight="1">
      <c r="A47" s="590"/>
      <c r="D47" s="85"/>
      <c r="E47" s="576">
        <f t="shared" si="66"/>
        <v>100</v>
      </c>
      <c r="F47" s="85"/>
      <c r="G47" s="406" t="s">
        <v>3054</v>
      </c>
      <c r="H47" s="1262" t="s">
        <v>3055</v>
      </c>
      <c r="I47" s="85">
        <v>0</v>
      </c>
      <c r="J47" s="682">
        <v>1</v>
      </c>
      <c r="K47" s="579" t="str">
        <f t="shared" si="65"/>
        <v/>
      </c>
      <c r="L47" s="580" t="str">
        <f>IF(H47="Select ingredient:","",IF(G47="","",_xlfn.IFNA(VLOOKUP($H47,Ingredient_prices!$E:$U,16,FALSE),0)))</f>
        <v/>
      </c>
      <c r="M47" s="591"/>
      <c r="N47" s="591"/>
      <c r="O47" s="591"/>
      <c r="P47" s="592"/>
      <c r="Q47" s="583">
        <f t="shared" si="40"/>
        <v>0</v>
      </c>
      <c r="R47" s="583">
        <f>VLOOKUP($H47,'CO2_emission+%_food_waste'!$A:$K,6,FALSE)*$Q47/100</f>
        <v>0</v>
      </c>
      <c r="S47" s="583">
        <f t="shared" si="41"/>
        <v>0</v>
      </c>
      <c r="T47" s="583" t="str">
        <f>IF(H47="Select ingredient:","",IF(G47="Select food category:","",_xlfn.IFNA(VLOOKUP($H47,Ingredient_prices!$E:$U,16,FALSE)*$Q47/1000,"not bought")))</f>
        <v/>
      </c>
      <c r="U47" s="583" t="str">
        <f>IF(G47="Select food category:","",_xlfn.IFNA(VLOOKUP($H47,Ingredient_prices!$E:$U,16,FALSE)*$R47/1000,"not bought"))</f>
        <v/>
      </c>
      <c r="V47" s="549">
        <f>VLOOKUP($H47,'CO2_emission+%_food_waste'!$A:$K,4,FALSE)*$Q47</f>
        <v>0</v>
      </c>
      <c r="W47" s="583">
        <f>VLOOKUP($H47,Nutrition_tables!$A:$N,10,FALSE)*$Q47/100</f>
        <v>0</v>
      </c>
      <c r="X47" s="583">
        <f>VLOOKUP($H47,Nutrition_tables!$A:$N,11,FALSE)*$Q47/100</f>
        <v>0</v>
      </c>
      <c r="Y47" s="583">
        <f>VLOOKUP($H47,Nutrition_tables!$A:$N,12,FALSE)*$Q47/100</f>
        <v>0</v>
      </c>
      <c r="Z47" s="583">
        <f>VLOOKUP($H47,Nutrition_tables!$A:$N,14,FALSE)*$Q47/100</f>
        <v>0</v>
      </c>
      <c r="AA47" s="583">
        <f>VLOOKUP($H47,Nutrition_tables!$A:$AF,13,FALSE)*$Q47/100</f>
        <v>0</v>
      </c>
      <c r="AB47" s="549">
        <f>VLOOKUP($H47,Nutrition_tables!$A:$AF,15,FALSE)*$Q47/100</f>
        <v>0</v>
      </c>
      <c r="AC47" s="583">
        <f>VLOOKUP($H47,Nutrition_tables!$A:$AF,16,FALSE)*$Q47/100</f>
        <v>0</v>
      </c>
      <c r="AD47" s="583">
        <f>VLOOKUP($H47,Nutrition_tables!$A:$AF,17,FALSE)*$Q47/100</f>
        <v>0</v>
      </c>
      <c r="AE47" s="583">
        <f>VLOOKUP($H47,Nutrition_tables!$A:$AF,18,FALSE)*$Q47/100</f>
        <v>0</v>
      </c>
      <c r="AF47" s="583">
        <f>VLOOKUP($H47,Nutrition_tables!$A:$AF,19,FALSE)*$Q47/100</f>
        <v>0</v>
      </c>
      <c r="AG47" s="583">
        <f>VLOOKUP($H47,Nutrition_tables!$A:$AF,20,FALSE)*$Q47/100</f>
        <v>0</v>
      </c>
      <c r="AH47" s="583">
        <f>VLOOKUP($H47,Nutrition_tables!$A:$AF,21,FALSE)*$Q47/100</f>
        <v>0</v>
      </c>
      <c r="AI47" s="583">
        <f>VLOOKUP($H47,Nutrition_tables!$A:$AF,22,FALSE)*$Q47/100</f>
        <v>0</v>
      </c>
      <c r="AJ47" s="549">
        <f>VLOOKUP($H47,Nutrition_tables!$A:$AF,23,FALSE)*$Q47/100</f>
        <v>0</v>
      </c>
      <c r="AK47" s="583">
        <f>VLOOKUP($H47,Nutrition_tables!$A:$AF,24,FALSE)*$Q47/100</f>
        <v>0</v>
      </c>
      <c r="AL47" s="583">
        <f>VLOOKUP($H47,Nutrition_tables!$A:$AF,25,FALSE)*$Q47/100</f>
        <v>0</v>
      </c>
      <c r="AM47" s="583">
        <f>VLOOKUP($H47,Nutrition_tables!$A:$AF,26,FALSE)*$Q47/100</f>
        <v>0</v>
      </c>
      <c r="AN47" s="583">
        <f>VLOOKUP($H47,Nutrition_tables!$A:$AF,27,FALSE)*$Q47/100</f>
        <v>0</v>
      </c>
      <c r="AO47" s="583">
        <f>VLOOKUP($H47,Nutrition_tables!$A:$AF,28,FALSE)*$Q47/100</f>
        <v>0</v>
      </c>
      <c r="AP47" s="583">
        <f>VLOOKUP($H47,Nutrition_tables!$A:$AF,29,FALSE)*$Q47/100</f>
        <v>0</v>
      </c>
      <c r="AQ47" s="583">
        <f>VLOOKUP($H47,Nutrition_tables!$A:$AF,30,FALSE)*$Q47/100</f>
        <v>0</v>
      </c>
      <c r="AR47" s="583">
        <f>VLOOKUP($H47,Nutrition_tables!$A:$AF,31,FALSE)*$Q47/100</f>
        <v>0</v>
      </c>
      <c r="AS47" s="549">
        <f>VLOOKUP($H47,Nutrition_tables!$A:$AF,32,FALSE)*$Q47/100</f>
        <v>0</v>
      </c>
      <c r="AT47" s="583" t="str">
        <f>IF(H47="Select ingredient:","",IF(G47="Select food category:","",IFERROR(VLOOKUP($H47,Ingredient_prices!$E:$W,17,FALSE)*$Q47/1000,"not bought")))</f>
        <v/>
      </c>
      <c r="AU47" s="583" t="str">
        <f>IF(H47="Select ingredient:","",IF(G47="Select food category:","",IFERROR(VLOOKUP($H47,Ingredient_prices!$E:$W,18,FALSE)*$Q47/1000,"not bought")))</f>
        <v/>
      </c>
      <c r="AV47" s="583">
        <f t="shared" si="42"/>
        <v>0</v>
      </c>
      <c r="AW47" s="583">
        <f t="shared" si="43"/>
        <v>0</v>
      </c>
      <c r="AX47" s="583">
        <f t="shared" si="44"/>
        <v>0</v>
      </c>
      <c r="AY47" s="583">
        <f t="shared" si="45"/>
        <v>0</v>
      </c>
      <c r="AZ47" s="583">
        <f t="shared" si="46"/>
        <v>0</v>
      </c>
      <c r="BA47" s="583">
        <f t="shared" si="47"/>
        <v>0</v>
      </c>
      <c r="BB47" s="583">
        <f t="shared" si="48"/>
        <v>0</v>
      </c>
      <c r="BC47" s="583">
        <f t="shared" si="49"/>
        <v>0</v>
      </c>
      <c r="BD47" s="583">
        <f t="shared" si="50"/>
        <v>0</v>
      </c>
      <c r="BE47" s="583">
        <f t="shared" si="51"/>
        <v>0</v>
      </c>
      <c r="BF47" s="583">
        <f t="shared" si="52"/>
        <v>0</v>
      </c>
      <c r="BG47" s="583">
        <f t="shared" si="53"/>
        <v>0</v>
      </c>
      <c r="BH47" s="583">
        <f t="shared" si="54"/>
        <v>0</v>
      </c>
      <c r="BI47" s="583">
        <f t="shared" si="55"/>
        <v>0</v>
      </c>
      <c r="BJ47" s="583">
        <f t="shared" si="56"/>
        <v>0</v>
      </c>
      <c r="BK47" s="583">
        <f t="shared" si="57"/>
        <v>0</v>
      </c>
      <c r="BL47" s="583">
        <f t="shared" si="58"/>
        <v>0</v>
      </c>
      <c r="BM47" s="583">
        <f t="shared" si="59"/>
        <v>0</v>
      </c>
      <c r="BN47" s="583">
        <f t="shared" si="60"/>
        <v>0</v>
      </c>
      <c r="BO47" s="583">
        <f t="shared" si="61"/>
        <v>0</v>
      </c>
      <c r="BP47" s="583">
        <f t="shared" si="62"/>
        <v>0</v>
      </c>
      <c r="BQ47" s="583">
        <f t="shared" si="63"/>
        <v>0</v>
      </c>
      <c r="BR47" s="583">
        <f t="shared" si="64"/>
        <v>0</v>
      </c>
    </row>
    <row r="48" spans="1:70" s="229" customFormat="1" ht="15" customHeight="1">
      <c r="A48" s="590"/>
      <c r="D48" s="85"/>
      <c r="E48" s="576">
        <f t="shared" si="66"/>
        <v>100</v>
      </c>
      <c r="F48" s="85"/>
      <c r="G48" s="406" t="s">
        <v>3054</v>
      </c>
      <c r="H48" s="1262" t="s">
        <v>3055</v>
      </c>
      <c r="I48" s="85">
        <v>0</v>
      </c>
      <c r="J48" s="682">
        <v>1</v>
      </c>
      <c r="K48" s="579" t="str">
        <f t="shared" si="65"/>
        <v/>
      </c>
      <c r="L48" s="580" t="str">
        <f>IF(H48="Select ingredient:","",IF(G48="","",_xlfn.IFNA(VLOOKUP($H48,Ingredient_prices!$E:$U,16,FALSE),0)))</f>
        <v/>
      </c>
      <c r="M48" s="591"/>
      <c r="N48" s="591"/>
      <c r="O48" s="591"/>
      <c r="P48" s="592"/>
      <c r="Q48" s="583">
        <f t="shared" si="40"/>
        <v>0</v>
      </c>
      <c r="R48" s="583">
        <f>VLOOKUP($H48,'CO2_emission+%_food_waste'!$A:$K,6,FALSE)*$Q48/100</f>
        <v>0</v>
      </c>
      <c r="S48" s="583">
        <f t="shared" si="41"/>
        <v>0</v>
      </c>
      <c r="T48" s="583" t="str">
        <f>IF(H48="Select ingredient:","",IF(G48="Select food category:","",_xlfn.IFNA(VLOOKUP($H48,Ingredient_prices!$E:$U,16,FALSE)*$Q48/1000,"not bought")))</f>
        <v/>
      </c>
      <c r="U48" s="583" t="str">
        <f>IF(G48="Select food category:","",_xlfn.IFNA(VLOOKUP($H48,Ingredient_prices!$E:$U,16,FALSE)*$R48/1000,"not bought"))</f>
        <v/>
      </c>
      <c r="V48" s="549">
        <f>VLOOKUP($H48,'CO2_emission+%_food_waste'!$A:$K,4,FALSE)*$Q48</f>
        <v>0</v>
      </c>
      <c r="W48" s="583">
        <f>VLOOKUP($H48,Nutrition_tables!$A:$N,10,FALSE)*$Q48/100</f>
        <v>0</v>
      </c>
      <c r="X48" s="583">
        <f>VLOOKUP($H48,Nutrition_tables!$A:$N,11,FALSE)*$Q48/100</f>
        <v>0</v>
      </c>
      <c r="Y48" s="583">
        <f>VLOOKUP($H48,Nutrition_tables!$A:$N,12,FALSE)*$Q48/100</f>
        <v>0</v>
      </c>
      <c r="Z48" s="583">
        <f>VLOOKUP($H48,Nutrition_tables!$A:$N,14,FALSE)*$Q48/100</f>
        <v>0</v>
      </c>
      <c r="AA48" s="583">
        <f>VLOOKUP($H48,Nutrition_tables!$A:$AF,13,FALSE)*$Q48/100</f>
        <v>0</v>
      </c>
      <c r="AB48" s="549">
        <f>VLOOKUP($H48,Nutrition_tables!$A:$AF,15,FALSE)*$Q48/100</f>
        <v>0</v>
      </c>
      <c r="AC48" s="583">
        <f>VLOOKUP($H48,Nutrition_tables!$A:$AF,16,FALSE)*$Q48/100</f>
        <v>0</v>
      </c>
      <c r="AD48" s="583">
        <f>VLOOKUP($H48,Nutrition_tables!$A:$AF,17,FALSE)*$Q48/100</f>
        <v>0</v>
      </c>
      <c r="AE48" s="583">
        <f>VLOOKUP($H48,Nutrition_tables!$A:$AF,18,FALSE)*$Q48/100</f>
        <v>0</v>
      </c>
      <c r="AF48" s="583">
        <f>VLOOKUP($H48,Nutrition_tables!$A:$AF,19,FALSE)*$Q48/100</f>
        <v>0</v>
      </c>
      <c r="AG48" s="583">
        <f>VLOOKUP($H48,Nutrition_tables!$A:$AF,20,FALSE)*$Q48/100</f>
        <v>0</v>
      </c>
      <c r="AH48" s="583">
        <f>VLOOKUP($H48,Nutrition_tables!$A:$AF,21,FALSE)*$Q48/100</f>
        <v>0</v>
      </c>
      <c r="AI48" s="583">
        <f>VLOOKUP($H48,Nutrition_tables!$A:$AF,22,FALSE)*$Q48/100</f>
        <v>0</v>
      </c>
      <c r="AJ48" s="549">
        <f>VLOOKUP($H48,Nutrition_tables!$A:$AF,23,FALSE)*$Q48/100</f>
        <v>0</v>
      </c>
      <c r="AK48" s="583">
        <f>VLOOKUP($H48,Nutrition_tables!$A:$AF,24,FALSE)*$Q48/100</f>
        <v>0</v>
      </c>
      <c r="AL48" s="583">
        <f>VLOOKUP($H48,Nutrition_tables!$A:$AF,25,FALSE)*$Q48/100</f>
        <v>0</v>
      </c>
      <c r="AM48" s="583">
        <f>VLOOKUP($H48,Nutrition_tables!$A:$AF,26,FALSE)*$Q48/100</f>
        <v>0</v>
      </c>
      <c r="AN48" s="583">
        <f>VLOOKUP($H48,Nutrition_tables!$A:$AF,27,FALSE)*$Q48/100</f>
        <v>0</v>
      </c>
      <c r="AO48" s="583">
        <f>VLOOKUP($H48,Nutrition_tables!$A:$AF,28,FALSE)*$Q48/100</f>
        <v>0</v>
      </c>
      <c r="AP48" s="583">
        <f>VLOOKUP($H48,Nutrition_tables!$A:$AF,29,FALSE)*$Q48/100</f>
        <v>0</v>
      </c>
      <c r="AQ48" s="583">
        <f>VLOOKUP($H48,Nutrition_tables!$A:$AF,30,FALSE)*$Q48/100</f>
        <v>0</v>
      </c>
      <c r="AR48" s="583">
        <f>VLOOKUP($H48,Nutrition_tables!$A:$AF,31,FALSE)*$Q48/100</f>
        <v>0</v>
      </c>
      <c r="AS48" s="549">
        <f>VLOOKUP($H48,Nutrition_tables!$A:$AF,32,FALSE)*$Q48/100</f>
        <v>0</v>
      </c>
      <c r="AT48" s="583" t="str">
        <f>IF(H48="Select ingredient:","",IF(G48="Select food category:","",IFERROR(VLOOKUP($H48,Ingredient_prices!$E:$W,17,FALSE)*$Q48/1000,"not bought")))</f>
        <v/>
      </c>
      <c r="AU48" s="583" t="str">
        <f>IF(H48="Select ingredient:","",IF(G48="Select food category:","",IFERROR(VLOOKUP($H48,Ingredient_prices!$E:$W,18,FALSE)*$Q48/1000,"not bought")))</f>
        <v/>
      </c>
      <c r="AV48" s="583">
        <f t="shared" si="42"/>
        <v>0</v>
      </c>
      <c r="AW48" s="583">
        <f t="shared" si="43"/>
        <v>0</v>
      </c>
      <c r="AX48" s="583">
        <f t="shared" si="44"/>
        <v>0</v>
      </c>
      <c r="AY48" s="583">
        <f t="shared" si="45"/>
        <v>0</v>
      </c>
      <c r="AZ48" s="583">
        <f t="shared" si="46"/>
        <v>0</v>
      </c>
      <c r="BA48" s="583">
        <f t="shared" si="47"/>
        <v>0</v>
      </c>
      <c r="BB48" s="583">
        <f t="shared" si="48"/>
        <v>0</v>
      </c>
      <c r="BC48" s="583">
        <f t="shared" si="49"/>
        <v>0</v>
      </c>
      <c r="BD48" s="583">
        <f t="shared" si="50"/>
        <v>0</v>
      </c>
      <c r="BE48" s="583">
        <f t="shared" si="51"/>
        <v>0</v>
      </c>
      <c r="BF48" s="583">
        <f t="shared" si="52"/>
        <v>0</v>
      </c>
      <c r="BG48" s="583">
        <f t="shared" si="53"/>
        <v>0</v>
      </c>
      <c r="BH48" s="583">
        <f t="shared" si="54"/>
        <v>0</v>
      </c>
      <c r="BI48" s="583">
        <f t="shared" si="55"/>
        <v>0</v>
      </c>
      <c r="BJ48" s="583">
        <f t="shared" si="56"/>
        <v>0</v>
      </c>
      <c r="BK48" s="583">
        <f t="shared" si="57"/>
        <v>0</v>
      </c>
      <c r="BL48" s="583">
        <f t="shared" si="58"/>
        <v>0</v>
      </c>
      <c r="BM48" s="583">
        <f t="shared" si="59"/>
        <v>0</v>
      </c>
      <c r="BN48" s="583">
        <f t="shared" si="60"/>
        <v>0</v>
      </c>
      <c r="BO48" s="583">
        <f t="shared" si="61"/>
        <v>0</v>
      </c>
      <c r="BP48" s="583">
        <f t="shared" si="62"/>
        <v>0</v>
      </c>
      <c r="BQ48" s="583">
        <f t="shared" si="63"/>
        <v>0</v>
      </c>
      <c r="BR48" s="583">
        <f t="shared" si="64"/>
        <v>0</v>
      </c>
    </row>
    <row r="49" spans="1:70" s="229" customFormat="1" ht="15" customHeight="1">
      <c r="A49" s="590"/>
      <c r="D49" s="85"/>
      <c r="E49" s="576">
        <f t="shared" si="66"/>
        <v>100</v>
      </c>
      <c r="F49" s="85"/>
      <c r="G49" s="406" t="s">
        <v>3054</v>
      </c>
      <c r="H49" s="1262" t="s">
        <v>3055</v>
      </c>
      <c r="I49" s="85">
        <v>0</v>
      </c>
      <c r="J49" s="682">
        <v>1</v>
      </c>
      <c r="K49" s="579" t="str">
        <f t="shared" si="65"/>
        <v/>
      </c>
      <c r="L49" s="580" t="str">
        <f>IF(H49="Select ingredient:","",IF(G49="","",_xlfn.IFNA(VLOOKUP($H49,Ingredient_prices!$E:$U,16,FALSE),0)))</f>
        <v/>
      </c>
      <c r="M49" s="591"/>
      <c r="N49" s="591"/>
      <c r="O49" s="591"/>
      <c r="P49" s="592"/>
      <c r="Q49" s="583">
        <f t="shared" si="40"/>
        <v>0</v>
      </c>
      <c r="R49" s="583">
        <f>VLOOKUP($H49,'CO2_emission+%_food_waste'!$A:$K,6,FALSE)*$Q49/100</f>
        <v>0</v>
      </c>
      <c r="S49" s="583">
        <f t="shared" si="41"/>
        <v>0</v>
      </c>
      <c r="T49" s="583" t="str">
        <f>IF(H49="Select ingredient:","",IF(G49="Select food category:","",_xlfn.IFNA(VLOOKUP($H49,Ingredient_prices!$E:$U,16,FALSE)*$Q49/1000,"not bought")))</f>
        <v/>
      </c>
      <c r="U49" s="583" t="str">
        <f>IF(G49="Select food category:","",_xlfn.IFNA(VLOOKUP($H49,Ingredient_prices!$E:$U,16,FALSE)*$R49/1000,"not bought"))</f>
        <v/>
      </c>
      <c r="V49" s="549">
        <f>VLOOKUP($H49,'CO2_emission+%_food_waste'!$A:$K,4,FALSE)*$Q49</f>
        <v>0</v>
      </c>
      <c r="W49" s="583">
        <f>VLOOKUP($H49,Nutrition_tables!$A:$N,10,FALSE)*$Q49/100</f>
        <v>0</v>
      </c>
      <c r="X49" s="583">
        <f>VLOOKUP($H49,Nutrition_tables!$A:$N,11,FALSE)*$Q49/100</f>
        <v>0</v>
      </c>
      <c r="Y49" s="583">
        <f>VLOOKUP($H49,Nutrition_tables!$A:$N,12,FALSE)*$Q49/100</f>
        <v>0</v>
      </c>
      <c r="Z49" s="583">
        <f>VLOOKUP($H49,Nutrition_tables!$A:$N,14,FALSE)*$Q49/100</f>
        <v>0</v>
      </c>
      <c r="AA49" s="583">
        <f>VLOOKUP($H49,Nutrition_tables!$A:$AF,13,FALSE)*$Q49/100</f>
        <v>0</v>
      </c>
      <c r="AB49" s="549">
        <f>VLOOKUP($H49,Nutrition_tables!$A:$AF,15,FALSE)*$Q49/100</f>
        <v>0</v>
      </c>
      <c r="AC49" s="583">
        <f>VLOOKUP($H49,Nutrition_tables!$A:$AF,16,FALSE)*$Q49/100</f>
        <v>0</v>
      </c>
      <c r="AD49" s="583">
        <f>VLOOKUP($H49,Nutrition_tables!$A:$AF,17,FALSE)*$Q49/100</f>
        <v>0</v>
      </c>
      <c r="AE49" s="583">
        <f>VLOOKUP($H49,Nutrition_tables!$A:$AF,18,FALSE)*$Q49/100</f>
        <v>0</v>
      </c>
      <c r="AF49" s="583">
        <f>VLOOKUP($H49,Nutrition_tables!$A:$AF,19,FALSE)*$Q49/100</f>
        <v>0</v>
      </c>
      <c r="AG49" s="583">
        <f>VLOOKUP($H49,Nutrition_tables!$A:$AF,20,FALSE)*$Q49/100</f>
        <v>0</v>
      </c>
      <c r="AH49" s="583">
        <f>VLOOKUP($H49,Nutrition_tables!$A:$AF,21,FALSE)*$Q49/100</f>
        <v>0</v>
      </c>
      <c r="AI49" s="583">
        <f>VLOOKUP($H49,Nutrition_tables!$A:$AF,22,FALSE)*$Q49/100</f>
        <v>0</v>
      </c>
      <c r="AJ49" s="549">
        <f>VLOOKUP($H49,Nutrition_tables!$A:$AF,23,FALSE)*$Q49/100</f>
        <v>0</v>
      </c>
      <c r="AK49" s="583">
        <f>VLOOKUP($H49,Nutrition_tables!$A:$AF,24,FALSE)*$Q49/100</f>
        <v>0</v>
      </c>
      <c r="AL49" s="583">
        <f>VLOOKUP($H49,Nutrition_tables!$A:$AF,25,FALSE)*$Q49/100</f>
        <v>0</v>
      </c>
      <c r="AM49" s="583">
        <f>VLOOKUP($H49,Nutrition_tables!$A:$AF,26,FALSE)*$Q49/100</f>
        <v>0</v>
      </c>
      <c r="AN49" s="583">
        <f>VLOOKUP($H49,Nutrition_tables!$A:$AF,27,FALSE)*$Q49/100</f>
        <v>0</v>
      </c>
      <c r="AO49" s="583">
        <f>VLOOKUP($H49,Nutrition_tables!$A:$AF,28,FALSE)*$Q49/100</f>
        <v>0</v>
      </c>
      <c r="AP49" s="583">
        <f>VLOOKUP($H49,Nutrition_tables!$A:$AF,29,FALSE)*$Q49/100</f>
        <v>0</v>
      </c>
      <c r="AQ49" s="583">
        <f>VLOOKUP($H49,Nutrition_tables!$A:$AF,30,FALSE)*$Q49/100</f>
        <v>0</v>
      </c>
      <c r="AR49" s="583">
        <f>VLOOKUP($H49,Nutrition_tables!$A:$AF,31,FALSE)*$Q49/100</f>
        <v>0</v>
      </c>
      <c r="AS49" s="549">
        <f>VLOOKUP($H49,Nutrition_tables!$A:$AF,32,FALSE)*$Q49/100</f>
        <v>0</v>
      </c>
      <c r="AT49" s="583" t="str">
        <f>IF(H49="Select ingredient:","",IF(G49="Select food category:","",IFERROR(VLOOKUP($H49,Ingredient_prices!$E:$W,17,FALSE)*$Q49/1000,"not bought")))</f>
        <v/>
      </c>
      <c r="AU49" s="583" t="str">
        <f>IF(H49="Select ingredient:","",IF(G49="Select food category:","",IFERROR(VLOOKUP($H49,Ingredient_prices!$E:$W,18,FALSE)*$Q49/1000,"not bought")))</f>
        <v/>
      </c>
      <c r="AV49" s="583">
        <f t="shared" si="42"/>
        <v>0</v>
      </c>
      <c r="AW49" s="583">
        <f t="shared" si="43"/>
        <v>0</v>
      </c>
      <c r="AX49" s="583">
        <f t="shared" si="44"/>
        <v>0</v>
      </c>
      <c r="AY49" s="583">
        <f t="shared" si="45"/>
        <v>0</v>
      </c>
      <c r="AZ49" s="583">
        <f t="shared" si="46"/>
        <v>0</v>
      </c>
      <c r="BA49" s="583">
        <f t="shared" si="47"/>
        <v>0</v>
      </c>
      <c r="BB49" s="583">
        <f t="shared" si="48"/>
        <v>0</v>
      </c>
      <c r="BC49" s="583">
        <f t="shared" si="49"/>
        <v>0</v>
      </c>
      <c r="BD49" s="583">
        <f t="shared" si="50"/>
        <v>0</v>
      </c>
      <c r="BE49" s="583">
        <f t="shared" si="51"/>
        <v>0</v>
      </c>
      <c r="BF49" s="583">
        <f t="shared" si="52"/>
        <v>0</v>
      </c>
      <c r="BG49" s="583">
        <f t="shared" si="53"/>
        <v>0</v>
      </c>
      <c r="BH49" s="583">
        <f t="shared" si="54"/>
        <v>0</v>
      </c>
      <c r="BI49" s="583">
        <f t="shared" si="55"/>
        <v>0</v>
      </c>
      <c r="BJ49" s="583">
        <f t="shared" si="56"/>
        <v>0</v>
      </c>
      <c r="BK49" s="583">
        <f t="shared" si="57"/>
        <v>0</v>
      </c>
      <c r="BL49" s="583">
        <f t="shared" si="58"/>
        <v>0</v>
      </c>
      <c r="BM49" s="583">
        <f t="shared" si="59"/>
        <v>0</v>
      </c>
      <c r="BN49" s="583">
        <f t="shared" si="60"/>
        <v>0</v>
      </c>
      <c r="BO49" s="583">
        <f t="shared" si="61"/>
        <v>0</v>
      </c>
      <c r="BP49" s="583">
        <f t="shared" si="62"/>
        <v>0</v>
      </c>
      <c r="BQ49" s="583">
        <f t="shared" si="63"/>
        <v>0</v>
      </c>
      <c r="BR49" s="583">
        <f t="shared" si="64"/>
        <v>0</v>
      </c>
    </row>
    <row r="50" spans="1:70" s="603" customFormat="1" ht="56">
      <c r="A50" s="590"/>
      <c r="B50" s="593"/>
      <c r="C50" s="522"/>
      <c r="D50" s="141"/>
      <c r="E50" s="594"/>
      <c r="F50" s="708"/>
      <c r="G50" s="594"/>
      <c r="H50" s="594"/>
      <c r="I50" s="141"/>
      <c r="J50" s="141"/>
      <c r="K50" s="141"/>
      <c r="L50" s="141"/>
      <c r="M50" s="683"/>
      <c r="N50" s="683"/>
      <c r="O50" s="597"/>
      <c r="P50" s="598"/>
      <c r="Q50" s="599" t="s">
        <v>384</v>
      </c>
      <c r="R50" s="600" t="s">
        <v>455</v>
      </c>
      <c r="S50" s="600" t="s">
        <v>2087</v>
      </c>
      <c r="T50" s="600" t="s">
        <v>456</v>
      </c>
      <c r="U50" s="600" t="s">
        <v>535</v>
      </c>
      <c r="V50" s="601" t="s">
        <v>457</v>
      </c>
      <c r="W50" s="600" t="s">
        <v>75</v>
      </c>
      <c r="X50" s="600" t="s">
        <v>385</v>
      </c>
      <c r="Y50" s="600" t="s">
        <v>386</v>
      </c>
      <c r="Z50" s="600" t="s">
        <v>387</v>
      </c>
      <c r="AA50" s="600" t="s">
        <v>388</v>
      </c>
      <c r="AB50" s="601" t="s">
        <v>389</v>
      </c>
      <c r="AC50" s="602" t="s">
        <v>390</v>
      </c>
      <c r="AD50" s="600" t="s">
        <v>391</v>
      </c>
      <c r="AE50" s="600" t="s">
        <v>392</v>
      </c>
      <c r="AF50" s="600" t="s">
        <v>393</v>
      </c>
      <c r="AG50" s="600" t="s">
        <v>394</v>
      </c>
      <c r="AH50" s="600" t="s">
        <v>395</v>
      </c>
      <c r="AI50" s="600" t="s">
        <v>396</v>
      </c>
      <c r="AJ50" s="601" t="s">
        <v>397</v>
      </c>
      <c r="AK50" s="602" t="s">
        <v>398</v>
      </c>
      <c r="AL50" s="600" t="s">
        <v>399</v>
      </c>
      <c r="AM50" s="600" t="s">
        <v>400</v>
      </c>
      <c r="AN50" s="600" t="s">
        <v>401</v>
      </c>
      <c r="AO50" s="600" t="s">
        <v>402</v>
      </c>
      <c r="AP50" s="600" t="s">
        <v>406</v>
      </c>
      <c r="AQ50" s="600" t="s">
        <v>405</v>
      </c>
      <c r="AR50" s="600" t="s">
        <v>403</v>
      </c>
      <c r="AS50" s="601" t="s">
        <v>404</v>
      </c>
      <c r="AT50" s="593"/>
      <c r="AU50" s="593"/>
    </row>
    <row r="51" spans="1:70" s="229" customFormat="1">
      <c r="A51" s="590"/>
      <c r="B51" s="522"/>
      <c r="C51" s="522"/>
      <c r="D51" s="141"/>
      <c r="E51" s="594"/>
      <c r="F51" s="708"/>
      <c r="G51" s="594"/>
      <c r="H51" s="594"/>
      <c r="I51" s="141"/>
      <c r="J51" s="141"/>
      <c r="K51" s="141"/>
      <c r="L51" s="141"/>
      <c r="M51" s="683"/>
      <c r="N51" s="683"/>
      <c r="O51" s="605"/>
      <c r="P51" s="606" t="s">
        <v>383</v>
      </c>
      <c r="Q51" s="583">
        <f>SUM(Q38:Q49)</f>
        <v>225</v>
      </c>
      <c r="R51" s="583">
        <f t="shared" ref="R51:V51" si="67">SUM(R38:R49)</f>
        <v>48.3</v>
      </c>
      <c r="S51" s="583">
        <f>SUM(S38:S49)</f>
        <v>176.7</v>
      </c>
      <c r="T51" s="583">
        <f t="shared" si="67"/>
        <v>47.47195</v>
      </c>
      <c r="U51" s="583">
        <f t="shared" si="67"/>
        <v>13.577865900000001</v>
      </c>
      <c r="V51" s="549">
        <f t="shared" si="67"/>
        <v>480.5</v>
      </c>
      <c r="W51" s="583">
        <f t="shared" ref="W51:AS51" si="68">SUM(W38:W49)</f>
        <v>376.33749999999998</v>
      </c>
      <c r="X51" s="583">
        <f t="shared" si="68"/>
        <v>41.480124999999994</v>
      </c>
      <c r="Y51" s="583">
        <f t="shared" si="68"/>
        <v>15.035625</v>
      </c>
      <c r="Z51" s="583">
        <f t="shared" si="68"/>
        <v>16.687875000000002</v>
      </c>
      <c r="AA51" s="583">
        <f t="shared" si="68"/>
        <v>4.6556249999999997</v>
      </c>
      <c r="AB51" s="549">
        <f t="shared" si="68"/>
        <v>6.7454999999999998</v>
      </c>
      <c r="AC51" s="583">
        <f t="shared" si="68"/>
        <v>845.875</v>
      </c>
      <c r="AD51" s="583">
        <f t="shared" si="68"/>
        <v>319.14999999999998</v>
      </c>
      <c r="AE51" s="583">
        <f t="shared" si="68"/>
        <v>192.4</v>
      </c>
      <c r="AF51" s="583">
        <f t="shared" si="68"/>
        <v>30.578624999999999</v>
      </c>
      <c r="AG51" s="583">
        <f t="shared" si="68"/>
        <v>251.375</v>
      </c>
      <c r="AH51" s="583">
        <f t="shared" si="68"/>
        <v>2.2230000000000003</v>
      </c>
      <c r="AI51" s="583">
        <f t="shared" si="68"/>
        <v>3.1444999999999999</v>
      </c>
      <c r="AJ51" s="549">
        <f t="shared" si="68"/>
        <v>0.25575000000000003</v>
      </c>
      <c r="AK51" s="583">
        <f t="shared" si="68"/>
        <v>30.375</v>
      </c>
      <c r="AL51" s="583">
        <f t="shared" si="68"/>
        <v>0.20749999999999999</v>
      </c>
      <c r="AM51" s="583">
        <f t="shared" si="68"/>
        <v>0.28125</v>
      </c>
      <c r="AN51" s="583">
        <f t="shared" si="68"/>
        <v>3.2636250000000002</v>
      </c>
      <c r="AO51" s="583">
        <f t="shared" si="68"/>
        <v>0.16070000000000001</v>
      </c>
      <c r="AP51" s="583">
        <f t="shared" si="68"/>
        <v>32.674999999999997</v>
      </c>
      <c r="AQ51" s="583">
        <f t="shared" si="68"/>
        <v>0.38474999999999998</v>
      </c>
      <c r="AR51" s="583">
        <f t="shared" si="68"/>
        <v>0.57499999999999996</v>
      </c>
      <c r="AS51" s="549">
        <f t="shared" si="68"/>
        <v>0.22125</v>
      </c>
      <c r="AT51" s="583">
        <f t="shared" ref="AT51:AU51" si="69">SUM(AT38:AT49)</f>
        <v>47.47195</v>
      </c>
      <c r="AU51" s="583">
        <f t="shared" si="69"/>
        <v>47.47195</v>
      </c>
      <c r="AV51" s="545">
        <f t="shared" ref="AV51:BR51" si="70">SUM(AV38:AV49)</f>
        <v>263.86078550019636</v>
      </c>
      <c r="AW51" s="545">
        <f t="shared" si="70"/>
        <v>27.989416010141213</v>
      </c>
      <c r="AX51" s="545">
        <f t="shared" si="70"/>
        <v>10.797077120999765</v>
      </c>
      <c r="AY51" s="545">
        <f t="shared" si="70"/>
        <v>12.03391217594848</v>
      </c>
      <c r="AZ51" s="545">
        <f t="shared" si="70"/>
        <v>2.9702883539615526</v>
      </c>
      <c r="BA51" s="545">
        <f t="shared" si="70"/>
        <v>5.1011331845979431</v>
      </c>
      <c r="BB51" s="545">
        <f t="shared" si="70"/>
        <v>566.16915769931575</v>
      </c>
      <c r="BC51" s="545">
        <f t="shared" si="70"/>
        <v>253.09777065864353</v>
      </c>
      <c r="BD51" s="545">
        <f t="shared" si="70"/>
        <v>161.43353131059229</v>
      </c>
      <c r="BE51" s="545">
        <f t="shared" si="70"/>
        <v>23.286159550678779</v>
      </c>
      <c r="BF51" s="545">
        <f t="shared" si="70"/>
        <v>192.84122371020391</v>
      </c>
      <c r="BG51" s="545">
        <f t="shared" si="70"/>
        <v>1.4731737711868376</v>
      </c>
      <c r="BH51" s="545">
        <f t="shared" si="70"/>
        <v>2.2093156995272429</v>
      </c>
      <c r="BI51" s="545">
        <f t="shared" si="70"/>
        <v>0.16715247626530347</v>
      </c>
      <c r="BJ51" s="545">
        <f t="shared" si="70"/>
        <v>28.889247103100292</v>
      </c>
      <c r="BK51" s="545">
        <f t="shared" si="70"/>
        <v>0.14290998034400282</v>
      </c>
      <c r="BL51" s="545">
        <f t="shared" si="70"/>
        <v>0.22541247195600381</v>
      </c>
      <c r="BM51" s="545">
        <f t="shared" si="70"/>
        <v>2.1588423964143608</v>
      </c>
      <c r="BN51" s="545">
        <f t="shared" si="70"/>
        <v>0.11502663362287251</v>
      </c>
      <c r="BO51" s="545">
        <f t="shared" si="70"/>
        <v>23.413097086230373</v>
      </c>
      <c r="BP51" s="545">
        <f t="shared" si="70"/>
        <v>0.34291946022560499</v>
      </c>
      <c r="BQ51" s="545">
        <f t="shared" si="70"/>
        <v>0.52534994587000561</v>
      </c>
      <c r="BR51" s="545">
        <f t="shared" si="70"/>
        <v>0.16246122674675359</v>
      </c>
    </row>
    <row r="52" spans="1:70" s="229" customFormat="1">
      <c r="A52" s="590"/>
      <c r="B52" s="522"/>
      <c r="C52" s="522"/>
      <c r="D52" s="141"/>
      <c r="E52" s="594"/>
      <c r="F52" s="708"/>
      <c r="G52" s="594"/>
      <c r="H52" s="594"/>
      <c r="I52" s="141"/>
      <c r="J52" s="141"/>
      <c r="K52" s="141"/>
      <c r="L52" s="141"/>
      <c r="M52" s="683"/>
      <c r="N52" s="683"/>
      <c r="O52" s="605"/>
      <c r="P52" s="606" t="s">
        <v>537</v>
      </c>
      <c r="V52" s="527" t="s">
        <v>588</v>
      </c>
      <c r="W52" s="229">
        <v>185.5</v>
      </c>
      <c r="X52" s="229">
        <v>23.200000000000003</v>
      </c>
      <c r="Y52" s="229">
        <v>5.8000000000000007</v>
      </c>
      <c r="Z52" s="229">
        <v>6.2</v>
      </c>
      <c r="AA52" s="229">
        <v>1.9000000000000001</v>
      </c>
      <c r="AB52" s="526">
        <v>2</v>
      </c>
      <c r="AC52" s="229">
        <v>138</v>
      </c>
      <c r="AD52" s="229">
        <v>180</v>
      </c>
      <c r="AE52" s="229">
        <v>90</v>
      </c>
      <c r="AF52" s="229">
        <v>17</v>
      </c>
      <c r="AG52" s="229">
        <v>80</v>
      </c>
      <c r="AH52" s="229">
        <v>1</v>
      </c>
      <c r="AI52" s="229">
        <v>0.70000000000000007</v>
      </c>
      <c r="AJ52" s="526">
        <v>0.125</v>
      </c>
      <c r="AK52" s="229">
        <v>80</v>
      </c>
      <c r="AL52" s="229">
        <v>0.1</v>
      </c>
      <c r="AM52" s="229">
        <v>0.11000000000000001</v>
      </c>
      <c r="AN52" s="229">
        <v>1.2000000000000002</v>
      </c>
      <c r="AO52" s="229">
        <v>6.9999999999999993E-2</v>
      </c>
      <c r="AP52" s="229">
        <v>30</v>
      </c>
      <c r="AQ52" s="229">
        <v>0.18000000000000002</v>
      </c>
      <c r="AR52" s="229">
        <v>8</v>
      </c>
      <c r="AS52" s="526">
        <v>0.5</v>
      </c>
      <c r="AV52" s="229">
        <v>185.5</v>
      </c>
      <c r="AW52" s="229">
        <v>23.200000000000003</v>
      </c>
      <c r="AX52" s="229">
        <v>5.8000000000000007</v>
      </c>
      <c r="AY52" s="229">
        <v>6.2</v>
      </c>
      <c r="AZ52" s="229">
        <v>1.9000000000000001</v>
      </c>
      <c r="BA52" s="526">
        <v>2</v>
      </c>
      <c r="BB52" s="229">
        <v>138</v>
      </c>
      <c r="BC52" s="229">
        <v>180</v>
      </c>
      <c r="BD52" s="229">
        <v>90</v>
      </c>
      <c r="BE52" s="229">
        <v>17</v>
      </c>
      <c r="BF52" s="229">
        <v>80</v>
      </c>
      <c r="BG52" s="229">
        <v>1</v>
      </c>
      <c r="BH52" s="229">
        <v>0.70000000000000007</v>
      </c>
      <c r="BI52" s="526">
        <v>0.125</v>
      </c>
      <c r="BJ52" s="229">
        <v>80</v>
      </c>
      <c r="BK52" s="229">
        <v>0.1</v>
      </c>
      <c r="BL52" s="229">
        <v>0.11000000000000001</v>
      </c>
      <c r="BM52" s="229">
        <v>1.2000000000000002</v>
      </c>
      <c r="BN52" s="229">
        <v>6.9999999999999993E-2</v>
      </c>
      <c r="BO52" s="229">
        <v>30</v>
      </c>
      <c r="BP52" s="229">
        <v>0.18000000000000002</v>
      </c>
      <c r="BQ52" s="229">
        <v>8</v>
      </c>
      <c r="BR52" s="526">
        <v>0.5</v>
      </c>
    </row>
    <row r="53" spans="1:70" s="229" customFormat="1">
      <c r="A53" s="590"/>
      <c r="B53" s="522"/>
      <c r="C53" s="522"/>
      <c r="D53" s="141"/>
      <c r="E53" s="594"/>
      <c r="F53" s="708"/>
      <c r="G53" s="594"/>
      <c r="H53" s="594"/>
      <c r="I53" s="141"/>
      <c r="J53" s="141"/>
      <c r="K53" s="141"/>
      <c r="L53" s="141"/>
      <c r="M53" s="683"/>
      <c r="N53" s="683"/>
      <c r="O53" s="605"/>
      <c r="P53" s="606" t="s">
        <v>407</v>
      </c>
      <c r="V53" s="526"/>
      <c r="W53" s="514">
        <f t="shared" ref="W53:AS53" si="71">100*W51/W52</f>
        <v>202.87735849056602</v>
      </c>
      <c r="X53" s="514">
        <f t="shared" si="71"/>
        <v>178.79364224137927</v>
      </c>
      <c r="Y53" s="514">
        <f t="shared" si="71"/>
        <v>259.23491379310343</v>
      </c>
      <c r="Z53" s="514">
        <f t="shared" si="71"/>
        <v>269.15927419354841</v>
      </c>
      <c r="AA53" s="514">
        <f t="shared" si="71"/>
        <v>245.03289473684205</v>
      </c>
      <c r="AB53" s="506">
        <f t="shared" si="71"/>
        <v>337.27499999999998</v>
      </c>
      <c r="AC53" s="514">
        <f t="shared" si="71"/>
        <v>612.95289855072463</v>
      </c>
      <c r="AD53" s="514">
        <f t="shared" si="71"/>
        <v>177.30555555555554</v>
      </c>
      <c r="AE53" s="514">
        <f t="shared" si="71"/>
        <v>213.77777777777777</v>
      </c>
      <c r="AF53" s="514">
        <f t="shared" si="71"/>
        <v>179.87426470588233</v>
      </c>
      <c r="AG53" s="514">
        <f t="shared" si="71"/>
        <v>314.21875</v>
      </c>
      <c r="AH53" s="514">
        <f t="shared" si="71"/>
        <v>222.30000000000004</v>
      </c>
      <c r="AI53" s="514">
        <f t="shared" si="71"/>
        <v>449.21428571428567</v>
      </c>
      <c r="AJ53" s="506">
        <f t="shared" si="71"/>
        <v>204.60000000000002</v>
      </c>
      <c r="AK53" s="514">
        <f t="shared" si="71"/>
        <v>37.96875</v>
      </c>
      <c r="AL53" s="514">
        <f t="shared" si="71"/>
        <v>207.5</v>
      </c>
      <c r="AM53" s="514">
        <f t="shared" si="71"/>
        <v>255.68181818181816</v>
      </c>
      <c r="AN53" s="514">
        <f t="shared" si="71"/>
        <v>271.96874999999994</v>
      </c>
      <c r="AO53" s="514">
        <f t="shared" si="71"/>
        <v>229.57142857142861</v>
      </c>
      <c r="AP53" s="514">
        <f t="shared" si="71"/>
        <v>108.91666666666666</v>
      </c>
      <c r="AQ53" s="514">
        <f t="shared" si="71"/>
        <v>213.74999999999997</v>
      </c>
      <c r="AR53" s="514">
        <f t="shared" si="71"/>
        <v>7.1874999999999991</v>
      </c>
      <c r="AS53" s="506">
        <f t="shared" si="71"/>
        <v>44.25</v>
      </c>
      <c r="AV53" s="505">
        <f t="shared" ref="AV53:BR53" si="72">100*AV51/AV52</f>
        <v>142.2430110513188</v>
      </c>
      <c r="AW53" s="505">
        <f t="shared" si="72"/>
        <v>120.64403452647073</v>
      </c>
      <c r="AX53" s="505">
        <f t="shared" si="72"/>
        <v>186.15650208620283</v>
      </c>
      <c r="AY53" s="505">
        <f t="shared" si="72"/>
        <v>194.09535767658838</v>
      </c>
      <c r="AZ53" s="505">
        <f t="shared" si="72"/>
        <v>156.33096599797645</v>
      </c>
      <c r="BA53" s="505">
        <f t="shared" si="72"/>
        <v>255.05665922989715</v>
      </c>
      <c r="BB53" s="505">
        <f t="shared" si="72"/>
        <v>410.26750557921434</v>
      </c>
      <c r="BC53" s="505">
        <f t="shared" si="72"/>
        <v>140.60987258813529</v>
      </c>
      <c r="BD53" s="505">
        <f t="shared" si="72"/>
        <v>179.37059034510253</v>
      </c>
      <c r="BE53" s="505">
        <f t="shared" si="72"/>
        <v>136.97740912163988</v>
      </c>
      <c r="BF53" s="505">
        <f t="shared" si="72"/>
        <v>241.0515296377549</v>
      </c>
      <c r="BG53" s="505">
        <f t="shared" si="72"/>
        <v>147.31737711868377</v>
      </c>
      <c r="BH53" s="505">
        <f t="shared" si="72"/>
        <v>315.6165285038918</v>
      </c>
      <c r="BI53" s="505">
        <f t="shared" si="72"/>
        <v>133.72198101224276</v>
      </c>
      <c r="BJ53" s="505">
        <f t="shared" si="72"/>
        <v>36.111558878875364</v>
      </c>
      <c r="BK53" s="505">
        <f t="shared" si="72"/>
        <v>142.9099803440028</v>
      </c>
      <c r="BL53" s="505">
        <f t="shared" si="72"/>
        <v>204.92042905091253</v>
      </c>
      <c r="BM53" s="505">
        <f t="shared" si="72"/>
        <v>179.90353303453003</v>
      </c>
      <c r="BN53" s="505">
        <f t="shared" si="72"/>
        <v>164.32376231838933</v>
      </c>
      <c r="BO53" s="505">
        <f t="shared" si="72"/>
        <v>78.043656954101237</v>
      </c>
      <c r="BP53" s="505">
        <f t="shared" si="72"/>
        <v>190.51081123644721</v>
      </c>
      <c r="BQ53" s="505">
        <f t="shared" si="72"/>
        <v>6.5668743233750702</v>
      </c>
      <c r="BR53" s="505">
        <f t="shared" si="72"/>
        <v>32.492245349350718</v>
      </c>
    </row>
    <row r="54" spans="1:70" s="229" customFormat="1">
      <c r="A54" s="590"/>
      <c r="B54" s="522"/>
      <c r="C54" s="522"/>
      <c r="D54" s="141"/>
      <c r="E54" s="594"/>
      <c r="F54" s="708"/>
      <c r="G54" s="594"/>
      <c r="H54" s="594"/>
      <c r="I54" s="141"/>
      <c r="J54" s="141"/>
      <c r="K54" s="141"/>
      <c r="L54" s="141"/>
      <c r="M54" s="683"/>
      <c r="N54" s="683"/>
      <c r="O54" s="605"/>
      <c r="P54" s="606" t="s">
        <v>548</v>
      </c>
      <c r="V54" s="526"/>
      <c r="W54" s="583">
        <f>AV51</f>
        <v>263.86078550019636</v>
      </c>
      <c r="X54" s="583">
        <f t="shared" ref="X54" si="73">AW51</f>
        <v>27.989416010141213</v>
      </c>
      <c r="Y54" s="583">
        <f t="shared" ref="Y54" si="74">AX51</f>
        <v>10.797077120999765</v>
      </c>
      <c r="Z54" s="583">
        <f t="shared" ref="Z54" si="75">AY51</f>
        <v>12.03391217594848</v>
      </c>
      <c r="AA54" s="583">
        <f t="shared" ref="AA54" si="76">AZ51</f>
        <v>2.9702883539615526</v>
      </c>
      <c r="AB54" s="549">
        <f t="shared" ref="AB54" si="77">BA51</f>
        <v>5.1011331845979431</v>
      </c>
      <c r="AC54" s="583">
        <f t="shared" ref="AC54" si="78">BB51</f>
        <v>566.16915769931575</v>
      </c>
      <c r="AD54" s="583">
        <f t="shared" ref="AD54" si="79">BC51</f>
        <v>253.09777065864353</v>
      </c>
      <c r="AE54" s="583">
        <f t="shared" ref="AE54" si="80">BD51</f>
        <v>161.43353131059229</v>
      </c>
      <c r="AF54" s="583">
        <f t="shared" ref="AF54" si="81">BE51</f>
        <v>23.286159550678779</v>
      </c>
      <c r="AG54" s="583">
        <f t="shared" ref="AG54" si="82">BF51</f>
        <v>192.84122371020391</v>
      </c>
      <c r="AH54" s="583">
        <f t="shared" ref="AH54" si="83">BG51</f>
        <v>1.4731737711868376</v>
      </c>
      <c r="AI54" s="583">
        <f t="shared" ref="AI54" si="84">BH51</f>
        <v>2.2093156995272429</v>
      </c>
      <c r="AJ54" s="549">
        <f t="shared" ref="AJ54" si="85">BI51</f>
        <v>0.16715247626530347</v>
      </c>
      <c r="AK54" s="583">
        <f t="shared" ref="AK54" si="86">BJ51</f>
        <v>28.889247103100292</v>
      </c>
      <c r="AL54" s="583">
        <f t="shared" ref="AL54" si="87">BK51</f>
        <v>0.14290998034400282</v>
      </c>
      <c r="AM54" s="583">
        <f t="shared" ref="AM54" si="88">BL51</f>
        <v>0.22541247195600381</v>
      </c>
      <c r="AN54" s="583">
        <f>BM51</f>
        <v>2.1588423964143608</v>
      </c>
      <c r="AO54" s="583">
        <f t="shared" ref="AO54" si="89">BN51</f>
        <v>0.11502663362287251</v>
      </c>
      <c r="AP54" s="583">
        <f t="shared" ref="AP54" si="90">BO51</f>
        <v>23.413097086230373</v>
      </c>
      <c r="AQ54" s="583">
        <f t="shared" ref="AQ54" si="91">BP51</f>
        <v>0.34291946022560499</v>
      </c>
      <c r="AR54" s="583">
        <f t="shared" ref="AR54" si="92">BQ51</f>
        <v>0.52534994587000561</v>
      </c>
      <c r="AS54" s="549">
        <f>BR51</f>
        <v>0.16246122674675359</v>
      </c>
    </row>
    <row r="55" spans="1:70" s="229" customFormat="1">
      <c r="A55" s="590"/>
      <c r="B55" s="522"/>
      <c r="C55" s="522"/>
      <c r="D55" s="141"/>
      <c r="E55" s="594"/>
      <c r="F55" s="708"/>
      <c r="G55" s="594"/>
      <c r="H55" s="594"/>
      <c r="I55" s="141"/>
      <c r="J55" s="141"/>
      <c r="K55" s="141"/>
      <c r="L55" s="141"/>
      <c r="M55" s="683"/>
      <c r="N55" s="683"/>
      <c r="O55" s="605"/>
      <c r="P55" s="606" t="s">
        <v>543</v>
      </c>
      <c r="V55" s="526"/>
      <c r="W55" s="514">
        <f t="shared" ref="W55:AS55" si="93">AV53</f>
        <v>142.2430110513188</v>
      </c>
      <c r="X55" s="514">
        <f t="shared" si="93"/>
        <v>120.64403452647073</v>
      </c>
      <c r="Y55" s="514">
        <f t="shared" si="93"/>
        <v>186.15650208620283</v>
      </c>
      <c r="Z55" s="514">
        <f t="shared" si="93"/>
        <v>194.09535767658838</v>
      </c>
      <c r="AA55" s="514">
        <f t="shared" si="93"/>
        <v>156.33096599797645</v>
      </c>
      <c r="AB55" s="506">
        <f t="shared" si="93"/>
        <v>255.05665922989715</v>
      </c>
      <c r="AC55" s="514">
        <f t="shared" si="93"/>
        <v>410.26750557921434</v>
      </c>
      <c r="AD55" s="514">
        <f t="shared" si="93"/>
        <v>140.60987258813529</v>
      </c>
      <c r="AE55" s="514">
        <f t="shared" si="93"/>
        <v>179.37059034510253</v>
      </c>
      <c r="AF55" s="514">
        <f t="shared" si="93"/>
        <v>136.97740912163988</v>
      </c>
      <c r="AG55" s="514">
        <f t="shared" si="93"/>
        <v>241.0515296377549</v>
      </c>
      <c r="AH55" s="514">
        <f t="shared" si="93"/>
        <v>147.31737711868377</v>
      </c>
      <c r="AI55" s="514">
        <f t="shared" si="93"/>
        <v>315.6165285038918</v>
      </c>
      <c r="AJ55" s="506">
        <f t="shared" si="93"/>
        <v>133.72198101224276</v>
      </c>
      <c r="AK55" s="514">
        <f t="shared" si="93"/>
        <v>36.111558878875364</v>
      </c>
      <c r="AL55" s="514">
        <f t="shared" si="93"/>
        <v>142.9099803440028</v>
      </c>
      <c r="AM55" s="514">
        <f t="shared" si="93"/>
        <v>204.92042905091253</v>
      </c>
      <c r="AN55" s="514">
        <f t="shared" si="93"/>
        <v>179.90353303453003</v>
      </c>
      <c r="AO55" s="514">
        <f t="shared" si="93"/>
        <v>164.32376231838933</v>
      </c>
      <c r="AP55" s="514">
        <f t="shared" si="93"/>
        <v>78.043656954101237</v>
      </c>
      <c r="AQ55" s="514">
        <f t="shared" si="93"/>
        <v>190.51081123644721</v>
      </c>
      <c r="AR55" s="514">
        <f t="shared" si="93"/>
        <v>6.5668743233750702</v>
      </c>
      <c r="AS55" s="506">
        <f t="shared" si="93"/>
        <v>32.492245349350718</v>
      </c>
      <c r="AV55" s="514"/>
      <c r="AW55" s="514"/>
      <c r="AX55" s="514"/>
      <c r="AY55" s="514"/>
      <c r="AZ55" s="514"/>
      <c r="BA55" s="505"/>
      <c r="BB55" s="514"/>
      <c r="BC55" s="514"/>
      <c r="BD55" s="514"/>
      <c r="BE55" s="514"/>
      <c r="BF55" s="514"/>
      <c r="BG55" s="514"/>
      <c r="BH55" s="514"/>
      <c r="BI55" s="505"/>
      <c r="BJ55" s="514"/>
      <c r="BK55" s="514"/>
      <c r="BL55" s="514"/>
      <c r="BM55" s="514"/>
      <c r="BN55" s="514"/>
      <c r="BO55" s="514"/>
      <c r="BP55" s="514"/>
      <c r="BQ55" s="514"/>
      <c r="BR55" s="505"/>
    </row>
    <row r="56" spans="1:70" s="229" customFormat="1" ht="16" thickBot="1">
      <c r="A56" s="590"/>
      <c r="B56" s="607"/>
      <c r="C56" s="607"/>
      <c r="D56" s="683"/>
      <c r="E56" s="608"/>
      <c r="F56" s="709"/>
      <c r="G56" s="609" t="s">
        <v>3054</v>
      </c>
      <c r="H56" s="610"/>
      <c r="I56" s="93"/>
      <c r="J56" s="93"/>
      <c r="K56" s="607"/>
      <c r="L56" s="611"/>
      <c r="M56" s="611"/>
      <c r="N56" s="611"/>
      <c r="O56" s="605"/>
      <c r="P56" s="607"/>
      <c r="Q56" s="607"/>
      <c r="R56" s="607"/>
      <c r="S56" s="607"/>
      <c r="T56" s="607"/>
      <c r="U56" s="612"/>
      <c r="V56" s="613"/>
      <c r="W56" s="607"/>
      <c r="X56" s="607"/>
      <c r="Y56" s="607"/>
      <c r="Z56" s="607"/>
      <c r="AA56" s="614">
        <f>COUNTIF(AA57:AA81,"&lt;0")</f>
        <v>0</v>
      </c>
      <c r="AB56" s="614">
        <f t="shared" ref="AB56:AS56" si="94">COUNTIF(AB57:AB81,"&lt;0")</f>
        <v>0</v>
      </c>
      <c r="AC56" s="614">
        <f t="shared" si="94"/>
        <v>0</v>
      </c>
      <c r="AD56" s="614">
        <f t="shared" si="94"/>
        <v>0</v>
      </c>
      <c r="AE56" s="614">
        <f t="shared" si="94"/>
        <v>0</v>
      </c>
      <c r="AF56" s="614">
        <f t="shared" si="94"/>
        <v>0</v>
      </c>
      <c r="AG56" s="614">
        <f t="shared" si="94"/>
        <v>0</v>
      </c>
      <c r="AH56" s="614">
        <f t="shared" si="94"/>
        <v>0</v>
      </c>
      <c r="AI56" s="614">
        <f t="shared" si="94"/>
        <v>0</v>
      </c>
      <c r="AJ56" s="614">
        <f t="shared" si="94"/>
        <v>0</v>
      </c>
      <c r="AK56" s="614">
        <f t="shared" si="94"/>
        <v>0</v>
      </c>
      <c r="AL56" s="614">
        <f t="shared" si="94"/>
        <v>0</v>
      </c>
      <c r="AM56" s="614">
        <f t="shared" si="94"/>
        <v>0</v>
      </c>
      <c r="AN56" s="614">
        <f t="shared" si="94"/>
        <v>0</v>
      </c>
      <c r="AO56" s="614">
        <f t="shared" si="94"/>
        <v>0</v>
      </c>
      <c r="AP56" s="614">
        <f t="shared" si="94"/>
        <v>0</v>
      </c>
      <c r="AQ56" s="614">
        <f t="shared" si="94"/>
        <v>2</v>
      </c>
      <c r="AR56" s="614">
        <f t="shared" si="94"/>
        <v>0</v>
      </c>
      <c r="AS56" s="614">
        <f t="shared" si="94"/>
        <v>2</v>
      </c>
      <c r="AT56" s="607"/>
      <c r="AU56" s="607"/>
    </row>
    <row r="57" spans="1:70" s="229" customFormat="1" ht="17" thickBot="1">
      <c r="A57" s="590"/>
      <c r="B57" s="575" t="s">
        <v>3064</v>
      </c>
      <c r="C57" s="229" t="s">
        <v>69</v>
      </c>
      <c r="D57" s="576"/>
      <c r="E57" s="577">
        <v>100</v>
      </c>
      <c r="F57" s="85" t="s">
        <v>3899</v>
      </c>
      <c r="G57" s="406" t="s">
        <v>3140</v>
      </c>
      <c r="H57" s="1262" t="s">
        <v>3124</v>
      </c>
      <c r="I57" s="85">
        <v>120</v>
      </c>
      <c r="J57" s="682">
        <v>1</v>
      </c>
      <c r="K57" s="579">
        <f t="shared" ref="K57:K81" si="95">IF(I57&gt;0,1.1*Q57*E57/1000,"")</f>
        <v>13.2</v>
      </c>
      <c r="L57" s="580">
        <f>IF(H57="Select ingredient:","",IF(G57="","",_xlfn.IFNA(VLOOKUP($H57,Ingredient_prices!$E:$U,16,FALSE),0)))</f>
        <v>135</v>
      </c>
      <c r="M57" s="591"/>
      <c r="N57" s="1228">
        <f>$W83</f>
        <v>792.38532503496504</v>
      </c>
      <c r="O57" s="591"/>
      <c r="P57" s="592"/>
      <c r="Q57" s="583">
        <f t="shared" ref="Q57:Q81" si="96">I57/J57</f>
        <v>120</v>
      </c>
      <c r="R57" s="583">
        <f>VLOOKUP($H57,'CO2_emission+%_food_waste'!$A:$K,6,FALSE)*$Q57/100</f>
        <v>34.92</v>
      </c>
      <c r="S57" s="583">
        <f t="shared" ref="S57:S81" si="97">Q57-R57</f>
        <v>85.08</v>
      </c>
      <c r="T57" s="583">
        <f>IF(H57="Select ingredient:","",IF(G57="Select food category:","",_xlfn.IFNA(VLOOKUP($H57,Ingredient_prices!$E:$U,16,FALSE)*$Q57/1000,"not bought")))</f>
        <v>16.2</v>
      </c>
      <c r="U57" s="583">
        <f>IF(G57="Select food category:","",_xlfn.IFNA(VLOOKUP($H57,Ingredient_prices!$E:$U,16,FALSE)*$R57/1000,"not bought"))</f>
        <v>4.7141999999999999</v>
      </c>
      <c r="V57" s="549">
        <f>VLOOKUP($H57,'CO2_emission+%_food_waste'!$A:$K,4,FALSE)*$Q57</f>
        <v>61.2</v>
      </c>
      <c r="W57" s="583">
        <f>VLOOKUP($H57,Nutrition_tables!$A:$N,10,FALSE)*$Q57/100</f>
        <v>104.4</v>
      </c>
      <c r="X57" s="583">
        <f>VLOOKUP($H57,Nutrition_tables!$A:$N,11,FALSE)*$Q57/100</f>
        <v>24.156012879742402</v>
      </c>
      <c r="Y57" s="583">
        <f>VLOOKUP($H57,Nutrition_tables!$A:$N,12,FALSE)*$Q57/100</f>
        <v>2.2439871202575947</v>
      </c>
      <c r="Z57" s="583">
        <f>VLOOKUP($H57,Nutrition_tables!$A:$N,14,FALSE)*$Q57/100</f>
        <v>0.12000559988800225</v>
      </c>
      <c r="AA57" s="583">
        <f>VLOOKUP($H57,Nutrition_tables!$A:$AF,13,FALSE)*$Q57/100</f>
        <v>1.5600167996640066</v>
      </c>
      <c r="AB57" s="549">
        <f>VLOOKUP($H57,Nutrition_tables!$A:$AF,15,FALSE)*$Q57/100</f>
        <v>3.6007279854402913E-2</v>
      </c>
      <c r="AC57" s="583">
        <f>VLOOKUP($H57,Nutrition_tables!$A:$AF,16,FALSE)*$Q57/100</f>
        <v>4.8</v>
      </c>
      <c r="AD57" s="583">
        <f>VLOOKUP($H57,Nutrition_tables!$A:$AF,17,FALSE)*$Q57/100</f>
        <v>454.80000000000007</v>
      </c>
      <c r="AE57" s="583">
        <f>VLOOKUP($H57,Nutrition_tables!$A:$AF,18,FALSE)*$Q57/100</f>
        <v>5.9999999999999991</v>
      </c>
      <c r="AF57" s="583">
        <f>VLOOKUP($H57,Nutrition_tables!$A:$AF,19,FALSE)*$Q57/100</f>
        <v>26.4</v>
      </c>
      <c r="AG57" s="583">
        <f>VLOOKUP($H57,Nutrition_tables!$A:$AF,20,FALSE)*$Q57/100</f>
        <v>52.8</v>
      </c>
      <c r="AH57" s="583">
        <f>VLOOKUP($H57,Nutrition_tables!$A:$AF,21,FALSE)*$Q57/100</f>
        <v>0.37200055998880027</v>
      </c>
      <c r="AI57" s="583">
        <f>VLOOKUP($H57,Nutrition_tables!$A:$AF,22,FALSE)*$Q57/100</f>
        <v>0.36001679966400679</v>
      </c>
      <c r="AJ57" s="549">
        <f>VLOOKUP($H57,Nutrition_tables!$A:$AF,23,FALSE)*$Q57/100</f>
        <v>0.32851572000000007</v>
      </c>
      <c r="AK57" s="583">
        <f>VLOOKUP($H57,Nutrition_tables!$A:$AF,24,FALSE)*$Q57/100</f>
        <v>1.2</v>
      </c>
      <c r="AL57" s="583">
        <f>VLOOKUP($H57,Nutrition_tables!$A:$AF,25,FALSE)*$Q57/100</f>
        <v>0.14397312053758926</v>
      </c>
      <c r="AM57" s="583">
        <f>VLOOKUP($H57,Nutrition_tables!$A:$AF,26,FALSE)*$Q57/100</f>
        <v>2.4023519529609409E-2</v>
      </c>
      <c r="AN57" s="583">
        <f>VLOOKUP($H57,Nutrition_tables!$A:$AF,27,FALSE)*$Q57/100</f>
        <v>1.7280134397312055</v>
      </c>
      <c r="AO57" s="583">
        <f>VLOOKUP($H57,Nutrition_tables!$A:$AF,28,FALSE)*$Q57/100</f>
        <v>0.36001679966400679</v>
      </c>
      <c r="AP57" s="583">
        <f>VLOOKUP($H57,Nutrition_tables!$A:$AF,29,FALSE)*$Q57/100</f>
        <v>11.999999999999998</v>
      </c>
      <c r="AQ57" s="583">
        <f>VLOOKUP($H57,Nutrition_tables!$A:$AF,30,FALSE)*$Q57/100</f>
        <v>0</v>
      </c>
      <c r="AR57" s="583">
        <f>VLOOKUP($H57,Nutrition_tables!$A:$AF,31,FALSE)*$Q57/100</f>
        <v>15.6</v>
      </c>
      <c r="AS57" s="549">
        <f>VLOOKUP($H57,Nutrition_tables!$A:$AF,32,FALSE)*$Q57/100</f>
        <v>0</v>
      </c>
      <c r="AT57" s="583">
        <f>IF(H57="Select ingredient:","",IF(G57="Select food category:","",IFERROR(VLOOKUP($H57,Ingredient_prices!$E:$W,17,FALSE)*$Q57/1000,"not bought")))</f>
        <v>7.92</v>
      </c>
      <c r="AU57" s="583">
        <f>IF(H57="Select ingredient:","",IF(G57="Select food category:","",IFERROR(VLOOKUP($H57,Ingredient_prices!$E:$W,18,FALSE)*$Q57/1000,"not bought")))</f>
        <v>16.2</v>
      </c>
      <c r="AV57" s="583">
        <f>W57*($Q57-$R57)/($Q57+0.00001)</f>
        <v>74.019593831700519</v>
      </c>
      <c r="AW57" s="583">
        <f t="shared" ref="AW57:AW81" si="98">X57*($Q57-$R57)/($Q57+0.00001)</f>
        <v>17.126611704519721</v>
      </c>
      <c r="AX57" s="583">
        <f t="shared" ref="AX57:AX81" si="99">Y57*($Q57-$R57)/($Q57+0.00001)</f>
        <v>1.5909867356804066</v>
      </c>
      <c r="AY57" s="583">
        <f t="shared" ref="AY57:AY81" si="100">Z57*($Q57-$R57)/($Q57+0.00001)</f>
        <v>8.5083963230263321E-2</v>
      </c>
      <c r="AZ57" s="583">
        <f t="shared" ref="AZ57:AZ81" si="101">AA57*($Q57-$R57)/($Q57+0.00001)</f>
        <v>1.1060518187907957</v>
      </c>
      <c r="BA57" s="583">
        <f t="shared" ref="BA57:BA81" si="102">AB57*($Q57-$R57)/($Q57+0.00001)</f>
        <v>2.5529159289341723E-2</v>
      </c>
      <c r="BB57" s="583">
        <f t="shared" ref="BB57:BB81" si="103">AC57*($Q57-$R57)/($Q57+0.00001)</f>
        <v>3.4031997164000232</v>
      </c>
      <c r="BC57" s="583">
        <f t="shared" ref="BC57:BC81" si="104">AD57*($Q57-$R57)/($Q57+0.00001)</f>
        <v>322.45317312890228</v>
      </c>
      <c r="BD57" s="583">
        <f t="shared" ref="BD57:BD81" si="105">AE57*($Q57-$R57)/($Q57+0.00001)</f>
        <v>4.2539996455000288</v>
      </c>
      <c r="BE57" s="583">
        <f t="shared" ref="BE57:BE81" si="106">AF57*($Q57-$R57)/($Q57+0.00001)</f>
        <v>18.717598440200128</v>
      </c>
      <c r="BF57" s="583">
        <f t="shared" ref="BF57:BF81" si="107">AG57*($Q57-$R57)/($Q57+0.00001)</f>
        <v>37.435196880400255</v>
      </c>
      <c r="BG57" s="583">
        <f t="shared" ref="BG57:BG81" si="108">AH57*($Q57-$R57)/($Q57+0.00001)</f>
        <v>0.26374837505302812</v>
      </c>
      <c r="BH57" s="583">
        <f t="shared" ref="BH57:BH81" si="109">AI57*($Q57-$R57)/($Q57+0.00001)</f>
        <v>0.25525188969078999</v>
      </c>
      <c r="BI57" s="583">
        <f t="shared" ref="BI57:BI81" si="110">AJ57*($Q57-$R57)/($Q57+0.00001)</f>
        <v>0.23291762607019786</v>
      </c>
      <c r="BJ57" s="583">
        <f t="shared" ref="BJ57:BJ81" si="111">AK57*($Q57-$R57)/($Q57+0.00001)</f>
        <v>0.85079992910000579</v>
      </c>
      <c r="BK57" s="583">
        <f t="shared" ref="BK57:BK81" si="112">AL57*($Q57-$R57)/($Q57+0.00001)</f>
        <v>0.10207693395473962</v>
      </c>
      <c r="BL57" s="583">
        <f t="shared" ref="BL57:BL81" si="113">AM57*($Q57-$R57)/($Q57+0.00001)</f>
        <v>1.7032673927103576E-2</v>
      </c>
      <c r="BM57" s="583">
        <f t="shared" ref="BM57:BM81" si="114">AN57*($Q57-$R57)/($Q57+0.00001)</f>
        <v>1.2251614266726392</v>
      </c>
      <c r="BN57" s="583">
        <f t="shared" ref="BN57:BN81" si="115">AO57*($Q57-$R57)/($Q57+0.00001)</f>
        <v>0.25525188969078999</v>
      </c>
      <c r="BO57" s="583">
        <f t="shared" ref="BO57:BO81" si="116">AP57*($Q57-$R57)/($Q57+0.00001)</f>
        <v>8.5079992910000577</v>
      </c>
      <c r="BP57" s="583">
        <f t="shared" ref="BP57:BP81" si="117">AQ57*($Q57-$R57)/($Q57+0.00001)</f>
        <v>0</v>
      </c>
      <c r="BQ57" s="583">
        <f t="shared" ref="BQ57:BQ81" si="118">AR57*($Q57-$R57)/($Q57+0.00001)</f>
        <v>11.060399078300076</v>
      </c>
      <c r="BR57" s="583">
        <f t="shared" ref="BR57:BR81" si="119">AS57*($Q57-$R57)/($Q57+0.00001)</f>
        <v>0</v>
      </c>
    </row>
    <row r="58" spans="1:70" s="229" customFormat="1">
      <c r="A58" s="590"/>
      <c r="C58" s="85"/>
      <c r="E58" s="576">
        <f>IF(E$57&gt;0,E$57,"")</f>
        <v>100</v>
      </c>
      <c r="F58" s="406"/>
      <c r="G58" s="406" t="s">
        <v>3140</v>
      </c>
      <c r="H58" s="1262" t="s">
        <v>3115</v>
      </c>
      <c r="I58" s="85">
        <v>30</v>
      </c>
      <c r="J58" s="682">
        <v>1</v>
      </c>
      <c r="K58" s="579">
        <f t="shared" si="95"/>
        <v>3.3</v>
      </c>
      <c r="L58" s="580">
        <f>IF(H58="Select ingredient:","",IF(G58="","",_xlfn.IFNA(VLOOKUP($H58,Ingredient_prices!$E:$U,16,FALSE),0)))</f>
        <v>110</v>
      </c>
      <c r="M58" s="591"/>
      <c r="N58" s="591"/>
      <c r="O58" s="591"/>
      <c r="P58" s="592"/>
      <c r="Q58" s="583">
        <f>I58/J58</f>
        <v>30</v>
      </c>
      <c r="R58" s="583">
        <f>VLOOKUP($H58,'CO2_emission+%_food_waste'!$A:$K,6,FALSE)*$Q58/100</f>
        <v>9.0090000000000003</v>
      </c>
      <c r="S58" s="583">
        <f t="shared" si="97"/>
        <v>20.991</v>
      </c>
      <c r="T58" s="583">
        <f>IF(H58="Select ingredient:","",IF(G58="Select food category:","",_xlfn.IFNA(VLOOKUP($H58,Ingredient_prices!$E:$U,16,FALSE)*$Q58/1000,"not bought")))</f>
        <v>3.3</v>
      </c>
      <c r="U58" s="583">
        <f>IF(G58="Select food category:","",_xlfn.IFNA(VLOOKUP($H58,Ingredient_prices!$E:$U,16,FALSE)*$R58/1000,"not bought"))</f>
        <v>0.99099000000000004</v>
      </c>
      <c r="V58" s="549">
        <f>VLOOKUP($H58,'CO2_emission+%_food_waste'!$A:$K,4,FALSE)*$Q58</f>
        <v>13.8</v>
      </c>
      <c r="W58" s="583">
        <f>VLOOKUP($H58,Nutrition_tables!$A:$N,10,FALSE)*$Q58/100</f>
        <v>9.5399999999999991</v>
      </c>
      <c r="X58" s="583">
        <f>VLOOKUP($H58,Nutrition_tables!$A:$N,11,FALSE)*$Q58/100</f>
        <v>1.98</v>
      </c>
      <c r="Y58" s="583">
        <f>VLOOKUP($H58,Nutrition_tables!$A:$N,12,FALSE)*$Q58/100</f>
        <v>0.252</v>
      </c>
      <c r="Z58" s="583">
        <f>VLOOKUP($H58,Nutrition_tables!$A:$N,14,FALSE)*$Q58/100</f>
        <v>8.1000000000000016E-2</v>
      </c>
      <c r="AA58" s="583">
        <f>VLOOKUP($H58,Nutrition_tables!$A:$AF,13,FALSE)*$Q58/100</f>
        <v>0.65099999999999991</v>
      </c>
      <c r="AB58" s="549">
        <f>VLOOKUP($H58,Nutrition_tables!$A:$AF,15,FALSE)*$Q58/100</f>
        <v>1.2E-2</v>
      </c>
      <c r="AC58" s="583">
        <f>VLOOKUP($H58,Nutrition_tables!$A:$AF,16,FALSE)*$Q58/100</f>
        <v>11.28</v>
      </c>
      <c r="AD58" s="583">
        <f>VLOOKUP($H58,Nutrition_tables!$A:$AF,17,FALSE)*$Q58/100</f>
        <v>94.5</v>
      </c>
      <c r="AE58" s="583">
        <f>VLOOKUP($H58,Nutrition_tables!$A:$AF,18,FALSE)*$Q58/100</f>
        <v>9.57</v>
      </c>
      <c r="AF58" s="583">
        <f>VLOOKUP($H58,Nutrition_tables!$A:$AF,19,FALSE)*$Q58/100</f>
        <v>3.54</v>
      </c>
      <c r="AG58" s="583">
        <f>VLOOKUP($H58,Nutrition_tables!$A:$AF,20,FALSE)*$Q58/100</f>
        <v>4.919999999999999</v>
      </c>
      <c r="AH58" s="583">
        <f>VLOOKUP($H58,Nutrition_tables!$A:$AF,21,FALSE)*$Q58/100</f>
        <v>6.3E-2</v>
      </c>
      <c r="AI58" s="583">
        <f>VLOOKUP($H58,Nutrition_tables!$A:$AF,22,FALSE)*$Q58/100</f>
        <v>6.6000000000000003E-2</v>
      </c>
      <c r="AJ58" s="549">
        <f>VLOOKUP($H58,Nutrition_tables!$A:$AF,23,FALSE)*$Q58/100</f>
        <v>1.3499999999999999E-3</v>
      </c>
      <c r="AK58" s="583">
        <f>VLOOKUP($H58,Nutrition_tables!$A:$AF,24,FALSE)*$Q58/100</f>
        <v>255.6</v>
      </c>
      <c r="AL58" s="583">
        <f>VLOOKUP($H58,Nutrition_tables!$A:$AF,25,FALSE)*$Q58/100</f>
        <v>1.4999999999999999E-2</v>
      </c>
      <c r="AM58" s="583">
        <f>VLOOKUP($H58,Nutrition_tables!$A:$AF,26,FALSE)*$Q58/100</f>
        <v>1.2E-2</v>
      </c>
      <c r="AN58" s="583">
        <f>VLOOKUP($H58,Nutrition_tables!$A:$AF,27,FALSE)*$Q58/100</f>
        <v>0.29400000000000004</v>
      </c>
      <c r="AO58" s="583">
        <f>VLOOKUP($H58,Nutrition_tables!$A:$AF,28,FALSE)*$Q58/100</f>
        <v>3.5999999999999997E-2</v>
      </c>
      <c r="AP58" s="583">
        <f>VLOOKUP($H58,Nutrition_tables!$A:$AF,29,FALSE)*$Q58/100</f>
        <v>13.919999999999998</v>
      </c>
      <c r="AQ58" s="583">
        <f>VLOOKUP($H58,Nutrition_tables!$A:$AF,30,FALSE)*$Q58/100</f>
        <v>0</v>
      </c>
      <c r="AR58" s="583">
        <f>VLOOKUP($H58,Nutrition_tables!$A:$AF,31,FALSE)*$Q58/100</f>
        <v>1.6320000000000001</v>
      </c>
      <c r="AS58" s="549">
        <f>VLOOKUP($H58,Nutrition_tables!$A:$AF,32,FALSE)*$Q58/100</f>
        <v>0</v>
      </c>
      <c r="AT58" s="583">
        <f>IF(H58="Select ingredient:","",IF(G58="Select food category:","",IFERROR(VLOOKUP($H58,Ingredient_prices!$E:$W,17,FALSE)*$Q58/1000,"not bought")))</f>
        <v>1.155</v>
      </c>
      <c r="AU58" s="583">
        <f>IF(H58="Select ingredient:","",IF(G58="Select food category:","",IFERROR(VLOOKUP($H58,Ingredient_prices!$E:$W,18,FALSE)*$Q58/1000,"not bought")))</f>
        <v>3.3</v>
      </c>
      <c r="AV58" s="583">
        <f t="shared" ref="AV58:AV81" si="120">W58*($Q58-$R58)/($Q58+0.00001)</f>
        <v>6.6751357749547413</v>
      </c>
      <c r="AW58" s="583">
        <f t="shared" si="98"/>
        <v>1.3854055381981538</v>
      </c>
      <c r="AX58" s="583">
        <f t="shared" si="99"/>
        <v>0.17632434122521959</v>
      </c>
      <c r="AY58" s="583">
        <f t="shared" si="100"/>
        <v>5.6675681108106307E-2</v>
      </c>
      <c r="AZ58" s="583">
        <f t="shared" si="101"/>
        <v>0.45550454816515057</v>
      </c>
      <c r="BA58" s="583">
        <f t="shared" si="102"/>
        <v>8.3963972012009325E-3</v>
      </c>
      <c r="BB58" s="583">
        <f t="shared" si="103"/>
        <v>7.8926133691288758</v>
      </c>
      <c r="BC58" s="583">
        <f t="shared" si="104"/>
        <v>66.121627959457342</v>
      </c>
      <c r="BD58" s="583">
        <f t="shared" si="105"/>
        <v>6.6961267679577441</v>
      </c>
      <c r="BE58" s="583">
        <f t="shared" si="106"/>
        <v>2.476937174354275</v>
      </c>
      <c r="BF58" s="583">
        <f t="shared" si="107"/>
        <v>3.4425228524923819</v>
      </c>
      <c r="BG58" s="583">
        <f t="shared" si="108"/>
        <v>4.4081085306304897E-2</v>
      </c>
      <c r="BH58" s="583">
        <f t="shared" si="109"/>
        <v>4.6180184606605133E-2</v>
      </c>
      <c r="BI58" s="583">
        <f t="shared" si="110"/>
        <v>9.4459468513510489E-4</v>
      </c>
      <c r="BJ58" s="583">
        <f t="shared" si="111"/>
        <v>178.84326038557984</v>
      </c>
      <c r="BK58" s="583">
        <f t="shared" si="112"/>
        <v>1.0495496501501167E-2</v>
      </c>
      <c r="BL58" s="583">
        <f t="shared" si="113"/>
        <v>8.3963972012009325E-3</v>
      </c>
      <c r="BM58" s="583">
        <f t="shared" si="114"/>
        <v>0.20571173142942289</v>
      </c>
      <c r="BN58" s="583">
        <f t="shared" si="115"/>
        <v>2.5189191603602796E-2</v>
      </c>
      <c r="BO58" s="583">
        <f t="shared" si="116"/>
        <v>9.7398207533930812</v>
      </c>
      <c r="BP58" s="583">
        <f t="shared" si="117"/>
        <v>0</v>
      </c>
      <c r="BQ58" s="583">
        <f t="shared" si="118"/>
        <v>1.1419100193633269</v>
      </c>
      <c r="BR58" s="583">
        <f t="shared" si="119"/>
        <v>0</v>
      </c>
    </row>
    <row r="59" spans="1:70" s="229" customFormat="1">
      <c r="A59" s="590"/>
      <c r="E59" s="576">
        <f t="shared" ref="E59:E81" si="121">IF(E$57&gt;0,E$57,"")</f>
        <v>100</v>
      </c>
      <c r="F59" s="85"/>
      <c r="G59" s="406" t="s">
        <v>3140</v>
      </c>
      <c r="H59" s="1262" t="s">
        <v>3100</v>
      </c>
      <c r="I59" s="85">
        <v>10</v>
      </c>
      <c r="J59" s="682">
        <v>1</v>
      </c>
      <c r="K59" s="579">
        <f t="shared" si="95"/>
        <v>1.1000000000000001</v>
      </c>
      <c r="L59" s="580">
        <f>IF(H59="Select ingredient:","",IF(G59="","",_xlfn.IFNA(VLOOKUP($H59,Ingredient_prices!$E:$U,16,FALSE),0)))</f>
        <v>120</v>
      </c>
      <c r="M59" s="591"/>
      <c r="N59" s="591"/>
      <c r="O59" s="591"/>
      <c r="P59" s="592"/>
      <c r="Q59" s="583">
        <f>I59/J59</f>
        <v>10</v>
      </c>
      <c r="R59" s="583">
        <f>VLOOKUP($H59,'CO2_emission+%_food_waste'!$A:$K,6,FALSE)*$Q59/100</f>
        <v>2.65</v>
      </c>
      <c r="S59" s="583">
        <f t="shared" si="97"/>
        <v>7.35</v>
      </c>
      <c r="T59" s="583">
        <f>IF(H59="Select ingredient:","",IF(G59="Select food category:","",_xlfn.IFNA(VLOOKUP($H59,Ingredient_prices!$E:$U,16,FALSE)*$Q59/1000,"not bought")))</f>
        <v>1.2</v>
      </c>
      <c r="U59" s="583">
        <f>IF(G59="Select food category:","",_xlfn.IFNA(VLOOKUP($H59,Ingredient_prices!$E:$U,16,FALSE)*$R59/1000,"not bought"))</f>
        <v>0.318</v>
      </c>
      <c r="V59" s="549">
        <f>VLOOKUP($H59,'CO2_emission+%_food_waste'!$A:$K,4,FALSE)*$Q59</f>
        <v>4.8</v>
      </c>
      <c r="W59" s="583">
        <f>VLOOKUP($H59,Nutrition_tables!$A:$N,10,FALSE)*$Q59/100</f>
        <v>2.8</v>
      </c>
      <c r="X59" s="583">
        <f>VLOOKUP($H59,Nutrition_tables!$A:$N,11,FALSE)*$Q59/100</f>
        <v>1</v>
      </c>
      <c r="Y59" s="583">
        <f>VLOOKUP($H59,Nutrition_tables!$A:$N,12,FALSE)*$Q59/100</f>
        <v>0.11766666666666666</v>
      </c>
      <c r="Z59" s="583">
        <f>VLOOKUP($H59,Nutrition_tables!$A:$N,14,FALSE)*$Q59/100</f>
        <v>2.5000000000000001E-2</v>
      </c>
      <c r="AA59" s="583">
        <f>VLOOKUP($H59,Nutrition_tables!$A:$AF,13,FALSE)*$Q59/100</f>
        <v>0.17</v>
      </c>
      <c r="AB59" s="549">
        <f>VLOOKUP($H59,Nutrition_tables!$A:$AF,15,FALSE)*$Q59/100</f>
        <v>9.5000000000000015E-3</v>
      </c>
      <c r="AC59" s="583">
        <f>VLOOKUP($H59,Nutrition_tables!$A:$AF,16,FALSE)*$Q59/100</f>
        <v>0.4</v>
      </c>
      <c r="AD59" s="583">
        <f>VLOOKUP($H59,Nutrition_tables!$A:$AF,17,FALSE)*$Q59/100</f>
        <v>14.6</v>
      </c>
      <c r="AE59" s="583">
        <f>VLOOKUP($H59,Nutrition_tables!$A:$AF,18,FALSE)*$Q59/100</f>
        <v>2.2999999999999998</v>
      </c>
      <c r="AF59" s="583">
        <f>VLOOKUP($H59,Nutrition_tables!$A:$AF,19,FALSE)*$Q59/100</f>
        <v>1</v>
      </c>
      <c r="AG59" s="583">
        <f>VLOOKUP($H59,Nutrition_tables!$A:$AF,20,FALSE)*$Q59/100</f>
        <v>2.9</v>
      </c>
      <c r="AH59" s="583">
        <f>VLOOKUP($H59,Nutrition_tables!$A:$AF,21,FALSE)*$Q59/100</f>
        <v>2.1000000000000001E-2</v>
      </c>
      <c r="AI59" s="583">
        <f>VLOOKUP($H59,Nutrition_tables!$A:$AF,22,FALSE)*$Q59/100</f>
        <v>1.7000000000000001E-2</v>
      </c>
      <c r="AJ59" s="549">
        <f>VLOOKUP($H59,Nutrition_tables!$A:$AF,23,FALSE)*$Q59/100</f>
        <v>4.0000000000000001E-3</v>
      </c>
      <c r="AK59" s="583">
        <f>VLOOKUP($H59,Nutrition_tables!$A:$AF,24,FALSE)*$Q59/100</f>
        <v>0</v>
      </c>
      <c r="AL59" s="583">
        <f>VLOOKUP($H59,Nutrition_tables!$A:$AF,25,FALSE)*$Q59/100</f>
        <v>4.9999999999999992E-3</v>
      </c>
      <c r="AM59" s="583">
        <f>VLOOKUP($H59,Nutrition_tables!$A:$AF,26,FALSE)*$Q59/100</f>
        <v>3.0000000000000001E-3</v>
      </c>
      <c r="AN59" s="583">
        <f>VLOOKUP($H59,Nutrition_tables!$A:$AF,27,FALSE)*$Q59/100</f>
        <v>1.2E-2</v>
      </c>
      <c r="AO59" s="583">
        <f>VLOOKUP($H59,Nutrition_tables!$A:$AF,28,FALSE)*$Q59/100</f>
        <v>7.1999999999999994E-4</v>
      </c>
      <c r="AP59" s="583">
        <f>VLOOKUP($H59,Nutrition_tables!$A:$AF,29,FALSE)*$Q59/100</f>
        <v>3.6</v>
      </c>
      <c r="AQ59" s="583">
        <f>VLOOKUP($H59,Nutrition_tables!$A:$AF,30,FALSE)*$Q59/100</f>
        <v>0</v>
      </c>
      <c r="AR59" s="583">
        <f>VLOOKUP($H59,Nutrition_tables!$A:$AF,31,FALSE)*$Q59/100</f>
        <v>0.74</v>
      </c>
      <c r="AS59" s="549">
        <f>VLOOKUP($H59,Nutrition_tables!$A:$AF,32,FALSE)*$Q59/100</f>
        <v>0</v>
      </c>
      <c r="AT59" s="583">
        <f>IF(H59="Select ingredient:","",IF(G59="Select food category:","",IFERROR(VLOOKUP($H59,Ingredient_prices!$E:$W,17,FALSE)*$Q59/1000,"not bought")))</f>
        <v>0.93500000000000005</v>
      </c>
      <c r="AU59" s="583">
        <f>IF(H59="Select ingredient:","",IF(G59="Select food category:","",IFERROR(VLOOKUP($H59,Ingredient_prices!$E:$W,18,FALSE)*$Q59/1000,"not bought")))</f>
        <v>1.2</v>
      </c>
      <c r="AV59" s="583">
        <f t="shared" si="120"/>
        <v>2.057997942002058</v>
      </c>
      <c r="AW59" s="583">
        <f t="shared" si="98"/>
        <v>0.73499926500073498</v>
      </c>
      <c r="AX59" s="583">
        <f t="shared" si="99"/>
        <v>8.6484913515086484E-2</v>
      </c>
      <c r="AY59" s="583">
        <f t="shared" si="100"/>
        <v>1.8374981625018376E-2</v>
      </c>
      <c r="AZ59" s="583">
        <f t="shared" si="101"/>
        <v>0.12494987505012496</v>
      </c>
      <c r="BA59" s="583">
        <f t="shared" si="102"/>
        <v>6.9824930175069839E-3</v>
      </c>
      <c r="BB59" s="583">
        <f t="shared" si="103"/>
        <v>0.29399970600029401</v>
      </c>
      <c r="BC59" s="583">
        <f t="shared" si="104"/>
        <v>10.730989269010729</v>
      </c>
      <c r="BD59" s="583">
        <f t="shared" si="105"/>
        <v>1.6904983095016903</v>
      </c>
      <c r="BE59" s="583">
        <f t="shared" si="106"/>
        <v>0.73499926500073498</v>
      </c>
      <c r="BF59" s="583">
        <f t="shared" si="107"/>
        <v>2.1314978685021315</v>
      </c>
      <c r="BG59" s="583">
        <f t="shared" si="108"/>
        <v>1.5434984565015438E-2</v>
      </c>
      <c r="BH59" s="583">
        <f t="shared" si="109"/>
        <v>1.2494987505012496E-2</v>
      </c>
      <c r="BI59" s="583">
        <f t="shared" si="110"/>
        <v>2.9399970600029399E-3</v>
      </c>
      <c r="BJ59" s="583">
        <f t="shared" si="111"/>
        <v>0</v>
      </c>
      <c r="BK59" s="583">
        <f t="shared" si="112"/>
        <v>3.6749963250036744E-3</v>
      </c>
      <c r="BL59" s="583">
        <f t="shared" si="113"/>
        <v>2.2049977950022049E-3</v>
      </c>
      <c r="BM59" s="583">
        <f t="shared" si="114"/>
        <v>8.8199911800088196E-3</v>
      </c>
      <c r="BN59" s="583">
        <f t="shared" si="115"/>
        <v>5.2919947080052915E-4</v>
      </c>
      <c r="BO59" s="583">
        <f t="shared" si="116"/>
        <v>2.6459973540026462</v>
      </c>
      <c r="BP59" s="583">
        <f t="shared" si="117"/>
        <v>0</v>
      </c>
      <c r="BQ59" s="583">
        <f t="shared" si="118"/>
        <v>0.54389945610054391</v>
      </c>
      <c r="BR59" s="583">
        <f t="shared" si="119"/>
        <v>0</v>
      </c>
    </row>
    <row r="60" spans="1:70" s="229" customFormat="1" ht="15">
      <c r="A60" s="590"/>
      <c r="E60" s="576">
        <f t="shared" si="121"/>
        <v>100</v>
      </c>
      <c r="F60" s="85"/>
      <c r="G60" s="406" t="s">
        <v>3076</v>
      </c>
      <c r="H60" s="578" t="s">
        <v>495</v>
      </c>
      <c r="I60" s="85">
        <v>0.2</v>
      </c>
      <c r="J60" s="682">
        <v>1</v>
      </c>
      <c r="K60" s="579">
        <f t="shared" si="95"/>
        <v>2.2000000000000002E-2</v>
      </c>
      <c r="L60" s="580">
        <f>IF(H60="Select ingredient:","",IF(G60="","",_xlfn.IFNA(VLOOKUP($H60,Ingredient_prices!$E:$U,16,FALSE),0)))</f>
        <v>33.6</v>
      </c>
      <c r="M60" s="591"/>
      <c r="N60" s="591"/>
      <c r="O60" s="591"/>
      <c r="P60" s="592"/>
      <c r="Q60" s="583">
        <f t="shared" si="96"/>
        <v>0.2</v>
      </c>
      <c r="R60" s="583">
        <f>VLOOKUP($H60,'CO2_emission+%_food_waste'!$A:$K,6,FALSE)*$Q60/100</f>
        <v>6.2E-2</v>
      </c>
      <c r="S60" s="583">
        <f t="shared" si="97"/>
        <v>0.13800000000000001</v>
      </c>
      <c r="T60" s="583">
        <f>IF(H60="Select ingredient:","",IF(G60="Select food category:","",_xlfn.IFNA(VLOOKUP($H60,Ingredient_prices!$E:$U,16,FALSE)*$Q60/1000,"not bought")))</f>
        <v>6.7200000000000003E-3</v>
      </c>
      <c r="U60" s="583">
        <f>IF(G60="Select food category:","",_xlfn.IFNA(VLOOKUP($H60,Ingredient_prices!$E:$U,16,FALSE)*$R60/1000,"not bought"))</f>
        <v>2.0832000000000003E-3</v>
      </c>
      <c r="V60" s="549">
        <f>VLOOKUP($H60,'CO2_emission+%_food_waste'!$A:$K,4,FALSE)*$Q60</f>
        <v>3.5999999999999997E-2</v>
      </c>
      <c r="W60" s="583">
        <f>VLOOKUP($H60,Nutrition_tables!$A:$N,10,FALSE)*$Q60/100</f>
        <v>0</v>
      </c>
      <c r="X60" s="583">
        <f>VLOOKUP($H60,Nutrition_tables!$A:$N,11,FALSE)*$Q60/100</f>
        <v>0</v>
      </c>
      <c r="Y60" s="583">
        <f>VLOOKUP($H60,Nutrition_tables!$A:$N,12,FALSE)*$Q60/100</f>
        <v>0</v>
      </c>
      <c r="Z60" s="583">
        <f>VLOOKUP($H60,Nutrition_tables!$A:$N,14,FALSE)*$Q60/100</f>
        <v>0</v>
      </c>
      <c r="AA60" s="583">
        <f>VLOOKUP($H60,Nutrition_tables!$A:$AF,13,FALSE)*$Q60/100</f>
        <v>0</v>
      </c>
      <c r="AB60" s="549">
        <f>VLOOKUP($H60,Nutrition_tables!$A:$AF,15,FALSE)*$Q60/100</f>
        <v>0</v>
      </c>
      <c r="AC60" s="583">
        <f>VLOOKUP($H60,Nutrition_tables!$A:$AF,16,FALSE)*$Q60/100</f>
        <v>77.7</v>
      </c>
      <c r="AD60" s="583">
        <f>VLOOKUP($H60,Nutrition_tables!$A:$AF,17,FALSE)*$Q60/100</f>
        <v>0.23199999999999998</v>
      </c>
      <c r="AE60" s="583">
        <f>VLOOKUP($H60,Nutrition_tables!$A:$AF,18,FALSE)*$Q60/100</f>
        <v>3.8000000000000006E-2</v>
      </c>
      <c r="AF60" s="583">
        <f>VLOOKUP($H60,Nutrition_tables!$A:$AF,19,FALSE)*$Q60/100</f>
        <v>0.53</v>
      </c>
      <c r="AG60" s="583">
        <f>VLOOKUP($H60,Nutrition_tables!$A:$AF,20,FALSE)*$Q60/100</f>
        <v>1.6E-2</v>
      </c>
      <c r="AH60" s="583">
        <f>VLOOKUP($H60,Nutrition_tables!$A:$AF,21,FALSE)*$Q60/100</f>
        <v>4.0000000000000003E-5</v>
      </c>
      <c r="AI60" s="583">
        <f>VLOOKUP($H60,Nutrition_tables!$A:$AF,22,FALSE)*$Q60/100</f>
        <v>2.0000000000000004E-4</v>
      </c>
      <c r="AJ60" s="549">
        <f>VLOOKUP($H60,Nutrition_tables!$A:$AF,23,FALSE)*$Q60/100</f>
        <v>6.0000000000000002E-5</v>
      </c>
      <c r="AK60" s="583">
        <f>VLOOKUP($H60,Nutrition_tables!$A:$AF,24,FALSE)*$Q60/100</f>
        <v>0</v>
      </c>
      <c r="AL60" s="583">
        <f>VLOOKUP($H60,Nutrition_tables!$A:$AF,25,FALSE)*$Q60/100</f>
        <v>0</v>
      </c>
      <c r="AM60" s="583">
        <f>VLOOKUP($H60,Nutrition_tables!$A:$AF,26,FALSE)*$Q60/100</f>
        <v>0</v>
      </c>
      <c r="AN60" s="583">
        <f>VLOOKUP($H60,Nutrition_tables!$A:$AF,27,FALSE)*$Q60/100</f>
        <v>0</v>
      </c>
      <c r="AO60" s="583">
        <f>VLOOKUP($H60,Nutrition_tables!$A:$AF,28,FALSE)*$Q60/100</f>
        <v>0</v>
      </c>
      <c r="AP60" s="583">
        <f>VLOOKUP($H60,Nutrition_tables!$A:$AF,29,FALSE)*$Q60/100</f>
        <v>0</v>
      </c>
      <c r="AQ60" s="583">
        <f>VLOOKUP($H60,Nutrition_tables!$A:$AF,30,FALSE)*$Q60/100</f>
        <v>0</v>
      </c>
      <c r="AR60" s="583">
        <f>VLOOKUP($H60,Nutrition_tables!$A:$AF,31,FALSE)*$Q60/100</f>
        <v>0</v>
      </c>
      <c r="AS60" s="549">
        <f>VLOOKUP($H60,Nutrition_tables!$A:$AF,32,FALSE)*$Q60/100</f>
        <v>0</v>
      </c>
      <c r="AT60" s="583">
        <f>IF(H60="Select ingredient:","",IF(G60="Select food category:","",IFERROR(VLOOKUP($H60,Ingredient_prices!$E:$W,17,FALSE)*$Q60/1000,"not bought")))</f>
        <v>6.7200000000000003E-3</v>
      </c>
      <c r="AU60" s="583">
        <f>IF(H60="Select ingredient:","",IF(G60="Select food category:","",IFERROR(VLOOKUP($H60,Ingredient_prices!$E:$W,18,FALSE)*$Q60/1000,"not bought")))</f>
        <v>6.7200000000000003E-3</v>
      </c>
      <c r="AV60" s="583">
        <f t="shared" si="120"/>
        <v>0</v>
      </c>
      <c r="AW60" s="583">
        <f t="shared" si="98"/>
        <v>0</v>
      </c>
      <c r="AX60" s="583">
        <f t="shared" si="99"/>
        <v>0</v>
      </c>
      <c r="AY60" s="583">
        <f t="shared" si="100"/>
        <v>0</v>
      </c>
      <c r="AZ60" s="583">
        <f t="shared" si="101"/>
        <v>0</v>
      </c>
      <c r="BA60" s="583">
        <f t="shared" si="102"/>
        <v>0</v>
      </c>
      <c r="BB60" s="583">
        <f t="shared" si="103"/>
        <v>53.610319484025801</v>
      </c>
      <c r="BC60" s="583">
        <f t="shared" si="104"/>
        <v>0.16007199640017999</v>
      </c>
      <c r="BD60" s="583">
        <f t="shared" si="105"/>
        <v>2.6218689065546728E-2</v>
      </c>
      <c r="BE60" s="583">
        <f t="shared" si="106"/>
        <v>0.36568171591420429</v>
      </c>
      <c r="BF60" s="583">
        <f t="shared" si="107"/>
        <v>1.103944802759862E-2</v>
      </c>
      <c r="BG60" s="583">
        <f t="shared" si="108"/>
        <v>2.7598620068996551E-5</v>
      </c>
      <c r="BH60" s="583">
        <f t="shared" si="109"/>
        <v>1.3799310034498278E-4</v>
      </c>
      <c r="BI60" s="583">
        <f t="shared" si="110"/>
        <v>4.1397930103494823E-5</v>
      </c>
      <c r="BJ60" s="583">
        <f t="shared" si="111"/>
        <v>0</v>
      </c>
      <c r="BK60" s="583">
        <f t="shared" si="112"/>
        <v>0</v>
      </c>
      <c r="BL60" s="583">
        <f t="shared" si="113"/>
        <v>0</v>
      </c>
      <c r="BM60" s="583">
        <f t="shared" si="114"/>
        <v>0</v>
      </c>
      <c r="BN60" s="583">
        <f t="shared" si="115"/>
        <v>0</v>
      </c>
      <c r="BO60" s="583">
        <f t="shared" si="116"/>
        <v>0</v>
      </c>
      <c r="BP60" s="583">
        <f t="shared" si="117"/>
        <v>0</v>
      </c>
      <c r="BQ60" s="583">
        <f t="shared" si="118"/>
        <v>0</v>
      </c>
      <c r="BR60" s="583">
        <f t="shared" si="119"/>
        <v>0</v>
      </c>
    </row>
    <row r="61" spans="1:70" s="229" customFormat="1" ht="15">
      <c r="A61" s="590"/>
      <c r="E61" s="576">
        <f t="shared" si="121"/>
        <v>100</v>
      </c>
      <c r="F61" s="406"/>
      <c r="G61" s="406" t="s">
        <v>3073</v>
      </c>
      <c r="H61" s="578" t="s">
        <v>3444</v>
      </c>
      <c r="I61" s="85">
        <v>40</v>
      </c>
      <c r="J61" s="682">
        <v>1</v>
      </c>
      <c r="K61" s="579">
        <f t="shared" si="95"/>
        <v>4.4000000000000004</v>
      </c>
      <c r="L61" s="580">
        <f>IF(H61="Select ingredient:","",IF(G61="","",_xlfn.IFNA(VLOOKUP($H61,Ingredient_prices!$E:$U,16,FALSE),0)))</f>
        <v>440</v>
      </c>
      <c r="M61" s="591"/>
      <c r="N61" s="591"/>
      <c r="O61" s="591"/>
      <c r="P61" s="592"/>
      <c r="Q61" s="583">
        <f t="shared" si="96"/>
        <v>40</v>
      </c>
      <c r="R61" s="583">
        <f>VLOOKUP($H61,'CO2_emission+%_food_waste'!$A:$K,6,FALSE)*$Q61/100</f>
        <v>8.8800000000000008</v>
      </c>
      <c r="S61" s="583">
        <f t="shared" si="97"/>
        <v>31.119999999999997</v>
      </c>
      <c r="T61" s="583">
        <f>IF(H61="Select ingredient:","",IF(G61="Select food category:","",_xlfn.IFNA(VLOOKUP($H61,Ingredient_prices!$E:$U,16,FALSE)*$Q61/1000,"not bought")))</f>
        <v>17.600000000000001</v>
      </c>
      <c r="U61" s="583">
        <f>IF(G61="Select food category:","",_xlfn.IFNA(VLOOKUP($H61,Ingredient_prices!$E:$U,16,FALSE)*$R61/1000,"not bought"))</f>
        <v>3.9072000000000005</v>
      </c>
      <c r="V61" s="549">
        <f>VLOOKUP($H61,'CO2_emission+%_food_waste'!$A:$K,4,FALSE)*$Q61</f>
        <v>130.80000000000001</v>
      </c>
      <c r="W61" s="583">
        <f>VLOOKUP($H61,Nutrition_tables!$A:$N,10,FALSE)*$Q61/100</f>
        <v>41.6</v>
      </c>
      <c r="X61" s="583">
        <f>VLOOKUP($H61,Nutrition_tables!$A:$N,11,FALSE)*$Q61/100</f>
        <v>0</v>
      </c>
      <c r="Y61" s="583">
        <f>VLOOKUP($H61,Nutrition_tables!$A:$N,12,FALSE)*$Q61/100</f>
        <v>9.1199999999999992</v>
      </c>
      <c r="Z61" s="583">
        <f>VLOOKUP($H61,Nutrition_tables!$A:$N,14,FALSE)*$Q61/100</f>
        <v>0.6</v>
      </c>
      <c r="AA61" s="583">
        <f>VLOOKUP($H61,Nutrition_tables!$A:$AF,13,FALSE)*$Q61/100</f>
        <v>0</v>
      </c>
      <c r="AB61" s="549">
        <f>VLOOKUP($H61,Nutrition_tables!$A:$AF,15,FALSE)*$Q61/100</f>
        <v>0.11559999999999998</v>
      </c>
      <c r="AC61" s="583">
        <f>VLOOKUP($H61,Nutrition_tables!$A:$AF,16,FALSE)*$Q61/100</f>
        <v>13.52</v>
      </c>
      <c r="AD61" s="583">
        <f>VLOOKUP($H61,Nutrition_tables!$A:$AF,17,FALSE)*$Q61/100</f>
        <v>156.80000000000001</v>
      </c>
      <c r="AE61" s="583">
        <f>VLOOKUP($H61,Nutrition_tables!$A:$AF,18,FALSE)*$Q61/100</f>
        <v>2.48</v>
      </c>
      <c r="AF61" s="583">
        <f>VLOOKUP($H61,Nutrition_tables!$A:$AF,19,FALSE)*$Q61/100</f>
        <v>12.04</v>
      </c>
      <c r="AG61" s="583">
        <f>VLOOKUP($H61,Nutrition_tables!$A:$AF,20,FALSE)*$Q61/100</f>
        <v>97.2</v>
      </c>
      <c r="AH61" s="583">
        <f>VLOOKUP($H61,Nutrition_tables!$A:$AF,21,FALSE)*$Q61/100</f>
        <v>0.25600000000000001</v>
      </c>
      <c r="AI61" s="583">
        <f>VLOOKUP($H61,Nutrition_tables!$A:$AF,22,FALSE)*$Q61/100</f>
        <v>0.4</v>
      </c>
      <c r="AJ61" s="549">
        <f>VLOOKUP($H61,Nutrition_tables!$A:$AF,23,FALSE)*$Q61/100</f>
        <v>0.04</v>
      </c>
      <c r="AK61" s="583">
        <f>VLOOKUP($H61,Nutrition_tables!$A:$AF,24,FALSE)*$Q61/100</f>
        <v>2.8</v>
      </c>
      <c r="AL61" s="583">
        <f>VLOOKUP($H61,Nutrition_tables!$A:$AF,25,FALSE)*$Q61/100</f>
        <v>7.5999999999999998E-2</v>
      </c>
      <c r="AM61" s="583">
        <f>VLOOKUP($H61,Nutrition_tables!$A:$AF,26,FALSE)*$Q61/100</f>
        <v>5.6000000000000008E-2</v>
      </c>
      <c r="AN61" s="583">
        <f>VLOOKUP($H61,Nutrition_tables!$A:$AF,27,FALSE)*$Q61/100</f>
        <v>6.36</v>
      </c>
      <c r="AO61" s="583">
        <f>VLOOKUP($H61,Nutrition_tables!$A:$AF,28,FALSE)*$Q61/100</f>
        <v>0.32799999999999996</v>
      </c>
      <c r="AP61" s="583">
        <f>VLOOKUP($H61,Nutrition_tables!$A:$AF,29,FALSE)*$Q61/100</f>
        <v>9.1999999999999993</v>
      </c>
      <c r="AQ61" s="583">
        <f>VLOOKUP($H61,Nutrition_tables!$A:$AF,30,FALSE)*$Q61/100</f>
        <v>0.11200000000000002</v>
      </c>
      <c r="AR61" s="583">
        <f>VLOOKUP($H61,Nutrition_tables!$A:$AF,31,FALSE)*$Q61/100</f>
        <v>0</v>
      </c>
      <c r="AS61" s="549">
        <f>VLOOKUP($H61,Nutrition_tables!$A:$AF,32,FALSE)*$Q61/100</f>
        <v>0.6</v>
      </c>
      <c r="AT61" s="583">
        <f>IF(H61="Select ingredient:","",IF(G61="Select food category:","",IFERROR(VLOOKUP($H61,Ingredient_prices!$E:$W,17,FALSE)*$Q61/1000,"not bought")))</f>
        <v>17.600000000000001</v>
      </c>
      <c r="AU61" s="583">
        <f>IF(H61="Select ingredient:","",IF(G61="Select food category:","",IFERROR(VLOOKUP($H61,Ingredient_prices!$E:$W,18,FALSE)*$Q61/1000,"not bought")))</f>
        <v>17.600000000000001</v>
      </c>
      <c r="AV61" s="583">
        <f t="shared" si="120"/>
        <v>32.364791908802019</v>
      </c>
      <c r="AW61" s="583">
        <f t="shared" si="98"/>
        <v>0</v>
      </c>
      <c r="AX61" s="583">
        <f t="shared" si="99"/>
        <v>7.0953582261604424</v>
      </c>
      <c r="AY61" s="583">
        <f t="shared" si="100"/>
        <v>0.46679988330002908</v>
      </c>
      <c r="AZ61" s="583">
        <f t="shared" si="101"/>
        <v>0</v>
      </c>
      <c r="BA61" s="583">
        <f t="shared" si="102"/>
        <v>8.9936777515805588E-2</v>
      </c>
      <c r="BB61" s="583">
        <f t="shared" si="103"/>
        <v>10.518557370360655</v>
      </c>
      <c r="BC61" s="583">
        <f t="shared" si="104"/>
        <v>121.99036950240762</v>
      </c>
      <c r="BD61" s="583">
        <f t="shared" si="105"/>
        <v>1.9294395176401204</v>
      </c>
      <c r="BE61" s="583">
        <f t="shared" si="106"/>
        <v>9.3671176582205824</v>
      </c>
      <c r="BF61" s="583">
        <f t="shared" si="107"/>
        <v>75.621581094604721</v>
      </c>
      <c r="BG61" s="583">
        <f t="shared" si="108"/>
        <v>0.19916795020801242</v>
      </c>
      <c r="BH61" s="583">
        <f t="shared" si="109"/>
        <v>0.31119992220001941</v>
      </c>
      <c r="BI61" s="583">
        <f t="shared" si="110"/>
        <v>3.1119992220001939E-2</v>
      </c>
      <c r="BJ61" s="583">
        <f t="shared" si="111"/>
        <v>2.1783994554001356</v>
      </c>
      <c r="BK61" s="583">
        <f t="shared" si="112"/>
        <v>5.9127985218003686E-2</v>
      </c>
      <c r="BL61" s="583">
        <f t="shared" si="113"/>
        <v>4.3567989108002719E-2</v>
      </c>
      <c r="BM61" s="583">
        <f t="shared" si="114"/>
        <v>4.948078762980308</v>
      </c>
      <c r="BN61" s="583">
        <f t="shared" si="115"/>
        <v>0.25518393620401586</v>
      </c>
      <c r="BO61" s="583">
        <f t="shared" si="116"/>
        <v>7.1575982106004465</v>
      </c>
      <c r="BP61" s="583">
        <f t="shared" si="117"/>
        <v>8.7135978216005439E-2</v>
      </c>
      <c r="BQ61" s="583">
        <f t="shared" si="118"/>
        <v>0</v>
      </c>
      <c r="BR61" s="583">
        <f t="shared" si="119"/>
        <v>0.46679988330002908</v>
      </c>
    </row>
    <row r="62" spans="1:70" s="229" customFormat="1" ht="15">
      <c r="A62" s="590"/>
      <c r="E62" s="576">
        <f t="shared" si="121"/>
        <v>100</v>
      </c>
      <c r="F62" s="406"/>
      <c r="G62" s="406" t="s">
        <v>3075</v>
      </c>
      <c r="H62" s="578" t="s">
        <v>3239</v>
      </c>
      <c r="I62" s="85">
        <v>10</v>
      </c>
      <c r="J62" s="682">
        <v>1</v>
      </c>
      <c r="K62" s="579">
        <f t="shared" si="95"/>
        <v>1.1000000000000001</v>
      </c>
      <c r="L62" s="580">
        <f>IF(H62="Select ingredient:","",IF(G62="","",_xlfn.IFNA(VLOOKUP($H62,Ingredient_prices!$E:$U,16,FALSE),0)))</f>
        <v>121</v>
      </c>
      <c r="M62" s="591"/>
      <c r="N62" s="591"/>
      <c r="O62" s="591"/>
      <c r="P62" s="592"/>
      <c r="Q62" s="583">
        <f t="shared" si="96"/>
        <v>10</v>
      </c>
      <c r="R62" s="583">
        <f>VLOOKUP($H62,'CO2_emission+%_food_waste'!$A:$K,6,FALSE)*$Q62/100</f>
        <v>2.78</v>
      </c>
      <c r="S62" s="583">
        <f t="shared" si="97"/>
        <v>7.2200000000000006</v>
      </c>
      <c r="T62" s="583">
        <f>IF(H62="Select ingredient:","",IF(G62="Select food category:","",_xlfn.IFNA(VLOOKUP($H62,Ingredient_prices!$E:$U,16,FALSE)*$Q62/1000,"not bought")))</f>
        <v>1.21</v>
      </c>
      <c r="U62" s="583">
        <f>IF(G62="Select food category:","",_xlfn.IFNA(VLOOKUP($H62,Ingredient_prices!$E:$U,16,FALSE)*$R62/1000,"not bought"))</f>
        <v>0.33638000000000001</v>
      </c>
      <c r="V62" s="549">
        <f>VLOOKUP($H62,'CO2_emission+%_food_waste'!$A:$K,4,FALSE)*$Q62</f>
        <v>47.300000000000004</v>
      </c>
      <c r="W62" s="583">
        <f>VLOOKUP($H62,Nutrition_tables!$A:$N,10,FALSE)*$Q62/100</f>
        <v>88.432100000000005</v>
      </c>
      <c r="X62" s="583">
        <f>VLOOKUP($H62,Nutrition_tables!$A:$N,11,FALSE)*$Q62/100</f>
        <v>0.01</v>
      </c>
      <c r="Y62" s="583">
        <f>VLOOKUP($H62,Nutrition_tables!$A:$N,12,FALSE)*$Q62/100</f>
        <v>0.01</v>
      </c>
      <c r="Z62" s="583">
        <f>VLOOKUP($H62,Nutrition_tables!$A:$N,14,FALSE)*$Q62/100</f>
        <v>9.9499999999999993</v>
      </c>
      <c r="AA62" s="583">
        <f>VLOOKUP($H62,Nutrition_tables!$A:$AF,13,FALSE)*$Q62/100</f>
        <v>0</v>
      </c>
      <c r="AB62" s="549">
        <f>VLOOKUP($H62,Nutrition_tables!$A:$AF,15,FALSE)*$Q62/100</f>
        <v>0.67900000000000005</v>
      </c>
      <c r="AC62" s="583">
        <f>VLOOKUP($H62,Nutrition_tables!$A:$AF,16,FALSE)*$Q62/100</f>
        <v>0.01</v>
      </c>
      <c r="AD62" s="583">
        <f>VLOOKUP($H62,Nutrition_tables!$A:$AF,17,FALSE)*$Q62/100</f>
        <v>0</v>
      </c>
      <c r="AE62" s="583">
        <f>VLOOKUP($H62,Nutrition_tables!$A:$AF,18,FALSE)*$Q62/100</f>
        <v>0.02</v>
      </c>
      <c r="AF62" s="583">
        <f>VLOOKUP($H62,Nutrition_tables!$A:$AF,19,FALSE)*$Q62/100</f>
        <v>0.1</v>
      </c>
      <c r="AG62" s="583">
        <f>VLOOKUP($H62,Nutrition_tables!$A:$AF,20,FALSE)*$Q62/100</f>
        <v>0</v>
      </c>
      <c r="AH62" s="583">
        <f>VLOOKUP($H62,Nutrition_tables!$A:$AF,21,FALSE)*$Q62/100</f>
        <v>0.01</v>
      </c>
      <c r="AI62" s="583">
        <f>VLOOKUP($H62,Nutrition_tables!$A:$AF,22,FALSE)*$Q62/100</f>
        <v>0</v>
      </c>
      <c r="AJ62" s="549">
        <f>VLOOKUP($H62,Nutrition_tables!$A:$AF,23,FALSE)*$Q62/100</f>
        <v>0</v>
      </c>
      <c r="AK62" s="583">
        <f>VLOOKUP($H62,Nutrition_tables!$A:$AF,24,FALSE)*$Q62/100</f>
        <v>0</v>
      </c>
      <c r="AL62" s="583">
        <f>VLOOKUP($H62,Nutrition_tables!$A:$AF,25,FALSE)*$Q62/100</f>
        <v>0</v>
      </c>
      <c r="AM62" s="583">
        <f>VLOOKUP($H62,Nutrition_tables!$A:$AF,26,FALSE)*$Q62/100</f>
        <v>0</v>
      </c>
      <c r="AN62" s="583">
        <f>VLOOKUP($H62,Nutrition_tables!$A:$AF,27,FALSE)*$Q62/100</f>
        <v>0</v>
      </c>
      <c r="AO62" s="583">
        <f>VLOOKUP($H62,Nutrition_tables!$A:$AF,28,FALSE)*$Q62/100</f>
        <v>0</v>
      </c>
      <c r="AP62" s="583">
        <f>VLOOKUP($H62,Nutrition_tables!$A:$AF,29,FALSE)*$Q62/100</f>
        <v>0</v>
      </c>
      <c r="AQ62" s="583">
        <f>VLOOKUP($H62,Nutrition_tables!$A:$AF,30,FALSE)*$Q62/100</f>
        <v>0</v>
      </c>
      <c r="AR62" s="583">
        <f>VLOOKUP($H62,Nutrition_tables!$A:$AF,31,FALSE)*$Q62/100</f>
        <v>0</v>
      </c>
      <c r="AS62" s="549">
        <f>VLOOKUP($H62,Nutrition_tables!$A:$AF,32,FALSE)*$Q62/100</f>
        <v>0</v>
      </c>
      <c r="AT62" s="583">
        <f>IF(H62="Select ingredient:","",IF(G62="Select food category:","",IFERROR(VLOOKUP($H62,Ingredient_prices!$E:$W,17,FALSE)*$Q62/1000,"not bought")))</f>
        <v>1.21</v>
      </c>
      <c r="AU62" s="583">
        <f>IF(H62="Select ingredient:","",IF(G62="Select food category:","",IFERROR(VLOOKUP($H62,Ingredient_prices!$E:$W,18,FALSE)*$Q62/1000,"not bought")))</f>
        <v>1.21</v>
      </c>
      <c r="AV62" s="583">
        <f t="shared" si="120"/>
        <v>63.847912352087654</v>
      </c>
      <c r="AW62" s="583">
        <f t="shared" si="98"/>
        <v>7.2199927800072217E-3</v>
      </c>
      <c r="AX62" s="583">
        <f t="shared" si="99"/>
        <v>7.2199927800072217E-3</v>
      </c>
      <c r="AY62" s="583">
        <f t="shared" si="100"/>
        <v>7.1838928161071838</v>
      </c>
      <c r="AZ62" s="583">
        <f t="shared" si="101"/>
        <v>0</v>
      </c>
      <c r="BA62" s="583">
        <f t="shared" si="102"/>
        <v>0.49023750976249036</v>
      </c>
      <c r="BB62" s="583">
        <f t="shared" si="103"/>
        <v>7.2199927800072217E-3</v>
      </c>
      <c r="BC62" s="583">
        <f t="shared" si="104"/>
        <v>0</v>
      </c>
      <c r="BD62" s="583">
        <f t="shared" si="105"/>
        <v>1.4439985560014443E-2</v>
      </c>
      <c r="BE62" s="583">
        <f t="shared" si="106"/>
        <v>7.2199927800072214E-2</v>
      </c>
      <c r="BF62" s="583">
        <f t="shared" si="107"/>
        <v>0</v>
      </c>
      <c r="BG62" s="583">
        <f t="shared" si="108"/>
        <v>7.2199927800072217E-3</v>
      </c>
      <c r="BH62" s="583">
        <f t="shared" si="109"/>
        <v>0</v>
      </c>
      <c r="BI62" s="583">
        <f t="shared" si="110"/>
        <v>0</v>
      </c>
      <c r="BJ62" s="583">
        <f t="shared" si="111"/>
        <v>0</v>
      </c>
      <c r="BK62" s="583">
        <f t="shared" si="112"/>
        <v>0</v>
      </c>
      <c r="BL62" s="583">
        <f t="shared" si="113"/>
        <v>0</v>
      </c>
      <c r="BM62" s="583">
        <f t="shared" si="114"/>
        <v>0</v>
      </c>
      <c r="BN62" s="583">
        <f t="shared" si="115"/>
        <v>0</v>
      </c>
      <c r="BO62" s="583">
        <f t="shared" si="116"/>
        <v>0</v>
      </c>
      <c r="BP62" s="583">
        <f t="shared" si="117"/>
        <v>0</v>
      </c>
      <c r="BQ62" s="583">
        <f t="shared" si="118"/>
        <v>0</v>
      </c>
      <c r="BR62" s="583">
        <f t="shared" si="119"/>
        <v>0</v>
      </c>
    </row>
    <row r="63" spans="1:70" s="229" customFormat="1" ht="15">
      <c r="A63" s="590"/>
      <c r="E63" s="576">
        <f t="shared" si="121"/>
        <v>100</v>
      </c>
      <c r="F63" s="406"/>
      <c r="G63" s="406" t="s">
        <v>3076</v>
      </c>
      <c r="H63" s="578" t="s">
        <v>3299</v>
      </c>
      <c r="I63" s="85">
        <v>0.2</v>
      </c>
      <c r="J63" s="682">
        <v>1</v>
      </c>
      <c r="K63" s="579">
        <f t="shared" si="95"/>
        <v>2.2000000000000002E-2</v>
      </c>
      <c r="L63" s="580">
        <f>IF(H63="Select ingredient:","",IF(G63="","",_xlfn.IFNA(VLOOKUP($H63,Ingredient_prices!$E:$U,16,FALSE),0)))</f>
        <v>8400</v>
      </c>
      <c r="M63" s="591"/>
      <c r="N63" s="591"/>
      <c r="O63" s="591"/>
      <c r="P63" s="592"/>
      <c r="Q63" s="583">
        <f t="shared" si="96"/>
        <v>0.2</v>
      </c>
      <c r="R63" s="583">
        <f>VLOOKUP($H63,'CO2_emission+%_food_waste'!$A:$K,6,FALSE)*$Q63/100</f>
        <v>4.4999999999999998E-2</v>
      </c>
      <c r="S63" s="583">
        <f t="shared" si="97"/>
        <v>0.15500000000000003</v>
      </c>
      <c r="T63" s="583">
        <f>IF(H63="Select ingredient:","",IF(G63="Select food category:","",_xlfn.IFNA(VLOOKUP($H63,Ingredient_prices!$E:$U,16,FALSE)*$Q63/1000,"not bought")))</f>
        <v>1.68</v>
      </c>
      <c r="U63" s="583">
        <f>IF(G63="Select food category:","",_xlfn.IFNA(VLOOKUP($H63,Ingredient_prices!$E:$U,16,FALSE)*$R63/1000,"not bought"))</f>
        <v>0.378</v>
      </c>
      <c r="V63" s="549">
        <f>VLOOKUP($H63,'CO2_emission+%_food_waste'!$A:$K,4,FALSE)*$Q63</f>
        <v>0.17400000000000002</v>
      </c>
      <c r="W63" s="583">
        <f>VLOOKUP($H63,Nutrition_tables!$A:$N,10,FALSE)*$Q63/100</f>
        <v>0.58400000000000007</v>
      </c>
      <c r="X63" s="583">
        <f>VLOOKUP($H63,Nutrition_tables!$A:$N,11,FALSE)*$Q63/100</f>
        <v>0.10200000000000001</v>
      </c>
      <c r="Y63" s="583">
        <f>VLOOKUP($H63,Nutrition_tables!$A:$N,12,FALSE)*$Q63/100</f>
        <v>5.4000000000000006E-2</v>
      </c>
      <c r="Z63" s="583">
        <f>VLOOKUP($H63,Nutrition_tables!$A:$N,14,FALSE)*$Q63/100</f>
        <v>1.1000000000000001E-2</v>
      </c>
      <c r="AA63" s="583">
        <f>VLOOKUP($H63,Nutrition_tables!$A:$AF,13,FALSE)*$Q63/100</f>
        <v>5.4000000000000006E-2</v>
      </c>
      <c r="AB63" s="549">
        <f>VLOOKUP($H63,Nutrition_tables!$A:$AF,15,FALSE)*$Q63/100</f>
        <v>2.7999999999999995E-3</v>
      </c>
      <c r="AC63" s="583">
        <f>VLOOKUP($H63,Nutrition_tables!$A:$AF,16,FALSE)*$Q63/100</f>
        <v>0.90400000000000003</v>
      </c>
      <c r="AD63" s="583">
        <f>VLOOKUP($H63,Nutrition_tables!$A:$AF,17,FALSE)*$Q63/100</f>
        <v>5.3660000000000005</v>
      </c>
      <c r="AE63" s="583">
        <f>VLOOKUP($H63,Nutrition_tables!$A:$AF,18,FALSE)*$Q63/100</f>
        <v>2.2799999999999998</v>
      </c>
      <c r="AF63" s="583">
        <f>VLOOKUP($H63,Nutrition_tables!$A:$AF,19,FALSE)*$Q63/100</f>
        <v>0.8</v>
      </c>
      <c r="AG63" s="583">
        <f>VLOOKUP($H63,Nutrition_tables!$A:$AF,20,FALSE)*$Q63/100</f>
        <v>0.872</v>
      </c>
      <c r="AH63" s="583">
        <f>VLOOKUP($H63,Nutrition_tables!$A:$AF,21,FALSE)*$Q63/100</f>
        <v>4.4000000000000004E-2</v>
      </c>
      <c r="AI63" s="583">
        <f>VLOOKUP($H63,Nutrition_tables!$A:$AF,22,FALSE)*$Q63/100</f>
        <v>1.0800000000000001E-2</v>
      </c>
      <c r="AJ63" s="549">
        <f>VLOOKUP($H63,Nutrition_tables!$A:$AF,23,FALSE)*$Q63/100</f>
        <v>1.6000000000000003E-3</v>
      </c>
      <c r="AK63" s="583">
        <f>VLOOKUP($H63,Nutrition_tables!$A:$AF,24,FALSE)*$Q63/100</f>
        <v>0.19400000000000003</v>
      </c>
      <c r="AL63" s="583">
        <f>VLOOKUP($H63,Nutrition_tables!$A:$AF,25,FALSE)*$Q63/100</f>
        <v>4.0000000000000007E-4</v>
      </c>
      <c r="AM63" s="583">
        <f>VLOOKUP($H63,Nutrition_tables!$A:$AF,26,FALSE)*$Q63/100</f>
        <v>4.7999999999999996E-3</v>
      </c>
      <c r="AN63" s="583">
        <f>VLOOKUP($H63,Nutrition_tables!$A:$AF,27,FALSE)*$Q63/100</f>
        <v>1.9800000000000002E-2</v>
      </c>
      <c r="AO63" s="583">
        <f>VLOOKUP($H63,Nutrition_tables!$A:$AF,28,FALSE)*$Q63/100</f>
        <v>1.8000000000000002E-3</v>
      </c>
      <c r="AP63" s="583">
        <f>VLOOKUP($H63,Nutrition_tables!$A:$AF,29,FALSE)*$Q63/100</f>
        <v>0.36</v>
      </c>
      <c r="AQ63" s="583">
        <f>VLOOKUP($H63,Nutrition_tables!$A:$AF,30,FALSE)*$Q63/100</f>
        <v>0</v>
      </c>
      <c r="AR63" s="583">
        <f>VLOOKUP($H63,Nutrition_tables!$A:$AF,31,FALSE)*$Q63/100</f>
        <v>0.25</v>
      </c>
      <c r="AS63" s="549">
        <f>VLOOKUP($H63,Nutrition_tables!$A:$AF,32,FALSE)*$Q63/100</f>
        <v>0</v>
      </c>
      <c r="AT63" s="583">
        <f>IF(H63="Select ingredient:","",IF(G63="Select food category:","",IFERROR(VLOOKUP($H63,Ingredient_prices!$E:$W,17,FALSE)*$Q63/1000,"not bought")))</f>
        <v>1.68</v>
      </c>
      <c r="AU63" s="583">
        <f>IF(H63="Select ingredient:","",IF(G63="Select food category:","",IFERROR(VLOOKUP($H63,Ingredient_prices!$E:$W,18,FALSE)*$Q63/1000,"not bought")))</f>
        <v>1.68</v>
      </c>
      <c r="AV63" s="583">
        <f t="shared" si="120"/>
        <v>0.45257737113144353</v>
      </c>
      <c r="AW63" s="583">
        <f t="shared" si="98"/>
        <v>7.904604769761514E-2</v>
      </c>
      <c r="AX63" s="583">
        <f t="shared" si="99"/>
        <v>4.1847907604619775E-2</v>
      </c>
      <c r="AY63" s="583">
        <f t="shared" si="100"/>
        <v>8.5245737713114372E-3</v>
      </c>
      <c r="AZ63" s="583">
        <f t="shared" si="101"/>
        <v>4.1847907604619775E-2</v>
      </c>
      <c r="BA63" s="583">
        <f t="shared" si="102"/>
        <v>2.1698915054247283E-3</v>
      </c>
      <c r="BB63" s="583">
        <f t="shared" si="103"/>
        <v>0.70056497175141241</v>
      </c>
      <c r="BC63" s="583">
        <f t="shared" si="104"/>
        <v>4.1584420778961055</v>
      </c>
      <c r="BD63" s="583">
        <f t="shared" si="105"/>
        <v>1.7669116544172792</v>
      </c>
      <c r="BE63" s="583">
        <f t="shared" si="106"/>
        <v>0.61996900154992263</v>
      </c>
      <c r="BF63" s="583">
        <f t="shared" si="107"/>
        <v>0.67576621168941564</v>
      </c>
      <c r="BG63" s="583">
        <f t="shared" si="108"/>
        <v>3.4098295085245749E-2</v>
      </c>
      <c r="BH63" s="583">
        <f t="shared" si="109"/>
        <v>8.3695815209239542E-3</v>
      </c>
      <c r="BI63" s="583">
        <f t="shared" si="110"/>
        <v>1.2399380030998451E-3</v>
      </c>
      <c r="BJ63" s="583">
        <f t="shared" si="111"/>
        <v>0.15034248287585625</v>
      </c>
      <c r="BK63" s="583">
        <f t="shared" si="112"/>
        <v>3.0998450077496129E-4</v>
      </c>
      <c r="BL63" s="583">
        <f t="shared" si="113"/>
        <v>3.7198140092995352E-3</v>
      </c>
      <c r="BM63" s="583">
        <f t="shared" si="114"/>
        <v>1.5344232788360584E-2</v>
      </c>
      <c r="BN63" s="583">
        <f t="shared" si="115"/>
        <v>1.3949302534873257E-3</v>
      </c>
      <c r="BO63" s="583">
        <f t="shared" si="116"/>
        <v>0.27898605069746513</v>
      </c>
      <c r="BP63" s="583">
        <f t="shared" si="117"/>
        <v>0</v>
      </c>
      <c r="BQ63" s="583">
        <f t="shared" si="118"/>
        <v>0.19374031298435079</v>
      </c>
      <c r="BR63" s="583">
        <f t="shared" si="119"/>
        <v>0</v>
      </c>
    </row>
    <row r="64" spans="1:70" s="229" customFormat="1" ht="15">
      <c r="A64" s="590"/>
      <c r="E64" s="576">
        <f t="shared" si="121"/>
        <v>100</v>
      </c>
      <c r="F64" s="85"/>
      <c r="G64" s="406" t="s">
        <v>3076</v>
      </c>
      <c r="H64" s="578" t="s">
        <v>495</v>
      </c>
      <c r="I64" s="85">
        <v>0.2</v>
      </c>
      <c r="J64" s="682">
        <v>1</v>
      </c>
      <c r="K64" s="579">
        <f t="shared" si="95"/>
        <v>2.2000000000000002E-2</v>
      </c>
      <c r="L64" s="580">
        <f>IF(H64="Select ingredient:","",IF(G64="","",_xlfn.IFNA(VLOOKUP($H64,Ingredient_prices!$E:$U,16,FALSE),0)))</f>
        <v>33.6</v>
      </c>
      <c r="M64" s="591"/>
      <c r="N64" s="591"/>
      <c r="O64" s="591"/>
      <c r="P64" s="592"/>
      <c r="Q64" s="583">
        <f t="shared" si="96"/>
        <v>0.2</v>
      </c>
      <c r="R64" s="583">
        <f>VLOOKUP($H64,'CO2_emission+%_food_waste'!$A:$K,6,FALSE)*$Q64/100</f>
        <v>6.2E-2</v>
      </c>
      <c r="S64" s="583">
        <f t="shared" si="97"/>
        <v>0.13800000000000001</v>
      </c>
      <c r="T64" s="583">
        <f>IF(H64="Select ingredient:","",IF(G64="Select food category:","",_xlfn.IFNA(VLOOKUP($H64,Ingredient_prices!$E:$U,16,FALSE)*$Q64/1000,"not bought")))</f>
        <v>6.7200000000000003E-3</v>
      </c>
      <c r="U64" s="583">
        <f>IF(G64="Select food category:","",_xlfn.IFNA(VLOOKUP($H64,Ingredient_prices!$E:$U,16,FALSE)*$R64/1000,"not bought"))</f>
        <v>2.0832000000000003E-3</v>
      </c>
      <c r="V64" s="549">
        <f>VLOOKUP($H64,'CO2_emission+%_food_waste'!$A:$K,4,FALSE)*$Q64</f>
        <v>3.5999999999999997E-2</v>
      </c>
      <c r="W64" s="583">
        <f>VLOOKUP($H64,Nutrition_tables!$A:$N,10,FALSE)*$Q64/100</f>
        <v>0</v>
      </c>
      <c r="X64" s="583">
        <f>VLOOKUP($H64,Nutrition_tables!$A:$N,11,FALSE)*$Q64/100</f>
        <v>0</v>
      </c>
      <c r="Y64" s="583">
        <f>VLOOKUP($H64,Nutrition_tables!$A:$N,12,FALSE)*$Q64/100</f>
        <v>0</v>
      </c>
      <c r="Z64" s="583">
        <f>VLOOKUP($H64,Nutrition_tables!$A:$N,14,FALSE)*$Q64/100</f>
        <v>0</v>
      </c>
      <c r="AA64" s="583">
        <f>VLOOKUP($H64,Nutrition_tables!$A:$AF,13,FALSE)*$Q64/100</f>
        <v>0</v>
      </c>
      <c r="AB64" s="549">
        <f>VLOOKUP($H64,Nutrition_tables!$A:$AF,15,FALSE)*$Q64/100</f>
        <v>0</v>
      </c>
      <c r="AC64" s="583">
        <f>VLOOKUP($H64,Nutrition_tables!$A:$AF,16,FALSE)*$Q64/100</f>
        <v>77.7</v>
      </c>
      <c r="AD64" s="583">
        <f>VLOOKUP($H64,Nutrition_tables!$A:$AF,17,FALSE)*$Q64/100</f>
        <v>0.23199999999999998</v>
      </c>
      <c r="AE64" s="583">
        <f>VLOOKUP($H64,Nutrition_tables!$A:$AF,18,FALSE)*$Q64/100</f>
        <v>3.8000000000000006E-2</v>
      </c>
      <c r="AF64" s="583">
        <f>VLOOKUP($H64,Nutrition_tables!$A:$AF,19,FALSE)*$Q64/100</f>
        <v>0.53</v>
      </c>
      <c r="AG64" s="583">
        <f>VLOOKUP($H64,Nutrition_tables!$A:$AF,20,FALSE)*$Q64/100</f>
        <v>1.6E-2</v>
      </c>
      <c r="AH64" s="583">
        <f>VLOOKUP($H64,Nutrition_tables!$A:$AF,21,FALSE)*$Q64/100</f>
        <v>4.0000000000000003E-5</v>
      </c>
      <c r="AI64" s="583">
        <f>VLOOKUP($H64,Nutrition_tables!$A:$AF,22,FALSE)*$Q64/100</f>
        <v>2.0000000000000004E-4</v>
      </c>
      <c r="AJ64" s="549">
        <f>VLOOKUP($H64,Nutrition_tables!$A:$AF,23,FALSE)*$Q64/100</f>
        <v>6.0000000000000002E-5</v>
      </c>
      <c r="AK64" s="583">
        <f>VLOOKUP($H64,Nutrition_tables!$A:$AF,24,FALSE)*$Q64/100</f>
        <v>0</v>
      </c>
      <c r="AL64" s="583">
        <f>VLOOKUP($H64,Nutrition_tables!$A:$AF,25,FALSE)*$Q64/100</f>
        <v>0</v>
      </c>
      <c r="AM64" s="583">
        <f>VLOOKUP($H64,Nutrition_tables!$A:$AF,26,FALSE)*$Q64/100</f>
        <v>0</v>
      </c>
      <c r="AN64" s="583">
        <f>VLOOKUP($H64,Nutrition_tables!$A:$AF,27,FALSE)*$Q64/100</f>
        <v>0</v>
      </c>
      <c r="AO64" s="583">
        <f>VLOOKUP($H64,Nutrition_tables!$A:$AF,28,FALSE)*$Q64/100</f>
        <v>0</v>
      </c>
      <c r="AP64" s="583">
        <f>VLOOKUP($H64,Nutrition_tables!$A:$AF,29,FALSE)*$Q64/100</f>
        <v>0</v>
      </c>
      <c r="AQ64" s="583">
        <f>VLOOKUP($H64,Nutrition_tables!$A:$AF,30,FALSE)*$Q64/100</f>
        <v>0</v>
      </c>
      <c r="AR64" s="583">
        <f>VLOOKUP($H64,Nutrition_tables!$A:$AF,31,FALSE)*$Q64/100</f>
        <v>0</v>
      </c>
      <c r="AS64" s="549">
        <f>VLOOKUP($H64,Nutrition_tables!$A:$AF,32,FALSE)*$Q64/100</f>
        <v>0</v>
      </c>
      <c r="AT64" s="583">
        <f>IF(H64="Select ingredient:","",IF(G64="Select food category:","",IFERROR(VLOOKUP($H64,Ingredient_prices!$E:$W,17,FALSE)*$Q64/1000,"not bought")))</f>
        <v>6.7200000000000003E-3</v>
      </c>
      <c r="AU64" s="583">
        <f>IF(H64="Select ingredient:","",IF(G64="Select food category:","",IFERROR(VLOOKUP($H64,Ingredient_prices!$E:$W,18,FALSE)*$Q64/1000,"not bought")))</f>
        <v>6.7200000000000003E-3</v>
      </c>
      <c r="AV64" s="583">
        <f t="shared" si="120"/>
        <v>0</v>
      </c>
      <c r="AW64" s="583">
        <f t="shared" si="98"/>
        <v>0</v>
      </c>
      <c r="AX64" s="583">
        <f t="shared" si="99"/>
        <v>0</v>
      </c>
      <c r="AY64" s="583">
        <f t="shared" si="100"/>
        <v>0</v>
      </c>
      <c r="AZ64" s="583">
        <f t="shared" si="101"/>
        <v>0</v>
      </c>
      <c r="BA64" s="583">
        <f t="shared" si="102"/>
        <v>0</v>
      </c>
      <c r="BB64" s="583">
        <f t="shared" si="103"/>
        <v>53.610319484025801</v>
      </c>
      <c r="BC64" s="583">
        <f t="shared" si="104"/>
        <v>0.16007199640017999</v>
      </c>
      <c r="BD64" s="583">
        <f t="shared" si="105"/>
        <v>2.6218689065546728E-2</v>
      </c>
      <c r="BE64" s="583">
        <f t="shared" si="106"/>
        <v>0.36568171591420429</v>
      </c>
      <c r="BF64" s="583">
        <f t="shared" si="107"/>
        <v>1.103944802759862E-2</v>
      </c>
      <c r="BG64" s="583">
        <f t="shared" si="108"/>
        <v>2.7598620068996551E-5</v>
      </c>
      <c r="BH64" s="583">
        <f t="shared" si="109"/>
        <v>1.3799310034498278E-4</v>
      </c>
      <c r="BI64" s="583">
        <f t="shared" si="110"/>
        <v>4.1397930103494823E-5</v>
      </c>
      <c r="BJ64" s="583">
        <f t="shared" si="111"/>
        <v>0</v>
      </c>
      <c r="BK64" s="583">
        <f t="shared" si="112"/>
        <v>0</v>
      </c>
      <c r="BL64" s="583">
        <f t="shared" si="113"/>
        <v>0</v>
      </c>
      <c r="BM64" s="583">
        <f t="shared" si="114"/>
        <v>0</v>
      </c>
      <c r="BN64" s="583">
        <f t="shared" si="115"/>
        <v>0</v>
      </c>
      <c r="BO64" s="583">
        <f t="shared" si="116"/>
        <v>0</v>
      </c>
      <c r="BP64" s="583">
        <f t="shared" si="117"/>
        <v>0</v>
      </c>
      <c r="BQ64" s="583">
        <f t="shared" si="118"/>
        <v>0</v>
      </c>
      <c r="BR64" s="583">
        <f t="shared" si="119"/>
        <v>0</v>
      </c>
    </row>
    <row r="65" spans="1:70" s="229" customFormat="1" ht="15">
      <c r="A65" s="590"/>
      <c r="E65" s="576">
        <f t="shared" si="121"/>
        <v>100</v>
      </c>
      <c r="F65" s="85"/>
      <c r="G65" s="406" t="s">
        <v>3072</v>
      </c>
      <c r="H65" s="578" t="s">
        <v>3208</v>
      </c>
      <c r="I65" s="85">
        <v>30</v>
      </c>
      <c r="J65" s="682">
        <v>1</v>
      </c>
      <c r="K65" s="579">
        <f t="shared" si="95"/>
        <v>3.3</v>
      </c>
      <c r="L65" s="580">
        <f>IF(H65="Select ingredient:","",IF(G65="","",_xlfn.IFNA(VLOOKUP($H65,Ingredient_prices!$E:$U,16,FALSE),0)))</f>
        <v>183.33333333333334</v>
      </c>
      <c r="M65" s="591"/>
      <c r="N65" s="591"/>
      <c r="O65" s="591"/>
      <c r="P65" s="592"/>
      <c r="Q65" s="583">
        <f t="shared" si="96"/>
        <v>30</v>
      </c>
      <c r="R65" s="583">
        <f>VLOOKUP($H65,'CO2_emission+%_food_waste'!$A:$K,6,FALSE)*$Q65/100</f>
        <v>3.18</v>
      </c>
      <c r="S65" s="583">
        <f t="shared" si="97"/>
        <v>26.82</v>
      </c>
      <c r="T65" s="583">
        <f>IF(H65="Select ingredient:","",IF(G65="Select food category:","",_xlfn.IFNA(VLOOKUP($H65,Ingredient_prices!$E:$U,16,FALSE)*$Q65/1000,"not bought")))</f>
        <v>5.5</v>
      </c>
      <c r="U65" s="583">
        <f>IF(G65="Select food category:","",_xlfn.IFNA(VLOOKUP($H65,Ingredient_prices!$E:$U,16,FALSE)*$R65/1000,"not bought"))</f>
        <v>0.58300000000000007</v>
      </c>
      <c r="V65" s="549">
        <f>VLOOKUP($H65,'CO2_emission+%_food_waste'!$A:$K,4,FALSE)*$Q65</f>
        <v>91.2</v>
      </c>
      <c r="W65" s="583">
        <f>VLOOKUP($H65,Nutrition_tables!$A:$N,10,FALSE)*$Q65/100</f>
        <v>42.599999999999994</v>
      </c>
      <c r="X65" s="583">
        <f>VLOOKUP($H65,Nutrition_tables!$A:$N,11,FALSE)*$Q65/100</f>
        <v>0.24005602240896354</v>
      </c>
      <c r="Y65" s="583">
        <f>VLOOKUP($H65,Nutrition_tables!$A:$N,12,FALSE)*$Q65/100</f>
        <v>3.7801120448179266</v>
      </c>
      <c r="Z65" s="583">
        <f>VLOOKUP($H65,Nutrition_tables!$A:$N,14,FALSE)*$Q65/100</f>
        <v>2.970028011204481</v>
      </c>
      <c r="AA65" s="583">
        <f>VLOOKUP($H65,Nutrition_tables!$A:$AF,13,FALSE)*$Q65/100</f>
        <v>0</v>
      </c>
      <c r="AB65" s="549">
        <f>VLOOKUP($H65,Nutrition_tables!$A:$AF,15,FALSE)*$Q65/100</f>
        <v>0.78011204481792717</v>
      </c>
      <c r="AC65" s="583">
        <f>VLOOKUP($H65,Nutrition_tables!$A:$AF,16,FALSE)*$Q65/100</f>
        <v>42</v>
      </c>
      <c r="AD65" s="583">
        <f>VLOOKUP($H65,Nutrition_tables!$A:$AF,17,FALSE)*$Q65/100</f>
        <v>38.999999999999993</v>
      </c>
      <c r="AE65" s="583">
        <f>VLOOKUP($H65,Nutrition_tables!$A:$AF,18,FALSE)*$Q65/100</f>
        <v>11.999999999999998</v>
      </c>
      <c r="AF65" s="583">
        <f>VLOOKUP($H65,Nutrition_tables!$A:$AF,19,FALSE)*$Q65/100</f>
        <v>3.9</v>
      </c>
      <c r="AG65" s="583">
        <f>VLOOKUP($H65,Nutrition_tables!$A:$AF,20,FALSE)*$Q65/100</f>
        <v>62.999999999999993</v>
      </c>
      <c r="AH65" s="583">
        <f>VLOOKUP($H65,Nutrition_tables!$A:$AF,21,FALSE)*$Q65/100</f>
        <v>0.6</v>
      </c>
      <c r="AI65" s="583">
        <f>VLOOKUP($H65,Nutrition_tables!$A:$AF,22,FALSE)*$Q65/100</f>
        <v>0.41988795518207284</v>
      </c>
      <c r="AJ65" s="549">
        <f>VLOOKUP($H65,Nutrition_tables!$A:$AF,23,FALSE)*$Q65/100</f>
        <v>2.100840336134454E-2</v>
      </c>
      <c r="AK65" s="583">
        <f>VLOOKUP($H65,Nutrition_tables!$A:$AF,24,FALSE)*$Q65/100</f>
        <v>58.199999999999989</v>
      </c>
      <c r="AL65" s="583">
        <f>VLOOKUP($H65,Nutrition_tables!$A:$AF,25,FALSE)*$Q65/100</f>
        <v>2.100840336134454E-2</v>
      </c>
      <c r="AM65" s="583">
        <f>VLOOKUP($H65,Nutrition_tables!$A:$AF,26,FALSE)*$Q65/100</f>
        <v>0.13501400560224089</v>
      </c>
      <c r="AN65" s="583">
        <f>VLOOKUP($H65,Nutrition_tables!$A:$AF,27,FALSE)*$Q65/100</f>
        <v>1.5126050420168067E-2</v>
      </c>
      <c r="AO65" s="583">
        <f>VLOOKUP($H65,Nutrition_tables!$A:$AF,28,FALSE)*$Q65/100</f>
        <v>3.6134453781512602E-2</v>
      </c>
      <c r="AP65" s="583">
        <f>VLOOKUP($H65,Nutrition_tables!$A:$AF,29,FALSE)*$Q65/100</f>
        <v>6.2999999999999989</v>
      </c>
      <c r="AQ65" s="583">
        <f>VLOOKUP($H65,Nutrition_tables!$A:$AF,30,FALSE)*$Q65/100</f>
        <v>0.6</v>
      </c>
      <c r="AR65" s="583">
        <f>VLOOKUP($H65,Nutrition_tables!$A:$AF,31,FALSE)*$Q65/100</f>
        <v>0</v>
      </c>
      <c r="AS65" s="549">
        <f>VLOOKUP($H65,Nutrition_tables!$A:$AF,32,FALSE)*$Q65/100</f>
        <v>0.52492997198879554</v>
      </c>
      <c r="AT65" s="583">
        <f>IF(H65="Select ingredient:","",IF(G65="Select food category:","",IFERROR(VLOOKUP($H65,Ingredient_prices!$E:$W,17,FALSE)*$Q65/1000,"not bought")))</f>
        <v>5.5</v>
      </c>
      <c r="AU65" s="583">
        <f>IF(H65="Select ingredient:","",IF(G65="Select food category:","",IFERROR(VLOOKUP($H65,Ingredient_prices!$E:$W,18,FALSE)*$Q65/1000,"not bought")))</f>
        <v>5.5</v>
      </c>
      <c r="AV65" s="583">
        <f t="shared" si="120"/>
        <v>38.084387305204231</v>
      </c>
      <c r="AW65" s="583">
        <f t="shared" si="98"/>
        <v>0.21461001249694256</v>
      </c>
      <c r="AX65" s="583">
        <f t="shared" si="99"/>
        <v>3.3794190415942125</v>
      </c>
      <c r="AY65" s="583">
        <f t="shared" si="100"/>
        <v>2.6552041569487539</v>
      </c>
      <c r="AZ65" s="583">
        <f t="shared" si="101"/>
        <v>0</v>
      </c>
      <c r="BA65" s="583">
        <f t="shared" si="102"/>
        <v>0.69741993559391513</v>
      </c>
      <c r="BB65" s="583">
        <f t="shared" si="103"/>
        <v>37.547987484004175</v>
      </c>
      <c r="BC65" s="583">
        <f t="shared" si="104"/>
        <v>34.86598837800387</v>
      </c>
      <c r="BD65" s="583">
        <f t="shared" si="105"/>
        <v>10.727996424001191</v>
      </c>
      <c r="BE65" s="583">
        <f t="shared" si="106"/>
        <v>3.4865988378003876</v>
      </c>
      <c r="BF65" s="583">
        <f t="shared" si="107"/>
        <v>56.321981226006251</v>
      </c>
      <c r="BG65" s="583">
        <f t="shared" si="108"/>
        <v>0.53639982120005958</v>
      </c>
      <c r="BH65" s="583">
        <f t="shared" si="109"/>
        <v>0.37537970680620419</v>
      </c>
      <c r="BI65" s="583">
        <f t="shared" si="110"/>
        <v>1.8781506344539903E-2</v>
      </c>
      <c r="BJ65" s="583">
        <f t="shared" si="111"/>
        <v>52.030782656405776</v>
      </c>
      <c r="BK65" s="583">
        <f t="shared" si="112"/>
        <v>1.8781506344539903E-2</v>
      </c>
      <c r="BL65" s="583">
        <f t="shared" si="113"/>
        <v>0.1207024807742431</v>
      </c>
      <c r="BM65" s="583">
        <f t="shared" si="114"/>
        <v>1.3522684568068731E-2</v>
      </c>
      <c r="BN65" s="583">
        <f t="shared" si="115"/>
        <v>3.2304190912608631E-2</v>
      </c>
      <c r="BO65" s="583">
        <f t="shared" si="116"/>
        <v>5.6321981226006255</v>
      </c>
      <c r="BP65" s="583">
        <f t="shared" si="117"/>
        <v>0.53639982120005958</v>
      </c>
      <c r="BQ65" s="583">
        <f t="shared" si="118"/>
        <v>0</v>
      </c>
      <c r="BR65" s="583">
        <f t="shared" si="119"/>
        <v>0.46928723852890369</v>
      </c>
    </row>
    <row r="66" spans="1:70" s="229" customFormat="1" ht="15">
      <c r="A66" s="590"/>
      <c r="E66" s="576">
        <f t="shared" si="121"/>
        <v>100</v>
      </c>
      <c r="F66" s="85"/>
      <c r="G66" s="406" t="s">
        <v>3141</v>
      </c>
      <c r="H66" s="578" t="s">
        <v>3245</v>
      </c>
      <c r="I66" s="85">
        <v>15</v>
      </c>
      <c r="J66" s="682">
        <v>1</v>
      </c>
      <c r="K66" s="579">
        <f t="shared" si="95"/>
        <v>1.65</v>
      </c>
      <c r="L66" s="580">
        <f>IF(H66="Select ingredient:","",IF(G66="","",_xlfn.IFNA(VLOOKUP($H66,Ingredient_prices!$E:$U,16,FALSE),0)))</f>
        <v>43.12</v>
      </c>
      <c r="M66" s="591"/>
      <c r="N66" s="591"/>
      <c r="O66" s="591"/>
      <c r="P66" s="592"/>
      <c r="Q66" s="583">
        <f t="shared" si="96"/>
        <v>15</v>
      </c>
      <c r="R66" s="583">
        <f>VLOOKUP($H66,'CO2_emission+%_food_waste'!$A:$K,6,FALSE)*$Q66/100</f>
        <v>3.2549999999999999</v>
      </c>
      <c r="S66" s="583">
        <f t="shared" si="97"/>
        <v>11.745000000000001</v>
      </c>
      <c r="T66" s="583">
        <f>IF(H66="Select ingredient:","",IF(G66="Select food category:","",_xlfn.IFNA(VLOOKUP($H66,Ingredient_prices!$E:$U,16,FALSE)*$Q66/1000,"not bought")))</f>
        <v>0.64679999999999993</v>
      </c>
      <c r="U66" s="583">
        <f>IF(G66="Select food category:","",_xlfn.IFNA(VLOOKUP($H66,Ingredient_prices!$E:$U,16,FALSE)*$R66/1000,"not bought"))</f>
        <v>0.14035559999999997</v>
      </c>
      <c r="V66" s="549">
        <f>VLOOKUP($H66,'CO2_emission+%_food_waste'!$A:$K,4,FALSE)*$Q66</f>
        <v>24.3</v>
      </c>
      <c r="W66" s="583">
        <f>VLOOKUP($H66,Nutrition_tables!$A:$N,10,FALSE)*$Q66/100</f>
        <v>53.384965034965028</v>
      </c>
      <c r="X66" s="583">
        <f>VLOOKUP($H66,Nutrition_tables!$A:$N,11,FALSE)*$Q66/100</f>
        <v>11.684965034965035</v>
      </c>
      <c r="Y66" s="583">
        <f>VLOOKUP($H66,Nutrition_tables!$A:$N,12,FALSE)*$Q66/100</f>
        <v>1.425</v>
      </c>
      <c r="Z66" s="583">
        <f>VLOOKUP($H66,Nutrition_tables!$A:$N,14,FALSE)*$Q66/100</f>
        <v>0.16503496503496501</v>
      </c>
      <c r="AA66" s="583">
        <f>VLOOKUP($H66,Nutrition_tables!$A:$AF,13,FALSE)*$Q66/100</f>
        <v>0.3751748251748252</v>
      </c>
      <c r="AB66" s="549">
        <f>VLOOKUP($H66,Nutrition_tables!$A:$AF,15,FALSE)*$Q66/100</f>
        <v>2.4125874125874126E-2</v>
      </c>
      <c r="AC66" s="583">
        <f>VLOOKUP($H66,Nutrition_tables!$A:$AF,16,FALSE)*$Q66/100</f>
        <v>0.43496503496503491</v>
      </c>
      <c r="AD66" s="583">
        <f>VLOOKUP($H66,Nutrition_tables!$A:$AF,17,FALSE)*$Q66/100</f>
        <v>23.7</v>
      </c>
      <c r="AE66" s="583">
        <f>VLOOKUP($H66,Nutrition_tables!$A:$AF,18,FALSE)*$Q66/100</f>
        <v>3.6</v>
      </c>
      <c r="AF66" s="583">
        <f>VLOOKUP($H66,Nutrition_tables!$A:$AF,19,FALSE)*$Q66/100</f>
        <v>3.7199300699300704</v>
      </c>
      <c r="AG66" s="583">
        <f>VLOOKUP($H66,Nutrition_tables!$A:$AF,20,FALSE)*$Q66/100</f>
        <v>15.899999999999999</v>
      </c>
      <c r="AH66" s="583">
        <f>VLOOKUP($H66,Nutrition_tables!$A:$AF,21,FALSE)*$Q66/100</f>
        <v>0.13356643356643355</v>
      </c>
      <c r="AI66" s="583">
        <f>VLOOKUP($H66,Nutrition_tables!$A:$AF,22,FALSE)*$Q66/100</f>
        <v>0.10489510489510488</v>
      </c>
      <c r="AJ66" s="549">
        <f>VLOOKUP($H66,Nutrition_tables!$A:$AF,23,FALSE)*$Q66/100</f>
        <v>7.5174825174825169E-2</v>
      </c>
      <c r="AK66" s="583">
        <f>VLOOKUP($H66,Nutrition_tables!$A:$AF,24,FALSE)*$Q66/100</f>
        <v>0</v>
      </c>
      <c r="AL66" s="583">
        <f>VLOOKUP($H66,Nutrition_tables!$A:$AF,25,FALSE)*$Q66/100</f>
        <v>2.2377622377622378E-2</v>
      </c>
      <c r="AM66" s="583">
        <f>VLOOKUP($H66,Nutrition_tables!$A:$AF,26,FALSE)*$Q66/100</f>
        <v>5.9440559440559438E-3</v>
      </c>
      <c r="AN66" s="583">
        <f>VLOOKUP($H66,Nutrition_tables!$A:$AF,27,FALSE)*$Q66/100</f>
        <v>0.19650349650349649</v>
      </c>
      <c r="AO66" s="583">
        <f>VLOOKUP($H66,Nutrition_tables!$A:$AF,28,FALSE)*$Q66/100</f>
        <v>1.0489510489510488E-2</v>
      </c>
      <c r="AP66" s="583">
        <f>VLOOKUP($H66,Nutrition_tables!$A:$AF,29,FALSE)*$Q66/100</f>
        <v>2.4601398601398601</v>
      </c>
      <c r="AQ66" s="583">
        <f>VLOOKUP($H66,Nutrition_tables!$A:$AF,30,FALSE)*$Q66/100</f>
        <v>1.3636363636363636E-2</v>
      </c>
      <c r="AR66" s="583">
        <f>VLOOKUP($H66,Nutrition_tables!$A:$AF,31,FALSE)*$Q66/100</f>
        <v>0</v>
      </c>
      <c r="AS66" s="549">
        <f>VLOOKUP($H66,Nutrition_tables!$A:$AF,32,FALSE)*$Q66/100</f>
        <v>0</v>
      </c>
      <c r="AT66" s="583">
        <f>IF(H66="Select ingredient:","",IF(G66="Select food category:","",IFERROR(VLOOKUP($H66,Ingredient_prices!$E:$W,17,FALSE)*$Q66/1000,"not bought")))</f>
        <v>0.64679999999999993</v>
      </c>
      <c r="AU66" s="583">
        <f>IF(H66="Select ingredient:","",IF(G66="Select food category:","",IFERROR(VLOOKUP($H66,Ingredient_prices!$E:$W,18,FALSE)*$Q66/1000,"not bought")))</f>
        <v>0.64679999999999993</v>
      </c>
      <c r="AV66" s="583">
        <f>W66*($Q66-$R66)/($Q66+0.00001)</f>
        <v>41.800399755444452</v>
      </c>
      <c r="AW66" s="583">
        <f t="shared" si="98"/>
        <v>9.1493215228299416</v>
      </c>
      <c r="AX66" s="583">
        <f t="shared" si="99"/>
        <v>1.1157742561504962</v>
      </c>
      <c r="AY66" s="583">
        <f t="shared" si="100"/>
        <v>0.12922229147418329</v>
      </c>
      <c r="AZ66" s="583">
        <f t="shared" si="101"/>
        <v>0.29376169227075999</v>
      </c>
      <c r="BA66" s="583">
        <f t="shared" si="102"/>
        <v>1.8890546846861544E-2</v>
      </c>
      <c r="BB66" s="583">
        <f t="shared" si="103"/>
        <v>0.34057739532602549</v>
      </c>
      <c r="BC66" s="583">
        <f t="shared" si="104"/>
        <v>18.557087628608251</v>
      </c>
      <c r="BD66" s="583">
        <f t="shared" si="105"/>
        <v>2.8187981208012531</v>
      </c>
      <c r="BE66" s="583">
        <f t="shared" si="106"/>
        <v>2.9127033029530436</v>
      </c>
      <c r="BF66" s="583">
        <f t="shared" si="107"/>
        <v>12.449691700205532</v>
      </c>
      <c r="BG66" s="583">
        <f t="shared" si="108"/>
        <v>0.10458244776088564</v>
      </c>
      <c r="BH66" s="583">
        <f t="shared" si="109"/>
        <v>8.2132812377658876E-2</v>
      </c>
      <c r="BI66" s="583">
        <f t="shared" si="110"/>
        <v>5.8861848870655535E-2</v>
      </c>
      <c r="BJ66" s="583">
        <f t="shared" si="111"/>
        <v>0</v>
      </c>
      <c r="BK66" s="583">
        <f t="shared" si="112"/>
        <v>1.7521666640567233E-2</v>
      </c>
      <c r="BL66" s="583">
        <f t="shared" si="113"/>
        <v>4.6541927014006699E-3</v>
      </c>
      <c r="BM66" s="583">
        <f t="shared" si="114"/>
        <v>0.15386213518748099</v>
      </c>
      <c r="BN66" s="583">
        <f t="shared" si="115"/>
        <v>8.2132812377658879E-3</v>
      </c>
      <c r="BO66" s="583">
        <f t="shared" si="116"/>
        <v>1.9262882262973597</v>
      </c>
      <c r="BP66" s="583">
        <f t="shared" si="117"/>
        <v>1.0677265609095656E-2</v>
      </c>
      <c r="BQ66" s="583">
        <f t="shared" si="118"/>
        <v>0</v>
      </c>
      <c r="BR66" s="583">
        <f t="shared" si="119"/>
        <v>0</v>
      </c>
    </row>
    <row r="67" spans="1:70" s="229" customFormat="1">
      <c r="A67" s="590"/>
      <c r="E67" s="576">
        <f t="shared" si="121"/>
        <v>100</v>
      </c>
      <c r="F67" s="406"/>
      <c r="G67" s="406" t="s">
        <v>3140</v>
      </c>
      <c r="H67" s="1262" t="s">
        <v>3128</v>
      </c>
      <c r="I67" s="85">
        <v>50</v>
      </c>
      <c r="J67" s="682">
        <v>1</v>
      </c>
      <c r="K67" s="579">
        <f t="shared" si="95"/>
        <v>5.5000000000000009</v>
      </c>
      <c r="L67" s="580">
        <f>IF(H67="Select ingredient:","",IF(G67="","",_xlfn.IFNA(VLOOKUP($H67,Ingredient_prices!$E:$U,16,FALSE),0)))</f>
        <v>88</v>
      </c>
      <c r="M67" s="591"/>
      <c r="N67" s="591"/>
      <c r="O67" s="591"/>
      <c r="P67" s="592"/>
      <c r="Q67" s="583">
        <f t="shared" si="96"/>
        <v>50</v>
      </c>
      <c r="R67" s="583">
        <f>VLOOKUP($H67,'CO2_emission+%_food_waste'!$A:$K,6,FALSE)*$Q67/100</f>
        <v>5.75</v>
      </c>
      <c r="S67" s="583">
        <f t="shared" si="97"/>
        <v>44.25</v>
      </c>
      <c r="T67" s="583">
        <f>IF(H67="Select ingredient:","",IF(G67="Select food category:","",_xlfn.IFNA(VLOOKUP($H67,Ingredient_prices!$E:$U,16,FALSE)*$Q67/1000,"not bought")))</f>
        <v>4.4000000000000004</v>
      </c>
      <c r="U67" s="583">
        <f>IF(G67="Select food category:","",_xlfn.IFNA(VLOOKUP($H67,Ingredient_prices!$E:$U,16,FALSE)*$R67/1000,"not bought"))</f>
        <v>0.50600000000000001</v>
      </c>
      <c r="V67" s="549">
        <f>VLOOKUP($H67,'CO2_emission+%_food_waste'!$A:$K,4,FALSE)*$Q67</f>
        <v>80</v>
      </c>
      <c r="W67" s="583">
        <f>VLOOKUP($H67,Nutrition_tables!$A:$N,10,FALSE)*$Q67/100</f>
        <v>25.95</v>
      </c>
      <c r="X67" s="583">
        <f>VLOOKUP($H67,Nutrition_tables!$A:$N,11,FALSE)*$Q67/100</f>
        <v>3.5</v>
      </c>
      <c r="Y67" s="583">
        <f>VLOOKUP($H67,Nutrition_tables!$A:$N,12,FALSE)*$Q67/100</f>
        <v>1.07</v>
      </c>
      <c r="Z67" s="583">
        <f>VLOOKUP($H67,Nutrition_tables!$A:$N,14,FALSE)*$Q67/100</f>
        <v>0.14000000000000001</v>
      </c>
      <c r="AA67" s="583">
        <f>VLOOKUP($H67,Nutrition_tables!$A:$AF,13,FALSE)*$Q67/100</f>
        <v>1.25</v>
      </c>
      <c r="AB67" s="549">
        <f>VLOOKUP($H67,Nutrition_tables!$A:$AF,15,FALSE)*$Q67/100</f>
        <v>0.05</v>
      </c>
      <c r="AC67" s="583">
        <f>VLOOKUP($H67,Nutrition_tables!$A:$AF,16,FALSE)*$Q67/100</f>
        <v>23.5</v>
      </c>
      <c r="AD67" s="583">
        <f>VLOOKUP($H67,Nutrition_tables!$A:$AF,17,FALSE)*$Q67/100</f>
        <v>106</v>
      </c>
      <c r="AE67" s="583">
        <f>VLOOKUP($H67,Nutrition_tables!$A:$AF,18,FALSE)*$Q67/100</f>
        <v>12.5</v>
      </c>
      <c r="AF67" s="583">
        <f>VLOOKUP($H67,Nutrition_tables!$A:$AF,19,FALSE)*$Q67/100</f>
        <v>12</v>
      </c>
      <c r="AG67" s="583">
        <f>VLOOKUP($H67,Nutrition_tables!$A:$AF,20,FALSE)*$Q67/100</f>
        <v>29.5</v>
      </c>
      <c r="AH67" s="583">
        <f>VLOOKUP($H67,Nutrition_tables!$A:$AF,21,FALSE)*$Q67/100</f>
        <v>0.47499999999999998</v>
      </c>
      <c r="AI67" s="583">
        <f>VLOOKUP($H67,Nutrition_tables!$A:$AF,22,FALSE)*$Q67/100</f>
        <v>0.22500000000000001</v>
      </c>
      <c r="AJ67" s="549">
        <f>VLOOKUP($H67,Nutrition_tables!$A:$AF,23,FALSE)*$Q67/100</f>
        <v>4.6500000000000007E-2</v>
      </c>
      <c r="AK67" s="583">
        <f>VLOOKUP($H67,Nutrition_tables!$A:$AF,24,FALSE)*$Q67/100</f>
        <v>127</v>
      </c>
      <c r="AL67" s="583">
        <f>VLOOKUP($H67,Nutrition_tables!$A:$AF,25,FALSE)*$Q67/100</f>
        <v>6.0999999999999999E-2</v>
      </c>
      <c r="AM67" s="583">
        <f>VLOOKUP($H67,Nutrition_tables!$A:$AF,26,FALSE)*$Q67/100</f>
        <v>4.2500000000000003E-2</v>
      </c>
      <c r="AN67" s="583">
        <f>VLOOKUP($H67,Nutrition_tables!$A:$AF,27,FALSE)*$Q67/100</f>
        <v>0.91</v>
      </c>
      <c r="AO67" s="583">
        <f>VLOOKUP($H67,Nutrition_tables!$A:$AF,28,FALSE)*$Q67/100</f>
        <v>4.8000000000000001E-2</v>
      </c>
      <c r="AP67" s="583">
        <f>VLOOKUP($H67,Nutrition_tables!$A:$AF,29,FALSE)*$Q67/100</f>
        <v>14.5</v>
      </c>
      <c r="AQ67" s="583">
        <f>VLOOKUP($H67,Nutrition_tables!$A:$AF,30,FALSE)*$Q67/100</f>
        <v>-2.0000000000000001E-4</v>
      </c>
      <c r="AR67" s="583">
        <f>VLOOKUP($H67,Nutrition_tables!$A:$AF,31,FALSE)*$Q67/100</f>
        <v>5.2</v>
      </c>
      <c r="AS67" s="549">
        <f>VLOOKUP($H67,Nutrition_tables!$A:$AF,32,FALSE)*$Q67/100</f>
        <v>-2.0000000000000001E-4</v>
      </c>
      <c r="AT67" s="583">
        <f>IF(H67="Select ingredient:","",IF(G67="Select food category:","",IFERROR(VLOOKUP($H67,Ingredient_prices!$E:$W,17,FALSE)*$Q67/1000,"not bought")))</f>
        <v>4.4000000000000004</v>
      </c>
      <c r="AU67" s="583">
        <f>IF(H67="Select ingredient:","",IF(G67="Select food category:","",IFERROR(VLOOKUP($H67,Ingredient_prices!$E:$W,18,FALSE)*$Q67/1000,"not bought")))</f>
        <v>4.4000000000000004</v>
      </c>
      <c r="AV67" s="583">
        <f t="shared" si="120"/>
        <v>22.965745406850914</v>
      </c>
      <c r="AW67" s="583">
        <f t="shared" si="98"/>
        <v>3.0974993805001239</v>
      </c>
      <c r="AX67" s="583">
        <f t="shared" si="99"/>
        <v>0.94694981061003791</v>
      </c>
      <c r="AY67" s="583">
        <f t="shared" si="100"/>
        <v>0.12389997522000495</v>
      </c>
      <c r="AZ67" s="583">
        <f t="shared" si="101"/>
        <v>1.1062497787500443</v>
      </c>
      <c r="BA67" s="583">
        <f t="shared" si="102"/>
        <v>4.4249991150001763E-2</v>
      </c>
      <c r="BB67" s="583">
        <f t="shared" si="103"/>
        <v>20.797495840500829</v>
      </c>
      <c r="BC67" s="583">
        <f t="shared" si="104"/>
        <v>93.809981238003743</v>
      </c>
      <c r="BD67" s="583">
        <f t="shared" si="105"/>
        <v>11.062497787500442</v>
      </c>
      <c r="BE67" s="583">
        <f t="shared" si="106"/>
        <v>10.619997876000424</v>
      </c>
      <c r="BF67" s="583">
        <f t="shared" si="107"/>
        <v>26.107494778501042</v>
      </c>
      <c r="BG67" s="583">
        <f t="shared" si="108"/>
        <v>0.4203749159250168</v>
      </c>
      <c r="BH67" s="583">
        <f t="shared" si="109"/>
        <v>0.19912496017500797</v>
      </c>
      <c r="BI67" s="583">
        <f t="shared" si="110"/>
        <v>4.1152491769501649E-2</v>
      </c>
      <c r="BJ67" s="583">
        <f t="shared" si="111"/>
        <v>112.39497752100449</v>
      </c>
      <c r="BK67" s="583">
        <f t="shared" si="112"/>
        <v>5.3984989203002161E-2</v>
      </c>
      <c r="BL67" s="583">
        <f t="shared" si="113"/>
        <v>3.7612492477501508E-2</v>
      </c>
      <c r="BM67" s="583">
        <f t="shared" si="114"/>
        <v>0.80534983893003209</v>
      </c>
      <c r="BN67" s="583">
        <f t="shared" si="115"/>
        <v>4.2479991504001696E-2</v>
      </c>
      <c r="BO67" s="583">
        <f t="shared" si="116"/>
        <v>12.832497433500512</v>
      </c>
      <c r="BP67" s="583">
        <f t="shared" si="117"/>
        <v>-1.7699996460000708E-4</v>
      </c>
      <c r="BQ67" s="583">
        <f t="shared" si="118"/>
        <v>4.6019990796001835</v>
      </c>
      <c r="BR67" s="583">
        <f t="shared" si="119"/>
        <v>-1.7699996460000708E-4</v>
      </c>
    </row>
    <row r="68" spans="1:70" s="229" customFormat="1">
      <c r="A68" s="590"/>
      <c r="E68" s="576">
        <f t="shared" si="121"/>
        <v>100</v>
      </c>
      <c r="F68" s="85"/>
      <c r="G68" s="406" t="s">
        <v>3140</v>
      </c>
      <c r="H68" s="1262" t="s">
        <v>3126</v>
      </c>
      <c r="I68" s="85">
        <v>20</v>
      </c>
      <c r="J68" s="682">
        <v>1</v>
      </c>
      <c r="K68" s="579">
        <f t="shared" si="95"/>
        <v>2.2000000000000002</v>
      </c>
      <c r="L68" s="580">
        <f>IF(H68="Select ingredient:","",IF(G68="","",_xlfn.IFNA(VLOOKUP($H68,Ingredient_prices!$E:$U,16,FALSE),0)))</f>
        <v>99</v>
      </c>
      <c r="M68" s="591"/>
      <c r="N68" s="591"/>
      <c r="O68" s="591"/>
      <c r="P68" s="592"/>
      <c r="Q68" s="583">
        <f t="shared" si="96"/>
        <v>20</v>
      </c>
      <c r="R68" s="583">
        <f>VLOOKUP($H68,'CO2_emission+%_food_waste'!$A:$K,6,FALSE)*$Q68/100</f>
        <v>5.52</v>
      </c>
      <c r="S68" s="583">
        <f t="shared" si="97"/>
        <v>14.48</v>
      </c>
      <c r="T68" s="583">
        <f>IF(H68="Select ingredient:","",IF(G68="Select food category:","",_xlfn.IFNA(VLOOKUP($H68,Ingredient_prices!$E:$U,16,FALSE)*$Q68/1000,"not bought")))</f>
        <v>1.98</v>
      </c>
      <c r="U68" s="583">
        <f>IF(G68="Select food category:","",_xlfn.IFNA(VLOOKUP($H68,Ingredient_prices!$E:$U,16,FALSE)*$R68/1000,"not bought"))</f>
        <v>0.54647999999999985</v>
      </c>
      <c r="V68" s="549">
        <f>VLOOKUP($H68,'CO2_emission+%_food_waste'!$A:$K,4,FALSE)*$Q68</f>
        <v>50</v>
      </c>
      <c r="W68" s="583">
        <f>VLOOKUP($H68,Nutrition_tables!$A:$N,10,FALSE)*$Q68/100</f>
        <v>17.2</v>
      </c>
      <c r="X68" s="583">
        <f>VLOOKUP($H68,Nutrition_tables!$A:$N,11,FALSE)*$Q68/100</f>
        <v>3.34</v>
      </c>
      <c r="Y68" s="583">
        <f>VLOOKUP($H68,Nutrition_tables!$A:$N,12,FALSE)*$Q68/100</f>
        <v>0.65400000000000003</v>
      </c>
      <c r="Z68" s="583">
        <f>VLOOKUP($H68,Nutrition_tables!$A:$N,14,FALSE)*$Q68/100</f>
        <v>0.27</v>
      </c>
      <c r="AA68" s="583">
        <f>VLOOKUP($H68,Nutrition_tables!$A:$AF,13,FALSE)*$Q68/100</f>
        <v>0.4</v>
      </c>
      <c r="AB68" s="549">
        <f>VLOOKUP($H68,Nutrition_tables!$A:$AF,15,FALSE)*$Q68/100</f>
        <v>0.13344</v>
      </c>
      <c r="AC68" s="583">
        <f>VLOOKUP($H68,Nutrition_tables!$A:$AF,16,FALSE)*$Q68/100</f>
        <v>7</v>
      </c>
      <c r="AD68" s="583">
        <f>VLOOKUP($H68,Nutrition_tables!$A:$AF,17,FALSE)*$Q68/100</f>
        <v>57.4</v>
      </c>
      <c r="AE68" s="583">
        <f>VLOOKUP($H68,Nutrition_tables!$A:$AF,18,FALSE)*$Q68/100</f>
        <v>1.4</v>
      </c>
      <c r="AF68" s="583">
        <f>VLOOKUP($H68,Nutrition_tables!$A:$AF,19,FALSE)*$Q68/100</f>
        <v>25.4</v>
      </c>
      <c r="AG68" s="583">
        <f>VLOOKUP($H68,Nutrition_tables!$A:$AF,20,FALSE)*$Q68/100</f>
        <v>42</v>
      </c>
      <c r="AH68" s="583">
        <f>VLOOKUP($H68,Nutrition_tables!$A:$AF,21,FALSE)*$Q68/100</f>
        <v>0.54200000000000004</v>
      </c>
      <c r="AI68" s="583">
        <f>VLOOKUP($H68,Nutrition_tables!$A:$AF,22,FALSE)*$Q68/100</f>
        <v>0.442</v>
      </c>
      <c r="AJ68" s="549">
        <f>VLOOKUP($H68,Nutrition_tables!$A:$AF,23,FALSE)*$Q68/100</f>
        <v>6.2800000000000009E-2</v>
      </c>
      <c r="AK68" s="583">
        <f>VLOOKUP($H68,Nutrition_tables!$A:$AF,24,FALSE)*$Q68/100</f>
        <v>2.2000000000000002</v>
      </c>
      <c r="AL68" s="583">
        <f>VLOOKUP($H68,Nutrition_tables!$A:$AF,25,FALSE)*$Q68/100</f>
        <v>7.7039999999999997E-2</v>
      </c>
      <c r="AM68" s="583">
        <f>VLOOKUP($H68,Nutrition_tables!$A:$AF,26,FALSE)*$Q68/100</f>
        <v>4.0239999999999991E-2</v>
      </c>
      <c r="AN68" s="583">
        <f>VLOOKUP($H68,Nutrition_tables!$A:$AF,27,FALSE)*$Q68/100</f>
        <v>0.72544000000000008</v>
      </c>
      <c r="AO68" s="583">
        <f>VLOOKUP($H68,Nutrition_tables!$A:$AF,28,FALSE)*$Q68/100</f>
        <v>3.2000000000000001E-2</v>
      </c>
      <c r="AP68" s="583">
        <f>VLOOKUP($H68,Nutrition_tables!$A:$AF,29,FALSE)*$Q68/100</f>
        <v>3.8</v>
      </c>
      <c r="AQ68" s="583">
        <f>VLOOKUP($H68,Nutrition_tables!$A:$AF,30,FALSE)*$Q68/100</f>
        <v>-8.0000000000000007E-5</v>
      </c>
      <c r="AR68" s="583">
        <f>VLOOKUP($H68,Nutrition_tables!$A:$AF,31,FALSE)*$Q68/100</f>
        <v>0.62</v>
      </c>
      <c r="AS68" s="549">
        <f>VLOOKUP($H68,Nutrition_tables!$A:$AF,32,FALSE)*$Q68/100</f>
        <v>-8.0000000000000007E-5</v>
      </c>
      <c r="AT68" s="583">
        <f>IF(H68="Select ingredient:","",IF(G68="Select food category:","",IFERROR(VLOOKUP($H68,Ingredient_prices!$E:$W,17,FALSE)*$Q68/1000,"not bought")))</f>
        <v>1.98</v>
      </c>
      <c r="AU68" s="583">
        <f>IF(H68="Select ingredient:","",IF(G68="Select food category:","",IFERROR(VLOOKUP($H68,Ingredient_prices!$E:$W,18,FALSE)*$Q68/1000,"not bought")))</f>
        <v>1.98</v>
      </c>
      <c r="AV68" s="583">
        <f t="shared" si="120"/>
        <v>12.452793773603112</v>
      </c>
      <c r="AW68" s="583">
        <f t="shared" si="98"/>
        <v>2.4181587909206046</v>
      </c>
      <c r="AX68" s="583">
        <f t="shared" si="99"/>
        <v>0.4734957632521184</v>
      </c>
      <c r="AY68" s="583">
        <f t="shared" si="100"/>
        <v>0.19547990226004888</v>
      </c>
      <c r="AZ68" s="583">
        <f t="shared" si="101"/>
        <v>0.28959985520007242</v>
      </c>
      <c r="BA68" s="583">
        <f t="shared" si="102"/>
        <v>9.6610511694744161E-2</v>
      </c>
      <c r="BB68" s="583">
        <f t="shared" si="103"/>
        <v>5.067997466001267</v>
      </c>
      <c r="BC68" s="583">
        <f t="shared" si="104"/>
        <v>41.557579221210389</v>
      </c>
      <c r="BD68" s="583">
        <f t="shared" si="105"/>
        <v>1.0135994932002534</v>
      </c>
      <c r="BE68" s="583">
        <f t="shared" si="106"/>
        <v>18.389590805204595</v>
      </c>
      <c r="BF68" s="583">
        <f t="shared" si="107"/>
        <v>30.4079847960076</v>
      </c>
      <c r="BG68" s="583">
        <f t="shared" si="108"/>
        <v>0.39240780379609813</v>
      </c>
      <c r="BH68" s="583">
        <f t="shared" si="109"/>
        <v>0.32000783999608001</v>
      </c>
      <c r="BI68" s="583">
        <f t="shared" si="110"/>
        <v>4.5467177266411377E-2</v>
      </c>
      <c r="BJ68" s="583">
        <f t="shared" si="111"/>
        <v>1.5927992036003984</v>
      </c>
      <c r="BK68" s="583">
        <f t="shared" si="112"/>
        <v>5.5776932111533943E-2</v>
      </c>
      <c r="BL68" s="583">
        <f t="shared" si="113"/>
        <v>2.9133745433127276E-2</v>
      </c>
      <c r="BM68" s="583">
        <f t="shared" si="114"/>
        <v>0.52521829739085135</v>
      </c>
      <c r="BN68" s="583">
        <f t="shared" si="115"/>
        <v>2.3167988416005796E-2</v>
      </c>
      <c r="BO68" s="583">
        <f t="shared" si="116"/>
        <v>2.7511986244006881</v>
      </c>
      <c r="BP68" s="583">
        <f t="shared" si="117"/>
        <v>-5.7919971040014489E-5</v>
      </c>
      <c r="BQ68" s="583">
        <f t="shared" si="118"/>
        <v>0.44887977556011227</v>
      </c>
      <c r="BR68" s="583">
        <f t="shared" si="119"/>
        <v>-5.7919971040014489E-5</v>
      </c>
    </row>
    <row r="69" spans="1:70" s="229" customFormat="1">
      <c r="A69" s="590"/>
      <c r="E69" s="576">
        <f t="shared" si="121"/>
        <v>100</v>
      </c>
      <c r="F69" s="406"/>
      <c r="G69" s="406" t="s">
        <v>3140</v>
      </c>
      <c r="H69" s="1262" t="s">
        <v>518</v>
      </c>
      <c r="I69" s="85">
        <v>20</v>
      </c>
      <c r="J69" s="682">
        <v>1</v>
      </c>
      <c r="K69" s="579">
        <f t="shared" si="95"/>
        <v>2.2000000000000002</v>
      </c>
      <c r="L69" s="580">
        <f>IF(H69="Select ingredient:","",IF(G69="","",_xlfn.IFNA(VLOOKUP($H69,Ingredient_prices!$E:$U,16,FALSE),0)))</f>
        <v>246</v>
      </c>
      <c r="M69" s="591"/>
      <c r="N69" s="591"/>
      <c r="O69" s="591"/>
      <c r="P69" s="592"/>
      <c r="Q69" s="583">
        <f t="shared" si="96"/>
        <v>20</v>
      </c>
      <c r="R69" s="583">
        <f>VLOOKUP($H69,'CO2_emission+%_food_waste'!$A:$K,6,FALSE)*$Q69/100</f>
        <v>5.82</v>
      </c>
      <c r="S69" s="583">
        <f t="shared" si="97"/>
        <v>14.18</v>
      </c>
      <c r="T69" s="583">
        <f>IF(H69="Select ingredient:","",IF(G69="Select food category:","",_xlfn.IFNA(VLOOKUP($H69,Ingredient_prices!$E:$U,16,FALSE)*$Q69/1000,"not bought")))</f>
        <v>4.92</v>
      </c>
      <c r="U69" s="583">
        <f>IF(G69="Select food category:","",_xlfn.IFNA(VLOOKUP($H69,Ingredient_prices!$E:$U,16,FALSE)*$R69/1000,"not bought"))</f>
        <v>1.4317200000000001</v>
      </c>
      <c r="V69" s="549">
        <f>VLOOKUP($H69,'CO2_emission+%_food_waste'!$A:$K,4,FALSE)*$Q69</f>
        <v>21.200000000000003</v>
      </c>
      <c r="W69" s="583">
        <f>VLOOKUP($H69,Nutrition_tables!$A:$N,10,FALSE)*$Q69/100</f>
        <v>67.999999999999986</v>
      </c>
      <c r="X69" s="583">
        <f>VLOOKUP($H69,Nutrition_tables!$A:$N,11,FALSE)*$Q69/100</f>
        <v>12.02</v>
      </c>
      <c r="Y69" s="583">
        <f>VLOOKUP($H69,Nutrition_tables!$A:$N,12,FALSE)*$Q69/100</f>
        <v>4.8800000000000008</v>
      </c>
      <c r="Z69" s="583">
        <f>VLOOKUP($H69,Nutrition_tables!$A:$N,14,FALSE)*$Q69/100</f>
        <v>0.3</v>
      </c>
      <c r="AA69" s="583">
        <f>VLOOKUP($H69,Nutrition_tables!$A:$AF,13,FALSE)*$Q69/100</f>
        <v>3.6</v>
      </c>
      <c r="AB69" s="549">
        <f>VLOOKUP($H69,Nutrition_tables!$A:$AF,15,FALSE)*$Q69/100</f>
        <v>0.06</v>
      </c>
      <c r="AC69" s="583">
        <f>VLOOKUP($H69,Nutrition_tables!$A:$AF,16,FALSE)*$Q69/100</f>
        <v>20.200000000000003</v>
      </c>
      <c r="AD69" s="583">
        <f>VLOOKUP($H69,Nutrition_tables!$A:$AF,17,FALSE)*$Q69/100</f>
        <v>188</v>
      </c>
      <c r="AE69" s="583">
        <f>VLOOKUP($H69,Nutrition_tables!$A:$AF,18,FALSE)*$Q69/100</f>
        <v>14.020000000000003</v>
      </c>
      <c r="AF69" s="583">
        <f>VLOOKUP($H69,Nutrition_tables!$A:$AF,19,FALSE)*$Q69/100</f>
        <v>22</v>
      </c>
      <c r="AG69" s="583">
        <f>VLOOKUP($H69,Nutrition_tables!$A:$AF,20,FALSE)*$Q69/100</f>
        <v>70</v>
      </c>
      <c r="AH69" s="583">
        <f>VLOOKUP($H69,Nutrition_tables!$A:$AF,21,FALSE)*$Q69/100</f>
        <v>2.2200000000000002</v>
      </c>
      <c r="AI69" s="583">
        <f>VLOOKUP($H69,Nutrition_tables!$A:$AF,22,FALSE)*$Q69/100</f>
        <v>0.78</v>
      </c>
      <c r="AJ69" s="549">
        <f>VLOOKUP($H69,Nutrition_tables!$A:$AF,23,FALSE)*$Q69/100</f>
        <v>0.20399999999999999</v>
      </c>
      <c r="AK69" s="583">
        <f>VLOOKUP($H69,Nutrition_tables!$A:$AF,24,FALSE)*$Q69/100</f>
        <v>6</v>
      </c>
      <c r="AL69" s="583">
        <f>VLOOKUP($H69,Nutrition_tables!$A:$AF,25,FALSE)*$Q69/100</f>
        <v>8.199999999999999E-2</v>
      </c>
      <c r="AM69" s="583">
        <f>VLOOKUP($H69,Nutrition_tables!$A:$AF,26,FALSE)*$Q69/100</f>
        <v>5.4000000000000006E-2</v>
      </c>
      <c r="AN69" s="583">
        <f>VLOOKUP($H69,Nutrition_tables!$A:$AF,27,FALSE)*$Q69/100</f>
        <v>1.1000000000000001</v>
      </c>
      <c r="AO69" s="583">
        <f>VLOOKUP($H69,Nutrition_tables!$A:$AF,28,FALSE)*$Q69/100</f>
        <v>7.0000000000000007E-2</v>
      </c>
      <c r="AP69" s="583">
        <f>VLOOKUP($H69,Nutrition_tables!$A:$AF,29,FALSE)*$Q69/100</f>
        <v>22</v>
      </c>
      <c r="AQ69" s="583">
        <f>VLOOKUP($H69,Nutrition_tables!$A:$AF,30,FALSE)*$Q69/100</f>
        <v>0</v>
      </c>
      <c r="AR69" s="583">
        <f>VLOOKUP($H69,Nutrition_tables!$A:$AF,31,FALSE)*$Q69/100</f>
        <v>0.9</v>
      </c>
      <c r="AS69" s="549">
        <f>VLOOKUP($H69,Nutrition_tables!$A:$AF,32,FALSE)*$Q69/100</f>
        <v>0</v>
      </c>
      <c r="AT69" s="583">
        <f>IF(H69="Select ingredient:","",IF(G69="Select food category:","",IFERROR(VLOOKUP($H69,Ingredient_prices!$E:$W,17,FALSE)*$Q69/1000,"not bought")))</f>
        <v>4.92</v>
      </c>
      <c r="AU69" s="583">
        <f>IF(H69="Select ingredient:","",IF(G69="Select food category:","",IFERROR(VLOOKUP($H69,Ingredient_prices!$E:$W,18,FALSE)*$Q69/1000,"not bought")))</f>
        <v>4.92</v>
      </c>
      <c r="AV69" s="583">
        <f t="shared" si="120"/>
        <v>48.211975894012042</v>
      </c>
      <c r="AW69" s="583">
        <f t="shared" si="98"/>
        <v>8.5221757389121304</v>
      </c>
      <c r="AX69" s="583">
        <f t="shared" si="99"/>
        <v>3.4599182700408653</v>
      </c>
      <c r="AY69" s="583">
        <f t="shared" si="100"/>
        <v>0.21269989365005315</v>
      </c>
      <c r="AZ69" s="583">
        <f t="shared" si="101"/>
        <v>2.5523987238006383</v>
      </c>
      <c r="BA69" s="583">
        <f t="shared" si="102"/>
        <v>4.2539978730010634E-2</v>
      </c>
      <c r="BB69" s="583">
        <f t="shared" si="103"/>
        <v>14.321792839103583</v>
      </c>
      <c r="BC69" s="583">
        <f t="shared" si="104"/>
        <v>133.29193335403335</v>
      </c>
      <c r="BD69" s="583">
        <f t="shared" si="105"/>
        <v>9.9401750299124867</v>
      </c>
      <c r="BE69" s="583">
        <f t="shared" si="106"/>
        <v>15.597992201003899</v>
      </c>
      <c r="BF69" s="583">
        <f t="shared" si="107"/>
        <v>49.629975185012412</v>
      </c>
      <c r="BG69" s="583">
        <f t="shared" si="108"/>
        <v>1.5739792130103936</v>
      </c>
      <c r="BH69" s="583">
        <f t="shared" si="109"/>
        <v>0.55301972349013828</v>
      </c>
      <c r="BI69" s="583">
        <f t="shared" si="110"/>
        <v>0.14463592768203615</v>
      </c>
      <c r="BJ69" s="583">
        <f t="shared" si="111"/>
        <v>4.2539978730010635</v>
      </c>
      <c r="BK69" s="583">
        <f t="shared" si="112"/>
        <v>5.8137970931014527E-2</v>
      </c>
      <c r="BL69" s="583">
        <f t="shared" si="113"/>
        <v>3.8285980857009579E-2</v>
      </c>
      <c r="BM69" s="583">
        <f t="shared" si="114"/>
        <v>0.77989961005019504</v>
      </c>
      <c r="BN69" s="583">
        <f t="shared" si="115"/>
        <v>4.9629975185012408E-2</v>
      </c>
      <c r="BO69" s="583">
        <f t="shared" si="116"/>
        <v>15.597992201003899</v>
      </c>
      <c r="BP69" s="583">
        <f t="shared" si="117"/>
        <v>0</v>
      </c>
      <c r="BQ69" s="583">
        <f t="shared" si="118"/>
        <v>0.63809968095015956</v>
      </c>
      <c r="BR69" s="583">
        <f t="shared" si="119"/>
        <v>0</v>
      </c>
    </row>
    <row r="70" spans="1:70" s="229" customFormat="1" ht="15" customHeight="1">
      <c r="A70" s="590"/>
      <c r="D70" s="85"/>
      <c r="E70" s="576">
        <f t="shared" si="121"/>
        <v>100</v>
      </c>
      <c r="F70" s="406"/>
      <c r="G70" s="406" t="s">
        <v>3054</v>
      </c>
      <c r="H70" s="1262" t="s">
        <v>3055</v>
      </c>
      <c r="I70" s="85">
        <v>0</v>
      </c>
      <c r="J70" s="682">
        <v>1</v>
      </c>
      <c r="K70" s="579" t="str">
        <f t="shared" si="95"/>
        <v/>
      </c>
      <c r="L70" s="580" t="str">
        <f>IF(H70="Select ingredient:","",IF(G70="","",_xlfn.IFNA(VLOOKUP($H70,Ingredient_prices!$E:$U,16,FALSE),0)))</f>
        <v/>
      </c>
      <c r="M70" s="591"/>
      <c r="N70" s="591"/>
      <c r="O70" s="591"/>
      <c r="P70" s="592"/>
      <c r="Q70" s="583">
        <f t="shared" si="96"/>
        <v>0</v>
      </c>
      <c r="R70" s="583">
        <f>VLOOKUP($H70,'CO2_emission+%_food_waste'!$A:$K,6,FALSE)*$Q70/100</f>
        <v>0</v>
      </c>
      <c r="S70" s="583">
        <f t="shared" si="97"/>
        <v>0</v>
      </c>
      <c r="T70" s="583" t="str">
        <f>IF(H70="Select ingredient:","",IF(G70="Select food category:","",_xlfn.IFNA(VLOOKUP($H70,Ingredient_prices!$E:$U,16,FALSE)*$Q70/1000,"not bought")))</f>
        <v/>
      </c>
      <c r="U70" s="583" t="str">
        <f>IF(G70="Select food category:","",_xlfn.IFNA(VLOOKUP($H70,Ingredient_prices!$E:$U,16,FALSE)*$R70/1000,"not bought"))</f>
        <v/>
      </c>
      <c r="V70" s="549">
        <f>VLOOKUP($H70,'CO2_emission+%_food_waste'!$A:$K,4,FALSE)*$Q70</f>
        <v>0</v>
      </c>
      <c r="W70" s="583">
        <f>VLOOKUP($H70,Nutrition_tables!$A:$N,10,FALSE)*$Q70/100</f>
        <v>0</v>
      </c>
      <c r="X70" s="583">
        <f>VLOOKUP($H70,Nutrition_tables!$A:$N,11,FALSE)*$Q70/100</f>
        <v>0</v>
      </c>
      <c r="Y70" s="583">
        <f>VLOOKUP($H70,Nutrition_tables!$A:$N,12,FALSE)*$Q70/100</f>
        <v>0</v>
      </c>
      <c r="Z70" s="583">
        <f>VLOOKUP($H70,Nutrition_tables!$A:$N,14,FALSE)*$Q70/100</f>
        <v>0</v>
      </c>
      <c r="AA70" s="583">
        <f>VLOOKUP($H70,Nutrition_tables!$A:$AF,13,FALSE)*$Q70/100</f>
        <v>0</v>
      </c>
      <c r="AB70" s="549">
        <f>VLOOKUP($H70,Nutrition_tables!$A:$AF,15,FALSE)*$Q70/100</f>
        <v>0</v>
      </c>
      <c r="AC70" s="583">
        <f>VLOOKUP($H70,Nutrition_tables!$A:$AF,16,FALSE)*$Q70/100</f>
        <v>0</v>
      </c>
      <c r="AD70" s="583">
        <f>VLOOKUP($H70,Nutrition_tables!$A:$AF,17,FALSE)*$Q70/100</f>
        <v>0</v>
      </c>
      <c r="AE70" s="583">
        <f>VLOOKUP($H70,Nutrition_tables!$A:$AF,18,FALSE)*$Q70/100</f>
        <v>0</v>
      </c>
      <c r="AF70" s="583">
        <f>VLOOKUP($H70,Nutrition_tables!$A:$AF,19,FALSE)*$Q70/100</f>
        <v>0</v>
      </c>
      <c r="AG70" s="583">
        <f>VLOOKUP($H70,Nutrition_tables!$A:$AF,20,FALSE)*$Q70/100</f>
        <v>0</v>
      </c>
      <c r="AH70" s="583">
        <f>VLOOKUP($H70,Nutrition_tables!$A:$AF,21,FALSE)*$Q70/100</f>
        <v>0</v>
      </c>
      <c r="AI70" s="583">
        <f>VLOOKUP($H70,Nutrition_tables!$A:$AF,22,FALSE)*$Q70/100</f>
        <v>0</v>
      </c>
      <c r="AJ70" s="549">
        <f>VLOOKUP($H70,Nutrition_tables!$A:$AF,23,FALSE)*$Q70/100</f>
        <v>0</v>
      </c>
      <c r="AK70" s="583">
        <f>VLOOKUP($H70,Nutrition_tables!$A:$AF,24,FALSE)*$Q70/100</f>
        <v>0</v>
      </c>
      <c r="AL70" s="583">
        <f>VLOOKUP($H70,Nutrition_tables!$A:$AF,25,FALSE)*$Q70/100</f>
        <v>0</v>
      </c>
      <c r="AM70" s="583">
        <f>VLOOKUP($H70,Nutrition_tables!$A:$AF,26,FALSE)*$Q70/100</f>
        <v>0</v>
      </c>
      <c r="AN70" s="583">
        <f>VLOOKUP($H70,Nutrition_tables!$A:$AF,27,FALSE)*$Q70/100</f>
        <v>0</v>
      </c>
      <c r="AO70" s="583">
        <f>VLOOKUP($H70,Nutrition_tables!$A:$AF,28,FALSE)*$Q70/100</f>
        <v>0</v>
      </c>
      <c r="AP70" s="583">
        <f>VLOOKUP($H70,Nutrition_tables!$A:$AF,29,FALSE)*$Q70/100</f>
        <v>0</v>
      </c>
      <c r="AQ70" s="583">
        <f>VLOOKUP($H70,Nutrition_tables!$A:$AF,30,FALSE)*$Q70/100</f>
        <v>0</v>
      </c>
      <c r="AR70" s="583">
        <f>VLOOKUP($H70,Nutrition_tables!$A:$AF,31,FALSE)*$Q70/100</f>
        <v>0</v>
      </c>
      <c r="AS70" s="549">
        <f>VLOOKUP($H70,Nutrition_tables!$A:$AF,32,FALSE)*$Q70/100</f>
        <v>0</v>
      </c>
      <c r="AT70" s="583" t="str">
        <f>IF(H70="Select ingredient:","",IF(G70="Select food category:","",IFERROR(VLOOKUP($H70,Ingredient_prices!$E:$W,17,FALSE)*$Q70/1000,"not bought")))</f>
        <v/>
      </c>
      <c r="AU70" s="583" t="str">
        <f>IF(H70="Select ingredient:","",IF(G70="Select food category:","",IFERROR(VLOOKUP($H70,Ingredient_prices!$E:$W,18,FALSE)*$Q70/1000,"not bought")))</f>
        <v/>
      </c>
      <c r="AV70" s="583">
        <f t="shared" si="120"/>
        <v>0</v>
      </c>
      <c r="AW70" s="583">
        <f t="shared" si="98"/>
        <v>0</v>
      </c>
      <c r="AX70" s="583">
        <f t="shared" si="99"/>
        <v>0</v>
      </c>
      <c r="AY70" s="583">
        <f t="shared" si="100"/>
        <v>0</v>
      </c>
      <c r="AZ70" s="583">
        <f t="shared" si="101"/>
        <v>0</v>
      </c>
      <c r="BA70" s="583">
        <f t="shared" si="102"/>
        <v>0</v>
      </c>
      <c r="BB70" s="583">
        <f t="shared" si="103"/>
        <v>0</v>
      </c>
      <c r="BC70" s="583">
        <f t="shared" si="104"/>
        <v>0</v>
      </c>
      <c r="BD70" s="583">
        <f t="shared" si="105"/>
        <v>0</v>
      </c>
      <c r="BE70" s="583">
        <f t="shared" si="106"/>
        <v>0</v>
      </c>
      <c r="BF70" s="583">
        <f t="shared" si="107"/>
        <v>0</v>
      </c>
      <c r="BG70" s="583">
        <f t="shared" si="108"/>
        <v>0</v>
      </c>
      <c r="BH70" s="583">
        <f t="shared" si="109"/>
        <v>0</v>
      </c>
      <c r="BI70" s="583">
        <f t="shared" si="110"/>
        <v>0</v>
      </c>
      <c r="BJ70" s="583">
        <f t="shared" si="111"/>
        <v>0</v>
      </c>
      <c r="BK70" s="583">
        <f t="shared" si="112"/>
        <v>0</v>
      </c>
      <c r="BL70" s="583">
        <f t="shared" si="113"/>
        <v>0</v>
      </c>
      <c r="BM70" s="583">
        <f t="shared" si="114"/>
        <v>0</v>
      </c>
      <c r="BN70" s="583">
        <f t="shared" si="115"/>
        <v>0</v>
      </c>
      <c r="BO70" s="583">
        <f t="shared" si="116"/>
        <v>0</v>
      </c>
      <c r="BP70" s="583">
        <f t="shared" si="117"/>
        <v>0</v>
      </c>
      <c r="BQ70" s="583">
        <f t="shared" si="118"/>
        <v>0</v>
      </c>
      <c r="BR70" s="583">
        <f t="shared" si="119"/>
        <v>0</v>
      </c>
    </row>
    <row r="71" spans="1:70" s="229" customFormat="1">
      <c r="A71" s="590"/>
      <c r="D71" s="85"/>
      <c r="E71" s="576">
        <f t="shared" si="121"/>
        <v>100</v>
      </c>
      <c r="F71" s="707" t="s">
        <v>3897</v>
      </c>
      <c r="G71" s="406" t="s">
        <v>3140</v>
      </c>
      <c r="H71" s="1262" t="s">
        <v>3105</v>
      </c>
      <c r="I71" s="85">
        <v>80</v>
      </c>
      <c r="J71" s="682">
        <v>1</v>
      </c>
      <c r="K71" s="579">
        <f t="shared" si="95"/>
        <v>8.8000000000000007</v>
      </c>
      <c r="L71" s="580">
        <f>IF(H71="Select ingredient:","",IF(G71="","",_xlfn.IFNA(VLOOKUP($H71,Ingredient_prices!$E:$U,16,FALSE),0)))</f>
        <v>90</v>
      </c>
      <c r="M71" s="591"/>
      <c r="N71" s="591"/>
      <c r="O71" s="591"/>
      <c r="P71" s="592"/>
      <c r="Q71" s="583">
        <f t="shared" si="96"/>
        <v>80</v>
      </c>
      <c r="R71" s="583">
        <f>VLOOKUP($H71,'CO2_emission+%_food_waste'!$A:$K,6,FALSE)*$Q71/100</f>
        <v>22.8</v>
      </c>
      <c r="S71" s="583">
        <f t="shared" si="97"/>
        <v>57.2</v>
      </c>
      <c r="T71" s="583">
        <f>IF(H71="Select ingredient:","",IF(G71="Select food category:","",_xlfn.IFNA(VLOOKUP($H71,Ingredient_prices!$E:$U,16,FALSE)*$Q71/1000,"not bought")))</f>
        <v>7.2</v>
      </c>
      <c r="U71" s="583">
        <f>IF(G71="Select food category:","",_xlfn.IFNA(VLOOKUP($H71,Ingredient_prices!$E:$U,16,FALSE)*$R71/1000,"not bought"))</f>
        <v>2.052</v>
      </c>
      <c r="V71" s="549">
        <f>VLOOKUP($H71,'CO2_emission+%_food_waste'!$A:$K,4,FALSE)*$Q71</f>
        <v>38.4</v>
      </c>
      <c r="W71" s="583">
        <f>VLOOKUP($H71,Nutrition_tables!$A:$N,10,FALSE)*$Q71/100</f>
        <v>19.2</v>
      </c>
      <c r="X71" s="583">
        <f>VLOOKUP($H71,Nutrition_tables!$A:$N,11,FALSE)*$Q71/100</f>
        <v>3.28</v>
      </c>
      <c r="Y71" s="583">
        <f>VLOOKUP($H71,Nutrition_tables!$A:$N,12,FALSE)*$Q71/100</f>
        <v>0.96</v>
      </c>
      <c r="Z71" s="583">
        <f>VLOOKUP($H71,Nutrition_tables!$A:$N,14,FALSE)*$Q71/100</f>
        <v>0.16</v>
      </c>
      <c r="AA71" s="583">
        <f>VLOOKUP($H71,Nutrition_tables!$A:$AF,13,FALSE)*$Q71/100</f>
        <v>2</v>
      </c>
      <c r="AB71" s="549">
        <f>VLOOKUP($H71,Nutrition_tables!$A:$AF,15,FALSE)*$Q71/100</f>
        <v>0.08</v>
      </c>
      <c r="AC71" s="583">
        <f>VLOOKUP($H71,Nutrition_tables!$A:$AF,16,FALSE)*$Q71/100</f>
        <v>4</v>
      </c>
      <c r="AD71" s="583">
        <f>VLOOKUP($H71,Nutrition_tables!$A:$AF,17,FALSE)*$Q71/100</f>
        <v>256</v>
      </c>
      <c r="AE71" s="583">
        <f>VLOOKUP($H71,Nutrition_tables!$A:$AF,18,FALSE)*$Q71/100</f>
        <v>33.6</v>
      </c>
      <c r="AF71" s="583">
        <f>VLOOKUP($H71,Nutrition_tables!$A:$AF,19,FALSE)*$Q71/100</f>
        <v>11.2</v>
      </c>
      <c r="AG71" s="583">
        <f>VLOOKUP($H71,Nutrition_tables!$A:$AF,20,FALSE)*$Q71/100</f>
        <v>32</v>
      </c>
      <c r="AH71" s="583">
        <f>VLOOKUP($H71,Nutrition_tables!$A:$AF,21,FALSE)*$Q71/100</f>
        <v>0.32</v>
      </c>
      <c r="AI71" s="583">
        <f>VLOOKUP($H71,Nutrition_tables!$A:$AF,22,FALSE)*$Q71/100</f>
        <v>0.16</v>
      </c>
      <c r="AJ71" s="549">
        <f>VLOOKUP($H71,Nutrition_tables!$A:$AF,23,FALSE)*$Q71/100</f>
        <v>3.0666666666666665E-2</v>
      </c>
      <c r="AK71" s="583">
        <f>VLOOKUP($H71,Nutrition_tables!$A:$AF,24,FALSE)*$Q71/100</f>
        <v>4.4000000000000004</v>
      </c>
      <c r="AL71" s="583">
        <f>VLOOKUP($H71,Nutrition_tables!$A:$AF,25,FALSE)*$Q71/100</f>
        <v>5.6000000000000008E-2</v>
      </c>
      <c r="AM71" s="583">
        <f>VLOOKUP($H71,Nutrition_tables!$A:$AF,26,FALSE)*$Q71/100</f>
        <v>0.04</v>
      </c>
      <c r="AN71" s="583">
        <f>VLOOKUP($H71,Nutrition_tables!$A:$AF,27,FALSE)*$Q71/100</f>
        <v>0.64</v>
      </c>
      <c r="AO71" s="583">
        <f>VLOOKUP($H71,Nutrition_tables!$A:$AF,28,FALSE)*$Q71/100</f>
        <v>3.04E-2</v>
      </c>
      <c r="AP71" s="583">
        <f>VLOOKUP($H71,Nutrition_tables!$A:$AF,29,FALSE)*$Q71/100</f>
        <v>23.92</v>
      </c>
      <c r="AQ71" s="583">
        <f>VLOOKUP($H71,Nutrition_tables!$A:$AF,30,FALSE)*$Q71/100</f>
        <v>0</v>
      </c>
      <c r="AR71" s="583">
        <f>VLOOKUP($H71,Nutrition_tables!$A:$AF,31,FALSE)*$Q71/100</f>
        <v>29.92</v>
      </c>
      <c r="AS71" s="549">
        <f>VLOOKUP($H71,Nutrition_tables!$A:$AF,32,FALSE)*$Q71/100</f>
        <v>0</v>
      </c>
      <c r="AT71" s="583">
        <f>IF(H71="Select ingredient:","",IF(G71="Select food category:","",IFERROR(VLOOKUP($H71,Ingredient_prices!$E:$W,17,FALSE)*$Q71/1000,"not bought")))</f>
        <v>5.28</v>
      </c>
      <c r="AU71" s="583">
        <f>IF(H71="Select ingredient:","",IF(G71="Select food category:","",IFERROR(VLOOKUP($H71,Ingredient_prices!$E:$W,18,FALSE)*$Q71/1000,"not bought")))</f>
        <v>7.2</v>
      </c>
      <c r="AV71" s="583">
        <f t="shared" si="120"/>
        <v>13.727998284000215</v>
      </c>
      <c r="AW71" s="583">
        <f t="shared" si="98"/>
        <v>2.3451997068500363</v>
      </c>
      <c r="AX71" s="583">
        <f t="shared" si="99"/>
        <v>0.68639991420001067</v>
      </c>
      <c r="AY71" s="583">
        <f t="shared" si="100"/>
        <v>0.1143999857000018</v>
      </c>
      <c r="AZ71" s="583">
        <f t="shared" si="101"/>
        <v>1.4299998212500225</v>
      </c>
      <c r="BA71" s="583">
        <f t="shared" si="102"/>
        <v>5.7199992850000901E-2</v>
      </c>
      <c r="BB71" s="583">
        <f t="shared" si="103"/>
        <v>2.8599996425000449</v>
      </c>
      <c r="BC71" s="583">
        <f t="shared" si="104"/>
        <v>183.03997712000287</v>
      </c>
      <c r="BD71" s="583">
        <f t="shared" si="105"/>
        <v>24.023996997000374</v>
      </c>
      <c r="BE71" s="583">
        <f t="shared" si="106"/>
        <v>8.0079989990001241</v>
      </c>
      <c r="BF71" s="583">
        <f t="shared" si="107"/>
        <v>22.879997140000359</v>
      </c>
      <c r="BG71" s="583">
        <f t="shared" si="108"/>
        <v>0.2287999714000036</v>
      </c>
      <c r="BH71" s="583">
        <f t="shared" si="109"/>
        <v>0.1143999857000018</v>
      </c>
      <c r="BI71" s="583">
        <f t="shared" si="110"/>
        <v>2.1926663925833676E-2</v>
      </c>
      <c r="BJ71" s="583">
        <f t="shared" si="111"/>
        <v>3.1459996067500495</v>
      </c>
      <c r="BK71" s="583">
        <f t="shared" si="112"/>
        <v>4.0039994995000633E-2</v>
      </c>
      <c r="BL71" s="583">
        <f t="shared" si="113"/>
        <v>2.8599996425000451E-2</v>
      </c>
      <c r="BM71" s="583">
        <f t="shared" si="114"/>
        <v>0.45759994280000721</v>
      </c>
      <c r="BN71" s="583">
        <f t="shared" si="115"/>
        <v>2.1735997283000338E-2</v>
      </c>
      <c r="BO71" s="583">
        <f t="shared" si="116"/>
        <v>17.102797862150268</v>
      </c>
      <c r="BP71" s="583">
        <f t="shared" si="117"/>
        <v>0</v>
      </c>
      <c r="BQ71" s="583">
        <f t="shared" si="118"/>
        <v>21.392797325900336</v>
      </c>
      <c r="BR71" s="583">
        <f t="shared" si="119"/>
        <v>0</v>
      </c>
    </row>
    <row r="72" spans="1:70" s="229" customFormat="1" ht="15">
      <c r="A72" s="590"/>
      <c r="D72" s="85"/>
      <c r="E72" s="576">
        <f t="shared" si="121"/>
        <v>100</v>
      </c>
      <c r="F72" s="707"/>
      <c r="G72" s="406" t="s">
        <v>3075</v>
      </c>
      <c r="H72" s="578" t="s">
        <v>3239</v>
      </c>
      <c r="I72" s="85">
        <v>6</v>
      </c>
      <c r="J72" s="682">
        <v>1</v>
      </c>
      <c r="K72" s="579">
        <f t="shared" si="95"/>
        <v>0.66</v>
      </c>
      <c r="L72" s="580">
        <f>IF(H72="Select ingredient:","",IF(G72="","",_xlfn.IFNA(VLOOKUP($H72,Ingredient_prices!$E:$U,16,FALSE),0)))</f>
        <v>121</v>
      </c>
      <c r="M72" s="591"/>
      <c r="N72" s="591"/>
      <c r="O72" s="591"/>
      <c r="P72" s="592"/>
      <c r="Q72" s="583">
        <f t="shared" si="96"/>
        <v>6</v>
      </c>
      <c r="R72" s="583">
        <f>VLOOKUP($H72,'CO2_emission+%_food_waste'!$A:$K,6,FALSE)*$Q72/100</f>
        <v>1.6680000000000001</v>
      </c>
      <c r="S72" s="583">
        <f t="shared" si="97"/>
        <v>4.3319999999999999</v>
      </c>
      <c r="T72" s="583">
        <f>IF(H72="Select ingredient:","",IF(G72="Select food category:","",_xlfn.IFNA(VLOOKUP($H72,Ingredient_prices!$E:$U,16,FALSE)*$Q72/1000,"not bought")))</f>
        <v>0.72599999999999998</v>
      </c>
      <c r="U72" s="583">
        <f>IF(G72="Select food category:","",_xlfn.IFNA(VLOOKUP($H72,Ingredient_prices!$E:$U,16,FALSE)*$R72/1000,"not bought"))</f>
        <v>0.20182800000000004</v>
      </c>
      <c r="V72" s="549">
        <f>VLOOKUP($H72,'CO2_emission+%_food_waste'!$A:$K,4,FALSE)*$Q72</f>
        <v>28.380000000000003</v>
      </c>
      <c r="W72" s="583">
        <f>VLOOKUP($H72,Nutrition_tables!$A:$N,10,FALSE)*$Q72/100</f>
        <v>53.059260000000016</v>
      </c>
      <c r="X72" s="583">
        <f>VLOOKUP($H72,Nutrition_tables!$A:$N,11,FALSE)*$Q72/100</f>
        <v>6.000000000000001E-3</v>
      </c>
      <c r="Y72" s="583">
        <f>VLOOKUP($H72,Nutrition_tables!$A:$N,12,FALSE)*$Q72/100</f>
        <v>6.000000000000001E-3</v>
      </c>
      <c r="Z72" s="583">
        <f>VLOOKUP($H72,Nutrition_tables!$A:$N,14,FALSE)*$Q72/100</f>
        <v>5.9699999999999989</v>
      </c>
      <c r="AA72" s="583">
        <f>VLOOKUP($H72,Nutrition_tables!$A:$AF,13,FALSE)*$Q72/100</f>
        <v>0</v>
      </c>
      <c r="AB72" s="549">
        <f>VLOOKUP($H72,Nutrition_tables!$A:$AF,15,FALSE)*$Q72/100</f>
        <v>0.4074000000000001</v>
      </c>
      <c r="AC72" s="583">
        <f>VLOOKUP($H72,Nutrition_tables!$A:$AF,16,FALSE)*$Q72/100</f>
        <v>6.000000000000001E-3</v>
      </c>
      <c r="AD72" s="583">
        <f>VLOOKUP($H72,Nutrition_tables!$A:$AF,17,FALSE)*$Q72/100</f>
        <v>0</v>
      </c>
      <c r="AE72" s="583">
        <f>VLOOKUP($H72,Nutrition_tables!$A:$AF,18,FALSE)*$Q72/100</f>
        <v>1.2000000000000002E-2</v>
      </c>
      <c r="AF72" s="583">
        <f>VLOOKUP($H72,Nutrition_tables!$A:$AF,19,FALSE)*$Q72/100</f>
        <v>0.06</v>
      </c>
      <c r="AG72" s="583">
        <f>VLOOKUP($H72,Nutrition_tables!$A:$AF,20,FALSE)*$Q72/100</f>
        <v>0</v>
      </c>
      <c r="AH72" s="583">
        <f>VLOOKUP($H72,Nutrition_tables!$A:$AF,21,FALSE)*$Q72/100</f>
        <v>6.000000000000001E-3</v>
      </c>
      <c r="AI72" s="583">
        <f>VLOOKUP($H72,Nutrition_tables!$A:$AF,22,FALSE)*$Q72/100</f>
        <v>0</v>
      </c>
      <c r="AJ72" s="549">
        <f>VLOOKUP($H72,Nutrition_tables!$A:$AF,23,FALSE)*$Q72/100</f>
        <v>0</v>
      </c>
      <c r="AK72" s="583">
        <f>VLOOKUP($H72,Nutrition_tables!$A:$AF,24,FALSE)*$Q72/100</f>
        <v>0</v>
      </c>
      <c r="AL72" s="583">
        <f>VLOOKUP($H72,Nutrition_tables!$A:$AF,25,FALSE)*$Q72/100</f>
        <v>0</v>
      </c>
      <c r="AM72" s="583">
        <f>VLOOKUP($H72,Nutrition_tables!$A:$AF,26,FALSE)*$Q72/100</f>
        <v>0</v>
      </c>
      <c r="AN72" s="583">
        <f>VLOOKUP($H72,Nutrition_tables!$A:$AF,27,FALSE)*$Q72/100</f>
        <v>0</v>
      </c>
      <c r="AO72" s="583">
        <f>VLOOKUP($H72,Nutrition_tables!$A:$AF,28,FALSE)*$Q72/100</f>
        <v>0</v>
      </c>
      <c r="AP72" s="583">
        <f>VLOOKUP($H72,Nutrition_tables!$A:$AF,29,FALSE)*$Q72/100</f>
        <v>0</v>
      </c>
      <c r="AQ72" s="583">
        <f>VLOOKUP($H72,Nutrition_tables!$A:$AF,30,FALSE)*$Q72/100</f>
        <v>0</v>
      </c>
      <c r="AR72" s="583">
        <f>VLOOKUP($H72,Nutrition_tables!$A:$AF,31,FALSE)*$Q72/100</f>
        <v>0</v>
      </c>
      <c r="AS72" s="549">
        <f>VLOOKUP($H72,Nutrition_tables!$A:$AF,32,FALSE)*$Q72/100</f>
        <v>0</v>
      </c>
      <c r="AT72" s="583">
        <f>IF(H72="Select ingredient:","",IF(G72="Select food category:","",IFERROR(VLOOKUP($H72,Ingredient_prices!$E:$W,17,FALSE)*$Q72/1000,"not bought")))</f>
        <v>0.72599999999999998</v>
      </c>
      <c r="AU72" s="583">
        <f>IF(H72="Select ingredient:","",IF(G72="Select food category:","",IFERROR(VLOOKUP($H72,Ingredient_prices!$E:$W,18,FALSE)*$Q72/1000,"not bought")))</f>
        <v>0.72599999999999998</v>
      </c>
      <c r="AV72" s="583">
        <f t="shared" si="120"/>
        <v>38.308721872130228</v>
      </c>
      <c r="AW72" s="583">
        <f t="shared" si="98"/>
        <v>4.3319927800120348E-3</v>
      </c>
      <c r="AX72" s="583">
        <f t="shared" si="99"/>
        <v>4.3319927800120348E-3</v>
      </c>
      <c r="AY72" s="583">
        <f t="shared" si="100"/>
        <v>4.3103328161119725</v>
      </c>
      <c r="AZ72" s="583">
        <f t="shared" si="101"/>
        <v>0</v>
      </c>
      <c r="BA72" s="583">
        <f t="shared" si="102"/>
        <v>0.29414230976281713</v>
      </c>
      <c r="BB72" s="583">
        <f t="shared" si="103"/>
        <v>4.3319927800120348E-3</v>
      </c>
      <c r="BC72" s="583">
        <f t="shared" si="104"/>
        <v>0</v>
      </c>
      <c r="BD72" s="583">
        <f t="shared" si="105"/>
        <v>8.6639855600240696E-3</v>
      </c>
      <c r="BE72" s="583">
        <f t="shared" si="106"/>
        <v>4.3319927800120332E-2</v>
      </c>
      <c r="BF72" s="583">
        <f t="shared" si="107"/>
        <v>0</v>
      </c>
      <c r="BG72" s="583">
        <f t="shared" si="108"/>
        <v>4.3319927800120348E-3</v>
      </c>
      <c r="BH72" s="583">
        <f t="shared" si="109"/>
        <v>0</v>
      </c>
      <c r="BI72" s="583">
        <f t="shared" si="110"/>
        <v>0</v>
      </c>
      <c r="BJ72" s="583">
        <f t="shared" si="111"/>
        <v>0</v>
      </c>
      <c r="BK72" s="583">
        <f t="shared" si="112"/>
        <v>0</v>
      </c>
      <c r="BL72" s="583">
        <f t="shared" si="113"/>
        <v>0</v>
      </c>
      <c r="BM72" s="583">
        <f t="shared" si="114"/>
        <v>0</v>
      </c>
      <c r="BN72" s="583">
        <f t="shared" si="115"/>
        <v>0</v>
      </c>
      <c r="BO72" s="583">
        <f t="shared" si="116"/>
        <v>0</v>
      </c>
      <c r="BP72" s="583">
        <f t="shared" si="117"/>
        <v>0</v>
      </c>
      <c r="BQ72" s="583">
        <f t="shared" si="118"/>
        <v>0</v>
      </c>
      <c r="BR72" s="583">
        <f t="shared" si="119"/>
        <v>0</v>
      </c>
    </row>
    <row r="73" spans="1:70" s="229" customFormat="1" ht="15">
      <c r="A73" s="590"/>
      <c r="D73" s="85"/>
      <c r="E73" s="576">
        <f t="shared" si="121"/>
        <v>100</v>
      </c>
      <c r="F73" s="707"/>
      <c r="G73" s="406" t="s">
        <v>3142</v>
      </c>
      <c r="H73" s="578" t="s">
        <v>498</v>
      </c>
      <c r="I73" s="85">
        <v>3</v>
      </c>
      <c r="J73" s="682">
        <v>1</v>
      </c>
      <c r="K73" s="579">
        <f t="shared" si="95"/>
        <v>0.33</v>
      </c>
      <c r="L73" s="580">
        <f>IF(H73="Select ingredient:","",IF(G73="","",_xlfn.IFNA(VLOOKUP($H73,Ingredient_prices!$E:$U,16,FALSE),0)))</f>
        <v>45.6</v>
      </c>
      <c r="M73" s="591"/>
      <c r="N73" s="591"/>
      <c r="O73" s="591"/>
      <c r="P73" s="592"/>
      <c r="Q73" s="583">
        <f t="shared" si="96"/>
        <v>3</v>
      </c>
      <c r="R73" s="583">
        <f>VLOOKUP($H73,'CO2_emission+%_food_waste'!$A:$K,6,FALSE)*$Q73/100</f>
        <v>0.92400000000000004</v>
      </c>
      <c r="S73" s="583">
        <f t="shared" si="97"/>
        <v>2.0760000000000001</v>
      </c>
      <c r="T73" s="583">
        <f>IF(H73="Select ingredient:","",IF(G73="Select food category:","",_xlfn.IFNA(VLOOKUP($H73,Ingredient_prices!$E:$U,16,FALSE)*$Q73/1000,"not bought")))</f>
        <v>0.1368</v>
      </c>
      <c r="U73" s="583">
        <f>IF(G73="Select food category:","",_xlfn.IFNA(VLOOKUP($H73,Ingredient_prices!$E:$U,16,FALSE)*$R73/1000,"not bought"))</f>
        <v>4.2134400000000009E-2</v>
      </c>
      <c r="V73" s="549">
        <f>VLOOKUP($H73,'CO2_emission+%_food_waste'!$A:$K,4,FALSE)*$Q73</f>
        <v>4.8000000000000007</v>
      </c>
      <c r="W73" s="583">
        <f>VLOOKUP($H73,Nutrition_tables!$A:$N,10,FALSE)*$Q73/100</f>
        <v>0.96</v>
      </c>
      <c r="X73" s="583">
        <f>VLOOKUP($H73,Nutrition_tables!$A:$N,11,FALSE)*$Q73/100</f>
        <v>0.28799999999999992</v>
      </c>
      <c r="Y73" s="583">
        <f>VLOOKUP($H73,Nutrition_tables!$A:$N,12,FALSE)*$Q73/100</f>
        <v>8.9999999999999998E-4</v>
      </c>
      <c r="Z73" s="583">
        <f>VLOOKUP($H73,Nutrition_tables!$A:$N,14,FALSE)*$Q73/100</f>
        <v>0</v>
      </c>
      <c r="AA73" s="583">
        <f>VLOOKUP($H73,Nutrition_tables!$A:$AF,13,FALSE)*$Q73/100</f>
        <v>0</v>
      </c>
      <c r="AB73" s="549">
        <f>VLOOKUP($H73,Nutrition_tables!$A:$AF,15,FALSE)*$Q73/100</f>
        <v>0</v>
      </c>
      <c r="AC73" s="583">
        <f>VLOOKUP($H73,Nutrition_tables!$A:$AF,16,FALSE)*$Q73/100</f>
        <v>0.6</v>
      </c>
      <c r="AD73" s="583">
        <f>VLOOKUP($H73,Nutrition_tables!$A:$AF,17,FALSE)*$Q73/100</f>
        <v>2.6699999999999995</v>
      </c>
      <c r="AE73" s="583">
        <f>VLOOKUP($H73,Nutrition_tables!$A:$AF,18,FALSE)*$Q73/100</f>
        <v>0.44999999999999996</v>
      </c>
      <c r="AF73" s="583">
        <f>VLOOKUP($H73,Nutrition_tables!$A:$AF,19,FALSE)*$Q73/100</f>
        <v>0.66</v>
      </c>
      <c r="AG73" s="583">
        <f>VLOOKUP($H73,Nutrition_tables!$A:$AF,20,FALSE)*$Q73/100</f>
        <v>0.96</v>
      </c>
      <c r="AH73" s="583">
        <f>VLOOKUP($H73,Nutrition_tables!$A:$AF,21,FALSE)*$Q73/100</f>
        <v>1.4999999999999999E-2</v>
      </c>
      <c r="AI73" s="583">
        <f>VLOOKUP($H73,Nutrition_tables!$A:$AF,22,FALSE)*$Q73/100</f>
        <v>1.8900000000000001E-4</v>
      </c>
      <c r="AJ73" s="549">
        <f>VLOOKUP($H73,Nutrition_tables!$A:$AF,23,FALSE)*$Q73/100</f>
        <v>0</v>
      </c>
      <c r="AK73" s="583">
        <f>VLOOKUP($H73,Nutrition_tables!$A:$AF,24,FALSE)*$Q73/100</f>
        <v>0</v>
      </c>
      <c r="AL73" s="583">
        <f>VLOOKUP($H73,Nutrition_tables!$A:$AF,25,FALSE)*$Q73/100</f>
        <v>0</v>
      </c>
      <c r="AM73" s="583">
        <f>VLOOKUP($H73,Nutrition_tables!$A:$AF,26,FALSE)*$Q73/100</f>
        <v>0</v>
      </c>
      <c r="AN73" s="583">
        <f>VLOOKUP($H73,Nutrition_tables!$A:$AF,27,FALSE)*$Q73/100</f>
        <v>0</v>
      </c>
      <c r="AO73" s="583">
        <f>VLOOKUP($H73,Nutrition_tables!$A:$AF,28,FALSE)*$Q73/100</f>
        <v>0</v>
      </c>
      <c r="AP73" s="583">
        <f>VLOOKUP($H73,Nutrition_tables!$A:$AF,29,FALSE)*$Q73/100</f>
        <v>0</v>
      </c>
      <c r="AQ73" s="583">
        <f>VLOOKUP($H73,Nutrition_tables!$A:$AF,30,FALSE)*$Q73/100</f>
        <v>0</v>
      </c>
      <c r="AR73" s="583">
        <f>VLOOKUP($H73,Nutrition_tables!$A:$AF,31,FALSE)*$Q73/100</f>
        <v>0</v>
      </c>
      <c r="AS73" s="549">
        <f>VLOOKUP($H73,Nutrition_tables!$A:$AF,32,FALSE)*$Q73/100</f>
        <v>0</v>
      </c>
      <c r="AT73" s="583">
        <f>IF(H73="Select ingredient:","",IF(G73="Select food category:","",IFERROR(VLOOKUP($H73,Ingredient_prices!$E:$W,17,FALSE)*$Q73/1000,"not bought")))</f>
        <v>0.1368</v>
      </c>
      <c r="AU73" s="583">
        <f>IF(H73="Select ingredient:","",IF(G73="Select food category:","",IFERROR(VLOOKUP($H73,Ingredient_prices!$E:$W,18,FALSE)*$Q73/1000,"not bought")))</f>
        <v>0.1368</v>
      </c>
      <c r="AV73" s="583">
        <f t="shared" si="120"/>
        <v>0.66431778560738131</v>
      </c>
      <c r="AW73" s="583">
        <f t="shared" si="98"/>
        <v>0.19929533568221433</v>
      </c>
      <c r="AX73" s="583">
        <f t="shared" si="99"/>
        <v>6.2279792400692004E-4</v>
      </c>
      <c r="AY73" s="583">
        <f t="shared" si="100"/>
        <v>0</v>
      </c>
      <c r="AZ73" s="583">
        <f t="shared" si="101"/>
        <v>0</v>
      </c>
      <c r="BA73" s="583">
        <f t="shared" si="102"/>
        <v>0</v>
      </c>
      <c r="BB73" s="583">
        <f t="shared" si="103"/>
        <v>0.41519861600461333</v>
      </c>
      <c r="BC73" s="583">
        <f t="shared" si="104"/>
        <v>1.8476338412205289</v>
      </c>
      <c r="BD73" s="583">
        <f t="shared" si="105"/>
        <v>0.31139896200345996</v>
      </c>
      <c r="BE73" s="583">
        <f t="shared" si="106"/>
        <v>0.45671847760507467</v>
      </c>
      <c r="BF73" s="583">
        <f t="shared" si="107"/>
        <v>0.66431778560738131</v>
      </c>
      <c r="BG73" s="583">
        <f t="shared" si="108"/>
        <v>1.0379965400115333E-2</v>
      </c>
      <c r="BH73" s="583">
        <f t="shared" si="109"/>
        <v>1.3078756404145321E-4</v>
      </c>
      <c r="BI73" s="583">
        <f t="shared" si="110"/>
        <v>0</v>
      </c>
      <c r="BJ73" s="583">
        <f t="shared" si="111"/>
        <v>0</v>
      </c>
      <c r="BK73" s="583">
        <f t="shared" si="112"/>
        <v>0</v>
      </c>
      <c r="BL73" s="583">
        <f t="shared" si="113"/>
        <v>0</v>
      </c>
      <c r="BM73" s="583">
        <f t="shared" si="114"/>
        <v>0</v>
      </c>
      <c r="BN73" s="583">
        <f t="shared" si="115"/>
        <v>0</v>
      </c>
      <c r="BO73" s="583">
        <f t="shared" si="116"/>
        <v>0</v>
      </c>
      <c r="BP73" s="583">
        <f t="shared" si="117"/>
        <v>0</v>
      </c>
      <c r="BQ73" s="583">
        <f t="shared" si="118"/>
        <v>0</v>
      </c>
      <c r="BR73" s="583">
        <f t="shared" si="119"/>
        <v>0</v>
      </c>
    </row>
    <row r="74" spans="1:70" s="229" customFormat="1" ht="15">
      <c r="A74" s="590"/>
      <c r="D74" s="85"/>
      <c r="E74" s="576">
        <f t="shared" si="121"/>
        <v>100</v>
      </c>
      <c r="F74" s="707"/>
      <c r="G74" s="406" t="s">
        <v>3076</v>
      </c>
      <c r="H74" s="578" t="s">
        <v>495</v>
      </c>
      <c r="I74" s="85">
        <v>0.1</v>
      </c>
      <c r="J74" s="682">
        <v>1</v>
      </c>
      <c r="K74" s="579">
        <f t="shared" si="95"/>
        <v>1.1000000000000001E-2</v>
      </c>
      <c r="L74" s="580">
        <f>IF(H74="Select ingredient:","",IF(G74="","",_xlfn.IFNA(VLOOKUP($H74,Ingredient_prices!$E:$U,16,FALSE),0)))</f>
        <v>33.6</v>
      </c>
      <c r="M74" s="591"/>
      <c r="N74" s="591"/>
      <c r="O74" s="591"/>
      <c r="P74" s="592"/>
      <c r="Q74" s="583">
        <f t="shared" si="96"/>
        <v>0.1</v>
      </c>
      <c r="R74" s="583">
        <f>VLOOKUP($H74,'CO2_emission+%_food_waste'!$A:$K,6,FALSE)*$Q74/100</f>
        <v>3.1E-2</v>
      </c>
      <c r="S74" s="583">
        <f t="shared" si="97"/>
        <v>6.9000000000000006E-2</v>
      </c>
      <c r="T74" s="583">
        <f>IF(H74="Select ingredient:","",IF(G74="Select food category:","",_xlfn.IFNA(VLOOKUP($H74,Ingredient_prices!$E:$U,16,FALSE)*$Q74/1000,"not bought")))</f>
        <v>3.3600000000000001E-3</v>
      </c>
      <c r="U74" s="583">
        <f>IF(G74="Select food category:","",_xlfn.IFNA(VLOOKUP($H74,Ingredient_prices!$E:$U,16,FALSE)*$R74/1000,"not bought"))</f>
        <v>1.0416000000000002E-3</v>
      </c>
      <c r="V74" s="549">
        <f>VLOOKUP($H74,'CO2_emission+%_food_waste'!$A:$K,4,FALSE)*$Q74</f>
        <v>1.7999999999999999E-2</v>
      </c>
      <c r="W74" s="583">
        <f>VLOOKUP($H74,Nutrition_tables!$A:$N,10,FALSE)*$Q74/100</f>
        <v>0</v>
      </c>
      <c r="X74" s="583">
        <f>VLOOKUP($H74,Nutrition_tables!$A:$N,11,FALSE)*$Q74/100</f>
        <v>0</v>
      </c>
      <c r="Y74" s="583">
        <f>VLOOKUP($H74,Nutrition_tables!$A:$N,12,FALSE)*$Q74/100</f>
        <v>0</v>
      </c>
      <c r="Z74" s="583">
        <f>VLOOKUP($H74,Nutrition_tables!$A:$N,14,FALSE)*$Q74/100</f>
        <v>0</v>
      </c>
      <c r="AA74" s="583">
        <f>VLOOKUP($H74,Nutrition_tables!$A:$AF,13,FALSE)*$Q74/100</f>
        <v>0</v>
      </c>
      <c r="AB74" s="549">
        <f>VLOOKUP($H74,Nutrition_tables!$A:$AF,15,FALSE)*$Q74/100</f>
        <v>0</v>
      </c>
      <c r="AC74" s="583">
        <f>VLOOKUP($H74,Nutrition_tables!$A:$AF,16,FALSE)*$Q74/100</f>
        <v>38.85</v>
      </c>
      <c r="AD74" s="583">
        <f>VLOOKUP($H74,Nutrition_tables!$A:$AF,17,FALSE)*$Q74/100</f>
        <v>0.11599999999999999</v>
      </c>
      <c r="AE74" s="583">
        <f>VLOOKUP($H74,Nutrition_tables!$A:$AF,18,FALSE)*$Q74/100</f>
        <v>1.9000000000000003E-2</v>
      </c>
      <c r="AF74" s="583">
        <f>VLOOKUP($H74,Nutrition_tables!$A:$AF,19,FALSE)*$Q74/100</f>
        <v>0.26500000000000001</v>
      </c>
      <c r="AG74" s="583">
        <f>VLOOKUP($H74,Nutrition_tables!$A:$AF,20,FALSE)*$Q74/100</f>
        <v>8.0000000000000002E-3</v>
      </c>
      <c r="AH74" s="583">
        <f>VLOOKUP($H74,Nutrition_tables!$A:$AF,21,FALSE)*$Q74/100</f>
        <v>2.0000000000000002E-5</v>
      </c>
      <c r="AI74" s="583">
        <f>VLOOKUP($H74,Nutrition_tables!$A:$AF,22,FALSE)*$Q74/100</f>
        <v>1.0000000000000002E-4</v>
      </c>
      <c r="AJ74" s="549">
        <f>VLOOKUP($H74,Nutrition_tables!$A:$AF,23,FALSE)*$Q74/100</f>
        <v>3.0000000000000001E-5</v>
      </c>
      <c r="AK74" s="583">
        <f>VLOOKUP($H74,Nutrition_tables!$A:$AF,24,FALSE)*$Q74/100</f>
        <v>0</v>
      </c>
      <c r="AL74" s="583">
        <f>VLOOKUP($H74,Nutrition_tables!$A:$AF,25,FALSE)*$Q74/100</f>
        <v>0</v>
      </c>
      <c r="AM74" s="583">
        <f>VLOOKUP($H74,Nutrition_tables!$A:$AF,26,FALSE)*$Q74/100</f>
        <v>0</v>
      </c>
      <c r="AN74" s="583">
        <f>VLOOKUP($H74,Nutrition_tables!$A:$AF,27,FALSE)*$Q74/100</f>
        <v>0</v>
      </c>
      <c r="AO74" s="583">
        <f>VLOOKUP($H74,Nutrition_tables!$A:$AF,28,FALSE)*$Q74/100</f>
        <v>0</v>
      </c>
      <c r="AP74" s="583">
        <f>VLOOKUP($H74,Nutrition_tables!$A:$AF,29,FALSE)*$Q74/100</f>
        <v>0</v>
      </c>
      <c r="AQ74" s="583">
        <f>VLOOKUP($H74,Nutrition_tables!$A:$AF,30,FALSE)*$Q74/100</f>
        <v>0</v>
      </c>
      <c r="AR74" s="583">
        <f>VLOOKUP($H74,Nutrition_tables!$A:$AF,31,FALSE)*$Q74/100</f>
        <v>0</v>
      </c>
      <c r="AS74" s="549">
        <f>VLOOKUP($H74,Nutrition_tables!$A:$AF,32,FALSE)*$Q74/100</f>
        <v>0</v>
      </c>
      <c r="AT74" s="583">
        <f>IF(H74="Select ingredient:","",IF(G74="Select food category:","",IFERROR(VLOOKUP($H74,Ingredient_prices!$E:$W,17,FALSE)*$Q74/1000,"not bought")))</f>
        <v>3.3600000000000001E-3</v>
      </c>
      <c r="AU74" s="583">
        <f>IF(H74="Select ingredient:","",IF(G74="Select food category:","",IFERROR(VLOOKUP($H74,Ingredient_prices!$E:$W,18,FALSE)*$Q74/1000,"not bought")))</f>
        <v>3.3600000000000001E-3</v>
      </c>
      <c r="AV74" s="583">
        <f t="shared" si="120"/>
        <v>0</v>
      </c>
      <c r="AW74" s="583">
        <f t="shared" si="98"/>
        <v>0</v>
      </c>
      <c r="AX74" s="583">
        <f t="shared" si="99"/>
        <v>0</v>
      </c>
      <c r="AY74" s="583">
        <f t="shared" si="100"/>
        <v>0</v>
      </c>
      <c r="AZ74" s="583">
        <f t="shared" si="101"/>
        <v>0</v>
      </c>
      <c r="BA74" s="583">
        <f t="shared" si="102"/>
        <v>0</v>
      </c>
      <c r="BB74" s="583">
        <f t="shared" si="103"/>
        <v>26.803819618038201</v>
      </c>
      <c r="BC74" s="583">
        <f t="shared" si="104"/>
        <v>8.0031996800319971E-2</v>
      </c>
      <c r="BD74" s="583">
        <f t="shared" si="105"/>
        <v>1.3108689131086895E-2</v>
      </c>
      <c r="BE74" s="583">
        <f t="shared" si="106"/>
        <v>0.1828317168283172</v>
      </c>
      <c r="BF74" s="583">
        <f t="shared" si="107"/>
        <v>5.5194480551944815E-3</v>
      </c>
      <c r="BG74" s="583">
        <f t="shared" si="108"/>
        <v>1.3798620137986202E-5</v>
      </c>
      <c r="BH74" s="583">
        <f t="shared" si="109"/>
        <v>6.8993100689931024E-5</v>
      </c>
      <c r="BI74" s="583">
        <f t="shared" si="110"/>
        <v>2.0697930206979303E-5</v>
      </c>
      <c r="BJ74" s="583">
        <f t="shared" si="111"/>
        <v>0</v>
      </c>
      <c r="BK74" s="583">
        <f t="shared" si="112"/>
        <v>0</v>
      </c>
      <c r="BL74" s="583">
        <f t="shared" si="113"/>
        <v>0</v>
      </c>
      <c r="BM74" s="583">
        <f t="shared" si="114"/>
        <v>0</v>
      </c>
      <c r="BN74" s="583">
        <f t="shared" si="115"/>
        <v>0</v>
      </c>
      <c r="BO74" s="583">
        <f t="shared" si="116"/>
        <v>0</v>
      </c>
      <c r="BP74" s="583">
        <f t="shared" si="117"/>
        <v>0</v>
      </c>
      <c r="BQ74" s="583">
        <f t="shared" si="118"/>
        <v>0</v>
      </c>
      <c r="BR74" s="583">
        <f t="shared" si="119"/>
        <v>0</v>
      </c>
    </row>
    <row r="75" spans="1:70" s="229" customFormat="1" ht="15" customHeight="1">
      <c r="A75" s="590"/>
      <c r="D75" s="85"/>
      <c r="E75" s="576">
        <f t="shared" si="121"/>
        <v>100</v>
      </c>
      <c r="F75" s="707"/>
      <c r="G75" s="406" t="s">
        <v>3054</v>
      </c>
      <c r="H75" s="1262" t="s">
        <v>3055</v>
      </c>
      <c r="I75" s="85">
        <v>0</v>
      </c>
      <c r="J75" s="682">
        <v>1</v>
      </c>
      <c r="K75" s="579" t="str">
        <f t="shared" si="95"/>
        <v/>
      </c>
      <c r="L75" s="580" t="str">
        <f>IF(H75="Select ingredient:","",IF(G75="","",_xlfn.IFNA(VLOOKUP($H75,Ingredient_prices!$E:$U,16,FALSE),0)))</f>
        <v/>
      </c>
      <c r="M75" s="591"/>
      <c r="N75" s="591"/>
      <c r="O75" s="591"/>
      <c r="P75" s="592"/>
      <c r="Q75" s="583">
        <f t="shared" si="96"/>
        <v>0</v>
      </c>
      <c r="R75" s="583">
        <f>VLOOKUP($H75,'CO2_emission+%_food_waste'!$A:$K,6,FALSE)*$Q75/100</f>
        <v>0</v>
      </c>
      <c r="S75" s="583">
        <f t="shared" si="97"/>
        <v>0</v>
      </c>
      <c r="T75" s="583" t="str">
        <f>IF(H75="Select ingredient:","",IF(G75="Select food category:","",_xlfn.IFNA(VLOOKUP($H75,Ingredient_prices!$E:$U,16,FALSE)*$Q75/1000,"not bought")))</f>
        <v/>
      </c>
      <c r="U75" s="583" t="str">
        <f>IF(G75="Select food category:","",_xlfn.IFNA(VLOOKUP($H75,Ingredient_prices!$E:$U,16,FALSE)*$R75/1000,"not bought"))</f>
        <v/>
      </c>
      <c r="V75" s="549">
        <f>VLOOKUP($H75,'CO2_emission+%_food_waste'!$A:$K,4,FALSE)*$Q75</f>
        <v>0</v>
      </c>
      <c r="W75" s="583">
        <f>VLOOKUP($H75,Nutrition_tables!$A:$N,10,FALSE)*$Q75/100</f>
        <v>0</v>
      </c>
      <c r="X75" s="583">
        <f>VLOOKUP($H75,Nutrition_tables!$A:$N,11,FALSE)*$Q75/100</f>
        <v>0</v>
      </c>
      <c r="Y75" s="583">
        <f>VLOOKUP($H75,Nutrition_tables!$A:$N,12,FALSE)*$Q75/100</f>
        <v>0</v>
      </c>
      <c r="Z75" s="583">
        <f>VLOOKUP($H75,Nutrition_tables!$A:$N,14,FALSE)*$Q75/100</f>
        <v>0</v>
      </c>
      <c r="AA75" s="583">
        <f>VLOOKUP($H75,Nutrition_tables!$A:$AF,13,FALSE)*$Q75/100</f>
        <v>0</v>
      </c>
      <c r="AB75" s="549">
        <f>VLOOKUP($H75,Nutrition_tables!$A:$AF,15,FALSE)*$Q75/100</f>
        <v>0</v>
      </c>
      <c r="AC75" s="583">
        <f>VLOOKUP($H75,Nutrition_tables!$A:$AF,16,FALSE)*$Q75/100</f>
        <v>0</v>
      </c>
      <c r="AD75" s="583">
        <f>VLOOKUP($H75,Nutrition_tables!$A:$AF,17,FALSE)*$Q75/100</f>
        <v>0</v>
      </c>
      <c r="AE75" s="583">
        <f>VLOOKUP($H75,Nutrition_tables!$A:$AF,18,FALSE)*$Q75/100</f>
        <v>0</v>
      </c>
      <c r="AF75" s="583">
        <f>VLOOKUP($H75,Nutrition_tables!$A:$AF,19,FALSE)*$Q75/100</f>
        <v>0</v>
      </c>
      <c r="AG75" s="583">
        <f>VLOOKUP($H75,Nutrition_tables!$A:$AF,20,FALSE)*$Q75/100</f>
        <v>0</v>
      </c>
      <c r="AH75" s="583">
        <f>VLOOKUP($H75,Nutrition_tables!$A:$AF,21,FALSE)*$Q75/100</f>
        <v>0</v>
      </c>
      <c r="AI75" s="583">
        <f>VLOOKUP($H75,Nutrition_tables!$A:$AF,22,FALSE)*$Q75/100</f>
        <v>0</v>
      </c>
      <c r="AJ75" s="549">
        <f>VLOOKUP($H75,Nutrition_tables!$A:$AF,23,FALSE)*$Q75/100</f>
        <v>0</v>
      </c>
      <c r="AK75" s="583">
        <f>VLOOKUP($H75,Nutrition_tables!$A:$AF,24,FALSE)*$Q75/100</f>
        <v>0</v>
      </c>
      <c r="AL75" s="583">
        <f>VLOOKUP($H75,Nutrition_tables!$A:$AF,25,FALSE)*$Q75/100</f>
        <v>0</v>
      </c>
      <c r="AM75" s="583">
        <f>VLOOKUP($H75,Nutrition_tables!$A:$AF,26,FALSE)*$Q75/100</f>
        <v>0</v>
      </c>
      <c r="AN75" s="583">
        <f>VLOOKUP($H75,Nutrition_tables!$A:$AF,27,FALSE)*$Q75/100</f>
        <v>0</v>
      </c>
      <c r="AO75" s="583">
        <f>VLOOKUP($H75,Nutrition_tables!$A:$AF,28,FALSE)*$Q75/100</f>
        <v>0</v>
      </c>
      <c r="AP75" s="583">
        <f>VLOOKUP($H75,Nutrition_tables!$A:$AF,29,FALSE)*$Q75/100</f>
        <v>0</v>
      </c>
      <c r="AQ75" s="583">
        <f>VLOOKUP($H75,Nutrition_tables!$A:$AF,30,FALSE)*$Q75/100</f>
        <v>0</v>
      </c>
      <c r="AR75" s="583">
        <f>VLOOKUP($H75,Nutrition_tables!$A:$AF,31,FALSE)*$Q75/100</f>
        <v>0</v>
      </c>
      <c r="AS75" s="549">
        <f>VLOOKUP($H75,Nutrition_tables!$A:$AF,32,FALSE)*$Q75/100</f>
        <v>0</v>
      </c>
      <c r="AT75" s="583" t="str">
        <f>IF(H75="Select ingredient:","",IF(G75="Select food category:","",IFERROR(VLOOKUP($H75,Ingredient_prices!$E:$W,17,FALSE)*$Q75/1000,"not bought")))</f>
        <v/>
      </c>
      <c r="AU75" s="583" t="str">
        <f>IF(H75="Select ingredient:","",IF(G75="Select food category:","",IFERROR(VLOOKUP($H75,Ingredient_prices!$E:$W,18,FALSE)*$Q75/1000,"not bought")))</f>
        <v/>
      </c>
      <c r="AV75" s="583">
        <f t="shared" si="120"/>
        <v>0</v>
      </c>
      <c r="AW75" s="583">
        <f t="shared" si="98"/>
        <v>0</v>
      </c>
      <c r="AX75" s="583">
        <f t="shared" si="99"/>
        <v>0</v>
      </c>
      <c r="AY75" s="583">
        <f t="shared" si="100"/>
        <v>0</v>
      </c>
      <c r="AZ75" s="583">
        <f t="shared" si="101"/>
        <v>0</v>
      </c>
      <c r="BA75" s="583">
        <f t="shared" si="102"/>
        <v>0</v>
      </c>
      <c r="BB75" s="583">
        <f t="shared" si="103"/>
        <v>0</v>
      </c>
      <c r="BC75" s="583">
        <f t="shared" si="104"/>
        <v>0</v>
      </c>
      <c r="BD75" s="583">
        <f t="shared" si="105"/>
        <v>0</v>
      </c>
      <c r="BE75" s="583">
        <f t="shared" si="106"/>
        <v>0</v>
      </c>
      <c r="BF75" s="583">
        <f t="shared" si="107"/>
        <v>0</v>
      </c>
      <c r="BG75" s="583">
        <f t="shared" si="108"/>
        <v>0</v>
      </c>
      <c r="BH75" s="583">
        <f t="shared" si="109"/>
        <v>0</v>
      </c>
      <c r="BI75" s="583">
        <f t="shared" si="110"/>
        <v>0</v>
      </c>
      <c r="BJ75" s="583">
        <f t="shared" si="111"/>
        <v>0</v>
      </c>
      <c r="BK75" s="583">
        <f t="shared" si="112"/>
        <v>0</v>
      </c>
      <c r="BL75" s="583">
        <f t="shared" si="113"/>
        <v>0</v>
      </c>
      <c r="BM75" s="583">
        <f t="shared" si="114"/>
        <v>0</v>
      </c>
      <c r="BN75" s="583">
        <f t="shared" si="115"/>
        <v>0</v>
      </c>
      <c r="BO75" s="583">
        <f t="shared" si="116"/>
        <v>0</v>
      </c>
      <c r="BP75" s="583">
        <f t="shared" si="117"/>
        <v>0</v>
      </c>
      <c r="BQ75" s="583">
        <f t="shared" si="118"/>
        <v>0</v>
      </c>
      <c r="BR75" s="583">
        <f t="shared" si="119"/>
        <v>0</v>
      </c>
    </row>
    <row r="76" spans="1:70" s="229" customFormat="1" ht="15">
      <c r="A76" s="590"/>
      <c r="D76" s="85"/>
      <c r="E76" s="576">
        <f t="shared" si="121"/>
        <v>100</v>
      </c>
      <c r="F76" s="85" t="s">
        <v>21</v>
      </c>
      <c r="G76" s="406" t="s">
        <v>3079</v>
      </c>
      <c r="H76" s="578" t="s">
        <v>3365</v>
      </c>
      <c r="I76" s="85">
        <v>75</v>
      </c>
      <c r="J76" s="682">
        <v>1</v>
      </c>
      <c r="K76" s="579">
        <f t="shared" si="95"/>
        <v>8.25</v>
      </c>
      <c r="L76" s="580">
        <f>IF(H76="Select ingredient:","",IF(G76="","",_xlfn.IFNA(VLOOKUP($H76,Ingredient_prices!$E:$U,16,FALSE),0)))</f>
        <v>70.400000000000006</v>
      </c>
      <c r="M76" s="591"/>
      <c r="N76" s="591"/>
      <c r="O76" s="591"/>
      <c r="P76" s="592"/>
      <c r="Q76" s="583">
        <f t="shared" si="96"/>
        <v>75</v>
      </c>
      <c r="R76" s="583">
        <f>VLOOKUP($H76,'CO2_emission+%_food_waste'!$A:$K,6,FALSE)*$Q76/100</f>
        <v>29.55</v>
      </c>
      <c r="S76" s="583">
        <f t="shared" si="97"/>
        <v>45.45</v>
      </c>
      <c r="T76" s="583">
        <f>IF(H76="Select ingredient:","",IF(G76="Select food category:","",_xlfn.IFNA(VLOOKUP($H76,Ingredient_prices!$E:$U,16,FALSE)*$Q76/1000,"not bought")))</f>
        <v>5.28</v>
      </c>
      <c r="U76" s="583">
        <f>IF(G76="Select food category:","",_xlfn.IFNA(VLOOKUP($H76,Ingredient_prices!$E:$U,16,FALSE)*$R76/1000,"not bought"))</f>
        <v>2.0803199999999999</v>
      </c>
      <c r="V76" s="549">
        <f>VLOOKUP($H76,'CO2_emission+%_food_waste'!$A:$K,4,FALSE)*$Q76</f>
        <v>121.50000000000001</v>
      </c>
      <c r="W76" s="583">
        <f>VLOOKUP($H76,Nutrition_tables!$A:$N,10,FALSE)*$Q76/100</f>
        <v>197.17500000000001</v>
      </c>
      <c r="X76" s="583">
        <f>VLOOKUP($H76,Nutrition_tables!$A:$N,11,FALSE)*$Q76/100</f>
        <v>38.1</v>
      </c>
      <c r="Y76" s="583">
        <f>VLOOKUP($H76,Nutrition_tables!$A:$N,12,FALSE)*$Q76/100</f>
        <v>5.0999999999999996</v>
      </c>
      <c r="Z76" s="583">
        <f>VLOOKUP($H76,Nutrition_tables!$A:$N,14,FALSE)*$Q76/100</f>
        <v>0.375</v>
      </c>
      <c r="AA76" s="583">
        <f>VLOOKUP($H76,Nutrition_tables!$A:$AF,13,FALSE)*$Q76/100</f>
        <v>3.2250000000000001</v>
      </c>
      <c r="AB76" s="549">
        <f>VLOOKUP($H76,Nutrition_tables!$A:$AF,15,FALSE)*$Q76/100</f>
        <v>7.4999999999999997E-2</v>
      </c>
      <c r="AC76" s="583">
        <f>VLOOKUP($H76,Nutrition_tables!$A:$AF,16,FALSE)*$Q76/100</f>
        <v>382.5</v>
      </c>
      <c r="AD76" s="583">
        <f>VLOOKUP($H76,Nutrition_tables!$A:$AF,17,FALSE)*$Q76/100</f>
        <v>86.25</v>
      </c>
      <c r="AE76" s="583">
        <f>VLOOKUP($H76,Nutrition_tables!$A:$AF,18,FALSE)*$Q76/100</f>
        <v>72.75</v>
      </c>
      <c r="AF76" s="583">
        <f>VLOOKUP($H76,Nutrition_tables!$A:$AF,19,FALSE)*$Q76/100</f>
        <v>18</v>
      </c>
      <c r="AG76" s="583">
        <f>VLOOKUP($H76,Nutrition_tables!$A:$AF,20,FALSE)*$Q76/100</f>
        <v>0</v>
      </c>
      <c r="AH76" s="583">
        <f>VLOOKUP($H76,Nutrition_tables!$A:$AF,21,FALSE)*$Q76/100</f>
        <v>1.125</v>
      </c>
      <c r="AI76" s="583">
        <f>VLOOKUP($H76,Nutrition_tables!$A:$AF,22,FALSE)*$Q76/100</f>
        <v>2.85</v>
      </c>
      <c r="AJ76" s="549">
        <f>VLOOKUP($H76,Nutrition_tables!$A:$AF,23,FALSE)*$Q76/100</f>
        <v>0.23850000000000002</v>
      </c>
      <c r="AK76" s="583">
        <f>VLOOKUP($H76,Nutrition_tables!$A:$AF,24,FALSE)*$Q76/100</f>
        <v>0</v>
      </c>
      <c r="AL76" s="583">
        <f>VLOOKUP($H76,Nutrition_tables!$A:$AF,25,FALSE)*$Q76/100</f>
        <v>0.15</v>
      </c>
      <c r="AM76" s="583">
        <f>VLOOKUP($H76,Nutrition_tables!$A:$AF,26,FALSE)*$Q76/100</f>
        <v>0.06</v>
      </c>
      <c r="AN76" s="583">
        <f>VLOOKUP($H76,Nutrition_tables!$A:$AF,27,FALSE)*$Q76/100</f>
        <v>2.1074999999999999</v>
      </c>
      <c r="AO76" s="583">
        <f>VLOOKUP($H76,Nutrition_tables!$A:$AF,28,FALSE)*$Q76/100</f>
        <v>4.2000000000000003E-2</v>
      </c>
      <c r="AP76" s="583">
        <f>VLOOKUP($H76,Nutrition_tables!$A:$AF,29,FALSE)*$Q76/100</f>
        <v>20.25</v>
      </c>
      <c r="AQ76" s="583">
        <f>VLOOKUP($H76,Nutrition_tables!$A:$AF,30,FALSE)*$Q76/100</f>
        <v>0</v>
      </c>
      <c r="AR76" s="583">
        <f>VLOOKUP($H76,Nutrition_tables!$A:$AF,31,FALSE)*$Q76/100</f>
        <v>7.4999999999999997E-2</v>
      </c>
      <c r="AS76" s="549">
        <f>VLOOKUP($H76,Nutrition_tables!$A:$AF,32,FALSE)*$Q76/100</f>
        <v>8.2500000000000004E-2</v>
      </c>
      <c r="AT76" s="583">
        <f>IF(H76="Select ingredient:","",IF(G76="Select food category:","",IFERROR(VLOOKUP($H76,Ingredient_prices!$E:$W,17,FALSE)*$Q76/1000,"not bought")))</f>
        <v>5.28</v>
      </c>
      <c r="AU76" s="583">
        <f>IF(H76="Select ingredient:","",IF(G76="Select food category:","",IFERROR(VLOOKUP($H76,Ingredient_prices!$E:$W,18,FALSE)*$Q76/1000,"not bought")))</f>
        <v>5.28</v>
      </c>
      <c r="AV76" s="583">
        <f t="shared" si="120"/>
        <v>119.48803406826212</v>
      </c>
      <c r="AW76" s="583">
        <f t="shared" si="98"/>
        <v>23.088596921520413</v>
      </c>
      <c r="AX76" s="583">
        <f t="shared" si="99"/>
        <v>3.0905995879200545</v>
      </c>
      <c r="AY76" s="583">
        <f t="shared" si="100"/>
        <v>0.22724996970000408</v>
      </c>
      <c r="AZ76" s="583">
        <f t="shared" si="101"/>
        <v>1.9543497394200349</v>
      </c>
      <c r="BA76" s="583">
        <f t="shared" si="102"/>
        <v>4.5449993940000807E-2</v>
      </c>
      <c r="BB76" s="583">
        <f t="shared" si="103"/>
        <v>231.7949690940041</v>
      </c>
      <c r="BC76" s="583">
        <f t="shared" si="104"/>
        <v>52.267493031000932</v>
      </c>
      <c r="BD76" s="583">
        <f t="shared" si="105"/>
        <v>44.086494121800783</v>
      </c>
      <c r="BE76" s="583">
        <f t="shared" si="106"/>
        <v>10.907998545600194</v>
      </c>
      <c r="BF76" s="583">
        <f t="shared" si="107"/>
        <v>0</v>
      </c>
      <c r="BG76" s="583">
        <f t="shared" si="108"/>
        <v>0.6817499091000121</v>
      </c>
      <c r="BH76" s="583">
        <f t="shared" si="109"/>
        <v>1.7270997697200305</v>
      </c>
      <c r="BI76" s="583">
        <f t="shared" si="110"/>
        <v>0.14453098072920259</v>
      </c>
      <c r="BJ76" s="583">
        <f t="shared" si="111"/>
        <v>0</v>
      </c>
      <c r="BK76" s="583">
        <f t="shared" si="112"/>
        <v>9.0899987880001615E-2</v>
      </c>
      <c r="BL76" s="583">
        <f t="shared" si="113"/>
        <v>3.635999515200064E-2</v>
      </c>
      <c r="BM76" s="583">
        <f t="shared" si="114"/>
        <v>1.2771448297140227</v>
      </c>
      <c r="BN76" s="583">
        <f t="shared" si="115"/>
        <v>2.5451996606400455E-2</v>
      </c>
      <c r="BO76" s="583">
        <f t="shared" si="116"/>
        <v>12.271498363800218</v>
      </c>
      <c r="BP76" s="583">
        <f t="shared" si="117"/>
        <v>0</v>
      </c>
      <c r="BQ76" s="583">
        <f t="shared" si="118"/>
        <v>4.5449993940000807E-2</v>
      </c>
      <c r="BR76" s="583">
        <f t="shared" si="119"/>
        <v>4.9994993334000891E-2</v>
      </c>
    </row>
    <row r="77" spans="1:70" s="229" customFormat="1">
      <c r="A77" s="590"/>
      <c r="D77" s="85"/>
      <c r="E77" s="576">
        <f t="shared" si="121"/>
        <v>100</v>
      </c>
      <c r="F77" s="85" t="s">
        <v>1748</v>
      </c>
      <c r="G77" s="406" t="s">
        <v>3077</v>
      </c>
      <c r="H77" s="1262" t="s">
        <v>3308</v>
      </c>
      <c r="I77" s="85">
        <v>150</v>
      </c>
      <c r="J77" s="682">
        <v>1</v>
      </c>
      <c r="K77" s="579">
        <f t="shared" si="95"/>
        <v>16.5</v>
      </c>
      <c r="L77" s="580">
        <f>IF(H77="Select ingredient:","",IF(G77="","",_xlfn.IFNA(VLOOKUP($H77,Ingredient_prices!$E:$U,16,FALSE),0)))</f>
        <v>49.5</v>
      </c>
      <c r="M77" s="591"/>
      <c r="N77" s="591"/>
      <c r="O77" s="591"/>
      <c r="P77" s="592"/>
      <c r="Q77" s="583">
        <f t="shared" si="96"/>
        <v>150</v>
      </c>
      <c r="R77" s="583">
        <f>VLOOKUP($H77,'CO2_emission+%_food_waste'!$A:$K,6,FALSE)*$Q77/100</f>
        <v>32.49</v>
      </c>
      <c r="S77" s="583">
        <f t="shared" si="97"/>
        <v>117.50999999999999</v>
      </c>
      <c r="T77" s="583">
        <f>IF(H77="Select ingredient:","",IF(G77="Select food category:","",_xlfn.IFNA(VLOOKUP($H77,Ingredient_prices!$E:$U,16,FALSE)*$Q77/1000,"not bought")))</f>
        <v>7.4249999999999998</v>
      </c>
      <c r="U77" s="583">
        <f>IF(G77="Select food category:","",_xlfn.IFNA(VLOOKUP($H77,Ingredient_prices!$E:$U,16,FALSE)*$R77/1000,"not bought"))</f>
        <v>1.6082550000000002</v>
      </c>
      <c r="V77" s="549">
        <f>VLOOKUP($H77,'CO2_emission+%_food_waste'!$A:$K,4,FALSE)*$Q77</f>
        <v>64.5</v>
      </c>
      <c r="W77" s="583">
        <f>VLOOKUP($H77,Nutrition_tables!$A:$N,10,FALSE)*$Q77/100</f>
        <v>67.5</v>
      </c>
      <c r="X77" s="583">
        <f>VLOOKUP($H77,Nutrition_tables!$A:$N,11,FALSE)*$Q77/100</f>
        <v>15</v>
      </c>
      <c r="Y77" s="583">
        <f>VLOOKUP($H77,Nutrition_tables!$A:$N,12,FALSE)*$Q77/100</f>
        <v>0.3</v>
      </c>
      <c r="Z77" s="583">
        <f>VLOOKUP($H77,Nutrition_tables!$A:$N,14,FALSE)*$Q77/100</f>
        <v>0.45</v>
      </c>
      <c r="AA77" s="583">
        <f>VLOOKUP($H77,Nutrition_tables!$A:$AF,13,FALSE)*$Q77/100</f>
        <v>3.6</v>
      </c>
      <c r="AB77" s="549">
        <f>VLOOKUP($H77,Nutrition_tables!$A:$AF,15,FALSE)*$Q77/100</f>
        <v>0.10500000000000002</v>
      </c>
      <c r="AC77" s="583">
        <f>VLOOKUP($H77,Nutrition_tables!$A:$AF,16,FALSE)*$Q77/100</f>
        <v>3</v>
      </c>
      <c r="AD77" s="583">
        <f>VLOOKUP($H77,Nutrition_tables!$A:$AF,17,FALSE)*$Q77/100</f>
        <v>180</v>
      </c>
      <c r="AE77" s="583">
        <f>VLOOKUP($H77,Nutrition_tables!$A:$AF,18,FALSE)*$Q77/100</f>
        <v>9</v>
      </c>
      <c r="AF77" s="583">
        <f>VLOOKUP($H77,Nutrition_tables!$A:$AF,19,FALSE)*$Q77/100</f>
        <v>12.975</v>
      </c>
      <c r="AG77" s="583">
        <f>VLOOKUP($H77,Nutrition_tables!$A:$AF,20,FALSE)*$Q77/100</f>
        <v>18</v>
      </c>
      <c r="AH77" s="583">
        <f>VLOOKUP($H77,Nutrition_tables!$A:$AF,21,FALSE)*$Q77/100</f>
        <v>0.45</v>
      </c>
      <c r="AI77" s="583">
        <f>VLOOKUP($H77,Nutrition_tables!$A:$AF,22,FALSE)*$Q77/100</f>
        <v>0.15</v>
      </c>
      <c r="AJ77" s="549">
        <f>VLOOKUP($H77,Nutrition_tables!$A:$AF,23,FALSE)*$Q77/100</f>
        <v>5.4495000000000002E-2</v>
      </c>
      <c r="AK77" s="583">
        <f>VLOOKUP($H77,Nutrition_tables!$A:$AF,24,FALSE)*$Q77/100</f>
        <v>4.5</v>
      </c>
      <c r="AL77" s="583">
        <f>VLOOKUP($H77,Nutrition_tables!$A:$AF,25,FALSE)*$Q77/100</f>
        <v>0.03</v>
      </c>
      <c r="AM77" s="583">
        <f>VLOOKUP($H77,Nutrition_tables!$A:$AF,26,FALSE)*$Q77/100</f>
        <v>0.03</v>
      </c>
      <c r="AN77" s="583">
        <f>VLOOKUP($H77,Nutrition_tables!$A:$AF,27,FALSE)*$Q77/100</f>
        <v>0.45</v>
      </c>
      <c r="AO77" s="583">
        <f>VLOOKUP($H77,Nutrition_tables!$A:$AF,28,FALSE)*$Q77/100</f>
        <v>0.16500000000000001</v>
      </c>
      <c r="AP77" s="583">
        <f>VLOOKUP($H77,Nutrition_tables!$A:$AF,29,FALSE)*$Q77/100</f>
        <v>1.5</v>
      </c>
      <c r="AQ77" s="583">
        <f>VLOOKUP($H77,Nutrition_tables!$A:$AF,30,FALSE)*$Q77/100</f>
        <v>0</v>
      </c>
      <c r="AR77" s="583">
        <f>VLOOKUP($H77,Nutrition_tables!$A:$AF,31,FALSE)*$Q77/100</f>
        <v>15</v>
      </c>
      <c r="AS77" s="549">
        <f>VLOOKUP($H77,Nutrition_tables!$A:$AF,32,FALSE)*$Q77/100</f>
        <v>0</v>
      </c>
      <c r="AT77" s="583">
        <f>IF(H77="Select ingredient:","",IF(G77="Select food category:","",IFERROR(VLOOKUP($H77,Ingredient_prices!$E:$W,17,FALSE)*$Q77/1000,"not bought")))</f>
        <v>7.4249999999999998</v>
      </c>
      <c r="AU77" s="583">
        <f>IF(H77="Select ingredient:","",IF(G77="Select food category:","",IFERROR(VLOOKUP($H77,Ingredient_prices!$E:$W,18,FALSE)*$Q77/1000,"not bought")))</f>
        <v>7.4249999999999998</v>
      </c>
      <c r="AV77" s="583">
        <f t="shared" si="120"/>
        <v>52.879496474700233</v>
      </c>
      <c r="AW77" s="583">
        <f t="shared" si="98"/>
        <v>11.750999216600052</v>
      </c>
      <c r="AX77" s="583">
        <f t="shared" si="99"/>
        <v>0.235019984332001</v>
      </c>
      <c r="AY77" s="583">
        <f t="shared" si="100"/>
        <v>0.35252997649800155</v>
      </c>
      <c r="AZ77" s="583">
        <f t="shared" si="101"/>
        <v>2.8202398119840124</v>
      </c>
      <c r="BA77" s="583">
        <f t="shared" si="102"/>
        <v>8.2256994516200374E-2</v>
      </c>
      <c r="BB77" s="583">
        <f t="shared" si="103"/>
        <v>2.3501998433200102</v>
      </c>
      <c r="BC77" s="583">
        <f t="shared" si="104"/>
        <v>141.01199059920063</v>
      </c>
      <c r="BD77" s="583">
        <f t="shared" si="105"/>
        <v>7.0505995299600306</v>
      </c>
      <c r="BE77" s="583">
        <f t="shared" si="106"/>
        <v>10.164614322359045</v>
      </c>
      <c r="BF77" s="583">
        <f t="shared" si="107"/>
        <v>14.101199059920061</v>
      </c>
      <c r="BG77" s="583">
        <f t="shared" si="108"/>
        <v>0.35252997649800155</v>
      </c>
      <c r="BH77" s="583">
        <f t="shared" si="109"/>
        <v>0.1175099921660005</v>
      </c>
      <c r="BI77" s="583">
        <f t="shared" si="110"/>
        <v>4.2691380153907985E-2</v>
      </c>
      <c r="BJ77" s="583">
        <f t="shared" si="111"/>
        <v>3.5252997649800153</v>
      </c>
      <c r="BK77" s="583">
        <f t="shared" si="112"/>
        <v>2.35019984332001E-2</v>
      </c>
      <c r="BL77" s="583">
        <f t="shared" si="113"/>
        <v>2.35019984332001E-2</v>
      </c>
      <c r="BM77" s="583">
        <f>AN77*($Q77-$R77)/($Q77+0.00001)</f>
        <v>0.35252997649800155</v>
      </c>
      <c r="BN77" s="583">
        <f t="shared" si="115"/>
        <v>0.12926099138260058</v>
      </c>
      <c r="BO77" s="583">
        <f t="shared" si="116"/>
        <v>1.1750999216600051</v>
      </c>
      <c r="BP77" s="583">
        <f t="shared" si="117"/>
        <v>0</v>
      </c>
      <c r="BQ77" s="583">
        <f t="shared" si="118"/>
        <v>11.750999216600052</v>
      </c>
      <c r="BR77" s="583">
        <f t="shared" si="119"/>
        <v>0</v>
      </c>
    </row>
    <row r="78" spans="1:70" s="229" customFormat="1" ht="15" customHeight="1">
      <c r="A78" s="590"/>
      <c r="D78" s="85"/>
      <c r="E78" s="576">
        <f t="shared" si="121"/>
        <v>100</v>
      </c>
      <c r="F78" s="707"/>
      <c r="G78" s="406" t="s">
        <v>3054</v>
      </c>
      <c r="H78" s="1262" t="s">
        <v>3055</v>
      </c>
      <c r="I78" s="85">
        <v>0</v>
      </c>
      <c r="J78" s="682">
        <v>1</v>
      </c>
      <c r="K78" s="579" t="str">
        <f t="shared" si="95"/>
        <v/>
      </c>
      <c r="L78" s="580" t="str">
        <f>IF(H78="Select ingredient:","",IF(G78="","",_xlfn.IFNA(VLOOKUP($H78,Ingredient_prices!$E:$U,16,FALSE),0)))</f>
        <v/>
      </c>
      <c r="M78" s="591"/>
      <c r="N78" s="591"/>
      <c r="O78" s="591"/>
      <c r="P78" s="592"/>
      <c r="Q78" s="583">
        <f t="shared" si="96"/>
        <v>0</v>
      </c>
      <c r="R78" s="583">
        <f>VLOOKUP($H78,'CO2_emission+%_food_waste'!$A:$K,6,FALSE)*$Q78/100</f>
        <v>0</v>
      </c>
      <c r="S78" s="583">
        <f t="shared" si="97"/>
        <v>0</v>
      </c>
      <c r="T78" s="583" t="str">
        <f>IF(H78="Select ingredient:","",IF(G78="Select food category:","",_xlfn.IFNA(VLOOKUP($H78,Ingredient_prices!$E:$U,16,FALSE)*$Q78/1000,"not bought")))</f>
        <v/>
      </c>
      <c r="U78" s="583" t="str">
        <f>IF(G78="Select food category:","",_xlfn.IFNA(VLOOKUP($H78,Ingredient_prices!$E:$U,16,FALSE)*$R78/1000,"not bought"))</f>
        <v/>
      </c>
      <c r="V78" s="549">
        <f>VLOOKUP($H78,'CO2_emission+%_food_waste'!$A:$K,4,FALSE)*$Q78</f>
        <v>0</v>
      </c>
      <c r="W78" s="583">
        <f>VLOOKUP($H78,Nutrition_tables!$A:$N,10,FALSE)*$Q78/100</f>
        <v>0</v>
      </c>
      <c r="X78" s="583">
        <f>VLOOKUP($H78,Nutrition_tables!$A:$N,11,FALSE)*$Q78/100</f>
        <v>0</v>
      </c>
      <c r="Y78" s="583">
        <f>VLOOKUP($H78,Nutrition_tables!$A:$N,12,FALSE)*$Q78/100</f>
        <v>0</v>
      </c>
      <c r="Z78" s="583">
        <f>VLOOKUP($H78,Nutrition_tables!$A:$N,14,FALSE)*$Q78/100</f>
        <v>0</v>
      </c>
      <c r="AA78" s="583">
        <f>VLOOKUP($H78,Nutrition_tables!$A:$AF,13,FALSE)*$Q78/100</f>
        <v>0</v>
      </c>
      <c r="AB78" s="549">
        <f>VLOOKUP($H78,Nutrition_tables!$A:$AF,15,FALSE)*$Q78/100</f>
        <v>0</v>
      </c>
      <c r="AC78" s="583">
        <f>VLOOKUP($H78,Nutrition_tables!$A:$AF,16,FALSE)*$Q78/100</f>
        <v>0</v>
      </c>
      <c r="AD78" s="583">
        <f>VLOOKUP($H78,Nutrition_tables!$A:$AF,17,FALSE)*$Q78/100</f>
        <v>0</v>
      </c>
      <c r="AE78" s="583">
        <f>VLOOKUP($H78,Nutrition_tables!$A:$AF,18,FALSE)*$Q78/100</f>
        <v>0</v>
      </c>
      <c r="AF78" s="583">
        <f>VLOOKUP($H78,Nutrition_tables!$A:$AF,19,FALSE)*$Q78/100</f>
        <v>0</v>
      </c>
      <c r="AG78" s="583">
        <f>VLOOKUP($H78,Nutrition_tables!$A:$AF,20,FALSE)*$Q78/100</f>
        <v>0</v>
      </c>
      <c r="AH78" s="583">
        <f>VLOOKUP($H78,Nutrition_tables!$A:$AF,21,FALSE)*$Q78/100</f>
        <v>0</v>
      </c>
      <c r="AI78" s="583">
        <f>VLOOKUP($H78,Nutrition_tables!$A:$AF,22,FALSE)*$Q78/100</f>
        <v>0</v>
      </c>
      <c r="AJ78" s="549">
        <f>VLOOKUP($H78,Nutrition_tables!$A:$AF,23,FALSE)*$Q78/100</f>
        <v>0</v>
      </c>
      <c r="AK78" s="583">
        <f>VLOOKUP($H78,Nutrition_tables!$A:$AF,24,FALSE)*$Q78/100</f>
        <v>0</v>
      </c>
      <c r="AL78" s="583">
        <f>VLOOKUP($H78,Nutrition_tables!$A:$AF,25,FALSE)*$Q78/100</f>
        <v>0</v>
      </c>
      <c r="AM78" s="583">
        <f>VLOOKUP($H78,Nutrition_tables!$A:$AF,26,FALSE)*$Q78/100</f>
        <v>0</v>
      </c>
      <c r="AN78" s="583">
        <f>VLOOKUP($H78,Nutrition_tables!$A:$AF,27,FALSE)*$Q78/100</f>
        <v>0</v>
      </c>
      <c r="AO78" s="583">
        <f>VLOOKUP($H78,Nutrition_tables!$A:$AF,28,FALSE)*$Q78/100</f>
        <v>0</v>
      </c>
      <c r="AP78" s="583">
        <f>VLOOKUP($H78,Nutrition_tables!$A:$AF,29,FALSE)*$Q78/100</f>
        <v>0</v>
      </c>
      <c r="AQ78" s="583">
        <f>VLOOKUP($H78,Nutrition_tables!$A:$AF,30,FALSE)*$Q78/100</f>
        <v>0</v>
      </c>
      <c r="AR78" s="583">
        <f>VLOOKUP($H78,Nutrition_tables!$A:$AF,31,FALSE)*$Q78/100</f>
        <v>0</v>
      </c>
      <c r="AS78" s="549">
        <f>VLOOKUP($H78,Nutrition_tables!$A:$AF,32,FALSE)*$Q78/100</f>
        <v>0</v>
      </c>
      <c r="AT78" s="583" t="str">
        <f>IF(H78="Select ingredient:","",IF(G78="Select food category:","",IFERROR(VLOOKUP($H78,Ingredient_prices!$E:$W,17,FALSE)*$Q78/1000,"not bought")))</f>
        <v/>
      </c>
      <c r="AU78" s="583" t="str">
        <f>IF(H78="Select ingredient:","",IF(G78="Select food category:","",IFERROR(VLOOKUP($H78,Ingredient_prices!$E:$W,18,FALSE)*$Q78/1000,"not bought")))</f>
        <v/>
      </c>
      <c r="AV78" s="583">
        <f t="shared" si="120"/>
        <v>0</v>
      </c>
      <c r="AW78" s="583">
        <f t="shared" si="98"/>
        <v>0</v>
      </c>
      <c r="AX78" s="583">
        <f t="shared" si="99"/>
        <v>0</v>
      </c>
      <c r="AY78" s="583">
        <f t="shared" si="100"/>
        <v>0</v>
      </c>
      <c r="AZ78" s="583">
        <f t="shared" si="101"/>
        <v>0</v>
      </c>
      <c r="BA78" s="583">
        <f t="shared" si="102"/>
        <v>0</v>
      </c>
      <c r="BB78" s="583">
        <f t="shared" si="103"/>
        <v>0</v>
      </c>
      <c r="BC78" s="583">
        <f t="shared" si="104"/>
        <v>0</v>
      </c>
      <c r="BD78" s="583">
        <f t="shared" si="105"/>
        <v>0</v>
      </c>
      <c r="BE78" s="583">
        <f t="shared" si="106"/>
        <v>0</v>
      </c>
      <c r="BF78" s="583">
        <f t="shared" si="107"/>
        <v>0</v>
      </c>
      <c r="BG78" s="583">
        <f t="shared" si="108"/>
        <v>0</v>
      </c>
      <c r="BH78" s="583">
        <f t="shared" si="109"/>
        <v>0</v>
      </c>
      <c r="BI78" s="583">
        <f t="shared" si="110"/>
        <v>0</v>
      </c>
      <c r="BJ78" s="583">
        <f t="shared" si="111"/>
        <v>0</v>
      </c>
      <c r="BK78" s="583">
        <f t="shared" si="112"/>
        <v>0</v>
      </c>
      <c r="BL78" s="583">
        <f t="shared" si="113"/>
        <v>0</v>
      </c>
      <c r="BM78" s="583">
        <f t="shared" si="114"/>
        <v>0</v>
      </c>
      <c r="BN78" s="583">
        <f t="shared" si="115"/>
        <v>0</v>
      </c>
      <c r="BO78" s="583">
        <f t="shared" si="116"/>
        <v>0</v>
      </c>
      <c r="BP78" s="583">
        <f t="shared" si="117"/>
        <v>0</v>
      </c>
      <c r="BQ78" s="583">
        <f t="shared" si="118"/>
        <v>0</v>
      </c>
      <c r="BR78" s="583">
        <f t="shared" si="119"/>
        <v>0</v>
      </c>
    </row>
    <row r="79" spans="1:70" s="229" customFormat="1" ht="15" customHeight="1">
      <c r="A79" s="590"/>
      <c r="D79" s="85"/>
      <c r="E79" s="576">
        <f t="shared" si="121"/>
        <v>100</v>
      </c>
      <c r="F79" s="707"/>
      <c r="G79" s="406" t="s">
        <v>3054</v>
      </c>
      <c r="H79" s="1262" t="s">
        <v>3055</v>
      </c>
      <c r="I79" s="85">
        <v>0</v>
      </c>
      <c r="J79" s="682">
        <v>1</v>
      </c>
      <c r="K79" s="579" t="str">
        <f t="shared" si="95"/>
        <v/>
      </c>
      <c r="L79" s="580" t="str">
        <f>IF(H79="Select ingredient:","",IF(G79="","",_xlfn.IFNA(VLOOKUP($H79,Ingredient_prices!$E:$U,16,FALSE),0)))</f>
        <v/>
      </c>
      <c r="M79" s="591"/>
      <c r="N79" s="591"/>
      <c r="O79" s="591"/>
      <c r="P79" s="592"/>
      <c r="Q79" s="583">
        <f t="shared" si="96"/>
        <v>0</v>
      </c>
      <c r="R79" s="583">
        <f>VLOOKUP($H79,'CO2_emission+%_food_waste'!$A:$K,6,FALSE)*$Q79/100</f>
        <v>0</v>
      </c>
      <c r="S79" s="583">
        <f t="shared" si="97"/>
        <v>0</v>
      </c>
      <c r="T79" s="583" t="str">
        <f>IF(H79="Select ingredient:","",IF(G79="Select food category:","",_xlfn.IFNA(VLOOKUP($H79,Ingredient_prices!$E:$U,16,FALSE)*$Q79/1000,"not bought")))</f>
        <v/>
      </c>
      <c r="U79" s="583" t="str">
        <f>IF(G79="Select food category:","",_xlfn.IFNA(VLOOKUP($H79,Ingredient_prices!$E:$U,16,FALSE)*$R79/1000,"not bought"))</f>
        <v/>
      </c>
      <c r="V79" s="549">
        <f>VLOOKUP($H79,'CO2_emission+%_food_waste'!$A:$K,4,FALSE)*$Q79</f>
        <v>0</v>
      </c>
      <c r="W79" s="583">
        <f>VLOOKUP($H79,Nutrition_tables!$A:$N,10,FALSE)*$Q79/100</f>
        <v>0</v>
      </c>
      <c r="X79" s="583">
        <f>VLOOKUP($H79,Nutrition_tables!$A:$N,11,FALSE)*$Q79/100</f>
        <v>0</v>
      </c>
      <c r="Y79" s="583">
        <f>VLOOKUP($H79,Nutrition_tables!$A:$N,12,FALSE)*$Q79/100</f>
        <v>0</v>
      </c>
      <c r="Z79" s="583">
        <f>VLOOKUP($H79,Nutrition_tables!$A:$N,14,FALSE)*$Q79/100</f>
        <v>0</v>
      </c>
      <c r="AA79" s="583">
        <f>VLOOKUP($H79,Nutrition_tables!$A:$AF,13,FALSE)*$Q79/100</f>
        <v>0</v>
      </c>
      <c r="AB79" s="549">
        <f>VLOOKUP($H79,Nutrition_tables!$A:$AF,15,FALSE)*$Q79/100</f>
        <v>0</v>
      </c>
      <c r="AC79" s="583">
        <f>VLOOKUP($H79,Nutrition_tables!$A:$AF,16,FALSE)*$Q79/100</f>
        <v>0</v>
      </c>
      <c r="AD79" s="583">
        <f>VLOOKUP($H79,Nutrition_tables!$A:$AF,17,FALSE)*$Q79/100</f>
        <v>0</v>
      </c>
      <c r="AE79" s="583">
        <f>VLOOKUP($H79,Nutrition_tables!$A:$AF,18,FALSE)*$Q79/100</f>
        <v>0</v>
      </c>
      <c r="AF79" s="583">
        <f>VLOOKUP($H79,Nutrition_tables!$A:$AF,19,FALSE)*$Q79/100</f>
        <v>0</v>
      </c>
      <c r="AG79" s="583">
        <f>VLOOKUP($H79,Nutrition_tables!$A:$AF,20,FALSE)*$Q79/100</f>
        <v>0</v>
      </c>
      <c r="AH79" s="583">
        <f>VLOOKUP($H79,Nutrition_tables!$A:$AF,21,FALSE)*$Q79/100</f>
        <v>0</v>
      </c>
      <c r="AI79" s="583">
        <f>VLOOKUP($H79,Nutrition_tables!$A:$AF,22,FALSE)*$Q79/100</f>
        <v>0</v>
      </c>
      <c r="AJ79" s="549">
        <f>VLOOKUP($H79,Nutrition_tables!$A:$AF,23,FALSE)*$Q79/100</f>
        <v>0</v>
      </c>
      <c r="AK79" s="583">
        <f>VLOOKUP($H79,Nutrition_tables!$A:$AF,24,FALSE)*$Q79/100</f>
        <v>0</v>
      </c>
      <c r="AL79" s="583">
        <f>VLOOKUP($H79,Nutrition_tables!$A:$AF,25,FALSE)*$Q79/100</f>
        <v>0</v>
      </c>
      <c r="AM79" s="583">
        <f>VLOOKUP($H79,Nutrition_tables!$A:$AF,26,FALSE)*$Q79/100</f>
        <v>0</v>
      </c>
      <c r="AN79" s="583">
        <f>VLOOKUP($H79,Nutrition_tables!$A:$AF,27,FALSE)*$Q79/100</f>
        <v>0</v>
      </c>
      <c r="AO79" s="583">
        <f>VLOOKUP($H79,Nutrition_tables!$A:$AF,28,FALSE)*$Q79/100</f>
        <v>0</v>
      </c>
      <c r="AP79" s="583">
        <f>VLOOKUP($H79,Nutrition_tables!$A:$AF,29,FALSE)*$Q79/100</f>
        <v>0</v>
      </c>
      <c r="AQ79" s="583">
        <f>VLOOKUP($H79,Nutrition_tables!$A:$AF,30,FALSE)*$Q79/100</f>
        <v>0</v>
      </c>
      <c r="AR79" s="583">
        <f>VLOOKUP($H79,Nutrition_tables!$A:$AF,31,FALSE)*$Q79/100</f>
        <v>0</v>
      </c>
      <c r="AS79" s="549">
        <f>VLOOKUP($H79,Nutrition_tables!$A:$AF,32,FALSE)*$Q79/100</f>
        <v>0</v>
      </c>
      <c r="AT79" s="583" t="str">
        <f>IF(H79="Select ingredient:","",IF(G79="Select food category:","",IFERROR(VLOOKUP($H79,Ingredient_prices!$E:$W,17,FALSE)*$Q79/1000,"not bought")))</f>
        <v/>
      </c>
      <c r="AU79" s="583" t="str">
        <f>IF(H79="Select ingredient:","",IF(G79="Select food category:","",IFERROR(VLOOKUP($H79,Ingredient_prices!$E:$W,18,FALSE)*$Q79/1000,"not bought")))</f>
        <v/>
      </c>
      <c r="AV79" s="583">
        <f t="shared" si="120"/>
        <v>0</v>
      </c>
      <c r="AW79" s="583">
        <f t="shared" si="98"/>
        <v>0</v>
      </c>
      <c r="AX79" s="583">
        <f t="shared" si="99"/>
        <v>0</v>
      </c>
      <c r="AY79" s="583">
        <f t="shared" si="100"/>
        <v>0</v>
      </c>
      <c r="AZ79" s="583">
        <f t="shared" si="101"/>
        <v>0</v>
      </c>
      <c r="BA79" s="583">
        <f t="shared" si="102"/>
        <v>0</v>
      </c>
      <c r="BB79" s="583">
        <f t="shared" si="103"/>
        <v>0</v>
      </c>
      <c r="BC79" s="583">
        <f t="shared" si="104"/>
        <v>0</v>
      </c>
      <c r="BD79" s="583">
        <f t="shared" si="105"/>
        <v>0</v>
      </c>
      <c r="BE79" s="583">
        <f t="shared" si="106"/>
        <v>0</v>
      </c>
      <c r="BF79" s="583">
        <f t="shared" si="107"/>
        <v>0</v>
      </c>
      <c r="BG79" s="583">
        <f t="shared" si="108"/>
        <v>0</v>
      </c>
      <c r="BH79" s="583">
        <f t="shared" si="109"/>
        <v>0</v>
      </c>
      <c r="BI79" s="583">
        <f t="shared" si="110"/>
        <v>0</v>
      </c>
      <c r="BJ79" s="583">
        <f t="shared" si="111"/>
        <v>0</v>
      </c>
      <c r="BK79" s="583">
        <f t="shared" si="112"/>
        <v>0</v>
      </c>
      <c r="BL79" s="583">
        <f t="shared" si="113"/>
        <v>0</v>
      </c>
      <c r="BM79" s="583">
        <f t="shared" si="114"/>
        <v>0</v>
      </c>
      <c r="BN79" s="583">
        <f t="shared" si="115"/>
        <v>0</v>
      </c>
      <c r="BO79" s="583">
        <f t="shared" si="116"/>
        <v>0</v>
      </c>
      <c r="BP79" s="583">
        <f t="shared" si="117"/>
        <v>0</v>
      </c>
      <c r="BQ79" s="583">
        <f t="shared" si="118"/>
        <v>0</v>
      </c>
      <c r="BR79" s="583">
        <f t="shared" si="119"/>
        <v>0</v>
      </c>
    </row>
    <row r="80" spans="1:70" s="229" customFormat="1" ht="15" customHeight="1">
      <c r="A80" s="590"/>
      <c r="D80" s="85"/>
      <c r="E80" s="576">
        <f t="shared" si="121"/>
        <v>100</v>
      </c>
      <c r="F80" s="707"/>
      <c r="G80" s="406" t="s">
        <v>3054</v>
      </c>
      <c r="H80" s="1262" t="s">
        <v>3055</v>
      </c>
      <c r="I80" s="85">
        <v>0</v>
      </c>
      <c r="J80" s="682">
        <v>1</v>
      </c>
      <c r="K80" s="579" t="str">
        <f t="shared" si="95"/>
        <v/>
      </c>
      <c r="L80" s="580" t="str">
        <f>IF(H80="Select ingredient:","",IF(G80="","",_xlfn.IFNA(VLOOKUP($H80,Ingredient_prices!$E:$U,16,FALSE),0)))</f>
        <v/>
      </c>
      <c r="M80" s="591"/>
      <c r="N80" s="591"/>
      <c r="O80" s="591"/>
      <c r="P80" s="592"/>
      <c r="Q80" s="583">
        <f t="shared" si="96"/>
        <v>0</v>
      </c>
      <c r="R80" s="583">
        <f>VLOOKUP($H80,'CO2_emission+%_food_waste'!$A:$K,6,FALSE)*$Q80/100</f>
        <v>0</v>
      </c>
      <c r="S80" s="583">
        <f t="shared" si="97"/>
        <v>0</v>
      </c>
      <c r="T80" s="583" t="str">
        <f>IF(H80="Select ingredient:","",IF(G80="Select food category:","",_xlfn.IFNA(VLOOKUP($H80,Ingredient_prices!$E:$U,16,FALSE)*$Q80/1000,"not bought")))</f>
        <v/>
      </c>
      <c r="U80" s="583" t="str">
        <f>IF(G80="Select food category:","",_xlfn.IFNA(VLOOKUP($H80,Ingredient_prices!$E:$U,16,FALSE)*$R80/1000,"not bought"))</f>
        <v/>
      </c>
      <c r="V80" s="549">
        <f>VLOOKUP($H80,'CO2_emission+%_food_waste'!$A:$K,4,FALSE)*$Q80</f>
        <v>0</v>
      </c>
      <c r="W80" s="583">
        <f>VLOOKUP($H80,Nutrition_tables!$A:$N,10,FALSE)*$Q80/100</f>
        <v>0</v>
      </c>
      <c r="X80" s="583">
        <f>VLOOKUP($H80,Nutrition_tables!$A:$N,11,FALSE)*$Q80/100</f>
        <v>0</v>
      </c>
      <c r="Y80" s="583">
        <f>VLOOKUP($H80,Nutrition_tables!$A:$N,12,FALSE)*$Q80/100</f>
        <v>0</v>
      </c>
      <c r="Z80" s="583">
        <f>VLOOKUP($H80,Nutrition_tables!$A:$N,14,FALSE)*$Q80/100</f>
        <v>0</v>
      </c>
      <c r="AA80" s="583">
        <f>VLOOKUP($H80,Nutrition_tables!$A:$AF,13,FALSE)*$Q80/100</f>
        <v>0</v>
      </c>
      <c r="AB80" s="549">
        <f>VLOOKUP($H80,Nutrition_tables!$A:$AF,15,FALSE)*$Q80/100</f>
        <v>0</v>
      </c>
      <c r="AC80" s="583">
        <f>VLOOKUP($H80,Nutrition_tables!$A:$AF,16,FALSE)*$Q80/100</f>
        <v>0</v>
      </c>
      <c r="AD80" s="583">
        <f>VLOOKUP($H80,Nutrition_tables!$A:$AF,17,FALSE)*$Q80/100</f>
        <v>0</v>
      </c>
      <c r="AE80" s="583">
        <f>VLOOKUP($H80,Nutrition_tables!$A:$AF,18,FALSE)*$Q80/100</f>
        <v>0</v>
      </c>
      <c r="AF80" s="583">
        <f>VLOOKUP($H80,Nutrition_tables!$A:$AF,19,FALSE)*$Q80/100</f>
        <v>0</v>
      </c>
      <c r="AG80" s="583">
        <f>VLOOKUP($H80,Nutrition_tables!$A:$AF,20,FALSE)*$Q80/100</f>
        <v>0</v>
      </c>
      <c r="AH80" s="583">
        <f>VLOOKUP($H80,Nutrition_tables!$A:$AF,21,FALSE)*$Q80/100</f>
        <v>0</v>
      </c>
      <c r="AI80" s="583">
        <f>VLOOKUP($H80,Nutrition_tables!$A:$AF,22,FALSE)*$Q80/100</f>
        <v>0</v>
      </c>
      <c r="AJ80" s="549">
        <f>VLOOKUP($H80,Nutrition_tables!$A:$AF,23,FALSE)*$Q80/100</f>
        <v>0</v>
      </c>
      <c r="AK80" s="583">
        <f>VLOOKUP($H80,Nutrition_tables!$A:$AF,24,FALSE)*$Q80/100</f>
        <v>0</v>
      </c>
      <c r="AL80" s="583">
        <f>VLOOKUP($H80,Nutrition_tables!$A:$AF,25,FALSE)*$Q80/100</f>
        <v>0</v>
      </c>
      <c r="AM80" s="583">
        <f>VLOOKUP($H80,Nutrition_tables!$A:$AF,26,FALSE)*$Q80/100</f>
        <v>0</v>
      </c>
      <c r="AN80" s="583">
        <f>VLOOKUP($H80,Nutrition_tables!$A:$AF,27,FALSE)*$Q80/100</f>
        <v>0</v>
      </c>
      <c r="AO80" s="583">
        <f>VLOOKUP($H80,Nutrition_tables!$A:$AF,28,FALSE)*$Q80/100</f>
        <v>0</v>
      </c>
      <c r="AP80" s="583">
        <f>VLOOKUP($H80,Nutrition_tables!$A:$AF,29,FALSE)*$Q80/100</f>
        <v>0</v>
      </c>
      <c r="AQ80" s="583">
        <f>VLOOKUP($H80,Nutrition_tables!$A:$AF,30,FALSE)*$Q80/100</f>
        <v>0</v>
      </c>
      <c r="AR80" s="583">
        <f>VLOOKUP($H80,Nutrition_tables!$A:$AF,31,FALSE)*$Q80/100</f>
        <v>0</v>
      </c>
      <c r="AS80" s="549">
        <f>VLOOKUP($H80,Nutrition_tables!$A:$AF,32,FALSE)*$Q80/100</f>
        <v>0</v>
      </c>
      <c r="AT80" s="583" t="str">
        <f>IF(H80="Select ingredient:","",IF(G80="Select food category:","",IFERROR(VLOOKUP($H80,Ingredient_prices!$E:$W,17,FALSE)*$Q80/1000,"not bought")))</f>
        <v/>
      </c>
      <c r="AU80" s="583" t="str">
        <f>IF(H80="Select ingredient:","",IF(G80="Select food category:","",IFERROR(VLOOKUP($H80,Ingredient_prices!$E:$W,18,FALSE)*$Q80/1000,"not bought")))</f>
        <v/>
      </c>
      <c r="AV80" s="583">
        <f t="shared" si="120"/>
        <v>0</v>
      </c>
      <c r="AW80" s="583">
        <f t="shared" si="98"/>
        <v>0</v>
      </c>
      <c r="AX80" s="583">
        <f t="shared" si="99"/>
        <v>0</v>
      </c>
      <c r="AY80" s="583">
        <f t="shared" si="100"/>
        <v>0</v>
      </c>
      <c r="AZ80" s="583">
        <f t="shared" si="101"/>
        <v>0</v>
      </c>
      <c r="BA80" s="583">
        <f t="shared" si="102"/>
        <v>0</v>
      </c>
      <c r="BB80" s="583">
        <f t="shared" si="103"/>
        <v>0</v>
      </c>
      <c r="BC80" s="583">
        <f t="shared" si="104"/>
        <v>0</v>
      </c>
      <c r="BD80" s="583">
        <f t="shared" si="105"/>
        <v>0</v>
      </c>
      <c r="BE80" s="583">
        <f t="shared" si="106"/>
        <v>0</v>
      </c>
      <c r="BF80" s="583">
        <f t="shared" si="107"/>
        <v>0</v>
      </c>
      <c r="BG80" s="583">
        <f t="shared" si="108"/>
        <v>0</v>
      </c>
      <c r="BH80" s="583">
        <f t="shared" si="109"/>
        <v>0</v>
      </c>
      <c r="BI80" s="583">
        <f t="shared" si="110"/>
        <v>0</v>
      </c>
      <c r="BJ80" s="583">
        <f t="shared" si="111"/>
        <v>0</v>
      </c>
      <c r="BK80" s="583">
        <f t="shared" si="112"/>
        <v>0</v>
      </c>
      <c r="BL80" s="583">
        <f t="shared" si="113"/>
        <v>0</v>
      </c>
      <c r="BM80" s="583">
        <f t="shared" si="114"/>
        <v>0</v>
      </c>
      <c r="BN80" s="583">
        <f t="shared" si="115"/>
        <v>0</v>
      </c>
      <c r="BO80" s="583">
        <f t="shared" si="116"/>
        <v>0</v>
      </c>
      <c r="BP80" s="583">
        <f t="shared" si="117"/>
        <v>0</v>
      </c>
      <c r="BQ80" s="583">
        <f t="shared" si="118"/>
        <v>0</v>
      </c>
      <c r="BR80" s="583">
        <f t="shared" si="119"/>
        <v>0</v>
      </c>
    </row>
    <row r="81" spans="1:70" s="229" customFormat="1" ht="15" customHeight="1">
      <c r="A81" s="590"/>
      <c r="D81" s="85"/>
      <c r="E81" s="576">
        <f t="shared" si="121"/>
        <v>100</v>
      </c>
      <c r="F81" s="707"/>
      <c r="G81" s="406" t="s">
        <v>3054</v>
      </c>
      <c r="H81" s="1262" t="s">
        <v>3055</v>
      </c>
      <c r="I81" s="85">
        <v>0</v>
      </c>
      <c r="J81" s="682">
        <v>1</v>
      </c>
      <c r="K81" s="579" t="str">
        <f t="shared" si="95"/>
        <v/>
      </c>
      <c r="L81" s="580" t="str">
        <f>IF(H81="Select ingredient:","",IF(G81="","",_xlfn.IFNA(VLOOKUP($H81,Ingredient_prices!$E:$U,16,FALSE),0)))</f>
        <v/>
      </c>
      <c r="M81" s="591"/>
      <c r="N81" s="591"/>
      <c r="O81" s="591"/>
      <c r="P81" s="592"/>
      <c r="Q81" s="583">
        <f t="shared" si="96"/>
        <v>0</v>
      </c>
      <c r="R81" s="583">
        <f>VLOOKUP($H81,'CO2_emission+%_food_waste'!$A:$K,6,FALSE)*$Q81/100</f>
        <v>0</v>
      </c>
      <c r="S81" s="583">
        <f t="shared" si="97"/>
        <v>0</v>
      </c>
      <c r="T81" s="583" t="str">
        <f>IF(H81="Select ingredient:","",IF(G81="Select food category:","",_xlfn.IFNA(VLOOKUP($H81,Ingredient_prices!$E:$U,16,FALSE)*$Q81/1000,"not bought")))</f>
        <v/>
      </c>
      <c r="U81" s="583" t="str">
        <f>IF(G81="Select food category:","",_xlfn.IFNA(VLOOKUP($H81,Ingredient_prices!$E:$U,16,FALSE)*$R81/1000,"not bought"))</f>
        <v/>
      </c>
      <c r="V81" s="549">
        <f>VLOOKUP($H81,'CO2_emission+%_food_waste'!$A:$K,4,FALSE)*$Q81</f>
        <v>0</v>
      </c>
      <c r="W81" s="583">
        <f>VLOOKUP($H81,Nutrition_tables!$A:$N,10,FALSE)*$Q81/100</f>
        <v>0</v>
      </c>
      <c r="X81" s="583">
        <f>VLOOKUP($H81,Nutrition_tables!$A:$N,11,FALSE)*$Q81/100</f>
        <v>0</v>
      </c>
      <c r="Y81" s="583">
        <f>VLOOKUP($H81,Nutrition_tables!$A:$N,12,FALSE)*$Q81/100</f>
        <v>0</v>
      </c>
      <c r="Z81" s="583">
        <f>VLOOKUP($H81,Nutrition_tables!$A:$N,14,FALSE)*$Q81/100</f>
        <v>0</v>
      </c>
      <c r="AA81" s="583">
        <f>VLOOKUP($H81,Nutrition_tables!$A:$AF,13,FALSE)*$Q81/100</f>
        <v>0</v>
      </c>
      <c r="AB81" s="549">
        <f>VLOOKUP($H81,Nutrition_tables!$A:$AF,15,FALSE)*$Q81/100</f>
        <v>0</v>
      </c>
      <c r="AC81" s="583">
        <f>VLOOKUP($H81,Nutrition_tables!$A:$AF,16,FALSE)*$Q81/100</f>
        <v>0</v>
      </c>
      <c r="AD81" s="583">
        <f>VLOOKUP($H81,Nutrition_tables!$A:$AF,17,FALSE)*$Q81/100</f>
        <v>0</v>
      </c>
      <c r="AE81" s="583">
        <f>VLOOKUP($H81,Nutrition_tables!$A:$AF,18,FALSE)*$Q81/100</f>
        <v>0</v>
      </c>
      <c r="AF81" s="583">
        <f>VLOOKUP($H81,Nutrition_tables!$A:$AF,19,FALSE)*$Q81/100</f>
        <v>0</v>
      </c>
      <c r="AG81" s="583">
        <f>VLOOKUP($H81,Nutrition_tables!$A:$AF,20,FALSE)*$Q81/100</f>
        <v>0</v>
      </c>
      <c r="AH81" s="583">
        <f>VLOOKUP($H81,Nutrition_tables!$A:$AF,21,FALSE)*$Q81/100</f>
        <v>0</v>
      </c>
      <c r="AI81" s="583">
        <f>VLOOKUP($H81,Nutrition_tables!$A:$AF,22,FALSE)*$Q81/100</f>
        <v>0</v>
      </c>
      <c r="AJ81" s="549">
        <f>VLOOKUP($H81,Nutrition_tables!$A:$AF,23,FALSE)*$Q81/100</f>
        <v>0</v>
      </c>
      <c r="AK81" s="583">
        <f>VLOOKUP($H81,Nutrition_tables!$A:$AF,24,FALSE)*$Q81/100</f>
        <v>0</v>
      </c>
      <c r="AL81" s="583">
        <f>VLOOKUP($H81,Nutrition_tables!$A:$AF,25,FALSE)*$Q81/100</f>
        <v>0</v>
      </c>
      <c r="AM81" s="583">
        <f>VLOOKUP($H81,Nutrition_tables!$A:$AF,26,FALSE)*$Q81/100</f>
        <v>0</v>
      </c>
      <c r="AN81" s="583">
        <f>VLOOKUP($H81,Nutrition_tables!$A:$AF,27,FALSE)*$Q81/100</f>
        <v>0</v>
      </c>
      <c r="AO81" s="583">
        <f>VLOOKUP($H81,Nutrition_tables!$A:$AF,28,FALSE)*$Q81/100</f>
        <v>0</v>
      </c>
      <c r="AP81" s="583">
        <f>VLOOKUP($H81,Nutrition_tables!$A:$AF,29,FALSE)*$Q81/100</f>
        <v>0</v>
      </c>
      <c r="AQ81" s="583">
        <f>VLOOKUP($H81,Nutrition_tables!$A:$AF,30,FALSE)*$Q81/100</f>
        <v>0</v>
      </c>
      <c r="AR81" s="583">
        <f>VLOOKUP($H81,Nutrition_tables!$A:$AF,31,FALSE)*$Q81/100</f>
        <v>0</v>
      </c>
      <c r="AS81" s="549">
        <f>VLOOKUP($H81,Nutrition_tables!$A:$AF,32,FALSE)*$Q81/100</f>
        <v>0</v>
      </c>
      <c r="AT81" s="583" t="str">
        <f>IF(H81="Select ingredient:","",IF(G81="Select food category:","",IFERROR(VLOOKUP($H81,Ingredient_prices!$E:$W,17,FALSE)*$Q81/1000,"not bought")))</f>
        <v/>
      </c>
      <c r="AU81" s="583" t="str">
        <f>IF(H81="Select ingredient:","",IF(G81="Select food category:","",IFERROR(VLOOKUP($H81,Ingredient_prices!$E:$W,18,FALSE)*$Q81/1000,"not bought")))</f>
        <v/>
      </c>
      <c r="AV81" s="583">
        <f t="shared" si="120"/>
        <v>0</v>
      </c>
      <c r="AW81" s="583">
        <f t="shared" si="98"/>
        <v>0</v>
      </c>
      <c r="AX81" s="583">
        <f t="shared" si="99"/>
        <v>0</v>
      </c>
      <c r="AY81" s="583">
        <f t="shared" si="100"/>
        <v>0</v>
      </c>
      <c r="AZ81" s="583">
        <f t="shared" si="101"/>
        <v>0</v>
      </c>
      <c r="BA81" s="583">
        <f t="shared" si="102"/>
        <v>0</v>
      </c>
      <c r="BB81" s="583">
        <f t="shared" si="103"/>
        <v>0</v>
      </c>
      <c r="BC81" s="583">
        <f t="shared" si="104"/>
        <v>0</v>
      </c>
      <c r="BD81" s="583">
        <f t="shared" si="105"/>
        <v>0</v>
      </c>
      <c r="BE81" s="583">
        <f t="shared" si="106"/>
        <v>0</v>
      </c>
      <c r="BF81" s="583">
        <f t="shared" si="107"/>
        <v>0</v>
      </c>
      <c r="BG81" s="583">
        <f t="shared" si="108"/>
        <v>0</v>
      </c>
      <c r="BH81" s="583">
        <f t="shared" si="109"/>
        <v>0</v>
      </c>
      <c r="BI81" s="583">
        <f t="shared" si="110"/>
        <v>0</v>
      </c>
      <c r="BJ81" s="583">
        <f t="shared" si="111"/>
        <v>0</v>
      </c>
      <c r="BK81" s="583">
        <f t="shared" si="112"/>
        <v>0</v>
      </c>
      <c r="BL81" s="583">
        <f t="shared" si="113"/>
        <v>0</v>
      </c>
      <c r="BM81" s="583">
        <f t="shared" si="114"/>
        <v>0</v>
      </c>
      <c r="BN81" s="583">
        <f t="shared" si="115"/>
        <v>0</v>
      </c>
      <c r="BO81" s="583">
        <f t="shared" si="116"/>
        <v>0</v>
      </c>
      <c r="BP81" s="583">
        <f t="shared" si="117"/>
        <v>0</v>
      </c>
      <c r="BQ81" s="583">
        <f t="shared" si="118"/>
        <v>0</v>
      </c>
      <c r="BR81" s="583">
        <f t="shared" si="119"/>
        <v>0</v>
      </c>
    </row>
    <row r="82" spans="1:70" s="603" customFormat="1" ht="56">
      <c r="A82" s="590"/>
      <c r="B82" s="593"/>
      <c r="C82" s="522"/>
      <c r="D82" s="141"/>
      <c r="E82" s="594"/>
      <c r="F82" s="708"/>
      <c r="G82" s="522"/>
      <c r="H82" s="522"/>
      <c r="I82" s="141"/>
      <c r="J82" s="141"/>
      <c r="K82" s="141"/>
      <c r="L82" s="596"/>
      <c r="M82" s="597"/>
      <c r="N82" s="597"/>
      <c r="O82" s="597"/>
      <c r="P82" s="598"/>
      <c r="Q82" s="599" t="s">
        <v>384</v>
      </c>
      <c r="R82" s="600" t="s">
        <v>455</v>
      </c>
      <c r="S82" s="600" t="s">
        <v>2087</v>
      </c>
      <c r="T82" s="600" t="s">
        <v>456</v>
      </c>
      <c r="U82" s="600" t="s">
        <v>535</v>
      </c>
      <c r="V82" s="601" t="s">
        <v>457</v>
      </c>
      <c r="W82" s="600" t="s">
        <v>75</v>
      </c>
      <c r="X82" s="600" t="s">
        <v>385</v>
      </c>
      <c r="Y82" s="600" t="s">
        <v>386</v>
      </c>
      <c r="Z82" s="600" t="s">
        <v>387</v>
      </c>
      <c r="AA82" s="600" t="s">
        <v>388</v>
      </c>
      <c r="AB82" s="601" t="s">
        <v>389</v>
      </c>
      <c r="AC82" s="602" t="s">
        <v>390</v>
      </c>
      <c r="AD82" s="600" t="s">
        <v>391</v>
      </c>
      <c r="AE82" s="600" t="s">
        <v>392</v>
      </c>
      <c r="AF82" s="600" t="s">
        <v>393</v>
      </c>
      <c r="AG82" s="600" t="s">
        <v>394</v>
      </c>
      <c r="AH82" s="600" t="s">
        <v>395</v>
      </c>
      <c r="AI82" s="600" t="s">
        <v>396</v>
      </c>
      <c r="AJ82" s="601" t="s">
        <v>397</v>
      </c>
      <c r="AK82" s="602" t="s">
        <v>398</v>
      </c>
      <c r="AL82" s="600" t="s">
        <v>399</v>
      </c>
      <c r="AM82" s="600" t="s">
        <v>400</v>
      </c>
      <c r="AN82" s="600" t="s">
        <v>401</v>
      </c>
      <c r="AO82" s="600" t="s">
        <v>402</v>
      </c>
      <c r="AP82" s="600" t="s">
        <v>406</v>
      </c>
      <c r="AQ82" s="600" t="s">
        <v>405</v>
      </c>
      <c r="AR82" s="600" t="s">
        <v>403</v>
      </c>
      <c r="AS82" s="601" t="s">
        <v>404</v>
      </c>
      <c r="AT82" s="593"/>
      <c r="AU82" s="593"/>
    </row>
    <row r="83" spans="1:70" s="229" customFormat="1">
      <c r="A83" s="590"/>
      <c r="B83" s="522"/>
      <c r="C83" s="522"/>
      <c r="D83" s="141"/>
      <c r="E83" s="594"/>
      <c r="F83" s="708"/>
      <c r="G83" s="522"/>
      <c r="H83" s="522"/>
      <c r="I83" s="141"/>
      <c r="J83" s="141"/>
      <c r="K83" s="141"/>
      <c r="L83" s="604"/>
      <c r="M83" s="605"/>
      <c r="N83" s="605"/>
      <c r="O83" s="605"/>
      <c r="P83" s="606" t="s">
        <v>383</v>
      </c>
      <c r="Q83" s="583">
        <f t="shared" ref="Q83:U83" si="122">SUM(Q57:Q81)</f>
        <v>659.7</v>
      </c>
      <c r="R83" s="583">
        <f t="shared" si="122"/>
        <v>169.39600000000002</v>
      </c>
      <c r="S83" s="583">
        <f t="shared" si="122"/>
        <v>490.30399999999997</v>
      </c>
      <c r="T83" s="583">
        <f t="shared" si="122"/>
        <v>79.421399999999991</v>
      </c>
      <c r="U83" s="583">
        <f t="shared" si="122"/>
        <v>19.842071000000001</v>
      </c>
      <c r="V83" s="549">
        <f>SUM(V57:V81)</f>
        <v>782.44399999999996</v>
      </c>
      <c r="W83" s="583">
        <f>SUM(W57:W81)</f>
        <v>792.38532503496504</v>
      </c>
      <c r="X83" s="583">
        <f t="shared" ref="X83" si="123">SUM(X57:X81)</f>
        <v>114.70703393711639</v>
      </c>
      <c r="Y83" s="583">
        <f t="shared" ref="Y83" si="124">SUM(Y57:Y81)</f>
        <v>29.973665831742192</v>
      </c>
      <c r="Z83" s="583">
        <f t="shared" ref="Z83" si="125">SUM(Z57:Z81)</f>
        <v>21.587068576127447</v>
      </c>
      <c r="AA83" s="583">
        <f t="shared" ref="AA83" si="126">SUM(AA57:AA81)</f>
        <v>16.885191624838832</v>
      </c>
      <c r="AB83" s="549">
        <f t="shared" ref="AB83" si="127">SUM(AB57:AB81)</f>
        <v>2.5699851987982045</v>
      </c>
      <c r="AC83" s="583">
        <f t="shared" ref="AC83" si="128">SUM(AC57:AC81)</f>
        <v>708.40496503496502</v>
      </c>
      <c r="AD83" s="583">
        <f t="shared" ref="AD83" si="129">SUM(AD57:AD81)</f>
        <v>1665.6660000000002</v>
      </c>
      <c r="AE83" s="583">
        <f t="shared" ref="AE83" si="130">SUM(AE57:AE81)</f>
        <v>182.077</v>
      </c>
      <c r="AF83" s="583">
        <f t="shared" ref="AF83" si="131">SUM(AF57:AF81)</f>
        <v>155.11993006993006</v>
      </c>
      <c r="AG83" s="583">
        <f t="shared" ref="AG83" si="132">SUM(AG57:AG81)</f>
        <v>430.09199999999998</v>
      </c>
      <c r="AH83" s="583">
        <f t="shared" ref="AH83" si="133">SUM(AH57:AH81)</f>
        <v>6.6526669935552354</v>
      </c>
      <c r="AI83" s="583">
        <f t="shared" ref="AI83" si="134">SUM(AI57:AI81)</f>
        <v>5.986288859741185</v>
      </c>
      <c r="AJ83" s="549">
        <f t="shared" ref="AJ83" si="135">SUM(AJ57:AJ81)</f>
        <v>1.1087606152028362</v>
      </c>
      <c r="AK83" s="583">
        <f t="shared" ref="AK83" si="136">SUM(AK57:AK81)</f>
        <v>462.09399999999999</v>
      </c>
      <c r="AL83" s="583">
        <f t="shared" ref="AL83" si="137">SUM(AL57:AL81)</f>
        <v>0.7397991462765563</v>
      </c>
      <c r="AM83" s="583">
        <f t="shared" ref="AM83" si="138">SUM(AM57:AM81)</f>
        <v>0.50752158107590617</v>
      </c>
      <c r="AN83" s="583">
        <f t="shared" ref="AN83" si="139">SUM(AN57:AN81)</f>
        <v>14.55838298665487</v>
      </c>
      <c r="AO83" s="583">
        <f t="shared" ref="AO83" si="140">SUM(AO57:AO81)</f>
        <v>1.1605607639350299</v>
      </c>
      <c r="AP83" s="583">
        <f t="shared" ref="AP83" si="141">SUM(AP57:AP81)</f>
        <v>133.81013986013986</v>
      </c>
      <c r="AQ83" s="583">
        <f t="shared" ref="AQ83" si="142">SUM(AQ57:AQ81)</f>
        <v>0.72535636363636369</v>
      </c>
      <c r="AR83" s="583">
        <f t="shared" ref="AR83" si="143">SUM(AR57:AR81)</f>
        <v>69.936999999999998</v>
      </c>
      <c r="AS83" s="549">
        <f t="shared" ref="AS83" si="144">SUM(AS57:AS81)</f>
        <v>1.2071499719887955</v>
      </c>
      <c r="AT83" s="583">
        <f t="shared" ref="AT83:AU83" si="145">SUM(AT57:AT81)</f>
        <v>66.811400000000006</v>
      </c>
      <c r="AU83" s="583">
        <f t="shared" si="145"/>
        <v>79.421399999999991</v>
      </c>
      <c r="AV83" s="583">
        <f t="shared" ref="AV83:BR83" si="146">SUM(AV57:AV81)</f>
        <v>568.00187980049327</v>
      </c>
      <c r="AW83" s="583">
        <f t="shared" si="146"/>
        <v>80.123471167288713</v>
      </c>
      <c r="AX83" s="583">
        <f t="shared" si="146"/>
        <v>22.390753535769598</v>
      </c>
      <c r="AY83" s="583">
        <f t="shared" si="146"/>
        <v>16.140370866704934</v>
      </c>
      <c r="AZ83" s="583">
        <f t="shared" si="146"/>
        <v>12.174953572286274</v>
      </c>
      <c r="BA83" s="583">
        <f t="shared" si="146"/>
        <v>2.0020124833763231</v>
      </c>
      <c r="BB83" s="583">
        <f t="shared" si="146"/>
        <v>472.34116392605569</v>
      </c>
      <c r="BC83" s="583">
        <f t="shared" si="146"/>
        <v>1226.1044423385592</v>
      </c>
      <c r="BD83" s="583">
        <f t="shared" si="146"/>
        <v>127.46118239957936</v>
      </c>
      <c r="BE83" s="583">
        <f t="shared" si="146"/>
        <v>113.49054991110935</v>
      </c>
      <c r="BF83" s="583">
        <f t="shared" si="146"/>
        <v>331.89680492305996</v>
      </c>
      <c r="BG83" s="583">
        <f t="shared" si="146"/>
        <v>4.8693556957284878</v>
      </c>
      <c r="BH83" s="583">
        <f t="shared" si="146"/>
        <v>4.1226471228198935</v>
      </c>
      <c r="BI83" s="583">
        <f t="shared" si="146"/>
        <v>0.7873136185709404</v>
      </c>
      <c r="BJ83" s="583">
        <f t="shared" si="146"/>
        <v>358.96665887869756</v>
      </c>
      <c r="BK83" s="583">
        <f t="shared" si="146"/>
        <v>0.53433044303888322</v>
      </c>
      <c r="BL83" s="583">
        <f t="shared" si="146"/>
        <v>0.39377275429409231</v>
      </c>
      <c r="BM83" s="583">
        <f t="shared" si="146"/>
        <v>10.768243460189399</v>
      </c>
      <c r="BN83" s="583">
        <f t="shared" si="146"/>
        <v>0.86979355975009232</v>
      </c>
      <c r="BO83" s="583">
        <f t="shared" si="146"/>
        <v>97.61997241510727</v>
      </c>
      <c r="BP83" s="583">
        <f t="shared" si="146"/>
        <v>0.63397814508952077</v>
      </c>
      <c r="BQ83" s="583">
        <f t="shared" si="146"/>
        <v>51.818173939299136</v>
      </c>
      <c r="BR83" s="583">
        <f t="shared" si="146"/>
        <v>0.9858471952272938</v>
      </c>
    </row>
    <row r="84" spans="1:70" s="229" customFormat="1">
      <c r="A84" s="590"/>
      <c r="B84" s="522"/>
      <c r="C84" s="522"/>
      <c r="D84" s="141"/>
      <c r="E84" s="594"/>
      <c r="F84" s="708"/>
      <c r="G84" s="522"/>
      <c r="H84" s="522"/>
      <c r="I84" s="141"/>
      <c r="J84" s="141"/>
      <c r="K84" s="141"/>
      <c r="L84" s="604"/>
      <c r="M84" s="605"/>
      <c r="N84" s="605"/>
      <c r="O84" s="605"/>
      <c r="P84" s="606" t="s">
        <v>545</v>
      </c>
      <c r="V84" s="527" t="s">
        <v>588</v>
      </c>
      <c r="W84" s="229">
        <v>556.5</v>
      </c>
      <c r="X84" s="229">
        <v>69.599999999999994</v>
      </c>
      <c r="Y84" s="229">
        <v>17.399999999999999</v>
      </c>
      <c r="Z84" s="229">
        <v>18.599999999999998</v>
      </c>
      <c r="AA84" s="229">
        <v>5.7</v>
      </c>
      <c r="AB84" s="526">
        <v>6</v>
      </c>
      <c r="AC84" s="229">
        <v>414</v>
      </c>
      <c r="AD84" s="229">
        <v>540</v>
      </c>
      <c r="AE84" s="229">
        <v>270</v>
      </c>
      <c r="AF84" s="229">
        <v>51</v>
      </c>
      <c r="AG84" s="229">
        <v>240</v>
      </c>
      <c r="AH84" s="229">
        <v>3</v>
      </c>
      <c r="AI84" s="229">
        <v>2.1</v>
      </c>
      <c r="AJ84" s="526">
        <v>0.375</v>
      </c>
      <c r="AK84" s="229">
        <v>240</v>
      </c>
      <c r="AL84" s="229">
        <v>0.3</v>
      </c>
      <c r="AM84" s="229">
        <v>0.33</v>
      </c>
      <c r="AN84" s="229">
        <v>3.5999999999999996</v>
      </c>
      <c r="AO84" s="229">
        <v>0.21</v>
      </c>
      <c r="AP84" s="229">
        <v>90</v>
      </c>
      <c r="AQ84" s="229">
        <v>0.54</v>
      </c>
      <c r="AR84" s="229">
        <v>24</v>
      </c>
      <c r="AS84" s="526">
        <v>1.5</v>
      </c>
      <c r="AV84" s="229">
        <v>556.5</v>
      </c>
      <c r="AW84" s="229">
        <v>69.599999999999994</v>
      </c>
      <c r="AX84" s="229">
        <v>17.399999999999999</v>
      </c>
      <c r="AY84" s="229">
        <v>18.599999999999998</v>
      </c>
      <c r="AZ84" s="229">
        <v>5.7</v>
      </c>
      <c r="BA84" s="526">
        <v>6</v>
      </c>
      <c r="BB84" s="229">
        <v>414</v>
      </c>
      <c r="BC84" s="229">
        <v>540</v>
      </c>
      <c r="BD84" s="229">
        <v>270</v>
      </c>
      <c r="BE84" s="229">
        <v>51</v>
      </c>
      <c r="BF84" s="229">
        <v>240</v>
      </c>
      <c r="BG84" s="229">
        <v>3</v>
      </c>
      <c r="BH84" s="229">
        <v>2.1</v>
      </c>
      <c r="BI84" s="526">
        <v>0.375</v>
      </c>
      <c r="BJ84" s="229">
        <v>240</v>
      </c>
      <c r="BK84" s="229">
        <v>0.3</v>
      </c>
      <c r="BL84" s="229">
        <v>0.33</v>
      </c>
      <c r="BM84" s="229">
        <v>3.5999999999999996</v>
      </c>
      <c r="BN84" s="229">
        <v>0.21</v>
      </c>
      <c r="BO84" s="229">
        <v>90</v>
      </c>
      <c r="BP84" s="229">
        <v>0.54</v>
      </c>
      <c r="BQ84" s="229">
        <v>24</v>
      </c>
      <c r="BR84" s="526">
        <v>1.5</v>
      </c>
    </row>
    <row r="85" spans="1:70" s="229" customFormat="1">
      <c r="A85" s="590"/>
      <c r="B85" s="522"/>
      <c r="C85" s="522"/>
      <c r="D85" s="141"/>
      <c r="E85" s="594"/>
      <c r="F85" s="708"/>
      <c r="G85" s="522"/>
      <c r="H85" s="522"/>
      <c r="I85" s="141"/>
      <c r="J85" s="141"/>
      <c r="K85" s="141"/>
      <c r="L85" s="604"/>
      <c r="M85" s="605"/>
      <c r="N85" s="605"/>
      <c r="O85" s="605"/>
      <c r="P85" s="606" t="s">
        <v>407</v>
      </c>
      <c r="V85" s="526"/>
      <c r="W85" s="514">
        <f t="shared" ref="W85:AR85" si="147">100*W83/W84</f>
        <v>142.3873000961303</v>
      </c>
      <c r="X85" s="505">
        <f t="shared" si="147"/>
        <v>164.80895680620173</v>
      </c>
      <c r="Y85" s="514">
        <f t="shared" si="147"/>
        <v>172.26244730886319</v>
      </c>
      <c r="Z85" s="514">
        <f t="shared" si="147"/>
        <v>116.05950847380348</v>
      </c>
      <c r="AA85" s="514">
        <f t="shared" si="147"/>
        <v>296.23143201471635</v>
      </c>
      <c r="AB85" s="506">
        <f t="shared" si="147"/>
        <v>42.833086646636737</v>
      </c>
      <c r="AC85" s="514">
        <f t="shared" si="147"/>
        <v>171.11231039491909</v>
      </c>
      <c r="AD85" s="514">
        <f t="shared" si="147"/>
        <v>308.45666666666665</v>
      </c>
      <c r="AE85" s="514">
        <f t="shared" si="147"/>
        <v>67.435925925925929</v>
      </c>
      <c r="AF85" s="514">
        <f t="shared" si="147"/>
        <v>304.15672562731385</v>
      </c>
      <c r="AG85" s="514">
        <f t="shared" si="147"/>
        <v>179.20499999999998</v>
      </c>
      <c r="AH85" s="514">
        <f t="shared" si="147"/>
        <v>221.75556645184119</v>
      </c>
      <c r="AI85" s="514">
        <f t="shared" si="147"/>
        <v>285.06137427338973</v>
      </c>
      <c r="AJ85" s="506">
        <f t="shared" si="147"/>
        <v>295.66949738742295</v>
      </c>
      <c r="AK85" s="514">
        <f t="shared" si="147"/>
        <v>192.53916666666666</v>
      </c>
      <c r="AL85" s="514">
        <f t="shared" si="147"/>
        <v>246.59971542551878</v>
      </c>
      <c r="AM85" s="514">
        <f t="shared" si="147"/>
        <v>153.79441850785034</v>
      </c>
      <c r="AN85" s="514">
        <f t="shared" si="147"/>
        <v>404.39952740707974</v>
      </c>
      <c r="AO85" s="514">
        <f t="shared" si="147"/>
        <v>552.64798282620472</v>
      </c>
      <c r="AP85" s="514">
        <f t="shared" si="147"/>
        <v>148.67793317793317</v>
      </c>
      <c r="AQ85" s="514">
        <f t="shared" si="147"/>
        <v>134.32525252525252</v>
      </c>
      <c r="AR85" s="514">
        <f t="shared" si="147"/>
        <v>291.40416666666664</v>
      </c>
      <c r="AS85" s="506">
        <f>100*AS83/AS84</f>
        <v>80.47666479925303</v>
      </c>
      <c r="AV85" s="514">
        <f t="shared" ref="AV85:BR85" si="148">100*AV83/AV84</f>
        <v>102.0668247619934</v>
      </c>
      <c r="AW85" s="514">
        <f t="shared" si="148"/>
        <v>115.11992983805851</v>
      </c>
      <c r="AX85" s="514">
        <f t="shared" si="148"/>
        <v>128.68249158488277</v>
      </c>
      <c r="AY85" s="514">
        <f t="shared" si="148"/>
        <v>86.776187455402876</v>
      </c>
      <c r="AZ85" s="514">
        <f t="shared" si="148"/>
        <v>213.59567670677674</v>
      </c>
      <c r="BA85" s="506">
        <f t="shared" si="148"/>
        <v>33.366874722938718</v>
      </c>
      <c r="BB85" s="514">
        <f t="shared" si="148"/>
        <v>114.09206858117287</v>
      </c>
      <c r="BC85" s="514">
        <f t="shared" si="148"/>
        <v>227.05637821084431</v>
      </c>
      <c r="BD85" s="514">
        <f t="shared" si="148"/>
        <v>47.207845333177538</v>
      </c>
      <c r="BE85" s="514">
        <f t="shared" si="148"/>
        <v>222.53049002178304</v>
      </c>
      <c r="BF85" s="514">
        <f t="shared" si="148"/>
        <v>138.29033538460831</v>
      </c>
      <c r="BG85" s="514">
        <f t="shared" si="148"/>
        <v>162.31185652428294</v>
      </c>
      <c r="BH85" s="514">
        <f t="shared" si="148"/>
        <v>196.31652965809016</v>
      </c>
      <c r="BI85" s="506">
        <f t="shared" si="148"/>
        <v>209.95029828558413</v>
      </c>
      <c r="BJ85" s="514">
        <f t="shared" si="148"/>
        <v>149.56944119945732</v>
      </c>
      <c r="BK85" s="514">
        <f t="shared" si="148"/>
        <v>178.11014767962774</v>
      </c>
      <c r="BL85" s="514">
        <f t="shared" si="148"/>
        <v>119.32507705881585</v>
      </c>
      <c r="BM85" s="514">
        <f t="shared" si="148"/>
        <v>299.11787389415002</v>
      </c>
      <c r="BN85" s="514">
        <f t="shared" si="148"/>
        <v>414.18740940480586</v>
      </c>
      <c r="BO85" s="514">
        <f t="shared" si="148"/>
        <v>108.46663601678587</v>
      </c>
      <c r="BP85" s="514">
        <f t="shared" si="148"/>
        <v>117.40336020176311</v>
      </c>
      <c r="BQ85" s="514">
        <f t="shared" si="148"/>
        <v>215.90905808041308</v>
      </c>
      <c r="BR85" s="506">
        <f t="shared" si="148"/>
        <v>65.723146348486253</v>
      </c>
    </row>
    <row r="86" spans="1:70" s="229" customFormat="1">
      <c r="A86" s="590"/>
      <c r="B86" s="522"/>
      <c r="C86" s="522"/>
      <c r="D86" s="141"/>
      <c r="E86" s="594"/>
      <c r="F86" s="708"/>
      <c r="G86" s="522"/>
      <c r="H86" s="522"/>
      <c r="I86" s="141"/>
      <c r="J86" s="141"/>
      <c r="K86" s="141"/>
      <c r="L86" s="604"/>
      <c r="M86" s="605"/>
      <c r="N86" s="605"/>
      <c r="O86" s="605"/>
      <c r="P86" s="606" t="s">
        <v>548</v>
      </c>
      <c r="V86" s="526"/>
      <c r="W86" s="583">
        <f>AV83</f>
        <v>568.00187980049327</v>
      </c>
      <c r="X86" s="583">
        <f t="shared" ref="X86" si="149">AW83</f>
        <v>80.123471167288713</v>
      </c>
      <c r="Y86" s="583">
        <f t="shared" ref="Y86" si="150">AX83</f>
        <v>22.390753535769598</v>
      </c>
      <c r="Z86" s="583">
        <f t="shared" ref="Z86" si="151">AY83</f>
        <v>16.140370866704934</v>
      </c>
      <c r="AA86" s="583">
        <f t="shared" ref="AA86" si="152">AZ83</f>
        <v>12.174953572286274</v>
      </c>
      <c r="AB86" s="549">
        <f t="shared" ref="AB86" si="153">BA83</f>
        <v>2.0020124833763231</v>
      </c>
      <c r="AC86" s="583">
        <f t="shared" ref="AC86" si="154">BB83</f>
        <v>472.34116392605569</v>
      </c>
      <c r="AD86" s="583">
        <f t="shared" ref="AD86" si="155">BC83</f>
        <v>1226.1044423385592</v>
      </c>
      <c r="AE86" s="583">
        <f>BD83</f>
        <v>127.46118239957936</v>
      </c>
      <c r="AF86" s="583">
        <f t="shared" ref="AF86" si="156">BE83</f>
        <v>113.49054991110935</v>
      </c>
      <c r="AG86" s="583">
        <f t="shared" ref="AG86" si="157">BF83</f>
        <v>331.89680492305996</v>
      </c>
      <c r="AH86" s="583">
        <f t="shared" ref="AH86" si="158">BG83</f>
        <v>4.8693556957284878</v>
      </c>
      <c r="AI86" s="583">
        <f t="shared" ref="AI86" si="159">BH83</f>
        <v>4.1226471228198935</v>
      </c>
      <c r="AJ86" s="549">
        <f t="shared" ref="AJ86" si="160">BI83</f>
        <v>0.7873136185709404</v>
      </c>
      <c r="AK86" s="583">
        <f t="shared" ref="AK86" si="161">BJ83</f>
        <v>358.96665887869756</v>
      </c>
      <c r="AL86" s="583">
        <f t="shared" ref="AL86" si="162">BK83</f>
        <v>0.53433044303888322</v>
      </c>
      <c r="AM86" s="583">
        <f t="shared" ref="AM86" si="163">BL83</f>
        <v>0.39377275429409231</v>
      </c>
      <c r="AN86" s="583">
        <f>BM83</f>
        <v>10.768243460189399</v>
      </c>
      <c r="AO86" s="583">
        <f t="shared" ref="AO86" si="164">BN83</f>
        <v>0.86979355975009232</v>
      </c>
      <c r="AP86" s="583">
        <f t="shared" ref="AP86" si="165">BO83</f>
        <v>97.61997241510727</v>
      </c>
      <c r="AQ86" s="583">
        <f t="shared" ref="AQ86" si="166">BP83</f>
        <v>0.63397814508952077</v>
      </c>
      <c r="AR86" s="583">
        <f t="shared" ref="AR86" si="167">BQ83</f>
        <v>51.818173939299136</v>
      </c>
      <c r="AS86" s="549">
        <f>BR83</f>
        <v>0.9858471952272938</v>
      </c>
    </row>
    <row r="87" spans="1:70" s="229" customFormat="1">
      <c r="A87" s="590"/>
      <c r="B87" s="522"/>
      <c r="C87" s="522"/>
      <c r="D87" s="141"/>
      <c r="E87" s="594"/>
      <c r="F87" s="708"/>
      <c r="G87" s="522"/>
      <c r="H87" s="522"/>
      <c r="I87" s="141"/>
      <c r="J87" s="141"/>
      <c r="K87" s="141"/>
      <c r="L87" s="604"/>
      <c r="M87" s="605"/>
      <c r="N87" s="605"/>
      <c r="O87" s="605"/>
      <c r="P87" s="606" t="s">
        <v>543</v>
      </c>
      <c r="V87" s="526"/>
      <c r="W87" s="514">
        <f t="shared" ref="W87:AS87" si="168">AV85</f>
        <v>102.0668247619934</v>
      </c>
      <c r="X87" s="514">
        <f t="shared" si="168"/>
        <v>115.11992983805851</v>
      </c>
      <c r="Y87" s="514">
        <f t="shared" si="168"/>
        <v>128.68249158488277</v>
      </c>
      <c r="Z87" s="514">
        <f t="shared" si="168"/>
        <v>86.776187455402876</v>
      </c>
      <c r="AA87" s="514">
        <f t="shared" si="168"/>
        <v>213.59567670677674</v>
      </c>
      <c r="AB87" s="506">
        <f t="shared" si="168"/>
        <v>33.366874722938718</v>
      </c>
      <c r="AC87" s="514">
        <f t="shared" si="168"/>
        <v>114.09206858117287</v>
      </c>
      <c r="AD87" s="514">
        <f t="shared" si="168"/>
        <v>227.05637821084431</v>
      </c>
      <c r="AE87" s="514">
        <f t="shared" si="168"/>
        <v>47.207845333177538</v>
      </c>
      <c r="AF87" s="514">
        <f t="shared" si="168"/>
        <v>222.53049002178304</v>
      </c>
      <c r="AG87" s="514">
        <f t="shared" si="168"/>
        <v>138.29033538460831</v>
      </c>
      <c r="AH87" s="514">
        <f t="shared" si="168"/>
        <v>162.31185652428294</v>
      </c>
      <c r="AI87" s="514">
        <f t="shared" si="168"/>
        <v>196.31652965809016</v>
      </c>
      <c r="AJ87" s="506">
        <f t="shared" si="168"/>
        <v>209.95029828558413</v>
      </c>
      <c r="AK87" s="514">
        <f t="shared" si="168"/>
        <v>149.56944119945732</v>
      </c>
      <c r="AL87" s="514">
        <f t="shared" si="168"/>
        <v>178.11014767962774</v>
      </c>
      <c r="AM87" s="514">
        <f t="shared" si="168"/>
        <v>119.32507705881585</v>
      </c>
      <c r="AN87" s="514">
        <f t="shared" si="168"/>
        <v>299.11787389415002</v>
      </c>
      <c r="AO87" s="514">
        <f t="shared" si="168"/>
        <v>414.18740940480586</v>
      </c>
      <c r="AP87" s="514">
        <f t="shared" si="168"/>
        <v>108.46663601678587</v>
      </c>
      <c r="AQ87" s="514">
        <f t="shared" si="168"/>
        <v>117.40336020176311</v>
      </c>
      <c r="AR87" s="514">
        <f t="shared" si="168"/>
        <v>215.90905808041308</v>
      </c>
      <c r="AS87" s="506">
        <f t="shared" si="168"/>
        <v>65.723146348486253</v>
      </c>
      <c r="AV87" s="514"/>
      <c r="AW87" s="514"/>
      <c r="AX87" s="514"/>
      <c r="AY87" s="514"/>
      <c r="AZ87" s="514"/>
      <c r="BA87" s="505"/>
      <c r="BB87" s="514"/>
      <c r="BC87" s="514"/>
      <c r="BD87" s="514"/>
      <c r="BE87" s="514"/>
      <c r="BF87" s="514"/>
      <c r="BG87" s="514"/>
      <c r="BH87" s="514"/>
      <c r="BI87" s="505"/>
      <c r="BJ87" s="514"/>
      <c r="BK87" s="514"/>
      <c r="BL87" s="514"/>
      <c r="BM87" s="514"/>
      <c r="BN87" s="514"/>
      <c r="BO87" s="514"/>
      <c r="BP87" s="514"/>
      <c r="BQ87" s="514"/>
      <c r="BR87" s="505"/>
    </row>
    <row r="88" spans="1:70" s="229" customFormat="1" ht="16" thickBot="1">
      <c r="A88" s="590"/>
      <c r="B88" s="607"/>
      <c r="C88" s="607"/>
      <c r="D88" s="683"/>
      <c r="E88" s="608"/>
      <c r="F88" s="709"/>
      <c r="G88" s="609" t="s">
        <v>3054</v>
      </c>
      <c r="H88" s="610"/>
      <c r="I88" s="93"/>
      <c r="J88" s="93"/>
      <c r="K88" s="607"/>
      <c r="L88" s="611"/>
      <c r="M88" s="611"/>
      <c r="N88" s="611"/>
      <c r="O88" s="605"/>
      <c r="P88" s="607"/>
      <c r="Q88" s="607"/>
      <c r="R88" s="607"/>
      <c r="S88" s="607"/>
      <c r="T88" s="607"/>
      <c r="U88" s="612"/>
      <c r="V88" s="613"/>
      <c r="W88" s="607"/>
      <c r="X88" s="607"/>
      <c r="Y88" s="607"/>
      <c r="Z88" s="607"/>
      <c r="AA88" s="614">
        <f>COUNTIF(AA89:AA100,"&lt;0")</f>
        <v>0</v>
      </c>
      <c r="AB88" s="614">
        <f t="shared" ref="AB88:AN88" si="169">COUNTIF(AB89:AB100,"&lt;0")</f>
        <v>0</v>
      </c>
      <c r="AC88" s="614">
        <f t="shared" si="169"/>
        <v>0</v>
      </c>
      <c r="AD88" s="614">
        <f t="shared" si="169"/>
        <v>0</v>
      </c>
      <c r="AE88" s="614">
        <f t="shared" si="169"/>
        <v>0</v>
      </c>
      <c r="AF88" s="614">
        <f t="shared" si="169"/>
        <v>0</v>
      </c>
      <c r="AG88" s="614">
        <f t="shared" si="169"/>
        <v>0</v>
      </c>
      <c r="AH88" s="614">
        <f t="shared" si="169"/>
        <v>0</v>
      </c>
      <c r="AI88" s="614">
        <f t="shared" si="169"/>
        <v>0</v>
      </c>
      <c r="AJ88" s="614">
        <f t="shared" si="169"/>
        <v>0</v>
      </c>
      <c r="AK88" s="614">
        <f t="shared" si="169"/>
        <v>0</v>
      </c>
      <c r="AL88" s="614">
        <f t="shared" si="169"/>
        <v>0</v>
      </c>
      <c r="AM88" s="614">
        <f t="shared" si="169"/>
        <v>0</v>
      </c>
      <c r="AN88" s="614">
        <f t="shared" si="169"/>
        <v>0</v>
      </c>
      <c r="AO88" s="614">
        <f>COUNTIF(AO89:AO100,"&lt;0")</f>
        <v>0</v>
      </c>
      <c r="AP88" s="614">
        <f t="shared" ref="AP88:AS88" si="170">COUNTIF(AP89:AP100,"&lt;0")</f>
        <v>0</v>
      </c>
      <c r="AQ88" s="614">
        <f t="shared" si="170"/>
        <v>0</v>
      </c>
      <c r="AR88" s="614">
        <f t="shared" si="170"/>
        <v>0</v>
      </c>
      <c r="AS88" s="614">
        <f t="shared" si="170"/>
        <v>0</v>
      </c>
      <c r="AT88" s="607"/>
      <c r="AU88" s="607"/>
    </row>
    <row r="89" spans="1:70" s="229" customFormat="1" ht="15" customHeight="1" thickBot="1">
      <c r="A89" s="590"/>
      <c r="B89" s="575" t="s">
        <v>3064</v>
      </c>
      <c r="C89" s="229" t="s">
        <v>1364</v>
      </c>
      <c r="D89" s="85"/>
      <c r="E89" s="577">
        <v>0</v>
      </c>
      <c r="F89" s="707"/>
      <c r="G89" s="406" t="s">
        <v>3054</v>
      </c>
      <c r="H89" s="1262" t="s">
        <v>3055</v>
      </c>
      <c r="I89" s="85">
        <v>0</v>
      </c>
      <c r="J89" s="682">
        <v>1</v>
      </c>
      <c r="K89" s="579" t="str">
        <f t="shared" ref="K89:K100" si="171">IF(I89&gt;0,1.1*Q89*E89/1000,"")</f>
        <v/>
      </c>
      <c r="L89" s="580" t="str">
        <f>IF(H89="Select ingredient:","",IF(G89="","",_xlfn.IFNA(VLOOKUP($H89,Ingredient_prices!$E:$U,16,FALSE),0)))</f>
        <v/>
      </c>
      <c r="M89" s="591"/>
      <c r="N89" s="1228">
        <f>$W102</f>
        <v>0</v>
      </c>
      <c r="O89" s="591"/>
      <c r="P89" s="615"/>
      <c r="Q89" s="583">
        <f t="shared" ref="Q89:Q100" si="172">I89/J89</f>
        <v>0</v>
      </c>
      <c r="R89" s="583">
        <f>VLOOKUP($H89,'CO2_emission+%_food_waste'!$A:$K,6,FALSE)*$Q89/100</f>
        <v>0</v>
      </c>
      <c r="S89" s="583">
        <f t="shared" ref="S89:S100" si="173">Q89-R89</f>
        <v>0</v>
      </c>
      <c r="T89" s="583" t="str">
        <f>IF(H89="Select ingredient:","",IF(G89="Select food category:","",_xlfn.IFNA(VLOOKUP($H89,Ingredient_prices!$E:$U,16,FALSE)*$Q89/1000,"not bought")))</f>
        <v/>
      </c>
      <c r="U89" s="583" t="str">
        <f>IF(G89="Select food category:","",_xlfn.IFNA(VLOOKUP($H89,Ingredient_prices!$E:$U,16,FALSE)*$R89/1000,"not bought"))</f>
        <v/>
      </c>
      <c r="V89" s="549">
        <f>VLOOKUP($H89,'CO2_emission+%_food_waste'!$A:$K,4,FALSE)*$Q89</f>
        <v>0</v>
      </c>
      <c r="W89" s="583">
        <f>VLOOKUP($H89,Nutrition_tables!$A:$N,10,FALSE)*$Q89/100</f>
        <v>0</v>
      </c>
      <c r="X89" s="583">
        <f>VLOOKUP($H89,Nutrition_tables!$A:$N,11,FALSE)*$Q89/100</f>
        <v>0</v>
      </c>
      <c r="Y89" s="583">
        <f>VLOOKUP($H89,Nutrition_tables!$A:$N,12,FALSE)*$Q89/100</f>
        <v>0</v>
      </c>
      <c r="Z89" s="583">
        <f>VLOOKUP($H89,Nutrition_tables!$A:$N,14,FALSE)*$Q89/100</f>
        <v>0</v>
      </c>
      <c r="AA89" s="583">
        <f>VLOOKUP($H89,Nutrition_tables!$A:$AF,13,FALSE)*$Q89/100</f>
        <v>0</v>
      </c>
      <c r="AB89" s="549">
        <f>VLOOKUP($H89,Nutrition_tables!$A:$AF,15,FALSE)*$Q89/100</f>
        <v>0</v>
      </c>
      <c r="AC89" s="583">
        <f>VLOOKUP($H89,Nutrition_tables!$A:$AF,16,FALSE)*$Q89/100</f>
        <v>0</v>
      </c>
      <c r="AD89" s="583">
        <f>VLOOKUP($H89,Nutrition_tables!$A:$AF,17,FALSE)*$Q89/100</f>
        <v>0</v>
      </c>
      <c r="AE89" s="583">
        <f>VLOOKUP($H89,Nutrition_tables!$A:$AF,18,FALSE)*$Q89/100</f>
        <v>0</v>
      </c>
      <c r="AF89" s="583">
        <f>VLOOKUP($H89,Nutrition_tables!$A:$AF,19,FALSE)*$Q89/100</f>
        <v>0</v>
      </c>
      <c r="AG89" s="583">
        <f>VLOOKUP($H89,Nutrition_tables!$A:$AF,20,FALSE)*$Q89/100</f>
        <v>0</v>
      </c>
      <c r="AH89" s="583">
        <f>VLOOKUP($H89,Nutrition_tables!$A:$AF,21,FALSE)*$Q89/100</f>
        <v>0</v>
      </c>
      <c r="AI89" s="583">
        <f>VLOOKUP($H89,Nutrition_tables!$A:$AF,22,FALSE)*$Q89/100</f>
        <v>0</v>
      </c>
      <c r="AJ89" s="549">
        <f>VLOOKUP($H89,Nutrition_tables!$A:$AF,23,FALSE)*$Q89/100</f>
        <v>0</v>
      </c>
      <c r="AK89" s="583">
        <f>VLOOKUP($H89,Nutrition_tables!$A:$AF,24,FALSE)*$Q89/100</f>
        <v>0</v>
      </c>
      <c r="AL89" s="583">
        <f>VLOOKUP($H89,Nutrition_tables!$A:$AF,25,FALSE)*$Q89/100</f>
        <v>0</v>
      </c>
      <c r="AM89" s="583">
        <f>VLOOKUP($H89,Nutrition_tables!$A:$AF,26,FALSE)*$Q89/100</f>
        <v>0</v>
      </c>
      <c r="AN89" s="583">
        <f>VLOOKUP($H89,Nutrition_tables!$A:$AF,27,FALSE)*$Q89/100</f>
        <v>0</v>
      </c>
      <c r="AO89" s="583">
        <f>VLOOKUP($H89,Nutrition_tables!$A:$AF,28,FALSE)*$Q89/100</f>
        <v>0</v>
      </c>
      <c r="AP89" s="583">
        <f>VLOOKUP($H89,Nutrition_tables!$A:$AF,29,FALSE)*$Q89/100</f>
        <v>0</v>
      </c>
      <c r="AQ89" s="583">
        <f>VLOOKUP($H89,Nutrition_tables!$A:$AF,30,FALSE)*$Q89/100</f>
        <v>0</v>
      </c>
      <c r="AR89" s="583">
        <f>VLOOKUP($H89,Nutrition_tables!$A:$AF,31,FALSE)*$Q89/100</f>
        <v>0</v>
      </c>
      <c r="AS89" s="549">
        <f>VLOOKUP($H89,Nutrition_tables!$A:$AF,32,FALSE)*$Q89/100</f>
        <v>0</v>
      </c>
      <c r="AT89" s="583" t="str">
        <f>IF(H89="Select ingredient:","",IF(G89="Select food category:","",IFERROR(VLOOKUP($H89,Ingredient_prices!$E:$W,17,FALSE)*$Q89/1000,"not bought")))</f>
        <v/>
      </c>
      <c r="AU89" s="583" t="str">
        <f>IF(H89="Select ingredient:","",IF(G89="Select food category:","",IFERROR(VLOOKUP($H89,Ingredient_prices!$E:$W,18,FALSE)*$Q89/1000,"not bought")))</f>
        <v/>
      </c>
      <c r="AV89" s="583">
        <f t="shared" ref="AV89:AV100" si="174">W89*($Q89-$R89)/($Q89+0.00001)</f>
        <v>0</v>
      </c>
      <c r="AW89" s="583">
        <f t="shared" ref="AW89:AW100" si="175">X89*($Q89-$R89)/($Q89+0.00001)</f>
        <v>0</v>
      </c>
      <c r="AX89" s="583">
        <f t="shared" ref="AX89:AX100" si="176">Y89*($Q89-$R89)/($Q89+0.00001)</f>
        <v>0</v>
      </c>
      <c r="AY89" s="583">
        <f t="shared" ref="AY89:AY100" si="177">Z89*($Q89-$R89)/($Q89+0.00001)</f>
        <v>0</v>
      </c>
      <c r="AZ89" s="583">
        <f t="shared" ref="AZ89:AZ100" si="178">AA89*($Q89-$R89)/($Q89+0.00001)</f>
        <v>0</v>
      </c>
      <c r="BA89" s="583">
        <f t="shared" ref="BA89:BA100" si="179">AB89*($Q89-$R89)/($Q89+0.00001)</f>
        <v>0</v>
      </c>
      <c r="BB89" s="583">
        <f t="shared" ref="BB89:BB100" si="180">AC89*($Q89-$R89)/($Q89+0.00001)</f>
        <v>0</v>
      </c>
      <c r="BC89" s="583">
        <f t="shared" ref="BC89:BC100" si="181">AD89*($Q89-$R89)/($Q89+0.00001)</f>
        <v>0</v>
      </c>
      <c r="BD89" s="583">
        <f t="shared" ref="BD89:BD100" si="182">AE89*($Q89-$R89)/($Q89+0.00001)</f>
        <v>0</v>
      </c>
      <c r="BE89" s="583">
        <f t="shared" ref="BE89:BE100" si="183">AF89*($Q89-$R89)/($Q89+0.00001)</f>
        <v>0</v>
      </c>
      <c r="BF89" s="583">
        <f t="shared" ref="BF89:BF100" si="184">AG89*($Q89-$R89)/($Q89+0.00001)</f>
        <v>0</v>
      </c>
      <c r="BG89" s="583">
        <f t="shared" ref="BG89:BG100" si="185">AH89*($Q89-$R89)/($Q89+0.00001)</f>
        <v>0</v>
      </c>
      <c r="BH89" s="583">
        <f t="shared" ref="BH89:BH100" si="186">AI89*($Q89-$R89)/($Q89+0.00001)</f>
        <v>0</v>
      </c>
      <c r="BI89" s="583">
        <f t="shared" ref="BI89:BI100" si="187">AJ89*($Q89-$R89)/($Q89+0.00001)</f>
        <v>0</v>
      </c>
      <c r="BJ89" s="583">
        <f t="shared" ref="BJ89:BJ100" si="188">AK89*($Q89-$R89)/($Q89+0.00001)</f>
        <v>0</v>
      </c>
      <c r="BK89" s="583">
        <f t="shared" ref="BK89:BK100" si="189">AL89*($Q89-$R89)/($Q89+0.00001)</f>
        <v>0</v>
      </c>
      <c r="BL89" s="583">
        <f t="shared" ref="BL89:BL100" si="190">AM89*($Q89-$R89)/($Q89+0.00001)</f>
        <v>0</v>
      </c>
      <c r="BM89" s="583">
        <f t="shared" ref="BM89:BM100" si="191">AN89*($Q89-$R89)/($Q89+0.00001)</f>
        <v>0</v>
      </c>
      <c r="BN89" s="583">
        <f t="shared" ref="BN89:BN100" si="192">AO89*($Q89-$R89)/($Q89+0.00001)</f>
        <v>0</v>
      </c>
      <c r="BO89" s="583">
        <f t="shared" ref="BO89:BO100" si="193">AP89*($Q89-$R89)/($Q89+0.00001)</f>
        <v>0</v>
      </c>
      <c r="BP89" s="583">
        <f t="shared" ref="BP89:BP100" si="194">AQ89*($Q89-$R89)/($Q89+0.00001)</f>
        <v>0</v>
      </c>
      <c r="BQ89" s="583">
        <f t="shared" ref="BQ89:BQ100" si="195">AR89*($Q89-$R89)/($Q89+0.00001)</f>
        <v>0</v>
      </c>
      <c r="BR89" s="583">
        <f t="shared" ref="BR89:BR100" si="196">AS89*($Q89-$R89)/($Q89+0.00001)</f>
        <v>0</v>
      </c>
    </row>
    <row r="90" spans="1:70" s="229" customFormat="1" ht="15" customHeight="1">
      <c r="A90" s="590"/>
      <c r="D90" s="85"/>
      <c r="E90" s="576" t="str">
        <f>IF(E$89&gt;0,E$89,"")</f>
        <v/>
      </c>
      <c r="F90" s="707"/>
      <c r="G90" s="406" t="s">
        <v>3054</v>
      </c>
      <c r="H90" s="1262" t="s">
        <v>3055</v>
      </c>
      <c r="I90" s="85">
        <v>0</v>
      </c>
      <c r="J90" s="682">
        <v>1</v>
      </c>
      <c r="K90" s="579" t="str">
        <f t="shared" si="171"/>
        <v/>
      </c>
      <c r="L90" s="580" t="str">
        <f>IF(H90="Select ingredient:","",IF(G90="","",_xlfn.IFNA(VLOOKUP($H90,Ingredient_prices!$E:$U,16,FALSE),0)))</f>
        <v/>
      </c>
      <c r="M90" s="591"/>
      <c r="N90" s="591"/>
      <c r="O90" s="591"/>
      <c r="P90" s="615"/>
      <c r="Q90" s="583">
        <f t="shared" si="172"/>
        <v>0</v>
      </c>
      <c r="R90" s="583">
        <f>VLOOKUP($H90,'CO2_emission+%_food_waste'!$A:$K,6,FALSE)*$Q90/100</f>
        <v>0</v>
      </c>
      <c r="S90" s="583">
        <f t="shared" si="173"/>
        <v>0</v>
      </c>
      <c r="T90" s="583" t="str">
        <f>IF(H90="Select ingredient:","",IF(G90="Select food category:","",_xlfn.IFNA(VLOOKUP($H90,Ingredient_prices!$E:$U,16,FALSE)*$Q90/1000,"not bought")))</f>
        <v/>
      </c>
      <c r="U90" s="583" t="str">
        <f>IF(G90="Select food category:","",_xlfn.IFNA(VLOOKUP($H90,Ingredient_prices!$E:$U,16,FALSE)*$R90/1000,"not bought"))</f>
        <v/>
      </c>
      <c r="V90" s="549">
        <f>VLOOKUP($H90,'CO2_emission+%_food_waste'!$A:$K,4,FALSE)*$Q90</f>
        <v>0</v>
      </c>
      <c r="W90" s="583">
        <f>VLOOKUP($H90,Nutrition_tables!$A:$N,10,FALSE)*$Q90/100</f>
        <v>0</v>
      </c>
      <c r="X90" s="583">
        <f>VLOOKUP($H90,Nutrition_tables!$A:$N,11,FALSE)*$Q90/100</f>
        <v>0</v>
      </c>
      <c r="Y90" s="583">
        <f>VLOOKUP($H90,Nutrition_tables!$A:$N,12,FALSE)*$Q90/100</f>
        <v>0</v>
      </c>
      <c r="Z90" s="583">
        <f>VLOOKUP($H90,Nutrition_tables!$A:$N,14,FALSE)*$Q90/100</f>
        <v>0</v>
      </c>
      <c r="AA90" s="583">
        <f>VLOOKUP($H90,Nutrition_tables!$A:$AF,13,FALSE)*$Q90/100</f>
        <v>0</v>
      </c>
      <c r="AB90" s="549">
        <f>VLOOKUP($H90,Nutrition_tables!$A:$AF,15,FALSE)*$Q90/100</f>
        <v>0</v>
      </c>
      <c r="AC90" s="583">
        <f>VLOOKUP($H90,Nutrition_tables!$A:$AF,16,FALSE)*$Q90/100</f>
        <v>0</v>
      </c>
      <c r="AD90" s="583">
        <f>VLOOKUP($H90,Nutrition_tables!$A:$AF,17,FALSE)*$Q90/100</f>
        <v>0</v>
      </c>
      <c r="AE90" s="583">
        <f>VLOOKUP($H90,Nutrition_tables!$A:$AF,18,FALSE)*$Q90/100</f>
        <v>0</v>
      </c>
      <c r="AF90" s="583">
        <f>VLOOKUP($H90,Nutrition_tables!$A:$AF,19,FALSE)*$Q90/100</f>
        <v>0</v>
      </c>
      <c r="AG90" s="583">
        <f>VLOOKUP($H90,Nutrition_tables!$A:$AF,20,FALSE)*$Q90/100</f>
        <v>0</v>
      </c>
      <c r="AH90" s="583">
        <f>VLOOKUP($H90,Nutrition_tables!$A:$AF,21,FALSE)*$Q90/100</f>
        <v>0</v>
      </c>
      <c r="AI90" s="583">
        <f>VLOOKUP($H90,Nutrition_tables!$A:$AF,22,FALSE)*$Q90/100</f>
        <v>0</v>
      </c>
      <c r="AJ90" s="549">
        <f>VLOOKUP($H90,Nutrition_tables!$A:$AF,23,FALSE)*$Q90/100</f>
        <v>0</v>
      </c>
      <c r="AK90" s="583">
        <f>VLOOKUP($H90,Nutrition_tables!$A:$AF,24,FALSE)*$Q90/100</f>
        <v>0</v>
      </c>
      <c r="AL90" s="583">
        <f>VLOOKUP($H90,Nutrition_tables!$A:$AF,25,FALSE)*$Q90/100</f>
        <v>0</v>
      </c>
      <c r="AM90" s="583">
        <f>VLOOKUP($H90,Nutrition_tables!$A:$AF,26,FALSE)*$Q90/100</f>
        <v>0</v>
      </c>
      <c r="AN90" s="583">
        <f>VLOOKUP($H90,Nutrition_tables!$A:$AF,27,FALSE)*$Q90/100</f>
        <v>0</v>
      </c>
      <c r="AO90" s="583">
        <f>VLOOKUP($H90,Nutrition_tables!$A:$AF,28,FALSE)*$Q90/100</f>
        <v>0</v>
      </c>
      <c r="AP90" s="583">
        <f>VLOOKUP($H90,Nutrition_tables!$A:$AF,29,FALSE)*$Q90/100</f>
        <v>0</v>
      </c>
      <c r="AQ90" s="583">
        <f>VLOOKUP($H90,Nutrition_tables!$A:$AF,30,FALSE)*$Q90/100</f>
        <v>0</v>
      </c>
      <c r="AR90" s="583">
        <f>VLOOKUP($H90,Nutrition_tables!$A:$AF,31,FALSE)*$Q90/100</f>
        <v>0</v>
      </c>
      <c r="AS90" s="549">
        <f>VLOOKUP($H90,Nutrition_tables!$A:$AF,32,FALSE)*$Q90/100</f>
        <v>0</v>
      </c>
      <c r="AT90" s="583" t="str">
        <f>IF(H90="Select ingredient:","",IF(G90="Select food category:","",IFERROR(VLOOKUP($H90,Ingredient_prices!$E:$W,17,FALSE)*$Q90/1000,"not bought")))</f>
        <v/>
      </c>
      <c r="AU90" s="583" t="str">
        <f>IF(H90="Select ingredient:","",IF(G90="Select food category:","",IFERROR(VLOOKUP($H90,Ingredient_prices!$E:$W,18,FALSE)*$Q90/1000,"not bought")))</f>
        <v/>
      </c>
      <c r="AV90" s="583">
        <f t="shared" si="174"/>
        <v>0</v>
      </c>
      <c r="AW90" s="583">
        <f t="shared" si="175"/>
        <v>0</v>
      </c>
      <c r="AX90" s="583">
        <f t="shared" si="176"/>
        <v>0</v>
      </c>
      <c r="AY90" s="583">
        <f t="shared" si="177"/>
        <v>0</v>
      </c>
      <c r="AZ90" s="583">
        <f t="shared" si="178"/>
        <v>0</v>
      </c>
      <c r="BA90" s="583">
        <f t="shared" si="179"/>
        <v>0</v>
      </c>
      <c r="BB90" s="583">
        <f t="shared" si="180"/>
        <v>0</v>
      </c>
      <c r="BC90" s="583">
        <f t="shared" si="181"/>
        <v>0</v>
      </c>
      <c r="BD90" s="583">
        <f t="shared" si="182"/>
        <v>0</v>
      </c>
      <c r="BE90" s="583">
        <f t="shared" si="183"/>
        <v>0</v>
      </c>
      <c r="BF90" s="583">
        <f t="shared" si="184"/>
        <v>0</v>
      </c>
      <c r="BG90" s="583">
        <f t="shared" si="185"/>
        <v>0</v>
      </c>
      <c r="BH90" s="583">
        <f t="shared" si="186"/>
        <v>0</v>
      </c>
      <c r="BI90" s="583">
        <f t="shared" si="187"/>
        <v>0</v>
      </c>
      <c r="BJ90" s="583">
        <f t="shared" si="188"/>
        <v>0</v>
      </c>
      <c r="BK90" s="583">
        <f t="shared" si="189"/>
        <v>0</v>
      </c>
      <c r="BL90" s="583">
        <f t="shared" si="190"/>
        <v>0</v>
      </c>
      <c r="BM90" s="583">
        <f t="shared" si="191"/>
        <v>0</v>
      </c>
      <c r="BN90" s="583">
        <f t="shared" si="192"/>
        <v>0</v>
      </c>
      <c r="BO90" s="583">
        <f t="shared" si="193"/>
        <v>0</v>
      </c>
      <c r="BP90" s="583">
        <f t="shared" si="194"/>
        <v>0</v>
      </c>
      <c r="BQ90" s="583">
        <f t="shared" si="195"/>
        <v>0</v>
      </c>
      <c r="BR90" s="583">
        <f t="shared" si="196"/>
        <v>0</v>
      </c>
    </row>
    <row r="91" spans="1:70" s="229" customFormat="1" ht="15" customHeight="1">
      <c r="A91" s="590"/>
      <c r="D91" s="85"/>
      <c r="E91" s="576" t="str">
        <f t="shared" ref="E91:E100" si="197">IF(E$89&gt;0,E$89,"")</f>
        <v/>
      </c>
      <c r="F91" s="707"/>
      <c r="G91" s="406" t="s">
        <v>3054</v>
      </c>
      <c r="H91" s="1262" t="s">
        <v>3055</v>
      </c>
      <c r="I91" s="85">
        <v>0</v>
      </c>
      <c r="J91" s="682">
        <v>1</v>
      </c>
      <c r="K91" s="579" t="str">
        <f t="shared" si="171"/>
        <v/>
      </c>
      <c r="L91" s="580" t="str">
        <f>IF(H91="Select ingredient:","",IF(G91="","",_xlfn.IFNA(VLOOKUP($H91,Ingredient_prices!$E:$U,16,FALSE),0)))</f>
        <v/>
      </c>
      <c r="M91" s="591"/>
      <c r="N91" s="591"/>
      <c r="O91" s="591"/>
      <c r="P91" s="615"/>
      <c r="Q91" s="583">
        <f t="shared" si="172"/>
        <v>0</v>
      </c>
      <c r="R91" s="583">
        <f>VLOOKUP($H91,'CO2_emission+%_food_waste'!$A:$K,6,FALSE)*$Q91/100</f>
        <v>0</v>
      </c>
      <c r="S91" s="583">
        <f t="shared" si="173"/>
        <v>0</v>
      </c>
      <c r="T91" s="583" t="str">
        <f>IF(H91="Select ingredient:","",IF(G91="Select food category:","",_xlfn.IFNA(VLOOKUP($H91,Ingredient_prices!$E:$U,16,FALSE)*$Q91/1000,"not bought")))</f>
        <v/>
      </c>
      <c r="U91" s="583" t="str">
        <f>IF(G91="Select food category:","",_xlfn.IFNA(VLOOKUP($H91,Ingredient_prices!$E:$U,16,FALSE)*$R91/1000,"not bought"))</f>
        <v/>
      </c>
      <c r="V91" s="549">
        <f>VLOOKUP($H91,'CO2_emission+%_food_waste'!$A:$K,4,FALSE)*$Q91</f>
        <v>0</v>
      </c>
      <c r="W91" s="583">
        <f>VLOOKUP($H91,Nutrition_tables!$A:$N,10,FALSE)*$Q91/100</f>
        <v>0</v>
      </c>
      <c r="X91" s="583">
        <f>VLOOKUP($H91,Nutrition_tables!$A:$N,11,FALSE)*$Q91/100</f>
        <v>0</v>
      </c>
      <c r="Y91" s="583">
        <f>VLOOKUP($H91,Nutrition_tables!$A:$N,12,FALSE)*$Q91/100</f>
        <v>0</v>
      </c>
      <c r="Z91" s="583">
        <f>VLOOKUP($H91,Nutrition_tables!$A:$N,14,FALSE)*$Q91/100</f>
        <v>0</v>
      </c>
      <c r="AA91" s="583">
        <f>VLOOKUP($H91,Nutrition_tables!$A:$AF,13,FALSE)*$Q91/100</f>
        <v>0</v>
      </c>
      <c r="AB91" s="549">
        <f>VLOOKUP($H91,Nutrition_tables!$A:$AF,15,FALSE)*$Q91/100</f>
        <v>0</v>
      </c>
      <c r="AC91" s="583">
        <f>VLOOKUP($H91,Nutrition_tables!$A:$AF,16,FALSE)*$Q91/100</f>
        <v>0</v>
      </c>
      <c r="AD91" s="583">
        <f>VLOOKUP($H91,Nutrition_tables!$A:$AF,17,FALSE)*$Q91/100</f>
        <v>0</v>
      </c>
      <c r="AE91" s="583">
        <f>VLOOKUP($H91,Nutrition_tables!$A:$AF,18,FALSE)*$Q91/100</f>
        <v>0</v>
      </c>
      <c r="AF91" s="583">
        <f>VLOOKUP($H91,Nutrition_tables!$A:$AF,19,FALSE)*$Q91/100</f>
        <v>0</v>
      </c>
      <c r="AG91" s="583">
        <f>VLOOKUP($H91,Nutrition_tables!$A:$AF,20,FALSE)*$Q91/100</f>
        <v>0</v>
      </c>
      <c r="AH91" s="583">
        <f>VLOOKUP($H91,Nutrition_tables!$A:$AF,21,FALSE)*$Q91/100</f>
        <v>0</v>
      </c>
      <c r="AI91" s="583">
        <f>VLOOKUP($H91,Nutrition_tables!$A:$AF,22,FALSE)*$Q91/100</f>
        <v>0</v>
      </c>
      <c r="AJ91" s="549">
        <f>VLOOKUP($H91,Nutrition_tables!$A:$AF,23,FALSE)*$Q91/100</f>
        <v>0</v>
      </c>
      <c r="AK91" s="583">
        <f>VLOOKUP($H91,Nutrition_tables!$A:$AF,24,FALSE)*$Q91/100</f>
        <v>0</v>
      </c>
      <c r="AL91" s="583">
        <f>VLOOKUP($H91,Nutrition_tables!$A:$AF,25,FALSE)*$Q91/100</f>
        <v>0</v>
      </c>
      <c r="AM91" s="583">
        <f>VLOOKUP($H91,Nutrition_tables!$A:$AF,26,FALSE)*$Q91/100</f>
        <v>0</v>
      </c>
      <c r="AN91" s="583">
        <f>VLOOKUP($H91,Nutrition_tables!$A:$AF,27,FALSE)*$Q91/100</f>
        <v>0</v>
      </c>
      <c r="AO91" s="583">
        <f>VLOOKUP($H91,Nutrition_tables!$A:$AF,28,FALSE)*$Q91/100</f>
        <v>0</v>
      </c>
      <c r="AP91" s="583">
        <f>VLOOKUP($H91,Nutrition_tables!$A:$AF,29,FALSE)*$Q91/100</f>
        <v>0</v>
      </c>
      <c r="AQ91" s="583">
        <f>VLOOKUP($H91,Nutrition_tables!$A:$AF,30,FALSE)*$Q91/100</f>
        <v>0</v>
      </c>
      <c r="AR91" s="583">
        <f>VLOOKUP($H91,Nutrition_tables!$A:$AF,31,FALSE)*$Q91/100</f>
        <v>0</v>
      </c>
      <c r="AS91" s="549">
        <f>VLOOKUP($H91,Nutrition_tables!$A:$AF,32,FALSE)*$Q91/100</f>
        <v>0</v>
      </c>
      <c r="AT91" s="583" t="str">
        <f>IF(H91="Select ingredient:","",IF(G91="Select food category:","",IFERROR(VLOOKUP($H91,Ingredient_prices!$E:$W,17,FALSE)*$Q91/1000,"not bought")))</f>
        <v/>
      </c>
      <c r="AU91" s="583" t="str">
        <f>IF(H91="Select ingredient:","",IF(G91="Select food category:","",IFERROR(VLOOKUP($H91,Ingredient_prices!$E:$W,18,FALSE)*$Q91/1000,"not bought")))</f>
        <v/>
      </c>
      <c r="AV91" s="583">
        <f t="shared" si="174"/>
        <v>0</v>
      </c>
      <c r="AW91" s="583">
        <f t="shared" si="175"/>
        <v>0</v>
      </c>
      <c r="AX91" s="583">
        <f t="shared" si="176"/>
        <v>0</v>
      </c>
      <c r="AY91" s="583">
        <f t="shared" si="177"/>
        <v>0</v>
      </c>
      <c r="AZ91" s="583">
        <f t="shared" si="178"/>
        <v>0</v>
      </c>
      <c r="BA91" s="583">
        <f t="shared" si="179"/>
        <v>0</v>
      </c>
      <c r="BB91" s="583">
        <f t="shared" si="180"/>
        <v>0</v>
      </c>
      <c r="BC91" s="583">
        <f t="shared" si="181"/>
        <v>0</v>
      </c>
      <c r="BD91" s="583">
        <f t="shared" si="182"/>
        <v>0</v>
      </c>
      <c r="BE91" s="583">
        <f t="shared" si="183"/>
        <v>0</v>
      </c>
      <c r="BF91" s="583">
        <f t="shared" si="184"/>
        <v>0</v>
      </c>
      <c r="BG91" s="583">
        <f t="shared" si="185"/>
        <v>0</v>
      </c>
      <c r="BH91" s="583">
        <f t="shared" si="186"/>
        <v>0</v>
      </c>
      <c r="BI91" s="583">
        <f t="shared" si="187"/>
        <v>0</v>
      </c>
      <c r="BJ91" s="583">
        <f t="shared" si="188"/>
        <v>0</v>
      </c>
      <c r="BK91" s="583">
        <f t="shared" si="189"/>
        <v>0</v>
      </c>
      <c r="BL91" s="583">
        <f t="shared" si="190"/>
        <v>0</v>
      </c>
      <c r="BM91" s="583">
        <f t="shared" si="191"/>
        <v>0</v>
      </c>
      <c r="BN91" s="583">
        <f t="shared" si="192"/>
        <v>0</v>
      </c>
      <c r="BO91" s="583">
        <f t="shared" si="193"/>
        <v>0</v>
      </c>
      <c r="BP91" s="583">
        <f t="shared" si="194"/>
        <v>0</v>
      </c>
      <c r="BQ91" s="583">
        <f t="shared" si="195"/>
        <v>0</v>
      </c>
      <c r="BR91" s="583">
        <f t="shared" si="196"/>
        <v>0</v>
      </c>
    </row>
    <row r="92" spans="1:70" s="229" customFormat="1" ht="15" customHeight="1">
      <c r="A92" s="590"/>
      <c r="D92" s="85"/>
      <c r="E92" s="576" t="str">
        <f t="shared" si="197"/>
        <v/>
      </c>
      <c r="F92" s="707"/>
      <c r="G92" s="406" t="s">
        <v>3054</v>
      </c>
      <c r="H92" s="1262" t="s">
        <v>3055</v>
      </c>
      <c r="I92" s="85">
        <v>0</v>
      </c>
      <c r="J92" s="682">
        <v>1</v>
      </c>
      <c r="K92" s="579" t="str">
        <f t="shared" si="171"/>
        <v/>
      </c>
      <c r="L92" s="580" t="str">
        <f>IF(H92="Select ingredient:","",IF(G92="","",_xlfn.IFNA(VLOOKUP($H92,Ingredient_prices!$E:$U,16,FALSE),0)))</f>
        <v/>
      </c>
      <c r="M92" s="591"/>
      <c r="N92" s="591"/>
      <c r="O92" s="591"/>
      <c r="P92" s="615"/>
      <c r="Q92" s="583">
        <f t="shared" si="172"/>
        <v>0</v>
      </c>
      <c r="R92" s="583">
        <f>VLOOKUP($H92,'CO2_emission+%_food_waste'!$A:$K,6,FALSE)*$Q92/100</f>
        <v>0</v>
      </c>
      <c r="S92" s="583">
        <f t="shared" si="173"/>
        <v>0</v>
      </c>
      <c r="T92" s="583" t="str">
        <f>IF(H92="Select ingredient:","",IF(G92="Select food category:","",_xlfn.IFNA(VLOOKUP($H92,Ingredient_prices!$E:$U,16,FALSE)*$Q92/1000,"not bought")))</f>
        <v/>
      </c>
      <c r="U92" s="583" t="str">
        <f>IF(G92="Select food category:","",_xlfn.IFNA(VLOOKUP($H92,Ingredient_prices!$E:$U,16,FALSE)*$R92/1000,"not bought"))</f>
        <v/>
      </c>
      <c r="V92" s="549">
        <f>VLOOKUP($H92,'CO2_emission+%_food_waste'!$A:$K,4,FALSE)*$Q92</f>
        <v>0</v>
      </c>
      <c r="W92" s="583">
        <f>VLOOKUP($H92,Nutrition_tables!$A:$N,10,FALSE)*$Q92/100</f>
        <v>0</v>
      </c>
      <c r="X92" s="583">
        <f>VLOOKUP($H92,Nutrition_tables!$A:$N,11,FALSE)*$Q92/100</f>
        <v>0</v>
      </c>
      <c r="Y92" s="583">
        <f>VLOOKUP($H92,Nutrition_tables!$A:$N,12,FALSE)*$Q92/100</f>
        <v>0</v>
      </c>
      <c r="Z92" s="583">
        <f>VLOOKUP($H92,Nutrition_tables!$A:$N,14,FALSE)*$Q92/100</f>
        <v>0</v>
      </c>
      <c r="AA92" s="583">
        <f>VLOOKUP($H92,Nutrition_tables!$A:$AF,13,FALSE)*$Q92/100</f>
        <v>0</v>
      </c>
      <c r="AB92" s="549">
        <f>VLOOKUP($H92,Nutrition_tables!$A:$AF,15,FALSE)*$Q92/100</f>
        <v>0</v>
      </c>
      <c r="AC92" s="583">
        <f>VLOOKUP($H92,Nutrition_tables!$A:$AF,16,FALSE)*$Q92/100</f>
        <v>0</v>
      </c>
      <c r="AD92" s="583">
        <f>VLOOKUP($H92,Nutrition_tables!$A:$AF,17,FALSE)*$Q92/100</f>
        <v>0</v>
      </c>
      <c r="AE92" s="583">
        <f>VLOOKUP($H92,Nutrition_tables!$A:$AF,18,FALSE)*$Q92/100</f>
        <v>0</v>
      </c>
      <c r="AF92" s="583">
        <f>VLOOKUP($H92,Nutrition_tables!$A:$AF,19,FALSE)*$Q92/100</f>
        <v>0</v>
      </c>
      <c r="AG92" s="583">
        <f>VLOOKUP($H92,Nutrition_tables!$A:$AF,20,FALSE)*$Q92/100</f>
        <v>0</v>
      </c>
      <c r="AH92" s="583">
        <f>VLOOKUP($H92,Nutrition_tables!$A:$AF,21,FALSE)*$Q92/100</f>
        <v>0</v>
      </c>
      <c r="AI92" s="583">
        <f>VLOOKUP($H92,Nutrition_tables!$A:$AF,22,FALSE)*$Q92/100</f>
        <v>0</v>
      </c>
      <c r="AJ92" s="549">
        <f>VLOOKUP($H92,Nutrition_tables!$A:$AF,23,FALSE)*$Q92/100</f>
        <v>0</v>
      </c>
      <c r="AK92" s="583">
        <f>VLOOKUP($H92,Nutrition_tables!$A:$AF,24,FALSE)*$Q92/100</f>
        <v>0</v>
      </c>
      <c r="AL92" s="583">
        <f>VLOOKUP($H92,Nutrition_tables!$A:$AF,25,FALSE)*$Q92/100</f>
        <v>0</v>
      </c>
      <c r="AM92" s="583">
        <f>VLOOKUP($H92,Nutrition_tables!$A:$AF,26,FALSE)*$Q92/100</f>
        <v>0</v>
      </c>
      <c r="AN92" s="583">
        <f>VLOOKUP($H92,Nutrition_tables!$A:$AF,27,FALSE)*$Q92/100</f>
        <v>0</v>
      </c>
      <c r="AO92" s="583">
        <f>VLOOKUP($H92,Nutrition_tables!$A:$AF,28,FALSE)*$Q92/100</f>
        <v>0</v>
      </c>
      <c r="AP92" s="583">
        <f>VLOOKUP($H92,Nutrition_tables!$A:$AF,29,FALSE)*$Q92/100</f>
        <v>0</v>
      </c>
      <c r="AQ92" s="583">
        <f>VLOOKUP($H92,Nutrition_tables!$A:$AF,30,FALSE)*$Q92/100</f>
        <v>0</v>
      </c>
      <c r="AR92" s="583">
        <f>VLOOKUP($H92,Nutrition_tables!$A:$AF,31,FALSE)*$Q92/100</f>
        <v>0</v>
      </c>
      <c r="AS92" s="549">
        <f>VLOOKUP($H92,Nutrition_tables!$A:$AF,32,FALSE)*$Q92/100</f>
        <v>0</v>
      </c>
      <c r="AT92" s="583" t="str">
        <f>IF(H92="Select ingredient:","",IF(G92="Select food category:","",IFERROR(VLOOKUP($H92,Ingredient_prices!$E:$W,17,FALSE)*$Q92/1000,"not bought")))</f>
        <v/>
      </c>
      <c r="AU92" s="583" t="str">
        <f>IF(H92="Select ingredient:","",IF(G92="Select food category:","",IFERROR(VLOOKUP($H92,Ingredient_prices!$E:$W,18,FALSE)*$Q92/1000,"not bought")))</f>
        <v/>
      </c>
      <c r="AV92" s="583">
        <f t="shared" si="174"/>
        <v>0</v>
      </c>
      <c r="AW92" s="583">
        <f t="shared" si="175"/>
        <v>0</v>
      </c>
      <c r="AX92" s="583">
        <f t="shared" si="176"/>
        <v>0</v>
      </c>
      <c r="AY92" s="583">
        <f t="shared" si="177"/>
        <v>0</v>
      </c>
      <c r="AZ92" s="583">
        <f t="shared" si="178"/>
        <v>0</v>
      </c>
      <c r="BA92" s="583">
        <f t="shared" si="179"/>
        <v>0</v>
      </c>
      <c r="BB92" s="583">
        <f t="shared" si="180"/>
        <v>0</v>
      </c>
      <c r="BC92" s="583">
        <f t="shared" si="181"/>
        <v>0</v>
      </c>
      <c r="BD92" s="583">
        <f t="shared" si="182"/>
        <v>0</v>
      </c>
      <c r="BE92" s="583">
        <f t="shared" si="183"/>
        <v>0</v>
      </c>
      <c r="BF92" s="583">
        <f t="shared" si="184"/>
        <v>0</v>
      </c>
      <c r="BG92" s="583">
        <f t="shared" si="185"/>
        <v>0</v>
      </c>
      <c r="BH92" s="583">
        <f t="shared" si="186"/>
        <v>0</v>
      </c>
      <c r="BI92" s="583">
        <f t="shared" si="187"/>
        <v>0</v>
      </c>
      <c r="BJ92" s="583">
        <f t="shared" si="188"/>
        <v>0</v>
      </c>
      <c r="BK92" s="583">
        <f t="shared" si="189"/>
        <v>0</v>
      </c>
      <c r="BL92" s="583">
        <f t="shared" si="190"/>
        <v>0</v>
      </c>
      <c r="BM92" s="583">
        <f t="shared" si="191"/>
        <v>0</v>
      </c>
      <c r="BN92" s="583">
        <f t="shared" si="192"/>
        <v>0</v>
      </c>
      <c r="BO92" s="583">
        <f t="shared" si="193"/>
        <v>0</v>
      </c>
      <c r="BP92" s="583">
        <f t="shared" si="194"/>
        <v>0</v>
      </c>
      <c r="BQ92" s="583">
        <f t="shared" si="195"/>
        <v>0</v>
      </c>
      <c r="BR92" s="583">
        <f t="shared" si="196"/>
        <v>0</v>
      </c>
    </row>
    <row r="93" spans="1:70" s="229" customFormat="1" ht="15" customHeight="1">
      <c r="A93" s="590"/>
      <c r="D93" s="85"/>
      <c r="E93" s="576" t="str">
        <f t="shared" si="197"/>
        <v/>
      </c>
      <c r="F93" s="707"/>
      <c r="G93" s="406" t="s">
        <v>3054</v>
      </c>
      <c r="H93" s="1262" t="s">
        <v>3055</v>
      </c>
      <c r="I93" s="85">
        <v>0</v>
      </c>
      <c r="J93" s="682">
        <v>1</v>
      </c>
      <c r="K93" s="579" t="str">
        <f t="shared" si="171"/>
        <v/>
      </c>
      <c r="L93" s="580" t="str">
        <f>IF(H93="Select ingredient:","",IF(G93="","",_xlfn.IFNA(VLOOKUP($H93,Ingredient_prices!$E:$U,16,FALSE),0)))</f>
        <v/>
      </c>
      <c r="M93" s="591"/>
      <c r="N93" s="591"/>
      <c r="O93" s="591"/>
      <c r="P93" s="615"/>
      <c r="Q93" s="583">
        <f t="shared" si="172"/>
        <v>0</v>
      </c>
      <c r="R93" s="583">
        <f>VLOOKUP($H93,'CO2_emission+%_food_waste'!$A:$K,6,FALSE)*$Q93/100</f>
        <v>0</v>
      </c>
      <c r="S93" s="583">
        <f t="shared" si="173"/>
        <v>0</v>
      </c>
      <c r="T93" s="583" t="str">
        <f>IF(H93="Select ingredient:","",IF(G93="Select food category:","",_xlfn.IFNA(VLOOKUP($H93,Ingredient_prices!$E:$U,16,FALSE)*$Q93/1000,"not bought")))</f>
        <v/>
      </c>
      <c r="U93" s="583" t="str">
        <f>IF(G93="Select food category:","",_xlfn.IFNA(VLOOKUP($H93,Ingredient_prices!$E:$U,16,FALSE)*$R93/1000,"not bought"))</f>
        <v/>
      </c>
      <c r="V93" s="549">
        <f>VLOOKUP($H93,'CO2_emission+%_food_waste'!$A:$K,4,FALSE)*$Q93</f>
        <v>0</v>
      </c>
      <c r="W93" s="583">
        <f>VLOOKUP($H93,Nutrition_tables!$A:$N,10,FALSE)*$Q93/100</f>
        <v>0</v>
      </c>
      <c r="X93" s="583">
        <f>VLOOKUP($H93,Nutrition_tables!$A:$N,11,FALSE)*$Q93/100</f>
        <v>0</v>
      </c>
      <c r="Y93" s="583">
        <f>VLOOKUP($H93,Nutrition_tables!$A:$N,12,FALSE)*$Q93/100</f>
        <v>0</v>
      </c>
      <c r="Z93" s="583">
        <f>VLOOKUP($H93,Nutrition_tables!$A:$N,14,FALSE)*$Q93/100</f>
        <v>0</v>
      </c>
      <c r="AA93" s="583">
        <f>VLOOKUP($H93,Nutrition_tables!$A:$AF,13,FALSE)*$Q93/100</f>
        <v>0</v>
      </c>
      <c r="AB93" s="549">
        <f>VLOOKUP($H93,Nutrition_tables!$A:$AF,15,FALSE)*$Q93/100</f>
        <v>0</v>
      </c>
      <c r="AC93" s="583">
        <f>VLOOKUP($H93,Nutrition_tables!$A:$AF,16,FALSE)*$Q93/100</f>
        <v>0</v>
      </c>
      <c r="AD93" s="583">
        <f>VLOOKUP($H93,Nutrition_tables!$A:$AF,17,FALSE)*$Q93/100</f>
        <v>0</v>
      </c>
      <c r="AE93" s="583">
        <f>VLOOKUP($H93,Nutrition_tables!$A:$AF,18,FALSE)*$Q93/100</f>
        <v>0</v>
      </c>
      <c r="AF93" s="583">
        <f>VLOOKUP($H93,Nutrition_tables!$A:$AF,19,FALSE)*$Q93/100</f>
        <v>0</v>
      </c>
      <c r="AG93" s="583">
        <f>VLOOKUP($H93,Nutrition_tables!$A:$AF,20,FALSE)*$Q93/100</f>
        <v>0</v>
      </c>
      <c r="AH93" s="583">
        <f>VLOOKUP($H93,Nutrition_tables!$A:$AF,21,FALSE)*$Q93/100</f>
        <v>0</v>
      </c>
      <c r="AI93" s="583">
        <f>VLOOKUP($H93,Nutrition_tables!$A:$AF,22,FALSE)*$Q93/100</f>
        <v>0</v>
      </c>
      <c r="AJ93" s="549">
        <f>VLOOKUP($H93,Nutrition_tables!$A:$AF,23,FALSE)*$Q93/100</f>
        <v>0</v>
      </c>
      <c r="AK93" s="583">
        <f>VLOOKUP($H93,Nutrition_tables!$A:$AF,24,FALSE)*$Q93/100</f>
        <v>0</v>
      </c>
      <c r="AL93" s="583">
        <f>VLOOKUP($H93,Nutrition_tables!$A:$AF,25,FALSE)*$Q93/100</f>
        <v>0</v>
      </c>
      <c r="AM93" s="583">
        <f>VLOOKUP($H93,Nutrition_tables!$A:$AF,26,FALSE)*$Q93/100</f>
        <v>0</v>
      </c>
      <c r="AN93" s="583">
        <f>VLOOKUP($H93,Nutrition_tables!$A:$AF,27,FALSE)*$Q93/100</f>
        <v>0</v>
      </c>
      <c r="AO93" s="583">
        <f>VLOOKUP($H93,Nutrition_tables!$A:$AF,28,FALSE)*$Q93/100</f>
        <v>0</v>
      </c>
      <c r="AP93" s="583">
        <f>VLOOKUP($H93,Nutrition_tables!$A:$AF,29,FALSE)*$Q93/100</f>
        <v>0</v>
      </c>
      <c r="AQ93" s="583">
        <f>VLOOKUP($H93,Nutrition_tables!$A:$AF,30,FALSE)*$Q93/100</f>
        <v>0</v>
      </c>
      <c r="AR93" s="583">
        <f>VLOOKUP($H93,Nutrition_tables!$A:$AF,31,FALSE)*$Q93/100</f>
        <v>0</v>
      </c>
      <c r="AS93" s="549">
        <f>VLOOKUP($H93,Nutrition_tables!$A:$AF,32,FALSE)*$Q93/100</f>
        <v>0</v>
      </c>
      <c r="AT93" s="583" t="str">
        <f>IF(H93="Select ingredient:","",IF(G93="Select food category:","",IFERROR(VLOOKUP($H93,Ingredient_prices!$E:$W,17,FALSE)*$Q93/1000,"not bought")))</f>
        <v/>
      </c>
      <c r="AU93" s="583" t="str">
        <f>IF(H93="Select ingredient:","",IF(G93="Select food category:","",IFERROR(VLOOKUP($H93,Ingredient_prices!$E:$W,18,FALSE)*$Q93/1000,"not bought")))</f>
        <v/>
      </c>
      <c r="AV93" s="583">
        <f t="shared" si="174"/>
        <v>0</v>
      </c>
      <c r="AW93" s="583">
        <f t="shared" si="175"/>
        <v>0</v>
      </c>
      <c r="AX93" s="583">
        <f t="shared" si="176"/>
        <v>0</v>
      </c>
      <c r="AY93" s="583">
        <f t="shared" si="177"/>
        <v>0</v>
      </c>
      <c r="AZ93" s="583">
        <f t="shared" si="178"/>
        <v>0</v>
      </c>
      <c r="BA93" s="583">
        <f t="shared" si="179"/>
        <v>0</v>
      </c>
      <c r="BB93" s="583">
        <f t="shared" si="180"/>
        <v>0</v>
      </c>
      <c r="BC93" s="583">
        <f t="shared" si="181"/>
        <v>0</v>
      </c>
      <c r="BD93" s="583">
        <f t="shared" si="182"/>
        <v>0</v>
      </c>
      <c r="BE93" s="583">
        <f t="shared" si="183"/>
        <v>0</v>
      </c>
      <c r="BF93" s="583">
        <f t="shared" si="184"/>
        <v>0</v>
      </c>
      <c r="BG93" s="583">
        <f t="shared" si="185"/>
        <v>0</v>
      </c>
      <c r="BH93" s="583">
        <f t="shared" si="186"/>
        <v>0</v>
      </c>
      <c r="BI93" s="583">
        <f t="shared" si="187"/>
        <v>0</v>
      </c>
      <c r="BJ93" s="583">
        <f t="shared" si="188"/>
        <v>0</v>
      </c>
      <c r="BK93" s="583">
        <f t="shared" si="189"/>
        <v>0</v>
      </c>
      <c r="BL93" s="583">
        <f t="shared" si="190"/>
        <v>0</v>
      </c>
      <c r="BM93" s="583">
        <f t="shared" si="191"/>
        <v>0</v>
      </c>
      <c r="BN93" s="583">
        <f t="shared" si="192"/>
        <v>0</v>
      </c>
      <c r="BO93" s="583">
        <f t="shared" si="193"/>
        <v>0</v>
      </c>
      <c r="BP93" s="583">
        <f t="shared" si="194"/>
        <v>0</v>
      </c>
      <c r="BQ93" s="583">
        <f t="shared" si="195"/>
        <v>0</v>
      </c>
      <c r="BR93" s="583">
        <f t="shared" si="196"/>
        <v>0</v>
      </c>
    </row>
    <row r="94" spans="1:70" s="229" customFormat="1" ht="15" customHeight="1">
      <c r="A94" s="590"/>
      <c r="D94" s="85"/>
      <c r="E94" s="576" t="str">
        <f t="shared" si="197"/>
        <v/>
      </c>
      <c r="F94" s="707"/>
      <c r="G94" s="406" t="s">
        <v>3054</v>
      </c>
      <c r="H94" s="1262" t="s">
        <v>3055</v>
      </c>
      <c r="I94" s="85">
        <v>0</v>
      </c>
      <c r="J94" s="682">
        <v>1</v>
      </c>
      <c r="K94" s="579" t="str">
        <f t="shared" si="171"/>
        <v/>
      </c>
      <c r="L94" s="580" t="str">
        <f>IF(H94="Select ingredient:","",IF(G94="","",_xlfn.IFNA(VLOOKUP($H94,Ingredient_prices!$E:$U,16,FALSE),0)))</f>
        <v/>
      </c>
      <c r="M94" s="591"/>
      <c r="N94" s="591"/>
      <c r="O94" s="591"/>
      <c r="P94" s="615"/>
      <c r="Q94" s="583">
        <f t="shared" si="172"/>
        <v>0</v>
      </c>
      <c r="R94" s="583">
        <f>VLOOKUP($H94,'CO2_emission+%_food_waste'!$A:$K,6,FALSE)*$Q94/100</f>
        <v>0</v>
      </c>
      <c r="S94" s="583">
        <f t="shared" si="173"/>
        <v>0</v>
      </c>
      <c r="T94" s="583" t="str">
        <f>IF(H94="Select ingredient:","",IF(G94="Select food category:","",_xlfn.IFNA(VLOOKUP($H94,Ingredient_prices!$E:$U,16,FALSE)*$Q94/1000,"not bought")))</f>
        <v/>
      </c>
      <c r="U94" s="583" t="str">
        <f>IF(G94="Select food category:","",_xlfn.IFNA(VLOOKUP($H94,Ingredient_prices!$E:$U,16,FALSE)*$R94/1000,"not bought"))</f>
        <v/>
      </c>
      <c r="V94" s="549">
        <f>VLOOKUP($H94,'CO2_emission+%_food_waste'!$A:$K,4,FALSE)*$Q94</f>
        <v>0</v>
      </c>
      <c r="W94" s="583">
        <f>VLOOKUP($H94,Nutrition_tables!$A:$N,10,FALSE)*$Q94/100</f>
        <v>0</v>
      </c>
      <c r="X94" s="583">
        <f>VLOOKUP($H94,Nutrition_tables!$A:$N,11,FALSE)*$Q94/100</f>
        <v>0</v>
      </c>
      <c r="Y94" s="583">
        <f>VLOOKUP($H94,Nutrition_tables!$A:$N,12,FALSE)*$Q94/100</f>
        <v>0</v>
      </c>
      <c r="Z94" s="583">
        <f>VLOOKUP($H94,Nutrition_tables!$A:$N,14,FALSE)*$Q94/100</f>
        <v>0</v>
      </c>
      <c r="AA94" s="583">
        <f>VLOOKUP($H94,Nutrition_tables!$A:$AF,13,FALSE)*$Q94/100</f>
        <v>0</v>
      </c>
      <c r="AB94" s="549">
        <f>VLOOKUP($H94,Nutrition_tables!$A:$AF,15,FALSE)*$Q94/100</f>
        <v>0</v>
      </c>
      <c r="AC94" s="583">
        <f>VLOOKUP($H94,Nutrition_tables!$A:$AF,16,FALSE)*$Q94/100</f>
        <v>0</v>
      </c>
      <c r="AD94" s="583">
        <f>VLOOKUP($H94,Nutrition_tables!$A:$AF,17,FALSE)*$Q94/100</f>
        <v>0</v>
      </c>
      <c r="AE94" s="583">
        <f>VLOOKUP($H94,Nutrition_tables!$A:$AF,18,FALSE)*$Q94/100</f>
        <v>0</v>
      </c>
      <c r="AF94" s="583">
        <f>VLOOKUP($H94,Nutrition_tables!$A:$AF,19,FALSE)*$Q94/100</f>
        <v>0</v>
      </c>
      <c r="AG94" s="583">
        <f>VLOOKUP($H94,Nutrition_tables!$A:$AF,20,FALSE)*$Q94/100</f>
        <v>0</v>
      </c>
      <c r="AH94" s="583">
        <f>VLOOKUP($H94,Nutrition_tables!$A:$AF,21,FALSE)*$Q94/100</f>
        <v>0</v>
      </c>
      <c r="AI94" s="583">
        <f>VLOOKUP($H94,Nutrition_tables!$A:$AF,22,FALSE)*$Q94/100</f>
        <v>0</v>
      </c>
      <c r="AJ94" s="549">
        <f>VLOOKUP($H94,Nutrition_tables!$A:$AF,23,FALSE)*$Q94/100</f>
        <v>0</v>
      </c>
      <c r="AK94" s="583">
        <f>VLOOKUP($H94,Nutrition_tables!$A:$AF,24,FALSE)*$Q94/100</f>
        <v>0</v>
      </c>
      <c r="AL94" s="583">
        <f>VLOOKUP($H94,Nutrition_tables!$A:$AF,25,FALSE)*$Q94/100</f>
        <v>0</v>
      </c>
      <c r="AM94" s="583">
        <f>VLOOKUP($H94,Nutrition_tables!$A:$AF,26,FALSE)*$Q94/100</f>
        <v>0</v>
      </c>
      <c r="AN94" s="583">
        <f>VLOOKUP($H94,Nutrition_tables!$A:$AF,27,FALSE)*$Q94/100</f>
        <v>0</v>
      </c>
      <c r="AO94" s="583">
        <f>VLOOKUP($H94,Nutrition_tables!$A:$AF,28,FALSE)*$Q94/100</f>
        <v>0</v>
      </c>
      <c r="AP94" s="583">
        <f>VLOOKUP($H94,Nutrition_tables!$A:$AF,29,FALSE)*$Q94/100</f>
        <v>0</v>
      </c>
      <c r="AQ94" s="583">
        <f>VLOOKUP($H94,Nutrition_tables!$A:$AF,30,FALSE)*$Q94/100</f>
        <v>0</v>
      </c>
      <c r="AR94" s="583">
        <f>VLOOKUP($H94,Nutrition_tables!$A:$AF,31,FALSE)*$Q94/100</f>
        <v>0</v>
      </c>
      <c r="AS94" s="549">
        <f>VLOOKUP($H94,Nutrition_tables!$A:$AF,32,FALSE)*$Q94/100</f>
        <v>0</v>
      </c>
      <c r="AT94" s="583" t="str">
        <f>IF(H94="Select ingredient:","",IF(G94="Select food category:","",IFERROR(VLOOKUP($H94,Ingredient_prices!$E:$W,17,FALSE)*$Q94/1000,"not bought")))</f>
        <v/>
      </c>
      <c r="AU94" s="583" t="str">
        <f>IF(H94="Select ingredient:","",IF(G94="Select food category:","",IFERROR(VLOOKUP($H94,Ingredient_prices!$E:$W,18,FALSE)*$Q94/1000,"not bought")))</f>
        <v/>
      </c>
      <c r="AV94" s="583">
        <f t="shared" si="174"/>
        <v>0</v>
      </c>
      <c r="AW94" s="583">
        <f t="shared" si="175"/>
        <v>0</v>
      </c>
      <c r="AX94" s="583">
        <f t="shared" si="176"/>
        <v>0</v>
      </c>
      <c r="AY94" s="583">
        <f t="shared" si="177"/>
        <v>0</v>
      </c>
      <c r="AZ94" s="583">
        <f t="shared" si="178"/>
        <v>0</v>
      </c>
      <c r="BA94" s="583">
        <f t="shared" si="179"/>
        <v>0</v>
      </c>
      <c r="BB94" s="583">
        <f t="shared" si="180"/>
        <v>0</v>
      </c>
      <c r="BC94" s="583">
        <f t="shared" si="181"/>
        <v>0</v>
      </c>
      <c r="BD94" s="583">
        <f t="shared" si="182"/>
        <v>0</v>
      </c>
      <c r="BE94" s="583">
        <f t="shared" si="183"/>
        <v>0</v>
      </c>
      <c r="BF94" s="583">
        <f t="shared" si="184"/>
        <v>0</v>
      </c>
      <c r="BG94" s="583">
        <f t="shared" si="185"/>
        <v>0</v>
      </c>
      <c r="BH94" s="583">
        <f t="shared" si="186"/>
        <v>0</v>
      </c>
      <c r="BI94" s="583">
        <f t="shared" si="187"/>
        <v>0</v>
      </c>
      <c r="BJ94" s="583">
        <f t="shared" si="188"/>
        <v>0</v>
      </c>
      <c r="BK94" s="583">
        <f t="shared" si="189"/>
        <v>0</v>
      </c>
      <c r="BL94" s="583">
        <f t="shared" si="190"/>
        <v>0</v>
      </c>
      <c r="BM94" s="583">
        <f t="shared" si="191"/>
        <v>0</v>
      </c>
      <c r="BN94" s="583">
        <f t="shared" si="192"/>
        <v>0</v>
      </c>
      <c r="BO94" s="583">
        <f t="shared" si="193"/>
        <v>0</v>
      </c>
      <c r="BP94" s="583">
        <f t="shared" si="194"/>
        <v>0</v>
      </c>
      <c r="BQ94" s="583">
        <f t="shared" si="195"/>
        <v>0</v>
      </c>
      <c r="BR94" s="583">
        <f t="shared" si="196"/>
        <v>0</v>
      </c>
    </row>
    <row r="95" spans="1:70" s="229" customFormat="1" ht="15" customHeight="1">
      <c r="A95" s="590"/>
      <c r="D95" s="85"/>
      <c r="E95" s="576" t="str">
        <f t="shared" si="197"/>
        <v/>
      </c>
      <c r="F95" s="707"/>
      <c r="G95" s="406" t="s">
        <v>3054</v>
      </c>
      <c r="H95" s="1262" t="s">
        <v>3055</v>
      </c>
      <c r="I95" s="85">
        <v>0</v>
      </c>
      <c r="J95" s="682">
        <v>1</v>
      </c>
      <c r="K95" s="579" t="str">
        <f t="shared" si="171"/>
        <v/>
      </c>
      <c r="L95" s="580" t="str">
        <f>IF(H95="Select ingredient:","",IF(G95="","",_xlfn.IFNA(VLOOKUP($H95,Ingredient_prices!$E:$U,16,FALSE),0)))</f>
        <v/>
      </c>
      <c r="M95" s="591"/>
      <c r="N95" s="591"/>
      <c r="O95" s="591"/>
      <c r="P95" s="615"/>
      <c r="Q95" s="583">
        <f t="shared" si="172"/>
        <v>0</v>
      </c>
      <c r="R95" s="583">
        <f>VLOOKUP($H95,'CO2_emission+%_food_waste'!$A:$K,6,FALSE)*$Q95/100</f>
        <v>0</v>
      </c>
      <c r="S95" s="583">
        <f t="shared" si="173"/>
        <v>0</v>
      </c>
      <c r="T95" s="583" t="str">
        <f>IF(H95="Select ingredient:","",IF(G95="Select food category:","",_xlfn.IFNA(VLOOKUP($H95,Ingredient_prices!$E:$U,16,FALSE)*$Q95/1000,"not bought")))</f>
        <v/>
      </c>
      <c r="U95" s="583" t="str">
        <f>IF(G95="Select food category:","",_xlfn.IFNA(VLOOKUP($H95,Ingredient_prices!$E:$U,16,FALSE)*$R95/1000,"not bought"))</f>
        <v/>
      </c>
      <c r="V95" s="549">
        <f>VLOOKUP($H95,'CO2_emission+%_food_waste'!$A:$K,4,FALSE)*$Q95</f>
        <v>0</v>
      </c>
      <c r="W95" s="583">
        <f>VLOOKUP($H95,Nutrition_tables!$A:$N,10,FALSE)*$Q95/100</f>
        <v>0</v>
      </c>
      <c r="X95" s="583">
        <f>VLOOKUP($H95,Nutrition_tables!$A:$N,11,FALSE)*$Q95/100</f>
        <v>0</v>
      </c>
      <c r="Y95" s="583">
        <f>VLOOKUP($H95,Nutrition_tables!$A:$N,12,FALSE)*$Q95/100</f>
        <v>0</v>
      </c>
      <c r="Z95" s="583">
        <f>VLOOKUP($H95,Nutrition_tables!$A:$N,14,FALSE)*$Q95/100</f>
        <v>0</v>
      </c>
      <c r="AA95" s="583">
        <f>VLOOKUP($H95,Nutrition_tables!$A:$AF,13,FALSE)*$Q95/100</f>
        <v>0</v>
      </c>
      <c r="AB95" s="549">
        <f>VLOOKUP($H95,Nutrition_tables!$A:$AF,15,FALSE)*$Q95/100</f>
        <v>0</v>
      </c>
      <c r="AC95" s="583">
        <f>VLOOKUP($H95,Nutrition_tables!$A:$AF,16,FALSE)*$Q95/100</f>
        <v>0</v>
      </c>
      <c r="AD95" s="583">
        <f>VLOOKUP($H95,Nutrition_tables!$A:$AF,17,FALSE)*$Q95/100</f>
        <v>0</v>
      </c>
      <c r="AE95" s="583">
        <f>VLOOKUP($H95,Nutrition_tables!$A:$AF,18,FALSE)*$Q95/100</f>
        <v>0</v>
      </c>
      <c r="AF95" s="583">
        <f>VLOOKUP($H95,Nutrition_tables!$A:$AF,19,FALSE)*$Q95/100</f>
        <v>0</v>
      </c>
      <c r="AG95" s="583">
        <f>VLOOKUP($H95,Nutrition_tables!$A:$AF,20,FALSE)*$Q95/100</f>
        <v>0</v>
      </c>
      <c r="AH95" s="583">
        <f>VLOOKUP($H95,Nutrition_tables!$A:$AF,21,FALSE)*$Q95/100</f>
        <v>0</v>
      </c>
      <c r="AI95" s="583">
        <f>VLOOKUP($H95,Nutrition_tables!$A:$AF,22,FALSE)*$Q95/100</f>
        <v>0</v>
      </c>
      <c r="AJ95" s="549">
        <f>VLOOKUP($H95,Nutrition_tables!$A:$AF,23,FALSE)*$Q95/100</f>
        <v>0</v>
      </c>
      <c r="AK95" s="583">
        <f>VLOOKUP($H95,Nutrition_tables!$A:$AF,24,FALSE)*$Q95/100</f>
        <v>0</v>
      </c>
      <c r="AL95" s="583">
        <f>VLOOKUP($H95,Nutrition_tables!$A:$AF,25,FALSE)*$Q95/100</f>
        <v>0</v>
      </c>
      <c r="AM95" s="583">
        <f>VLOOKUP($H95,Nutrition_tables!$A:$AF,26,FALSE)*$Q95/100</f>
        <v>0</v>
      </c>
      <c r="AN95" s="583">
        <f>VLOOKUP($H95,Nutrition_tables!$A:$AF,27,FALSE)*$Q95/100</f>
        <v>0</v>
      </c>
      <c r="AO95" s="583">
        <f>VLOOKUP($H95,Nutrition_tables!$A:$AF,28,FALSE)*$Q95/100</f>
        <v>0</v>
      </c>
      <c r="AP95" s="583">
        <f>VLOOKUP($H95,Nutrition_tables!$A:$AF,29,FALSE)*$Q95/100</f>
        <v>0</v>
      </c>
      <c r="AQ95" s="583">
        <f>VLOOKUP($H95,Nutrition_tables!$A:$AF,30,FALSE)*$Q95/100</f>
        <v>0</v>
      </c>
      <c r="AR95" s="583">
        <f>VLOOKUP($H95,Nutrition_tables!$A:$AF,31,FALSE)*$Q95/100</f>
        <v>0</v>
      </c>
      <c r="AS95" s="549">
        <f>VLOOKUP($H95,Nutrition_tables!$A:$AF,32,FALSE)*$Q95/100</f>
        <v>0</v>
      </c>
      <c r="AT95" s="583" t="str">
        <f>IF(H95="Select ingredient:","",IF(G95="Select food category:","",IFERROR(VLOOKUP($H95,Ingredient_prices!$E:$W,17,FALSE)*$Q95/1000,"not bought")))</f>
        <v/>
      </c>
      <c r="AU95" s="583" t="str">
        <f>IF(H95="Select ingredient:","",IF(G95="Select food category:","",IFERROR(VLOOKUP($H95,Ingredient_prices!$E:$W,18,FALSE)*$Q95/1000,"not bought")))</f>
        <v/>
      </c>
      <c r="AV95" s="583">
        <f t="shared" si="174"/>
        <v>0</v>
      </c>
      <c r="AW95" s="583">
        <f t="shared" si="175"/>
        <v>0</v>
      </c>
      <c r="AX95" s="583">
        <f t="shared" si="176"/>
        <v>0</v>
      </c>
      <c r="AY95" s="583">
        <f t="shared" si="177"/>
        <v>0</v>
      </c>
      <c r="AZ95" s="583">
        <f t="shared" si="178"/>
        <v>0</v>
      </c>
      <c r="BA95" s="583">
        <f t="shared" si="179"/>
        <v>0</v>
      </c>
      <c r="BB95" s="583">
        <f t="shared" si="180"/>
        <v>0</v>
      </c>
      <c r="BC95" s="583">
        <f t="shared" si="181"/>
        <v>0</v>
      </c>
      <c r="BD95" s="583">
        <f t="shared" si="182"/>
        <v>0</v>
      </c>
      <c r="BE95" s="583">
        <f t="shared" si="183"/>
        <v>0</v>
      </c>
      <c r="BF95" s="583">
        <f t="shared" si="184"/>
        <v>0</v>
      </c>
      <c r="BG95" s="583">
        <f t="shared" si="185"/>
        <v>0</v>
      </c>
      <c r="BH95" s="583">
        <f t="shared" si="186"/>
        <v>0</v>
      </c>
      <c r="BI95" s="583">
        <f t="shared" si="187"/>
        <v>0</v>
      </c>
      <c r="BJ95" s="583">
        <f t="shared" si="188"/>
        <v>0</v>
      </c>
      <c r="BK95" s="583">
        <f t="shared" si="189"/>
        <v>0</v>
      </c>
      <c r="BL95" s="583">
        <f t="shared" si="190"/>
        <v>0</v>
      </c>
      <c r="BM95" s="583">
        <f t="shared" si="191"/>
        <v>0</v>
      </c>
      <c r="BN95" s="583">
        <f t="shared" si="192"/>
        <v>0</v>
      </c>
      <c r="BO95" s="583">
        <f t="shared" si="193"/>
        <v>0</v>
      </c>
      <c r="BP95" s="583">
        <f t="shared" si="194"/>
        <v>0</v>
      </c>
      <c r="BQ95" s="583">
        <f t="shared" si="195"/>
        <v>0</v>
      </c>
      <c r="BR95" s="583">
        <f t="shared" si="196"/>
        <v>0</v>
      </c>
    </row>
    <row r="96" spans="1:70" s="229" customFormat="1" ht="15" customHeight="1">
      <c r="A96" s="590"/>
      <c r="D96" s="85"/>
      <c r="E96" s="576" t="str">
        <f t="shared" si="197"/>
        <v/>
      </c>
      <c r="F96" s="707"/>
      <c r="G96" s="406" t="s">
        <v>3054</v>
      </c>
      <c r="H96" s="1262" t="s">
        <v>3055</v>
      </c>
      <c r="I96" s="85">
        <v>0</v>
      </c>
      <c r="J96" s="682">
        <v>1</v>
      </c>
      <c r="K96" s="579" t="str">
        <f t="shared" si="171"/>
        <v/>
      </c>
      <c r="L96" s="580" t="str">
        <f>IF(H96="Select ingredient:","",IF(G96="","",_xlfn.IFNA(VLOOKUP($H96,Ingredient_prices!$E:$U,16,FALSE),0)))</f>
        <v/>
      </c>
      <c r="M96" s="591"/>
      <c r="N96" s="591"/>
      <c r="O96" s="591"/>
      <c r="P96" s="615"/>
      <c r="Q96" s="583">
        <f t="shared" si="172"/>
        <v>0</v>
      </c>
      <c r="R96" s="583">
        <f>VLOOKUP($H96,'CO2_emission+%_food_waste'!$A:$K,6,FALSE)*$Q96/100</f>
        <v>0</v>
      </c>
      <c r="S96" s="583">
        <f t="shared" si="173"/>
        <v>0</v>
      </c>
      <c r="T96" s="583" t="str">
        <f>IF(H96="Select ingredient:","",IF(G96="Select food category:","",_xlfn.IFNA(VLOOKUP($H96,Ingredient_prices!$E:$U,16,FALSE)*$Q96/1000,"not bought")))</f>
        <v/>
      </c>
      <c r="U96" s="583" t="str">
        <f>IF(G96="Select food category:","",_xlfn.IFNA(VLOOKUP($H96,Ingredient_prices!$E:$U,16,FALSE)*$R96/1000,"not bought"))</f>
        <v/>
      </c>
      <c r="V96" s="549">
        <f>VLOOKUP($H96,'CO2_emission+%_food_waste'!$A:$K,4,FALSE)*$Q96</f>
        <v>0</v>
      </c>
      <c r="W96" s="583">
        <f>VLOOKUP($H96,Nutrition_tables!$A:$N,10,FALSE)*$Q96/100</f>
        <v>0</v>
      </c>
      <c r="X96" s="583">
        <f>VLOOKUP($H96,Nutrition_tables!$A:$N,11,FALSE)*$Q96/100</f>
        <v>0</v>
      </c>
      <c r="Y96" s="583">
        <f>VLOOKUP($H96,Nutrition_tables!$A:$N,12,FALSE)*$Q96/100</f>
        <v>0</v>
      </c>
      <c r="Z96" s="583">
        <f>VLOOKUP($H96,Nutrition_tables!$A:$N,14,FALSE)*$Q96/100</f>
        <v>0</v>
      </c>
      <c r="AA96" s="583">
        <f>VLOOKUP($H96,Nutrition_tables!$A:$AF,13,FALSE)*$Q96/100</f>
        <v>0</v>
      </c>
      <c r="AB96" s="549">
        <f>VLOOKUP($H96,Nutrition_tables!$A:$AF,15,FALSE)*$Q96/100</f>
        <v>0</v>
      </c>
      <c r="AC96" s="583">
        <f>VLOOKUP($H96,Nutrition_tables!$A:$AF,16,FALSE)*$Q96/100</f>
        <v>0</v>
      </c>
      <c r="AD96" s="583">
        <f>VLOOKUP($H96,Nutrition_tables!$A:$AF,17,FALSE)*$Q96/100</f>
        <v>0</v>
      </c>
      <c r="AE96" s="583">
        <f>VLOOKUP($H96,Nutrition_tables!$A:$AF,18,FALSE)*$Q96/100</f>
        <v>0</v>
      </c>
      <c r="AF96" s="583">
        <f>VLOOKUP($H96,Nutrition_tables!$A:$AF,19,FALSE)*$Q96/100</f>
        <v>0</v>
      </c>
      <c r="AG96" s="583">
        <f>VLOOKUP($H96,Nutrition_tables!$A:$AF,20,FALSE)*$Q96/100</f>
        <v>0</v>
      </c>
      <c r="AH96" s="583">
        <f>VLOOKUP($H96,Nutrition_tables!$A:$AF,21,FALSE)*$Q96/100</f>
        <v>0</v>
      </c>
      <c r="AI96" s="583">
        <f>VLOOKUP($H96,Nutrition_tables!$A:$AF,22,FALSE)*$Q96/100</f>
        <v>0</v>
      </c>
      <c r="AJ96" s="549">
        <f>VLOOKUP($H96,Nutrition_tables!$A:$AF,23,FALSE)*$Q96/100</f>
        <v>0</v>
      </c>
      <c r="AK96" s="583">
        <f>VLOOKUP($H96,Nutrition_tables!$A:$AF,24,FALSE)*$Q96/100</f>
        <v>0</v>
      </c>
      <c r="AL96" s="583">
        <f>VLOOKUP($H96,Nutrition_tables!$A:$AF,25,FALSE)*$Q96/100</f>
        <v>0</v>
      </c>
      <c r="AM96" s="583">
        <f>VLOOKUP($H96,Nutrition_tables!$A:$AF,26,FALSE)*$Q96/100</f>
        <v>0</v>
      </c>
      <c r="AN96" s="583">
        <f>VLOOKUP($H96,Nutrition_tables!$A:$AF,27,FALSE)*$Q96/100</f>
        <v>0</v>
      </c>
      <c r="AO96" s="583">
        <f>VLOOKUP($H96,Nutrition_tables!$A:$AF,28,FALSE)*$Q96/100</f>
        <v>0</v>
      </c>
      <c r="AP96" s="583">
        <f>VLOOKUP($H96,Nutrition_tables!$A:$AF,29,FALSE)*$Q96/100</f>
        <v>0</v>
      </c>
      <c r="AQ96" s="583">
        <f>VLOOKUP($H96,Nutrition_tables!$A:$AF,30,FALSE)*$Q96/100</f>
        <v>0</v>
      </c>
      <c r="AR96" s="583">
        <f>VLOOKUP($H96,Nutrition_tables!$A:$AF,31,FALSE)*$Q96/100</f>
        <v>0</v>
      </c>
      <c r="AS96" s="549">
        <f>VLOOKUP($H96,Nutrition_tables!$A:$AF,32,FALSE)*$Q96/100</f>
        <v>0</v>
      </c>
      <c r="AT96" s="583" t="str">
        <f>IF(H96="Select ingredient:","",IF(G96="Select food category:","",IFERROR(VLOOKUP($H96,Ingredient_prices!$E:$W,17,FALSE)*$Q96/1000,"not bought")))</f>
        <v/>
      </c>
      <c r="AU96" s="583" t="str">
        <f>IF(H96="Select ingredient:","",IF(G96="Select food category:","",IFERROR(VLOOKUP($H96,Ingredient_prices!$E:$W,18,FALSE)*$Q96/1000,"not bought")))</f>
        <v/>
      </c>
      <c r="AV96" s="583">
        <f t="shared" si="174"/>
        <v>0</v>
      </c>
      <c r="AW96" s="583">
        <f t="shared" si="175"/>
        <v>0</v>
      </c>
      <c r="AX96" s="583">
        <f t="shared" si="176"/>
        <v>0</v>
      </c>
      <c r="AY96" s="583">
        <f t="shared" si="177"/>
        <v>0</v>
      </c>
      <c r="AZ96" s="583">
        <f t="shared" si="178"/>
        <v>0</v>
      </c>
      <c r="BA96" s="583">
        <f t="shared" si="179"/>
        <v>0</v>
      </c>
      <c r="BB96" s="583">
        <f t="shared" si="180"/>
        <v>0</v>
      </c>
      <c r="BC96" s="583">
        <f t="shared" si="181"/>
        <v>0</v>
      </c>
      <c r="BD96" s="583">
        <f t="shared" si="182"/>
        <v>0</v>
      </c>
      <c r="BE96" s="583">
        <f t="shared" si="183"/>
        <v>0</v>
      </c>
      <c r="BF96" s="583">
        <f t="shared" si="184"/>
        <v>0</v>
      </c>
      <c r="BG96" s="583">
        <f t="shared" si="185"/>
        <v>0</v>
      </c>
      <c r="BH96" s="583">
        <f t="shared" si="186"/>
        <v>0</v>
      </c>
      <c r="BI96" s="583">
        <f t="shared" si="187"/>
        <v>0</v>
      </c>
      <c r="BJ96" s="583">
        <f t="shared" si="188"/>
        <v>0</v>
      </c>
      <c r="BK96" s="583">
        <f t="shared" si="189"/>
        <v>0</v>
      </c>
      <c r="BL96" s="583">
        <f t="shared" si="190"/>
        <v>0</v>
      </c>
      <c r="BM96" s="583">
        <f t="shared" si="191"/>
        <v>0</v>
      </c>
      <c r="BN96" s="583">
        <f t="shared" si="192"/>
        <v>0</v>
      </c>
      <c r="BO96" s="583">
        <f t="shared" si="193"/>
        <v>0</v>
      </c>
      <c r="BP96" s="583">
        <f t="shared" si="194"/>
        <v>0</v>
      </c>
      <c r="BQ96" s="583">
        <f t="shared" si="195"/>
        <v>0</v>
      </c>
      <c r="BR96" s="583">
        <f t="shared" si="196"/>
        <v>0</v>
      </c>
    </row>
    <row r="97" spans="1:70" s="229" customFormat="1" ht="15" customHeight="1">
      <c r="A97" s="590"/>
      <c r="D97" s="85"/>
      <c r="E97" s="576" t="str">
        <f t="shared" si="197"/>
        <v/>
      </c>
      <c r="F97" s="707"/>
      <c r="G97" s="406" t="s">
        <v>3054</v>
      </c>
      <c r="H97" s="1262" t="s">
        <v>3055</v>
      </c>
      <c r="I97" s="85">
        <v>0</v>
      </c>
      <c r="J97" s="682">
        <v>1</v>
      </c>
      <c r="K97" s="579" t="str">
        <f t="shared" si="171"/>
        <v/>
      </c>
      <c r="L97" s="580" t="str">
        <f>IF(H97="Select ingredient:","",IF(G97="","",_xlfn.IFNA(VLOOKUP($H97,Ingredient_prices!$E:$U,16,FALSE),0)))</f>
        <v/>
      </c>
      <c r="M97" s="591"/>
      <c r="N97" s="591"/>
      <c r="O97" s="591"/>
      <c r="P97" s="615"/>
      <c r="Q97" s="583">
        <f t="shared" si="172"/>
        <v>0</v>
      </c>
      <c r="R97" s="583">
        <f>VLOOKUP($H97,'CO2_emission+%_food_waste'!$A:$K,6,FALSE)*$Q97/100</f>
        <v>0</v>
      </c>
      <c r="S97" s="583">
        <f t="shared" si="173"/>
        <v>0</v>
      </c>
      <c r="T97" s="583" t="str">
        <f>IF(H97="Select ingredient:","",IF(G97="Select food category:","",_xlfn.IFNA(VLOOKUP($H97,Ingredient_prices!$E:$U,16,FALSE)*$Q97/1000,"not bought")))</f>
        <v/>
      </c>
      <c r="U97" s="583" t="str">
        <f>IF(G97="Select food category:","",_xlfn.IFNA(VLOOKUP($H97,Ingredient_prices!$E:$U,16,FALSE)*$R97/1000,"not bought"))</f>
        <v/>
      </c>
      <c r="V97" s="549">
        <f>VLOOKUP($H97,'CO2_emission+%_food_waste'!$A:$K,4,FALSE)*$Q97</f>
        <v>0</v>
      </c>
      <c r="W97" s="583">
        <f>VLOOKUP($H97,Nutrition_tables!$A:$N,10,FALSE)*$Q97/100</f>
        <v>0</v>
      </c>
      <c r="X97" s="583">
        <f>VLOOKUP($H97,Nutrition_tables!$A:$N,11,FALSE)*$Q97/100</f>
        <v>0</v>
      </c>
      <c r="Y97" s="583">
        <f>VLOOKUP($H97,Nutrition_tables!$A:$N,12,FALSE)*$Q97/100</f>
        <v>0</v>
      </c>
      <c r="Z97" s="583">
        <f>VLOOKUP($H97,Nutrition_tables!$A:$N,14,FALSE)*$Q97/100</f>
        <v>0</v>
      </c>
      <c r="AA97" s="583">
        <f>VLOOKUP($H97,Nutrition_tables!$A:$AF,13,FALSE)*$Q97/100</f>
        <v>0</v>
      </c>
      <c r="AB97" s="549">
        <f>VLOOKUP($H97,Nutrition_tables!$A:$AF,15,FALSE)*$Q97/100</f>
        <v>0</v>
      </c>
      <c r="AC97" s="583">
        <f>VLOOKUP($H97,Nutrition_tables!$A:$AF,16,FALSE)*$Q97/100</f>
        <v>0</v>
      </c>
      <c r="AD97" s="583">
        <f>VLOOKUP($H97,Nutrition_tables!$A:$AF,17,FALSE)*$Q97/100</f>
        <v>0</v>
      </c>
      <c r="AE97" s="583">
        <f>VLOOKUP($H97,Nutrition_tables!$A:$AF,18,FALSE)*$Q97/100</f>
        <v>0</v>
      </c>
      <c r="AF97" s="583">
        <f>VLOOKUP($H97,Nutrition_tables!$A:$AF,19,FALSE)*$Q97/100</f>
        <v>0</v>
      </c>
      <c r="AG97" s="583">
        <f>VLOOKUP($H97,Nutrition_tables!$A:$AF,20,FALSE)*$Q97/100</f>
        <v>0</v>
      </c>
      <c r="AH97" s="583">
        <f>VLOOKUP($H97,Nutrition_tables!$A:$AF,21,FALSE)*$Q97/100</f>
        <v>0</v>
      </c>
      <c r="AI97" s="583">
        <f>VLOOKUP($H97,Nutrition_tables!$A:$AF,22,FALSE)*$Q97/100</f>
        <v>0</v>
      </c>
      <c r="AJ97" s="549">
        <f>VLOOKUP($H97,Nutrition_tables!$A:$AF,23,FALSE)*$Q97/100</f>
        <v>0</v>
      </c>
      <c r="AK97" s="583">
        <f>VLOOKUP($H97,Nutrition_tables!$A:$AF,24,FALSE)*$Q97/100</f>
        <v>0</v>
      </c>
      <c r="AL97" s="583">
        <f>VLOOKUP($H97,Nutrition_tables!$A:$AF,25,FALSE)*$Q97/100</f>
        <v>0</v>
      </c>
      <c r="AM97" s="583">
        <f>VLOOKUP($H97,Nutrition_tables!$A:$AF,26,FALSE)*$Q97/100</f>
        <v>0</v>
      </c>
      <c r="AN97" s="583">
        <f>VLOOKUP($H97,Nutrition_tables!$A:$AF,27,FALSE)*$Q97/100</f>
        <v>0</v>
      </c>
      <c r="AO97" s="583">
        <f>VLOOKUP($H97,Nutrition_tables!$A:$AF,28,FALSE)*$Q97/100</f>
        <v>0</v>
      </c>
      <c r="AP97" s="583">
        <f>VLOOKUP($H97,Nutrition_tables!$A:$AF,29,FALSE)*$Q97/100</f>
        <v>0</v>
      </c>
      <c r="AQ97" s="583">
        <f>VLOOKUP($H97,Nutrition_tables!$A:$AF,30,FALSE)*$Q97/100</f>
        <v>0</v>
      </c>
      <c r="AR97" s="583">
        <f>VLOOKUP($H97,Nutrition_tables!$A:$AF,31,FALSE)*$Q97/100</f>
        <v>0</v>
      </c>
      <c r="AS97" s="549">
        <f>VLOOKUP($H97,Nutrition_tables!$A:$AF,32,FALSE)*$Q97/100</f>
        <v>0</v>
      </c>
      <c r="AT97" s="583" t="str">
        <f>IF(H97="Select ingredient:","",IF(G97="Select food category:","",IFERROR(VLOOKUP($H97,Ingredient_prices!$E:$W,17,FALSE)*$Q97/1000,"not bought")))</f>
        <v/>
      </c>
      <c r="AU97" s="583" t="str">
        <f>IF(H97="Select ingredient:","",IF(G97="Select food category:","",IFERROR(VLOOKUP($H97,Ingredient_prices!$E:$W,18,FALSE)*$Q97/1000,"not bought")))</f>
        <v/>
      </c>
      <c r="AV97" s="583">
        <f t="shared" si="174"/>
        <v>0</v>
      </c>
      <c r="AW97" s="583">
        <f t="shared" si="175"/>
        <v>0</v>
      </c>
      <c r="AX97" s="583">
        <f t="shared" si="176"/>
        <v>0</v>
      </c>
      <c r="AY97" s="583">
        <f t="shared" si="177"/>
        <v>0</v>
      </c>
      <c r="AZ97" s="583">
        <f t="shared" si="178"/>
        <v>0</v>
      </c>
      <c r="BA97" s="583">
        <f t="shared" si="179"/>
        <v>0</v>
      </c>
      <c r="BB97" s="583">
        <f t="shared" si="180"/>
        <v>0</v>
      </c>
      <c r="BC97" s="583">
        <f t="shared" si="181"/>
        <v>0</v>
      </c>
      <c r="BD97" s="583">
        <f t="shared" si="182"/>
        <v>0</v>
      </c>
      <c r="BE97" s="583">
        <f t="shared" si="183"/>
        <v>0</v>
      </c>
      <c r="BF97" s="583">
        <f t="shared" si="184"/>
        <v>0</v>
      </c>
      <c r="BG97" s="583">
        <f t="shared" si="185"/>
        <v>0</v>
      </c>
      <c r="BH97" s="583">
        <f t="shared" si="186"/>
        <v>0</v>
      </c>
      <c r="BI97" s="583">
        <f t="shared" si="187"/>
        <v>0</v>
      </c>
      <c r="BJ97" s="583">
        <f t="shared" si="188"/>
        <v>0</v>
      </c>
      <c r="BK97" s="583">
        <f t="shared" si="189"/>
        <v>0</v>
      </c>
      <c r="BL97" s="583">
        <f t="shared" si="190"/>
        <v>0</v>
      </c>
      <c r="BM97" s="583">
        <f t="shared" si="191"/>
        <v>0</v>
      </c>
      <c r="BN97" s="583">
        <f t="shared" si="192"/>
        <v>0</v>
      </c>
      <c r="BO97" s="583">
        <f t="shared" si="193"/>
        <v>0</v>
      </c>
      <c r="BP97" s="583">
        <f t="shared" si="194"/>
        <v>0</v>
      </c>
      <c r="BQ97" s="583">
        <f t="shared" si="195"/>
        <v>0</v>
      </c>
      <c r="BR97" s="583">
        <f t="shared" si="196"/>
        <v>0</v>
      </c>
    </row>
    <row r="98" spans="1:70" s="229" customFormat="1" ht="15" customHeight="1">
      <c r="A98" s="590"/>
      <c r="D98" s="85"/>
      <c r="E98" s="576" t="str">
        <f t="shared" si="197"/>
        <v/>
      </c>
      <c r="F98" s="707"/>
      <c r="G98" s="406" t="s">
        <v>3054</v>
      </c>
      <c r="H98" s="1262" t="s">
        <v>3055</v>
      </c>
      <c r="I98" s="85">
        <v>0</v>
      </c>
      <c r="J98" s="682">
        <v>1</v>
      </c>
      <c r="K98" s="579" t="str">
        <f t="shared" si="171"/>
        <v/>
      </c>
      <c r="L98" s="580" t="str">
        <f>IF(H98="Select ingredient:","",IF(G98="","",_xlfn.IFNA(VLOOKUP($H98,Ingredient_prices!$E:$U,16,FALSE),0)))</f>
        <v/>
      </c>
      <c r="M98" s="591"/>
      <c r="N98" s="591"/>
      <c r="O98" s="591"/>
      <c r="P98" s="615"/>
      <c r="Q98" s="583">
        <f t="shared" si="172"/>
        <v>0</v>
      </c>
      <c r="R98" s="583">
        <f>VLOOKUP($H98,'CO2_emission+%_food_waste'!$A:$K,6,FALSE)*$Q98/100</f>
        <v>0</v>
      </c>
      <c r="S98" s="583">
        <f t="shared" si="173"/>
        <v>0</v>
      </c>
      <c r="T98" s="583" t="str">
        <f>IF(H98="Select ingredient:","",IF(G98="Select food category:","",_xlfn.IFNA(VLOOKUP($H98,Ingredient_prices!$E:$U,16,FALSE)*$Q98/1000,"not bought")))</f>
        <v/>
      </c>
      <c r="U98" s="583" t="str">
        <f>IF(G98="Select food category:","",_xlfn.IFNA(VLOOKUP($H98,Ingredient_prices!$E:$U,16,FALSE)*$R98/1000,"not bought"))</f>
        <v/>
      </c>
      <c r="V98" s="549">
        <f>VLOOKUP($H98,'CO2_emission+%_food_waste'!$A:$K,4,FALSE)*$Q98</f>
        <v>0</v>
      </c>
      <c r="W98" s="583">
        <f>VLOOKUP($H98,Nutrition_tables!$A:$N,10,FALSE)*$Q98/100</f>
        <v>0</v>
      </c>
      <c r="X98" s="583">
        <f>VLOOKUP($H98,Nutrition_tables!$A:$N,11,FALSE)*$Q98/100</f>
        <v>0</v>
      </c>
      <c r="Y98" s="583">
        <f>VLOOKUP($H98,Nutrition_tables!$A:$N,12,FALSE)*$Q98/100</f>
        <v>0</v>
      </c>
      <c r="Z98" s="583">
        <f>VLOOKUP($H98,Nutrition_tables!$A:$N,14,FALSE)*$Q98/100</f>
        <v>0</v>
      </c>
      <c r="AA98" s="583">
        <f>VLOOKUP($H98,Nutrition_tables!$A:$AF,13,FALSE)*$Q98/100</f>
        <v>0</v>
      </c>
      <c r="AB98" s="549">
        <f>VLOOKUP($H98,Nutrition_tables!$A:$AF,15,FALSE)*$Q98/100</f>
        <v>0</v>
      </c>
      <c r="AC98" s="583">
        <f>VLOOKUP($H98,Nutrition_tables!$A:$AF,16,FALSE)*$Q98/100</f>
        <v>0</v>
      </c>
      <c r="AD98" s="583">
        <f>VLOOKUP($H98,Nutrition_tables!$A:$AF,17,FALSE)*$Q98/100</f>
        <v>0</v>
      </c>
      <c r="AE98" s="583">
        <f>VLOOKUP($H98,Nutrition_tables!$A:$AF,18,FALSE)*$Q98/100</f>
        <v>0</v>
      </c>
      <c r="AF98" s="583">
        <f>VLOOKUP($H98,Nutrition_tables!$A:$AF,19,FALSE)*$Q98/100</f>
        <v>0</v>
      </c>
      <c r="AG98" s="583">
        <f>VLOOKUP($H98,Nutrition_tables!$A:$AF,20,FALSE)*$Q98/100</f>
        <v>0</v>
      </c>
      <c r="AH98" s="583">
        <f>VLOOKUP($H98,Nutrition_tables!$A:$AF,21,FALSE)*$Q98/100</f>
        <v>0</v>
      </c>
      <c r="AI98" s="583">
        <f>VLOOKUP($H98,Nutrition_tables!$A:$AF,22,FALSE)*$Q98/100</f>
        <v>0</v>
      </c>
      <c r="AJ98" s="549">
        <f>VLOOKUP($H98,Nutrition_tables!$A:$AF,23,FALSE)*$Q98/100</f>
        <v>0</v>
      </c>
      <c r="AK98" s="583">
        <f>VLOOKUP($H98,Nutrition_tables!$A:$AF,24,FALSE)*$Q98/100</f>
        <v>0</v>
      </c>
      <c r="AL98" s="583">
        <f>VLOOKUP($H98,Nutrition_tables!$A:$AF,25,FALSE)*$Q98/100</f>
        <v>0</v>
      </c>
      <c r="AM98" s="583">
        <f>VLOOKUP($H98,Nutrition_tables!$A:$AF,26,FALSE)*$Q98/100</f>
        <v>0</v>
      </c>
      <c r="AN98" s="583">
        <f>VLOOKUP($H98,Nutrition_tables!$A:$AF,27,FALSE)*$Q98/100</f>
        <v>0</v>
      </c>
      <c r="AO98" s="583">
        <f>VLOOKUP($H98,Nutrition_tables!$A:$AF,28,FALSE)*$Q98/100</f>
        <v>0</v>
      </c>
      <c r="AP98" s="583">
        <f>VLOOKUP($H98,Nutrition_tables!$A:$AF,29,FALSE)*$Q98/100</f>
        <v>0</v>
      </c>
      <c r="AQ98" s="583">
        <f>VLOOKUP($H98,Nutrition_tables!$A:$AF,30,FALSE)*$Q98/100</f>
        <v>0</v>
      </c>
      <c r="AR98" s="583">
        <f>VLOOKUP($H98,Nutrition_tables!$A:$AF,31,FALSE)*$Q98/100</f>
        <v>0</v>
      </c>
      <c r="AS98" s="549">
        <f>VLOOKUP($H98,Nutrition_tables!$A:$AF,32,FALSE)*$Q98/100</f>
        <v>0</v>
      </c>
      <c r="AT98" s="583" t="str">
        <f>IF(H98="Select ingredient:","",IF(G98="Select food category:","",IFERROR(VLOOKUP($H98,Ingredient_prices!$E:$W,17,FALSE)*$Q98/1000,"not bought")))</f>
        <v/>
      </c>
      <c r="AU98" s="583" t="str">
        <f>IF(H98="Select ingredient:","",IF(G98="Select food category:","",IFERROR(VLOOKUP($H98,Ingredient_prices!$E:$W,18,FALSE)*$Q98/1000,"not bought")))</f>
        <v/>
      </c>
      <c r="AV98" s="583">
        <f t="shared" si="174"/>
        <v>0</v>
      </c>
      <c r="AW98" s="583">
        <f t="shared" si="175"/>
        <v>0</v>
      </c>
      <c r="AX98" s="583">
        <f t="shared" si="176"/>
        <v>0</v>
      </c>
      <c r="AY98" s="583">
        <f t="shared" si="177"/>
        <v>0</v>
      </c>
      <c r="AZ98" s="583">
        <f t="shared" si="178"/>
        <v>0</v>
      </c>
      <c r="BA98" s="583">
        <f t="shared" si="179"/>
        <v>0</v>
      </c>
      <c r="BB98" s="583">
        <f t="shared" si="180"/>
        <v>0</v>
      </c>
      <c r="BC98" s="583">
        <f t="shared" si="181"/>
        <v>0</v>
      </c>
      <c r="BD98" s="583">
        <f t="shared" si="182"/>
        <v>0</v>
      </c>
      <c r="BE98" s="583">
        <f t="shared" si="183"/>
        <v>0</v>
      </c>
      <c r="BF98" s="583">
        <f t="shared" si="184"/>
        <v>0</v>
      </c>
      <c r="BG98" s="583">
        <f t="shared" si="185"/>
        <v>0</v>
      </c>
      <c r="BH98" s="583">
        <f t="shared" si="186"/>
        <v>0</v>
      </c>
      <c r="BI98" s="583">
        <f t="shared" si="187"/>
        <v>0</v>
      </c>
      <c r="BJ98" s="583">
        <f t="shared" si="188"/>
        <v>0</v>
      </c>
      <c r="BK98" s="583">
        <f t="shared" si="189"/>
        <v>0</v>
      </c>
      <c r="BL98" s="583">
        <f t="shared" si="190"/>
        <v>0</v>
      </c>
      <c r="BM98" s="583">
        <f t="shared" si="191"/>
        <v>0</v>
      </c>
      <c r="BN98" s="583">
        <f t="shared" si="192"/>
        <v>0</v>
      </c>
      <c r="BO98" s="583">
        <f t="shared" si="193"/>
        <v>0</v>
      </c>
      <c r="BP98" s="583">
        <f t="shared" si="194"/>
        <v>0</v>
      </c>
      <c r="BQ98" s="583">
        <f t="shared" si="195"/>
        <v>0</v>
      </c>
      <c r="BR98" s="583">
        <f t="shared" si="196"/>
        <v>0</v>
      </c>
    </row>
    <row r="99" spans="1:70" s="229" customFormat="1" ht="15" customHeight="1">
      <c r="A99" s="590"/>
      <c r="D99" s="85"/>
      <c r="E99" s="576" t="str">
        <f t="shared" si="197"/>
        <v/>
      </c>
      <c r="F99" s="707"/>
      <c r="G99" s="406" t="s">
        <v>3054</v>
      </c>
      <c r="H99" s="1262" t="s">
        <v>3055</v>
      </c>
      <c r="I99" s="85">
        <v>0</v>
      </c>
      <c r="J99" s="682">
        <v>1</v>
      </c>
      <c r="K99" s="579" t="str">
        <f t="shared" si="171"/>
        <v/>
      </c>
      <c r="L99" s="580" t="str">
        <f>IF(H99="Select ingredient:","",IF(G99="","",_xlfn.IFNA(VLOOKUP($H99,Ingredient_prices!$E:$U,16,FALSE),0)))</f>
        <v/>
      </c>
      <c r="M99" s="591"/>
      <c r="N99" s="591"/>
      <c r="O99" s="591"/>
      <c r="P99" s="615"/>
      <c r="Q99" s="583">
        <f t="shared" si="172"/>
        <v>0</v>
      </c>
      <c r="R99" s="583">
        <f>VLOOKUP($H99,'CO2_emission+%_food_waste'!$A:$K,6,FALSE)*$Q99/100</f>
        <v>0</v>
      </c>
      <c r="S99" s="583">
        <f t="shared" si="173"/>
        <v>0</v>
      </c>
      <c r="T99" s="583" t="str">
        <f>IF(H99="Select ingredient:","",IF(G99="Select food category:","",_xlfn.IFNA(VLOOKUP($H99,Ingredient_prices!$E:$U,16,FALSE)*$Q99/1000,"not bought")))</f>
        <v/>
      </c>
      <c r="U99" s="583" t="str">
        <f>IF(G99="Select food category:","",_xlfn.IFNA(VLOOKUP($H99,Ingredient_prices!$E:$U,16,FALSE)*$R99/1000,"not bought"))</f>
        <v/>
      </c>
      <c r="V99" s="549">
        <f>VLOOKUP($H99,'CO2_emission+%_food_waste'!$A:$K,4,FALSE)*$Q99</f>
        <v>0</v>
      </c>
      <c r="W99" s="583">
        <f>VLOOKUP($H99,Nutrition_tables!$A:$N,10,FALSE)*$Q99/100</f>
        <v>0</v>
      </c>
      <c r="X99" s="583">
        <f>VLOOKUP($H99,Nutrition_tables!$A:$N,11,FALSE)*$Q99/100</f>
        <v>0</v>
      </c>
      <c r="Y99" s="583">
        <f>VLOOKUP($H99,Nutrition_tables!$A:$N,12,FALSE)*$Q99/100</f>
        <v>0</v>
      </c>
      <c r="Z99" s="583">
        <f>VLOOKUP($H99,Nutrition_tables!$A:$N,14,FALSE)*$Q99/100</f>
        <v>0</v>
      </c>
      <c r="AA99" s="583">
        <f>VLOOKUP($H99,Nutrition_tables!$A:$AF,13,FALSE)*$Q99/100</f>
        <v>0</v>
      </c>
      <c r="AB99" s="549">
        <f>VLOOKUP($H99,Nutrition_tables!$A:$AF,15,FALSE)*$Q99/100</f>
        <v>0</v>
      </c>
      <c r="AC99" s="583">
        <f>VLOOKUP($H99,Nutrition_tables!$A:$AF,16,FALSE)*$Q99/100</f>
        <v>0</v>
      </c>
      <c r="AD99" s="583">
        <f>VLOOKUP($H99,Nutrition_tables!$A:$AF,17,FALSE)*$Q99/100</f>
        <v>0</v>
      </c>
      <c r="AE99" s="583">
        <f>VLOOKUP($H99,Nutrition_tables!$A:$AF,18,FALSE)*$Q99/100</f>
        <v>0</v>
      </c>
      <c r="AF99" s="583">
        <f>VLOOKUP($H99,Nutrition_tables!$A:$AF,19,FALSE)*$Q99/100</f>
        <v>0</v>
      </c>
      <c r="AG99" s="583">
        <f>VLOOKUP($H99,Nutrition_tables!$A:$AF,20,FALSE)*$Q99/100</f>
        <v>0</v>
      </c>
      <c r="AH99" s="583">
        <f>VLOOKUP($H99,Nutrition_tables!$A:$AF,21,FALSE)*$Q99/100</f>
        <v>0</v>
      </c>
      <c r="AI99" s="583">
        <f>VLOOKUP($H99,Nutrition_tables!$A:$AF,22,FALSE)*$Q99/100</f>
        <v>0</v>
      </c>
      <c r="AJ99" s="549">
        <f>VLOOKUP($H99,Nutrition_tables!$A:$AF,23,FALSE)*$Q99/100</f>
        <v>0</v>
      </c>
      <c r="AK99" s="583">
        <f>VLOOKUP($H99,Nutrition_tables!$A:$AF,24,FALSE)*$Q99/100</f>
        <v>0</v>
      </c>
      <c r="AL99" s="583">
        <f>VLOOKUP($H99,Nutrition_tables!$A:$AF,25,FALSE)*$Q99/100</f>
        <v>0</v>
      </c>
      <c r="AM99" s="583">
        <f>VLOOKUP($H99,Nutrition_tables!$A:$AF,26,FALSE)*$Q99/100</f>
        <v>0</v>
      </c>
      <c r="AN99" s="583">
        <f>VLOOKUP($H99,Nutrition_tables!$A:$AF,27,FALSE)*$Q99/100</f>
        <v>0</v>
      </c>
      <c r="AO99" s="583">
        <f>VLOOKUP($H99,Nutrition_tables!$A:$AF,28,FALSE)*$Q99/100</f>
        <v>0</v>
      </c>
      <c r="AP99" s="583">
        <f>VLOOKUP($H99,Nutrition_tables!$A:$AF,29,FALSE)*$Q99/100</f>
        <v>0</v>
      </c>
      <c r="AQ99" s="583">
        <f>VLOOKUP($H99,Nutrition_tables!$A:$AF,30,FALSE)*$Q99/100</f>
        <v>0</v>
      </c>
      <c r="AR99" s="583">
        <f>VLOOKUP($H99,Nutrition_tables!$A:$AF,31,FALSE)*$Q99/100</f>
        <v>0</v>
      </c>
      <c r="AS99" s="549">
        <f>VLOOKUP($H99,Nutrition_tables!$A:$AF,32,FALSE)*$Q99/100</f>
        <v>0</v>
      </c>
      <c r="AT99" s="583" t="str">
        <f>IF(H99="Select ingredient:","",IF(G99="Select food category:","",IFERROR(VLOOKUP($H99,Ingredient_prices!$E:$W,17,FALSE)*$Q99/1000,"not bought")))</f>
        <v/>
      </c>
      <c r="AU99" s="583" t="str">
        <f>IF(H99="Select ingredient:","",IF(G99="Select food category:","",IFERROR(VLOOKUP($H99,Ingredient_prices!$E:$W,18,FALSE)*$Q99/1000,"not bought")))</f>
        <v/>
      </c>
      <c r="AV99" s="583">
        <f t="shared" si="174"/>
        <v>0</v>
      </c>
      <c r="AW99" s="583">
        <f t="shared" si="175"/>
        <v>0</v>
      </c>
      <c r="AX99" s="583">
        <f t="shared" si="176"/>
        <v>0</v>
      </c>
      <c r="AY99" s="583">
        <f t="shared" si="177"/>
        <v>0</v>
      </c>
      <c r="AZ99" s="583">
        <f t="shared" si="178"/>
        <v>0</v>
      </c>
      <c r="BA99" s="583">
        <f t="shared" si="179"/>
        <v>0</v>
      </c>
      <c r="BB99" s="583">
        <f t="shared" si="180"/>
        <v>0</v>
      </c>
      <c r="BC99" s="583">
        <f t="shared" si="181"/>
        <v>0</v>
      </c>
      <c r="BD99" s="583">
        <f t="shared" si="182"/>
        <v>0</v>
      </c>
      <c r="BE99" s="583">
        <f t="shared" si="183"/>
        <v>0</v>
      </c>
      <c r="BF99" s="583">
        <f t="shared" si="184"/>
        <v>0</v>
      </c>
      <c r="BG99" s="583">
        <f t="shared" si="185"/>
        <v>0</v>
      </c>
      <c r="BH99" s="583">
        <f t="shared" si="186"/>
        <v>0</v>
      </c>
      <c r="BI99" s="583">
        <f t="shared" si="187"/>
        <v>0</v>
      </c>
      <c r="BJ99" s="583">
        <f t="shared" si="188"/>
        <v>0</v>
      </c>
      <c r="BK99" s="583">
        <f t="shared" si="189"/>
        <v>0</v>
      </c>
      <c r="BL99" s="583">
        <f t="shared" si="190"/>
        <v>0</v>
      </c>
      <c r="BM99" s="583">
        <f t="shared" si="191"/>
        <v>0</v>
      </c>
      <c r="BN99" s="583">
        <f t="shared" si="192"/>
        <v>0</v>
      </c>
      <c r="BO99" s="583">
        <f t="shared" si="193"/>
        <v>0</v>
      </c>
      <c r="BP99" s="583">
        <f t="shared" si="194"/>
        <v>0</v>
      </c>
      <c r="BQ99" s="583">
        <f t="shared" si="195"/>
        <v>0</v>
      </c>
      <c r="BR99" s="583">
        <f t="shared" si="196"/>
        <v>0</v>
      </c>
    </row>
    <row r="100" spans="1:70" s="229" customFormat="1" ht="15" customHeight="1">
      <c r="A100" s="590"/>
      <c r="D100" s="85"/>
      <c r="E100" s="576" t="str">
        <f t="shared" si="197"/>
        <v/>
      </c>
      <c r="F100" s="707"/>
      <c r="G100" s="406" t="s">
        <v>3054</v>
      </c>
      <c r="H100" s="1262" t="s">
        <v>3055</v>
      </c>
      <c r="I100" s="85">
        <v>0</v>
      </c>
      <c r="J100" s="682">
        <v>1</v>
      </c>
      <c r="K100" s="579" t="str">
        <f t="shared" si="171"/>
        <v/>
      </c>
      <c r="L100" s="580" t="str">
        <f>IF(H100="Select ingredient:","",IF(G100="","",_xlfn.IFNA(VLOOKUP($H100,Ingredient_prices!$E:$U,16,FALSE),0)))</f>
        <v/>
      </c>
      <c r="M100" s="591"/>
      <c r="N100" s="591"/>
      <c r="O100" s="591"/>
      <c r="P100" s="615"/>
      <c r="Q100" s="583">
        <f t="shared" si="172"/>
        <v>0</v>
      </c>
      <c r="R100" s="583">
        <f>VLOOKUP($H100,'CO2_emission+%_food_waste'!$A:$K,6,FALSE)*$Q100/100</f>
        <v>0</v>
      </c>
      <c r="S100" s="583">
        <f t="shared" si="173"/>
        <v>0</v>
      </c>
      <c r="T100" s="583" t="str">
        <f>IF(H100="Select ingredient:","",IF(G100="Select food category:","",_xlfn.IFNA(VLOOKUP($H100,Ingredient_prices!$E:$U,16,FALSE)*$Q100/1000,"not bought")))</f>
        <v/>
      </c>
      <c r="U100" s="583" t="str">
        <f>IF(G100="Select food category:","",_xlfn.IFNA(VLOOKUP($H100,Ingredient_prices!$E:$U,16,FALSE)*$R100/1000,"not bought"))</f>
        <v/>
      </c>
      <c r="V100" s="549">
        <f>VLOOKUP($H100,'CO2_emission+%_food_waste'!$A:$K,4,FALSE)*$Q100</f>
        <v>0</v>
      </c>
      <c r="W100" s="583">
        <f>VLOOKUP($H100,Nutrition_tables!$A:$N,10,FALSE)*$Q100/100</f>
        <v>0</v>
      </c>
      <c r="X100" s="583">
        <f>VLOOKUP($H100,Nutrition_tables!$A:$N,11,FALSE)*$Q100/100</f>
        <v>0</v>
      </c>
      <c r="Y100" s="583">
        <f>VLOOKUP($H100,Nutrition_tables!$A:$N,12,FALSE)*$Q100/100</f>
        <v>0</v>
      </c>
      <c r="Z100" s="583">
        <f>VLOOKUP($H100,Nutrition_tables!$A:$N,14,FALSE)*$Q100/100</f>
        <v>0</v>
      </c>
      <c r="AA100" s="583">
        <f>VLOOKUP($H100,Nutrition_tables!$A:$AF,13,FALSE)*$Q100/100</f>
        <v>0</v>
      </c>
      <c r="AB100" s="549">
        <f>VLOOKUP($H100,Nutrition_tables!$A:$AF,15,FALSE)*$Q100/100</f>
        <v>0</v>
      </c>
      <c r="AC100" s="583">
        <f>VLOOKUP($H100,Nutrition_tables!$A:$AF,16,FALSE)*$Q100/100</f>
        <v>0</v>
      </c>
      <c r="AD100" s="583">
        <f>VLOOKUP($H100,Nutrition_tables!$A:$AF,17,FALSE)*$Q100/100</f>
        <v>0</v>
      </c>
      <c r="AE100" s="583">
        <f>VLOOKUP($H100,Nutrition_tables!$A:$AF,18,FALSE)*$Q100/100</f>
        <v>0</v>
      </c>
      <c r="AF100" s="583">
        <f>VLOOKUP($H100,Nutrition_tables!$A:$AF,19,FALSE)*$Q100/100</f>
        <v>0</v>
      </c>
      <c r="AG100" s="583">
        <f>VLOOKUP($H100,Nutrition_tables!$A:$AF,20,FALSE)*$Q100/100</f>
        <v>0</v>
      </c>
      <c r="AH100" s="583">
        <f>VLOOKUP($H100,Nutrition_tables!$A:$AF,21,FALSE)*$Q100/100</f>
        <v>0</v>
      </c>
      <c r="AI100" s="583">
        <f>VLOOKUP($H100,Nutrition_tables!$A:$AF,22,FALSE)*$Q100/100</f>
        <v>0</v>
      </c>
      <c r="AJ100" s="549">
        <f>VLOOKUP($H100,Nutrition_tables!$A:$AF,23,FALSE)*$Q100/100</f>
        <v>0</v>
      </c>
      <c r="AK100" s="583">
        <f>VLOOKUP($H100,Nutrition_tables!$A:$AF,24,FALSE)*$Q100/100</f>
        <v>0</v>
      </c>
      <c r="AL100" s="583">
        <f>VLOOKUP($H100,Nutrition_tables!$A:$AF,25,FALSE)*$Q100/100</f>
        <v>0</v>
      </c>
      <c r="AM100" s="583">
        <f>VLOOKUP($H100,Nutrition_tables!$A:$AF,26,FALSE)*$Q100/100</f>
        <v>0</v>
      </c>
      <c r="AN100" s="583">
        <f>VLOOKUP($H100,Nutrition_tables!$A:$AF,27,FALSE)*$Q100/100</f>
        <v>0</v>
      </c>
      <c r="AO100" s="583">
        <f>VLOOKUP($H100,Nutrition_tables!$A:$AF,28,FALSE)*$Q100/100</f>
        <v>0</v>
      </c>
      <c r="AP100" s="583">
        <f>VLOOKUP($H100,Nutrition_tables!$A:$AF,29,FALSE)*$Q100/100</f>
        <v>0</v>
      </c>
      <c r="AQ100" s="583">
        <f>VLOOKUP($H100,Nutrition_tables!$A:$AF,30,FALSE)*$Q100/100</f>
        <v>0</v>
      </c>
      <c r="AR100" s="583">
        <f>VLOOKUP($H100,Nutrition_tables!$A:$AF,31,FALSE)*$Q100/100</f>
        <v>0</v>
      </c>
      <c r="AS100" s="549">
        <f>VLOOKUP($H100,Nutrition_tables!$A:$AF,32,FALSE)*$Q100/100</f>
        <v>0</v>
      </c>
      <c r="AT100" s="583" t="str">
        <f>IF(H100="Select ingredient:","",IF(G100="Select food category:","",IFERROR(VLOOKUP($H100,Ingredient_prices!$E:$W,17,FALSE)*$Q100/1000,"not bought")))</f>
        <v/>
      </c>
      <c r="AU100" s="583" t="str">
        <f>IF(H100="Select ingredient:","",IF(G100="Select food category:","",IFERROR(VLOOKUP($H100,Ingredient_prices!$E:$W,18,FALSE)*$Q100/1000,"not bought")))</f>
        <v/>
      </c>
      <c r="AV100" s="583">
        <f t="shared" si="174"/>
        <v>0</v>
      </c>
      <c r="AW100" s="583">
        <f t="shared" si="175"/>
        <v>0</v>
      </c>
      <c r="AX100" s="583">
        <f t="shared" si="176"/>
        <v>0</v>
      </c>
      <c r="AY100" s="583">
        <f t="shared" si="177"/>
        <v>0</v>
      </c>
      <c r="AZ100" s="583">
        <f t="shared" si="178"/>
        <v>0</v>
      </c>
      <c r="BA100" s="583">
        <f t="shared" si="179"/>
        <v>0</v>
      </c>
      <c r="BB100" s="583">
        <f t="shared" si="180"/>
        <v>0</v>
      </c>
      <c r="BC100" s="583">
        <f t="shared" si="181"/>
        <v>0</v>
      </c>
      <c r="BD100" s="583">
        <f t="shared" si="182"/>
        <v>0</v>
      </c>
      <c r="BE100" s="583">
        <f t="shared" si="183"/>
        <v>0</v>
      </c>
      <c r="BF100" s="583">
        <f t="shared" si="184"/>
        <v>0</v>
      </c>
      <c r="BG100" s="583">
        <f t="shared" si="185"/>
        <v>0</v>
      </c>
      <c r="BH100" s="583">
        <f t="shared" si="186"/>
        <v>0</v>
      </c>
      <c r="BI100" s="583">
        <f t="shared" si="187"/>
        <v>0</v>
      </c>
      <c r="BJ100" s="583">
        <f t="shared" si="188"/>
        <v>0</v>
      </c>
      <c r="BK100" s="583">
        <f t="shared" si="189"/>
        <v>0</v>
      </c>
      <c r="BL100" s="583">
        <f t="shared" si="190"/>
        <v>0</v>
      </c>
      <c r="BM100" s="583">
        <f t="shared" si="191"/>
        <v>0</v>
      </c>
      <c r="BN100" s="583">
        <f t="shared" si="192"/>
        <v>0</v>
      </c>
      <c r="BO100" s="583">
        <f t="shared" si="193"/>
        <v>0</v>
      </c>
      <c r="BP100" s="583">
        <f t="shared" si="194"/>
        <v>0</v>
      </c>
      <c r="BQ100" s="583">
        <f t="shared" si="195"/>
        <v>0</v>
      </c>
      <c r="BR100" s="583">
        <f t="shared" si="196"/>
        <v>0</v>
      </c>
    </row>
    <row r="101" spans="1:70" s="603" customFormat="1" ht="56">
      <c r="A101" s="590"/>
      <c r="B101" s="593"/>
      <c r="C101" s="522"/>
      <c r="D101" s="522"/>
      <c r="E101" s="594"/>
      <c r="F101" s="708"/>
      <c r="G101" s="522"/>
      <c r="H101" s="522"/>
      <c r="I101" s="522"/>
      <c r="J101" s="522"/>
      <c r="K101" s="522"/>
      <c r="L101" s="596"/>
      <c r="M101" s="597"/>
      <c r="N101" s="597"/>
      <c r="O101" s="597"/>
      <c r="P101" s="598"/>
      <c r="Q101" s="599" t="s">
        <v>384</v>
      </c>
      <c r="R101" s="600" t="s">
        <v>455</v>
      </c>
      <c r="S101" s="600" t="s">
        <v>2087</v>
      </c>
      <c r="T101" s="600" t="s">
        <v>456</v>
      </c>
      <c r="U101" s="600" t="s">
        <v>535</v>
      </c>
      <c r="V101" s="601" t="s">
        <v>457</v>
      </c>
      <c r="W101" s="600" t="s">
        <v>75</v>
      </c>
      <c r="X101" s="600" t="s">
        <v>385</v>
      </c>
      <c r="Y101" s="600" t="s">
        <v>386</v>
      </c>
      <c r="Z101" s="600" t="s">
        <v>387</v>
      </c>
      <c r="AA101" s="600" t="s">
        <v>388</v>
      </c>
      <c r="AB101" s="601" t="s">
        <v>389</v>
      </c>
      <c r="AC101" s="602" t="s">
        <v>390</v>
      </c>
      <c r="AD101" s="600" t="s">
        <v>391</v>
      </c>
      <c r="AE101" s="600" t="s">
        <v>392</v>
      </c>
      <c r="AF101" s="600" t="s">
        <v>393</v>
      </c>
      <c r="AG101" s="600" t="s">
        <v>394</v>
      </c>
      <c r="AH101" s="600" t="s">
        <v>395</v>
      </c>
      <c r="AI101" s="600" t="s">
        <v>396</v>
      </c>
      <c r="AJ101" s="601" t="s">
        <v>397</v>
      </c>
      <c r="AK101" s="602" t="s">
        <v>398</v>
      </c>
      <c r="AL101" s="600" t="s">
        <v>399</v>
      </c>
      <c r="AM101" s="600" t="s">
        <v>400</v>
      </c>
      <c r="AN101" s="600" t="s">
        <v>401</v>
      </c>
      <c r="AO101" s="600" t="s">
        <v>402</v>
      </c>
      <c r="AP101" s="600" t="s">
        <v>406</v>
      </c>
      <c r="AQ101" s="600" t="s">
        <v>405</v>
      </c>
      <c r="AR101" s="600" t="s">
        <v>403</v>
      </c>
      <c r="AS101" s="601" t="s">
        <v>404</v>
      </c>
      <c r="AT101" s="593"/>
      <c r="AU101" s="593"/>
    </row>
    <row r="102" spans="1:70" s="229" customFormat="1">
      <c r="A102" s="590"/>
      <c r="B102" s="593"/>
      <c r="C102" s="522"/>
      <c r="D102" s="522"/>
      <c r="E102" s="594"/>
      <c r="F102" s="708"/>
      <c r="G102" s="522"/>
      <c r="H102" s="593"/>
      <c r="I102" s="522"/>
      <c r="J102" s="522"/>
      <c r="K102" s="522"/>
      <c r="L102" s="604"/>
      <c r="M102" s="605"/>
      <c r="N102" s="605"/>
      <c r="O102" s="605"/>
      <c r="P102" s="606" t="s">
        <v>383</v>
      </c>
      <c r="Q102" s="583">
        <f>SUM(Q89:Q100)</f>
        <v>0</v>
      </c>
      <c r="R102" s="583">
        <f t="shared" ref="R102:V102" si="198">SUM(R89:R100)</f>
        <v>0</v>
      </c>
      <c r="S102" s="583">
        <f>SUM(S89:S100)</f>
        <v>0</v>
      </c>
      <c r="T102" s="583">
        <f t="shared" si="198"/>
        <v>0</v>
      </c>
      <c r="U102" s="583">
        <f t="shared" si="198"/>
        <v>0</v>
      </c>
      <c r="V102" s="549">
        <f t="shared" si="198"/>
        <v>0</v>
      </c>
      <c r="W102" s="583">
        <f t="shared" ref="W102:AS102" si="199">SUM(W89:W100)</f>
        <v>0</v>
      </c>
      <c r="X102" s="583">
        <f t="shared" si="199"/>
        <v>0</v>
      </c>
      <c r="Y102" s="583">
        <f t="shared" si="199"/>
        <v>0</v>
      </c>
      <c r="Z102" s="583">
        <f t="shared" si="199"/>
        <v>0</v>
      </c>
      <c r="AA102" s="583">
        <f t="shared" si="199"/>
        <v>0</v>
      </c>
      <c r="AB102" s="549">
        <f t="shared" si="199"/>
        <v>0</v>
      </c>
      <c r="AC102" s="583">
        <f t="shared" si="199"/>
        <v>0</v>
      </c>
      <c r="AD102" s="583">
        <f t="shared" si="199"/>
        <v>0</v>
      </c>
      <c r="AE102" s="583">
        <f t="shared" si="199"/>
        <v>0</v>
      </c>
      <c r="AF102" s="583">
        <f t="shared" si="199"/>
        <v>0</v>
      </c>
      <c r="AG102" s="583">
        <f t="shared" si="199"/>
        <v>0</v>
      </c>
      <c r="AH102" s="583">
        <f t="shared" si="199"/>
        <v>0</v>
      </c>
      <c r="AI102" s="583">
        <f t="shared" si="199"/>
        <v>0</v>
      </c>
      <c r="AJ102" s="549">
        <f t="shared" si="199"/>
        <v>0</v>
      </c>
      <c r="AK102" s="583">
        <f t="shared" si="199"/>
        <v>0</v>
      </c>
      <c r="AL102" s="583">
        <f t="shared" si="199"/>
        <v>0</v>
      </c>
      <c r="AM102" s="583">
        <f t="shared" si="199"/>
        <v>0</v>
      </c>
      <c r="AN102" s="583">
        <f t="shared" si="199"/>
        <v>0</v>
      </c>
      <c r="AO102" s="583">
        <f t="shared" si="199"/>
        <v>0</v>
      </c>
      <c r="AP102" s="583">
        <f t="shared" si="199"/>
        <v>0</v>
      </c>
      <c r="AQ102" s="583">
        <f t="shared" si="199"/>
        <v>0</v>
      </c>
      <c r="AR102" s="583">
        <f t="shared" si="199"/>
        <v>0</v>
      </c>
      <c r="AS102" s="549">
        <f t="shared" si="199"/>
        <v>0</v>
      </c>
      <c r="AT102" s="5">
        <f t="shared" ref="AT102:AU102" si="200">SUM(AT89:AT100)</f>
        <v>0</v>
      </c>
      <c r="AU102" s="5">
        <f t="shared" si="200"/>
        <v>0</v>
      </c>
      <c r="AV102" s="549">
        <f t="shared" ref="AV102:BR102" si="201">SUM(AV89:AV100)</f>
        <v>0</v>
      </c>
      <c r="AW102" s="549">
        <f t="shared" si="201"/>
        <v>0</v>
      </c>
      <c r="AX102" s="549">
        <f t="shared" si="201"/>
        <v>0</v>
      </c>
      <c r="AY102" s="549">
        <f t="shared" si="201"/>
        <v>0</v>
      </c>
      <c r="AZ102" s="549">
        <f t="shared" si="201"/>
        <v>0</v>
      </c>
      <c r="BA102" s="549">
        <f t="shared" si="201"/>
        <v>0</v>
      </c>
      <c r="BB102" s="549">
        <f t="shared" si="201"/>
        <v>0</v>
      </c>
      <c r="BC102" s="549">
        <f t="shared" si="201"/>
        <v>0</v>
      </c>
      <c r="BD102" s="549">
        <f t="shared" si="201"/>
        <v>0</v>
      </c>
      <c r="BE102" s="549">
        <f t="shared" si="201"/>
        <v>0</v>
      </c>
      <c r="BF102" s="549">
        <f t="shared" si="201"/>
        <v>0</v>
      </c>
      <c r="BG102" s="549">
        <f t="shared" si="201"/>
        <v>0</v>
      </c>
      <c r="BH102" s="549">
        <f t="shared" si="201"/>
        <v>0</v>
      </c>
      <c r="BI102" s="549">
        <f t="shared" si="201"/>
        <v>0</v>
      </c>
      <c r="BJ102" s="549">
        <f t="shared" si="201"/>
        <v>0</v>
      </c>
      <c r="BK102" s="549">
        <f t="shared" si="201"/>
        <v>0</v>
      </c>
      <c r="BL102" s="549">
        <f t="shared" si="201"/>
        <v>0</v>
      </c>
      <c r="BM102" s="549">
        <f t="shared" si="201"/>
        <v>0</v>
      </c>
      <c r="BN102" s="549">
        <f t="shared" si="201"/>
        <v>0</v>
      </c>
      <c r="BO102" s="549">
        <f t="shared" si="201"/>
        <v>0</v>
      </c>
      <c r="BP102" s="549">
        <f t="shared" si="201"/>
        <v>0</v>
      </c>
      <c r="BQ102" s="549">
        <f t="shared" si="201"/>
        <v>0</v>
      </c>
      <c r="BR102" s="549">
        <f t="shared" si="201"/>
        <v>0</v>
      </c>
    </row>
    <row r="103" spans="1:70" s="229" customFormat="1">
      <c r="A103" s="590"/>
      <c r="B103" s="593"/>
      <c r="C103" s="522"/>
      <c r="D103" s="522"/>
      <c r="E103" s="594"/>
      <c r="F103" s="708"/>
      <c r="G103" s="522"/>
      <c r="H103" s="593"/>
      <c r="I103" s="522"/>
      <c r="J103" s="522"/>
      <c r="K103" s="522"/>
      <c r="L103" s="604"/>
      <c r="M103" s="605"/>
      <c r="N103" s="605"/>
      <c r="O103" s="605"/>
      <c r="P103" s="606" t="s">
        <v>539</v>
      </c>
      <c r="V103" s="527" t="s">
        <v>588</v>
      </c>
      <c r="W103" s="229">
        <v>185.5</v>
      </c>
      <c r="X103" s="229">
        <v>23.200000000000003</v>
      </c>
      <c r="Y103" s="229">
        <v>5.8000000000000007</v>
      </c>
      <c r="Z103" s="229">
        <v>6.2</v>
      </c>
      <c r="AA103" s="229">
        <v>1.9000000000000001</v>
      </c>
      <c r="AB103" s="526">
        <v>2</v>
      </c>
      <c r="AC103" s="229">
        <v>138</v>
      </c>
      <c r="AD103" s="229">
        <v>180</v>
      </c>
      <c r="AE103" s="229">
        <v>90</v>
      </c>
      <c r="AF103" s="229">
        <v>17</v>
      </c>
      <c r="AG103" s="229">
        <v>80</v>
      </c>
      <c r="AH103" s="229">
        <v>1</v>
      </c>
      <c r="AI103" s="229">
        <v>0.70000000000000007</v>
      </c>
      <c r="AJ103" s="526">
        <v>0.125</v>
      </c>
      <c r="AK103" s="229">
        <v>80</v>
      </c>
      <c r="AL103" s="229">
        <v>0.1</v>
      </c>
      <c r="AM103" s="229">
        <v>0.11000000000000001</v>
      </c>
      <c r="AN103" s="229">
        <v>1.2000000000000002</v>
      </c>
      <c r="AO103" s="229">
        <v>6.9999999999999993E-2</v>
      </c>
      <c r="AP103" s="229">
        <v>30</v>
      </c>
      <c r="AQ103" s="229">
        <v>0.18000000000000002</v>
      </c>
      <c r="AR103" s="229">
        <v>8</v>
      </c>
      <c r="AS103" s="526">
        <v>0.5</v>
      </c>
      <c r="AV103" s="229">
        <v>185.5</v>
      </c>
      <c r="AW103" s="229">
        <v>23.200000000000003</v>
      </c>
      <c r="AX103" s="229">
        <v>5.8000000000000007</v>
      </c>
      <c r="AY103" s="229">
        <v>6.2</v>
      </c>
      <c r="AZ103" s="229">
        <v>1.9000000000000001</v>
      </c>
      <c r="BA103" s="526">
        <v>2</v>
      </c>
      <c r="BB103" s="229">
        <v>138</v>
      </c>
      <c r="BC103" s="229">
        <v>180</v>
      </c>
      <c r="BD103" s="229">
        <v>90</v>
      </c>
      <c r="BE103" s="229">
        <v>17</v>
      </c>
      <c r="BF103" s="229">
        <v>80</v>
      </c>
      <c r="BG103" s="229">
        <v>1</v>
      </c>
      <c r="BH103" s="229">
        <v>0.70000000000000007</v>
      </c>
      <c r="BI103" s="526">
        <v>0.125</v>
      </c>
      <c r="BJ103" s="229">
        <v>80</v>
      </c>
      <c r="BK103" s="229">
        <v>0.1</v>
      </c>
      <c r="BL103" s="229">
        <v>0.11000000000000001</v>
      </c>
      <c r="BM103" s="229">
        <v>1.2000000000000002</v>
      </c>
      <c r="BN103" s="229">
        <v>6.9999999999999993E-2</v>
      </c>
      <c r="BO103" s="229">
        <v>30</v>
      </c>
      <c r="BP103" s="229">
        <v>0.18000000000000002</v>
      </c>
      <c r="BQ103" s="229">
        <v>8</v>
      </c>
      <c r="BR103" s="526">
        <v>0.5</v>
      </c>
    </row>
    <row r="104" spans="1:70" s="229" customFormat="1">
      <c r="A104" s="590"/>
      <c r="B104" s="593"/>
      <c r="C104" s="522"/>
      <c r="D104" s="522"/>
      <c r="E104" s="594"/>
      <c r="F104" s="708"/>
      <c r="G104" s="522"/>
      <c r="H104" s="593"/>
      <c r="I104" s="522"/>
      <c r="J104" s="522"/>
      <c r="K104" s="522"/>
      <c r="L104" s="604"/>
      <c r="M104" s="605"/>
      <c r="N104" s="605"/>
      <c r="O104" s="605"/>
      <c r="P104" s="606" t="s">
        <v>407</v>
      </c>
      <c r="V104" s="526"/>
      <c r="W104" s="514">
        <f t="shared" ref="W104:AS104" si="202">100*W102/W103</f>
        <v>0</v>
      </c>
      <c r="X104" s="514">
        <f t="shared" si="202"/>
        <v>0</v>
      </c>
      <c r="Y104" s="514">
        <f t="shared" si="202"/>
        <v>0</v>
      </c>
      <c r="Z104" s="514">
        <f t="shared" si="202"/>
        <v>0</v>
      </c>
      <c r="AA104" s="514">
        <f t="shared" si="202"/>
        <v>0</v>
      </c>
      <c r="AB104" s="506">
        <f t="shared" si="202"/>
        <v>0</v>
      </c>
      <c r="AC104" s="514">
        <f t="shared" si="202"/>
        <v>0</v>
      </c>
      <c r="AD104" s="514">
        <f t="shared" si="202"/>
        <v>0</v>
      </c>
      <c r="AE104" s="514">
        <f t="shared" si="202"/>
        <v>0</v>
      </c>
      <c r="AF104" s="514">
        <f t="shared" si="202"/>
        <v>0</v>
      </c>
      <c r="AG104" s="514">
        <f t="shared" si="202"/>
        <v>0</v>
      </c>
      <c r="AH104" s="514">
        <f t="shared" si="202"/>
        <v>0</v>
      </c>
      <c r="AI104" s="514">
        <f t="shared" si="202"/>
        <v>0</v>
      </c>
      <c r="AJ104" s="506">
        <f t="shared" si="202"/>
        <v>0</v>
      </c>
      <c r="AK104" s="514">
        <f t="shared" si="202"/>
        <v>0</v>
      </c>
      <c r="AL104" s="514">
        <f t="shared" si="202"/>
        <v>0</v>
      </c>
      <c r="AM104" s="514">
        <f t="shared" si="202"/>
        <v>0</v>
      </c>
      <c r="AN104" s="514">
        <f t="shared" si="202"/>
        <v>0</v>
      </c>
      <c r="AO104" s="514">
        <f t="shared" si="202"/>
        <v>0</v>
      </c>
      <c r="AP104" s="514">
        <f t="shared" si="202"/>
        <v>0</v>
      </c>
      <c r="AQ104" s="514">
        <f t="shared" si="202"/>
        <v>0</v>
      </c>
      <c r="AR104" s="514">
        <f t="shared" si="202"/>
        <v>0</v>
      </c>
      <c r="AS104" s="506">
        <f t="shared" si="202"/>
        <v>0</v>
      </c>
      <c r="AV104" s="514">
        <f t="shared" ref="AV104:BR104" si="203">100*AV102/AV103</f>
        <v>0</v>
      </c>
      <c r="AW104" s="514">
        <f t="shared" si="203"/>
        <v>0</v>
      </c>
      <c r="AX104" s="514">
        <f t="shared" si="203"/>
        <v>0</v>
      </c>
      <c r="AY104" s="514">
        <f t="shared" si="203"/>
        <v>0</v>
      </c>
      <c r="AZ104" s="514">
        <f t="shared" si="203"/>
        <v>0</v>
      </c>
      <c r="BA104" s="506">
        <f t="shared" si="203"/>
        <v>0</v>
      </c>
      <c r="BB104" s="514">
        <f t="shared" si="203"/>
        <v>0</v>
      </c>
      <c r="BC104" s="514">
        <f t="shared" si="203"/>
        <v>0</v>
      </c>
      <c r="BD104" s="514">
        <f t="shared" si="203"/>
        <v>0</v>
      </c>
      <c r="BE104" s="514">
        <f t="shared" si="203"/>
        <v>0</v>
      </c>
      <c r="BF104" s="514">
        <f t="shared" si="203"/>
        <v>0</v>
      </c>
      <c r="BG104" s="514">
        <f t="shared" si="203"/>
        <v>0</v>
      </c>
      <c r="BH104" s="514">
        <f t="shared" si="203"/>
        <v>0</v>
      </c>
      <c r="BI104" s="506">
        <f t="shared" si="203"/>
        <v>0</v>
      </c>
      <c r="BJ104" s="514">
        <f t="shared" si="203"/>
        <v>0</v>
      </c>
      <c r="BK104" s="514">
        <f t="shared" si="203"/>
        <v>0</v>
      </c>
      <c r="BL104" s="514">
        <f t="shared" si="203"/>
        <v>0</v>
      </c>
      <c r="BM104" s="514">
        <f t="shared" si="203"/>
        <v>0</v>
      </c>
      <c r="BN104" s="514">
        <f t="shared" si="203"/>
        <v>0</v>
      </c>
      <c r="BO104" s="514">
        <f t="shared" si="203"/>
        <v>0</v>
      </c>
      <c r="BP104" s="514">
        <f t="shared" si="203"/>
        <v>0</v>
      </c>
      <c r="BQ104" s="514">
        <f t="shared" si="203"/>
        <v>0</v>
      </c>
      <c r="BR104" s="506">
        <f t="shared" si="203"/>
        <v>0</v>
      </c>
    </row>
    <row r="105" spans="1:70" s="229" customFormat="1">
      <c r="A105" s="590"/>
      <c r="B105" s="593"/>
      <c r="C105" s="522"/>
      <c r="D105" s="522"/>
      <c r="E105" s="594"/>
      <c r="F105" s="708"/>
      <c r="G105" s="522"/>
      <c r="H105" s="593"/>
      <c r="I105" s="522"/>
      <c r="J105" s="522"/>
      <c r="K105" s="522"/>
      <c r="L105" s="616"/>
      <c r="M105" s="617"/>
      <c r="N105" s="605"/>
      <c r="O105" s="617"/>
      <c r="P105" s="606" t="s">
        <v>548</v>
      </c>
      <c r="V105" s="526"/>
      <c r="W105" s="583">
        <f>AV102</f>
        <v>0</v>
      </c>
      <c r="X105" s="583">
        <f t="shared" ref="X105" si="204">AW102</f>
        <v>0</v>
      </c>
      <c r="Y105" s="583">
        <f t="shared" ref="Y105" si="205">AX102</f>
        <v>0</v>
      </c>
      <c r="Z105" s="583">
        <f t="shared" ref="Z105" si="206">AY102</f>
        <v>0</v>
      </c>
      <c r="AA105" s="583">
        <f t="shared" ref="AA105" si="207">AZ102</f>
        <v>0</v>
      </c>
      <c r="AB105" s="549">
        <f t="shared" ref="AB105" si="208">BA102</f>
        <v>0</v>
      </c>
      <c r="AC105" s="583">
        <f t="shared" ref="AC105" si="209">BB102</f>
        <v>0</v>
      </c>
      <c r="AD105" s="583">
        <f t="shared" ref="AD105" si="210">BC102</f>
        <v>0</v>
      </c>
      <c r="AE105" s="583">
        <f>BD102</f>
        <v>0</v>
      </c>
      <c r="AF105" s="583">
        <f t="shared" ref="AF105" si="211">BE102</f>
        <v>0</v>
      </c>
      <c r="AG105" s="583">
        <f t="shared" ref="AG105" si="212">BF102</f>
        <v>0</v>
      </c>
      <c r="AH105" s="583">
        <f t="shared" ref="AH105" si="213">BG102</f>
        <v>0</v>
      </c>
      <c r="AI105" s="583">
        <f t="shared" ref="AI105" si="214">BH102</f>
        <v>0</v>
      </c>
      <c r="AJ105" s="549">
        <f t="shared" ref="AJ105" si="215">BI102</f>
        <v>0</v>
      </c>
      <c r="AK105" s="583">
        <f t="shared" ref="AK105" si="216">BJ102</f>
        <v>0</v>
      </c>
      <c r="AL105" s="583">
        <f t="shared" ref="AL105" si="217">BK102</f>
        <v>0</v>
      </c>
      <c r="AM105" s="583">
        <f t="shared" ref="AM105" si="218">BL102</f>
        <v>0</v>
      </c>
      <c r="AN105" s="583">
        <f>BM102</f>
        <v>0</v>
      </c>
      <c r="AO105" s="583">
        <f t="shared" ref="AO105" si="219">BN102</f>
        <v>0</v>
      </c>
      <c r="AP105" s="583">
        <f t="shared" ref="AP105" si="220">BO102</f>
        <v>0</v>
      </c>
      <c r="AQ105" s="583">
        <f t="shared" ref="AQ105" si="221">BP102</f>
        <v>0</v>
      </c>
      <c r="AR105" s="583">
        <f t="shared" ref="AR105" si="222">BQ102</f>
        <v>0</v>
      </c>
      <c r="AS105" s="549">
        <f>BR102</f>
        <v>0</v>
      </c>
    </row>
    <row r="106" spans="1:70" s="229" customFormat="1" ht="15" thickBot="1">
      <c r="A106" s="590"/>
      <c r="B106" s="593"/>
      <c r="C106" s="522"/>
      <c r="D106" s="522"/>
      <c r="E106" s="594"/>
      <c r="F106" s="708"/>
      <c r="G106" s="522"/>
      <c r="H106" s="677"/>
      <c r="I106" s="522"/>
      <c r="J106" s="522"/>
      <c r="K106" s="522"/>
      <c r="L106" s="616"/>
      <c r="M106" s="617"/>
      <c r="N106" s="605"/>
      <c r="O106" s="617"/>
      <c r="P106" s="618" t="s">
        <v>546</v>
      </c>
      <c r="Q106" s="546"/>
      <c r="R106" s="546"/>
      <c r="S106" s="546"/>
      <c r="T106" s="546"/>
      <c r="U106" s="546"/>
      <c r="V106" s="529"/>
      <c r="W106" s="502">
        <f t="shared" ref="W106:AS106" si="223">AV104</f>
        <v>0</v>
      </c>
      <c r="X106" s="502">
        <f t="shared" si="223"/>
        <v>0</v>
      </c>
      <c r="Y106" s="502">
        <f t="shared" si="223"/>
        <v>0</v>
      </c>
      <c r="Z106" s="502">
        <f t="shared" si="223"/>
        <v>0</v>
      </c>
      <c r="AA106" s="502">
        <f t="shared" si="223"/>
        <v>0</v>
      </c>
      <c r="AB106" s="503">
        <f t="shared" si="223"/>
        <v>0</v>
      </c>
      <c r="AC106" s="502">
        <f t="shared" si="223"/>
        <v>0</v>
      </c>
      <c r="AD106" s="502">
        <f t="shared" si="223"/>
        <v>0</v>
      </c>
      <c r="AE106" s="502">
        <f t="shared" si="223"/>
        <v>0</v>
      </c>
      <c r="AF106" s="502">
        <f t="shared" si="223"/>
        <v>0</v>
      </c>
      <c r="AG106" s="502">
        <f t="shared" si="223"/>
        <v>0</v>
      </c>
      <c r="AH106" s="502">
        <f t="shared" si="223"/>
        <v>0</v>
      </c>
      <c r="AI106" s="502">
        <f t="shared" si="223"/>
        <v>0</v>
      </c>
      <c r="AJ106" s="503">
        <f t="shared" si="223"/>
        <v>0</v>
      </c>
      <c r="AK106" s="502">
        <f t="shared" si="223"/>
        <v>0</v>
      </c>
      <c r="AL106" s="502">
        <f t="shared" si="223"/>
        <v>0</v>
      </c>
      <c r="AM106" s="502">
        <f t="shared" si="223"/>
        <v>0</v>
      </c>
      <c r="AN106" s="502">
        <f t="shared" si="223"/>
        <v>0</v>
      </c>
      <c r="AO106" s="502">
        <f t="shared" si="223"/>
        <v>0</v>
      </c>
      <c r="AP106" s="502">
        <f t="shared" si="223"/>
        <v>0</v>
      </c>
      <c r="AQ106" s="502">
        <f t="shared" si="223"/>
        <v>0</v>
      </c>
      <c r="AR106" s="502">
        <f t="shared" si="223"/>
        <v>0</v>
      </c>
      <c r="AS106" s="503">
        <f t="shared" si="223"/>
        <v>0</v>
      </c>
      <c r="AT106" s="1296"/>
      <c r="AU106" s="1296"/>
      <c r="AV106" s="514"/>
      <c r="AW106" s="514"/>
      <c r="AX106" s="514"/>
      <c r="AY106" s="514"/>
      <c r="AZ106" s="514"/>
      <c r="BA106" s="505"/>
      <c r="BB106" s="514"/>
      <c r="BC106" s="514"/>
      <c r="BD106" s="514"/>
      <c r="BE106" s="514"/>
      <c r="BF106" s="514"/>
      <c r="BG106" s="514"/>
      <c r="BH106" s="514"/>
      <c r="BI106" s="505"/>
      <c r="BJ106" s="514"/>
      <c r="BK106" s="514"/>
      <c r="BL106" s="514"/>
      <c r="BM106" s="514"/>
      <c r="BN106" s="514"/>
      <c r="BO106" s="514"/>
      <c r="BP106" s="514"/>
      <c r="BQ106" s="514"/>
      <c r="BR106" s="505"/>
    </row>
    <row r="107" spans="1:70" s="229" customFormat="1">
      <c r="A107" s="590"/>
      <c r="B107" s="593"/>
      <c r="C107" s="522"/>
      <c r="D107" s="522"/>
      <c r="E107" s="594"/>
      <c r="F107" s="708"/>
      <c r="G107" s="522"/>
      <c r="H107" s="593"/>
      <c r="I107" s="522"/>
      <c r="J107" s="522"/>
      <c r="K107" s="522"/>
      <c r="L107" s="604"/>
      <c r="M107" s="605"/>
      <c r="N107" s="605"/>
      <c r="O107" s="605"/>
      <c r="P107" s="606" t="s">
        <v>550</v>
      </c>
      <c r="Q107" s="514">
        <f t="shared" ref="Q107:R107" si="224">Q32+Q51+Q83+Q102</f>
        <v>884.7</v>
      </c>
      <c r="R107" s="514">
        <f t="shared" si="224"/>
        <v>217.69600000000003</v>
      </c>
      <c r="S107" s="514"/>
      <c r="T107" s="514">
        <f>T32+T51+T83+T102</f>
        <v>126.89335</v>
      </c>
      <c r="U107" s="514">
        <f>U32+U51+U83+U102</f>
        <v>33.419936900000003</v>
      </c>
      <c r="V107" s="514">
        <f>V32+V51+V83+V102</f>
        <v>1262.944</v>
      </c>
      <c r="W107" s="514">
        <f>W32+W51+W83+W102</f>
        <v>1168.7228250349649</v>
      </c>
      <c r="X107" s="514">
        <f t="shared" ref="X107:AG107" si="225">X32+X51+X83+X102</f>
        <v>156.18715893711638</v>
      </c>
      <c r="Y107" s="514">
        <f t="shared" si="225"/>
        <v>45.009290831742192</v>
      </c>
      <c r="Z107" s="514">
        <f t="shared" si="225"/>
        <v>38.274943576127448</v>
      </c>
      <c r="AA107" s="514">
        <f t="shared" si="225"/>
        <v>21.540816624838833</v>
      </c>
      <c r="AB107" s="506">
        <f t="shared" si="225"/>
        <v>9.3154851987982035</v>
      </c>
      <c r="AC107" s="514">
        <f t="shared" si="225"/>
        <v>1554.279965034965</v>
      </c>
      <c r="AD107" s="514">
        <f t="shared" si="225"/>
        <v>1984.8160000000003</v>
      </c>
      <c r="AE107" s="514">
        <f t="shared" si="225"/>
        <v>374.47699999999998</v>
      </c>
      <c r="AF107" s="514">
        <f t="shared" si="225"/>
        <v>185.69855506993005</v>
      </c>
      <c r="AG107" s="514">
        <f t="shared" si="225"/>
        <v>681.46699999999998</v>
      </c>
      <c r="AH107" s="514">
        <f t="shared" ref="AH107:AU107" si="226">AH32+AH51+AH83+AH102</f>
        <v>8.8756669935552353</v>
      </c>
      <c r="AI107" s="514">
        <f t="shared" si="226"/>
        <v>9.1307888597411839</v>
      </c>
      <c r="AJ107" s="506">
        <f t="shared" si="226"/>
        <v>1.3645106152028363</v>
      </c>
      <c r="AK107" s="514">
        <f t="shared" si="226"/>
        <v>492.46899999999999</v>
      </c>
      <c r="AL107" s="514">
        <f t="shared" si="226"/>
        <v>0.94729914627655631</v>
      </c>
      <c r="AM107" s="514">
        <f t="shared" si="226"/>
        <v>0.78877158107590617</v>
      </c>
      <c r="AN107" s="514">
        <f t="shared" si="226"/>
        <v>17.822007986654871</v>
      </c>
      <c r="AO107" s="514">
        <f t="shared" si="226"/>
        <v>1.32126076393503</v>
      </c>
      <c r="AP107" s="514">
        <f t="shared" si="226"/>
        <v>166.48513986013984</v>
      </c>
      <c r="AQ107" s="514">
        <f t="shared" si="226"/>
        <v>1.1101063636363637</v>
      </c>
      <c r="AR107" s="514">
        <f t="shared" si="226"/>
        <v>70.512</v>
      </c>
      <c r="AS107" s="506">
        <f t="shared" si="226"/>
        <v>1.4283999719887954</v>
      </c>
      <c r="AT107" s="514">
        <f t="shared" si="226"/>
        <v>114.28335000000001</v>
      </c>
      <c r="AU107" s="514">
        <f t="shared" si="226"/>
        <v>126.89335</v>
      </c>
      <c r="AV107" s="514"/>
      <c r="AW107" s="514"/>
      <c r="AX107" s="514"/>
      <c r="AY107" s="514"/>
      <c r="AZ107" s="514"/>
      <c r="BA107" s="505"/>
      <c r="BB107" s="514"/>
      <c r="BC107" s="514"/>
      <c r="BD107" s="514"/>
      <c r="BE107" s="514"/>
      <c r="BF107" s="514"/>
      <c r="BG107" s="514"/>
      <c r="BH107" s="514"/>
      <c r="BI107" s="505"/>
      <c r="BJ107" s="514"/>
      <c r="BK107" s="514"/>
      <c r="BL107" s="514"/>
      <c r="BM107" s="514"/>
      <c r="BN107" s="514"/>
      <c r="BO107" s="514"/>
      <c r="BP107" s="514"/>
      <c r="BQ107" s="514"/>
      <c r="BR107" s="505"/>
    </row>
    <row r="108" spans="1:70" s="229" customFormat="1">
      <c r="A108" s="590"/>
      <c r="B108" s="593"/>
      <c r="C108" s="522"/>
      <c r="D108" s="522"/>
      <c r="E108" s="594"/>
      <c r="F108" s="708"/>
      <c r="G108" s="522"/>
      <c r="H108" s="593"/>
      <c r="I108" s="522"/>
      <c r="J108" s="522"/>
      <c r="K108" s="522"/>
      <c r="L108" s="604"/>
      <c r="M108" s="605"/>
      <c r="N108" s="605"/>
      <c r="O108" s="605"/>
      <c r="P108" s="619" t="s">
        <v>549</v>
      </c>
      <c r="V108" s="526"/>
      <c r="W108" s="514">
        <f>W35+W54+W86+W105</f>
        <v>831.86266530068963</v>
      </c>
      <c r="X108" s="514">
        <f t="shared" ref="X108:AG108" si="227">X35+X54+X86+X105</f>
        <v>108.11288717742993</v>
      </c>
      <c r="Y108" s="514">
        <f t="shared" si="227"/>
        <v>33.187830656769364</v>
      </c>
      <c r="Z108" s="514">
        <f t="shared" si="227"/>
        <v>28.174283042653414</v>
      </c>
      <c r="AA108" s="514">
        <f t="shared" si="227"/>
        <v>15.145241926247827</v>
      </c>
      <c r="AB108" s="506">
        <f t="shared" si="227"/>
        <v>7.1031456679742657</v>
      </c>
      <c r="AC108" s="514">
        <f t="shared" si="227"/>
        <v>1038.5103216253715</v>
      </c>
      <c r="AD108" s="514">
        <f t="shared" si="227"/>
        <v>1479.2022129972029</v>
      </c>
      <c r="AE108" s="514">
        <f t="shared" si="227"/>
        <v>288.89471371017163</v>
      </c>
      <c r="AF108" s="514">
        <f t="shared" si="227"/>
        <v>136.77670946178813</v>
      </c>
      <c r="AG108" s="514">
        <f t="shared" si="227"/>
        <v>524.73802863326387</v>
      </c>
      <c r="AH108" s="514">
        <f t="shared" ref="AH108:AS108" si="228">AH35+AH54+AH86+AH105</f>
        <v>6.3425294669153249</v>
      </c>
      <c r="AI108" s="514">
        <f t="shared" si="228"/>
        <v>6.3319628223471369</v>
      </c>
      <c r="AJ108" s="506">
        <f t="shared" si="228"/>
        <v>0.95446609483624389</v>
      </c>
      <c r="AK108" s="514">
        <f t="shared" si="228"/>
        <v>387.85590598179783</v>
      </c>
      <c r="AL108" s="514">
        <f t="shared" si="228"/>
        <v>0.67724042338288604</v>
      </c>
      <c r="AM108" s="514">
        <f t="shared" si="228"/>
        <v>0.61918522625009609</v>
      </c>
      <c r="AN108" s="514">
        <f t="shared" si="228"/>
        <v>12.92708585660376</v>
      </c>
      <c r="AO108" s="514">
        <f t="shared" si="228"/>
        <v>0.98482019337296478</v>
      </c>
      <c r="AP108" s="514">
        <f t="shared" si="228"/>
        <v>121.03306950133765</v>
      </c>
      <c r="AQ108" s="514">
        <f t="shared" si="228"/>
        <v>0.97689760531512571</v>
      </c>
      <c r="AR108" s="514">
        <f t="shared" si="228"/>
        <v>52.343523885169141</v>
      </c>
      <c r="AS108" s="506">
        <f t="shared" si="228"/>
        <v>1.1483084219740474</v>
      </c>
      <c r="AV108" s="514"/>
      <c r="AW108" s="514"/>
      <c r="AX108" s="514"/>
      <c r="AY108" s="514"/>
      <c r="AZ108" s="514"/>
      <c r="BA108" s="505"/>
      <c r="BB108" s="514"/>
      <c r="BC108" s="514"/>
      <c r="BD108" s="514"/>
      <c r="BE108" s="514"/>
      <c r="BF108" s="514"/>
      <c r="BG108" s="514"/>
      <c r="BH108" s="514"/>
      <c r="BI108" s="505"/>
      <c r="BJ108" s="514"/>
      <c r="BK108" s="514"/>
      <c r="BL108" s="514"/>
      <c r="BM108" s="514"/>
      <c r="BN108" s="514"/>
      <c r="BO108" s="514"/>
      <c r="BP108" s="514"/>
      <c r="BQ108" s="514"/>
      <c r="BR108" s="505"/>
    </row>
    <row r="109" spans="1:70" s="229" customFormat="1" ht="16" thickBot="1">
      <c r="A109" s="574"/>
      <c r="B109" s="574"/>
      <c r="C109" s="574"/>
      <c r="D109" s="684"/>
      <c r="E109" s="620"/>
      <c r="F109" s="711"/>
      <c r="G109" s="621" t="s">
        <v>3054</v>
      </c>
      <c r="H109" s="622"/>
      <c r="I109" s="685"/>
      <c r="J109" s="685"/>
      <c r="K109" s="574"/>
      <c r="L109" s="623"/>
      <c r="M109" s="623"/>
      <c r="N109" s="623"/>
      <c r="O109" s="581"/>
      <c r="P109" s="574"/>
      <c r="Q109" s="574"/>
      <c r="R109" s="574"/>
      <c r="S109" s="574"/>
      <c r="T109" s="574"/>
      <c r="U109" s="624"/>
      <c r="V109" s="625"/>
      <c r="W109" s="574"/>
      <c r="X109" s="574"/>
      <c r="Y109" s="574"/>
      <c r="Z109" s="574"/>
      <c r="AA109" s="626">
        <f>COUNTIF(AA110:AA129,"&lt;0")</f>
        <v>0</v>
      </c>
      <c r="AB109" s="626">
        <f t="shared" ref="AB109:AS109" si="229">COUNTIF(AB110:AB129,"&lt;0")</f>
        <v>0</v>
      </c>
      <c r="AC109" s="626">
        <f t="shared" si="229"/>
        <v>0</v>
      </c>
      <c r="AD109" s="626">
        <f t="shared" si="229"/>
        <v>0</v>
      </c>
      <c r="AE109" s="626">
        <f t="shared" si="229"/>
        <v>0</v>
      </c>
      <c r="AF109" s="626">
        <f t="shared" si="229"/>
        <v>0</v>
      </c>
      <c r="AG109" s="626">
        <f t="shared" si="229"/>
        <v>0</v>
      </c>
      <c r="AH109" s="626">
        <f t="shared" si="229"/>
        <v>0</v>
      </c>
      <c r="AI109" s="626">
        <f t="shared" si="229"/>
        <v>0</v>
      </c>
      <c r="AJ109" s="626">
        <f t="shared" si="229"/>
        <v>0</v>
      </c>
      <c r="AK109" s="626">
        <f t="shared" si="229"/>
        <v>0</v>
      </c>
      <c r="AL109" s="626">
        <f t="shared" si="229"/>
        <v>0</v>
      </c>
      <c r="AM109" s="626">
        <f t="shared" si="229"/>
        <v>0</v>
      </c>
      <c r="AN109" s="626">
        <f t="shared" si="229"/>
        <v>0</v>
      </c>
      <c r="AO109" s="626">
        <f t="shared" si="229"/>
        <v>0</v>
      </c>
      <c r="AP109" s="626">
        <f t="shared" si="229"/>
        <v>0</v>
      </c>
      <c r="AQ109" s="626">
        <f t="shared" si="229"/>
        <v>0</v>
      </c>
      <c r="AR109" s="626">
        <f t="shared" si="229"/>
        <v>0</v>
      </c>
      <c r="AS109" s="626">
        <f t="shared" si="229"/>
        <v>0</v>
      </c>
      <c r="AT109" s="574"/>
      <c r="AU109" s="574"/>
    </row>
    <row r="110" spans="1:70" s="229" customFormat="1" ht="15" customHeight="1" thickBot="1">
      <c r="A110" s="574"/>
      <c r="B110" s="575" t="s">
        <v>3065</v>
      </c>
      <c r="C110" s="229" t="s">
        <v>67</v>
      </c>
      <c r="D110" s="576" t="s">
        <v>2994</v>
      </c>
      <c r="E110" s="577">
        <v>100</v>
      </c>
      <c r="F110" s="707"/>
      <c r="G110" s="406" t="s">
        <v>3054</v>
      </c>
      <c r="H110" s="1262" t="s">
        <v>3055</v>
      </c>
      <c r="I110" s="85">
        <v>0</v>
      </c>
      <c r="J110" s="682">
        <v>1</v>
      </c>
      <c r="K110" s="579" t="str">
        <f t="shared" ref="K110:K129" si="230">IF(I110&gt;0,1.1*Q110*E110/1000,"")</f>
        <v/>
      </c>
      <c r="L110" s="580" t="str">
        <f>IF(H110="Select ingredient:","",IF(G110="","",_xlfn.IFNA(VLOOKUP($H110,Ingredient_prices!$E:$U,16,FALSE),0)))</f>
        <v/>
      </c>
      <c r="M110" s="840"/>
      <c r="N110" s="1228">
        <f>$W131</f>
        <v>0</v>
      </c>
      <c r="O110" s="581"/>
      <c r="P110" s="582"/>
      <c r="Q110" s="583">
        <f t="shared" ref="Q110:Q129" si="231">I110/J110</f>
        <v>0</v>
      </c>
      <c r="R110" s="583">
        <f>VLOOKUP($H110,'CO2_emission+%_food_waste'!$A:$K,6,FALSE)*$Q110/100</f>
        <v>0</v>
      </c>
      <c r="S110" s="583">
        <f>Q110-R110</f>
        <v>0</v>
      </c>
      <c r="T110" s="583" t="str">
        <f>IF(H110="Select ingredient:","",IF(G110="Select food category:","",_xlfn.IFNA(VLOOKUP($H110,Ingredient_prices!$E:$U,16,FALSE)*$Q110/1000,"not bought")))</f>
        <v/>
      </c>
      <c r="U110" s="583" t="str">
        <f>IF(G110="Select food category:","",_xlfn.IFNA(VLOOKUP($H110,Ingredient_prices!$E:$U,16,FALSE)*$R110/1000,"not bought"))</f>
        <v/>
      </c>
      <c r="V110" s="549">
        <f>VLOOKUP($H110,'CO2_emission+%_food_waste'!$A:$K,4,FALSE)*$Q110</f>
        <v>0</v>
      </c>
      <c r="W110" s="583">
        <f>VLOOKUP($H110,Nutrition_tables!$A:$N,10,FALSE)*$Q110/100</f>
        <v>0</v>
      </c>
      <c r="X110" s="583">
        <f>VLOOKUP($H110,Nutrition_tables!$A:$N,11,FALSE)*$Q110/100</f>
        <v>0</v>
      </c>
      <c r="Y110" s="583">
        <f>VLOOKUP($H110,Nutrition_tables!$A:$N,12,FALSE)*$Q110/100</f>
        <v>0</v>
      </c>
      <c r="Z110" s="583">
        <f>VLOOKUP($H110,Nutrition_tables!$A:$N,14,FALSE)*$Q110/100</f>
        <v>0</v>
      </c>
      <c r="AA110" s="583">
        <f>VLOOKUP($H110,Nutrition_tables!$A:$AF,13,FALSE)*$Q110/100</f>
        <v>0</v>
      </c>
      <c r="AB110" s="549">
        <f>VLOOKUP($H110,Nutrition_tables!$A:$AF,15,FALSE)*$Q110/100</f>
        <v>0</v>
      </c>
      <c r="AC110" s="583">
        <f>VLOOKUP($H110,Nutrition_tables!$A:$AF,16,FALSE)*$Q110/100</f>
        <v>0</v>
      </c>
      <c r="AD110" s="583">
        <f>VLOOKUP($H110,Nutrition_tables!$A:$AF,17,FALSE)*$Q110/100</f>
        <v>0</v>
      </c>
      <c r="AE110" s="583">
        <f>VLOOKUP($H110,Nutrition_tables!$A:$AF,18,FALSE)*$Q110/100</f>
        <v>0</v>
      </c>
      <c r="AF110" s="583">
        <f>VLOOKUP($H110,Nutrition_tables!$A:$AF,19,FALSE)*$Q110/100</f>
        <v>0</v>
      </c>
      <c r="AG110" s="583">
        <f>VLOOKUP($H110,Nutrition_tables!$A:$AF,20,FALSE)*$Q110/100</f>
        <v>0</v>
      </c>
      <c r="AH110" s="583">
        <f>VLOOKUP($H110,Nutrition_tables!$A:$AF,21,FALSE)*$Q110/100</f>
        <v>0</v>
      </c>
      <c r="AI110" s="583">
        <f>VLOOKUP($H110,Nutrition_tables!$A:$AF,22,FALSE)*$Q110/100</f>
        <v>0</v>
      </c>
      <c r="AJ110" s="549">
        <f>VLOOKUP($H110,Nutrition_tables!$A:$AF,23,FALSE)*$Q110/100</f>
        <v>0</v>
      </c>
      <c r="AK110" s="583">
        <f>VLOOKUP($H110,Nutrition_tables!$A:$AF,24,FALSE)*$Q110/100</f>
        <v>0</v>
      </c>
      <c r="AL110" s="583">
        <f>VLOOKUP($H110,Nutrition_tables!$A:$AF,25,FALSE)*$Q110/100</f>
        <v>0</v>
      </c>
      <c r="AM110" s="583">
        <f>VLOOKUP($H110,Nutrition_tables!$A:$AF,26,FALSE)*$Q110/100</f>
        <v>0</v>
      </c>
      <c r="AN110" s="583">
        <f>VLOOKUP($H110,Nutrition_tables!$A:$AF,27,FALSE)*$Q110/100</f>
        <v>0</v>
      </c>
      <c r="AO110" s="583">
        <f>VLOOKUP($H110,Nutrition_tables!$A:$AF,28,FALSE)*$Q110/100</f>
        <v>0</v>
      </c>
      <c r="AP110" s="583">
        <f>VLOOKUP($H110,Nutrition_tables!$A:$AF,29,FALSE)*$Q110/100</f>
        <v>0</v>
      </c>
      <c r="AQ110" s="583">
        <f>VLOOKUP($H110,Nutrition_tables!$A:$AF,30,FALSE)*$Q110/100</f>
        <v>0</v>
      </c>
      <c r="AR110" s="583">
        <f>VLOOKUP($H110,Nutrition_tables!$A:$AF,31,FALSE)*$Q110/100</f>
        <v>0</v>
      </c>
      <c r="AS110" s="549">
        <f>VLOOKUP($H110,Nutrition_tables!$A:$AF,32,FALSE)*$Q110/100</f>
        <v>0</v>
      </c>
      <c r="AT110" s="583" t="str">
        <f>IF(H110="Select ingredient:","",IF(G110="Select food category:","",IFERROR(VLOOKUP($H110,Ingredient_prices!$E:$W,17,FALSE)*$Q110/1000,"not bought")))</f>
        <v/>
      </c>
      <c r="AU110" s="583" t="str">
        <f>IF(H110="Select ingredient:","",IF(G110="Select food category:","",IFERROR(VLOOKUP($H110,Ingredient_prices!$E:$W,18,FALSE)*$Q110/1000,"not bought")))</f>
        <v/>
      </c>
      <c r="AV110" s="583">
        <f t="shared" ref="AV110:AV129" si="232">W110*($Q110-$R110)/($Q110+0.00001)</f>
        <v>0</v>
      </c>
      <c r="AW110" s="583">
        <f t="shared" ref="AW110:AW129" si="233">X110*($Q110-$R110)/($Q110+0.00001)</f>
        <v>0</v>
      </c>
      <c r="AX110" s="583">
        <f t="shared" ref="AX110:AX129" si="234">Y110*($Q110-$R110)/($Q110+0.00001)</f>
        <v>0</v>
      </c>
      <c r="AY110" s="583">
        <f t="shared" ref="AY110:AY129" si="235">Z110*($Q110-$R110)/($Q110+0.00001)</f>
        <v>0</v>
      </c>
      <c r="AZ110" s="583">
        <f t="shared" ref="AZ110:AZ129" si="236">AA110*($Q110-$R110)/($Q110+0.00001)</f>
        <v>0</v>
      </c>
      <c r="BA110" s="583">
        <f t="shared" ref="BA110:BA129" si="237">AB110*($Q110-$R110)/($Q110+0.00001)</f>
        <v>0</v>
      </c>
      <c r="BB110" s="583">
        <f t="shared" ref="BB110:BB129" si="238">AC110*($Q110-$R110)/($Q110+0.00001)</f>
        <v>0</v>
      </c>
      <c r="BC110" s="583">
        <f t="shared" ref="BC110:BC129" si="239">AD110*($Q110-$R110)/($Q110+0.00001)</f>
        <v>0</v>
      </c>
      <c r="BD110" s="583">
        <f t="shared" ref="BD110:BD129" si="240">AE110*($Q110-$R110)/($Q110+0.00001)</f>
        <v>0</v>
      </c>
      <c r="BE110" s="583">
        <f t="shared" ref="BE110:BE129" si="241">AF110*($Q110-$R110)/($Q110+0.00001)</f>
        <v>0</v>
      </c>
      <c r="BF110" s="583">
        <f t="shared" ref="BF110:BF129" si="242">AG110*($Q110-$R110)/($Q110+0.00001)</f>
        <v>0</v>
      </c>
      <c r="BG110" s="583">
        <f t="shared" ref="BG110:BG129" si="243">AH110*($Q110-$R110)/($Q110+0.00001)</f>
        <v>0</v>
      </c>
      <c r="BH110" s="583">
        <f t="shared" ref="BH110:BH129" si="244">AI110*($Q110-$R110)/($Q110+0.00001)</f>
        <v>0</v>
      </c>
      <c r="BI110" s="583">
        <f t="shared" ref="BI110:BI129" si="245">AJ110*($Q110-$R110)/($Q110+0.00001)</f>
        <v>0</v>
      </c>
      <c r="BJ110" s="583">
        <f t="shared" ref="BJ110:BJ129" si="246">AK110*($Q110-$R110)/($Q110+0.00001)</f>
        <v>0</v>
      </c>
      <c r="BK110" s="583">
        <f t="shared" ref="BK110:BK129" si="247">AL110*($Q110-$R110)/($Q110+0.00001)</f>
        <v>0</v>
      </c>
      <c r="BL110" s="583">
        <f t="shared" ref="BL110:BL129" si="248">AM110*($Q110-$R110)/($Q110+0.00001)</f>
        <v>0</v>
      </c>
      <c r="BM110" s="583">
        <f t="shared" ref="BM110:BM129" si="249">AN110*($Q110-$R110)/($Q110+0.00001)</f>
        <v>0</v>
      </c>
      <c r="BN110" s="583">
        <f t="shared" ref="BN110:BN129" si="250">AO110*($Q110-$R110)/($Q110+0.00001)</f>
        <v>0</v>
      </c>
      <c r="BO110" s="583">
        <f t="shared" ref="BO110:BO129" si="251">AP110*($Q110-$R110)/($Q110+0.00001)</f>
        <v>0</v>
      </c>
      <c r="BP110" s="583">
        <f t="shared" ref="BP110:BP129" si="252">AQ110*($Q110-$R110)/($Q110+0.00001)</f>
        <v>0</v>
      </c>
      <c r="BQ110" s="583">
        <f t="shared" ref="BQ110:BQ129" si="253">AR110*($Q110-$R110)/($Q110+0.00001)</f>
        <v>0</v>
      </c>
      <c r="BR110" s="583">
        <f t="shared" ref="BR110:BR129" si="254">AS110*($Q110-$R110)/($Q110+0.00001)</f>
        <v>0</v>
      </c>
    </row>
    <row r="111" spans="1:70" s="229" customFormat="1" ht="15" customHeight="1">
      <c r="A111" s="574"/>
      <c r="D111" s="229" t="s">
        <v>2995</v>
      </c>
      <c r="E111" s="576">
        <f>IF(E$110&gt;0,E$110,"")</f>
        <v>100</v>
      </c>
      <c r="F111" s="707"/>
      <c r="G111" s="406" t="s">
        <v>3054</v>
      </c>
      <c r="H111" s="1262" t="s">
        <v>3055</v>
      </c>
      <c r="I111" s="85">
        <v>0</v>
      </c>
      <c r="J111" s="682">
        <v>1</v>
      </c>
      <c r="K111" s="579" t="str">
        <f t="shared" si="230"/>
        <v/>
      </c>
      <c r="L111" s="580" t="str">
        <f>IF(H111="Select ingredient:","",IF(G111="","",_xlfn.IFNA(VLOOKUP($H111,Ingredient_prices!$E:$U,16,FALSE),0)))</f>
        <v/>
      </c>
      <c r="M111" s="840"/>
      <c r="N111" s="840"/>
      <c r="O111" s="581"/>
      <c r="P111" s="582"/>
      <c r="Q111" s="583">
        <f t="shared" si="231"/>
        <v>0</v>
      </c>
      <c r="R111" s="583">
        <f>VLOOKUP($H111,'CO2_emission+%_food_waste'!$A:$K,6,FALSE)*$Q111/100</f>
        <v>0</v>
      </c>
      <c r="S111" s="583">
        <f t="shared" ref="S111:S129" si="255">Q111-R111</f>
        <v>0</v>
      </c>
      <c r="T111" s="583" t="str">
        <f>IF(H111="Select ingredient:","",IF(G111="Select food category:","",_xlfn.IFNA(VLOOKUP($H111,Ingredient_prices!$E:$U,16,FALSE)*$Q111/1000,"not bought")))</f>
        <v/>
      </c>
      <c r="U111" s="583" t="str">
        <f>IF(G111="Select food category:","",_xlfn.IFNA(VLOOKUP($H111,Ingredient_prices!$E:$U,16,FALSE)*$R111/1000,"not bought"))</f>
        <v/>
      </c>
      <c r="V111" s="549">
        <f>VLOOKUP($H111,'CO2_emission+%_food_waste'!$A:$K,4,FALSE)*$Q111</f>
        <v>0</v>
      </c>
      <c r="W111" s="583">
        <f>VLOOKUP($H111,Nutrition_tables!$A:$N,10,FALSE)*$Q111/100</f>
        <v>0</v>
      </c>
      <c r="X111" s="583">
        <f>VLOOKUP($H111,Nutrition_tables!$A:$N,11,FALSE)*$Q111/100</f>
        <v>0</v>
      </c>
      <c r="Y111" s="583">
        <f>VLOOKUP($H111,Nutrition_tables!$A:$N,12,FALSE)*$Q111/100</f>
        <v>0</v>
      </c>
      <c r="Z111" s="583">
        <f>VLOOKUP($H111,Nutrition_tables!$A:$N,14,FALSE)*$Q111/100</f>
        <v>0</v>
      </c>
      <c r="AA111" s="583">
        <f>VLOOKUP($H111,Nutrition_tables!$A:$AF,13,FALSE)*$Q111/100</f>
        <v>0</v>
      </c>
      <c r="AB111" s="549">
        <f>VLOOKUP($H111,Nutrition_tables!$A:$AF,15,FALSE)*$Q111/100</f>
        <v>0</v>
      </c>
      <c r="AC111" s="583">
        <f>VLOOKUP($H111,Nutrition_tables!$A:$AF,16,FALSE)*$Q111/100</f>
        <v>0</v>
      </c>
      <c r="AD111" s="583">
        <f>VLOOKUP($H111,Nutrition_tables!$A:$AF,17,FALSE)*$Q111/100</f>
        <v>0</v>
      </c>
      <c r="AE111" s="583">
        <f>VLOOKUP($H111,Nutrition_tables!$A:$AF,18,FALSE)*$Q111/100</f>
        <v>0</v>
      </c>
      <c r="AF111" s="583">
        <f>VLOOKUP($H111,Nutrition_tables!$A:$AF,19,FALSE)*$Q111/100</f>
        <v>0</v>
      </c>
      <c r="AG111" s="583">
        <f>VLOOKUP($H111,Nutrition_tables!$A:$AF,20,FALSE)*$Q111/100</f>
        <v>0</v>
      </c>
      <c r="AH111" s="583">
        <f>VLOOKUP($H111,Nutrition_tables!$A:$AF,21,FALSE)*$Q111/100</f>
        <v>0</v>
      </c>
      <c r="AI111" s="583">
        <f>VLOOKUP($H111,Nutrition_tables!$A:$AF,22,FALSE)*$Q111/100</f>
        <v>0</v>
      </c>
      <c r="AJ111" s="549">
        <f>VLOOKUP($H111,Nutrition_tables!$A:$AF,23,FALSE)*$Q111/100</f>
        <v>0</v>
      </c>
      <c r="AK111" s="583">
        <f>VLOOKUP($H111,Nutrition_tables!$A:$AF,24,FALSE)*$Q111/100</f>
        <v>0</v>
      </c>
      <c r="AL111" s="583">
        <f>VLOOKUP($H111,Nutrition_tables!$A:$AF,25,FALSE)*$Q111/100</f>
        <v>0</v>
      </c>
      <c r="AM111" s="583">
        <f>VLOOKUP($H111,Nutrition_tables!$A:$AF,26,FALSE)*$Q111/100</f>
        <v>0</v>
      </c>
      <c r="AN111" s="583">
        <f>VLOOKUP($H111,Nutrition_tables!$A:$AF,27,FALSE)*$Q111/100</f>
        <v>0</v>
      </c>
      <c r="AO111" s="583">
        <f>VLOOKUP($H111,Nutrition_tables!$A:$AF,28,FALSE)*$Q111/100</f>
        <v>0</v>
      </c>
      <c r="AP111" s="583">
        <f>VLOOKUP($H111,Nutrition_tables!$A:$AF,29,FALSE)*$Q111/100</f>
        <v>0</v>
      </c>
      <c r="AQ111" s="583">
        <f>VLOOKUP($H111,Nutrition_tables!$A:$AF,30,FALSE)*$Q111/100</f>
        <v>0</v>
      </c>
      <c r="AR111" s="583">
        <f>VLOOKUP($H111,Nutrition_tables!$A:$AF,31,FALSE)*$Q111/100</f>
        <v>0</v>
      </c>
      <c r="AS111" s="549">
        <f>VLOOKUP($H111,Nutrition_tables!$A:$AF,32,FALSE)*$Q111/100</f>
        <v>0</v>
      </c>
      <c r="AT111" s="583" t="str">
        <f>IF(H111="Select ingredient:","",IF(G111="Select food category:","",IFERROR(VLOOKUP($H111,Ingredient_prices!$E:$W,17,FALSE)*$Q111/1000,"not bought")))</f>
        <v/>
      </c>
      <c r="AU111" s="583" t="str">
        <f>IF(H111="Select ingredient:","",IF(G111="Select food category:","",IFERROR(VLOOKUP($H111,Ingredient_prices!$E:$W,18,FALSE)*$Q111/1000,"not bought")))</f>
        <v/>
      </c>
      <c r="AV111" s="583">
        <f t="shared" si="232"/>
        <v>0</v>
      </c>
      <c r="AW111" s="583">
        <f t="shared" si="233"/>
        <v>0</v>
      </c>
      <c r="AX111" s="583">
        <f t="shared" si="234"/>
        <v>0</v>
      </c>
      <c r="AY111" s="583">
        <f t="shared" si="235"/>
        <v>0</v>
      </c>
      <c r="AZ111" s="583">
        <f t="shared" si="236"/>
        <v>0</v>
      </c>
      <c r="BA111" s="583">
        <f t="shared" si="237"/>
        <v>0</v>
      </c>
      <c r="BB111" s="583">
        <f t="shared" si="238"/>
        <v>0</v>
      </c>
      <c r="BC111" s="583">
        <f t="shared" si="239"/>
        <v>0</v>
      </c>
      <c r="BD111" s="583">
        <f t="shared" si="240"/>
        <v>0</v>
      </c>
      <c r="BE111" s="583">
        <f t="shared" si="241"/>
        <v>0</v>
      </c>
      <c r="BF111" s="583">
        <f t="shared" si="242"/>
        <v>0</v>
      </c>
      <c r="BG111" s="583">
        <f t="shared" si="243"/>
        <v>0</v>
      </c>
      <c r="BH111" s="583">
        <f t="shared" si="244"/>
        <v>0</v>
      </c>
      <c r="BI111" s="583">
        <f t="shared" si="245"/>
        <v>0</v>
      </c>
      <c r="BJ111" s="583">
        <f t="shared" si="246"/>
        <v>0</v>
      </c>
      <c r="BK111" s="583">
        <f t="shared" si="247"/>
        <v>0</v>
      </c>
      <c r="BL111" s="583">
        <f t="shared" si="248"/>
        <v>0</v>
      </c>
      <c r="BM111" s="583">
        <f t="shared" si="249"/>
        <v>0</v>
      </c>
      <c r="BN111" s="583">
        <f t="shared" si="250"/>
        <v>0</v>
      </c>
      <c r="BO111" s="583">
        <f t="shared" si="251"/>
        <v>0</v>
      </c>
      <c r="BP111" s="583">
        <f t="shared" si="252"/>
        <v>0</v>
      </c>
      <c r="BQ111" s="583">
        <f t="shared" si="253"/>
        <v>0</v>
      </c>
      <c r="BR111" s="583">
        <f t="shared" si="254"/>
        <v>0</v>
      </c>
    </row>
    <row r="112" spans="1:70" s="229" customFormat="1" ht="15" customHeight="1">
      <c r="A112" s="574"/>
      <c r="E112" s="576">
        <f t="shared" ref="E112:E128" si="256">IF(E$110&gt;0,E$110,"")</f>
        <v>100</v>
      </c>
      <c r="F112" s="707"/>
      <c r="G112" s="406" t="s">
        <v>3054</v>
      </c>
      <c r="H112" s="1262" t="s">
        <v>3055</v>
      </c>
      <c r="I112" s="85">
        <v>0</v>
      </c>
      <c r="J112" s="682">
        <v>1</v>
      </c>
      <c r="K112" s="579" t="str">
        <f t="shared" si="230"/>
        <v/>
      </c>
      <c r="L112" s="580" t="str">
        <f>IF(H112="Select ingredient:","",IF(G112="","",_xlfn.IFNA(VLOOKUP($H112,Ingredient_prices!$E:$U,16,FALSE),0)))</f>
        <v/>
      </c>
      <c r="M112" s="840"/>
      <c r="N112" s="840"/>
      <c r="O112" s="581"/>
      <c r="P112" s="582"/>
      <c r="Q112" s="583">
        <f t="shared" si="231"/>
        <v>0</v>
      </c>
      <c r="R112" s="583">
        <f>VLOOKUP($H112,'CO2_emission+%_food_waste'!$A:$K,6,FALSE)*$Q112/100</f>
        <v>0</v>
      </c>
      <c r="S112" s="583">
        <f t="shared" si="255"/>
        <v>0</v>
      </c>
      <c r="T112" s="583" t="str">
        <f>IF(H112="Select ingredient:","",IF(G112="Select food category:","",_xlfn.IFNA(VLOOKUP($H112,Ingredient_prices!$E:$U,16,FALSE)*$Q112/1000,"not bought")))</f>
        <v/>
      </c>
      <c r="U112" s="583" t="str">
        <f>IF(G112="Select food category:","",_xlfn.IFNA(VLOOKUP($H112,Ingredient_prices!$E:$U,16,FALSE)*$R112/1000,"not bought"))</f>
        <v/>
      </c>
      <c r="V112" s="549">
        <f>VLOOKUP($H112,'CO2_emission+%_food_waste'!$A:$K,4,FALSE)*$Q112</f>
        <v>0</v>
      </c>
      <c r="W112" s="583">
        <f>VLOOKUP($H112,Nutrition_tables!$A:$N,10,FALSE)*$Q112/100</f>
        <v>0</v>
      </c>
      <c r="X112" s="583">
        <f>VLOOKUP($H112,Nutrition_tables!$A:$N,11,FALSE)*$Q112/100</f>
        <v>0</v>
      </c>
      <c r="Y112" s="583">
        <f>VLOOKUP($H112,Nutrition_tables!$A:$N,12,FALSE)*$Q112/100</f>
        <v>0</v>
      </c>
      <c r="Z112" s="583">
        <f>VLOOKUP($H112,Nutrition_tables!$A:$N,14,FALSE)*$Q112/100</f>
        <v>0</v>
      </c>
      <c r="AA112" s="583">
        <f>VLOOKUP($H112,Nutrition_tables!$A:$AF,13,FALSE)*$Q112/100</f>
        <v>0</v>
      </c>
      <c r="AB112" s="549">
        <f>VLOOKUP($H112,Nutrition_tables!$A:$AF,15,FALSE)*$Q112/100</f>
        <v>0</v>
      </c>
      <c r="AC112" s="583">
        <f>VLOOKUP($H112,Nutrition_tables!$A:$AF,16,FALSE)*$Q112/100</f>
        <v>0</v>
      </c>
      <c r="AD112" s="583">
        <f>VLOOKUP($H112,Nutrition_tables!$A:$AF,17,FALSE)*$Q112/100</f>
        <v>0</v>
      </c>
      <c r="AE112" s="583">
        <f>VLOOKUP($H112,Nutrition_tables!$A:$AF,18,FALSE)*$Q112/100</f>
        <v>0</v>
      </c>
      <c r="AF112" s="583">
        <f>VLOOKUP($H112,Nutrition_tables!$A:$AF,19,FALSE)*$Q112/100</f>
        <v>0</v>
      </c>
      <c r="AG112" s="583">
        <f>VLOOKUP($H112,Nutrition_tables!$A:$AF,20,FALSE)*$Q112/100</f>
        <v>0</v>
      </c>
      <c r="AH112" s="583">
        <f>VLOOKUP($H112,Nutrition_tables!$A:$AF,21,FALSE)*$Q112/100</f>
        <v>0</v>
      </c>
      <c r="AI112" s="583">
        <f>VLOOKUP($H112,Nutrition_tables!$A:$AF,22,FALSE)*$Q112/100</f>
        <v>0</v>
      </c>
      <c r="AJ112" s="549">
        <f>VLOOKUP($H112,Nutrition_tables!$A:$AF,23,FALSE)*$Q112/100</f>
        <v>0</v>
      </c>
      <c r="AK112" s="583">
        <f>VLOOKUP($H112,Nutrition_tables!$A:$AF,24,FALSE)*$Q112/100</f>
        <v>0</v>
      </c>
      <c r="AL112" s="583">
        <f>VLOOKUP($H112,Nutrition_tables!$A:$AF,25,FALSE)*$Q112/100</f>
        <v>0</v>
      </c>
      <c r="AM112" s="583">
        <f>VLOOKUP($H112,Nutrition_tables!$A:$AF,26,FALSE)*$Q112/100</f>
        <v>0</v>
      </c>
      <c r="AN112" s="583">
        <f>VLOOKUP($H112,Nutrition_tables!$A:$AF,27,FALSE)*$Q112/100</f>
        <v>0</v>
      </c>
      <c r="AO112" s="583">
        <f>VLOOKUP($H112,Nutrition_tables!$A:$AF,28,FALSE)*$Q112/100</f>
        <v>0</v>
      </c>
      <c r="AP112" s="583">
        <f>VLOOKUP($H112,Nutrition_tables!$A:$AF,29,FALSE)*$Q112/100</f>
        <v>0</v>
      </c>
      <c r="AQ112" s="583">
        <f>VLOOKUP($H112,Nutrition_tables!$A:$AF,30,FALSE)*$Q112/100</f>
        <v>0</v>
      </c>
      <c r="AR112" s="583">
        <f>VLOOKUP($H112,Nutrition_tables!$A:$AF,31,FALSE)*$Q112/100</f>
        <v>0</v>
      </c>
      <c r="AS112" s="549">
        <f>VLOOKUP($H112,Nutrition_tables!$A:$AF,32,FALSE)*$Q112/100</f>
        <v>0</v>
      </c>
      <c r="AT112" s="583" t="str">
        <f>IF(H112="Select ingredient:","",IF(G112="Select food category:","",IFERROR(VLOOKUP($H112,Ingredient_prices!$E:$W,17,FALSE)*$Q112/1000,"not bought")))</f>
        <v/>
      </c>
      <c r="AU112" s="583" t="str">
        <f>IF(H112="Select ingredient:","",IF(G112="Select food category:","",IFERROR(VLOOKUP($H112,Ingredient_prices!$E:$W,18,FALSE)*$Q112/1000,"not bought")))</f>
        <v/>
      </c>
      <c r="AV112" s="583">
        <f t="shared" si="232"/>
        <v>0</v>
      </c>
      <c r="AW112" s="583">
        <f t="shared" si="233"/>
        <v>0</v>
      </c>
      <c r="AX112" s="583">
        <f t="shared" si="234"/>
        <v>0</v>
      </c>
      <c r="AY112" s="583">
        <f t="shared" si="235"/>
        <v>0</v>
      </c>
      <c r="AZ112" s="583">
        <f t="shared" si="236"/>
        <v>0</v>
      </c>
      <c r="BA112" s="583">
        <f t="shared" si="237"/>
        <v>0</v>
      </c>
      <c r="BB112" s="583">
        <f t="shared" si="238"/>
        <v>0</v>
      </c>
      <c r="BC112" s="583">
        <f t="shared" si="239"/>
        <v>0</v>
      </c>
      <c r="BD112" s="583">
        <f t="shared" si="240"/>
        <v>0</v>
      </c>
      <c r="BE112" s="583">
        <f t="shared" si="241"/>
        <v>0</v>
      </c>
      <c r="BF112" s="583">
        <f t="shared" si="242"/>
        <v>0</v>
      </c>
      <c r="BG112" s="583">
        <f t="shared" si="243"/>
        <v>0</v>
      </c>
      <c r="BH112" s="583">
        <f t="shared" si="244"/>
        <v>0</v>
      </c>
      <c r="BI112" s="583">
        <f t="shared" si="245"/>
        <v>0</v>
      </c>
      <c r="BJ112" s="583">
        <f t="shared" si="246"/>
        <v>0</v>
      </c>
      <c r="BK112" s="583">
        <f t="shared" si="247"/>
        <v>0</v>
      </c>
      <c r="BL112" s="583">
        <f t="shared" si="248"/>
        <v>0</v>
      </c>
      <c r="BM112" s="583">
        <f t="shared" si="249"/>
        <v>0</v>
      </c>
      <c r="BN112" s="583">
        <f t="shared" si="250"/>
        <v>0</v>
      </c>
      <c r="BO112" s="583">
        <f t="shared" si="251"/>
        <v>0</v>
      </c>
      <c r="BP112" s="583">
        <f t="shared" si="252"/>
        <v>0</v>
      </c>
      <c r="BQ112" s="583">
        <f t="shared" si="253"/>
        <v>0</v>
      </c>
      <c r="BR112" s="583">
        <f t="shared" si="254"/>
        <v>0</v>
      </c>
    </row>
    <row r="113" spans="1:70" s="229" customFormat="1" ht="15" customHeight="1">
      <c r="A113" s="574"/>
      <c r="D113" s="85"/>
      <c r="E113" s="576">
        <f t="shared" si="256"/>
        <v>100</v>
      </c>
      <c r="F113" s="707"/>
      <c r="G113" s="406" t="s">
        <v>3054</v>
      </c>
      <c r="H113" s="1262" t="s">
        <v>3055</v>
      </c>
      <c r="I113" s="85">
        <v>0</v>
      </c>
      <c r="J113" s="682">
        <v>1</v>
      </c>
      <c r="K113" s="579" t="str">
        <f t="shared" si="230"/>
        <v/>
      </c>
      <c r="L113" s="580" t="str">
        <f>IF(H113="Select ingredient:","",IF(G113="","",_xlfn.IFNA(VLOOKUP($H113,Ingredient_prices!$E:$U,16,FALSE),0)))</f>
        <v/>
      </c>
      <c r="M113" s="840"/>
      <c r="N113" s="840"/>
      <c r="O113" s="581"/>
      <c r="P113" s="582"/>
      <c r="Q113" s="583">
        <f t="shared" si="231"/>
        <v>0</v>
      </c>
      <c r="R113" s="583">
        <f>VLOOKUP($H113,'CO2_emission+%_food_waste'!$A:$K,6,FALSE)*$Q113/100</f>
        <v>0</v>
      </c>
      <c r="S113" s="583">
        <f t="shared" si="255"/>
        <v>0</v>
      </c>
      <c r="T113" s="583" t="str">
        <f>IF(H113="Select ingredient:","",IF(G113="Select food category:","",_xlfn.IFNA(VLOOKUP($H113,Ingredient_prices!$E:$U,16,FALSE)*$Q113/1000,"not bought")))</f>
        <v/>
      </c>
      <c r="U113" s="583" t="str">
        <f>IF(G113="Select food category:","",_xlfn.IFNA(VLOOKUP($H113,Ingredient_prices!$E:$U,16,FALSE)*$R113/1000,"not bought"))</f>
        <v/>
      </c>
      <c r="V113" s="549">
        <f>VLOOKUP($H113,'CO2_emission+%_food_waste'!$A:$K,4,FALSE)*$Q113</f>
        <v>0</v>
      </c>
      <c r="W113" s="583">
        <f>VLOOKUP($H113,Nutrition_tables!$A:$N,10,FALSE)*$Q113/100</f>
        <v>0</v>
      </c>
      <c r="X113" s="583">
        <f>VLOOKUP($H113,Nutrition_tables!$A:$N,11,FALSE)*$Q113/100</f>
        <v>0</v>
      </c>
      <c r="Y113" s="583">
        <f>VLOOKUP($H113,Nutrition_tables!$A:$N,12,FALSE)*$Q113/100</f>
        <v>0</v>
      </c>
      <c r="Z113" s="583">
        <f>VLOOKUP($H113,Nutrition_tables!$A:$N,14,FALSE)*$Q113/100</f>
        <v>0</v>
      </c>
      <c r="AA113" s="583">
        <f>VLOOKUP($H113,Nutrition_tables!$A:$AF,13,FALSE)*$Q113/100</f>
        <v>0</v>
      </c>
      <c r="AB113" s="549">
        <f>VLOOKUP($H113,Nutrition_tables!$A:$AF,15,FALSE)*$Q113/100</f>
        <v>0</v>
      </c>
      <c r="AC113" s="583">
        <f>VLOOKUP($H113,Nutrition_tables!$A:$AF,16,FALSE)*$Q113/100</f>
        <v>0</v>
      </c>
      <c r="AD113" s="583">
        <f>VLOOKUP($H113,Nutrition_tables!$A:$AF,17,FALSE)*$Q113/100</f>
        <v>0</v>
      </c>
      <c r="AE113" s="583">
        <f>VLOOKUP($H113,Nutrition_tables!$A:$AF,18,FALSE)*$Q113/100</f>
        <v>0</v>
      </c>
      <c r="AF113" s="583">
        <f>VLOOKUP($H113,Nutrition_tables!$A:$AF,19,FALSE)*$Q113/100</f>
        <v>0</v>
      </c>
      <c r="AG113" s="583">
        <f>VLOOKUP($H113,Nutrition_tables!$A:$AF,20,FALSE)*$Q113/100</f>
        <v>0</v>
      </c>
      <c r="AH113" s="583">
        <f>VLOOKUP($H113,Nutrition_tables!$A:$AF,21,FALSE)*$Q113/100</f>
        <v>0</v>
      </c>
      <c r="AI113" s="583">
        <f>VLOOKUP($H113,Nutrition_tables!$A:$AF,22,FALSE)*$Q113/100</f>
        <v>0</v>
      </c>
      <c r="AJ113" s="549">
        <f>VLOOKUP($H113,Nutrition_tables!$A:$AF,23,FALSE)*$Q113/100</f>
        <v>0</v>
      </c>
      <c r="AK113" s="583">
        <f>VLOOKUP($H113,Nutrition_tables!$A:$AF,24,FALSE)*$Q113/100</f>
        <v>0</v>
      </c>
      <c r="AL113" s="583">
        <f>VLOOKUP($H113,Nutrition_tables!$A:$AF,25,FALSE)*$Q113/100</f>
        <v>0</v>
      </c>
      <c r="AM113" s="583">
        <f>VLOOKUP($H113,Nutrition_tables!$A:$AF,26,FALSE)*$Q113/100</f>
        <v>0</v>
      </c>
      <c r="AN113" s="583">
        <f>VLOOKUP($H113,Nutrition_tables!$A:$AF,27,FALSE)*$Q113/100</f>
        <v>0</v>
      </c>
      <c r="AO113" s="583">
        <f>VLOOKUP($H113,Nutrition_tables!$A:$AF,28,FALSE)*$Q113/100</f>
        <v>0</v>
      </c>
      <c r="AP113" s="583">
        <f>VLOOKUP($H113,Nutrition_tables!$A:$AF,29,FALSE)*$Q113/100</f>
        <v>0</v>
      </c>
      <c r="AQ113" s="583">
        <f>VLOOKUP($H113,Nutrition_tables!$A:$AF,30,FALSE)*$Q113/100</f>
        <v>0</v>
      </c>
      <c r="AR113" s="583">
        <f>VLOOKUP($H113,Nutrition_tables!$A:$AF,31,FALSE)*$Q113/100</f>
        <v>0</v>
      </c>
      <c r="AS113" s="549">
        <f>VLOOKUP($H113,Nutrition_tables!$A:$AF,32,FALSE)*$Q113/100</f>
        <v>0</v>
      </c>
      <c r="AT113" s="583" t="str">
        <f>IF(H113="Select ingredient:","",IF(G113="Select food category:","",IFERROR(VLOOKUP($H113,Ingredient_prices!$E:$W,17,FALSE)*$Q113/1000,"not bought")))</f>
        <v/>
      </c>
      <c r="AU113" s="583" t="str">
        <f>IF(H113="Select ingredient:","",IF(G113="Select food category:","",IFERROR(VLOOKUP($H113,Ingredient_prices!$E:$W,18,FALSE)*$Q113/1000,"not bought")))</f>
        <v/>
      </c>
      <c r="AV113" s="583">
        <f t="shared" si="232"/>
        <v>0</v>
      </c>
      <c r="AW113" s="583">
        <f t="shared" si="233"/>
        <v>0</v>
      </c>
      <c r="AX113" s="583">
        <f t="shared" si="234"/>
        <v>0</v>
      </c>
      <c r="AY113" s="583">
        <f t="shared" si="235"/>
        <v>0</v>
      </c>
      <c r="AZ113" s="583">
        <f t="shared" si="236"/>
        <v>0</v>
      </c>
      <c r="BA113" s="583">
        <f t="shared" si="237"/>
        <v>0</v>
      </c>
      <c r="BB113" s="583">
        <f t="shared" si="238"/>
        <v>0</v>
      </c>
      <c r="BC113" s="583">
        <f t="shared" si="239"/>
        <v>0</v>
      </c>
      <c r="BD113" s="583">
        <f t="shared" si="240"/>
        <v>0</v>
      </c>
      <c r="BE113" s="583">
        <f t="shared" si="241"/>
        <v>0</v>
      </c>
      <c r="BF113" s="583">
        <f t="shared" si="242"/>
        <v>0</v>
      </c>
      <c r="BG113" s="583">
        <f t="shared" si="243"/>
        <v>0</v>
      </c>
      <c r="BH113" s="583">
        <f t="shared" si="244"/>
        <v>0</v>
      </c>
      <c r="BI113" s="583">
        <f t="shared" si="245"/>
        <v>0</v>
      </c>
      <c r="BJ113" s="583">
        <f t="shared" si="246"/>
        <v>0</v>
      </c>
      <c r="BK113" s="583">
        <f t="shared" si="247"/>
        <v>0</v>
      </c>
      <c r="BL113" s="583">
        <f t="shared" si="248"/>
        <v>0</v>
      </c>
      <c r="BM113" s="583">
        <f t="shared" si="249"/>
        <v>0</v>
      </c>
      <c r="BN113" s="583">
        <f t="shared" si="250"/>
        <v>0</v>
      </c>
      <c r="BO113" s="583">
        <f t="shared" si="251"/>
        <v>0</v>
      </c>
      <c r="BP113" s="583">
        <f t="shared" si="252"/>
        <v>0</v>
      </c>
      <c r="BQ113" s="583">
        <f t="shared" si="253"/>
        <v>0</v>
      </c>
      <c r="BR113" s="583">
        <f t="shared" si="254"/>
        <v>0</v>
      </c>
    </row>
    <row r="114" spans="1:70" s="229" customFormat="1" ht="15" customHeight="1">
      <c r="A114" s="574"/>
      <c r="D114" s="85"/>
      <c r="E114" s="576">
        <f t="shared" si="256"/>
        <v>100</v>
      </c>
      <c r="F114" s="707"/>
      <c r="G114" s="406" t="s">
        <v>3054</v>
      </c>
      <c r="H114" s="1262" t="s">
        <v>3055</v>
      </c>
      <c r="I114" s="85">
        <v>0</v>
      </c>
      <c r="J114" s="682">
        <v>1</v>
      </c>
      <c r="K114" s="579" t="str">
        <f t="shared" si="230"/>
        <v/>
      </c>
      <c r="L114" s="580" t="str">
        <f>IF(H114="Select ingredient:","",IF(G114="","",_xlfn.IFNA(VLOOKUP($H114,Ingredient_prices!$E:$U,16,FALSE),0)))</f>
        <v/>
      </c>
      <c r="M114" s="840"/>
      <c r="N114" s="840"/>
      <c r="O114" s="581"/>
      <c r="P114" s="582"/>
      <c r="Q114" s="583">
        <f t="shared" si="231"/>
        <v>0</v>
      </c>
      <c r="R114" s="583">
        <f>VLOOKUP($H114,'CO2_emission+%_food_waste'!$A:$K,6,FALSE)*$Q114/100</f>
        <v>0</v>
      </c>
      <c r="S114" s="583">
        <f t="shared" si="255"/>
        <v>0</v>
      </c>
      <c r="T114" s="583" t="str">
        <f>IF(H114="Select ingredient:","",IF(G114="Select food category:","",_xlfn.IFNA(VLOOKUP($H114,Ingredient_prices!$E:$U,16,FALSE)*$Q114/1000,"not bought")))</f>
        <v/>
      </c>
      <c r="U114" s="583" t="str">
        <f>IF(G114="Select food category:","",_xlfn.IFNA(VLOOKUP($H114,Ingredient_prices!$E:$U,16,FALSE)*$R114/1000,"not bought"))</f>
        <v/>
      </c>
      <c r="V114" s="549">
        <f>VLOOKUP($H114,'CO2_emission+%_food_waste'!$A:$K,4,FALSE)*$Q114</f>
        <v>0</v>
      </c>
      <c r="W114" s="583">
        <f>VLOOKUP($H114,Nutrition_tables!$A:$N,10,FALSE)*$Q114/100</f>
        <v>0</v>
      </c>
      <c r="X114" s="583">
        <f>VLOOKUP($H114,Nutrition_tables!$A:$N,11,FALSE)*$Q114/100</f>
        <v>0</v>
      </c>
      <c r="Y114" s="583">
        <f>VLOOKUP($H114,Nutrition_tables!$A:$N,12,FALSE)*$Q114/100</f>
        <v>0</v>
      </c>
      <c r="Z114" s="583">
        <f>VLOOKUP($H114,Nutrition_tables!$A:$N,14,FALSE)*$Q114/100</f>
        <v>0</v>
      </c>
      <c r="AA114" s="583">
        <f>VLOOKUP($H114,Nutrition_tables!$A:$AF,13,FALSE)*$Q114/100</f>
        <v>0</v>
      </c>
      <c r="AB114" s="549">
        <f>VLOOKUP($H114,Nutrition_tables!$A:$AF,15,FALSE)*$Q114/100</f>
        <v>0</v>
      </c>
      <c r="AC114" s="583">
        <f>VLOOKUP($H114,Nutrition_tables!$A:$AF,16,FALSE)*$Q114/100</f>
        <v>0</v>
      </c>
      <c r="AD114" s="583">
        <f>VLOOKUP($H114,Nutrition_tables!$A:$AF,17,FALSE)*$Q114/100</f>
        <v>0</v>
      </c>
      <c r="AE114" s="583">
        <f>VLOOKUP($H114,Nutrition_tables!$A:$AF,18,FALSE)*$Q114/100</f>
        <v>0</v>
      </c>
      <c r="AF114" s="583">
        <f>VLOOKUP($H114,Nutrition_tables!$A:$AF,19,FALSE)*$Q114/100</f>
        <v>0</v>
      </c>
      <c r="AG114" s="583">
        <f>VLOOKUP($H114,Nutrition_tables!$A:$AF,20,FALSE)*$Q114/100</f>
        <v>0</v>
      </c>
      <c r="AH114" s="583">
        <f>VLOOKUP($H114,Nutrition_tables!$A:$AF,21,FALSE)*$Q114/100</f>
        <v>0</v>
      </c>
      <c r="AI114" s="583">
        <f>VLOOKUP($H114,Nutrition_tables!$A:$AF,22,FALSE)*$Q114/100</f>
        <v>0</v>
      </c>
      <c r="AJ114" s="549">
        <f>VLOOKUP($H114,Nutrition_tables!$A:$AF,23,FALSE)*$Q114/100</f>
        <v>0</v>
      </c>
      <c r="AK114" s="583">
        <f>VLOOKUP($H114,Nutrition_tables!$A:$AF,24,FALSE)*$Q114/100</f>
        <v>0</v>
      </c>
      <c r="AL114" s="583">
        <f>VLOOKUP($H114,Nutrition_tables!$A:$AF,25,FALSE)*$Q114/100</f>
        <v>0</v>
      </c>
      <c r="AM114" s="583">
        <f>VLOOKUP($H114,Nutrition_tables!$A:$AF,26,FALSE)*$Q114/100</f>
        <v>0</v>
      </c>
      <c r="AN114" s="583">
        <f>VLOOKUP($H114,Nutrition_tables!$A:$AF,27,FALSE)*$Q114/100</f>
        <v>0</v>
      </c>
      <c r="AO114" s="583">
        <f>VLOOKUP($H114,Nutrition_tables!$A:$AF,28,FALSE)*$Q114/100</f>
        <v>0</v>
      </c>
      <c r="AP114" s="583">
        <f>VLOOKUP($H114,Nutrition_tables!$A:$AF,29,FALSE)*$Q114/100</f>
        <v>0</v>
      </c>
      <c r="AQ114" s="583">
        <f>VLOOKUP($H114,Nutrition_tables!$A:$AF,30,FALSE)*$Q114/100</f>
        <v>0</v>
      </c>
      <c r="AR114" s="583">
        <f>VLOOKUP($H114,Nutrition_tables!$A:$AF,31,FALSE)*$Q114/100</f>
        <v>0</v>
      </c>
      <c r="AS114" s="549">
        <f>VLOOKUP($H114,Nutrition_tables!$A:$AF,32,FALSE)*$Q114/100</f>
        <v>0</v>
      </c>
      <c r="AT114" s="583" t="str">
        <f>IF(H114="Select ingredient:","",IF(G114="Select food category:","",IFERROR(VLOOKUP($H114,Ingredient_prices!$E:$W,17,FALSE)*$Q114/1000,"not bought")))</f>
        <v/>
      </c>
      <c r="AU114" s="583" t="str">
        <f>IF(H114="Select ingredient:","",IF(G114="Select food category:","",IFERROR(VLOOKUP($H114,Ingredient_prices!$E:$W,18,FALSE)*$Q114/1000,"not bought")))</f>
        <v/>
      </c>
      <c r="AV114" s="583">
        <f t="shared" si="232"/>
        <v>0</v>
      </c>
      <c r="AW114" s="583">
        <f t="shared" si="233"/>
        <v>0</v>
      </c>
      <c r="AX114" s="583">
        <f t="shared" si="234"/>
        <v>0</v>
      </c>
      <c r="AY114" s="583">
        <f t="shared" si="235"/>
        <v>0</v>
      </c>
      <c r="AZ114" s="583">
        <f t="shared" si="236"/>
        <v>0</v>
      </c>
      <c r="BA114" s="583">
        <f t="shared" si="237"/>
        <v>0</v>
      </c>
      <c r="BB114" s="583">
        <f t="shared" si="238"/>
        <v>0</v>
      </c>
      <c r="BC114" s="583">
        <f t="shared" si="239"/>
        <v>0</v>
      </c>
      <c r="BD114" s="583">
        <f t="shared" si="240"/>
        <v>0</v>
      </c>
      <c r="BE114" s="583">
        <f t="shared" si="241"/>
        <v>0</v>
      </c>
      <c r="BF114" s="583">
        <f t="shared" si="242"/>
        <v>0</v>
      </c>
      <c r="BG114" s="583">
        <f t="shared" si="243"/>
        <v>0</v>
      </c>
      <c r="BH114" s="583">
        <f t="shared" si="244"/>
        <v>0</v>
      </c>
      <c r="BI114" s="583">
        <f t="shared" si="245"/>
        <v>0</v>
      </c>
      <c r="BJ114" s="583">
        <f t="shared" si="246"/>
        <v>0</v>
      </c>
      <c r="BK114" s="583">
        <f t="shared" si="247"/>
        <v>0</v>
      </c>
      <c r="BL114" s="583">
        <f t="shared" si="248"/>
        <v>0</v>
      </c>
      <c r="BM114" s="583">
        <f t="shared" si="249"/>
        <v>0</v>
      </c>
      <c r="BN114" s="583">
        <f t="shared" si="250"/>
        <v>0</v>
      </c>
      <c r="BO114" s="583">
        <f t="shared" si="251"/>
        <v>0</v>
      </c>
      <c r="BP114" s="583">
        <f t="shared" si="252"/>
        <v>0</v>
      </c>
      <c r="BQ114" s="583">
        <f t="shared" si="253"/>
        <v>0</v>
      </c>
      <c r="BR114" s="583">
        <f t="shared" si="254"/>
        <v>0</v>
      </c>
    </row>
    <row r="115" spans="1:70" s="229" customFormat="1" ht="15" customHeight="1">
      <c r="A115" s="574"/>
      <c r="D115" s="85"/>
      <c r="E115" s="576">
        <f t="shared" si="256"/>
        <v>100</v>
      </c>
      <c r="F115" s="707"/>
      <c r="G115" s="406" t="s">
        <v>3054</v>
      </c>
      <c r="H115" s="1262" t="s">
        <v>3055</v>
      </c>
      <c r="I115" s="85">
        <v>0</v>
      </c>
      <c r="J115" s="682">
        <v>1</v>
      </c>
      <c r="K115" s="579" t="str">
        <f t="shared" si="230"/>
        <v/>
      </c>
      <c r="L115" s="580" t="str">
        <f>IF(H115="Select ingredient:","",IF(G115="","",_xlfn.IFNA(VLOOKUP($H115,Ingredient_prices!$E:$U,16,FALSE),0)))</f>
        <v/>
      </c>
      <c r="M115" s="840"/>
      <c r="N115" s="840"/>
      <c r="O115" s="581"/>
      <c r="P115" s="582"/>
      <c r="Q115" s="583">
        <f t="shared" si="231"/>
        <v>0</v>
      </c>
      <c r="R115" s="583">
        <f>VLOOKUP($H115,'CO2_emission+%_food_waste'!$A:$K,6,FALSE)*$Q115/100</f>
        <v>0</v>
      </c>
      <c r="S115" s="583">
        <f t="shared" si="255"/>
        <v>0</v>
      </c>
      <c r="T115" s="583" t="str">
        <f>IF(H115="Select ingredient:","",IF(G115="Select food category:","",_xlfn.IFNA(VLOOKUP($H115,Ingredient_prices!$E:$U,16,FALSE)*$Q115/1000,"not bought")))</f>
        <v/>
      </c>
      <c r="U115" s="583" t="str">
        <f>IF(G115="Select food category:","",_xlfn.IFNA(VLOOKUP($H115,Ingredient_prices!$E:$U,16,FALSE)*$R115/1000,"not bought"))</f>
        <v/>
      </c>
      <c r="V115" s="549">
        <f>VLOOKUP($H115,'CO2_emission+%_food_waste'!$A:$K,4,FALSE)*$Q115</f>
        <v>0</v>
      </c>
      <c r="W115" s="583">
        <f>VLOOKUP($H115,Nutrition_tables!$A:$N,10,FALSE)*$Q115/100</f>
        <v>0</v>
      </c>
      <c r="X115" s="583">
        <f>VLOOKUP($H115,Nutrition_tables!$A:$N,11,FALSE)*$Q115/100</f>
        <v>0</v>
      </c>
      <c r="Y115" s="583">
        <f>VLOOKUP($H115,Nutrition_tables!$A:$N,12,FALSE)*$Q115/100</f>
        <v>0</v>
      </c>
      <c r="Z115" s="583">
        <f>VLOOKUP($H115,Nutrition_tables!$A:$N,14,FALSE)*$Q115/100</f>
        <v>0</v>
      </c>
      <c r="AA115" s="583">
        <f>VLOOKUP($H115,Nutrition_tables!$A:$AF,13,FALSE)*$Q115/100</f>
        <v>0</v>
      </c>
      <c r="AB115" s="549">
        <f>VLOOKUP($H115,Nutrition_tables!$A:$AF,15,FALSE)*$Q115/100</f>
        <v>0</v>
      </c>
      <c r="AC115" s="583">
        <f>VLOOKUP($H115,Nutrition_tables!$A:$AF,16,FALSE)*$Q115/100</f>
        <v>0</v>
      </c>
      <c r="AD115" s="583">
        <f>VLOOKUP($H115,Nutrition_tables!$A:$AF,17,FALSE)*$Q115/100</f>
        <v>0</v>
      </c>
      <c r="AE115" s="583">
        <f>VLOOKUP($H115,Nutrition_tables!$A:$AF,18,FALSE)*$Q115/100</f>
        <v>0</v>
      </c>
      <c r="AF115" s="583">
        <f>VLOOKUP($H115,Nutrition_tables!$A:$AF,19,FALSE)*$Q115/100</f>
        <v>0</v>
      </c>
      <c r="AG115" s="583">
        <f>VLOOKUP($H115,Nutrition_tables!$A:$AF,20,FALSE)*$Q115/100</f>
        <v>0</v>
      </c>
      <c r="AH115" s="583">
        <f>VLOOKUP($H115,Nutrition_tables!$A:$AF,21,FALSE)*$Q115/100</f>
        <v>0</v>
      </c>
      <c r="AI115" s="583">
        <f>VLOOKUP($H115,Nutrition_tables!$A:$AF,22,FALSE)*$Q115/100</f>
        <v>0</v>
      </c>
      <c r="AJ115" s="549">
        <f>VLOOKUP($H115,Nutrition_tables!$A:$AF,23,FALSE)*$Q115/100</f>
        <v>0</v>
      </c>
      <c r="AK115" s="583">
        <f>VLOOKUP($H115,Nutrition_tables!$A:$AF,24,FALSE)*$Q115/100</f>
        <v>0</v>
      </c>
      <c r="AL115" s="583">
        <f>VLOOKUP($H115,Nutrition_tables!$A:$AF,25,FALSE)*$Q115/100</f>
        <v>0</v>
      </c>
      <c r="AM115" s="583">
        <f>VLOOKUP($H115,Nutrition_tables!$A:$AF,26,FALSE)*$Q115/100</f>
        <v>0</v>
      </c>
      <c r="AN115" s="583">
        <f>VLOOKUP($H115,Nutrition_tables!$A:$AF,27,FALSE)*$Q115/100</f>
        <v>0</v>
      </c>
      <c r="AO115" s="583">
        <f>VLOOKUP($H115,Nutrition_tables!$A:$AF,28,FALSE)*$Q115/100</f>
        <v>0</v>
      </c>
      <c r="AP115" s="583">
        <f>VLOOKUP($H115,Nutrition_tables!$A:$AF,29,FALSE)*$Q115/100</f>
        <v>0</v>
      </c>
      <c r="AQ115" s="583">
        <f>VLOOKUP($H115,Nutrition_tables!$A:$AF,30,FALSE)*$Q115/100</f>
        <v>0</v>
      </c>
      <c r="AR115" s="583">
        <f>VLOOKUP($H115,Nutrition_tables!$A:$AF,31,FALSE)*$Q115/100</f>
        <v>0</v>
      </c>
      <c r="AS115" s="549">
        <f>VLOOKUP($H115,Nutrition_tables!$A:$AF,32,FALSE)*$Q115/100</f>
        <v>0</v>
      </c>
      <c r="AT115" s="583" t="str">
        <f>IF(H115="Select ingredient:","",IF(G115="Select food category:","",IFERROR(VLOOKUP($H115,Ingredient_prices!$E:$W,17,FALSE)*$Q115/1000,"not bought")))</f>
        <v/>
      </c>
      <c r="AU115" s="583" t="str">
        <f>IF(H115="Select ingredient:","",IF(G115="Select food category:","",IFERROR(VLOOKUP($H115,Ingredient_prices!$E:$W,18,FALSE)*$Q115/1000,"not bought")))</f>
        <v/>
      </c>
      <c r="AV115" s="583">
        <f t="shared" si="232"/>
        <v>0</v>
      </c>
      <c r="AW115" s="583">
        <f t="shared" si="233"/>
        <v>0</v>
      </c>
      <c r="AX115" s="583">
        <f t="shared" si="234"/>
        <v>0</v>
      </c>
      <c r="AY115" s="583">
        <f t="shared" si="235"/>
        <v>0</v>
      </c>
      <c r="AZ115" s="583">
        <f t="shared" si="236"/>
        <v>0</v>
      </c>
      <c r="BA115" s="583">
        <f t="shared" si="237"/>
        <v>0</v>
      </c>
      <c r="BB115" s="583">
        <f t="shared" si="238"/>
        <v>0</v>
      </c>
      <c r="BC115" s="583">
        <f t="shared" si="239"/>
        <v>0</v>
      </c>
      <c r="BD115" s="583">
        <f t="shared" si="240"/>
        <v>0</v>
      </c>
      <c r="BE115" s="583">
        <f t="shared" si="241"/>
        <v>0</v>
      </c>
      <c r="BF115" s="583">
        <f t="shared" si="242"/>
        <v>0</v>
      </c>
      <c r="BG115" s="583">
        <f t="shared" si="243"/>
        <v>0</v>
      </c>
      <c r="BH115" s="583">
        <f t="shared" si="244"/>
        <v>0</v>
      </c>
      <c r="BI115" s="583">
        <f t="shared" si="245"/>
        <v>0</v>
      </c>
      <c r="BJ115" s="583">
        <f t="shared" si="246"/>
        <v>0</v>
      </c>
      <c r="BK115" s="583">
        <f t="shared" si="247"/>
        <v>0</v>
      </c>
      <c r="BL115" s="583">
        <f t="shared" si="248"/>
        <v>0</v>
      </c>
      <c r="BM115" s="583">
        <f t="shared" si="249"/>
        <v>0</v>
      </c>
      <c r="BN115" s="583">
        <f t="shared" si="250"/>
        <v>0</v>
      </c>
      <c r="BO115" s="583">
        <f t="shared" si="251"/>
        <v>0</v>
      </c>
      <c r="BP115" s="583">
        <f t="shared" si="252"/>
        <v>0</v>
      </c>
      <c r="BQ115" s="583">
        <f t="shared" si="253"/>
        <v>0</v>
      </c>
      <c r="BR115" s="583">
        <f t="shared" si="254"/>
        <v>0</v>
      </c>
    </row>
    <row r="116" spans="1:70" s="229" customFormat="1" ht="15" customHeight="1">
      <c r="A116" s="574"/>
      <c r="D116" s="406"/>
      <c r="E116" s="576">
        <f t="shared" si="256"/>
        <v>100</v>
      </c>
      <c r="F116" s="707"/>
      <c r="G116" s="406" t="s">
        <v>3054</v>
      </c>
      <c r="H116" s="1262" t="s">
        <v>3055</v>
      </c>
      <c r="I116" s="85">
        <v>0</v>
      </c>
      <c r="J116" s="682">
        <v>1</v>
      </c>
      <c r="K116" s="579" t="str">
        <f t="shared" si="230"/>
        <v/>
      </c>
      <c r="L116" s="580" t="str">
        <f>IF(H116="Select ingredient:","",IF(G116="","",_xlfn.IFNA(VLOOKUP($H116,Ingredient_prices!$E:$U,16,FALSE),0)))</f>
        <v/>
      </c>
      <c r="M116" s="840"/>
      <c r="N116" s="840"/>
      <c r="O116" s="581"/>
      <c r="P116" s="582"/>
      <c r="Q116" s="583">
        <f t="shared" si="231"/>
        <v>0</v>
      </c>
      <c r="R116" s="583">
        <f>VLOOKUP($H116,'CO2_emission+%_food_waste'!$A:$K,6,FALSE)*$Q116/100</f>
        <v>0</v>
      </c>
      <c r="S116" s="583">
        <f t="shared" si="255"/>
        <v>0</v>
      </c>
      <c r="T116" s="583" t="str">
        <f>IF(H116="Select ingredient:","",IF(G116="Select food category:","",_xlfn.IFNA(VLOOKUP($H116,Ingredient_prices!$E:$U,16,FALSE)*$Q116/1000,"not bought")))</f>
        <v/>
      </c>
      <c r="U116" s="583" t="str">
        <f>IF(G116="Select food category:","",_xlfn.IFNA(VLOOKUP($H116,Ingredient_prices!$E:$U,16,FALSE)*$R116/1000,"not bought"))</f>
        <v/>
      </c>
      <c r="V116" s="549">
        <f>VLOOKUP($H116,'CO2_emission+%_food_waste'!$A:$K,4,FALSE)*$Q116</f>
        <v>0</v>
      </c>
      <c r="W116" s="583">
        <f>VLOOKUP($H116,Nutrition_tables!$A:$N,10,FALSE)*$Q116/100</f>
        <v>0</v>
      </c>
      <c r="X116" s="583">
        <f>VLOOKUP($H116,Nutrition_tables!$A:$N,11,FALSE)*$Q116/100</f>
        <v>0</v>
      </c>
      <c r="Y116" s="583">
        <f>VLOOKUP($H116,Nutrition_tables!$A:$N,12,FALSE)*$Q116/100</f>
        <v>0</v>
      </c>
      <c r="Z116" s="583">
        <f>VLOOKUP($H116,Nutrition_tables!$A:$N,14,FALSE)*$Q116/100</f>
        <v>0</v>
      </c>
      <c r="AA116" s="583">
        <f>VLOOKUP($H116,Nutrition_tables!$A:$AF,13,FALSE)*$Q116/100</f>
        <v>0</v>
      </c>
      <c r="AB116" s="549">
        <f>VLOOKUP($H116,Nutrition_tables!$A:$AF,15,FALSE)*$Q116/100</f>
        <v>0</v>
      </c>
      <c r="AC116" s="583">
        <f>VLOOKUP($H116,Nutrition_tables!$A:$AF,16,FALSE)*$Q116/100</f>
        <v>0</v>
      </c>
      <c r="AD116" s="583">
        <f>VLOOKUP($H116,Nutrition_tables!$A:$AF,17,FALSE)*$Q116/100</f>
        <v>0</v>
      </c>
      <c r="AE116" s="583">
        <f>VLOOKUP($H116,Nutrition_tables!$A:$AF,18,FALSE)*$Q116/100</f>
        <v>0</v>
      </c>
      <c r="AF116" s="583">
        <f>VLOOKUP($H116,Nutrition_tables!$A:$AF,19,FALSE)*$Q116/100</f>
        <v>0</v>
      </c>
      <c r="AG116" s="583">
        <f>VLOOKUP($H116,Nutrition_tables!$A:$AF,20,FALSE)*$Q116/100</f>
        <v>0</v>
      </c>
      <c r="AH116" s="583">
        <f>VLOOKUP($H116,Nutrition_tables!$A:$AF,21,FALSE)*$Q116/100</f>
        <v>0</v>
      </c>
      <c r="AI116" s="583">
        <f>VLOOKUP($H116,Nutrition_tables!$A:$AF,22,FALSE)*$Q116/100</f>
        <v>0</v>
      </c>
      <c r="AJ116" s="549">
        <f>VLOOKUP($H116,Nutrition_tables!$A:$AF,23,FALSE)*$Q116/100</f>
        <v>0</v>
      </c>
      <c r="AK116" s="583">
        <f>VLOOKUP($H116,Nutrition_tables!$A:$AF,24,FALSE)*$Q116/100</f>
        <v>0</v>
      </c>
      <c r="AL116" s="583">
        <f>VLOOKUP($H116,Nutrition_tables!$A:$AF,25,FALSE)*$Q116/100</f>
        <v>0</v>
      </c>
      <c r="AM116" s="583">
        <f>VLOOKUP($H116,Nutrition_tables!$A:$AF,26,FALSE)*$Q116/100</f>
        <v>0</v>
      </c>
      <c r="AN116" s="583">
        <f>VLOOKUP($H116,Nutrition_tables!$A:$AF,27,FALSE)*$Q116/100</f>
        <v>0</v>
      </c>
      <c r="AO116" s="583">
        <f>VLOOKUP($H116,Nutrition_tables!$A:$AF,28,FALSE)*$Q116/100</f>
        <v>0</v>
      </c>
      <c r="AP116" s="583">
        <f>VLOOKUP($H116,Nutrition_tables!$A:$AF,29,FALSE)*$Q116/100</f>
        <v>0</v>
      </c>
      <c r="AQ116" s="583">
        <f>VLOOKUP($H116,Nutrition_tables!$A:$AF,30,FALSE)*$Q116/100</f>
        <v>0</v>
      </c>
      <c r="AR116" s="583">
        <f>VLOOKUP($H116,Nutrition_tables!$A:$AF,31,FALSE)*$Q116/100</f>
        <v>0</v>
      </c>
      <c r="AS116" s="549">
        <f>VLOOKUP($H116,Nutrition_tables!$A:$AF,32,FALSE)*$Q116/100</f>
        <v>0</v>
      </c>
      <c r="AT116" s="583" t="str">
        <f>IF(H116="Select ingredient:","",IF(G116="Select food category:","",IFERROR(VLOOKUP($H116,Ingredient_prices!$E:$W,17,FALSE)*$Q116/1000,"not bought")))</f>
        <v/>
      </c>
      <c r="AU116" s="583" t="str">
        <f>IF(H116="Select ingredient:","",IF(G116="Select food category:","",IFERROR(VLOOKUP($H116,Ingredient_prices!$E:$W,18,FALSE)*$Q116/1000,"not bought")))</f>
        <v/>
      </c>
      <c r="AV116" s="583">
        <f t="shared" si="232"/>
        <v>0</v>
      </c>
      <c r="AW116" s="583">
        <f t="shared" si="233"/>
        <v>0</v>
      </c>
      <c r="AX116" s="583">
        <f t="shared" si="234"/>
        <v>0</v>
      </c>
      <c r="AY116" s="583">
        <f t="shared" si="235"/>
        <v>0</v>
      </c>
      <c r="AZ116" s="583">
        <f t="shared" si="236"/>
        <v>0</v>
      </c>
      <c r="BA116" s="583">
        <f t="shared" si="237"/>
        <v>0</v>
      </c>
      <c r="BB116" s="583">
        <f t="shared" si="238"/>
        <v>0</v>
      </c>
      <c r="BC116" s="583">
        <f t="shared" si="239"/>
        <v>0</v>
      </c>
      <c r="BD116" s="583">
        <f t="shared" si="240"/>
        <v>0</v>
      </c>
      <c r="BE116" s="583">
        <f t="shared" si="241"/>
        <v>0</v>
      </c>
      <c r="BF116" s="583">
        <f t="shared" si="242"/>
        <v>0</v>
      </c>
      <c r="BG116" s="583">
        <f t="shared" si="243"/>
        <v>0</v>
      </c>
      <c r="BH116" s="583">
        <f t="shared" si="244"/>
        <v>0</v>
      </c>
      <c r="BI116" s="583">
        <f t="shared" si="245"/>
        <v>0</v>
      </c>
      <c r="BJ116" s="583">
        <f t="shared" si="246"/>
        <v>0</v>
      </c>
      <c r="BK116" s="583">
        <f t="shared" si="247"/>
        <v>0</v>
      </c>
      <c r="BL116" s="583">
        <f t="shared" si="248"/>
        <v>0</v>
      </c>
      <c r="BM116" s="583">
        <f t="shared" si="249"/>
        <v>0</v>
      </c>
      <c r="BN116" s="583">
        <f t="shared" si="250"/>
        <v>0</v>
      </c>
      <c r="BO116" s="583">
        <f t="shared" si="251"/>
        <v>0</v>
      </c>
      <c r="BP116" s="583">
        <f t="shared" si="252"/>
        <v>0</v>
      </c>
      <c r="BQ116" s="583">
        <f t="shared" si="253"/>
        <v>0</v>
      </c>
      <c r="BR116" s="583">
        <f t="shared" si="254"/>
        <v>0</v>
      </c>
    </row>
    <row r="117" spans="1:70" s="229" customFormat="1" ht="15" customHeight="1">
      <c r="A117" s="574"/>
      <c r="D117" s="406"/>
      <c r="E117" s="576">
        <f t="shared" si="256"/>
        <v>100</v>
      </c>
      <c r="F117" s="707"/>
      <c r="G117" s="406" t="s">
        <v>3054</v>
      </c>
      <c r="H117" s="1262" t="s">
        <v>3055</v>
      </c>
      <c r="I117" s="85">
        <v>0</v>
      </c>
      <c r="J117" s="682">
        <v>1</v>
      </c>
      <c r="K117" s="579" t="str">
        <f t="shared" si="230"/>
        <v/>
      </c>
      <c r="L117" s="580" t="str">
        <f>IF(H117="Select ingredient:","",IF(G117="","",_xlfn.IFNA(VLOOKUP($H117,Ingredient_prices!$E:$U,16,FALSE),0)))</f>
        <v/>
      </c>
      <c r="M117" s="840"/>
      <c r="N117" s="840"/>
      <c r="O117" s="581"/>
      <c r="P117" s="582"/>
      <c r="Q117" s="583">
        <f t="shared" si="231"/>
        <v>0</v>
      </c>
      <c r="R117" s="583">
        <f>VLOOKUP($H117,'CO2_emission+%_food_waste'!$A:$K,6,FALSE)*$Q117/100</f>
        <v>0</v>
      </c>
      <c r="S117" s="583">
        <f t="shared" si="255"/>
        <v>0</v>
      </c>
      <c r="T117" s="583" t="str">
        <f>IF(H117="Select ingredient:","",IF(G117="Select food category:","",_xlfn.IFNA(VLOOKUP($H117,Ingredient_prices!$E:$U,16,FALSE)*$Q117/1000,"not bought")))</f>
        <v/>
      </c>
      <c r="U117" s="583" t="str">
        <f>IF(G117="Select food category:","",_xlfn.IFNA(VLOOKUP($H117,Ingredient_prices!$E:$U,16,FALSE)*$R117/1000,"not bought"))</f>
        <v/>
      </c>
      <c r="V117" s="549">
        <f>VLOOKUP($H117,'CO2_emission+%_food_waste'!$A:$K,4,FALSE)*$Q117</f>
        <v>0</v>
      </c>
      <c r="W117" s="583">
        <f>VLOOKUP($H117,Nutrition_tables!$A:$N,10,FALSE)*$Q117/100</f>
        <v>0</v>
      </c>
      <c r="X117" s="583">
        <f>VLOOKUP($H117,Nutrition_tables!$A:$N,11,FALSE)*$Q117/100</f>
        <v>0</v>
      </c>
      <c r="Y117" s="583">
        <f>VLOOKUP($H117,Nutrition_tables!$A:$N,12,FALSE)*$Q117/100</f>
        <v>0</v>
      </c>
      <c r="Z117" s="583">
        <f>VLOOKUP($H117,Nutrition_tables!$A:$N,14,FALSE)*$Q117/100</f>
        <v>0</v>
      </c>
      <c r="AA117" s="583">
        <f>VLOOKUP($H117,Nutrition_tables!$A:$AF,13,FALSE)*$Q117/100</f>
        <v>0</v>
      </c>
      <c r="AB117" s="549">
        <f>VLOOKUP($H117,Nutrition_tables!$A:$AF,15,FALSE)*$Q117/100</f>
        <v>0</v>
      </c>
      <c r="AC117" s="583">
        <f>VLOOKUP($H117,Nutrition_tables!$A:$AF,16,FALSE)*$Q117/100</f>
        <v>0</v>
      </c>
      <c r="AD117" s="583">
        <f>VLOOKUP($H117,Nutrition_tables!$A:$AF,17,FALSE)*$Q117/100</f>
        <v>0</v>
      </c>
      <c r="AE117" s="583">
        <f>VLOOKUP($H117,Nutrition_tables!$A:$AF,18,FALSE)*$Q117/100</f>
        <v>0</v>
      </c>
      <c r="AF117" s="583">
        <f>VLOOKUP($H117,Nutrition_tables!$A:$AF,19,FALSE)*$Q117/100</f>
        <v>0</v>
      </c>
      <c r="AG117" s="583">
        <f>VLOOKUP($H117,Nutrition_tables!$A:$AF,20,FALSE)*$Q117/100</f>
        <v>0</v>
      </c>
      <c r="AH117" s="583">
        <f>VLOOKUP($H117,Nutrition_tables!$A:$AF,21,FALSE)*$Q117/100</f>
        <v>0</v>
      </c>
      <c r="AI117" s="583">
        <f>VLOOKUP($H117,Nutrition_tables!$A:$AF,22,FALSE)*$Q117/100</f>
        <v>0</v>
      </c>
      <c r="AJ117" s="549">
        <f>VLOOKUP($H117,Nutrition_tables!$A:$AF,23,FALSE)*$Q117/100</f>
        <v>0</v>
      </c>
      <c r="AK117" s="583">
        <f>VLOOKUP($H117,Nutrition_tables!$A:$AF,24,FALSE)*$Q117/100</f>
        <v>0</v>
      </c>
      <c r="AL117" s="583">
        <f>VLOOKUP($H117,Nutrition_tables!$A:$AF,25,FALSE)*$Q117/100</f>
        <v>0</v>
      </c>
      <c r="AM117" s="583">
        <f>VLOOKUP($H117,Nutrition_tables!$A:$AF,26,FALSE)*$Q117/100</f>
        <v>0</v>
      </c>
      <c r="AN117" s="583">
        <f>VLOOKUP($H117,Nutrition_tables!$A:$AF,27,FALSE)*$Q117/100</f>
        <v>0</v>
      </c>
      <c r="AO117" s="583">
        <f>VLOOKUP($H117,Nutrition_tables!$A:$AF,28,FALSE)*$Q117/100</f>
        <v>0</v>
      </c>
      <c r="AP117" s="583">
        <f>VLOOKUP($H117,Nutrition_tables!$A:$AF,29,FALSE)*$Q117/100</f>
        <v>0</v>
      </c>
      <c r="AQ117" s="583">
        <f>VLOOKUP($H117,Nutrition_tables!$A:$AF,30,FALSE)*$Q117/100</f>
        <v>0</v>
      </c>
      <c r="AR117" s="583">
        <f>VLOOKUP($H117,Nutrition_tables!$A:$AF,31,FALSE)*$Q117/100</f>
        <v>0</v>
      </c>
      <c r="AS117" s="549">
        <f>VLOOKUP($H117,Nutrition_tables!$A:$AF,32,FALSE)*$Q117/100</f>
        <v>0</v>
      </c>
      <c r="AT117" s="583" t="str">
        <f>IF(H117="Select ingredient:","",IF(G117="Select food category:","",IFERROR(VLOOKUP($H117,Ingredient_prices!$E:$W,17,FALSE)*$Q117/1000,"not bought")))</f>
        <v/>
      </c>
      <c r="AU117" s="583" t="str">
        <f>IF(H117="Select ingredient:","",IF(G117="Select food category:","",IFERROR(VLOOKUP($H117,Ingredient_prices!$E:$W,18,FALSE)*$Q117/1000,"not bought")))</f>
        <v/>
      </c>
      <c r="AV117" s="583">
        <f t="shared" si="232"/>
        <v>0</v>
      </c>
      <c r="AW117" s="583">
        <f t="shared" si="233"/>
        <v>0</v>
      </c>
      <c r="AX117" s="583">
        <f t="shared" si="234"/>
        <v>0</v>
      </c>
      <c r="AY117" s="583">
        <f t="shared" si="235"/>
        <v>0</v>
      </c>
      <c r="AZ117" s="583">
        <f t="shared" si="236"/>
        <v>0</v>
      </c>
      <c r="BA117" s="583">
        <f t="shared" si="237"/>
        <v>0</v>
      </c>
      <c r="BB117" s="583">
        <f t="shared" si="238"/>
        <v>0</v>
      </c>
      <c r="BC117" s="583">
        <f t="shared" si="239"/>
        <v>0</v>
      </c>
      <c r="BD117" s="583">
        <f t="shared" si="240"/>
        <v>0</v>
      </c>
      <c r="BE117" s="583">
        <f t="shared" si="241"/>
        <v>0</v>
      </c>
      <c r="BF117" s="583">
        <f t="shared" si="242"/>
        <v>0</v>
      </c>
      <c r="BG117" s="583">
        <f t="shared" si="243"/>
        <v>0</v>
      </c>
      <c r="BH117" s="583">
        <f t="shared" si="244"/>
        <v>0</v>
      </c>
      <c r="BI117" s="583">
        <f t="shared" si="245"/>
        <v>0</v>
      </c>
      <c r="BJ117" s="583">
        <f t="shared" si="246"/>
        <v>0</v>
      </c>
      <c r="BK117" s="583">
        <f t="shared" si="247"/>
        <v>0</v>
      </c>
      <c r="BL117" s="583">
        <f t="shared" si="248"/>
        <v>0</v>
      </c>
      <c r="BM117" s="583">
        <f t="shared" si="249"/>
        <v>0</v>
      </c>
      <c r="BN117" s="583">
        <f t="shared" si="250"/>
        <v>0</v>
      </c>
      <c r="BO117" s="583">
        <f t="shared" si="251"/>
        <v>0</v>
      </c>
      <c r="BP117" s="583">
        <f t="shared" si="252"/>
        <v>0</v>
      </c>
      <c r="BQ117" s="583">
        <f t="shared" si="253"/>
        <v>0</v>
      </c>
      <c r="BR117" s="583">
        <f t="shared" si="254"/>
        <v>0</v>
      </c>
    </row>
    <row r="118" spans="1:70" s="229" customFormat="1" ht="15" customHeight="1">
      <c r="A118" s="574"/>
      <c r="D118" s="406"/>
      <c r="E118" s="576">
        <f t="shared" si="256"/>
        <v>100</v>
      </c>
      <c r="F118" s="707"/>
      <c r="G118" s="406" t="s">
        <v>3054</v>
      </c>
      <c r="H118" s="1262" t="s">
        <v>3055</v>
      </c>
      <c r="I118" s="85">
        <v>0</v>
      </c>
      <c r="J118" s="682">
        <v>1</v>
      </c>
      <c r="K118" s="579" t="str">
        <f t="shared" si="230"/>
        <v/>
      </c>
      <c r="L118" s="580" t="str">
        <f>IF(H118="Select ingredient:","",IF(G118="","",_xlfn.IFNA(VLOOKUP($H118,Ingredient_prices!$E:$U,16,FALSE),0)))</f>
        <v/>
      </c>
      <c r="M118" s="840"/>
      <c r="N118" s="840"/>
      <c r="O118" s="581"/>
      <c r="P118" s="582"/>
      <c r="Q118" s="583">
        <f t="shared" si="231"/>
        <v>0</v>
      </c>
      <c r="R118" s="583">
        <f>VLOOKUP($H118,'CO2_emission+%_food_waste'!$A:$K,6,FALSE)*$Q118/100</f>
        <v>0</v>
      </c>
      <c r="S118" s="583">
        <f t="shared" si="255"/>
        <v>0</v>
      </c>
      <c r="T118" s="583" t="str">
        <f>IF(H118="Select ingredient:","",IF(G118="Select food category:","",_xlfn.IFNA(VLOOKUP($H118,Ingredient_prices!$E:$U,16,FALSE)*$Q118/1000,"not bought")))</f>
        <v/>
      </c>
      <c r="U118" s="583" t="str">
        <f>IF(G118="Select food category:","",_xlfn.IFNA(VLOOKUP($H118,Ingredient_prices!$E:$U,16,FALSE)*$R118/1000,"not bought"))</f>
        <v/>
      </c>
      <c r="V118" s="549">
        <f>VLOOKUP($H118,'CO2_emission+%_food_waste'!$A:$K,4,FALSE)*$Q118</f>
        <v>0</v>
      </c>
      <c r="W118" s="583">
        <f>VLOOKUP($H118,Nutrition_tables!$A:$N,10,FALSE)*$Q118/100</f>
        <v>0</v>
      </c>
      <c r="X118" s="583">
        <f>VLOOKUP($H118,Nutrition_tables!$A:$N,11,FALSE)*$Q118/100</f>
        <v>0</v>
      </c>
      <c r="Y118" s="583">
        <f>VLOOKUP($H118,Nutrition_tables!$A:$N,12,FALSE)*$Q118/100</f>
        <v>0</v>
      </c>
      <c r="Z118" s="583">
        <f>VLOOKUP($H118,Nutrition_tables!$A:$N,14,FALSE)*$Q118/100</f>
        <v>0</v>
      </c>
      <c r="AA118" s="583">
        <f>VLOOKUP($H118,Nutrition_tables!$A:$AF,13,FALSE)*$Q118/100</f>
        <v>0</v>
      </c>
      <c r="AB118" s="549">
        <f>VLOOKUP($H118,Nutrition_tables!$A:$AF,15,FALSE)*$Q118/100</f>
        <v>0</v>
      </c>
      <c r="AC118" s="583">
        <f>VLOOKUP($H118,Nutrition_tables!$A:$AF,16,FALSE)*$Q118/100</f>
        <v>0</v>
      </c>
      <c r="AD118" s="583">
        <f>VLOOKUP($H118,Nutrition_tables!$A:$AF,17,FALSE)*$Q118/100</f>
        <v>0</v>
      </c>
      <c r="AE118" s="583">
        <f>VLOOKUP($H118,Nutrition_tables!$A:$AF,18,FALSE)*$Q118/100</f>
        <v>0</v>
      </c>
      <c r="AF118" s="583">
        <f>VLOOKUP($H118,Nutrition_tables!$A:$AF,19,FALSE)*$Q118/100</f>
        <v>0</v>
      </c>
      <c r="AG118" s="583">
        <f>VLOOKUP($H118,Nutrition_tables!$A:$AF,20,FALSE)*$Q118/100</f>
        <v>0</v>
      </c>
      <c r="AH118" s="583">
        <f>VLOOKUP($H118,Nutrition_tables!$A:$AF,21,FALSE)*$Q118/100</f>
        <v>0</v>
      </c>
      <c r="AI118" s="583">
        <f>VLOOKUP($H118,Nutrition_tables!$A:$AF,22,FALSE)*$Q118/100</f>
        <v>0</v>
      </c>
      <c r="AJ118" s="549">
        <f>VLOOKUP($H118,Nutrition_tables!$A:$AF,23,FALSE)*$Q118/100</f>
        <v>0</v>
      </c>
      <c r="AK118" s="583">
        <f>VLOOKUP($H118,Nutrition_tables!$A:$AF,24,FALSE)*$Q118/100</f>
        <v>0</v>
      </c>
      <c r="AL118" s="583">
        <f>VLOOKUP($H118,Nutrition_tables!$A:$AF,25,FALSE)*$Q118/100</f>
        <v>0</v>
      </c>
      <c r="AM118" s="583">
        <f>VLOOKUP($H118,Nutrition_tables!$A:$AF,26,FALSE)*$Q118/100</f>
        <v>0</v>
      </c>
      <c r="AN118" s="583">
        <f>VLOOKUP($H118,Nutrition_tables!$A:$AF,27,FALSE)*$Q118/100</f>
        <v>0</v>
      </c>
      <c r="AO118" s="583">
        <f>VLOOKUP($H118,Nutrition_tables!$A:$AF,28,FALSE)*$Q118/100</f>
        <v>0</v>
      </c>
      <c r="AP118" s="583">
        <f>VLOOKUP($H118,Nutrition_tables!$A:$AF,29,FALSE)*$Q118/100</f>
        <v>0</v>
      </c>
      <c r="AQ118" s="583">
        <f>VLOOKUP($H118,Nutrition_tables!$A:$AF,30,FALSE)*$Q118/100</f>
        <v>0</v>
      </c>
      <c r="AR118" s="583">
        <f>VLOOKUP($H118,Nutrition_tables!$A:$AF,31,FALSE)*$Q118/100</f>
        <v>0</v>
      </c>
      <c r="AS118" s="549">
        <f>VLOOKUP($H118,Nutrition_tables!$A:$AF,32,FALSE)*$Q118/100</f>
        <v>0</v>
      </c>
      <c r="AT118" s="583" t="str">
        <f>IF(H118="Select ingredient:","",IF(G118="Select food category:","",IFERROR(VLOOKUP($H118,Ingredient_prices!$E:$W,17,FALSE)*$Q118/1000,"not bought")))</f>
        <v/>
      </c>
      <c r="AU118" s="583" t="str">
        <f>IF(H118="Select ingredient:","",IF(G118="Select food category:","",IFERROR(VLOOKUP($H118,Ingredient_prices!$E:$W,18,FALSE)*$Q118/1000,"not bought")))</f>
        <v/>
      </c>
      <c r="AV118" s="583">
        <f t="shared" si="232"/>
        <v>0</v>
      </c>
      <c r="AW118" s="583">
        <f t="shared" si="233"/>
        <v>0</v>
      </c>
      <c r="AX118" s="583">
        <f t="shared" si="234"/>
        <v>0</v>
      </c>
      <c r="AY118" s="583">
        <f t="shared" si="235"/>
        <v>0</v>
      </c>
      <c r="AZ118" s="583">
        <f t="shared" si="236"/>
        <v>0</v>
      </c>
      <c r="BA118" s="583">
        <f t="shared" si="237"/>
        <v>0</v>
      </c>
      <c r="BB118" s="583">
        <f t="shared" si="238"/>
        <v>0</v>
      </c>
      <c r="BC118" s="583">
        <f t="shared" si="239"/>
        <v>0</v>
      </c>
      <c r="BD118" s="583">
        <f t="shared" si="240"/>
        <v>0</v>
      </c>
      <c r="BE118" s="583">
        <f t="shared" si="241"/>
        <v>0</v>
      </c>
      <c r="BF118" s="583">
        <f t="shared" si="242"/>
        <v>0</v>
      </c>
      <c r="BG118" s="583">
        <f t="shared" si="243"/>
        <v>0</v>
      </c>
      <c r="BH118" s="583">
        <f t="shared" si="244"/>
        <v>0</v>
      </c>
      <c r="BI118" s="583">
        <f t="shared" si="245"/>
        <v>0</v>
      </c>
      <c r="BJ118" s="583">
        <f t="shared" si="246"/>
        <v>0</v>
      </c>
      <c r="BK118" s="583">
        <f t="shared" si="247"/>
        <v>0</v>
      </c>
      <c r="BL118" s="583">
        <f t="shared" si="248"/>
        <v>0</v>
      </c>
      <c r="BM118" s="583">
        <f t="shared" si="249"/>
        <v>0</v>
      </c>
      <c r="BN118" s="583">
        <f t="shared" si="250"/>
        <v>0</v>
      </c>
      <c r="BO118" s="583">
        <f t="shared" si="251"/>
        <v>0</v>
      </c>
      <c r="BP118" s="583">
        <f t="shared" si="252"/>
        <v>0</v>
      </c>
      <c r="BQ118" s="583">
        <f t="shared" si="253"/>
        <v>0</v>
      </c>
      <c r="BR118" s="583">
        <f t="shared" si="254"/>
        <v>0</v>
      </c>
    </row>
    <row r="119" spans="1:70" s="229" customFormat="1" ht="15" customHeight="1">
      <c r="A119" s="574"/>
      <c r="D119" s="406"/>
      <c r="E119" s="576">
        <f t="shared" si="256"/>
        <v>100</v>
      </c>
      <c r="F119" s="707"/>
      <c r="G119" s="406" t="s">
        <v>3054</v>
      </c>
      <c r="H119" s="1262" t="s">
        <v>3055</v>
      </c>
      <c r="I119" s="85">
        <v>0</v>
      </c>
      <c r="J119" s="682">
        <v>1</v>
      </c>
      <c r="K119" s="579" t="str">
        <f t="shared" si="230"/>
        <v/>
      </c>
      <c r="L119" s="580" t="str">
        <f>IF(H119="Select ingredient:","",IF(G119="","",_xlfn.IFNA(VLOOKUP($H119,Ingredient_prices!$E:$U,16,FALSE),0)))</f>
        <v/>
      </c>
      <c r="M119" s="840"/>
      <c r="N119" s="840"/>
      <c r="O119" s="581"/>
      <c r="P119" s="582"/>
      <c r="Q119" s="583">
        <f t="shared" si="231"/>
        <v>0</v>
      </c>
      <c r="R119" s="583">
        <f>VLOOKUP($H119,'CO2_emission+%_food_waste'!$A:$K,6,FALSE)*$Q119/100</f>
        <v>0</v>
      </c>
      <c r="S119" s="583">
        <f t="shared" si="255"/>
        <v>0</v>
      </c>
      <c r="T119" s="583" t="str">
        <f>IF(H119="Select ingredient:","",IF(G119="Select food category:","",_xlfn.IFNA(VLOOKUP($H119,Ingredient_prices!$E:$U,16,FALSE)*$Q119/1000,"not bought")))</f>
        <v/>
      </c>
      <c r="U119" s="583" t="str">
        <f>IF(G119="Select food category:","",_xlfn.IFNA(VLOOKUP($H119,Ingredient_prices!$E:$U,16,FALSE)*$R119/1000,"not bought"))</f>
        <v/>
      </c>
      <c r="V119" s="549">
        <f>VLOOKUP($H119,'CO2_emission+%_food_waste'!$A:$K,4,FALSE)*$Q119</f>
        <v>0</v>
      </c>
      <c r="W119" s="583">
        <f>VLOOKUP($H119,Nutrition_tables!$A:$N,10,FALSE)*$Q119/100</f>
        <v>0</v>
      </c>
      <c r="X119" s="583">
        <f>VLOOKUP($H119,Nutrition_tables!$A:$N,11,FALSE)*$Q119/100</f>
        <v>0</v>
      </c>
      <c r="Y119" s="583">
        <f>VLOOKUP($H119,Nutrition_tables!$A:$N,12,FALSE)*$Q119/100</f>
        <v>0</v>
      </c>
      <c r="Z119" s="583">
        <f>VLOOKUP($H119,Nutrition_tables!$A:$N,14,FALSE)*$Q119/100</f>
        <v>0</v>
      </c>
      <c r="AA119" s="583">
        <f>VLOOKUP($H119,Nutrition_tables!$A:$AF,13,FALSE)*$Q119/100</f>
        <v>0</v>
      </c>
      <c r="AB119" s="549">
        <f>VLOOKUP($H119,Nutrition_tables!$A:$AF,15,FALSE)*$Q119/100</f>
        <v>0</v>
      </c>
      <c r="AC119" s="583">
        <f>VLOOKUP($H119,Nutrition_tables!$A:$AF,16,FALSE)*$Q119/100</f>
        <v>0</v>
      </c>
      <c r="AD119" s="583">
        <f>VLOOKUP($H119,Nutrition_tables!$A:$AF,17,FALSE)*$Q119/100</f>
        <v>0</v>
      </c>
      <c r="AE119" s="583">
        <f>VLOOKUP($H119,Nutrition_tables!$A:$AF,18,FALSE)*$Q119/100</f>
        <v>0</v>
      </c>
      <c r="AF119" s="583">
        <f>VLOOKUP($H119,Nutrition_tables!$A:$AF,19,FALSE)*$Q119/100</f>
        <v>0</v>
      </c>
      <c r="AG119" s="583">
        <f>VLOOKUP($H119,Nutrition_tables!$A:$AF,20,FALSE)*$Q119/100</f>
        <v>0</v>
      </c>
      <c r="AH119" s="583">
        <f>VLOOKUP($H119,Nutrition_tables!$A:$AF,21,FALSE)*$Q119/100</f>
        <v>0</v>
      </c>
      <c r="AI119" s="583">
        <f>VLOOKUP($H119,Nutrition_tables!$A:$AF,22,FALSE)*$Q119/100</f>
        <v>0</v>
      </c>
      <c r="AJ119" s="549">
        <f>VLOOKUP($H119,Nutrition_tables!$A:$AF,23,FALSE)*$Q119/100</f>
        <v>0</v>
      </c>
      <c r="AK119" s="583">
        <f>VLOOKUP($H119,Nutrition_tables!$A:$AF,24,FALSE)*$Q119/100</f>
        <v>0</v>
      </c>
      <c r="AL119" s="583">
        <f>VLOOKUP($H119,Nutrition_tables!$A:$AF,25,FALSE)*$Q119/100</f>
        <v>0</v>
      </c>
      <c r="AM119" s="583">
        <f>VLOOKUP($H119,Nutrition_tables!$A:$AF,26,FALSE)*$Q119/100</f>
        <v>0</v>
      </c>
      <c r="AN119" s="583">
        <f>VLOOKUP($H119,Nutrition_tables!$A:$AF,27,FALSE)*$Q119/100</f>
        <v>0</v>
      </c>
      <c r="AO119" s="583">
        <f>VLOOKUP($H119,Nutrition_tables!$A:$AF,28,FALSE)*$Q119/100</f>
        <v>0</v>
      </c>
      <c r="AP119" s="583">
        <f>VLOOKUP($H119,Nutrition_tables!$A:$AF,29,FALSE)*$Q119/100</f>
        <v>0</v>
      </c>
      <c r="AQ119" s="583">
        <f>VLOOKUP($H119,Nutrition_tables!$A:$AF,30,FALSE)*$Q119/100</f>
        <v>0</v>
      </c>
      <c r="AR119" s="583">
        <f>VLOOKUP($H119,Nutrition_tables!$A:$AF,31,FALSE)*$Q119/100</f>
        <v>0</v>
      </c>
      <c r="AS119" s="549">
        <f>VLOOKUP($H119,Nutrition_tables!$A:$AF,32,FALSE)*$Q119/100</f>
        <v>0</v>
      </c>
      <c r="AT119" s="583" t="str">
        <f>IF(H119="Select ingredient:","",IF(G119="Select food category:","",IFERROR(VLOOKUP($H119,Ingredient_prices!$E:$W,17,FALSE)*$Q119/1000,"not bought")))</f>
        <v/>
      </c>
      <c r="AU119" s="583" t="str">
        <f>IF(H119="Select ingredient:","",IF(G119="Select food category:","",IFERROR(VLOOKUP($H119,Ingredient_prices!$E:$W,18,FALSE)*$Q119/1000,"not bought")))</f>
        <v/>
      </c>
      <c r="AV119" s="583">
        <f t="shared" si="232"/>
        <v>0</v>
      </c>
      <c r="AW119" s="583">
        <f t="shared" si="233"/>
        <v>0</v>
      </c>
      <c r="AX119" s="583">
        <f t="shared" si="234"/>
        <v>0</v>
      </c>
      <c r="AY119" s="583">
        <f t="shared" si="235"/>
        <v>0</v>
      </c>
      <c r="AZ119" s="583">
        <f t="shared" si="236"/>
        <v>0</v>
      </c>
      <c r="BA119" s="583">
        <f t="shared" si="237"/>
        <v>0</v>
      </c>
      <c r="BB119" s="583">
        <f t="shared" si="238"/>
        <v>0</v>
      </c>
      <c r="BC119" s="583">
        <f t="shared" si="239"/>
        <v>0</v>
      </c>
      <c r="BD119" s="583">
        <f t="shared" si="240"/>
        <v>0</v>
      </c>
      <c r="BE119" s="583">
        <f t="shared" si="241"/>
        <v>0</v>
      </c>
      <c r="BF119" s="583">
        <f t="shared" si="242"/>
        <v>0</v>
      </c>
      <c r="BG119" s="583">
        <f t="shared" si="243"/>
        <v>0</v>
      </c>
      <c r="BH119" s="583">
        <f t="shared" si="244"/>
        <v>0</v>
      </c>
      <c r="BI119" s="583">
        <f t="shared" si="245"/>
        <v>0</v>
      </c>
      <c r="BJ119" s="583">
        <f t="shared" si="246"/>
        <v>0</v>
      </c>
      <c r="BK119" s="583">
        <f t="shared" si="247"/>
        <v>0</v>
      </c>
      <c r="BL119" s="583">
        <f t="shared" si="248"/>
        <v>0</v>
      </c>
      <c r="BM119" s="583">
        <f t="shared" si="249"/>
        <v>0</v>
      </c>
      <c r="BN119" s="583">
        <f t="shared" si="250"/>
        <v>0</v>
      </c>
      <c r="BO119" s="583">
        <f t="shared" si="251"/>
        <v>0</v>
      </c>
      <c r="BP119" s="583">
        <f t="shared" si="252"/>
        <v>0</v>
      </c>
      <c r="BQ119" s="583">
        <f t="shared" si="253"/>
        <v>0</v>
      </c>
      <c r="BR119" s="583">
        <f t="shared" si="254"/>
        <v>0</v>
      </c>
    </row>
    <row r="120" spans="1:70" s="229" customFormat="1" ht="15" customHeight="1">
      <c r="A120" s="574"/>
      <c r="D120" s="406"/>
      <c r="E120" s="576">
        <f t="shared" si="256"/>
        <v>100</v>
      </c>
      <c r="F120" s="707"/>
      <c r="G120" s="406" t="s">
        <v>3054</v>
      </c>
      <c r="H120" s="1262" t="s">
        <v>3055</v>
      </c>
      <c r="I120" s="85">
        <v>0</v>
      </c>
      <c r="J120" s="682">
        <v>1</v>
      </c>
      <c r="K120" s="579" t="str">
        <f t="shared" si="230"/>
        <v/>
      </c>
      <c r="L120" s="580" t="str">
        <f>IF(H120="Select ingredient:","",IF(G120="","",_xlfn.IFNA(VLOOKUP($H120,Ingredient_prices!$E:$U,16,FALSE),0)))</f>
        <v/>
      </c>
      <c r="M120" s="840"/>
      <c r="N120" s="840"/>
      <c r="O120" s="581"/>
      <c r="P120" s="582"/>
      <c r="Q120" s="583">
        <f t="shared" si="231"/>
        <v>0</v>
      </c>
      <c r="R120" s="583">
        <f>VLOOKUP($H120,'CO2_emission+%_food_waste'!$A:$K,6,FALSE)*$Q120/100</f>
        <v>0</v>
      </c>
      <c r="S120" s="583">
        <f t="shared" si="255"/>
        <v>0</v>
      </c>
      <c r="T120" s="583" t="str">
        <f>IF(H120="Select ingredient:","",IF(G120="Select food category:","",_xlfn.IFNA(VLOOKUP($H120,Ingredient_prices!$E:$U,16,FALSE)*$Q120/1000,"not bought")))</f>
        <v/>
      </c>
      <c r="U120" s="583" t="str">
        <f>IF(G120="Select food category:","",_xlfn.IFNA(VLOOKUP($H120,Ingredient_prices!$E:$U,16,FALSE)*$R120/1000,"not bought"))</f>
        <v/>
      </c>
      <c r="V120" s="549">
        <f>VLOOKUP($H120,'CO2_emission+%_food_waste'!$A:$K,4,FALSE)*$Q120</f>
        <v>0</v>
      </c>
      <c r="W120" s="583">
        <f>VLOOKUP($H120,Nutrition_tables!$A:$N,10,FALSE)*$Q120/100</f>
        <v>0</v>
      </c>
      <c r="X120" s="583">
        <f>VLOOKUP($H120,Nutrition_tables!$A:$N,11,FALSE)*$Q120/100</f>
        <v>0</v>
      </c>
      <c r="Y120" s="583">
        <f>VLOOKUP($H120,Nutrition_tables!$A:$N,12,FALSE)*$Q120/100</f>
        <v>0</v>
      </c>
      <c r="Z120" s="583">
        <f>VLOOKUP($H120,Nutrition_tables!$A:$N,14,FALSE)*$Q120/100</f>
        <v>0</v>
      </c>
      <c r="AA120" s="583">
        <f>VLOOKUP($H120,Nutrition_tables!$A:$AF,13,FALSE)*$Q120/100</f>
        <v>0</v>
      </c>
      <c r="AB120" s="549">
        <f>VLOOKUP($H120,Nutrition_tables!$A:$AF,15,FALSE)*$Q120/100</f>
        <v>0</v>
      </c>
      <c r="AC120" s="583">
        <f>VLOOKUP($H120,Nutrition_tables!$A:$AF,16,FALSE)*$Q120/100</f>
        <v>0</v>
      </c>
      <c r="AD120" s="583">
        <f>VLOOKUP($H120,Nutrition_tables!$A:$AF,17,FALSE)*$Q120/100</f>
        <v>0</v>
      </c>
      <c r="AE120" s="583">
        <f>VLOOKUP($H120,Nutrition_tables!$A:$AF,18,FALSE)*$Q120/100</f>
        <v>0</v>
      </c>
      <c r="AF120" s="583">
        <f>VLOOKUP($H120,Nutrition_tables!$A:$AF,19,FALSE)*$Q120/100</f>
        <v>0</v>
      </c>
      <c r="AG120" s="583">
        <f>VLOOKUP($H120,Nutrition_tables!$A:$AF,20,FALSE)*$Q120/100</f>
        <v>0</v>
      </c>
      <c r="AH120" s="583">
        <f>VLOOKUP($H120,Nutrition_tables!$A:$AF,21,FALSE)*$Q120/100</f>
        <v>0</v>
      </c>
      <c r="AI120" s="583">
        <f>VLOOKUP($H120,Nutrition_tables!$A:$AF,22,FALSE)*$Q120/100</f>
        <v>0</v>
      </c>
      <c r="AJ120" s="549">
        <f>VLOOKUP($H120,Nutrition_tables!$A:$AF,23,FALSE)*$Q120/100</f>
        <v>0</v>
      </c>
      <c r="AK120" s="583">
        <f>VLOOKUP($H120,Nutrition_tables!$A:$AF,24,FALSE)*$Q120/100</f>
        <v>0</v>
      </c>
      <c r="AL120" s="583">
        <f>VLOOKUP($H120,Nutrition_tables!$A:$AF,25,FALSE)*$Q120/100</f>
        <v>0</v>
      </c>
      <c r="AM120" s="583">
        <f>VLOOKUP($H120,Nutrition_tables!$A:$AF,26,FALSE)*$Q120/100</f>
        <v>0</v>
      </c>
      <c r="AN120" s="583">
        <f>VLOOKUP($H120,Nutrition_tables!$A:$AF,27,FALSE)*$Q120/100</f>
        <v>0</v>
      </c>
      <c r="AO120" s="583">
        <f>VLOOKUP($H120,Nutrition_tables!$A:$AF,28,FALSE)*$Q120/100</f>
        <v>0</v>
      </c>
      <c r="AP120" s="583">
        <f>VLOOKUP($H120,Nutrition_tables!$A:$AF,29,FALSE)*$Q120/100</f>
        <v>0</v>
      </c>
      <c r="AQ120" s="583">
        <f>VLOOKUP($H120,Nutrition_tables!$A:$AF,30,FALSE)*$Q120/100</f>
        <v>0</v>
      </c>
      <c r="AR120" s="583">
        <f>VLOOKUP($H120,Nutrition_tables!$A:$AF,31,FALSE)*$Q120/100</f>
        <v>0</v>
      </c>
      <c r="AS120" s="549">
        <f>VLOOKUP($H120,Nutrition_tables!$A:$AF,32,FALSE)*$Q120/100</f>
        <v>0</v>
      </c>
      <c r="AT120" s="583" t="str">
        <f>IF(H120="Select ingredient:","",IF(G120="Select food category:","",IFERROR(VLOOKUP($H120,Ingredient_prices!$E:$W,17,FALSE)*$Q120/1000,"not bought")))</f>
        <v/>
      </c>
      <c r="AU120" s="583" t="str">
        <f>IF(H120="Select ingredient:","",IF(G120="Select food category:","",IFERROR(VLOOKUP($H120,Ingredient_prices!$E:$W,18,FALSE)*$Q120/1000,"not bought")))</f>
        <v/>
      </c>
      <c r="AV120" s="583">
        <f t="shared" si="232"/>
        <v>0</v>
      </c>
      <c r="AW120" s="583">
        <f t="shared" si="233"/>
        <v>0</v>
      </c>
      <c r="AX120" s="583">
        <f t="shared" si="234"/>
        <v>0</v>
      </c>
      <c r="AY120" s="583">
        <f t="shared" si="235"/>
        <v>0</v>
      </c>
      <c r="AZ120" s="583">
        <f t="shared" si="236"/>
        <v>0</v>
      </c>
      <c r="BA120" s="583">
        <f t="shared" si="237"/>
        <v>0</v>
      </c>
      <c r="BB120" s="583">
        <f t="shared" si="238"/>
        <v>0</v>
      </c>
      <c r="BC120" s="583">
        <f t="shared" si="239"/>
        <v>0</v>
      </c>
      <c r="BD120" s="583">
        <f t="shared" si="240"/>
        <v>0</v>
      </c>
      <c r="BE120" s="583">
        <f t="shared" si="241"/>
        <v>0</v>
      </c>
      <c r="BF120" s="583">
        <f t="shared" si="242"/>
        <v>0</v>
      </c>
      <c r="BG120" s="583">
        <f t="shared" si="243"/>
        <v>0</v>
      </c>
      <c r="BH120" s="583">
        <f t="shared" si="244"/>
        <v>0</v>
      </c>
      <c r="BI120" s="583">
        <f t="shared" si="245"/>
        <v>0</v>
      </c>
      <c r="BJ120" s="583">
        <f t="shared" si="246"/>
        <v>0</v>
      </c>
      <c r="BK120" s="583">
        <f t="shared" si="247"/>
        <v>0</v>
      </c>
      <c r="BL120" s="583">
        <f t="shared" si="248"/>
        <v>0</v>
      </c>
      <c r="BM120" s="583">
        <f t="shared" si="249"/>
        <v>0</v>
      </c>
      <c r="BN120" s="583">
        <f t="shared" si="250"/>
        <v>0</v>
      </c>
      <c r="BO120" s="583">
        <f t="shared" si="251"/>
        <v>0</v>
      </c>
      <c r="BP120" s="583">
        <f t="shared" si="252"/>
        <v>0</v>
      </c>
      <c r="BQ120" s="583">
        <f t="shared" si="253"/>
        <v>0</v>
      </c>
      <c r="BR120" s="583">
        <f t="shared" si="254"/>
        <v>0</v>
      </c>
    </row>
    <row r="121" spans="1:70" s="229" customFormat="1" ht="15" customHeight="1">
      <c r="A121" s="574"/>
      <c r="D121" s="406"/>
      <c r="E121" s="576">
        <f t="shared" si="256"/>
        <v>100</v>
      </c>
      <c r="F121" s="707"/>
      <c r="G121" s="406" t="s">
        <v>3054</v>
      </c>
      <c r="H121" s="1262" t="s">
        <v>3055</v>
      </c>
      <c r="I121" s="85">
        <v>0</v>
      </c>
      <c r="J121" s="682">
        <v>1</v>
      </c>
      <c r="K121" s="579" t="str">
        <f t="shared" si="230"/>
        <v/>
      </c>
      <c r="L121" s="580" t="str">
        <f>IF(H121="Select ingredient:","",IF(G121="","",_xlfn.IFNA(VLOOKUP($H121,Ingredient_prices!$E:$U,16,FALSE),0)))</f>
        <v/>
      </c>
      <c r="M121" s="840"/>
      <c r="N121" s="840"/>
      <c r="O121" s="581"/>
      <c r="P121" s="582"/>
      <c r="Q121" s="583">
        <f t="shared" si="231"/>
        <v>0</v>
      </c>
      <c r="R121" s="583">
        <f>VLOOKUP($H121,'CO2_emission+%_food_waste'!$A:$K,6,FALSE)*$Q121/100</f>
        <v>0</v>
      </c>
      <c r="S121" s="583">
        <f t="shared" si="255"/>
        <v>0</v>
      </c>
      <c r="T121" s="583" t="str">
        <f>IF(H121="Select ingredient:","",IF(G121="Select food category:","",_xlfn.IFNA(VLOOKUP($H121,Ingredient_prices!$E:$U,16,FALSE)*$Q121/1000,"not bought")))</f>
        <v/>
      </c>
      <c r="U121" s="583" t="str">
        <f>IF(G121="Select food category:","",_xlfn.IFNA(VLOOKUP($H121,Ingredient_prices!$E:$U,16,FALSE)*$R121/1000,"not bought"))</f>
        <v/>
      </c>
      <c r="V121" s="549">
        <f>VLOOKUP($H121,'CO2_emission+%_food_waste'!$A:$K,4,FALSE)*$Q121</f>
        <v>0</v>
      </c>
      <c r="W121" s="583">
        <f>VLOOKUP($H121,Nutrition_tables!$A:$N,10,FALSE)*$Q121/100</f>
        <v>0</v>
      </c>
      <c r="X121" s="583">
        <f>VLOOKUP($H121,Nutrition_tables!$A:$N,11,FALSE)*$Q121/100</f>
        <v>0</v>
      </c>
      <c r="Y121" s="583">
        <f>VLOOKUP($H121,Nutrition_tables!$A:$N,12,FALSE)*$Q121/100</f>
        <v>0</v>
      </c>
      <c r="Z121" s="583">
        <f>VLOOKUP($H121,Nutrition_tables!$A:$N,14,FALSE)*$Q121/100</f>
        <v>0</v>
      </c>
      <c r="AA121" s="583">
        <f>VLOOKUP($H121,Nutrition_tables!$A:$AF,13,FALSE)*$Q121/100</f>
        <v>0</v>
      </c>
      <c r="AB121" s="549">
        <f>VLOOKUP($H121,Nutrition_tables!$A:$AF,15,FALSE)*$Q121/100</f>
        <v>0</v>
      </c>
      <c r="AC121" s="583">
        <f>VLOOKUP($H121,Nutrition_tables!$A:$AF,16,FALSE)*$Q121/100</f>
        <v>0</v>
      </c>
      <c r="AD121" s="583">
        <f>VLOOKUP($H121,Nutrition_tables!$A:$AF,17,FALSE)*$Q121/100</f>
        <v>0</v>
      </c>
      <c r="AE121" s="583">
        <f>VLOOKUP($H121,Nutrition_tables!$A:$AF,18,FALSE)*$Q121/100</f>
        <v>0</v>
      </c>
      <c r="AF121" s="583">
        <f>VLOOKUP($H121,Nutrition_tables!$A:$AF,19,FALSE)*$Q121/100</f>
        <v>0</v>
      </c>
      <c r="AG121" s="583">
        <f>VLOOKUP($H121,Nutrition_tables!$A:$AF,20,FALSE)*$Q121/100</f>
        <v>0</v>
      </c>
      <c r="AH121" s="583">
        <f>VLOOKUP($H121,Nutrition_tables!$A:$AF,21,FALSE)*$Q121/100</f>
        <v>0</v>
      </c>
      <c r="AI121" s="583">
        <f>VLOOKUP($H121,Nutrition_tables!$A:$AF,22,FALSE)*$Q121/100</f>
        <v>0</v>
      </c>
      <c r="AJ121" s="549">
        <f>VLOOKUP($H121,Nutrition_tables!$A:$AF,23,FALSE)*$Q121/100</f>
        <v>0</v>
      </c>
      <c r="AK121" s="583">
        <f>VLOOKUP($H121,Nutrition_tables!$A:$AF,24,FALSE)*$Q121/100</f>
        <v>0</v>
      </c>
      <c r="AL121" s="583">
        <f>VLOOKUP($H121,Nutrition_tables!$A:$AF,25,FALSE)*$Q121/100</f>
        <v>0</v>
      </c>
      <c r="AM121" s="583">
        <f>VLOOKUP($H121,Nutrition_tables!$A:$AF,26,FALSE)*$Q121/100</f>
        <v>0</v>
      </c>
      <c r="AN121" s="583">
        <f>VLOOKUP($H121,Nutrition_tables!$A:$AF,27,FALSE)*$Q121/100</f>
        <v>0</v>
      </c>
      <c r="AO121" s="583">
        <f>VLOOKUP($H121,Nutrition_tables!$A:$AF,28,FALSE)*$Q121/100</f>
        <v>0</v>
      </c>
      <c r="AP121" s="583">
        <f>VLOOKUP($H121,Nutrition_tables!$A:$AF,29,FALSE)*$Q121/100</f>
        <v>0</v>
      </c>
      <c r="AQ121" s="583">
        <f>VLOOKUP($H121,Nutrition_tables!$A:$AF,30,FALSE)*$Q121/100</f>
        <v>0</v>
      </c>
      <c r="AR121" s="583">
        <f>VLOOKUP($H121,Nutrition_tables!$A:$AF,31,FALSE)*$Q121/100</f>
        <v>0</v>
      </c>
      <c r="AS121" s="549">
        <f>VLOOKUP($H121,Nutrition_tables!$A:$AF,32,FALSE)*$Q121/100</f>
        <v>0</v>
      </c>
      <c r="AT121" s="583" t="str">
        <f>IF(H121="Select ingredient:","",IF(G121="Select food category:","",IFERROR(VLOOKUP($H121,Ingredient_prices!$E:$W,17,FALSE)*$Q121/1000,"not bought")))</f>
        <v/>
      </c>
      <c r="AU121" s="583" t="str">
        <f>IF(H121="Select ingredient:","",IF(G121="Select food category:","",IFERROR(VLOOKUP($H121,Ingredient_prices!$E:$W,18,FALSE)*$Q121/1000,"not bought")))</f>
        <v/>
      </c>
      <c r="AV121" s="583">
        <f t="shared" si="232"/>
        <v>0</v>
      </c>
      <c r="AW121" s="583">
        <f t="shared" si="233"/>
        <v>0</v>
      </c>
      <c r="AX121" s="583">
        <f t="shared" si="234"/>
        <v>0</v>
      </c>
      <c r="AY121" s="583">
        <f t="shared" si="235"/>
        <v>0</v>
      </c>
      <c r="AZ121" s="583">
        <f t="shared" si="236"/>
        <v>0</v>
      </c>
      <c r="BA121" s="583">
        <f t="shared" si="237"/>
        <v>0</v>
      </c>
      <c r="BB121" s="583">
        <f t="shared" si="238"/>
        <v>0</v>
      </c>
      <c r="BC121" s="583">
        <f t="shared" si="239"/>
        <v>0</v>
      </c>
      <c r="BD121" s="583">
        <f t="shared" si="240"/>
        <v>0</v>
      </c>
      <c r="BE121" s="583">
        <f t="shared" si="241"/>
        <v>0</v>
      </c>
      <c r="BF121" s="583">
        <f t="shared" si="242"/>
        <v>0</v>
      </c>
      <c r="BG121" s="583">
        <f t="shared" si="243"/>
        <v>0</v>
      </c>
      <c r="BH121" s="583">
        <f t="shared" si="244"/>
        <v>0</v>
      </c>
      <c r="BI121" s="583">
        <f t="shared" si="245"/>
        <v>0</v>
      </c>
      <c r="BJ121" s="583">
        <f t="shared" si="246"/>
        <v>0</v>
      </c>
      <c r="BK121" s="583">
        <f t="shared" si="247"/>
        <v>0</v>
      </c>
      <c r="BL121" s="583">
        <f t="shared" si="248"/>
        <v>0</v>
      </c>
      <c r="BM121" s="583">
        <f t="shared" si="249"/>
        <v>0</v>
      </c>
      <c r="BN121" s="583">
        <f t="shared" si="250"/>
        <v>0</v>
      </c>
      <c r="BO121" s="583">
        <f t="shared" si="251"/>
        <v>0</v>
      </c>
      <c r="BP121" s="583">
        <f t="shared" si="252"/>
        <v>0</v>
      </c>
      <c r="BQ121" s="583">
        <f t="shared" si="253"/>
        <v>0</v>
      </c>
      <c r="BR121" s="583">
        <f t="shared" si="254"/>
        <v>0</v>
      </c>
    </row>
    <row r="122" spans="1:70" s="229" customFormat="1" ht="15" customHeight="1">
      <c r="A122" s="574"/>
      <c r="D122" s="85"/>
      <c r="E122" s="576">
        <f t="shared" si="256"/>
        <v>100</v>
      </c>
      <c r="F122" s="707"/>
      <c r="G122" s="406" t="s">
        <v>3054</v>
      </c>
      <c r="H122" s="1262" t="s">
        <v>3055</v>
      </c>
      <c r="I122" s="85">
        <v>0</v>
      </c>
      <c r="J122" s="682">
        <v>1</v>
      </c>
      <c r="K122" s="579" t="str">
        <f t="shared" si="230"/>
        <v/>
      </c>
      <c r="L122" s="580" t="str">
        <f>IF(H122="Select ingredient:","",IF(G122="","",_xlfn.IFNA(VLOOKUP($H122,Ingredient_prices!$E:$U,16,FALSE),0)))</f>
        <v/>
      </c>
      <c r="M122" s="840"/>
      <c r="N122" s="840"/>
      <c r="O122" s="581"/>
      <c r="P122" s="582"/>
      <c r="Q122" s="583">
        <f t="shared" si="231"/>
        <v>0</v>
      </c>
      <c r="R122" s="583">
        <f>VLOOKUP($H122,'CO2_emission+%_food_waste'!$A:$K,6,FALSE)*$Q122/100</f>
        <v>0</v>
      </c>
      <c r="S122" s="583">
        <f t="shared" si="255"/>
        <v>0</v>
      </c>
      <c r="T122" s="583" t="str">
        <f>IF(H122="Select ingredient:","",IF(G122="Select food category:","",_xlfn.IFNA(VLOOKUP($H122,Ingredient_prices!$E:$U,16,FALSE)*$Q122/1000,"not bought")))</f>
        <v/>
      </c>
      <c r="U122" s="583" t="str">
        <f>IF(G122="Select food category:","",_xlfn.IFNA(VLOOKUP($H122,Ingredient_prices!$E:$U,16,FALSE)*$R122/1000,"not bought"))</f>
        <v/>
      </c>
      <c r="V122" s="549">
        <f>VLOOKUP($H122,'CO2_emission+%_food_waste'!$A:$K,4,FALSE)*$Q122</f>
        <v>0</v>
      </c>
      <c r="W122" s="583">
        <f>VLOOKUP($H122,Nutrition_tables!$A:$N,10,FALSE)*$Q122/100</f>
        <v>0</v>
      </c>
      <c r="X122" s="583">
        <f>VLOOKUP($H122,Nutrition_tables!$A:$N,11,FALSE)*$Q122/100</f>
        <v>0</v>
      </c>
      <c r="Y122" s="583">
        <f>VLOOKUP($H122,Nutrition_tables!$A:$N,12,FALSE)*$Q122/100</f>
        <v>0</v>
      </c>
      <c r="Z122" s="583">
        <f>VLOOKUP($H122,Nutrition_tables!$A:$N,14,FALSE)*$Q122/100</f>
        <v>0</v>
      </c>
      <c r="AA122" s="583">
        <f>VLOOKUP($H122,Nutrition_tables!$A:$AF,13,FALSE)*$Q122/100</f>
        <v>0</v>
      </c>
      <c r="AB122" s="549">
        <f>VLOOKUP($H122,Nutrition_tables!$A:$AF,15,FALSE)*$Q122/100</f>
        <v>0</v>
      </c>
      <c r="AC122" s="583">
        <f>VLOOKUP($H122,Nutrition_tables!$A:$AF,16,FALSE)*$Q122/100</f>
        <v>0</v>
      </c>
      <c r="AD122" s="583">
        <f>VLOOKUP($H122,Nutrition_tables!$A:$AF,17,FALSE)*$Q122/100</f>
        <v>0</v>
      </c>
      <c r="AE122" s="583">
        <f>VLOOKUP($H122,Nutrition_tables!$A:$AF,18,FALSE)*$Q122/100</f>
        <v>0</v>
      </c>
      <c r="AF122" s="583">
        <f>VLOOKUP($H122,Nutrition_tables!$A:$AF,19,FALSE)*$Q122/100</f>
        <v>0</v>
      </c>
      <c r="AG122" s="583">
        <f>VLOOKUP($H122,Nutrition_tables!$A:$AF,20,FALSE)*$Q122/100</f>
        <v>0</v>
      </c>
      <c r="AH122" s="583">
        <f>VLOOKUP($H122,Nutrition_tables!$A:$AF,21,FALSE)*$Q122/100</f>
        <v>0</v>
      </c>
      <c r="AI122" s="583">
        <f>VLOOKUP($H122,Nutrition_tables!$A:$AF,22,FALSE)*$Q122/100</f>
        <v>0</v>
      </c>
      <c r="AJ122" s="549">
        <f>VLOOKUP($H122,Nutrition_tables!$A:$AF,23,FALSE)*$Q122/100</f>
        <v>0</v>
      </c>
      <c r="AK122" s="583">
        <f>VLOOKUP($H122,Nutrition_tables!$A:$AF,24,FALSE)*$Q122/100</f>
        <v>0</v>
      </c>
      <c r="AL122" s="583">
        <f>VLOOKUP($H122,Nutrition_tables!$A:$AF,25,FALSE)*$Q122/100</f>
        <v>0</v>
      </c>
      <c r="AM122" s="583">
        <f>VLOOKUP($H122,Nutrition_tables!$A:$AF,26,FALSE)*$Q122/100</f>
        <v>0</v>
      </c>
      <c r="AN122" s="583">
        <f>VLOOKUP($H122,Nutrition_tables!$A:$AF,27,FALSE)*$Q122/100</f>
        <v>0</v>
      </c>
      <c r="AO122" s="583">
        <f>VLOOKUP($H122,Nutrition_tables!$A:$AF,28,FALSE)*$Q122/100</f>
        <v>0</v>
      </c>
      <c r="AP122" s="583">
        <f>VLOOKUP($H122,Nutrition_tables!$A:$AF,29,FALSE)*$Q122/100</f>
        <v>0</v>
      </c>
      <c r="AQ122" s="583">
        <f>VLOOKUP($H122,Nutrition_tables!$A:$AF,30,FALSE)*$Q122/100</f>
        <v>0</v>
      </c>
      <c r="AR122" s="583">
        <f>VLOOKUP($H122,Nutrition_tables!$A:$AF,31,FALSE)*$Q122/100</f>
        <v>0</v>
      </c>
      <c r="AS122" s="549">
        <f>VLOOKUP($H122,Nutrition_tables!$A:$AF,32,FALSE)*$Q122/100</f>
        <v>0</v>
      </c>
      <c r="AT122" s="583" t="str">
        <f>IF(H122="Select ingredient:","",IF(G122="Select food category:","",IFERROR(VLOOKUP($H122,Ingredient_prices!$E:$W,17,FALSE)*$Q122/1000,"not bought")))</f>
        <v/>
      </c>
      <c r="AU122" s="583" t="str">
        <f>IF(H122="Select ingredient:","",IF(G122="Select food category:","",IFERROR(VLOOKUP($H122,Ingredient_prices!$E:$W,18,FALSE)*$Q122/1000,"not bought")))</f>
        <v/>
      </c>
      <c r="AV122" s="583">
        <f t="shared" si="232"/>
        <v>0</v>
      </c>
      <c r="AW122" s="583">
        <f t="shared" si="233"/>
        <v>0</v>
      </c>
      <c r="AX122" s="583">
        <f t="shared" si="234"/>
        <v>0</v>
      </c>
      <c r="AY122" s="583">
        <f t="shared" si="235"/>
        <v>0</v>
      </c>
      <c r="AZ122" s="583">
        <f t="shared" si="236"/>
        <v>0</v>
      </c>
      <c r="BA122" s="583">
        <f t="shared" si="237"/>
        <v>0</v>
      </c>
      <c r="BB122" s="583">
        <f t="shared" si="238"/>
        <v>0</v>
      </c>
      <c r="BC122" s="583">
        <f t="shared" si="239"/>
        <v>0</v>
      </c>
      <c r="BD122" s="583">
        <f t="shared" si="240"/>
        <v>0</v>
      </c>
      <c r="BE122" s="583">
        <f t="shared" si="241"/>
        <v>0</v>
      </c>
      <c r="BF122" s="583">
        <f t="shared" si="242"/>
        <v>0</v>
      </c>
      <c r="BG122" s="583">
        <f t="shared" si="243"/>
        <v>0</v>
      </c>
      <c r="BH122" s="583">
        <f t="shared" si="244"/>
        <v>0</v>
      </c>
      <c r="BI122" s="583">
        <f t="shared" si="245"/>
        <v>0</v>
      </c>
      <c r="BJ122" s="583">
        <f t="shared" si="246"/>
        <v>0</v>
      </c>
      <c r="BK122" s="583">
        <f t="shared" si="247"/>
        <v>0</v>
      </c>
      <c r="BL122" s="583">
        <f t="shared" si="248"/>
        <v>0</v>
      </c>
      <c r="BM122" s="583">
        <f t="shared" si="249"/>
        <v>0</v>
      </c>
      <c r="BN122" s="583">
        <f t="shared" si="250"/>
        <v>0</v>
      </c>
      <c r="BO122" s="583">
        <f t="shared" si="251"/>
        <v>0</v>
      </c>
      <c r="BP122" s="583">
        <f t="shared" si="252"/>
        <v>0</v>
      </c>
      <c r="BQ122" s="583">
        <f t="shared" si="253"/>
        <v>0</v>
      </c>
      <c r="BR122" s="583">
        <f t="shared" si="254"/>
        <v>0</v>
      </c>
    </row>
    <row r="123" spans="1:70" s="229" customFormat="1" ht="15" customHeight="1">
      <c r="A123" s="574"/>
      <c r="D123" s="85"/>
      <c r="E123" s="576">
        <f t="shared" si="256"/>
        <v>100</v>
      </c>
      <c r="F123" s="707"/>
      <c r="G123" s="406" t="s">
        <v>3054</v>
      </c>
      <c r="H123" s="1262" t="s">
        <v>3055</v>
      </c>
      <c r="I123" s="85">
        <v>0</v>
      </c>
      <c r="J123" s="682">
        <v>1</v>
      </c>
      <c r="K123" s="579" t="str">
        <f t="shared" si="230"/>
        <v/>
      </c>
      <c r="L123" s="580" t="str">
        <f>IF(H123="Select ingredient:","",IF(G123="","",_xlfn.IFNA(VLOOKUP($H123,Ingredient_prices!$E:$U,16,FALSE),0)))</f>
        <v/>
      </c>
      <c r="M123" s="840"/>
      <c r="N123" s="840"/>
      <c r="O123" s="581"/>
      <c r="P123" s="582"/>
      <c r="Q123" s="583">
        <f t="shared" si="231"/>
        <v>0</v>
      </c>
      <c r="R123" s="583">
        <f>VLOOKUP($H123,'CO2_emission+%_food_waste'!$A:$K,6,FALSE)*$Q123/100</f>
        <v>0</v>
      </c>
      <c r="S123" s="583">
        <f t="shared" si="255"/>
        <v>0</v>
      </c>
      <c r="T123" s="583" t="str">
        <f>IF(H123="Select ingredient:","",IF(G123="Select food category:","",_xlfn.IFNA(VLOOKUP($H123,Ingredient_prices!$E:$U,16,FALSE)*$Q123/1000,"not bought")))</f>
        <v/>
      </c>
      <c r="U123" s="583" t="str">
        <f>IF(G123="Select food category:","",_xlfn.IFNA(VLOOKUP($H123,Ingredient_prices!$E:$U,16,FALSE)*$R123/1000,"not bought"))</f>
        <v/>
      </c>
      <c r="V123" s="549">
        <f>VLOOKUP($H123,'CO2_emission+%_food_waste'!$A:$K,4,FALSE)*$Q123</f>
        <v>0</v>
      </c>
      <c r="W123" s="583">
        <f>VLOOKUP($H123,Nutrition_tables!$A:$N,10,FALSE)*$Q123/100</f>
        <v>0</v>
      </c>
      <c r="X123" s="583">
        <f>VLOOKUP($H123,Nutrition_tables!$A:$N,11,FALSE)*$Q123/100</f>
        <v>0</v>
      </c>
      <c r="Y123" s="583">
        <f>VLOOKUP($H123,Nutrition_tables!$A:$N,12,FALSE)*$Q123/100</f>
        <v>0</v>
      </c>
      <c r="Z123" s="583">
        <f>VLOOKUP($H123,Nutrition_tables!$A:$N,14,FALSE)*$Q123/100</f>
        <v>0</v>
      </c>
      <c r="AA123" s="583">
        <f>VLOOKUP($H123,Nutrition_tables!$A:$AF,13,FALSE)*$Q123/100</f>
        <v>0</v>
      </c>
      <c r="AB123" s="549">
        <f>VLOOKUP($H123,Nutrition_tables!$A:$AF,15,FALSE)*$Q123/100</f>
        <v>0</v>
      </c>
      <c r="AC123" s="583">
        <f>VLOOKUP($H123,Nutrition_tables!$A:$AF,16,FALSE)*$Q123/100</f>
        <v>0</v>
      </c>
      <c r="AD123" s="583">
        <f>VLOOKUP($H123,Nutrition_tables!$A:$AF,17,FALSE)*$Q123/100</f>
        <v>0</v>
      </c>
      <c r="AE123" s="583">
        <f>VLOOKUP($H123,Nutrition_tables!$A:$AF,18,FALSE)*$Q123/100</f>
        <v>0</v>
      </c>
      <c r="AF123" s="583">
        <f>VLOOKUP($H123,Nutrition_tables!$A:$AF,19,FALSE)*$Q123/100</f>
        <v>0</v>
      </c>
      <c r="AG123" s="583">
        <f>VLOOKUP($H123,Nutrition_tables!$A:$AF,20,FALSE)*$Q123/100</f>
        <v>0</v>
      </c>
      <c r="AH123" s="583">
        <f>VLOOKUP($H123,Nutrition_tables!$A:$AF,21,FALSE)*$Q123/100</f>
        <v>0</v>
      </c>
      <c r="AI123" s="583">
        <f>VLOOKUP($H123,Nutrition_tables!$A:$AF,22,FALSE)*$Q123/100</f>
        <v>0</v>
      </c>
      <c r="AJ123" s="549">
        <f>VLOOKUP($H123,Nutrition_tables!$A:$AF,23,FALSE)*$Q123/100</f>
        <v>0</v>
      </c>
      <c r="AK123" s="583">
        <f>VLOOKUP($H123,Nutrition_tables!$A:$AF,24,FALSE)*$Q123/100</f>
        <v>0</v>
      </c>
      <c r="AL123" s="583">
        <f>VLOOKUP($H123,Nutrition_tables!$A:$AF,25,FALSE)*$Q123/100</f>
        <v>0</v>
      </c>
      <c r="AM123" s="583">
        <f>VLOOKUP($H123,Nutrition_tables!$A:$AF,26,FALSE)*$Q123/100</f>
        <v>0</v>
      </c>
      <c r="AN123" s="583">
        <f>VLOOKUP($H123,Nutrition_tables!$A:$AF,27,FALSE)*$Q123/100</f>
        <v>0</v>
      </c>
      <c r="AO123" s="583">
        <f>VLOOKUP($H123,Nutrition_tables!$A:$AF,28,FALSE)*$Q123/100</f>
        <v>0</v>
      </c>
      <c r="AP123" s="583">
        <f>VLOOKUP($H123,Nutrition_tables!$A:$AF,29,FALSE)*$Q123/100</f>
        <v>0</v>
      </c>
      <c r="AQ123" s="583">
        <f>VLOOKUP($H123,Nutrition_tables!$A:$AF,30,FALSE)*$Q123/100</f>
        <v>0</v>
      </c>
      <c r="AR123" s="583">
        <f>VLOOKUP($H123,Nutrition_tables!$A:$AF,31,FALSE)*$Q123/100</f>
        <v>0</v>
      </c>
      <c r="AS123" s="549">
        <f>VLOOKUP($H123,Nutrition_tables!$A:$AF,32,FALSE)*$Q123/100</f>
        <v>0</v>
      </c>
      <c r="AT123" s="583" t="str">
        <f>IF(H123="Select ingredient:","",IF(G123="Select food category:","",IFERROR(VLOOKUP($H123,Ingredient_prices!$E:$W,17,FALSE)*$Q123/1000,"not bought")))</f>
        <v/>
      </c>
      <c r="AU123" s="583" t="str">
        <f>IF(H123="Select ingredient:","",IF(G123="Select food category:","",IFERROR(VLOOKUP($H123,Ingredient_prices!$E:$W,18,FALSE)*$Q123/1000,"not bought")))</f>
        <v/>
      </c>
      <c r="AV123" s="583">
        <f t="shared" si="232"/>
        <v>0</v>
      </c>
      <c r="AW123" s="583">
        <f t="shared" si="233"/>
        <v>0</v>
      </c>
      <c r="AX123" s="583">
        <f t="shared" si="234"/>
        <v>0</v>
      </c>
      <c r="AY123" s="583">
        <f t="shared" si="235"/>
        <v>0</v>
      </c>
      <c r="AZ123" s="583">
        <f t="shared" si="236"/>
        <v>0</v>
      </c>
      <c r="BA123" s="583">
        <f t="shared" si="237"/>
        <v>0</v>
      </c>
      <c r="BB123" s="583">
        <f t="shared" si="238"/>
        <v>0</v>
      </c>
      <c r="BC123" s="583">
        <f t="shared" si="239"/>
        <v>0</v>
      </c>
      <c r="BD123" s="583">
        <f t="shared" si="240"/>
        <v>0</v>
      </c>
      <c r="BE123" s="583">
        <f t="shared" si="241"/>
        <v>0</v>
      </c>
      <c r="BF123" s="583">
        <f t="shared" si="242"/>
        <v>0</v>
      </c>
      <c r="BG123" s="583">
        <f t="shared" si="243"/>
        <v>0</v>
      </c>
      <c r="BH123" s="583">
        <f t="shared" si="244"/>
        <v>0</v>
      </c>
      <c r="BI123" s="583">
        <f t="shared" si="245"/>
        <v>0</v>
      </c>
      <c r="BJ123" s="583">
        <f t="shared" si="246"/>
        <v>0</v>
      </c>
      <c r="BK123" s="583">
        <f t="shared" si="247"/>
        <v>0</v>
      </c>
      <c r="BL123" s="583">
        <f t="shared" si="248"/>
        <v>0</v>
      </c>
      <c r="BM123" s="583">
        <f t="shared" si="249"/>
        <v>0</v>
      </c>
      <c r="BN123" s="583">
        <f t="shared" si="250"/>
        <v>0</v>
      </c>
      <c r="BO123" s="583">
        <f t="shared" si="251"/>
        <v>0</v>
      </c>
      <c r="BP123" s="583">
        <f t="shared" si="252"/>
        <v>0</v>
      </c>
      <c r="BQ123" s="583">
        <f t="shared" si="253"/>
        <v>0</v>
      </c>
      <c r="BR123" s="583">
        <f t="shared" si="254"/>
        <v>0</v>
      </c>
    </row>
    <row r="124" spans="1:70" s="229" customFormat="1" ht="15" customHeight="1">
      <c r="A124" s="574"/>
      <c r="D124" s="85"/>
      <c r="E124" s="576">
        <f t="shared" si="256"/>
        <v>100</v>
      </c>
      <c r="F124" s="707"/>
      <c r="G124" s="406" t="s">
        <v>3054</v>
      </c>
      <c r="H124" s="1262" t="s">
        <v>3055</v>
      </c>
      <c r="I124" s="85">
        <v>0</v>
      </c>
      <c r="J124" s="682">
        <v>1</v>
      </c>
      <c r="K124" s="579" t="str">
        <f t="shared" si="230"/>
        <v/>
      </c>
      <c r="L124" s="580" t="str">
        <f>IF(H124="Select ingredient:","",IF(G124="","",_xlfn.IFNA(VLOOKUP($H124,Ingredient_prices!$E:$U,16,FALSE),0)))</f>
        <v/>
      </c>
      <c r="M124" s="840"/>
      <c r="N124" s="840"/>
      <c r="O124" s="581"/>
      <c r="P124" s="582"/>
      <c r="Q124" s="583">
        <f t="shared" si="231"/>
        <v>0</v>
      </c>
      <c r="R124" s="583">
        <f>VLOOKUP($H124,'CO2_emission+%_food_waste'!$A:$K,6,FALSE)*$Q124/100</f>
        <v>0</v>
      </c>
      <c r="S124" s="583">
        <f t="shared" si="255"/>
        <v>0</v>
      </c>
      <c r="T124" s="583" t="str">
        <f>IF(H124="Select ingredient:","",IF(G124="Select food category:","",_xlfn.IFNA(VLOOKUP($H124,Ingredient_prices!$E:$U,16,FALSE)*$Q124/1000,"not bought")))</f>
        <v/>
      </c>
      <c r="U124" s="583" t="str">
        <f>IF(G124="Select food category:","",_xlfn.IFNA(VLOOKUP($H124,Ingredient_prices!$E:$U,16,FALSE)*$R124/1000,"not bought"))</f>
        <v/>
      </c>
      <c r="V124" s="549">
        <f>VLOOKUP($H124,'CO2_emission+%_food_waste'!$A:$K,4,FALSE)*$Q124</f>
        <v>0</v>
      </c>
      <c r="W124" s="583">
        <f>VLOOKUP($H124,Nutrition_tables!$A:$N,10,FALSE)*$Q124/100</f>
        <v>0</v>
      </c>
      <c r="X124" s="583">
        <f>VLOOKUP($H124,Nutrition_tables!$A:$N,11,FALSE)*$Q124/100</f>
        <v>0</v>
      </c>
      <c r="Y124" s="583">
        <f>VLOOKUP($H124,Nutrition_tables!$A:$N,12,FALSE)*$Q124/100</f>
        <v>0</v>
      </c>
      <c r="Z124" s="583">
        <f>VLOOKUP($H124,Nutrition_tables!$A:$N,14,FALSE)*$Q124/100</f>
        <v>0</v>
      </c>
      <c r="AA124" s="583">
        <f>VLOOKUP($H124,Nutrition_tables!$A:$AF,13,FALSE)*$Q124/100</f>
        <v>0</v>
      </c>
      <c r="AB124" s="549">
        <f>VLOOKUP($H124,Nutrition_tables!$A:$AF,15,FALSE)*$Q124/100</f>
        <v>0</v>
      </c>
      <c r="AC124" s="583">
        <f>VLOOKUP($H124,Nutrition_tables!$A:$AF,16,FALSE)*$Q124/100</f>
        <v>0</v>
      </c>
      <c r="AD124" s="583">
        <f>VLOOKUP($H124,Nutrition_tables!$A:$AF,17,FALSE)*$Q124/100</f>
        <v>0</v>
      </c>
      <c r="AE124" s="583">
        <f>VLOOKUP($H124,Nutrition_tables!$A:$AF,18,FALSE)*$Q124/100</f>
        <v>0</v>
      </c>
      <c r="AF124" s="583">
        <f>VLOOKUP($H124,Nutrition_tables!$A:$AF,19,FALSE)*$Q124/100</f>
        <v>0</v>
      </c>
      <c r="AG124" s="583">
        <f>VLOOKUP($H124,Nutrition_tables!$A:$AF,20,FALSE)*$Q124/100</f>
        <v>0</v>
      </c>
      <c r="AH124" s="583">
        <f>VLOOKUP($H124,Nutrition_tables!$A:$AF,21,FALSE)*$Q124/100</f>
        <v>0</v>
      </c>
      <c r="AI124" s="583">
        <f>VLOOKUP($H124,Nutrition_tables!$A:$AF,22,FALSE)*$Q124/100</f>
        <v>0</v>
      </c>
      <c r="AJ124" s="549">
        <f>VLOOKUP($H124,Nutrition_tables!$A:$AF,23,FALSE)*$Q124/100</f>
        <v>0</v>
      </c>
      <c r="AK124" s="583">
        <f>VLOOKUP($H124,Nutrition_tables!$A:$AF,24,FALSE)*$Q124/100</f>
        <v>0</v>
      </c>
      <c r="AL124" s="583">
        <f>VLOOKUP($H124,Nutrition_tables!$A:$AF,25,FALSE)*$Q124/100</f>
        <v>0</v>
      </c>
      <c r="AM124" s="583">
        <f>VLOOKUP($H124,Nutrition_tables!$A:$AF,26,FALSE)*$Q124/100</f>
        <v>0</v>
      </c>
      <c r="AN124" s="583">
        <f>VLOOKUP($H124,Nutrition_tables!$A:$AF,27,FALSE)*$Q124/100</f>
        <v>0</v>
      </c>
      <c r="AO124" s="583">
        <f>VLOOKUP($H124,Nutrition_tables!$A:$AF,28,FALSE)*$Q124/100</f>
        <v>0</v>
      </c>
      <c r="AP124" s="583">
        <f>VLOOKUP($H124,Nutrition_tables!$A:$AF,29,FALSE)*$Q124/100</f>
        <v>0</v>
      </c>
      <c r="AQ124" s="583">
        <f>VLOOKUP($H124,Nutrition_tables!$A:$AF,30,FALSE)*$Q124/100</f>
        <v>0</v>
      </c>
      <c r="AR124" s="583">
        <f>VLOOKUP($H124,Nutrition_tables!$A:$AF,31,FALSE)*$Q124/100</f>
        <v>0</v>
      </c>
      <c r="AS124" s="549">
        <f>VLOOKUP($H124,Nutrition_tables!$A:$AF,32,FALSE)*$Q124/100</f>
        <v>0</v>
      </c>
      <c r="AT124" s="583" t="str">
        <f>IF(H124="Select ingredient:","",IF(G124="Select food category:","",IFERROR(VLOOKUP($H124,Ingredient_prices!$E:$W,17,FALSE)*$Q124/1000,"not bought")))</f>
        <v/>
      </c>
      <c r="AU124" s="583" t="str">
        <f>IF(H124="Select ingredient:","",IF(G124="Select food category:","",IFERROR(VLOOKUP($H124,Ingredient_prices!$E:$W,18,FALSE)*$Q124/1000,"not bought")))</f>
        <v/>
      </c>
      <c r="AV124" s="583">
        <f t="shared" si="232"/>
        <v>0</v>
      </c>
      <c r="AW124" s="583">
        <f t="shared" si="233"/>
        <v>0</v>
      </c>
      <c r="AX124" s="583">
        <f t="shared" si="234"/>
        <v>0</v>
      </c>
      <c r="AY124" s="583">
        <f t="shared" si="235"/>
        <v>0</v>
      </c>
      <c r="AZ124" s="583">
        <f t="shared" si="236"/>
        <v>0</v>
      </c>
      <c r="BA124" s="583">
        <f t="shared" si="237"/>
        <v>0</v>
      </c>
      <c r="BB124" s="583">
        <f t="shared" si="238"/>
        <v>0</v>
      </c>
      <c r="BC124" s="583">
        <f t="shared" si="239"/>
        <v>0</v>
      </c>
      <c r="BD124" s="583">
        <f t="shared" si="240"/>
        <v>0</v>
      </c>
      <c r="BE124" s="583">
        <f t="shared" si="241"/>
        <v>0</v>
      </c>
      <c r="BF124" s="583">
        <f t="shared" si="242"/>
        <v>0</v>
      </c>
      <c r="BG124" s="583">
        <f t="shared" si="243"/>
        <v>0</v>
      </c>
      <c r="BH124" s="583">
        <f t="shared" si="244"/>
        <v>0</v>
      </c>
      <c r="BI124" s="583">
        <f t="shared" si="245"/>
        <v>0</v>
      </c>
      <c r="BJ124" s="583">
        <f t="shared" si="246"/>
        <v>0</v>
      </c>
      <c r="BK124" s="583">
        <f t="shared" si="247"/>
        <v>0</v>
      </c>
      <c r="BL124" s="583">
        <f t="shared" si="248"/>
        <v>0</v>
      </c>
      <c r="BM124" s="583">
        <f t="shared" si="249"/>
        <v>0</v>
      </c>
      <c r="BN124" s="583">
        <f t="shared" si="250"/>
        <v>0</v>
      </c>
      <c r="BO124" s="583">
        <f t="shared" si="251"/>
        <v>0</v>
      </c>
      <c r="BP124" s="583">
        <f t="shared" si="252"/>
        <v>0</v>
      </c>
      <c r="BQ124" s="583">
        <f t="shared" si="253"/>
        <v>0</v>
      </c>
      <c r="BR124" s="583">
        <f t="shared" si="254"/>
        <v>0</v>
      </c>
    </row>
    <row r="125" spans="1:70" s="229" customFormat="1" ht="15" customHeight="1">
      <c r="A125" s="574"/>
      <c r="D125" s="85"/>
      <c r="E125" s="576">
        <f t="shared" si="256"/>
        <v>100</v>
      </c>
      <c r="F125" s="707"/>
      <c r="G125" s="406" t="s">
        <v>3054</v>
      </c>
      <c r="H125" s="1262" t="s">
        <v>3055</v>
      </c>
      <c r="I125" s="85">
        <v>0</v>
      </c>
      <c r="J125" s="682">
        <v>1</v>
      </c>
      <c r="K125" s="579" t="str">
        <f t="shared" si="230"/>
        <v/>
      </c>
      <c r="L125" s="580" t="str">
        <f>IF(H125="Select ingredient:","",IF(G125="","",_xlfn.IFNA(VLOOKUP($H125,Ingredient_prices!$E:$U,16,FALSE),0)))</f>
        <v/>
      </c>
      <c r="M125" s="840"/>
      <c r="N125" s="840"/>
      <c r="O125" s="581"/>
      <c r="P125" s="582"/>
      <c r="Q125" s="583">
        <f t="shared" si="231"/>
        <v>0</v>
      </c>
      <c r="R125" s="583">
        <f>VLOOKUP($H125,'CO2_emission+%_food_waste'!$A:$K,6,FALSE)*$Q125/100</f>
        <v>0</v>
      </c>
      <c r="S125" s="583">
        <f t="shared" si="255"/>
        <v>0</v>
      </c>
      <c r="T125" s="583" t="str">
        <f>IF(H125="Select ingredient:","",IF(G125="Select food category:","",_xlfn.IFNA(VLOOKUP($H125,Ingredient_prices!$E:$U,16,FALSE)*$Q125/1000,"not bought")))</f>
        <v/>
      </c>
      <c r="U125" s="583" t="str">
        <f>IF(G125="Select food category:","",_xlfn.IFNA(VLOOKUP($H125,Ingredient_prices!$E:$U,16,FALSE)*$R125/1000,"not bought"))</f>
        <v/>
      </c>
      <c r="V125" s="549">
        <f>VLOOKUP($H125,'CO2_emission+%_food_waste'!$A:$K,4,FALSE)*$Q125</f>
        <v>0</v>
      </c>
      <c r="W125" s="583">
        <f>VLOOKUP($H125,Nutrition_tables!$A:$N,10,FALSE)*$Q125/100</f>
        <v>0</v>
      </c>
      <c r="X125" s="583">
        <f>VLOOKUP($H125,Nutrition_tables!$A:$N,11,FALSE)*$Q125/100</f>
        <v>0</v>
      </c>
      <c r="Y125" s="583">
        <f>VLOOKUP($H125,Nutrition_tables!$A:$N,12,FALSE)*$Q125/100</f>
        <v>0</v>
      </c>
      <c r="Z125" s="583">
        <f>VLOOKUP($H125,Nutrition_tables!$A:$N,14,FALSE)*$Q125/100</f>
        <v>0</v>
      </c>
      <c r="AA125" s="583">
        <f>VLOOKUP($H125,Nutrition_tables!$A:$AF,13,FALSE)*$Q125/100</f>
        <v>0</v>
      </c>
      <c r="AB125" s="549">
        <f>VLOOKUP($H125,Nutrition_tables!$A:$AF,15,FALSE)*$Q125/100</f>
        <v>0</v>
      </c>
      <c r="AC125" s="583">
        <f>VLOOKUP($H125,Nutrition_tables!$A:$AF,16,FALSE)*$Q125/100</f>
        <v>0</v>
      </c>
      <c r="AD125" s="583">
        <f>VLOOKUP($H125,Nutrition_tables!$A:$AF,17,FALSE)*$Q125/100</f>
        <v>0</v>
      </c>
      <c r="AE125" s="583">
        <f>VLOOKUP($H125,Nutrition_tables!$A:$AF,18,FALSE)*$Q125/100</f>
        <v>0</v>
      </c>
      <c r="AF125" s="583">
        <f>VLOOKUP($H125,Nutrition_tables!$A:$AF,19,FALSE)*$Q125/100</f>
        <v>0</v>
      </c>
      <c r="AG125" s="583">
        <f>VLOOKUP($H125,Nutrition_tables!$A:$AF,20,FALSE)*$Q125/100</f>
        <v>0</v>
      </c>
      <c r="AH125" s="583">
        <f>VLOOKUP($H125,Nutrition_tables!$A:$AF,21,FALSE)*$Q125/100</f>
        <v>0</v>
      </c>
      <c r="AI125" s="583">
        <f>VLOOKUP($H125,Nutrition_tables!$A:$AF,22,FALSE)*$Q125/100</f>
        <v>0</v>
      </c>
      <c r="AJ125" s="549">
        <f>VLOOKUP($H125,Nutrition_tables!$A:$AF,23,FALSE)*$Q125/100</f>
        <v>0</v>
      </c>
      <c r="AK125" s="583">
        <f>VLOOKUP($H125,Nutrition_tables!$A:$AF,24,FALSE)*$Q125/100</f>
        <v>0</v>
      </c>
      <c r="AL125" s="583">
        <f>VLOOKUP($H125,Nutrition_tables!$A:$AF,25,FALSE)*$Q125/100</f>
        <v>0</v>
      </c>
      <c r="AM125" s="583">
        <f>VLOOKUP($H125,Nutrition_tables!$A:$AF,26,FALSE)*$Q125/100</f>
        <v>0</v>
      </c>
      <c r="AN125" s="583">
        <f>VLOOKUP($H125,Nutrition_tables!$A:$AF,27,FALSE)*$Q125/100</f>
        <v>0</v>
      </c>
      <c r="AO125" s="583">
        <f>VLOOKUP($H125,Nutrition_tables!$A:$AF,28,FALSE)*$Q125/100</f>
        <v>0</v>
      </c>
      <c r="AP125" s="583">
        <f>VLOOKUP($H125,Nutrition_tables!$A:$AF,29,FALSE)*$Q125/100</f>
        <v>0</v>
      </c>
      <c r="AQ125" s="583">
        <f>VLOOKUP($H125,Nutrition_tables!$A:$AF,30,FALSE)*$Q125/100</f>
        <v>0</v>
      </c>
      <c r="AR125" s="583">
        <f>VLOOKUP($H125,Nutrition_tables!$A:$AF,31,FALSE)*$Q125/100</f>
        <v>0</v>
      </c>
      <c r="AS125" s="549">
        <f>VLOOKUP($H125,Nutrition_tables!$A:$AF,32,FALSE)*$Q125/100</f>
        <v>0</v>
      </c>
      <c r="AT125" s="583" t="str">
        <f>IF(H125="Select ingredient:","",IF(G125="Select food category:","",IFERROR(VLOOKUP($H125,Ingredient_prices!$E:$W,17,FALSE)*$Q125/1000,"not bought")))</f>
        <v/>
      </c>
      <c r="AU125" s="583" t="str">
        <f>IF(H125="Select ingredient:","",IF(G125="Select food category:","",IFERROR(VLOOKUP($H125,Ingredient_prices!$E:$W,18,FALSE)*$Q125/1000,"not bought")))</f>
        <v/>
      </c>
      <c r="AV125" s="583">
        <f t="shared" si="232"/>
        <v>0</v>
      </c>
      <c r="AW125" s="583">
        <f t="shared" si="233"/>
        <v>0</v>
      </c>
      <c r="AX125" s="583">
        <f t="shared" si="234"/>
        <v>0</v>
      </c>
      <c r="AY125" s="583">
        <f t="shared" si="235"/>
        <v>0</v>
      </c>
      <c r="AZ125" s="583">
        <f t="shared" si="236"/>
        <v>0</v>
      </c>
      <c r="BA125" s="583">
        <f t="shared" si="237"/>
        <v>0</v>
      </c>
      <c r="BB125" s="583">
        <f t="shared" si="238"/>
        <v>0</v>
      </c>
      <c r="BC125" s="583">
        <f t="shared" si="239"/>
        <v>0</v>
      </c>
      <c r="BD125" s="583">
        <f t="shared" si="240"/>
        <v>0</v>
      </c>
      <c r="BE125" s="583">
        <f t="shared" si="241"/>
        <v>0</v>
      </c>
      <c r="BF125" s="583">
        <f t="shared" si="242"/>
        <v>0</v>
      </c>
      <c r="BG125" s="583">
        <f t="shared" si="243"/>
        <v>0</v>
      </c>
      <c r="BH125" s="583">
        <f t="shared" si="244"/>
        <v>0</v>
      </c>
      <c r="BI125" s="583">
        <f t="shared" si="245"/>
        <v>0</v>
      </c>
      <c r="BJ125" s="583">
        <f t="shared" si="246"/>
        <v>0</v>
      </c>
      <c r="BK125" s="583">
        <f t="shared" si="247"/>
        <v>0</v>
      </c>
      <c r="BL125" s="583">
        <f t="shared" si="248"/>
        <v>0</v>
      </c>
      <c r="BM125" s="583">
        <f t="shared" si="249"/>
        <v>0</v>
      </c>
      <c r="BN125" s="583">
        <f t="shared" si="250"/>
        <v>0</v>
      </c>
      <c r="BO125" s="583">
        <f t="shared" si="251"/>
        <v>0</v>
      </c>
      <c r="BP125" s="583">
        <f t="shared" si="252"/>
        <v>0</v>
      </c>
      <c r="BQ125" s="583">
        <f t="shared" si="253"/>
        <v>0</v>
      </c>
      <c r="BR125" s="583">
        <f t="shared" si="254"/>
        <v>0</v>
      </c>
    </row>
    <row r="126" spans="1:70" s="229" customFormat="1" ht="15" customHeight="1">
      <c r="A126" s="574"/>
      <c r="D126" s="85"/>
      <c r="E126" s="576">
        <f t="shared" si="256"/>
        <v>100</v>
      </c>
      <c r="F126" s="707"/>
      <c r="G126" s="406" t="s">
        <v>3054</v>
      </c>
      <c r="H126" s="1262" t="s">
        <v>3055</v>
      </c>
      <c r="I126" s="85">
        <v>0</v>
      </c>
      <c r="J126" s="682">
        <v>1</v>
      </c>
      <c r="K126" s="579" t="str">
        <f t="shared" si="230"/>
        <v/>
      </c>
      <c r="L126" s="580" t="str">
        <f>IF(H126="Select ingredient:","",IF(G126="","",_xlfn.IFNA(VLOOKUP($H126,Ingredient_prices!$E:$U,16,FALSE),0)))</f>
        <v/>
      </c>
      <c r="M126" s="840"/>
      <c r="N126" s="840"/>
      <c r="O126" s="581"/>
      <c r="P126" s="582"/>
      <c r="Q126" s="583">
        <f t="shared" si="231"/>
        <v>0</v>
      </c>
      <c r="R126" s="583">
        <f>VLOOKUP($H126,'CO2_emission+%_food_waste'!$A:$K,6,FALSE)*$Q126/100</f>
        <v>0</v>
      </c>
      <c r="S126" s="583">
        <f t="shared" si="255"/>
        <v>0</v>
      </c>
      <c r="T126" s="583" t="str">
        <f>IF(H126="Select ingredient:","",IF(G126="Select food category:","",_xlfn.IFNA(VLOOKUP($H126,Ingredient_prices!$E:$U,16,FALSE)*$Q126/1000,"not bought")))</f>
        <v/>
      </c>
      <c r="U126" s="583" t="str">
        <f>IF(G126="Select food category:","",_xlfn.IFNA(VLOOKUP($H126,Ingredient_prices!$E:$U,16,FALSE)*$R126/1000,"not bought"))</f>
        <v/>
      </c>
      <c r="V126" s="549">
        <f>VLOOKUP($H126,'CO2_emission+%_food_waste'!$A:$K,4,FALSE)*$Q126</f>
        <v>0</v>
      </c>
      <c r="W126" s="583">
        <f>VLOOKUP($H126,Nutrition_tables!$A:$N,10,FALSE)*$Q126/100</f>
        <v>0</v>
      </c>
      <c r="X126" s="583">
        <f>VLOOKUP($H126,Nutrition_tables!$A:$N,11,FALSE)*$Q126/100</f>
        <v>0</v>
      </c>
      <c r="Y126" s="583">
        <f>VLOOKUP($H126,Nutrition_tables!$A:$N,12,FALSE)*$Q126/100</f>
        <v>0</v>
      </c>
      <c r="Z126" s="583">
        <f>VLOOKUP($H126,Nutrition_tables!$A:$N,14,FALSE)*$Q126/100</f>
        <v>0</v>
      </c>
      <c r="AA126" s="583">
        <f>VLOOKUP($H126,Nutrition_tables!$A:$AF,13,FALSE)*$Q126/100</f>
        <v>0</v>
      </c>
      <c r="AB126" s="549">
        <f>VLOOKUP($H126,Nutrition_tables!$A:$AF,15,FALSE)*$Q126/100</f>
        <v>0</v>
      </c>
      <c r="AC126" s="583">
        <f>VLOOKUP($H126,Nutrition_tables!$A:$AF,16,FALSE)*$Q126/100</f>
        <v>0</v>
      </c>
      <c r="AD126" s="583">
        <f>VLOOKUP($H126,Nutrition_tables!$A:$AF,17,FALSE)*$Q126/100</f>
        <v>0</v>
      </c>
      <c r="AE126" s="583">
        <f>VLOOKUP($H126,Nutrition_tables!$A:$AF,18,FALSE)*$Q126/100</f>
        <v>0</v>
      </c>
      <c r="AF126" s="583">
        <f>VLOOKUP($H126,Nutrition_tables!$A:$AF,19,FALSE)*$Q126/100</f>
        <v>0</v>
      </c>
      <c r="AG126" s="583">
        <f>VLOOKUP($H126,Nutrition_tables!$A:$AF,20,FALSE)*$Q126/100</f>
        <v>0</v>
      </c>
      <c r="AH126" s="583">
        <f>VLOOKUP($H126,Nutrition_tables!$A:$AF,21,FALSE)*$Q126/100</f>
        <v>0</v>
      </c>
      <c r="AI126" s="583">
        <f>VLOOKUP($H126,Nutrition_tables!$A:$AF,22,FALSE)*$Q126/100</f>
        <v>0</v>
      </c>
      <c r="AJ126" s="549">
        <f>VLOOKUP($H126,Nutrition_tables!$A:$AF,23,FALSE)*$Q126/100</f>
        <v>0</v>
      </c>
      <c r="AK126" s="583">
        <f>VLOOKUP($H126,Nutrition_tables!$A:$AF,24,FALSE)*$Q126/100</f>
        <v>0</v>
      </c>
      <c r="AL126" s="583">
        <f>VLOOKUP($H126,Nutrition_tables!$A:$AF,25,FALSE)*$Q126/100</f>
        <v>0</v>
      </c>
      <c r="AM126" s="583">
        <f>VLOOKUP($H126,Nutrition_tables!$A:$AF,26,FALSE)*$Q126/100</f>
        <v>0</v>
      </c>
      <c r="AN126" s="583">
        <f>VLOOKUP($H126,Nutrition_tables!$A:$AF,27,FALSE)*$Q126/100</f>
        <v>0</v>
      </c>
      <c r="AO126" s="583">
        <f>VLOOKUP($H126,Nutrition_tables!$A:$AF,28,FALSE)*$Q126/100</f>
        <v>0</v>
      </c>
      <c r="AP126" s="583">
        <f>VLOOKUP($H126,Nutrition_tables!$A:$AF,29,FALSE)*$Q126/100</f>
        <v>0</v>
      </c>
      <c r="AQ126" s="583">
        <f>VLOOKUP($H126,Nutrition_tables!$A:$AF,30,FALSE)*$Q126/100</f>
        <v>0</v>
      </c>
      <c r="AR126" s="583">
        <f>VLOOKUP($H126,Nutrition_tables!$A:$AF,31,FALSE)*$Q126/100</f>
        <v>0</v>
      </c>
      <c r="AS126" s="549">
        <f>VLOOKUP($H126,Nutrition_tables!$A:$AF,32,FALSE)*$Q126/100</f>
        <v>0</v>
      </c>
      <c r="AT126" s="583" t="str">
        <f>IF(H126="Select ingredient:","",IF(G126="Select food category:","",IFERROR(VLOOKUP($H126,Ingredient_prices!$E:$W,17,FALSE)*$Q126/1000,"not bought")))</f>
        <v/>
      </c>
      <c r="AU126" s="583" t="str">
        <f>IF(H126="Select ingredient:","",IF(G126="Select food category:","",IFERROR(VLOOKUP($H126,Ingredient_prices!$E:$W,18,FALSE)*$Q126/1000,"not bought")))</f>
        <v/>
      </c>
      <c r="AV126" s="583">
        <f t="shared" si="232"/>
        <v>0</v>
      </c>
      <c r="AW126" s="583">
        <f t="shared" si="233"/>
        <v>0</v>
      </c>
      <c r="AX126" s="583">
        <f t="shared" si="234"/>
        <v>0</v>
      </c>
      <c r="AY126" s="583">
        <f t="shared" si="235"/>
        <v>0</v>
      </c>
      <c r="AZ126" s="583">
        <f t="shared" si="236"/>
        <v>0</v>
      </c>
      <c r="BA126" s="583">
        <f t="shared" si="237"/>
        <v>0</v>
      </c>
      <c r="BB126" s="583">
        <f t="shared" si="238"/>
        <v>0</v>
      </c>
      <c r="BC126" s="583">
        <f t="shared" si="239"/>
        <v>0</v>
      </c>
      <c r="BD126" s="583">
        <f t="shared" si="240"/>
        <v>0</v>
      </c>
      <c r="BE126" s="583">
        <f t="shared" si="241"/>
        <v>0</v>
      </c>
      <c r="BF126" s="583">
        <f t="shared" si="242"/>
        <v>0</v>
      </c>
      <c r="BG126" s="583">
        <f t="shared" si="243"/>
        <v>0</v>
      </c>
      <c r="BH126" s="583">
        <f t="shared" si="244"/>
        <v>0</v>
      </c>
      <c r="BI126" s="583">
        <f t="shared" si="245"/>
        <v>0</v>
      </c>
      <c r="BJ126" s="583">
        <f t="shared" si="246"/>
        <v>0</v>
      </c>
      <c r="BK126" s="583">
        <f t="shared" si="247"/>
        <v>0</v>
      </c>
      <c r="BL126" s="583">
        <f t="shared" si="248"/>
        <v>0</v>
      </c>
      <c r="BM126" s="583">
        <f t="shared" si="249"/>
        <v>0</v>
      </c>
      <c r="BN126" s="583">
        <f t="shared" si="250"/>
        <v>0</v>
      </c>
      <c r="BO126" s="583">
        <f t="shared" si="251"/>
        <v>0</v>
      </c>
      <c r="BP126" s="583">
        <f t="shared" si="252"/>
        <v>0</v>
      </c>
      <c r="BQ126" s="583">
        <f t="shared" si="253"/>
        <v>0</v>
      </c>
      <c r="BR126" s="583">
        <f t="shared" si="254"/>
        <v>0</v>
      </c>
    </row>
    <row r="127" spans="1:70" s="229" customFormat="1" ht="15" customHeight="1">
      <c r="A127" s="574"/>
      <c r="D127" s="85"/>
      <c r="E127" s="576">
        <f t="shared" si="256"/>
        <v>100</v>
      </c>
      <c r="F127" s="707"/>
      <c r="G127" s="406" t="s">
        <v>3054</v>
      </c>
      <c r="H127" s="1262" t="s">
        <v>3055</v>
      </c>
      <c r="I127" s="85">
        <v>0</v>
      </c>
      <c r="J127" s="682">
        <v>1</v>
      </c>
      <c r="K127" s="579" t="str">
        <f t="shared" si="230"/>
        <v/>
      </c>
      <c r="L127" s="580" t="str">
        <f>IF(H127="Select ingredient:","",IF(G127="","",_xlfn.IFNA(VLOOKUP($H127,Ingredient_prices!$E:$U,16,FALSE),0)))</f>
        <v/>
      </c>
      <c r="M127" s="840"/>
      <c r="N127" s="840"/>
      <c r="O127" s="581"/>
      <c r="P127" s="582"/>
      <c r="Q127" s="583">
        <f t="shared" si="231"/>
        <v>0</v>
      </c>
      <c r="R127" s="583">
        <f>VLOOKUP($H127,'CO2_emission+%_food_waste'!$A:$K,6,FALSE)*$Q127/100</f>
        <v>0</v>
      </c>
      <c r="S127" s="583">
        <f t="shared" si="255"/>
        <v>0</v>
      </c>
      <c r="T127" s="583" t="str">
        <f>IF(H127="Select ingredient:","",IF(G127="Select food category:","",_xlfn.IFNA(VLOOKUP($H127,Ingredient_prices!$E:$U,16,FALSE)*$Q127/1000,"not bought")))</f>
        <v/>
      </c>
      <c r="U127" s="583" t="str">
        <f>IF(G127="Select food category:","",_xlfn.IFNA(VLOOKUP($H127,Ingredient_prices!$E:$U,16,FALSE)*$R127/1000,"not bought"))</f>
        <v/>
      </c>
      <c r="V127" s="549">
        <f>VLOOKUP($H127,'CO2_emission+%_food_waste'!$A:$K,4,FALSE)*$Q127</f>
        <v>0</v>
      </c>
      <c r="W127" s="583">
        <f>VLOOKUP($H127,Nutrition_tables!$A:$N,10,FALSE)*$Q127/100</f>
        <v>0</v>
      </c>
      <c r="X127" s="583">
        <f>VLOOKUP($H127,Nutrition_tables!$A:$N,11,FALSE)*$Q127/100</f>
        <v>0</v>
      </c>
      <c r="Y127" s="583">
        <f>VLOOKUP($H127,Nutrition_tables!$A:$N,12,FALSE)*$Q127/100</f>
        <v>0</v>
      </c>
      <c r="Z127" s="583">
        <f>VLOOKUP($H127,Nutrition_tables!$A:$N,14,FALSE)*$Q127/100</f>
        <v>0</v>
      </c>
      <c r="AA127" s="583">
        <f>VLOOKUP($H127,Nutrition_tables!$A:$AF,13,FALSE)*$Q127/100</f>
        <v>0</v>
      </c>
      <c r="AB127" s="549">
        <f>VLOOKUP($H127,Nutrition_tables!$A:$AF,15,FALSE)*$Q127/100</f>
        <v>0</v>
      </c>
      <c r="AC127" s="583">
        <f>VLOOKUP($H127,Nutrition_tables!$A:$AF,16,FALSE)*$Q127/100</f>
        <v>0</v>
      </c>
      <c r="AD127" s="583">
        <f>VLOOKUP($H127,Nutrition_tables!$A:$AF,17,FALSE)*$Q127/100</f>
        <v>0</v>
      </c>
      <c r="AE127" s="583">
        <f>VLOOKUP($H127,Nutrition_tables!$A:$AF,18,FALSE)*$Q127/100</f>
        <v>0</v>
      </c>
      <c r="AF127" s="583">
        <f>VLOOKUP($H127,Nutrition_tables!$A:$AF,19,FALSE)*$Q127/100</f>
        <v>0</v>
      </c>
      <c r="AG127" s="583">
        <f>VLOOKUP($H127,Nutrition_tables!$A:$AF,20,FALSE)*$Q127/100</f>
        <v>0</v>
      </c>
      <c r="AH127" s="583">
        <f>VLOOKUP($H127,Nutrition_tables!$A:$AF,21,FALSE)*$Q127/100</f>
        <v>0</v>
      </c>
      <c r="AI127" s="583">
        <f>VLOOKUP($H127,Nutrition_tables!$A:$AF,22,FALSE)*$Q127/100</f>
        <v>0</v>
      </c>
      <c r="AJ127" s="549">
        <f>VLOOKUP($H127,Nutrition_tables!$A:$AF,23,FALSE)*$Q127/100</f>
        <v>0</v>
      </c>
      <c r="AK127" s="583">
        <f>VLOOKUP($H127,Nutrition_tables!$A:$AF,24,FALSE)*$Q127/100</f>
        <v>0</v>
      </c>
      <c r="AL127" s="583">
        <f>VLOOKUP($H127,Nutrition_tables!$A:$AF,25,FALSE)*$Q127/100</f>
        <v>0</v>
      </c>
      <c r="AM127" s="583">
        <f>VLOOKUP($H127,Nutrition_tables!$A:$AF,26,FALSE)*$Q127/100</f>
        <v>0</v>
      </c>
      <c r="AN127" s="583">
        <f>VLOOKUP($H127,Nutrition_tables!$A:$AF,27,FALSE)*$Q127/100</f>
        <v>0</v>
      </c>
      <c r="AO127" s="583">
        <f>VLOOKUP($H127,Nutrition_tables!$A:$AF,28,FALSE)*$Q127/100</f>
        <v>0</v>
      </c>
      <c r="AP127" s="583">
        <f>VLOOKUP($H127,Nutrition_tables!$A:$AF,29,FALSE)*$Q127/100</f>
        <v>0</v>
      </c>
      <c r="AQ127" s="583">
        <f>VLOOKUP($H127,Nutrition_tables!$A:$AF,30,FALSE)*$Q127/100</f>
        <v>0</v>
      </c>
      <c r="AR127" s="583">
        <f>VLOOKUP($H127,Nutrition_tables!$A:$AF,31,FALSE)*$Q127/100</f>
        <v>0</v>
      </c>
      <c r="AS127" s="549">
        <f>VLOOKUP($H127,Nutrition_tables!$A:$AF,32,FALSE)*$Q127/100</f>
        <v>0</v>
      </c>
      <c r="AT127" s="583" t="str">
        <f>IF(H127="Select ingredient:","",IF(G127="Select food category:","",IFERROR(VLOOKUP($H127,Ingredient_prices!$E:$W,17,FALSE)*$Q127/1000,"not bought")))</f>
        <v/>
      </c>
      <c r="AU127" s="583" t="str">
        <f>IF(H127="Select ingredient:","",IF(G127="Select food category:","",IFERROR(VLOOKUP($H127,Ingredient_prices!$E:$W,18,FALSE)*$Q127/1000,"not bought")))</f>
        <v/>
      </c>
      <c r="AV127" s="583">
        <f t="shared" si="232"/>
        <v>0</v>
      </c>
      <c r="AW127" s="583">
        <f t="shared" si="233"/>
        <v>0</v>
      </c>
      <c r="AX127" s="583">
        <f t="shared" si="234"/>
        <v>0</v>
      </c>
      <c r="AY127" s="583">
        <f t="shared" si="235"/>
        <v>0</v>
      </c>
      <c r="AZ127" s="583">
        <f t="shared" si="236"/>
        <v>0</v>
      </c>
      <c r="BA127" s="583">
        <f t="shared" si="237"/>
        <v>0</v>
      </c>
      <c r="BB127" s="583">
        <f t="shared" si="238"/>
        <v>0</v>
      </c>
      <c r="BC127" s="583">
        <f t="shared" si="239"/>
        <v>0</v>
      </c>
      <c r="BD127" s="583">
        <f t="shared" si="240"/>
        <v>0</v>
      </c>
      <c r="BE127" s="583">
        <f t="shared" si="241"/>
        <v>0</v>
      </c>
      <c r="BF127" s="583">
        <f t="shared" si="242"/>
        <v>0</v>
      </c>
      <c r="BG127" s="583">
        <f t="shared" si="243"/>
        <v>0</v>
      </c>
      <c r="BH127" s="583">
        <f t="shared" si="244"/>
        <v>0</v>
      </c>
      <c r="BI127" s="583">
        <f t="shared" si="245"/>
        <v>0</v>
      </c>
      <c r="BJ127" s="583">
        <f t="shared" si="246"/>
        <v>0</v>
      </c>
      <c r="BK127" s="583">
        <f t="shared" si="247"/>
        <v>0</v>
      </c>
      <c r="BL127" s="583">
        <f t="shared" si="248"/>
        <v>0</v>
      </c>
      <c r="BM127" s="583">
        <f t="shared" si="249"/>
        <v>0</v>
      </c>
      <c r="BN127" s="583">
        <f t="shared" si="250"/>
        <v>0</v>
      </c>
      <c r="BO127" s="583">
        <f t="shared" si="251"/>
        <v>0</v>
      </c>
      <c r="BP127" s="583">
        <f t="shared" si="252"/>
        <v>0</v>
      </c>
      <c r="BQ127" s="583">
        <f t="shared" si="253"/>
        <v>0</v>
      </c>
      <c r="BR127" s="583">
        <f t="shared" si="254"/>
        <v>0</v>
      </c>
    </row>
    <row r="128" spans="1:70" s="229" customFormat="1" ht="15" customHeight="1">
      <c r="A128" s="574"/>
      <c r="D128" s="85"/>
      <c r="E128" s="576">
        <f t="shared" si="256"/>
        <v>100</v>
      </c>
      <c r="F128" s="707"/>
      <c r="G128" s="406" t="s">
        <v>3054</v>
      </c>
      <c r="H128" s="1262" t="s">
        <v>3055</v>
      </c>
      <c r="I128" s="85">
        <v>0</v>
      </c>
      <c r="J128" s="682">
        <v>1</v>
      </c>
      <c r="K128" s="579" t="str">
        <f t="shared" si="230"/>
        <v/>
      </c>
      <c r="L128" s="580" t="str">
        <f>IF(H128="Select ingredient:","",IF(G128="","",_xlfn.IFNA(VLOOKUP($H128,Ingredient_prices!$E:$U,16,FALSE),0)))</f>
        <v/>
      </c>
      <c r="M128" s="840"/>
      <c r="N128" s="840"/>
      <c r="O128" s="581"/>
      <c r="P128" s="582"/>
      <c r="Q128" s="583">
        <f t="shared" si="231"/>
        <v>0</v>
      </c>
      <c r="R128" s="583">
        <f>VLOOKUP($H128,'CO2_emission+%_food_waste'!$A:$K,6,FALSE)*$Q128/100</f>
        <v>0</v>
      </c>
      <c r="S128" s="583">
        <f t="shared" si="255"/>
        <v>0</v>
      </c>
      <c r="T128" s="583" t="str">
        <f>IF(H128="Select ingredient:","",IF(G128="Select food category:","",_xlfn.IFNA(VLOOKUP($H128,Ingredient_prices!$E:$U,16,FALSE)*$Q128/1000,"not bought")))</f>
        <v/>
      </c>
      <c r="U128" s="583" t="str">
        <f>IF(G128="Select food category:","",_xlfn.IFNA(VLOOKUP($H128,Ingredient_prices!$E:$U,16,FALSE)*$R128/1000,"not bought"))</f>
        <v/>
      </c>
      <c r="V128" s="549">
        <f>VLOOKUP($H128,'CO2_emission+%_food_waste'!$A:$K,4,FALSE)*$Q128</f>
        <v>0</v>
      </c>
      <c r="W128" s="583">
        <f>VLOOKUP($H128,Nutrition_tables!$A:$N,10,FALSE)*$Q128/100</f>
        <v>0</v>
      </c>
      <c r="X128" s="583">
        <f>VLOOKUP($H128,Nutrition_tables!$A:$N,11,FALSE)*$Q128/100</f>
        <v>0</v>
      </c>
      <c r="Y128" s="583">
        <f>VLOOKUP($H128,Nutrition_tables!$A:$N,12,FALSE)*$Q128/100</f>
        <v>0</v>
      </c>
      <c r="Z128" s="583">
        <f>VLOOKUP($H128,Nutrition_tables!$A:$N,14,FALSE)*$Q128/100</f>
        <v>0</v>
      </c>
      <c r="AA128" s="583">
        <f>VLOOKUP($H128,Nutrition_tables!$A:$AF,13,FALSE)*$Q128/100</f>
        <v>0</v>
      </c>
      <c r="AB128" s="549">
        <f>VLOOKUP($H128,Nutrition_tables!$A:$AF,15,FALSE)*$Q128/100</f>
        <v>0</v>
      </c>
      <c r="AC128" s="583">
        <f>VLOOKUP($H128,Nutrition_tables!$A:$AF,16,FALSE)*$Q128/100</f>
        <v>0</v>
      </c>
      <c r="AD128" s="583">
        <f>VLOOKUP($H128,Nutrition_tables!$A:$AF,17,FALSE)*$Q128/100</f>
        <v>0</v>
      </c>
      <c r="AE128" s="583">
        <f>VLOOKUP($H128,Nutrition_tables!$A:$AF,18,FALSE)*$Q128/100</f>
        <v>0</v>
      </c>
      <c r="AF128" s="583">
        <f>VLOOKUP($H128,Nutrition_tables!$A:$AF,19,FALSE)*$Q128/100</f>
        <v>0</v>
      </c>
      <c r="AG128" s="583">
        <f>VLOOKUP($H128,Nutrition_tables!$A:$AF,20,FALSE)*$Q128/100</f>
        <v>0</v>
      </c>
      <c r="AH128" s="583">
        <f>VLOOKUP($H128,Nutrition_tables!$A:$AF,21,FALSE)*$Q128/100</f>
        <v>0</v>
      </c>
      <c r="AI128" s="583">
        <f>VLOOKUP($H128,Nutrition_tables!$A:$AF,22,FALSE)*$Q128/100</f>
        <v>0</v>
      </c>
      <c r="AJ128" s="549">
        <f>VLOOKUP($H128,Nutrition_tables!$A:$AF,23,FALSE)*$Q128/100</f>
        <v>0</v>
      </c>
      <c r="AK128" s="583">
        <f>VLOOKUP($H128,Nutrition_tables!$A:$AF,24,FALSE)*$Q128/100</f>
        <v>0</v>
      </c>
      <c r="AL128" s="583">
        <f>VLOOKUP($H128,Nutrition_tables!$A:$AF,25,FALSE)*$Q128/100</f>
        <v>0</v>
      </c>
      <c r="AM128" s="583">
        <f>VLOOKUP($H128,Nutrition_tables!$A:$AF,26,FALSE)*$Q128/100</f>
        <v>0</v>
      </c>
      <c r="AN128" s="583">
        <f>VLOOKUP($H128,Nutrition_tables!$A:$AF,27,FALSE)*$Q128/100</f>
        <v>0</v>
      </c>
      <c r="AO128" s="583">
        <f>VLOOKUP($H128,Nutrition_tables!$A:$AF,28,FALSE)*$Q128/100</f>
        <v>0</v>
      </c>
      <c r="AP128" s="583">
        <f>VLOOKUP($H128,Nutrition_tables!$A:$AF,29,FALSE)*$Q128/100</f>
        <v>0</v>
      </c>
      <c r="AQ128" s="583">
        <f>VLOOKUP($H128,Nutrition_tables!$A:$AF,30,FALSE)*$Q128/100</f>
        <v>0</v>
      </c>
      <c r="AR128" s="583">
        <f>VLOOKUP($H128,Nutrition_tables!$A:$AF,31,FALSE)*$Q128/100</f>
        <v>0</v>
      </c>
      <c r="AS128" s="549">
        <f>VLOOKUP($H128,Nutrition_tables!$A:$AF,32,FALSE)*$Q128/100</f>
        <v>0</v>
      </c>
      <c r="AT128" s="583" t="str">
        <f>IF(H128="Select ingredient:","",IF(G128="Select food category:","",IFERROR(VLOOKUP($H128,Ingredient_prices!$E:$W,17,FALSE)*$Q128/1000,"not bought")))</f>
        <v/>
      </c>
      <c r="AU128" s="583" t="str">
        <f>IF(H128="Select ingredient:","",IF(G128="Select food category:","",IFERROR(VLOOKUP($H128,Ingredient_prices!$E:$W,18,FALSE)*$Q128/1000,"not bought")))</f>
        <v/>
      </c>
      <c r="AV128" s="583">
        <f t="shared" si="232"/>
        <v>0</v>
      </c>
      <c r="AW128" s="583">
        <f t="shared" si="233"/>
        <v>0</v>
      </c>
      <c r="AX128" s="583">
        <f t="shared" si="234"/>
        <v>0</v>
      </c>
      <c r="AY128" s="583">
        <f t="shared" si="235"/>
        <v>0</v>
      </c>
      <c r="AZ128" s="583">
        <f t="shared" si="236"/>
        <v>0</v>
      </c>
      <c r="BA128" s="583">
        <f t="shared" si="237"/>
        <v>0</v>
      </c>
      <c r="BB128" s="583">
        <f t="shared" si="238"/>
        <v>0</v>
      </c>
      <c r="BC128" s="583">
        <f t="shared" si="239"/>
        <v>0</v>
      </c>
      <c r="BD128" s="583">
        <f t="shared" si="240"/>
        <v>0</v>
      </c>
      <c r="BE128" s="583">
        <f t="shared" si="241"/>
        <v>0</v>
      </c>
      <c r="BF128" s="583">
        <f t="shared" si="242"/>
        <v>0</v>
      </c>
      <c r="BG128" s="583">
        <f t="shared" si="243"/>
        <v>0</v>
      </c>
      <c r="BH128" s="583">
        <f t="shared" si="244"/>
        <v>0</v>
      </c>
      <c r="BI128" s="583">
        <f t="shared" si="245"/>
        <v>0</v>
      </c>
      <c r="BJ128" s="583">
        <f t="shared" si="246"/>
        <v>0</v>
      </c>
      <c r="BK128" s="583">
        <f t="shared" si="247"/>
        <v>0</v>
      </c>
      <c r="BL128" s="583">
        <f t="shared" si="248"/>
        <v>0</v>
      </c>
      <c r="BM128" s="583">
        <f t="shared" si="249"/>
        <v>0</v>
      </c>
      <c r="BN128" s="583">
        <f t="shared" si="250"/>
        <v>0</v>
      </c>
      <c r="BO128" s="583">
        <f t="shared" si="251"/>
        <v>0</v>
      </c>
      <c r="BP128" s="583">
        <f t="shared" si="252"/>
        <v>0</v>
      </c>
      <c r="BQ128" s="583">
        <f t="shared" si="253"/>
        <v>0</v>
      </c>
      <c r="BR128" s="583">
        <f t="shared" si="254"/>
        <v>0</v>
      </c>
    </row>
    <row r="129" spans="1:70" s="229" customFormat="1" ht="15" customHeight="1">
      <c r="A129" s="574"/>
      <c r="D129" s="85"/>
      <c r="E129" s="576">
        <f>IF(E$110&gt;0,E$110,"")</f>
        <v>100</v>
      </c>
      <c r="F129" s="707"/>
      <c r="G129" s="406" t="s">
        <v>3054</v>
      </c>
      <c r="H129" s="1262" t="s">
        <v>3055</v>
      </c>
      <c r="I129" s="85">
        <v>0</v>
      </c>
      <c r="J129" s="682">
        <v>1</v>
      </c>
      <c r="K129" s="579" t="str">
        <f t="shared" si="230"/>
        <v/>
      </c>
      <c r="L129" s="580" t="str">
        <f>IF(H129="Select ingredient:","",IF(G129="","",_xlfn.IFNA(VLOOKUP($H129,Ingredient_prices!$E:$U,16,FALSE),0)))</f>
        <v/>
      </c>
      <c r="M129" s="840"/>
      <c r="N129" s="840"/>
      <c r="O129" s="581"/>
      <c r="P129" s="582"/>
      <c r="Q129" s="583">
        <f t="shared" si="231"/>
        <v>0</v>
      </c>
      <c r="R129" s="583">
        <f>VLOOKUP($H129,'CO2_emission+%_food_waste'!$A:$K,6,FALSE)*$Q129/100</f>
        <v>0</v>
      </c>
      <c r="S129" s="583">
        <f t="shared" si="255"/>
        <v>0</v>
      </c>
      <c r="T129" s="583" t="str">
        <f>IF(H129="Select ingredient:","",IF(G129="Select food category:","",_xlfn.IFNA(VLOOKUP($H129,Ingredient_prices!$E:$U,16,FALSE)*$Q129/1000,"not bought")))</f>
        <v/>
      </c>
      <c r="U129" s="583" t="str">
        <f>IF(G129="Select food category:","",_xlfn.IFNA(VLOOKUP($H129,Ingredient_prices!$E:$U,16,FALSE)*$R129/1000,"not bought"))</f>
        <v/>
      </c>
      <c r="V129" s="549">
        <f>VLOOKUP($H129,'CO2_emission+%_food_waste'!$A:$K,4,FALSE)*$Q129</f>
        <v>0</v>
      </c>
      <c r="W129" s="583">
        <f>VLOOKUP($H129,Nutrition_tables!$A:$N,10,FALSE)*$Q129/100</f>
        <v>0</v>
      </c>
      <c r="X129" s="583">
        <f>VLOOKUP($H129,Nutrition_tables!$A:$N,11,FALSE)*$Q129/100</f>
        <v>0</v>
      </c>
      <c r="Y129" s="583">
        <f>VLOOKUP($H129,Nutrition_tables!$A:$N,12,FALSE)*$Q129/100</f>
        <v>0</v>
      </c>
      <c r="Z129" s="583">
        <f>VLOOKUP($H129,Nutrition_tables!$A:$N,14,FALSE)*$Q129/100</f>
        <v>0</v>
      </c>
      <c r="AA129" s="583">
        <f>VLOOKUP($H129,Nutrition_tables!$A:$AF,13,FALSE)*$Q129/100</f>
        <v>0</v>
      </c>
      <c r="AB129" s="549">
        <f>VLOOKUP($H129,Nutrition_tables!$A:$AF,15,FALSE)*$Q129/100</f>
        <v>0</v>
      </c>
      <c r="AC129" s="583">
        <f>VLOOKUP($H129,Nutrition_tables!$A:$AF,16,FALSE)*$Q129/100</f>
        <v>0</v>
      </c>
      <c r="AD129" s="583">
        <f>VLOOKUP($H129,Nutrition_tables!$A:$AF,17,FALSE)*$Q129/100</f>
        <v>0</v>
      </c>
      <c r="AE129" s="583">
        <f>VLOOKUP($H129,Nutrition_tables!$A:$AF,18,FALSE)*$Q129/100</f>
        <v>0</v>
      </c>
      <c r="AF129" s="583">
        <f>VLOOKUP($H129,Nutrition_tables!$A:$AF,19,FALSE)*$Q129/100</f>
        <v>0</v>
      </c>
      <c r="AG129" s="583">
        <f>VLOOKUP($H129,Nutrition_tables!$A:$AF,20,FALSE)*$Q129/100</f>
        <v>0</v>
      </c>
      <c r="AH129" s="583">
        <f>VLOOKUP($H129,Nutrition_tables!$A:$AF,21,FALSE)*$Q129/100</f>
        <v>0</v>
      </c>
      <c r="AI129" s="583">
        <f>VLOOKUP($H129,Nutrition_tables!$A:$AF,22,FALSE)*$Q129/100</f>
        <v>0</v>
      </c>
      <c r="AJ129" s="549">
        <f>VLOOKUP($H129,Nutrition_tables!$A:$AF,23,FALSE)*$Q129/100</f>
        <v>0</v>
      </c>
      <c r="AK129" s="583">
        <f>VLOOKUP($H129,Nutrition_tables!$A:$AF,24,FALSE)*$Q129/100</f>
        <v>0</v>
      </c>
      <c r="AL129" s="583">
        <f>VLOOKUP($H129,Nutrition_tables!$A:$AF,25,FALSE)*$Q129/100</f>
        <v>0</v>
      </c>
      <c r="AM129" s="583">
        <f>VLOOKUP($H129,Nutrition_tables!$A:$AF,26,FALSE)*$Q129/100</f>
        <v>0</v>
      </c>
      <c r="AN129" s="583">
        <f>VLOOKUP($H129,Nutrition_tables!$A:$AF,27,FALSE)*$Q129/100</f>
        <v>0</v>
      </c>
      <c r="AO129" s="583">
        <f>VLOOKUP($H129,Nutrition_tables!$A:$AF,28,FALSE)*$Q129/100</f>
        <v>0</v>
      </c>
      <c r="AP129" s="583">
        <f>VLOOKUP($H129,Nutrition_tables!$A:$AF,29,FALSE)*$Q129/100</f>
        <v>0</v>
      </c>
      <c r="AQ129" s="583">
        <f>VLOOKUP($H129,Nutrition_tables!$A:$AF,30,FALSE)*$Q129/100</f>
        <v>0</v>
      </c>
      <c r="AR129" s="583">
        <f>VLOOKUP($H129,Nutrition_tables!$A:$AF,31,FALSE)*$Q129/100</f>
        <v>0</v>
      </c>
      <c r="AS129" s="549">
        <f>VLOOKUP($H129,Nutrition_tables!$A:$AF,32,FALSE)*$Q129/100</f>
        <v>0</v>
      </c>
      <c r="AT129" s="583" t="str">
        <f>IF(H129="Select ingredient:","",IF(G129="Select food category:","",IFERROR(VLOOKUP($H129,Ingredient_prices!$E:$W,17,FALSE)*$Q129/1000,"not bought")))</f>
        <v/>
      </c>
      <c r="AU129" s="583" t="str">
        <f>IF(H129="Select ingredient:","",IF(G129="Select food category:","",IFERROR(VLOOKUP($H129,Ingredient_prices!$E:$W,18,FALSE)*$Q129/1000,"not bought")))</f>
        <v/>
      </c>
      <c r="AV129" s="583">
        <f t="shared" si="232"/>
        <v>0</v>
      </c>
      <c r="AW129" s="583">
        <f t="shared" si="233"/>
        <v>0</v>
      </c>
      <c r="AX129" s="583">
        <f t="shared" si="234"/>
        <v>0</v>
      </c>
      <c r="AY129" s="583">
        <f t="shared" si="235"/>
        <v>0</v>
      </c>
      <c r="AZ129" s="583">
        <f t="shared" si="236"/>
        <v>0</v>
      </c>
      <c r="BA129" s="583">
        <f t="shared" si="237"/>
        <v>0</v>
      </c>
      <c r="BB129" s="583">
        <f t="shared" si="238"/>
        <v>0</v>
      </c>
      <c r="BC129" s="583">
        <f t="shared" si="239"/>
        <v>0</v>
      </c>
      <c r="BD129" s="583">
        <f t="shared" si="240"/>
        <v>0</v>
      </c>
      <c r="BE129" s="583">
        <f t="shared" si="241"/>
        <v>0</v>
      </c>
      <c r="BF129" s="583">
        <f t="shared" si="242"/>
        <v>0</v>
      </c>
      <c r="BG129" s="583">
        <f t="shared" si="243"/>
        <v>0</v>
      </c>
      <c r="BH129" s="583">
        <f t="shared" si="244"/>
        <v>0</v>
      </c>
      <c r="BI129" s="583">
        <f t="shared" si="245"/>
        <v>0</v>
      </c>
      <c r="BJ129" s="583">
        <f t="shared" si="246"/>
        <v>0</v>
      </c>
      <c r="BK129" s="583">
        <f t="shared" si="247"/>
        <v>0</v>
      </c>
      <c r="BL129" s="583">
        <f t="shared" si="248"/>
        <v>0</v>
      </c>
      <c r="BM129" s="583">
        <f t="shared" si="249"/>
        <v>0</v>
      </c>
      <c r="BN129" s="583">
        <f t="shared" si="250"/>
        <v>0</v>
      </c>
      <c r="BO129" s="583">
        <f t="shared" si="251"/>
        <v>0</v>
      </c>
      <c r="BP129" s="583">
        <f t="shared" si="252"/>
        <v>0</v>
      </c>
      <c r="BQ129" s="583">
        <f t="shared" si="253"/>
        <v>0</v>
      </c>
      <c r="BR129" s="583">
        <f t="shared" si="254"/>
        <v>0</v>
      </c>
    </row>
    <row r="130" spans="1:70" s="603" customFormat="1" ht="56">
      <c r="A130" s="574"/>
      <c r="B130" s="593"/>
      <c r="C130" s="522"/>
      <c r="D130" s="141"/>
      <c r="E130" s="594"/>
      <c r="F130" s="708"/>
      <c r="G130" s="522"/>
      <c r="H130" s="522"/>
      <c r="I130" s="141"/>
      <c r="J130" s="141"/>
      <c r="K130" s="141"/>
      <c r="L130" s="596"/>
      <c r="M130" s="841"/>
      <c r="N130" s="841"/>
      <c r="O130" s="581"/>
      <c r="P130" s="627"/>
      <c r="Q130" s="599" t="s">
        <v>384</v>
      </c>
      <c r="R130" s="600" t="s">
        <v>455</v>
      </c>
      <c r="S130" s="600" t="s">
        <v>2087</v>
      </c>
      <c r="T130" s="600" t="s">
        <v>456</v>
      </c>
      <c r="U130" s="600" t="s">
        <v>535</v>
      </c>
      <c r="V130" s="601" t="s">
        <v>457</v>
      </c>
      <c r="W130" s="600" t="s">
        <v>75</v>
      </c>
      <c r="X130" s="600" t="s">
        <v>385</v>
      </c>
      <c r="Y130" s="600" t="s">
        <v>386</v>
      </c>
      <c r="Z130" s="600" t="s">
        <v>387</v>
      </c>
      <c r="AA130" s="600" t="s">
        <v>388</v>
      </c>
      <c r="AB130" s="601" t="s">
        <v>389</v>
      </c>
      <c r="AC130" s="602" t="s">
        <v>390</v>
      </c>
      <c r="AD130" s="600" t="s">
        <v>391</v>
      </c>
      <c r="AE130" s="600" t="s">
        <v>392</v>
      </c>
      <c r="AF130" s="600" t="s">
        <v>393</v>
      </c>
      <c r="AG130" s="600" t="s">
        <v>394</v>
      </c>
      <c r="AH130" s="600" t="s">
        <v>395</v>
      </c>
      <c r="AI130" s="600" t="s">
        <v>396</v>
      </c>
      <c r="AJ130" s="601" t="s">
        <v>397</v>
      </c>
      <c r="AK130" s="602" t="s">
        <v>398</v>
      </c>
      <c r="AL130" s="600" t="s">
        <v>399</v>
      </c>
      <c r="AM130" s="600" t="s">
        <v>400</v>
      </c>
      <c r="AN130" s="600" t="s">
        <v>401</v>
      </c>
      <c r="AO130" s="600" t="s">
        <v>402</v>
      </c>
      <c r="AP130" s="600" t="s">
        <v>406</v>
      </c>
      <c r="AQ130" s="600" t="s">
        <v>405</v>
      </c>
      <c r="AR130" s="600" t="s">
        <v>403</v>
      </c>
      <c r="AS130" s="601" t="s">
        <v>404</v>
      </c>
      <c r="AT130" s="593"/>
      <c r="AU130" s="593"/>
    </row>
    <row r="131" spans="1:70" s="229" customFormat="1">
      <c r="A131" s="574"/>
      <c r="B131" s="522"/>
      <c r="C131" s="522"/>
      <c r="D131" s="141"/>
      <c r="E131" s="594"/>
      <c r="F131" s="708"/>
      <c r="G131" s="522"/>
      <c r="H131" s="593"/>
      <c r="I131" s="141"/>
      <c r="J131" s="141"/>
      <c r="K131" s="141"/>
      <c r="L131" s="604"/>
      <c r="M131" s="581"/>
      <c r="N131" s="581"/>
      <c r="O131" s="581"/>
      <c r="P131" s="628" t="s">
        <v>383</v>
      </c>
      <c r="Q131" s="583">
        <f>SUM(Q110:Q129)</f>
        <v>0</v>
      </c>
      <c r="R131" s="583">
        <f t="shared" ref="R131:V131" si="257">SUM(R110:R129)</f>
        <v>0</v>
      </c>
      <c r="S131" s="583">
        <f>SUM(S110:S129)</f>
        <v>0</v>
      </c>
      <c r="T131" s="583">
        <f t="shared" si="257"/>
        <v>0</v>
      </c>
      <c r="U131" s="583">
        <f t="shared" si="257"/>
        <v>0</v>
      </c>
      <c r="V131" s="549">
        <f t="shared" si="257"/>
        <v>0</v>
      </c>
      <c r="W131" s="583">
        <f t="shared" ref="W131:AU131" si="258">SUM(W110:W129)</f>
        <v>0</v>
      </c>
      <c r="X131" s="583">
        <f t="shared" si="258"/>
        <v>0</v>
      </c>
      <c r="Y131" s="583">
        <f t="shared" si="258"/>
        <v>0</v>
      </c>
      <c r="Z131" s="583">
        <f t="shared" si="258"/>
        <v>0</v>
      </c>
      <c r="AA131" s="583">
        <f t="shared" si="258"/>
        <v>0</v>
      </c>
      <c r="AB131" s="549">
        <f t="shared" si="258"/>
        <v>0</v>
      </c>
      <c r="AC131" s="583">
        <f t="shared" si="258"/>
        <v>0</v>
      </c>
      <c r="AD131" s="583">
        <f t="shared" si="258"/>
        <v>0</v>
      </c>
      <c r="AE131" s="583">
        <f t="shared" si="258"/>
        <v>0</v>
      </c>
      <c r="AF131" s="583">
        <f t="shared" si="258"/>
        <v>0</v>
      </c>
      <c r="AG131" s="583">
        <f t="shared" si="258"/>
        <v>0</v>
      </c>
      <c r="AH131" s="583">
        <f t="shared" si="258"/>
        <v>0</v>
      </c>
      <c r="AI131" s="583">
        <f t="shared" si="258"/>
        <v>0</v>
      </c>
      <c r="AJ131" s="549">
        <f t="shared" si="258"/>
        <v>0</v>
      </c>
      <c r="AK131" s="583">
        <f t="shared" si="258"/>
        <v>0</v>
      </c>
      <c r="AL131" s="583">
        <f t="shared" si="258"/>
        <v>0</v>
      </c>
      <c r="AM131" s="583">
        <f t="shared" si="258"/>
        <v>0</v>
      </c>
      <c r="AN131" s="583">
        <f t="shared" si="258"/>
        <v>0</v>
      </c>
      <c r="AO131" s="583">
        <f t="shared" si="258"/>
        <v>0</v>
      </c>
      <c r="AP131" s="583">
        <f t="shared" si="258"/>
        <v>0</v>
      </c>
      <c r="AQ131" s="583">
        <f t="shared" si="258"/>
        <v>0</v>
      </c>
      <c r="AR131" s="583">
        <f t="shared" si="258"/>
        <v>0</v>
      </c>
      <c r="AS131" s="549">
        <f t="shared" si="258"/>
        <v>0</v>
      </c>
      <c r="AT131" s="583">
        <f t="shared" si="258"/>
        <v>0</v>
      </c>
      <c r="AU131" s="583">
        <f t="shared" si="258"/>
        <v>0</v>
      </c>
      <c r="AV131" s="549">
        <f t="shared" ref="AV131:BR131" si="259">SUM(AV110:AV129)</f>
        <v>0</v>
      </c>
      <c r="AW131" s="549">
        <f t="shared" si="259"/>
        <v>0</v>
      </c>
      <c r="AX131" s="549">
        <f t="shared" si="259"/>
        <v>0</v>
      </c>
      <c r="AY131" s="549">
        <f t="shared" si="259"/>
        <v>0</v>
      </c>
      <c r="AZ131" s="549">
        <f t="shared" si="259"/>
        <v>0</v>
      </c>
      <c r="BA131" s="549">
        <f t="shared" si="259"/>
        <v>0</v>
      </c>
      <c r="BB131" s="549">
        <f t="shared" si="259"/>
        <v>0</v>
      </c>
      <c r="BC131" s="549">
        <f t="shared" si="259"/>
        <v>0</v>
      </c>
      <c r="BD131" s="549">
        <f t="shared" si="259"/>
        <v>0</v>
      </c>
      <c r="BE131" s="549">
        <f t="shared" si="259"/>
        <v>0</v>
      </c>
      <c r="BF131" s="549">
        <f t="shared" si="259"/>
        <v>0</v>
      </c>
      <c r="BG131" s="549">
        <f t="shared" si="259"/>
        <v>0</v>
      </c>
      <c r="BH131" s="549">
        <f t="shared" si="259"/>
        <v>0</v>
      </c>
      <c r="BI131" s="549">
        <f t="shared" si="259"/>
        <v>0</v>
      </c>
      <c r="BJ131" s="549">
        <f t="shared" si="259"/>
        <v>0</v>
      </c>
      <c r="BK131" s="549">
        <f t="shared" si="259"/>
        <v>0</v>
      </c>
      <c r="BL131" s="549">
        <f t="shared" si="259"/>
        <v>0</v>
      </c>
      <c r="BM131" s="549">
        <f t="shared" si="259"/>
        <v>0</v>
      </c>
      <c r="BN131" s="549">
        <f t="shared" si="259"/>
        <v>0</v>
      </c>
      <c r="BO131" s="549">
        <f t="shared" si="259"/>
        <v>0</v>
      </c>
      <c r="BP131" s="549">
        <f t="shared" si="259"/>
        <v>0</v>
      </c>
      <c r="BQ131" s="549">
        <f t="shared" si="259"/>
        <v>0</v>
      </c>
      <c r="BR131" s="549">
        <f t="shared" si="259"/>
        <v>0</v>
      </c>
    </row>
    <row r="132" spans="1:70" s="229" customFormat="1">
      <c r="A132" s="574"/>
      <c r="B132" s="522"/>
      <c r="C132" s="522"/>
      <c r="D132" s="141"/>
      <c r="E132" s="594"/>
      <c r="F132" s="708"/>
      <c r="G132" s="522"/>
      <c r="H132" s="593"/>
      <c r="I132" s="141"/>
      <c r="J132" s="141"/>
      <c r="K132" s="141"/>
      <c r="L132" s="604"/>
      <c r="M132" s="581"/>
      <c r="N132" s="581"/>
      <c r="O132" s="581"/>
      <c r="P132" s="628" t="s">
        <v>538</v>
      </c>
      <c r="V132" s="527" t="s">
        <v>588</v>
      </c>
      <c r="W132" s="229">
        <v>649.25</v>
      </c>
      <c r="X132" s="229">
        <v>81.199999999999989</v>
      </c>
      <c r="Y132" s="229">
        <v>20.299999999999997</v>
      </c>
      <c r="Z132" s="229">
        <v>21.7</v>
      </c>
      <c r="AA132" s="229">
        <v>6.6499999999999995</v>
      </c>
      <c r="AB132" s="526">
        <v>7</v>
      </c>
      <c r="AC132" s="229">
        <v>482.99999999999994</v>
      </c>
      <c r="AD132" s="229">
        <v>630</v>
      </c>
      <c r="AE132" s="229">
        <v>315</v>
      </c>
      <c r="AF132" s="229">
        <v>59.499999999999993</v>
      </c>
      <c r="AG132" s="229">
        <v>280</v>
      </c>
      <c r="AH132" s="229">
        <v>3.5</v>
      </c>
      <c r="AI132" s="229">
        <v>2.4499999999999997</v>
      </c>
      <c r="AJ132" s="526">
        <v>0.4375</v>
      </c>
      <c r="AK132" s="229">
        <v>280</v>
      </c>
      <c r="AL132" s="229">
        <v>0.35</v>
      </c>
      <c r="AM132" s="229">
        <v>0.38500000000000001</v>
      </c>
      <c r="AN132" s="229">
        <v>4.1999999999999993</v>
      </c>
      <c r="AO132" s="229">
        <v>0.24499999999999997</v>
      </c>
      <c r="AP132" s="229">
        <v>105</v>
      </c>
      <c r="AQ132" s="229">
        <v>0.63</v>
      </c>
      <c r="AR132" s="229">
        <v>28</v>
      </c>
      <c r="AS132" s="526">
        <v>1.75</v>
      </c>
      <c r="AV132" s="229">
        <v>649.25</v>
      </c>
      <c r="AW132" s="229">
        <v>81.199999999999989</v>
      </c>
      <c r="AX132" s="229">
        <v>20.299999999999997</v>
      </c>
      <c r="AY132" s="229">
        <v>21.7</v>
      </c>
      <c r="AZ132" s="229">
        <v>6.6499999999999995</v>
      </c>
      <c r="BA132" s="526">
        <v>7</v>
      </c>
      <c r="BB132" s="229">
        <v>482.99999999999994</v>
      </c>
      <c r="BC132" s="229">
        <v>630</v>
      </c>
      <c r="BD132" s="229">
        <v>315</v>
      </c>
      <c r="BE132" s="229">
        <v>59.499999999999993</v>
      </c>
      <c r="BF132" s="229">
        <v>280</v>
      </c>
      <c r="BG132" s="229">
        <v>3.5</v>
      </c>
      <c r="BH132" s="229">
        <v>2.4499999999999997</v>
      </c>
      <c r="BI132" s="526">
        <v>0.4375</v>
      </c>
      <c r="BJ132" s="229">
        <v>280</v>
      </c>
      <c r="BK132" s="229">
        <v>0.35</v>
      </c>
      <c r="BL132" s="229">
        <v>0.38500000000000001</v>
      </c>
      <c r="BM132" s="229">
        <v>4.1999999999999993</v>
      </c>
      <c r="BN132" s="229">
        <v>0.24499999999999997</v>
      </c>
      <c r="BO132" s="229">
        <v>105</v>
      </c>
      <c r="BP132" s="229">
        <v>0.63</v>
      </c>
      <c r="BQ132" s="229">
        <v>28</v>
      </c>
      <c r="BR132" s="526">
        <v>1.75</v>
      </c>
    </row>
    <row r="133" spans="1:70" s="229" customFormat="1">
      <c r="A133" s="574"/>
      <c r="B133" s="522"/>
      <c r="C133" s="522"/>
      <c r="D133" s="141"/>
      <c r="E133" s="594"/>
      <c r="F133" s="708"/>
      <c r="G133" s="522"/>
      <c r="H133" s="593"/>
      <c r="I133" s="141"/>
      <c r="J133" s="141"/>
      <c r="K133" s="141"/>
      <c r="L133" s="604"/>
      <c r="M133" s="581"/>
      <c r="N133" s="581"/>
      <c r="O133" s="581"/>
      <c r="P133" s="628" t="s">
        <v>407</v>
      </c>
      <c r="V133" s="526"/>
      <c r="W133" s="514">
        <f t="shared" ref="W133:AS133" si="260">100*W131/W132</f>
        <v>0</v>
      </c>
      <c r="X133" s="514">
        <f t="shared" si="260"/>
        <v>0</v>
      </c>
      <c r="Y133" s="514">
        <f t="shared" si="260"/>
        <v>0</v>
      </c>
      <c r="Z133" s="514">
        <f t="shared" si="260"/>
        <v>0</v>
      </c>
      <c r="AA133" s="514">
        <f t="shared" si="260"/>
        <v>0</v>
      </c>
      <c r="AB133" s="506">
        <f t="shared" si="260"/>
        <v>0</v>
      </c>
      <c r="AC133" s="514">
        <f t="shared" si="260"/>
        <v>0</v>
      </c>
      <c r="AD133" s="514">
        <f t="shared" si="260"/>
        <v>0</v>
      </c>
      <c r="AE133" s="514">
        <f t="shared" si="260"/>
        <v>0</v>
      </c>
      <c r="AF133" s="514">
        <f t="shared" si="260"/>
        <v>0</v>
      </c>
      <c r="AG133" s="514">
        <f t="shared" si="260"/>
        <v>0</v>
      </c>
      <c r="AH133" s="514">
        <f t="shared" si="260"/>
        <v>0</v>
      </c>
      <c r="AI133" s="514">
        <f t="shared" si="260"/>
        <v>0</v>
      </c>
      <c r="AJ133" s="506">
        <f t="shared" si="260"/>
        <v>0</v>
      </c>
      <c r="AK133" s="514">
        <f t="shared" si="260"/>
        <v>0</v>
      </c>
      <c r="AL133" s="514">
        <f t="shared" si="260"/>
        <v>0</v>
      </c>
      <c r="AM133" s="514">
        <f t="shared" si="260"/>
        <v>0</v>
      </c>
      <c r="AN133" s="514">
        <f t="shared" si="260"/>
        <v>0</v>
      </c>
      <c r="AO133" s="514">
        <f t="shared" si="260"/>
        <v>0</v>
      </c>
      <c r="AP133" s="514">
        <f t="shared" si="260"/>
        <v>0</v>
      </c>
      <c r="AQ133" s="514">
        <f t="shared" si="260"/>
        <v>0</v>
      </c>
      <c r="AR133" s="514">
        <f t="shared" si="260"/>
        <v>0</v>
      </c>
      <c r="AS133" s="506">
        <f t="shared" si="260"/>
        <v>0</v>
      </c>
      <c r="AV133" s="514">
        <f t="shared" ref="AV133:BR133" si="261">100*AV131/AV132</f>
        <v>0</v>
      </c>
      <c r="AW133" s="514">
        <f t="shared" si="261"/>
        <v>0</v>
      </c>
      <c r="AX133" s="514">
        <f t="shared" si="261"/>
        <v>0</v>
      </c>
      <c r="AY133" s="514">
        <f t="shared" si="261"/>
        <v>0</v>
      </c>
      <c r="AZ133" s="514">
        <f t="shared" si="261"/>
        <v>0</v>
      </c>
      <c r="BA133" s="506">
        <f t="shared" si="261"/>
        <v>0</v>
      </c>
      <c r="BB133" s="514">
        <f t="shared" si="261"/>
        <v>0</v>
      </c>
      <c r="BC133" s="514">
        <f t="shared" si="261"/>
        <v>0</v>
      </c>
      <c r="BD133" s="514">
        <f t="shared" si="261"/>
        <v>0</v>
      </c>
      <c r="BE133" s="514">
        <f t="shared" si="261"/>
        <v>0</v>
      </c>
      <c r="BF133" s="514">
        <f t="shared" si="261"/>
        <v>0</v>
      </c>
      <c r="BG133" s="514">
        <f t="shared" si="261"/>
        <v>0</v>
      </c>
      <c r="BH133" s="514">
        <f t="shared" si="261"/>
        <v>0</v>
      </c>
      <c r="BI133" s="506">
        <f t="shared" si="261"/>
        <v>0</v>
      </c>
      <c r="BJ133" s="514">
        <f t="shared" si="261"/>
        <v>0</v>
      </c>
      <c r="BK133" s="514">
        <f t="shared" si="261"/>
        <v>0</v>
      </c>
      <c r="BL133" s="514">
        <f t="shared" si="261"/>
        <v>0</v>
      </c>
      <c r="BM133" s="514">
        <f t="shared" si="261"/>
        <v>0</v>
      </c>
      <c r="BN133" s="514">
        <f t="shared" si="261"/>
        <v>0</v>
      </c>
      <c r="BO133" s="514">
        <f t="shared" si="261"/>
        <v>0</v>
      </c>
      <c r="BP133" s="514">
        <f t="shared" si="261"/>
        <v>0</v>
      </c>
      <c r="BQ133" s="514">
        <f t="shared" si="261"/>
        <v>0</v>
      </c>
      <c r="BR133" s="506">
        <f t="shared" si="261"/>
        <v>0</v>
      </c>
    </row>
    <row r="134" spans="1:70" s="229" customFormat="1">
      <c r="A134" s="574"/>
      <c r="B134" s="522"/>
      <c r="C134" s="522"/>
      <c r="D134" s="141"/>
      <c r="E134" s="594"/>
      <c r="F134" s="708"/>
      <c r="G134" s="522"/>
      <c r="H134" s="593"/>
      <c r="I134" s="141"/>
      <c r="J134" s="141"/>
      <c r="K134" s="141"/>
      <c r="L134" s="604"/>
      <c r="M134" s="581"/>
      <c r="N134" s="581"/>
      <c r="O134" s="581"/>
      <c r="P134" s="628" t="s">
        <v>548</v>
      </c>
      <c r="V134" s="526"/>
      <c r="W134" s="583">
        <f>AV131</f>
        <v>0</v>
      </c>
      <c r="X134" s="583">
        <f t="shared" ref="X134" si="262">AW131</f>
        <v>0</v>
      </c>
      <c r="Y134" s="583">
        <f t="shared" ref="Y134" si="263">AX131</f>
        <v>0</v>
      </c>
      <c r="Z134" s="583">
        <f t="shared" ref="Z134" si="264">AY131</f>
        <v>0</v>
      </c>
      <c r="AA134" s="583">
        <f t="shared" ref="AA134" si="265">AZ131</f>
        <v>0</v>
      </c>
      <c r="AB134" s="549">
        <f t="shared" ref="AB134" si="266">BA131</f>
        <v>0</v>
      </c>
      <c r="AC134" s="583">
        <f t="shared" ref="AC134" si="267">BB131</f>
        <v>0</v>
      </c>
      <c r="AD134" s="583">
        <f t="shared" ref="AD134" si="268">BC131</f>
        <v>0</v>
      </c>
      <c r="AE134" s="583">
        <f t="shared" ref="AE134" si="269">BD131</f>
        <v>0</v>
      </c>
      <c r="AF134" s="583">
        <f t="shared" ref="AF134" si="270">BE131</f>
        <v>0</v>
      </c>
      <c r="AG134" s="583">
        <f t="shared" ref="AG134" si="271">BF131</f>
        <v>0</v>
      </c>
      <c r="AH134" s="583">
        <f t="shared" ref="AH134" si="272">BG131</f>
        <v>0</v>
      </c>
      <c r="AI134" s="583">
        <f t="shared" ref="AI134" si="273">BH131</f>
        <v>0</v>
      </c>
      <c r="AJ134" s="549">
        <f t="shared" ref="AJ134" si="274">BI131</f>
        <v>0</v>
      </c>
      <c r="AK134" s="583">
        <f t="shared" ref="AK134" si="275">BJ131</f>
        <v>0</v>
      </c>
      <c r="AL134" s="583">
        <f t="shared" ref="AL134" si="276">BK131</f>
        <v>0</v>
      </c>
      <c r="AM134" s="583">
        <f t="shared" ref="AM134" si="277">BL131</f>
        <v>0</v>
      </c>
      <c r="AN134" s="583">
        <f>BM131</f>
        <v>0</v>
      </c>
      <c r="AO134" s="583">
        <f t="shared" ref="AO134" si="278">BN131</f>
        <v>0</v>
      </c>
      <c r="AP134" s="583">
        <f t="shared" ref="AP134" si="279">BO131</f>
        <v>0</v>
      </c>
      <c r="AQ134" s="583">
        <f t="shared" ref="AQ134" si="280">BP131</f>
        <v>0</v>
      </c>
      <c r="AR134" s="583">
        <f t="shared" ref="AR134" si="281">BQ131</f>
        <v>0</v>
      </c>
      <c r="AS134" s="549">
        <f>BR131</f>
        <v>0</v>
      </c>
    </row>
    <row r="135" spans="1:70" s="229" customFormat="1">
      <c r="A135" s="574"/>
      <c r="B135" s="522"/>
      <c r="C135" s="522"/>
      <c r="D135" s="141"/>
      <c r="E135" s="594"/>
      <c r="F135" s="708"/>
      <c r="G135" s="522"/>
      <c r="H135" s="593"/>
      <c r="I135" s="141"/>
      <c r="J135" s="141"/>
      <c r="K135" s="141"/>
      <c r="L135" s="604"/>
      <c r="M135" s="581"/>
      <c r="N135" s="581"/>
      <c r="O135" s="581"/>
      <c r="P135" s="628" t="s">
        <v>543</v>
      </c>
      <c r="V135" s="526"/>
      <c r="W135" s="514">
        <f t="shared" ref="W135:AS135" si="282">AV133</f>
        <v>0</v>
      </c>
      <c r="X135" s="514">
        <f t="shared" si="282"/>
        <v>0</v>
      </c>
      <c r="Y135" s="514">
        <f t="shared" si="282"/>
        <v>0</v>
      </c>
      <c r="Z135" s="514">
        <f t="shared" si="282"/>
        <v>0</v>
      </c>
      <c r="AA135" s="514">
        <f t="shared" si="282"/>
        <v>0</v>
      </c>
      <c r="AB135" s="506">
        <f t="shared" si="282"/>
        <v>0</v>
      </c>
      <c r="AC135" s="514">
        <f t="shared" si="282"/>
        <v>0</v>
      </c>
      <c r="AD135" s="514">
        <f t="shared" si="282"/>
        <v>0</v>
      </c>
      <c r="AE135" s="514">
        <f t="shared" si="282"/>
        <v>0</v>
      </c>
      <c r="AF135" s="514">
        <f t="shared" si="282"/>
        <v>0</v>
      </c>
      <c r="AG135" s="514">
        <f t="shared" si="282"/>
        <v>0</v>
      </c>
      <c r="AH135" s="514">
        <f t="shared" si="282"/>
        <v>0</v>
      </c>
      <c r="AI135" s="514">
        <f t="shared" si="282"/>
        <v>0</v>
      </c>
      <c r="AJ135" s="506">
        <f t="shared" si="282"/>
        <v>0</v>
      </c>
      <c r="AK135" s="514">
        <f t="shared" si="282"/>
        <v>0</v>
      </c>
      <c r="AL135" s="514">
        <f t="shared" si="282"/>
        <v>0</v>
      </c>
      <c r="AM135" s="514">
        <f t="shared" si="282"/>
        <v>0</v>
      </c>
      <c r="AN135" s="514">
        <f t="shared" si="282"/>
        <v>0</v>
      </c>
      <c r="AO135" s="514">
        <f t="shared" si="282"/>
        <v>0</v>
      </c>
      <c r="AP135" s="514">
        <f t="shared" si="282"/>
        <v>0</v>
      </c>
      <c r="AQ135" s="514">
        <f t="shared" si="282"/>
        <v>0</v>
      </c>
      <c r="AR135" s="514">
        <f t="shared" si="282"/>
        <v>0</v>
      </c>
      <c r="AS135" s="506">
        <f t="shared" si="282"/>
        <v>0</v>
      </c>
      <c r="AV135" s="514"/>
      <c r="AW135" s="514"/>
      <c r="AX135" s="514"/>
      <c r="AY135" s="514"/>
      <c r="AZ135" s="514"/>
      <c r="BA135" s="505"/>
      <c r="BB135" s="514"/>
      <c r="BC135" s="514"/>
      <c r="BD135" s="514"/>
      <c r="BE135" s="514"/>
      <c r="BF135" s="514"/>
      <c r="BG135" s="514"/>
      <c r="BH135" s="514"/>
      <c r="BI135" s="505"/>
      <c r="BJ135" s="514"/>
      <c r="BK135" s="514"/>
      <c r="BL135" s="514"/>
      <c r="BM135" s="514"/>
      <c r="BN135" s="514"/>
      <c r="BO135" s="514"/>
      <c r="BP135" s="514"/>
      <c r="BQ135" s="514"/>
      <c r="BR135" s="505"/>
    </row>
    <row r="136" spans="1:70" s="229" customFormat="1" ht="16" thickBot="1">
      <c r="A136" s="574"/>
      <c r="B136" s="574"/>
      <c r="C136" s="574"/>
      <c r="D136" s="684"/>
      <c r="E136" s="620"/>
      <c r="F136" s="711"/>
      <c r="G136" s="621" t="s">
        <v>3054</v>
      </c>
      <c r="H136" s="622"/>
      <c r="I136" s="685"/>
      <c r="J136" s="685"/>
      <c r="K136" s="574"/>
      <c r="L136" s="623"/>
      <c r="M136" s="623"/>
      <c r="N136" s="623"/>
      <c r="O136" s="581"/>
      <c r="P136" s="574"/>
      <c r="Q136" s="574"/>
      <c r="R136" s="574"/>
      <c r="S136" s="574"/>
      <c r="T136" s="574"/>
      <c r="U136" s="624"/>
      <c r="V136" s="625"/>
      <c r="W136" s="574"/>
      <c r="X136" s="574"/>
      <c r="Y136" s="574"/>
      <c r="Z136" s="574"/>
      <c r="AA136" s="626">
        <f>COUNTIF(AA137:AA148,"&lt;0")</f>
        <v>2</v>
      </c>
      <c r="AB136" s="626">
        <f t="shared" ref="AB136:AS136" si="283">COUNTIF(AB137:AB148,"&lt;0")</f>
        <v>2</v>
      </c>
      <c r="AC136" s="626">
        <f t="shared" si="283"/>
        <v>2</v>
      </c>
      <c r="AD136" s="626">
        <f t="shared" si="283"/>
        <v>2</v>
      </c>
      <c r="AE136" s="626">
        <f t="shared" si="283"/>
        <v>2</v>
      </c>
      <c r="AF136" s="626">
        <f t="shared" si="283"/>
        <v>2</v>
      </c>
      <c r="AG136" s="626">
        <f t="shared" si="283"/>
        <v>2</v>
      </c>
      <c r="AH136" s="626">
        <f t="shared" si="283"/>
        <v>2</v>
      </c>
      <c r="AI136" s="626">
        <f t="shared" si="283"/>
        <v>2</v>
      </c>
      <c r="AJ136" s="626">
        <f t="shared" si="283"/>
        <v>2</v>
      </c>
      <c r="AK136" s="626">
        <f t="shared" si="283"/>
        <v>2</v>
      </c>
      <c r="AL136" s="626">
        <f t="shared" si="283"/>
        <v>2</v>
      </c>
      <c r="AM136" s="626">
        <f t="shared" si="283"/>
        <v>2</v>
      </c>
      <c r="AN136" s="626">
        <f t="shared" si="283"/>
        <v>2</v>
      </c>
      <c r="AO136" s="626">
        <f t="shared" si="283"/>
        <v>2</v>
      </c>
      <c r="AP136" s="626">
        <f t="shared" si="283"/>
        <v>2</v>
      </c>
      <c r="AQ136" s="626">
        <f t="shared" si="283"/>
        <v>2</v>
      </c>
      <c r="AR136" s="626">
        <f t="shared" si="283"/>
        <v>2</v>
      </c>
      <c r="AS136" s="626">
        <f t="shared" si="283"/>
        <v>1</v>
      </c>
      <c r="AT136" s="574"/>
      <c r="AU136" s="574"/>
    </row>
    <row r="137" spans="1:70" s="229" customFormat="1" ht="15" customHeight="1" thickBot="1">
      <c r="A137" s="574"/>
      <c r="B137" s="575" t="s">
        <v>3065</v>
      </c>
      <c r="C137" s="229" t="s">
        <v>1362</v>
      </c>
      <c r="D137" s="85" t="s">
        <v>2740</v>
      </c>
      <c r="E137" s="577">
        <v>100</v>
      </c>
      <c r="F137" s="85" t="s">
        <v>3900</v>
      </c>
      <c r="G137" s="406" t="s">
        <v>3079</v>
      </c>
      <c r="H137" s="1262" t="s">
        <v>3378</v>
      </c>
      <c r="I137" s="85">
        <v>60</v>
      </c>
      <c r="J137" s="682">
        <v>1</v>
      </c>
      <c r="K137" s="579">
        <f t="shared" ref="K137:K148" si="284">IF(I137&gt;0,1.1*Q137*E137/1000,"")</f>
        <v>6.6</v>
      </c>
      <c r="L137" s="580">
        <f>IF(H137="Select ingredient:","",IF(G137="","",_xlfn.IFNA(VLOOKUP($H137,Ingredient_prices!$E:$U,16,FALSE),0)))</f>
        <v>188.98</v>
      </c>
      <c r="M137" s="840"/>
      <c r="N137" s="1228">
        <f>$W150</f>
        <v>218.8</v>
      </c>
      <c r="O137" s="581"/>
      <c r="P137" s="582"/>
      <c r="Q137" s="583">
        <f t="shared" ref="Q137:Q148" si="285">I137/J137</f>
        <v>60</v>
      </c>
      <c r="R137" s="583">
        <f>VLOOKUP($H137,'CO2_emission+%_food_waste'!$A:$K,6,FALSE)*$Q137/100</f>
        <v>-6.0000000000000002E-5</v>
      </c>
      <c r="S137" s="583">
        <f t="shared" ref="S137:S148" si="286">Q137-R137</f>
        <v>60.000059999999998</v>
      </c>
      <c r="T137" s="583">
        <f>IF(H137="Select ingredient:","",IF(G137="Select food category:","",_xlfn.IFNA(VLOOKUP($H137,Ingredient_prices!$E:$U,16,FALSE)*$Q137/1000,"not bought")))</f>
        <v>11.338799999999999</v>
      </c>
      <c r="U137" s="583">
        <f>IF(G137="Select food category:","",_xlfn.IFNA(VLOOKUP($H137,Ingredient_prices!$E:$U,16,FALSE)*$R137/1000,"not bought"))</f>
        <v>-1.1338799999999999E-5</v>
      </c>
      <c r="V137" s="549">
        <f>VLOOKUP($H137,'CO2_emission+%_food_waste'!$A:$K,4,FALSE)*$Q137</f>
        <v>97.2</v>
      </c>
      <c r="W137" s="583">
        <f>VLOOKUP($H137,Nutrition_tables!$A:$N,10,FALSE)*$Q137/100</f>
        <v>159</v>
      </c>
      <c r="X137" s="583">
        <f>VLOOKUP($H137,Nutrition_tables!$A:$N,11,FALSE)*$Q137/100</f>
        <v>33.6</v>
      </c>
      <c r="Y137" s="583">
        <f>VLOOKUP($H137,Nutrition_tables!$A:$N,12,FALSE)*$Q137/100</f>
        <v>4.8</v>
      </c>
      <c r="Z137" s="583">
        <f>VLOOKUP($H137,Nutrition_tables!$A:$N,14,FALSE)*$Q137/100</f>
        <v>0.6</v>
      </c>
      <c r="AA137" s="583">
        <f>VLOOKUP($H137,Nutrition_tables!$A:$AF,13,FALSE)*$Q137/100</f>
        <v>-2.3999999999999998E-3</v>
      </c>
      <c r="AB137" s="549">
        <f>VLOOKUP($H137,Nutrition_tables!$A:$AF,15,FALSE)*$Q137/100</f>
        <v>-2.3999999999999998E-3</v>
      </c>
      <c r="AC137" s="583">
        <f>VLOOKUP($H137,Nutrition_tables!$A:$AF,16,FALSE)*$Q137/100</f>
        <v>-2.3999999999999998E-3</v>
      </c>
      <c r="AD137" s="583">
        <f>VLOOKUP($H137,Nutrition_tables!$A:$AF,17,FALSE)*$Q137/100</f>
        <v>-2.3999999999999998E-3</v>
      </c>
      <c r="AE137" s="583">
        <f>VLOOKUP($H137,Nutrition_tables!$A:$AF,18,FALSE)*$Q137/100</f>
        <v>-2.3999999999999998E-3</v>
      </c>
      <c r="AF137" s="583">
        <f>VLOOKUP($H137,Nutrition_tables!$A:$AF,19,FALSE)*$Q137/100</f>
        <v>-2.3999999999999998E-3</v>
      </c>
      <c r="AG137" s="583">
        <f>VLOOKUP($H137,Nutrition_tables!$A:$AF,20,FALSE)*$Q137/100</f>
        <v>-2.3999999999999998E-3</v>
      </c>
      <c r="AH137" s="583">
        <f>VLOOKUP($H137,Nutrition_tables!$A:$AF,21,FALSE)*$Q137/100</f>
        <v>-2.3999999999999998E-3</v>
      </c>
      <c r="AI137" s="583">
        <f>VLOOKUP($H137,Nutrition_tables!$A:$AF,22,FALSE)*$Q137/100</f>
        <v>-2.3999999999999998E-3</v>
      </c>
      <c r="AJ137" s="549">
        <f>VLOOKUP($H137,Nutrition_tables!$A:$AF,23,FALSE)*$Q137/100</f>
        <v>-2.4000000000000001E-4</v>
      </c>
      <c r="AK137" s="583">
        <f>VLOOKUP($H137,Nutrition_tables!$A:$AF,24,FALSE)*$Q137/100</f>
        <v>-2.3999999999999998E-3</v>
      </c>
      <c r="AL137" s="583">
        <f>VLOOKUP($H137,Nutrition_tables!$A:$AF,25,FALSE)*$Q137/100</f>
        <v>-2.3999999999999998E-3</v>
      </c>
      <c r="AM137" s="583">
        <f>VLOOKUP($H137,Nutrition_tables!$A:$AF,26,FALSE)*$Q137/100</f>
        <v>-2.3999999999999998E-3</v>
      </c>
      <c r="AN137" s="583">
        <f>VLOOKUP($H137,Nutrition_tables!$A:$AF,27,FALSE)*$Q137/100</f>
        <v>-2.3999999999999998E-3</v>
      </c>
      <c r="AO137" s="583">
        <f>VLOOKUP($H137,Nutrition_tables!$A:$AF,28,FALSE)*$Q137/100</f>
        <v>-2.3999999999999998E-3</v>
      </c>
      <c r="AP137" s="583">
        <f>VLOOKUP($H137,Nutrition_tables!$A:$AF,29,FALSE)*$Q137/100</f>
        <v>-2.3999999999999998E-3</v>
      </c>
      <c r="AQ137" s="583">
        <f>VLOOKUP($H137,Nutrition_tables!$A:$AF,30,FALSE)*$Q137/100</f>
        <v>-2.4000000000000001E-4</v>
      </c>
      <c r="AR137" s="583">
        <f>VLOOKUP($H137,Nutrition_tables!$A:$AF,31,FALSE)*$Q137/100</f>
        <v>-2.3999999999999998E-3</v>
      </c>
      <c r="AS137" s="549">
        <f>VLOOKUP($H137,Nutrition_tables!$A:$AF,32,FALSE)*$Q137/100</f>
        <v>-2.4000000000000001E-4</v>
      </c>
      <c r="AT137" s="583">
        <f>IF(H137="Select ingredient:","",IF(G137="Select food category:","",IFERROR(VLOOKUP($H137,Ingredient_prices!$E:$W,17,FALSE)*$Q137/1000,"not bought")))</f>
        <v>11.338799999999999</v>
      </c>
      <c r="AU137" s="583">
        <f>IF(H137="Select ingredient:","",IF(G137="Select food category:","",IFERROR(VLOOKUP($H137,Ingredient_prices!$E:$W,18,FALSE)*$Q137/1000,"not bought")))</f>
        <v>11.338799999999999</v>
      </c>
      <c r="AV137" s="583">
        <f t="shared" ref="AV137:AV148" si="287">W137*($Q137-$R137)/($Q137+0.00001)</f>
        <v>159.00013249997789</v>
      </c>
      <c r="AW137" s="583">
        <f t="shared" ref="AW137:AW148" si="288">X137*($Q137-$R137)/($Q137+0.00001)</f>
        <v>33.600027999995334</v>
      </c>
      <c r="AX137" s="583">
        <f t="shared" ref="AX137:AX148" si="289">Y137*($Q137-$R137)/($Q137+0.00001)</f>
        <v>4.8000039999993325</v>
      </c>
      <c r="AY137" s="583">
        <f t="shared" ref="AY137:AY148" si="290">Z137*($Q137-$R137)/($Q137+0.00001)</f>
        <v>0.60000049999991656</v>
      </c>
      <c r="AZ137" s="583">
        <f t="shared" ref="AZ137:AZ148" si="291">AA137*($Q137-$R137)/($Q137+0.00001)</f>
        <v>-2.4000019999996661E-3</v>
      </c>
      <c r="BA137" s="583">
        <f t="shared" ref="BA137:BA148" si="292">AB137*($Q137-$R137)/($Q137+0.00001)</f>
        <v>-2.4000019999996661E-3</v>
      </c>
      <c r="BB137" s="583">
        <f t="shared" ref="BB137:BB148" si="293">AC137*($Q137-$R137)/($Q137+0.00001)</f>
        <v>-2.4000019999996661E-3</v>
      </c>
      <c r="BC137" s="583">
        <f t="shared" ref="BC137:BC148" si="294">AD137*($Q137-$R137)/($Q137+0.00001)</f>
        <v>-2.4000019999996661E-3</v>
      </c>
      <c r="BD137" s="583">
        <f t="shared" ref="BD137:BD148" si="295">AE137*($Q137-$R137)/($Q137+0.00001)</f>
        <v>-2.4000019999996661E-3</v>
      </c>
      <c r="BE137" s="583">
        <f t="shared" ref="BE137:BE148" si="296">AF137*($Q137-$R137)/($Q137+0.00001)</f>
        <v>-2.4000019999996661E-3</v>
      </c>
      <c r="BF137" s="583">
        <f t="shared" ref="BF137:BF148" si="297">AG137*($Q137-$R137)/($Q137+0.00001)</f>
        <v>-2.4000019999996661E-3</v>
      </c>
      <c r="BG137" s="583">
        <f t="shared" ref="BG137:BG148" si="298">AH137*($Q137-$R137)/($Q137+0.00001)</f>
        <v>-2.4000019999996661E-3</v>
      </c>
      <c r="BH137" s="583">
        <f t="shared" ref="BH137:BH148" si="299">AI137*($Q137-$R137)/($Q137+0.00001)</f>
        <v>-2.4000019999996661E-3</v>
      </c>
      <c r="BI137" s="583">
        <f t="shared" ref="BI137:BI148" si="300">AJ137*($Q137-$R137)/($Q137+0.00001)</f>
        <v>-2.4000019999996665E-4</v>
      </c>
      <c r="BJ137" s="583">
        <f t="shared" ref="BJ137:BJ148" si="301">AK137*($Q137-$R137)/($Q137+0.00001)</f>
        <v>-2.4000019999996661E-3</v>
      </c>
      <c r="BK137" s="583">
        <f t="shared" ref="BK137:BK148" si="302">AL137*($Q137-$R137)/($Q137+0.00001)</f>
        <v>-2.4000019999996661E-3</v>
      </c>
      <c r="BL137" s="583">
        <f t="shared" ref="BL137:BL148" si="303">AM137*($Q137-$R137)/($Q137+0.00001)</f>
        <v>-2.4000019999996661E-3</v>
      </c>
      <c r="BM137" s="583">
        <f t="shared" ref="BM137:BM148" si="304">AN137*($Q137-$R137)/($Q137+0.00001)</f>
        <v>-2.4000019999996661E-3</v>
      </c>
      <c r="BN137" s="583">
        <f t="shared" ref="BN137:BN148" si="305">AO137*($Q137-$R137)/($Q137+0.00001)</f>
        <v>-2.4000019999996661E-3</v>
      </c>
      <c r="BO137" s="583">
        <f t="shared" ref="BO137:BO148" si="306">AP137*($Q137-$R137)/($Q137+0.00001)</f>
        <v>-2.4000019999996661E-3</v>
      </c>
      <c r="BP137" s="583">
        <f t="shared" ref="BP137:BP148" si="307">AQ137*($Q137-$R137)/($Q137+0.00001)</f>
        <v>-2.4000019999996665E-4</v>
      </c>
      <c r="BQ137" s="583">
        <f t="shared" ref="BQ137:BQ148" si="308">AR137*($Q137-$R137)/($Q137+0.00001)</f>
        <v>-2.4000019999996661E-3</v>
      </c>
      <c r="BR137" s="583">
        <f t="shared" ref="BR137:BR148" si="309">AS137*($Q137-$R137)/($Q137+0.00001)</f>
        <v>-2.4000019999996665E-4</v>
      </c>
    </row>
    <row r="138" spans="1:70" s="229" customFormat="1" ht="15" customHeight="1">
      <c r="A138" s="574"/>
      <c r="D138" s="85" t="s">
        <v>2742</v>
      </c>
      <c r="E138" s="576">
        <f>IF(E$137&gt;0,E$137,"")</f>
        <v>100</v>
      </c>
      <c r="F138" s="85"/>
      <c r="G138" s="406" t="s">
        <v>3085</v>
      </c>
      <c r="H138" s="578" t="s">
        <v>3454</v>
      </c>
      <c r="I138" s="85">
        <v>10</v>
      </c>
      <c r="J138" s="682">
        <v>1</v>
      </c>
      <c r="K138" s="579">
        <f t="shared" si="284"/>
        <v>1.1000000000000001</v>
      </c>
      <c r="L138" s="580">
        <f>IF(H138="Select ingredient:","",IF(G138="","",_xlfn.IFNA(VLOOKUP($H138,Ingredient_prices!$E:$U,16,FALSE),0)))</f>
        <v>202.28571428571428</v>
      </c>
      <c r="M138" s="840"/>
      <c r="N138" s="840"/>
      <c r="O138" s="581"/>
      <c r="P138" s="582"/>
      <c r="Q138" s="583">
        <f t="shared" si="285"/>
        <v>10</v>
      </c>
      <c r="R138" s="583">
        <f>VLOOKUP($H138,'CO2_emission+%_food_waste'!$A:$K,6,FALSE)*$Q138/100</f>
        <v>0.79</v>
      </c>
      <c r="S138" s="583">
        <f t="shared" si="286"/>
        <v>9.2100000000000009</v>
      </c>
      <c r="T138" s="583">
        <f>IF(H138="Select ingredient:","",IF(G138="Select food category:","",_xlfn.IFNA(VLOOKUP($H138,Ingredient_prices!$E:$U,16,FALSE)*$Q138/1000,"not bought")))</f>
        <v>2.0228571428571427</v>
      </c>
      <c r="U138" s="583">
        <f>IF(G138="Select food category:","",_xlfn.IFNA(VLOOKUP($H138,Ingredient_prices!$E:$U,16,FALSE)*$R138/1000,"not bought"))</f>
        <v>0.1598057142857143</v>
      </c>
      <c r="V138" s="549">
        <f>VLOOKUP($H138,'CO2_emission+%_food_waste'!$A:$K,4,FALSE)*$Q138</f>
        <v>55</v>
      </c>
      <c r="W138" s="583">
        <f>VLOOKUP($H138,Nutrition_tables!$A:$N,10,FALSE)*$Q138/100</f>
        <v>20.399999999999999</v>
      </c>
      <c r="X138" s="583">
        <f>VLOOKUP($H138,Nutrition_tables!$A:$N,11,FALSE)*$Q138/100</f>
        <v>0.34</v>
      </c>
      <c r="Y138" s="583">
        <f>VLOOKUP($H138,Nutrition_tables!$A:$N,12,FALSE)*$Q138/100</f>
        <v>0.28000000000000003</v>
      </c>
      <c r="Z138" s="583">
        <f>VLOOKUP($H138,Nutrition_tables!$A:$N,14,FALSE)*$Q138/100</f>
        <v>2.0001333333333333</v>
      </c>
      <c r="AA138" s="583">
        <f>VLOOKUP($H138,Nutrition_tables!$A:$AF,13,FALSE)*$Q138/100</f>
        <v>0</v>
      </c>
      <c r="AB138" s="549">
        <f>VLOOKUP($H138,Nutrition_tables!$A:$AF,15,FALSE)*$Q138/100</f>
        <v>1.2133999999999998</v>
      </c>
      <c r="AC138" s="583">
        <f>VLOOKUP($H138,Nutrition_tables!$A:$AF,16,FALSE)*$Q138/100</f>
        <v>4</v>
      </c>
      <c r="AD138" s="583">
        <f>VLOOKUP($H138,Nutrition_tables!$A:$AF,17,FALSE)*$Q138/100</f>
        <v>13</v>
      </c>
      <c r="AE138" s="583">
        <f>VLOOKUP($H138,Nutrition_tables!$A:$AF,18,FALSE)*$Q138/100</f>
        <v>10</v>
      </c>
      <c r="AF138" s="583">
        <f>VLOOKUP($H138,Nutrition_tables!$A:$AF,19,FALSE)*$Q138/100</f>
        <v>1.1000000000000001</v>
      </c>
      <c r="AG138" s="583">
        <f>VLOOKUP($H138,Nutrition_tables!$A:$AF,20,FALSE)*$Q138/100</f>
        <v>8</v>
      </c>
      <c r="AH138" s="583">
        <f>VLOOKUP($H138,Nutrition_tables!$A:$AF,21,FALSE)*$Q138/100</f>
        <v>0.01</v>
      </c>
      <c r="AI138" s="583">
        <f>VLOOKUP($H138,Nutrition_tables!$A:$AF,22,FALSE)*$Q138/100</f>
        <v>0.04</v>
      </c>
      <c r="AJ138" s="549">
        <f>VLOOKUP($H138,Nutrition_tables!$A:$AF,23,FALSE)*$Q138/100</f>
        <v>2.3333333333333335E-3</v>
      </c>
      <c r="AK138" s="583">
        <f>VLOOKUP($H138,Nutrition_tables!$A:$AF,24,FALSE)*$Q138/100</f>
        <v>24</v>
      </c>
      <c r="AL138" s="583">
        <f>VLOOKUP($H138,Nutrition_tables!$A:$AF,25,FALSE)*$Q138/100</f>
        <v>4.0000000000000001E-3</v>
      </c>
      <c r="AM138" s="583">
        <f>VLOOKUP($H138,Nutrition_tables!$A:$AF,26,FALSE)*$Q138/100</f>
        <v>1.6999999999999998E-2</v>
      </c>
      <c r="AN138" s="583">
        <f>VLOOKUP($H138,Nutrition_tables!$A:$AF,27,FALSE)*$Q138/100</f>
        <v>7.0000000000000007E-2</v>
      </c>
      <c r="AO138" s="583">
        <f>VLOOKUP($H138,Nutrition_tables!$A:$AF,28,FALSE)*$Q138/100</f>
        <v>4.0000000000000001E-3</v>
      </c>
      <c r="AP138" s="583">
        <f>VLOOKUP($H138,Nutrition_tables!$A:$AF,29,FALSE)*$Q138/100</f>
        <v>1.1000000000000001</v>
      </c>
      <c r="AQ138" s="583">
        <f>VLOOKUP($H138,Nutrition_tables!$A:$AF,30,FALSE)*$Q138/100</f>
        <v>0.03</v>
      </c>
      <c r="AR138" s="583">
        <f>VLOOKUP($H138,Nutrition_tables!$A:$AF,31,FALSE)*$Q138/100</f>
        <v>0.1</v>
      </c>
      <c r="AS138" s="549">
        <f>VLOOKUP($H138,Nutrition_tables!$A:$AF,32,FALSE)*$Q138/100</f>
        <v>0.04</v>
      </c>
      <c r="AT138" s="583">
        <f>IF(H138="Select ingredient:","",IF(G138="Select food category:","",IFERROR(VLOOKUP($H138,Ingredient_prices!$E:$W,17,FALSE)*$Q138/1000,"not bought")))</f>
        <v>2.0228571428571427</v>
      </c>
      <c r="AU138" s="583">
        <f>IF(H138="Select ingredient:","",IF(G138="Select food category:","",IFERROR(VLOOKUP($H138,Ingredient_prices!$E:$W,18,FALSE)*$Q138/1000,"not bought")))</f>
        <v>2.0228571428571427</v>
      </c>
      <c r="AV138" s="583">
        <f t="shared" si="287"/>
        <v>18.788381211618791</v>
      </c>
      <c r="AW138" s="583">
        <f t="shared" si="288"/>
        <v>0.31313968686031324</v>
      </c>
      <c r="AX138" s="583">
        <f t="shared" si="289"/>
        <v>0.25787974212025794</v>
      </c>
      <c r="AY138" s="583">
        <f t="shared" si="290"/>
        <v>1.8421209578790425</v>
      </c>
      <c r="AZ138" s="583">
        <f t="shared" si="291"/>
        <v>0</v>
      </c>
      <c r="BA138" s="583">
        <f t="shared" si="292"/>
        <v>1.1175402824597176</v>
      </c>
      <c r="BB138" s="583">
        <f t="shared" si="293"/>
        <v>3.6839963160036846</v>
      </c>
      <c r="BC138" s="583">
        <f t="shared" si="294"/>
        <v>11.972988027011976</v>
      </c>
      <c r="BD138" s="583">
        <f t="shared" si="295"/>
        <v>9.2099907900092113</v>
      </c>
      <c r="BE138" s="583">
        <f t="shared" si="296"/>
        <v>1.0130989869010134</v>
      </c>
      <c r="BF138" s="583">
        <f t="shared" si="297"/>
        <v>7.3679926320073692</v>
      </c>
      <c r="BG138" s="583">
        <f t="shared" si="298"/>
        <v>9.2099907900092121E-3</v>
      </c>
      <c r="BH138" s="583">
        <f t="shared" si="299"/>
        <v>3.6839963160036848E-2</v>
      </c>
      <c r="BI138" s="583">
        <f t="shared" si="300"/>
        <v>2.1489978510021491E-3</v>
      </c>
      <c r="BJ138" s="583">
        <f t="shared" si="301"/>
        <v>22.103977896022108</v>
      </c>
      <c r="BK138" s="583">
        <f t="shared" si="302"/>
        <v>3.6839963160036847E-3</v>
      </c>
      <c r="BL138" s="583">
        <f t="shared" si="303"/>
        <v>1.5656984343015656E-2</v>
      </c>
      <c r="BM138" s="583">
        <f t="shared" si="304"/>
        <v>6.4469935530064484E-2</v>
      </c>
      <c r="BN138" s="583">
        <f t="shared" si="305"/>
        <v>3.6839963160036847E-3</v>
      </c>
      <c r="BO138" s="583">
        <f t="shared" si="306"/>
        <v>1.0130989869010134</v>
      </c>
      <c r="BP138" s="583">
        <f t="shared" si="307"/>
        <v>2.7629972370027629E-2</v>
      </c>
      <c r="BQ138" s="583">
        <f t="shared" si="308"/>
        <v>9.2099907900092121E-2</v>
      </c>
      <c r="BR138" s="583">
        <f t="shared" si="309"/>
        <v>3.6839963160036848E-2</v>
      </c>
    </row>
    <row r="139" spans="1:70" s="229" customFormat="1" ht="15" customHeight="1">
      <c r="A139" s="574"/>
      <c r="D139" s="406"/>
      <c r="E139" s="576">
        <f t="shared" ref="E139:E148" si="310">IF(E$137&gt;0,E$137,"")</f>
        <v>100</v>
      </c>
      <c r="F139" s="85"/>
      <c r="G139" s="406" t="s">
        <v>3071</v>
      </c>
      <c r="H139" s="578" t="s">
        <v>3203</v>
      </c>
      <c r="I139" s="85">
        <v>20</v>
      </c>
      <c r="J139" s="682">
        <v>1</v>
      </c>
      <c r="K139" s="579">
        <f t="shared" si="284"/>
        <v>2.2000000000000002</v>
      </c>
      <c r="L139" s="580">
        <f>IF(H139="Select ingredient:","",IF(G139="","",_xlfn.IFNA(VLOOKUP($H139,Ingredient_prices!$E:$U,16,FALSE),0)))</f>
        <v>1800</v>
      </c>
      <c r="M139" s="840"/>
      <c r="N139" s="840"/>
      <c r="O139" s="581"/>
      <c r="P139" s="582"/>
      <c r="Q139" s="583">
        <f t="shared" si="285"/>
        <v>20</v>
      </c>
      <c r="R139" s="583">
        <f>VLOOKUP($H139,'CO2_emission+%_food_waste'!$A:$K,6,FALSE)*$Q139/100</f>
        <v>-2.0000000000000002E-5</v>
      </c>
      <c r="S139" s="583">
        <f t="shared" si="286"/>
        <v>20.000019999999999</v>
      </c>
      <c r="T139" s="583">
        <f>IF(H139="Select ingredient:","",IF(G139="Select food category:","",_xlfn.IFNA(VLOOKUP($H139,Ingredient_prices!$E:$U,16,FALSE)*$Q139/1000,"not bought")))</f>
        <v>36</v>
      </c>
      <c r="U139" s="583">
        <f>IF(G139="Select food category:","",_xlfn.IFNA(VLOOKUP($H139,Ingredient_prices!$E:$U,16,FALSE)*$R139/1000,"not bought"))</f>
        <v>-3.6000000000000001E-5</v>
      </c>
      <c r="V139" s="549">
        <f>VLOOKUP($H139,'CO2_emission+%_food_waste'!$A:$K,4,FALSE)*$Q139</f>
        <v>65.8</v>
      </c>
      <c r="W139" s="583">
        <f>VLOOKUP($H139,Nutrition_tables!$A:$N,10,FALSE)*$Q139/100</f>
        <v>37.200000000000003</v>
      </c>
      <c r="X139" s="583">
        <f>VLOOKUP($H139,Nutrition_tables!$A:$N,11,FALSE)*$Q139/100</f>
        <v>0</v>
      </c>
      <c r="Y139" s="583">
        <f>VLOOKUP($H139,Nutrition_tables!$A:$N,12,FALSE)*$Q139/100</f>
        <v>5.32</v>
      </c>
      <c r="Z139" s="583">
        <f>VLOOKUP($H139,Nutrition_tables!$A:$N,14,FALSE)*$Q139/100</f>
        <v>1.6180000000000001</v>
      </c>
      <c r="AA139" s="583">
        <f>VLOOKUP($H139,Nutrition_tables!$A:$AF,13,FALSE)*$Q139/100</f>
        <v>-8.0000000000000004E-4</v>
      </c>
      <c r="AB139" s="549">
        <f>VLOOKUP($H139,Nutrition_tables!$A:$AF,15,FALSE)*$Q139/100</f>
        <v>-8.0000000000000004E-4</v>
      </c>
      <c r="AC139" s="583">
        <f>VLOOKUP($H139,Nutrition_tables!$A:$AF,16,FALSE)*$Q139/100</f>
        <v>-8.0000000000000004E-4</v>
      </c>
      <c r="AD139" s="583">
        <f>VLOOKUP($H139,Nutrition_tables!$A:$AF,17,FALSE)*$Q139/100</f>
        <v>-8.0000000000000004E-4</v>
      </c>
      <c r="AE139" s="583">
        <f>VLOOKUP($H139,Nutrition_tables!$A:$AF,18,FALSE)*$Q139/100</f>
        <v>-8.0000000000000004E-4</v>
      </c>
      <c r="AF139" s="583">
        <f>VLOOKUP($H139,Nutrition_tables!$A:$AF,19,FALSE)*$Q139/100</f>
        <v>-8.0000000000000004E-4</v>
      </c>
      <c r="AG139" s="583">
        <f>VLOOKUP($H139,Nutrition_tables!$A:$AF,20,FALSE)*$Q139/100</f>
        <v>-8.0000000000000004E-4</v>
      </c>
      <c r="AH139" s="583">
        <f>VLOOKUP($H139,Nutrition_tables!$A:$AF,21,FALSE)*$Q139/100</f>
        <v>-8.0000000000000004E-4</v>
      </c>
      <c r="AI139" s="583">
        <f>VLOOKUP($H139,Nutrition_tables!$A:$AF,22,FALSE)*$Q139/100</f>
        <v>-8.0000000000000004E-4</v>
      </c>
      <c r="AJ139" s="549">
        <f>VLOOKUP($H139,Nutrition_tables!$A:$AF,23,FALSE)*$Q139/100</f>
        <v>-8.0000000000000007E-5</v>
      </c>
      <c r="AK139" s="583">
        <f>VLOOKUP($H139,Nutrition_tables!$A:$AF,24,FALSE)*$Q139/100</f>
        <v>-8.0000000000000004E-4</v>
      </c>
      <c r="AL139" s="583">
        <f>VLOOKUP($H139,Nutrition_tables!$A:$AF,25,FALSE)*$Q139/100</f>
        <v>-8.0000000000000004E-4</v>
      </c>
      <c r="AM139" s="583">
        <f>VLOOKUP($H139,Nutrition_tables!$A:$AF,26,FALSE)*$Q139/100</f>
        <v>-8.0000000000000004E-4</v>
      </c>
      <c r="AN139" s="583">
        <f>VLOOKUP($H139,Nutrition_tables!$A:$AF,27,FALSE)*$Q139/100</f>
        <v>-8.0000000000000004E-4</v>
      </c>
      <c r="AO139" s="583">
        <f>VLOOKUP($H139,Nutrition_tables!$A:$AF,28,FALSE)*$Q139/100</f>
        <v>-8.0000000000000004E-4</v>
      </c>
      <c r="AP139" s="583">
        <f>VLOOKUP($H139,Nutrition_tables!$A:$AF,29,FALSE)*$Q139/100</f>
        <v>-8.0000000000000004E-4</v>
      </c>
      <c r="AQ139" s="583">
        <f>VLOOKUP($H139,Nutrition_tables!$A:$AF,30,FALSE)*$Q139/100</f>
        <v>-8.0000000000000007E-5</v>
      </c>
      <c r="AR139" s="583">
        <f>VLOOKUP($H139,Nutrition_tables!$A:$AF,31,FALSE)*$Q139/100</f>
        <v>-8.0000000000000004E-4</v>
      </c>
      <c r="AS139" s="549">
        <f>VLOOKUP($H139,Nutrition_tables!$A:$AF,32,FALSE)*$Q139/100</f>
        <v>1.18</v>
      </c>
      <c r="AT139" s="583">
        <f>IF(H139="Select ingredient:","",IF(G139="Select food category:","",IFERROR(VLOOKUP($H139,Ingredient_prices!$E:$W,17,FALSE)*$Q139/1000,"not bought")))</f>
        <v>36</v>
      </c>
      <c r="AU139" s="583">
        <f>IF(H139="Select ingredient:","",IF(G139="Select food category:","",IFERROR(VLOOKUP($H139,Ingredient_prices!$E:$W,18,FALSE)*$Q139/1000,"not bought")))</f>
        <v>36</v>
      </c>
      <c r="AV139" s="583">
        <f t="shared" si="287"/>
        <v>37.200018599990706</v>
      </c>
      <c r="AW139" s="583">
        <f t="shared" si="288"/>
        <v>0</v>
      </c>
      <c r="AX139" s="583">
        <f t="shared" si="289"/>
        <v>5.3200026599986696</v>
      </c>
      <c r="AY139" s="583">
        <f t="shared" si="290"/>
        <v>1.6180008089995954</v>
      </c>
      <c r="AZ139" s="583">
        <f t="shared" si="291"/>
        <v>-8.0000039999979992E-4</v>
      </c>
      <c r="BA139" s="583">
        <f t="shared" si="292"/>
        <v>-8.0000039999979992E-4</v>
      </c>
      <c r="BB139" s="583">
        <f t="shared" si="293"/>
        <v>-8.0000039999979992E-4</v>
      </c>
      <c r="BC139" s="583">
        <f t="shared" si="294"/>
        <v>-8.0000039999979992E-4</v>
      </c>
      <c r="BD139" s="583">
        <f t="shared" si="295"/>
        <v>-8.0000039999979992E-4</v>
      </c>
      <c r="BE139" s="583">
        <f t="shared" si="296"/>
        <v>-8.0000039999979992E-4</v>
      </c>
      <c r="BF139" s="583">
        <f t="shared" si="297"/>
        <v>-8.0000039999979992E-4</v>
      </c>
      <c r="BG139" s="583">
        <f t="shared" si="298"/>
        <v>-8.0000039999979992E-4</v>
      </c>
      <c r="BH139" s="583">
        <f t="shared" si="299"/>
        <v>-8.0000039999979992E-4</v>
      </c>
      <c r="BI139" s="583">
        <f t="shared" si="300"/>
        <v>-8.0000039999980006E-5</v>
      </c>
      <c r="BJ139" s="583">
        <f t="shared" si="301"/>
        <v>-8.0000039999979992E-4</v>
      </c>
      <c r="BK139" s="583">
        <f t="shared" si="302"/>
        <v>-8.0000039999979992E-4</v>
      </c>
      <c r="BL139" s="583">
        <f t="shared" si="303"/>
        <v>-8.0000039999979992E-4</v>
      </c>
      <c r="BM139" s="583">
        <f t="shared" si="304"/>
        <v>-8.0000039999979992E-4</v>
      </c>
      <c r="BN139" s="583">
        <f t="shared" si="305"/>
        <v>-8.0000039999979992E-4</v>
      </c>
      <c r="BO139" s="583">
        <f t="shared" si="306"/>
        <v>-8.0000039999979992E-4</v>
      </c>
      <c r="BP139" s="583">
        <f t="shared" si="307"/>
        <v>-8.0000039999980006E-5</v>
      </c>
      <c r="BQ139" s="583">
        <f t="shared" si="308"/>
        <v>-8.0000039999979992E-4</v>
      </c>
      <c r="BR139" s="583">
        <f t="shared" si="309"/>
        <v>1.1800005899997048</v>
      </c>
    </row>
    <row r="140" spans="1:70" s="229" customFormat="1" ht="15" customHeight="1">
      <c r="A140" s="574"/>
      <c r="D140" s="85"/>
      <c r="E140" s="576">
        <f t="shared" si="310"/>
        <v>100</v>
      </c>
      <c r="F140" s="85"/>
      <c r="G140" s="406" t="s">
        <v>3069</v>
      </c>
      <c r="H140" s="578" t="s">
        <v>3145</v>
      </c>
      <c r="I140" s="85">
        <v>20</v>
      </c>
      <c r="J140" s="682">
        <v>1</v>
      </c>
      <c r="K140" s="579">
        <f t="shared" si="284"/>
        <v>2.2000000000000002</v>
      </c>
      <c r="L140" s="580">
        <f>IF(H140="Select ingredient:","",IF(G140="","",_xlfn.IFNA(VLOOKUP($H140,Ingredient_prices!$E:$U,16,FALSE),0)))</f>
        <v>72.3</v>
      </c>
      <c r="M140" s="840"/>
      <c r="N140" s="840"/>
      <c r="O140" s="581"/>
      <c r="P140" s="582"/>
      <c r="Q140" s="583">
        <f t="shared" si="285"/>
        <v>20</v>
      </c>
      <c r="R140" s="583">
        <f>VLOOKUP($H140,'CO2_emission+%_food_waste'!$A:$K,6,FALSE)*$Q140/100</f>
        <v>9.48</v>
      </c>
      <c r="S140" s="583">
        <f t="shared" si="286"/>
        <v>10.52</v>
      </c>
      <c r="T140" s="583">
        <f>IF(H140="Select ingredient:","",IF(G140="Select food category:","",_xlfn.IFNA(VLOOKUP($H140,Ingredient_prices!$E:$U,16,FALSE)*$Q140/1000,"not bought")))</f>
        <v>1.446</v>
      </c>
      <c r="U140" s="583">
        <f>IF(G140="Select food category:","",_xlfn.IFNA(VLOOKUP($H140,Ingredient_prices!$E:$U,16,FALSE)*$R140/1000,"not bought"))</f>
        <v>0.68540400000000001</v>
      </c>
      <c r="V140" s="549">
        <f>VLOOKUP($H140,'CO2_emission+%_food_waste'!$A:$K,4,FALSE)*$Q140</f>
        <v>32</v>
      </c>
      <c r="W140" s="583">
        <f>VLOOKUP($H140,Nutrition_tables!$A:$N,10,FALSE)*$Q140/100</f>
        <v>2.2000000000000002</v>
      </c>
      <c r="X140" s="583">
        <f>VLOOKUP($H140,Nutrition_tables!$A:$N,11,FALSE)*$Q140/100</f>
        <v>0.45199999999999996</v>
      </c>
      <c r="Y140" s="583">
        <f>VLOOKUP($H140,Nutrition_tables!$A:$N,12,FALSE)*$Q140/100</f>
        <v>6.6000000000000003E-2</v>
      </c>
      <c r="Z140" s="583">
        <f>VLOOKUP($H140,Nutrition_tables!$A:$N,14,FALSE)*$Q140/100</f>
        <v>1.8599999999999998E-2</v>
      </c>
      <c r="AA140" s="583">
        <f>VLOOKUP($H140,Nutrition_tables!$A:$AF,13,FALSE)*$Q140/100</f>
        <v>0.24</v>
      </c>
      <c r="AB140" s="549">
        <f>VLOOKUP($H140,Nutrition_tables!$A:$AF,15,FALSE)*$Q140/100</f>
        <v>6.4000000000000003E-3</v>
      </c>
      <c r="AC140" s="583">
        <f>VLOOKUP($H140,Nutrition_tables!$A:$AF,16,FALSE)*$Q140/100</f>
        <v>32</v>
      </c>
      <c r="AD140" s="583">
        <f>VLOOKUP($H140,Nutrition_tables!$A:$AF,17,FALSE)*$Q140/100</f>
        <v>13</v>
      </c>
      <c r="AE140" s="583">
        <f>VLOOKUP($H140,Nutrition_tables!$A:$AF,18,FALSE)*$Q140/100</f>
        <v>2.4</v>
      </c>
      <c r="AF140" s="583">
        <f>VLOOKUP($H140,Nutrition_tables!$A:$AF,19,FALSE)*$Q140/100</f>
        <v>1</v>
      </c>
      <c r="AG140" s="583">
        <f>VLOOKUP($H140,Nutrition_tables!$A:$AF,20,FALSE)*$Q140/100</f>
        <v>2.6</v>
      </c>
      <c r="AH140" s="583">
        <f>VLOOKUP($H140,Nutrition_tables!$A:$AF,21,FALSE)*$Q140/100</f>
        <v>4.1599999999999998E-2</v>
      </c>
      <c r="AI140" s="583">
        <f>VLOOKUP($H140,Nutrition_tables!$A:$AF,22,FALSE)*$Q140/100</f>
        <v>2.3199999999999998E-2</v>
      </c>
      <c r="AJ140" s="549">
        <f>VLOOKUP($H140,Nutrition_tables!$A:$AF,23,FALSE)*$Q140/100</f>
        <v>6.0000000000000001E-3</v>
      </c>
      <c r="AK140" s="583">
        <f>VLOOKUP($H140,Nutrition_tables!$A:$AF,24,FALSE)*$Q140/100</f>
        <v>6</v>
      </c>
      <c r="AL140" s="583">
        <f>VLOOKUP($H140,Nutrition_tables!$A:$AF,25,FALSE)*$Q140/100</f>
        <v>7.1999999999999994E-4</v>
      </c>
      <c r="AM140" s="583">
        <f>VLOOKUP($H140,Nutrition_tables!$A:$AF,26,FALSE)*$Q140/100</f>
        <v>2.3999999999999998E-3</v>
      </c>
      <c r="AN140" s="583">
        <f>VLOOKUP($H140,Nutrition_tables!$A:$AF,27,FALSE)*$Q140/100</f>
        <v>0</v>
      </c>
      <c r="AO140" s="583">
        <f>VLOOKUP($H140,Nutrition_tables!$A:$AF,28,FALSE)*$Q140/100</f>
        <v>1.8E-3</v>
      </c>
      <c r="AP140" s="583">
        <f>VLOOKUP($H140,Nutrition_tables!$A:$AF,29,FALSE)*$Q140/100</f>
        <v>1</v>
      </c>
      <c r="AQ140" s="583">
        <f>VLOOKUP($H140,Nutrition_tables!$A:$AF,30,FALSE)*$Q140/100</f>
        <v>0</v>
      </c>
      <c r="AR140" s="583">
        <f>VLOOKUP($H140,Nutrition_tables!$A:$AF,31,FALSE)*$Q140/100</f>
        <v>0.58199999999999996</v>
      </c>
      <c r="AS140" s="549">
        <f>VLOOKUP($H140,Nutrition_tables!$A:$AF,32,FALSE)*$Q140/100</f>
        <v>0</v>
      </c>
      <c r="AT140" s="583">
        <f>IF(H140="Select ingredient:","",IF(G140="Select food category:","",IFERROR(VLOOKUP($H140,Ingredient_prices!$E:$W,17,FALSE)*$Q140/1000,"not bought")))</f>
        <v>1.446</v>
      </c>
      <c r="AU140" s="583">
        <f>IF(H140="Select ingredient:","",IF(G140="Select food category:","",IFERROR(VLOOKUP($H140,Ingredient_prices!$E:$W,18,FALSE)*$Q140/1000,"not bought")))</f>
        <v>1.446</v>
      </c>
      <c r="AV140" s="583">
        <f t="shared" si="287"/>
        <v>1.1571994214002894</v>
      </c>
      <c r="AW140" s="583">
        <f t="shared" si="288"/>
        <v>0.2377518811240594</v>
      </c>
      <c r="AX140" s="583">
        <f t="shared" si="289"/>
        <v>3.4715982642008682E-2</v>
      </c>
      <c r="AY140" s="583">
        <f t="shared" si="290"/>
        <v>9.7835951082024461E-3</v>
      </c>
      <c r="AZ140" s="583">
        <f t="shared" si="291"/>
        <v>0.12623993688003157</v>
      </c>
      <c r="BA140" s="583">
        <f t="shared" si="292"/>
        <v>3.3663983168008417E-3</v>
      </c>
      <c r="BB140" s="583">
        <f t="shared" si="293"/>
        <v>16.831991584004207</v>
      </c>
      <c r="BC140" s="583">
        <f t="shared" si="294"/>
        <v>6.8379965810017094</v>
      </c>
      <c r="BD140" s="583">
        <f t="shared" si="295"/>
        <v>1.2623993688003154</v>
      </c>
      <c r="BE140" s="583">
        <f t="shared" si="296"/>
        <v>0.52599973700013147</v>
      </c>
      <c r="BF140" s="583">
        <f t="shared" si="297"/>
        <v>1.3675993162003419</v>
      </c>
      <c r="BG140" s="583">
        <f t="shared" si="298"/>
        <v>2.188158905920547E-2</v>
      </c>
      <c r="BH140" s="583">
        <f t="shared" si="299"/>
        <v>1.2203193898403049E-2</v>
      </c>
      <c r="BI140" s="583">
        <f t="shared" si="300"/>
        <v>3.1559984220007891E-3</v>
      </c>
      <c r="BJ140" s="583">
        <f t="shared" si="301"/>
        <v>3.1559984220007888</v>
      </c>
      <c r="BK140" s="583">
        <f t="shared" si="302"/>
        <v>3.7871981064009467E-4</v>
      </c>
      <c r="BL140" s="583">
        <f t="shared" si="303"/>
        <v>1.2623993688003154E-3</v>
      </c>
      <c r="BM140" s="583">
        <f t="shared" si="304"/>
        <v>0</v>
      </c>
      <c r="BN140" s="583">
        <f t="shared" si="305"/>
        <v>9.4679952660023663E-4</v>
      </c>
      <c r="BO140" s="583">
        <f t="shared" si="306"/>
        <v>0.52599973700013147</v>
      </c>
      <c r="BP140" s="583">
        <f t="shared" si="307"/>
        <v>0</v>
      </c>
      <c r="BQ140" s="583">
        <f t="shared" si="308"/>
        <v>0.30613184693407652</v>
      </c>
      <c r="BR140" s="583">
        <f t="shared" si="309"/>
        <v>0</v>
      </c>
    </row>
    <row r="141" spans="1:70" s="229" customFormat="1" ht="15" customHeight="1">
      <c r="A141" s="574"/>
      <c r="D141" s="85"/>
      <c r="E141" s="576">
        <f t="shared" si="310"/>
        <v>100</v>
      </c>
      <c r="F141" s="707"/>
      <c r="G141" s="406" t="s">
        <v>3054</v>
      </c>
      <c r="H141" s="1262" t="s">
        <v>3055</v>
      </c>
      <c r="I141" s="85">
        <v>0</v>
      </c>
      <c r="J141" s="682">
        <v>1</v>
      </c>
      <c r="K141" s="579" t="str">
        <f t="shared" si="284"/>
        <v/>
      </c>
      <c r="L141" s="580" t="str">
        <f>IF(H141="Select ingredient:","",IF(G141="","",_xlfn.IFNA(VLOOKUP($H141,Ingredient_prices!$E:$U,16,FALSE),0)))</f>
        <v/>
      </c>
      <c r="M141" s="840"/>
      <c r="N141" s="840"/>
      <c r="O141" s="581"/>
      <c r="P141" s="582"/>
      <c r="Q141" s="583">
        <f t="shared" si="285"/>
        <v>0</v>
      </c>
      <c r="R141" s="583">
        <f>VLOOKUP($H141,'CO2_emission+%_food_waste'!$A:$K,6,FALSE)*$Q141/100</f>
        <v>0</v>
      </c>
      <c r="S141" s="583">
        <f t="shared" si="286"/>
        <v>0</v>
      </c>
      <c r="T141" s="583" t="str">
        <f>IF(H141="Select ingredient:","",IF(G141="Select food category:","",_xlfn.IFNA(VLOOKUP($H141,Ingredient_prices!$E:$U,16,FALSE)*$Q141/1000,"not bought")))</f>
        <v/>
      </c>
      <c r="U141" s="583" t="str">
        <f>IF(G141="Select food category:","",_xlfn.IFNA(VLOOKUP($H141,Ingredient_prices!$E:$U,16,FALSE)*$R141/1000,"not bought"))</f>
        <v/>
      </c>
      <c r="V141" s="549">
        <f>VLOOKUP($H141,'CO2_emission+%_food_waste'!$A:$K,4,FALSE)*$Q141</f>
        <v>0</v>
      </c>
      <c r="W141" s="583">
        <f>VLOOKUP($H141,Nutrition_tables!$A:$N,10,FALSE)*$Q141/100</f>
        <v>0</v>
      </c>
      <c r="X141" s="583">
        <f>VLOOKUP($H141,Nutrition_tables!$A:$N,11,FALSE)*$Q141/100</f>
        <v>0</v>
      </c>
      <c r="Y141" s="583">
        <f>VLOOKUP($H141,Nutrition_tables!$A:$N,12,FALSE)*$Q141/100</f>
        <v>0</v>
      </c>
      <c r="Z141" s="583">
        <f>VLOOKUP($H141,Nutrition_tables!$A:$N,14,FALSE)*$Q141/100</f>
        <v>0</v>
      </c>
      <c r="AA141" s="583">
        <f>VLOOKUP($H141,Nutrition_tables!$A:$AF,13,FALSE)*$Q141/100</f>
        <v>0</v>
      </c>
      <c r="AB141" s="549">
        <f>VLOOKUP($H141,Nutrition_tables!$A:$AF,15,FALSE)*$Q141/100</f>
        <v>0</v>
      </c>
      <c r="AC141" s="583">
        <f>VLOOKUP($H141,Nutrition_tables!$A:$AF,16,FALSE)*$Q141/100</f>
        <v>0</v>
      </c>
      <c r="AD141" s="583">
        <f>VLOOKUP($H141,Nutrition_tables!$A:$AF,17,FALSE)*$Q141/100</f>
        <v>0</v>
      </c>
      <c r="AE141" s="583">
        <f>VLOOKUP($H141,Nutrition_tables!$A:$AF,18,FALSE)*$Q141/100</f>
        <v>0</v>
      </c>
      <c r="AF141" s="583">
        <f>VLOOKUP($H141,Nutrition_tables!$A:$AF,19,FALSE)*$Q141/100</f>
        <v>0</v>
      </c>
      <c r="AG141" s="583">
        <f>VLOOKUP($H141,Nutrition_tables!$A:$AF,20,FALSE)*$Q141/100</f>
        <v>0</v>
      </c>
      <c r="AH141" s="583">
        <f>VLOOKUP($H141,Nutrition_tables!$A:$AF,21,FALSE)*$Q141/100</f>
        <v>0</v>
      </c>
      <c r="AI141" s="583">
        <f>VLOOKUP($H141,Nutrition_tables!$A:$AF,22,FALSE)*$Q141/100</f>
        <v>0</v>
      </c>
      <c r="AJ141" s="549">
        <f>VLOOKUP($H141,Nutrition_tables!$A:$AF,23,FALSE)*$Q141/100</f>
        <v>0</v>
      </c>
      <c r="AK141" s="583">
        <f>VLOOKUP($H141,Nutrition_tables!$A:$AF,24,FALSE)*$Q141/100</f>
        <v>0</v>
      </c>
      <c r="AL141" s="583">
        <f>VLOOKUP($H141,Nutrition_tables!$A:$AF,25,FALSE)*$Q141/100</f>
        <v>0</v>
      </c>
      <c r="AM141" s="583">
        <f>VLOOKUP($H141,Nutrition_tables!$A:$AF,26,FALSE)*$Q141/100</f>
        <v>0</v>
      </c>
      <c r="AN141" s="583">
        <f>VLOOKUP($H141,Nutrition_tables!$A:$AF,27,FALSE)*$Q141/100</f>
        <v>0</v>
      </c>
      <c r="AO141" s="583">
        <f>VLOOKUP($H141,Nutrition_tables!$A:$AF,28,FALSE)*$Q141/100</f>
        <v>0</v>
      </c>
      <c r="AP141" s="583">
        <f>VLOOKUP($H141,Nutrition_tables!$A:$AF,29,FALSE)*$Q141/100</f>
        <v>0</v>
      </c>
      <c r="AQ141" s="583">
        <f>VLOOKUP($H141,Nutrition_tables!$A:$AF,30,FALSE)*$Q141/100</f>
        <v>0</v>
      </c>
      <c r="AR141" s="583">
        <f>VLOOKUP($H141,Nutrition_tables!$A:$AF,31,FALSE)*$Q141/100</f>
        <v>0</v>
      </c>
      <c r="AS141" s="549">
        <f>VLOOKUP($H141,Nutrition_tables!$A:$AF,32,FALSE)*$Q141/100</f>
        <v>0</v>
      </c>
      <c r="AT141" s="583" t="str">
        <f>IF(H141="Select ingredient:","",IF(G141="Select food category:","",IFERROR(VLOOKUP($H141,Ingredient_prices!$E:$W,17,FALSE)*$Q141/1000,"not bought")))</f>
        <v/>
      </c>
      <c r="AU141" s="583" t="str">
        <f>IF(H141="Select ingredient:","",IF(G141="Select food category:","",IFERROR(VLOOKUP($H141,Ingredient_prices!$E:$W,18,FALSE)*$Q141/1000,"not bought")))</f>
        <v/>
      </c>
      <c r="AV141" s="583">
        <f t="shared" si="287"/>
        <v>0</v>
      </c>
      <c r="AW141" s="583">
        <f t="shared" si="288"/>
        <v>0</v>
      </c>
      <c r="AX141" s="583">
        <f t="shared" si="289"/>
        <v>0</v>
      </c>
      <c r="AY141" s="583">
        <f t="shared" si="290"/>
        <v>0</v>
      </c>
      <c r="AZ141" s="583">
        <f t="shared" si="291"/>
        <v>0</v>
      </c>
      <c r="BA141" s="583">
        <f t="shared" si="292"/>
        <v>0</v>
      </c>
      <c r="BB141" s="583">
        <f t="shared" si="293"/>
        <v>0</v>
      </c>
      <c r="BC141" s="583">
        <f t="shared" si="294"/>
        <v>0</v>
      </c>
      <c r="BD141" s="583">
        <f t="shared" si="295"/>
        <v>0</v>
      </c>
      <c r="BE141" s="583">
        <f t="shared" si="296"/>
        <v>0</v>
      </c>
      <c r="BF141" s="583">
        <f t="shared" si="297"/>
        <v>0</v>
      </c>
      <c r="BG141" s="583">
        <f t="shared" si="298"/>
        <v>0</v>
      </c>
      <c r="BH141" s="583">
        <f t="shared" si="299"/>
        <v>0</v>
      </c>
      <c r="BI141" s="583">
        <f t="shared" si="300"/>
        <v>0</v>
      </c>
      <c r="BJ141" s="583">
        <f t="shared" si="301"/>
        <v>0</v>
      </c>
      <c r="BK141" s="583">
        <f t="shared" si="302"/>
        <v>0</v>
      </c>
      <c r="BL141" s="583">
        <f t="shared" si="303"/>
        <v>0</v>
      </c>
      <c r="BM141" s="583">
        <f t="shared" si="304"/>
        <v>0</v>
      </c>
      <c r="BN141" s="583">
        <f t="shared" si="305"/>
        <v>0</v>
      </c>
      <c r="BO141" s="583">
        <f t="shared" si="306"/>
        <v>0</v>
      </c>
      <c r="BP141" s="583">
        <f t="shared" si="307"/>
        <v>0</v>
      </c>
      <c r="BQ141" s="583">
        <f t="shared" si="308"/>
        <v>0</v>
      </c>
      <c r="BR141" s="583">
        <f t="shared" si="309"/>
        <v>0</v>
      </c>
    </row>
    <row r="142" spans="1:70" s="229" customFormat="1" ht="15" customHeight="1">
      <c r="A142" s="574"/>
      <c r="D142" s="85"/>
      <c r="E142" s="576">
        <f t="shared" si="310"/>
        <v>100</v>
      </c>
      <c r="F142" s="707"/>
      <c r="G142" s="406" t="s">
        <v>3054</v>
      </c>
      <c r="H142" s="1262" t="s">
        <v>3055</v>
      </c>
      <c r="I142" s="85">
        <v>0</v>
      </c>
      <c r="J142" s="682">
        <v>1</v>
      </c>
      <c r="K142" s="579" t="str">
        <f t="shared" si="284"/>
        <v/>
      </c>
      <c r="L142" s="580" t="str">
        <f>IF(H142="Select ingredient:","",IF(G142="","",_xlfn.IFNA(VLOOKUP($H142,Ingredient_prices!$E:$U,16,FALSE),0)))</f>
        <v/>
      </c>
      <c r="M142" s="840"/>
      <c r="N142" s="840"/>
      <c r="O142" s="581"/>
      <c r="P142" s="582"/>
      <c r="Q142" s="583">
        <f t="shared" si="285"/>
        <v>0</v>
      </c>
      <c r="R142" s="583">
        <f>VLOOKUP($H142,'CO2_emission+%_food_waste'!$A:$K,6,FALSE)*$Q142/100</f>
        <v>0</v>
      </c>
      <c r="S142" s="583">
        <f t="shared" si="286"/>
        <v>0</v>
      </c>
      <c r="T142" s="583" t="str">
        <f>IF(H142="Select ingredient:","",IF(G142="Select food category:","",_xlfn.IFNA(VLOOKUP($H142,Ingredient_prices!$E:$U,16,FALSE)*$Q142/1000,"not bought")))</f>
        <v/>
      </c>
      <c r="U142" s="583" t="str">
        <f>IF(G142="Select food category:","",_xlfn.IFNA(VLOOKUP($H142,Ingredient_prices!$E:$U,16,FALSE)*$R142/1000,"not bought"))</f>
        <v/>
      </c>
      <c r="V142" s="549">
        <f>VLOOKUP($H142,'CO2_emission+%_food_waste'!$A:$K,4,FALSE)*$Q142</f>
        <v>0</v>
      </c>
      <c r="W142" s="583">
        <f>VLOOKUP($H142,Nutrition_tables!$A:$N,10,FALSE)*$Q142/100</f>
        <v>0</v>
      </c>
      <c r="X142" s="583">
        <f>VLOOKUP($H142,Nutrition_tables!$A:$N,11,FALSE)*$Q142/100</f>
        <v>0</v>
      </c>
      <c r="Y142" s="583">
        <f>VLOOKUP($H142,Nutrition_tables!$A:$N,12,FALSE)*$Q142/100</f>
        <v>0</v>
      </c>
      <c r="Z142" s="583">
        <f>VLOOKUP($H142,Nutrition_tables!$A:$N,14,FALSE)*$Q142/100</f>
        <v>0</v>
      </c>
      <c r="AA142" s="583">
        <f>VLOOKUP($H142,Nutrition_tables!$A:$AF,13,FALSE)*$Q142/100</f>
        <v>0</v>
      </c>
      <c r="AB142" s="549">
        <f>VLOOKUP($H142,Nutrition_tables!$A:$AF,15,FALSE)*$Q142/100</f>
        <v>0</v>
      </c>
      <c r="AC142" s="583">
        <f>VLOOKUP($H142,Nutrition_tables!$A:$AF,16,FALSE)*$Q142/100</f>
        <v>0</v>
      </c>
      <c r="AD142" s="583">
        <f>VLOOKUP($H142,Nutrition_tables!$A:$AF,17,FALSE)*$Q142/100</f>
        <v>0</v>
      </c>
      <c r="AE142" s="583">
        <f>VLOOKUP($H142,Nutrition_tables!$A:$AF,18,FALSE)*$Q142/100</f>
        <v>0</v>
      </c>
      <c r="AF142" s="583">
        <f>VLOOKUP($H142,Nutrition_tables!$A:$AF,19,FALSE)*$Q142/100</f>
        <v>0</v>
      </c>
      <c r="AG142" s="583">
        <f>VLOOKUP($H142,Nutrition_tables!$A:$AF,20,FALSE)*$Q142/100</f>
        <v>0</v>
      </c>
      <c r="AH142" s="583">
        <f>VLOOKUP($H142,Nutrition_tables!$A:$AF,21,FALSE)*$Q142/100</f>
        <v>0</v>
      </c>
      <c r="AI142" s="583">
        <f>VLOOKUP($H142,Nutrition_tables!$A:$AF,22,FALSE)*$Q142/100</f>
        <v>0</v>
      </c>
      <c r="AJ142" s="549">
        <f>VLOOKUP($H142,Nutrition_tables!$A:$AF,23,FALSE)*$Q142/100</f>
        <v>0</v>
      </c>
      <c r="AK142" s="583">
        <f>VLOOKUP($H142,Nutrition_tables!$A:$AF,24,FALSE)*$Q142/100</f>
        <v>0</v>
      </c>
      <c r="AL142" s="583">
        <f>VLOOKUP($H142,Nutrition_tables!$A:$AF,25,FALSE)*$Q142/100</f>
        <v>0</v>
      </c>
      <c r="AM142" s="583">
        <f>VLOOKUP($H142,Nutrition_tables!$A:$AF,26,FALSE)*$Q142/100</f>
        <v>0</v>
      </c>
      <c r="AN142" s="583">
        <f>VLOOKUP($H142,Nutrition_tables!$A:$AF,27,FALSE)*$Q142/100</f>
        <v>0</v>
      </c>
      <c r="AO142" s="583">
        <f>VLOOKUP($H142,Nutrition_tables!$A:$AF,28,FALSE)*$Q142/100</f>
        <v>0</v>
      </c>
      <c r="AP142" s="583">
        <f>VLOOKUP($H142,Nutrition_tables!$A:$AF,29,FALSE)*$Q142/100</f>
        <v>0</v>
      </c>
      <c r="AQ142" s="583">
        <f>VLOOKUP($H142,Nutrition_tables!$A:$AF,30,FALSE)*$Q142/100</f>
        <v>0</v>
      </c>
      <c r="AR142" s="583">
        <f>VLOOKUP($H142,Nutrition_tables!$A:$AF,31,FALSE)*$Q142/100</f>
        <v>0</v>
      </c>
      <c r="AS142" s="549">
        <f>VLOOKUP($H142,Nutrition_tables!$A:$AF,32,FALSE)*$Q142/100</f>
        <v>0</v>
      </c>
      <c r="AT142" s="583" t="str">
        <f>IF(H142="Select ingredient:","",IF(G142="Select food category:","",IFERROR(VLOOKUP($H142,Ingredient_prices!$E:$W,17,FALSE)*$Q142/1000,"not bought")))</f>
        <v/>
      </c>
      <c r="AU142" s="583" t="str">
        <f>IF(H142="Select ingredient:","",IF(G142="Select food category:","",IFERROR(VLOOKUP($H142,Ingredient_prices!$E:$W,18,FALSE)*$Q142/1000,"not bought")))</f>
        <v/>
      </c>
      <c r="AV142" s="583">
        <f t="shared" si="287"/>
        <v>0</v>
      </c>
      <c r="AW142" s="583">
        <f t="shared" si="288"/>
        <v>0</v>
      </c>
      <c r="AX142" s="583">
        <f t="shared" si="289"/>
        <v>0</v>
      </c>
      <c r="AY142" s="583">
        <f t="shared" si="290"/>
        <v>0</v>
      </c>
      <c r="AZ142" s="583">
        <f t="shared" si="291"/>
        <v>0</v>
      </c>
      <c r="BA142" s="583">
        <f t="shared" si="292"/>
        <v>0</v>
      </c>
      <c r="BB142" s="583">
        <f t="shared" si="293"/>
        <v>0</v>
      </c>
      <c r="BC142" s="583">
        <f t="shared" si="294"/>
        <v>0</v>
      </c>
      <c r="BD142" s="583">
        <f t="shared" si="295"/>
        <v>0</v>
      </c>
      <c r="BE142" s="583">
        <f t="shared" si="296"/>
        <v>0</v>
      </c>
      <c r="BF142" s="583">
        <f t="shared" si="297"/>
        <v>0</v>
      </c>
      <c r="BG142" s="583">
        <f t="shared" si="298"/>
        <v>0</v>
      </c>
      <c r="BH142" s="583">
        <f t="shared" si="299"/>
        <v>0</v>
      </c>
      <c r="BI142" s="583">
        <f t="shared" si="300"/>
        <v>0</v>
      </c>
      <c r="BJ142" s="583">
        <f t="shared" si="301"/>
        <v>0</v>
      </c>
      <c r="BK142" s="583">
        <f t="shared" si="302"/>
        <v>0</v>
      </c>
      <c r="BL142" s="583">
        <f t="shared" si="303"/>
        <v>0</v>
      </c>
      <c r="BM142" s="583">
        <f t="shared" si="304"/>
        <v>0</v>
      </c>
      <c r="BN142" s="583">
        <f t="shared" si="305"/>
        <v>0</v>
      </c>
      <c r="BO142" s="583">
        <f t="shared" si="306"/>
        <v>0</v>
      </c>
      <c r="BP142" s="583">
        <f t="shared" si="307"/>
        <v>0</v>
      </c>
      <c r="BQ142" s="583">
        <f t="shared" si="308"/>
        <v>0</v>
      </c>
      <c r="BR142" s="583">
        <f t="shared" si="309"/>
        <v>0</v>
      </c>
    </row>
    <row r="143" spans="1:70" s="229" customFormat="1" ht="15" customHeight="1">
      <c r="A143" s="574"/>
      <c r="D143" s="85"/>
      <c r="E143" s="576">
        <f t="shared" si="310"/>
        <v>100</v>
      </c>
      <c r="F143" s="707"/>
      <c r="G143" s="406" t="s">
        <v>3054</v>
      </c>
      <c r="H143" s="1262" t="s">
        <v>3055</v>
      </c>
      <c r="I143" s="85">
        <v>0</v>
      </c>
      <c r="J143" s="682">
        <v>1</v>
      </c>
      <c r="K143" s="579" t="str">
        <f t="shared" si="284"/>
        <v/>
      </c>
      <c r="L143" s="580" t="str">
        <f>IF(H143="Select ingredient:","",IF(G143="","",_xlfn.IFNA(VLOOKUP($H143,Ingredient_prices!$E:$U,16,FALSE),0)))</f>
        <v/>
      </c>
      <c r="M143" s="840"/>
      <c r="N143" s="840"/>
      <c r="O143" s="581"/>
      <c r="P143" s="582"/>
      <c r="Q143" s="583">
        <f t="shared" si="285"/>
        <v>0</v>
      </c>
      <c r="R143" s="583">
        <f>VLOOKUP($H143,'CO2_emission+%_food_waste'!$A:$K,6,FALSE)*$Q143/100</f>
        <v>0</v>
      </c>
      <c r="S143" s="583">
        <f t="shared" si="286"/>
        <v>0</v>
      </c>
      <c r="T143" s="583" t="str">
        <f>IF(H143="Select ingredient:","",IF(G143="Select food category:","",_xlfn.IFNA(VLOOKUP($H143,Ingredient_prices!$E:$U,16,FALSE)*$Q143/1000,"not bought")))</f>
        <v/>
      </c>
      <c r="U143" s="583" t="str">
        <f>IF(G143="Select food category:","",_xlfn.IFNA(VLOOKUP($H143,Ingredient_prices!$E:$U,16,FALSE)*$R143/1000,"not bought"))</f>
        <v/>
      </c>
      <c r="V143" s="549">
        <f>VLOOKUP($H143,'CO2_emission+%_food_waste'!$A:$K,4,FALSE)*$Q143</f>
        <v>0</v>
      </c>
      <c r="W143" s="583">
        <f>VLOOKUP($H143,Nutrition_tables!$A:$N,10,FALSE)*$Q143/100</f>
        <v>0</v>
      </c>
      <c r="X143" s="583">
        <f>VLOOKUP($H143,Nutrition_tables!$A:$N,11,FALSE)*$Q143/100</f>
        <v>0</v>
      </c>
      <c r="Y143" s="583">
        <f>VLOOKUP($H143,Nutrition_tables!$A:$N,12,FALSE)*$Q143/100</f>
        <v>0</v>
      </c>
      <c r="Z143" s="583">
        <f>VLOOKUP($H143,Nutrition_tables!$A:$N,14,FALSE)*$Q143/100</f>
        <v>0</v>
      </c>
      <c r="AA143" s="583">
        <f>VLOOKUP($H143,Nutrition_tables!$A:$AF,13,FALSE)*$Q143/100</f>
        <v>0</v>
      </c>
      <c r="AB143" s="549">
        <f>VLOOKUP($H143,Nutrition_tables!$A:$AF,15,FALSE)*$Q143/100</f>
        <v>0</v>
      </c>
      <c r="AC143" s="583">
        <f>VLOOKUP($H143,Nutrition_tables!$A:$AF,16,FALSE)*$Q143/100</f>
        <v>0</v>
      </c>
      <c r="AD143" s="583">
        <f>VLOOKUP($H143,Nutrition_tables!$A:$AF,17,FALSE)*$Q143/100</f>
        <v>0</v>
      </c>
      <c r="AE143" s="583">
        <f>VLOOKUP($H143,Nutrition_tables!$A:$AF,18,FALSE)*$Q143/100</f>
        <v>0</v>
      </c>
      <c r="AF143" s="583">
        <f>VLOOKUP($H143,Nutrition_tables!$A:$AF,19,FALSE)*$Q143/100</f>
        <v>0</v>
      </c>
      <c r="AG143" s="583">
        <f>VLOOKUP($H143,Nutrition_tables!$A:$AF,20,FALSE)*$Q143/100</f>
        <v>0</v>
      </c>
      <c r="AH143" s="583">
        <f>VLOOKUP($H143,Nutrition_tables!$A:$AF,21,FALSE)*$Q143/100</f>
        <v>0</v>
      </c>
      <c r="AI143" s="583">
        <f>VLOOKUP($H143,Nutrition_tables!$A:$AF,22,FALSE)*$Q143/100</f>
        <v>0</v>
      </c>
      <c r="AJ143" s="549">
        <f>VLOOKUP($H143,Nutrition_tables!$A:$AF,23,FALSE)*$Q143/100</f>
        <v>0</v>
      </c>
      <c r="AK143" s="583">
        <f>VLOOKUP($H143,Nutrition_tables!$A:$AF,24,FALSE)*$Q143/100</f>
        <v>0</v>
      </c>
      <c r="AL143" s="583">
        <f>VLOOKUP($H143,Nutrition_tables!$A:$AF,25,FALSE)*$Q143/100</f>
        <v>0</v>
      </c>
      <c r="AM143" s="583">
        <f>VLOOKUP($H143,Nutrition_tables!$A:$AF,26,FALSE)*$Q143/100</f>
        <v>0</v>
      </c>
      <c r="AN143" s="583">
        <f>VLOOKUP($H143,Nutrition_tables!$A:$AF,27,FALSE)*$Q143/100</f>
        <v>0</v>
      </c>
      <c r="AO143" s="583">
        <f>VLOOKUP($H143,Nutrition_tables!$A:$AF,28,FALSE)*$Q143/100</f>
        <v>0</v>
      </c>
      <c r="AP143" s="583">
        <f>VLOOKUP($H143,Nutrition_tables!$A:$AF,29,FALSE)*$Q143/100</f>
        <v>0</v>
      </c>
      <c r="AQ143" s="583">
        <f>VLOOKUP($H143,Nutrition_tables!$A:$AF,30,FALSE)*$Q143/100</f>
        <v>0</v>
      </c>
      <c r="AR143" s="583">
        <f>VLOOKUP($H143,Nutrition_tables!$A:$AF,31,FALSE)*$Q143/100</f>
        <v>0</v>
      </c>
      <c r="AS143" s="549">
        <f>VLOOKUP($H143,Nutrition_tables!$A:$AF,32,FALSE)*$Q143/100</f>
        <v>0</v>
      </c>
      <c r="AT143" s="583" t="str">
        <f>IF(H143="Select ingredient:","",IF(G143="Select food category:","",IFERROR(VLOOKUP($H143,Ingredient_prices!$E:$W,17,FALSE)*$Q143/1000,"not bought")))</f>
        <v/>
      </c>
      <c r="AU143" s="583" t="str">
        <f>IF(H143="Select ingredient:","",IF(G143="Select food category:","",IFERROR(VLOOKUP($H143,Ingredient_prices!$E:$W,18,FALSE)*$Q143/1000,"not bought")))</f>
        <v/>
      </c>
      <c r="AV143" s="583">
        <f t="shared" si="287"/>
        <v>0</v>
      </c>
      <c r="AW143" s="583">
        <f t="shared" si="288"/>
        <v>0</v>
      </c>
      <c r="AX143" s="583">
        <f t="shared" si="289"/>
        <v>0</v>
      </c>
      <c r="AY143" s="583">
        <f t="shared" si="290"/>
        <v>0</v>
      </c>
      <c r="AZ143" s="583">
        <f t="shared" si="291"/>
        <v>0</v>
      </c>
      <c r="BA143" s="583">
        <f t="shared" si="292"/>
        <v>0</v>
      </c>
      <c r="BB143" s="583">
        <f t="shared" si="293"/>
        <v>0</v>
      </c>
      <c r="BC143" s="583">
        <f t="shared" si="294"/>
        <v>0</v>
      </c>
      <c r="BD143" s="583">
        <f t="shared" si="295"/>
        <v>0</v>
      </c>
      <c r="BE143" s="583">
        <f t="shared" si="296"/>
        <v>0</v>
      </c>
      <c r="BF143" s="583">
        <f t="shared" si="297"/>
        <v>0</v>
      </c>
      <c r="BG143" s="583">
        <f t="shared" si="298"/>
        <v>0</v>
      </c>
      <c r="BH143" s="583">
        <f t="shared" si="299"/>
        <v>0</v>
      </c>
      <c r="BI143" s="583">
        <f t="shared" si="300"/>
        <v>0</v>
      </c>
      <c r="BJ143" s="583">
        <f t="shared" si="301"/>
        <v>0</v>
      </c>
      <c r="BK143" s="583">
        <f t="shared" si="302"/>
        <v>0</v>
      </c>
      <c r="BL143" s="583">
        <f t="shared" si="303"/>
        <v>0</v>
      </c>
      <c r="BM143" s="583">
        <f t="shared" si="304"/>
        <v>0</v>
      </c>
      <c r="BN143" s="583">
        <f t="shared" si="305"/>
        <v>0</v>
      </c>
      <c r="BO143" s="583">
        <f t="shared" si="306"/>
        <v>0</v>
      </c>
      <c r="BP143" s="583">
        <f t="shared" si="307"/>
        <v>0</v>
      </c>
      <c r="BQ143" s="583">
        <f t="shared" si="308"/>
        <v>0</v>
      </c>
      <c r="BR143" s="583">
        <f t="shared" si="309"/>
        <v>0</v>
      </c>
    </row>
    <row r="144" spans="1:70" s="229" customFormat="1" ht="15" customHeight="1">
      <c r="A144" s="574"/>
      <c r="D144" s="85"/>
      <c r="E144" s="576">
        <f t="shared" si="310"/>
        <v>100</v>
      </c>
      <c r="F144" s="85"/>
      <c r="G144" s="406" t="s">
        <v>3054</v>
      </c>
      <c r="H144" s="1262" t="s">
        <v>3055</v>
      </c>
      <c r="I144" s="85">
        <v>0</v>
      </c>
      <c r="J144" s="682">
        <v>1</v>
      </c>
      <c r="K144" s="579" t="str">
        <f t="shared" si="284"/>
        <v/>
      </c>
      <c r="L144" s="580" t="str">
        <f>IF(H144="Select ingredient:","",IF(G144="","",_xlfn.IFNA(VLOOKUP($H144,Ingredient_prices!$E:$U,16,FALSE),0)))</f>
        <v/>
      </c>
      <c r="M144" s="840"/>
      <c r="N144" s="840"/>
      <c r="O144" s="581"/>
      <c r="P144" s="582"/>
      <c r="Q144" s="583">
        <f t="shared" si="285"/>
        <v>0</v>
      </c>
      <c r="R144" s="583">
        <f>VLOOKUP($H144,'CO2_emission+%_food_waste'!$A:$K,6,FALSE)*$Q144/100</f>
        <v>0</v>
      </c>
      <c r="S144" s="583">
        <f t="shared" si="286"/>
        <v>0</v>
      </c>
      <c r="T144" s="583" t="str">
        <f>IF(H144="Select ingredient:","",IF(G144="Select food category:","",_xlfn.IFNA(VLOOKUP($H144,Ingredient_prices!$E:$U,16,FALSE)*$Q144/1000,"not bought")))</f>
        <v/>
      </c>
      <c r="U144" s="583" t="str">
        <f>IF(G144="Select food category:","",_xlfn.IFNA(VLOOKUP($H144,Ingredient_prices!$E:$U,16,FALSE)*$R144/1000,"not bought"))</f>
        <v/>
      </c>
      <c r="V144" s="549">
        <f>VLOOKUP($H144,'CO2_emission+%_food_waste'!$A:$K,4,FALSE)*$Q144</f>
        <v>0</v>
      </c>
      <c r="W144" s="583">
        <f>VLOOKUP($H144,Nutrition_tables!$A:$N,10,FALSE)*$Q144/100</f>
        <v>0</v>
      </c>
      <c r="X144" s="583">
        <f>VLOOKUP($H144,Nutrition_tables!$A:$N,11,FALSE)*$Q144/100</f>
        <v>0</v>
      </c>
      <c r="Y144" s="583">
        <f>VLOOKUP($H144,Nutrition_tables!$A:$N,12,FALSE)*$Q144/100</f>
        <v>0</v>
      </c>
      <c r="Z144" s="583">
        <f>VLOOKUP($H144,Nutrition_tables!$A:$N,14,FALSE)*$Q144/100</f>
        <v>0</v>
      </c>
      <c r="AA144" s="583">
        <f>VLOOKUP($H144,Nutrition_tables!$A:$AF,13,FALSE)*$Q144/100</f>
        <v>0</v>
      </c>
      <c r="AB144" s="549">
        <f>VLOOKUP($H144,Nutrition_tables!$A:$AF,15,FALSE)*$Q144/100</f>
        <v>0</v>
      </c>
      <c r="AC144" s="583">
        <f>VLOOKUP($H144,Nutrition_tables!$A:$AF,16,FALSE)*$Q144/100</f>
        <v>0</v>
      </c>
      <c r="AD144" s="583">
        <f>VLOOKUP($H144,Nutrition_tables!$A:$AF,17,FALSE)*$Q144/100</f>
        <v>0</v>
      </c>
      <c r="AE144" s="583">
        <f>VLOOKUP($H144,Nutrition_tables!$A:$AF,18,FALSE)*$Q144/100</f>
        <v>0</v>
      </c>
      <c r="AF144" s="583">
        <f>VLOOKUP($H144,Nutrition_tables!$A:$AF,19,FALSE)*$Q144/100</f>
        <v>0</v>
      </c>
      <c r="AG144" s="583">
        <f>VLOOKUP($H144,Nutrition_tables!$A:$AF,20,FALSE)*$Q144/100</f>
        <v>0</v>
      </c>
      <c r="AH144" s="583">
        <f>VLOOKUP($H144,Nutrition_tables!$A:$AF,21,FALSE)*$Q144/100</f>
        <v>0</v>
      </c>
      <c r="AI144" s="583">
        <f>VLOOKUP($H144,Nutrition_tables!$A:$AF,22,FALSE)*$Q144/100</f>
        <v>0</v>
      </c>
      <c r="AJ144" s="549">
        <f>VLOOKUP($H144,Nutrition_tables!$A:$AF,23,FALSE)*$Q144/100</f>
        <v>0</v>
      </c>
      <c r="AK144" s="583">
        <f>VLOOKUP($H144,Nutrition_tables!$A:$AF,24,FALSE)*$Q144/100</f>
        <v>0</v>
      </c>
      <c r="AL144" s="583">
        <f>VLOOKUP($H144,Nutrition_tables!$A:$AF,25,FALSE)*$Q144/100</f>
        <v>0</v>
      </c>
      <c r="AM144" s="583">
        <f>VLOOKUP($H144,Nutrition_tables!$A:$AF,26,FALSE)*$Q144/100</f>
        <v>0</v>
      </c>
      <c r="AN144" s="583">
        <f>VLOOKUP($H144,Nutrition_tables!$A:$AF,27,FALSE)*$Q144/100</f>
        <v>0</v>
      </c>
      <c r="AO144" s="583">
        <f>VLOOKUP($H144,Nutrition_tables!$A:$AF,28,FALSE)*$Q144/100</f>
        <v>0</v>
      </c>
      <c r="AP144" s="583">
        <f>VLOOKUP($H144,Nutrition_tables!$A:$AF,29,FALSE)*$Q144/100</f>
        <v>0</v>
      </c>
      <c r="AQ144" s="583">
        <f>VLOOKUP($H144,Nutrition_tables!$A:$AF,30,FALSE)*$Q144/100</f>
        <v>0</v>
      </c>
      <c r="AR144" s="583">
        <f>VLOOKUP($H144,Nutrition_tables!$A:$AF,31,FALSE)*$Q144/100</f>
        <v>0</v>
      </c>
      <c r="AS144" s="549">
        <f>VLOOKUP($H144,Nutrition_tables!$A:$AF,32,FALSE)*$Q144/100</f>
        <v>0</v>
      </c>
      <c r="AT144" s="583" t="str">
        <f>IF(H144="Select ingredient:","",IF(G144="Select food category:","",IFERROR(VLOOKUP($H144,Ingredient_prices!$E:$W,17,FALSE)*$Q144/1000,"not bought")))</f>
        <v/>
      </c>
      <c r="AU144" s="583" t="str">
        <f>IF(H144="Select ingredient:","",IF(G144="Select food category:","",IFERROR(VLOOKUP($H144,Ingredient_prices!$E:$W,18,FALSE)*$Q144/1000,"not bought")))</f>
        <v/>
      </c>
      <c r="AV144" s="583">
        <f t="shared" si="287"/>
        <v>0</v>
      </c>
      <c r="AW144" s="583">
        <f t="shared" si="288"/>
        <v>0</v>
      </c>
      <c r="AX144" s="583">
        <f t="shared" si="289"/>
        <v>0</v>
      </c>
      <c r="AY144" s="583">
        <f t="shared" si="290"/>
        <v>0</v>
      </c>
      <c r="AZ144" s="583">
        <f t="shared" si="291"/>
        <v>0</v>
      </c>
      <c r="BA144" s="583">
        <f t="shared" si="292"/>
        <v>0</v>
      </c>
      <c r="BB144" s="583">
        <f t="shared" si="293"/>
        <v>0</v>
      </c>
      <c r="BC144" s="583">
        <f t="shared" si="294"/>
        <v>0</v>
      </c>
      <c r="BD144" s="583">
        <f t="shared" si="295"/>
        <v>0</v>
      </c>
      <c r="BE144" s="583">
        <f t="shared" si="296"/>
        <v>0</v>
      </c>
      <c r="BF144" s="583">
        <f t="shared" si="297"/>
        <v>0</v>
      </c>
      <c r="BG144" s="583">
        <f t="shared" si="298"/>
        <v>0</v>
      </c>
      <c r="BH144" s="583">
        <f t="shared" si="299"/>
        <v>0</v>
      </c>
      <c r="BI144" s="583">
        <f t="shared" si="300"/>
        <v>0</v>
      </c>
      <c r="BJ144" s="583">
        <f t="shared" si="301"/>
        <v>0</v>
      </c>
      <c r="BK144" s="583">
        <f t="shared" si="302"/>
        <v>0</v>
      </c>
      <c r="BL144" s="583">
        <f t="shared" si="303"/>
        <v>0</v>
      </c>
      <c r="BM144" s="583">
        <f t="shared" si="304"/>
        <v>0</v>
      </c>
      <c r="BN144" s="583">
        <f t="shared" si="305"/>
        <v>0</v>
      </c>
      <c r="BO144" s="583">
        <f t="shared" si="306"/>
        <v>0</v>
      </c>
      <c r="BP144" s="583">
        <f t="shared" si="307"/>
        <v>0</v>
      </c>
      <c r="BQ144" s="583">
        <f t="shared" si="308"/>
        <v>0</v>
      </c>
      <c r="BR144" s="583">
        <f t="shared" si="309"/>
        <v>0</v>
      </c>
    </row>
    <row r="145" spans="1:70" s="229" customFormat="1" ht="15" customHeight="1">
      <c r="A145" s="574"/>
      <c r="D145" s="85"/>
      <c r="E145" s="576">
        <f t="shared" si="310"/>
        <v>100</v>
      </c>
      <c r="F145" s="85"/>
      <c r="G145" s="406" t="s">
        <v>3054</v>
      </c>
      <c r="H145" s="1262" t="s">
        <v>3055</v>
      </c>
      <c r="I145" s="85">
        <v>0</v>
      </c>
      <c r="J145" s="682">
        <v>1</v>
      </c>
      <c r="K145" s="579" t="str">
        <f t="shared" si="284"/>
        <v/>
      </c>
      <c r="L145" s="580" t="str">
        <f>IF(H145="Select ingredient:","",IF(G145="","",_xlfn.IFNA(VLOOKUP($H145,Ingredient_prices!$E:$U,16,FALSE),0)))</f>
        <v/>
      </c>
      <c r="M145" s="840"/>
      <c r="N145" s="840"/>
      <c r="O145" s="581"/>
      <c r="P145" s="582"/>
      <c r="Q145" s="583">
        <f t="shared" si="285"/>
        <v>0</v>
      </c>
      <c r="R145" s="583">
        <f>VLOOKUP($H145,'CO2_emission+%_food_waste'!$A:$K,6,FALSE)*$Q145/100</f>
        <v>0</v>
      </c>
      <c r="S145" s="583">
        <f t="shared" si="286"/>
        <v>0</v>
      </c>
      <c r="T145" s="583" t="str">
        <f>IF(H145="Select ingredient:","",IF(G145="Select food category:","",_xlfn.IFNA(VLOOKUP($H145,Ingredient_prices!$E:$U,16,FALSE)*$Q145/1000,"not bought")))</f>
        <v/>
      </c>
      <c r="U145" s="583" t="str">
        <f>IF(G145="Select food category:","",_xlfn.IFNA(VLOOKUP($H145,Ingredient_prices!$E:$U,16,FALSE)*$R145/1000,"not bought"))</f>
        <v/>
      </c>
      <c r="V145" s="549">
        <f>VLOOKUP($H145,'CO2_emission+%_food_waste'!$A:$K,4,FALSE)*$Q145</f>
        <v>0</v>
      </c>
      <c r="W145" s="583">
        <f>VLOOKUP($H145,Nutrition_tables!$A:$N,10,FALSE)*$Q145/100</f>
        <v>0</v>
      </c>
      <c r="X145" s="583">
        <f>VLOOKUP($H145,Nutrition_tables!$A:$N,11,FALSE)*$Q145/100</f>
        <v>0</v>
      </c>
      <c r="Y145" s="583">
        <f>VLOOKUP($H145,Nutrition_tables!$A:$N,12,FALSE)*$Q145/100</f>
        <v>0</v>
      </c>
      <c r="Z145" s="583">
        <f>VLOOKUP($H145,Nutrition_tables!$A:$N,14,FALSE)*$Q145/100</f>
        <v>0</v>
      </c>
      <c r="AA145" s="583">
        <f>VLOOKUP($H145,Nutrition_tables!$A:$AF,13,FALSE)*$Q145/100</f>
        <v>0</v>
      </c>
      <c r="AB145" s="549">
        <f>VLOOKUP($H145,Nutrition_tables!$A:$AF,15,FALSE)*$Q145/100</f>
        <v>0</v>
      </c>
      <c r="AC145" s="583">
        <f>VLOOKUP($H145,Nutrition_tables!$A:$AF,16,FALSE)*$Q145/100</f>
        <v>0</v>
      </c>
      <c r="AD145" s="583">
        <f>VLOOKUP($H145,Nutrition_tables!$A:$AF,17,FALSE)*$Q145/100</f>
        <v>0</v>
      </c>
      <c r="AE145" s="583">
        <f>VLOOKUP($H145,Nutrition_tables!$A:$AF,18,FALSE)*$Q145/100</f>
        <v>0</v>
      </c>
      <c r="AF145" s="583">
        <f>VLOOKUP($H145,Nutrition_tables!$A:$AF,19,FALSE)*$Q145/100</f>
        <v>0</v>
      </c>
      <c r="AG145" s="583">
        <f>VLOOKUP($H145,Nutrition_tables!$A:$AF,20,FALSE)*$Q145/100</f>
        <v>0</v>
      </c>
      <c r="AH145" s="583">
        <f>VLOOKUP($H145,Nutrition_tables!$A:$AF,21,FALSE)*$Q145/100</f>
        <v>0</v>
      </c>
      <c r="AI145" s="583">
        <f>VLOOKUP($H145,Nutrition_tables!$A:$AF,22,FALSE)*$Q145/100</f>
        <v>0</v>
      </c>
      <c r="AJ145" s="549">
        <f>VLOOKUP($H145,Nutrition_tables!$A:$AF,23,FALSE)*$Q145/100</f>
        <v>0</v>
      </c>
      <c r="AK145" s="583">
        <f>VLOOKUP($H145,Nutrition_tables!$A:$AF,24,FALSE)*$Q145/100</f>
        <v>0</v>
      </c>
      <c r="AL145" s="583">
        <f>VLOOKUP($H145,Nutrition_tables!$A:$AF,25,FALSE)*$Q145/100</f>
        <v>0</v>
      </c>
      <c r="AM145" s="583">
        <f>VLOOKUP($H145,Nutrition_tables!$A:$AF,26,FALSE)*$Q145/100</f>
        <v>0</v>
      </c>
      <c r="AN145" s="583">
        <f>VLOOKUP($H145,Nutrition_tables!$A:$AF,27,FALSE)*$Q145/100</f>
        <v>0</v>
      </c>
      <c r="AO145" s="583">
        <f>VLOOKUP($H145,Nutrition_tables!$A:$AF,28,FALSE)*$Q145/100</f>
        <v>0</v>
      </c>
      <c r="AP145" s="583">
        <f>VLOOKUP($H145,Nutrition_tables!$A:$AF,29,FALSE)*$Q145/100</f>
        <v>0</v>
      </c>
      <c r="AQ145" s="583">
        <f>VLOOKUP($H145,Nutrition_tables!$A:$AF,30,FALSE)*$Q145/100</f>
        <v>0</v>
      </c>
      <c r="AR145" s="583">
        <f>VLOOKUP($H145,Nutrition_tables!$A:$AF,31,FALSE)*$Q145/100</f>
        <v>0</v>
      </c>
      <c r="AS145" s="549">
        <f>VLOOKUP($H145,Nutrition_tables!$A:$AF,32,FALSE)*$Q145/100</f>
        <v>0</v>
      </c>
      <c r="AT145" s="583" t="str">
        <f>IF(H145="Select ingredient:","",IF(G145="Select food category:","",IFERROR(VLOOKUP($H145,Ingredient_prices!$E:$W,17,FALSE)*$Q145/1000,"not bought")))</f>
        <v/>
      </c>
      <c r="AU145" s="583" t="str">
        <f>IF(H145="Select ingredient:","",IF(G145="Select food category:","",IFERROR(VLOOKUP($H145,Ingredient_prices!$E:$W,18,FALSE)*$Q145/1000,"not bought")))</f>
        <v/>
      </c>
      <c r="AV145" s="583">
        <f t="shared" si="287"/>
        <v>0</v>
      </c>
      <c r="AW145" s="583">
        <f t="shared" si="288"/>
        <v>0</v>
      </c>
      <c r="AX145" s="583">
        <f t="shared" si="289"/>
        <v>0</v>
      </c>
      <c r="AY145" s="583">
        <f t="shared" si="290"/>
        <v>0</v>
      </c>
      <c r="AZ145" s="583">
        <f t="shared" si="291"/>
        <v>0</v>
      </c>
      <c r="BA145" s="583">
        <f t="shared" si="292"/>
        <v>0</v>
      </c>
      <c r="BB145" s="583">
        <f t="shared" si="293"/>
        <v>0</v>
      </c>
      <c r="BC145" s="583">
        <f t="shared" si="294"/>
        <v>0</v>
      </c>
      <c r="BD145" s="583">
        <f t="shared" si="295"/>
        <v>0</v>
      </c>
      <c r="BE145" s="583">
        <f t="shared" si="296"/>
        <v>0</v>
      </c>
      <c r="BF145" s="583">
        <f t="shared" si="297"/>
        <v>0</v>
      </c>
      <c r="BG145" s="583">
        <f t="shared" si="298"/>
        <v>0</v>
      </c>
      <c r="BH145" s="583">
        <f t="shared" si="299"/>
        <v>0</v>
      </c>
      <c r="BI145" s="583">
        <f t="shared" si="300"/>
        <v>0</v>
      </c>
      <c r="BJ145" s="583">
        <f t="shared" si="301"/>
        <v>0</v>
      </c>
      <c r="BK145" s="583">
        <f t="shared" si="302"/>
        <v>0</v>
      </c>
      <c r="BL145" s="583">
        <f t="shared" si="303"/>
        <v>0</v>
      </c>
      <c r="BM145" s="583">
        <f t="shared" si="304"/>
        <v>0</v>
      </c>
      <c r="BN145" s="583">
        <f t="shared" si="305"/>
        <v>0</v>
      </c>
      <c r="BO145" s="583">
        <f t="shared" si="306"/>
        <v>0</v>
      </c>
      <c r="BP145" s="583">
        <f t="shared" si="307"/>
        <v>0</v>
      </c>
      <c r="BQ145" s="583">
        <f t="shared" si="308"/>
        <v>0</v>
      </c>
      <c r="BR145" s="583">
        <f t="shared" si="309"/>
        <v>0</v>
      </c>
    </row>
    <row r="146" spans="1:70" s="229" customFormat="1" ht="15" customHeight="1">
      <c r="A146" s="574"/>
      <c r="D146" s="85"/>
      <c r="E146" s="576">
        <f t="shared" si="310"/>
        <v>100</v>
      </c>
      <c r="F146" s="85"/>
      <c r="G146" s="406" t="s">
        <v>3054</v>
      </c>
      <c r="H146" s="1262" t="s">
        <v>3055</v>
      </c>
      <c r="I146" s="85">
        <v>0</v>
      </c>
      <c r="J146" s="682">
        <v>1</v>
      </c>
      <c r="K146" s="579" t="str">
        <f t="shared" si="284"/>
        <v/>
      </c>
      <c r="L146" s="580" t="str">
        <f>IF(H146="Select ingredient:","",IF(G146="","",_xlfn.IFNA(VLOOKUP($H146,Ingredient_prices!$E:$U,16,FALSE),0)))</f>
        <v/>
      </c>
      <c r="M146" s="840"/>
      <c r="N146" s="840"/>
      <c r="O146" s="581"/>
      <c r="P146" s="582"/>
      <c r="Q146" s="583">
        <f t="shared" si="285"/>
        <v>0</v>
      </c>
      <c r="R146" s="583">
        <f>VLOOKUP($H146,'CO2_emission+%_food_waste'!$A:$K,6,FALSE)*$Q146/100</f>
        <v>0</v>
      </c>
      <c r="S146" s="583">
        <f t="shared" si="286"/>
        <v>0</v>
      </c>
      <c r="T146" s="583" t="str">
        <f>IF(H146="Select ingredient:","",IF(G146="Select food category:","",_xlfn.IFNA(VLOOKUP($H146,Ingredient_prices!$E:$U,16,FALSE)*$Q146/1000,"not bought")))</f>
        <v/>
      </c>
      <c r="U146" s="583" t="str">
        <f>IF(G146="Select food category:","",_xlfn.IFNA(VLOOKUP($H146,Ingredient_prices!$E:$U,16,FALSE)*$R146/1000,"not bought"))</f>
        <v/>
      </c>
      <c r="V146" s="549">
        <f>VLOOKUP($H146,'CO2_emission+%_food_waste'!$A:$K,4,FALSE)*$Q146</f>
        <v>0</v>
      </c>
      <c r="W146" s="583">
        <f>VLOOKUP($H146,Nutrition_tables!$A:$N,10,FALSE)*$Q146/100</f>
        <v>0</v>
      </c>
      <c r="X146" s="583">
        <f>VLOOKUP($H146,Nutrition_tables!$A:$N,11,FALSE)*$Q146/100</f>
        <v>0</v>
      </c>
      <c r="Y146" s="583">
        <f>VLOOKUP($H146,Nutrition_tables!$A:$N,12,FALSE)*$Q146/100</f>
        <v>0</v>
      </c>
      <c r="Z146" s="583">
        <f>VLOOKUP($H146,Nutrition_tables!$A:$N,14,FALSE)*$Q146/100</f>
        <v>0</v>
      </c>
      <c r="AA146" s="583">
        <f>VLOOKUP($H146,Nutrition_tables!$A:$AF,13,FALSE)*$Q146/100</f>
        <v>0</v>
      </c>
      <c r="AB146" s="549">
        <f>VLOOKUP($H146,Nutrition_tables!$A:$AF,15,FALSE)*$Q146/100</f>
        <v>0</v>
      </c>
      <c r="AC146" s="583">
        <f>VLOOKUP($H146,Nutrition_tables!$A:$AF,16,FALSE)*$Q146/100</f>
        <v>0</v>
      </c>
      <c r="AD146" s="583">
        <f>VLOOKUP($H146,Nutrition_tables!$A:$AF,17,FALSE)*$Q146/100</f>
        <v>0</v>
      </c>
      <c r="AE146" s="583">
        <f>VLOOKUP($H146,Nutrition_tables!$A:$AF,18,FALSE)*$Q146/100</f>
        <v>0</v>
      </c>
      <c r="AF146" s="583">
        <f>VLOOKUP($H146,Nutrition_tables!$A:$AF,19,FALSE)*$Q146/100</f>
        <v>0</v>
      </c>
      <c r="AG146" s="583">
        <f>VLOOKUP($H146,Nutrition_tables!$A:$AF,20,FALSE)*$Q146/100</f>
        <v>0</v>
      </c>
      <c r="AH146" s="583">
        <f>VLOOKUP($H146,Nutrition_tables!$A:$AF,21,FALSE)*$Q146/100</f>
        <v>0</v>
      </c>
      <c r="AI146" s="583">
        <f>VLOOKUP($H146,Nutrition_tables!$A:$AF,22,FALSE)*$Q146/100</f>
        <v>0</v>
      </c>
      <c r="AJ146" s="549">
        <f>VLOOKUP($H146,Nutrition_tables!$A:$AF,23,FALSE)*$Q146/100</f>
        <v>0</v>
      </c>
      <c r="AK146" s="583">
        <f>VLOOKUP($H146,Nutrition_tables!$A:$AF,24,FALSE)*$Q146/100</f>
        <v>0</v>
      </c>
      <c r="AL146" s="583">
        <f>VLOOKUP($H146,Nutrition_tables!$A:$AF,25,FALSE)*$Q146/100</f>
        <v>0</v>
      </c>
      <c r="AM146" s="583">
        <f>VLOOKUP($H146,Nutrition_tables!$A:$AF,26,FALSE)*$Q146/100</f>
        <v>0</v>
      </c>
      <c r="AN146" s="583">
        <f>VLOOKUP($H146,Nutrition_tables!$A:$AF,27,FALSE)*$Q146/100</f>
        <v>0</v>
      </c>
      <c r="AO146" s="583">
        <f>VLOOKUP($H146,Nutrition_tables!$A:$AF,28,FALSE)*$Q146/100</f>
        <v>0</v>
      </c>
      <c r="AP146" s="583">
        <f>VLOOKUP($H146,Nutrition_tables!$A:$AF,29,FALSE)*$Q146/100</f>
        <v>0</v>
      </c>
      <c r="AQ146" s="583">
        <f>VLOOKUP($H146,Nutrition_tables!$A:$AF,30,FALSE)*$Q146/100</f>
        <v>0</v>
      </c>
      <c r="AR146" s="583">
        <f>VLOOKUP($H146,Nutrition_tables!$A:$AF,31,FALSE)*$Q146/100</f>
        <v>0</v>
      </c>
      <c r="AS146" s="549">
        <f>VLOOKUP($H146,Nutrition_tables!$A:$AF,32,FALSE)*$Q146/100</f>
        <v>0</v>
      </c>
      <c r="AT146" s="583" t="str">
        <f>IF(H146="Select ingredient:","",IF(G146="Select food category:","",IFERROR(VLOOKUP($H146,Ingredient_prices!$E:$W,17,FALSE)*$Q146/1000,"not bought")))</f>
        <v/>
      </c>
      <c r="AU146" s="583" t="str">
        <f>IF(H146="Select ingredient:","",IF(G146="Select food category:","",IFERROR(VLOOKUP($H146,Ingredient_prices!$E:$W,18,FALSE)*$Q146/1000,"not bought")))</f>
        <v/>
      </c>
      <c r="AV146" s="583">
        <f t="shared" si="287"/>
        <v>0</v>
      </c>
      <c r="AW146" s="583">
        <f t="shared" si="288"/>
        <v>0</v>
      </c>
      <c r="AX146" s="583">
        <f t="shared" si="289"/>
        <v>0</v>
      </c>
      <c r="AY146" s="583">
        <f t="shared" si="290"/>
        <v>0</v>
      </c>
      <c r="AZ146" s="583">
        <f t="shared" si="291"/>
        <v>0</v>
      </c>
      <c r="BA146" s="583">
        <f t="shared" si="292"/>
        <v>0</v>
      </c>
      <c r="BB146" s="583">
        <f t="shared" si="293"/>
        <v>0</v>
      </c>
      <c r="BC146" s="583">
        <f t="shared" si="294"/>
        <v>0</v>
      </c>
      <c r="BD146" s="583">
        <f t="shared" si="295"/>
        <v>0</v>
      </c>
      <c r="BE146" s="583">
        <f t="shared" si="296"/>
        <v>0</v>
      </c>
      <c r="BF146" s="583">
        <f t="shared" si="297"/>
        <v>0</v>
      </c>
      <c r="BG146" s="583">
        <f t="shared" si="298"/>
        <v>0</v>
      </c>
      <c r="BH146" s="583">
        <f t="shared" si="299"/>
        <v>0</v>
      </c>
      <c r="BI146" s="583">
        <f t="shared" si="300"/>
        <v>0</v>
      </c>
      <c r="BJ146" s="583">
        <f t="shared" si="301"/>
        <v>0</v>
      </c>
      <c r="BK146" s="583">
        <f t="shared" si="302"/>
        <v>0</v>
      </c>
      <c r="BL146" s="583">
        <f t="shared" si="303"/>
        <v>0</v>
      </c>
      <c r="BM146" s="583">
        <f t="shared" si="304"/>
        <v>0</v>
      </c>
      <c r="BN146" s="583">
        <f t="shared" si="305"/>
        <v>0</v>
      </c>
      <c r="BO146" s="583">
        <f t="shared" si="306"/>
        <v>0</v>
      </c>
      <c r="BP146" s="583">
        <f t="shared" si="307"/>
        <v>0</v>
      </c>
      <c r="BQ146" s="583">
        <f t="shared" si="308"/>
        <v>0</v>
      </c>
      <c r="BR146" s="583">
        <f t="shared" si="309"/>
        <v>0</v>
      </c>
    </row>
    <row r="147" spans="1:70" s="229" customFormat="1" ht="15" customHeight="1">
      <c r="A147" s="574"/>
      <c r="D147" s="85"/>
      <c r="E147" s="576">
        <f t="shared" si="310"/>
        <v>100</v>
      </c>
      <c r="G147" s="406" t="s">
        <v>3054</v>
      </c>
      <c r="H147" s="1262" t="s">
        <v>3055</v>
      </c>
      <c r="I147" s="85">
        <v>0</v>
      </c>
      <c r="J147" s="682">
        <v>1</v>
      </c>
      <c r="K147" s="579" t="str">
        <f t="shared" si="284"/>
        <v/>
      </c>
      <c r="L147" s="580" t="str">
        <f>IF(H147="Select ingredient:","",IF(G147="","",_xlfn.IFNA(VLOOKUP($H147,Ingredient_prices!$E:$U,16,FALSE),0)))</f>
        <v/>
      </c>
      <c r="M147" s="840"/>
      <c r="N147" s="840"/>
      <c r="O147" s="581"/>
      <c r="P147" s="582"/>
      <c r="Q147" s="583">
        <f t="shared" si="285"/>
        <v>0</v>
      </c>
      <c r="R147" s="583">
        <f>VLOOKUP($H147,'CO2_emission+%_food_waste'!$A:$K,6,FALSE)*$Q147/100</f>
        <v>0</v>
      </c>
      <c r="S147" s="583">
        <f t="shared" si="286"/>
        <v>0</v>
      </c>
      <c r="T147" s="583" t="str">
        <f>IF(H147="Select ingredient:","",IF(G147="Select food category:","",_xlfn.IFNA(VLOOKUP($H147,Ingredient_prices!$E:$U,16,FALSE)*$Q147/1000,"not bought")))</f>
        <v/>
      </c>
      <c r="U147" s="583" t="str">
        <f>IF(G147="Select food category:","",_xlfn.IFNA(VLOOKUP($H147,Ingredient_prices!$E:$U,16,FALSE)*$R147/1000,"not bought"))</f>
        <v/>
      </c>
      <c r="V147" s="549">
        <f>VLOOKUP($H147,'CO2_emission+%_food_waste'!$A:$K,4,FALSE)*$Q147</f>
        <v>0</v>
      </c>
      <c r="W147" s="583">
        <f>VLOOKUP($H147,Nutrition_tables!$A:$N,10,FALSE)*$Q147/100</f>
        <v>0</v>
      </c>
      <c r="X147" s="583">
        <f>VLOOKUP($H147,Nutrition_tables!$A:$N,11,FALSE)*$Q147/100</f>
        <v>0</v>
      </c>
      <c r="Y147" s="583">
        <f>VLOOKUP($H147,Nutrition_tables!$A:$N,12,FALSE)*$Q147/100</f>
        <v>0</v>
      </c>
      <c r="Z147" s="583">
        <f>VLOOKUP($H147,Nutrition_tables!$A:$N,14,FALSE)*$Q147/100</f>
        <v>0</v>
      </c>
      <c r="AA147" s="583">
        <f>VLOOKUP($H147,Nutrition_tables!$A:$AF,13,FALSE)*$Q147/100</f>
        <v>0</v>
      </c>
      <c r="AB147" s="549">
        <f>VLOOKUP($H147,Nutrition_tables!$A:$AF,15,FALSE)*$Q147/100</f>
        <v>0</v>
      </c>
      <c r="AC147" s="583">
        <f>VLOOKUP($H147,Nutrition_tables!$A:$AF,16,FALSE)*$Q147/100</f>
        <v>0</v>
      </c>
      <c r="AD147" s="583">
        <f>VLOOKUP($H147,Nutrition_tables!$A:$AF,17,FALSE)*$Q147/100</f>
        <v>0</v>
      </c>
      <c r="AE147" s="583">
        <f>VLOOKUP($H147,Nutrition_tables!$A:$AF,18,FALSE)*$Q147/100</f>
        <v>0</v>
      </c>
      <c r="AF147" s="583">
        <f>VLOOKUP($H147,Nutrition_tables!$A:$AF,19,FALSE)*$Q147/100</f>
        <v>0</v>
      </c>
      <c r="AG147" s="583">
        <f>VLOOKUP($H147,Nutrition_tables!$A:$AF,20,FALSE)*$Q147/100</f>
        <v>0</v>
      </c>
      <c r="AH147" s="583">
        <f>VLOOKUP($H147,Nutrition_tables!$A:$AF,21,FALSE)*$Q147/100</f>
        <v>0</v>
      </c>
      <c r="AI147" s="583">
        <f>VLOOKUP($H147,Nutrition_tables!$A:$AF,22,FALSE)*$Q147/100</f>
        <v>0</v>
      </c>
      <c r="AJ147" s="549">
        <f>VLOOKUP($H147,Nutrition_tables!$A:$AF,23,FALSE)*$Q147/100</f>
        <v>0</v>
      </c>
      <c r="AK147" s="583">
        <f>VLOOKUP($H147,Nutrition_tables!$A:$AF,24,FALSE)*$Q147/100</f>
        <v>0</v>
      </c>
      <c r="AL147" s="583">
        <f>VLOOKUP($H147,Nutrition_tables!$A:$AF,25,FALSE)*$Q147/100</f>
        <v>0</v>
      </c>
      <c r="AM147" s="583">
        <f>VLOOKUP($H147,Nutrition_tables!$A:$AF,26,FALSE)*$Q147/100</f>
        <v>0</v>
      </c>
      <c r="AN147" s="583">
        <f>VLOOKUP($H147,Nutrition_tables!$A:$AF,27,FALSE)*$Q147/100</f>
        <v>0</v>
      </c>
      <c r="AO147" s="583">
        <f>VLOOKUP($H147,Nutrition_tables!$A:$AF,28,FALSE)*$Q147/100</f>
        <v>0</v>
      </c>
      <c r="AP147" s="583">
        <f>VLOOKUP($H147,Nutrition_tables!$A:$AF,29,FALSE)*$Q147/100</f>
        <v>0</v>
      </c>
      <c r="AQ147" s="583">
        <f>VLOOKUP($H147,Nutrition_tables!$A:$AF,30,FALSE)*$Q147/100</f>
        <v>0</v>
      </c>
      <c r="AR147" s="583">
        <f>VLOOKUP($H147,Nutrition_tables!$A:$AF,31,FALSE)*$Q147/100</f>
        <v>0</v>
      </c>
      <c r="AS147" s="549">
        <f>VLOOKUP($H147,Nutrition_tables!$A:$AF,32,FALSE)*$Q147/100</f>
        <v>0</v>
      </c>
      <c r="AT147" s="583" t="str">
        <f>IF(H147="Select ingredient:","",IF(G147="Select food category:","",IFERROR(VLOOKUP($H147,Ingredient_prices!$E:$W,17,FALSE)*$Q147/1000,"not bought")))</f>
        <v/>
      </c>
      <c r="AU147" s="583" t="str">
        <f>IF(H147="Select ingredient:","",IF(G147="Select food category:","",IFERROR(VLOOKUP($H147,Ingredient_prices!$E:$W,18,FALSE)*$Q147/1000,"not bought")))</f>
        <v/>
      </c>
      <c r="AV147" s="583">
        <f t="shared" si="287"/>
        <v>0</v>
      </c>
      <c r="AW147" s="583">
        <f t="shared" si="288"/>
        <v>0</v>
      </c>
      <c r="AX147" s="583">
        <f t="shared" si="289"/>
        <v>0</v>
      </c>
      <c r="AY147" s="583">
        <f t="shared" si="290"/>
        <v>0</v>
      </c>
      <c r="AZ147" s="583">
        <f t="shared" si="291"/>
        <v>0</v>
      </c>
      <c r="BA147" s="583">
        <f t="shared" si="292"/>
        <v>0</v>
      </c>
      <c r="BB147" s="583">
        <f t="shared" si="293"/>
        <v>0</v>
      </c>
      <c r="BC147" s="583">
        <f t="shared" si="294"/>
        <v>0</v>
      </c>
      <c r="BD147" s="583">
        <f t="shared" si="295"/>
        <v>0</v>
      </c>
      <c r="BE147" s="583">
        <f t="shared" si="296"/>
        <v>0</v>
      </c>
      <c r="BF147" s="583">
        <f t="shared" si="297"/>
        <v>0</v>
      </c>
      <c r="BG147" s="583">
        <f t="shared" si="298"/>
        <v>0</v>
      </c>
      <c r="BH147" s="583">
        <f t="shared" si="299"/>
        <v>0</v>
      </c>
      <c r="BI147" s="583">
        <f t="shared" si="300"/>
        <v>0</v>
      </c>
      <c r="BJ147" s="583">
        <f t="shared" si="301"/>
        <v>0</v>
      </c>
      <c r="BK147" s="583">
        <f t="shared" si="302"/>
        <v>0</v>
      </c>
      <c r="BL147" s="583">
        <f t="shared" si="303"/>
        <v>0</v>
      </c>
      <c r="BM147" s="583">
        <f t="shared" si="304"/>
        <v>0</v>
      </c>
      <c r="BN147" s="583">
        <f t="shared" si="305"/>
        <v>0</v>
      </c>
      <c r="BO147" s="583">
        <f t="shared" si="306"/>
        <v>0</v>
      </c>
      <c r="BP147" s="583">
        <f t="shared" si="307"/>
        <v>0</v>
      </c>
      <c r="BQ147" s="583">
        <f t="shared" si="308"/>
        <v>0</v>
      </c>
      <c r="BR147" s="583">
        <f t="shared" si="309"/>
        <v>0</v>
      </c>
    </row>
    <row r="148" spans="1:70" s="229" customFormat="1" ht="15" customHeight="1">
      <c r="A148" s="574"/>
      <c r="D148" s="85"/>
      <c r="E148" s="576">
        <f t="shared" si="310"/>
        <v>100</v>
      </c>
      <c r="F148" s="710"/>
      <c r="G148" s="406" t="s">
        <v>3054</v>
      </c>
      <c r="H148" s="1262" t="s">
        <v>3055</v>
      </c>
      <c r="I148" s="85">
        <v>0</v>
      </c>
      <c r="J148" s="682">
        <v>1</v>
      </c>
      <c r="K148" s="579" t="str">
        <f t="shared" si="284"/>
        <v/>
      </c>
      <c r="L148" s="580" t="str">
        <f>IF(H148="Select ingredient:","",IF(G148="","",_xlfn.IFNA(VLOOKUP($H148,Ingredient_prices!$E:$U,16,FALSE),0)))</f>
        <v/>
      </c>
      <c r="M148" s="840"/>
      <c r="N148" s="840"/>
      <c r="O148" s="581"/>
      <c r="P148" s="582"/>
      <c r="Q148" s="583">
        <f t="shared" si="285"/>
        <v>0</v>
      </c>
      <c r="R148" s="583">
        <f>VLOOKUP($H148,'CO2_emission+%_food_waste'!$A:$K,6,FALSE)*$Q148/100</f>
        <v>0</v>
      </c>
      <c r="S148" s="583">
        <f t="shared" si="286"/>
        <v>0</v>
      </c>
      <c r="T148" s="583" t="str">
        <f>IF(H148="Select ingredient:","",IF(G148="Select food category:","",_xlfn.IFNA(VLOOKUP($H148,Ingredient_prices!$E:$U,16,FALSE)*$Q148/1000,"not bought")))</f>
        <v/>
      </c>
      <c r="U148" s="583" t="str">
        <f>IF(G148="Select food category:","",_xlfn.IFNA(VLOOKUP($H148,Ingredient_prices!$E:$U,16,FALSE)*$R148/1000,"not bought"))</f>
        <v/>
      </c>
      <c r="V148" s="549">
        <f>VLOOKUP($H148,'CO2_emission+%_food_waste'!$A:$K,4,FALSE)*$Q148</f>
        <v>0</v>
      </c>
      <c r="W148" s="583">
        <f>VLOOKUP($H148,Nutrition_tables!$A:$N,10,FALSE)*$Q148/100</f>
        <v>0</v>
      </c>
      <c r="X148" s="583">
        <f>VLOOKUP($H148,Nutrition_tables!$A:$N,11,FALSE)*$Q148/100</f>
        <v>0</v>
      </c>
      <c r="Y148" s="583">
        <f>VLOOKUP($H148,Nutrition_tables!$A:$N,12,FALSE)*$Q148/100</f>
        <v>0</v>
      </c>
      <c r="Z148" s="583">
        <f>VLOOKUP($H148,Nutrition_tables!$A:$N,14,FALSE)*$Q148/100</f>
        <v>0</v>
      </c>
      <c r="AA148" s="583">
        <f>VLOOKUP($H148,Nutrition_tables!$A:$AF,13,FALSE)*$Q148/100</f>
        <v>0</v>
      </c>
      <c r="AB148" s="549">
        <f>VLOOKUP($H148,Nutrition_tables!$A:$AF,15,FALSE)*$Q148/100</f>
        <v>0</v>
      </c>
      <c r="AC148" s="583">
        <f>VLOOKUP($H148,Nutrition_tables!$A:$AF,16,FALSE)*$Q148/100</f>
        <v>0</v>
      </c>
      <c r="AD148" s="583">
        <f>VLOOKUP($H148,Nutrition_tables!$A:$AF,17,FALSE)*$Q148/100</f>
        <v>0</v>
      </c>
      <c r="AE148" s="583">
        <f>VLOOKUP($H148,Nutrition_tables!$A:$AF,18,FALSE)*$Q148/100</f>
        <v>0</v>
      </c>
      <c r="AF148" s="583">
        <f>VLOOKUP($H148,Nutrition_tables!$A:$AF,19,FALSE)*$Q148/100</f>
        <v>0</v>
      </c>
      <c r="AG148" s="583">
        <f>VLOOKUP($H148,Nutrition_tables!$A:$AF,20,FALSE)*$Q148/100</f>
        <v>0</v>
      </c>
      <c r="AH148" s="583">
        <f>VLOOKUP($H148,Nutrition_tables!$A:$AF,21,FALSE)*$Q148/100</f>
        <v>0</v>
      </c>
      <c r="AI148" s="583">
        <f>VLOOKUP($H148,Nutrition_tables!$A:$AF,22,FALSE)*$Q148/100</f>
        <v>0</v>
      </c>
      <c r="AJ148" s="549">
        <f>VLOOKUP($H148,Nutrition_tables!$A:$AF,23,FALSE)*$Q148/100</f>
        <v>0</v>
      </c>
      <c r="AK148" s="583">
        <f>VLOOKUP($H148,Nutrition_tables!$A:$AF,24,FALSE)*$Q148/100</f>
        <v>0</v>
      </c>
      <c r="AL148" s="583">
        <f>VLOOKUP($H148,Nutrition_tables!$A:$AF,25,FALSE)*$Q148/100</f>
        <v>0</v>
      </c>
      <c r="AM148" s="583">
        <f>VLOOKUP($H148,Nutrition_tables!$A:$AF,26,FALSE)*$Q148/100</f>
        <v>0</v>
      </c>
      <c r="AN148" s="583">
        <f>VLOOKUP($H148,Nutrition_tables!$A:$AF,27,FALSE)*$Q148/100</f>
        <v>0</v>
      </c>
      <c r="AO148" s="583">
        <f>VLOOKUP($H148,Nutrition_tables!$A:$AF,28,FALSE)*$Q148/100</f>
        <v>0</v>
      </c>
      <c r="AP148" s="583">
        <f>VLOOKUP($H148,Nutrition_tables!$A:$AF,29,FALSE)*$Q148/100</f>
        <v>0</v>
      </c>
      <c r="AQ148" s="583">
        <f>VLOOKUP($H148,Nutrition_tables!$A:$AF,30,FALSE)*$Q148/100</f>
        <v>0</v>
      </c>
      <c r="AR148" s="583">
        <f>VLOOKUP($H148,Nutrition_tables!$A:$AF,31,FALSE)*$Q148/100</f>
        <v>0</v>
      </c>
      <c r="AS148" s="549">
        <f>VLOOKUP($H148,Nutrition_tables!$A:$AF,32,FALSE)*$Q148/100</f>
        <v>0</v>
      </c>
      <c r="AT148" s="583" t="str">
        <f>IF(H148="Select ingredient:","",IF(G148="Select food category:","",IFERROR(VLOOKUP($H148,Ingredient_prices!$E:$W,17,FALSE)*$Q148/1000,"not bought")))</f>
        <v/>
      </c>
      <c r="AU148" s="583" t="str">
        <f>IF(H148="Select ingredient:","",IF(G148="Select food category:","",IFERROR(VLOOKUP($H148,Ingredient_prices!$E:$W,18,FALSE)*$Q148/1000,"not bought")))</f>
        <v/>
      </c>
      <c r="AV148" s="583">
        <f t="shared" si="287"/>
        <v>0</v>
      </c>
      <c r="AW148" s="583">
        <f t="shared" si="288"/>
        <v>0</v>
      </c>
      <c r="AX148" s="583">
        <f t="shared" si="289"/>
        <v>0</v>
      </c>
      <c r="AY148" s="583">
        <f t="shared" si="290"/>
        <v>0</v>
      </c>
      <c r="AZ148" s="583">
        <f t="shared" si="291"/>
        <v>0</v>
      </c>
      <c r="BA148" s="583">
        <f t="shared" si="292"/>
        <v>0</v>
      </c>
      <c r="BB148" s="583">
        <f t="shared" si="293"/>
        <v>0</v>
      </c>
      <c r="BC148" s="583">
        <f t="shared" si="294"/>
        <v>0</v>
      </c>
      <c r="BD148" s="583">
        <f t="shared" si="295"/>
        <v>0</v>
      </c>
      <c r="BE148" s="583">
        <f t="shared" si="296"/>
        <v>0</v>
      </c>
      <c r="BF148" s="583">
        <f t="shared" si="297"/>
        <v>0</v>
      </c>
      <c r="BG148" s="583">
        <f t="shared" si="298"/>
        <v>0</v>
      </c>
      <c r="BH148" s="583">
        <f t="shared" si="299"/>
        <v>0</v>
      </c>
      <c r="BI148" s="583">
        <f t="shared" si="300"/>
        <v>0</v>
      </c>
      <c r="BJ148" s="583">
        <f t="shared" si="301"/>
        <v>0</v>
      </c>
      <c r="BK148" s="583">
        <f t="shared" si="302"/>
        <v>0</v>
      </c>
      <c r="BL148" s="583">
        <f t="shared" si="303"/>
        <v>0</v>
      </c>
      <c r="BM148" s="583">
        <f t="shared" si="304"/>
        <v>0</v>
      </c>
      <c r="BN148" s="583">
        <f t="shared" si="305"/>
        <v>0</v>
      </c>
      <c r="BO148" s="583">
        <f t="shared" si="306"/>
        <v>0</v>
      </c>
      <c r="BP148" s="583">
        <f t="shared" si="307"/>
        <v>0</v>
      </c>
      <c r="BQ148" s="583">
        <f t="shared" si="308"/>
        <v>0</v>
      </c>
      <c r="BR148" s="583">
        <f t="shared" si="309"/>
        <v>0</v>
      </c>
    </row>
    <row r="149" spans="1:70" s="603" customFormat="1" ht="56">
      <c r="A149" s="574"/>
      <c r="B149" s="593"/>
      <c r="C149" s="522"/>
      <c r="D149" s="141"/>
      <c r="E149" s="594"/>
      <c r="F149" s="708"/>
      <c r="G149" s="522"/>
      <c r="H149" s="522"/>
      <c r="I149" s="141"/>
      <c r="J149" s="141"/>
      <c r="K149" s="595"/>
      <c r="L149" s="596"/>
      <c r="M149" s="841"/>
      <c r="N149" s="841"/>
      <c r="O149" s="581"/>
      <c r="P149" s="627"/>
      <c r="Q149" s="599" t="s">
        <v>384</v>
      </c>
      <c r="R149" s="600" t="s">
        <v>455</v>
      </c>
      <c r="S149" s="600" t="s">
        <v>2087</v>
      </c>
      <c r="T149" s="600" t="s">
        <v>456</v>
      </c>
      <c r="U149" s="600" t="s">
        <v>535</v>
      </c>
      <c r="V149" s="601" t="s">
        <v>457</v>
      </c>
      <c r="W149" s="600" t="s">
        <v>75</v>
      </c>
      <c r="X149" s="600" t="s">
        <v>385</v>
      </c>
      <c r="Y149" s="600" t="s">
        <v>386</v>
      </c>
      <c r="Z149" s="600" t="s">
        <v>387</v>
      </c>
      <c r="AA149" s="600" t="s">
        <v>388</v>
      </c>
      <c r="AB149" s="601" t="s">
        <v>389</v>
      </c>
      <c r="AC149" s="602" t="s">
        <v>390</v>
      </c>
      <c r="AD149" s="600" t="s">
        <v>391</v>
      </c>
      <c r="AE149" s="600" t="s">
        <v>392</v>
      </c>
      <c r="AF149" s="600" t="s">
        <v>393</v>
      </c>
      <c r="AG149" s="600" t="s">
        <v>394</v>
      </c>
      <c r="AH149" s="600" t="s">
        <v>395</v>
      </c>
      <c r="AI149" s="600" t="s">
        <v>396</v>
      </c>
      <c r="AJ149" s="601" t="s">
        <v>397</v>
      </c>
      <c r="AK149" s="602" t="s">
        <v>398</v>
      </c>
      <c r="AL149" s="600" t="s">
        <v>399</v>
      </c>
      <c r="AM149" s="600" t="s">
        <v>400</v>
      </c>
      <c r="AN149" s="600" t="s">
        <v>401</v>
      </c>
      <c r="AO149" s="600" t="s">
        <v>402</v>
      </c>
      <c r="AP149" s="600" t="s">
        <v>406</v>
      </c>
      <c r="AQ149" s="600" t="s">
        <v>405</v>
      </c>
      <c r="AR149" s="600" t="s">
        <v>403</v>
      </c>
      <c r="AS149" s="601" t="s">
        <v>404</v>
      </c>
      <c r="AT149" s="593"/>
      <c r="AU149" s="593"/>
    </row>
    <row r="150" spans="1:70" s="229" customFormat="1">
      <c r="A150" s="574"/>
      <c r="B150" s="522"/>
      <c r="C150" s="522"/>
      <c r="D150" s="141"/>
      <c r="E150" s="594"/>
      <c r="F150" s="708"/>
      <c r="G150" s="522"/>
      <c r="H150" s="522"/>
      <c r="I150" s="141"/>
      <c r="J150" s="141"/>
      <c r="K150" s="595"/>
      <c r="L150" s="604"/>
      <c r="M150" s="581"/>
      <c r="N150" s="581"/>
      <c r="O150" s="581"/>
      <c r="P150" s="628" t="s">
        <v>383</v>
      </c>
      <c r="Q150" s="583">
        <f>SUM(Q137:Q148)</f>
        <v>110</v>
      </c>
      <c r="R150" s="583">
        <f t="shared" ref="R150:V150" si="311">SUM(R137:R148)</f>
        <v>10.269920000000001</v>
      </c>
      <c r="S150" s="583">
        <f>SUM(S137:S148)</f>
        <v>99.730080000000001</v>
      </c>
      <c r="T150" s="583">
        <f t="shared" si="311"/>
        <v>50.807657142857138</v>
      </c>
      <c r="U150" s="583">
        <f t="shared" si="311"/>
        <v>0.84516237548571427</v>
      </c>
      <c r="V150" s="549">
        <f t="shared" si="311"/>
        <v>250</v>
      </c>
      <c r="W150" s="583">
        <f t="shared" ref="W150:AS150" si="312">SUM(W137:W148)</f>
        <v>218.8</v>
      </c>
      <c r="X150" s="583">
        <f t="shared" si="312"/>
        <v>34.392000000000003</v>
      </c>
      <c r="Y150" s="583">
        <f t="shared" si="312"/>
        <v>10.466000000000001</v>
      </c>
      <c r="Z150" s="583">
        <f t="shared" si="312"/>
        <v>4.2367333333333335</v>
      </c>
      <c r="AA150" s="583">
        <f>SUM(AA137:AA148)</f>
        <v>0.23679999999999998</v>
      </c>
      <c r="AB150" s="549">
        <f t="shared" si="312"/>
        <v>1.2165999999999999</v>
      </c>
      <c r="AC150" s="583">
        <f t="shared" si="312"/>
        <v>35.9968</v>
      </c>
      <c r="AD150" s="583">
        <f t="shared" si="312"/>
        <v>25.9968</v>
      </c>
      <c r="AE150" s="583">
        <f t="shared" si="312"/>
        <v>12.396800000000001</v>
      </c>
      <c r="AF150" s="583">
        <f t="shared" si="312"/>
        <v>2.0968</v>
      </c>
      <c r="AG150" s="583">
        <f t="shared" si="312"/>
        <v>10.5968</v>
      </c>
      <c r="AH150" s="583">
        <f t="shared" si="312"/>
        <v>4.8399999999999999E-2</v>
      </c>
      <c r="AI150" s="583">
        <f t="shared" si="312"/>
        <v>0.06</v>
      </c>
      <c r="AJ150" s="549">
        <f t="shared" si="312"/>
        <v>8.0133333333333341E-3</v>
      </c>
      <c r="AK150" s="583">
        <f t="shared" si="312"/>
        <v>29.996799999999997</v>
      </c>
      <c r="AL150" s="583">
        <f t="shared" si="312"/>
        <v>1.5200000000000001E-3</v>
      </c>
      <c r="AM150" s="583">
        <f t="shared" si="312"/>
        <v>1.6199999999999999E-2</v>
      </c>
      <c r="AN150" s="583">
        <f t="shared" si="312"/>
        <v>6.6800000000000012E-2</v>
      </c>
      <c r="AO150" s="583">
        <f t="shared" si="312"/>
        <v>2.6000000000000003E-3</v>
      </c>
      <c r="AP150" s="583">
        <f t="shared" si="312"/>
        <v>2.0968</v>
      </c>
      <c r="AQ150" s="583">
        <f t="shared" si="312"/>
        <v>2.9679999999999998E-2</v>
      </c>
      <c r="AR150" s="583">
        <f t="shared" si="312"/>
        <v>0.67879999999999996</v>
      </c>
      <c r="AS150" s="549">
        <f t="shared" si="312"/>
        <v>1.21976</v>
      </c>
      <c r="AT150" s="583">
        <f t="shared" ref="AT150:AU150" si="313">SUM(AT137:AT148)</f>
        <v>50.807657142857138</v>
      </c>
      <c r="AU150" s="583">
        <f t="shared" si="313"/>
        <v>50.807657142857138</v>
      </c>
      <c r="AV150" s="549">
        <f t="shared" ref="AV150:BR150" si="314">SUM(AV137:AV148)</f>
        <v>216.14573173298768</v>
      </c>
      <c r="AW150" s="549">
        <f t="shared" si="314"/>
        <v>34.150919567979706</v>
      </c>
      <c r="AX150" s="549">
        <f t="shared" si="314"/>
        <v>10.41260238476027</v>
      </c>
      <c r="AY150" s="549">
        <f t="shared" si="314"/>
        <v>4.069905861986757</v>
      </c>
      <c r="AZ150" s="549">
        <f t="shared" si="314"/>
        <v>0.1230399344800321</v>
      </c>
      <c r="BA150" s="549">
        <f t="shared" si="314"/>
        <v>1.117706678376519</v>
      </c>
      <c r="BB150" s="549">
        <f t="shared" si="314"/>
        <v>20.512787897607893</v>
      </c>
      <c r="BC150" s="549">
        <f t="shared" si="314"/>
        <v>18.807784605613683</v>
      </c>
      <c r="BD150" s="549">
        <f t="shared" si="314"/>
        <v>10.469190156409526</v>
      </c>
      <c r="BE150" s="549">
        <f t="shared" si="314"/>
        <v>1.5358987215011455</v>
      </c>
      <c r="BF150" s="549">
        <f t="shared" si="314"/>
        <v>8.7323919458077111</v>
      </c>
      <c r="BG150" s="549">
        <f t="shared" si="314"/>
        <v>2.7891577449215214E-2</v>
      </c>
      <c r="BH150" s="549">
        <f t="shared" si="314"/>
        <v>4.5843154658440431E-2</v>
      </c>
      <c r="BI150" s="549">
        <f t="shared" si="314"/>
        <v>4.9849960330029912E-3</v>
      </c>
      <c r="BJ150" s="549">
        <f t="shared" si="314"/>
        <v>25.256776315622901</v>
      </c>
      <c r="BK150" s="549">
        <f t="shared" si="314"/>
        <v>8.6271372664431338E-4</v>
      </c>
      <c r="BL150" s="549">
        <f t="shared" si="314"/>
        <v>1.3719381311816508E-2</v>
      </c>
      <c r="BM150" s="549">
        <f t="shared" si="314"/>
        <v>6.126993313006502E-2</v>
      </c>
      <c r="BN150" s="549">
        <f t="shared" si="314"/>
        <v>1.4307934426044553E-3</v>
      </c>
      <c r="BO150" s="549">
        <f t="shared" si="314"/>
        <v>1.5358987215011455</v>
      </c>
      <c r="BP150" s="549">
        <f t="shared" si="314"/>
        <v>2.7309972130027685E-2</v>
      </c>
      <c r="BQ150" s="549">
        <f t="shared" si="314"/>
        <v>0.39503175243416916</v>
      </c>
      <c r="BR150" s="549">
        <f t="shared" si="314"/>
        <v>1.2166005529597417</v>
      </c>
    </row>
    <row r="151" spans="1:70" s="229" customFormat="1">
      <c r="A151" s="574"/>
      <c r="B151" s="522"/>
      <c r="C151" s="522"/>
      <c r="D151" s="141"/>
      <c r="E151" s="594"/>
      <c r="F151" s="708"/>
      <c r="G151" s="522"/>
      <c r="H151" s="522"/>
      <c r="I151" s="141"/>
      <c r="J151" s="141"/>
      <c r="K151" s="595"/>
      <c r="L151" s="604"/>
      <c r="M151" s="581"/>
      <c r="N151" s="581"/>
      <c r="O151" s="581"/>
      <c r="P151" s="628" t="s">
        <v>537</v>
      </c>
      <c r="V151" s="527" t="s">
        <v>588</v>
      </c>
      <c r="W151" s="229">
        <v>185.5</v>
      </c>
      <c r="X151" s="229">
        <v>23.200000000000003</v>
      </c>
      <c r="Y151" s="229">
        <v>5.8000000000000007</v>
      </c>
      <c r="Z151" s="229">
        <v>6.2</v>
      </c>
      <c r="AA151" s="229">
        <v>1.9000000000000001</v>
      </c>
      <c r="AB151" s="526">
        <v>2</v>
      </c>
      <c r="AC151" s="229">
        <v>138</v>
      </c>
      <c r="AD151" s="229">
        <v>180</v>
      </c>
      <c r="AE151" s="229">
        <v>90</v>
      </c>
      <c r="AF151" s="229">
        <v>17</v>
      </c>
      <c r="AG151" s="229">
        <v>80</v>
      </c>
      <c r="AH151" s="229">
        <v>1</v>
      </c>
      <c r="AI151" s="229">
        <v>0.70000000000000007</v>
      </c>
      <c r="AJ151" s="526">
        <v>0.125</v>
      </c>
      <c r="AK151" s="229">
        <v>80</v>
      </c>
      <c r="AL151" s="229">
        <v>0.1</v>
      </c>
      <c r="AM151" s="229">
        <v>0.11000000000000001</v>
      </c>
      <c r="AN151" s="229">
        <v>1.2000000000000002</v>
      </c>
      <c r="AO151" s="229">
        <v>6.9999999999999993E-2</v>
      </c>
      <c r="AP151" s="229">
        <v>30</v>
      </c>
      <c r="AQ151" s="229">
        <v>0.18000000000000002</v>
      </c>
      <c r="AR151" s="229">
        <v>8</v>
      </c>
      <c r="AS151" s="526">
        <v>0.5</v>
      </c>
      <c r="AV151" s="229">
        <v>185.5</v>
      </c>
      <c r="AW151" s="229">
        <v>23.200000000000003</v>
      </c>
      <c r="AX151" s="229">
        <v>5.8000000000000007</v>
      </c>
      <c r="AY151" s="229">
        <v>6.2</v>
      </c>
      <c r="AZ151" s="229">
        <v>1.9000000000000001</v>
      </c>
      <c r="BA151" s="526">
        <v>2</v>
      </c>
      <c r="BB151" s="229">
        <v>138</v>
      </c>
      <c r="BC151" s="229">
        <v>180</v>
      </c>
      <c r="BD151" s="229">
        <v>90</v>
      </c>
      <c r="BE151" s="229">
        <v>17</v>
      </c>
      <c r="BF151" s="229">
        <v>80</v>
      </c>
      <c r="BG151" s="229">
        <v>1</v>
      </c>
      <c r="BH151" s="229">
        <v>0.70000000000000007</v>
      </c>
      <c r="BI151" s="526">
        <v>0.125</v>
      </c>
      <c r="BJ151" s="229">
        <v>80</v>
      </c>
      <c r="BK151" s="229">
        <v>0.1</v>
      </c>
      <c r="BL151" s="229">
        <v>0.11000000000000001</v>
      </c>
      <c r="BM151" s="229">
        <v>1.2000000000000002</v>
      </c>
      <c r="BN151" s="229">
        <v>6.9999999999999993E-2</v>
      </c>
      <c r="BO151" s="229">
        <v>30</v>
      </c>
      <c r="BP151" s="229">
        <v>0.18000000000000002</v>
      </c>
      <c r="BQ151" s="229">
        <v>8</v>
      </c>
      <c r="BR151" s="526">
        <v>0.5</v>
      </c>
    </row>
    <row r="152" spans="1:70" s="229" customFormat="1">
      <c r="A152" s="574"/>
      <c r="B152" s="522"/>
      <c r="C152" s="522"/>
      <c r="D152" s="141"/>
      <c r="E152" s="594"/>
      <c r="F152" s="708"/>
      <c r="G152" s="522"/>
      <c r="H152" s="522"/>
      <c r="I152" s="141"/>
      <c r="J152" s="141"/>
      <c r="K152" s="595"/>
      <c r="L152" s="604"/>
      <c r="M152" s="581"/>
      <c r="N152" s="581"/>
      <c r="O152" s="581"/>
      <c r="P152" s="628" t="s">
        <v>407</v>
      </c>
      <c r="V152" s="526"/>
      <c r="W152" s="514">
        <f t="shared" ref="W152:AS152" si="315">100*W150/W151</f>
        <v>117.95148247978436</v>
      </c>
      <c r="X152" s="514">
        <f t="shared" si="315"/>
        <v>148.24137931034483</v>
      </c>
      <c r="Y152" s="514">
        <f t="shared" si="315"/>
        <v>180.44827586206895</v>
      </c>
      <c r="Z152" s="514">
        <f t="shared" si="315"/>
        <v>68.334408602150532</v>
      </c>
      <c r="AA152" s="514">
        <f t="shared" si="315"/>
        <v>12.463157894736842</v>
      </c>
      <c r="AB152" s="506">
        <f t="shared" si="315"/>
        <v>60.83</v>
      </c>
      <c r="AC152" s="514">
        <f t="shared" si="315"/>
        <v>26.084637681159418</v>
      </c>
      <c r="AD152" s="514">
        <f t="shared" si="315"/>
        <v>14.442666666666666</v>
      </c>
      <c r="AE152" s="514">
        <f t="shared" si="315"/>
        <v>13.774222222222223</v>
      </c>
      <c r="AF152" s="514">
        <f t="shared" si="315"/>
        <v>12.334117647058823</v>
      </c>
      <c r="AG152" s="514">
        <f t="shared" si="315"/>
        <v>13.246</v>
      </c>
      <c r="AH152" s="514">
        <f t="shared" si="315"/>
        <v>4.84</v>
      </c>
      <c r="AI152" s="514">
        <f t="shared" si="315"/>
        <v>8.5714285714285712</v>
      </c>
      <c r="AJ152" s="506">
        <f t="shared" si="315"/>
        <v>6.4106666666666676</v>
      </c>
      <c r="AK152" s="514">
        <f t="shared" si="315"/>
        <v>37.495999999999995</v>
      </c>
      <c r="AL152" s="514">
        <f t="shared" si="315"/>
        <v>1.5199999999999998</v>
      </c>
      <c r="AM152" s="514">
        <f t="shared" si="315"/>
        <v>14.727272727272725</v>
      </c>
      <c r="AN152" s="514">
        <f t="shared" si="315"/>
        <v>5.5666666666666673</v>
      </c>
      <c r="AO152" s="514">
        <f t="shared" si="315"/>
        <v>3.7142857142857149</v>
      </c>
      <c r="AP152" s="514">
        <f t="shared" si="315"/>
        <v>6.9893333333333336</v>
      </c>
      <c r="AQ152" s="514">
        <f t="shared" si="315"/>
        <v>16.488888888888887</v>
      </c>
      <c r="AR152" s="514">
        <f t="shared" si="315"/>
        <v>8.4849999999999994</v>
      </c>
      <c r="AS152" s="506">
        <f t="shared" si="315"/>
        <v>243.952</v>
      </c>
      <c r="AV152" s="514">
        <f t="shared" ref="AV152:BR152" si="316">100*AV150/AV151</f>
        <v>116.52061009864566</v>
      </c>
      <c r="AW152" s="514">
        <f t="shared" si="316"/>
        <v>147.20223951715388</v>
      </c>
      <c r="AX152" s="514">
        <f t="shared" si="316"/>
        <v>179.52762732345289</v>
      </c>
      <c r="AY152" s="514">
        <f t="shared" si="316"/>
        <v>65.643642935270279</v>
      </c>
      <c r="AZ152" s="514">
        <f t="shared" si="316"/>
        <v>6.4757860252648465</v>
      </c>
      <c r="BA152" s="506">
        <f t="shared" si="316"/>
        <v>55.88533391882595</v>
      </c>
      <c r="BB152" s="514">
        <f t="shared" si="316"/>
        <v>14.864339056237606</v>
      </c>
      <c r="BC152" s="514">
        <f t="shared" si="316"/>
        <v>10.448769225340936</v>
      </c>
      <c r="BD152" s="514">
        <f t="shared" si="316"/>
        <v>11.632433507121696</v>
      </c>
      <c r="BE152" s="514">
        <f t="shared" si="316"/>
        <v>9.0346983617714454</v>
      </c>
      <c r="BF152" s="514">
        <f t="shared" si="316"/>
        <v>10.915489932259639</v>
      </c>
      <c r="BG152" s="514">
        <f t="shared" si="316"/>
        <v>2.7891577449215212</v>
      </c>
      <c r="BH152" s="514">
        <f t="shared" si="316"/>
        <v>6.5490220940629182</v>
      </c>
      <c r="BI152" s="506">
        <f t="shared" si="316"/>
        <v>3.9879968264023931</v>
      </c>
      <c r="BJ152" s="514">
        <f t="shared" si="316"/>
        <v>31.570970394528626</v>
      </c>
      <c r="BK152" s="514">
        <f t="shared" si="316"/>
        <v>0.86271372664431334</v>
      </c>
      <c r="BL152" s="514">
        <f t="shared" si="316"/>
        <v>12.472164828924097</v>
      </c>
      <c r="BM152" s="514">
        <f t="shared" si="316"/>
        <v>5.1058277608387508</v>
      </c>
      <c r="BN152" s="514">
        <f t="shared" si="316"/>
        <v>2.0439906322920791</v>
      </c>
      <c r="BO152" s="514">
        <f t="shared" si="316"/>
        <v>5.1196624050038189</v>
      </c>
      <c r="BP152" s="514">
        <f t="shared" si="316"/>
        <v>15.172206738904269</v>
      </c>
      <c r="BQ152" s="514">
        <f t="shared" si="316"/>
        <v>4.9378969054271149</v>
      </c>
      <c r="BR152" s="506">
        <f t="shared" si="316"/>
        <v>243.32011059194832</v>
      </c>
    </row>
    <row r="153" spans="1:70" s="229" customFormat="1">
      <c r="A153" s="574"/>
      <c r="B153" s="522"/>
      <c r="C153" s="522"/>
      <c r="D153" s="141"/>
      <c r="E153" s="594"/>
      <c r="F153" s="708"/>
      <c r="G153" s="522"/>
      <c r="H153" s="522"/>
      <c r="I153" s="141"/>
      <c r="J153" s="141"/>
      <c r="K153" s="595"/>
      <c r="L153" s="604"/>
      <c r="M153" s="581"/>
      <c r="N153" s="581"/>
      <c r="O153" s="581"/>
      <c r="P153" s="628" t="s">
        <v>548</v>
      </c>
      <c r="V153" s="526"/>
      <c r="W153" s="583">
        <f>AV150</f>
        <v>216.14573173298768</v>
      </c>
      <c r="X153" s="583">
        <f t="shared" ref="X153" si="317">AW150</f>
        <v>34.150919567979706</v>
      </c>
      <c r="Y153" s="583">
        <f t="shared" ref="Y153" si="318">AX150</f>
        <v>10.41260238476027</v>
      </c>
      <c r="Z153" s="583">
        <f t="shared" ref="Z153" si="319">AY150</f>
        <v>4.069905861986757</v>
      </c>
      <c r="AA153" s="583">
        <f t="shared" ref="AA153" si="320">AZ150</f>
        <v>0.1230399344800321</v>
      </c>
      <c r="AB153" s="549">
        <f t="shared" ref="AB153" si="321">BA150</f>
        <v>1.117706678376519</v>
      </c>
      <c r="AC153" s="583">
        <f t="shared" ref="AC153" si="322">BB150</f>
        <v>20.512787897607893</v>
      </c>
      <c r="AD153" s="583">
        <f t="shared" ref="AD153" si="323">BC150</f>
        <v>18.807784605613683</v>
      </c>
      <c r="AE153" s="583">
        <f t="shared" ref="AE153" si="324">BD150</f>
        <v>10.469190156409526</v>
      </c>
      <c r="AF153" s="583">
        <f t="shared" ref="AF153" si="325">BE150</f>
        <v>1.5358987215011455</v>
      </c>
      <c r="AG153" s="583">
        <f t="shared" ref="AG153" si="326">BF150</f>
        <v>8.7323919458077111</v>
      </c>
      <c r="AH153" s="583">
        <f t="shared" ref="AH153" si="327">BG150</f>
        <v>2.7891577449215214E-2</v>
      </c>
      <c r="AI153" s="583">
        <f>BH150</f>
        <v>4.5843154658440431E-2</v>
      </c>
      <c r="AJ153" s="549">
        <f t="shared" ref="AJ153" si="328">BI150</f>
        <v>4.9849960330029912E-3</v>
      </c>
      <c r="AK153" s="583">
        <f t="shared" ref="AK153" si="329">BJ150</f>
        <v>25.256776315622901</v>
      </c>
      <c r="AL153" s="583">
        <f t="shared" ref="AL153" si="330">BK150</f>
        <v>8.6271372664431338E-4</v>
      </c>
      <c r="AM153" s="583">
        <f t="shared" ref="AM153" si="331">BL150</f>
        <v>1.3719381311816508E-2</v>
      </c>
      <c r="AN153" s="583">
        <f>BM150</f>
        <v>6.126993313006502E-2</v>
      </c>
      <c r="AO153" s="583">
        <f t="shared" ref="AO153" si="332">BN150</f>
        <v>1.4307934426044553E-3</v>
      </c>
      <c r="AP153" s="583">
        <f t="shared" ref="AP153" si="333">BO150</f>
        <v>1.5358987215011455</v>
      </c>
      <c r="AQ153" s="583">
        <f t="shared" ref="AQ153" si="334">BP150</f>
        <v>2.7309972130027685E-2</v>
      </c>
      <c r="AR153" s="583">
        <f t="shared" ref="AR153" si="335">BQ150</f>
        <v>0.39503175243416916</v>
      </c>
      <c r="AS153" s="549">
        <f>BR150</f>
        <v>1.2166005529597417</v>
      </c>
    </row>
    <row r="154" spans="1:70" s="229" customFormat="1">
      <c r="A154" s="574"/>
      <c r="B154" s="522"/>
      <c r="C154" s="522"/>
      <c r="D154" s="141"/>
      <c r="E154" s="594"/>
      <c r="F154" s="708"/>
      <c r="G154" s="522"/>
      <c r="H154" s="522"/>
      <c r="I154" s="141"/>
      <c r="J154" s="141"/>
      <c r="K154" s="595"/>
      <c r="L154" s="604"/>
      <c r="M154" s="581"/>
      <c r="N154" s="581"/>
      <c r="O154" s="581"/>
      <c r="P154" s="628" t="s">
        <v>543</v>
      </c>
      <c r="V154" s="526"/>
      <c r="W154" s="514">
        <f t="shared" ref="W154:AS154" si="336">AV152</f>
        <v>116.52061009864566</v>
      </c>
      <c r="X154" s="514">
        <f t="shared" si="336"/>
        <v>147.20223951715388</v>
      </c>
      <c r="Y154" s="514">
        <f t="shared" si="336"/>
        <v>179.52762732345289</v>
      </c>
      <c r="Z154" s="514">
        <f t="shared" si="336"/>
        <v>65.643642935270279</v>
      </c>
      <c r="AA154" s="514">
        <f t="shared" si="336"/>
        <v>6.4757860252648465</v>
      </c>
      <c r="AB154" s="506">
        <f t="shared" si="336"/>
        <v>55.88533391882595</v>
      </c>
      <c r="AC154" s="514">
        <f t="shared" si="336"/>
        <v>14.864339056237606</v>
      </c>
      <c r="AD154" s="514">
        <f t="shared" si="336"/>
        <v>10.448769225340936</v>
      </c>
      <c r="AE154" s="514">
        <f t="shared" si="336"/>
        <v>11.632433507121696</v>
      </c>
      <c r="AF154" s="514">
        <f t="shared" si="336"/>
        <v>9.0346983617714454</v>
      </c>
      <c r="AG154" s="514">
        <f t="shared" si="336"/>
        <v>10.915489932259639</v>
      </c>
      <c r="AH154" s="514">
        <f t="shared" si="336"/>
        <v>2.7891577449215212</v>
      </c>
      <c r="AI154" s="514">
        <f t="shared" si="336"/>
        <v>6.5490220940629182</v>
      </c>
      <c r="AJ154" s="506">
        <f t="shared" si="336"/>
        <v>3.9879968264023931</v>
      </c>
      <c r="AK154" s="514">
        <f t="shared" si="336"/>
        <v>31.570970394528626</v>
      </c>
      <c r="AL154" s="514">
        <f t="shared" si="336"/>
        <v>0.86271372664431334</v>
      </c>
      <c r="AM154" s="514">
        <f t="shared" si="336"/>
        <v>12.472164828924097</v>
      </c>
      <c r="AN154" s="514">
        <f t="shared" si="336"/>
        <v>5.1058277608387508</v>
      </c>
      <c r="AO154" s="514">
        <f t="shared" si="336"/>
        <v>2.0439906322920791</v>
      </c>
      <c r="AP154" s="514">
        <f t="shared" si="336"/>
        <v>5.1196624050038189</v>
      </c>
      <c r="AQ154" s="514">
        <f t="shared" si="336"/>
        <v>15.172206738904269</v>
      </c>
      <c r="AR154" s="514">
        <f t="shared" si="336"/>
        <v>4.9378969054271149</v>
      </c>
      <c r="AS154" s="506">
        <f t="shared" si="336"/>
        <v>243.32011059194832</v>
      </c>
      <c r="AV154" s="514"/>
      <c r="AW154" s="514"/>
      <c r="AX154" s="514"/>
      <c r="AY154" s="514"/>
      <c r="AZ154" s="514"/>
      <c r="BA154" s="505"/>
      <c r="BB154" s="514"/>
      <c r="BC154" s="514"/>
      <c r="BD154" s="514"/>
      <c r="BE154" s="514"/>
      <c r="BF154" s="514"/>
      <c r="BG154" s="514"/>
      <c r="BH154" s="514"/>
      <c r="BI154" s="505"/>
      <c r="BJ154" s="514"/>
      <c r="BK154" s="514"/>
      <c r="BL154" s="514"/>
      <c r="BM154" s="514"/>
      <c r="BN154" s="514"/>
      <c r="BO154" s="514"/>
      <c r="BP154" s="514"/>
      <c r="BQ154" s="514"/>
      <c r="BR154" s="505"/>
    </row>
    <row r="155" spans="1:70" s="229" customFormat="1" ht="16" thickBot="1">
      <c r="A155" s="574"/>
      <c r="B155" s="574"/>
      <c r="C155" s="574"/>
      <c r="D155" s="684"/>
      <c r="E155" s="620"/>
      <c r="F155" s="711"/>
      <c r="G155" s="621" t="s">
        <v>3054</v>
      </c>
      <c r="H155" s="622"/>
      <c r="I155" s="685"/>
      <c r="J155" s="685"/>
      <c r="K155" s="574"/>
      <c r="L155" s="623"/>
      <c r="M155" s="623"/>
      <c r="N155" s="623"/>
      <c r="O155" s="581"/>
      <c r="P155" s="574"/>
      <c r="Q155" s="574"/>
      <c r="R155" s="574"/>
      <c r="S155" s="574"/>
      <c r="T155" s="574"/>
      <c r="U155" s="624"/>
      <c r="V155" s="625"/>
      <c r="W155" s="574"/>
      <c r="X155" s="574"/>
      <c r="Y155" s="574"/>
      <c r="Z155" s="574"/>
      <c r="AA155" s="626">
        <f>COUNTIF(AA156:AA180,"&lt;0")</f>
        <v>1</v>
      </c>
      <c r="AB155" s="626">
        <f t="shared" ref="AB155:AS155" si="337">COUNTIF(AB156:AB180,"&lt;0")</f>
        <v>1</v>
      </c>
      <c r="AC155" s="626">
        <f t="shared" si="337"/>
        <v>0</v>
      </c>
      <c r="AD155" s="626">
        <f t="shared" si="337"/>
        <v>0</v>
      </c>
      <c r="AE155" s="626">
        <f t="shared" si="337"/>
        <v>0</v>
      </c>
      <c r="AF155" s="626">
        <f t="shared" si="337"/>
        <v>1</v>
      </c>
      <c r="AG155" s="626">
        <f t="shared" si="337"/>
        <v>1</v>
      </c>
      <c r="AH155" s="626">
        <f t="shared" si="337"/>
        <v>0</v>
      </c>
      <c r="AI155" s="626">
        <f t="shared" si="337"/>
        <v>1</v>
      </c>
      <c r="AJ155" s="626">
        <f t="shared" si="337"/>
        <v>1</v>
      </c>
      <c r="AK155" s="626">
        <f t="shared" si="337"/>
        <v>1</v>
      </c>
      <c r="AL155" s="626">
        <f t="shared" si="337"/>
        <v>1</v>
      </c>
      <c r="AM155" s="626">
        <f t="shared" si="337"/>
        <v>1</v>
      </c>
      <c r="AN155" s="626">
        <f t="shared" si="337"/>
        <v>1</v>
      </c>
      <c r="AO155" s="626">
        <f t="shared" si="337"/>
        <v>1</v>
      </c>
      <c r="AP155" s="626">
        <f t="shared" si="337"/>
        <v>1</v>
      </c>
      <c r="AQ155" s="626">
        <f t="shared" si="337"/>
        <v>2</v>
      </c>
      <c r="AR155" s="626">
        <f t="shared" si="337"/>
        <v>0</v>
      </c>
      <c r="AS155" s="626">
        <f t="shared" si="337"/>
        <v>2</v>
      </c>
      <c r="AT155" s="574"/>
      <c r="AU155" s="574"/>
    </row>
    <row r="156" spans="1:70" s="229" customFormat="1" ht="15" customHeight="1" thickBot="1">
      <c r="A156" s="574"/>
      <c r="B156" s="575" t="s">
        <v>3065</v>
      </c>
      <c r="C156" s="229" t="s">
        <v>69</v>
      </c>
      <c r="D156" s="576"/>
      <c r="E156" s="584">
        <v>100</v>
      </c>
      <c r="F156" s="85" t="s">
        <v>3901</v>
      </c>
      <c r="G156" s="406" t="s">
        <v>3142</v>
      </c>
      <c r="H156" s="578" t="s">
        <v>3293</v>
      </c>
      <c r="I156" s="85">
        <v>40</v>
      </c>
      <c r="J156" s="682">
        <v>1</v>
      </c>
      <c r="K156" s="579">
        <f t="shared" ref="K156:K180" si="338">IF(I156&gt;0,1.1*Q156*E156/1000,"")</f>
        <v>4.4000000000000004</v>
      </c>
      <c r="L156" s="580">
        <f>IF(H156="Select ingredient:","",IF(G156="","",_xlfn.IFNA(VLOOKUP($H156,Ingredient_prices!$E:$U,16,FALSE),0)))</f>
        <v>130.90909090909091</v>
      </c>
      <c r="M156" s="840"/>
      <c r="N156" s="1228">
        <f>$W182</f>
        <v>820.75130503496507</v>
      </c>
      <c r="O156" s="581"/>
      <c r="P156" s="582"/>
      <c r="Q156" s="583">
        <f t="shared" ref="Q156:Q180" si="339">I156/J156</f>
        <v>40</v>
      </c>
      <c r="R156" s="583">
        <f>VLOOKUP($H156,'CO2_emission+%_food_waste'!$A:$K,6,FALSE)*$Q156/100</f>
        <v>8.2799999999999994</v>
      </c>
      <c r="S156" s="583">
        <f t="shared" ref="S156:S180" si="340">Q156-R156</f>
        <v>31.72</v>
      </c>
      <c r="T156" s="583">
        <f>IF(H156="Select ingredient:","",IF(G156="Select food category:","",_xlfn.IFNA(VLOOKUP($H156,Ingredient_prices!$E:$U,16,FALSE)*$Q156/1000,"not bought")))</f>
        <v>5.2363636363636363</v>
      </c>
      <c r="U156" s="583">
        <f>IF(G156="Select food category:","",_xlfn.IFNA(VLOOKUP($H156,Ingredient_prices!$E:$U,16,FALSE)*$R156/1000,"not bought"))</f>
        <v>1.0839272727272726</v>
      </c>
      <c r="V156" s="549">
        <f>VLOOKUP($H156,'CO2_emission+%_food_waste'!$A:$K,4,FALSE)*$Q156</f>
        <v>56</v>
      </c>
      <c r="W156" s="583">
        <f>VLOOKUP($H156,Nutrition_tables!$A:$N,10,FALSE)*$Q156/100</f>
        <v>39.101599999999998</v>
      </c>
      <c r="X156" s="583">
        <f>VLOOKUP($H156,Nutrition_tables!$A:$N,11,FALSE)*$Q156/100</f>
        <v>7.84</v>
      </c>
      <c r="Y156" s="583">
        <f>VLOOKUP($H156,Nutrition_tables!$A:$N,12,FALSE)*$Q156/100</f>
        <v>1.76</v>
      </c>
      <c r="Z156" s="583">
        <f>VLOOKUP($H156,Nutrition_tables!$A:$N,14,FALSE)*$Q156/100</f>
        <v>0.36</v>
      </c>
      <c r="AA156" s="583">
        <f>VLOOKUP($H156,Nutrition_tables!$A:$AF,13,FALSE)*$Q156/100</f>
        <v>1.44</v>
      </c>
      <c r="AB156" s="549">
        <f>VLOOKUP($H156,Nutrition_tables!$A:$AF,15,FALSE)*$Q156/100</f>
        <v>6.6399999999999987E-2</v>
      </c>
      <c r="AC156" s="583">
        <f>VLOOKUP($H156,Nutrition_tables!$A:$AF,16,FALSE)*$Q156/100</f>
        <v>173.2</v>
      </c>
      <c r="AD156" s="583">
        <f>VLOOKUP($H156,Nutrition_tables!$A:$AF,17,FALSE)*$Q156/100</f>
        <v>319.2</v>
      </c>
      <c r="AE156" s="583">
        <f>VLOOKUP($H156,Nutrition_tables!$A:$AF,18,FALSE)*$Q156/100</f>
        <v>7.96</v>
      </c>
      <c r="AF156" s="583">
        <f>VLOOKUP($H156,Nutrition_tables!$A:$AF,19,FALSE)*$Q156/100</f>
        <v>12</v>
      </c>
      <c r="AG156" s="583">
        <f>VLOOKUP($H156,Nutrition_tables!$A:$AF,20,FALSE)*$Q156/100</f>
        <v>16.760000000000002</v>
      </c>
      <c r="AH156" s="583">
        <f>VLOOKUP($H156,Nutrition_tables!$A:$AF,21,FALSE)*$Q156/100</f>
        <v>0.24</v>
      </c>
      <c r="AI156" s="583">
        <f>VLOOKUP($H156,Nutrition_tables!$A:$AF,22,FALSE)*$Q156/100</f>
        <v>0.08</v>
      </c>
      <c r="AJ156" s="549">
        <f>VLOOKUP($H156,Nutrition_tables!$A:$AF,23,FALSE)*$Q156/100</f>
        <v>0.06</v>
      </c>
      <c r="AK156" s="583">
        <f>VLOOKUP($H156,Nutrition_tables!$A:$AF,24,FALSE)*$Q156/100</f>
        <v>24.48</v>
      </c>
      <c r="AL156" s="583">
        <f>VLOOKUP($H156,Nutrition_tables!$A:$AF,25,FALSE)*$Q156/100</f>
        <v>0.04</v>
      </c>
      <c r="AM156" s="583">
        <f>VLOOKUP($H156,Nutrition_tables!$A:$AF,26,FALSE)*$Q156/100</f>
        <v>0.02</v>
      </c>
      <c r="AN156" s="583">
        <f>VLOOKUP($H156,Nutrition_tables!$A:$AF,27,FALSE)*$Q156/100</f>
        <v>0.72</v>
      </c>
      <c r="AO156" s="583">
        <f>VLOOKUP($H156,Nutrition_tables!$A:$AF,28,FALSE)*$Q156/100</f>
        <v>0.14000000000000001</v>
      </c>
      <c r="AP156" s="583">
        <f>VLOOKUP($H156,Nutrition_tables!$A:$AF,29,FALSE)*$Q156/100</f>
        <v>28.8</v>
      </c>
      <c r="AQ156" s="583">
        <f>VLOOKUP($H156,Nutrition_tables!$A:$AF,30,FALSE)*$Q156/100</f>
        <v>0</v>
      </c>
      <c r="AR156" s="583">
        <f>VLOOKUP($H156,Nutrition_tables!$A:$AF,31,FALSE)*$Q156/100</f>
        <v>3.6</v>
      </c>
      <c r="AS156" s="549">
        <f>VLOOKUP($H156,Nutrition_tables!$A:$AF,32,FALSE)*$Q156/100</f>
        <v>0</v>
      </c>
      <c r="AT156" s="583">
        <f>IF(H156="Select ingredient:","",IF(G156="Select food category:","",IFERROR(VLOOKUP($H156,Ingredient_prices!$E:$W,17,FALSE)*$Q156/1000,"not bought")))</f>
        <v>5.2363636363636363</v>
      </c>
      <c r="AU156" s="583">
        <f>IF(H156="Select ingredient:","",IF(G156="Select food category:","",IFERROR(VLOOKUP($H156,Ingredient_prices!$E:$W,18,FALSE)*$Q156/1000,"not bought")))</f>
        <v>5.2363636363636363</v>
      </c>
      <c r="AV156" s="583">
        <f t="shared" ref="AV156:AV180" si="341">W156*($Q156-$R156)/($Q156+0.00001)</f>
        <v>31.007561048109732</v>
      </c>
      <c r="AW156" s="583">
        <f t="shared" ref="AW156:AW180" si="342">X156*($Q156-$R156)/($Q156+0.00001)</f>
        <v>6.2171184457203879</v>
      </c>
      <c r="AX156" s="583">
        <f t="shared" ref="AX156:AX180" si="343">Y156*($Q156-$R156)/($Q156+0.00001)</f>
        <v>1.3956796510800871</v>
      </c>
      <c r="AY156" s="583">
        <f t="shared" ref="AY156:AY180" si="344">Z156*($Q156-$R156)/($Q156+0.00001)</f>
        <v>0.28547992863001781</v>
      </c>
      <c r="AZ156" s="583">
        <f t="shared" ref="AZ156:AZ180" si="345">AA156*($Q156-$R156)/($Q156+0.00001)</f>
        <v>1.1419197145200712</v>
      </c>
      <c r="BA156" s="583">
        <f t="shared" ref="BA156:BA180" si="346">AB156*($Q156-$R156)/($Q156+0.00001)</f>
        <v>5.265518683620328E-2</v>
      </c>
      <c r="BB156" s="583">
        <f t="shared" ref="BB156:BB180" si="347">AC156*($Q156-$R156)/($Q156+0.00001)</f>
        <v>137.34756566310855</v>
      </c>
      <c r="BC156" s="583">
        <f t="shared" ref="BC156:BC180" si="348">AD156*($Q156-$R156)/($Q156+0.00001)</f>
        <v>253.12553671861579</v>
      </c>
      <c r="BD156" s="583">
        <f t="shared" ref="BD156:BD180" si="349">AE156*($Q156-$R156)/($Q156+0.00001)</f>
        <v>6.3122784219303938</v>
      </c>
      <c r="BE156" s="583">
        <f t="shared" ref="BE156:BE180" si="350">AF156*($Q156-$R156)/($Q156+0.00001)</f>
        <v>9.5159976210005937</v>
      </c>
      <c r="BF156" s="583">
        <f t="shared" ref="BF156:BF180" si="351">AG156*($Q156-$R156)/($Q156+0.00001)</f>
        <v>13.290676677330829</v>
      </c>
      <c r="BG156" s="583">
        <f t="shared" ref="BG156:BG180" si="352">AH156*($Q156-$R156)/($Q156+0.00001)</f>
        <v>0.19031995242001185</v>
      </c>
      <c r="BH156" s="583">
        <f t="shared" ref="BH156:BH180" si="353">AI156*($Q156-$R156)/($Q156+0.00001)</f>
        <v>6.3439984140003958E-2</v>
      </c>
      <c r="BI156" s="583">
        <f t="shared" ref="BI156:BI180" si="354">AJ156*($Q156-$R156)/($Q156+0.00001)</f>
        <v>4.7579988105002961E-2</v>
      </c>
      <c r="BJ156" s="583">
        <f t="shared" ref="BJ156:BJ180" si="355">AK156*($Q156-$R156)/($Q156+0.00001)</f>
        <v>19.412635146841211</v>
      </c>
      <c r="BK156" s="583">
        <f t="shared" ref="BK156:BK180" si="356">AL156*($Q156-$R156)/($Q156+0.00001)</f>
        <v>3.1719992070001979E-2</v>
      </c>
      <c r="BL156" s="583">
        <f t="shared" ref="BL156:BL180" si="357">AM156*($Q156-$R156)/($Q156+0.00001)</f>
        <v>1.5859996035000989E-2</v>
      </c>
      <c r="BM156" s="583">
        <f t="shared" ref="BM156:BM180" si="358">AN156*($Q156-$R156)/($Q156+0.00001)</f>
        <v>0.57095985726003562</v>
      </c>
      <c r="BN156" s="583">
        <f t="shared" ref="BN156:BN180" si="359">AO156*($Q156-$R156)/($Q156+0.00001)</f>
        <v>0.11101997224500694</v>
      </c>
      <c r="BO156" s="583">
        <f t="shared" ref="BO156:BO180" si="360">AP156*($Q156-$R156)/($Q156+0.00001)</f>
        <v>22.838394290401425</v>
      </c>
      <c r="BP156" s="583">
        <f t="shared" ref="BP156:BP180" si="361">AQ156*($Q156-$R156)/($Q156+0.00001)</f>
        <v>0</v>
      </c>
      <c r="BQ156" s="583">
        <f t="shared" ref="BQ156:BQ180" si="362">AR156*($Q156-$R156)/($Q156+0.00001)</f>
        <v>2.8547992863001781</v>
      </c>
      <c r="BR156" s="583">
        <f t="shared" ref="BR156:BR180" si="363">AS156*($Q156-$R156)/($Q156+0.00001)</f>
        <v>0</v>
      </c>
    </row>
    <row r="157" spans="1:70" s="229" customFormat="1" ht="15" customHeight="1">
      <c r="A157" s="574"/>
      <c r="E157" s="585">
        <f>IF(E$156&gt;0,E$156,"")</f>
        <v>100</v>
      </c>
      <c r="F157" s="406"/>
      <c r="G157" s="406" t="s">
        <v>3072</v>
      </c>
      <c r="H157" s="578" t="s">
        <v>3208</v>
      </c>
      <c r="I157" s="85">
        <v>30</v>
      </c>
      <c r="J157" s="682">
        <v>1</v>
      </c>
      <c r="K157" s="579">
        <f t="shared" si="338"/>
        <v>3.3</v>
      </c>
      <c r="L157" s="580">
        <f>IF(H157="Select ingredient:","",IF(G157="","",_xlfn.IFNA(VLOOKUP($H157,Ingredient_prices!$E:$U,16,FALSE),0)))</f>
        <v>183.33333333333334</v>
      </c>
      <c r="M157" s="840"/>
      <c r="N157" s="840"/>
      <c r="O157" s="581"/>
      <c r="P157" s="582"/>
      <c r="Q157" s="583">
        <f t="shared" si="339"/>
        <v>30</v>
      </c>
      <c r="R157" s="583">
        <f>VLOOKUP($H157,'CO2_emission+%_food_waste'!$A:$K,6,FALSE)*$Q157/100</f>
        <v>3.18</v>
      </c>
      <c r="S157" s="583">
        <f t="shared" si="340"/>
        <v>26.82</v>
      </c>
      <c r="T157" s="583">
        <f>IF(H157="Select ingredient:","",IF(G157="Select food category:","",_xlfn.IFNA(VLOOKUP($H157,Ingredient_prices!$E:$U,16,FALSE)*$Q157/1000,"not bought")))</f>
        <v>5.5</v>
      </c>
      <c r="U157" s="583">
        <f>IF(G157="Select food category:","",_xlfn.IFNA(VLOOKUP($H157,Ingredient_prices!$E:$U,16,FALSE)*$R157/1000,"not bought"))</f>
        <v>0.58300000000000007</v>
      </c>
      <c r="V157" s="549">
        <f>VLOOKUP($H157,'CO2_emission+%_food_waste'!$A:$K,4,FALSE)*$Q157</f>
        <v>91.2</v>
      </c>
      <c r="W157" s="583">
        <f>VLOOKUP($H157,Nutrition_tables!$A:$N,10,FALSE)*$Q157/100</f>
        <v>42.599999999999994</v>
      </c>
      <c r="X157" s="583">
        <f>VLOOKUP($H157,Nutrition_tables!$A:$N,11,FALSE)*$Q157/100</f>
        <v>0.24005602240896354</v>
      </c>
      <c r="Y157" s="583">
        <f>VLOOKUP($H157,Nutrition_tables!$A:$N,12,FALSE)*$Q157/100</f>
        <v>3.7801120448179266</v>
      </c>
      <c r="Z157" s="583">
        <f>VLOOKUP($H157,Nutrition_tables!$A:$N,14,FALSE)*$Q157/100</f>
        <v>2.970028011204481</v>
      </c>
      <c r="AA157" s="583">
        <f>VLOOKUP($H157,Nutrition_tables!$A:$AF,13,FALSE)*$Q157/100</f>
        <v>0</v>
      </c>
      <c r="AB157" s="549">
        <f>VLOOKUP($H157,Nutrition_tables!$A:$AF,15,FALSE)*$Q157/100</f>
        <v>0.78011204481792717</v>
      </c>
      <c r="AC157" s="583">
        <f>VLOOKUP($H157,Nutrition_tables!$A:$AF,16,FALSE)*$Q157/100</f>
        <v>42</v>
      </c>
      <c r="AD157" s="583">
        <f>VLOOKUP($H157,Nutrition_tables!$A:$AF,17,FALSE)*$Q157/100</f>
        <v>38.999999999999993</v>
      </c>
      <c r="AE157" s="583">
        <f>VLOOKUP($H157,Nutrition_tables!$A:$AF,18,FALSE)*$Q157/100</f>
        <v>11.999999999999998</v>
      </c>
      <c r="AF157" s="583">
        <f>VLOOKUP($H157,Nutrition_tables!$A:$AF,19,FALSE)*$Q157/100</f>
        <v>3.9</v>
      </c>
      <c r="AG157" s="583">
        <f>VLOOKUP($H157,Nutrition_tables!$A:$AF,20,FALSE)*$Q157/100</f>
        <v>62.999999999999993</v>
      </c>
      <c r="AH157" s="583">
        <f>VLOOKUP($H157,Nutrition_tables!$A:$AF,21,FALSE)*$Q157/100</f>
        <v>0.6</v>
      </c>
      <c r="AI157" s="583">
        <f>VLOOKUP($H157,Nutrition_tables!$A:$AF,22,FALSE)*$Q157/100</f>
        <v>0.41988795518207284</v>
      </c>
      <c r="AJ157" s="549">
        <f>VLOOKUP($H157,Nutrition_tables!$A:$AF,23,FALSE)*$Q157/100</f>
        <v>2.100840336134454E-2</v>
      </c>
      <c r="AK157" s="583">
        <f>VLOOKUP($H157,Nutrition_tables!$A:$AF,24,FALSE)*$Q157/100</f>
        <v>58.199999999999989</v>
      </c>
      <c r="AL157" s="583">
        <f>VLOOKUP($H157,Nutrition_tables!$A:$AF,25,FALSE)*$Q157/100</f>
        <v>2.100840336134454E-2</v>
      </c>
      <c r="AM157" s="583">
        <f>VLOOKUP($H157,Nutrition_tables!$A:$AF,26,FALSE)*$Q157/100</f>
        <v>0.13501400560224089</v>
      </c>
      <c r="AN157" s="583">
        <f>VLOOKUP($H157,Nutrition_tables!$A:$AF,27,FALSE)*$Q157/100</f>
        <v>1.5126050420168067E-2</v>
      </c>
      <c r="AO157" s="583">
        <f>VLOOKUP($H157,Nutrition_tables!$A:$AF,28,FALSE)*$Q157/100</f>
        <v>3.6134453781512602E-2</v>
      </c>
      <c r="AP157" s="583">
        <f>VLOOKUP($H157,Nutrition_tables!$A:$AF,29,FALSE)*$Q157/100</f>
        <v>6.2999999999999989</v>
      </c>
      <c r="AQ157" s="583">
        <f>VLOOKUP($H157,Nutrition_tables!$A:$AF,30,FALSE)*$Q157/100</f>
        <v>0.6</v>
      </c>
      <c r="AR157" s="583">
        <f>VLOOKUP($H157,Nutrition_tables!$A:$AF,31,FALSE)*$Q157/100</f>
        <v>0</v>
      </c>
      <c r="AS157" s="549">
        <f>VLOOKUP($H157,Nutrition_tables!$A:$AF,32,FALSE)*$Q157/100</f>
        <v>0.52492997198879554</v>
      </c>
      <c r="AT157" s="583">
        <f>IF(H157="Select ingredient:","",IF(G157="Select food category:","",IFERROR(VLOOKUP($H157,Ingredient_prices!$E:$W,17,FALSE)*$Q157/1000,"not bought")))</f>
        <v>5.5</v>
      </c>
      <c r="AU157" s="583">
        <f>IF(H157="Select ingredient:","",IF(G157="Select food category:","",IFERROR(VLOOKUP($H157,Ingredient_prices!$E:$W,18,FALSE)*$Q157/1000,"not bought")))</f>
        <v>5.5</v>
      </c>
      <c r="AV157" s="583">
        <f t="shared" si="341"/>
        <v>38.084387305204231</v>
      </c>
      <c r="AW157" s="583">
        <f t="shared" si="342"/>
        <v>0.21461001249694256</v>
      </c>
      <c r="AX157" s="583">
        <f t="shared" si="343"/>
        <v>3.3794190415942125</v>
      </c>
      <c r="AY157" s="583">
        <f t="shared" si="344"/>
        <v>2.6552041569487539</v>
      </c>
      <c r="AZ157" s="583">
        <f t="shared" si="345"/>
        <v>0</v>
      </c>
      <c r="BA157" s="583">
        <f t="shared" si="346"/>
        <v>0.69741993559391513</v>
      </c>
      <c r="BB157" s="583">
        <f t="shared" si="347"/>
        <v>37.547987484004175</v>
      </c>
      <c r="BC157" s="583">
        <f t="shared" si="348"/>
        <v>34.86598837800387</v>
      </c>
      <c r="BD157" s="583">
        <f t="shared" si="349"/>
        <v>10.727996424001191</v>
      </c>
      <c r="BE157" s="583">
        <f t="shared" si="350"/>
        <v>3.4865988378003876</v>
      </c>
      <c r="BF157" s="583">
        <f t="shared" si="351"/>
        <v>56.321981226006251</v>
      </c>
      <c r="BG157" s="583">
        <f t="shared" si="352"/>
        <v>0.53639982120005958</v>
      </c>
      <c r="BH157" s="583">
        <f t="shared" si="353"/>
        <v>0.37537970680620419</v>
      </c>
      <c r="BI157" s="583">
        <f t="shared" si="354"/>
        <v>1.8781506344539903E-2</v>
      </c>
      <c r="BJ157" s="583">
        <f t="shared" si="355"/>
        <v>52.030782656405776</v>
      </c>
      <c r="BK157" s="583">
        <f t="shared" si="356"/>
        <v>1.8781506344539903E-2</v>
      </c>
      <c r="BL157" s="583">
        <f t="shared" si="357"/>
        <v>0.1207024807742431</v>
      </c>
      <c r="BM157" s="583">
        <f t="shared" si="358"/>
        <v>1.3522684568068731E-2</v>
      </c>
      <c r="BN157" s="583">
        <f t="shared" si="359"/>
        <v>3.2304190912608631E-2</v>
      </c>
      <c r="BO157" s="583">
        <f t="shared" si="360"/>
        <v>5.6321981226006255</v>
      </c>
      <c r="BP157" s="583">
        <f t="shared" si="361"/>
        <v>0.53639982120005958</v>
      </c>
      <c r="BQ157" s="583">
        <f t="shared" si="362"/>
        <v>0</v>
      </c>
      <c r="BR157" s="583">
        <f t="shared" si="363"/>
        <v>0.46928723852890369</v>
      </c>
    </row>
    <row r="158" spans="1:70" s="229" customFormat="1" ht="15" customHeight="1">
      <c r="A158" s="574"/>
      <c r="E158" s="585">
        <f t="shared" ref="E158:E180" si="364">IF(E$156&gt;0,E$156,"")</f>
        <v>100</v>
      </c>
      <c r="F158" s="406"/>
      <c r="G158" s="406" t="s">
        <v>3075</v>
      </c>
      <c r="H158" s="578" t="s">
        <v>3239</v>
      </c>
      <c r="I158" s="85">
        <v>7</v>
      </c>
      <c r="J158" s="682">
        <v>1</v>
      </c>
      <c r="K158" s="579">
        <f t="shared" si="338"/>
        <v>0.77000000000000013</v>
      </c>
      <c r="L158" s="580">
        <f>IF(H158="Select ingredient:","",IF(G158="","",_xlfn.IFNA(VLOOKUP($H158,Ingredient_prices!$E:$U,16,FALSE),0)))</f>
        <v>121</v>
      </c>
      <c r="M158" s="840"/>
      <c r="N158" s="840"/>
      <c r="O158" s="581"/>
      <c r="P158" s="582"/>
      <c r="Q158" s="583">
        <f t="shared" si="339"/>
        <v>7</v>
      </c>
      <c r="R158" s="583">
        <f>VLOOKUP($H158,'CO2_emission+%_food_waste'!$A:$K,6,FALSE)*$Q158/100</f>
        <v>1.946</v>
      </c>
      <c r="S158" s="583">
        <f t="shared" si="340"/>
        <v>5.0540000000000003</v>
      </c>
      <c r="T158" s="583">
        <f>IF(H158="Select ingredient:","",IF(G158="Select food category:","",_xlfn.IFNA(VLOOKUP($H158,Ingredient_prices!$E:$U,16,FALSE)*$Q158/1000,"not bought")))</f>
        <v>0.84699999999999998</v>
      </c>
      <c r="U158" s="583">
        <f>IF(G158="Select food category:","",_xlfn.IFNA(VLOOKUP($H158,Ingredient_prices!$E:$U,16,FALSE)*$R158/1000,"not bought"))</f>
        <v>0.23546600000000001</v>
      </c>
      <c r="V158" s="549">
        <f>VLOOKUP($H158,'CO2_emission+%_food_waste'!$A:$K,4,FALSE)*$Q158</f>
        <v>33.11</v>
      </c>
      <c r="W158" s="583">
        <f>VLOOKUP($H158,Nutrition_tables!$A:$N,10,FALSE)*$Q158/100</f>
        <v>61.902470000000015</v>
      </c>
      <c r="X158" s="583">
        <f>VLOOKUP($H158,Nutrition_tables!$A:$N,11,FALSE)*$Q158/100</f>
        <v>7.000000000000001E-3</v>
      </c>
      <c r="Y158" s="583">
        <f>VLOOKUP($H158,Nutrition_tables!$A:$N,12,FALSE)*$Q158/100</f>
        <v>7.000000000000001E-3</v>
      </c>
      <c r="Z158" s="583">
        <f>VLOOKUP($H158,Nutrition_tables!$A:$N,14,FALSE)*$Q158/100</f>
        <v>6.964999999999999</v>
      </c>
      <c r="AA158" s="583">
        <f>VLOOKUP($H158,Nutrition_tables!$A:$AF,13,FALSE)*$Q158/100</f>
        <v>0</v>
      </c>
      <c r="AB158" s="549">
        <f>VLOOKUP($H158,Nutrition_tables!$A:$AF,15,FALSE)*$Q158/100</f>
        <v>0.47530000000000006</v>
      </c>
      <c r="AC158" s="583">
        <f>VLOOKUP($H158,Nutrition_tables!$A:$AF,16,FALSE)*$Q158/100</f>
        <v>7.000000000000001E-3</v>
      </c>
      <c r="AD158" s="583">
        <f>VLOOKUP($H158,Nutrition_tables!$A:$AF,17,FALSE)*$Q158/100</f>
        <v>0</v>
      </c>
      <c r="AE158" s="583">
        <f>VLOOKUP($H158,Nutrition_tables!$A:$AF,18,FALSE)*$Q158/100</f>
        <v>1.4000000000000002E-2</v>
      </c>
      <c r="AF158" s="583">
        <f>VLOOKUP($H158,Nutrition_tables!$A:$AF,19,FALSE)*$Q158/100</f>
        <v>7.0000000000000007E-2</v>
      </c>
      <c r="AG158" s="583">
        <f>VLOOKUP($H158,Nutrition_tables!$A:$AF,20,FALSE)*$Q158/100</f>
        <v>0</v>
      </c>
      <c r="AH158" s="583">
        <f>VLOOKUP($H158,Nutrition_tables!$A:$AF,21,FALSE)*$Q158/100</f>
        <v>7.000000000000001E-3</v>
      </c>
      <c r="AI158" s="583">
        <f>VLOOKUP($H158,Nutrition_tables!$A:$AF,22,FALSE)*$Q158/100</f>
        <v>0</v>
      </c>
      <c r="AJ158" s="549">
        <f>VLOOKUP($H158,Nutrition_tables!$A:$AF,23,FALSE)*$Q158/100</f>
        <v>0</v>
      </c>
      <c r="AK158" s="583">
        <f>VLOOKUP($H158,Nutrition_tables!$A:$AF,24,FALSE)*$Q158/100</f>
        <v>0</v>
      </c>
      <c r="AL158" s="583">
        <f>VLOOKUP($H158,Nutrition_tables!$A:$AF,25,FALSE)*$Q158/100</f>
        <v>0</v>
      </c>
      <c r="AM158" s="583">
        <f>VLOOKUP($H158,Nutrition_tables!$A:$AF,26,FALSE)*$Q158/100</f>
        <v>0</v>
      </c>
      <c r="AN158" s="583">
        <f>VLOOKUP($H158,Nutrition_tables!$A:$AF,27,FALSE)*$Q158/100</f>
        <v>0</v>
      </c>
      <c r="AO158" s="583">
        <f>VLOOKUP($H158,Nutrition_tables!$A:$AF,28,FALSE)*$Q158/100</f>
        <v>0</v>
      </c>
      <c r="AP158" s="583">
        <f>VLOOKUP($H158,Nutrition_tables!$A:$AF,29,FALSE)*$Q158/100</f>
        <v>0</v>
      </c>
      <c r="AQ158" s="583">
        <f>VLOOKUP($H158,Nutrition_tables!$A:$AF,30,FALSE)*$Q158/100</f>
        <v>0</v>
      </c>
      <c r="AR158" s="583">
        <f>VLOOKUP($H158,Nutrition_tables!$A:$AF,31,FALSE)*$Q158/100</f>
        <v>0</v>
      </c>
      <c r="AS158" s="549">
        <f>VLOOKUP($H158,Nutrition_tables!$A:$AF,32,FALSE)*$Q158/100</f>
        <v>0</v>
      </c>
      <c r="AT158" s="583">
        <f>IF(H158="Select ingredient:","",IF(G158="Select food category:","",IFERROR(VLOOKUP($H158,Ingredient_prices!$E:$W,17,FALSE)*$Q158/1000,"not bought")))</f>
        <v>0.84699999999999998</v>
      </c>
      <c r="AU158" s="583">
        <f>IF(H158="Select ingredient:","",IF(G158="Select food category:","",IFERROR(VLOOKUP($H158,Ingredient_prices!$E:$W,18,FALSE)*$Q158/1000,"not bought")))</f>
        <v>0.84699999999999998</v>
      </c>
      <c r="AV158" s="583">
        <f t="shared" si="341"/>
        <v>44.69351949211503</v>
      </c>
      <c r="AW158" s="583">
        <f t="shared" si="342"/>
        <v>5.0539927800103152E-3</v>
      </c>
      <c r="AX158" s="583">
        <f t="shared" si="343"/>
        <v>5.0539927800103152E-3</v>
      </c>
      <c r="AY158" s="583">
        <f t="shared" si="344"/>
        <v>5.0287228161102631</v>
      </c>
      <c r="AZ158" s="583">
        <f t="shared" si="345"/>
        <v>0</v>
      </c>
      <c r="BA158" s="583">
        <f t="shared" si="346"/>
        <v>0.3431661097627004</v>
      </c>
      <c r="BB158" s="583">
        <f t="shared" si="347"/>
        <v>5.0539927800103152E-3</v>
      </c>
      <c r="BC158" s="583">
        <f t="shared" si="348"/>
        <v>0</v>
      </c>
      <c r="BD158" s="583">
        <f t="shared" si="349"/>
        <v>1.010798556002063E-2</v>
      </c>
      <c r="BE158" s="583">
        <f t="shared" si="350"/>
        <v>5.0539927800103149E-2</v>
      </c>
      <c r="BF158" s="583">
        <f t="shared" si="351"/>
        <v>0</v>
      </c>
      <c r="BG158" s="583">
        <f t="shared" si="352"/>
        <v>5.0539927800103152E-3</v>
      </c>
      <c r="BH158" s="583">
        <f t="shared" si="353"/>
        <v>0</v>
      </c>
      <c r="BI158" s="583">
        <f t="shared" si="354"/>
        <v>0</v>
      </c>
      <c r="BJ158" s="583">
        <f t="shared" si="355"/>
        <v>0</v>
      </c>
      <c r="BK158" s="583">
        <f t="shared" si="356"/>
        <v>0</v>
      </c>
      <c r="BL158" s="583">
        <f t="shared" si="357"/>
        <v>0</v>
      </c>
      <c r="BM158" s="583">
        <f t="shared" si="358"/>
        <v>0</v>
      </c>
      <c r="BN158" s="583">
        <f t="shared" si="359"/>
        <v>0</v>
      </c>
      <c r="BO158" s="583">
        <f t="shared" si="360"/>
        <v>0</v>
      </c>
      <c r="BP158" s="583">
        <f t="shared" si="361"/>
        <v>0</v>
      </c>
      <c r="BQ158" s="583">
        <f t="shared" si="362"/>
        <v>0</v>
      </c>
      <c r="BR158" s="583">
        <f t="shared" si="363"/>
        <v>0</v>
      </c>
    </row>
    <row r="159" spans="1:70" s="229" customFormat="1" ht="15" customHeight="1">
      <c r="A159" s="574"/>
      <c r="E159" s="585">
        <f t="shared" si="364"/>
        <v>100</v>
      </c>
      <c r="F159" s="406"/>
      <c r="G159" s="406" t="s">
        <v>3141</v>
      </c>
      <c r="H159" s="578" t="s">
        <v>3245</v>
      </c>
      <c r="I159" s="85">
        <v>15</v>
      </c>
      <c r="J159" s="682">
        <v>1</v>
      </c>
      <c r="K159" s="579">
        <f t="shared" si="338"/>
        <v>1.65</v>
      </c>
      <c r="L159" s="580">
        <f>IF(H159="Select ingredient:","",IF(G159="","",_xlfn.IFNA(VLOOKUP($H159,Ingredient_prices!$E:$U,16,FALSE),0)))</f>
        <v>43.12</v>
      </c>
      <c r="M159" s="840"/>
      <c r="N159" s="840"/>
      <c r="O159" s="581"/>
      <c r="P159" s="582"/>
      <c r="Q159" s="583">
        <f t="shared" si="339"/>
        <v>15</v>
      </c>
      <c r="R159" s="583">
        <f>VLOOKUP($H159,'CO2_emission+%_food_waste'!$A:$K,6,FALSE)*$Q159/100</f>
        <v>3.2549999999999999</v>
      </c>
      <c r="S159" s="583">
        <f t="shared" si="340"/>
        <v>11.745000000000001</v>
      </c>
      <c r="T159" s="583">
        <f>IF(H159="Select ingredient:","",IF(G159="Select food category:","",_xlfn.IFNA(VLOOKUP($H159,Ingredient_prices!$E:$U,16,FALSE)*$Q159/1000,"not bought")))</f>
        <v>0.64679999999999993</v>
      </c>
      <c r="U159" s="583">
        <f>IF(G159="Select food category:","",_xlfn.IFNA(VLOOKUP($H159,Ingredient_prices!$E:$U,16,FALSE)*$R159/1000,"not bought"))</f>
        <v>0.14035559999999997</v>
      </c>
      <c r="V159" s="549">
        <f>VLOOKUP($H159,'CO2_emission+%_food_waste'!$A:$K,4,FALSE)*$Q159</f>
        <v>24.3</v>
      </c>
      <c r="W159" s="583">
        <f>VLOOKUP($H159,Nutrition_tables!$A:$N,10,FALSE)*$Q159/100</f>
        <v>53.384965034965028</v>
      </c>
      <c r="X159" s="583">
        <f>VLOOKUP($H159,Nutrition_tables!$A:$N,11,FALSE)*$Q159/100</f>
        <v>11.684965034965035</v>
      </c>
      <c r="Y159" s="583">
        <f>VLOOKUP($H159,Nutrition_tables!$A:$N,12,FALSE)*$Q159/100</f>
        <v>1.425</v>
      </c>
      <c r="Z159" s="583">
        <f>VLOOKUP($H159,Nutrition_tables!$A:$N,14,FALSE)*$Q159/100</f>
        <v>0.16503496503496501</v>
      </c>
      <c r="AA159" s="583">
        <f>VLOOKUP($H159,Nutrition_tables!$A:$AF,13,FALSE)*$Q159/100</f>
        <v>0.3751748251748252</v>
      </c>
      <c r="AB159" s="549">
        <f>VLOOKUP($H159,Nutrition_tables!$A:$AF,15,FALSE)*$Q159/100</f>
        <v>2.4125874125874126E-2</v>
      </c>
      <c r="AC159" s="583">
        <f>VLOOKUP($H159,Nutrition_tables!$A:$AF,16,FALSE)*$Q159/100</f>
        <v>0.43496503496503491</v>
      </c>
      <c r="AD159" s="583">
        <f>VLOOKUP($H159,Nutrition_tables!$A:$AF,17,FALSE)*$Q159/100</f>
        <v>23.7</v>
      </c>
      <c r="AE159" s="583">
        <f>VLOOKUP($H159,Nutrition_tables!$A:$AF,18,FALSE)*$Q159/100</f>
        <v>3.6</v>
      </c>
      <c r="AF159" s="583">
        <f>VLOOKUP($H159,Nutrition_tables!$A:$AF,19,FALSE)*$Q159/100</f>
        <v>3.7199300699300704</v>
      </c>
      <c r="AG159" s="583">
        <f>VLOOKUP($H159,Nutrition_tables!$A:$AF,20,FALSE)*$Q159/100</f>
        <v>15.899999999999999</v>
      </c>
      <c r="AH159" s="583">
        <f>VLOOKUP($H159,Nutrition_tables!$A:$AF,21,FALSE)*$Q159/100</f>
        <v>0.13356643356643355</v>
      </c>
      <c r="AI159" s="583">
        <f>VLOOKUP($H159,Nutrition_tables!$A:$AF,22,FALSE)*$Q159/100</f>
        <v>0.10489510489510488</v>
      </c>
      <c r="AJ159" s="549">
        <f>VLOOKUP($H159,Nutrition_tables!$A:$AF,23,FALSE)*$Q159/100</f>
        <v>7.5174825174825169E-2</v>
      </c>
      <c r="AK159" s="583">
        <f>VLOOKUP($H159,Nutrition_tables!$A:$AF,24,FALSE)*$Q159/100</f>
        <v>0</v>
      </c>
      <c r="AL159" s="583">
        <f>VLOOKUP($H159,Nutrition_tables!$A:$AF,25,FALSE)*$Q159/100</f>
        <v>2.2377622377622378E-2</v>
      </c>
      <c r="AM159" s="583">
        <f>VLOOKUP($H159,Nutrition_tables!$A:$AF,26,FALSE)*$Q159/100</f>
        <v>5.9440559440559438E-3</v>
      </c>
      <c r="AN159" s="583">
        <f>VLOOKUP($H159,Nutrition_tables!$A:$AF,27,FALSE)*$Q159/100</f>
        <v>0.19650349650349649</v>
      </c>
      <c r="AO159" s="583">
        <f>VLOOKUP($H159,Nutrition_tables!$A:$AF,28,FALSE)*$Q159/100</f>
        <v>1.0489510489510488E-2</v>
      </c>
      <c r="AP159" s="583">
        <f>VLOOKUP($H159,Nutrition_tables!$A:$AF,29,FALSE)*$Q159/100</f>
        <v>2.4601398601398601</v>
      </c>
      <c r="AQ159" s="583">
        <f>VLOOKUP($H159,Nutrition_tables!$A:$AF,30,FALSE)*$Q159/100</f>
        <v>1.3636363636363636E-2</v>
      </c>
      <c r="AR159" s="583">
        <f>VLOOKUP($H159,Nutrition_tables!$A:$AF,31,FALSE)*$Q159/100</f>
        <v>0</v>
      </c>
      <c r="AS159" s="549">
        <f>VLOOKUP($H159,Nutrition_tables!$A:$AF,32,FALSE)*$Q159/100</f>
        <v>0</v>
      </c>
      <c r="AT159" s="583">
        <f>IF(H159="Select ingredient:","",IF(G159="Select food category:","",IFERROR(VLOOKUP($H159,Ingredient_prices!$E:$W,17,FALSE)*$Q159/1000,"not bought")))</f>
        <v>0.64679999999999993</v>
      </c>
      <c r="AU159" s="583">
        <f>IF(H159="Select ingredient:","",IF(G159="Select food category:","",IFERROR(VLOOKUP($H159,Ingredient_prices!$E:$W,18,FALSE)*$Q159/1000,"not bought")))</f>
        <v>0.64679999999999993</v>
      </c>
      <c r="AV159" s="583">
        <f t="shared" si="341"/>
        <v>41.800399755444452</v>
      </c>
      <c r="AW159" s="583">
        <f t="shared" si="342"/>
        <v>9.1493215228299416</v>
      </c>
      <c r="AX159" s="583">
        <f t="shared" si="343"/>
        <v>1.1157742561504962</v>
      </c>
      <c r="AY159" s="583">
        <f t="shared" si="344"/>
        <v>0.12922229147418329</v>
      </c>
      <c r="AZ159" s="583">
        <f t="shared" si="345"/>
        <v>0.29376169227075999</v>
      </c>
      <c r="BA159" s="583">
        <f t="shared" si="346"/>
        <v>1.8890546846861544E-2</v>
      </c>
      <c r="BB159" s="583">
        <f t="shared" si="347"/>
        <v>0.34057739532602549</v>
      </c>
      <c r="BC159" s="583">
        <f t="shared" si="348"/>
        <v>18.557087628608251</v>
      </c>
      <c r="BD159" s="583">
        <f t="shared" si="349"/>
        <v>2.8187981208012531</v>
      </c>
      <c r="BE159" s="583">
        <f t="shared" si="350"/>
        <v>2.9127033029530436</v>
      </c>
      <c r="BF159" s="583">
        <f t="shared" si="351"/>
        <v>12.449691700205532</v>
      </c>
      <c r="BG159" s="583">
        <f t="shared" si="352"/>
        <v>0.10458244776088564</v>
      </c>
      <c r="BH159" s="583">
        <f t="shared" si="353"/>
        <v>8.2132812377658876E-2</v>
      </c>
      <c r="BI159" s="583">
        <f t="shared" si="354"/>
        <v>5.8861848870655535E-2</v>
      </c>
      <c r="BJ159" s="583">
        <f t="shared" si="355"/>
        <v>0</v>
      </c>
      <c r="BK159" s="583">
        <f t="shared" si="356"/>
        <v>1.7521666640567233E-2</v>
      </c>
      <c r="BL159" s="583">
        <f t="shared" si="357"/>
        <v>4.6541927014006699E-3</v>
      </c>
      <c r="BM159" s="583">
        <f t="shared" si="358"/>
        <v>0.15386213518748099</v>
      </c>
      <c r="BN159" s="583">
        <f t="shared" si="359"/>
        <v>8.2132812377658879E-3</v>
      </c>
      <c r="BO159" s="583">
        <f t="shared" si="360"/>
        <v>1.9262882262973597</v>
      </c>
      <c r="BP159" s="583">
        <f t="shared" si="361"/>
        <v>1.0677265609095656E-2</v>
      </c>
      <c r="BQ159" s="583">
        <f t="shared" si="362"/>
        <v>0</v>
      </c>
      <c r="BR159" s="583">
        <f t="shared" si="363"/>
        <v>0</v>
      </c>
    </row>
    <row r="160" spans="1:70" s="229" customFormat="1" ht="15" customHeight="1">
      <c r="A160" s="574"/>
      <c r="E160" s="585">
        <f t="shared" si="364"/>
        <v>100</v>
      </c>
      <c r="F160" s="85"/>
      <c r="G160" s="406" t="s">
        <v>3140</v>
      </c>
      <c r="H160" s="578" t="s">
        <v>3115</v>
      </c>
      <c r="I160" s="85">
        <v>20</v>
      </c>
      <c r="J160" s="682">
        <v>1</v>
      </c>
      <c r="K160" s="579">
        <f t="shared" si="338"/>
        <v>2.2000000000000002</v>
      </c>
      <c r="L160" s="580">
        <f>IF(H160="Select ingredient:","",IF(G160="","",_xlfn.IFNA(VLOOKUP($H160,Ingredient_prices!$E:$U,16,FALSE),0)))</f>
        <v>110</v>
      </c>
      <c r="M160" s="840"/>
      <c r="N160" s="840"/>
      <c r="O160" s="581"/>
      <c r="P160" s="582"/>
      <c r="Q160" s="583">
        <f t="shared" si="339"/>
        <v>20</v>
      </c>
      <c r="R160" s="583">
        <f>VLOOKUP($H160,'CO2_emission+%_food_waste'!$A:$K,6,FALSE)*$Q160/100</f>
        <v>6.0060000000000002</v>
      </c>
      <c r="S160" s="583">
        <f t="shared" si="340"/>
        <v>13.994</v>
      </c>
      <c r="T160" s="583">
        <f>IF(H160="Select ingredient:","",IF(G160="Select food category:","",_xlfn.IFNA(VLOOKUP($H160,Ingredient_prices!$E:$U,16,FALSE)*$Q160/1000,"not bought")))</f>
        <v>2.2000000000000002</v>
      </c>
      <c r="U160" s="583">
        <f>IF(G160="Select food category:","",_xlfn.IFNA(VLOOKUP($H160,Ingredient_prices!$E:$U,16,FALSE)*$R160/1000,"not bought"))</f>
        <v>0.66066000000000014</v>
      </c>
      <c r="V160" s="549">
        <f>VLOOKUP($H160,'CO2_emission+%_food_waste'!$A:$K,4,FALSE)*$Q160</f>
        <v>9.2000000000000011</v>
      </c>
      <c r="W160" s="583">
        <f>VLOOKUP($H160,Nutrition_tables!$A:$N,10,FALSE)*$Q160/100</f>
        <v>6.36</v>
      </c>
      <c r="X160" s="583">
        <f>VLOOKUP($H160,Nutrition_tables!$A:$N,11,FALSE)*$Q160/100</f>
        <v>1.32</v>
      </c>
      <c r="Y160" s="583">
        <f>VLOOKUP($H160,Nutrition_tables!$A:$N,12,FALSE)*$Q160/100</f>
        <v>0.16800000000000001</v>
      </c>
      <c r="Z160" s="583">
        <f>VLOOKUP($H160,Nutrition_tables!$A:$N,14,FALSE)*$Q160/100</f>
        <v>5.4000000000000006E-2</v>
      </c>
      <c r="AA160" s="583">
        <f>VLOOKUP($H160,Nutrition_tables!$A:$AF,13,FALSE)*$Q160/100</f>
        <v>0.434</v>
      </c>
      <c r="AB160" s="549">
        <f>VLOOKUP($H160,Nutrition_tables!$A:$AF,15,FALSE)*$Q160/100</f>
        <v>8.0000000000000002E-3</v>
      </c>
      <c r="AC160" s="583">
        <f>VLOOKUP($H160,Nutrition_tables!$A:$AF,16,FALSE)*$Q160/100</f>
        <v>7.52</v>
      </c>
      <c r="AD160" s="583">
        <f>VLOOKUP($H160,Nutrition_tables!$A:$AF,17,FALSE)*$Q160/100</f>
        <v>63</v>
      </c>
      <c r="AE160" s="583">
        <f>VLOOKUP($H160,Nutrition_tables!$A:$AF,18,FALSE)*$Q160/100</f>
        <v>6.38</v>
      </c>
      <c r="AF160" s="583">
        <f>VLOOKUP($H160,Nutrition_tables!$A:$AF,19,FALSE)*$Q160/100</f>
        <v>2.36</v>
      </c>
      <c r="AG160" s="583">
        <f>VLOOKUP($H160,Nutrition_tables!$A:$AF,20,FALSE)*$Q160/100</f>
        <v>3.28</v>
      </c>
      <c r="AH160" s="583">
        <f>VLOOKUP($H160,Nutrition_tables!$A:$AF,21,FALSE)*$Q160/100</f>
        <v>4.2000000000000003E-2</v>
      </c>
      <c r="AI160" s="583">
        <f>VLOOKUP($H160,Nutrition_tables!$A:$AF,22,FALSE)*$Q160/100</f>
        <v>4.3999999999999997E-2</v>
      </c>
      <c r="AJ160" s="549">
        <f>VLOOKUP($H160,Nutrition_tables!$A:$AF,23,FALSE)*$Q160/100</f>
        <v>8.9999999999999998E-4</v>
      </c>
      <c r="AK160" s="583">
        <f>VLOOKUP($H160,Nutrition_tables!$A:$AF,24,FALSE)*$Q160/100</f>
        <v>170.4</v>
      </c>
      <c r="AL160" s="583">
        <f>VLOOKUP($H160,Nutrition_tables!$A:$AF,25,FALSE)*$Q160/100</f>
        <v>0.01</v>
      </c>
      <c r="AM160" s="583">
        <f>VLOOKUP($H160,Nutrition_tables!$A:$AF,26,FALSE)*$Q160/100</f>
        <v>8.0000000000000002E-3</v>
      </c>
      <c r="AN160" s="583">
        <f>VLOOKUP($H160,Nutrition_tables!$A:$AF,27,FALSE)*$Q160/100</f>
        <v>0.19600000000000001</v>
      </c>
      <c r="AO160" s="583">
        <f>VLOOKUP($H160,Nutrition_tables!$A:$AF,28,FALSE)*$Q160/100</f>
        <v>2.4E-2</v>
      </c>
      <c r="AP160" s="583">
        <f>VLOOKUP($H160,Nutrition_tables!$A:$AF,29,FALSE)*$Q160/100</f>
        <v>9.2799999999999976</v>
      </c>
      <c r="AQ160" s="583">
        <f>VLOOKUP($H160,Nutrition_tables!$A:$AF,30,FALSE)*$Q160/100</f>
        <v>0</v>
      </c>
      <c r="AR160" s="583">
        <f>VLOOKUP($H160,Nutrition_tables!$A:$AF,31,FALSE)*$Q160/100</f>
        <v>1.0880000000000001</v>
      </c>
      <c r="AS160" s="549">
        <f>VLOOKUP($H160,Nutrition_tables!$A:$AF,32,FALSE)*$Q160/100</f>
        <v>0</v>
      </c>
      <c r="AT160" s="583">
        <f>IF(H160="Select ingredient:","",IF(G160="Select food category:","",IFERROR(VLOOKUP($H160,Ingredient_prices!$E:$W,17,FALSE)*$Q160/1000,"not bought")))</f>
        <v>0.77</v>
      </c>
      <c r="AU160" s="583">
        <f>IF(H160="Select ingredient:","",IF(G160="Select food category:","",IFERROR(VLOOKUP($H160,Ingredient_prices!$E:$W,18,FALSE)*$Q160/1000,"not bought")))</f>
        <v>2.2000000000000002</v>
      </c>
      <c r="AV160" s="583">
        <f t="shared" si="341"/>
        <v>4.4500897749551127</v>
      </c>
      <c r="AW160" s="583">
        <f t="shared" si="342"/>
        <v>0.92360353819823104</v>
      </c>
      <c r="AX160" s="583">
        <f t="shared" si="343"/>
        <v>0.1175495412252294</v>
      </c>
      <c r="AY160" s="583">
        <f t="shared" si="344"/>
        <v>3.7783781108109454E-2</v>
      </c>
      <c r="AZ160" s="583">
        <f t="shared" si="345"/>
        <v>0.30366964816517589</v>
      </c>
      <c r="BA160" s="583">
        <f t="shared" si="346"/>
        <v>5.5975972012013995E-3</v>
      </c>
      <c r="BB160" s="583">
        <f t="shared" si="347"/>
        <v>5.2617413691293153</v>
      </c>
      <c r="BC160" s="583">
        <f t="shared" si="348"/>
        <v>44.08107795946102</v>
      </c>
      <c r="BD160" s="583">
        <f t="shared" si="349"/>
        <v>4.4640837679581153</v>
      </c>
      <c r="BE160" s="583">
        <f t="shared" si="350"/>
        <v>1.6512911743544125</v>
      </c>
      <c r="BF160" s="583">
        <f t="shared" si="351"/>
        <v>2.2950148524925735</v>
      </c>
      <c r="BG160" s="583">
        <f t="shared" si="352"/>
        <v>2.938738530630735E-2</v>
      </c>
      <c r="BH160" s="583">
        <f t="shared" si="353"/>
        <v>3.0786784606607696E-2</v>
      </c>
      <c r="BI160" s="583">
        <f t="shared" si="354"/>
        <v>6.2972968513515736E-4</v>
      </c>
      <c r="BJ160" s="583">
        <f t="shared" si="355"/>
        <v>119.22882038558981</v>
      </c>
      <c r="BK160" s="583">
        <f t="shared" si="356"/>
        <v>6.99699650150175E-3</v>
      </c>
      <c r="BL160" s="583">
        <f t="shared" si="357"/>
        <v>5.5975972012013995E-3</v>
      </c>
      <c r="BM160" s="583">
        <f t="shared" si="358"/>
        <v>0.13714113142943429</v>
      </c>
      <c r="BN160" s="583">
        <f t="shared" si="359"/>
        <v>1.6792791603604199E-2</v>
      </c>
      <c r="BO160" s="583">
        <f t="shared" si="360"/>
        <v>6.4932127533936219</v>
      </c>
      <c r="BP160" s="583">
        <f t="shared" si="361"/>
        <v>0</v>
      </c>
      <c r="BQ160" s="583">
        <f t="shared" si="362"/>
        <v>0.76127321936339043</v>
      </c>
      <c r="BR160" s="583">
        <f t="shared" si="363"/>
        <v>0</v>
      </c>
    </row>
    <row r="161" spans="1:70" s="229" customFormat="1" ht="15" customHeight="1">
      <c r="A161" s="574"/>
      <c r="E161" s="585">
        <f t="shared" si="364"/>
        <v>100</v>
      </c>
      <c r="F161" s="85"/>
      <c r="G161" s="406" t="s">
        <v>3141</v>
      </c>
      <c r="H161" s="578" t="s">
        <v>3503</v>
      </c>
      <c r="I161" s="85">
        <v>10</v>
      </c>
      <c r="J161" s="682">
        <v>1</v>
      </c>
      <c r="K161" s="579">
        <f t="shared" si="338"/>
        <v>1.1000000000000001</v>
      </c>
      <c r="L161" s="580">
        <f>IF(H161="Select ingredient:","",IF(G161="","",_xlfn.IFNA(VLOOKUP($H161,Ingredient_prices!$E:$U,16,FALSE),0)))</f>
        <v>468</v>
      </c>
      <c r="M161" s="840"/>
      <c r="N161" s="840"/>
      <c r="O161" s="581"/>
      <c r="P161" s="582"/>
      <c r="Q161" s="583">
        <f t="shared" si="339"/>
        <v>10</v>
      </c>
      <c r="R161" s="583">
        <f>VLOOKUP($H161,'CO2_emission+%_food_waste'!$A:$K,6,FALSE)*$Q161/100</f>
        <v>1.88</v>
      </c>
      <c r="S161" s="583">
        <f t="shared" si="340"/>
        <v>8.120000000000001</v>
      </c>
      <c r="T161" s="583">
        <f>IF(H161="Select ingredient:","",IF(G161="Select food category:","",_xlfn.IFNA(VLOOKUP($H161,Ingredient_prices!$E:$U,16,FALSE)*$Q161/1000,"not bought")))</f>
        <v>4.68</v>
      </c>
      <c r="U161" s="583">
        <f>IF(G161="Select food category:","",_xlfn.IFNA(VLOOKUP($H161,Ingredient_prices!$E:$U,16,FALSE)*$R161/1000,"not bought"))</f>
        <v>0.87983999999999996</v>
      </c>
      <c r="V161" s="549">
        <f>VLOOKUP($H161,'CO2_emission+%_food_waste'!$A:$K,4,FALSE)*$Q161</f>
        <v>32</v>
      </c>
      <c r="W161" s="583">
        <f>VLOOKUP($H161,Nutrition_tables!$A:$N,10,FALSE)*$Q161/100</f>
        <v>36.200000000000003</v>
      </c>
      <c r="X161" s="583">
        <f>VLOOKUP($H161,Nutrition_tables!$A:$N,11,FALSE)*$Q161/100</f>
        <v>6.99106830122592</v>
      </c>
      <c r="Y161" s="583">
        <f>VLOOKUP($H161,Nutrition_tables!$A:$N,12,FALSE)*$Q161/100</f>
        <v>1.329772329246935</v>
      </c>
      <c r="Z161" s="583">
        <f>VLOOKUP($H161,Nutrition_tables!$A:$N,14,FALSE)*$Q161/100</f>
        <v>0.27793345008756565</v>
      </c>
      <c r="AA161" s="583">
        <f>VLOOKUP($H161,Nutrition_tables!$A:$AF,13,FALSE)*$Q161/100</f>
        <v>0.6</v>
      </c>
      <c r="AB161" s="549">
        <f>VLOOKUP($H161,Nutrition_tables!$A:$AF,15,FALSE)*$Q161/100</f>
        <v>4.6409807355516641E-2</v>
      </c>
      <c r="AC161" s="583">
        <f>VLOOKUP($H161,Nutrition_tables!$A:$AF,16,FALSE)*$Q161/100</f>
        <v>1.7</v>
      </c>
      <c r="AD161" s="583">
        <f>VLOOKUP($H161,Nutrition_tables!$A:$AF,17,FALSE)*$Q161/100</f>
        <v>21.9</v>
      </c>
      <c r="AE161" s="583">
        <f>VLOOKUP($H161,Nutrition_tables!$A:$AF,18,FALSE)*$Q161/100</f>
        <v>2.2999999999999998</v>
      </c>
      <c r="AF161" s="583">
        <f>VLOOKUP($H161,Nutrition_tables!$A:$AF,19,FALSE)*$Q161/100</f>
        <v>4.2</v>
      </c>
      <c r="AG161" s="583">
        <f>VLOOKUP($H161,Nutrition_tables!$A:$AF,20,FALSE)*$Q161/100</f>
        <v>15.3</v>
      </c>
      <c r="AH161" s="583">
        <f>VLOOKUP($H161,Nutrition_tables!$A:$AF,21,FALSE)*$Q161/100</f>
        <v>0.2970227670753065</v>
      </c>
      <c r="AI161" s="583">
        <f>VLOOKUP($H161,Nutrition_tables!$A:$AF,22,FALSE)*$Q161/100</f>
        <v>0.12084063047285465</v>
      </c>
      <c r="AJ161" s="549">
        <f>VLOOKUP($H161,Nutrition_tables!$A:$AF,23,FALSE)*$Q161/100</f>
        <v>1.9439579684763574E-2</v>
      </c>
      <c r="AK161" s="583">
        <f>VLOOKUP($H161,Nutrition_tables!$A:$AF,24,FALSE)*$Q161/100</f>
        <v>1.7</v>
      </c>
      <c r="AL161" s="583">
        <f>VLOOKUP($H161,Nutrition_tables!$A:$AF,25,FALSE)*$Q161/100</f>
        <v>1.6987740805604203E-2</v>
      </c>
      <c r="AM161" s="583">
        <f>VLOOKUP($H161,Nutrition_tables!$A:$AF,26,FALSE)*$Q161/100</f>
        <v>7.3555166374781088E-3</v>
      </c>
      <c r="AN161" s="583">
        <f>VLOOKUP($H161,Nutrition_tables!$A:$AF,27,FALSE)*$Q161/100</f>
        <v>3.5026269702276709E-4</v>
      </c>
      <c r="AO161" s="583">
        <f>VLOOKUP($H161,Nutrition_tables!$A:$AF,28,FALSE)*$Q161/100</f>
        <v>5.9544658493870398E-3</v>
      </c>
      <c r="AP161" s="583">
        <f>VLOOKUP($H161,Nutrition_tables!$A:$AF,29,FALSE)*$Q161/100</f>
        <v>2.2000000000000002</v>
      </c>
      <c r="AQ161" s="583">
        <f>VLOOKUP($H161,Nutrition_tables!$A:$AF,30,FALSE)*$Q161/100</f>
        <v>2.8999999999999998E-2</v>
      </c>
      <c r="AR161" s="583">
        <f>VLOOKUP($H161,Nutrition_tables!$A:$AF,31,FALSE)*$Q161/100</f>
        <v>0</v>
      </c>
      <c r="AS161" s="549">
        <f>VLOOKUP($H161,Nutrition_tables!$A:$AF,32,FALSE)*$Q161/100</f>
        <v>0.03</v>
      </c>
      <c r="AT161" s="583">
        <f>IF(H161="Select ingredient:","",IF(G161="Select food category:","",IFERROR(VLOOKUP($H161,Ingredient_prices!$E:$W,17,FALSE)*$Q161/1000,"not bought")))</f>
        <v>4.68</v>
      </c>
      <c r="AU161" s="583">
        <f>IF(H161="Select ingredient:","",IF(G161="Select food category:","",IFERROR(VLOOKUP($H161,Ingredient_prices!$E:$W,18,FALSE)*$Q161/1000,"not bought")))</f>
        <v>4.68</v>
      </c>
      <c r="AV161" s="583">
        <f t="shared" si="341"/>
        <v>29.394370605629401</v>
      </c>
      <c r="AW161" s="583">
        <f t="shared" si="342"/>
        <v>5.6767417838536636</v>
      </c>
      <c r="AX161" s="583">
        <f t="shared" si="343"/>
        <v>1.0797740515744598</v>
      </c>
      <c r="AY161" s="583">
        <f t="shared" si="344"/>
        <v>0.22568173578936754</v>
      </c>
      <c r="AZ161" s="583">
        <f t="shared" si="345"/>
        <v>0.48719951280048729</v>
      </c>
      <c r="BA161" s="583">
        <f t="shared" si="346"/>
        <v>3.768472588795363E-2</v>
      </c>
      <c r="BB161" s="583">
        <f t="shared" si="347"/>
        <v>1.3803986196013807</v>
      </c>
      <c r="BC161" s="583">
        <f t="shared" si="348"/>
        <v>17.782782217217783</v>
      </c>
      <c r="BD161" s="583">
        <f t="shared" si="349"/>
        <v>1.8675981324018678</v>
      </c>
      <c r="BE161" s="583">
        <f t="shared" si="350"/>
        <v>3.410396589603411</v>
      </c>
      <c r="BF161" s="583">
        <f t="shared" si="351"/>
        <v>12.423587576412427</v>
      </c>
      <c r="BG161" s="583">
        <f t="shared" si="352"/>
        <v>0.24118224568290325</v>
      </c>
      <c r="BH161" s="583">
        <f t="shared" si="353"/>
        <v>9.8122493821464166E-2</v>
      </c>
      <c r="BI161" s="583">
        <f t="shared" si="354"/>
        <v>1.5784922919105104E-2</v>
      </c>
      <c r="BJ161" s="583">
        <f t="shared" si="355"/>
        <v>1.3803986196013807</v>
      </c>
      <c r="BK161" s="583">
        <f t="shared" si="356"/>
        <v>1.3794031740118874E-2</v>
      </c>
      <c r="BL161" s="583">
        <f t="shared" si="357"/>
        <v>5.972673536958688E-3</v>
      </c>
      <c r="BM161" s="583">
        <f t="shared" si="358"/>
        <v>2.8441302556946139E-4</v>
      </c>
      <c r="BN161" s="583">
        <f t="shared" si="359"/>
        <v>4.8350214346808426E-3</v>
      </c>
      <c r="BO161" s="583">
        <f t="shared" si="360"/>
        <v>1.7863982136017869</v>
      </c>
      <c r="BP161" s="583">
        <f t="shared" si="361"/>
        <v>2.3547976452023552E-2</v>
      </c>
      <c r="BQ161" s="583">
        <f t="shared" si="362"/>
        <v>0</v>
      </c>
      <c r="BR161" s="583">
        <f t="shared" si="363"/>
        <v>2.4359975640024362E-2</v>
      </c>
    </row>
    <row r="162" spans="1:70" s="229" customFormat="1" ht="15" customHeight="1">
      <c r="A162" s="574"/>
      <c r="E162" s="585">
        <f t="shared" si="364"/>
        <v>100</v>
      </c>
      <c r="F162" s="85"/>
      <c r="G162" s="406" t="s">
        <v>3054</v>
      </c>
      <c r="H162" s="1262" t="s">
        <v>3055</v>
      </c>
      <c r="I162" s="85">
        <v>0</v>
      </c>
      <c r="J162" s="682">
        <v>1</v>
      </c>
      <c r="K162" s="579" t="str">
        <f t="shared" si="338"/>
        <v/>
      </c>
      <c r="L162" s="580" t="str">
        <f>IF(H162="Select ingredient:","",IF(G162="","",_xlfn.IFNA(VLOOKUP($H162,Ingredient_prices!$E:$U,16,FALSE),0)))</f>
        <v/>
      </c>
      <c r="M162" s="840"/>
      <c r="N162" s="840"/>
      <c r="O162" s="581"/>
      <c r="P162" s="582"/>
      <c r="Q162" s="583">
        <f t="shared" si="339"/>
        <v>0</v>
      </c>
      <c r="R162" s="583">
        <f>VLOOKUP($H162,'CO2_emission+%_food_waste'!$A:$K,6,FALSE)*$Q162/100</f>
        <v>0</v>
      </c>
      <c r="S162" s="583">
        <f t="shared" si="340"/>
        <v>0</v>
      </c>
      <c r="T162" s="583" t="str">
        <f>IF(H162="Select ingredient:","",IF(G162="Select food category:","",_xlfn.IFNA(VLOOKUP($H162,Ingredient_prices!$E:$U,16,FALSE)*$Q162/1000,"not bought")))</f>
        <v/>
      </c>
      <c r="U162" s="583" t="str">
        <f>IF(G162="Select food category:","",_xlfn.IFNA(VLOOKUP($H162,Ingredient_prices!$E:$U,16,FALSE)*$R162/1000,"not bought"))</f>
        <v/>
      </c>
      <c r="V162" s="549">
        <f>VLOOKUP($H162,'CO2_emission+%_food_waste'!$A:$K,4,FALSE)*$Q162</f>
        <v>0</v>
      </c>
      <c r="W162" s="583">
        <f>VLOOKUP($H162,Nutrition_tables!$A:$N,10,FALSE)*$Q162/100</f>
        <v>0</v>
      </c>
      <c r="X162" s="583">
        <f>VLOOKUP($H162,Nutrition_tables!$A:$N,11,FALSE)*$Q162/100</f>
        <v>0</v>
      </c>
      <c r="Y162" s="583">
        <f>VLOOKUP($H162,Nutrition_tables!$A:$N,12,FALSE)*$Q162/100</f>
        <v>0</v>
      </c>
      <c r="Z162" s="583">
        <f>VLOOKUP($H162,Nutrition_tables!$A:$N,14,FALSE)*$Q162/100</f>
        <v>0</v>
      </c>
      <c r="AA162" s="583">
        <f>VLOOKUP($H162,Nutrition_tables!$A:$AF,13,FALSE)*$Q162/100</f>
        <v>0</v>
      </c>
      <c r="AB162" s="549">
        <f>VLOOKUP($H162,Nutrition_tables!$A:$AF,15,FALSE)*$Q162/100</f>
        <v>0</v>
      </c>
      <c r="AC162" s="583">
        <f>VLOOKUP($H162,Nutrition_tables!$A:$AF,16,FALSE)*$Q162/100</f>
        <v>0</v>
      </c>
      <c r="AD162" s="583">
        <f>VLOOKUP($H162,Nutrition_tables!$A:$AF,17,FALSE)*$Q162/100</f>
        <v>0</v>
      </c>
      <c r="AE162" s="583">
        <f>VLOOKUP($H162,Nutrition_tables!$A:$AF,18,FALSE)*$Q162/100</f>
        <v>0</v>
      </c>
      <c r="AF162" s="583">
        <f>VLOOKUP($H162,Nutrition_tables!$A:$AF,19,FALSE)*$Q162/100</f>
        <v>0</v>
      </c>
      <c r="AG162" s="583">
        <f>VLOOKUP($H162,Nutrition_tables!$A:$AF,20,FALSE)*$Q162/100</f>
        <v>0</v>
      </c>
      <c r="AH162" s="583">
        <f>VLOOKUP($H162,Nutrition_tables!$A:$AF,21,FALSE)*$Q162/100</f>
        <v>0</v>
      </c>
      <c r="AI162" s="583">
        <f>VLOOKUP($H162,Nutrition_tables!$A:$AF,22,FALSE)*$Q162/100</f>
        <v>0</v>
      </c>
      <c r="AJ162" s="549">
        <f>VLOOKUP($H162,Nutrition_tables!$A:$AF,23,FALSE)*$Q162/100</f>
        <v>0</v>
      </c>
      <c r="AK162" s="583">
        <f>VLOOKUP($H162,Nutrition_tables!$A:$AF,24,FALSE)*$Q162/100</f>
        <v>0</v>
      </c>
      <c r="AL162" s="583">
        <f>VLOOKUP($H162,Nutrition_tables!$A:$AF,25,FALSE)*$Q162/100</f>
        <v>0</v>
      </c>
      <c r="AM162" s="583">
        <f>VLOOKUP($H162,Nutrition_tables!$A:$AF,26,FALSE)*$Q162/100</f>
        <v>0</v>
      </c>
      <c r="AN162" s="583">
        <f>VLOOKUP($H162,Nutrition_tables!$A:$AF,27,FALSE)*$Q162/100</f>
        <v>0</v>
      </c>
      <c r="AO162" s="583">
        <f>VLOOKUP($H162,Nutrition_tables!$A:$AF,28,FALSE)*$Q162/100</f>
        <v>0</v>
      </c>
      <c r="AP162" s="583">
        <f>VLOOKUP($H162,Nutrition_tables!$A:$AF,29,FALSE)*$Q162/100</f>
        <v>0</v>
      </c>
      <c r="AQ162" s="583">
        <f>VLOOKUP($H162,Nutrition_tables!$A:$AF,30,FALSE)*$Q162/100</f>
        <v>0</v>
      </c>
      <c r="AR162" s="583">
        <f>VLOOKUP($H162,Nutrition_tables!$A:$AF,31,FALSE)*$Q162/100</f>
        <v>0</v>
      </c>
      <c r="AS162" s="549">
        <f>VLOOKUP($H162,Nutrition_tables!$A:$AF,32,FALSE)*$Q162/100</f>
        <v>0</v>
      </c>
      <c r="AT162" s="583" t="str">
        <f>IF(H162="Select ingredient:","",IF(G162="Select food category:","",IFERROR(VLOOKUP($H162,Ingredient_prices!$E:$W,17,FALSE)*$Q162/1000,"not bought")))</f>
        <v/>
      </c>
      <c r="AU162" s="583" t="str">
        <f>IF(H162="Select ingredient:","",IF(G162="Select food category:","",IFERROR(VLOOKUP($H162,Ingredient_prices!$E:$W,18,FALSE)*$Q162/1000,"not bought")))</f>
        <v/>
      </c>
      <c r="AV162" s="583">
        <f t="shared" si="341"/>
        <v>0</v>
      </c>
      <c r="AW162" s="583">
        <f t="shared" si="342"/>
        <v>0</v>
      </c>
      <c r="AX162" s="583">
        <f t="shared" si="343"/>
        <v>0</v>
      </c>
      <c r="AY162" s="583">
        <f t="shared" si="344"/>
        <v>0</v>
      </c>
      <c r="AZ162" s="583">
        <f t="shared" si="345"/>
        <v>0</v>
      </c>
      <c r="BA162" s="583">
        <f t="shared" si="346"/>
        <v>0</v>
      </c>
      <c r="BB162" s="583">
        <f t="shared" si="347"/>
        <v>0</v>
      </c>
      <c r="BC162" s="583">
        <f t="shared" si="348"/>
        <v>0</v>
      </c>
      <c r="BD162" s="583">
        <f t="shared" si="349"/>
        <v>0</v>
      </c>
      <c r="BE162" s="583">
        <f t="shared" si="350"/>
        <v>0</v>
      </c>
      <c r="BF162" s="583">
        <f t="shared" si="351"/>
        <v>0</v>
      </c>
      <c r="BG162" s="583">
        <f t="shared" si="352"/>
        <v>0</v>
      </c>
      <c r="BH162" s="583">
        <f t="shared" si="353"/>
        <v>0</v>
      </c>
      <c r="BI162" s="583">
        <f t="shared" si="354"/>
        <v>0</v>
      </c>
      <c r="BJ162" s="583">
        <f t="shared" si="355"/>
        <v>0</v>
      </c>
      <c r="BK162" s="583">
        <f t="shared" si="356"/>
        <v>0</v>
      </c>
      <c r="BL162" s="583">
        <f t="shared" si="357"/>
        <v>0</v>
      </c>
      <c r="BM162" s="583">
        <f t="shared" si="358"/>
        <v>0</v>
      </c>
      <c r="BN162" s="583">
        <f t="shared" si="359"/>
        <v>0</v>
      </c>
      <c r="BO162" s="583">
        <f t="shared" si="360"/>
        <v>0</v>
      </c>
      <c r="BP162" s="583">
        <f t="shared" si="361"/>
        <v>0</v>
      </c>
      <c r="BQ162" s="583">
        <f t="shared" si="362"/>
        <v>0</v>
      </c>
      <c r="BR162" s="583">
        <f t="shared" si="363"/>
        <v>0</v>
      </c>
    </row>
    <row r="163" spans="1:70" s="229" customFormat="1" ht="15" customHeight="1">
      <c r="A163" s="574"/>
      <c r="E163" s="585">
        <f t="shared" si="364"/>
        <v>100</v>
      </c>
      <c r="G163" s="406" t="s">
        <v>3054</v>
      </c>
      <c r="H163" s="1262" t="s">
        <v>3055</v>
      </c>
      <c r="I163" s="85">
        <v>0</v>
      </c>
      <c r="J163" s="682">
        <v>1</v>
      </c>
      <c r="K163" s="579" t="str">
        <f t="shared" si="338"/>
        <v/>
      </c>
      <c r="L163" s="580" t="str">
        <f>IF(H163="Select ingredient:","",IF(G163="","",_xlfn.IFNA(VLOOKUP($H163,Ingredient_prices!$E:$U,16,FALSE),0)))</f>
        <v/>
      </c>
      <c r="M163" s="840"/>
      <c r="N163" s="840"/>
      <c r="O163" s="581"/>
      <c r="P163" s="582"/>
      <c r="Q163" s="583">
        <f t="shared" si="339"/>
        <v>0</v>
      </c>
      <c r="R163" s="583">
        <f>VLOOKUP($H163,'CO2_emission+%_food_waste'!$A:$K,6,FALSE)*$Q163/100</f>
        <v>0</v>
      </c>
      <c r="S163" s="583">
        <f t="shared" si="340"/>
        <v>0</v>
      </c>
      <c r="T163" s="583" t="str">
        <f>IF(H163="Select ingredient:","",IF(G163="Select food category:","",_xlfn.IFNA(VLOOKUP($H163,Ingredient_prices!$E:$U,16,FALSE)*$Q163/1000,"not bought")))</f>
        <v/>
      </c>
      <c r="U163" s="583" t="str">
        <f>IF(G163="Select food category:","",_xlfn.IFNA(VLOOKUP($H163,Ingredient_prices!$E:$U,16,FALSE)*$R163/1000,"not bought"))</f>
        <v/>
      </c>
      <c r="V163" s="549">
        <f>VLOOKUP($H163,'CO2_emission+%_food_waste'!$A:$K,4,FALSE)*$Q163</f>
        <v>0</v>
      </c>
      <c r="W163" s="583">
        <f>VLOOKUP($H163,Nutrition_tables!$A:$N,10,FALSE)*$Q163/100</f>
        <v>0</v>
      </c>
      <c r="X163" s="583">
        <f>VLOOKUP($H163,Nutrition_tables!$A:$N,11,FALSE)*$Q163/100</f>
        <v>0</v>
      </c>
      <c r="Y163" s="583">
        <f>VLOOKUP($H163,Nutrition_tables!$A:$N,12,FALSE)*$Q163/100</f>
        <v>0</v>
      </c>
      <c r="Z163" s="583">
        <f>VLOOKUP($H163,Nutrition_tables!$A:$N,14,FALSE)*$Q163/100</f>
        <v>0</v>
      </c>
      <c r="AA163" s="583">
        <f>VLOOKUP($H163,Nutrition_tables!$A:$AF,13,FALSE)*$Q163/100</f>
        <v>0</v>
      </c>
      <c r="AB163" s="549">
        <f>VLOOKUP($H163,Nutrition_tables!$A:$AF,15,FALSE)*$Q163/100</f>
        <v>0</v>
      </c>
      <c r="AC163" s="583">
        <f>VLOOKUP($H163,Nutrition_tables!$A:$AF,16,FALSE)*$Q163/100</f>
        <v>0</v>
      </c>
      <c r="AD163" s="583">
        <f>VLOOKUP($H163,Nutrition_tables!$A:$AF,17,FALSE)*$Q163/100</f>
        <v>0</v>
      </c>
      <c r="AE163" s="583">
        <f>VLOOKUP($H163,Nutrition_tables!$A:$AF,18,FALSE)*$Q163/100</f>
        <v>0</v>
      </c>
      <c r="AF163" s="583">
        <f>VLOOKUP($H163,Nutrition_tables!$A:$AF,19,FALSE)*$Q163/100</f>
        <v>0</v>
      </c>
      <c r="AG163" s="583">
        <f>VLOOKUP($H163,Nutrition_tables!$A:$AF,20,FALSE)*$Q163/100</f>
        <v>0</v>
      </c>
      <c r="AH163" s="583">
        <f>VLOOKUP($H163,Nutrition_tables!$A:$AF,21,FALSE)*$Q163/100</f>
        <v>0</v>
      </c>
      <c r="AI163" s="583">
        <f>VLOOKUP($H163,Nutrition_tables!$A:$AF,22,FALSE)*$Q163/100</f>
        <v>0</v>
      </c>
      <c r="AJ163" s="549">
        <f>VLOOKUP($H163,Nutrition_tables!$A:$AF,23,FALSE)*$Q163/100</f>
        <v>0</v>
      </c>
      <c r="AK163" s="583">
        <f>VLOOKUP($H163,Nutrition_tables!$A:$AF,24,FALSE)*$Q163/100</f>
        <v>0</v>
      </c>
      <c r="AL163" s="583">
        <f>VLOOKUP($H163,Nutrition_tables!$A:$AF,25,FALSE)*$Q163/100</f>
        <v>0</v>
      </c>
      <c r="AM163" s="583">
        <f>VLOOKUP($H163,Nutrition_tables!$A:$AF,26,FALSE)*$Q163/100</f>
        <v>0</v>
      </c>
      <c r="AN163" s="583">
        <f>VLOOKUP($H163,Nutrition_tables!$A:$AF,27,FALSE)*$Q163/100</f>
        <v>0</v>
      </c>
      <c r="AO163" s="583">
        <f>VLOOKUP($H163,Nutrition_tables!$A:$AF,28,FALSE)*$Q163/100</f>
        <v>0</v>
      </c>
      <c r="AP163" s="583">
        <f>VLOOKUP($H163,Nutrition_tables!$A:$AF,29,FALSE)*$Q163/100</f>
        <v>0</v>
      </c>
      <c r="AQ163" s="583">
        <f>VLOOKUP($H163,Nutrition_tables!$A:$AF,30,FALSE)*$Q163/100</f>
        <v>0</v>
      </c>
      <c r="AR163" s="583">
        <f>VLOOKUP($H163,Nutrition_tables!$A:$AF,31,FALSE)*$Q163/100</f>
        <v>0</v>
      </c>
      <c r="AS163" s="549">
        <f>VLOOKUP($H163,Nutrition_tables!$A:$AF,32,FALSE)*$Q163/100</f>
        <v>0</v>
      </c>
      <c r="AT163" s="583" t="str">
        <f>IF(H163="Select ingredient:","",IF(G163="Select food category:","",IFERROR(VLOOKUP($H163,Ingredient_prices!$E:$W,17,FALSE)*$Q163/1000,"not bought")))</f>
        <v/>
      </c>
      <c r="AU163" s="583" t="str">
        <f>IF(H163="Select ingredient:","",IF(G163="Select food category:","",IFERROR(VLOOKUP($H163,Ingredient_prices!$E:$W,18,FALSE)*$Q163/1000,"not bought")))</f>
        <v/>
      </c>
      <c r="AV163" s="583">
        <f t="shared" si="341"/>
        <v>0</v>
      </c>
      <c r="AW163" s="583">
        <f t="shared" si="342"/>
        <v>0</v>
      </c>
      <c r="AX163" s="583">
        <f t="shared" si="343"/>
        <v>0</v>
      </c>
      <c r="AY163" s="583">
        <f t="shared" si="344"/>
        <v>0</v>
      </c>
      <c r="AZ163" s="583">
        <f t="shared" si="345"/>
        <v>0</v>
      </c>
      <c r="BA163" s="583">
        <f t="shared" si="346"/>
        <v>0</v>
      </c>
      <c r="BB163" s="583">
        <f t="shared" si="347"/>
        <v>0</v>
      </c>
      <c r="BC163" s="583">
        <f t="shared" si="348"/>
        <v>0</v>
      </c>
      <c r="BD163" s="583">
        <f t="shared" si="349"/>
        <v>0</v>
      </c>
      <c r="BE163" s="583">
        <f t="shared" si="350"/>
        <v>0</v>
      </c>
      <c r="BF163" s="583">
        <f t="shared" si="351"/>
        <v>0</v>
      </c>
      <c r="BG163" s="583">
        <f t="shared" si="352"/>
        <v>0</v>
      </c>
      <c r="BH163" s="583">
        <f t="shared" si="353"/>
        <v>0</v>
      </c>
      <c r="BI163" s="583">
        <f t="shared" si="354"/>
        <v>0</v>
      </c>
      <c r="BJ163" s="583">
        <f t="shared" si="355"/>
        <v>0</v>
      </c>
      <c r="BK163" s="583">
        <f t="shared" si="356"/>
        <v>0</v>
      </c>
      <c r="BL163" s="583">
        <f t="shared" si="357"/>
        <v>0</v>
      </c>
      <c r="BM163" s="583">
        <f t="shared" si="358"/>
        <v>0</v>
      </c>
      <c r="BN163" s="583">
        <f t="shared" si="359"/>
        <v>0</v>
      </c>
      <c r="BO163" s="583">
        <f t="shared" si="360"/>
        <v>0</v>
      </c>
      <c r="BP163" s="583">
        <f t="shared" si="361"/>
        <v>0</v>
      </c>
      <c r="BQ163" s="583">
        <f t="shared" si="362"/>
        <v>0</v>
      </c>
      <c r="BR163" s="583">
        <f t="shared" si="363"/>
        <v>0</v>
      </c>
    </row>
    <row r="164" spans="1:70" s="229" customFormat="1" ht="15" customHeight="1">
      <c r="A164" s="574"/>
      <c r="E164" s="585">
        <f t="shared" si="364"/>
        <v>100</v>
      </c>
      <c r="F164" s="85" t="s">
        <v>3902</v>
      </c>
      <c r="G164" s="406" t="s">
        <v>3073</v>
      </c>
      <c r="H164" s="578" t="s">
        <v>3443</v>
      </c>
      <c r="I164" s="85">
        <v>30</v>
      </c>
      <c r="J164" s="682">
        <v>1</v>
      </c>
      <c r="K164" s="579">
        <f t="shared" si="338"/>
        <v>3.3</v>
      </c>
      <c r="L164" s="580">
        <f>IF(H164="Select ingredient:","",IF(G164="","",_xlfn.IFNA(VLOOKUP($H164,Ingredient_prices!$E:$U,16,FALSE),0)))</f>
        <v>550</v>
      </c>
      <c r="M164" s="840"/>
      <c r="N164" s="840"/>
      <c r="O164" s="581"/>
      <c r="P164" s="582"/>
      <c r="Q164" s="583">
        <f t="shared" si="339"/>
        <v>30</v>
      </c>
      <c r="R164" s="583">
        <f>VLOOKUP($H164,'CO2_emission+%_food_waste'!$A:$K,6,FALSE)*$Q164/100</f>
        <v>7.11</v>
      </c>
      <c r="S164" s="583">
        <f t="shared" si="340"/>
        <v>22.89</v>
      </c>
      <c r="T164" s="583">
        <f>IF(H164="Select ingredient:","",IF(G164="Select food category:","",_xlfn.IFNA(VLOOKUP($H164,Ingredient_prices!$E:$U,16,FALSE)*$Q164/1000,"not bought")))</f>
        <v>16.5</v>
      </c>
      <c r="U164" s="583">
        <f>IF(G164="Select food category:","",_xlfn.IFNA(VLOOKUP($H164,Ingredient_prices!$E:$U,16,FALSE)*$R164/1000,"not bought"))</f>
        <v>3.9104999999999999</v>
      </c>
      <c r="V164" s="549">
        <f>VLOOKUP($H164,'CO2_emission+%_food_waste'!$A:$K,4,FALSE)*$Q164</f>
        <v>319.5</v>
      </c>
      <c r="W164" s="583">
        <f>VLOOKUP($H164,Nutrition_tables!$A:$N,10,FALSE)*$Q164/100</f>
        <v>52.32</v>
      </c>
      <c r="X164" s="583">
        <f>VLOOKUP($H164,Nutrition_tables!$A:$N,11,FALSE)*$Q164/100</f>
        <v>9.6000000000000002E-2</v>
      </c>
      <c r="Y164" s="583">
        <f>VLOOKUP($H164,Nutrition_tables!$A:$N,12,FALSE)*$Q164/100</f>
        <v>4.32</v>
      </c>
      <c r="Z164" s="583">
        <f>VLOOKUP($H164,Nutrition_tables!$A:$N,14,FALSE)*$Q164/100</f>
        <v>3.84</v>
      </c>
      <c r="AA164" s="583">
        <f>VLOOKUP($H164,Nutrition_tables!$A:$AF,13,FALSE)*$Q164/100</f>
        <v>0</v>
      </c>
      <c r="AB164" s="549">
        <f>VLOOKUP($H164,Nutrition_tables!$A:$AF,15,FALSE)*$Q164/100</f>
        <v>1.2001400070003501</v>
      </c>
      <c r="AC164" s="583">
        <f>VLOOKUP($H164,Nutrition_tables!$A:$AF,16,FALSE)*$Q164/100</f>
        <v>16.32</v>
      </c>
      <c r="AD164" s="583">
        <f>VLOOKUP($H164,Nutrition_tables!$A:$AF,17,FALSE)*$Q164/100</f>
        <v>58.56</v>
      </c>
      <c r="AE164" s="583">
        <f>VLOOKUP($H164,Nutrition_tables!$A:$AF,18,FALSE)*$Q164/100</f>
        <v>3.6</v>
      </c>
      <c r="AF164" s="583">
        <f>VLOOKUP($H164,Nutrition_tables!$A:$AF,19,FALSE)*$Q164/100</f>
        <v>3.84</v>
      </c>
      <c r="AG164" s="583">
        <f>VLOOKUP($H164,Nutrition_tables!$A:$AF,20,FALSE)*$Q164/100</f>
        <v>38.640000000000008</v>
      </c>
      <c r="AH164" s="583">
        <f>VLOOKUP($H164,Nutrition_tables!$A:$AF,21,FALSE)*$Q164/100</f>
        <v>0.2112</v>
      </c>
      <c r="AI164" s="583">
        <f>VLOOKUP($H164,Nutrition_tables!$A:$AF,22,FALSE)*$Q164/100</f>
        <v>0.45839999999999997</v>
      </c>
      <c r="AJ164" s="549">
        <f>VLOOKUP($H164,Nutrition_tables!$A:$AF,23,FALSE)*$Q164/100</f>
        <v>7.6800000000000002E-3</v>
      </c>
      <c r="AK164" s="583">
        <f>VLOOKUP($H164,Nutrition_tables!$A:$AF,24,FALSE)*$Q164/100</f>
        <v>0</v>
      </c>
      <c r="AL164" s="583">
        <f>VLOOKUP($H164,Nutrition_tables!$A:$AF,25,FALSE)*$Q164/100</f>
        <v>7.9680000000000001E-2</v>
      </c>
      <c r="AM164" s="583">
        <f>VLOOKUP($H164,Nutrition_tables!$A:$AF,26,FALSE)*$Q164/100</f>
        <v>8.1119999999999984E-2</v>
      </c>
      <c r="AN164" s="583">
        <f>VLOOKUP($H164,Nutrition_tables!$A:$AF,27,FALSE)*$Q164/100</f>
        <v>1.5398399999999999</v>
      </c>
      <c r="AO164" s="583">
        <f>VLOOKUP($H164,Nutrition_tables!$A:$AF,28,FALSE)*$Q164/100</f>
        <v>0.13224</v>
      </c>
      <c r="AP164" s="583">
        <f>VLOOKUP($H164,Nutrition_tables!$A:$AF,29,FALSE)*$Q164/100</f>
        <v>0.48</v>
      </c>
      <c r="AQ164" s="583">
        <f>VLOOKUP($H164,Nutrition_tables!$A:$AF,30,FALSE)*$Q164/100</f>
        <v>0.17519999999999999</v>
      </c>
      <c r="AR164" s="583">
        <f>VLOOKUP($H164,Nutrition_tables!$A:$AF,31,FALSE)*$Q164/100</f>
        <v>0</v>
      </c>
      <c r="AS164" s="549">
        <f>VLOOKUP($H164,Nutrition_tables!$A:$AF,32,FALSE)*$Q164/100</f>
        <v>0.10200000000000001</v>
      </c>
      <c r="AT164" s="583">
        <f>IF(H164="Select ingredient:","",IF(G164="Select food category:","",IFERROR(VLOOKUP($H164,Ingredient_prices!$E:$W,17,FALSE)*$Q164/1000,"not bought")))</f>
        <v>16.5</v>
      </c>
      <c r="AU164" s="583">
        <f>IF(H164="Select ingredient:","",IF(G164="Select food category:","",IFERROR(VLOOKUP($H164,Ingredient_prices!$E:$W,18,FALSE)*$Q164/1000,"not bought")))</f>
        <v>16.5</v>
      </c>
      <c r="AV164" s="583">
        <f t="shared" si="341"/>
        <v>39.920146693284437</v>
      </c>
      <c r="AW164" s="583">
        <f t="shared" si="342"/>
        <v>7.3247975584008154E-2</v>
      </c>
      <c r="AX164" s="583">
        <f t="shared" si="343"/>
        <v>3.2961589012803669</v>
      </c>
      <c r="AY164" s="583">
        <f t="shared" si="344"/>
        <v>2.9299190233603256</v>
      </c>
      <c r="AZ164" s="583">
        <f t="shared" si="345"/>
        <v>0</v>
      </c>
      <c r="BA164" s="583">
        <f t="shared" si="346"/>
        <v>0.91570652010576037</v>
      </c>
      <c r="BB164" s="583">
        <f t="shared" si="347"/>
        <v>12.452155849281384</v>
      </c>
      <c r="BC164" s="583">
        <f t="shared" si="348"/>
        <v>44.681265106244965</v>
      </c>
      <c r="BD164" s="583">
        <f t="shared" si="349"/>
        <v>2.7467990844003056</v>
      </c>
      <c r="BE164" s="583">
        <f t="shared" si="350"/>
        <v>2.9299190233603256</v>
      </c>
      <c r="BF164" s="583">
        <f t="shared" si="351"/>
        <v>29.482310172563285</v>
      </c>
      <c r="BG164" s="583">
        <f t="shared" si="352"/>
        <v>0.16114554628481792</v>
      </c>
      <c r="BH164" s="583">
        <f t="shared" si="353"/>
        <v>0.34975908341363882</v>
      </c>
      <c r="BI164" s="583">
        <f t="shared" si="354"/>
        <v>5.8598380467206517E-3</v>
      </c>
      <c r="BJ164" s="583">
        <f t="shared" si="355"/>
        <v>0</v>
      </c>
      <c r="BK164" s="583">
        <f t="shared" si="356"/>
        <v>6.079581973472676E-2</v>
      </c>
      <c r="BL164" s="583">
        <f t="shared" si="357"/>
        <v>6.1894539368486871E-2</v>
      </c>
      <c r="BM164" s="583">
        <f t="shared" si="358"/>
        <v>1.1748975283674905</v>
      </c>
      <c r="BN164" s="583">
        <f t="shared" si="359"/>
        <v>0.1008990863669712</v>
      </c>
      <c r="BO164" s="583">
        <f t="shared" si="360"/>
        <v>0.3662398779200407</v>
      </c>
      <c r="BP164" s="583">
        <f t="shared" si="361"/>
        <v>0.13367755544081486</v>
      </c>
      <c r="BQ164" s="583">
        <f t="shared" si="362"/>
        <v>0</v>
      </c>
      <c r="BR164" s="583">
        <f t="shared" si="363"/>
        <v>7.782597405800866E-2</v>
      </c>
    </row>
    <row r="165" spans="1:70" s="229" customFormat="1" ht="15" customHeight="1">
      <c r="A165" s="574"/>
      <c r="E165" s="585">
        <f t="shared" si="364"/>
        <v>100</v>
      </c>
      <c r="F165" s="248"/>
      <c r="G165" s="406" t="s">
        <v>3140</v>
      </c>
      <c r="H165" s="578" t="s">
        <v>3100</v>
      </c>
      <c r="I165" s="85">
        <v>10</v>
      </c>
      <c r="J165" s="682">
        <v>1</v>
      </c>
      <c r="K165" s="579">
        <f t="shared" si="338"/>
        <v>1.1000000000000001</v>
      </c>
      <c r="L165" s="580">
        <f>IF(H165="Select ingredient:","",IF(G165="","",_xlfn.IFNA(VLOOKUP($H165,Ingredient_prices!$E:$U,16,FALSE),0)))</f>
        <v>120</v>
      </c>
      <c r="M165" s="840"/>
      <c r="N165" s="840"/>
      <c r="O165" s="581"/>
      <c r="P165" s="582"/>
      <c r="Q165" s="583">
        <f t="shared" si="339"/>
        <v>10</v>
      </c>
      <c r="R165" s="583">
        <f>VLOOKUP($H165,'CO2_emission+%_food_waste'!$A:$K,6,FALSE)*$Q165/100</f>
        <v>2.65</v>
      </c>
      <c r="S165" s="583">
        <f t="shared" si="340"/>
        <v>7.35</v>
      </c>
      <c r="T165" s="583">
        <f>IF(H165="Select ingredient:","",IF(G165="Select food category:","",_xlfn.IFNA(VLOOKUP($H165,Ingredient_prices!$E:$U,16,FALSE)*$Q165/1000,"not bought")))</f>
        <v>1.2</v>
      </c>
      <c r="U165" s="583">
        <f>IF(G165="Select food category:","",_xlfn.IFNA(VLOOKUP($H165,Ingredient_prices!$E:$U,16,FALSE)*$R165/1000,"not bought"))</f>
        <v>0.318</v>
      </c>
      <c r="V165" s="549">
        <f>VLOOKUP($H165,'CO2_emission+%_food_waste'!$A:$K,4,FALSE)*$Q165</f>
        <v>4.8</v>
      </c>
      <c r="W165" s="583">
        <f>VLOOKUP($H165,Nutrition_tables!$A:$N,10,FALSE)*$Q165/100</f>
        <v>2.8</v>
      </c>
      <c r="X165" s="583">
        <f>VLOOKUP($H165,Nutrition_tables!$A:$N,11,FALSE)*$Q165/100</f>
        <v>1</v>
      </c>
      <c r="Y165" s="583">
        <f>VLOOKUP($H165,Nutrition_tables!$A:$N,12,FALSE)*$Q165/100</f>
        <v>0.11766666666666666</v>
      </c>
      <c r="Z165" s="583">
        <f>VLOOKUP($H165,Nutrition_tables!$A:$N,14,FALSE)*$Q165/100</f>
        <v>2.5000000000000001E-2</v>
      </c>
      <c r="AA165" s="583">
        <f>VLOOKUP($H165,Nutrition_tables!$A:$AF,13,FALSE)*$Q165/100</f>
        <v>0.17</v>
      </c>
      <c r="AB165" s="549">
        <f>VLOOKUP($H165,Nutrition_tables!$A:$AF,15,FALSE)*$Q165/100</f>
        <v>9.5000000000000015E-3</v>
      </c>
      <c r="AC165" s="583">
        <f>VLOOKUP($H165,Nutrition_tables!$A:$AF,16,FALSE)*$Q165/100</f>
        <v>0.4</v>
      </c>
      <c r="AD165" s="583">
        <f>VLOOKUP($H165,Nutrition_tables!$A:$AF,17,FALSE)*$Q165/100</f>
        <v>14.6</v>
      </c>
      <c r="AE165" s="583">
        <f>VLOOKUP($H165,Nutrition_tables!$A:$AF,18,FALSE)*$Q165/100</f>
        <v>2.2999999999999998</v>
      </c>
      <c r="AF165" s="583">
        <f>VLOOKUP($H165,Nutrition_tables!$A:$AF,19,FALSE)*$Q165/100</f>
        <v>1</v>
      </c>
      <c r="AG165" s="583">
        <f>VLOOKUP($H165,Nutrition_tables!$A:$AF,20,FALSE)*$Q165/100</f>
        <v>2.9</v>
      </c>
      <c r="AH165" s="583">
        <f>VLOOKUP($H165,Nutrition_tables!$A:$AF,21,FALSE)*$Q165/100</f>
        <v>2.1000000000000001E-2</v>
      </c>
      <c r="AI165" s="583">
        <f>VLOOKUP($H165,Nutrition_tables!$A:$AF,22,FALSE)*$Q165/100</f>
        <v>1.7000000000000001E-2</v>
      </c>
      <c r="AJ165" s="549">
        <f>VLOOKUP($H165,Nutrition_tables!$A:$AF,23,FALSE)*$Q165/100</f>
        <v>4.0000000000000001E-3</v>
      </c>
      <c r="AK165" s="583">
        <f>VLOOKUP($H165,Nutrition_tables!$A:$AF,24,FALSE)*$Q165/100</f>
        <v>0</v>
      </c>
      <c r="AL165" s="583">
        <f>VLOOKUP($H165,Nutrition_tables!$A:$AF,25,FALSE)*$Q165/100</f>
        <v>4.9999999999999992E-3</v>
      </c>
      <c r="AM165" s="583">
        <f>VLOOKUP($H165,Nutrition_tables!$A:$AF,26,FALSE)*$Q165/100</f>
        <v>3.0000000000000001E-3</v>
      </c>
      <c r="AN165" s="583">
        <f>VLOOKUP($H165,Nutrition_tables!$A:$AF,27,FALSE)*$Q165/100</f>
        <v>1.2E-2</v>
      </c>
      <c r="AO165" s="583">
        <f>VLOOKUP($H165,Nutrition_tables!$A:$AF,28,FALSE)*$Q165/100</f>
        <v>7.1999999999999994E-4</v>
      </c>
      <c r="AP165" s="583">
        <f>VLOOKUP($H165,Nutrition_tables!$A:$AF,29,FALSE)*$Q165/100</f>
        <v>3.6</v>
      </c>
      <c r="AQ165" s="583">
        <f>VLOOKUP($H165,Nutrition_tables!$A:$AF,30,FALSE)*$Q165/100</f>
        <v>0</v>
      </c>
      <c r="AR165" s="583">
        <f>VLOOKUP($H165,Nutrition_tables!$A:$AF,31,FALSE)*$Q165/100</f>
        <v>0.74</v>
      </c>
      <c r="AS165" s="549">
        <f>VLOOKUP($H165,Nutrition_tables!$A:$AF,32,FALSE)*$Q165/100</f>
        <v>0</v>
      </c>
      <c r="AT165" s="583">
        <f>IF(H165="Select ingredient:","",IF(G165="Select food category:","",IFERROR(VLOOKUP($H165,Ingredient_prices!$E:$W,17,FALSE)*$Q165/1000,"not bought")))</f>
        <v>0.93500000000000005</v>
      </c>
      <c r="AU165" s="583">
        <f>IF(H165="Select ingredient:","",IF(G165="Select food category:","",IFERROR(VLOOKUP($H165,Ingredient_prices!$E:$W,18,FALSE)*$Q165/1000,"not bought")))</f>
        <v>1.2</v>
      </c>
      <c r="AV165" s="583">
        <f t="shared" si="341"/>
        <v>2.057997942002058</v>
      </c>
      <c r="AW165" s="583">
        <f t="shared" si="342"/>
        <v>0.73499926500073498</v>
      </c>
      <c r="AX165" s="583">
        <f t="shared" si="343"/>
        <v>8.6484913515086484E-2</v>
      </c>
      <c r="AY165" s="583">
        <f t="shared" si="344"/>
        <v>1.8374981625018376E-2</v>
      </c>
      <c r="AZ165" s="583">
        <f t="shared" si="345"/>
        <v>0.12494987505012496</v>
      </c>
      <c r="BA165" s="583">
        <f t="shared" si="346"/>
        <v>6.9824930175069839E-3</v>
      </c>
      <c r="BB165" s="583">
        <f t="shared" si="347"/>
        <v>0.29399970600029401</v>
      </c>
      <c r="BC165" s="583">
        <f t="shared" si="348"/>
        <v>10.730989269010729</v>
      </c>
      <c r="BD165" s="583">
        <f t="shared" si="349"/>
        <v>1.6904983095016903</v>
      </c>
      <c r="BE165" s="583">
        <f t="shared" si="350"/>
        <v>0.73499926500073498</v>
      </c>
      <c r="BF165" s="583">
        <f t="shared" si="351"/>
        <v>2.1314978685021315</v>
      </c>
      <c r="BG165" s="583">
        <f t="shared" si="352"/>
        <v>1.5434984565015438E-2</v>
      </c>
      <c r="BH165" s="583">
        <f t="shared" si="353"/>
        <v>1.2494987505012496E-2</v>
      </c>
      <c r="BI165" s="583">
        <f t="shared" si="354"/>
        <v>2.9399970600029399E-3</v>
      </c>
      <c r="BJ165" s="583">
        <f t="shared" si="355"/>
        <v>0</v>
      </c>
      <c r="BK165" s="583">
        <f t="shared" si="356"/>
        <v>3.6749963250036744E-3</v>
      </c>
      <c r="BL165" s="583">
        <f t="shared" si="357"/>
        <v>2.2049977950022049E-3</v>
      </c>
      <c r="BM165" s="583">
        <f t="shared" si="358"/>
        <v>8.8199911800088196E-3</v>
      </c>
      <c r="BN165" s="583">
        <f t="shared" si="359"/>
        <v>5.2919947080052915E-4</v>
      </c>
      <c r="BO165" s="583">
        <f t="shared" si="360"/>
        <v>2.6459973540026462</v>
      </c>
      <c r="BP165" s="583">
        <f t="shared" si="361"/>
        <v>0</v>
      </c>
      <c r="BQ165" s="583">
        <f t="shared" si="362"/>
        <v>0.54389945610054391</v>
      </c>
      <c r="BR165" s="583">
        <f t="shared" si="363"/>
        <v>0</v>
      </c>
    </row>
    <row r="166" spans="1:70" s="229" customFormat="1" ht="15" customHeight="1">
      <c r="A166" s="574"/>
      <c r="E166" s="585">
        <f t="shared" si="364"/>
        <v>100</v>
      </c>
      <c r="F166" s="85"/>
      <c r="G166" s="406" t="s">
        <v>3075</v>
      </c>
      <c r="H166" s="578" t="s">
        <v>3239</v>
      </c>
      <c r="I166" s="85">
        <v>7</v>
      </c>
      <c r="J166" s="682">
        <v>1</v>
      </c>
      <c r="K166" s="579">
        <f t="shared" si="338"/>
        <v>0.77000000000000013</v>
      </c>
      <c r="L166" s="580">
        <f>IF(H166="Select ingredient:","",IF(G166="","",_xlfn.IFNA(VLOOKUP($H166,Ingredient_prices!$E:$U,16,FALSE),0)))</f>
        <v>121</v>
      </c>
      <c r="M166" s="840"/>
      <c r="N166" s="840"/>
      <c r="O166" s="581"/>
      <c r="P166" s="582"/>
      <c r="Q166" s="583">
        <f t="shared" si="339"/>
        <v>7</v>
      </c>
      <c r="R166" s="583">
        <f>VLOOKUP($H166,'CO2_emission+%_food_waste'!$A:$K,6,FALSE)*$Q166/100</f>
        <v>1.946</v>
      </c>
      <c r="S166" s="583">
        <f t="shared" si="340"/>
        <v>5.0540000000000003</v>
      </c>
      <c r="T166" s="583">
        <f>IF(H166="Select ingredient:","",IF(G166="Select food category:","",_xlfn.IFNA(VLOOKUP($H166,Ingredient_prices!$E:$U,16,FALSE)*$Q166/1000,"not bought")))</f>
        <v>0.84699999999999998</v>
      </c>
      <c r="U166" s="583">
        <f>IF(G166="Select food category:","",_xlfn.IFNA(VLOOKUP($H166,Ingredient_prices!$E:$U,16,FALSE)*$R166/1000,"not bought"))</f>
        <v>0.23546600000000001</v>
      </c>
      <c r="V166" s="549">
        <f>VLOOKUP($H166,'CO2_emission+%_food_waste'!$A:$K,4,FALSE)*$Q166</f>
        <v>33.11</v>
      </c>
      <c r="W166" s="583">
        <f>VLOOKUP($H166,Nutrition_tables!$A:$N,10,FALSE)*$Q166/100</f>
        <v>61.902470000000015</v>
      </c>
      <c r="X166" s="583">
        <f>VLOOKUP($H166,Nutrition_tables!$A:$N,11,FALSE)*$Q166/100</f>
        <v>7.000000000000001E-3</v>
      </c>
      <c r="Y166" s="583">
        <f>VLOOKUP($H166,Nutrition_tables!$A:$N,12,FALSE)*$Q166/100</f>
        <v>7.000000000000001E-3</v>
      </c>
      <c r="Z166" s="583">
        <f>VLOOKUP($H166,Nutrition_tables!$A:$N,14,FALSE)*$Q166/100</f>
        <v>6.964999999999999</v>
      </c>
      <c r="AA166" s="583">
        <f>VLOOKUP($H166,Nutrition_tables!$A:$AF,13,FALSE)*$Q166/100</f>
        <v>0</v>
      </c>
      <c r="AB166" s="549">
        <f>VLOOKUP($H166,Nutrition_tables!$A:$AF,15,FALSE)*$Q166/100</f>
        <v>0.47530000000000006</v>
      </c>
      <c r="AC166" s="583">
        <f>VLOOKUP($H166,Nutrition_tables!$A:$AF,16,FALSE)*$Q166/100</f>
        <v>7.000000000000001E-3</v>
      </c>
      <c r="AD166" s="583">
        <f>VLOOKUP($H166,Nutrition_tables!$A:$AF,17,FALSE)*$Q166/100</f>
        <v>0</v>
      </c>
      <c r="AE166" s="583">
        <f>VLOOKUP($H166,Nutrition_tables!$A:$AF,18,FALSE)*$Q166/100</f>
        <v>1.4000000000000002E-2</v>
      </c>
      <c r="AF166" s="583">
        <f>VLOOKUP($H166,Nutrition_tables!$A:$AF,19,FALSE)*$Q166/100</f>
        <v>7.0000000000000007E-2</v>
      </c>
      <c r="AG166" s="583">
        <f>VLOOKUP($H166,Nutrition_tables!$A:$AF,20,FALSE)*$Q166/100</f>
        <v>0</v>
      </c>
      <c r="AH166" s="583">
        <f>VLOOKUP($H166,Nutrition_tables!$A:$AF,21,FALSE)*$Q166/100</f>
        <v>7.000000000000001E-3</v>
      </c>
      <c r="AI166" s="583">
        <f>VLOOKUP($H166,Nutrition_tables!$A:$AF,22,FALSE)*$Q166/100</f>
        <v>0</v>
      </c>
      <c r="AJ166" s="549">
        <f>VLOOKUP($H166,Nutrition_tables!$A:$AF,23,FALSE)*$Q166/100</f>
        <v>0</v>
      </c>
      <c r="AK166" s="583">
        <f>VLOOKUP($H166,Nutrition_tables!$A:$AF,24,FALSE)*$Q166/100</f>
        <v>0</v>
      </c>
      <c r="AL166" s="583">
        <f>VLOOKUP($H166,Nutrition_tables!$A:$AF,25,FALSE)*$Q166/100</f>
        <v>0</v>
      </c>
      <c r="AM166" s="583">
        <f>VLOOKUP($H166,Nutrition_tables!$A:$AF,26,FALSE)*$Q166/100</f>
        <v>0</v>
      </c>
      <c r="AN166" s="583">
        <f>VLOOKUP($H166,Nutrition_tables!$A:$AF,27,FALSE)*$Q166/100</f>
        <v>0</v>
      </c>
      <c r="AO166" s="583">
        <f>VLOOKUP($H166,Nutrition_tables!$A:$AF,28,FALSE)*$Q166/100</f>
        <v>0</v>
      </c>
      <c r="AP166" s="583">
        <f>VLOOKUP($H166,Nutrition_tables!$A:$AF,29,FALSE)*$Q166/100</f>
        <v>0</v>
      </c>
      <c r="AQ166" s="583">
        <f>VLOOKUP($H166,Nutrition_tables!$A:$AF,30,FALSE)*$Q166/100</f>
        <v>0</v>
      </c>
      <c r="AR166" s="583">
        <f>VLOOKUP($H166,Nutrition_tables!$A:$AF,31,FALSE)*$Q166/100</f>
        <v>0</v>
      </c>
      <c r="AS166" s="549">
        <f>VLOOKUP($H166,Nutrition_tables!$A:$AF,32,FALSE)*$Q166/100</f>
        <v>0</v>
      </c>
      <c r="AT166" s="583">
        <f>IF(H166="Select ingredient:","",IF(G166="Select food category:","",IFERROR(VLOOKUP($H166,Ingredient_prices!$E:$W,17,FALSE)*$Q166/1000,"not bought")))</f>
        <v>0.84699999999999998</v>
      </c>
      <c r="AU166" s="583">
        <f>IF(H166="Select ingredient:","",IF(G166="Select food category:","",IFERROR(VLOOKUP($H166,Ingredient_prices!$E:$W,18,FALSE)*$Q166/1000,"not bought")))</f>
        <v>0.84699999999999998</v>
      </c>
      <c r="AV166" s="583">
        <f t="shared" si="341"/>
        <v>44.69351949211503</v>
      </c>
      <c r="AW166" s="583">
        <f t="shared" si="342"/>
        <v>5.0539927800103152E-3</v>
      </c>
      <c r="AX166" s="583">
        <f t="shared" si="343"/>
        <v>5.0539927800103152E-3</v>
      </c>
      <c r="AY166" s="583">
        <f t="shared" si="344"/>
        <v>5.0287228161102631</v>
      </c>
      <c r="AZ166" s="583">
        <f t="shared" si="345"/>
        <v>0</v>
      </c>
      <c r="BA166" s="583">
        <f t="shared" si="346"/>
        <v>0.3431661097627004</v>
      </c>
      <c r="BB166" s="583">
        <f t="shared" si="347"/>
        <v>5.0539927800103152E-3</v>
      </c>
      <c r="BC166" s="583">
        <f t="shared" si="348"/>
        <v>0</v>
      </c>
      <c r="BD166" s="583">
        <f t="shared" si="349"/>
        <v>1.010798556002063E-2</v>
      </c>
      <c r="BE166" s="583">
        <f t="shared" si="350"/>
        <v>5.0539927800103149E-2</v>
      </c>
      <c r="BF166" s="583">
        <f t="shared" si="351"/>
        <v>0</v>
      </c>
      <c r="BG166" s="583">
        <f t="shared" si="352"/>
        <v>5.0539927800103152E-3</v>
      </c>
      <c r="BH166" s="583">
        <f t="shared" si="353"/>
        <v>0</v>
      </c>
      <c r="BI166" s="583">
        <f t="shared" si="354"/>
        <v>0</v>
      </c>
      <c r="BJ166" s="583">
        <f t="shared" si="355"/>
        <v>0</v>
      </c>
      <c r="BK166" s="583">
        <f t="shared" si="356"/>
        <v>0</v>
      </c>
      <c r="BL166" s="583">
        <f t="shared" si="357"/>
        <v>0</v>
      </c>
      <c r="BM166" s="583">
        <f t="shared" si="358"/>
        <v>0</v>
      </c>
      <c r="BN166" s="583">
        <f t="shared" si="359"/>
        <v>0</v>
      </c>
      <c r="BO166" s="583">
        <f t="shared" si="360"/>
        <v>0</v>
      </c>
      <c r="BP166" s="583">
        <f t="shared" si="361"/>
        <v>0</v>
      </c>
      <c r="BQ166" s="583">
        <f t="shared" si="362"/>
        <v>0</v>
      </c>
      <c r="BR166" s="583">
        <f t="shared" si="363"/>
        <v>0</v>
      </c>
    </row>
    <row r="167" spans="1:70" s="229" customFormat="1" ht="15" customHeight="1">
      <c r="A167" s="574"/>
      <c r="E167" s="585">
        <f t="shared" si="364"/>
        <v>100</v>
      </c>
      <c r="F167" s="85"/>
      <c r="G167" s="406" t="s">
        <v>3142</v>
      </c>
      <c r="H167" s="578" t="s">
        <v>3293</v>
      </c>
      <c r="I167" s="85">
        <v>20</v>
      </c>
      <c r="J167" s="682">
        <v>1</v>
      </c>
      <c r="K167" s="579">
        <f t="shared" si="338"/>
        <v>2.2000000000000002</v>
      </c>
      <c r="L167" s="580">
        <f>IF(H167="Select ingredient:","",IF(G167="","",_xlfn.IFNA(VLOOKUP($H167,Ingredient_prices!$E:$U,16,FALSE),0)))</f>
        <v>130.90909090909091</v>
      </c>
      <c r="M167" s="840"/>
      <c r="N167" s="840"/>
      <c r="O167" s="581"/>
      <c r="P167" s="582"/>
      <c r="Q167" s="583">
        <f t="shared" si="339"/>
        <v>20</v>
      </c>
      <c r="R167" s="583">
        <f>VLOOKUP($H167,'CO2_emission+%_food_waste'!$A:$K,6,FALSE)*$Q167/100</f>
        <v>4.1399999999999997</v>
      </c>
      <c r="S167" s="583">
        <f t="shared" si="340"/>
        <v>15.86</v>
      </c>
      <c r="T167" s="583">
        <f>IF(H167="Select ingredient:","",IF(G167="Select food category:","",_xlfn.IFNA(VLOOKUP($H167,Ingredient_prices!$E:$U,16,FALSE)*$Q167/1000,"not bought")))</f>
        <v>2.6181818181818182</v>
      </c>
      <c r="U167" s="583">
        <f>IF(G167="Select food category:","",_xlfn.IFNA(VLOOKUP($H167,Ingredient_prices!$E:$U,16,FALSE)*$R167/1000,"not bought"))</f>
        <v>0.54196363636363631</v>
      </c>
      <c r="V167" s="549">
        <f>VLOOKUP($H167,'CO2_emission+%_food_waste'!$A:$K,4,FALSE)*$Q167</f>
        <v>28</v>
      </c>
      <c r="W167" s="583">
        <f>VLOOKUP($H167,Nutrition_tables!$A:$N,10,FALSE)*$Q167/100</f>
        <v>19.550799999999999</v>
      </c>
      <c r="X167" s="583">
        <f>VLOOKUP($H167,Nutrition_tables!$A:$N,11,FALSE)*$Q167/100</f>
        <v>3.92</v>
      </c>
      <c r="Y167" s="583">
        <f>VLOOKUP($H167,Nutrition_tables!$A:$N,12,FALSE)*$Q167/100</f>
        <v>0.88</v>
      </c>
      <c r="Z167" s="583">
        <f>VLOOKUP($H167,Nutrition_tables!$A:$N,14,FALSE)*$Q167/100</f>
        <v>0.18</v>
      </c>
      <c r="AA167" s="583">
        <f>VLOOKUP($H167,Nutrition_tables!$A:$AF,13,FALSE)*$Q167/100</f>
        <v>0.72</v>
      </c>
      <c r="AB167" s="549">
        <f>VLOOKUP($H167,Nutrition_tables!$A:$AF,15,FALSE)*$Q167/100</f>
        <v>3.3199999999999993E-2</v>
      </c>
      <c r="AC167" s="583">
        <f>VLOOKUP($H167,Nutrition_tables!$A:$AF,16,FALSE)*$Q167/100</f>
        <v>86.6</v>
      </c>
      <c r="AD167" s="583">
        <f>VLOOKUP($H167,Nutrition_tables!$A:$AF,17,FALSE)*$Q167/100</f>
        <v>159.6</v>
      </c>
      <c r="AE167" s="583">
        <f>VLOOKUP($H167,Nutrition_tables!$A:$AF,18,FALSE)*$Q167/100</f>
        <v>3.98</v>
      </c>
      <c r="AF167" s="583">
        <f>VLOOKUP($H167,Nutrition_tables!$A:$AF,19,FALSE)*$Q167/100</f>
        <v>6</v>
      </c>
      <c r="AG167" s="583">
        <f>VLOOKUP($H167,Nutrition_tables!$A:$AF,20,FALSE)*$Q167/100</f>
        <v>8.3800000000000008</v>
      </c>
      <c r="AH167" s="583">
        <f>VLOOKUP($H167,Nutrition_tables!$A:$AF,21,FALSE)*$Q167/100</f>
        <v>0.12</v>
      </c>
      <c r="AI167" s="583">
        <f>VLOOKUP($H167,Nutrition_tables!$A:$AF,22,FALSE)*$Q167/100</f>
        <v>0.04</v>
      </c>
      <c r="AJ167" s="549">
        <f>VLOOKUP($H167,Nutrition_tables!$A:$AF,23,FALSE)*$Q167/100</f>
        <v>0.03</v>
      </c>
      <c r="AK167" s="583">
        <f>VLOOKUP($H167,Nutrition_tables!$A:$AF,24,FALSE)*$Q167/100</f>
        <v>12.24</v>
      </c>
      <c r="AL167" s="583">
        <f>VLOOKUP($H167,Nutrition_tables!$A:$AF,25,FALSE)*$Q167/100</f>
        <v>0.02</v>
      </c>
      <c r="AM167" s="583">
        <f>VLOOKUP($H167,Nutrition_tables!$A:$AF,26,FALSE)*$Q167/100</f>
        <v>0.01</v>
      </c>
      <c r="AN167" s="583">
        <f>VLOOKUP($H167,Nutrition_tables!$A:$AF,27,FALSE)*$Q167/100</f>
        <v>0.36</v>
      </c>
      <c r="AO167" s="583">
        <f>VLOOKUP($H167,Nutrition_tables!$A:$AF,28,FALSE)*$Q167/100</f>
        <v>7.0000000000000007E-2</v>
      </c>
      <c r="AP167" s="583">
        <f>VLOOKUP($H167,Nutrition_tables!$A:$AF,29,FALSE)*$Q167/100</f>
        <v>14.4</v>
      </c>
      <c r="AQ167" s="583">
        <f>VLOOKUP($H167,Nutrition_tables!$A:$AF,30,FALSE)*$Q167/100</f>
        <v>0</v>
      </c>
      <c r="AR167" s="583">
        <f>VLOOKUP($H167,Nutrition_tables!$A:$AF,31,FALSE)*$Q167/100</f>
        <v>1.8</v>
      </c>
      <c r="AS167" s="549">
        <f>VLOOKUP($H167,Nutrition_tables!$A:$AF,32,FALSE)*$Q167/100</f>
        <v>0</v>
      </c>
      <c r="AT167" s="583">
        <f>IF(H167="Select ingredient:","",IF(G167="Select food category:","",IFERROR(VLOOKUP($H167,Ingredient_prices!$E:$W,17,FALSE)*$Q167/1000,"not bought")))</f>
        <v>2.6181818181818182</v>
      </c>
      <c r="AU167" s="583">
        <f>IF(H167="Select ingredient:","",IF(G167="Select food category:","",IFERROR(VLOOKUP($H167,Ingredient_prices!$E:$W,18,FALSE)*$Q167/1000,"not bought")))</f>
        <v>2.6181818181818182</v>
      </c>
      <c r="AV167" s="583">
        <f t="shared" si="341"/>
        <v>15.503776648111675</v>
      </c>
      <c r="AW167" s="583">
        <f t="shared" si="342"/>
        <v>3.1085584457207771</v>
      </c>
      <c r="AX167" s="583">
        <f t="shared" si="343"/>
        <v>0.69783965108017443</v>
      </c>
      <c r="AY167" s="583">
        <f t="shared" si="344"/>
        <v>0.14273992863003568</v>
      </c>
      <c r="AZ167" s="583">
        <f t="shared" si="345"/>
        <v>0.57095971452014271</v>
      </c>
      <c r="BA167" s="583">
        <f t="shared" si="346"/>
        <v>2.6327586836206576E-2</v>
      </c>
      <c r="BB167" s="583">
        <f t="shared" si="347"/>
        <v>68.673765663117166</v>
      </c>
      <c r="BC167" s="583">
        <f t="shared" si="348"/>
        <v>126.56273671863164</v>
      </c>
      <c r="BD167" s="583">
        <f t="shared" si="349"/>
        <v>3.1561384219307889</v>
      </c>
      <c r="BE167" s="583">
        <f t="shared" si="350"/>
        <v>4.7579976210011896</v>
      </c>
      <c r="BF167" s="583">
        <f t="shared" si="351"/>
        <v>6.6453366773316613</v>
      </c>
      <c r="BG167" s="583">
        <f t="shared" si="352"/>
        <v>9.5159952420023786E-2</v>
      </c>
      <c r="BH167" s="583">
        <f t="shared" si="353"/>
        <v>3.1719984140007929E-2</v>
      </c>
      <c r="BI167" s="583">
        <f t="shared" si="354"/>
        <v>2.3789988105005946E-2</v>
      </c>
      <c r="BJ167" s="583">
        <f t="shared" si="355"/>
        <v>9.7063151468424262</v>
      </c>
      <c r="BK167" s="583">
        <f t="shared" si="356"/>
        <v>1.5859992070003964E-2</v>
      </c>
      <c r="BL167" s="583">
        <f t="shared" si="357"/>
        <v>7.9299960350019821E-3</v>
      </c>
      <c r="BM167" s="583">
        <f t="shared" si="358"/>
        <v>0.28547985726007136</v>
      </c>
      <c r="BN167" s="583">
        <f t="shared" si="359"/>
        <v>5.5509972245013882E-2</v>
      </c>
      <c r="BO167" s="583">
        <f t="shared" si="360"/>
        <v>11.419194290402855</v>
      </c>
      <c r="BP167" s="583">
        <f t="shared" si="361"/>
        <v>0</v>
      </c>
      <c r="BQ167" s="583">
        <f t="shared" si="362"/>
        <v>1.4273992863003568</v>
      </c>
      <c r="BR167" s="583">
        <f t="shared" si="363"/>
        <v>0</v>
      </c>
    </row>
    <row r="168" spans="1:70" s="229" customFormat="1" ht="15" customHeight="1">
      <c r="A168" s="574"/>
      <c r="D168" s="406"/>
      <c r="E168" s="585">
        <f t="shared" si="364"/>
        <v>100</v>
      </c>
      <c r="F168" s="85"/>
      <c r="G168" s="406" t="s">
        <v>3076</v>
      </c>
      <c r="H168" s="578" t="s">
        <v>3301</v>
      </c>
      <c r="I168" s="85">
        <v>0.2</v>
      </c>
      <c r="J168" s="682">
        <v>1</v>
      </c>
      <c r="K168" s="579">
        <f t="shared" si="338"/>
        <v>2.2000000000000002E-2</v>
      </c>
      <c r="L168" s="580">
        <f>IF(H168="Select ingredient:","",IF(G168="","",_xlfn.IFNA(VLOOKUP($H168,Ingredient_prices!$E:$U,16,FALSE),0)))</f>
        <v>369.6</v>
      </c>
      <c r="M168" s="840"/>
      <c r="N168" s="840"/>
      <c r="O168" s="581"/>
      <c r="P168" s="582"/>
      <c r="Q168" s="583">
        <f t="shared" si="339"/>
        <v>0.2</v>
      </c>
      <c r="R168" s="583">
        <f>VLOOKUP($H168,'CO2_emission+%_food_waste'!$A:$K,6,FALSE)*$Q168/100</f>
        <v>6.2800000000000009E-2</v>
      </c>
      <c r="S168" s="583">
        <f t="shared" si="340"/>
        <v>0.13719999999999999</v>
      </c>
      <c r="T168" s="583">
        <f>IF(H168="Select ingredient:","",IF(G168="Select food category:","",_xlfn.IFNA(VLOOKUP($H168,Ingredient_prices!$E:$U,16,FALSE)*$Q168/1000,"not bought")))</f>
        <v>7.392E-2</v>
      </c>
      <c r="U168" s="583">
        <f>IF(G168="Select food category:","",_xlfn.IFNA(VLOOKUP($H168,Ingredient_prices!$E:$U,16,FALSE)*$R168/1000,"not bought"))</f>
        <v>2.3210880000000003E-2</v>
      </c>
      <c r="V168" s="549">
        <f>VLOOKUP($H168,'CO2_emission+%_food_waste'!$A:$K,4,FALSE)*$Q168</f>
        <v>0.17400000000000002</v>
      </c>
      <c r="W168" s="583">
        <f>VLOOKUP($H168,Nutrition_tables!$A:$N,10,FALSE)*$Q168/100</f>
        <v>0.27400000000000002</v>
      </c>
      <c r="X168" s="583">
        <f>VLOOKUP($H168,Nutrition_tables!$A:$N,11,FALSE)*$Q168/100</f>
        <v>4.9000000000000002E-2</v>
      </c>
      <c r="Y168" s="583">
        <f>VLOOKUP($H168,Nutrition_tables!$A:$N,12,FALSE)*$Q168/100</f>
        <v>1.7000000000000001E-2</v>
      </c>
      <c r="Z168" s="583">
        <f>VLOOKUP($H168,Nutrition_tables!$A:$N,14,FALSE)*$Q168/100</f>
        <v>1.1999999999999999E-3</v>
      </c>
      <c r="AA168" s="583">
        <f>VLOOKUP($H168,Nutrition_tables!$A:$AF,13,FALSE)*$Q168/100</f>
        <v>-7.9999999999999996E-6</v>
      </c>
      <c r="AB168" s="549">
        <f>VLOOKUP($H168,Nutrition_tables!$A:$AF,15,FALSE)*$Q168/100</f>
        <v>-7.9999999999999996E-6</v>
      </c>
      <c r="AC168" s="583">
        <f>VLOOKUP($H168,Nutrition_tables!$A:$AF,16,FALSE)*$Q168/100</f>
        <v>25.52</v>
      </c>
      <c r="AD168" s="583">
        <f>VLOOKUP($H168,Nutrition_tables!$A:$AF,17,FALSE)*$Q168/100</f>
        <v>2</v>
      </c>
      <c r="AE168" s="583">
        <f>VLOOKUP($H168,Nutrition_tables!$A:$AF,18,FALSE)*$Q168/100</f>
        <v>0</v>
      </c>
      <c r="AF168" s="583">
        <f>VLOOKUP($H168,Nutrition_tables!$A:$AF,19,FALSE)*$Q168/100</f>
        <v>-7.9999999999999996E-6</v>
      </c>
      <c r="AG168" s="583">
        <f>VLOOKUP($H168,Nutrition_tables!$A:$AF,20,FALSE)*$Q168/100</f>
        <v>-7.9999999999999996E-6</v>
      </c>
      <c r="AH168" s="583">
        <f>VLOOKUP($H168,Nutrition_tables!$A:$AF,21,FALSE)*$Q168/100</f>
        <v>1.4400000000000001E-2</v>
      </c>
      <c r="AI168" s="583">
        <f>VLOOKUP($H168,Nutrition_tables!$A:$AF,22,FALSE)*$Q168/100</f>
        <v>-7.9999999999999996E-6</v>
      </c>
      <c r="AJ168" s="549">
        <f>VLOOKUP($H168,Nutrition_tables!$A:$AF,23,FALSE)*$Q168/100</f>
        <v>-8.0000000000000007E-7</v>
      </c>
      <c r="AK168" s="583">
        <f>VLOOKUP($H168,Nutrition_tables!$A:$AF,24,FALSE)*$Q168/100</f>
        <v>-7.9999999999999996E-6</v>
      </c>
      <c r="AL168" s="583">
        <f>VLOOKUP($H168,Nutrition_tables!$A:$AF,25,FALSE)*$Q168/100</f>
        <v>-7.9999999999999996E-6</v>
      </c>
      <c r="AM168" s="583">
        <f>VLOOKUP($H168,Nutrition_tables!$A:$AF,26,FALSE)*$Q168/100</f>
        <v>-7.9999999999999996E-6</v>
      </c>
      <c r="AN168" s="583">
        <f>VLOOKUP($H168,Nutrition_tables!$A:$AF,27,FALSE)*$Q168/100</f>
        <v>-7.9999999999999996E-6</v>
      </c>
      <c r="AO168" s="583">
        <f>VLOOKUP($H168,Nutrition_tables!$A:$AF,28,FALSE)*$Q168/100</f>
        <v>-7.9999999999999996E-6</v>
      </c>
      <c r="AP168" s="583">
        <f>VLOOKUP($H168,Nutrition_tables!$A:$AF,29,FALSE)*$Q168/100</f>
        <v>-7.9999999999999996E-6</v>
      </c>
      <c r="AQ168" s="583">
        <f>VLOOKUP($H168,Nutrition_tables!$A:$AF,30,FALSE)*$Q168/100</f>
        <v>-8.0000000000000007E-7</v>
      </c>
      <c r="AR168" s="583">
        <f>VLOOKUP($H168,Nutrition_tables!$A:$AF,31,FALSE)*$Q168/100</f>
        <v>0</v>
      </c>
      <c r="AS168" s="549">
        <f>VLOOKUP($H168,Nutrition_tables!$A:$AF,32,FALSE)*$Q168/100</f>
        <v>-8.0000000000000007E-7</v>
      </c>
      <c r="AT168" s="583">
        <f>IF(H168="Select ingredient:","",IF(G168="Select food category:","",IFERROR(VLOOKUP($H168,Ingredient_prices!$E:$W,17,FALSE)*$Q168/1000,"not bought")))</f>
        <v>7.392E-2</v>
      </c>
      <c r="AU168" s="583">
        <f>IF(H168="Select ingredient:","",IF(G168="Select food category:","",IFERROR(VLOOKUP($H168,Ingredient_prices!$E:$W,18,FALSE)*$Q168/1000,"not bought")))</f>
        <v>7.392E-2</v>
      </c>
      <c r="AV168" s="583">
        <f t="shared" si="341"/>
        <v>0.1879546022698865</v>
      </c>
      <c r="AW168" s="583">
        <f t="shared" si="342"/>
        <v>3.3612319384030795E-2</v>
      </c>
      <c r="AX168" s="583">
        <f t="shared" si="343"/>
        <v>1.1661416929153541E-2</v>
      </c>
      <c r="AY168" s="583">
        <f t="shared" si="344"/>
        <v>8.2315884205789688E-4</v>
      </c>
      <c r="AZ168" s="583">
        <f t="shared" si="345"/>
        <v>-5.4877256137193127E-6</v>
      </c>
      <c r="BA168" s="583">
        <f t="shared" si="346"/>
        <v>-5.4877256137193127E-6</v>
      </c>
      <c r="BB168" s="583">
        <f t="shared" si="347"/>
        <v>17.505844707764609</v>
      </c>
      <c r="BC168" s="583">
        <f t="shared" si="348"/>
        <v>1.3719314034298282</v>
      </c>
      <c r="BD168" s="583">
        <f t="shared" si="349"/>
        <v>0</v>
      </c>
      <c r="BE168" s="583">
        <f t="shared" si="350"/>
        <v>-5.4877256137193127E-6</v>
      </c>
      <c r="BF168" s="583">
        <f t="shared" si="351"/>
        <v>-5.4877256137193127E-6</v>
      </c>
      <c r="BG168" s="583">
        <f t="shared" si="352"/>
        <v>9.8779061046947638E-3</v>
      </c>
      <c r="BH168" s="583">
        <f t="shared" si="353"/>
        <v>-5.4877256137193127E-6</v>
      </c>
      <c r="BI168" s="583">
        <f t="shared" si="354"/>
        <v>-5.4877256137193136E-7</v>
      </c>
      <c r="BJ168" s="583">
        <f t="shared" si="355"/>
        <v>-5.4877256137193127E-6</v>
      </c>
      <c r="BK168" s="583">
        <f t="shared" si="356"/>
        <v>-5.4877256137193127E-6</v>
      </c>
      <c r="BL168" s="583">
        <f t="shared" si="357"/>
        <v>-5.4877256137193127E-6</v>
      </c>
      <c r="BM168" s="583">
        <f t="shared" si="358"/>
        <v>-5.4877256137193127E-6</v>
      </c>
      <c r="BN168" s="583">
        <f t="shared" si="359"/>
        <v>-5.4877256137193127E-6</v>
      </c>
      <c r="BO168" s="583">
        <f t="shared" si="360"/>
        <v>-5.4877256137193127E-6</v>
      </c>
      <c r="BP168" s="583">
        <f t="shared" si="361"/>
        <v>-5.4877256137193136E-7</v>
      </c>
      <c r="BQ168" s="583">
        <f t="shared" si="362"/>
        <v>0</v>
      </c>
      <c r="BR168" s="583">
        <f t="shared" si="363"/>
        <v>-5.4877256137193136E-7</v>
      </c>
    </row>
    <row r="169" spans="1:70" s="229" customFormat="1" ht="15" customHeight="1">
      <c r="A169" s="574"/>
      <c r="E169" s="585">
        <f t="shared" si="364"/>
        <v>100</v>
      </c>
      <c r="F169" s="85"/>
      <c r="G169" s="406" t="s">
        <v>3076</v>
      </c>
      <c r="H169" s="578" t="s">
        <v>495</v>
      </c>
      <c r="I169" s="85">
        <v>0.2</v>
      </c>
      <c r="J169" s="682">
        <v>1</v>
      </c>
      <c r="K169" s="579">
        <f t="shared" si="338"/>
        <v>2.2000000000000002E-2</v>
      </c>
      <c r="L169" s="580">
        <f>IF(H169="Select ingredient:","",IF(G169="","",_xlfn.IFNA(VLOOKUP($H169,Ingredient_prices!$E:$U,16,FALSE),0)))</f>
        <v>33.6</v>
      </c>
      <c r="M169" s="840"/>
      <c r="N169" s="840"/>
      <c r="O169" s="581"/>
      <c r="P169" s="582"/>
      <c r="Q169" s="583">
        <f>I169/J169</f>
        <v>0.2</v>
      </c>
      <c r="R169" s="583">
        <f>VLOOKUP($H169,'CO2_emission+%_food_waste'!$A:$K,6,FALSE)*$Q169/100</f>
        <v>6.2E-2</v>
      </c>
      <c r="S169" s="583">
        <f t="shared" si="340"/>
        <v>0.13800000000000001</v>
      </c>
      <c r="T169" s="583">
        <f>IF(H169="Select ingredient:","",IF(G169="Select food category:","",_xlfn.IFNA(VLOOKUP($H169,Ingredient_prices!$E:$U,16,FALSE)*$Q169/1000,"not bought")))</f>
        <v>6.7200000000000003E-3</v>
      </c>
      <c r="U169" s="583">
        <f>IF(G169="Select food category:","",_xlfn.IFNA(VLOOKUP($H169,Ingredient_prices!$E:$U,16,FALSE)*$R169/1000,"not bought"))</f>
        <v>2.0832000000000003E-3</v>
      </c>
      <c r="V169" s="549">
        <f>VLOOKUP($H169,'CO2_emission+%_food_waste'!$A:$K,4,FALSE)*$Q169</f>
        <v>3.5999999999999997E-2</v>
      </c>
      <c r="W169" s="583">
        <f>VLOOKUP($H169,Nutrition_tables!$A:$N,10,FALSE)*$Q169/100</f>
        <v>0</v>
      </c>
      <c r="X169" s="583">
        <f>VLOOKUP($H169,Nutrition_tables!$A:$N,11,FALSE)*$Q169/100</f>
        <v>0</v>
      </c>
      <c r="Y169" s="583">
        <f>VLOOKUP($H169,Nutrition_tables!$A:$N,12,FALSE)*$Q169/100</f>
        <v>0</v>
      </c>
      <c r="Z169" s="583">
        <f>VLOOKUP($H169,Nutrition_tables!$A:$N,14,FALSE)*$Q169/100</f>
        <v>0</v>
      </c>
      <c r="AA169" s="583">
        <f>VLOOKUP($H169,Nutrition_tables!$A:$AF,13,FALSE)*$Q169/100</f>
        <v>0</v>
      </c>
      <c r="AB169" s="549">
        <f>VLOOKUP($H169,Nutrition_tables!$A:$AF,15,FALSE)*$Q169/100</f>
        <v>0</v>
      </c>
      <c r="AC169" s="583">
        <f>VLOOKUP($H169,Nutrition_tables!$A:$AF,16,FALSE)*$Q169/100</f>
        <v>77.7</v>
      </c>
      <c r="AD169" s="583">
        <f>VLOOKUP($H169,Nutrition_tables!$A:$AF,17,FALSE)*$Q169/100</f>
        <v>0.23199999999999998</v>
      </c>
      <c r="AE169" s="583">
        <f>VLOOKUP($H169,Nutrition_tables!$A:$AF,18,FALSE)*$Q169/100</f>
        <v>3.8000000000000006E-2</v>
      </c>
      <c r="AF169" s="583">
        <f>VLOOKUP($H169,Nutrition_tables!$A:$AF,19,FALSE)*$Q169/100</f>
        <v>0.53</v>
      </c>
      <c r="AG169" s="583">
        <f>VLOOKUP($H169,Nutrition_tables!$A:$AF,20,FALSE)*$Q169/100</f>
        <v>1.6E-2</v>
      </c>
      <c r="AH169" s="583">
        <f>VLOOKUP($H169,Nutrition_tables!$A:$AF,21,FALSE)*$Q169/100</f>
        <v>4.0000000000000003E-5</v>
      </c>
      <c r="AI169" s="583">
        <f>VLOOKUP($H169,Nutrition_tables!$A:$AF,22,FALSE)*$Q169/100</f>
        <v>2.0000000000000004E-4</v>
      </c>
      <c r="AJ169" s="549">
        <f>VLOOKUP($H169,Nutrition_tables!$A:$AF,23,FALSE)*$Q169/100</f>
        <v>6.0000000000000002E-5</v>
      </c>
      <c r="AK169" s="583">
        <f>VLOOKUP($H169,Nutrition_tables!$A:$AF,24,FALSE)*$Q169/100</f>
        <v>0</v>
      </c>
      <c r="AL169" s="583">
        <f>VLOOKUP($H169,Nutrition_tables!$A:$AF,25,FALSE)*$Q169/100</f>
        <v>0</v>
      </c>
      <c r="AM169" s="583">
        <f>VLOOKUP($H169,Nutrition_tables!$A:$AF,26,FALSE)*$Q169/100</f>
        <v>0</v>
      </c>
      <c r="AN169" s="583">
        <f>VLOOKUP($H169,Nutrition_tables!$A:$AF,27,FALSE)*$Q169/100</f>
        <v>0</v>
      </c>
      <c r="AO169" s="583">
        <f>VLOOKUP($H169,Nutrition_tables!$A:$AF,28,FALSE)*$Q169/100</f>
        <v>0</v>
      </c>
      <c r="AP169" s="583">
        <f>VLOOKUP($H169,Nutrition_tables!$A:$AF,29,FALSE)*$Q169/100</f>
        <v>0</v>
      </c>
      <c r="AQ169" s="583">
        <f>VLOOKUP($H169,Nutrition_tables!$A:$AF,30,FALSE)*$Q169/100</f>
        <v>0</v>
      </c>
      <c r="AR169" s="583">
        <f>VLOOKUP($H169,Nutrition_tables!$A:$AF,31,FALSE)*$Q169/100</f>
        <v>0</v>
      </c>
      <c r="AS169" s="549">
        <f>VLOOKUP($H169,Nutrition_tables!$A:$AF,32,FALSE)*$Q169/100</f>
        <v>0</v>
      </c>
      <c r="AT169" s="583">
        <f>IF(H169="Select ingredient:","",IF(G169="Select food category:","",IFERROR(VLOOKUP($H169,Ingredient_prices!$E:$W,17,FALSE)*$Q169/1000,"not bought")))</f>
        <v>6.7200000000000003E-3</v>
      </c>
      <c r="AU169" s="583">
        <f>IF(H169="Select ingredient:","",IF(G169="Select food category:","",IFERROR(VLOOKUP($H169,Ingredient_prices!$E:$W,18,FALSE)*$Q169/1000,"not bought")))</f>
        <v>6.7200000000000003E-3</v>
      </c>
      <c r="AV169" s="583">
        <f t="shared" si="341"/>
        <v>0</v>
      </c>
      <c r="AW169" s="583">
        <f t="shared" si="342"/>
        <v>0</v>
      </c>
      <c r="AX169" s="583">
        <f t="shared" si="343"/>
        <v>0</v>
      </c>
      <c r="AY169" s="583">
        <f t="shared" si="344"/>
        <v>0</v>
      </c>
      <c r="AZ169" s="583">
        <f t="shared" si="345"/>
        <v>0</v>
      </c>
      <c r="BA169" s="583">
        <f t="shared" si="346"/>
        <v>0</v>
      </c>
      <c r="BB169" s="583">
        <f t="shared" si="347"/>
        <v>53.610319484025801</v>
      </c>
      <c r="BC169" s="583">
        <f t="shared" si="348"/>
        <v>0.16007199640017999</v>
      </c>
      <c r="BD169" s="583">
        <f t="shared" si="349"/>
        <v>2.6218689065546728E-2</v>
      </c>
      <c r="BE169" s="583">
        <f t="shared" si="350"/>
        <v>0.36568171591420429</v>
      </c>
      <c r="BF169" s="583">
        <f t="shared" si="351"/>
        <v>1.103944802759862E-2</v>
      </c>
      <c r="BG169" s="583">
        <f t="shared" si="352"/>
        <v>2.7598620068996551E-5</v>
      </c>
      <c r="BH169" s="583">
        <f t="shared" si="353"/>
        <v>1.3799310034498278E-4</v>
      </c>
      <c r="BI169" s="583">
        <f t="shared" si="354"/>
        <v>4.1397930103494823E-5</v>
      </c>
      <c r="BJ169" s="583">
        <f t="shared" si="355"/>
        <v>0</v>
      </c>
      <c r="BK169" s="583">
        <f t="shared" si="356"/>
        <v>0</v>
      </c>
      <c r="BL169" s="583">
        <f t="shared" si="357"/>
        <v>0</v>
      </c>
      <c r="BM169" s="583">
        <f t="shared" si="358"/>
        <v>0</v>
      </c>
      <c r="BN169" s="583">
        <f t="shared" si="359"/>
        <v>0</v>
      </c>
      <c r="BO169" s="583">
        <f t="shared" si="360"/>
        <v>0</v>
      </c>
      <c r="BP169" s="583">
        <f t="shared" si="361"/>
        <v>0</v>
      </c>
      <c r="BQ169" s="583">
        <f t="shared" si="362"/>
        <v>0</v>
      </c>
      <c r="BR169" s="583">
        <f t="shared" si="363"/>
        <v>0</v>
      </c>
    </row>
    <row r="170" spans="1:70" s="229" customFormat="1" ht="15" customHeight="1">
      <c r="A170" s="574"/>
      <c r="D170" s="85"/>
      <c r="E170" s="585">
        <f t="shared" si="364"/>
        <v>100</v>
      </c>
      <c r="F170" s="85"/>
      <c r="G170" s="406" t="s">
        <v>3141</v>
      </c>
      <c r="H170" s="578" t="s">
        <v>3276</v>
      </c>
      <c r="I170" s="85">
        <v>50</v>
      </c>
      <c r="J170" s="682">
        <v>1</v>
      </c>
      <c r="K170" s="579">
        <f t="shared" si="338"/>
        <v>5.5000000000000009</v>
      </c>
      <c r="L170" s="580">
        <f>IF(H170="Select ingredient:","",IF(G170="","",_xlfn.IFNA(VLOOKUP($H170,Ingredient_prices!$E:$U,16,FALSE),0)))</f>
        <v>345.6</v>
      </c>
      <c r="M170" s="840"/>
      <c r="N170" s="840"/>
      <c r="O170" s="581"/>
      <c r="P170" s="582"/>
      <c r="Q170" s="583">
        <f>I170/J170</f>
        <v>50</v>
      </c>
      <c r="R170" s="583">
        <f>VLOOKUP($H170,'CO2_emission+%_food_waste'!$A:$K,6,FALSE)*$Q170/100</f>
        <v>10.5</v>
      </c>
      <c r="S170" s="583">
        <f t="shared" si="340"/>
        <v>39.5</v>
      </c>
      <c r="T170" s="583">
        <f>IF(H170="Select ingredient:","",IF(G170="Select food category:","",_xlfn.IFNA(VLOOKUP($H170,Ingredient_prices!$E:$U,16,FALSE)*$Q170/1000,"not bought")))</f>
        <v>17.28</v>
      </c>
      <c r="U170" s="583">
        <f>IF(G170="Select food category:","",_xlfn.IFNA(VLOOKUP($H170,Ingredient_prices!$E:$U,16,FALSE)*$R170/1000,"not bought"))</f>
        <v>3.6288</v>
      </c>
      <c r="V170" s="549">
        <f>VLOOKUP($H170,'CO2_emission+%_food_waste'!$A:$K,4,FALSE)*$Q170</f>
        <v>160</v>
      </c>
      <c r="W170" s="583">
        <f>VLOOKUP($H170,Nutrition_tables!$A:$N,10,FALSE)*$Q170/100</f>
        <v>174.5</v>
      </c>
      <c r="X170" s="583">
        <f>VLOOKUP($H170,Nutrition_tables!$A:$N,11,FALSE)*$Q170/100</f>
        <v>36</v>
      </c>
      <c r="Y170" s="583">
        <f>VLOOKUP($H170,Nutrition_tables!$A:$N,12,FALSE)*$Q170/100</f>
        <v>5.5</v>
      </c>
      <c r="Z170" s="583">
        <f>VLOOKUP($H170,Nutrition_tables!$A:$N,14,FALSE)*$Q170/100</f>
        <v>0.5</v>
      </c>
      <c r="AA170" s="583">
        <f>VLOOKUP($H170,Nutrition_tables!$A:$AF,13,FALSE)*$Q170/100</f>
        <v>1.8</v>
      </c>
      <c r="AB170" s="549">
        <f>VLOOKUP($H170,Nutrition_tables!$A:$AF,15,FALSE)*$Q170/100</f>
        <v>0</v>
      </c>
      <c r="AC170" s="583">
        <f>VLOOKUP($H170,Nutrition_tables!$A:$AF,16,FALSE)*$Q170/100</f>
        <v>0</v>
      </c>
      <c r="AD170" s="583">
        <f>VLOOKUP($H170,Nutrition_tables!$A:$AF,17,FALSE)*$Q170/100</f>
        <v>117</v>
      </c>
      <c r="AE170" s="583">
        <f>VLOOKUP($H170,Nutrition_tables!$A:$AF,18,FALSE)*$Q170/100</f>
        <v>0</v>
      </c>
      <c r="AF170" s="583">
        <f>VLOOKUP($H170,Nutrition_tables!$A:$AF,19,FALSE)*$Q170/100</f>
        <v>30</v>
      </c>
      <c r="AG170" s="583">
        <f>VLOOKUP($H170,Nutrition_tables!$A:$AF,20,FALSE)*$Q170/100</f>
        <v>107</v>
      </c>
      <c r="AH170" s="583">
        <f>VLOOKUP($H170,Nutrition_tables!$A:$AF,21,FALSE)*$Q170/100</f>
        <v>1.605</v>
      </c>
      <c r="AI170" s="583">
        <f>VLOOKUP($H170,Nutrition_tables!$A:$AF,22,FALSE)*$Q170/100</f>
        <v>0.8</v>
      </c>
      <c r="AJ170" s="549">
        <f>VLOOKUP($H170,Nutrition_tables!$A:$AF,23,FALSE)*$Q170/100</f>
        <v>0.125</v>
      </c>
      <c r="AK170" s="583">
        <f>VLOOKUP($H170,Nutrition_tables!$A:$AF,24,FALSE)*$Q170/100</f>
        <v>0</v>
      </c>
      <c r="AL170" s="583">
        <f>VLOOKUP($H170,Nutrition_tables!$A:$AF,25,FALSE)*$Q170/100</f>
        <v>0.5</v>
      </c>
      <c r="AM170" s="583">
        <f>VLOOKUP($H170,Nutrition_tables!$A:$AF,26,FALSE)*$Q170/100</f>
        <v>0.22750000000000001</v>
      </c>
      <c r="AN170" s="583">
        <f>VLOOKUP($H170,Nutrition_tables!$A:$AF,27,FALSE)*$Q170/100</f>
        <v>2.68</v>
      </c>
      <c r="AO170" s="583">
        <f>VLOOKUP($H170,Nutrition_tables!$A:$AF,28,FALSE)*$Q170/100</f>
        <v>0.05</v>
      </c>
      <c r="AP170" s="583">
        <f>VLOOKUP($H170,Nutrition_tables!$A:$AF,29,FALSE)*$Q170/100</f>
        <v>14.5</v>
      </c>
      <c r="AQ170" s="583">
        <f>VLOOKUP($H170,Nutrition_tables!$A:$AF,30,FALSE)*$Q170/100</f>
        <v>0.2</v>
      </c>
      <c r="AR170" s="583">
        <f>VLOOKUP($H170,Nutrition_tables!$A:$AF,31,FALSE)*$Q170/100</f>
        <v>0</v>
      </c>
      <c r="AS170" s="549">
        <f>VLOOKUP($H170,Nutrition_tables!$A:$AF,32,FALSE)*$Q170/100</f>
        <v>0.15</v>
      </c>
      <c r="AT170" s="583">
        <f>IF(H170="Select ingredient:","",IF(G170="Select food category:","",IFERROR(VLOOKUP($H170,Ingredient_prices!$E:$W,17,FALSE)*$Q170/1000,"not bought")))</f>
        <v>17.28</v>
      </c>
      <c r="AU170" s="583">
        <f>IF(H170="Select ingredient:","",IF(G170="Select food category:","",IFERROR(VLOOKUP($H170,Ingredient_prices!$E:$W,18,FALSE)*$Q170/1000,"not bought")))</f>
        <v>17.28</v>
      </c>
      <c r="AV170" s="583">
        <f t="shared" si="341"/>
        <v>137.8549724290055</v>
      </c>
      <c r="AW170" s="583">
        <f t="shared" si="342"/>
        <v>28.439994312001136</v>
      </c>
      <c r="AX170" s="583">
        <f t="shared" si="343"/>
        <v>4.3449991310001739</v>
      </c>
      <c r="AY170" s="583">
        <f t="shared" si="344"/>
        <v>0.3949999210000158</v>
      </c>
      <c r="AZ170" s="583">
        <f t="shared" si="345"/>
        <v>1.421999715600057</v>
      </c>
      <c r="BA170" s="583">
        <f t="shared" si="346"/>
        <v>0</v>
      </c>
      <c r="BB170" s="583">
        <f t="shared" si="347"/>
        <v>0</v>
      </c>
      <c r="BC170" s="583">
        <f t="shared" si="348"/>
        <v>92.429981514003686</v>
      </c>
      <c r="BD170" s="583">
        <f t="shared" si="349"/>
        <v>0</v>
      </c>
      <c r="BE170" s="583">
        <f t="shared" si="350"/>
        <v>23.699995260000946</v>
      </c>
      <c r="BF170" s="583">
        <f t="shared" si="351"/>
        <v>84.52998309400337</v>
      </c>
      <c r="BG170" s="583">
        <f t="shared" si="352"/>
        <v>1.2679497464100506</v>
      </c>
      <c r="BH170" s="583">
        <f t="shared" si="353"/>
        <v>0.6319998736000253</v>
      </c>
      <c r="BI170" s="583">
        <f t="shared" si="354"/>
        <v>9.8749980250003949E-2</v>
      </c>
      <c r="BJ170" s="583">
        <f t="shared" si="355"/>
        <v>0</v>
      </c>
      <c r="BK170" s="583">
        <f t="shared" si="356"/>
        <v>0.3949999210000158</v>
      </c>
      <c r="BL170" s="583">
        <f t="shared" si="357"/>
        <v>0.17972496405500718</v>
      </c>
      <c r="BM170" s="583">
        <f t="shared" si="358"/>
        <v>2.1171995765600844</v>
      </c>
      <c r="BN170" s="583">
        <f t="shared" si="359"/>
        <v>3.9499992100001581E-2</v>
      </c>
      <c r="BO170" s="583">
        <f t="shared" si="360"/>
        <v>11.454997709000457</v>
      </c>
      <c r="BP170" s="583">
        <f t="shared" si="361"/>
        <v>0.15799996840000632</v>
      </c>
      <c r="BQ170" s="583">
        <f t="shared" si="362"/>
        <v>0</v>
      </c>
      <c r="BR170" s="583">
        <f t="shared" si="363"/>
        <v>0.11849997630000472</v>
      </c>
    </row>
    <row r="171" spans="1:70" s="229" customFormat="1" ht="15" customHeight="1">
      <c r="A171" s="574"/>
      <c r="D171" s="85"/>
      <c r="E171" s="576">
        <f t="shared" si="364"/>
        <v>100</v>
      </c>
      <c r="F171" s="406"/>
      <c r="G171" s="406" t="s">
        <v>3140</v>
      </c>
      <c r="H171" s="578" t="s">
        <v>3115</v>
      </c>
      <c r="I171" s="85">
        <v>10</v>
      </c>
      <c r="J171" s="682">
        <v>1</v>
      </c>
      <c r="K171" s="579">
        <f t="shared" si="338"/>
        <v>1.1000000000000001</v>
      </c>
      <c r="L171" s="580">
        <f>IF(H171="Select ingredient:","",IF(G171="","",_xlfn.IFNA(VLOOKUP($H171,Ingredient_prices!$E:$U,16,FALSE),0)))</f>
        <v>110</v>
      </c>
      <c r="M171" s="840"/>
      <c r="N171" s="840"/>
      <c r="O171" s="581"/>
      <c r="P171" s="582"/>
      <c r="Q171" s="583">
        <f t="shared" ref="Q171:Q179" si="365">I171/J171</f>
        <v>10</v>
      </c>
      <c r="R171" s="583">
        <f>VLOOKUP($H171,'CO2_emission+%_food_waste'!$A:$K,6,FALSE)*$Q171/100</f>
        <v>3.0030000000000001</v>
      </c>
      <c r="S171" s="583">
        <f t="shared" si="340"/>
        <v>6.9969999999999999</v>
      </c>
      <c r="T171" s="583">
        <f>IF(H171="Select ingredient:","",IF(G171="Select food category:","",_xlfn.IFNA(VLOOKUP($H171,Ingredient_prices!$E:$U,16,FALSE)*$Q171/1000,"not bought")))</f>
        <v>1.1000000000000001</v>
      </c>
      <c r="U171" s="583">
        <f>IF(G171="Select food category:","",_xlfn.IFNA(VLOOKUP($H171,Ingredient_prices!$E:$U,16,FALSE)*$R171/1000,"not bought"))</f>
        <v>0.33033000000000007</v>
      </c>
      <c r="V171" s="549">
        <f>VLOOKUP($H171,'CO2_emission+%_food_waste'!$A:$K,4,FALSE)*$Q171</f>
        <v>4.6000000000000005</v>
      </c>
      <c r="W171" s="583">
        <f>VLOOKUP($H171,Nutrition_tables!$A:$N,10,FALSE)*$Q171/100</f>
        <v>3.18</v>
      </c>
      <c r="X171" s="583">
        <f>VLOOKUP($H171,Nutrition_tables!$A:$N,11,FALSE)*$Q171/100</f>
        <v>0.66</v>
      </c>
      <c r="Y171" s="583">
        <f>VLOOKUP($H171,Nutrition_tables!$A:$N,12,FALSE)*$Q171/100</f>
        <v>8.4000000000000005E-2</v>
      </c>
      <c r="Z171" s="583">
        <f>VLOOKUP($H171,Nutrition_tables!$A:$N,14,FALSE)*$Q171/100</f>
        <v>2.7000000000000003E-2</v>
      </c>
      <c r="AA171" s="583">
        <f>VLOOKUP($H171,Nutrition_tables!$A:$AF,13,FALSE)*$Q171/100</f>
        <v>0.217</v>
      </c>
      <c r="AB171" s="549">
        <f>VLOOKUP($H171,Nutrition_tables!$A:$AF,15,FALSE)*$Q171/100</f>
        <v>4.0000000000000001E-3</v>
      </c>
      <c r="AC171" s="583">
        <f>VLOOKUP($H171,Nutrition_tables!$A:$AF,16,FALSE)*$Q171/100</f>
        <v>3.76</v>
      </c>
      <c r="AD171" s="583">
        <f>VLOOKUP($H171,Nutrition_tables!$A:$AF,17,FALSE)*$Q171/100</f>
        <v>31.5</v>
      </c>
      <c r="AE171" s="583">
        <f>VLOOKUP($H171,Nutrition_tables!$A:$AF,18,FALSE)*$Q171/100</f>
        <v>3.19</v>
      </c>
      <c r="AF171" s="583">
        <f>VLOOKUP($H171,Nutrition_tables!$A:$AF,19,FALSE)*$Q171/100</f>
        <v>1.18</v>
      </c>
      <c r="AG171" s="583">
        <f>VLOOKUP($H171,Nutrition_tables!$A:$AF,20,FALSE)*$Q171/100</f>
        <v>1.64</v>
      </c>
      <c r="AH171" s="583">
        <f>VLOOKUP($H171,Nutrition_tables!$A:$AF,21,FALSE)*$Q171/100</f>
        <v>2.1000000000000001E-2</v>
      </c>
      <c r="AI171" s="583">
        <f>VLOOKUP($H171,Nutrition_tables!$A:$AF,22,FALSE)*$Q171/100</f>
        <v>2.1999999999999999E-2</v>
      </c>
      <c r="AJ171" s="549">
        <f>VLOOKUP($H171,Nutrition_tables!$A:$AF,23,FALSE)*$Q171/100</f>
        <v>4.4999999999999999E-4</v>
      </c>
      <c r="AK171" s="583">
        <f>VLOOKUP($H171,Nutrition_tables!$A:$AF,24,FALSE)*$Q171/100</f>
        <v>85.2</v>
      </c>
      <c r="AL171" s="583">
        <f>VLOOKUP($H171,Nutrition_tables!$A:$AF,25,FALSE)*$Q171/100</f>
        <v>5.0000000000000001E-3</v>
      </c>
      <c r="AM171" s="583">
        <f>VLOOKUP($H171,Nutrition_tables!$A:$AF,26,FALSE)*$Q171/100</f>
        <v>4.0000000000000001E-3</v>
      </c>
      <c r="AN171" s="583">
        <f>VLOOKUP($H171,Nutrition_tables!$A:$AF,27,FALSE)*$Q171/100</f>
        <v>9.8000000000000004E-2</v>
      </c>
      <c r="AO171" s="583">
        <f>VLOOKUP($H171,Nutrition_tables!$A:$AF,28,FALSE)*$Q171/100</f>
        <v>1.2E-2</v>
      </c>
      <c r="AP171" s="583">
        <f>VLOOKUP($H171,Nutrition_tables!$A:$AF,29,FALSE)*$Q171/100</f>
        <v>4.6399999999999988</v>
      </c>
      <c r="AQ171" s="583">
        <f>VLOOKUP($H171,Nutrition_tables!$A:$AF,30,FALSE)*$Q171/100</f>
        <v>0</v>
      </c>
      <c r="AR171" s="583">
        <f>VLOOKUP($H171,Nutrition_tables!$A:$AF,31,FALSE)*$Q171/100</f>
        <v>0.54400000000000004</v>
      </c>
      <c r="AS171" s="549">
        <f>VLOOKUP($H171,Nutrition_tables!$A:$AF,32,FALSE)*$Q171/100</f>
        <v>0</v>
      </c>
      <c r="AT171" s="583">
        <f>IF(H171="Select ingredient:","",IF(G171="Select food category:","",IFERROR(VLOOKUP($H171,Ingredient_prices!$E:$W,17,FALSE)*$Q171/1000,"not bought")))</f>
        <v>0.38500000000000001</v>
      </c>
      <c r="AU171" s="583">
        <f>IF(H171="Select ingredient:","",IF(G171="Select food category:","",IFERROR(VLOOKUP($H171,Ingredient_prices!$E:$W,18,FALSE)*$Q171/1000,"not bought")))</f>
        <v>1.1000000000000001</v>
      </c>
      <c r="AV171" s="583">
        <f t="shared" si="341"/>
        <v>2.2250437749562253</v>
      </c>
      <c r="AW171" s="583">
        <f t="shared" si="342"/>
        <v>0.46180153819846187</v>
      </c>
      <c r="AX171" s="583">
        <f t="shared" si="343"/>
        <v>5.8774741225258782E-2</v>
      </c>
      <c r="AY171" s="583">
        <f t="shared" si="344"/>
        <v>1.8891881108118895E-2</v>
      </c>
      <c r="AZ171" s="583">
        <f t="shared" si="345"/>
        <v>0.15183474816525183</v>
      </c>
      <c r="BA171" s="583">
        <f t="shared" si="346"/>
        <v>2.7987972012027988E-3</v>
      </c>
      <c r="BB171" s="583">
        <f t="shared" si="347"/>
        <v>2.6308693691306306</v>
      </c>
      <c r="BC171" s="583">
        <f t="shared" si="348"/>
        <v>22.04052795947204</v>
      </c>
      <c r="BD171" s="583">
        <f t="shared" si="349"/>
        <v>2.2320407679592318</v>
      </c>
      <c r="BE171" s="583">
        <f t="shared" si="350"/>
        <v>0.82564517435482554</v>
      </c>
      <c r="BF171" s="583">
        <f t="shared" si="351"/>
        <v>1.1475068524931473</v>
      </c>
      <c r="BG171" s="583">
        <f t="shared" si="352"/>
        <v>1.4693685306314696E-2</v>
      </c>
      <c r="BH171" s="583">
        <f t="shared" si="353"/>
        <v>1.5393384606615393E-2</v>
      </c>
      <c r="BI171" s="583">
        <f t="shared" si="354"/>
        <v>3.1486468513531484E-4</v>
      </c>
      <c r="BJ171" s="583">
        <f t="shared" si="355"/>
        <v>59.614380385619619</v>
      </c>
      <c r="BK171" s="583">
        <f t="shared" si="356"/>
        <v>3.4984965015034987E-3</v>
      </c>
      <c r="BL171" s="583">
        <f t="shared" si="357"/>
        <v>2.7987972012027988E-3</v>
      </c>
      <c r="BM171" s="583">
        <f t="shared" si="358"/>
        <v>6.8570531429468576E-2</v>
      </c>
      <c r="BN171" s="583">
        <f t="shared" si="359"/>
        <v>8.3963916036083972E-3</v>
      </c>
      <c r="BO171" s="583">
        <f t="shared" si="360"/>
        <v>3.2466047533952458</v>
      </c>
      <c r="BP171" s="583">
        <f t="shared" si="361"/>
        <v>0</v>
      </c>
      <c r="BQ171" s="583">
        <f t="shared" si="362"/>
        <v>0.38063641936358067</v>
      </c>
      <c r="BR171" s="583">
        <f t="shared" si="363"/>
        <v>0</v>
      </c>
    </row>
    <row r="172" spans="1:70" s="229" customFormat="1" ht="15" customHeight="1">
      <c r="A172" s="574"/>
      <c r="D172" s="85"/>
      <c r="E172" s="576">
        <f t="shared" si="364"/>
        <v>100</v>
      </c>
      <c r="F172" s="707"/>
      <c r="G172" s="406" t="s">
        <v>3140</v>
      </c>
      <c r="H172" s="578" t="s">
        <v>469</v>
      </c>
      <c r="I172" s="85">
        <v>10</v>
      </c>
      <c r="J172" s="682">
        <v>1</v>
      </c>
      <c r="K172" s="579">
        <f t="shared" si="338"/>
        <v>1.1000000000000001</v>
      </c>
      <c r="L172" s="580">
        <f>IF(H172="Select ingredient:","",IF(G172="","",_xlfn.IFNA(VLOOKUP($H172,Ingredient_prices!$E:$U,16,FALSE),0)))</f>
        <v>300</v>
      </c>
      <c r="M172" s="840"/>
      <c r="N172" s="840"/>
      <c r="O172" s="581"/>
      <c r="P172" s="582"/>
      <c r="Q172" s="583">
        <f t="shared" si="365"/>
        <v>10</v>
      </c>
      <c r="R172" s="583">
        <f>VLOOKUP($H172,'CO2_emission+%_food_waste'!$A:$K,6,FALSE)*$Q172/100</f>
        <v>2.91</v>
      </c>
      <c r="S172" s="583">
        <f t="shared" si="340"/>
        <v>7.09</v>
      </c>
      <c r="T172" s="583">
        <f>IF(H172="Select ingredient:","",IF(G172="Select food category:","",_xlfn.IFNA(VLOOKUP($H172,Ingredient_prices!$E:$U,16,FALSE)*$Q172/1000,"not bought")))</f>
        <v>3</v>
      </c>
      <c r="U172" s="583">
        <f>IF(G172="Select food category:","",_xlfn.IFNA(VLOOKUP($H172,Ingredient_prices!$E:$U,16,FALSE)*$R172/1000,"not bought"))</f>
        <v>0.873</v>
      </c>
      <c r="V172" s="549">
        <f>VLOOKUP($H172,'CO2_emission+%_food_waste'!$A:$K,4,FALSE)*$Q172</f>
        <v>22.200000000000003</v>
      </c>
      <c r="W172" s="583">
        <f>VLOOKUP($H172,Nutrition_tables!$A:$N,10,FALSE)*$Q172/100</f>
        <v>2</v>
      </c>
      <c r="X172" s="583">
        <f>VLOOKUP($H172,Nutrition_tables!$A:$N,11,FALSE)*$Q172/100</f>
        <v>0.22</v>
      </c>
      <c r="Y172" s="583">
        <f>VLOOKUP($H172,Nutrition_tables!$A:$N,12,FALSE)*$Q172/100</f>
        <v>0.18</v>
      </c>
      <c r="Z172" s="583">
        <f>VLOOKUP($H172,Nutrition_tables!$A:$N,14,FALSE)*$Q172/100</f>
        <v>0.03</v>
      </c>
      <c r="AA172" s="583">
        <f>VLOOKUP($H172,Nutrition_tables!$A:$AF,13,FALSE)*$Q172/100</f>
        <v>0.21</v>
      </c>
      <c r="AB172" s="549">
        <f>VLOOKUP($H172,Nutrition_tables!$A:$AF,15,FALSE)*$Q172/100</f>
        <v>0.01</v>
      </c>
      <c r="AC172" s="583">
        <f>VLOOKUP($H172,Nutrition_tables!$A:$AF,16,FALSE)*$Q172/100</f>
        <v>2.5</v>
      </c>
      <c r="AD172" s="583">
        <f>VLOOKUP($H172,Nutrition_tables!$A:$AF,17,FALSE)*$Q172/100</f>
        <v>37</v>
      </c>
      <c r="AE172" s="583">
        <f>VLOOKUP($H172,Nutrition_tables!$A:$AF,18,FALSE)*$Q172/100</f>
        <v>2.4</v>
      </c>
      <c r="AF172" s="583">
        <f>VLOOKUP($H172,Nutrition_tables!$A:$AF,19,FALSE)*$Q172/100</f>
        <v>1.5</v>
      </c>
      <c r="AG172" s="583">
        <f>VLOOKUP($H172,Nutrition_tables!$A:$AF,20,FALSE)*$Q172/100</f>
        <v>5</v>
      </c>
      <c r="AH172" s="583">
        <f>VLOOKUP($H172,Nutrition_tables!$A:$AF,21,FALSE)*$Q172/100</f>
        <v>0.06</v>
      </c>
      <c r="AI172" s="583">
        <f>VLOOKUP($H172,Nutrition_tables!$A:$AF,22,FALSE)*$Q172/100</f>
        <v>0.05</v>
      </c>
      <c r="AJ172" s="549">
        <f>VLOOKUP($H172,Nutrition_tables!$A:$AF,23,FALSE)*$Q172/100</f>
        <v>0.01</v>
      </c>
      <c r="AK172" s="583">
        <f>VLOOKUP($H172,Nutrition_tables!$A:$AF,24,FALSE)*$Q172/100</f>
        <v>0.09</v>
      </c>
      <c r="AL172" s="583">
        <f>VLOOKUP($H172,Nutrition_tables!$A:$AF,25,FALSE)*$Q172/100</f>
        <v>0.01</v>
      </c>
      <c r="AM172" s="583">
        <f>VLOOKUP($H172,Nutrition_tables!$A:$AF,26,FALSE)*$Q172/100</f>
        <v>6.0000000000000001E-3</v>
      </c>
      <c r="AN172" s="583">
        <f>VLOOKUP($H172,Nutrition_tables!$A:$AF,27,FALSE)*$Q172/100</f>
        <v>0.12</v>
      </c>
      <c r="AO172" s="583">
        <f>VLOOKUP($H172,Nutrition_tables!$A:$AF,28,FALSE)*$Q172/100</f>
        <v>1.7299999999999999E-2</v>
      </c>
      <c r="AP172" s="583">
        <f>VLOOKUP($H172,Nutrition_tables!$A:$AF,29,FALSE)*$Q172/100</f>
        <v>8.59</v>
      </c>
      <c r="AQ172" s="583">
        <f>VLOOKUP($H172,Nutrition_tables!$A:$AF,30,FALSE)*$Q172/100</f>
        <v>-4.0000000000000003E-5</v>
      </c>
      <c r="AR172" s="583">
        <f>VLOOKUP($H172,Nutrition_tables!$A:$AF,31,FALSE)*$Q172/100</f>
        <v>6.15</v>
      </c>
      <c r="AS172" s="549">
        <f>VLOOKUP($H172,Nutrition_tables!$A:$AF,32,FALSE)*$Q172/100</f>
        <v>-4.0000000000000003E-5</v>
      </c>
      <c r="AT172" s="583">
        <f>IF(H172="Select ingredient:","",IF(G172="Select food category:","",IFERROR(VLOOKUP($H172,Ingredient_prices!$E:$W,17,FALSE)*$Q172/1000,"not bought")))</f>
        <v>1.1000000000000001</v>
      </c>
      <c r="AU172" s="583">
        <f>IF(H172="Select ingredient:","",IF(G172="Select food category:","",IFERROR(VLOOKUP($H172,Ingredient_prices!$E:$W,18,FALSE)*$Q172/1000,"not bought")))</f>
        <v>3</v>
      </c>
      <c r="AV172" s="583">
        <f t="shared" si="341"/>
        <v>1.417998582001418</v>
      </c>
      <c r="AW172" s="583">
        <f t="shared" si="342"/>
        <v>0.15597984402015599</v>
      </c>
      <c r="AX172" s="583">
        <f t="shared" si="343"/>
        <v>0.12761987238012762</v>
      </c>
      <c r="AY172" s="583">
        <f t="shared" si="344"/>
        <v>2.1269978730021271E-2</v>
      </c>
      <c r="AZ172" s="583">
        <f t="shared" si="345"/>
        <v>0.14888985111014888</v>
      </c>
      <c r="BA172" s="583">
        <f t="shared" si="346"/>
        <v>7.0899929100070903E-3</v>
      </c>
      <c r="BB172" s="583">
        <f t="shared" si="347"/>
        <v>1.7724982275017727</v>
      </c>
      <c r="BC172" s="583">
        <f t="shared" si="348"/>
        <v>26.232973767026234</v>
      </c>
      <c r="BD172" s="583">
        <f t="shared" si="349"/>
        <v>1.7015982984017015</v>
      </c>
      <c r="BE172" s="583">
        <f t="shared" si="350"/>
        <v>1.0634989365010634</v>
      </c>
      <c r="BF172" s="583">
        <f t="shared" si="351"/>
        <v>3.5449964550035453</v>
      </c>
      <c r="BG172" s="583">
        <f t="shared" si="352"/>
        <v>4.2539957460042542E-2</v>
      </c>
      <c r="BH172" s="583">
        <f t="shared" si="353"/>
        <v>3.5449964550035455E-2</v>
      </c>
      <c r="BI172" s="583">
        <f t="shared" si="354"/>
        <v>7.0899929100070903E-3</v>
      </c>
      <c r="BJ172" s="583">
        <f t="shared" si="355"/>
        <v>6.380993619006381E-2</v>
      </c>
      <c r="BK172" s="583">
        <f t="shared" si="356"/>
        <v>7.0899929100070903E-3</v>
      </c>
      <c r="BL172" s="583">
        <f t="shared" si="357"/>
        <v>4.253995746004254E-3</v>
      </c>
      <c r="BM172" s="583">
        <f t="shared" si="358"/>
        <v>8.5079914920085084E-2</v>
      </c>
      <c r="BN172" s="583">
        <f t="shared" si="359"/>
        <v>1.2265687734312265E-2</v>
      </c>
      <c r="BO172" s="583">
        <f t="shared" si="360"/>
        <v>6.0903039096960896</v>
      </c>
      <c r="BP172" s="583">
        <f t="shared" si="361"/>
        <v>-2.8359971640028361E-5</v>
      </c>
      <c r="BQ172" s="583">
        <f t="shared" si="362"/>
        <v>4.3603456396543612</v>
      </c>
      <c r="BR172" s="583">
        <f t="shared" si="363"/>
        <v>-2.8359971640028361E-5</v>
      </c>
    </row>
    <row r="173" spans="1:70" s="229" customFormat="1" ht="15" customHeight="1">
      <c r="A173" s="574"/>
      <c r="D173" s="85"/>
      <c r="E173" s="576">
        <f t="shared" si="364"/>
        <v>100</v>
      </c>
      <c r="F173" s="707"/>
      <c r="G173" s="406" t="s">
        <v>3054</v>
      </c>
      <c r="H173" s="1262" t="s">
        <v>3055</v>
      </c>
      <c r="I173" s="85">
        <v>0</v>
      </c>
      <c r="J173" s="682">
        <v>1</v>
      </c>
      <c r="K173" s="579" t="str">
        <f t="shared" si="338"/>
        <v/>
      </c>
      <c r="L173" s="580" t="str">
        <f>IF(H173="Select ingredient:","",IF(G173="","",_xlfn.IFNA(VLOOKUP($H173,Ingredient_prices!$E:$U,16,FALSE),0)))</f>
        <v/>
      </c>
      <c r="M173" s="840"/>
      <c r="N173" s="840"/>
      <c r="O173" s="581"/>
      <c r="P173" s="582"/>
      <c r="Q173" s="583">
        <f t="shared" si="365"/>
        <v>0</v>
      </c>
      <c r="R173" s="583">
        <f>VLOOKUP($H173,'CO2_emission+%_food_waste'!$A:$K,6,FALSE)*$Q173/100</f>
        <v>0</v>
      </c>
      <c r="S173" s="583">
        <f t="shared" si="340"/>
        <v>0</v>
      </c>
      <c r="T173" s="583" t="str">
        <f>IF(H173="Select ingredient:","",IF(G173="Select food category:","",_xlfn.IFNA(VLOOKUP($H173,Ingredient_prices!$E:$U,16,FALSE)*$Q173/1000,"not bought")))</f>
        <v/>
      </c>
      <c r="U173" s="583" t="str">
        <f>IF(G173="Select food category:","",_xlfn.IFNA(VLOOKUP($H173,Ingredient_prices!$E:$U,16,FALSE)*$R173/1000,"not bought"))</f>
        <v/>
      </c>
      <c r="V173" s="549">
        <f>VLOOKUP($H173,'CO2_emission+%_food_waste'!$A:$K,4,FALSE)*$Q173</f>
        <v>0</v>
      </c>
      <c r="W173" s="583">
        <f>VLOOKUP($H173,Nutrition_tables!$A:$N,10,FALSE)*$Q173/100</f>
        <v>0</v>
      </c>
      <c r="X173" s="583">
        <f>VLOOKUP($H173,Nutrition_tables!$A:$N,11,FALSE)*$Q173/100</f>
        <v>0</v>
      </c>
      <c r="Y173" s="583">
        <f>VLOOKUP($H173,Nutrition_tables!$A:$N,12,FALSE)*$Q173/100</f>
        <v>0</v>
      </c>
      <c r="Z173" s="583">
        <f>VLOOKUP($H173,Nutrition_tables!$A:$N,14,FALSE)*$Q173/100</f>
        <v>0</v>
      </c>
      <c r="AA173" s="583">
        <f>VLOOKUP($H173,Nutrition_tables!$A:$AF,13,FALSE)*$Q173/100</f>
        <v>0</v>
      </c>
      <c r="AB173" s="549">
        <f>VLOOKUP($H173,Nutrition_tables!$A:$AF,15,FALSE)*$Q173/100</f>
        <v>0</v>
      </c>
      <c r="AC173" s="583">
        <f>VLOOKUP($H173,Nutrition_tables!$A:$AF,16,FALSE)*$Q173/100</f>
        <v>0</v>
      </c>
      <c r="AD173" s="583">
        <f>VLOOKUP($H173,Nutrition_tables!$A:$AF,17,FALSE)*$Q173/100</f>
        <v>0</v>
      </c>
      <c r="AE173" s="583">
        <f>VLOOKUP($H173,Nutrition_tables!$A:$AF,18,FALSE)*$Q173/100</f>
        <v>0</v>
      </c>
      <c r="AF173" s="583">
        <f>VLOOKUP($H173,Nutrition_tables!$A:$AF,19,FALSE)*$Q173/100</f>
        <v>0</v>
      </c>
      <c r="AG173" s="583">
        <f>VLOOKUP($H173,Nutrition_tables!$A:$AF,20,FALSE)*$Q173/100</f>
        <v>0</v>
      </c>
      <c r="AH173" s="583">
        <f>VLOOKUP($H173,Nutrition_tables!$A:$AF,21,FALSE)*$Q173/100</f>
        <v>0</v>
      </c>
      <c r="AI173" s="583">
        <f>VLOOKUP($H173,Nutrition_tables!$A:$AF,22,FALSE)*$Q173/100</f>
        <v>0</v>
      </c>
      <c r="AJ173" s="549">
        <f>VLOOKUP($H173,Nutrition_tables!$A:$AF,23,FALSE)*$Q173/100</f>
        <v>0</v>
      </c>
      <c r="AK173" s="583">
        <f>VLOOKUP($H173,Nutrition_tables!$A:$AF,24,FALSE)*$Q173/100</f>
        <v>0</v>
      </c>
      <c r="AL173" s="583">
        <f>VLOOKUP($H173,Nutrition_tables!$A:$AF,25,FALSE)*$Q173/100</f>
        <v>0</v>
      </c>
      <c r="AM173" s="583">
        <f>VLOOKUP($H173,Nutrition_tables!$A:$AF,26,FALSE)*$Q173/100</f>
        <v>0</v>
      </c>
      <c r="AN173" s="583">
        <f>VLOOKUP($H173,Nutrition_tables!$A:$AF,27,FALSE)*$Q173/100</f>
        <v>0</v>
      </c>
      <c r="AO173" s="583">
        <f>VLOOKUP($H173,Nutrition_tables!$A:$AF,28,FALSE)*$Q173/100</f>
        <v>0</v>
      </c>
      <c r="AP173" s="583">
        <f>VLOOKUP($H173,Nutrition_tables!$A:$AF,29,FALSE)*$Q173/100</f>
        <v>0</v>
      </c>
      <c r="AQ173" s="583">
        <f>VLOOKUP($H173,Nutrition_tables!$A:$AF,30,FALSE)*$Q173/100</f>
        <v>0</v>
      </c>
      <c r="AR173" s="583">
        <f>VLOOKUP($H173,Nutrition_tables!$A:$AF,31,FALSE)*$Q173/100</f>
        <v>0</v>
      </c>
      <c r="AS173" s="549">
        <f>VLOOKUP($H173,Nutrition_tables!$A:$AF,32,FALSE)*$Q173/100</f>
        <v>0</v>
      </c>
      <c r="AT173" s="583" t="str">
        <f>IF(H173="Select ingredient:","",IF(G173="Select food category:","",IFERROR(VLOOKUP($H173,Ingredient_prices!$E:$W,17,FALSE)*$Q173/1000,"not bought")))</f>
        <v/>
      </c>
      <c r="AU173" s="583" t="str">
        <f>IF(H173="Select ingredient:","",IF(G173="Select food category:","",IFERROR(VLOOKUP($H173,Ingredient_prices!$E:$W,18,FALSE)*$Q173/1000,"not bought")))</f>
        <v/>
      </c>
      <c r="AV173" s="583">
        <f t="shared" si="341"/>
        <v>0</v>
      </c>
      <c r="AW173" s="583">
        <f t="shared" si="342"/>
        <v>0</v>
      </c>
      <c r="AX173" s="583">
        <f t="shared" si="343"/>
        <v>0</v>
      </c>
      <c r="AY173" s="583">
        <f t="shared" si="344"/>
        <v>0</v>
      </c>
      <c r="AZ173" s="583">
        <f t="shared" si="345"/>
        <v>0</v>
      </c>
      <c r="BA173" s="583">
        <f t="shared" si="346"/>
        <v>0</v>
      </c>
      <c r="BB173" s="583">
        <f t="shared" si="347"/>
        <v>0</v>
      </c>
      <c r="BC173" s="583">
        <f t="shared" si="348"/>
        <v>0</v>
      </c>
      <c r="BD173" s="583">
        <f t="shared" si="349"/>
        <v>0</v>
      </c>
      <c r="BE173" s="583">
        <f t="shared" si="350"/>
        <v>0</v>
      </c>
      <c r="BF173" s="583">
        <f t="shared" si="351"/>
        <v>0</v>
      </c>
      <c r="BG173" s="583">
        <f t="shared" si="352"/>
        <v>0</v>
      </c>
      <c r="BH173" s="583">
        <f t="shared" si="353"/>
        <v>0</v>
      </c>
      <c r="BI173" s="583">
        <f t="shared" si="354"/>
        <v>0</v>
      </c>
      <c r="BJ173" s="583">
        <f t="shared" si="355"/>
        <v>0</v>
      </c>
      <c r="BK173" s="583">
        <f t="shared" si="356"/>
        <v>0</v>
      </c>
      <c r="BL173" s="583">
        <f t="shared" si="357"/>
        <v>0</v>
      </c>
      <c r="BM173" s="583">
        <f t="shared" si="358"/>
        <v>0</v>
      </c>
      <c r="BN173" s="583">
        <f t="shared" si="359"/>
        <v>0</v>
      </c>
      <c r="BO173" s="583">
        <f t="shared" si="360"/>
        <v>0</v>
      </c>
      <c r="BP173" s="583">
        <f t="shared" si="361"/>
        <v>0</v>
      </c>
      <c r="BQ173" s="583">
        <f t="shared" si="362"/>
        <v>0</v>
      </c>
      <c r="BR173" s="583">
        <f t="shared" si="363"/>
        <v>0</v>
      </c>
    </row>
    <row r="174" spans="1:70" s="229" customFormat="1" ht="15" customHeight="1">
      <c r="A174" s="574"/>
      <c r="D174" s="406"/>
      <c r="E174" s="576">
        <f t="shared" si="364"/>
        <v>100</v>
      </c>
      <c r="F174" s="1131" t="s">
        <v>21</v>
      </c>
      <c r="G174" s="406" t="s">
        <v>3079</v>
      </c>
      <c r="H174" s="578" t="s">
        <v>3365</v>
      </c>
      <c r="I174" s="85">
        <v>75</v>
      </c>
      <c r="J174" s="682">
        <v>1</v>
      </c>
      <c r="K174" s="579">
        <f t="shared" si="338"/>
        <v>8.25</v>
      </c>
      <c r="L174" s="580">
        <f>IF(H174="Select ingredient:","",IF(G174="","",_xlfn.IFNA(VLOOKUP($H174,Ingredient_prices!$E:$U,16,FALSE),0)))</f>
        <v>70.400000000000006</v>
      </c>
      <c r="M174" s="840"/>
      <c r="N174" s="840"/>
      <c r="O174" s="581"/>
      <c r="P174" s="582"/>
      <c r="Q174" s="583">
        <f t="shared" si="365"/>
        <v>75</v>
      </c>
      <c r="R174" s="583">
        <f>VLOOKUP($H174,'CO2_emission+%_food_waste'!$A:$K,6,FALSE)*$Q174/100</f>
        <v>29.55</v>
      </c>
      <c r="S174" s="583">
        <f t="shared" si="340"/>
        <v>45.45</v>
      </c>
      <c r="T174" s="583">
        <f>IF(H174="Select ingredient:","",IF(G174="Select food category:","",_xlfn.IFNA(VLOOKUP($H174,Ingredient_prices!$E:$U,16,FALSE)*$Q174/1000,"not bought")))</f>
        <v>5.28</v>
      </c>
      <c r="U174" s="583">
        <f>IF(G174="Select food category:","",_xlfn.IFNA(VLOOKUP($H174,Ingredient_prices!$E:$U,16,FALSE)*$R174/1000,"not bought"))</f>
        <v>2.0803199999999999</v>
      </c>
      <c r="V174" s="549">
        <f>VLOOKUP($H174,'CO2_emission+%_food_waste'!$A:$K,4,FALSE)*$Q174</f>
        <v>121.50000000000001</v>
      </c>
      <c r="W174" s="583">
        <f>VLOOKUP($H174,Nutrition_tables!$A:$N,10,FALSE)*$Q174/100</f>
        <v>197.17500000000001</v>
      </c>
      <c r="X174" s="583">
        <f>VLOOKUP($H174,Nutrition_tables!$A:$N,11,FALSE)*$Q174/100</f>
        <v>38.1</v>
      </c>
      <c r="Y174" s="583">
        <f>VLOOKUP($H174,Nutrition_tables!$A:$N,12,FALSE)*$Q174/100</f>
        <v>5.0999999999999996</v>
      </c>
      <c r="Z174" s="583">
        <f>VLOOKUP($H174,Nutrition_tables!$A:$N,14,FALSE)*$Q174/100</f>
        <v>0.375</v>
      </c>
      <c r="AA174" s="583">
        <f>VLOOKUP($H174,Nutrition_tables!$A:$AF,13,FALSE)*$Q174/100</f>
        <v>3.2250000000000001</v>
      </c>
      <c r="AB174" s="549">
        <f>VLOOKUP($H174,Nutrition_tables!$A:$AF,15,FALSE)*$Q174/100</f>
        <v>7.4999999999999997E-2</v>
      </c>
      <c r="AC174" s="583">
        <f>VLOOKUP($H174,Nutrition_tables!$A:$AF,16,FALSE)*$Q174/100</f>
        <v>382.5</v>
      </c>
      <c r="AD174" s="583">
        <f>VLOOKUP($H174,Nutrition_tables!$A:$AF,17,FALSE)*$Q174/100</f>
        <v>86.25</v>
      </c>
      <c r="AE174" s="583">
        <f>VLOOKUP($H174,Nutrition_tables!$A:$AF,18,FALSE)*$Q174/100</f>
        <v>72.75</v>
      </c>
      <c r="AF174" s="583">
        <f>VLOOKUP($H174,Nutrition_tables!$A:$AF,19,FALSE)*$Q174/100</f>
        <v>18</v>
      </c>
      <c r="AG174" s="583">
        <f>VLOOKUP($H174,Nutrition_tables!$A:$AF,20,FALSE)*$Q174/100</f>
        <v>0</v>
      </c>
      <c r="AH174" s="583">
        <f>VLOOKUP($H174,Nutrition_tables!$A:$AF,21,FALSE)*$Q174/100</f>
        <v>1.125</v>
      </c>
      <c r="AI174" s="583">
        <f>VLOOKUP($H174,Nutrition_tables!$A:$AF,22,FALSE)*$Q174/100</f>
        <v>2.85</v>
      </c>
      <c r="AJ174" s="549">
        <f>VLOOKUP($H174,Nutrition_tables!$A:$AF,23,FALSE)*$Q174/100</f>
        <v>0.23850000000000002</v>
      </c>
      <c r="AK174" s="583">
        <f>VLOOKUP($H174,Nutrition_tables!$A:$AF,24,FALSE)*$Q174/100</f>
        <v>0</v>
      </c>
      <c r="AL174" s="583">
        <f>VLOOKUP($H174,Nutrition_tables!$A:$AF,25,FALSE)*$Q174/100</f>
        <v>0.15</v>
      </c>
      <c r="AM174" s="583">
        <f>VLOOKUP($H174,Nutrition_tables!$A:$AF,26,FALSE)*$Q174/100</f>
        <v>0.06</v>
      </c>
      <c r="AN174" s="583">
        <f>VLOOKUP($H174,Nutrition_tables!$A:$AF,27,FALSE)*$Q174/100</f>
        <v>2.1074999999999999</v>
      </c>
      <c r="AO174" s="583">
        <f>VLOOKUP($H174,Nutrition_tables!$A:$AF,28,FALSE)*$Q174/100</f>
        <v>4.2000000000000003E-2</v>
      </c>
      <c r="AP174" s="583">
        <f>VLOOKUP($H174,Nutrition_tables!$A:$AF,29,FALSE)*$Q174/100</f>
        <v>20.25</v>
      </c>
      <c r="AQ174" s="583">
        <f>VLOOKUP($H174,Nutrition_tables!$A:$AF,30,FALSE)*$Q174/100</f>
        <v>0</v>
      </c>
      <c r="AR174" s="583">
        <f>VLOOKUP($H174,Nutrition_tables!$A:$AF,31,FALSE)*$Q174/100</f>
        <v>7.4999999999999997E-2</v>
      </c>
      <c r="AS174" s="549">
        <f>VLOOKUP($H174,Nutrition_tables!$A:$AF,32,FALSE)*$Q174/100</f>
        <v>8.2500000000000004E-2</v>
      </c>
      <c r="AT174" s="583">
        <f>IF(H174="Select ingredient:","",IF(G174="Select food category:","",IFERROR(VLOOKUP($H174,Ingredient_prices!$E:$W,17,FALSE)*$Q174/1000,"not bought")))</f>
        <v>5.28</v>
      </c>
      <c r="AU174" s="583">
        <f>IF(H174="Select ingredient:","",IF(G174="Select food category:","",IFERROR(VLOOKUP($H174,Ingredient_prices!$E:$W,18,FALSE)*$Q174/1000,"not bought")))</f>
        <v>5.28</v>
      </c>
      <c r="AV174" s="583">
        <f t="shared" si="341"/>
        <v>119.48803406826212</v>
      </c>
      <c r="AW174" s="583">
        <f t="shared" si="342"/>
        <v>23.088596921520413</v>
      </c>
      <c r="AX174" s="583">
        <f t="shared" si="343"/>
        <v>3.0905995879200545</v>
      </c>
      <c r="AY174" s="583">
        <f t="shared" si="344"/>
        <v>0.22724996970000408</v>
      </c>
      <c r="AZ174" s="583">
        <f t="shared" si="345"/>
        <v>1.9543497394200349</v>
      </c>
      <c r="BA174" s="583">
        <f t="shared" si="346"/>
        <v>4.5449993940000807E-2</v>
      </c>
      <c r="BB174" s="583">
        <f t="shared" si="347"/>
        <v>231.7949690940041</v>
      </c>
      <c r="BC174" s="583">
        <f t="shared" si="348"/>
        <v>52.267493031000932</v>
      </c>
      <c r="BD174" s="583">
        <f t="shared" si="349"/>
        <v>44.086494121800783</v>
      </c>
      <c r="BE174" s="583">
        <f t="shared" si="350"/>
        <v>10.907998545600194</v>
      </c>
      <c r="BF174" s="583">
        <f t="shared" si="351"/>
        <v>0</v>
      </c>
      <c r="BG174" s="583">
        <f t="shared" si="352"/>
        <v>0.6817499091000121</v>
      </c>
      <c r="BH174" s="583">
        <f t="shared" si="353"/>
        <v>1.7270997697200305</v>
      </c>
      <c r="BI174" s="583">
        <f t="shared" si="354"/>
        <v>0.14453098072920259</v>
      </c>
      <c r="BJ174" s="583">
        <f t="shared" si="355"/>
        <v>0</v>
      </c>
      <c r="BK174" s="583">
        <f t="shared" si="356"/>
        <v>9.0899987880001615E-2</v>
      </c>
      <c r="BL174" s="583">
        <f t="shared" si="357"/>
        <v>3.635999515200064E-2</v>
      </c>
      <c r="BM174" s="583">
        <f t="shared" si="358"/>
        <v>1.2771448297140227</v>
      </c>
      <c r="BN174" s="583">
        <f t="shared" si="359"/>
        <v>2.5451996606400455E-2</v>
      </c>
      <c r="BO174" s="583">
        <f t="shared" si="360"/>
        <v>12.271498363800218</v>
      </c>
      <c r="BP174" s="583">
        <f t="shared" si="361"/>
        <v>0</v>
      </c>
      <c r="BQ174" s="583">
        <f t="shared" si="362"/>
        <v>4.5449993940000807E-2</v>
      </c>
      <c r="BR174" s="583">
        <f t="shared" si="363"/>
        <v>4.9994993334000891E-2</v>
      </c>
    </row>
    <row r="175" spans="1:70" s="229" customFormat="1" ht="15" customHeight="1">
      <c r="A175" s="574"/>
      <c r="D175" s="85"/>
      <c r="E175" s="576">
        <f t="shared" si="364"/>
        <v>100</v>
      </c>
      <c r="F175" s="85" t="s">
        <v>3308</v>
      </c>
      <c r="G175" s="406" t="s">
        <v>3077</v>
      </c>
      <c r="H175" s="578" t="s">
        <v>3308</v>
      </c>
      <c r="I175" s="85">
        <v>150</v>
      </c>
      <c r="J175" s="682">
        <v>1</v>
      </c>
      <c r="K175" s="579">
        <f t="shared" si="338"/>
        <v>16.5</v>
      </c>
      <c r="L175" s="580">
        <f>IF(H175="Select ingredient:","",IF(G175="","",_xlfn.IFNA(VLOOKUP($H175,Ingredient_prices!$E:$U,16,FALSE),0)))</f>
        <v>49.5</v>
      </c>
      <c r="M175" s="840"/>
      <c r="N175" s="840"/>
      <c r="O175" s="581"/>
      <c r="P175" s="582"/>
      <c r="Q175" s="583">
        <f t="shared" si="365"/>
        <v>150</v>
      </c>
      <c r="R175" s="583">
        <f>VLOOKUP($H175,'CO2_emission+%_food_waste'!$A:$K,6,FALSE)*$Q175/100</f>
        <v>32.49</v>
      </c>
      <c r="S175" s="583">
        <f t="shared" si="340"/>
        <v>117.50999999999999</v>
      </c>
      <c r="T175" s="583">
        <f>IF(H175="Select ingredient:","",IF(G175="Select food category:","",_xlfn.IFNA(VLOOKUP($H175,Ingredient_prices!$E:$U,16,FALSE)*$Q175/1000,"not bought")))</f>
        <v>7.4249999999999998</v>
      </c>
      <c r="U175" s="583">
        <f>IF(G175="Select food category:","",_xlfn.IFNA(VLOOKUP($H175,Ingredient_prices!$E:$U,16,FALSE)*$R175/1000,"not bought"))</f>
        <v>1.6082550000000002</v>
      </c>
      <c r="V175" s="549">
        <f>VLOOKUP($H175,'CO2_emission+%_food_waste'!$A:$K,4,FALSE)*$Q175</f>
        <v>64.5</v>
      </c>
      <c r="W175" s="583">
        <f>VLOOKUP($H175,Nutrition_tables!$A:$N,10,FALSE)*$Q175/100</f>
        <v>67.5</v>
      </c>
      <c r="X175" s="583">
        <f>VLOOKUP($H175,Nutrition_tables!$A:$N,11,FALSE)*$Q175/100</f>
        <v>15</v>
      </c>
      <c r="Y175" s="583">
        <f>VLOOKUP($H175,Nutrition_tables!$A:$N,12,FALSE)*$Q175/100</f>
        <v>0.3</v>
      </c>
      <c r="Z175" s="583">
        <f>VLOOKUP($H175,Nutrition_tables!$A:$N,14,FALSE)*$Q175/100</f>
        <v>0.45</v>
      </c>
      <c r="AA175" s="583">
        <f>VLOOKUP($H175,Nutrition_tables!$A:$AF,13,FALSE)*$Q175/100</f>
        <v>3.6</v>
      </c>
      <c r="AB175" s="549">
        <f>VLOOKUP($H175,Nutrition_tables!$A:$AF,15,FALSE)*$Q175/100</f>
        <v>0.10500000000000002</v>
      </c>
      <c r="AC175" s="583">
        <f>VLOOKUP($H175,Nutrition_tables!$A:$AF,16,FALSE)*$Q175/100</f>
        <v>3</v>
      </c>
      <c r="AD175" s="583">
        <f>VLOOKUP($H175,Nutrition_tables!$A:$AF,17,FALSE)*$Q175/100</f>
        <v>180</v>
      </c>
      <c r="AE175" s="583">
        <f>VLOOKUP($H175,Nutrition_tables!$A:$AF,18,FALSE)*$Q175/100</f>
        <v>9</v>
      </c>
      <c r="AF175" s="583">
        <f>VLOOKUP($H175,Nutrition_tables!$A:$AF,19,FALSE)*$Q175/100</f>
        <v>12.975</v>
      </c>
      <c r="AG175" s="583">
        <f>VLOOKUP($H175,Nutrition_tables!$A:$AF,20,FALSE)*$Q175/100</f>
        <v>18</v>
      </c>
      <c r="AH175" s="583">
        <f>VLOOKUP($H175,Nutrition_tables!$A:$AF,21,FALSE)*$Q175/100</f>
        <v>0.45</v>
      </c>
      <c r="AI175" s="583">
        <f>VLOOKUP($H175,Nutrition_tables!$A:$AF,22,FALSE)*$Q175/100</f>
        <v>0.15</v>
      </c>
      <c r="AJ175" s="549">
        <f>VLOOKUP($H175,Nutrition_tables!$A:$AF,23,FALSE)*$Q175/100</f>
        <v>5.4495000000000002E-2</v>
      </c>
      <c r="AK175" s="583">
        <f>VLOOKUP($H175,Nutrition_tables!$A:$AF,24,FALSE)*$Q175/100</f>
        <v>4.5</v>
      </c>
      <c r="AL175" s="583">
        <f>VLOOKUP($H175,Nutrition_tables!$A:$AF,25,FALSE)*$Q175/100</f>
        <v>0.03</v>
      </c>
      <c r="AM175" s="583">
        <f>VLOOKUP($H175,Nutrition_tables!$A:$AF,26,FALSE)*$Q175/100</f>
        <v>0.03</v>
      </c>
      <c r="AN175" s="583">
        <f>VLOOKUP($H175,Nutrition_tables!$A:$AF,27,FALSE)*$Q175/100</f>
        <v>0.45</v>
      </c>
      <c r="AO175" s="583">
        <f>VLOOKUP($H175,Nutrition_tables!$A:$AF,28,FALSE)*$Q175/100</f>
        <v>0.16500000000000001</v>
      </c>
      <c r="AP175" s="583">
        <f>VLOOKUP($H175,Nutrition_tables!$A:$AF,29,FALSE)*$Q175/100</f>
        <v>1.5</v>
      </c>
      <c r="AQ175" s="583">
        <f>VLOOKUP($H175,Nutrition_tables!$A:$AF,30,FALSE)*$Q175/100</f>
        <v>0</v>
      </c>
      <c r="AR175" s="583">
        <f>VLOOKUP($H175,Nutrition_tables!$A:$AF,31,FALSE)*$Q175/100</f>
        <v>15</v>
      </c>
      <c r="AS175" s="549">
        <f>VLOOKUP($H175,Nutrition_tables!$A:$AF,32,FALSE)*$Q175/100</f>
        <v>0</v>
      </c>
      <c r="AT175" s="583">
        <f>IF(H175="Select ingredient:","",IF(G175="Select food category:","",IFERROR(VLOOKUP($H175,Ingredient_prices!$E:$W,17,FALSE)*$Q175/1000,"not bought")))</f>
        <v>7.4249999999999998</v>
      </c>
      <c r="AU175" s="583">
        <f>IF(H175="Select ingredient:","",IF(G175="Select food category:","",IFERROR(VLOOKUP($H175,Ingredient_prices!$E:$W,18,FALSE)*$Q175/1000,"not bought")))</f>
        <v>7.4249999999999998</v>
      </c>
      <c r="AV175" s="583">
        <f t="shared" si="341"/>
        <v>52.879496474700233</v>
      </c>
      <c r="AW175" s="583">
        <f t="shared" si="342"/>
        <v>11.750999216600052</v>
      </c>
      <c r="AX175" s="583">
        <f t="shared" si="343"/>
        <v>0.235019984332001</v>
      </c>
      <c r="AY175" s="583">
        <f t="shared" si="344"/>
        <v>0.35252997649800155</v>
      </c>
      <c r="AZ175" s="583">
        <f t="shared" si="345"/>
        <v>2.8202398119840124</v>
      </c>
      <c r="BA175" s="583">
        <f t="shared" si="346"/>
        <v>8.2256994516200374E-2</v>
      </c>
      <c r="BB175" s="583">
        <f t="shared" si="347"/>
        <v>2.3501998433200102</v>
      </c>
      <c r="BC175" s="583">
        <f t="shared" si="348"/>
        <v>141.01199059920063</v>
      </c>
      <c r="BD175" s="583">
        <f t="shared" si="349"/>
        <v>7.0505995299600306</v>
      </c>
      <c r="BE175" s="583">
        <f t="shared" si="350"/>
        <v>10.164614322359045</v>
      </c>
      <c r="BF175" s="583">
        <f t="shared" si="351"/>
        <v>14.101199059920061</v>
      </c>
      <c r="BG175" s="583">
        <f t="shared" si="352"/>
        <v>0.35252997649800155</v>
      </c>
      <c r="BH175" s="583">
        <f t="shared" si="353"/>
        <v>0.1175099921660005</v>
      </c>
      <c r="BI175" s="583">
        <f t="shared" si="354"/>
        <v>4.2691380153907985E-2</v>
      </c>
      <c r="BJ175" s="583">
        <f t="shared" si="355"/>
        <v>3.5252997649800153</v>
      </c>
      <c r="BK175" s="583">
        <f t="shared" si="356"/>
        <v>2.35019984332001E-2</v>
      </c>
      <c r="BL175" s="583">
        <f t="shared" si="357"/>
        <v>2.35019984332001E-2</v>
      </c>
      <c r="BM175" s="583">
        <f t="shared" si="358"/>
        <v>0.35252997649800155</v>
      </c>
      <c r="BN175" s="583">
        <f t="shared" si="359"/>
        <v>0.12926099138260058</v>
      </c>
      <c r="BO175" s="583">
        <f t="shared" si="360"/>
        <v>1.1750999216600051</v>
      </c>
      <c r="BP175" s="583">
        <f t="shared" si="361"/>
        <v>0</v>
      </c>
      <c r="BQ175" s="583">
        <f t="shared" si="362"/>
        <v>11.750999216600052</v>
      </c>
      <c r="BR175" s="583">
        <f t="shared" si="363"/>
        <v>0</v>
      </c>
    </row>
    <row r="176" spans="1:70" s="229" customFormat="1" ht="15" customHeight="1">
      <c r="A176" s="574"/>
      <c r="D176" s="85"/>
      <c r="E176" s="576">
        <f t="shared" si="364"/>
        <v>100</v>
      </c>
      <c r="F176" s="707"/>
      <c r="G176" s="406" t="s">
        <v>3054</v>
      </c>
      <c r="H176" s="1262" t="s">
        <v>3055</v>
      </c>
      <c r="I176" s="85">
        <v>0</v>
      </c>
      <c r="J176" s="682">
        <v>1</v>
      </c>
      <c r="K176" s="579" t="str">
        <f t="shared" si="338"/>
        <v/>
      </c>
      <c r="L176" s="580" t="str">
        <f>IF(H176="Select ingredient:","",IF(G176="","",_xlfn.IFNA(VLOOKUP($H176,Ingredient_prices!$E:$U,16,FALSE),0)))</f>
        <v/>
      </c>
      <c r="M176" s="840"/>
      <c r="N176" s="840"/>
      <c r="O176" s="581"/>
      <c r="P176" s="582"/>
      <c r="Q176" s="583">
        <f t="shared" si="365"/>
        <v>0</v>
      </c>
      <c r="R176" s="583">
        <f>VLOOKUP($H176,'CO2_emission+%_food_waste'!$A:$K,6,FALSE)*$Q176/100</f>
        <v>0</v>
      </c>
      <c r="S176" s="583">
        <f t="shared" si="340"/>
        <v>0</v>
      </c>
      <c r="T176" s="583" t="str">
        <f>IF(H176="Select ingredient:","",IF(G176="Select food category:","",_xlfn.IFNA(VLOOKUP($H176,Ingredient_prices!$E:$U,16,FALSE)*$Q176/1000,"not bought")))</f>
        <v/>
      </c>
      <c r="U176" s="583" t="str">
        <f>IF(G176="Select food category:","",_xlfn.IFNA(VLOOKUP($H176,Ingredient_prices!$E:$U,16,FALSE)*$R176/1000,"not bought"))</f>
        <v/>
      </c>
      <c r="V176" s="549">
        <f>VLOOKUP($H176,'CO2_emission+%_food_waste'!$A:$K,4,FALSE)*$Q176</f>
        <v>0</v>
      </c>
      <c r="W176" s="583">
        <f>VLOOKUP($H176,Nutrition_tables!$A:$N,10,FALSE)*$Q176/100</f>
        <v>0</v>
      </c>
      <c r="X176" s="583">
        <f>VLOOKUP($H176,Nutrition_tables!$A:$N,11,FALSE)*$Q176/100</f>
        <v>0</v>
      </c>
      <c r="Y176" s="583">
        <f>VLOOKUP($H176,Nutrition_tables!$A:$N,12,FALSE)*$Q176/100</f>
        <v>0</v>
      </c>
      <c r="Z176" s="583">
        <f>VLOOKUP($H176,Nutrition_tables!$A:$N,14,FALSE)*$Q176/100</f>
        <v>0</v>
      </c>
      <c r="AA176" s="583">
        <f>VLOOKUP($H176,Nutrition_tables!$A:$AF,13,FALSE)*$Q176/100</f>
        <v>0</v>
      </c>
      <c r="AB176" s="549">
        <f>VLOOKUP($H176,Nutrition_tables!$A:$AF,15,FALSE)*$Q176/100</f>
        <v>0</v>
      </c>
      <c r="AC176" s="583">
        <f>VLOOKUP($H176,Nutrition_tables!$A:$AF,16,FALSE)*$Q176/100</f>
        <v>0</v>
      </c>
      <c r="AD176" s="583">
        <f>VLOOKUP($H176,Nutrition_tables!$A:$AF,17,FALSE)*$Q176/100</f>
        <v>0</v>
      </c>
      <c r="AE176" s="583">
        <f>VLOOKUP($H176,Nutrition_tables!$A:$AF,18,FALSE)*$Q176/100</f>
        <v>0</v>
      </c>
      <c r="AF176" s="583">
        <f>VLOOKUP($H176,Nutrition_tables!$A:$AF,19,FALSE)*$Q176/100</f>
        <v>0</v>
      </c>
      <c r="AG176" s="583">
        <f>VLOOKUP($H176,Nutrition_tables!$A:$AF,20,FALSE)*$Q176/100</f>
        <v>0</v>
      </c>
      <c r="AH176" s="583">
        <f>VLOOKUP($H176,Nutrition_tables!$A:$AF,21,FALSE)*$Q176/100</f>
        <v>0</v>
      </c>
      <c r="AI176" s="583">
        <f>VLOOKUP($H176,Nutrition_tables!$A:$AF,22,FALSE)*$Q176/100</f>
        <v>0</v>
      </c>
      <c r="AJ176" s="549">
        <f>VLOOKUP($H176,Nutrition_tables!$A:$AF,23,FALSE)*$Q176/100</f>
        <v>0</v>
      </c>
      <c r="AK176" s="583">
        <f>VLOOKUP($H176,Nutrition_tables!$A:$AF,24,FALSE)*$Q176/100</f>
        <v>0</v>
      </c>
      <c r="AL176" s="583">
        <f>VLOOKUP($H176,Nutrition_tables!$A:$AF,25,FALSE)*$Q176/100</f>
        <v>0</v>
      </c>
      <c r="AM176" s="583">
        <f>VLOOKUP($H176,Nutrition_tables!$A:$AF,26,FALSE)*$Q176/100</f>
        <v>0</v>
      </c>
      <c r="AN176" s="583">
        <f>VLOOKUP($H176,Nutrition_tables!$A:$AF,27,FALSE)*$Q176/100</f>
        <v>0</v>
      </c>
      <c r="AO176" s="583">
        <f>VLOOKUP($H176,Nutrition_tables!$A:$AF,28,FALSE)*$Q176/100</f>
        <v>0</v>
      </c>
      <c r="AP176" s="583">
        <f>VLOOKUP($H176,Nutrition_tables!$A:$AF,29,FALSE)*$Q176/100</f>
        <v>0</v>
      </c>
      <c r="AQ176" s="583">
        <f>VLOOKUP($H176,Nutrition_tables!$A:$AF,30,FALSE)*$Q176/100</f>
        <v>0</v>
      </c>
      <c r="AR176" s="583">
        <f>VLOOKUP($H176,Nutrition_tables!$A:$AF,31,FALSE)*$Q176/100</f>
        <v>0</v>
      </c>
      <c r="AS176" s="549">
        <f>VLOOKUP($H176,Nutrition_tables!$A:$AF,32,FALSE)*$Q176/100</f>
        <v>0</v>
      </c>
      <c r="AT176" s="583" t="str">
        <f>IF(H176="Select ingredient:","",IF(G176="Select food category:","",IFERROR(VLOOKUP($H176,Ingredient_prices!$E:$W,17,FALSE)*$Q176/1000,"not bought")))</f>
        <v/>
      </c>
      <c r="AU176" s="583" t="str">
        <f>IF(H176="Select ingredient:","",IF(G176="Select food category:","",IFERROR(VLOOKUP($H176,Ingredient_prices!$E:$W,18,FALSE)*$Q176/1000,"not bought")))</f>
        <v/>
      </c>
      <c r="AV176" s="583">
        <f t="shared" si="341"/>
        <v>0</v>
      </c>
      <c r="AW176" s="583">
        <f t="shared" si="342"/>
        <v>0</v>
      </c>
      <c r="AX176" s="583">
        <f t="shared" si="343"/>
        <v>0</v>
      </c>
      <c r="AY176" s="583">
        <f t="shared" si="344"/>
        <v>0</v>
      </c>
      <c r="AZ176" s="583">
        <f t="shared" si="345"/>
        <v>0</v>
      </c>
      <c r="BA176" s="583">
        <f t="shared" si="346"/>
        <v>0</v>
      </c>
      <c r="BB176" s="583">
        <f t="shared" si="347"/>
        <v>0</v>
      </c>
      <c r="BC176" s="583">
        <f t="shared" si="348"/>
        <v>0</v>
      </c>
      <c r="BD176" s="583">
        <f t="shared" si="349"/>
        <v>0</v>
      </c>
      <c r="BE176" s="583">
        <f t="shared" si="350"/>
        <v>0</v>
      </c>
      <c r="BF176" s="583">
        <f t="shared" si="351"/>
        <v>0</v>
      </c>
      <c r="BG176" s="583">
        <f t="shared" si="352"/>
        <v>0</v>
      </c>
      <c r="BH176" s="583">
        <f t="shared" si="353"/>
        <v>0</v>
      </c>
      <c r="BI176" s="583">
        <f t="shared" si="354"/>
        <v>0</v>
      </c>
      <c r="BJ176" s="583">
        <f t="shared" si="355"/>
        <v>0</v>
      </c>
      <c r="BK176" s="583">
        <f t="shared" si="356"/>
        <v>0</v>
      </c>
      <c r="BL176" s="583">
        <f t="shared" si="357"/>
        <v>0</v>
      </c>
      <c r="BM176" s="583">
        <f t="shared" si="358"/>
        <v>0</v>
      </c>
      <c r="BN176" s="583">
        <f t="shared" si="359"/>
        <v>0</v>
      </c>
      <c r="BO176" s="583">
        <f t="shared" si="360"/>
        <v>0</v>
      </c>
      <c r="BP176" s="583">
        <f t="shared" si="361"/>
        <v>0</v>
      </c>
      <c r="BQ176" s="583">
        <f t="shared" si="362"/>
        <v>0</v>
      </c>
      <c r="BR176" s="583">
        <f t="shared" si="363"/>
        <v>0</v>
      </c>
    </row>
    <row r="177" spans="1:70" s="229" customFormat="1" ht="15" customHeight="1">
      <c r="A177" s="574"/>
      <c r="D177" s="85"/>
      <c r="E177" s="576">
        <f t="shared" si="364"/>
        <v>100</v>
      </c>
      <c r="F177" s="707"/>
      <c r="G177" s="406" t="s">
        <v>3054</v>
      </c>
      <c r="H177" s="1262" t="s">
        <v>3055</v>
      </c>
      <c r="I177" s="85">
        <v>0</v>
      </c>
      <c r="J177" s="682">
        <v>1</v>
      </c>
      <c r="K177" s="579" t="str">
        <f t="shared" si="338"/>
        <v/>
      </c>
      <c r="L177" s="580" t="str">
        <f>IF(H177="Select ingredient:","",IF(G177="","",_xlfn.IFNA(VLOOKUP($H177,Ingredient_prices!$E:$U,16,FALSE),0)))</f>
        <v/>
      </c>
      <c r="M177" s="840"/>
      <c r="N177" s="840"/>
      <c r="O177" s="581"/>
      <c r="P177" s="582"/>
      <c r="Q177" s="583">
        <f t="shared" si="365"/>
        <v>0</v>
      </c>
      <c r="R177" s="583">
        <f>VLOOKUP($H177,'CO2_emission+%_food_waste'!$A:$K,6,FALSE)*$Q177/100</f>
        <v>0</v>
      </c>
      <c r="S177" s="583">
        <f t="shared" si="340"/>
        <v>0</v>
      </c>
      <c r="T177" s="583" t="str">
        <f>IF(H177="Select ingredient:","",IF(G177="Select food category:","",_xlfn.IFNA(VLOOKUP($H177,Ingredient_prices!$E:$U,16,FALSE)*$Q177/1000,"not bought")))</f>
        <v/>
      </c>
      <c r="U177" s="583" t="str">
        <f>IF(G177="Select food category:","",_xlfn.IFNA(VLOOKUP($H177,Ingredient_prices!$E:$U,16,FALSE)*$R177/1000,"not bought"))</f>
        <v/>
      </c>
      <c r="V177" s="549">
        <f>VLOOKUP($H177,'CO2_emission+%_food_waste'!$A:$K,4,FALSE)*$Q177</f>
        <v>0</v>
      </c>
      <c r="W177" s="583">
        <f>VLOOKUP($H177,Nutrition_tables!$A:$N,10,FALSE)*$Q177/100</f>
        <v>0</v>
      </c>
      <c r="X177" s="583">
        <f>VLOOKUP($H177,Nutrition_tables!$A:$N,11,FALSE)*$Q177/100</f>
        <v>0</v>
      </c>
      <c r="Y177" s="583">
        <f>VLOOKUP($H177,Nutrition_tables!$A:$N,12,FALSE)*$Q177/100</f>
        <v>0</v>
      </c>
      <c r="Z177" s="583">
        <f>VLOOKUP($H177,Nutrition_tables!$A:$N,14,FALSE)*$Q177/100</f>
        <v>0</v>
      </c>
      <c r="AA177" s="583">
        <f>VLOOKUP($H177,Nutrition_tables!$A:$AF,13,FALSE)*$Q177/100</f>
        <v>0</v>
      </c>
      <c r="AB177" s="549">
        <f>VLOOKUP($H177,Nutrition_tables!$A:$AF,15,FALSE)*$Q177/100</f>
        <v>0</v>
      </c>
      <c r="AC177" s="583">
        <f>VLOOKUP($H177,Nutrition_tables!$A:$AF,16,FALSE)*$Q177/100</f>
        <v>0</v>
      </c>
      <c r="AD177" s="583">
        <f>VLOOKUP($H177,Nutrition_tables!$A:$AF,17,FALSE)*$Q177/100</f>
        <v>0</v>
      </c>
      <c r="AE177" s="583">
        <f>VLOOKUP($H177,Nutrition_tables!$A:$AF,18,FALSE)*$Q177/100</f>
        <v>0</v>
      </c>
      <c r="AF177" s="583">
        <f>VLOOKUP($H177,Nutrition_tables!$A:$AF,19,FALSE)*$Q177/100</f>
        <v>0</v>
      </c>
      <c r="AG177" s="583">
        <f>VLOOKUP($H177,Nutrition_tables!$A:$AF,20,FALSE)*$Q177/100</f>
        <v>0</v>
      </c>
      <c r="AH177" s="583">
        <f>VLOOKUP($H177,Nutrition_tables!$A:$AF,21,FALSE)*$Q177/100</f>
        <v>0</v>
      </c>
      <c r="AI177" s="583">
        <f>VLOOKUP($H177,Nutrition_tables!$A:$AF,22,FALSE)*$Q177/100</f>
        <v>0</v>
      </c>
      <c r="AJ177" s="549">
        <f>VLOOKUP($H177,Nutrition_tables!$A:$AF,23,FALSE)*$Q177/100</f>
        <v>0</v>
      </c>
      <c r="AK177" s="583">
        <f>VLOOKUP($H177,Nutrition_tables!$A:$AF,24,FALSE)*$Q177/100</f>
        <v>0</v>
      </c>
      <c r="AL177" s="583">
        <f>VLOOKUP($H177,Nutrition_tables!$A:$AF,25,FALSE)*$Q177/100</f>
        <v>0</v>
      </c>
      <c r="AM177" s="583">
        <f>VLOOKUP($H177,Nutrition_tables!$A:$AF,26,FALSE)*$Q177/100</f>
        <v>0</v>
      </c>
      <c r="AN177" s="583">
        <f>VLOOKUP($H177,Nutrition_tables!$A:$AF,27,FALSE)*$Q177/100</f>
        <v>0</v>
      </c>
      <c r="AO177" s="583">
        <f>VLOOKUP($H177,Nutrition_tables!$A:$AF,28,FALSE)*$Q177/100</f>
        <v>0</v>
      </c>
      <c r="AP177" s="583">
        <f>VLOOKUP($H177,Nutrition_tables!$A:$AF,29,FALSE)*$Q177/100</f>
        <v>0</v>
      </c>
      <c r="AQ177" s="583">
        <f>VLOOKUP($H177,Nutrition_tables!$A:$AF,30,FALSE)*$Q177/100</f>
        <v>0</v>
      </c>
      <c r="AR177" s="583">
        <f>VLOOKUP($H177,Nutrition_tables!$A:$AF,31,FALSE)*$Q177/100</f>
        <v>0</v>
      </c>
      <c r="AS177" s="549">
        <f>VLOOKUP($H177,Nutrition_tables!$A:$AF,32,FALSE)*$Q177/100</f>
        <v>0</v>
      </c>
      <c r="AT177" s="583" t="str">
        <f>IF(H177="Select ingredient:","",IF(G177="Select food category:","",IFERROR(VLOOKUP($H177,Ingredient_prices!$E:$W,17,FALSE)*$Q177/1000,"not bought")))</f>
        <v/>
      </c>
      <c r="AU177" s="583" t="str">
        <f>IF(H177="Select ingredient:","",IF(G177="Select food category:","",IFERROR(VLOOKUP($H177,Ingredient_prices!$E:$W,18,FALSE)*$Q177/1000,"not bought")))</f>
        <v/>
      </c>
      <c r="AV177" s="583">
        <f t="shared" si="341"/>
        <v>0</v>
      </c>
      <c r="AW177" s="583">
        <f t="shared" si="342"/>
        <v>0</v>
      </c>
      <c r="AX177" s="583">
        <f t="shared" si="343"/>
        <v>0</v>
      </c>
      <c r="AY177" s="583">
        <f t="shared" si="344"/>
        <v>0</v>
      </c>
      <c r="AZ177" s="583">
        <f t="shared" si="345"/>
        <v>0</v>
      </c>
      <c r="BA177" s="583">
        <f t="shared" si="346"/>
        <v>0</v>
      </c>
      <c r="BB177" s="583">
        <f t="shared" si="347"/>
        <v>0</v>
      </c>
      <c r="BC177" s="583">
        <f t="shared" si="348"/>
        <v>0</v>
      </c>
      <c r="BD177" s="583">
        <f t="shared" si="349"/>
        <v>0</v>
      </c>
      <c r="BE177" s="583">
        <f t="shared" si="350"/>
        <v>0</v>
      </c>
      <c r="BF177" s="583">
        <f t="shared" si="351"/>
        <v>0</v>
      </c>
      <c r="BG177" s="583">
        <f t="shared" si="352"/>
        <v>0</v>
      </c>
      <c r="BH177" s="583">
        <f t="shared" si="353"/>
        <v>0</v>
      </c>
      <c r="BI177" s="583">
        <f t="shared" si="354"/>
        <v>0</v>
      </c>
      <c r="BJ177" s="583">
        <f t="shared" si="355"/>
        <v>0</v>
      </c>
      <c r="BK177" s="583">
        <f t="shared" si="356"/>
        <v>0</v>
      </c>
      <c r="BL177" s="583">
        <f t="shared" si="357"/>
        <v>0</v>
      </c>
      <c r="BM177" s="583">
        <f t="shared" si="358"/>
        <v>0</v>
      </c>
      <c r="BN177" s="583">
        <f t="shared" si="359"/>
        <v>0</v>
      </c>
      <c r="BO177" s="583">
        <f t="shared" si="360"/>
        <v>0</v>
      </c>
      <c r="BP177" s="583">
        <f t="shared" si="361"/>
        <v>0</v>
      </c>
      <c r="BQ177" s="583">
        <f t="shared" si="362"/>
        <v>0</v>
      </c>
      <c r="BR177" s="583">
        <f t="shared" si="363"/>
        <v>0</v>
      </c>
    </row>
    <row r="178" spans="1:70" s="229" customFormat="1" ht="15" customHeight="1">
      <c r="A178" s="574"/>
      <c r="D178" s="85"/>
      <c r="E178" s="576">
        <f t="shared" si="364"/>
        <v>100</v>
      </c>
      <c r="F178" s="707"/>
      <c r="G178" s="406" t="s">
        <v>3054</v>
      </c>
      <c r="H178" s="1262" t="s">
        <v>3055</v>
      </c>
      <c r="I178" s="85">
        <v>0</v>
      </c>
      <c r="J178" s="682">
        <v>1</v>
      </c>
      <c r="K178" s="579" t="str">
        <f t="shared" si="338"/>
        <v/>
      </c>
      <c r="L178" s="580" t="str">
        <f>IF(H178="Select ingredient:","",IF(G178="","",_xlfn.IFNA(VLOOKUP($H178,Ingredient_prices!$E:$U,16,FALSE),0)))</f>
        <v/>
      </c>
      <c r="M178" s="840"/>
      <c r="N178" s="840"/>
      <c r="O178" s="581"/>
      <c r="P178" s="582"/>
      <c r="Q178" s="583">
        <f t="shared" si="365"/>
        <v>0</v>
      </c>
      <c r="R178" s="583">
        <f>VLOOKUP($H178,'CO2_emission+%_food_waste'!$A:$K,6,FALSE)*$Q178/100</f>
        <v>0</v>
      </c>
      <c r="S178" s="583">
        <f t="shared" si="340"/>
        <v>0</v>
      </c>
      <c r="T178" s="583" t="str">
        <f>IF(H178="Select ingredient:","",IF(G178="Select food category:","",_xlfn.IFNA(VLOOKUP($H178,Ingredient_prices!$E:$U,16,FALSE)*$Q178/1000,"not bought")))</f>
        <v/>
      </c>
      <c r="U178" s="583" t="str">
        <f>IF(G178="Select food category:","",_xlfn.IFNA(VLOOKUP($H178,Ingredient_prices!$E:$U,16,FALSE)*$R178/1000,"not bought"))</f>
        <v/>
      </c>
      <c r="V178" s="549">
        <f>VLOOKUP($H178,'CO2_emission+%_food_waste'!$A:$K,4,FALSE)*$Q178</f>
        <v>0</v>
      </c>
      <c r="W178" s="583">
        <f>VLOOKUP($H178,Nutrition_tables!$A:$N,10,FALSE)*$Q178/100</f>
        <v>0</v>
      </c>
      <c r="X178" s="583">
        <f>VLOOKUP($H178,Nutrition_tables!$A:$N,11,FALSE)*$Q178/100</f>
        <v>0</v>
      </c>
      <c r="Y178" s="583">
        <f>VLOOKUP($H178,Nutrition_tables!$A:$N,12,FALSE)*$Q178/100</f>
        <v>0</v>
      </c>
      <c r="Z178" s="583">
        <f>VLOOKUP($H178,Nutrition_tables!$A:$N,14,FALSE)*$Q178/100</f>
        <v>0</v>
      </c>
      <c r="AA178" s="583">
        <f>VLOOKUP($H178,Nutrition_tables!$A:$AF,13,FALSE)*$Q178/100</f>
        <v>0</v>
      </c>
      <c r="AB178" s="549">
        <f>VLOOKUP($H178,Nutrition_tables!$A:$AF,15,FALSE)*$Q178/100</f>
        <v>0</v>
      </c>
      <c r="AC178" s="583">
        <f>VLOOKUP($H178,Nutrition_tables!$A:$AF,16,FALSE)*$Q178/100</f>
        <v>0</v>
      </c>
      <c r="AD178" s="583">
        <f>VLOOKUP($H178,Nutrition_tables!$A:$AF,17,FALSE)*$Q178/100</f>
        <v>0</v>
      </c>
      <c r="AE178" s="583">
        <f>VLOOKUP($H178,Nutrition_tables!$A:$AF,18,FALSE)*$Q178/100</f>
        <v>0</v>
      </c>
      <c r="AF178" s="583">
        <f>VLOOKUP($H178,Nutrition_tables!$A:$AF,19,FALSE)*$Q178/100</f>
        <v>0</v>
      </c>
      <c r="AG178" s="583">
        <f>VLOOKUP($H178,Nutrition_tables!$A:$AF,20,FALSE)*$Q178/100</f>
        <v>0</v>
      </c>
      <c r="AH178" s="583">
        <f>VLOOKUP($H178,Nutrition_tables!$A:$AF,21,FALSE)*$Q178/100</f>
        <v>0</v>
      </c>
      <c r="AI178" s="583">
        <f>VLOOKUP($H178,Nutrition_tables!$A:$AF,22,FALSE)*$Q178/100</f>
        <v>0</v>
      </c>
      <c r="AJ178" s="549">
        <f>VLOOKUP($H178,Nutrition_tables!$A:$AF,23,FALSE)*$Q178/100</f>
        <v>0</v>
      </c>
      <c r="AK178" s="583">
        <f>VLOOKUP($H178,Nutrition_tables!$A:$AF,24,FALSE)*$Q178/100</f>
        <v>0</v>
      </c>
      <c r="AL178" s="583">
        <f>VLOOKUP($H178,Nutrition_tables!$A:$AF,25,FALSE)*$Q178/100</f>
        <v>0</v>
      </c>
      <c r="AM178" s="583">
        <f>VLOOKUP($H178,Nutrition_tables!$A:$AF,26,FALSE)*$Q178/100</f>
        <v>0</v>
      </c>
      <c r="AN178" s="583">
        <f>VLOOKUP($H178,Nutrition_tables!$A:$AF,27,FALSE)*$Q178/100</f>
        <v>0</v>
      </c>
      <c r="AO178" s="583">
        <f>VLOOKUP($H178,Nutrition_tables!$A:$AF,28,FALSE)*$Q178/100</f>
        <v>0</v>
      </c>
      <c r="AP178" s="583">
        <f>VLOOKUP($H178,Nutrition_tables!$A:$AF,29,FALSE)*$Q178/100</f>
        <v>0</v>
      </c>
      <c r="AQ178" s="583">
        <f>VLOOKUP($H178,Nutrition_tables!$A:$AF,30,FALSE)*$Q178/100</f>
        <v>0</v>
      </c>
      <c r="AR178" s="583">
        <f>VLOOKUP($H178,Nutrition_tables!$A:$AF,31,FALSE)*$Q178/100</f>
        <v>0</v>
      </c>
      <c r="AS178" s="549">
        <f>VLOOKUP($H178,Nutrition_tables!$A:$AF,32,FALSE)*$Q178/100</f>
        <v>0</v>
      </c>
      <c r="AT178" s="583" t="str">
        <f>IF(H178="Select ingredient:","",IF(G178="Select food category:","",IFERROR(VLOOKUP($H178,Ingredient_prices!$E:$W,17,FALSE)*$Q178/1000,"not bought")))</f>
        <v/>
      </c>
      <c r="AU178" s="583" t="str">
        <f>IF(H178="Select ingredient:","",IF(G178="Select food category:","",IFERROR(VLOOKUP($H178,Ingredient_prices!$E:$W,18,FALSE)*$Q178/1000,"not bought")))</f>
        <v/>
      </c>
      <c r="AV178" s="583">
        <f t="shared" si="341"/>
        <v>0</v>
      </c>
      <c r="AW178" s="583">
        <f t="shared" si="342"/>
        <v>0</v>
      </c>
      <c r="AX178" s="583">
        <f t="shared" si="343"/>
        <v>0</v>
      </c>
      <c r="AY178" s="583">
        <f t="shared" si="344"/>
        <v>0</v>
      </c>
      <c r="AZ178" s="583">
        <f t="shared" si="345"/>
        <v>0</v>
      </c>
      <c r="BA178" s="583">
        <f t="shared" si="346"/>
        <v>0</v>
      </c>
      <c r="BB178" s="583">
        <f t="shared" si="347"/>
        <v>0</v>
      </c>
      <c r="BC178" s="583">
        <f t="shared" si="348"/>
        <v>0</v>
      </c>
      <c r="BD178" s="583">
        <f t="shared" si="349"/>
        <v>0</v>
      </c>
      <c r="BE178" s="583">
        <f t="shared" si="350"/>
        <v>0</v>
      </c>
      <c r="BF178" s="583">
        <f t="shared" si="351"/>
        <v>0</v>
      </c>
      <c r="BG178" s="583">
        <f t="shared" si="352"/>
        <v>0</v>
      </c>
      <c r="BH178" s="583">
        <f t="shared" si="353"/>
        <v>0</v>
      </c>
      <c r="BI178" s="583">
        <f t="shared" si="354"/>
        <v>0</v>
      </c>
      <c r="BJ178" s="583">
        <f t="shared" si="355"/>
        <v>0</v>
      </c>
      <c r="BK178" s="583">
        <f t="shared" si="356"/>
        <v>0</v>
      </c>
      <c r="BL178" s="583">
        <f t="shared" si="357"/>
        <v>0</v>
      </c>
      <c r="BM178" s="583">
        <f t="shared" si="358"/>
        <v>0</v>
      </c>
      <c r="BN178" s="583">
        <f t="shared" si="359"/>
        <v>0</v>
      </c>
      <c r="BO178" s="583">
        <f t="shared" si="360"/>
        <v>0</v>
      </c>
      <c r="BP178" s="583">
        <f t="shared" si="361"/>
        <v>0</v>
      </c>
      <c r="BQ178" s="583">
        <f t="shared" si="362"/>
        <v>0</v>
      </c>
      <c r="BR178" s="583">
        <f t="shared" si="363"/>
        <v>0</v>
      </c>
    </row>
    <row r="179" spans="1:70" s="229" customFormat="1" ht="15" customHeight="1">
      <c r="A179" s="574"/>
      <c r="D179" s="85"/>
      <c r="E179" s="576">
        <f t="shared" si="364"/>
        <v>100</v>
      </c>
      <c r="F179" s="707"/>
      <c r="G179" s="406" t="s">
        <v>3054</v>
      </c>
      <c r="H179" s="1262" t="s">
        <v>3055</v>
      </c>
      <c r="I179" s="85">
        <v>0</v>
      </c>
      <c r="J179" s="682">
        <v>1</v>
      </c>
      <c r="K179" s="579" t="str">
        <f t="shared" si="338"/>
        <v/>
      </c>
      <c r="L179" s="580" t="str">
        <f>IF(H179="Select ingredient:","",IF(G179="","",_xlfn.IFNA(VLOOKUP($H179,Ingredient_prices!$E:$U,16,FALSE),0)))</f>
        <v/>
      </c>
      <c r="M179" s="840"/>
      <c r="N179" s="840"/>
      <c r="O179" s="581"/>
      <c r="P179" s="582"/>
      <c r="Q179" s="583">
        <f t="shared" si="365"/>
        <v>0</v>
      </c>
      <c r="R179" s="583">
        <f>VLOOKUP($H179,'CO2_emission+%_food_waste'!$A:$K,6,FALSE)*$Q179/100</f>
        <v>0</v>
      </c>
      <c r="S179" s="583">
        <f t="shared" si="340"/>
        <v>0</v>
      </c>
      <c r="T179" s="583" t="str">
        <f>IF(H179="Select ingredient:","",IF(G179="Select food category:","",_xlfn.IFNA(VLOOKUP($H179,Ingredient_prices!$E:$U,16,FALSE)*$Q179/1000,"not bought")))</f>
        <v/>
      </c>
      <c r="U179" s="583" t="str">
        <f>IF(G179="Select food category:","",_xlfn.IFNA(VLOOKUP($H179,Ingredient_prices!$E:$U,16,FALSE)*$R179/1000,"not bought"))</f>
        <v/>
      </c>
      <c r="V179" s="549">
        <f>VLOOKUP($H179,'CO2_emission+%_food_waste'!$A:$K,4,FALSE)*$Q179</f>
        <v>0</v>
      </c>
      <c r="W179" s="583">
        <f>VLOOKUP($H179,Nutrition_tables!$A:$N,10,FALSE)*$Q179/100</f>
        <v>0</v>
      </c>
      <c r="X179" s="583">
        <f>VLOOKUP($H179,Nutrition_tables!$A:$N,11,FALSE)*$Q179/100</f>
        <v>0</v>
      </c>
      <c r="Y179" s="583">
        <f>VLOOKUP($H179,Nutrition_tables!$A:$N,12,FALSE)*$Q179/100</f>
        <v>0</v>
      </c>
      <c r="Z179" s="583">
        <f>VLOOKUP($H179,Nutrition_tables!$A:$N,14,FALSE)*$Q179/100</f>
        <v>0</v>
      </c>
      <c r="AA179" s="583">
        <f>VLOOKUP($H179,Nutrition_tables!$A:$AF,13,FALSE)*$Q179/100</f>
        <v>0</v>
      </c>
      <c r="AB179" s="549">
        <f>VLOOKUP($H179,Nutrition_tables!$A:$AF,15,FALSE)*$Q179/100</f>
        <v>0</v>
      </c>
      <c r="AC179" s="583">
        <f>VLOOKUP($H179,Nutrition_tables!$A:$AF,16,FALSE)*$Q179/100</f>
        <v>0</v>
      </c>
      <c r="AD179" s="583">
        <f>VLOOKUP($H179,Nutrition_tables!$A:$AF,17,FALSE)*$Q179/100</f>
        <v>0</v>
      </c>
      <c r="AE179" s="583">
        <f>VLOOKUP($H179,Nutrition_tables!$A:$AF,18,FALSE)*$Q179/100</f>
        <v>0</v>
      </c>
      <c r="AF179" s="583">
        <f>VLOOKUP($H179,Nutrition_tables!$A:$AF,19,FALSE)*$Q179/100</f>
        <v>0</v>
      </c>
      <c r="AG179" s="583">
        <f>VLOOKUP($H179,Nutrition_tables!$A:$AF,20,FALSE)*$Q179/100</f>
        <v>0</v>
      </c>
      <c r="AH179" s="583">
        <f>VLOOKUP($H179,Nutrition_tables!$A:$AF,21,FALSE)*$Q179/100</f>
        <v>0</v>
      </c>
      <c r="AI179" s="583">
        <f>VLOOKUP($H179,Nutrition_tables!$A:$AF,22,FALSE)*$Q179/100</f>
        <v>0</v>
      </c>
      <c r="AJ179" s="549">
        <f>VLOOKUP($H179,Nutrition_tables!$A:$AF,23,FALSE)*$Q179/100</f>
        <v>0</v>
      </c>
      <c r="AK179" s="583">
        <f>VLOOKUP($H179,Nutrition_tables!$A:$AF,24,FALSE)*$Q179/100</f>
        <v>0</v>
      </c>
      <c r="AL179" s="583">
        <f>VLOOKUP($H179,Nutrition_tables!$A:$AF,25,FALSE)*$Q179/100</f>
        <v>0</v>
      </c>
      <c r="AM179" s="583">
        <f>VLOOKUP($H179,Nutrition_tables!$A:$AF,26,FALSE)*$Q179/100</f>
        <v>0</v>
      </c>
      <c r="AN179" s="583">
        <f>VLOOKUP($H179,Nutrition_tables!$A:$AF,27,FALSE)*$Q179/100</f>
        <v>0</v>
      </c>
      <c r="AO179" s="583">
        <f>VLOOKUP($H179,Nutrition_tables!$A:$AF,28,FALSE)*$Q179/100</f>
        <v>0</v>
      </c>
      <c r="AP179" s="583">
        <f>VLOOKUP($H179,Nutrition_tables!$A:$AF,29,FALSE)*$Q179/100</f>
        <v>0</v>
      </c>
      <c r="AQ179" s="583">
        <f>VLOOKUP($H179,Nutrition_tables!$A:$AF,30,FALSE)*$Q179/100</f>
        <v>0</v>
      </c>
      <c r="AR179" s="583">
        <f>VLOOKUP($H179,Nutrition_tables!$A:$AF,31,FALSE)*$Q179/100</f>
        <v>0</v>
      </c>
      <c r="AS179" s="549">
        <f>VLOOKUP($H179,Nutrition_tables!$A:$AF,32,FALSE)*$Q179/100</f>
        <v>0</v>
      </c>
      <c r="AT179" s="583" t="str">
        <f>IF(H179="Select ingredient:","",IF(G179="Select food category:","",IFERROR(VLOOKUP($H179,Ingredient_prices!$E:$W,17,FALSE)*$Q179/1000,"not bought")))</f>
        <v/>
      </c>
      <c r="AU179" s="583" t="str">
        <f>IF(H179="Select ingredient:","",IF(G179="Select food category:","",IFERROR(VLOOKUP($H179,Ingredient_prices!$E:$W,18,FALSE)*$Q179/1000,"not bought")))</f>
        <v/>
      </c>
      <c r="AV179" s="583">
        <f t="shared" si="341"/>
        <v>0</v>
      </c>
      <c r="AW179" s="583">
        <f t="shared" si="342"/>
        <v>0</v>
      </c>
      <c r="AX179" s="583">
        <f t="shared" si="343"/>
        <v>0</v>
      </c>
      <c r="AY179" s="583">
        <f t="shared" si="344"/>
        <v>0</v>
      </c>
      <c r="AZ179" s="583">
        <f t="shared" si="345"/>
        <v>0</v>
      </c>
      <c r="BA179" s="583">
        <f t="shared" si="346"/>
        <v>0</v>
      </c>
      <c r="BB179" s="583">
        <f t="shared" si="347"/>
        <v>0</v>
      </c>
      <c r="BC179" s="583">
        <f t="shared" si="348"/>
        <v>0</v>
      </c>
      <c r="BD179" s="583">
        <f t="shared" si="349"/>
        <v>0</v>
      </c>
      <c r="BE179" s="583">
        <f t="shared" si="350"/>
        <v>0</v>
      </c>
      <c r="BF179" s="583">
        <f t="shared" si="351"/>
        <v>0</v>
      </c>
      <c r="BG179" s="583">
        <f t="shared" si="352"/>
        <v>0</v>
      </c>
      <c r="BH179" s="583">
        <f t="shared" si="353"/>
        <v>0</v>
      </c>
      <c r="BI179" s="583">
        <f t="shared" si="354"/>
        <v>0</v>
      </c>
      <c r="BJ179" s="583">
        <f t="shared" si="355"/>
        <v>0</v>
      </c>
      <c r="BK179" s="583">
        <f t="shared" si="356"/>
        <v>0</v>
      </c>
      <c r="BL179" s="583">
        <f t="shared" si="357"/>
        <v>0</v>
      </c>
      <c r="BM179" s="583">
        <f t="shared" si="358"/>
        <v>0</v>
      </c>
      <c r="BN179" s="583">
        <f t="shared" si="359"/>
        <v>0</v>
      </c>
      <c r="BO179" s="583">
        <f t="shared" si="360"/>
        <v>0</v>
      </c>
      <c r="BP179" s="583">
        <f t="shared" si="361"/>
        <v>0</v>
      </c>
      <c r="BQ179" s="583">
        <f t="shared" si="362"/>
        <v>0</v>
      </c>
      <c r="BR179" s="583">
        <f t="shared" si="363"/>
        <v>0</v>
      </c>
    </row>
    <row r="180" spans="1:70" s="229" customFormat="1" ht="15" customHeight="1">
      <c r="A180" s="574"/>
      <c r="D180" s="85"/>
      <c r="E180" s="576">
        <f t="shared" si="364"/>
        <v>100</v>
      </c>
      <c r="F180" s="707"/>
      <c r="G180" s="406" t="s">
        <v>3054</v>
      </c>
      <c r="H180" s="1262" t="s">
        <v>3055</v>
      </c>
      <c r="I180" s="85">
        <v>0</v>
      </c>
      <c r="J180" s="682">
        <v>1</v>
      </c>
      <c r="K180" s="579" t="str">
        <f t="shared" si="338"/>
        <v/>
      </c>
      <c r="L180" s="580" t="str">
        <f>IF(H180="Select ingredient:","",IF(G180="","",_xlfn.IFNA(VLOOKUP($H180,Ingredient_prices!$E:$U,16,FALSE),0)))</f>
        <v/>
      </c>
      <c r="M180" s="840"/>
      <c r="N180" s="840"/>
      <c r="O180" s="581"/>
      <c r="P180" s="582"/>
      <c r="Q180" s="583">
        <f t="shared" si="339"/>
        <v>0</v>
      </c>
      <c r="R180" s="583">
        <f>VLOOKUP($H180,'CO2_emission+%_food_waste'!$A:$K,6,FALSE)*$Q180/100</f>
        <v>0</v>
      </c>
      <c r="S180" s="583">
        <f t="shared" si="340"/>
        <v>0</v>
      </c>
      <c r="T180" s="583" t="str">
        <f>IF(H180="Select ingredient:","",IF(G180="Select food category:","",_xlfn.IFNA(VLOOKUP($H180,Ingredient_prices!$E:$U,16,FALSE)*$Q180/1000,"not bought")))</f>
        <v/>
      </c>
      <c r="U180" s="583" t="str">
        <f>IF(G180="Select food category:","",_xlfn.IFNA(VLOOKUP($H180,Ingredient_prices!$E:$U,16,FALSE)*$R180/1000,"not bought"))</f>
        <v/>
      </c>
      <c r="V180" s="549">
        <f>VLOOKUP($H180,'CO2_emission+%_food_waste'!$A:$K,4,FALSE)*$Q180</f>
        <v>0</v>
      </c>
      <c r="W180" s="583">
        <f>VLOOKUP($H180,Nutrition_tables!$A:$N,10,FALSE)*$Q180/100</f>
        <v>0</v>
      </c>
      <c r="X180" s="583">
        <f>VLOOKUP($H180,Nutrition_tables!$A:$N,11,FALSE)*$Q180/100</f>
        <v>0</v>
      </c>
      <c r="Y180" s="583">
        <f>VLOOKUP($H180,Nutrition_tables!$A:$N,12,FALSE)*$Q180/100</f>
        <v>0</v>
      </c>
      <c r="Z180" s="583">
        <f>VLOOKUP($H180,Nutrition_tables!$A:$N,14,FALSE)*$Q180/100</f>
        <v>0</v>
      </c>
      <c r="AA180" s="583">
        <f>VLOOKUP($H180,Nutrition_tables!$A:$AF,13,FALSE)*$Q180/100</f>
        <v>0</v>
      </c>
      <c r="AB180" s="549">
        <f>VLOOKUP($H180,Nutrition_tables!$A:$AF,15,FALSE)*$Q180/100</f>
        <v>0</v>
      </c>
      <c r="AC180" s="583">
        <f>VLOOKUP($H180,Nutrition_tables!$A:$AF,16,FALSE)*$Q180/100</f>
        <v>0</v>
      </c>
      <c r="AD180" s="583">
        <f>VLOOKUP($H180,Nutrition_tables!$A:$AF,17,FALSE)*$Q180/100</f>
        <v>0</v>
      </c>
      <c r="AE180" s="583">
        <f>VLOOKUP($H180,Nutrition_tables!$A:$AF,18,FALSE)*$Q180/100</f>
        <v>0</v>
      </c>
      <c r="AF180" s="583">
        <f>VLOOKUP($H180,Nutrition_tables!$A:$AF,19,FALSE)*$Q180/100</f>
        <v>0</v>
      </c>
      <c r="AG180" s="583">
        <f>VLOOKUP($H180,Nutrition_tables!$A:$AF,20,FALSE)*$Q180/100</f>
        <v>0</v>
      </c>
      <c r="AH180" s="583">
        <f>VLOOKUP($H180,Nutrition_tables!$A:$AF,21,FALSE)*$Q180/100</f>
        <v>0</v>
      </c>
      <c r="AI180" s="583">
        <f>VLOOKUP($H180,Nutrition_tables!$A:$AF,22,FALSE)*$Q180/100</f>
        <v>0</v>
      </c>
      <c r="AJ180" s="549">
        <f>VLOOKUP($H180,Nutrition_tables!$A:$AF,23,FALSE)*$Q180/100</f>
        <v>0</v>
      </c>
      <c r="AK180" s="583">
        <f>VLOOKUP($H180,Nutrition_tables!$A:$AF,24,FALSE)*$Q180/100</f>
        <v>0</v>
      </c>
      <c r="AL180" s="583">
        <f>VLOOKUP($H180,Nutrition_tables!$A:$AF,25,FALSE)*$Q180/100</f>
        <v>0</v>
      </c>
      <c r="AM180" s="583">
        <f>VLOOKUP($H180,Nutrition_tables!$A:$AF,26,FALSE)*$Q180/100</f>
        <v>0</v>
      </c>
      <c r="AN180" s="583">
        <f>VLOOKUP($H180,Nutrition_tables!$A:$AF,27,FALSE)*$Q180/100</f>
        <v>0</v>
      </c>
      <c r="AO180" s="583">
        <f>VLOOKUP($H180,Nutrition_tables!$A:$AF,28,FALSE)*$Q180/100</f>
        <v>0</v>
      </c>
      <c r="AP180" s="583">
        <f>VLOOKUP($H180,Nutrition_tables!$A:$AF,29,FALSE)*$Q180/100</f>
        <v>0</v>
      </c>
      <c r="AQ180" s="583">
        <f>VLOOKUP($H180,Nutrition_tables!$A:$AF,30,FALSE)*$Q180/100</f>
        <v>0</v>
      </c>
      <c r="AR180" s="583">
        <f>VLOOKUP($H180,Nutrition_tables!$A:$AF,31,FALSE)*$Q180/100</f>
        <v>0</v>
      </c>
      <c r="AS180" s="549">
        <f>VLOOKUP($H180,Nutrition_tables!$A:$AF,32,FALSE)*$Q180/100</f>
        <v>0</v>
      </c>
      <c r="AT180" s="583" t="str">
        <f>IF(H180="Select ingredient:","",IF(G180="Select food category:","",IFERROR(VLOOKUP($H180,Ingredient_prices!$E:$W,17,FALSE)*$Q180/1000,"not bought")))</f>
        <v/>
      </c>
      <c r="AU180" s="583" t="str">
        <f>IF(H180="Select ingredient:","",IF(G180="Select food category:","",IFERROR(VLOOKUP($H180,Ingredient_prices!$E:$W,18,FALSE)*$Q180/1000,"not bought")))</f>
        <v/>
      </c>
      <c r="AV180" s="583">
        <f t="shared" si="341"/>
        <v>0</v>
      </c>
      <c r="AW180" s="583">
        <f t="shared" si="342"/>
        <v>0</v>
      </c>
      <c r="AX180" s="583">
        <f t="shared" si="343"/>
        <v>0</v>
      </c>
      <c r="AY180" s="583">
        <f t="shared" si="344"/>
        <v>0</v>
      </c>
      <c r="AZ180" s="583">
        <f t="shared" si="345"/>
        <v>0</v>
      </c>
      <c r="BA180" s="583">
        <f t="shared" si="346"/>
        <v>0</v>
      </c>
      <c r="BB180" s="583">
        <f t="shared" si="347"/>
        <v>0</v>
      </c>
      <c r="BC180" s="583">
        <f t="shared" si="348"/>
        <v>0</v>
      </c>
      <c r="BD180" s="583">
        <f t="shared" si="349"/>
        <v>0</v>
      </c>
      <c r="BE180" s="583">
        <f t="shared" si="350"/>
        <v>0</v>
      </c>
      <c r="BF180" s="583">
        <f t="shared" si="351"/>
        <v>0</v>
      </c>
      <c r="BG180" s="583">
        <f t="shared" si="352"/>
        <v>0</v>
      </c>
      <c r="BH180" s="583">
        <f t="shared" si="353"/>
        <v>0</v>
      </c>
      <c r="BI180" s="583">
        <f t="shared" si="354"/>
        <v>0</v>
      </c>
      <c r="BJ180" s="583">
        <f t="shared" si="355"/>
        <v>0</v>
      </c>
      <c r="BK180" s="583">
        <f t="shared" si="356"/>
        <v>0</v>
      </c>
      <c r="BL180" s="583">
        <f t="shared" si="357"/>
        <v>0</v>
      </c>
      <c r="BM180" s="583">
        <f t="shared" si="358"/>
        <v>0</v>
      </c>
      <c r="BN180" s="583">
        <f t="shared" si="359"/>
        <v>0</v>
      </c>
      <c r="BO180" s="583">
        <f t="shared" si="360"/>
        <v>0</v>
      </c>
      <c r="BP180" s="583">
        <f t="shared" si="361"/>
        <v>0</v>
      </c>
      <c r="BQ180" s="583">
        <f t="shared" si="362"/>
        <v>0</v>
      </c>
      <c r="BR180" s="583">
        <f t="shared" si="363"/>
        <v>0</v>
      </c>
    </row>
    <row r="181" spans="1:70" s="603" customFormat="1" ht="56">
      <c r="A181" s="574"/>
      <c r="B181" s="593"/>
      <c r="C181" s="522"/>
      <c r="D181" s="141"/>
      <c r="E181" s="594"/>
      <c r="F181" s="708"/>
      <c r="G181" s="522"/>
      <c r="H181" s="522"/>
      <c r="I181" s="86"/>
      <c r="J181" s="87"/>
      <c r="K181" s="595"/>
      <c r="L181" s="596"/>
      <c r="M181" s="841"/>
      <c r="N181" s="841"/>
      <c r="O181" s="581"/>
      <c r="P181" s="627"/>
      <c r="Q181" s="599" t="s">
        <v>384</v>
      </c>
      <c r="R181" s="600" t="s">
        <v>455</v>
      </c>
      <c r="S181" s="600" t="s">
        <v>2087</v>
      </c>
      <c r="T181" s="600" t="s">
        <v>456</v>
      </c>
      <c r="U181" s="600" t="s">
        <v>535</v>
      </c>
      <c r="V181" s="601" t="s">
        <v>457</v>
      </c>
      <c r="W181" s="600" t="s">
        <v>75</v>
      </c>
      <c r="X181" s="600" t="s">
        <v>385</v>
      </c>
      <c r="Y181" s="600" t="s">
        <v>386</v>
      </c>
      <c r="Z181" s="600" t="s">
        <v>387</v>
      </c>
      <c r="AA181" s="600" t="s">
        <v>388</v>
      </c>
      <c r="AB181" s="601" t="s">
        <v>389</v>
      </c>
      <c r="AC181" s="602" t="s">
        <v>390</v>
      </c>
      <c r="AD181" s="600" t="s">
        <v>391</v>
      </c>
      <c r="AE181" s="600" t="s">
        <v>392</v>
      </c>
      <c r="AF181" s="600" t="s">
        <v>393</v>
      </c>
      <c r="AG181" s="600" t="s">
        <v>394</v>
      </c>
      <c r="AH181" s="600" t="s">
        <v>395</v>
      </c>
      <c r="AI181" s="600" t="s">
        <v>396</v>
      </c>
      <c r="AJ181" s="601" t="s">
        <v>397</v>
      </c>
      <c r="AK181" s="602" t="s">
        <v>398</v>
      </c>
      <c r="AL181" s="600" t="s">
        <v>399</v>
      </c>
      <c r="AM181" s="600" t="s">
        <v>400</v>
      </c>
      <c r="AN181" s="600" t="s">
        <v>401</v>
      </c>
      <c r="AO181" s="600" t="s">
        <v>402</v>
      </c>
      <c r="AP181" s="600" t="s">
        <v>406</v>
      </c>
      <c r="AQ181" s="600" t="s">
        <v>405</v>
      </c>
      <c r="AR181" s="600" t="s">
        <v>403</v>
      </c>
      <c r="AS181" s="601" t="s">
        <v>404</v>
      </c>
      <c r="AT181" s="593"/>
      <c r="AU181" s="593"/>
    </row>
    <row r="182" spans="1:70" s="229" customFormat="1">
      <c r="A182" s="574"/>
      <c r="B182" s="522"/>
      <c r="C182" s="522"/>
      <c r="D182" s="141"/>
      <c r="E182" s="594"/>
      <c r="F182" s="708"/>
      <c r="G182" s="522"/>
      <c r="H182" s="522"/>
      <c r="I182" s="86"/>
      <c r="J182" s="87"/>
      <c r="K182" s="595"/>
      <c r="L182" s="604"/>
      <c r="M182" s="581"/>
      <c r="N182" s="581"/>
      <c r="O182" s="581"/>
      <c r="P182" s="628" t="s">
        <v>383</v>
      </c>
      <c r="Q182" s="583">
        <f t="shared" ref="Q182:V182" si="366">SUM(Q156:Q180)</f>
        <v>484.4</v>
      </c>
      <c r="R182" s="583">
        <f t="shared" si="366"/>
        <v>118.9708</v>
      </c>
      <c r="S182" s="583">
        <f>SUM(S156:S180)</f>
        <v>365.42919999999998</v>
      </c>
      <c r="T182" s="583">
        <f t="shared" si="366"/>
        <v>74.440985454545455</v>
      </c>
      <c r="U182" s="583">
        <f t="shared" si="366"/>
        <v>17.135177589090908</v>
      </c>
      <c r="V182" s="549">
        <f t="shared" si="366"/>
        <v>1004.2299999999999</v>
      </c>
      <c r="W182" s="583">
        <f>SUM(W156:W180)</f>
        <v>820.75130503496507</v>
      </c>
      <c r="X182" s="583">
        <f t="shared" ref="X182" si="367">SUM(X156:X180)</f>
        <v>123.13508935859991</v>
      </c>
      <c r="Y182" s="583">
        <f t="shared" ref="Y182" si="368">SUM(Y156:Y180)</f>
        <v>24.975551040731528</v>
      </c>
      <c r="Z182" s="583">
        <f t="shared" ref="Z182" si="369">SUM(Z156:Z180)</f>
        <v>23.18519642632701</v>
      </c>
      <c r="AA182" s="583">
        <f t="shared" ref="AA182" si="370">SUM(AA156:AA180)</f>
        <v>12.791166825174825</v>
      </c>
      <c r="AB182" s="549">
        <f t="shared" ref="AB182" si="371">SUM(AB156:AB180)</f>
        <v>3.3124797332996683</v>
      </c>
      <c r="AC182" s="583">
        <f t="shared" ref="AC182" si="372">SUM(AC156:AC180)</f>
        <v>823.16896503496491</v>
      </c>
      <c r="AD182" s="583">
        <f t="shared" ref="AD182" si="373">SUM(AD156:AD180)</f>
        <v>1153.5419999999999</v>
      </c>
      <c r="AE182" s="583">
        <f t="shared" ref="AE182" si="374">SUM(AE156:AE180)</f>
        <v>129.52599999999998</v>
      </c>
      <c r="AF182" s="583">
        <f t="shared" ref="AF182" si="375">SUM(AF156:AF180)</f>
        <v>101.34492206993008</v>
      </c>
      <c r="AG182" s="583">
        <f t="shared" ref="AG182" si="376">SUM(AG156:AG180)</f>
        <v>295.81599199999994</v>
      </c>
      <c r="AH182" s="583">
        <f t="shared" ref="AH182" si="377">SUM(AH156:AH180)</f>
        <v>4.9542292006417403</v>
      </c>
      <c r="AI182" s="583">
        <f t="shared" ref="AI182" si="378">SUM(AI156:AI180)</f>
        <v>5.1572156905500321</v>
      </c>
      <c r="AJ182" s="549">
        <f t="shared" ref="AJ182" si="379">SUM(AJ156:AJ180)</f>
        <v>0.6467070082209333</v>
      </c>
      <c r="AK182" s="583">
        <f t="shared" ref="AK182" si="380">SUM(AK156:AK180)</f>
        <v>356.80999199999997</v>
      </c>
      <c r="AL182" s="583">
        <f t="shared" ref="AL182" si="381">SUM(AL156:AL180)</f>
        <v>0.91004576654457114</v>
      </c>
      <c r="AM182" s="583">
        <f t="shared" ref="AM182" si="382">SUM(AM156:AM180)</f>
        <v>0.5979255781837749</v>
      </c>
      <c r="AN182" s="583">
        <f t="shared" ref="AN182" si="383">SUM(AN156:AN180)</f>
        <v>8.4953118096206879</v>
      </c>
      <c r="AO182" s="583">
        <f t="shared" ref="AO182" si="384">SUM(AO156:AO180)</f>
        <v>0.70583043012041013</v>
      </c>
      <c r="AP182" s="583">
        <f t="shared" ref="AP182" si="385">SUM(AP156:AP180)</f>
        <v>117.00013186013987</v>
      </c>
      <c r="AQ182" s="583">
        <f t="shared" ref="AQ182" si="386">SUM(AQ156:AQ180)</f>
        <v>1.0177955636363636</v>
      </c>
      <c r="AR182" s="583">
        <f t="shared" ref="AR182" si="387">SUM(AR156:AR180)</f>
        <v>28.997</v>
      </c>
      <c r="AS182" s="549">
        <f t="shared" ref="AS182" si="388">SUM(AS156:AS180)</f>
        <v>0.88938917198879552</v>
      </c>
      <c r="AT182" s="583">
        <f t="shared" ref="AT182:AU182" si="389">SUM(AT156:AT180)</f>
        <v>70.130985454545467</v>
      </c>
      <c r="AU182" s="583">
        <f t="shared" si="389"/>
        <v>74.440985454545455</v>
      </c>
      <c r="AV182" s="583">
        <f t="shared" ref="AV182:BR182" si="390">SUM(AV156:AV180)</f>
        <v>605.65926868816655</v>
      </c>
      <c r="AW182" s="583">
        <f t="shared" si="390"/>
        <v>90.03929312668896</v>
      </c>
      <c r="AX182" s="583">
        <f t="shared" si="390"/>
        <v>19.047462726846902</v>
      </c>
      <c r="AY182" s="583">
        <f t="shared" si="390"/>
        <v>17.497616345664554</v>
      </c>
      <c r="AZ182" s="583">
        <f t="shared" si="390"/>
        <v>9.4197685358806531</v>
      </c>
      <c r="BA182" s="583">
        <f t="shared" si="390"/>
        <v>2.5851871026928066</v>
      </c>
      <c r="BB182" s="583">
        <f t="shared" si="390"/>
        <v>572.97300046087514</v>
      </c>
      <c r="BC182" s="583">
        <f t="shared" si="390"/>
        <v>885.90243426632765</v>
      </c>
      <c r="BD182" s="583">
        <f t="shared" si="390"/>
        <v>88.901358061232926</v>
      </c>
      <c r="BE182" s="583">
        <f t="shared" si="390"/>
        <v>76.528411757678967</v>
      </c>
      <c r="BF182" s="583">
        <f t="shared" si="390"/>
        <v>238.37481617256677</v>
      </c>
      <c r="BG182" s="583">
        <f t="shared" si="390"/>
        <v>3.7530891006992309</v>
      </c>
      <c r="BH182" s="583">
        <f t="shared" si="390"/>
        <v>3.5714213268280366</v>
      </c>
      <c r="BI182" s="583">
        <f t="shared" si="390"/>
        <v>0.46764586702196737</v>
      </c>
      <c r="BJ182" s="583">
        <f t="shared" si="390"/>
        <v>264.96243655434466</v>
      </c>
      <c r="BK182" s="583">
        <f t="shared" si="390"/>
        <v>0.68912991042557858</v>
      </c>
      <c r="BL182" s="583">
        <f t="shared" si="390"/>
        <v>0.47145073630909717</v>
      </c>
      <c r="BM182" s="583">
        <f t="shared" si="390"/>
        <v>6.2454869396742074</v>
      </c>
      <c r="BN182" s="583">
        <f t="shared" si="390"/>
        <v>0.54497308721776172</v>
      </c>
      <c r="BO182" s="583">
        <f t="shared" si="390"/>
        <v>87.346422298446754</v>
      </c>
      <c r="BP182" s="583">
        <f t="shared" si="390"/>
        <v>0.86227367835779845</v>
      </c>
      <c r="BQ182" s="583">
        <f t="shared" si="390"/>
        <v>22.124802517622463</v>
      </c>
      <c r="BR182" s="583">
        <f t="shared" si="390"/>
        <v>0.73993924911674092</v>
      </c>
    </row>
    <row r="183" spans="1:70" s="229" customFormat="1">
      <c r="A183" s="574"/>
      <c r="B183" s="522"/>
      <c r="C183" s="522"/>
      <c r="D183" s="141"/>
      <c r="E183" s="594"/>
      <c r="F183" s="708"/>
      <c r="G183" s="522"/>
      <c r="H183" s="522"/>
      <c r="I183" s="86"/>
      <c r="J183" s="87"/>
      <c r="K183" s="595"/>
      <c r="L183" s="604"/>
      <c r="M183" s="581"/>
      <c r="N183" s="581"/>
      <c r="O183" s="581"/>
      <c r="P183" s="628" t="s">
        <v>545</v>
      </c>
      <c r="V183" s="527" t="s">
        <v>588</v>
      </c>
      <c r="W183" s="229">
        <v>556.5</v>
      </c>
      <c r="X183" s="229">
        <v>69.599999999999994</v>
      </c>
      <c r="Y183" s="229">
        <v>17.399999999999999</v>
      </c>
      <c r="Z183" s="229">
        <v>18.599999999999998</v>
      </c>
      <c r="AA183" s="229">
        <v>5.7</v>
      </c>
      <c r="AB183" s="526">
        <v>6</v>
      </c>
      <c r="AC183" s="229">
        <v>414</v>
      </c>
      <c r="AD183" s="229">
        <v>540</v>
      </c>
      <c r="AE183" s="229">
        <v>270</v>
      </c>
      <c r="AF183" s="229">
        <v>51</v>
      </c>
      <c r="AG183" s="229">
        <v>240</v>
      </c>
      <c r="AH183" s="229">
        <v>3</v>
      </c>
      <c r="AI183" s="229">
        <v>2.1</v>
      </c>
      <c r="AJ183" s="526">
        <v>0.375</v>
      </c>
      <c r="AK183" s="229">
        <v>240</v>
      </c>
      <c r="AL183" s="229">
        <v>0.3</v>
      </c>
      <c r="AM183" s="229">
        <v>0.33</v>
      </c>
      <c r="AN183" s="229">
        <v>3.5999999999999996</v>
      </c>
      <c r="AO183" s="229">
        <v>0.21</v>
      </c>
      <c r="AP183" s="229">
        <v>90</v>
      </c>
      <c r="AQ183" s="229">
        <v>0.54</v>
      </c>
      <c r="AR183" s="229">
        <v>24</v>
      </c>
      <c r="AS183" s="526">
        <v>1.5</v>
      </c>
      <c r="AV183" s="229">
        <v>556.5</v>
      </c>
      <c r="AW183" s="229">
        <v>69.599999999999994</v>
      </c>
      <c r="AX183" s="229">
        <v>17.399999999999999</v>
      </c>
      <c r="AY183" s="229">
        <v>18.599999999999998</v>
      </c>
      <c r="AZ183" s="229">
        <v>5.7</v>
      </c>
      <c r="BA183" s="526">
        <v>6</v>
      </c>
      <c r="BB183" s="229">
        <v>414</v>
      </c>
      <c r="BC183" s="229">
        <v>540</v>
      </c>
      <c r="BD183" s="229">
        <v>270</v>
      </c>
      <c r="BE183" s="229">
        <v>51</v>
      </c>
      <c r="BF183" s="229">
        <v>240</v>
      </c>
      <c r="BG183" s="229">
        <v>3</v>
      </c>
      <c r="BH183" s="229">
        <v>2.1</v>
      </c>
      <c r="BI183" s="526">
        <v>0.375</v>
      </c>
      <c r="BJ183" s="229">
        <v>240</v>
      </c>
      <c r="BK183" s="229">
        <v>0.3</v>
      </c>
      <c r="BL183" s="229">
        <v>0.33</v>
      </c>
      <c r="BM183" s="229">
        <v>3.5999999999999996</v>
      </c>
      <c r="BN183" s="229">
        <v>0.21</v>
      </c>
      <c r="BO183" s="229">
        <v>90</v>
      </c>
      <c r="BP183" s="229">
        <v>0.54</v>
      </c>
      <c r="BQ183" s="229">
        <v>24</v>
      </c>
      <c r="BR183" s="526">
        <v>1.5</v>
      </c>
    </row>
    <row r="184" spans="1:70" s="229" customFormat="1">
      <c r="A184" s="574"/>
      <c r="B184" s="522"/>
      <c r="C184" s="522"/>
      <c r="D184" s="141"/>
      <c r="E184" s="594"/>
      <c r="F184" s="708"/>
      <c r="G184" s="522"/>
      <c r="H184" s="522"/>
      <c r="I184" s="86"/>
      <c r="J184" s="87"/>
      <c r="K184" s="595"/>
      <c r="L184" s="604"/>
      <c r="M184" s="581"/>
      <c r="N184" s="581"/>
      <c r="O184" s="581"/>
      <c r="P184" s="628" t="s">
        <v>407</v>
      </c>
      <c r="V184" s="526"/>
      <c r="W184" s="514">
        <f t="shared" ref="W184:AS184" si="391">100*W182/W183</f>
        <v>147.48451123719047</v>
      </c>
      <c r="X184" s="514">
        <f t="shared" si="391"/>
        <v>176.91823183706884</v>
      </c>
      <c r="Y184" s="514">
        <f t="shared" si="391"/>
        <v>143.53764965937663</v>
      </c>
      <c r="Z184" s="514">
        <f t="shared" si="391"/>
        <v>124.65159368993018</v>
      </c>
      <c r="AA184" s="514">
        <f t="shared" si="391"/>
        <v>224.40643552938289</v>
      </c>
      <c r="AB184" s="506">
        <f t="shared" si="391"/>
        <v>55.207995554994476</v>
      </c>
      <c r="AC184" s="514">
        <f t="shared" si="391"/>
        <v>198.83308334177897</v>
      </c>
      <c r="AD184" s="514">
        <f t="shared" si="391"/>
        <v>213.61888888888888</v>
      </c>
      <c r="AE184" s="514">
        <f t="shared" si="391"/>
        <v>47.972592592592591</v>
      </c>
      <c r="AF184" s="514">
        <f t="shared" si="391"/>
        <v>198.71553347045111</v>
      </c>
      <c r="AG184" s="514">
        <f t="shared" si="391"/>
        <v>123.25666333333331</v>
      </c>
      <c r="AH184" s="514">
        <f t="shared" si="391"/>
        <v>165.14097335472468</v>
      </c>
      <c r="AI184" s="514">
        <f t="shared" si="391"/>
        <v>245.58169955000153</v>
      </c>
      <c r="AJ184" s="506">
        <f t="shared" si="391"/>
        <v>172.45520219224886</v>
      </c>
      <c r="AK184" s="514">
        <f t="shared" si="391"/>
        <v>148.67083</v>
      </c>
      <c r="AL184" s="514">
        <f t="shared" si="391"/>
        <v>303.34858884819039</v>
      </c>
      <c r="AM184" s="514">
        <f t="shared" si="391"/>
        <v>181.18956914659844</v>
      </c>
      <c r="AN184" s="514">
        <f t="shared" si="391"/>
        <v>235.98088360057469</v>
      </c>
      <c r="AO184" s="514">
        <f t="shared" si="391"/>
        <v>336.10972862876679</v>
      </c>
      <c r="AP184" s="514">
        <f t="shared" si="391"/>
        <v>130.00014651126654</v>
      </c>
      <c r="AQ184" s="514">
        <f t="shared" si="391"/>
        <v>188.4806599326599</v>
      </c>
      <c r="AR184" s="514">
        <f t="shared" si="391"/>
        <v>120.82083333333333</v>
      </c>
      <c r="AS184" s="506">
        <f t="shared" si="391"/>
        <v>59.292611465919698</v>
      </c>
      <c r="AV184" s="514">
        <f t="shared" ref="AV184:BR184" si="392">100*AV182/AV183</f>
        <v>108.83365115690324</v>
      </c>
      <c r="AW184" s="514">
        <f t="shared" si="392"/>
        <v>129.36680046938068</v>
      </c>
      <c r="AX184" s="514">
        <f t="shared" si="392"/>
        <v>109.46817659107415</v>
      </c>
      <c r="AY184" s="514">
        <f t="shared" si="392"/>
        <v>94.073206159486858</v>
      </c>
      <c r="AZ184" s="514">
        <f t="shared" si="392"/>
        <v>165.25909712071319</v>
      </c>
      <c r="BA184" s="506">
        <f t="shared" si="392"/>
        <v>43.086451711546772</v>
      </c>
      <c r="BB184" s="514">
        <f t="shared" si="392"/>
        <v>138.39927547364132</v>
      </c>
      <c r="BC184" s="514">
        <f t="shared" si="392"/>
        <v>164.05600634561623</v>
      </c>
      <c r="BD184" s="514">
        <f t="shared" si="392"/>
        <v>32.926428911567754</v>
      </c>
      <c r="BE184" s="514">
        <f t="shared" si="392"/>
        <v>150.05570932878229</v>
      </c>
      <c r="BF184" s="514">
        <f t="shared" si="392"/>
        <v>99.322840071902817</v>
      </c>
      <c r="BG184" s="514">
        <f t="shared" si="392"/>
        <v>125.10297002330769</v>
      </c>
      <c r="BH184" s="514">
        <f t="shared" si="392"/>
        <v>170.0676822299065</v>
      </c>
      <c r="BI184" s="506">
        <f t="shared" si="392"/>
        <v>124.7055645391913</v>
      </c>
      <c r="BJ184" s="514">
        <f t="shared" si="392"/>
        <v>110.40101523097695</v>
      </c>
      <c r="BK184" s="514">
        <f t="shared" si="392"/>
        <v>229.70997014185954</v>
      </c>
      <c r="BL184" s="514">
        <f t="shared" si="392"/>
        <v>142.8638594876052</v>
      </c>
      <c r="BM184" s="514">
        <f t="shared" si="392"/>
        <v>173.48574832428355</v>
      </c>
      <c r="BN184" s="514">
        <f t="shared" si="392"/>
        <v>259.51099391321986</v>
      </c>
      <c r="BO184" s="514">
        <f t="shared" si="392"/>
        <v>97.051580331607511</v>
      </c>
      <c r="BP184" s="514">
        <f t="shared" si="392"/>
        <v>159.6803108069997</v>
      </c>
      <c r="BQ184" s="514">
        <f t="shared" si="392"/>
        <v>92.186677156760254</v>
      </c>
      <c r="BR184" s="506">
        <f t="shared" si="392"/>
        <v>49.329283274449388</v>
      </c>
    </row>
    <row r="185" spans="1:70" s="229" customFormat="1">
      <c r="A185" s="574"/>
      <c r="B185" s="522"/>
      <c r="C185" s="522"/>
      <c r="D185" s="141"/>
      <c r="E185" s="594"/>
      <c r="F185" s="708"/>
      <c r="G185" s="522"/>
      <c r="H185" s="522"/>
      <c r="I185" s="86"/>
      <c r="J185" s="87"/>
      <c r="K185" s="595"/>
      <c r="L185" s="604"/>
      <c r="M185" s="581"/>
      <c r="N185" s="581"/>
      <c r="O185" s="581"/>
      <c r="P185" s="628" t="s">
        <v>548</v>
      </c>
      <c r="V185" s="526"/>
      <c r="W185" s="583">
        <f>AV182</f>
        <v>605.65926868816655</v>
      </c>
      <c r="X185" s="583">
        <f t="shared" ref="X185" si="393">AW182</f>
        <v>90.03929312668896</v>
      </c>
      <c r="Y185" s="583">
        <f t="shared" ref="Y185" si="394">AX182</f>
        <v>19.047462726846902</v>
      </c>
      <c r="Z185" s="583">
        <f t="shared" ref="Z185" si="395">AY182</f>
        <v>17.497616345664554</v>
      </c>
      <c r="AA185" s="583">
        <f t="shared" ref="AA185" si="396">AZ182</f>
        <v>9.4197685358806531</v>
      </c>
      <c r="AB185" s="549">
        <f t="shared" ref="AB185" si="397">BA182</f>
        <v>2.5851871026928066</v>
      </c>
      <c r="AC185" s="583">
        <f t="shared" ref="AC185" si="398">BB182</f>
        <v>572.97300046087514</v>
      </c>
      <c r="AD185" s="583">
        <f t="shared" ref="AD185" si="399">BC182</f>
        <v>885.90243426632765</v>
      </c>
      <c r="AE185" s="583">
        <f>BD182</f>
        <v>88.901358061232926</v>
      </c>
      <c r="AF185" s="583">
        <f t="shared" ref="AF185" si="400">BE182</f>
        <v>76.528411757678967</v>
      </c>
      <c r="AG185" s="583">
        <f t="shared" ref="AG185" si="401">BF182</f>
        <v>238.37481617256677</v>
      </c>
      <c r="AH185" s="583">
        <f t="shared" ref="AH185" si="402">BG182</f>
        <v>3.7530891006992309</v>
      </c>
      <c r="AI185" s="583">
        <f t="shared" ref="AI185" si="403">BH182</f>
        <v>3.5714213268280366</v>
      </c>
      <c r="AJ185" s="549">
        <f t="shared" ref="AJ185" si="404">BI182</f>
        <v>0.46764586702196737</v>
      </c>
      <c r="AK185" s="583">
        <f t="shared" ref="AK185" si="405">BJ182</f>
        <v>264.96243655434466</v>
      </c>
      <c r="AL185" s="583">
        <f t="shared" ref="AL185" si="406">BK182</f>
        <v>0.68912991042557858</v>
      </c>
      <c r="AM185" s="583">
        <f t="shared" ref="AM185" si="407">BL182</f>
        <v>0.47145073630909717</v>
      </c>
      <c r="AN185" s="583">
        <f>BM182</f>
        <v>6.2454869396742074</v>
      </c>
      <c r="AO185" s="583">
        <f t="shared" ref="AO185" si="408">BN182</f>
        <v>0.54497308721776172</v>
      </c>
      <c r="AP185" s="583">
        <f t="shared" ref="AP185" si="409">BO182</f>
        <v>87.346422298446754</v>
      </c>
      <c r="AQ185" s="583">
        <f t="shared" ref="AQ185" si="410">BP182</f>
        <v>0.86227367835779845</v>
      </c>
      <c r="AR185" s="583">
        <f t="shared" ref="AR185" si="411">BQ182</f>
        <v>22.124802517622463</v>
      </c>
      <c r="AS185" s="549">
        <f>BR182</f>
        <v>0.73993924911674092</v>
      </c>
    </row>
    <row r="186" spans="1:70" s="229" customFormat="1">
      <c r="A186" s="574"/>
      <c r="B186" s="522"/>
      <c r="C186" s="522"/>
      <c r="D186" s="141"/>
      <c r="E186" s="594"/>
      <c r="F186" s="708"/>
      <c r="G186" s="522"/>
      <c r="H186" s="522"/>
      <c r="I186" s="86"/>
      <c r="J186" s="87"/>
      <c r="K186" s="595"/>
      <c r="L186" s="604"/>
      <c r="M186" s="581"/>
      <c r="N186" s="581"/>
      <c r="O186" s="581"/>
      <c r="P186" s="628" t="s">
        <v>543</v>
      </c>
      <c r="V186" s="526"/>
      <c r="W186" s="514">
        <f t="shared" ref="W186:AS186" si="412">AV184</f>
        <v>108.83365115690324</v>
      </c>
      <c r="X186" s="514">
        <f t="shared" si="412"/>
        <v>129.36680046938068</v>
      </c>
      <c r="Y186" s="514">
        <f t="shared" si="412"/>
        <v>109.46817659107415</v>
      </c>
      <c r="Z186" s="514">
        <f t="shared" si="412"/>
        <v>94.073206159486858</v>
      </c>
      <c r="AA186" s="514">
        <f t="shared" si="412"/>
        <v>165.25909712071319</v>
      </c>
      <c r="AB186" s="506">
        <f t="shared" si="412"/>
        <v>43.086451711546772</v>
      </c>
      <c r="AC186" s="514">
        <f t="shared" si="412"/>
        <v>138.39927547364132</v>
      </c>
      <c r="AD186" s="514">
        <f t="shared" si="412"/>
        <v>164.05600634561623</v>
      </c>
      <c r="AE186" s="514">
        <f t="shared" si="412"/>
        <v>32.926428911567754</v>
      </c>
      <c r="AF186" s="514">
        <f t="shared" si="412"/>
        <v>150.05570932878229</v>
      </c>
      <c r="AG186" s="514">
        <f t="shared" si="412"/>
        <v>99.322840071902817</v>
      </c>
      <c r="AH186" s="514">
        <f t="shared" si="412"/>
        <v>125.10297002330769</v>
      </c>
      <c r="AI186" s="514">
        <f t="shared" si="412"/>
        <v>170.0676822299065</v>
      </c>
      <c r="AJ186" s="506">
        <f t="shared" si="412"/>
        <v>124.7055645391913</v>
      </c>
      <c r="AK186" s="514">
        <f t="shared" si="412"/>
        <v>110.40101523097695</v>
      </c>
      <c r="AL186" s="514">
        <f t="shared" si="412"/>
        <v>229.70997014185954</v>
      </c>
      <c r="AM186" s="514">
        <f t="shared" si="412"/>
        <v>142.8638594876052</v>
      </c>
      <c r="AN186" s="514">
        <f t="shared" si="412"/>
        <v>173.48574832428355</v>
      </c>
      <c r="AO186" s="514">
        <f t="shared" si="412"/>
        <v>259.51099391321986</v>
      </c>
      <c r="AP186" s="514">
        <f t="shared" si="412"/>
        <v>97.051580331607511</v>
      </c>
      <c r="AQ186" s="514">
        <f t="shared" si="412"/>
        <v>159.6803108069997</v>
      </c>
      <c r="AR186" s="514">
        <f t="shared" si="412"/>
        <v>92.186677156760254</v>
      </c>
      <c r="AS186" s="506">
        <f t="shared" si="412"/>
        <v>49.329283274449388</v>
      </c>
      <c r="AV186" s="514"/>
      <c r="AW186" s="514"/>
      <c r="AX186" s="514"/>
      <c r="AY186" s="514"/>
      <c r="AZ186" s="514"/>
      <c r="BA186" s="505"/>
      <c r="BB186" s="514"/>
      <c r="BC186" s="514"/>
      <c r="BD186" s="514"/>
      <c r="BE186" s="514"/>
      <c r="BF186" s="514"/>
      <c r="BG186" s="514"/>
      <c r="BH186" s="514"/>
      <c r="BI186" s="505"/>
      <c r="BJ186" s="514"/>
      <c r="BK186" s="514"/>
      <c r="BL186" s="514"/>
      <c r="BM186" s="514"/>
      <c r="BN186" s="514"/>
      <c r="BO186" s="514"/>
      <c r="BP186" s="514"/>
      <c r="BQ186" s="514"/>
      <c r="BR186" s="505"/>
    </row>
    <row r="187" spans="1:70" s="229" customFormat="1" ht="16" thickBot="1">
      <c r="A187" s="574"/>
      <c r="B187" s="574"/>
      <c r="C187" s="574"/>
      <c r="D187" s="684"/>
      <c r="E187" s="620"/>
      <c r="F187" s="711"/>
      <c r="G187" s="621" t="s">
        <v>3054</v>
      </c>
      <c r="H187" s="622"/>
      <c r="I187" s="685"/>
      <c r="J187" s="685"/>
      <c r="K187" s="574"/>
      <c r="L187" s="623"/>
      <c r="M187" s="623"/>
      <c r="N187" s="623"/>
      <c r="O187" s="581"/>
      <c r="P187" s="574"/>
      <c r="Q187" s="574"/>
      <c r="R187" s="574"/>
      <c r="S187" s="574"/>
      <c r="T187" s="574"/>
      <c r="U187" s="624"/>
      <c r="V187" s="625"/>
      <c r="W187" s="574"/>
      <c r="X187" s="574"/>
      <c r="Y187" s="574"/>
      <c r="Z187" s="574"/>
      <c r="AA187" s="626">
        <f>COUNTIF(AA188:AA199,"&lt;0")</f>
        <v>0</v>
      </c>
      <c r="AB187" s="626">
        <f t="shared" ref="AB187:AN187" si="413">COUNTIF(AB188:AB199,"&lt;0")</f>
        <v>0</v>
      </c>
      <c r="AC187" s="626">
        <f t="shared" si="413"/>
        <v>0</v>
      </c>
      <c r="AD187" s="626">
        <f t="shared" si="413"/>
        <v>0</v>
      </c>
      <c r="AE187" s="626">
        <f t="shared" si="413"/>
        <v>0</v>
      </c>
      <c r="AF187" s="626">
        <f t="shared" si="413"/>
        <v>0</v>
      </c>
      <c r="AG187" s="626">
        <f t="shared" si="413"/>
        <v>0</v>
      </c>
      <c r="AH187" s="626">
        <f t="shared" si="413"/>
        <v>0</v>
      </c>
      <c r="AI187" s="626">
        <f t="shared" si="413"/>
        <v>0</v>
      </c>
      <c r="AJ187" s="626">
        <f t="shared" si="413"/>
        <v>0</v>
      </c>
      <c r="AK187" s="626">
        <f t="shared" si="413"/>
        <v>0</v>
      </c>
      <c r="AL187" s="626">
        <f t="shared" si="413"/>
        <v>0</v>
      </c>
      <c r="AM187" s="626">
        <f t="shared" si="413"/>
        <v>0</v>
      </c>
      <c r="AN187" s="626">
        <f t="shared" si="413"/>
        <v>0</v>
      </c>
      <c r="AO187" s="626">
        <f>COUNTIF(AO188:AO199,"&lt;0")</f>
        <v>0</v>
      </c>
      <c r="AP187" s="626">
        <f t="shared" ref="AP187:AS187" si="414">COUNTIF(AP188:AP199,"&lt;0")</f>
        <v>0</v>
      </c>
      <c r="AQ187" s="626">
        <f t="shared" si="414"/>
        <v>0</v>
      </c>
      <c r="AR187" s="626">
        <f t="shared" si="414"/>
        <v>0</v>
      </c>
      <c r="AS187" s="626">
        <f t="shared" si="414"/>
        <v>0</v>
      </c>
      <c r="AT187" s="574"/>
      <c r="AU187" s="574"/>
    </row>
    <row r="188" spans="1:70" s="229" customFormat="1" ht="15" customHeight="1" thickBot="1">
      <c r="A188" s="574"/>
      <c r="B188" s="575" t="s">
        <v>3065</v>
      </c>
      <c r="C188" s="229" t="s">
        <v>1364</v>
      </c>
      <c r="D188" s="85"/>
      <c r="E188" s="577">
        <v>0</v>
      </c>
      <c r="F188" s="707"/>
      <c r="G188" s="406" t="s">
        <v>3054</v>
      </c>
      <c r="H188" s="1262" t="s">
        <v>3055</v>
      </c>
      <c r="I188" s="85">
        <v>0</v>
      </c>
      <c r="J188" s="682">
        <v>1</v>
      </c>
      <c r="K188" s="579" t="str">
        <f t="shared" ref="K188:K199" si="415">IF(I188&gt;0,1.1*Q188*E188/1000,"")</f>
        <v/>
      </c>
      <c r="L188" s="580" t="str">
        <f>IF(H188="Select ingredient:","",IF(G188="","",_xlfn.IFNA(VLOOKUP($H188,Ingredient_prices!$E:$U,16,FALSE),0)))</f>
        <v/>
      </c>
      <c r="M188" s="840"/>
      <c r="N188" s="1228">
        <f>$W201</f>
        <v>0</v>
      </c>
      <c r="O188" s="581"/>
      <c r="P188" s="586"/>
      <c r="Q188" s="583">
        <f t="shared" ref="Q188:Q199" si="416">I188/J188</f>
        <v>0</v>
      </c>
      <c r="R188" s="583">
        <f>VLOOKUP($H188,'CO2_emission+%_food_waste'!$A:$K,6,FALSE)*$Q188/100</f>
        <v>0</v>
      </c>
      <c r="S188" s="583">
        <f t="shared" ref="S188:S199" si="417">Q188-R188</f>
        <v>0</v>
      </c>
      <c r="T188" s="583" t="str">
        <f>IF(H188="Select ingredient:","",IF(G188="Select food category:","",_xlfn.IFNA(VLOOKUP($H188,Ingredient_prices!$E:$U,16,FALSE)*$Q188/1000,"not bought")))</f>
        <v/>
      </c>
      <c r="U188" s="583" t="str">
        <f>IF(G188="Select food category:","",_xlfn.IFNA(VLOOKUP($H188,Ingredient_prices!$E:$U,16,FALSE)*$R188/1000,"not bought"))</f>
        <v/>
      </c>
      <c r="V188" s="549">
        <f>VLOOKUP($H188,'CO2_emission+%_food_waste'!$A:$K,4,FALSE)*$Q188</f>
        <v>0</v>
      </c>
      <c r="W188" s="583">
        <f>VLOOKUP($H188,Nutrition_tables!$A:$N,10,FALSE)*$Q188/100</f>
        <v>0</v>
      </c>
      <c r="X188" s="583">
        <f>VLOOKUP($H188,Nutrition_tables!$A:$N,11,FALSE)*$Q188/100</f>
        <v>0</v>
      </c>
      <c r="Y188" s="583">
        <f>VLOOKUP($H188,Nutrition_tables!$A:$N,12,FALSE)*$Q188/100</f>
        <v>0</v>
      </c>
      <c r="Z188" s="583">
        <f>VLOOKUP($H188,Nutrition_tables!$A:$N,14,FALSE)*$Q188/100</f>
        <v>0</v>
      </c>
      <c r="AA188" s="583">
        <f>VLOOKUP($H188,Nutrition_tables!$A:$AF,13,FALSE)*$Q188/100</f>
        <v>0</v>
      </c>
      <c r="AB188" s="549">
        <f>VLOOKUP($H188,Nutrition_tables!$A:$AF,15,FALSE)*$Q188/100</f>
        <v>0</v>
      </c>
      <c r="AC188" s="583">
        <f>VLOOKUP($H188,Nutrition_tables!$A:$AF,16,FALSE)*$Q188/100</f>
        <v>0</v>
      </c>
      <c r="AD188" s="583">
        <f>VLOOKUP($H188,Nutrition_tables!$A:$AF,17,FALSE)*$Q188/100</f>
        <v>0</v>
      </c>
      <c r="AE188" s="583">
        <f>VLOOKUP($H188,Nutrition_tables!$A:$AF,18,FALSE)*$Q188/100</f>
        <v>0</v>
      </c>
      <c r="AF188" s="583">
        <f>VLOOKUP($H188,Nutrition_tables!$A:$AF,19,FALSE)*$Q188/100</f>
        <v>0</v>
      </c>
      <c r="AG188" s="583">
        <f>VLOOKUP($H188,Nutrition_tables!$A:$AF,20,FALSE)*$Q188/100</f>
        <v>0</v>
      </c>
      <c r="AH188" s="583">
        <f>VLOOKUP($H188,Nutrition_tables!$A:$AF,21,FALSE)*$Q188/100</f>
        <v>0</v>
      </c>
      <c r="AI188" s="583">
        <f>VLOOKUP($H188,Nutrition_tables!$A:$AF,22,FALSE)*$Q188/100</f>
        <v>0</v>
      </c>
      <c r="AJ188" s="549">
        <f>VLOOKUP($H188,Nutrition_tables!$A:$AF,23,FALSE)*$Q188/100</f>
        <v>0</v>
      </c>
      <c r="AK188" s="583">
        <f>VLOOKUP($H188,Nutrition_tables!$A:$AF,24,FALSE)*$Q188/100</f>
        <v>0</v>
      </c>
      <c r="AL188" s="583">
        <f>VLOOKUP($H188,Nutrition_tables!$A:$AF,25,FALSE)*$Q188/100</f>
        <v>0</v>
      </c>
      <c r="AM188" s="583">
        <f>VLOOKUP($H188,Nutrition_tables!$A:$AF,26,FALSE)*$Q188/100</f>
        <v>0</v>
      </c>
      <c r="AN188" s="583">
        <f>VLOOKUP($H188,Nutrition_tables!$A:$AF,27,FALSE)*$Q188/100</f>
        <v>0</v>
      </c>
      <c r="AO188" s="583">
        <f>VLOOKUP($H188,Nutrition_tables!$A:$AF,28,FALSE)*$Q188/100</f>
        <v>0</v>
      </c>
      <c r="AP188" s="583">
        <f>VLOOKUP($H188,Nutrition_tables!$A:$AF,29,FALSE)*$Q188/100</f>
        <v>0</v>
      </c>
      <c r="AQ188" s="583">
        <f>VLOOKUP($H188,Nutrition_tables!$A:$AF,30,FALSE)*$Q188/100</f>
        <v>0</v>
      </c>
      <c r="AR188" s="583">
        <f>VLOOKUP($H188,Nutrition_tables!$A:$AF,31,FALSE)*$Q188/100</f>
        <v>0</v>
      </c>
      <c r="AS188" s="549">
        <f>VLOOKUP($H188,Nutrition_tables!$A:$AF,32,FALSE)*$Q188/100</f>
        <v>0</v>
      </c>
      <c r="AT188" s="583" t="str">
        <f>IF(H188="Select ingredient:","",IF(G188="Select food category:","",IFERROR(VLOOKUP($H188,Ingredient_prices!$E:$W,17,FALSE)*$Q188/1000,"not bought")))</f>
        <v/>
      </c>
      <c r="AU188" s="583" t="str">
        <f>IF(H188="Select ingredient:","",IF(G188="Select food category:","",IFERROR(VLOOKUP($H188,Ingredient_prices!$E:$W,18,FALSE)*$Q188/1000,"not bought")))</f>
        <v/>
      </c>
      <c r="AV188" s="583">
        <f t="shared" ref="AV188:AV199" si="418">W188*($Q188-$R188)/($Q188+0.00001)</f>
        <v>0</v>
      </c>
      <c r="AW188" s="583">
        <f t="shared" ref="AW188:AW199" si="419">X188*($Q188-$R188)/($Q188+0.00001)</f>
        <v>0</v>
      </c>
      <c r="AX188" s="583">
        <f t="shared" ref="AX188:AX199" si="420">Y188*($Q188-$R188)/($Q188+0.00001)</f>
        <v>0</v>
      </c>
      <c r="AY188" s="583">
        <f t="shared" ref="AY188:AY199" si="421">Z188*($Q188-$R188)/($Q188+0.00001)</f>
        <v>0</v>
      </c>
      <c r="AZ188" s="583">
        <f t="shared" ref="AZ188:AZ199" si="422">AA188*($Q188-$R188)/($Q188+0.00001)</f>
        <v>0</v>
      </c>
      <c r="BA188" s="583">
        <f t="shared" ref="BA188:BA199" si="423">AB188*($Q188-$R188)/($Q188+0.00001)</f>
        <v>0</v>
      </c>
      <c r="BB188" s="583">
        <f t="shared" ref="BB188:BB199" si="424">AC188*($Q188-$R188)/($Q188+0.00001)</f>
        <v>0</v>
      </c>
      <c r="BC188" s="583">
        <f t="shared" ref="BC188:BC199" si="425">AD188*($Q188-$R188)/($Q188+0.00001)</f>
        <v>0</v>
      </c>
      <c r="BD188" s="583">
        <f t="shared" ref="BD188:BD199" si="426">AE188*($Q188-$R188)/($Q188+0.00001)</f>
        <v>0</v>
      </c>
      <c r="BE188" s="583">
        <f t="shared" ref="BE188:BE199" si="427">AF188*($Q188-$R188)/($Q188+0.00001)</f>
        <v>0</v>
      </c>
      <c r="BF188" s="583">
        <f t="shared" ref="BF188:BF199" si="428">AG188*($Q188-$R188)/($Q188+0.00001)</f>
        <v>0</v>
      </c>
      <c r="BG188" s="583">
        <f t="shared" ref="BG188:BG199" si="429">AH188*($Q188-$R188)/($Q188+0.00001)</f>
        <v>0</v>
      </c>
      <c r="BH188" s="583">
        <f t="shared" ref="BH188:BH199" si="430">AI188*($Q188-$R188)/($Q188+0.00001)</f>
        <v>0</v>
      </c>
      <c r="BI188" s="583">
        <f t="shared" ref="BI188:BI199" si="431">AJ188*($Q188-$R188)/($Q188+0.00001)</f>
        <v>0</v>
      </c>
      <c r="BJ188" s="583">
        <f t="shared" ref="BJ188:BJ199" si="432">AK188*($Q188-$R188)/($Q188+0.00001)</f>
        <v>0</v>
      </c>
      <c r="BK188" s="583">
        <f t="shared" ref="BK188:BK199" si="433">AL188*($Q188-$R188)/($Q188+0.00001)</f>
        <v>0</v>
      </c>
      <c r="BL188" s="583">
        <f t="shared" ref="BL188:BL199" si="434">AM188*($Q188-$R188)/($Q188+0.00001)</f>
        <v>0</v>
      </c>
      <c r="BM188" s="583">
        <f t="shared" ref="BM188:BM199" si="435">AN188*($Q188-$R188)/($Q188+0.00001)</f>
        <v>0</v>
      </c>
      <c r="BN188" s="583">
        <f t="shared" ref="BN188:BN199" si="436">AO188*($Q188-$R188)/($Q188+0.00001)</f>
        <v>0</v>
      </c>
      <c r="BO188" s="583">
        <f t="shared" ref="BO188:BO199" si="437">AP188*($Q188-$R188)/($Q188+0.00001)</f>
        <v>0</v>
      </c>
      <c r="BP188" s="583">
        <f t="shared" ref="BP188:BP199" si="438">AQ188*($Q188-$R188)/($Q188+0.00001)</f>
        <v>0</v>
      </c>
      <c r="BQ188" s="583">
        <f t="shared" ref="BQ188:BQ199" si="439">AR188*($Q188-$R188)/($Q188+0.00001)</f>
        <v>0</v>
      </c>
      <c r="BR188" s="583">
        <f t="shared" ref="BR188:BR199" si="440">AS188*($Q188-$R188)/($Q188+0.00001)</f>
        <v>0</v>
      </c>
    </row>
    <row r="189" spans="1:70" s="229" customFormat="1" ht="15" customHeight="1">
      <c r="A189" s="574"/>
      <c r="D189" s="85"/>
      <c r="E189" s="576" t="str">
        <f>IF(E$188&gt;0,E$188,"")</f>
        <v/>
      </c>
      <c r="F189" s="707"/>
      <c r="G189" s="406" t="s">
        <v>3054</v>
      </c>
      <c r="H189" s="1262" t="s">
        <v>3055</v>
      </c>
      <c r="I189" s="85">
        <v>0</v>
      </c>
      <c r="J189" s="682">
        <v>1</v>
      </c>
      <c r="K189" s="579" t="str">
        <f t="shared" si="415"/>
        <v/>
      </c>
      <c r="L189" s="580" t="str">
        <f>IF(H189="Select ingredient:","",IF(G189="","",_xlfn.IFNA(VLOOKUP($H189,Ingredient_prices!$E:$U,16,FALSE),0)))</f>
        <v/>
      </c>
      <c r="M189" s="840"/>
      <c r="N189" s="840"/>
      <c r="O189" s="581"/>
      <c r="P189" s="586"/>
      <c r="Q189" s="583">
        <f t="shared" si="416"/>
        <v>0</v>
      </c>
      <c r="R189" s="583">
        <f>VLOOKUP($H189,'CO2_emission+%_food_waste'!$A:$K,6,FALSE)*$Q189/100</f>
        <v>0</v>
      </c>
      <c r="S189" s="583">
        <f t="shared" si="417"/>
        <v>0</v>
      </c>
      <c r="T189" s="583" t="str">
        <f>IF(H189="Select ingredient:","",IF(G189="Select food category:","",_xlfn.IFNA(VLOOKUP($H189,Ingredient_prices!$E:$U,16,FALSE)*$Q189/1000,"not bought")))</f>
        <v/>
      </c>
      <c r="U189" s="583" t="str">
        <f>IF(G189="Select food category:","",_xlfn.IFNA(VLOOKUP($H189,Ingredient_prices!$E:$U,16,FALSE)*$R189/1000,"not bought"))</f>
        <v/>
      </c>
      <c r="V189" s="549">
        <f>VLOOKUP($H189,'CO2_emission+%_food_waste'!$A:$K,4,FALSE)*$Q189</f>
        <v>0</v>
      </c>
      <c r="W189" s="583">
        <f>VLOOKUP($H189,Nutrition_tables!$A:$N,10,FALSE)*$Q189/100</f>
        <v>0</v>
      </c>
      <c r="X189" s="583">
        <f>VLOOKUP($H189,Nutrition_tables!$A:$N,11,FALSE)*$Q189/100</f>
        <v>0</v>
      </c>
      <c r="Y189" s="583">
        <f>VLOOKUP($H189,Nutrition_tables!$A:$N,12,FALSE)*$Q189/100</f>
        <v>0</v>
      </c>
      <c r="Z189" s="583">
        <f>VLOOKUP($H189,Nutrition_tables!$A:$N,14,FALSE)*$Q189/100</f>
        <v>0</v>
      </c>
      <c r="AA189" s="583">
        <f>VLOOKUP($H189,Nutrition_tables!$A:$AF,13,FALSE)*$Q189/100</f>
        <v>0</v>
      </c>
      <c r="AB189" s="549">
        <f>VLOOKUP($H189,Nutrition_tables!$A:$AF,15,FALSE)*$Q189/100</f>
        <v>0</v>
      </c>
      <c r="AC189" s="583">
        <f>VLOOKUP($H189,Nutrition_tables!$A:$AF,16,FALSE)*$Q189/100</f>
        <v>0</v>
      </c>
      <c r="AD189" s="583">
        <f>VLOOKUP($H189,Nutrition_tables!$A:$AF,17,FALSE)*$Q189/100</f>
        <v>0</v>
      </c>
      <c r="AE189" s="583">
        <f>VLOOKUP($H189,Nutrition_tables!$A:$AF,18,FALSE)*$Q189/100</f>
        <v>0</v>
      </c>
      <c r="AF189" s="583">
        <f>VLOOKUP($H189,Nutrition_tables!$A:$AF,19,FALSE)*$Q189/100</f>
        <v>0</v>
      </c>
      <c r="AG189" s="583">
        <f>VLOOKUP($H189,Nutrition_tables!$A:$AF,20,FALSE)*$Q189/100</f>
        <v>0</v>
      </c>
      <c r="AH189" s="583">
        <f>VLOOKUP($H189,Nutrition_tables!$A:$AF,21,FALSE)*$Q189/100</f>
        <v>0</v>
      </c>
      <c r="AI189" s="583">
        <f>VLOOKUP($H189,Nutrition_tables!$A:$AF,22,FALSE)*$Q189/100</f>
        <v>0</v>
      </c>
      <c r="AJ189" s="549">
        <f>VLOOKUP($H189,Nutrition_tables!$A:$AF,23,FALSE)*$Q189/100</f>
        <v>0</v>
      </c>
      <c r="AK189" s="583">
        <f>VLOOKUP($H189,Nutrition_tables!$A:$AF,24,FALSE)*$Q189/100</f>
        <v>0</v>
      </c>
      <c r="AL189" s="583">
        <f>VLOOKUP($H189,Nutrition_tables!$A:$AF,25,FALSE)*$Q189/100</f>
        <v>0</v>
      </c>
      <c r="AM189" s="583">
        <f>VLOOKUP($H189,Nutrition_tables!$A:$AF,26,FALSE)*$Q189/100</f>
        <v>0</v>
      </c>
      <c r="AN189" s="583">
        <f>VLOOKUP($H189,Nutrition_tables!$A:$AF,27,FALSE)*$Q189/100</f>
        <v>0</v>
      </c>
      <c r="AO189" s="583">
        <f>VLOOKUP($H189,Nutrition_tables!$A:$AF,28,FALSE)*$Q189/100</f>
        <v>0</v>
      </c>
      <c r="AP189" s="583">
        <f>VLOOKUP($H189,Nutrition_tables!$A:$AF,29,FALSE)*$Q189/100</f>
        <v>0</v>
      </c>
      <c r="AQ189" s="583">
        <f>VLOOKUP($H189,Nutrition_tables!$A:$AF,30,FALSE)*$Q189/100</f>
        <v>0</v>
      </c>
      <c r="AR189" s="583">
        <f>VLOOKUP($H189,Nutrition_tables!$A:$AF,31,FALSE)*$Q189/100</f>
        <v>0</v>
      </c>
      <c r="AS189" s="549">
        <f>VLOOKUP($H189,Nutrition_tables!$A:$AF,32,FALSE)*$Q189/100</f>
        <v>0</v>
      </c>
      <c r="AT189" s="583" t="str">
        <f>IF(H189="Select ingredient:","",IF(G189="Select food category:","",IFERROR(VLOOKUP($H189,Ingredient_prices!$E:$W,17,FALSE)*$Q189/1000,"not bought")))</f>
        <v/>
      </c>
      <c r="AU189" s="583" t="str">
        <f>IF(H189="Select ingredient:","",IF(G189="Select food category:","",IFERROR(VLOOKUP($H189,Ingredient_prices!$E:$W,18,FALSE)*$Q189/1000,"not bought")))</f>
        <v/>
      </c>
      <c r="AV189" s="583">
        <f t="shared" si="418"/>
        <v>0</v>
      </c>
      <c r="AW189" s="583">
        <f t="shared" si="419"/>
        <v>0</v>
      </c>
      <c r="AX189" s="583">
        <f t="shared" si="420"/>
        <v>0</v>
      </c>
      <c r="AY189" s="583">
        <f t="shared" si="421"/>
        <v>0</v>
      </c>
      <c r="AZ189" s="583">
        <f t="shared" si="422"/>
        <v>0</v>
      </c>
      <c r="BA189" s="583">
        <f t="shared" si="423"/>
        <v>0</v>
      </c>
      <c r="BB189" s="583">
        <f t="shared" si="424"/>
        <v>0</v>
      </c>
      <c r="BC189" s="583">
        <f t="shared" si="425"/>
        <v>0</v>
      </c>
      <c r="BD189" s="583">
        <f t="shared" si="426"/>
        <v>0</v>
      </c>
      <c r="BE189" s="583">
        <f t="shared" si="427"/>
        <v>0</v>
      </c>
      <c r="BF189" s="583">
        <f t="shared" si="428"/>
        <v>0</v>
      </c>
      <c r="BG189" s="583">
        <f t="shared" si="429"/>
        <v>0</v>
      </c>
      <c r="BH189" s="583">
        <f t="shared" si="430"/>
        <v>0</v>
      </c>
      <c r="BI189" s="583">
        <f t="shared" si="431"/>
        <v>0</v>
      </c>
      <c r="BJ189" s="583">
        <f t="shared" si="432"/>
        <v>0</v>
      </c>
      <c r="BK189" s="583">
        <f t="shared" si="433"/>
        <v>0</v>
      </c>
      <c r="BL189" s="583">
        <f t="shared" si="434"/>
        <v>0</v>
      </c>
      <c r="BM189" s="583">
        <f t="shared" si="435"/>
        <v>0</v>
      </c>
      <c r="BN189" s="583">
        <f t="shared" si="436"/>
        <v>0</v>
      </c>
      <c r="BO189" s="583">
        <f t="shared" si="437"/>
        <v>0</v>
      </c>
      <c r="BP189" s="583">
        <f t="shared" si="438"/>
        <v>0</v>
      </c>
      <c r="BQ189" s="583">
        <f t="shared" si="439"/>
        <v>0</v>
      </c>
      <c r="BR189" s="583">
        <f t="shared" si="440"/>
        <v>0</v>
      </c>
    </row>
    <row r="190" spans="1:70" s="229" customFormat="1" ht="15" customHeight="1">
      <c r="A190" s="574"/>
      <c r="D190" s="85"/>
      <c r="E190" s="576" t="str">
        <f t="shared" ref="E190:E199" si="441">IF(E$188&gt;0,E$188,"")</f>
        <v/>
      </c>
      <c r="F190" s="707"/>
      <c r="G190" s="406" t="s">
        <v>3054</v>
      </c>
      <c r="H190" s="1262" t="s">
        <v>3055</v>
      </c>
      <c r="I190" s="85">
        <v>0</v>
      </c>
      <c r="J190" s="682">
        <v>1</v>
      </c>
      <c r="K190" s="579" t="str">
        <f t="shared" si="415"/>
        <v/>
      </c>
      <c r="L190" s="580" t="str">
        <f>IF(H190="Select ingredient:","",IF(G190="","",_xlfn.IFNA(VLOOKUP($H190,Ingredient_prices!$E:$U,16,FALSE),0)))</f>
        <v/>
      </c>
      <c r="M190" s="840"/>
      <c r="N190" s="840"/>
      <c r="O190" s="581"/>
      <c r="P190" s="586"/>
      <c r="Q190" s="583">
        <f t="shared" si="416"/>
        <v>0</v>
      </c>
      <c r="R190" s="583">
        <f>VLOOKUP($H190,'CO2_emission+%_food_waste'!$A:$K,6,FALSE)*$Q190/100</f>
        <v>0</v>
      </c>
      <c r="S190" s="583">
        <f t="shared" si="417"/>
        <v>0</v>
      </c>
      <c r="T190" s="583" t="str">
        <f>IF(H190="Select ingredient:","",IF(G190="Select food category:","",_xlfn.IFNA(VLOOKUP($H190,Ingredient_prices!$E:$U,16,FALSE)*$Q190/1000,"not bought")))</f>
        <v/>
      </c>
      <c r="U190" s="583" t="str">
        <f>IF(G190="Select food category:","",_xlfn.IFNA(VLOOKUP($H190,Ingredient_prices!$E:$U,16,FALSE)*$R190/1000,"not bought"))</f>
        <v/>
      </c>
      <c r="V190" s="549">
        <f>VLOOKUP($H190,'CO2_emission+%_food_waste'!$A:$K,4,FALSE)*$Q190</f>
        <v>0</v>
      </c>
      <c r="W190" s="583">
        <f>VLOOKUP($H190,Nutrition_tables!$A:$N,10,FALSE)*$Q190/100</f>
        <v>0</v>
      </c>
      <c r="X190" s="583">
        <f>VLOOKUP($H190,Nutrition_tables!$A:$N,11,FALSE)*$Q190/100</f>
        <v>0</v>
      </c>
      <c r="Y190" s="583">
        <f>VLOOKUP($H190,Nutrition_tables!$A:$N,12,FALSE)*$Q190/100</f>
        <v>0</v>
      </c>
      <c r="Z190" s="583">
        <f>VLOOKUP($H190,Nutrition_tables!$A:$N,14,FALSE)*$Q190/100</f>
        <v>0</v>
      </c>
      <c r="AA190" s="583">
        <f>VLOOKUP($H190,Nutrition_tables!$A:$AF,13,FALSE)*$Q190/100</f>
        <v>0</v>
      </c>
      <c r="AB190" s="549">
        <f>VLOOKUP($H190,Nutrition_tables!$A:$AF,15,FALSE)*$Q190/100</f>
        <v>0</v>
      </c>
      <c r="AC190" s="583">
        <f>VLOOKUP($H190,Nutrition_tables!$A:$AF,16,FALSE)*$Q190/100</f>
        <v>0</v>
      </c>
      <c r="AD190" s="583">
        <f>VLOOKUP($H190,Nutrition_tables!$A:$AF,17,FALSE)*$Q190/100</f>
        <v>0</v>
      </c>
      <c r="AE190" s="583">
        <f>VLOOKUP($H190,Nutrition_tables!$A:$AF,18,FALSE)*$Q190/100</f>
        <v>0</v>
      </c>
      <c r="AF190" s="583">
        <f>VLOOKUP($H190,Nutrition_tables!$A:$AF,19,FALSE)*$Q190/100</f>
        <v>0</v>
      </c>
      <c r="AG190" s="583">
        <f>VLOOKUP($H190,Nutrition_tables!$A:$AF,20,FALSE)*$Q190/100</f>
        <v>0</v>
      </c>
      <c r="AH190" s="583">
        <f>VLOOKUP($H190,Nutrition_tables!$A:$AF,21,FALSE)*$Q190/100</f>
        <v>0</v>
      </c>
      <c r="AI190" s="583">
        <f>VLOOKUP($H190,Nutrition_tables!$A:$AF,22,FALSE)*$Q190/100</f>
        <v>0</v>
      </c>
      <c r="AJ190" s="549">
        <f>VLOOKUP($H190,Nutrition_tables!$A:$AF,23,FALSE)*$Q190/100</f>
        <v>0</v>
      </c>
      <c r="AK190" s="583">
        <f>VLOOKUP($H190,Nutrition_tables!$A:$AF,24,FALSE)*$Q190/100</f>
        <v>0</v>
      </c>
      <c r="AL190" s="583">
        <f>VLOOKUP($H190,Nutrition_tables!$A:$AF,25,FALSE)*$Q190/100</f>
        <v>0</v>
      </c>
      <c r="AM190" s="583">
        <f>VLOOKUP($H190,Nutrition_tables!$A:$AF,26,FALSE)*$Q190/100</f>
        <v>0</v>
      </c>
      <c r="AN190" s="583">
        <f>VLOOKUP($H190,Nutrition_tables!$A:$AF,27,FALSE)*$Q190/100</f>
        <v>0</v>
      </c>
      <c r="AO190" s="583">
        <f>VLOOKUP($H190,Nutrition_tables!$A:$AF,28,FALSE)*$Q190/100</f>
        <v>0</v>
      </c>
      <c r="AP190" s="583">
        <f>VLOOKUP($H190,Nutrition_tables!$A:$AF,29,FALSE)*$Q190/100</f>
        <v>0</v>
      </c>
      <c r="AQ190" s="583">
        <f>VLOOKUP($H190,Nutrition_tables!$A:$AF,30,FALSE)*$Q190/100</f>
        <v>0</v>
      </c>
      <c r="AR190" s="583">
        <f>VLOOKUP($H190,Nutrition_tables!$A:$AF,31,FALSE)*$Q190/100</f>
        <v>0</v>
      </c>
      <c r="AS190" s="549">
        <f>VLOOKUP($H190,Nutrition_tables!$A:$AF,32,FALSE)*$Q190/100</f>
        <v>0</v>
      </c>
      <c r="AT190" s="583" t="str">
        <f>IF(H190="Select ingredient:","",IF(G190="Select food category:","",IFERROR(VLOOKUP($H190,Ingredient_prices!$E:$W,17,FALSE)*$Q190/1000,"not bought")))</f>
        <v/>
      </c>
      <c r="AU190" s="583" t="str">
        <f>IF(H190="Select ingredient:","",IF(G190="Select food category:","",IFERROR(VLOOKUP($H190,Ingredient_prices!$E:$W,18,FALSE)*$Q190/1000,"not bought")))</f>
        <v/>
      </c>
      <c r="AV190" s="583">
        <f t="shared" si="418"/>
        <v>0</v>
      </c>
      <c r="AW190" s="583">
        <f t="shared" si="419"/>
        <v>0</v>
      </c>
      <c r="AX190" s="583">
        <f t="shared" si="420"/>
        <v>0</v>
      </c>
      <c r="AY190" s="583">
        <f t="shared" si="421"/>
        <v>0</v>
      </c>
      <c r="AZ190" s="583">
        <f t="shared" si="422"/>
        <v>0</v>
      </c>
      <c r="BA190" s="583">
        <f t="shared" si="423"/>
        <v>0</v>
      </c>
      <c r="BB190" s="583">
        <f t="shared" si="424"/>
        <v>0</v>
      </c>
      <c r="BC190" s="583">
        <f t="shared" si="425"/>
        <v>0</v>
      </c>
      <c r="BD190" s="583">
        <f t="shared" si="426"/>
        <v>0</v>
      </c>
      <c r="BE190" s="583">
        <f t="shared" si="427"/>
        <v>0</v>
      </c>
      <c r="BF190" s="583">
        <f t="shared" si="428"/>
        <v>0</v>
      </c>
      <c r="BG190" s="583">
        <f t="shared" si="429"/>
        <v>0</v>
      </c>
      <c r="BH190" s="583">
        <f t="shared" si="430"/>
        <v>0</v>
      </c>
      <c r="BI190" s="583">
        <f t="shared" si="431"/>
        <v>0</v>
      </c>
      <c r="BJ190" s="583">
        <f t="shared" si="432"/>
        <v>0</v>
      </c>
      <c r="BK190" s="583">
        <f t="shared" si="433"/>
        <v>0</v>
      </c>
      <c r="BL190" s="583">
        <f t="shared" si="434"/>
        <v>0</v>
      </c>
      <c r="BM190" s="583">
        <f t="shared" si="435"/>
        <v>0</v>
      </c>
      <c r="BN190" s="583">
        <f t="shared" si="436"/>
        <v>0</v>
      </c>
      <c r="BO190" s="583">
        <f t="shared" si="437"/>
        <v>0</v>
      </c>
      <c r="BP190" s="583">
        <f t="shared" si="438"/>
        <v>0</v>
      </c>
      <c r="BQ190" s="583">
        <f t="shared" si="439"/>
        <v>0</v>
      </c>
      <c r="BR190" s="583">
        <f t="shared" si="440"/>
        <v>0</v>
      </c>
    </row>
    <row r="191" spans="1:70" s="229" customFormat="1" ht="15" customHeight="1">
      <c r="A191" s="574"/>
      <c r="D191" s="85"/>
      <c r="E191" s="576" t="str">
        <f t="shared" si="441"/>
        <v/>
      </c>
      <c r="F191" s="707"/>
      <c r="G191" s="406" t="s">
        <v>3054</v>
      </c>
      <c r="H191" s="1262" t="s">
        <v>3055</v>
      </c>
      <c r="I191" s="85">
        <v>0</v>
      </c>
      <c r="J191" s="682">
        <v>1</v>
      </c>
      <c r="K191" s="579" t="str">
        <f t="shared" si="415"/>
        <v/>
      </c>
      <c r="L191" s="580" t="str">
        <f>IF(H191="Select ingredient:","",IF(G191="","",_xlfn.IFNA(VLOOKUP($H191,Ingredient_prices!$E:$U,16,FALSE),0)))</f>
        <v/>
      </c>
      <c r="M191" s="840"/>
      <c r="N191" s="840"/>
      <c r="O191" s="581"/>
      <c r="P191" s="586"/>
      <c r="Q191" s="583">
        <f t="shared" si="416"/>
        <v>0</v>
      </c>
      <c r="R191" s="583">
        <f>VLOOKUP($H191,'CO2_emission+%_food_waste'!$A:$K,6,FALSE)*$Q191/100</f>
        <v>0</v>
      </c>
      <c r="S191" s="583">
        <f t="shared" si="417"/>
        <v>0</v>
      </c>
      <c r="T191" s="583" t="str">
        <f>IF(H191="Select ingredient:","",IF(G191="Select food category:","",_xlfn.IFNA(VLOOKUP($H191,Ingredient_prices!$E:$U,16,FALSE)*$Q191/1000,"not bought")))</f>
        <v/>
      </c>
      <c r="U191" s="583" t="str">
        <f>IF(G191="Select food category:","",_xlfn.IFNA(VLOOKUP($H191,Ingredient_prices!$E:$U,16,FALSE)*$R191/1000,"not bought"))</f>
        <v/>
      </c>
      <c r="V191" s="549">
        <f>VLOOKUP($H191,'CO2_emission+%_food_waste'!$A:$K,4,FALSE)*$Q191</f>
        <v>0</v>
      </c>
      <c r="W191" s="583">
        <f>VLOOKUP($H191,Nutrition_tables!$A:$N,10,FALSE)*$Q191/100</f>
        <v>0</v>
      </c>
      <c r="X191" s="583">
        <f>VLOOKUP($H191,Nutrition_tables!$A:$N,11,FALSE)*$Q191/100</f>
        <v>0</v>
      </c>
      <c r="Y191" s="583">
        <f>VLOOKUP($H191,Nutrition_tables!$A:$N,12,FALSE)*$Q191/100</f>
        <v>0</v>
      </c>
      <c r="Z191" s="583">
        <f>VLOOKUP($H191,Nutrition_tables!$A:$N,14,FALSE)*$Q191/100</f>
        <v>0</v>
      </c>
      <c r="AA191" s="583">
        <f>VLOOKUP($H191,Nutrition_tables!$A:$AF,13,FALSE)*$Q191/100</f>
        <v>0</v>
      </c>
      <c r="AB191" s="549">
        <f>VLOOKUP($H191,Nutrition_tables!$A:$AF,15,FALSE)*$Q191/100</f>
        <v>0</v>
      </c>
      <c r="AC191" s="583">
        <f>VLOOKUP($H191,Nutrition_tables!$A:$AF,16,FALSE)*$Q191/100</f>
        <v>0</v>
      </c>
      <c r="AD191" s="583">
        <f>VLOOKUP($H191,Nutrition_tables!$A:$AF,17,FALSE)*$Q191/100</f>
        <v>0</v>
      </c>
      <c r="AE191" s="583">
        <f>VLOOKUP($H191,Nutrition_tables!$A:$AF,18,FALSE)*$Q191/100</f>
        <v>0</v>
      </c>
      <c r="AF191" s="583">
        <f>VLOOKUP($H191,Nutrition_tables!$A:$AF,19,FALSE)*$Q191/100</f>
        <v>0</v>
      </c>
      <c r="AG191" s="583">
        <f>VLOOKUP($H191,Nutrition_tables!$A:$AF,20,FALSE)*$Q191/100</f>
        <v>0</v>
      </c>
      <c r="AH191" s="583">
        <f>VLOOKUP($H191,Nutrition_tables!$A:$AF,21,FALSE)*$Q191/100</f>
        <v>0</v>
      </c>
      <c r="AI191" s="583">
        <f>VLOOKUP($H191,Nutrition_tables!$A:$AF,22,FALSE)*$Q191/100</f>
        <v>0</v>
      </c>
      <c r="AJ191" s="549">
        <f>VLOOKUP($H191,Nutrition_tables!$A:$AF,23,FALSE)*$Q191/100</f>
        <v>0</v>
      </c>
      <c r="AK191" s="583">
        <f>VLOOKUP($H191,Nutrition_tables!$A:$AF,24,FALSE)*$Q191/100</f>
        <v>0</v>
      </c>
      <c r="AL191" s="583">
        <f>VLOOKUP($H191,Nutrition_tables!$A:$AF,25,FALSE)*$Q191/100</f>
        <v>0</v>
      </c>
      <c r="AM191" s="583">
        <f>VLOOKUP($H191,Nutrition_tables!$A:$AF,26,FALSE)*$Q191/100</f>
        <v>0</v>
      </c>
      <c r="AN191" s="583">
        <f>VLOOKUP($H191,Nutrition_tables!$A:$AF,27,FALSE)*$Q191/100</f>
        <v>0</v>
      </c>
      <c r="AO191" s="583">
        <f>VLOOKUP($H191,Nutrition_tables!$A:$AF,28,FALSE)*$Q191/100</f>
        <v>0</v>
      </c>
      <c r="AP191" s="583">
        <f>VLOOKUP($H191,Nutrition_tables!$A:$AF,29,FALSE)*$Q191/100</f>
        <v>0</v>
      </c>
      <c r="AQ191" s="583">
        <f>VLOOKUP($H191,Nutrition_tables!$A:$AF,30,FALSE)*$Q191/100</f>
        <v>0</v>
      </c>
      <c r="AR191" s="583">
        <f>VLOOKUP($H191,Nutrition_tables!$A:$AF,31,FALSE)*$Q191/100</f>
        <v>0</v>
      </c>
      <c r="AS191" s="549">
        <f>VLOOKUP($H191,Nutrition_tables!$A:$AF,32,FALSE)*$Q191/100</f>
        <v>0</v>
      </c>
      <c r="AT191" s="583" t="str">
        <f>IF(H191="Select ingredient:","",IF(G191="Select food category:","",IFERROR(VLOOKUP($H191,Ingredient_prices!$E:$W,17,FALSE)*$Q191/1000,"not bought")))</f>
        <v/>
      </c>
      <c r="AU191" s="583" t="str">
        <f>IF(H191="Select ingredient:","",IF(G191="Select food category:","",IFERROR(VLOOKUP($H191,Ingredient_prices!$E:$W,18,FALSE)*$Q191/1000,"not bought")))</f>
        <v/>
      </c>
      <c r="AV191" s="583">
        <f t="shared" si="418"/>
        <v>0</v>
      </c>
      <c r="AW191" s="583">
        <f t="shared" si="419"/>
        <v>0</v>
      </c>
      <c r="AX191" s="583">
        <f t="shared" si="420"/>
        <v>0</v>
      </c>
      <c r="AY191" s="583">
        <f t="shared" si="421"/>
        <v>0</v>
      </c>
      <c r="AZ191" s="583">
        <f t="shared" si="422"/>
        <v>0</v>
      </c>
      <c r="BA191" s="583">
        <f t="shared" si="423"/>
        <v>0</v>
      </c>
      <c r="BB191" s="583">
        <f t="shared" si="424"/>
        <v>0</v>
      </c>
      <c r="BC191" s="583">
        <f t="shared" si="425"/>
        <v>0</v>
      </c>
      <c r="BD191" s="583">
        <f t="shared" si="426"/>
        <v>0</v>
      </c>
      <c r="BE191" s="583">
        <f t="shared" si="427"/>
        <v>0</v>
      </c>
      <c r="BF191" s="583">
        <f t="shared" si="428"/>
        <v>0</v>
      </c>
      <c r="BG191" s="583">
        <f t="shared" si="429"/>
        <v>0</v>
      </c>
      <c r="BH191" s="583">
        <f t="shared" si="430"/>
        <v>0</v>
      </c>
      <c r="BI191" s="583">
        <f t="shared" si="431"/>
        <v>0</v>
      </c>
      <c r="BJ191" s="583">
        <f t="shared" si="432"/>
        <v>0</v>
      </c>
      <c r="BK191" s="583">
        <f t="shared" si="433"/>
        <v>0</v>
      </c>
      <c r="BL191" s="583">
        <f t="shared" si="434"/>
        <v>0</v>
      </c>
      <c r="BM191" s="583">
        <f t="shared" si="435"/>
        <v>0</v>
      </c>
      <c r="BN191" s="583">
        <f t="shared" si="436"/>
        <v>0</v>
      </c>
      <c r="BO191" s="583">
        <f t="shared" si="437"/>
        <v>0</v>
      </c>
      <c r="BP191" s="583">
        <f t="shared" si="438"/>
        <v>0</v>
      </c>
      <c r="BQ191" s="583">
        <f t="shared" si="439"/>
        <v>0</v>
      </c>
      <c r="BR191" s="583">
        <f t="shared" si="440"/>
        <v>0</v>
      </c>
    </row>
    <row r="192" spans="1:70" s="229" customFormat="1" ht="15" customHeight="1">
      <c r="A192" s="574"/>
      <c r="D192" s="85"/>
      <c r="E192" s="576" t="str">
        <f t="shared" si="441"/>
        <v/>
      </c>
      <c r="F192" s="707"/>
      <c r="G192" s="406" t="s">
        <v>3054</v>
      </c>
      <c r="H192" s="1262" t="s">
        <v>3055</v>
      </c>
      <c r="I192" s="85">
        <v>0</v>
      </c>
      <c r="J192" s="682">
        <v>1</v>
      </c>
      <c r="K192" s="579" t="str">
        <f t="shared" si="415"/>
        <v/>
      </c>
      <c r="L192" s="580" t="str">
        <f>IF(H192="Select ingredient:","",IF(G192="","",_xlfn.IFNA(VLOOKUP($H192,Ingredient_prices!$E:$U,16,FALSE),0)))</f>
        <v/>
      </c>
      <c r="M192" s="840"/>
      <c r="N192" s="840"/>
      <c r="O192" s="581"/>
      <c r="P192" s="586"/>
      <c r="Q192" s="583">
        <f t="shared" si="416"/>
        <v>0</v>
      </c>
      <c r="R192" s="583">
        <f>VLOOKUP($H192,'CO2_emission+%_food_waste'!$A:$K,6,FALSE)*$Q192/100</f>
        <v>0</v>
      </c>
      <c r="S192" s="583">
        <f t="shared" si="417"/>
        <v>0</v>
      </c>
      <c r="T192" s="583" t="str">
        <f>IF(H192="Select ingredient:","",IF(G192="Select food category:","",_xlfn.IFNA(VLOOKUP($H192,Ingredient_prices!$E:$U,16,FALSE)*$Q192/1000,"not bought")))</f>
        <v/>
      </c>
      <c r="U192" s="583" t="str">
        <f>IF(G192="Select food category:","",_xlfn.IFNA(VLOOKUP($H192,Ingredient_prices!$E:$U,16,FALSE)*$R192/1000,"not bought"))</f>
        <v/>
      </c>
      <c r="V192" s="549">
        <f>VLOOKUP($H192,'CO2_emission+%_food_waste'!$A:$K,4,FALSE)*$Q192</f>
        <v>0</v>
      </c>
      <c r="W192" s="583">
        <f>VLOOKUP($H192,Nutrition_tables!$A:$N,10,FALSE)*$Q192/100</f>
        <v>0</v>
      </c>
      <c r="X192" s="583">
        <f>VLOOKUP($H192,Nutrition_tables!$A:$N,11,FALSE)*$Q192/100</f>
        <v>0</v>
      </c>
      <c r="Y192" s="583">
        <f>VLOOKUP($H192,Nutrition_tables!$A:$N,12,FALSE)*$Q192/100</f>
        <v>0</v>
      </c>
      <c r="Z192" s="583">
        <f>VLOOKUP($H192,Nutrition_tables!$A:$N,14,FALSE)*$Q192/100</f>
        <v>0</v>
      </c>
      <c r="AA192" s="583">
        <f>VLOOKUP($H192,Nutrition_tables!$A:$AF,13,FALSE)*$Q192/100</f>
        <v>0</v>
      </c>
      <c r="AB192" s="549">
        <f>VLOOKUP($H192,Nutrition_tables!$A:$AF,15,FALSE)*$Q192/100</f>
        <v>0</v>
      </c>
      <c r="AC192" s="583">
        <f>VLOOKUP($H192,Nutrition_tables!$A:$AF,16,FALSE)*$Q192/100</f>
        <v>0</v>
      </c>
      <c r="AD192" s="583">
        <f>VLOOKUP($H192,Nutrition_tables!$A:$AF,17,FALSE)*$Q192/100</f>
        <v>0</v>
      </c>
      <c r="AE192" s="583">
        <f>VLOOKUP($H192,Nutrition_tables!$A:$AF,18,FALSE)*$Q192/100</f>
        <v>0</v>
      </c>
      <c r="AF192" s="583">
        <f>VLOOKUP($H192,Nutrition_tables!$A:$AF,19,FALSE)*$Q192/100</f>
        <v>0</v>
      </c>
      <c r="AG192" s="583">
        <f>VLOOKUP($H192,Nutrition_tables!$A:$AF,20,FALSE)*$Q192/100</f>
        <v>0</v>
      </c>
      <c r="AH192" s="583">
        <f>VLOOKUP($H192,Nutrition_tables!$A:$AF,21,FALSE)*$Q192/100</f>
        <v>0</v>
      </c>
      <c r="AI192" s="583">
        <f>VLOOKUP($H192,Nutrition_tables!$A:$AF,22,FALSE)*$Q192/100</f>
        <v>0</v>
      </c>
      <c r="AJ192" s="549">
        <f>VLOOKUP($H192,Nutrition_tables!$A:$AF,23,FALSE)*$Q192/100</f>
        <v>0</v>
      </c>
      <c r="AK192" s="583">
        <f>VLOOKUP($H192,Nutrition_tables!$A:$AF,24,FALSE)*$Q192/100</f>
        <v>0</v>
      </c>
      <c r="AL192" s="583">
        <f>VLOOKUP($H192,Nutrition_tables!$A:$AF,25,FALSE)*$Q192/100</f>
        <v>0</v>
      </c>
      <c r="AM192" s="583">
        <f>VLOOKUP($H192,Nutrition_tables!$A:$AF,26,FALSE)*$Q192/100</f>
        <v>0</v>
      </c>
      <c r="AN192" s="583">
        <f>VLOOKUP($H192,Nutrition_tables!$A:$AF,27,FALSE)*$Q192/100</f>
        <v>0</v>
      </c>
      <c r="AO192" s="583">
        <f>VLOOKUP($H192,Nutrition_tables!$A:$AF,28,FALSE)*$Q192/100</f>
        <v>0</v>
      </c>
      <c r="AP192" s="583">
        <f>VLOOKUP($H192,Nutrition_tables!$A:$AF,29,FALSE)*$Q192/100</f>
        <v>0</v>
      </c>
      <c r="AQ192" s="583">
        <f>VLOOKUP($H192,Nutrition_tables!$A:$AF,30,FALSE)*$Q192/100</f>
        <v>0</v>
      </c>
      <c r="AR192" s="583">
        <f>VLOOKUP($H192,Nutrition_tables!$A:$AF,31,FALSE)*$Q192/100</f>
        <v>0</v>
      </c>
      <c r="AS192" s="549">
        <f>VLOOKUP($H192,Nutrition_tables!$A:$AF,32,FALSE)*$Q192/100</f>
        <v>0</v>
      </c>
      <c r="AT192" s="583" t="str">
        <f>IF(H192="Select ingredient:","",IF(G192="Select food category:","",IFERROR(VLOOKUP($H192,Ingredient_prices!$E:$W,17,FALSE)*$Q192/1000,"not bought")))</f>
        <v/>
      </c>
      <c r="AU192" s="583" t="str">
        <f>IF(H192="Select ingredient:","",IF(G192="Select food category:","",IFERROR(VLOOKUP($H192,Ingredient_prices!$E:$W,18,FALSE)*$Q192/1000,"not bought")))</f>
        <v/>
      </c>
      <c r="AV192" s="583">
        <f t="shared" si="418"/>
        <v>0</v>
      </c>
      <c r="AW192" s="583">
        <f t="shared" si="419"/>
        <v>0</v>
      </c>
      <c r="AX192" s="583">
        <f t="shared" si="420"/>
        <v>0</v>
      </c>
      <c r="AY192" s="583">
        <f t="shared" si="421"/>
        <v>0</v>
      </c>
      <c r="AZ192" s="583">
        <f t="shared" si="422"/>
        <v>0</v>
      </c>
      <c r="BA192" s="583">
        <f t="shared" si="423"/>
        <v>0</v>
      </c>
      <c r="BB192" s="583">
        <f t="shared" si="424"/>
        <v>0</v>
      </c>
      <c r="BC192" s="583">
        <f t="shared" si="425"/>
        <v>0</v>
      </c>
      <c r="BD192" s="583">
        <f t="shared" si="426"/>
        <v>0</v>
      </c>
      <c r="BE192" s="583">
        <f t="shared" si="427"/>
        <v>0</v>
      </c>
      <c r="BF192" s="583">
        <f t="shared" si="428"/>
        <v>0</v>
      </c>
      <c r="BG192" s="583">
        <f t="shared" si="429"/>
        <v>0</v>
      </c>
      <c r="BH192" s="583">
        <f t="shared" si="430"/>
        <v>0</v>
      </c>
      <c r="BI192" s="583">
        <f t="shared" si="431"/>
        <v>0</v>
      </c>
      <c r="BJ192" s="583">
        <f t="shared" si="432"/>
        <v>0</v>
      </c>
      <c r="BK192" s="583">
        <f t="shared" si="433"/>
        <v>0</v>
      </c>
      <c r="BL192" s="583">
        <f t="shared" si="434"/>
        <v>0</v>
      </c>
      <c r="BM192" s="583">
        <f t="shared" si="435"/>
        <v>0</v>
      </c>
      <c r="BN192" s="583">
        <f t="shared" si="436"/>
        <v>0</v>
      </c>
      <c r="BO192" s="583">
        <f t="shared" si="437"/>
        <v>0</v>
      </c>
      <c r="BP192" s="583">
        <f t="shared" si="438"/>
        <v>0</v>
      </c>
      <c r="BQ192" s="583">
        <f t="shared" si="439"/>
        <v>0</v>
      </c>
      <c r="BR192" s="583">
        <f t="shared" si="440"/>
        <v>0</v>
      </c>
    </row>
    <row r="193" spans="1:70" s="229" customFormat="1" ht="15" customHeight="1">
      <c r="A193" s="574"/>
      <c r="D193" s="85"/>
      <c r="E193" s="576" t="str">
        <f t="shared" si="441"/>
        <v/>
      </c>
      <c r="F193" s="707"/>
      <c r="G193" s="406" t="s">
        <v>3054</v>
      </c>
      <c r="H193" s="1262" t="s">
        <v>3055</v>
      </c>
      <c r="I193" s="85">
        <v>0</v>
      </c>
      <c r="J193" s="682">
        <v>1</v>
      </c>
      <c r="K193" s="579" t="str">
        <f t="shared" si="415"/>
        <v/>
      </c>
      <c r="L193" s="580" t="str">
        <f>IF(H193="Select ingredient:","",IF(G193="","",_xlfn.IFNA(VLOOKUP($H193,Ingredient_prices!$E:$U,16,FALSE),0)))</f>
        <v/>
      </c>
      <c r="M193" s="840"/>
      <c r="N193" s="840"/>
      <c r="O193" s="581"/>
      <c r="P193" s="586"/>
      <c r="Q193" s="583">
        <f t="shared" si="416"/>
        <v>0</v>
      </c>
      <c r="R193" s="583">
        <f>VLOOKUP($H193,'CO2_emission+%_food_waste'!$A:$K,6,FALSE)*$Q193/100</f>
        <v>0</v>
      </c>
      <c r="S193" s="583">
        <f t="shared" si="417"/>
        <v>0</v>
      </c>
      <c r="T193" s="583" t="str">
        <f>IF(H193="Select ingredient:","",IF(G193="Select food category:","",_xlfn.IFNA(VLOOKUP($H193,Ingredient_prices!$E:$U,16,FALSE)*$Q193/1000,"not bought")))</f>
        <v/>
      </c>
      <c r="U193" s="583" t="str">
        <f>IF(G193="Select food category:","",_xlfn.IFNA(VLOOKUP($H193,Ingredient_prices!$E:$U,16,FALSE)*$R193/1000,"not bought"))</f>
        <v/>
      </c>
      <c r="V193" s="549">
        <f>VLOOKUP($H193,'CO2_emission+%_food_waste'!$A:$K,4,FALSE)*$Q193</f>
        <v>0</v>
      </c>
      <c r="W193" s="583">
        <f>VLOOKUP($H193,Nutrition_tables!$A:$N,10,FALSE)*$Q193/100</f>
        <v>0</v>
      </c>
      <c r="X193" s="583">
        <f>VLOOKUP($H193,Nutrition_tables!$A:$N,11,FALSE)*$Q193/100</f>
        <v>0</v>
      </c>
      <c r="Y193" s="583">
        <f>VLOOKUP($H193,Nutrition_tables!$A:$N,12,FALSE)*$Q193/100</f>
        <v>0</v>
      </c>
      <c r="Z193" s="583">
        <f>VLOOKUP($H193,Nutrition_tables!$A:$N,14,FALSE)*$Q193/100</f>
        <v>0</v>
      </c>
      <c r="AA193" s="583">
        <f>VLOOKUP($H193,Nutrition_tables!$A:$AF,13,FALSE)*$Q193/100</f>
        <v>0</v>
      </c>
      <c r="AB193" s="549">
        <f>VLOOKUP($H193,Nutrition_tables!$A:$AF,15,FALSE)*$Q193/100</f>
        <v>0</v>
      </c>
      <c r="AC193" s="583">
        <f>VLOOKUP($H193,Nutrition_tables!$A:$AF,16,FALSE)*$Q193/100</f>
        <v>0</v>
      </c>
      <c r="AD193" s="583">
        <f>VLOOKUP($H193,Nutrition_tables!$A:$AF,17,FALSE)*$Q193/100</f>
        <v>0</v>
      </c>
      <c r="AE193" s="583">
        <f>VLOOKUP($H193,Nutrition_tables!$A:$AF,18,FALSE)*$Q193/100</f>
        <v>0</v>
      </c>
      <c r="AF193" s="583">
        <f>VLOOKUP($H193,Nutrition_tables!$A:$AF,19,FALSE)*$Q193/100</f>
        <v>0</v>
      </c>
      <c r="AG193" s="583">
        <f>VLOOKUP($H193,Nutrition_tables!$A:$AF,20,FALSE)*$Q193/100</f>
        <v>0</v>
      </c>
      <c r="AH193" s="583">
        <f>VLOOKUP($H193,Nutrition_tables!$A:$AF,21,FALSE)*$Q193/100</f>
        <v>0</v>
      </c>
      <c r="AI193" s="583">
        <f>VLOOKUP($H193,Nutrition_tables!$A:$AF,22,FALSE)*$Q193/100</f>
        <v>0</v>
      </c>
      <c r="AJ193" s="549">
        <f>VLOOKUP($H193,Nutrition_tables!$A:$AF,23,FALSE)*$Q193/100</f>
        <v>0</v>
      </c>
      <c r="AK193" s="583">
        <f>VLOOKUP($H193,Nutrition_tables!$A:$AF,24,FALSE)*$Q193/100</f>
        <v>0</v>
      </c>
      <c r="AL193" s="583">
        <f>VLOOKUP($H193,Nutrition_tables!$A:$AF,25,FALSE)*$Q193/100</f>
        <v>0</v>
      </c>
      <c r="AM193" s="583">
        <f>VLOOKUP($H193,Nutrition_tables!$A:$AF,26,FALSE)*$Q193/100</f>
        <v>0</v>
      </c>
      <c r="AN193" s="583">
        <f>VLOOKUP($H193,Nutrition_tables!$A:$AF,27,FALSE)*$Q193/100</f>
        <v>0</v>
      </c>
      <c r="AO193" s="583">
        <f>VLOOKUP($H193,Nutrition_tables!$A:$AF,28,FALSE)*$Q193/100</f>
        <v>0</v>
      </c>
      <c r="AP193" s="583">
        <f>VLOOKUP($H193,Nutrition_tables!$A:$AF,29,FALSE)*$Q193/100</f>
        <v>0</v>
      </c>
      <c r="AQ193" s="583">
        <f>VLOOKUP($H193,Nutrition_tables!$A:$AF,30,FALSE)*$Q193/100</f>
        <v>0</v>
      </c>
      <c r="AR193" s="583">
        <f>VLOOKUP($H193,Nutrition_tables!$A:$AF,31,FALSE)*$Q193/100</f>
        <v>0</v>
      </c>
      <c r="AS193" s="549">
        <f>VLOOKUP($H193,Nutrition_tables!$A:$AF,32,FALSE)*$Q193/100</f>
        <v>0</v>
      </c>
      <c r="AT193" s="583" t="str">
        <f>IF(H193="Select ingredient:","",IF(G193="Select food category:","",IFERROR(VLOOKUP($H193,Ingredient_prices!$E:$W,17,FALSE)*$Q193/1000,"not bought")))</f>
        <v/>
      </c>
      <c r="AU193" s="583" t="str">
        <f>IF(H193="Select ingredient:","",IF(G193="Select food category:","",IFERROR(VLOOKUP($H193,Ingredient_prices!$E:$W,18,FALSE)*$Q193/1000,"not bought")))</f>
        <v/>
      </c>
      <c r="AV193" s="583">
        <f t="shared" si="418"/>
        <v>0</v>
      </c>
      <c r="AW193" s="583">
        <f t="shared" si="419"/>
        <v>0</v>
      </c>
      <c r="AX193" s="583">
        <f t="shared" si="420"/>
        <v>0</v>
      </c>
      <c r="AY193" s="583">
        <f t="shared" si="421"/>
        <v>0</v>
      </c>
      <c r="AZ193" s="583">
        <f t="shared" si="422"/>
        <v>0</v>
      </c>
      <c r="BA193" s="583">
        <f t="shared" si="423"/>
        <v>0</v>
      </c>
      <c r="BB193" s="583">
        <f t="shared" si="424"/>
        <v>0</v>
      </c>
      <c r="BC193" s="583">
        <f t="shared" si="425"/>
        <v>0</v>
      </c>
      <c r="BD193" s="583">
        <f t="shared" si="426"/>
        <v>0</v>
      </c>
      <c r="BE193" s="583">
        <f t="shared" si="427"/>
        <v>0</v>
      </c>
      <c r="BF193" s="583">
        <f t="shared" si="428"/>
        <v>0</v>
      </c>
      <c r="BG193" s="583">
        <f t="shared" si="429"/>
        <v>0</v>
      </c>
      <c r="BH193" s="583">
        <f t="shared" si="430"/>
        <v>0</v>
      </c>
      <c r="BI193" s="583">
        <f t="shared" si="431"/>
        <v>0</v>
      </c>
      <c r="BJ193" s="583">
        <f t="shared" si="432"/>
        <v>0</v>
      </c>
      <c r="BK193" s="583">
        <f t="shared" si="433"/>
        <v>0</v>
      </c>
      <c r="BL193" s="583">
        <f t="shared" si="434"/>
        <v>0</v>
      </c>
      <c r="BM193" s="583">
        <f t="shared" si="435"/>
        <v>0</v>
      </c>
      <c r="BN193" s="583">
        <f t="shared" si="436"/>
        <v>0</v>
      </c>
      <c r="BO193" s="583">
        <f t="shared" si="437"/>
        <v>0</v>
      </c>
      <c r="BP193" s="583">
        <f t="shared" si="438"/>
        <v>0</v>
      </c>
      <c r="BQ193" s="583">
        <f t="shared" si="439"/>
        <v>0</v>
      </c>
      <c r="BR193" s="583">
        <f t="shared" si="440"/>
        <v>0</v>
      </c>
    </row>
    <row r="194" spans="1:70" s="229" customFormat="1" ht="15" customHeight="1">
      <c r="A194" s="574"/>
      <c r="D194" s="85"/>
      <c r="E194" s="576" t="str">
        <f t="shared" si="441"/>
        <v/>
      </c>
      <c r="F194" s="707"/>
      <c r="G194" s="406" t="s">
        <v>3054</v>
      </c>
      <c r="H194" s="1262" t="s">
        <v>3055</v>
      </c>
      <c r="I194" s="85">
        <v>0</v>
      </c>
      <c r="J194" s="682">
        <v>1</v>
      </c>
      <c r="K194" s="579" t="str">
        <f t="shared" si="415"/>
        <v/>
      </c>
      <c r="L194" s="580" t="str">
        <f>IF(H194="Select ingredient:","",IF(G194="","",_xlfn.IFNA(VLOOKUP($H194,Ingredient_prices!$E:$U,16,FALSE),0)))</f>
        <v/>
      </c>
      <c r="M194" s="840"/>
      <c r="N194" s="840"/>
      <c r="O194" s="581"/>
      <c r="P194" s="586"/>
      <c r="Q194" s="583">
        <f t="shared" si="416"/>
        <v>0</v>
      </c>
      <c r="R194" s="583">
        <f>VLOOKUP($H194,'CO2_emission+%_food_waste'!$A:$K,6,FALSE)*$Q194/100</f>
        <v>0</v>
      </c>
      <c r="S194" s="583">
        <f t="shared" si="417"/>
        <v>0</v>
      </c>
      <c r="T194" s="583" t="str">
        <f>IF(H194="Select ingredient:","",IF(G194="Select food category:","",_xlfn.IFNA(VLOOKUP($H194,Ingredient_prices!$E:$U,16,FALSE)*$Q194/1000,"not bought")))</f>
        <v/>
      </c>
      <c r="U194" s="583" t="str">
        <f>IF(G194="Select food category:","",_xlfn.IFNA(VLOOKUP($H194,Ingredient_prices!$E:$U,16,FALSE)*$R194/1000,"not bought"))</f>
        <v/>
      </c>
      <c r="V194" s="549">
        <f>VLOOKUP($H194,'CO2_emission+%_food_waste'!$A:$K,4,FALSE)*$Q194</f>
        <v>0</v>
      </c>
      <c r="W194" s="583">
        <f>VLOOKUP($H194,Nutrition_tables!$A:$N,10,FALSE)*$Q194/100</f>
        <v>0</v>
      </c>
      <c r="X194" s="583">
        <f>VLOOKUP($H194,Nutrition_tables!$A:$N,11,FALSE)*$Q194/100</f>
        <v>0</v>
      </c>
      <c r="Y194" s="583">
        <f>VLOOKUP($H194,Nutrition_tables!$A:$N,12,FALSE)*$Q194/100</f>
        <v>0</v>
      </c>
      <c r="Z194" s="583">
        <f>VLOOKUP($H194,Nutrition_tables!$A:$N,14,FALSE)*$Q194/100</f>
        <v>0</v>
      </c>
      <c r="AA194" s="583">
        <f>VLOOKUP($H194,Nutrition_tables!$A:$AF,13,FALSE)*$Q194/100</f>
        <v>0</v>
      </c>
      <c r="AB194" s="549">
        <f>VLOOKUP($H194,Nutrition_tables!$A:$AF,15,FALSE)*$Q194/100</f>
        <v>0</v>
      </c>
      <c r="AC194" s="583">
        <f>VLOOKUP($H194,Nutrition_tables!$A:$AF,16,FALSE)*$Q194/100</f>
        <v>0</v>
      </c>
      <c r="AD194" s="583">
        <f>VLOOKUP($H194,Nutrition_tables!$A:$AF,17,FALSE)*$Q194/100</f>
        <v>0</v>
      </c>
      <c r="AE194" s="583">
        <f>VLOOKUP($H194,Nutrition_tables!$A:$AF,18,FALSE)*$Q194/100</f>
        <v>0</v>
      </c>
      <c r="AF194" s="583">
        <f>VLOOKUP($H194,Nutrition_tables!$A:$AF,19,FALSE)*$Q194/100</f>
        <v>0</v>
      </c>
      <c r="AG194" s="583">
        <f>VLOOKUP($H194,Nutrition_tables!$A:$AF,20,FALSE)*$Q194/100</f>
        <v>0</v>
      </c>
      <c r="AH194" s="583">
        <f>VLOOKUP($H194,Nutrition_tables!$A:$AF,21,FALSE)*$Q194/100</f>
        <v>0</v>
      </c>
      <c r="AI194" s="583">
        <f>VLOOKUP($H194,Nutrition_tables!$A:$AF,22,FALSE)*$Q194/100</f>
        <v>0</v>
      </c>
      <c r="AJ194" s="549">
        <f>VLOOKUP($H194,Nutrition_tables!$A:$AF,23,FALSE)*$Q194/100</f>
        <v>0</v>
      </c>
      <c r="AK194" s="583">
        <f>VLOOKUP($H194,Nutrition_tables!$A:$AF,24,FALSE)*$Q194/100</f>
        <v>0</v>
      </c>
      <c r="AL194" s="583">
        <f>VLOOKUP($H194,Nutrition_tables!$A:$AF,25,FALSE)*$Q194/100</f>
        <v>0</v>
      </c>
      <c r="AM194" s="583">
        <f>VLOOKUP($H194,Nutrition_tables!$A:$AF,26,FALSE)*$Q194/100</f>
        <v>0</v>
      </c>
      <c r="AN194" s="583">
        <f>VLOOKUP($H194,Nutrition_tables!$A:$AF,27,FALSE)*$Q194/100</f>
        <v>0</v>
      </c>
      <c r="AO194" s="583">
        <f>VLOOKUP($H194,Nutrition_tables!$A:$AF,28,FALSE)*$Q194/100</f>
        <v>0</v>
      </c>
      <c r="AP194" s="583">
        <f>VLOOKUP($H194,Nutrition_tables!$A:$AF,29,FALSE)*$Q194/100</f>
        <v>0</v>
      </c>
      <c r="AQ194" s="583">
        <f>VLOOKUP($H194,Nutrition_tables!$A:$AF,30,FALSE)*$Q194/100</f>
        <v>0</v>
      </c>
      <c r="AR194" s="583">
        <f>VLOOKUP($H194,Nutrition_tables!$A:$AF,31,FALSE)*$Q194/100</f>
        <v>0</v>
      </c>
      <c r="AS194" s="549">
        <f>VLOOKUP($H194,Nutrition_tables!$A:$AF,32,FALSE)*$Q194/100</f>
        <v>0</v>
      </c>
      <c r="AT194" s="583" t="str">
        <f>IF(H194="Select ingredient:","",IF(G194="Select food category:","",IFERROR(VLOOKUP($H194,Ingredient_prices!$E:$W,17,FALSE)*$Q194/1000,"not bought")))</f>
        <v/>
      </c>
      <c r="AU194" s="583" t="str">
        <f>IF(H194="Select ingredient:","",IF(G194="Select food category:","",IFERROR(VLOOKUP($H194,Ingredient_prices!$E:$W,18,FALSE)*$Q194/1000,"not bought")))</f>
        <v/>
      </c>
      <c r="AV194" s="583">
        <f t="shared" si="418"/>
        <v>0</v>
      </c>
      <c r="AW194" s="583">
        <f t="shared" si="419"/>
        <v>0</v>
      </c>
      <c r="AX194" s="583">
        <f t="shared" si="420"/>
        <v>0</v>
      </c>
      <c r="AY194" s="583">
        <f t="shared" si="421"/>
        <v>0</v>
      </c>
      <c r="AZ194" s="583">
        <f t="shared" si="422"/>
        <v>0</v>
      </c>
      <c r="BA194" s="583">
        <f t="shared" si="423"/>
        <v>0</v>
      </c>
      <c r="BB194" s="583">
        <f t="shared" si="424"/>
        <v>0</v>
      </c>
      <c r="BC194" s="583">
        <f t="shared" si="425"/>
        <v>0</v>
      </c>
      <c r="BD194" s="583">
        <f t="shared" si="426"/>
        <v>0</v>
      </c>
      <c r="BE194" s="583">
        <f t="shared" si="427"/>
        <v>0</v>
      </c>
      <c r="BF194" s="583">
        <f t="shared" si="428"/>
        <v>0</v>
      </c>
      <c r="BG194" s="583">
        <f t="shared" si="429"/>
        <v>0</v>
      </c>
      <c r="BH194" s="583">
        <f t="shared" si="430"/>
        <v>0</v>
      </c>
      <c r="BI194" s="583">
        <f t="shared" si="431"/>
        <v>0</v>
      </c>
      <c r="BJ194" s="583">
        <f t="shared" si="432"/>
        <v>0</v>
      </c>
      <c r="BK194" s="583">
        <f t="shared" si="433"/>
        <v>0</v>
      </c>
      <c r="BL194" s="583">
        <f t="shared" si="434"/>
        <v>0</v>
      </c>
      <c r="BM194" s="583">
        <f t="shared" si="435"/>
        <v>0</v>
      </c>
      <c r="BN194" s="583">
        <f t="shared" si="436"/>
        <v>0</v>
      </c>
      <c r="BO194" s="583">
        <f t="shared" si="437"/>
        <v>0</v>
      </c>
      <c r="BP194" s="583">
        <f t="shared" si="438"/>
        <v>0</v>
      </c>
      <c r="BQ194" s="583">
        <f t="shared" si="439"/>
        <v>0</v>
      </c>
      <c r="BR194" s="583">
        <f t="shared" si="440"/>
        <v>0</v>
      </c>
    </row>
    <row r="195" spans="1:70" s="229" customFormat="1" ht="15" customHeight="1">
      <c r="A195" s="574"/>
      <c r="D195" s="85"/>
      <c r="E195" s="576" t="str">
        <f t="shared" si="441"/>
        <v/>
      </c>
      <c r="F195" s="707"/>
      <c r="G195" s="406" t="s">
        <v>3054</v>
      </c>
      <c r="H195" s="1262" t="s">
        <v>3055</v>
      </c>
      <c r="I195" s="85">
        <v>0</v>
      </c>
      <c r="J195" s="682">
        <v>1</v>
      </c>
      <c r="K195" s="579" t="str">
        <f t="shared" si="415"/>
        <v/>
      </c>
      <c r="L195" s="580" t="str">
        <f>IF(H195="Select ingredient:","",IF(G195="","",_xlfn.IFNA(VLOOKUP($H195,Ingredient_prices!$E:$U,16,FALSE),0)))</f>
        <v/>
      </c>
      <c r="M195" s="840"/>
      <c r="N195" s="840"/>
      <c r="O195" s="581"/>
      <c r="P195" s="586"/>
      <c r="Q195" s="583">
        <f t="shared" si="416"/>
        <v>0</v>
      </c>
      <c r="R195" s="583">
        <f>VLOOKUP($H195,'CO2_emission+%_food_waste'!$A:$K,6,FALSE)*$Q195/100</f>
        <v>0</v>
      </c>
      <c r="S195" s="583">
        <f t="shared" si="417"/>
        <v>0</v>
      </c>
      <c r="T195" s="583" t="str">
        <f>IF(H195="Select ingredient:","",IF(G195="Select food category:","",_xlfn.IFNA(VLOOKUP($H195,Ingredient_prices!$E:$U,16,FALSE)*$Q195/1000,"not bought")))</f>
        <v/>
      </c>
      <c r="U195" s="583" t="str">
        <f>IF(G195="Select food category:","",_xlfn.IFNA(VLOOKUP($H195,Ingredient_prices!$E:$U,16,FALSE)*$R195/1000,"not bought"))</f>
        <v/>
      </c>
      <c r="V195" s="549">
        <f>VLOOKUP($H195,'CO2_emission+%_food_waste'!$A:$K,4,FALSE)*$Q195</f>
        <v>0</v>
      </c>
      <c r="W195" s="583">
        <f>VLOOKUP($H195,Nutrition_tables!$A:$N,10,FALSE)*$Q195/100</f>
        <v>0</v>
      </c>
      <c r="X195" s="583">
        <f>VLOOKUP($H195,Nutrition_tables!$A:$N,11,FALSE)*$Q195/100</f>
        <v>0</v>
      </c>
      <c r="Y195" s="583">
        <f>VLOOKUP($H195,Nutrition_tables!$A:$N,12,FALSE)*$Q195/100</f>
        <v>0</v>
      </c>
      <c r="Z195" s="583">
        <f>VLOOKUP($H195,Nutrition_tables!$A:$N,14,FALSE)*$Q195/100</f>
        <v>0</v>
      </c>
      <c r="AA195" s="583">
        <f>VLOOKUP($H195,Nutrition_tables!$A:$AF,13,FALSE)*$Q195/100</f>
        <v>0</v>
      </c>
      <c r="AB195" s="549">
        <f>VLOOKUP($H195,Nutrition_tables!$A:$AF,15,FALSE)*$Q195/100</f>
        <v>0</v>
      </c>
      <c r="AC195" s="583">
        <f>VLOOKUP($H195,Nutrition_tables!$A:$AF,16,FALSE)*$Q195/100</f>
        <v>0</v>
      </c>
      <c r="AD195" s="583">
        <f>VLOOKUP($H195,Nutrition_tables!$A:$AF,17,FALSE)*$Q195/100</f>
        <v>0</v>
      </c>
      <c r="AE195" s="583">
        <f>VLOOKUP($H195,Nutrition_tables!$A:$AF,18,FALSE)*$Q195/100</f>
        <v>0</v>
      </c>
      <c r="AF195" s="583">
        <f>VLOOKUP($H195,Nutrition_tables!$A:$AF,19,FALSE)*$Q195/100</f>
        <v>0</v>
      </c>
      <c r="AG195" s="583">
        <f>VLOOKUP($H195,Nutrition_tables!$A:$AF,20,FALSE)*$Q195/100</f>
        <v>0</v>
      </c>
      <c r="AH195" s="583">
        <f>VLOOKUP($H195,Nutrition_tables!$A:$AF,21,FALSE)*$Q195/100</f>
        <v>0</v>
      </c>
      <c r="AI195" s="583">
        <f>VLOOKUP($H195,Nutrition_tables!$A:$AF,22,FALSE)*$Q195/100</f>
        <v>0</v>
      </c>
      <c r="AJ195" s="549">
        <f>VLOOKUP($H195,Nutrition_tables!$A:$AF,23,FALSE)*$Q195/100</f>
        <v>0</v>
      </c>
      <c r="AK195" s="583">
        <f>VLOOKUP($H195,Nutrition_tables!$A:$AF,24,FALSE)*$Q195/100</f>
        <v>0</v>
      </c>
      <c r="AL195" s="583">
        <f>VLOOKUP($H195,Nutrition_tables!$A:$AF,25,FALSE)*$Q195/100</f>
        <v>0</v>
      </c>
      <c r="AM195" s="583">
        <f>VLOOKUP($H195,Nutrition_tables!$A:$AF,26,FALSE)*$Q195/100</f>
        <v>0</v>
      </c>
      <c r="AN195" s="583">
        <f>VLOOKUP($H195,Nutrition_tables!$A:$AF,27,FALSE)*$Q195/100</f>
        <v>0</v>
      </c>
      <c r="AO195" s="583">
        <f>VLOOKUP($H195,Nutrition_tables!$A:$AF,28,FALSE)*$Q195/100</f>
        <v>0</v>
      </c>
      <c r="AP195" s="583">
        <f>VLOOKUP($H195,Nutrition_tables!$A:$AF,29,FALSE)*$Q195/100</f>
        <v>0</v>
      </c>
      <c r="AQ195" s="583">
        <f>VLOOKUP($H195,Nutrition_tables!$A:$AF,30,FALSE)*$Q195/100</f>
        <v>0</v>
      </c>
      <c r="AR195" s="583">
        <f>VLOOKUP($H195,Nutrition_tables!$A:$AF,31,FALSE)*$Q195/100</f>
        <v>0</v>
      </c>
      <c r="AS195" s="549">
        <f>VLOOKUP($H195,Nutrition_tables!$A:$AF,32,FALSE)*$Q195/100</f>
        <v>0</v>
      </c>
      <c r="AT195" s="583" t="str">
        <f>IF(H195="Select ingredient:","",IF(G195="Select food category:","",IFERROR(VLOOKUP($H195,Ingredient_prices!$E:$W,17,FALSE)*$Q195/1000,"not bought")))</f>
        <v/>
      </c>
      <c r="AU195" s="583" t="str">
        <f>IF(H195="Select ingredient:","",IF(G195="Select food category:","",IFERROR(VLOOKUP($H195,Ingredient_prices!$E:$W,18,FALSE)*$Q195/1000,"not bought")))</f>
        <v/>
      </c>
      <c r="AV195" s="583">
        <f t="shared" si="418"/>
        <v>0</v>
      </c>
      <c r="AW195" s="583">
        <f t="shared" si="419"/>
        <v>0</v>
      </c>
      <c r="AX195" s="583">
        <f t="shared" si="420"/>
        <v>0</v>
      </c>
      <c r="AY195" s="583">
        <f t="shared" si="421"/>
        <v>0</v>
      </c>
      <c r="AZ195" s="583">
        <f t="shared" si="422"/>
        <v>0</v>
      </c>
      <c r="BA195" s="583">
        <f t="shared" si="423"/>
        <v>0</v>
      </c>
      <c r="BB195" s="583">
        <f t="shared" si="424"/>
        <v>0</v>
      </c>
      <c r="BC195" s="583">
        <f t="shared" si="425"/>
        <v>0</v>
      </c>
      <c r="BD195" s="583">
        <f t="shared" si="426"/>
        <v>0</v>
      </c>
      <c r="BE195" s="583">
        <f t="shared" si="427"/>
        <v>0</v>
      </c>
      <c r="BF195" s="583">
        <f t="shared" si="428"/>
        <v>0</v>
      </c>
      <c r="BG195" s="583">
        <f t="shared" si="429"/>
        <v>0</v>
      </c>
      <c r="BH195" s="583">
        <f t="shared" si="430"/>
        <v>0</v>
      </c>
      <c r="BI195" s="583">
        <f t="shared" si="431"/>
        <v>0</v>
      </c>
      <c r="BJ195" s="583">
        <f t="shared" si="432"/>
        <v>0</v>
      </c>
      <c r="BK195" s="583">
        <f t="shared" si="433"/>
        <v>0</v>
      </c>
      <c r="BL195" s="583">
        <f t="shared" si="434"/>
        <v>0</v>
      </c>
      <c r="BM195" s="583">
        <f t="shared" si="435"/>
        <v>0</v>
      </c>
      <c r="BN195" s="583">
        <f t="shared" si="436"/>
        <v>0</v>
      </c>
      <c r="BO195" s="583">
        <f t="shared" si="437"/>
        <v>0</v>
      </c>
      <c r="BP195" s="583">
        <f t="shared" si="438"/>
        <v>0</v>
      </c>
      <c r="BQ195" s="583">
        <f t="shared" si="439"/>
        <v>0</v>
      </c>
      <c r="BR195" s="583">
        <f t="shared" si="440"/>
        <v>0</v>
      </c>
    </row>
    <row r="196" spans="1:70" s="229" customFormat="1" ht="15" customHeight="1">
      <c r="A196" s="574"/>
      <c r="D196" s="85"/>
      <c r="E196" s="576" t="str">
        <f t="shared" si="441"/>
        <v/>
      </c>
      <c r="F196" s="707"/>
      <c r="G196" s="406" t="s">
        <v>3054</v>
      </c>
      <c r="H196" s="1262" t="s">
        <v>3055</v>
      </c>
      <c r="I196" s="85">
        <v>0</v>
      </c>
      <c r="J196" s="682">
        <v>1</v>
      </c>
      <c r="K196" s="579" t="str">
        <f t="shared" si="415"/>
        <v/>
      </c>
      <c r="L196" s="580" t="str">
        <f>IF(H196="Select ingredient:","",IF(G196="","",_xlfn.IFNA(VLOOKUP($H196,Ingredient_prices!$E:$U,16,FALSE),0)))</f>
        <v/>
      </c>
      <c r="M196" s="840"/>
      <c r="N196" s="840"/>
      <c r="O196" s="581"/>
      <c r="P196" s="586"/>
      <c r="Q196" s="583">
        <f t="shared" si="416"/>
        <v>0</v>
      </c>
      <c r="R196" s="583">
        <f>VLOOKUP($H196,'CO2_emission+%_food_waste'!$A:$K,6,FALSE)*$Q196/100</f>
        <v>0</v>
      </c>
      <c r="S196" s="583">
        <f t="shared" si="417"/>
        <v>0</v>
      </c>
      <c r="T196" s="583" t="str">
        <f>IF(H196="Select ingredient:","",IF(G196="Select food category:","",_xlfn.IFNA(VLOOKUP($H196,Ingredient_prices!$E:$U,16,FALSE)*$Q196/1000,"not bought")))</f>
        <v/>
      </c>
      <c r="U196" s="583" t="str">
        <f>IF(G196="Select food category:","",_xlfn.IFNA(VLOOKUP($H196,Ingredient_prices!$E:$U,16,FALSE)*$R196/1000,"not bought"))</f>
        <v/>
      </c>
      <c r="V196" s="549">
        <f>VLOOKUP($H196,'CO2_emission+%_food_waste'!$A:$K,4,FALSE)*$Q196</f>
        <v>0</v>
      </c>
      <c r="W196" s="583">
        <f>VLOOKUP($H196,Nutrition_tables!$A:$N,10,FALSE)*$Q196/100</f>
        <v>0</v>
      </c>
      <c r="X196" s="583">
        <f>VLOOKUP($H196,Nutrition_tables!$A:$N,11,FALSE)*$Q196/100</f>
        <v>0</v>
      </c>
      <c r="Y196" s="583">
        <f>VLOOKUP($H196,Nutrition_tables!$A:$N,12,FALSE)*$Q196/100</f>
        <v>0</v>
      </c>
      <c r="Z196" s="583">
        <f>VLOOKUP($H196,Nutrition_tables!$A:$N,14,FALSE)*$Q196/100</f>
        <v>0</v>
      </c>
      <c r="AA196" s="583">
        <f>VLOOKUP($H196,Nutrition_tables!$A:$AF,13,FALSE)*$Q196/100</f>
        <v>0</v>
      </c>
      <c r="AB196" s="549">
        <f>VLOOKUP($H196,Nutrition_tables!$A:$AF,15,FALSE)*$Q196/100</f>
        <v>0</v>
      </c>
      <c r="AC196" s="583">
        <f>VLOOKUP($H196,Nutrition_tables!$A:$AF,16,FALSE)*$Q196/100</f>
        <v>0</v>
      </c>
      <c r="AD196" s="583">
        <f>VLOOKUP($H196,Nutrition_tables!$A:$AF,17,FALSE)*$Q196/100</f>
        <v>0</v>
      </c>
      <c r="AE196" s="583">
        <f>VLOOKUP($H196,Nutrition_tables!$A:$AF,18,FALSE)*$Q196/100</f>
        <v>0</v>
      </c>
      <c r="AF196" s="583">
        <f>VLOOKUP($H196,Nutrition_tables!$A:$AF,19,FALSE)*$Q196/100</f>
        <v>0</v>
      </c>
      <c r="AG196" s="583">
        <f>VLOOKUP($H196,Nutrition_tables!$A:$AF,20,FALSE)*$Q196/100</f>
        <v>0</v>
      </c>
      <c r="AH196" s="583">
        <f>VLOOKUP($H196,Nutrition_tables!$A:$AF,21,FALSE)*$Q196/100</f>
        <v>0</v>
      </c>
      <c r="AI196" s="583">
        <f>VLOOKUP($H196,Nutrition_tables!$A:$AF,22,FALSE)*$Q196/100</f>
        <v>0</v>
      </c>
      <c r="AJ196" s="549">
        <f>VLOOKUP($H196,Nutrition_tables!$A:$AF,23,FALSE)*$Q196/100</f>
        <v>0</v>
      </c>
      <c r="AK196" s="583">
        <f>VLOOKUP($H196,Nutrition_tables!$A:$AF,24,FALSE)*$Q196/100</f>
        <v>0</v>
      </c>
      <c r="AL196" s="583">
        <f>VLOOKUP($H196,Nutrition_tables!$A:$AF,25,FALSE)*$Q196/100</f>
        <v>0</v>
      </c>
      <c r="AM196" s="583">
        <f>VLOOKUP($H196,Nutrition_tables!$A:$AF,26,FALSE)*$Q196/100</f>
        <v>0</v>
      </c>
      <c r="AN196" s="583">
        <f>VLOOKUP($H196,Nutrition_tables!$A:$AF,27,FALSE)*$Q196/100</f>
        <v>0</v>
      </c>
      <c r="AO196" s="583">
        <f>VLOOKUP($H196,Nutrition_tables!$A:$AF,28,FALSE)*$Q196/100</f>
        <v>0</v>
      </c>
      <c r="AP196" s="583">
        <f>VLOOKUP($H196,Nutrition_tables!$A:$AF,29,FALSE)*$Q196/100</f>
        <v>0</v>
      </c>
      <c r="AQ196" s="583">
        <f>VLOOKUP($H196,Nutrition_tables!$A:$AF,30,FALSE)*$Q196/100</f>
        <v>0</v>
      </c>
      <c r="AR196" s="583">
        <f>VLOOKUP($H196,Nutrition_tables!$A:$AF,31,FALSE)*$Q196/100</f>
        <v>0</v>
      </c>
      <c r="AS196" s="549">
        <f>VLOOKUP($H196,Nutrition_tables!$A:$AF,32,FALSE)*$Q196/100</f>
        <v>0</v>
      </c>
      <c r="AT196" s="583" t="str">
        <f>IF(H196="Select ingredient:","",IF(G196="Select food category:","",IFERROR(VLOOKUP($H196,Ingredient_prices!$E:$W,17,FALSE)*$Q196/1000,"not bought")))</f>
        <v/>
      </c>
      <c r="AU196" s="583" t="str">
        <f>IF(H196="Select ingredient:","",IF(G196="Select food category:","",IFERROR(VLOOKUP($H196,Ingredient_prices!$E:$W,18,FALSE)*$Q196/1000,"not bought")))</f>
        <v/>
      </c>
      <c r="AV196" s="583">
        <f t="shared" si="418"/>
        <v>0</v>
      </c>
      <c r="AW196" s="583">
        <f t="shared" si="419"/>
        <v>0</v>
      </c>
      <c r="AX196" s="583">
        <f t="shared" si="420"/>
        <v>0</v>
      </c>
      <c r="AY196" s="583">
        <f t="shared" si="421"/>
        <v>0</v>
      </c>
      <c r="AZ196" s="583">
        <f t="shared" si="422"/>
        <v>0</v>
      </c>
      <c r="BA196" s="583">
        <f t="shared" si="423"/>
        <v>0</v>
      </c>
      <c r="BB196" s="583">
        <f t="shared" si="424"/>
        <v>0</v>
      </c>
      <c r="BC196" s="583">
        <f t="shared" si="425"/>
        <v>0</v>
      </c>
      <c r="BD196" s="583">
        <f t="shared" si="426"/>
        <v>0</v>
      </c>
      <c r="BE196" s="583">
        <f t="shared" si="427"/>
        <v>0</v>
      </c>
      <c r="BF196" s="583">
        <f t="shared" si="428"/>
        <v>0</v>
      </c>
      <c r="BG196" s="583">
        <f t="shared" si="429"/>
        <v>0</v>
      </c>
      <c r="BH196" s="583">
        <f t="shared" si="430"/>
        <v>0</v>
      </c>
      <c r="BI196" s="583">
        <f t="shared" si="431"/>
        <v>0</v>
      </c>
      <c r="BJ196" s="583">
        <f t="shared" si="432"/>
        <v>0</v>
      </c>
      <c r="BK196" s="583">
        <f t="shared" si="433"/>
        <v>0</v>
      </c>
      <c r="BL196" s="583">
        <f t="shared" si="434"/>
        <v>0</v>
      </c>
      <c r="BM196" s="583">
        <f t="shared" si="435"/>
        <v>0</v>
      </c>
      <c r="BN196" s="583">
        <f t="shared" si="436"/>
        <v>0</v>
      </c>
      <c r="BO196" s="583">
        <f t="shared" si="437"/>
        <v>0</v>
      </c>
      <c r="BP196" s="583">
        <f t="shared" si="438"/>
        <v>0</v>
      </c>
      <c r="BQ196" s="583">
        <f t="shared" si="439"/>
        <v>0</v>
      </c>
      <c r="BR196" s="583">
        <f t="shared" si="440"/>
        <v>0</v>
      </c>
    </row>
    <row r="197" spans="1:70" s="229" customFormat="1" ht="15" customHeight="1">
      <c r="A197" s="574"/>
      <c r="D197" s="85"/>
      <c r="E197" s="576" t="str">
        <f t="shared" si="441"/>
        <v/>
      </c>
      <c r="F197" s="707"/>
      <c r="G197" s="406" t="s">
        <v>3054</v>
      </c>
      <c r="H197" s="1262" t="s">
        <v>3055</v>
      </c>
      <c r="I197" s="85">
        <v>0</v>
      </c>
      <c r="J197" s="682">
        <v>1</v>
      </c>
      <c r="K197" s="579" t="str">
        <f t="shared" si="415"/>
        <v/>
      </c>
      <c r="L197" s="580" t="str">
        <f>IF(H197="Select ingredient:","",IF(G197="","",_xlfn.IFNA(VLOOKUP($H197,Ingredient_prices!$E:$U,16,FALSE),0)))</f>
        <v/>
      </c>
      <c r="M197" s="840"/>
      <c r="N197" s="840"/>
      <c r="O197" s="581"/>
      <c r="P197" s="586"/>
      <c r="Q197" s="583">
        <f t="shared" si="416"/>
        <v>0</v>
      </c>
      <c r="R197" s="583">
        <f>VLOOKUP($H197,'CO2_emission+%_food_waste'!$A:$K,6,FALSE)*$Q197/100</f>
        <v>0</v>
      </c>
      <c r="S197" s="583">
        <f t="shared" si="417"/>
        <v>0</v>
      </c>
      <c r="T197" s="583" t="str">
        <f>IF(H197="Select ingredient:","",IF(G197="Select food category:","",_xlfn.IFNA(VLOOKUP($H197,Ingredient_prices!$E:$U,16,FALSE)*$Q197/1000,"not bought")))</f>
        <v/>
      </c>
      <c r="U197" s="583" t="str">
        <f>IF(G197="Select food category:","",_xlfn.IFNA(VLOOKUP($H197,Ingredient_prices!$E:$U,16,FALSE)*$R197/1000,"not bought"))</f>
        <v/>
      </c>
      <c r="V197" s="549">
        <f>VLOOKUP($H197,'CO2_emission+%_food_waste'!$A:$K,4,FALSE)*$Q197</f>
        <v>0</v>
      </c>
      <c r="W197" s="583">
        <f>VLOOKUP($H197,Nutrition_tables!$A:$N,10,FALSE)*$Q197/100</f>
        <v>0</v>
      </c>
      <c r="X197" s="583">
        <f>VLOOKUP($H197,Nutrition_tables!$A:$N,11,FALSE)*$Q197/100</f>
        <v>0</v>
      </c>
      <c r="Y197" s="583">
        <f>VLOOKUP($H197,Nutrition_tables!$A:$N,12,FALSE)*$Q197/100</f>
        <v>0</v>
      </c>
      <c r="Z197" s="583">
        <f>VLOOKUP($H197,Nutrition_tables!$A:$N,14,FALSE)*$Q197/100</f>
        <v>0</v>
      </c>
      <c r="AA197" s="583">
        <f>VLOOKUP($H197,Nutrition_tables!$A:$AF,13,FALSE)*$Q197/100</f>
        <v>0</v>
      </c>
      <c r="AB197" s="549">
        <f>VLOOKUP($H197,Nutrition_tables!$A:$AF,15,FALSE)*$Q197/100</f>
        <v>0</v>
      </c>
      <c r="AC197" s="583">
        <f>VLOOKUP($H197,Nutrition_tables!$A:$AF,16,FALSE)*$Q197/100</f>
        <v>0</v>
      </c>
      <c r="AD197" s="583">
        <f>VLOOKUP($H197,Nutrition_tables!$A:$AF,17,FALSE)*$Q197/100</f>
        <v>0</v>
      </c>
      <c r="AE197" s="583">
        <f>VLOOKUP($H197,Nutrition_tables!$A:$AF,18,FALSE)*$Q197/100</f>
        <v>0</v>
      </c>
      <c r="AF197" s="583">
        <f>VLOOKUP($H197,Nutrition_tables!$A:$AF,19,FALSE)*$Q197/100</f>
        <v>0</v>
      </c>
      <c r="AG197" s="583">
        <f>VLOOKUP($H197,Nutrition_tables!$A:$AF,20,FALSE)*$Q197/100</f>
        <v>0</v>
      </c>
      <c r="AH197" s="583">
        <f>VLOOKUP($H197,Nutrition_tables!$A:$AF,21,FALSE)*$Q197/100</f>
        <v>0</v>
      </c>
      <c r="AI197" s="583">
        <f>VLOOKUP($H197,Nutrition_tables!$A:$AF,22,FALSE)*$Q197/100</f>
        <v>0</v>
      </c>
      <c r="AJ197" s="549">
        <f>VLOOKUP($H197,Nutrition_tables!$A:$AF,23,FALSE)*$Q197/100</f>
        <v>0</v>
      </c>
      <c r="AK197" s="583">
        <f>VLOOKUP($H197,Nutrition_tables!$A:$AF,24,FALSE)*$Q197/100</f>
        <v>0</v>
      </c>
      <c r="AL197" s="583">
        <f>VLOOKUP($H197,Nutrition_tables!$A:$AF,25,FALSE)*$Q197/100</f>
        <v>0</v>
      </c>
      <c r="AM197" s="583">
        <f>VLOOKUP($H197,Nutrition_tables!$A:$AF,26,FALSE)*$Q197/100</f>
        <v>0</v>
      </c>
      <c r="AN197" s="583">
        <f>VLOOKUP($H197,Nutrition_tables!$A:$AF,27,FALSE)*$Q197/100</f>
        <v>0</v>
      </c>
      <c r="AO197" s="583">
        <f>VLOOKUP($H197,Nutrition_tables!$A:$AF,28,FALSE)*$Q197/100</f>
        <v>0</v>
      </c>
      <c r="AP197" s="583">
        <f>VLOOKUP($H197,Nutrition_tables!$A:$AF,29,FALSE)*$Q197/100</f>
        <v>0</v>
      </c>
      <c r="AQ197" s="583">
        <f>VLOOKUP($H197,Nutrition_tables!$A:$AF,30,FALSE)*$Q197/100</f>
        <v>0</v>
      </c>
      <c r="AR197" s="583">
        <f>VLOOKUP($H197,Nutrition_tables!$A:$AF,31,FALSE)*$Q197/100</f>
        <v>0</v>
      </c>
      <c r="AS197" s="549">
        <f>VLOOKUP($H197,Nutrition_tables!$A:$AF,32,FALSE)*$Q197/100</f>
        <v>0</v>
      </c>
      <c r="AT197" s="583" t="str">
        <f>IF(H197="Select ingredient:","",IF(G197="Select food category:","",IFERROR(VLOOKUP($H197,Ingredient_prices!$E:$W,17,FALSE)*$Q197/1000,"not bought")))</f>
        <v/>
      </c>
      <c r="AU197" s="583" t="str">
        <f>IF(H197="Select ingredient:","",IF(G197="Select food category:","",IFERROR(VLOOKUP($H197,Ingredient_prices!$E:$W,18,FALSE)*$Q197/1000,"not bought")))</f>
        <v/>
      </c>
      <c r="AV197" s="583">
        <f t="shared" si="418"/>
        <v>0</v>
      </c>
      <c r="AW197" s="583">
        <f t="shared" si="419"/>
        <v>0</v>
      </c>
      <c r="AX197" s="583">
        <f t="shared" si="420"/>
        <v>0</v>
      </c>
      <c r="AY197" s="583">
        <f t="shared" si="421"/>
        <v>0</v>
      </c>
      <c r="AZ197" s="583">
        <f t="shared" si="422"/>
        <v>0</v>
      </c>
      <c r="BA197" s="583">
        <f t="shared" si="423"/>
        <v>0</v>
      </c>
      <c r="BB197" s="583">
        <f t="shared" si="424"/>
        <v>0</v>
      </c>
      <c r="BC197" s="583">
        <f t="shared" si="425"/>
        <v>0</v>
      </c>
      <c r="BD197" s="583">
        <f t="shared" si="426"/>
        <v>0</v>
      </c>
      <c r="BE197" s="583">
        <f t="shared" si="427"/>
        <v>0</v>
      </c>
      <c r="BF197" s="583">
        <f t="shared" si="428"/>
        <v>0</v>
      </c>
      <c r="BG197" s="583">
        <f t="shared" si="429"/>
        <v>0</v>
      </c>
      <c r="BH197" s="583">
        <f t="shared" si="430"/>
        <v>0</v>
      </c>
      <c r="BI197" s="583">
        <f t="shared" si="431"/>
        <v>0</v>
      </c>
      <c r="BJ197" s="583">
        <f t="shared" si="432"/>
        <v>0</v>
      </c>
      <c r="BK197" s="583">
        <f t="shared" si="433"/>
        <v>0</v>
      </c>
      <c r="BL197" s="583">
        <f t="shared" si="434"/>
        <v>0</v>
      </c>
      <c r="BM197" s="583">
        <f t="shared" si="435"/>
        <v>0</v>
      </c>
      <c r="BN197" s="583">
        <f t="shared" si="436"/>
        <v>0</v>
      </c>
      <c r="BO197" s="583">
        <f t="shared" si="437"/>
        <v>0</v>
      </c>
      <c r="BP197" s="583">
        <f t="shared" si="438"/>
        <v>0</v>
      </c>
      <c r="BQ197" s="583">
        <f t="shared" si="439"/>
        <v>0</v>
      </c>
      <c r="BR197" s="583">
        <f t="shared" si="440"/>
        <v>0</v>
      </c>
    </row>
    <row r="198" spans="1:70" s="229" customFormat="1" ht="15" customHeight="1">
      <c r="A198" s="574"/>
      <c r="D198" s="85"/>
      <c r="E198" s="576" t="str">
        <f t="shared" si="441"/>
        <v/>
      </c>
      <c r="F198" s="707"/>
      <c r="G198" s="406" t="s">
        <v>3054</v>
      </c>
      <c r="H198" s="1262" t="s">
        <v>3055</v>
      </c>
      <c r="I198" s="85">
        <v>0</v>
      </c>
      <c r="J198" s="682">
        <v>1</v>
      </c>
      <c r="K198" s="579" t="str">
        <f t="shared" si="415"/>
        <v/>
      </c>
      <c r="L198" s="580" t="str">
        <f>IF(H198="Select ingredient:","",IF(G198="","",_xlfn.IFNA(VLOOKUP($H198,Ingredient_prices!$E:$U,16,FALSE),0)))</f>
        <v/>
      </c>
      <c r="M198" s="840"/>
      <c r="N198" s="840"/>
      <c r="O198" s="581"/>
      <c r="P198" s="586"/>
      <c r="Q198" s="583">
        <f t="shared" si="416"/>
        <v>0</v>
      </c>
      <c r="R198" s="583">
        <f>VLOOKUP($H198,'CO2_emission+%_food_waste'!$A:$K,6,FALSE)*$Q198/100</f>
        <v>0</v>
      </c>
      <c r="S198" s="583">
        <f t="shared" si="417"/>
        <v>0</v>
      </c>
      <c r="T198" s="583" t="str">
        <f>IF(H198="Select ingredient:","",IF(G198="Select food category:","",_xlfn.IFNA(VLOOKUP($H198,Ingredient_prices!$E:$U,16,FALSE)*$Q198/1000,"not bought")))</f>
        <v/>
      </c>
      <c r="U198" s="583" t="str">
        <f>IF(G198="Select food category:","",_xlfn.IFNA(VLOOKUP($H198,Ingredient_prices!$E:$U,16,FALSE)*$R198/1000,"not bought"))</f>
        <v/>
      </c>
      <c r="V198" s="549">
        <f>VLOOKUP($H198,'CO2_emission+%_food_waste'!$A:$K,4,FALSE)*$Q198</f>
        <v>0</v>
      </c>
      <c r="W198" s="583">
        <f>VLOOKUP($H198,Nutrition_tables!$A:$N,10,FALSE)*$Q198/100</f>
        <v>0</v>
      </c>
      <c r="X198" s="583">
        <f>VLOOKUP($H198,Nutrition_tables!$A:$N,11,FALSE)*$Q198/100</f>
        <v>0</v>
      </c>
      <c r="Y198" s="583">
        <f>VLOOKUP($H198,Nutrition_tables!$A:$N,12,FALSE)*$Q198/100</f>
        <v>0</v>
      </c>
      <c r="Z198" s="583">
        <f>VLOOKUP($H198,Nutrition_tables!$A:$N,14,FALSE)*$Q198/100</f>
        <v>0</v>
      </c>
      <c r="AA198" s="583">
        <f>VLOOKUP($H198,Nutrition_tables!$A:$AF,13,FALSE)*$Q198/100</f>
        <v>0</v>
      </c>
      <c r="AB198" s="549">
        <f>VLOOKUP($H198,Nutrition_tables!$A:$AF,15,FALSE)*$Q198/100</f>
        <v>0</v>
      </c>
      <c r="AC198" s="583">
        <f>VLOOKUP($H198,Nutrition_tables!$A:$AF,16,FALSE)*$Q198/100</f>
        <v>0</v>
      </c>
      <c r="AD198" s="583">
        <f>VLOOKUP($H198,Nutrition_tables!$A:$AF,17,FALSE)*$Q198/100</f>
        <v>0</v>
      </c>
      <c r="AE198" s="583">
        <f>VLOOKUP($H198,Nutrition_tables!$A:$AF,18,FALSE)*$Q198/100</f>
        <v>0</v>
      </c>
      <c r="AF198" s="583">
        <f>VLOOKUP($H198,Nutrition_tables!$A:$AF,19,FALSE)*$Q198/100</f>
        <v>0</v>
      </c>
      <c r="AG198" s="583">
        <f>VLOOKUP($H198,Nutrition_tables!$A:$AF,20,FALSE)*$Q198/100</f>
        <v>0</v>
      </c>
      <c r="AH198" s="583">
        <f>VLOOKUP($H198,Nutrition_tables!$A:$AF,21,FALSE)*$Q198/100</f>
        <v>0</v>
      </c>
      <c r="AI198" s="583">
        <f>VLOOKUP($H198,Nutrition_tables!$A:$AF,22,FALSE)*$Q198/100</f>
        <v>0</v>
      </c>
      <c r="AJ198" s="549">
        <f>VLOOKUP($H198,Nutrition_tables!$A:$AF,23,FALSE)*$Q198/100</f>
        <v>0</v>
      </c>
      <c r="AK198" s="583">
        <f>VLOOKUP($H198,Nutrition_tables!$A:$AF,24,FALSE)*$Q198/100</f>
        <v>0</v>
      </c>
      <c r="AL198" s="583">
        <f>VLOOKUP($H198,Nutrition_tables!$A:$AF,25,FALSE)*$Q198/100</f>
        <v>0</v>
      </c>
      <c r="AM198" s="583">
        <f>VLOOKUP($H198,Nutrition_tables!$A:$AF,26,FALSE)*$Q198/100</f>
        <v>0</v>
      </c>
      <c r="AN198" s="583">
        <f>VLOOKUP($H198,Nutrition_tables!$A:$AF,27,FALSE)*$Q198/100</f>
        <v>0</v>
      </c>
      <c r="AO198" s="583">
        <f>VLOOKUP($H198,Nutrition_tables!$A:$AF,28,FALSE)*$Q198/100</f>
        <v>0</v>
      </c>
      <c r="AP198" s="583">
        <f>VLOOKUP($H198,Nutrition_tables!$A:$AF,29,FALSE)*$Q198/100</f>
        <v>0</v>
      </c>
      <c r="AQ198" s="583">
        <f>VLOOKUP($H198,Nutrition_tables!$A:$AF,30,FALSE)*$Q198/100</f>
        <v>0</v>
      </c>
      <c r="AR198" s="583">
        <f>VLOOKUP($H198,Nutrition_tables!$A:$AF,31,FALSE)*$Q198/100</f>
        <v>0</v>
      </c>
      <c r="AS198" s="549">
        <f>VLOOKUP($H198,Nutrition_tables!$A:$AF,32,FALSE)*$Q198/100</f>
        <v>0</v>
      </c>
      <c r="AT198" s="583" t="str">
        <f>IF(H198="Select ingredient:","",IF(G198="Select food category:","",IFERROR(VLOOKUP($H198,Ingredient_prices!$E:$W,17,FALSE)*$Q198/1000,"not bought")))</f>
        <v/>
      </c>
      <c r="AU198" s="583" t="str">
        <f>IF(H198="Select ingredient:","",IF(G198="Select food category:","",IFERROR(VLOOKUP($H198,Ingredient_prices!$E:$W,18,FALSE)*$Q198/1000,"not bought")))</f>
        <v/>
      </c>
      <c r="AV198" s="583">
        <f t="shared" si="418"/>
        <v>0</v>
      </c>
      <c r="AW198" s="583">
        <f t="shared" si="419"/>
        <v>0</v>
      </c>
      <c r="AX198" s="583">
        <f t="shared" si="420"/>
        <v>0</v>
      </c>
      <c r="AY198" s="583">
        <f t="shared" si="421"/>
        <v>0</v>
      </c>
      <c r="AZ198" s="583">
        <f t="shared" si="422"/>
        <v>0</v>
      </c>
      <c r="BA198" s="583">
        <f t="shared" si="423"/>
        <v>0</v>
      </c>
      <c r="BB198" s="583">
        <f t="shared" si="424"/>
        <v>0</v>
      </c>
      <c r="BC198" s="583">
        <f t="shared" si="425"/>
        <v>0</v>
      </c>
      <c r="BD198" s="583">
        <f t="shared" si="426"/>
        <v>0</v>
      </c>
      <c r="BE198" s="583">
        <f t="shared" si="427"/>
        <v>0</v>
      </c>
      <c r="BF198" s="583">
        <f t="shared" si="428"/>
        <v>0</v>
      </c>
      <c r="BG198" s="583">
        <f t="shared" si="429"/>
        <v>0</v>
      </c>
      <c r="BH198" s="583">
        <f t="shared" si="430"/>
        <v>0</v>
      </c>
      <c r="BI198" s="583">
        <f t="shared" si="431"/>
        <v>0</v>
      </c>
      <c r="BJ198" s="583">
        <f t="shared" si="432"/>
        <v>0</v>
      </c>
      <c r="BK198" s="583">
        <f t="shared" si="433"/>
        <v>0</v>
      </c>
      <c r="BL198" s="583">
        <f t="shared" si="434"/>
        <v>0</v>
      </c>
      <c r="BM198" s="583">
        <f t="shared" si="435"/>
        <v>0</v>
      </c>
      <c r="BN198" s="583">
        <f t="shared" si="436"/>
        <v>0</v>
      </c>
      <c r="BO198" s="583">
        <f t="shared" si="437"/>
        <v>0</v>
      </c>
      <c r="BP198" s="583">
        <f t="shared" si="438"/>
        <v>0</v>
      </c>
      <c r="BQ198" s="583">
        <f t="shared" si="439"/>
        <v>0</v>
      </c>
      <c r="BR198" s="583">
        <f t="shared" si="440"/>
        <v>0</v>
      </c>
    </row>
    <row r="199" spans="1:70" s="229" customFormat="1" ht="15" customHeight="1">
      <c r="A199" s="574"/>
      <c r="D199" s="85"/>
      <c r="E199" s="576" t="str">
        <f t="shared" si="441"/>
        <v/>
      </c>
      <c r="F199" s="707"/>
      <c r="G199" s="406" t="s">
        <v>3054</v>
      </c>
      <c r="H199" s="1262" t="s">
        <v>3055</v>
      </c>
      <c r="I199" s="85">
        <v>0</v>
      </c>
      <c r="J199" s="682">
        <v>1</v>
      </c>
      <c r="K199" s="579" t="str">
        <f t="shared" si="415"/>
        <v/>
      </c>
      <c r="L199" s="580" t="str">
        <f>IF(H199="Select ingredient:","",IF(G199="","",_xlfn.IFNA(VLOOKUP($H199,Ingredient_prices!$E:$U,16,FALSE),0)))</f>
        <v/>
      </c>
      <c r="M199" s="840"/>
      <c r="N199" s="840"/>
      <c r="O199" s="581"/>
      <c r="P199" s="586"/>
      <c r="Q199" s="583">
        <f t="shared" si="416"/>
        <v>0</v>
      </c>
      <c r="R199" s="583">
        <f>VLOOKUP($H199,'CO2_emission+%_food_waste'!$A:$K,6,FALSE)*$Q199/100</f>
        <v>0</v>
      </c>
      <c r="S199" s="583">
        <f t="shared" si="417"/>
        <v>0</v>
      </c>
      <c r="T199" s="583" t="str">
        <f>IF(H199="Select ingredient:","",IF(G199="Select food category:","",_xlfn.IFNA(VLOOKUP($H199,Ingredient_prices!$E:$U,16,FALSE)*$Q199/1000,"not bought")))</f>
        <v/>
      </c>
      <c r="U199" s="583" t="str">
        <f>IF(G199="Select food category:","",_xlfn.IFNA(VLOOKUP($H199,Ingredient_prices!$E:$U,16,FALSE)*$R199/1000,"not bought"))</f>
        <v/>
      </c>
      <c r="V199" s="549">
        <f>VLOOKUP($H199,'CO2_emission+%_food_waste'!$A:$K,4,FALSE)*$Q199</f>
        <v>0</v>
      </c>
      <c r="W199" s="583">
        <f>VLOOKUP($H199,Nutrition_tables!$A:$N,10,FALSE)*$Q199/100</f>
        <v>0</v>
      </c>
      <c r="X199" s="583">
        <f>VLOOKUP($H199,Nutrition_tables!$A:$N,11,FALSE)*$Q199/100</f>
        <v>0</v>
      </c>
      <c r="Y199" s="583">
        <f>VLOOKUP($H199,Nutrition_tables!$A:$N,12,FALSE)*$Q199/100</f>
        <v>0</v>
      </c>
      <c r="Z199" s="583">
        <f>VLOOKUP($H199,Nutrition_tables!$A:$N,14,FALSE)*$Q199/100</f>
        <v>0</v>
      </c>
      <c r="AA199" s="583">
        <f>VLOOKUP($H199,Nutrition_tables!$A:$AF,13,FALSE)*$Q199/100</f>
        <v>0</v>
      </c>
      <c r="AB199" s="549">
        <f>VLOOKUP($H199,Nutrition_tables!$A:$AF,15,FALSE)*$Q199/100</f>
        <v>0</v>
      </c>
      <c r="AC199" s="583">
        <f>VLOOKUP($H199,Nutrition_tables!$A:$AF,16,FALSE)*$Q199/100</f>
        <v>0</v>
      </c>
      <c r="AD199" s="583">
        <f>VLOOKUP($H199,Nutrition_tables!$A:$AF,17,FALSE)*$Q199/100</f>
        <v>0</v>
      </c>
      <c r="AE199" s="583">
        <f>VLOOKUP($H199,Nutrition_tables!$A:$AF,18,FALSE)*$Q199/100</f>
        <v>0</v>
      </c>
      <c r="AF199" s="583">
        <f>VLOOKUP($H199,Nutrition_tables!$A:$AF,19,FALSE)*$Q199/100</f>
        <v>0</v>
      </c>
      <c r="AG199" s="583">
        <f>VLOOKUP($H199,Nutrition_tables!$A:$AF,20,FALSE)*$Q199/100</f>
        <v>0</v>
      </c>
      <c r="AH199" s="583">
        <f>VLOOKUP($H199,Nutrition_tables!$A:$AF,21,FALSE)*$Q199/100</f>
        <v>0</v>
      </c>
      <c r="AI199" s="583">
        <f>VLOOKUP($H199,Nutrition_tables!$A:$AF,22,FALSE)*$Q199/100</f>
        <v>0</v>
      </c>
      <c r="AJ199" s="549">
        <f>VLOOKUP($H199,Nutrition_tables!$A:$AF,23,FALSE)*$Q199/100</f>
        <v>0</v>
      </c>
      <c r="AK199" s="583">
        <f>VLOOKUP($H199,Nutrition_tables!$A:$AF,24,FALSE)*$Q199/100</f>
        <v>0</v>
      </c>
      <c r="AL199" s="583">
        <f>VLOOKUP($H199,Nutrition_tables!$A:$AF,25,FALSE)*$Q199/100</f>
        <v>0</v>
      </c>
      <c r="AM199" s="583">
        <f>VLOOKUP($H199,Nutrition_tables!$A:$AF,26,FALSE)*$Q199/100</f>
        <v>0</v>
      </c>
      <c r="AN199" s="583">
        <f>VLOOKUP($H199,Nutrition_tables!$A:$AF,27,FALSE)*$Q199/100</f>
        <v>0</v>
      </c>
      <c r="AO199" s="583">
        <f>VLOOKUP($H199,Nutrition_tables!$A:$AF,28,FALSE)*$Q199/100</f>
        <v>0</v>
      </c>
      <c r="AP199" s="583">
        <f>VLOOKUP($H199,Nutrition_tables!$A:$AF,29,FALSE)*$Q199/100</f>
        <v>0</v>
      </c>
      <c r="AQ199" s="583">
        <f>VLOOKUP($H199,Nutrition_tables!$A:$AF,30,FALSE)*$Q199/100</f>
        <v>0</v>
      </c>
      <c r="AR199" s="583">
        <f>VLOOKUP($H199,Nutrition_tables!$A:$AF,31,FALSE)*$Q199/100</f>
        <v>0</v>
      </c>
      <c r="AS199" s="549">
        <f>VLOOKUP($H199,Nutrition_tables!$A:$AF,32,FALSE)*$Q199/100</f>
        <v>0</v>
      </c>
      <c r="AT199" s="583" t="str">
        <f>IF(H199="Select ingredient:","",IF(G199="Select food category:","",IFERROR(VLOOKUP($H199,Ingredient_prices!$E:$W,17,FALSE)*$Q199/1000,"not bought")))</f>
        <v/>
      </c>
      <c r="AU199" s="583" t="str">
        <f>IF(H199="Select ingredient:","",IF(G199="Select food category:","",IFERROR(VLOOKUP($H199,Ingredient_prices!$E:$W,18,FALSE)*$Q199/1000,"not bought")))</f>
        <v/>
      </c>
      <c r="AV199" s="583">
        <f t="shared" si="418"/>
        <v>0</v>
      </c>
      <c r="AW199" s="583">
        <f t="shared" si="419"/>
        <v>0</v>
      </c>
      <c r="AX199" s="583">
        <f t="shared" si="420"/>
        <v>0</v>
      </c>
      <c r="AY199" s="583">
        <f t="shared" si="421"/>
        <v>0</v>
      </c>
      <c r="AZ199" s="583">
        <f t="shared" si="422"/>
        <v>0</v>
      </c>
      <c r="BA199" s="583">
        <f t="shared" si="423"/>
        <v>0</v>
      </c>
      <c r="BB199" s="583">
        <f t="shared" si="424"/>
        <v>0</v>
      </c>
      <c r="BC199" s="583">
        <f t="shared" si="425"/>
        <v>0</v>
      </c>
      <c r="BD199" s="583">
        <f t="shared" si="426"/>
        <v>0</v>
      </c>
      <c r="BE199" s="583">
        <f t="shared" si="427"/>
        <v>0</v>
      </c>
      <c r="BF199" s="583">
        <f t="shared" si="428"/>
        <v>0</v>
      </c>
      <c r="BG199" s="583">
        <f t="shared" si="429"/>
        <v>0</v>
      </c>
      <c r="BH199" s="583">
        <f t="shared" si="430"/>
        <v>0</v>
      </c>
      <c r="BI199" s="583">
        <f t="shared" si="431"/>
        <v>0</v>
      </c>
      <c r="BJ199" s="583">
        <f t="shared" si="432"/>
        <v>0</v>
      </c>
      <c r="BK199" s="583">
        <f t="shared" si="433"/>
        <v>0</v>
      </c>
      <c r="BL199" s="583">
        <f t="shared" si="434"/>
        <v>0</v>
      </c>
      <c r="BM199" s="583">
        <f t="shared" si="435"/>
        <v>0</v>
      </c>
      <c r="BN199" s="583">
        <f t="shared" si="436"/>
        <v>0</v>
      </c>
      <c r="BO199" s="583">
        <f t="shared" si="437"/>
        <v>0</v>
      </c>
      <c r="BP199" s="583">
        <f t="shared" si="438"/>
        <v>0</v>
      </c>
      <c r="BQ199" s="583">
        <f t="shared" si="439"/>
        <v>0</v>
      </c>
      <c r="BR199" s="583">
        <f t="shared" si="440"/>
        <v>0</v>
      </c>
    </row>
    <row r="200" spans="1:70" s="603" customFormat="1" ht="56">
      <c r="A200" s="574"/>
      <c r="B200" s="593"/>
      <c r="C200" s="522"/>
      <c r="D200" s="141"/>
      <c r="E200" s="594"/>
      <c r="F200" s="708"/>
      <c r="G200" s="522"/>
      <c r="H200" s="522"/>
      <c r="I200" s="86"/>
      <c r="J200" s="87"/>
      <c r="K200" s="595"/>
      <c r="L200" s="596"/>
      <c r="M200" s="841"/>
      <c r="N200" s="841"/>
      <c r="O200" s="581"/>
      <c r="P200" s="627"/>
      <c r="Q200" s="599" t="s">
        <v>384</v>
      </c>
      <c r="R200" s="600" t="s">
        <v>455</v>
      </c>
      <c r="S200" s="600" t="s">
        <v>2087</v>
      </c>
      <c r="T200" s="600" t="s">
        <v>456</v>
      </c>
      <c r="U200" s="600" t="s">
        <v>535</v>
      </c>
      <c r="V200" s="601" t="s">
        <v>457</v>
      </c>
      <c r="W200" s="600" t="s">
        <v>75</v>
      </c>
      <c r="X200" s="600" t="s">
        <v>385</v>
      </c>
      <c r="Y200" s="600" t="s">
        <v>386</v>
      </c>
      <c r="Z200" s="600" t="s">
        <v>387</v>
      </c>
      <c r="AA200" s="600" t="s">
        <v>388</v>
      </c>
      <c r="AB200" s="601" t="s">
        <v>389</v>
      </c>
      <c r="AC200" s="602" t="s">
        <v>390</v>
      </c>
      <c r="AD200" s="600" t="s">
        <v>391</v>
      </c>
      <c r="AE200" s="600" t="s">
        <v>392</v>
      </c>
      <c r="AF200" s="600" t="s">
        <v>393</v>
      </c>
      <c r="AG200" s="600" t="s">
        <v>394</v>
      </c>
      <c r="AH200" s="600" t="s">
        <v>395</v>
      </c>
      <c r="AI200" s="600" t="s">
        <v>396</v>
      </c>
      <c r="AJ200" s="601" t="s">
        <v>397</v>
      </c>
      <c r="AK200" s="602" t="s">
        <v>398</v>
      </c>
      <c r="AL200" s="600" t="s">
        <v>399</v>
      </c>
      <c r="AM200" s="600" t="s">
        <v>400</v>
      </c>
      <c r="AN200" s="600" t="s">
        <v>401</v>
      </c>
      <c r="AO200" s="600" t="s">
        <v>402</v>
      </c>
      <c r="AP200" s="600" t="s">
        <v>406</v>
      </c>
      <c r="AQ200" s="600" t="s">
        <v>405</v>
      </c>
      <c r="AR200" s="600" t="s">
        <v>403</v>
      </c>
      <c r="AS200" s="601" t="s">
        <v>404</v>
      </c>
      <c r="AT200" s="593"/>
      <c r="AU200" s="593"/>
    </row>
    <row r="201" spans="1:70" s="229" customFormat="1">
      <c r="A201" s="574"/>
      <c r="B201" s="593"/>
      <c r="C201" s="522"/>
      <c r="D201" s="141"/>
      <c r="E201" s="594"/>
      <c r="F201" s="708"/>
      <c r="G201" s="522"/>
      <c r="H201" s="522"/>
      <c r="I201" s="86"/>
      <c r="J201" s="87"/>
      <c r="K201" s="595"/>
      <c r="L201" s="604"/>
      <c r="M201" s="581"/>
      <c r="N201" s="581"/>
      <c r="O201" s="581"/>
      <c r="P201" s="628" t="s">
        <v>383</v>
      </c>
      <c r="Q201" s="583">
        <f>SUM(Q188:Q199)</f>
        <v>0</v>
      </c>
      <c r="R201" s="583">
        <f t="shared" ref="R201:V201" si="442">SUM(R188:R199)</f>
        <v>0</v>
      </c>
      <c r="S201" s="583">
        <f>SUM(S188:S199)</f>
        <v>0</v>
      </c>
      <c r="T201" s="583">
        <f t="shared" si="442"/>
        <v>0</v>
      </c>
      <c r="U201" s="583">
        <f t="shared" si="442"/>
        <v>0</v>
      </c>
      <c r="V201" s="549">
        <f t="shared" si="442"/>
        <v>0</v>
      </c>
      <c r="W201" s="583">
        <f t="shared" ref="W201:AS201" si="443">SUM(W188:W199)</f>
        <v>0</v>
      </c>
      <c r="X201" s="583">
        <f t="shared" si="443"/>
        <v>0</v>
      </c>
      <c r="Y201" s="583">
        <f t="shared" si="443"/>
        <v>0</v>
      </c>
      <c r="Z201" s="583">
        <f t="shared" si="443"/>
        <v>0</v>
      </c>
      <c r="AA201" s="583">
        <f t="shared" si="443"/>
        <v>0</v>
      </c>
      <c r="AB201" s="549">
        <f t="shared" si="443"/>
        <v>0</v>
      </c>
      <c r="AC201" s="583">
        <f t="shared" si="443"/>
        <v>0</v>
      </c>
      <c r="AD201" s="583">
        <f t="shared" si="443"/>
        <v>0</v>
      </c>
      <c r="AE201" s="583">
        <f t="shared" si="443"/>
        <v>0</v>
      </c>
      <c r="AF201" s="583">
        <f t="shared" si="443"/>
        <v>0</v>
      </c>
      <c r="AG201" s="583">
        <f t="shared" si="443"/>
        <v>0</v>
      </c>
      <c r="AH201" s="583">
        <f t="shared" si="443"/>
        <v>0</v>
      </c>
      <c r="AI201" s="583">
        <f t="shared" si="443"/>
        <v>0</v>
      </c>
      <c r="AJ201" s="549">
        <f t="shared" si="443"/>
        <v>0</v>
      </c>
      <c r="AK201" s="583">
        <f t="shared" si="443"/>
        <v>0</v>
      </c>
      <c r="AL201" s="583">
        <f t="shared" si="443"/>
        <v>0</v>
      </c>
      <c r="AM201" s="583">
        <f t="shared" si="443"/>
        <v>0</v>
      </c>
      <c r="AN201" s="583">
        <f t="shared" si="443"/>
        <v>0</v>
      </c>
      <c r="AO201" s="583">
        <f t="shared" si="443"/>
        <v>0</v>
      </c>
      <c r="AP201" s="583">
        <f t="shared" si="443"/>
        <v>0</v>
      </c>
      <c r="AQ201" s="583">
        <f t="shared" si="443"/>
        <v>0</v>
      </c>
      <c r="AR201" s="583">
        <f t="shared" si="443"/>
        <v>0</v>
      </c>
      <c r="AS201" s="549">
        <f t="shared" si="443"/>
        <v>0</v>
      </c>
      <c r="AT201" s="5">
        <f t="shared" ref="AT201:AU201" si="444">SUM(AT188:AT199)</f>
        <v>0</v>
      </c>
      <c r="AU201" s="5">
        <f t="shared" si="444"/>
        <v>0</v>
      </c>
      <c r="AV201" s="545">
        <f t="shared" ref="AV201:BR201" si="445">SUM(AV188:AV199)</f>
        <v>0</v>
      </c>
      <c r="AW201" s="545">
        <f t="shared" si="445"/>
        <v>0</v>
      </c>
      <c r="AX201" s="545">
        <f t="shared" si="445"/>
        <v>0</v>
      </c>
      <c r="AY201" s="545">
        <f t="shared" si="445"/>
        <v>0</v>
      </c>
      <c r="AZ201" s="545">
        <f t="shared" si="445"/>
        <v>0</v>
      </c>
      <c r="BA201" s="545">
        <f t="shared" si="445"/>
        <v>0</v>
      </c>
      <c r="BB201" s="545">
        <f t="shared" si="445"/>
        <v>0</v>
      </c>
      <c r="BC201" s="545">
        <f t="shared" si="445"/>
        <v>0</v>
      </c>
      <c r="BD201" s="545">
        <f t="shared" si="445"/>
        <v>0</v>
      </c>
      <c r="BE201" s="545">
        <f t="shared" si="445"/>
        <v>0</v>
      </c>
      <c r="BF201" s="545">
        <f t="shared" si="445"/>
        <v>0</v>
      </c>
      <c r="BG201" s="545">
        <f t="shared" si="445"/>
        <v>0</v>
      </c>
      <c r="BH201" s="545">
        <f t="shared" si="445"/>
        <v>0</v>
      </c>
      <c r="BI201" s="545">
        <f t="shared" si="445"/>
        <v>0</v>
      </c>
      <c r="BJ201" s="545">
        <f t="shared" si="445"/>
        <v>0</v>
      </c>
      <c r="BK201" s="545">
        <f t="shared" si="445"/>
        <v>0</v>
      </c>
      <c r="BL201" s="545">
        <f t="shared" si="445"/>
        <v>0</v>
      </c>
      <c r="BM201" s="545">
        <f t="shared" si="445"/>
        <v>0</v>
      </c>
      <c r="BN201" s="545">
        <f t="shared" si="445"/>
        <v>0</v>
      </c>
      <c r="BO201" s="545">
        <f t="shared" si="445"/>
        <v>0</v>
      </c>
      <c r="BP201" s="545">
        <f t="shared" si="445"/>
        <v>0</v>
      </c>
      <c r="BQ201" s="545">
        <f t="shared" si="445"/>
        <v>0</v>
      </c>
      <c r="BR201" s="545">
        <f t="shared" si="445"/>
        <v>0</v>
      </c>
    </row>
    <row r="202" spans="1:70" s="229" customFormat="1">
      <c r="A202" s="574"/>
      <c r="B202" s="593"/>
      <c r="C202" s="522"/>
      <c r="D202" s="141"/>
      <c r="E202" s="594"/>
      <c r="F202" s="708"/>
      <c r="G202" s="522"/>
      <c r="H202" s="522"/>
      <c r="I202" s="86"/>
      <c r="J202" s="87"/>
      <c r="K202" s="595"/>
      <c r="L202" s="604"/>
      <c r="M202" s="581"/>
      <c r="N202" s="581"/>
      <c r="O202" s="581"/>
      <c r="P202" s="628" t="s">
        <v>539</v>
      </c>
      <c r="V202" s="527" t="s">
        <v>588</v>
      </c>
      <c r="W202" s="229">
        <v>185.5</v>
      </c>
      <c r="X202" s="229">
        <v>23.200000000000003</v>
      </c>
      <c r="Y202" s="229">
        <v>5.8000000000000007</v>
      </c>
      <c r="Z202" s="229">
        <v>6.2</v>
      </c>
      <c r="AA202" s="229">
        <v>1.9000000000000001</v>
      </c>
      <c r="AB202" s="526">
        <v>2</v>
      </c>
      <c r="AC202" s="229">
        <v>138</v>
      </c>
      <c r="AD202" s="229">
        <v>180</v>
      </c>
      <c r="AE202" s="229">
        <v>90</v>
      </c>
      <c r="AF202" s="229">
        <v>17</v>
      </c>
      <c r="AG202" s="229">
        <v>80</v>
      </c>
      <c r="AH202" s="229">
        <v>1</v>
      </c>
      <c r="AI202" s="229">
        <v>0.70000000000000007</v>
      </c>
      <c r="AJ202" s="526">
        <v>0.125</v>
      </c>
      <c r="AK202" s="229">
        <v>80</v>
      </c>
      <c r="AL202" s="229">
        <v>0.1</v>
      </c>
      <c r="AM202" s="229">
        <v>0.11000000000000001</v>
      </c>
      <c r="AN202" s="229">
        <v>1.2000000000000002</v>
      </c>
      <c r="AO202" s="229">
        <v>6.9999999999999993E-2</v>
      </c>
      <c r="AP202" s="229">
        <v>30</v>
      </c>
      <c r="AQ202" s="229">
        <v>0.18000000000000002</v>
      </c>
      <c r="AR202" s="229">
        <v>8</v>
      </c>
      <c r="AS202" s="526">
        <v>0.5</v>
      </c>
      <c r="AV202" s="229">
        <v>185.5</v>
      </c>
      <c r="AW202" s="229">
        <v>23.200000000000003</v>
      </c>
      <c r="AX202" s="229">
        <v>5.8000000000000007</v>
      </c>
      <c r="AY202" s="229">
        <v>6.2</v>
      </c>
      <c r="AZ202" s="229">
        <v>1.9000000000000001</v>
      </c>
      <c r="BA202" s="526">
        <v>2</v>
      </c>
      <c r="BB202" s="229">
        <v>138</v>
      </c>
      <c r="BC202" s="229">
        <v>180</v>
      </c>
      <c r="BD202" s="229">
        <v>90</v>
      </c>
      <c r="BE202" s="229">
        <v>17</v>
      </c>
      <c r="BF202" s="229">
        <v>80</v>
      </c>
      <c r="BG202" s="229">
        <v>1</v>
      </c>
      <c r="BH202" s="229">
        <v>0.70000000000000007</v>
      </c>
      <c r="BI202" s="526">
        <v>0.125</v>
      </c>
      <c r="BJ202" s="229">
        <v>80</v>
      </c>
      <c r="BK202" s="229">
        <v>0.1</v>
      </c>
      <c r="BL202" s="229">
        <v>0.11000000000000001</v>
      </c>
      <c r="BM202" s="229">
        <v>1.2000000000000002</v>
      </c>
      <c r="BN202" s="229">
        <v>6.9999999999999993E-2</v>
      </c>
      <c r="BO202" s="229">
        <v>30</v>
      </c>
      <c r="BP202" s="229">
        <v>0.18000000000000002</v>
      </c>
      <c r="BQ202" s="229">
        <v>8</v>
      </c>
      <c r="BR202" s="526">
        <v>0.5</v>
      </c>
    </row>
    <row r="203" spans="1:70" s="229" customFormat="1">
      <c r="A203" s="574"/>
      <c r="B203" s="593"/>
      <c r="C203" s="522"/>
      <c r="D203" s="141"/>
      <c r="E203" s="594"/>
      <c r="F203" s="708"/>
      <c r="G203" s="522"/>
      <c r="H203" s="522"/>
      <c r="I203" s="86"/>
      <c r="J203" s="87"/>
      <c r="K203" s="595"/>
      <c r="L203" s="604"/>
      <c r="M203" s="581"/>
      <c r="N203" s="581"/>
      <c r="O203" s="581"/>
      <c r="P203" s="628" t="s">
        <v>407</v>
      </c>
      <c r="V203" s="526"/>
      <c r="W203" s="514">
        <f t="shared" ref="W203:AS203" si="446">100*W201/W202</f>
        <v>0</v>
      </c>
      <c r="X203" s="514">
        <f t="shared" si="446"/>
        <v>0</v>
      </c>
      <c r="Y203" s="514">
        <f t="shared" si="446"/>
        <v>0</v>
      </c>
      <c r="Z203" s="514">
        <f t="shared" si="446"/>
        <v>0</v>
      </c>
      <c r="AA203" s="514">
        <f t="shared" si="446"/>
        <v>0</v>
      </c>
      <c r="AB203" s="506">
        <f t="shared" si="446"/>
        <v>0</v>
      </c>
      <c r="AC203" s="514">
        <f t="shared" si="446"/>
        <v>0</v>
      </c>
      <c r="AD203" s="514">
        <f t="shared" si="446"/>
        <v>0</v>
      </c>
      <c r="AE203" s="514">
        <f t="shared" si="446"/>
        <v>0</v>
      </c>
      <c r="AF203" s="514">
        <f t="shared" si="446"/>
        <v>0</v>
      </c>
      <c r="AG203" s="514">
        <f t="shared" si="446"/>
        <v>0</v>
      </c>
      <c r="AH203" s="514">
        <f t="shared" si="446"/>
        <v>0</v>
      </c>
      <c r="AI203" s="514">
        <f t="shared" si="446"/>
        <v>0</v>
      </c>
      <c r="AJ203" s="506">
        <f t="shared" si="446"/>
        <v>0</v>
      </c>
      <c r="AK203" s="514">
        <f t="shared" si="446"/>
        <v>0</v>
      </c>
      <c r="AL203" s="514">
        <f t="shared" si="446"/>
        <v>0</v>
      </c>
      <c r="AM203" s="514">
        <f t="shared" si="446"/>
        <v>0</v>
      </c>
      <c r="AN203" s="514">
        <f t="shared" si="446"/>
        <v>0</v>
      </c>
      <c r="AO203" s="514">
        <f t="shared" si="446"/>
        <v>0</v>
      </c>
      <c r="AP203" s="514">
        <f t="shared" si="446"/>
        <v>0</v>
      </c>
      <c r="AQ203" s="514">
        <f t="shared" si="446"/>
        <v>0</v>
      </c>
      <c r="AR203" s="514">
        <f t="shared" si="446"/>
        <v>0</v>
      </c>
      <c r="AS203" s="506">
        <f t="shared" si="446"/>
        <v>0</v>
      </c>
      <c r="AV203" s="505">
        <f t="shared" ref="AV203:BR203" si="447">100*AV201/AV202</f>
        <v>0</v>
      </c>
      <c r="AW203" s="505">
        <f t="shared" si="447"/>
        <v>0</v>
      </c>
      <c r="AX203" s="505">
        <f t="shared" si="447"/>
        <v>0</v>
      </c>
      <c r="AY203" s="505">
        <f t="shared" si="447"/>
        <v>0</v>
      </c>
      <c r="AZ203" s="505">
        <f t="shared" si="447"/>
        <v>0</v>
      </c>
      <c r="BA203" s="505">
        <f t="shared" si="447"/>
        <v>0</v>
      </c>
      <c r="BB203" s="505">
        <f t="shared" si="447"/>
        <v>0</v>
      </c>
      <c r="BC203" s="505">
        <f t="shared" si="447"/>
        <v>0</v>
      </c>
      <c r="BD203" s="505">
        <f t="shared" si="447"/>
        <v>0</v>
      </c>
      <c r="BE203" s="505">
        <f t="shared" si="447"/>
        <v>0</v>
      </c>
      <c r="BF203" s="505">
        <f t="shared" si="447"/>
        <v>0</v>
      </c>
      <c r="BG203" s="505">
        <f t="shared" si="447"/>
        <v>0</v>
      </c>
      <c r="BH203" s="505">
        <f t="shared" si="447"/>
        <v>0</v>
      </c>
      <c r="BI203" s="505">
        <f t="shared" si="447"/>
        <v>0</v>
      </c>
      <c r="BJ203" s="505">
        <f t="shared" si="447"/>
        <v>0</v>
      </c>
      <c r="BK203" s="505">
        <f t="shared" si="447"/>
        <v>0</v>
      </c>
      <c r="BL203" s="505">
        <f t="shared" si="447"/>
        <v>0</v>
      </c>
      <c r="BM203" s="505">
        <f t="shared" si="447"/>
        <v>0</v>
      </c>
      <c r="BN203" s="505">
        <f t="shared" si="447"/>
        <v>0</v>
      </c>
      <c r="BO203" s="505">
        <f t="shared" si="447"/>
        <v>0</v>
      </c>
      <c r="BP203" s="505">
        <f t="shared" si="447"/>
        <v>0</v>
      </c>
      <c r="BQ203" s="505">
        <f t="shared" si="447"/>
        <v>0</v>
      </c>
      <c r="BR203" s="505">
        <f t="shared" si="447"/>
        <v>0</v>
      </c>
    </row>
    <row r="204" spans="1:70" s="229" customFormat="1">
      <c r="A204" s="574"/>
      <c r="B204" s="593"/>
      <c r="C204" s="522"/>
      <c r="D204" s="141"/>
      <c r="E204" s="594"/>
      <c r="F204" s="708"/>
      <c r="G204" s="522"/>
      <c r="H204" s="522"/>
      <c r="I204" s="86"/>
      <c r="J204" s="87"/>
      <c r="K204" s="595"/>
      <c r="L204" s="604"/>
      <c r="M204" s="581"/>
      <c r="N204" s="581"/>
      <c r="O204" s="581"/>
      <c r="P204" s="628" t="s">
        <v>548</v>
      </c>
      <c r="V204" s="526"/>
      <c r="W204" s="583">
        <f>AV201</f>
        <v>0</v>
      </c>
      <c r="X204" s="583">
        <f t="shared" ref="X204" si="448">AW201</f>
        <v>0</v>
      </c>
      <c r="Y204" s="583">
        <f t="shared" ref="Y204" si="449">AX201</f>
        <v>0</v>
      </c>
      <c r="Z204" s="583">
        <f t="shared" ref="Z204" si="450">AY201</f>
        <v>0</v>
      </c>
      <c r="AA204" s="583">
        <f t="shared" ref="AA204" si="451">AZ201</f>
        <v>0</v>
      </c>
      <c r="AB204" s="549">
        <f t="shared" ref="AB204" si="452">BA201</f>
        <v>0</v>
      </c>
      <c r="AC204" s="583">
        <f t="shared" ref="AC204" si="453">BB201</f>
        <v>0</v>
      </c>
      <c r="AD204" s="583">
        <f t="shared" ref="AD204" si="454">BC201</f>
        <v>0</v>
      </c>
      <c r="AE204" s="583">
        <f>BD201</f>
        <v>0</v>
      </c>
      <c r="AF204" s="583">
        <f t="shared" ref="AF204" si="455">BE201</f>
        <v>0</v>
      </c>
      <c r="AG204" s="583">
        <f t="shared" ref="AG204" si="456">BF201</f>
        <v>0</v>
      </c>
      <c r="AH204" s="583">
        <f t="shared" ref="AH204" si="457">BG201</f>
        <v>0</v>
      </c>
      <c r="AI204" s="583">
        <f t="shared" ref="AI204" si="458">BH201</f>
        <v>0</v>
      </c>
      <c r="AJ204" s="549">
        <f t="shared" ref="AJ204" si="459">BI201</f>
        <v>0</v>
      </c>
      <c r="AK204" s="583">
        <f t="shared" ref="AK204" si="460">BJ201</f>
        <v>0</v>
      </c>
      <c r="AL204" s="583">
        <f t="shared" ref="AL204" si="461">BK201</f>
        <v>0</v>
      </c>
      <c r="AM204" s="583">
        <f t="shared" ref="AM204" si="462">BL201</f>
        <v>0</v>
      </c>
      <c r="AN204" s="583">
        <f>BM201</f>
        <v>0</v>
      </c>
      <c r="AO204" s="583">
        <f t="shared" ref="AO204" si="463">BN201</f>
        <v>0</v>
      </c>
      <c r="AP204" s="583">
        <f t="shared" ref="AP204" si="464">BO201</f>
        <v>0</v>
      </c>
      <c r="AQ204" s="583">
        <f t="shared" ref="AQ204" si="465">BP201</f>
        <v>0</v>
      </c>
      <c r="AR204" s="583">
        <f t="shared" ref="AR204" si="466">BQ201</f>
        <v>0</v>
      </c>
      <c r="AS204" s="549">
        <f>BR201</f>
        <v>0</v>
      </c>
    </row>
    <row r="205" spans="1:70" s="229" customFormat="1" ht="15" thickBot="1">
      <c r="A205" s="574"/>
      <c r="B205" s="593"/>
      <c r="C205" s="522"/>
      <c r="D205" s="141"/>
      <c r="E205" s="594"/>
      <c r="F205" s="708"/>
      <c r="G205" s="522"/>
      <c r="H205" s="677"/>
      <c r="I205" s="86"/>
      <c r="J205" s="87"/>
      <c r="K205" s="595"/>
      <c r="L205" s="616"/>
      <c r="M205" s="842"/>
      <c r="N205" s="581"/>
      <c r="O205" s="581"/>
      <c r="P205" s="629" t="s">
        <v>546</v>
      </c>
      <c r="Q205" s="546"/>
      <c r="R205" s="546"/>
      <c r="S205" s="546"/>
      <c r="T205" s="546"/>
      <c r="U205" s="546"/>
      <c r="V205" s="529"/>
      <c r="W205" s="502">
        <f t="shared" ref="W205:AS205" si="467">AV203</f>
        <v>0</v>
      </c>
      <c r="X205" s="502">
        <f t="shared" si="467"/>
        <v>0</v>
      </c>
      <c r="Y205" s="502">
        <f t="shared" si="467"/>
        <v>0</v>
      </c>
      <c r="Z205" s="502">
        <f t="shared" si="467"/>
        <v>0</v>
      </c>
      <c r="AA205" s="502">
        <f t="shared" si="467"/>
        <v>0</v>
      </c>
      <c r="AB205" s="503">
        <f t="shared" si="467"/>
        <v>0</v>
      </c>
      <c r="AC205" s="502">
        <f t="shared" si="467"/>
        <v>0</v>
      </c>
      <c r="AD205" s="502">
        <f t="shared" si="467"/>
        <v>0</v>
      </c>
      <c r="AE205" s="502">
        <f t="shared" si="467"/>
        <v>0</v>
      </c>
      <c r="AF205" s="502">
        <f t="shared" si="467"/>
        <v>0</v>
      </c>
      <c r="AG205" s="502">
        <f t="shared" si="467"/>
        <v>0</v>
      </c>
      <c r="AH205" s="502">
        <f t="shared" si="467"/>
        <v>0</v>
      </c>
      <c r="AI205" s="502">
        <f t="shared" si="467"/>
        <v>0</v>
      </c>
      <c r="AJ205" s="503">
        <f t="shared" si="467"/>
        <v>0</v>
      </c>
      <c r="AK205" s="502">
        <f t="shared" si="467"/>
        <v>0</v>
      </c>
      <c r="AL205" s="502">
        <f t="shared" si="467"/>
        <v>0</v>
      </c>
      <c r="AM205" s="502">
        <f t="shared" si="467"/>
        <v>0</v>
      </c>
      <c r="AN205" s="502">
        <f t="shared" si="467"/>
        <v>0</v>
      </c>
      <c r="AO205" s="502">
        <f t="shared" si="467"/>
        <v>0</v>
      </c>
      <c r="AP205" s="502">
        <f t="shared" si="467"/>
        <v>0</v>
      </c>
      <c r="AQ205" s="502">
        <f t="shared" si="467"/>
        <v>0</v>
      </c>
      <c r="AR205" s="502">
        <f t="shared" si="467"/>
        <v>0</v>
      </c>
      <c r="AS205" s="503">
        <f t="shared" si="467"/>
        <v>0</v>
      </c>
      <c r="AT205" s="1296"/>
      <c r="AU205" s="1296"/>
      <c r="AV205" s="514"/>
      <c r="AW205" s="514"/>
      <c r="AX205" s="514"/>
      <c r="AY205" s="514"/>
      <c r="AZ205" s="514"/>
      <c r="BA205" s="505"/>
      <c r="BB205" s="514"/>
      <c r="BC205" s="514"/>
      <c r="BD205" s="514"/>
      <c r="BE205" s="514"/>
      <c r="BF205" s="514"/>
      <c r="BG205" s="514"/>
      <c r="BH205" s="514"/>
      <c r="BI205" s="505"/>
      <c r="BJ205" s="514"/>
      <c r="BK205" s="514"/>
      <c r="BL205" s="514"/>
      <c r="BM205" s="514"/>
      <c r="BN205" s="514"/>
      <c r="BO205" s="514"/>
      <c r="BP205" s="514"/>
      <c r="BQ205" s="514"/>
      <c r="BR205" s="505"/>
    </row>
    <row r="206" spans="1:70" s="229" customFormat="1">
      <c r="A206" s="574"/>
      <c r="B206" s="593"/>
      <c r="C206" s="522"/>
      <c r="D206" s="141"/>
      <c r="E206" s="594"/>
      <c r="F206" s="708"/>
      <c r="G206" s="522"/>
      <c r="H206" s="677"/>
      <c r="I206" s="86"/>
      <c r="J206" s="87"/>
      <c r="K206" s="595"/>
      <c r="L206" s="604"/>
      <c r="M206" s="581"/>
      <c r="N206" s="581"/>
      <c r="O206" s="581"/>
      <c r="P206" s="628" t="s">
        <v>550</v>
      </c>
      <c r="Q206" s="514">
        <f t="shared" ref="Q206:R206" si="468">Q131+Q150+Q182+Q201</f>
        <v>594.4</v>
      </c>
      <c r="R206" s="514">
        <f t="shared" si="468"/>
        <v>129.24072000000001</v>
      </c>
      <c r="S206" s="514"/>
      <c r="T206" s="514">
        <f>T131+T150+T182+T201</f>
        <v>125.24864259740259</v>
      </c>
      <c r="U206" s="514">
        <f>U131+U150+U182+U201</f>
        <v>17.980339964576622</v>
      </c>
      <c r="V206" s="514">
        <f>V131+V150+V182+V201</f>
        <v>1254.23</v>
      </c>
      <c r="W206" s="514">
        <f>W131+W150+W182+W201</f>
        <v>1039.551305034965</v>
      </c>
      <c r="X206" s="514">
        <f>X131+X150+X182+X201</f>
        <v>157.52708935859991</v>
      </c>
      <c r="Y206" s="514">
        <f t="shared" ref="Y206:AU206" si="469">Y131+Y150+Y182+Y201</f>
        <v>35.441551040731525</v>
      </c>
      <c r="Z206" s="514">
        <f t="shared" si="469"/>
        <v>27.421929759660344</v>
      </c>
      <c r="AA206" s="514">
        <f t="shared" si="469"/>
        <v>13.027966825174826</v>
      </c>
      <c r="AB206" s="506">
        <f t="shared" si="469"/>
        <v>4.5290797332996684</v>
      </c>
      <c r="AC206" s="514">
        <f t="shared" si="469"/>
        <v>859.16576503496492</v>
      </c>
      <c r="AD206" s="514">
        <f t="shared" si="469"/>
        <v>1179.5387999999998</v>
      </c>
      <c r="AE206" s="514">
        <f t="shared" si="469"/>
        <v>141.9228</v>
      </c>
      <c r="AF206" s="514">
        <f t="shared" si="469"/>
        <v>103.44172206993008</v>
      </c>
      <c r="AG206" s="514">
        <f t="shared" si="469"/>
        <v>306.41279199999991</v>
      </c>
      <c r="AH206" s="514">
        <f t="shared" si="469"/>
        <v>5.0026292006417403</v>
      </c>
      <c r="AI206" s="514">
        <f t="shared" si="469"/>
        <v>5.2172156905500318</v>
      </c>
      <c r="AJ206" s="506">
        <f t="shared" si="469"/>
        <v>0.65472034155426662</v>
      </c>
      <c r="AK206" s="514">
        <f t="shared" si="469"/>
        <v>386.80679199999997</v>
      </c>
      <c r="AL206" s="514">
        <f t="shared" si="469"/>
        <v>0.91156576654457111</v>
      </c>
      <c r="AM206" s="514">
        <f t="shared" si="469"/>
        <v>0.61412557818377489</v>
      </c>
      <c r="AN206" s="514">
        <f t="shared" si="469"/>
        <v>8.5621118096206885</v>
      </c>
      <c r="AO206" s="514">
        <f t="shared" si="469"/>
        <v>0.70843043012041018</v>
      </c>
      <c r="AP206" s="514">
        <f t="shared" si="469"/>
        <v>119.09693186013988</v>
      </c>
      <c r="AQ206" s="514">
        <f t="shared" si="469"/>
        <v>1.0474755636363635</v>
      </c>
      <c r="AR206" s="514">
        <f t="shared" si="469"/>
        <v>29.675799999999999</v>
      </c>
      <c r="AS206" s="506">
        <f t="shared" si="469"/>
        <v>2.1091491719887956</v>
      </c>
      <c r="AT206" s="514">
        <f t="shared" si="469"/>
        <v>120.93864259740261</v>
      </c>
      <c r="AU206" s="514">
        <f t="shared" si="469"/>
        <v>125.24864259740259</v>
      </c>
      <c r="AV206" s="514"/>
      <c r="AW206" s="514"/>
      <c r="AX206" s="514"/>
      <c r="AY206" s="514"/>
      <c r="AZ206" s="514"/>
      <c r="BA206" s="505"/>
      <c r="BB206" s="514"/>
      <c r="BC206" s="514"/>
      <c r="BD206" s="514"/>
      <c r="BE206" s="514"/>
      <c r="BF206" s="514"/>
      <c r="BG206" s="514"/>
      <c r="BH206" s="514"/>
      <c r="BI206" s="505"/>
      <c r="BJ206" s="514"/>
      <c r="BK206" s="514"/>
      <c r="BL206" s="514"/>
      <c r="BM206" s="514"/>
      <c r="BN206" s="514"/>
      <c r="BO206" s="514"/>
      <c r="BP206" s="514"/>
      <c r="BQ206" s="514"/>
      <c r="BR206" s="505"/>
    </row>
    <row r="207" spans="1:70" s="229" customFormat="1">
      <c r="A207" s="574"/>
      <c r="B207" s="593"/>
      <c r="C207" s="522"/>
      <c r="D207" s="141"/>
      <c r="E207" s="594"/>
      <c r="F207" s="708"/>
      <c r="G207" s="522"/>
      <c r="H207" s="677"/>
      <c r="I207" s="86"/>
      <c r="J207" s="87"/>
      <c r="K207" s="595"/>
      <c r="L207" s="604"/>
      <c r="M207" s="581"/>
      <c r="N207" s="581"/>
      <c r="O207" s="581"/>
      <c r="P207" s="630" t="s">
        <v>549</v>
      </c>
      <c r="V207" s="526"/>
      <c r="W207" s="514">
        <f>W134+W153+W185+W204</f>
        <v>821.8050004211542</v>
      </c>
      <c r="X207" s="514">
        <f>X134+X153+X185+X204</f>
        <v>124.19021269466867</v>
      </c>
      <c r="Y207" s="514">
        <f t="shared" ref="Y207:AS207" si="470">Y134+Y153+Y185+Y204</f>
        <v>29.460065111607172</v>
      </c>
      <c r="Z207" s="514">
        <f t="shared" si="470"/>
        <v>21.567522207651312</v>
      </c>
      <c r="AA207" s="514">
        <f t="shared" si="470"/>
        <v>9.5428084703606846</v>
      </c>
      <c r="AB207" s="506">
        <f t="shared" si="470"/>
        <v>3.7028937810693257</v>
      </c>
      <c r="AC207" s="514">
        <f t="shared" si="470"/>
        <v>593.48578835848298</v>
      </c>
      <c r="AD207" s="514">
        <f t="shared" si="470"/>
        <v>904.71021887194138</v>
      </c>
      <c r="AE207" s="514">
        <f t="shared" si="470"/>
        <v>99.370548217642451</v>
      </c>
      <c r="AF207" s="514">
        <f t="shared" si="470"/>
        <v>78.064310479180108</v>
      </c>
      <c r="AG207" s="514">
        <f t="shared" si="470"/>
        <v>247.10720811837447</v>
      </c>
      <c r="AH207" s="514">
        <f t="shared" si="470"/>
        <v>3.7809806781484459</v>
      </c>
      <c r="AI207" s="514">
        <f t="shared" si="470"/>
        <v>3.6172644814864769</v>
      </c>
      <c r="AJ207" s="506">
        <f t="shared" si="470"/>
        <v>0.47263086305497037</v>
      </c>
      <c r="AK207" s="514">
        <f t="shared" si="470"/>
        <v>290.21921286996758</v>
      </c>
      <c r="AL207" s="514">
        <f t="shared" si="470"/>
        <v>0.68999262415222284</v>
      </c>
      <c r="AM207" s="514">
        <f t="shared" si="470"/>
        <v>0.48517011762091367</v>
      </c>
      <c r="AN207" s="514">
        <f t="shared" si="470"/>
        <v>6.3067568728042724</v>
      </c>
      <c r="AO207" s="514">
        <f t="shared" si="470"/>
        <v>0.54640388066036616</v>
      </c>
      <c r="AP207" s="514">
        <f t="shared" si="470"/>
        <v>88.882321019947895</v>
      </c>
      <c r="AQ207" s="514">
        <f t="shared" si="470"/>
        <v>0.88958365048782617</v>
      </c>
      <c r="AR207" s="514">
        <f t="shared" si="470"/>
        <v>22.519834270056631</v>
      </c>
      <c r="AS207" s="506">
        <f t="shared" si="470"/>
        <v>1.9565398020764826</v>
      </c>
      <c r="AV207" s="514"/>
      <c r="AW207" s="514"/>
      <c r="AX207" s="514"/>
      <c r="AY207" s="514"/>
      <c r="AZ207" s="514"/>
      <c r="BA207" s="505"/>
      <c r="BB207" s="514"/>
      <c r="BC207" s="514"/>
      <c r="BD207" s="514"/>
      <c r="BE207" s="514"/>
      <c r="BF207" s="514"/>
      <c r="BG207" s="514"/>
      <c r="BH207" s="514"/>
      <c r="BI207" s="505"/>
      <c r="BJ207" s="514"/>
      <c r="BK207" s="514"/>
      <c r="BL207" s="514"/>
      <c r="BM207" s="514"/>
      <c r="BN207" s="514"/>
      <c r="BO207" s="514"/>
      <c r="BP207" s="514"/>
      <c r="BQ207" s="514"/>
      <c r="BR207" s="505"/>
    </row>
    <row r="208" spans="1:70" s="229" customFormat="1" ht="16" thickBot="1">
      <c r="A208" s="587"/>
      <c r="B208" s="587"/>
      <c r="C208" s="587"/>
      <c r="D208" s="111"/>
      <c r="E208" s="631"/>
      <c r="F208" s="712"/>
      <c r="G208" s="632" t="s">
        <v>3054</v>
      </c>
      <c r="H208" s="633"/>
      <c r="I208" s="686"/>
      <c r="J208" s="686"/>
      <c r="K208" s="587"/>
      <c r="L208" s="634"/>
      <c r="M208" s="843"/>
      <c r="N208" s="843"/>
      <c r="O208" s="588"/>
      <c r="P208" s="587"/>
      <c r="Q208" s="587"/>
      <c r="R208" s="587"/>
      <c r="S208" s="587"/>
      <c r="T208" s="587"/>
      <c r="U208" s="635"/>
      <c r="V208" s="636"/>
      <c r="W208" s="587"/>
      <c r="X208" s="587"/>
      <c r="Y208" s="587"/>
      <c r="Z208" s="587"/>
      <c r="AA208" s="637">
        <f>COUNTIF(AA209:AA228,"&lt;0")</f>
        <v>0</v>
      </c>
      <c r="AB208" s="637">
        <f t="shared" ref="AB208:AS208" si="471">COUNTIF(AB209:AB228,"&lt;0")</f>
        <v>0</v>
      </c>
      <c r="AC208" s="637">
        <f t="shared" si="471"/>
        <v>0</v>
      </c>
      <c r="AD208" s="637">
        <f t="shared" si="471"/>
        <v>0</v>
      </c>
      <c r="AE208" s="637">
        <f t="shared" si="471"/>
        <v>0</v>
      </c>
      <c r="AF208" s="637">
        <f t="shared" si="471"/>
        <v>0</v>
      </c>
      <c r="AG208" s="637">
        <f t="shared" si="471"/>
        <v>0</v>
      </c>
      <c r="AH208" s="637">
        <f t="shared" si="471"/>
        <v>0</v>
      </c>
      <c r="AI208" s="637">
        <f t="shared" si="471"/>
        <v>0</v>
      </c>
      <c r="AJ208" s="637">
        <f t="shared" si="471"/>
        <v>0</v>
      </c>
      <c r="AK208" s="637">
        <f t="shared" si="471"/>
        <v>0</v>
      </c>
      <c r="AL208" s="637">
        <f t="shared" si="471"/>
        <v>0</v>
      </c>
      <c r="AM208" s="637">
        <f t="shared" si="471"/>
        <v>0</v>
      </c>
      <c r="AN208" s="637">
        <f t="shared" si="471"/>
        <v>0</v>
      </c>
      <c r="AO208" s="637">
        <f t="shared" si="471"/>
        <v>0</v>
      </c>
      <c r="AP208" s="637">
        <f t="shared" si="471"/>
        <v>0</v>
      </c>
      <c r="AQ208" s="637">
        <f t="shared" si="471"/>
        <v>0</v>
      </c>
      <c r="AR208" s="637">
        <f t="shared" si="471"/>
        <v>0</v>
      </c>
      <c r="AS208" s="637">
        <f t="shared" si="471"/>
        <v>0</v>
      </c>
      <c r="AT208" s="1298"/>
      <c r="AU208" s="1298"/>
    </row>
    <row r="209" spans="1:70" s="229" customFormat="1" ht="15" customHeight="1" thickBot="1">
      <c r="A209" s="587"/>
      <c r="B209" s="575" t="s">
        <v>3066</v>
      </c>
      <c r="C209" s="229" t="s">
        <v>67</v>
      </c>
      <c r="D209" s="576"/>
      <c r="E209" s="577">
        <v>100</v>
      </c>
      <c r="F209" s="707"/>
      <c r="G209" s="406" t="s">
        <v>3054</v>
      </c>
      <c r="H209" s="1262" t="s">
        <v>3055</v>
      </c>
      <c r="I209" s="85">
        <v>0</v>
      </c>
      <c r="J209" s="682">
        <v>1</v>
      </c>
      <c r="K209" s="579" t="str">
        <f t="shared" ref="K209:K228" si="472">IF(I209&gt;0,1.1*Q209*E209/1000,"")</f>
        <v/>
      </c>
      <c r="L209" s="580" t="str">
        <f>IF(H209="Select ingredient:","",IF(G209="","",_xlfn.IFNA(VLOOKUP($H209,Ingredient_prices!$E:$U,16,FALSE),0)))</f>
        <v/>
      </c>
      <c r="M209" s="844"/>
      <c r="N209" s="1228">
        <f>$W230</f>
        <v>24</v>
      </c>
      <c r="O209" s="588"/>
      <c r="P209" s="589"/>
      <c r="Q209" s="583">
        <f t="shared" ref="Q209:Q228" si="473">I209/J209</f>
        <v>0</v>
      </c>
      <c r="R209" s="583">
        <f>VLOOKUP($H209,'CO2_emission+%_food_waste'!$A:$K,6,FALSE)*$Q209/100</f>
        <v>0</v>
      </c>
      <c r="S209" s="583">
        <f>Q209-R209</f>
        <v>0</v>
      </c>
      <c r="T209" s="583" t="str">
        <f>IF(H209="Select ingredient:","",IF(G209="Select food category:","",_xlfn.IFNA(VLOOKUP($H209,Ingredient_prices!$E:$U,16,FALSE)*$Q209/1000,"not bought")))</f>
        <v/>
      </c>
      <c r="U209" s="583" t="str">
        <f>IF(G209="Select food category:","",_xlfn.IFNA(VLOOKUP($H209,Ingredient_prices!$E:$U,16,FALSE)*$R209/1000,"not bought"))</f>
        <v/>
      </c>
      <c r="V209" s="549">
        <f>VLOOKUP($H209,'CO2_emission+%_food_waste'!$A:$K,4,FALSE)*$Q209</f>
        <v>0</v>
      </c>
      <c r="W209" s="583">
        <f>VLOOKUP($H209,Nutrition_tables!$A:$N,10,FALSE)*$Q209/100</f>
        <v>0</v>
      </c>
      <c r="X209" s="583">
        <f>VLOOKUP($H209,Nutrition_tables!$A:$N,11,FALSE)*$Q209/100</f>
        <v>0</v>
      </c>
      <c r="Y209" s="583">
        <f>VLOOKUP($H209,Nutrition_tables!$A:$N,12,FALSE)*$Q209/100</f>
        <v>0</v>
      </c>
      <c r="Z209" s="583">
        <f>VLOOKUP($H209,Nutrition_tables!$A:$N,14,FALSE)*$Q209/100</f>
        <v>0</v>
      </c>
      <c r="AA209" s="583">
        <f>VLOOKUP($H209,Nutrition_tables!$A:$AF,13,FALSE)*$Q209/100</f>
        <v>0</v>
      </c>
      <c r="AB209" s="549">
        <f>VLOOKUP($H209,Nutrition_tables!$A:$AF,15,FALSE)*$Q209/100</f>
        <v>0</v>
      </c>
      <c r="AC209" s="583">
        <f>VLOOKUP($H209,Nutrition_tables!$A:$AF,16,FALSE)*$Q209/100</f>
        <v>0</v>
      </c>
      <c r="AD209" s="583">
        <f>VLOOKUP($H209,Nutrition_tables!$A:$AF,17,FALSE)*$Q209/100</f>
        <v>0</v>
      </c>
      <c r="AE209" s="583">
        <f>VLOOKUP($H209,Nutrition_tables!$A:$AF,18,FALSE)*$Q209/100</f>
        <v>0</v>
      </c>
      <c r="AF209" s="583">
        <f>VLOOKUP($H209,Nutrition_tables!$A:$AF,19,FALSE)*$Q209/100</f>
        <v>0</v>
      </c>
      <c r="AG209" s="583">
        <f>VLOOKUP($H209,Nutrition_tables!$A:$AF,20,FALSE)*$Q209/100</f>
        <v>0</v>
      </c>
      <c r="AH209" s="583">
        <f>VLOOKUP($H209,Nutrition_tables!$A:$AF,21,FALSE)*$Q209/100</f>
        <v>0</v>
      </c>
      <c r="AI209" s="583">
        <f>VLOOKUP($H209,Nutrition_tables!$A:$AF,22,FALSE)*$Q209/100</f>
        <v>0</v>
      </c>
      <c r="AJ209" s="549">
        <f>VLOOKUP($H209,Nutrition_tables!$A:$AF,23,FALSE)*$Q209/100</f>
        <v>0</v>
      </c>
      <c r="AK209" s="583">
        <f>VLOOKUP($H209,Nutrition_tables!$A:$AF,24,FALSE)*$Q209/100</f>
        <v>0</v>
      </c>
      <c r="AL209" s="583">
        <f>VLOOKUP($H209,Nutrition_tables!$A:$AF,25,FALSE)*$Q209/100</f>
        <v>0</v>
      </c>
      <c r="AM209" s="583">
        <f>VLOOKUP($H209,Nutrition_tables!$A:$AF,26,FALSE)*$Q209/100</f>
        <v>0</v>
      </c>
      <c r="AN209" s="583">
        <f>VLOOKUP($H209,Nutrition_tables!$A:$AF,27,FALSE)*$Q209/100</f>
        <v>0</v>
      </c>
      <c r="AO209" s="583">
        <f>VLOOKUP($H209,Nutrition_tables!$A:$AF,28,FALSE)*$Q209/100</f>
        <v>0</v>
      </c>
      <c r="AP209" s="583">
        <f>VLOOKUP($H209,Nutrition_tables!$A:$AF,29,FALSE)*$Q209/100</f>
        <v>0</v>
      </c>
      <c r="AQ209" s="583">
        <f>VLOOKUP($H209,Nutrition_tables!$A:$AF,30,FALSE)*$Q209/100</f>
        <v>0</v>
      </c>
      <c r="AR209" s="583">
        <f>VLOOKUP($H209,Nutrition_tables!$A:$AF,31,FALSE)*$Q209/100</f>
        <v>0</v>
      </c>
      <c r="AS209" s="549">
        <f>VLOOKUP($H209,Nutrition_tables!$A:$AF,32,FALSE)*$Q209/100</f>
        <v>0</v>
      </c>
      <c r="AT209" s="583" t="str">
        <f>IF(H209="Select ingredient:","",IF(G209="Select food category:","",IFERROR(VLOOKUP($H209,Ingredient_prices!$E:$W,17,FALSE)*$Q209/1000,"not bought")))</f>
        <v/>
      </c>
      <c r="AU209" s="583" t="str">
        <f>IF(H209="Select ingredient:","",IF(G209="Select food category:","",IFERROR(VLOOKUP($H209,Ingredient_prices!$E:$W,18,FALSE)*$Q209/1000,"not bought")))</f>
        <v/>
      </c>
      <c r="AV209" s="583">
        <f t="shared" ref="AV209:AV228" si="474">W209*($Q209-$R209)/($Q209+0.00001)</f>
        <v>0</v>
      </c>
      <c r="AW209" s="583">
        <f t="shared" ref="AW209:AW228" si="475">X209*($Q209-$R209)/($Q209+0.00001)</f>
        <v>0</v>
      </c>
      <c r="AX209" s="583">
        <f t="shared" ref="AX209:AX228" si="476">Y209*($Q209-$R209)/($Q209+0.00001)</f>
        <v>0</v>
      </c>
      <c r="AY209" s="583">
        <f t="shared" ref="AY209:AY228" si="477">Z209*($Q209-$R209)/($Q209+0.00001)</f>
        <v>0</v>
      </c>
      <c r="AZ209" s="583">
        <f t="shared" ref="AZ209:AZ228" si="478">AA209*($Q209-$R209)/($Q209+0.00001)</f>
        <v>0</v>
      </c>
      <c r="BA209" s="583">
        <f t="shared" ref="BA209:BA228" si="479">AB209*($Q209-$R209)/($Q209+0.00001)</f>
        <v>0</v>
      </c>
      <c r="BB209" s="583">
        <f t="shared" ref="BB209:BB228" si="480">AC209*($Q209-$R209)/($Q209+0.00001)</f>
        <v>0</v>
      </c>
      <c r="BC209" s="583">
        <f t="shared" ref="BC209:BC228" si="481">AD209*($Q209-$R209)/($Q209+0.00001)</f>
        <v>0</v>
      </c>
      <c r="BD209" s="583">
        <f t="shared" ref="BD209:BD228" si="482">AE209*($Q209-$R209)/($Q209+0.00001)</f>
        <v>0</v>
      </c>
      <c r="BE209" s="583">
        <f t="shared" ref="BE209:BE228" si="483">AF209*($Q209-$R209)/($Q209+0.00001)</f>
        <v>0</v>
      </c>
      <c r="BF209" s="583">
        <f t="shared" ref="BF209:BF228" si="484">AG209*($Q209-$R209)/($Q209+0.00001)</f>
        <v>0</v>
      </c>
      <c r="BG209" s="583">
        <f t="shared" ref="BG209:BG228" si="485">AH209*($Q209-$R209)/($Q209+0.00001)</f>
        <v>0</v>
      </c>
      <c r="BH209" s="583">
        <f t="shared" ref="BH209:BH228" si="486">AI209*($Q209-$R209)/($Q209+0.00001)</f>
        <v>0</v>
      </c>
      <c r="BI209" s="583">
        <f t="shared" ref="BI209:BI228" si="487">AJ209*($Q209-$R209)/($Q209+0.00001)</f>
        <v>0</v>
      </c>
      <c r="BJ209" s="583">
        <f t="shared" ref="BJ209:BJ228" si="488">AK209*($Q209-$R209)/($Q209+0.00001)</f>
        <v>0</v>
      </c>
      <c r="BK209" s="583">
        <f t="shared" ref="BK209:BK228" si="489">AL209*($Q209-$R209)/($Q209+0.00001)</f>
        <v>0</v>
      </c>
      <c r="BL209" s="583">
        <f t="shared" ref="BL209:BL228" si="490">AM209*($Q209-$R209)/($Q209+0.00001)</f>
        <v>0</v>
      </c>
      <c r="BM209" s="583">
        <f t="shared" ref="BM209:BM228" si="491">AN209*($Q209-$R209)/($Q209+0.00001)</f>
        <v>0</v>
      </c>
      <c r="BN209" s="583">
        <f t="shared" ref="BN209:BN228" si="492">AO209*($Q209-$R209)/($Q209+0.00001)</f>
        <v>0</v>
      </c>
      <c r="BO209" s="583">
        <f t="shared" ref="BO209:BO228" si="493">AP209*($Q209-$R209)/($Q209+0.00001)</f>
        <v>0</v>
      </c>
      <c r="BP209" s="583">
        <f t="shared" ref="BP209:BP228" si="494">AQ209*($Q209-$R209)/($Q209+0.00001)</f>
        <v>0</v>
      </c>
      <c r="BQ209" s="583">
        <f t="shared" ref="BQ209:BQ228" si="495">AR209*($Q209-$R209)/($Q209+0.00001)</f>
        <v>0</v>
      </c>
      <c r="BR209" s="583">
        <f t="shared" ref="BR209:BR228" si="496">AS209*($Q209-$R209)/($Q209+0.00001)</f>
        <v>0</v>
      </c>
    </row>
    <row r="210" spans="1:70" s="229" customFormat="1" ht="15" customHeight="1">
      <c r="A210" s="587"/>
      <c r="E210" s="576">
        <f>IF(E$209&gt;0,E$209,"")</f>
        <v>100</v>
      </c>
      <c r="F210" s="707"/>
      <c r="G210" s="406" t="s">
        <v>3054</v>
      </c>
      <c r="H210" s="1262" t="s">
        <v>3055</v>
      </c>
      <c r="I210" s="85">
        <v>0</v>
      </c>
      <c r="J210" s="682">
        <v>1</v>
      </c>
      <c r="K210" s="579" t="str">
        <f t="shared" si="472"/>
        <v/>
      </c>
      <c r="L210" s="580" t="str">
        <f>IF(H210="Select ingredient:","",IF(G210="","",_xlfn.IFNA(VLOOKUP($H210,Ingredient_prices!$E:$U,16,FALSE),0)))</f>
        <v/>
      </c>
      <c r="M210" s="844"/>
      <c r="N210" s="844"/>
      <c r="O210" s="588"/>
      <c r="P210" s="589"/>
      <c r="Q210" s="583">
        <f t="shared" si="473"/>
        <v>0</v>
      </c>
      <c r="R210" s="583">
        <f>VLOOKUP($H210,'CO2_emission+%_food_waste'!$A:$K,6,FALSE)*$Q210/100</f>
        <v>0</v>
      </c>
      <c r="S210" s="583">
        <f t="shared" ref="S210:S228" si="497">Q210-R210</f>
        <v>0</v>
      </c>
      <c r="T210" s="583" t="str">
        <f>IF(H210="Select ingredient:","",IF(G210="Select food category:","",_xlfn.IFNA(VLOOKUP($H210,Ingredient_prices!$E:$U,16,FALSE)*$Q210/1000,"not bought")))</f>
        <v/>
      </c>
      <c r="U210" s="583" t="str">
        <f>IF(G210="Select food category:","",_xlfn.IFNA(VLOOKUP($H210,Ingredient_prices!$E:$U,16,FALSE)*$R210/1000,"not bought"))</f>
        <v/>
      </c>
      <c r="V210" s="549">
        <f>VLOOKUP($H210,'CO2_emission+%_food_waste'!$A:$K,4,FALSE)*$Q210</f>
        <v>0</v>
      </c>
      <c r="W210" s="583">
        <f>VLOOKUP($H210,Nutrition_tables!$A:$N,10,FALSE)*$Q210/100</f>
        <v>0</v>
      </c>
      <c r="X210" s="583">
        <f>VLOOKUP($H210,Nutrition_tables!$A:$N,11,FALSE)*$Q210/100</f>
        <v>0</v>
      </c>
      <c r="Y210" s="583">
        <f>VLOOKUP($H210,Nutrition_tables!$A:$N,12,FALSE)*$Q210/100</f>
        <v>0</v>
      </c>
      <c r="Z210" s="583">
        <f>VLOOKUP($H210,Nutrition_tables!$A:$N,14,FALSE)*$Q210/100</f>
        <v>0</v>
      </c>
      <c r="AA210" s="583">
        <f>VLOOKUP($H210,Nutrition_tables!$A:$AF,13,FALSE)*$Q210/100</f>
        <v>0</v>
      </c>
      <c r="AB210" s="549">
        <f>VLOOKUP($H210,Nutrition_tables!$A:$AF,15,FALSE)*$Q210/100</f>
        <v>0</v>
      </c>
      <c r="AC210" s="583">
        <f>VLOOKUP($H210,Nutrition_tables!$A:$AF,16,FALSE)*$Q210/100</f>
        <v>0</v>
      </c>
      <c r="AD210" s="583">
        <f>VLOOKUP($H210,Nutrition_tables!$A:$AF,17,FALSE)*$Q210/100</f>
        <v>0</v>
      </c>
      <c r="AE210" s="583">
        <f>VLOOKUP($H210,Nutrition_tables!$A:$AF,18,FALSE)*$Q210/100</f>
        <v>0</v>
      </c>
      <c r="AF210" s="583">
        <f>VLOOKUP($H210,Nutrition_tables!$A:$AF,19,FALSE)*$Q210/100</f>
        <v>0</v>
      </c>
      <c r="AG210" s="583">
        <f>VLOOKUP($H210,Nutrition_tables!$A:$AF,20,FALSE)*$Q210/100</f>
        <v>0</v>
      </c>
      <c r="AH210" s="583">
        <f>VLOOKUP($H210,Nutrition_tables!$A:$AF,21,FALSE)*$Q210/100</f>
        <v>0</v>
      </c>
      <c r="AI210" s="583">
        <f>VLOOKUP($H210,Nutrition_tables!$A:$AF,22,FALSE)*$Q210/100</f>
        <v>0</v>
      </c>
      <c r="AJ210" s="549">
        <f>VLOOKUP($H210,Nutrition_tables!$A:$AF,23,FALSE)*$Q210/100</f>
        <v>0</v>
      </c>
      <c r="AK210" s="583">
        <f>VLOOKUP($H210,Nutrition_tables!$A:$AF,24,FALSE)*$Q210/100</f>
        <v>0</v>
      </c>
      <c r="AL210" s="583">
        <f>VLOOKUP($H210,Nutrition_tables!$A:$AF,25,FALSE)*$Q210/100</f>
        <v>0</v>
      </c>
      <c r="AM210" s="583">
        <f>VLOOKUP($H210,Nutrition_tables!$A:$AF,26,FALSE)*$Q210/100</f>
        <v>0</v>
      </c>
      <c r="AN210" s="583">
        <f>VLOOKUP($H210,Nutrition_tables!$A:$AF,27,FALSE)*$Q210/100</f>
        <v>0</v>
      </c>
      <c r="AO210" s="583">
        <f>VLOOKUP($H210,Nutrition_tables!$A:$AF,28,FALSE)*$Q210/100</f>
        <v>0</v>
      </c>
      <c r="AP210" s="583">
        <f>VLOOKUP($H210,Nutrition_tables!$A:$AF,29,FALSE)*$Q210/100</f>
        <v>0</v>
      </c>
      <c r="AQ210" s="583">
        <f>VLOOKUP($H210,Nutrition_tables!$A:$AF,30,FALSE)*$Q210/100</f>
        <v>0</v>
      </c>
      <c r="AR210" s="583">
        <f>VLOOKUP($H210,Nutrition_tables!$A:$AF,31,FALSE)*$Q210/100</f>
        <v>0</v>
      </c>
      <c r="AS210" s="549">
        <f>VLOOKUP($H210,Nutrition_tables!$A:$AF,32,FALSE)*$Q210/100</f>
        <v>0</v>
      </c>
      <c r="AT210" s="583" t="str">
        <f>IF(H210="Select ingredient:","",IF(G210="Select food category:","",IFERROR(VLOOKUP($H210,Ingredient_prices!$E:$W,17,FALSE)*$Q210/1000,"not bought")))</f>
        <v/>
      </c>
      <c r="AU210" s="583" t="str">
        <f>IF(H210="Select ingredient:","",IF(G210="Select food category:","",IFERROR(VLOOKUP($H210,Ingredient_prices!$E:$W,18,FALSE)*$Q210/1000,"not bought")))</f>
        <v/>
      </c>
      <c r="AV210" s="583">
        <f t="shared" si="474"/>
        <v>0</v>
      </c>
      <c r="AW210" s="583">
        <f t="shared" si="475"/>
        <v>0</v>
      </c>
      <c r="AX210" s="583">
        <f t="shared" si="476"/>
        <v>0</v>
      </c>
      <c r="AY210" s="583">
        <f t="shared" si="477"/>
        <v>0</v>
      </c>
      <c r="AZ210" s="583">
        <f t="shared" si="478"/>
        <v>0</v>
      </c>
      <c r="BA210" s="583">
        <f t="shared" si="479"/>
        <v>0</v>
      </c>
      <c r="BB210" s="583">
        <f t="shared" si="480"/>
        <v>0</v>
      </c>
      <c r="BC210" s="583">
        <f t="shared" si="481"/>
        <v>0</v>
      </c>
      <c r="BD210" s="583">
        <f t="shared" si="482"/>
        <v>0</v>
      </c>
      <c r="BE210" s="583">
        <f t="shared" si="483"/>
        <v>0</v>
      </c>
      <c r="BF210" s="583">
        <f t="shared" si="484"/>
        <v>0</v>
      </c>
      <c r="BG210" s="583">
        <f t="shared" si="485"/>
        <v>0</v>
      </c>
      <c r="BH210" s="583">
        <f t="shared" si="486"/>
        <v>0</v>
      </c>
      <c r="BI210" s="583">
        <f t="shared" si="487"/>
        <v>0</v>
      </c>
      <c r="BJ210" s="583">
        <f t="shared" si="488"/>
        <v>0</v>
      </c>
      <c r="BK210" s="583">
        <f t="shared" si="489"/>
        <v>0</v>
      </c>
      <c r="BL210" s="583">
        <f t="shared" si="490"/>
        <v>0</v>
      </c>
      <c r="BM210" s="583">
        <f t="shared" si="491"/>
        <v>0</v>
      </c>
      <c r="BN210" s="583">
        <f t="shared" si="492"/>
        <v>0</v>
      </c>
      <c r="BO210" s="583">
        <f t="shared" si="493"/>
        <v>0</v>
      </c>
      <c r="BP210" s="583">
        <f t="shared" si="494"/>
        <v>0</v>
      </c>
      <c r="BQ210" s="583">
        <f t="shared" si="495"/>
        <v>0</v>
      </c>
      <c r="BR210" s="583">
        <f t="shared" si="496"/>
        <v>0</v>
      </c>
    </row>
    <row r="211" spans="1:70" s="229" customFormat="1" ht="15" customHeight="1">
      <c r="A211" s="587"/>
      <c r="D211" s="406"/>
      <c r="E211" s="576">
        <f t="shared" ref="E211:E228" si="498">IF(E$209&gt;0,E$209,"")</f>
        <v>100</v>
      </c>
      <c r="F211" s="707"/>
      <c r="G211" s="406" t="s">
        <v>3054</v>
      </c>
      <c r="H211" s="1262" t="s">
        <v>3055</v>
      </c>
      <c r="I211" s="85">
        <v>0</v>
      </c>
      <c r="J211" s="682">
        <v>1</v>
      </c>
      <c r="K211" s="579" t="str">
        <f t="shared" si="472"/>
        <v/>
      </c>
      <c r="L211" s="580" t="str">
        <f>IF(H211="Select ingredient:","",IF(G211="","",_xlfn.IFNA(VLOOKUP($H211,Ingredient_prices!$E:$U,16,FALSE),0)))</f>
        <v/>
      </c>
      <c r="M211" s="844"/>
      <c r="N211" s="844"/>
      <c r="O211" s="588"/>
      <c r="P211" s="589"/>
      <c r="Q211" s="583">
        <f t="shared" si="473"/>
        <v>0</v>
      </c>
      <c r="R211" s="583">
        <f>VLOOKUP($H211,'CO2_emission+%_food_waste'!$A:$K,6,FALSE)*$Q211/100</f>
        <v>0</v>
      </c>
      <c r="S211" s="583">
        <f t="shared" si="497"/>
        <v>0</v>
      </c>
      <c r="T211" s="583" t="str">
        <f>IF(H211="Select ingredient:","",IF(G211="Select food category:","",_xlfn.IFNA(VLOOKUP($H211,Ingredient_prices!$E:$U,16,FALSE)*$Q211/1000,"not bought")))</f>
        <v/>
      </c>
      <c r="U211" s="583" t="str">
        <f>IF(G211="Select food category:","",_xlfn.IFNA(VLOOKUP($H211,Ingredient_prices!$E:$U,16,FALSE)*$R211/1000,"not bought"))</f>
        <v/>
      </c>
      <c r="V211" s="549">
        <f>VLOOKUP($H211,'CO2_emission+%_food_waste'!$A:$K,4,FALSE)*$Q211</f>
        <v>0</v>
      </c>
      <c r="W211" s="583">
        <f>VLOOKUP($H211,Nutrition_tables!$A:$N,10,FALSE)*$Q211/100</f>
        <v>0</v>
      </c>
      <c r="X211" s="583">
        <f>VLOOKUP($H211,Nutrition_tables!$A:$N,11,FALSE)*$Q211/100</f>
        <v>0</v>
      </c>
      <c r="Y211" s="583">
        <f>VLOOKUP($H211,Nutrition_tables!$A:$N,12,FALSE)*$Q211/100</f>
        <v>0</v>
      </c>
      <c r="Z211" s="583">
        <f>VLOOKUP($H211,Nutrition_tables!$A:$N,14,FALSE)*$Q211/100</f>
        <v>0</v>
      </c>
      <c r="AA211" s="583">
        <f>VLOOKUP($H211,Nutrition_tables!$A:$AF,13,FALSE)*$Q211/100</f>
        <v>0</v>
      </c>
      <c r="AB211" s="549">
        <f>VLOOKUP($H211,Nutrition_tables!$A:$AF,15,FALSE)*$Q211/100</f>
        <v>0</v>
      </c>
      <c r="AC211" s="583">
        <f>VLOOKUP($H211,Nutrition_tables!$A:$AF,16,FALSE)*$Q211/100</f>
        <v>0</v>
      </c>
      <c r="AD211" s="583">
        <f>VLOOKUP($H211,Nutrition_tables!$A:$AF,17,FALSE)*$Q211/100</f>
        <v>0</v>
      </c>
      <c r="AE211" s="583">
        <f>VLOOKUP($H211,Nutrition_tables!$A:$AF,18,FALSE)*$Q211/100</f>
        <v>0</v>
      </c>
      <c r="AF211" s="583">
        <f>VLOOKUP($H211,Nutrition_tables!$A:$AF,19,FALSE)*$Q211/100</f>
        <v>0</v>
      </c>
      <c r="AG211" s="583">
        <f>VLOOKUP($H211,Nutrition_tables!$A:$AF,20,FALSE)*$Q211/100</f>
        <v>0</v>
      </c>
      <c r="AH211" s="583">
        <f>VLOOKUP($H211,Nutrition_tables!$A:$AF,21,FALSE)*$Q211/100</f>
        <v>0</v>
      </c>
      <c r="AI211" s="583">
        <f>VLOOKUP($H211,Nutrition_tables!$A:$AF,22,FALSE)*$Q211/100</f>
        <v>0</v>
      </c>
      <c r="AJ211" s="549">
        <f>VLOOKUP($H211,Nutrition_tables!$A:$AF,23,FALSE)*$Q211/100</f>
        <v>0</v>
      </c>
      <c r="AK211" s="583">
        <f>VLOOKUP($H211,Nutrition_tables!$A:$AF,24,FALSE)*$Q211/100</f>
        <v>0</v>
      </c>
      <c r="AL211" s="583">
        <f>VLOOKUP($H211,Nutrition_tables!$A:$AF,25,FALSE)*$Q211/100</f>
        <v>0</v>
      </c>
      <c r="AM211" s="583">
        <f>VLOOKUP($H211,Nutrition_tables!$A:$AF,26,FALSE)*$Q211/100</f>
        <v>0</v>
      </c>
      <c r="AN211" s="583">
        <f>VLOOKUP($H211,Nutrition_tables!$A:$AF,27,FALSE)*$Q211/100</f>
        <v>0</v>
      </c>
      <c r="AO211" s="583">
        <f>VLOOKUP($H211,Nutrition_tables!$A:$AF,28,FALSE)*$Q211/100</f>
        <v>0</v>
      </c>
      <c r="AP211" s="583">
        <f>VLOOKUP($H211,Nutrition_tables!$A:$AF,29,FALSE)*$Q211/100</f>
        <v>0</v>
      </c>
      <c r="AQ211" s="583">
        <f>VLOOKUP($H211,Nutrition_tables!$A:$AF,30,FALSE)*$Q211/100</f>
        <v>0</v>
      </c>
      <c r="AR211" s="583">
        <f>VLOOKUP($H211,Nutrition_tables!$A:$AF,31,FALSE)*$Q211/100</f>
        <v>0</v>
      </c>
      <c r="AS211" s="549">
        <f>VLOOKUP($H211,Nutrition_tables!$A:$AF,32,FALSE)*$Q211/100</f>
        <v>0</v>
      </c>
      <c r="AT211" s="583" t="str">
        <f>IF(H211="Select ingredient:","",IF(G211="Select food category:","",IFERROR(VLOOKUP($H211,Ingredient_prices!$E:$W,17,FALSE)*$Q211/1000,"not bought")))</f>
        <v/>
      </c>
      <c r="AU211" s="583" t="str">
        <f>IF(H211="Select ingredient:","",IF(G211="Select food category:","",IFERROR(VLOOKUP($H211,Ingredient_prices!$E:$W,18,FALSE)*$Q211/1000,"not bought")))</f>
        <v/>
      </c>
      <c r="AV211" s="583">
        <f t="shared" si="474"/>
        <v>0</v>
      </c>
      <c r="AW211" s="583">
        <f t="shared" si="475"/>
        <v>0</v>
      </c>
      <c r="AX211" s="583">
        <f t="shared" si="476"/>
        <v>0</v>
      </c>
      <c r="AY211" s="583">
        <f t="shared" si="477"/>
        <v>0</v>
      </c>
      <c r="AZ211" s="583">
        <f t="shared" si="478"/>
        <v>0</v>
      </c>
      <c r="BA211" s="583">
        <f t="shared" si="479"/>
        <v>0</v>
      </c>
      <c r="BB211" s="583">
        <f t="shared" si="480"/>
        <v>0</v>
      </c>
      <c r="BC211" s="583">
        <f t="shared" si="481"/>
        <v>0</v>
      </c>
      <c r="BD211" s="583">
        <f t="shared" si="482"/>
        <v>0</v>
      </c>
      <c r="BE211" s="583">
        <f t="shared" si="483"/>
        <v>0</v>
      </c>
      <c r="BF211" s="583">
        <f t="shared" si="484"/>
        <v>0</v>
      </c>
      <c r="BG211" s="583">
        <f t="shared" si="485"/>
        <v>0</v>
      </c>
      <c r="BH211" s="583">
        <f t="shared" si="486"/>
        <v>0</v>
      </c>
      <c r="BI211" s="583">
        <f t="shared" si="487"/>
        <v>0</v>
      </c>
      <c r="BJ211" s="583">
        <f t="shared" si="488"/>
        <v>0</v>
      </c>
      <c r="BK211" s="583">
        <f t="shared" si="489"/>
        <v>0</v>
      </c>
      <c r="BL211" s="583">
        <f t="shared" si="490"/>
        <v>0</v>
      </c>
      <c r="BM211" s="583">
        <f t="shared" si="491"/>
        <v>0</v>
      </c>
      <c r="BN211" s="583">
        <f t="shared" si="492"/>
        <v>0</v>
      </c>
      <c r="BO211" s="583">
        <f t="shared" si="493"/>
        <v>0</v>
      </c>
      <c r="BP211" s="583">
        <f t="shared" si="494"/>
        <v>0</v>
      </c>
      <c r="BQ211" s="583">
        <f t="shared" si="495"/>
        <v>0</v>
      </c>
      <c r="BR211" s="583">
        <f t="shared" si="496"/>
        <v>0</v>
      </c>
    </row>
    <row r="212" spans="1:70" s="229" customFormat="1" ht="15" customHeight="1">
      <c r="A212" s="587"/>
      <c r="D212" s="85"/>
      <c r="E212" s="576">
        <f t="shared" si="498"/>
        <v>100</v>
      </c>
      <c r="F212" s="707"/>
      <c r="G212" s="406" t="s">
        <v>3054</v>
      </c>
      <c r="H212" s="1262" t="s">
        <v>3055</v>
      </c>
      <c r="I212" s="85">
        <v>0</v>
      </c>
      <c r="J212" s="682">
        <v>1</v>
      </c>
      <c r="K212" s="579" t="str">
        <f t="shared" si="472"/>
        <v/>
      </c>
      <c r="L212" s="580" t="str">
        <f>IF(H212="Select ingredient:","",IF(G212="","",_xlfn.IFNA(VLOOKUP($H212,Ingredient_prices!$E:$U,16,FALSE),0)))</f>
        <v/>
      </c>
      <c r="M212" s="844"/>
      <c r="N212" s="844"/>
      <c r="O212" s="588"/>
      <c r="P212" s="589"/>
      <c r="Q212" s="583">
        <f t="shared" si="473"/>
        <v>0</v>
      </c>
      <c r="R212" s="583">
        <f>VLOOKUP($H212,'CO2_emission+%_food_waste'!$A:$K,6,FALSE)*$Q212/100</f>
        <v>0</v>
      </c>
      <c r="S212" s="583">
        <f t="shared" si="497"/>
        <v>0</v>
      </c>
      <c r="T212" s="583" t="str">
        <f>IF(H212="Select ingredient:","",IF(G212="Select food category:","",_xlfn.IFNA(VLOOKUP($H212,Ingredient_prices!$E:$U,16,FALSE)*$Q212/1000,"not bought")))</f>
        <v/>
      </c>
      <c r="U212" s="583" t="str">
        <f>IF(G212="Select food category:","",_xlfn.IFNA(VLOOKUP($H212,Ingredient_prices!$E:$U,16,FALSE)*$R212/1000,"not bought"))</f>
        <v/>
      </c>
      <c r="V212" s="549">
        <f>VLOOKUP($H212,'CO2_emission+%_food_waste'!$A:$K,4,FALSE)*$Q212</f>
        <v>0</v>
      </c>
      <c r="W212" s="583">
        <f>VLOOKUP($H212,Nutrition_tables!$A:$N,10,FALSE)*$Q212/100</f>
        <v>0</v>
      </c>
      <c r="X212" s="583">
        <f>VLOOKUP($H212,Nutrition_tables!$A:$N,11,FALSE)*$Q212/100</f>
        <v>0</v>
      </c>
      <c r="Y212" s="583">
        <f>VLOOKUP($H212,Nutrition_tables!$A:$N,12,FALSE)*$Q212/100</f>
        <v>0</v>
      </c>
      <c r="Z212" s="583">
        <f>VLOOKUP($H212,Nutrition_tables!$A:$N,14,FALSE)*$Q212/100</f>
        <v>0</v>
      </c>
      <c r="AA212" s="583">
        <f>VLOOKUP($H212,Nutrition_tables!$A:$AF,13,FALSE)*$Q212/100</f>
        <v>0</v>
      </c>
      <c r="AB212" s="549">
        <f>VLOOKUP($H212,Nutrition_tables!$A:$AF,15,FALSE)*$Q212/100</f>
        <v>0</v>
      </c>
      <c r="AC212" s="583">
        <f>VLOOKUP($H212,Nutrition_tables!$A:$AF,16,FALSE)*$Q212/100</f>
        <v>0</v>
      </c>
      <c r="AD212" s="583">
        <f>VLOOKUP($H212,Nutrition_tables!$A:$AF,17,FALSE)*$Q212/100</f>
        <v>0</v>
      </c>
      <c r="AE212" s="583">
        <f>VLOOKUP($H212,Nutrition_tables!$A:$AF,18,FALSE)*$Q212/100</f>
        <v>0</v>
      </c>
      <c r="AF212" s="583">
        <f>VLOOKUP($H212,Nutrition_tables!$A:$AF,19,FALSE)*$Q212/100</f>
        <v>0</v>
      </c>
      <c r="AG212" s="583">
        <f>VLOOKUP($H212,Nutrition_tables!$A:$AF,20,FALSE)*$Q212/100</f>
        <v>0</v>
      </c>
      <c r="AH212" s="583">
        <f>VLOOKUP($H212,Nutrition_tables!$A:$AF,21,FALSE)*$Q212/100</f>
        <v>0</v>
      </c>
      <c r="AI212" s="583">
        <f>VLOOKUP($H212,Nutrition_tables!$A:$AF,22,FALSE)*$Q212/100</f>
        <v>0</v>
      </c>
      <c r="AJ212" s="549">
        <f>VLOOKUP($H212,Nutrition_tables!$A:$AF,23,FALSE)*$Q212/100</f>
        <v>0</v>
      </c>
      <c r="AK212" s="583">
        <f>VLOOKUP($H212,Nutrition_tables!$A:$AF,24,FALSE)*$Q212/100</f>
        <v>0</v>
      </c>
      <c r="AL212" s="583">
        <f>VLOOKUP($H212,Nutrition_tables!$A:$AF,25,FALSE)*$Q212/100</f>
        <v>0</v>
      </c>
      <c r="AM212" s="583">
        <f>VLOOKUP($H212,Nutrition_tables!$A:$AF,26,FALSE)*$Q212/100</f>
        <v>0</v>
      </c>
      <c r="AN212" s="583">
        <f>VLOOKUP($H212,Nutrition_tables!$A:$AF,27,FALSE)*$Q212/100</f>
        <v>0</v>
      </c>
      <c r="AO212" s="583">
        <f>VLOOKUP($H212,Nutrition_tables!$A:$AF,28,FALSE)*$Q212/100</f>
        <v>0</v>
      </c>
      <c r="AP212" s="583">
        <f>VLOOKUP($H212,Nutrition_tables!$A:$AF,29,FALSE)*$Q212/100</f>
        <v>0</v>
      </c>
      <c r="AQ212" s="583">
        <f>VLOOKUP($H212,Nutrition_tables!$A:$AF,30,FALSE)*$Q212/100</f>
        <v>0</v>
      </c>
      <c r="AR212" s="583">
        <f>VLOOKUP($H212,Nutrition_tables!$A:$AF,31,FALSE)*$Q212/100</f>
        <v>0</v>
      </c>
      <c r="AS212" s="549">
        <f>VLOOKUP($H212,Nutrition_tables!$A:$AF,32,FALSE)*$Q212/100</f>
        <v>0</v>
      </c>
      <c r="AT212" s="583" t="str">
        <f>IF(H212="Select ingredient:","",IF(G212="Select food category:","",IFERROR(VLOOKUP($H212,Ingredient_prices!$E:$W,17,FALSE)*$Q212/1000,"not bought")))</f>
        <v/>
      </c>
      <c r="AU212" s="583" t="str">
        <f>IF(H212="Select ingredient:","",IF(G212="Select food category:","",IFERROR(VLOOKUP($H212,Ingredient_prices!$E:$W,18,FALSE)*$Q212/1000,"not bought")))</f>
        <v/>
      </c>
      <c r="AV212" s="583">
        <f t="shared" si="474"/>
        <v>0</v>
      </c>
      <c r="AW212" s="583">
        <f t="shared" si="475"/>
        <v>0</v>
      </c>
      <c r="AX212" s="583">
        <f t="shared" si="476"/>
        <v>0</v>
      </c>
      <c r="AY212" s="583">
        <f t="shared" si="477"/>
        <v>0</v>
      </c>
      <c r="AZ212" s="583">
        <f t="shared" si="478"/>
        <v>0</v>
      </c>
      <c r="BA212" s="583">
        <f t="shared" si="479"/>
        <v>0</v>
      </c>
      <c r="BB212" s="583">
        <f t="shared" si="480"/>
        <v>0</v>
      </c>
      <c r="BC212" s="583">
        <f t="shared" si="481"/>
        <v>0</v>
      </c>
      <c r="BD212" s="583">
        <f t="shared" si="482"/>
        <v>0</v>
      </c>
      <c r="BE212" s="583">
        <f t="shared" si="483"/>
        <v>0</v>
      </c>
      <c r="BF212" s="583">
        <f t="shared" si="484"/>
        <v>0</v>
      </c>
      <c r="BG212" s="583">
        <f t="shared" si="485"/>
        <v>0</v>
      </c>
      <c r="BH212" s="583">
        <f t="shared" si="486"/>
        <v>0</v>
      </c>
      <c r="BI212" s="583">
        <f t="shared" si="487"/>
        <v>0</v>
      </c>
      <c r="BJ212" s="583">
        <f t="shared" si="488"/>
        <v>0</v>
      </c>
      <c r="BK212" s="583">
        <f t="shared" si="489"/>
        <v>0</v>
      </c>
      <c r="BL212" s="583">
        <f t="shared" si="490"/>
        <v>0</v>
      </c>
      <c r="BM212" s="583">
        <f t="shared" si="491"/>
        <v>0</v>
      </c>
      <c r="BN212" s="583">
        <f t="shared" si="492"/>
        <v>0</v>
      </c>
      <c r="BO212" s="583">
        <f t="shared" si="493"/>
        <v>0</v>
      </c>
      <c r="BP212" s="583">
        <f t="shared" si="494"/>
        <v>0</v>
      </c>
      <c r="BQ212" s="583">
        <f t="shared" si="495"/>
        <v>0</v>
      </c>
      <c r="BR212" s="583">
        <f t="shared" si="496"/>
        <v>0</v>
      </c>
    </row>
    <row r="213" spans="1:70" s="229" customFormat="1" ht="15" customHeight="1">
      <c r="A213" s="587"/>
      <c r="D213" s="85"/>
      <c r="E213" s="576">
        <f t="shared" si="498"/>
        <v>100</v>
      </c>
      <c r="F213" s="707"/>
      <c r="G213" s="406" t="s">
        <v>3054</v>
      </c>
      <c r="H213" s="1262" t="s">
        <v>3055</v>
      </c>
      <c r="I213" s="85">
        <v>0</v>
      </c>
      <c r="J213" s="682">
        <v>1</v>
      </c>
      <c r="K213" s="579" t="str">
        <f t="shared" si="472"/>
        <v/>
      </c>
      <c r="L213" s="580" t="str">
        <f>IF(H213="Select ingredient:","",IF(G213="","",_xlfn.IFNA(VLOOKUP($H213,Ingredient_prices!$E:$U,16,FALSE),0)))</f>
        <v/>
      </c>
      <c r="M213" s="844"/>
      <c r="N213" s="844"/>
      <c r="O213" s="588"/>
      <c r="P213" s="589"/>
      <c r="Q213" s="583">
        <f t="shared" si="473"/>
        <v>0</v>
      </c>
      <c r="R213" s="583">
        <f>VLOOKUP($H213,'CO2_emission+%_food_waste'!$A:$K,6,FALSE)*$Q213/100</f>
        <v>0</v>
      </c>
      <c r="S213" s="583">
        <f t="shared" si="497"/>
        <v>0</v>
      </c>
      <c r="T213" s="583" t="str">
        <f>IF(H213="Select ingredient:","",IF(G213="Select food category:","",_xlfn.IFNA(VLOOKUP($H213,Ingredient_prices!$E:$U,16,FALSE)*$Q213/1000,"not bought")))</f>
        <v/>
      </c>
      <c r="U213" s="583" t="str">
        <f>IF(G213="Select food category:","",_xlfn.IFNA(VLOOKUP($H213,Ingredient_prices!$E:$U,16,FALSE)*$R213/1000,"not bought"))</f>
        <v/>
      </c>
      <c r="V213" s="549">
        <f>VLOOKUP($H213,'CO2_emission+%_food_waste'!$A:$K,4,FALSE)*$Q213</f>
        <v>0</v>
      </c>
      <c r="W213" s="583">
        <f>VLOOKUP($H213,Nutrition_tables!$A:$N,10,FALSE)*$Q213/100</f>
        <v>0</v>
      </c>
      <c r="X213" s="583">
        <f>VLOOKUP($H213,Nutrition_tables!$A:$N,11,FALSE)*$Q213/100</f>
        <v>0</v>
      </c>
      <c r="Y213" s="583">
        <f>VLOOKUP($H213,Nutrition_tables!$A:$N,12,FALSE)*$Q213/100</f>
        <v>0</v>
      </c>
      <c r="Z213" s="583">
        <f>VLOOKUP($H213,Nutrition_tables!$A:$N,14,FALSE)*$Q213/100</f>
        <v>0</v>
      </c>
      <c r="AA213" s="583">
        <f>VLOOKUP($H213,Nutrition_tables!$A:$AF,13,FALSE)*$Q213/100</f>
        <v>0</v>
      </c>
      <c r="AB213" s="549">
        <f>VLOOKUP($H213,Nutrition_tables!$A:$AF,15,FALSE)*$Q213/100</f>
        <v>0</v>
      </c>
      <c r="AC213" s="583">
        <f>VLOOKUP($H213,Nutrition_tables!$A:$AF,16,FALSE)*$Q213/100</f>
        <v>0</v>
      </c>
      <c r="AD213" s="583">
        <f>VLOOKUP($H213,Nutrition_tables!$A:$AF,17,FALSE)*$Q213/100</f>
        <v>0</v>
      </c>
      <c r="AE213" s="583">
        <f>VLOOKUP($H213,Nutrition_tables!$A:$AF,18,FALSE)*$Q213/100</f>
        <v>0</v>
      </c>
      <c r="AF213" s="583">
        <f>VLOOKUP($H213,Nutrition_tables!$A:$AF,19,FALSE)*$Q213/100</f>
        <v>0</v>
      </c>
      <c r="AG213" s="583">
        <f>VLOOKUP($H213,Nutrition_tables!$A:$AF,20,FALSE)*$Q213/100</f>
        <v>0</v>
      </c>
      <c r="AH213" s="583">
        <f>VLOOKUP($H213,Nutrition_tables!$A:$AF,21,FALSE)*$Q213/100</f>
        <v>0</v>
      </c>
      <c r="AI213" s="583">
        <f>VLOOKUP($H213,Nutrition_tables!$A:$AF,22,FALSE)*$Q213/100</f>
        <v>0</v>
      </c>
      <c r="AJ213" s="549">
        <f>VLOOKUP($H213,Nutrition_tables!$A:$AF,23,FALSE)*$Q213/100</f>
        <v>0</v>
      </c>
      <c r="AK213" s="583">
        <f>VLOOKUP($H213,Nutrition_tables!$A:$AF,24,FALSE)*$Q213/100</f>
        <v>0</v>
      </c>
      <c r="AL213" s="583">
        <f>VLOOKUP($H213,Nutrition_tables!$A:$AF,25,FALSE)*$Q213/100</f>
        <v>0</v>
      </c>
      <c r="AM213" s="583">
        <f>VLOOKUP($H213,Nutrition_tables!$A:$AF,26,FALSE)*$Q213/100</f>
        <v>0</v>
      </c>
      <c r="AN213" s="583">
        <f>VLOOKUP($H213,Nutrition_tables!$A:$AF,27,FALSE)*$Q213/100</f>
        <v>0</v>
      </c>
      <c r="AO213" s="583">
        <f>VLOOKUP($H213,Nutrition_tables!$A:$AF,28,FALSE)*$Q213/100</f>
        <v>0</v>
      </c>
      <c r="AP213" s="583">
        <f>VLOOKUP($H213,Nutrition_tables!$A:$AF,29,FALSE)*$Q213/100</f>
        <v>0</v>
      </c>
      <c r="AQ213" s="583">
        <f>VLOOKUP($H213,Nutrition_tables!$A:$AF,30,FALSE)*$Q213/100</f>
        <v>0</v>
      </c>
      <c r="AR213" s="583">
        <f>VLOOKUP($H213,Nutrition_tables!$A:$AF,31,FALSE)*$Q213/100</f>
        <v>0</v>
      </c>
      <c r="AS213" s="549">
        <f>VLOOKUP($H213,Nutrition_tables!$A:$AF,32,FALSE)*$Q213/100</f>
        <v>0</v>
      </c>
      <c r="AT213" s="583" t="str">
        <f>IF(H213="Select ingredient:","",IF(G213="Select food category:","",IFERROR(VLOOKUP($H213,Ingredient_prices!$E:$W,17,FALSE)*$Q213/1000,"not bought")))</f>
        <v/>
      </c>
      <c r="AU213" s="583" t="str">
        <f>IF(H213="Select ingredient:","",IF(G213="Select food category:","",IFERROR(VLOOKUP($H213,Ingredient_prices!$E:$W,18,FALSE)*$Q213/1000,"not bought")))</f>
        <v/>
      </c>
      <c r="AV213" s="583">
        <f t="shared" si="474"/>
        <v>0</v>
      </c>
      <c r="AW213" s="583">
        <f t="shared" si="475"/>
        <v>0</v>
      </c>
      <c r="AX213" s="583">
        <f t="shared" si="476"/>
        <v>0</v>
      </c>
      <c r="AY213" s="583">
        <f t="shared" si="477"/>
        <v>0</v>
      </c>
      <c r="AZ213" s="583">
        <f t="shared" si="478"/>
        <v>0</v>
      </c>
      <c r="BA213" s="583">
        <f t="shared" si="479"/>
        <v>0</v>
      </c>
      <c r="BB213" s="583">
        <f t="shared" si="480"/>
        <v>0</v>
      </c>
      <c r="BC213" s="583">
        <f t="shared" si="481"/>
        <v>0</v>
      </c>
      <c r="BD213" s="583">
        <f t="shared" si="482"/>
        <v>0</v>
      </c>
      <c r="BE213" s="583">
        <f t="shared" si="483"/>
        <v>0</v>
      </c>
      <c r="BF213" s="583">
        <f t="shared" si="484"/>
        <v>0</v>
      </c>
      <c r="BG213" s="583">
        <f t="shared" si="485"/>
        <v>0</v>
      </c>
      <c r="BH213" s="583">
        <f t="shared" si="486"/>
        <v>0</v>
      </c>
      <c r="BI213" s="583">
        <f t="shared" si="487"/>
        <v>0</v>
      </c>
      <c r="BJ213" s="583">
        <f t="shared" si="488"/>
        <v>0</v>
      </c>
      <c r="BK213" s="583">
        <f t="shared" si="489"/>
        <v>0</v>
      </c>
      <c r="BL213" s="583">
        <f t="shared" si="490"/>
        <v>0</v>
      </c>
      <c r="BM213" s="583">
        <f t="shared" si="491"/>
        <v>0</v>
      </c>
      <c r="BN213" s="583">
        <f t="shared" si="492"/>
        <v>0</v>
      </c>
      <c r="BO213" s="583">
        <f t="shared" si="493"/>
        <v>0</v>
      </c>
      <c r="BP213" s="583">
        <f t="shared" si="494"/>
        <v>0</v>
      </c>
      <c r="BQ213" s="583">
        <f t="shared" si="495"/>
        <v>0</v>
      </c>
      <c r="BR213" s="583">
        <f t="shared" si="496"/>
        <v>0</v>
      </c>
    </row>
    <row r="214" spans="1:70" s="229" customFormat="1" ht="15" customHeight="1">
      <c r="A214" s="587"/>
      <c r="D214" s="85"/>
      <c r="E214" s="576">
        <f t="shared" si="498"/>
        <v>100</v>
      </c>
      <c r="F214" s="707"/>
      <c r="G214" s="406" t="s">
        <v>3054</v>
      </c>
      <c r="H214" s="1262" t="s">
        <v>3055</v>
      </c>
      <c r="I214" s="85">
        <v>0</v>
      </c>
      <c r="J214" s="682">
        <v>1</v>
      </c>
      <c r="K214" s="579" t="str">
        <f t="shared" si="472"/>
        <v/>
      </c>
      <c r="L214" s="580" t="str">
        <f>IF(H214="Select ingredient:","",IF(G214="","",_xlfn.IFNA(VLOOKUP($H214,Ingredient_prices!$E:$U,16,FALSE),0)))</f>
        <v/>
      </c>
      <c r="M214" s="844"/>
      <c r="N214" s="844"/>
      <c r="O214" s="588"/>
      <c r="P214" s="589"/>
      <c r="Q214" s="583">
        <f t="shared" si="473"/>
        <v>0</v>
      </c>
      <c r="R214" s="583">
        <f>VLOOKUP($H214,'CO2_emission+%_food_waste'!$A:$K,6,FALSE)*$Q214/100</f>
        <v>0</v>
      </c>
      <c r="S214" s="583">
        <f t="shared" si="497"/>
        <v>0</v>
      </c>
      <c r="T214" s="583" t="str">
        <f>IF(H214="Select ingredient:","",IF(G214="Select food category:","",_xlfn.IFNA(VLOOKUP($H214,Ingredient_prices!$E:$U,16,FALSE)*$Q214/1000,"not bought")))</f>
        <v/>
      </c>
      <c r="U214" s="583" t="str">
        <f>IF(G214="Select food category:","",_xlfn.IFNA(VLOOKUP($H214,Ingredient_prices!$E:$U,16,FALSE)*$R214/1000,"not bought"))</f>
        <v/>
      </c>
      <c r="V214" s="549">
        <f>VLOOKUP($H214,'CO2_emission+%_food_waste'!$A:$K,4,FALSE)*$Q214</f>
        <v>0</v>
      </c>
      <c r="W214" s="583">
        <f>VLOOKUP($H214,Nutrition_tables!$A:$N,10,FALSE)*$Q214/100</f>
        <v>0</v>
      </c>
      <c r="X214" s="583">
        <f>VLOOKUP($H214,Nutrition_tables!$A:$N,11,FALSE)*$Q214/100</f>
        <v>0</v>
      </c>
      <c r="Y214" s="583">
        <f>VLOOKUP($H214,Nutrition_tables!$A:$N,12,FALSE)*$Q214/100</f>
        <v>0</v>
      </c>
      <c r="Z214" s="583">
        <f>VLOOKUP($H214,Nutrition_tables!$A:$N,14,FALSE)*$Q214/100</f>
        <v>0</v>
      </c>
      <c r="AA214" s="583">
        <f>VLOOKUP($H214,Nutrition_tables!$A:$AF,13,FALSE)*$Q214/100</f>
        <v>0</v>
      </c>
      <c r="AB214" s="549">
        <f>VLOOKUP($H214,Nutrition_tables!$A:$AF,15,FALSE)*$Q214/100</f>
        <v>0</v>
      </c>
      <c r="AC214" s="583">
        <f>VLOOKUP($H214,Nutrition_tables!$A:$AF,16,FALSE)*$Q214/100</f>
        <v>0</v>
      </c>
      <c r="AD214" s="583">
        <f>VLOOKUP($H214,Nutrition_tables!$A:$AF,17,FALSE)*$Q214/100</f>
        <v>0</v>
      </c>
      <c r="AE214" s="583">
        <f>VLOOKUP($H214,Nutrition_tables!$A:$AF,18,FALSE)*$Q214/100</f>
        <v>0</v>
      </c>
      <c r="AF214" s="583">
        <f>VLOOKUP($H214,Nutrition_tables!$A:$AF,19,FALSE)*$Q214/100</f>
        <v>0</v>
      </c>
      <c r="AG214" s="583">
        <f>VLOOKUP($H214,Nutrition_tables!$A:$AF,20,FALSE)*$Q214/100</f>
        <v>0</v>
      </c>
      <c r="AH214" s="583">
        <f>VLOOKUP($H214,Nutrition_tables!$A:$AF,21,FALSE)*$Q214/100</f>
        <v>0</v>
      </c>
      <c r="AI214" s="583">
        <f>VLOOKUP($H214,Nutrition_tables!$A:$AF,22,FALSE)*$Q214/100</f>
        <v>0</v>
      </c>
      <c r="AJ214" s="549">
        <f>VLOOKUP($H214,Nutrition_tables!$A:$AF,23,FALSE)*$Q214/100</f>
        <v>0</v>
      </c>
      <c r="AK214" s="583">
        <f>VLOOKUP($H214,Nutrition_tables!$A:$AF,24,FALSE)*$Q214/100</f>
        <v>0</v>
      </c>
      <c r="AL214" s="583">
        <f>VLOOKUP($H214,Nutrition_tables!$A:$AF,25,FALSE)*$Q214/100</f>
        <v>0</v>
      </c>
      <c r="AM214" s="583">
        <f>VLOOKUP($H214,Nutrition_tables!$A:$AF,26,FALSE)*$Q214/100</f>
        <v>0</v>
      </c>
      <c r="AN214" s="583">
        <f>VLOOKUP($H214,Nutrition_tables!$A:$AF,27,FALSE)*$Q214/100</f>
        <v>0</v>
      </c>
      <c r="AO214" s="583">
        <f>VLOOKUP($H214,Nutrition_tables!$A:$AF,28,FALSE)*$Q214/100</f>
        <v>0</v>
      </c>
      <c r="AP214" s="583">
        <f>VLOOKUP($H214,Nutrition_tables!$A:$AF,29,FALSE)*$Q214/100</f>
        <v>0</v>
      </c>
      <c r="AQ214" s="583">
        <f>VLOOKUP($H214,Nutrition_tables!$A:$AF,30,FALSE)*$Q214/100</f>
        <v>0</v>
      </c>
      <c r="AR214" s="583">
        <f>VLOOKUP($H214,Nutrition_tables!$A:$AF,31,FALSE)*$Q214/100</f>
        <v>0</v>
      </c>
      <c r="AS214" s="549">
        <f>VLOOKUP($H214,Nutrition_tables!$A:$AF,32,FALSE)*$Q214/100</f>
        <v>0</v>
      </c>
      <c r="AT214" s="583" t="str">
        <f>IF(H214="Select ingredient:","",IF(G214="Select food category:","",IFERROR(VLOOKUP($H214,Ingredient_prices!$E:$W,17,FALSE)*$Q214/1000,"not bought")))</f>
        <v/>
      </c>
      <c r="AU214" s="583" t="str">
        <f>IF(H214="Select ingredient:","",IF(G214="Select food category:","",IFERROR(VLOOKUP($H214,Ingredient_prices!$E:$W,18,FALSE)*$Q214/1000,"not bought")))</f>
        <v/>
      </c>
      <c r="AV214" s="583">
        <f t="shared" si="474"/>
        <v>0</v>
      </c>
      <c r="AW214" s="583">
        <f t="shared" si="475"/>
        <v>0</v>
      </c>
      <c r="AX214" s="583">
        <f t="shared" si="476"/>
        <v>0</v>
      </c>
      <c r="AY214" s="583">
        <f t="shared" si="477"/>
        <v>0</v>
      </c>
      <c r="AZ214" s="583">
        <f t="shared" si="478"/>
        <v>0</v>
      </c>
      <c r="BA214" s="583">
        <f t="shared" si="479"/>
        <v>0</v>
      </c>
      <c r="BB214" s="583">
        <f t="shared" si="480"/>
        <v>0</v>
      </c>
      <c r="BC214" s="583">
        <f t="shared" si="481"/>
        <v>0</v>
      </c>
      <c r="BD214" s="583">
        <f t="shared" si="482"/>
        <v>0</v>
      </c>
      <c r="BE214" s="583">
        <f t="shared" si="483"/>
        <v>0</v>
      </c>
      <c r="BF214" s="583">
        <f t="shared" si="484"/>
        <v>0</v>
      </c>
      <c r="BG214" s="583">
        <f t="shared" si="485"/>
        <v>0</v>
      </c>
      <c r="BH214" s="583">
        <f t="shared" si="486"/>
        <v>0</v>
      </c>
      <c r="BI214" s="583">
        <f t="shared" si="487"/>
        <v>0</v>
      </c>
      <c r="BJ214" s="583">
        <f t="shared" si="488"/>
        <v>0</v>
      </c>
      <c r="BK214" s="583">
        <f t="shared" si="489"/>
        <v>0</v>
      </c>
      <c r="BL214" s="583">
        <f t="shared" si="490"/>
        <v>0</v>
      </c>
      <c r="BM214" s="583">
        <f t="shared" si="491"/>
        <v>0</v>
      </c>
      <c r="BN214" s="583">
        <f t="shared" si="492"/>
        <v>0</v>
      </c>
      <c r="BO214" s="583">
        <f t="shared" si="493"/>
        <v>0</v>
      </c>
      <c r="BP214" s="583">
        <f t="shared" si="494"/>
        <v>0</v>
      </c>
      <c r="BQ214" s="583">
        <f t="shared" si="495"/>
        <v>0</v>
      </c>
      <c r="BR214" s="583">
        <f t="shared" si="496"/>
        <v>0</v>
      </c>
    </row>
    <row r="215" spans="1:70" s="229" customFormat="1" ht="15" customHeight="1">
      <c r="A215" s="587"/>
      <c r="D215" s="85"/>
      <c r="E215" s="576">
        <f t="shared" si="498"/>
        <v>100</v>
      </c>
      <c r="F215" s="707"/>
      <c r="G215" s="406" t="s">
        <v>3054</v>
      </c>
      <c r="H215" s="1262" t="s">
        <v>3055</v>
      </c>
      <c r="I215" s="85">
        <v>0</v>
      </c>
      <c r="J215" s="682">
        <v>1</v>
      </c>
      <c r="K215" s="579" t="str">
        <f t="shared" si="472"/>
        <v/>
      </c>
      <c r="L215" s="580" t="str">
        <f>IF(H215="Select ingredient:","",IF(G215="","",_xlfn.IFNA(VLOOKUP($H215,Ingredient_prices!$E:$U,16,FALSE),0)))</f>
        <v/>
      </c>
      <c r="M215" s="844"/>
      <c r="N215" s="844"/>
      <c r="O215" s="588"/>
      <c r="P215" s="589"/>
      <c r="Q215" s="583">
        <f t="shared" si="473"/>
        <v>0</v>
      </c>
      <c r="R215" s="583">
        <f>VLOOKUP($H215,'CO2_emission+%_food_waste'!$A:$K,6,FALSE)*$Q215/100</f>
        <v>0</v>
      </c>
      <c r="S215" s="583">
        <f t="shared" si="497"/>
        <v>0</v>
      </c>
      <c r="T215" s="583" t="str">
        <f>IF(H215="Select ingredient:","",IF(G215="Select food category:","",_xlfn.IFNA(VLOOKUP($H215,Ingredient_prices!$E:$U,16,FALSE)*$Q215/1000,"not bought")))</f>
        <v/>
      </c>
      <c r="U215" s="583" t="str">
        <f>IF(G215="Select food category:","",_xlfn.IFNA(VLOOKUP($H215,Ingredient_prices!$E:$U,16,FALSE)*$R215/1000,"not bought"))</f>
        <v/>
      </c>
      <c r="V215" s="549">
        <f>VLOOKUP($H215,'CO2_emission+%_food_waste'!$A:$K,4,FALSE)*$Q215</f>
        <v>0</v>
      </c>
      <c r="W215" s="583">
        <f>VLOOKUP($H215,Nutrition_tables!$A:$N,10,FALSE)*$Q215/100</f>
        <v>0</v>
      </c>
      <c r="X215" s="583">
        <f>VLOOKUP($H215,Nutrition_tables!$A:$N,11,FALSE)*$Q215/100</f>
        <v>0</v>
      </c>
      <c r="Y215" s="583">
        <f>VLOOKUP($H215,Nutrition_tables!$A:$N,12,FALSE)*$Q215/100</f>
        <v>0</v>
      </c>
      <c r="Z215" s="583">
        <f>VLOOKUP($H215,Nutrition_tables!$A:$N,14,FALSE)*$Q215/100</f>
        <v>0</v>
      </c>
      <c r="AA215" s="583">
        <f>VLOOKUP($H215,Nutrition_tables!$A:$AF,13,FALSE)*$Q215/100</f>
        <v>0</v>
      </c>
      <c r="AB215" s="549">
        <f>VLOOKUP($H215,Nutrition_tables!$A:$AF,15,FALSE)*$Q215/100</f>
        <v>0</v>
      </c>
      <c r="AC215" s="583">
        <f>VLOOKUP($H215,Nutrition_tables!$A:$AF,16,FALSE)*$Q215/100</f>
        <v>0</v>
      </c>
      <c r="AD215" s="583">
        <f>VLOOKUP($H215,Nutrition_tables!$A:$AF,17,FALSE)*$Q215/100</f>
        <v>0</v>
      </c>
      <c r="AE215" s="583">
        <f>VLOOKUP($H215,Nutrition_tables!$A:$AF,18,FALSE)*$Q215/100</f>
        <v>0</v>
      </c>
      <c r="AF215" s="583">
        <f>VLOOKUP($H215,Nutrition_tables!$A:$AF,19,FALSE)*$Q215/100</f>
        <v>0</v>
      </c>
      <c r="AG215" s="583">
        <f>VLOOKUP($H215,Nutrition_tables!$A:$AF,20,FALSE)*$Q215/100</f>
        <v>0</v>
      </c>
      <c r="AH215" s="583">
        <f>VLOOKUP($H215,Nutrition_tables!$A:$AF,21,FALSE)*$Q215/100</f>
        <v>0</v>
      </c>
      <c r="AI215" s="583">
        <f>VLOOKUP($H215,Nutrition_tables!$A:$AF,22,FALSE)*$Q215/100</f>
        <v>0</v>
      </c>
      <c r="AJ215" s="549">
        <f>VLOOKUP($H215,Nutrition_tables!$A:$AF,23,FALSE)*$Q215/100</f>
        <v>0</v>
      </c>
      <c r="AK215" s="583">
        <f>VLOOKUP($H215,Nutrition_tables!$A:$AF,24,FALSE)*$Q215/100</f>
        <v>0</v>
      </c>
      <c r="AL215" s="583">
        <f>VLOOKUP($H215,Nutrition_tables!$A:$AF,25,FALSE)*$Q215/100</f>
        <v>0</v>
      </c>
      <c r="AM215" s="583">
        <f>VLOOKUP($H215,Nutrition_tables!$A:$AF,26,FALSE)*$Q215/100</f>
        <v>0</v>
      </c>
      <c r="AN215" s="583">
        <f>VLOOKUP($H215,Nutrition_tables!$A:$AF,27,FALSE)*$Q215/100</f>
        <v>0</v>
      </c>
      <c r="AO215" s="583">
        <f>VLOOKUP($H215,Nutrition_tables!$A:$AF,28,FALSE)*$Q215/100</f>
        <v>0</v>
      </c>
      <c r="AP215" s="583">
        <f>VLOOKUP($H215,Nutrition_tables!$A:$AF,29,FALSE)*$Q215/100</f>
        <v>0</v>
      </c>
      <c r="AQ215" s="583">
        <f>VLOOKUP($H215,Nutrition_tables!$A:$AF,30,FALSE)*$Q215/100</f>
        <v>0</v>
      </c>
      <c r="AR215" s="583">
        <f>VLOOKUP($H215,Nutrition_tables!$A:$AF,31,FALSE)*$Q215/100</f>
        <v>0</v>
      </c>
      <c r="AS215" s="549">
        <f>VLOOKUP($H215,Nutrition_tables!$A:$AF,32,FALSE)*$Q215/100</f>
        <v>0</v>
      </c>
      <c r="AT215" s="583" t="str">
        <f>IF(H215="Select ingredient:","",IF(G215="Select food category:","",IFERROR(VLOOKUP($H215,Ingredient_prices!$E:$W,17,FALSE)*$Q215/1000,"not bought")))</f>
        <v/>
      </c>
      <c r="AU215" s="583" t="str">
        <f>IF(H215="Select ingredient:","",IF(G215="Select food category:","",IFERROR(VLOOKUP($H215,Ingredient_prices!$E:$W,18,FALSE)*$Q215/1000,"not bought")))</f>
        <v/>
      </c>
      <c r="AV215" s="583">
        <f t="shared" si="474"/>
        <v>0</v>
      </c>
      <c r="AW215" s="583">
        <f t="shared" si="475"/>
        <v>0</v>
      </c>
      <c r="AX215" s="583">
        <f t="shared" si="476"/>
        <v>0</v>
      </c>
      <c r="AY215" s="583">
        <f t="shared" si="477"/>
        <v>0</v>
      </c>
      <c r="AZ215" s="583">
        <f t="shared" si="478"/>
        <v>0</v>
      </c>
      <c r="BA215" s="583">
        <f t="shared" si="479"/>
        <v>0</v>
      </c>
      <c r="BB215" s="583">
        <f t="shared" si="480"/>
        <v>0</v>
      </c>
      <c r="BC215" s="583">
        <f t="shared" si="481"/>
        <v>0</v>
      </c>
      <c r="BD215" s="583">
        <f t="shared" si="482"/>
        <v>0</v>
      </c>
      <c r="BE215" s="583">
        <f t="shared" si="483"/>
        <v>0</v>
      </c>
      <c r="BF215" s="583">
        <f t="shared" si="484"/>
        <v>0</v>
      </c>
      <c r="BG215" s="583">
        <f t="shared" si="485"/>
        <v>0</v>
      </c>
      <c r="BH215" s="583">
        <f t="shared" si="486"/>
        <v>0</v>
      </c>
      <c r="BI215" s="583">
        <f t="shared" si="487"/>
        <v>0</v>
      </c>
      <c r="BJ215" s="583">
        <f t="shared" si="488"/>
        <v>0</v>
      </c>
      <c r="BK215" s="583">
        <f t="shared" si="489"/>
        <v>0</v>
      </c>
      <c r="BL215" s="583">
        <f t="shared" si="490"/>
        <v>0</v>
      </c>
      <c r="BM215" s="583">
        <f t="shared" si="491"/>
        <v>0</v>
      </c>
      <c r="BN215" s="583">
        <f t="shared" si="492"/>
        <v>0</v>
      </c>
      <c r="BO215" s="583">
        <f t="shared" si="493"/>
        <v>0</v>
      </c>
      <c r="BP215" s="583">
        <f t="shared" si="494"/>
        <v>0</v>
      </c>
      <c r="BQ215" s="583">
        <f t="shared" si="495"/>
        <v>0</v>
      </c>
      <c r="BR215" s="583">
        <f t="shared" si="496"/>
        <v>0</v>
      </c>
    </row>
    <row r="216" spans="1:70" s="229" customFormat="1" ht="15" customHeight="1">
      <c r="A216" s="587"/>
      <c r="D216" s="85"/>
      <c r="E216" s="576">
        <f t="shared" si="498"/>
        <v>100</v>
      </c>
      <c r="F216" s="707"/>
      <c r="G216" s="406" t="s">
        <v>3054</v>
      </c>
      <c r="H216" s="1262" t="s">
        <v>3055</v>
      </c>
      <c r="I216" s="85">
        <v>0</v>
      </c>
      <c r="J216" s="682">
        <v>1</v>
      </c>
      <c r="K216" s="579" t="str">
        <f t="shared" si="472"/>
        <v/>
      </c>
      <c r="L216" s="580" t="str">
        <f>IF(H216="Select ingredient:","",IF(G216="","",_xlfn.IFNA(VLOOKUP($H216,Ingredient_prices!$E:$U,16,FALSE),0)))</f>
        <v/>
      </c>
      <c r="M216" s="844"/>
      <c r="N216" s="844"/>
      <c r="O216" s="588"/>
      <c r="P216" s="589"/>
      <c r="Q216" s="583">
        <f t="shared" si="473"/>
        <v>0</v>
      </c>
      <c r="R216" s="583">
        <f>VLOOKUP($H216,'CO2_emission+%_food_waste'!$A:$K,6,FALSE)*$Q216/100</f>
        <v>0</v>
      </c>
      <c r="S216" s="583">
        <f t="shared" si="497"/>
        <v>0</v>
      </c>
      <c r="T216" s="583" t="str">
        <f>IF(H216="Select ingredient:","",IF(G216="Select food category:","",_xlfn.IFNA(VLOOKUP($H216,Ingredient_prices!$E:$U,16,FALSE)*$Q216/1000,"not bought")))</f>
        <v/>
      </c>
      <c r="U216" s="583" t="str">
        <f>IF(G216="Select food category:","",_xlfn.IFNA(VLOOKUP($H216,Ingredient_prices!$E:$U,16,FALSE)*$R216/1000,"not bought"))</f>
        <v/>
      </c>
      <c r="V216" s="549">
        <f>VLOOKUP($H216,'CO2_emission+%_food_waste'!$A:$K,4,FALSE)*$Q216</f>
        <v>0</v>
      </c>
      <c r="W216" s="583">
        <f>VLOOKUP($H216,Nutrition_tables!$A:$N,10,FALSE)*$Q216/100</f>
        <v>0</v>
      </c>
      <c r="X216" s="583">
        <f>VLOOKUP($H216,Nutrition_tables!$A:$N,11,FALSE)*$Q216/100</f>
        <v>0</v>
      </c>
      <c r="Y216" s="583">
        <f>VLOOKUP($H216,Nutrition_tables!$A:$N,12,FALSE)*$Q216/100</f>
        <v>0</v>
      </c>
      <c r="Z216" s="583">
        <f>VLOOKUP($H216,Nutrition_tables!$A:$N,14,FALSE)*$Q216/100</f>
        <v>0</v>
      </c>
      <c r="AA216" s="583">
        <f>VLOOKUP($H216,Nutrition_tables!$A:$AF,13,FALSE)*$Q216/100</f>
        <v>0</v>
      </c>
      <c r="AB216" s="549">
        <f>VLOOKUP($H216,Nutrition_tables!$A:$AF,15,FALSE)*$Q216/100</f>
        <v>0</v>
      </c>
      <c r="AC216" s="583">
        <f>VLOOKUP($H216,Nutrition_tables!$A:$AF,16,FALSE)*$Q216/100</f>
        <v>0</v>
      </c>
      <c r="AD216" s="583">
        <f>VLOOKUP($H216,Nutrition_tables!$A:$AF,17,FALSE)*$Q216/100</f>
        <v>0</v>
      </c>
      <c r="AE216" s="583">
        <f>VLOOKUP($H216,Nutrition_tables!$A:$AF,18,FALSE)*$Q216/100</f>
        <v>0</v>
      </c>
      <c r="AF216" s="583">
        <f>VLOOKUP($H216,Nutrition_tables!$A:$AF,19,FALSE)*$Q216/100</f>
        <v>0</v>
      </c>
      <c r="AG216" s="583">
        <f>VLOOKUP($H216,Nutrition_tables!$A:$AF,20,FALSE)*$Q216/100</f>
        <v>0</v>
      </c>
      <c r="AH216" s="583">
        <f>VLOOKUP($H216,Nutrition_tables!$A:$AF,21,FALSE)*$Q216/100</f>
        <v>0</v>
      </c>
      <c r="AI216" s="583">
        <f>VLOOKUP($H216,Nutrition_tables!$A:$AF,22,FALSE)*$Q216/100</f>
        <v>0</v>
      </c>
      <c r="AJ216" s="549">
        <f>VLOOKUP($H216,Nutrition_tables!$A:$AF,23,FALSE)*$Q216/100</f>
        <v>0</v>
      </c>
      <c r="AK216" s="583">
        <f>VLOOKUP($H216,Nutrition_tables!$A:$AF,24,FALSE)*$Q216/100</f>
        <v>0</v>
      </c>
      <c r="AL216" s="583">
        <f>VLOOKUP($H216,Nutrition_tables!$A:$AF,25,FALSE)*$Q216/100</f>
        <v>0</v>
      </c>
      <c r="AM216" s="583">
        <f>VLOOKUP($H216,Nutrition_tables!$A:$AF,26,FALSE)*$Q216/100</f>
        <v>0</v>
      </c>
      <c r="AN216" s="583">
        <f>VLOOKUP($H216,Nutrition_tables!$A:$AF,27,FALSE)*$Q216/100</f>
        <v>0</v>
      </c>
      <c r="AO216" s="583">
        <f>VLOOKUP($H216,Nutrition_tables!$A:$AF,28,FALSE)*$Q216/100</f>
        <v>0</v>
      </c>
      <c r="AP216" s="583">
        <f>VLOOKUP($H216,Nutrition_tables!$A:$AF,29,FALSE)*$Q216/100</f>
        <v>0</v>
      </c>
      <c r="AQ216" s="583">
        <f>VLOOKUP($H216,Nutrition_tables!$A:$AF,30,FALSE)*$Q216/100</f>
        <v>0</v>
      </c>
      <c r="AR216" s="583">
        <f>VLOOKUP($H216,Nutrition_tables!$A:$AF,31,FALSE)*$Q216/100</f>
        <v>0</v>
      </c>
      <c r="AS216" s="549">
        <f>VLOOKUP($H216,Nutrition_tables!$A:$AF,32,FALSE)*$Q216/100</f>
        <v>0</v>
      </c>
      <c r="AT216" s="583" t="str">
        <f>IF(H216="Select ingredient:","",IF(G216="Select food category:","",IFERROR(VLOOKUP($H216,Ingredient_prices!$E:$W,17,FALSE)*$Q216/1000,"not bought")))</f>
        <v/>
      </c>
      <c r="AU216" s="583" t="str">
        <f>IF(H216="Select ingredient:","",IF(G216="Select food category:","",IFERROR(VLOOKUP($H216,Ingredient_prices!$E:$W,18,FALSE)*$Q216/1000,"not bought")))</f>
        <v/>
      </c>
      <c r="AV216" s="583">
        <f t="shared" si="474"/>
        <v>0</v>
      </c>
      <c r="AW216" s="583">
        <f t="shared" si="475"/>
        <v>0</v>
      </c>
      <c r="AX216" s="583">
        <f t="shared" si="476"/>
        <v>0</v>
      </c>
      <c r="AY216" s="583">
        <f t="shared" si="477"/>
        <v>0</v>
      </c>
      <c r="AZ216" s="583">
        <f t="shared" si="478"/>
        <v>0</v>
      </c>
      <c r="BA216" s="583">
        <f t="shared" si="479"/>
        <v>0</v>
      </c>
      <c r="BB216" s="583">
        <f t="shared" si="480"/>
        <v>0</v>
      </c>
      <c r="BC216" s="583">
        <f t="shared" si="481"/>
        <v>0</v>
      </c>
      <c r="BD216" s="583">
        <f t="shared" si="482"/>
        <v>0</v>
      </c>
      <c r="BE216" s="583">
        <f t="shared" si="483"/>
        <v>0</v>
      </c>
      <c r="BF216" s="583">
        <f t="shared" si="484"/>
        <v>0</v>
      </c>
      <c r="BG216" s="583">
        <f t="shared" si="485"/>
        <v>0</v>
      </c>
      <c r="BH216" s="583">
        <f t="shared" si="486"/>
        <v>0</v>
      </c>
      <c r="BI216" s="583">
        <f t="shared" si="487"/>
        <v>0</v>
      </c>
      <c r="BJ216" s="583">
        <f t="shared" si="488"/>
        <v>0</v>
      </c>
      <c r="BK216" s="583">
        <f t="shared" si="489"/>
        <v>0</v>
      </c>
      <c r="BL216" s="583">
        <f t="shared" si="490"/>
        <v>0</v>
      </c>
      <c r="BM216" s="583">
        <f t="shared" si="491"/>
        <v>0</v>
      </c>
      <c r="BN216" s="583">
        <f t="shared" si="492"/>
        <v>0</v>
      </c>
      <c r="BO216" s="583">
        <f t="shared" si="493"/>
        <v>0</v>
      </c>
      <c r="BP216" s="583">
        <f t="shared" si="494"/>
        <v>0</v>
      </c>
      <c r="BQ216" s="583">
        <f t="shared" si="495"/>
        <v>0</v>
      </c>
      <c r="BR216" s="583">
        <f t="shared" si="496"/>
        <v>0</v>
      </c>
    </row>
    <row r="217" spans="1:70" s="229" customFormat="1" ht="15" customHeight="1">
      <c r="A217" s="587"/>
      <c r="D217" s="85"/>
      <c r="E217" s="576">
        <f t="shared" si="498"/>
        <v>100</v>
      </c>
      <c r="F217" s="707"/>
      <c r="G217" s="406" t="s">
        <v>3054</v>
      </c>
      <c r="H217" s="1262" t="s">
        <v>3055</v>
      </c>
      <c r="I217" s="85">
        <v>0</v>
      </c>
      <c r="J217" s="682">
        <v>1</v>
      </c>
      <c r="K217" s="579" t="str">
        <f t="shared" si="472"/>
        <v/>
      </c>
      <c r="L217" s="580" t="str">
        <f>IF(H217="Select ingredient:","",IF(G217="","",_xlfn.IFNA(VLOOKUP($H217,Ingredient_prices!$E:$U,16,FALSE),0)))</f>
        <v/>
      </c>
      <c r="M217" s="844"/>
      <c r="N217" s="844"/>
      <c r="O217" s="588"/>
      <c r="P217" s="589"/>
      <c r="Q217" s="583">
        <f t="shared" si="473"/>
        <v>0</v>
      </c>
      <c r="R217" s="583">
        <f>VLOOKUP($H217,'CO2_emission+%_food_waste'!$A:$K,6,FALSE)*$Q217/100</f>
        <v>0</v>
      </c>
      <c r="S217" s="583">
        <f t="shared" si="497"/>
        <v>0</v>
      </c>
      <c r="T217" s="583" t="str">
        <f>IF(H217="Select ingredient:","",IF(G217="Select food category:","",_xlfn.IFNA(VLOOKUP($H217,Ingredient_prices!$E:$U,16,FALSE)*$Q217/1000,"not bought")))</f>
        <v/>
      </c>
      <c r="U217" s="583" t="str">
        <f>IF(G217="Select food category:","",_xlfn.IFNA(VLOOKUP($H217,Ingredient_prices!$E:$U,16,FALSE)*$R217/1000,"not bought"))</f>
        <v/>
      </c>
      <c r="V217" s="549">
        <f>VLOOKUP($H217,'CO2_emission+%_food_waste'!$A:$K,4,FALSE)*$Q217</f>
        <v>0</v>
      </c>
      <c r="W217" s="583">
        <f>VLOOKUP($H217,Nutrition_tables!$A:$N,10,FALSE)*$Q217/100</f>
        <v>0</v>
      </c>
      <c r="X217" s="583">
        <f>VLOOKUP($H217,Nutrition_tables!$A:$N,11,FALSE)*$Q217/100</f>
        <v>0</v>
      </c>
      <c r="Y217" s="583">
        <f>VLOOKUP($H217,Nutrition_tables!$A:$N,12,FALSE)*$Q217/100</f>
        <v>0</v>
      </c>
      <c r="Z217" s="583">
        <f>VLOOKUP($H217,Nutrition_tables!$A:$N,14,FALSE)*$Q217/100</f>
        <v>0</v>
      </c>
      <c r="AA217" s="583">
        <f>VLOOKUP($H217,Nutrition_tables!$A:$AF,13,FALSE)*$Q217/100</f>
        <v>0</v>
      </c>
      <c r="AB217" s="549">
        <f>VLOOKUP($H217,Nutrition_tables!$A:$AF,15,FALSE)*$Q217/100</f>
        <v>0</v>
      </c>
      <c r="AC217" s="583">
        <f>VLOOKUP($H217,Nutrition_tables!$A:$AF,16,FALSE)*$Q217/100</f>
        <v>0</v>
      </c>
      <c r="AD217" s="583">
        <f>VLOOKUP($H217,Nutrition_tables!$A:$AF,17,FALSE)*$Q217/100</f>
        <v>0</v>
      </c>
      <c r="AE217" s="583">
        <f>VLOOKUP($H217,Nutrition_tables!$A:$AF,18,FALSE)*$Q217/100</f>
        <v>0</v>
      </c>
      <c r="AF217" s="583">
        <f>VLOOKUP($H217,Nutrition_tables!$A:$AF,19,FALSE)*$Q217/100</f>
        <v>0</v>
      </c>
      <c r="AG217" s="583">
        <f>VLOOKUP($H217,Nutrition_tables!$A:$AF,20,FALSE)*$Q217/100</f>
        <v>0</v>
      </c>
      <c r="AH217" s="583">
        <f>VLOOKUP($H217,Nutrition_tables!$A:$AF,21,FALSE)*$Q217/100</f>
        <v>0</v>
      </c>
      <c r="AI217" s="583">
        <f>VLOOKUP($H217,Nutrition_tables!$A:$AF,22,FALSE)*$Q217/100</f>
        <v>0</v>
      </c>
      <c r="AJ217" s="549">
        <f>VLOOKUP($H217,Nutrition_tables!$A:$AF,23,FALSE)*$Q217/100</f>
        <v>0</v>
      </c>
      <c r="AK217" s="583">
        <f>VLOOKUP($H217,Nutrition_tables!$A:$AF,24,FALSE)*$Q217/100</f>
        <v>0</v>
      </c>
      <c r="AL217" s="583">
        <f>VLOOKUP($H217,Nutrition_tables!$A:$AF,25,FALSE)*$Q217/100</f>
        <v>0</v>
      </c>
      <c r="AM217" s="583">
        <f>VLOOKUP($H217,Nutrition_tables!$A:$AF,26,FALSE)*$Q217/100</f>
        <v>0</v>
      </c>
      <c r="AN217" s="583">
        <f>VLOOKUP($H217,Nutrition_tables!$A:$AF,27,FALSE)*$Q217/100</f>
        <v>0</v>
      </c>
      <c r="AO217" s="583">
        <f>VLOOKUP($H217,Nutrition_tables!$A:$AF,28,FALSE)*$Q217/100</f>
        <v>0</v>
      </c>
      <c r="AP217" s="583">
        <f>VLOOKUP($H217,Nutrition_tables!$A:$AF,29,FALSE)*$Q217/100</f>
        <v>0</v>
      </c>
      <c r="AQ217" s="583">
        <f>VLOOKUP($H217,Nutrition_tables!$A:$AF,30,FALSE)*$Q217/100</f>
        <v>0</v>
      </c>
      <c r="AR217" s="583">
        <f>VLOOKUP($H217,Nutrition_tables!$A:$AF,31,FALSE)*$Q217/100</f>
        <v>0</v>
      </c>
      <c r="AS217" s="549">
        <f>VLOOKUP($H217,Nutrition_tables!$A:$AF,32,FALSE)*$Q217/100</f>
        <v>0</v>
      </c>
      <c r="AT217" s="583" t="str">
        <f>IF(H217="Select ingredient:","",IF(G217="Select food category:","",IFERROR(VLOOKUP($H217,Ingredient_prices!$E:$W,17,FALSE)*$Q217/1000,"not bought")))</f>
        <v/>
      </c>
      <c r="AU217" s="583" t="str">
        <f>IF(H217="Select ingredient:","",IF(G217="Select food category:","",IFERROR(VLOOKUP($H217,Ingredient_prices!$E:$W,18,FALSE)*$Q217/1000,"not bought")))</f>
        <v/>
      </c>
      <c r="AV217" s="583">
        <f t="shared" si="474"/>
        <v>0</v>
      </c>
      <c r="AW217" s="583">
        <f t="shared" si="475"/>
        <v>0</v>
      </c>
      <c r="AX217" s="583">
        <f t="shared" si="476"/>
        <v>0</v>
      </c>
      <c r="AY217" s="583">
        <f t="shared" si="477"/>
        <v>0</v>
      </c>
      <c r="AZ217" s="583">
        <f t="shared" si="478"/>
        <v>0</v>
      </c>
      <c r="BA217" s="583">
        <f t="shared" si="479"/>
        <v>0</v>
      </c>
      <c r="BB217" s="583">
        <f t="shared" si="480"/>
        <v>0</v>
      </c>
      <c r="BC217" s="583">
        <f t="shared" si="481"/>
        <v>0</v>
      </c>
      <c r="BD217" s="583">
        <f t="shared" si="482"/>
        <v>0</v>
      </c>
      <c r="BE217" s="583">
        <f t="shared" si="483"/>
        <v>0</v>
      </c>
      <c r="BF217" s="583">
        <f t="shared" si="484"/>
        <v>0</v>
      </c>
      <c r="BG217" s="583">
        <f t="shared" si="485"/>
        <v>0</v>
      </c>
      <c r="BH217" s="583">
        <f t="shared" si="486"/>
        <v>0</v>
      </c>
      <c r="BI217" s="583">
        <f t="shared" si="487"/>
        <v>0</v>
      </c>
      <c r="BJ217" s="583">
        <f t="shared" si="488"/>
        <v>0</v>
      </c>
      <c r="BK217" s="583">
        <f t="shared" si="489"/>
        <v>0</v>
      </c>
      <c r="BL217" s="583">
        <f t="shared" si="490"/>
        <v>0</v>
      </c>
      <c r="BM217" s="583">
        <f t="shared" si="491"/>
        <v>0</v>
      </c>
      <c r="BN217" s="583">
        <f t="shared" si="492"/>
        <v>0</v>
      </c>
      <c r="BO217" s="583">
        <f t="shared" si="493"/>
        <v>0</v>
      </c>
      <c r="BP217" s="583">
        <f t="shared" si="494"/>
        <v>0</v>
      </c>
      <c r="BQ217" s="583">
        <f t="shared" si="495"/>
        <v>0</v>
      </c>
      <c r="BR217" s="583">
        <f t="shared" si="496"/>
        <v>0</v>
      </c>
    </row>
    <row r="218" spans="1:70" s="229" customFormat="1" ht="15" customHeight="1">
      <c r="A218" s="587"/>
      <c r="D218" s="85"/>
      <c r="E218" s="576">
        <f t="shared" si="498"/>
        <v>100</v>
      </c>
      <c r="F218" s="707"/>
      <c r="G218" s="406" t="s">
        <v>3054</v>
      </c>
      <c r="H218" s="1262" t="s">
        <v>3055</v>
      </c>
      <c r="I218" s="85">
        <v>0</v>
      </c>
      <c r="J218" s="682">
        <v>1</v>
      </c>
      <c r="K218" s="579" t="str">
        <f t="shared" si="472"/>
        <v/>
      </c>
      <c r="L218" s="580" t="str">
        <f>IF(H218="Select ingredient:","",IF(G218="","",_xlfn.IFNA(VLOOKUP($H218,Ingredient_prices!$E:$U,16,FALSE),0)))</f>
        <v/>
      </c>
      <c r="M218" s="844"/>
      <c r="N218" s="844"/>
      <c r="O218" s="588"/>
      <c r="P218" s="589"/>
      <c r="Q218" s="583">
        <f t="shared" si="473"/>
        <v>0</v>
      </c>
      <c r="R218" s="583">
        <f>VLOOKUP($H218,'CO2_emission+%_food_waste'!$A:$K,6,FALSE)*$Q218/100</f>
        <v>0</v>
      </c>
      <c r="S218" s="583">
        <f t="shared" si="497"/>
        <v>0</v>
      </c>
      <c r="T218" s="583" t="str">
        <f>IF(H218="Select ingredient:","",IF(G218="Select food category:","",_xlfn.IFNA(VLOOKUP($H218,Ingredient_prices!$E:$U,16,FALSE)*$Q218/1000,"not bought")))</f>
        <v/>
      </c>
      <c r="U218" s="583" t="str">
        <f>IF(G218="Select food category:","",_xlfn.IFNA(VLOOKUP($H218,Ingredient_prices!$E:$U,16,FALSE)*$R218/1000,"not bought"))</f>
        <v/>
      </c>
      <c r="V218" s="549">
        <f>VLOOKUP($H218,'CO2_emission+%_food_waste'!$A:$K,4,FALSE)*$Q218</f>
        <v>0</v>
      </c>
      <c r="W218" s="583">
        <f>VLOOKUP($H218,Nutrition_tables!$A:$N,10,FALSE)*$Q218/100</f>
        <v>0</v>
      </c>
      <c r="X218" s="583">
        <f>VLOOKUP($H218,Nutrition_tables!$A:$N,11,FALSE)*$Q218/100</f>
        <v>0</v>
      </c>
      <c r="Y218" s="583">
        <f>VLOOKUP($H218,Nutrition_tables!$A:$N,12,FALSE)*$Q218/100</f>
        <v>0</v>
      </c>
      <c r="Z218" s="583">
        <f>VLOOKUP($H218,Nutrition_tables!$A:$N,14,FALSE)*$Q218/100</f>
        <v>0</v>
      </c>
      <c r="AA218" s="583">
        <f>VLOOKUP($H218,Nutrition_tables!$A:$AF,13,FALSE)*$Q218/100</f>
        <v>0</v>
      </c>
      <c r="AB218" s="549">
        <f>VLOOKUP($H218,Nutrition_tables!$A:$AF,15,FALSE)*$Q218/100</f>
        <v>0</v>
      </c>
      <c r="AC218" s="583">
        <f>VLOOKUP($H218,Nutrition_tables!$A:$AF,16,FALSE)*$Q218/100</f>
        <v>0</v>
      </c>
      <c r="AD218" s="583">
        <f>VLOOKUP($H218,Nutrition_tables!$A:$AF,17,FALSE)*$Q218/100</f>
        <v>0</v>
      </c>
      <c r="AE218" s="583">
        <f>VLOOKUP($H218,Nutrition_tables!$A:$AF,18,FALSE)*$Q218/100</f>
        <v>0</v>
      </c>
      <c r="AF218" s="583">
        <f>VLOOKUP($H218,Nutrition_tables!$A:$AF,19,FALSE)*$Q218/100</f>
        <v>0</v>
      </c>
      <c r="AG218" s="583">
        <f>VLOOKUP($H218,Nutrition_tables!$A:$AF,20,FALSE)*$Q218/100</f>
        <v>0</v>
      </c>
      <c r="AH218" s="583">
        <f>VLOOKUP($H218,Nutrition_tables!$A:$AF,21,FALSE)*$Q218/100</f>
        <v>0</v>
      </c>
      <c r="AI218" s="583">
        <f>VLOOKUP($H218,Nutrition_tables!$A:$AF,22,FALSE)*$Q218/100</f>
        <v>0</v>
      </c>
      <c r="AJ218" s="549">
        <f>VLOOKUP($H218,Nutrition_tables!$A:$AF,23,FALSE)*$Q218/100</f>
        <v>0</v>
      </c>
      <c r="AK218" s="583">
        <f>VLOOKUP($H218,Nutrition_tables!$A:$AF,24,FALSE)*$Q218/100</f>
        <v>0</v>
      </c>
      <c r="AL218" s="583">
        <f>VLOOKUP($H218,Nutrition_tables!$A:$AF,25,FALSE)*$Q218/100</f>
        <v>0</v>
      </c>
      <c r="AM218" s="583">
        <f>VLOOKUP($H218,Nutrition_tables!$A:$AF,26,FALSE)*$Q218/100</f>
        <v>0</v>
      </c>
      <c r="AN218" s="583">
        <f>VLOOKUP($H218,Nutrition_tables!$A:$AF,27,FALSE)*$Q218/100</f>
        <v>0</v>
      </c>
      <c r="AO218" s="583">
        <f>VLOOKUP($H218,Nutrition_tables!$A:$AF,28,FALSE)*$Q218/100</f>
        <v>0</v>
      </c>
      <c r="AP218" s="583">
        <f>VLOOKUP($H218,Nutrition_tables!$A:$AF,29,FALSE)*$Q218/100</f>
        <v>0</v>
      </c>
      <c r="AQ218" s="583">
        <f>VLOOKUP($H218,Nutrition_tables!$A:$AF,30,FALSE)*$Q218/100</f>
        <v>0</v>
      </c>
      <c r="AR218" s="583">
        <f>VLOOKUP($H218,Nutrition_tables!$A:$AF,31,FALSE)*$Q218/100</f>
        <v>0</v>
      </c>
      <c r="AS218" s="549">
        <f>VLOOKUP($H218,Nutrition_tables!$A:$AF,32,FALSE)*$Q218/100</f>
        <v>0</v>
      </c>
      <c r="AT218" s="583" t="str">
        <f>IF(H218="Select ingredient:","",IF(G218="Select food category:","",IFERROR(VLOOKUP($H218,Ingredient_prices!$E:$W,17,FALSE)*$Q218/1000,"not bought")))</f>
        <v/>
      </c>
      <c r="AU218" s="583" t="str">
        <f>IF(H218="Select ingredient:","",IF(G218="Select food category:","",IFERROR(VLOOKUP($H218,Ingredient_prices!$E:$W,18,FALSE)*$Q218/1000,"not bought")))</f>
        <v/>
      </c>
      <c r="AV218" s="583">
        <f t="shared" si="474"/>
        <v>0</v>
      </c>
      <c r="AW218" s="583">
        <f t="shared" si="475"/>
        <v>0</v>
      </c>
      <c r="AX218" s="583">
        <f t="shared" si="476"/>
        <v>0</v>
      </c>
      <c r="AY218" s="583">
        <f t="shared" si="477"/>
        <v>0</v>
      </c>
      <c r="AZ218" s="583">
        <f t="shared" si="478"/>
        <v>0</v>
      </c>
      <c r="BA218" s="583">
        <f t="shared" si="479"/>
        <v>0</v>
      </c>
      <c r="BB218" s="583">
        <f t="shared" si="480"/>
        <v>0</v>
      </c>
      <c r="BC218" s="583">
        <f t="shared" si="481"/>
        <v>0</v>
      </c>
      <c r="BD218" s="583">
        <f t="shared" si="482"/>
        <v>0</v>
      </c>
      <c r="BE218" s="583">
        <f t="shared" si="483"/>
        <v>0</v>
      </c>
      <c r="BF218" s="583">
        <f t="shared" si="484"/>
        <v>0</v>
      </c>
      <c r="BG218" s="583">
        <f t="shared" si="485"/>
        <v>0</v>
      </c>
      <c r="BH218" s="583">
        <f t="shared" si="486"/>
        <v>0</v>
      </c>
      <c r="BI218" s="583">
        <f t="shared" si="487"/>
        <v>0</v>
      </c>
      <c r="BJ218" s="583">
        <f t="shared" si="488"/>
        <v>0</v>
      </c>
      <c r="BK218" s="583">
        <f t="shared" si="489"/>
        <v>0</v>
      </c>
      <c r="BL218" s="583">
        <f t="shared" si="490"/>
        <v>0</v>
      </c>
      <c r="BM218" s="583">
        <f t="shared" si="491"/>
        <v>0</v>
      </c>
      <c r="BN218" s="583">
        <f t="shared" si="492"/>
        <v>0</v>
      </c>
      <c r="BO218" s="583">
        <f t="shared" si="493"/>
        <v>0</v>
      </c>
      <c r="BP218" s="583">
        <f t="shared" si="494"/>
        <v>0</v>
      </c>
      <c r="BQ218" s="583">
        <f t="shared" si="495"/>
        <v>0</v>
      </c>
      <c r="BR218" s="583">
        <f t="shared" si="496"/>
        <v>0</v>
      </c>
    </row>
    <row r="219" spans="1:70" s="229" customFormat="1" ht="15" customHeight="1">
      <c r="A219" s="587"/>
      <c r="D219" s="85"/>
      <c r="E219" s="576">
        <f t="shared" si="498"/>
        <v>100</v>
      </c>
      <c r="F219" s="707"/>
      <c r="G219" s="406" t="s">
        <v>3054</v>
      </c>
      <c r="H219" s="1262" t="s">
        <v>3055</v>
      </c>
      <c r="I219" s="85">
        <v>0</v>
      </c>
      <c r="J219" s="682">
        <v>1</v>
      </c>
      <c r="K219" s="579" t="str">
        <f t="shared" si="472"/>
        <v/>
      </c>
      <c r="L219" s="580" t="str">
        <f>IF(H219="Select ingredient:","",IF(G219="","",_xlfn.IFNA(VLOOKUP($H219,Ingredient_prices!$E:$U,16,FALSE),0)))</f>
        <v/>
      </c>
      <c r="M219" s="844"/>
      <c r="N219" s="844"/>
      <c r="O219" s="588"/>
      <c r="P219" s="589"/>
      <c r="Q219" s="583">
        <f t="shared" si="473"/>
        <v>0</v>
      </c>
      <c r="R219" s="583">
        <f>VLOOKUP($H219,'CO2_emission+%_food_waste'!$A:$K,6,FALSE)*$Q219/100</f>
        <v>0</v>
      </c>
      <c r="S219" s="583">
        <f t="shared" si="497"/>
        <v>0</v>
      </c>
      <c r="T219" s="583" t="str">
        <f>IF(H219="Select ingredient:","",IF(G219="Select food category:","",_xlfn.IFNA(VLOOKUP($H219,Ingredient_prices!$E:$U,16,FALSE)*$Q219/1000,"not bought")))</f>
        <v/>
      </c>
      <c r="U219" s="583" t="str">
        <f>IF(G219="Select food category:","",_xlfn.IFNA(VLOOKUP($H219,Ingredient_prices!$E:$U,16,FALSE)*$R219/1000,"not bought"))</f>
        <v/>
      </c>
      <c r="V219" s="549">
        <f>VLOOKUP($H219,'CO2_emission+%_food_waste'!$A:$K,4,FALSE)*$Q219</f>
        <v>0</v>
      </c>
      <c r="W219" s="583">
        <f>VLOOKUP($H219,Nutrition_tables!$A:$N,10,FALSE)*$Q219/100</f>
        <v>0</v>
      </c>
      <c r="X219" s="583">
        <f>VLOOKUP($H219,Nutrition_tables!$A:$N,11,FALSE)*$Q219/100</f>
        <v>0</v>
      </c>
      <c r="Y219" s="583">
        <f>VLOOKUP($H219,Nutrition_tables!$A:$N,12,FALSE)*$Q219/100</f>
        <v>0</v>
      </c>
      <c r="Z219" s="583">
        <f>VLOOKUP($H219,Nutrition_tables!$A:$N,14,FALSE)*$Q219/100</f>
        <v>0</v>
      </c>
      <c r="AA219" s="583">
        <f>VLOOKUP($H219,Nutrition_tables!$A:$AF,13,FALSE)*$Q219/100</f>
        <v>0</v>
      </c>
      <c r="AB219" s="549">
        <f>VLOOKUP($H219,Nutrition_tables!$A:$AF,15,FALSE)*$Q219/100</f>
        <v>0</v>
      </c>
      <c r="AC219" s="583">
        <f>VLOOKUP($H219,Nutrition_tables!$A:$AF,16,FALSE)*$Q219/100</f>
        <v>0</v>
      </c>
      <c r="AD219" s="583">
        <f>VLOOKUP($H219,Nutrition_tables!$A:$AF,17,FALSE)*$Q219/100</f>
        <v>0</v>
      </c>
      <c r="AE219" s="583">
        <f>VLOOKUP($H219,Nutrition_tables!$A:$AF,18,FALSE)*$Q219/100</f>
        <v>0</v>
      </c>
      <c r="AF219" s="583">
        <f>VLOOKUP($H219,Nutrition_tables!$A:$AF,19,FALSE)*$Q219/100</f>
        <v>0</v>
      </c>
      <c r="AG219" s="583">
        <f>VLOOKUP($H219,Nutrition_tables!$A:$AF,20,FALSE)*$Q219/100</f>
        <v>0</v>
      </c>
      <c r="AH219" s="583">
        <f>VLOOKUP($H219,Nutrition_tables!$A:$AF,21,FALSE)*$Q219/100</f>
        <v>0</v>
      </c>
      <c r="AI219" s="583">
        <f>VLOOKUP($H219,Nutrition_tables!$A:$AF,22,FALSE)*$Q219/100</f>
        <v>0</v>
      </c>
      <c r="AJ219" s="549">
        <f>VLOOKUP($H219,Nutrition_tables!$A:$AF,23,FALSE)*$Q219/100</f>
        <v>0</v>
      </c>
      <c r="AK219" s="583">
        <f>VLOOKUP($H219,Nutrition_tables!$A:$AF,24,FALSE)*$Q219/100</f>
        <v>0</v>
      </c>
      <c r="AL219" s="583">
        <f>VLOOKUP($H219,Nutrition_tables!$A:$AF,25,FALSE)*$Q219/100</f>
        <v>0</v>
      </c>
      <c r="AM219" s="583">
        <f>VLOOKUP($H219,Nutrition_tables!$A:$AF,26,FALSE)*$Q219/100</f>
        <v>0</v>
      </c>
      <c r="AN219" s="583">
        <f>VLOOKUP($H219,Nutrition_tables!$A:$AF,27,FALSE)*$Q219/100</f>
        <v>0</v>
      </c>
      <c r="AO219" s="583">
        <f>VLOOKUP($H219,Nutrition_tables!$A:$AF,28,FALSE)*$Q219/100</f>
        <v>0</v>
      </c>
      <c r="AP219" s="583">
        <f>VLOOKUP($H219,Nutrition_tables!$A:$AF,29,FALSE)*$Q219/100</f>
        <v>0</v>
      </c>
      <c r="AQ219" s="583">
        <f>VLOOKUP($H219,Nutrition_tables!$A:$AF,30,FALSE)*$Q219/100</f>
        <v>0</v>
      </c>
      <c r="AR219" s="583">
        <f>VLOOKUP($H219,Nutrition_tables!$A:$AF,31,FALSE)*$Q219/100</f>
        <v>0</v>
      </c>
      <c r="AS219" s="549">
        <f>VLOOKUP($H219,Nutrition_tables!$A:$AF,32,FALSE)*$Q219/100</f>
        <v>0</v>
      </c>
      <c r="AT219" s="583" t="str">
        <f>IF(H219="Select ingredient:","",IF(G219="Select food category:","",IFERROR(VLOOKUP($H219,Ingredient_prices!$E:$W,17,FALSE)*$Q219/1000,"not bought")))</f>
        <v/>
      </c>
      <c r="AU219" s="583" t="str">
        <f>IF(H219="Select ingredient:","",IF(G219="Select food category:","",IFERROR(VLOOKUP($H219,Ingredient_prices!$E:$W,18,FALSE)*$Q219/1000,"not bought")))</f>
        <v/>
      </c>
      <c r="AV219" s="583">
        <f t="shared" si="474"/>
        <v>0</v>
      </c>
      <c r="AW219" s="583">
        <f t="shared" si="475"/>
        <v>0</v>
      </c>
      <c r="AX219" s="583">
        <f t="shared" si="476"/>
        <v>0</v>
      </c>
      <c r="AY219" s="583">
        <f t="shared" si="477"/>
        <v>0</v>
      </c>
      <c r="AZ219" s="583">
        <f t="shared" si="478"/>
        <v>0</v>
      </c>
      <c r="BA219" s="583">
        <f t="shared" si="479"/>
        <v>0</v>
      </c>
      <c r="BB219" s="583">
        <f t="shared" si="480"/>
        <v>0</v>
      </c>
      <c r="BC219" s="583">
        <f t="shared" si="481"/>
        <v>0</v>
      </c>
      <c r="BD219" s="583">
        <f t="shared" si="482"/>
        <v>0</v>
      </c>
      <c r="BE219" s="583">
        <f t="shared" si="483"/>
        <v>0</v>
      </c>
      <c r="BF219" s="583">
        <f t="shared" si="484"/>
        <v>0</v>
      </c>
      <c r="BG219" s="583">
        <f t="shared" si="485"/>
        <v>0</v>
      </c>
      <c r="BH219" s="583">
        <f t="shared" si="486"/>
        <v>0</v>
      </c>
      <c r="BI219" s="583">
        <f t="shared" si="487"/>
        <v>0</v>
      </c>
      <c r="BJ219" s="583">
        <f t="shared" si="488"/>
        <v>0</v>
      </c>
      <c r="BK219" s="583">
        <f t="shared" si="489"/>
        <v>0</v>
      </c>
      <c r="BL219" s="583">
        <f t="shared" si="490"/>
        <v>0</v>
      </c>
      <c r="BM219" s="583">
        <f t="shared" si="491"/>
        <v>0</v>
      </c>
      <c r="BN219" s="583">
        <f t="shared" si="492"/>
        <v>0</v>
      </c>
      <c r="BO219" s="583">
        <f t="shared" si="493"/>
        <v>0</v>
      </c>
      <c r="BP219" s="583">
        <f t="shared" si="494"/>
        <v>0</v>
      </c>
      <c r="BQ219" s="583">
        <f t="shared" si="495"/>
        <v>0</v>
      </c>
      <c r="BR219" s="583">
        <f t="shared" si="496"/>
        <v>0</v>
      </c>
    </row>
    <row r="220" spans="1:70" s="229" customFormat="1" ht="15" customHeight="1">
      <c r="A220" s="587"/>
      <c r="D220" s="85"/>
      <c r="E220" s="576">
        <f t="shared" si="498"/>
        <v>100</v>
      </c>
      <c r="F220" s="707"/>
      <c r="G220" s="406" t="s">
        <v>3054</v>
      </c>
      <c r="H220" s="1262" t="s">
        <v>3055</v>
      </c>
      <c r="I220" s="85">
        <v>0</v>
      </c>
      <c r="J220" s="682">
        <v>1</v>
      </c>
      <c r="K220" s="579" t="str">
        <f t="shared" si="472"/>
        <v/>
      </c>
      <c r="L220" s="580" t="str">
        <f>IF(H220="Select ingredient:","",IF(G220="","",_xlfn.IFNA(VLOOKUP($H220,Ingredient_prices!$E:$U,16,FALSE),0)))</f>
        <v/>
      </c>
      <c r="M220" s="844"/>
      <c r="N220" s="844"/>
      <c r="O220" s="588"/>
      <c r="P220" s="589"/>
      <c r="Q220" s="583">
        <f t="shared" si="473"/>
        <v>0</v>
      </c>
      <c r="R220" s="583">
        <f>VLOOKUP($H220,'CO2_emission+%_food_waste'!$A:$K,6,FALSE)*$Q220/100</f>
        <v>0</v>
      </c>
      <c r="S220" s="583">
        <f t="shared" si="497"/>
        <v>0</v>
      </c>
      <c r="T220" s="583" t="str">
        <f>IF(H220="Select ingredient:","",IF(G220="Select food category:","",_xlfn.IFNA(VLOOKUP($H220,Ingredient_prices!$E:$U,16,FALSE)*$Q220/1000,"not bought")))</f>
        <v/>
      </c>
      <c r="U220" s="583" t="str">
        <f>IF(G220="Select food category:","",_xlfn.IFNA(VLOOKUP($H220,Ingredient_prices!$E:$U,16,FALSE)*$R220/1000,"not bought"))</f>
        <v/>
      </c>
      <c r="V220" s="549">
        <f>VLOOKUP($H220,'CO2_emission+%_food_waste'!$A:$K,4,FALSE)*$Q220</f>
        <v>0</v>
      </c>
      <c r="W220" s="583">
        <f>VLOOKUP($H220,Nutrition_tables!$A:$N,10,FALSE)*$Q220/100</f>
        <v>0</v>
      </c>
      <c r="X220" s="583">
        <f>VLOOKUP($H220,Nutrition_tables!$A:$N,11,FALSE)*$Q220/100</f>
        <v>0</v>
      </c>
      <c r="Y220" s="583">
        <f>VLOOKUP($H220,Nutrition_tables!$A:$N,12,FALSE)*$Q220/100</f>
        <v>0</v>
      </c>
      <c r="Z220" s="583">
        <f>VLOOKUP($H220,Nutrition_tables!$A:$N,14,FALSE)*$Q220/100</f>
        <v>0</v>
      </c>
      <c r="AA220" s="583">
        <f>VLOOKUP($H220,Nutrition_tables!$A:$AF,13,FALSE)*$Q220/100</f>
        <v>0</v>
      </c>
      <c r="AB220" s="549">
        <f>VLOOKUP($H220,Nutrition_tables!$A:$AF,15,FALSE)*$Q220/100</f>
        <v>0</v>
      </c>
      <c r="AC220" s="583">
        <f>VLOOKUP($H220,Nutrition_tables!$A:$AF,16,FALSE)*$Q220/100</f>
        <v>0</v>
      </c>
      <c r="AD220" s="583">
        <f>VLOOKUP($H220,Nutrition_tables!$A:$AF,17,FALSE)*$Q220/100</f>
        <v>0</v>
      </c>
      <c r="AE220" s="583">
        <f>VLOOKUP($H220,Nutrition_tables!$A:$AF,18,FALSE)*$Q220/100</f>
        <v>0</v>
      </c>
      <c r="AF220" s="583">
        <f>VLOOKUP($H220,Nutrition_tables!$A:$AF,19,FALSE)*$Q220/100</f>
        <v>0</v>
      </c>
      <c r="AG220" s="583">
        <f>VLOOKUP($H220,Nutrition_tables!$A:$AF,20,FALSE)*$Q220/100</f>
        <v>0</v>
      </c>
      <c r="AH220" s="583">
        <f>VLOOKUP($H220,Nutrition_tables!$A:$AF,21,FALSE)*$Q220/100</f>
        <v>0</v>
      </c>
      <c r="AI220" s="583">
        <f>VLOOKUP($H220,Nutrition_tables!$A:$AF,22,FALSE)*$Q220/100</f>
        <v>0</v>
      </c>
      <c r="AJ220" s="549">
        <f>VLOOKUP($H220,Nutrition_tables!$A:$AF,23,FALSE)*$Q220/100</f>
        <v>0</v>
      </c>
      <c r="AK220" s="583">
        <f>VLOOKUP($H220,Nutrition_tables!$A:$AF,24,FALSE)*$Q220/100</f>
        <v>0</v>
      </c>
      <c r="AL220" s="583">
        <f>VLOOKUP($H220,Nutrition_tables!$A:$AF,25,FALSE)*$Q220/100</f>
        <v>0</v>
      </c>
      <c r="AM220" s="583">
        <f>VLOOKUP($H220,Nutrition_tables!$A:$AF,26,FALSE)*$Q220/100</f>
        <v>0</v>
      </c>
      <c r="AN220" s="583">
        <f>VLOOKUP($H220,Nutrition_tables!$A:$AF,27,FALSE)*$Q220/100</f>
        <v>0</v>
      </c>
      <c r="AO220" s="583">
        <f>VLOOKUP($H220,Nutrition_tables!$A:$AF,28,FALSE)*$Q220/100</f>
        <v>0</v>
      </c>
      <c r="AP220" s="583">
        <f>VLOOKUP($H220,Nutrition_tables!$A:$AF,29,FALSE)*$Q220/100</f>
        <v>0</v>
      </c>
      <c r="AQ220" s="583">
        <f>VLOOKUP($H220,Nutrition_tables!$A:$AF,30,FALSE)*$Q220/100</f>
        <v>0</v>
      </c>
      <c r="AR220" s="583">
        <f>VLOOKUP($H220,Nutrition_tables!$A:$AF,31,FALSE)*$Q220/100</f>
        <v>0</v>
      </c>
      <c r="AS220" s="549">
        <f>VLOOKUP($H220,Nutrition_tables!$A:$AF,32,FALSE)*$Q220/100</f>
        <v>0</v>
      </c>
      <c r="AT220" s="583" t="str">
        <f>IF(H220="Select ingredient:","",IF(G220="Select food category:","",IFERROR(VLOOKUP($H220,Ingredient_prices!$E:$W,17,FALSE)*$Q220/1000,"not bought")))</f>
        <v/>
      </c>
      <c r="AU220" s="583" t="str">
        <f>IF(H220="Select ingredient:","",IF(G220="Select food category:","",IFERROR(VLOOKUP($H220,Ingredient_prices!$E:$W,18,FALSE)*$Q220/1000,"not bought")))</f>
        <v/>
      </c>
      <c r="AV220" s="583">
        <f t="shared" si="474"/>
        <v>0</v>
      </c>
      <c r="AW220" s="583">
        <f t="shared" si="475"/>
        <v>0</v>
      </c>
      <c r="AX220" s="583">
        <f t="shared" si="476"/>
        <v>0</v>
      </c>
      <c r="AY220" s="583">
        <f t="shared" si="477"/>
        <v>0</v>
      </c>
      <c r="AZ220" s="583">
        <f t="shared" si="478"/>
        <v>0</v>
      </c>
      <c r="BA220" s="583">
        <f t="shared" si="479"/>
        <v>0</v>
      </c>
      <c r="BB220" s="583">
        <f t="shared" si="480"/>
        <v>0</v>
      </c>
      <c r="BC220" s="583">
        <f t="shared" si="481"/>
        <v>0</v>
      </c>
      <c r="BD220" s="583">
        <f t="shared" si="482"/>
        <v>0</v>
      </c>
      <c r="BE220" s="583">
        <f t="shared" si="483"/>
        <v>0</v>
      </c>
      <c r="BF220" s="583">
        <f t="shared" si="484"/>
        <v>0</v>
      </c>
      <c r="BG220" s="583">
        <f t="shared" si="485"/>
        <v>0</v>
      </c>
      <c r="BH220" s="583">
        <f t="shared" si="486"/>
        <v>0</v>
      </c>
      <c r="BI220" s="583">
        <f t="shared" si="487"/>
        <v>0</v>
      </c>
      <c r="BJ220" s="583">
        <f t="shared" si="488"/>
        <v>0</v>
      </c>
      <c r="BK220" s="583">
        <f t="shared" si="489"/>
        <v>0</v>
      </c>
      <c r="BL220" s="583">
        <f t="shared" si="490"/>
        <v>0</v>
      </c>
      <c r="BM220" s="583">
        <f t="shared" si="491"/>
        <v>0</v>
      </c>
      <c r="BN220" s="583">
        <f t="shared" si="492"/>
        <v>0</v>
      </c>
      <c r="BO220" s="583">
        <f t="shared" si="493"/>
        <v>0</v>
      </c>
      <c r="BP220" s="583">
        <f t="shared" si="494"/>
        <v>0</v>
      </c>
      <c r="BQ220" s="583">
        <f t="shared" si="495"/>
        <v>0</v>
      </c>
      <c r="BR220" s="583">
        <f t="shared" si="496"/>
        <v>0</v>
      </c>
    </row>
    <row r="221" spans="1:70" s="229" customFormat="1" ht="15" customHeight="1">
      <c r="A221" s="587"/>
      <c r="D221" s="85"/>
      <c r="E221" s="576">
        <f t="shared" si="498"/>
        <v>100</v>
      </c>
      <c r="F221" s="707"/>
      <c r="G221" s="406" t="s">
        <v>3054</v>
      </c>
      <c r="H221" s="1262" t="s">
        <v>3055</v>
      </c>
      <c r="I221" s="85">
        <v>0</v>
      </c>
      <c r="J221" s="682">
        <v>1</v>
      </c>
      <c r="K221" s="579" t="str">
        <f t="shared" si="472"/>
        <v/>
      </c>
      <c r="L221" s="580" t="str">
        <f>IF(H221="Select ingredient:","",IF(G221="","",_xlfn.IFNA(VLOOKUP($H221,Ingredient_prices!$E:$U,16,FALSE),0)))</f>
        <v/>
      </c>
      <c r="M221" s="844"/>
      <c r="N221" s="844"/>
      <c r="O221" s="588"/>
      <c r="P221" s="589"/>
      <c r="Q221" s="583">
        <f t="shared" si="473"/>
        <v>0</v>
      </c>
      <c r="R221" s="583">
        <f>VLOOKUP($H221,'CO2_emission+%_food_waste'!$A:$K,6,FALSE)*$Q221/100</f>
        <v>0</v>
      </c>
      <c r="S221" s="583">
        <f t="shared" si="497"/>
        <v>0</v>
      </c>
      <c r="T221" s="583" t="str">
        <f>IF(H221="Select ingredient:","",IF(G221="Select food category:","",_xlfn.IFNA(VLOOKUP($H221,Ingredient_prices!$E:$U,16,FALSE)*$Q221/1000,"not bought")))</f>
        <v/>
      </c>
      <c r="U221" s="583" t="str">
        <f>IF(G221="Select food category:","",_xlfn.IFNA(VLOOKUP($H221,Ingredient_prices!$E:$U,16,FALSE)*$R221/1000,"not bought"))</f>
        <v/>
      </c>
      <c r="V221" s="549">
        <f>VLOOKUP($H221,'CO2_emission+%_food_waste'!$A:$K,4,FALSE)*$Q221</f>
        <v>0</v>
      </c>
      <c r="W221" s="583">
        <f>VLOOKUP($H221,Nutrition_tables!$A:$N,10,FALSE)*$Q221/100</f>
        <v>0</v>
      </c>
      <c r="X221" s="583">
        <f>VLOOKUP($H221,Nutrition_tables!$A:$N,11,FALSE)*$Q221/100</f>
        <v>0</v>
      </c>
      <c r="Y221" s="583">
        <f>VLOOKUP($H221,Nutrition_tables!$A:$N,12,FALSE)*$Q221/100</f>
        <v>0</v>
      </c>
      <c r="Z221" s="583">
        <f>VLOOKUP($H221,Nutrition_tables!$A:$N,14,FALSE)*$Q221/100</f>
        <v>0</v>
      </c>
      <c r="AA221" s="583">
        <f>VLOOKUP($H221,Nutrition_tables!$A:$AF,13,FALSE)*$Q221/100</f>
        <v>0</v>
      </c>
      <c r="AB221" s="549">
        <f>VLOOKUP($H221,Nutrition_tables!$A:$AF,15,FALSE)*$Q221/100</f>
        <v>0</v>
      </c>
      <c r="AC221" s="583">
        <f>VLOOKUP($H221,Nutrition_tables!$A:$AF,16,FALSE)*$Q221/100</f>
        <v>0</v>
      </c>
      <c r="AD221" s="583">
        <f>VLOOKUP($H221,Nutrition_tables!$A:$AF,17,FALSE)*$Q221/100</f>
        <v>0</v>
      </c>
      <c r="AE221" s="583">
        <f>VLOOKUP($H221,Nutrition_tables!$A:$AF,18,FALSE)*$Q221/100</f>
        <v>0</v>
      </c>
      <c r="AF221" s="583">
        <f>VLOOKUP($H221,Nutrition_tables!$A:$AF,19,FALSE)*$Q221/100</f>
        <v>0</v>
      </c>
      <c r="AG221" s="583">
        <f>VLOOKUP($H221,Nutrition_tables!$A:$AF,20,FALSE)*$Q221/100</f>
        <v>0</v>
      </c>
      <c r="AH221" s="583">
        <f>VLOOKUP($H221,Nutrition_tables!$A:$AF,21,FALSE)*$Q221/100</f>
        <v>0</v>
      </c>
      <c r="AI221" s="583">
        <f>VLOOKUP($H221,Nutrition_tables!$A:$AF,22,FALSE)*$Q221/100</f>
        <v>0</v>
      </c>
      <c r="AJ221" s="549">
        <f>VLOOKUP($H221,Nutrition_tables!$A:$AF,23,FALSE)*$Q221/100</f>
        <v>0</v>
      </c>
      <c r="AK221" s="583">
        <f>VLOOKUP($H221,Nutrition_tables!$A:$AF,24,FALSE)*$Q221/100</f>
        <v>0</v>
      </c>
      <c r="AL221" s="583">
        <f>VLOOKUP($H221,Nutrition_tables!$A:$AF,25,FALSE)*$Q221/100</f>
        <v>0</v>
      </c>
      <c r="AM221" s="583">
        <f>VLOOKUP($H221,Nutrition_tables!$A:$AF,26,FALSE)*$Q221/100</f>
        <v>0</v>
      </c>
      <c r="AN221" s="583">
        <f>VLOOKUP($H221,Nutrition_tables!$A:$AF,27,FALSE)*$Q221/100</f>
        <v>0</v>
      </c>
      <c r="AO221" s="583">
        <f>VLOOKUP($H221,Nutrition_tables!$A:$AF,28,FALSE)*$Q221/100</f>
        <v>0</v>
      </c>
      <c r="AP221" s="583">
        <f>VLOOKUP($H221,Nutrition_tables!$A:$AF,29,FALSE)*$Q221/100</f>
        <v>0</v>
      </c>
      <c r="AQ221" s="583">
        <f>VLOOKUP($H221,Nutrition_tables!$A:$AF,30,FALSE)*$Q221/100</f>
        <v>0</v>
      </c>
      <c r="AR221" s="583">
        <f>VLOOKUP($H221,Nutrition_tables!$A:$AF,31,FALSE)*$Q221/100</f>
        <v>0</v>
      </c>
      <c r="AS221" s="549">
        <f>VLOOKUP($H221,Nutrition_tables!$A:$AF,32,FALSE)*$Q221/100</f>
        <v>0</v>
      </c>
      <c r="AT221" s="583" t="str">
        <f>IF(H221="Select ingredient:","",IF(G221="Select food category:","",IFERROR(VLOOKUP($H221,Ingredient_prices!$E:$W,17,FALSE)*$Q221/1000,"not bought")))</f>
        <v/>
      </c>
      <c r="AU221" s="583" t="str">
        <f>IF(H221="Select ingredient:","",IF(G221="Select food category:","",IFERROR(VLOOKUP($H221,Ingredient_prices!$E:$W,18,FALSE)*$Q221/1000,"not bought")))</f>
        <v/>
      </c>
      <c r="AV221" s="583">
        <f t="shared" si="474"/>
        <v>0</v>
      </c>
      <c r="AW221" s="583">
        <f t="shared" si="475"/>
        <v>0</v>
      </c>
      <c r="AX221" s="583">
        <f t="shared" si="476"/>
        <v>0</v>
      </c>
      <c r="AY221" s="583">
        <f t="shared" si="477"/>
        <v>0</v>
      </c>
      <c r="AZ221" s="583">
        <f t="shared" si="478"/>
        <v>0</v>
      </c>
      <c r="BA221" s="583">
        <f t="shared" si="479"/>
        <v>0</v>
      </c>
      <c r="BB221" s="583">
        <f t="shared" si="480"/>
        <v>0</v>
      </c>
      <c r="BC221" s="583">
        <f t="shared" si="481"/>
        <v>0</v>
      </c>
      <c r="BD221" s="583">
        <f t="shared" si="482"/>
        <v>0</v>
      </c>
      <c r="BE221" s="583">
        <f t="shared" si="483"/>
        <v>0</v>
      </c>
      <c r="BF221" s="583">
        <f t="shared" si="484"/>
        <v>0</v>
      </c>
      <c r="BG221" s="583">
        <f t="shared" si="485"/>
        <v>0</v>
      </c>
      <c r="BH221" s="583">
        <f t="shared" si="486"/>
        <v>0</v>
      </c>
      <c r="BI221" s="583">
        <f t="shared" si="487"/>
        <v>0</v>
      </c>
      <c r="BJ221" s="583">
        <f t="shared" si="488"/>
        <v>0</v>
      </c>
      <c r="BK221" s="583">
        <f t="shared" si="489"/>
        <v>0</v>
      </c>
      <c r="BL221" s="583">
        <f t="shared" si="490"/>
        <v>0</v>
      </c>
      <c r="BM221" s="583">
        <f t="shared" si="491"/>
        <v>0</v>
      </c>
      <c r="BN221" s="583">
        <f t="shared" si="492"/>
        <v>0</v>
      </c>
      <c r="BO221" s="583">
        <f t="shared" si="493"/>
        <v>0</v>
      </c>
      <c r="BP221" s="583">
        <f t="shared" si="494"/>
        <v>0</v>
      </c>
      <c r="BQ221" s="583">
        <f t="shared" si="495"/>
        <v>0</v>
      </c>
      <c r="BR221" s="583">
        <f t="shared" si="496"/>
        <v>0</v>
      </c>
    </row>
    <row r="222" spans="1:70" s="229" customFormat="1" ht="15" customHeight="1">
      <c r="A222" s="587"/>
      <c r="D222" s="85"/>
      <c r="E222" s="576">
        <f t="shared" si="498"/>
        <v>100</v>
      </c>
      <c r="F222" s="707"/>
      <c r="G222" s="406" t="s">
        <v>3054</v>
      </c>
      <c r="H222" s="1262" t="s">
        <v>3055</v>
      </c>
      <c r="I222" s="85">
        <v>0</v>
      </c>
      <c r="J222" s="682">
        <v>1</v>
      </c>
      <c r="K222" s="579" t="str">
        <f t="shared" si="472"/>
        <v/>
      </c>
      <c r="L222" s="580" t="str">
        <f>IF(H222="Select ingredient:","",IF(G222="","",_xlfn.IFNA(VLOOKUP($H222,Ingredient_prices!$E:$U,16,FALSE),0)))</f>
        <v/>
      </c>
      <c r="M222" s="844"/>
      <c r="N222" s="844"/>
      <c r="O222" s="588"/>
      <c r="P222" s="589"/>
      <c r="Q222" s="583">
        <f t="shared" si="473"/>
        <v>0</v>
      </c>
      <c r="R222" s="583">
        <f>VLOOKUP($H222,'CO2_emission+%_food_waste'!$A:$K,6,FALSE)*$Q222/100</f>
        <v>0</v>
      </c>
      <c r="S222" s="583">
        <f t="shared" si="497"/>
        <v>0</v>
      </c>
      <c r="T222" s="583" t="str">
        <f>IF(H222="Select ingredient:","",IF(G222="Select food category:","",_xlfn.IFNA(VLOOKUP($H222,Ingredient_prices!$E:$U,16,FALSE)*$Q222/1000,"not bought")))</f>
        <v/>
      </c>
      <c r="U222" s="583" t="str">
        <f>IF(G222="Select food category:","",_xlfn.IFNA(VLOOKUP($H222,Ingredient_prices!$E:$U,16,FALSE)*$R222/1000,"not bought"))</f>
        <v/>
      </c>
      <c r="V222" s="549">
        <f>VLOOKUP($H222,'CO2_emission+%_food_waste'!$A:$K,4,FALSE)*$Q222</f>
        <v>0</v>
      </c>
      <c r="W222" s="583">
        <f>VLOOKUP($H222,Nutrition_tables!$A:$N,10,FALSE)*$Q222/100</f>
        <v>0</v>
      </c>
      <c r="X222" s="583">
        <f>VLOOKUP($H222,Nutrition_tables!$A:$N,11,FALSE)*$Q222/100</f>
        <v>0</v>
      </c>
      <c r="Y222" s="583">
        <f>VLOOKUP($H222,Nutrition_tables!$A:$N,12,FALSE)*$Q222/100</f>
        <v>0</v>
      </c>
      <c r="Z222" s="583">
        <f>VLOOKUP($H222,Nutrition_tables!$A:$N,14,FALSE)*$Q222/100</f>
        <v>0</v>
      </c>
      <c r="AA222" s="583">
        <f>VLOOKUP($H222,Nutrition_tables!$A:$AF,13,FALSE)*$Q222/100</f>
        <v>0</v>
      </c>
      <c r="AB222" s="549">
        <f>VLOOKUP($H222,Nutrition_tables!$A:$AF,15,FALSE)*$Q222/100</f>
        <v>0</v>
      </c>
      <c r="AC222" s="583">
        <f>VLOOKUP($H222,Nutrition_tables!$A:$AF,16,FALSE)*$Q222/100</f>
        <v>0</v>
      </c>
      <c r="AD222" s="583">
        <f>VLOOKUP($H222,Nutrition_tables!$A:$AF,17,FALSE)*$Q222/100</f>
        <v>0</v>
      </c>
      <c r="AE222" s="583">
        <f>VLOOKUP($H222,Nutrition_tables!$A:$AF,18,FALSE)*$Q222/100</f>
        <v>0</v>
      </c>
      <c r="AF222" s="583">
        <f>VLOOKUP($H222,Nutrition_tables!$A:$AF,19,FALSE)*$Q222/100</f>
        <v>0</v>
      </c>
      <c r="AG222" s="583">
        <f>VLOOKUP($H222,Nutrition_tables!$A:$AF,20,FALSE)*$Q222/100</f>
        <v>0</v>
      </c>
      <c r="AH222" s="583">
        <f>VLOOKUP($H222,Nutrition_tables!$A:$AF,21,FALSE)*$Q222/100</f>
        <v>0</v>
      </c>
      <c r="AI222" s="583">
        <f>VLOOKUP($H222,Nutrition_tables!$A:$AF,22,FALSE)*$Q222/100</f>
        <v>0</v>
      </c>
      <c r="AJ222" s="549">
        <f>VLOOKUP($H222,Nutrition_tables!$A:$AF,23,FALSE)*$Q222/100</f>
        <v>0</v>
      </c>
      <c r="AK222" s="583">
        <f>VLOOKUP($H222,Nutrition_tables!$A:$AF,24,FALSE)*$Q222/100</f>
        <v>0</v>
      </c>
      <c r="AL222" s="583">
        <f>VLOOKUP($H222,Nutrition_tables!$A:$AF,25,FALSE)*$Q222/100</f>
        <v>0</v>
      </c>
      <c r="AM222" s="583">
        <f>VLOOKUP($H222,Nutrition_tables!$A:$AF,26,FALSE)*$Q222/100</f>
        <v>0</v>
      </c>
      <c r="AN222" s="583">
        <f>VLOOKUP($H222,Nutrition_tables!$A:$AF,27,FALSE)*$Q222/100</f>
        <v>0</v>
      </c>
      <c r="AO222" s="583">
        <f>VLOOKUP($H222,Nutrition_tables!$A:$AF,28,FALSE)*$Q222/100</f>
        <v>0</v>
      </c>
      <c r="AP222" s="583">
        <f>VLOOKUP($H222,Nutrition_tables!$A:$AF,29,FALSE)*$Q222/100</f>
        <v>0</v>
      </c>
      <c r="AQ222" s="583">
        <f>VLOOKUP($H222,Nutrition_tables!$A:$AF,30,FALSE)*$Q222/100</f>
        <v>0</v>
      </c>
      <c r="AR222" s="583">
        <f>VLOOKUP($H222,Nutrition_tables!$A:$AF,31,FALSE)*$Q222/100</f>
        <v>0</v>
      </c>
      <c r="AS222" s="549">
        <f>VLOOKUP($H222,Nutrition_tables!$A:$AF,32,FALSE)*$Q222/100</f>
        <v>0</v>
      </c>
      <c r="AT222" s="583" t="str">
        <f>IF(H222="Select ingredient:","",IF(G222="Select food category:","",IFERROR(VLOOKUP($H222,Ingredient_prices!$E:$W,17,FALSE)*$Q222/1000,"not bought")))</f>
        <v/>
      </c>
      <c r="AU222" s="583" t="str">
        <f>IF(H222="Select ingredient:","",IF(G222="Select food category:","",IFERROR(VLOOKUP($H222,Ingredient_prices!$E:$W,18,FALSE)*$Q222/1000,"not bought")))</f>
        <v/>
      </c>
      <c r="AV222" s="583">
        <f t="shared" si="474"/>
        <v>0</v>
      </c>
      <c r="AW222" s="583">
        <f t="shared" si="475"/>
        <v>0</v>
      </c>
      <c r="AX222" s="583">
        <f t="shared" si="476"/>
        <v>0</v>
      </c>
      <c r="AY222" s="583">
        <f t="shared" si="477"/>
        <v>0</v>
      </c>
      <c r="AZ222" s="583">
        <f t="shared" si="478"/>
        <v>0</v>
      </c>
      <c r="BA222" s="583">
        <f t="shared" si="479"/>
        <v>0</v>
      </c>
      <c r="BB222" s="583">
        <f t="shared" si="480"/>
        <v>0</v>
      </c>
      <c r="BC222" s="583">
        <f t="shared" si="481"/>
        <v>0</v>
      </c>
      <c r="BD222" s="583">
        <f t="shared" si="482"/>
        <v>0</v>
      </c>
      <c r="BE222" s="583">
        <f t="shared" si="483"/>
        <v>0</v>
      </c>
      <c r="BF222" s="583">
        <f t="shared" si="484"/>
        <v>0</v>
      </c>
      <c r="BG222" s="583">
        <f t="shared" si="485"/>
        <v>0</v>
      </c>
      <c r="BH222" s="583">
        <f t="shared" si="486"/>
        <v>0</v>
      </c>
      <c r="BI222" s="583">
        <f t="shared" si="487"/>
        <v>0</v>
      </c>
      <c r="BJ222" s="583">
        <f t="shared" si="488"/>
        <v>0</v>
      </c>
      <c r="BK222" s="583">
        <f t="shared" si="489"/>
        <v>0</v>
      </c>
      <c r="BL222" s="583">
        <f t="shared" si="490"/>
        <v>0</v>
      </c>
      <c r="BM222" s="583">
        <f t="shared" si="491"/>
        <v>0</v>
      </c>
      <c r="BN222" s="583">
        <f t="shared" si="492"/>
        <v>0</v>
      </c>
      <c r="BO222" s="583">
        <f t="shared" si="493"/>
        <v>0</v>
      </c>
      <c r="BP222" s="583">
        <f t="shared" si="494"/>
        <v>0</v>
      </c>
      <c r="BQ222" s="583">
        <f t="shared" si="495"/>
        <v>0</v>
      </c>
      <c r="BR222" s="583">
        <f t="shared" si="496"/>
        <v>0</v>
      </c>
    </row>
    <row r="223" spans="1:70" s="229" customFormat="1" ht="15" customHeight="1">
      <c r="A223" s="587"/>
      <c r="D223" s="85"/>
      <c r="E223" s="576">
        <f t="shared" si="498"/>
        <v>100</v>
      </c>
      <c r="F223" s="707"/>
      <c r="G223" s="406" t="s">
        <v>3140</v>
      </c>
      <c r="H223" s="1262" t="s">
        <v>3105</v>
      </c>
      <c r="I223" s="85">
        <v>100</v>
      </c>
      <c r="J223" s="682">
        <v>1</v>
      </c>
      <c r="K223" s="579">
        <f t="shared" si="472"/>
        <v>11.000000000000002</v>
      </c>
      <c r="L223" s="580">
        <f>IF(H223="Select ingredient:","",IF(G223="","",_xlfn.IFNA(VLOOKUP($H223,Ingredient_prices!$E:$U,16,FALSE),0)))</f>
        <v>90</v>
      </c>
      <c r="M223" s="844"/>
      <c r="N223" s="844"/>
      <c r="O223" s="588"/>
      <c r="P223" s="589"/>
      <c r="Q223" s="583">
        <f t="shared" si="473"/>
        <v>100</v>
      </c>
      <c r="R223" s="583">
        <f>VLOOKUP($H223,'CO2_emission+%_food_waste'!$A:$K,6,FALSE)*$Q223/100</f>
        <v>28.5</v>
      </c>
      <c r="S223" s="583">
        <f t="shared" si="497"/>
        <v>71.5</v>
      </c>
      <c r="T223" s="583">
        <f>IF(H223="Select ingredient:","",IF(G223="Select food category:","",_xlfn.IFNA(VLOOKUP($H223,Ingredient_prices!$E:$U,16,FALSE)*$Q223/1000,"not bought")))</f>
        <v>9</v>
      </c>
      <c r="U223" s="583">
        <f>IF(G223="Select food category:","",_xlfn.IFNA(VLOOKUP($H223,Ingredient_prices!$E:$U,16,FALSE)*$R223/1000,"not bought"))</f>
        <v>2.5649999999999999</v>
      </c>
      <c r="V223" s="549">
        <f>VLOOKUP($H223,'CO2_emission+%_food_waste'!$A:$K,4,FALSE)*$Q223</f>
        <v>48</v>
      </c>
      <c r="W223" s="583">
        <f>VLOOKUP($H223,Nutrition_tables!$A:$N,10,FALSE)*$Q223/100</f>
        <v>24</v>
      </c>
      <c r="X223" s="583">
        <f>VLOOKUP($H223,Nutrition_tables!$A:$N,11,FALSE)*$Q223/100</f>
        <v>4.0999999999999996</v>
      </c>
      <c r="Y223" s="583">
        <f>VLOOKUP($H223,Nutrition_tables!$A:$N,12,FALSE)*$Q223/100</f>
        <v>1.2</v>
      </c>
      <c r="Z223" s="583">
        <f>VLOOKUP($H223,Nutrition_tables!$A:$N,14,FALSE)*$Q223/100</f>
        <v>0.2</v>
      </c>
      <c r="AA223" s="583">
        <f>VLOOKUP($H223,Nutrition_tables!$A:$AF,13,FALSE)*$Q223/100</f>
        <v>2.5</v>
      </c>
      <c r="AB223" s="549">
        <f>VLOOKUP($H223,Nutrition_tables!$A:$AF,15,FALSE)*$Q223/100</f>
        <v>0.1</v>
      </c>
      <c r="AC223" s="583">
        <f>VLOOKUP($H223,Nutrition_tables!$A:$AF,16,FALSE)*$Q223/100</f>
        <v>5</v>
      </c>
      <c r="AD223" s="583">
        <f>VLOOKUP($H223,Nutrition_tables!$A:$AF,17,FALSE)*$Q223/100</f>
        <v>320</v>
      </c>
      <c r="AE223" s="583">
        <f>VLOOKUP($H223,Nutrition_tables!$A:$AF,18,FALSE)*$Q223/100</f>
        <v>42</v>
      </c>
      <c r="AF223" s="583">
        <f>VLOOKUP($H223,Nutrition_tables!$A:$AF,19,FALSE)*$Q223/100</f>
        <v>14</v>
      </c>
      <c r="AG223" s="583">
        <f>VLOOKUP($H223,Nutrition_tables!$A:$AF,20,FALSE)*$Q223/100</f>
        <v>40</v>
      </c>
      <c r="AH223" s="583">
        <f>VLOOKUP($H223,Nutrition_tables!$A:$AF,21,FALSE)*$Q223/100</f>
        <v>0.4</v>
      </c>
      <c r="AI223" s="583">
        <f>VLOOKUP($H223,Nutrition_tables!$A:$AF,22,FALSE)*$Q223/100</f>
        <v>0.2</v>
      </c>
      <c r="AJ223" s="549">
        <f>VLOOKUP($H223,Nutrition_tables!$A:$AF,23,FALSE)*$Q223/100</f>
        <v>3.833333333333333E-2</v>
      </c>
      <c r="AK223" s="583">
        <f>VLOOKUP($H223,Nutrition_tables!$A:$AF,24,FALSE)*$Q223/100</f>
        <v>5.5</v>
      </c>
      <c r="AL223" s="583">
        <f>VLOOKUP($H223,Nutrition_tables!$A:$AF,25,FALSE)*$Q223/100</f>
        <v>7.0000000000000007E-2</v>
      </c>
      <c r="AM223" s="583">
        <f>VLOOKUP($H223,Nutrition_tables!$A:$AF,26,FALSE)*$Q223/100</f>
        <v>0.05</v>
      </c>
      <c r="AN223" s="583">
        <f>VLOOKUP($H223,Nutrition_tables!$A:$AF,27,FALSE)*$Q223/100</f>
        <v>0.8</v>
      </c>
      <c r="AO223" s="583">
        <f>VLOOKUP($H223,Nutrition_tables!$A:$AF,28,FALSE)*$Q223/100</f>
        <v>3.7999999999999999E-2</v>
      </c>
      <c r="AP223" s="583">
        <f>VLOOKUP($H223,Nutrition_tables!$A:$AF,29,FALSE)*$Q223/100</f>
        <v>29.9</v>
      </c>
      <c r="AQ223" s="583">
        <f>VLOOKUP($H223,Nutrition_tables!$A:$AF,30,FALSE)*$Q223/100</f>
        <v>0</v>
      </c>
      <c r="AR223" s="583">
        <f>VLOOKUP($H223,Nutrition_tables!$A:$AF,31,FALSE)*$Q223/100</f>
        <v>37.4</v>
      </c>
      <c r="AS223" s="549">
        <f>VLOOKUP($H223,Nutrition_tables!$A:$AF,32,FALSE)*$Q223/100</f>
        <v>0</v>
      </c>
      <c r="AT223" s="583">
        <f>IF(H223="Select ingredient:","",IF(G223="Select food category:","",IFERROR(VLOOKUP($H223,Ingredient_prices!$E:$W,17,FALSE)*$Q223/1000,"not bought")))</f>
        <v>6.6</v>
      </c>
      <c r="AU223" s="583">
        <f>IF(H223="Select ingredient:","",IF(G223="Select food category:","",IFERROR(VLOOKUP($H223,Ingredient_prices!$E:$W,18,FALSE)*$Q223/1000,"not bought")))</f>
        <v>9</v>
      </c>
      <c r="AV223" s="583">
        <f t="shared" si="474"/>
        <v>17.159998284000171</v>
      </c>
      <c r="AW223" s="583">
        <f t="shared" si="475"/>
        <v>2.9314997068500288</v>
      </c>
      <c r="AX223" s="583">
        <f t="shared" si="476"/>
        <v>0.85799991420000854</v>
      </c>
      <c r="AY223" s="583">
        <f t="shared" si="477"/>
        <v>0.14299998570000144</v>
      </c>
      <c r="AZ223" s="583">
        <f t="shared" si="478"/>
        <v>1.7874998212500177</v>
      </c>
      <c r="BA223" s="583">
        <f t="shared" si="479"/>
        <v>7.1499992850000721E-2</v>
      </c>
      <c r="BB223" s="583">
        <f t="shared" si="480"/>
        <v>3.5749996425000354</v>
      </c>
      <c r="BC223" s="583">
        <f t="shared" si="481"/>
        <v>228.79997712000227</v>
      </c>
      <c r="BD223" s="583">
        <f t="shared" si="482"/>
        <v>30.0299969970003</v>
      </c>
      <c r="BE223" s="583">
        <f t="shared" si="483"/>
        <v>10.0099989990001</v>
      </c>
      <c r="BF223" s="583">
        <f t="shared" si="484"/>
        <v>28.599997140000283</v>
      </c>
      <c r="BG223" s="583">
        <f t="shared" si="485"/>
        <v>0.28599997140000288</v>
      </c>
      <c r="BH223" s="583">
        <f t="shared" si="486"/>
        <v>0.14299998570000144</v>
      </c>
      <c r="BI223" s="583">
        <f t="shared" si="487"/>
        <v>2.7408330592500273E-2</v>
      </c>
      <c r="BJ223" s="583">
        <f t="shared" si="488"/>
        <v>3.9324996067500391</v>
      </c>
      <c r="BK223" s="583">
        <f t="shared" si="489"/>
        <v>5.0049994995000506E-2</v>
      </c>
      <c r="BL223" s="583">
        <f t="shared" si="490"/>
        <v>3.574999642500036E-2</v>
      </c>
      <c r="BM223" s="583">
        <f t="shared" si="491"/>
        <v>0.57199994280000577</v>
      </c>
      <c r="BN223" s="583">
        <f t="shared" si="492"/>
        <v>2.716999728300027E-2</v>
      </c>
      <c r="BO223" s="583">
        <f t="shared" si="493"/>
        <v>21.378497862150212</v>
      </c>
      <c r="BP223" s="583">
        <f t="shared" si="494"/>
        <v>0</v>
      </c>
      <c r="BQ223" s="583">
        <f t="shared" si="495"/>
        <v>26.740997325900267</v>
      </c>
      <c r="BR223" s="583">
        <f t="shared" si="496"/>
        <v>0</v>
      </c>
    </row>
    <row r="224" spans="1:70" s="229" customFormat="1" ht="15" customHeight="1">
      <c r="A224" s="587"/>
      <c r="D224" s="85"/>
      <c r="E224" s="576">
        <f t="shared" si="498"/>
        <v>100</v>
      </c>
      <c r="F224" s="707"/>
      <c r="G224" s="406" t="s">
        <v>3054</v>
      </c>
      <c r="H224" s="1262" t="s">
        <v>3055</v>
      </c>
      <c r="I224" s="85">
        <v>0</v>
      </c>
      <c r="J224" s="682">
        <v>1</v>
      </c>
      <c r="K224" s="579" t="str">
        <f t="shared" si="472"/>
        <v/>
      </c>
      <c r="L224" s="580" t="str">
        <f>IF(H224="Select ingredient:","",IF(G224="","",_xlfn.IFNA(VLOOKUP($H224,Ingredient_prices!$E:$U,16,FALSE),0)))</f>
        <v/>
      </c>
      <c r="M224" s="844"/>
      <c r="N224" s="844"/>
      <c r="O224" s="588"/>
      <c r="P224" s="589"/>
      <c r="Q224" s="583">
        <f t="shared" si="473"/>
        <v>0</v>
      </c>
      <c r="R224" s="583">
        <f>VLOOKUP($H224,'CO2_emission+%_food_waste'!$A:$K,6,FALSE)*$Q224/100</f>
        <v>0</v>
      </c>
      <c r="S224" s="583">
        <f t="shared" si="497"/>
        <v>0</v>
      </c>
      <c r="T224" s="583" t="str">
        <f>IF(H224="Select ingredient:","",IF(G224="Select food category:","",_xlfn.IFNA(VLOOKUP($H224,Ingredient_prices!$E:$U,16,FALSE)*$Q224/1000,"not bought")))</f>
        <v/>
      </c>
      <c r="U224" s="583" t="str">
        <f>IF(G224="Select food category:","",_xlfn.IFNA(VLOOKUP($H224,Ingredient_prices!$E:$U,16,FALSE)*$R224/1000,"not bought"))</f>
        <v/>
      </c>
      <c r="V224" s="549">
        <f>VLOOKUP($H224,'CO2_emission+%_food_waste'!$A:$K,4,FALSE)*$Q224</f>
        <v>0</v>
      </c>
      <c r="W224" s="583">
        <f>VLOOKUP($H224,Nutrition_tables!$A:$N,10,FALSE)*$Q224/100</f>
        <v>0</v>
      </c>
      <c r="X224" s="583">
        <f>VLOOKUP($H224,Nutrition_tables!$A:$N,11,FALSE)*$Q224/100</f>
        <v>0</v>
      </c>
      <c r="Y224" s="583">
        <f>VLOOKUP($H224,Nutrition_tables!$A:$N,12,FALSE)*$Q224/100</f>
        <v>0</v>
      </c>
      <c r="Z224" s="583">
        <f>VLOOKUP($H224,Nutrition_tables!$A:$N,14,FALSE)*$Q224/100</f>
        <v>0</v>
      </c>
      <c r="AA224" s="583">
        <f>VLOOKUP($H224,Nutrition_tables!$A:$AF,13,FALSE)*$Q224/100</f>
        <v>0</v>
      </c>
      <c r="AB224" s="549">
        <f>VLOOKUP($H224,Nutrition_tables!$A:$AF,15,FALSE)*$Q224/100</f>
        <v>0</v>
      </c>
      <c r="AC224" s="583">
        <f>VLOOKUP($H224,Nutrition_tables!$A:$AF,16,FALSE)*$Q224/100</f>
        <v>0</v>
      </c>
      <c r="AD224" s="583">
        <f>VLOOKUP($H224,Nutrition_tables!$A:$AF,17,FALSE)*$Q224/100</f>
        <v>0</v>
      </c>
      <c r="AE224" s="583">
        <f>VLOOKUP($H224,Nutrition_tables!$A:$AF,18,FALSE)*$Q224/100</f>
        <v>0</v>
      </c>
      <c r="AF224" s="583">
        <f>VLOOKUP($H224,Nutrition_tables!$A:$AF,19,FALSE)*$Q224/100</f>
        <v>0</v>
      </c>
      <c r="AG224" s="583">
        <f>VLOOKUP($H224,Nutrition_tables!$A:$AF,20,FALSE)*$Q224/100</f>
        <v>0</v>
      </c>
      <c r="AH224" s="583">
        <f>VLOOKUP($H224,Nutrition_tables!$A:$AF,21,FALSE)*$Q224/100</f>
        <v>0</v>
      </c>
      <c r="AI224" s="583">
        <f>VLOOKUP($H224,Nutrition_tables!$A:$AF,22,FALSE)*$Q224/100</f>
        <v>0</v>
      </c>
      <c r="AJ224" s="549">
        <f>VLOOKUP($H224,Nutrition_tables!$A:$AF,23,FALSE)*$Q224/100</f>
        <v>0</v>
      </c>
      <c r="AK224" s="583">
        <f>VLOOKUP($H224,Nutrition_tables!$A:$AF,24,FALSE)*$Q224/100</f>
        <v>0</v>
      </c>
      <c r="AL224" s="583">
        <f>VLOOKUP($H224,Nutrition_tables!$A:$AF,25,FALSE)*$Q224/100</f>
        <v>0</v>
      </c>
      <c r="AM224" s="583">
        <f>VLOOKUP($H224,Nutrition_tables!$A:$AF,26,FALSE)*$Q224/100</f>
        <v>0</v>
      </c>
      <c r="AN224" s="583">
        <f>VLOOKUP($H224,Nutrition_tables!$A:$AF,27,FALSE)*$Q224/100</f>
        <v>0</v>
      </c>
      <c r="AO224" s="583">
        <f>VLOOKUP($H224,Nutrition_tables!$A:$AF,28,FALSE)*$Q224/100</f>
        <v>0</v>
      </c>
      <c r="AP224" s="583">
        <f>VLOOKUP($H224,Nutrition_tables!$A:$AF,29,FALSE)*$Q224/100</f>
        <v>0</v>
      </c>
      <c r="AQ224" s="583">
        <f>VLOOKUP($H224,Nutrition_tables!$A:$AF,30,FALSE)*$Q224/100</f>
        <v>0</v>
      </c>
      <c r="AR224" s="583">
        <f>VLOOKUP($H224,Nutrition_tables!$A:$AF,31,FALSE)*$Q224/100</f>
        <v>0</v>
      </c>
      <c r="AS224" s="549">
        <f>VLOOKUP($H224,Nutrition_tables!$A:$AF,32,FALSE)*$Q224/100</f>
        <v>0</v>
      </c>
      <c r="AT224" s="583" t="str">
        <f>IF(H224="Select ingredient:","",IF(G224="Select food category:","",IFERROR(VLOOKUP($H224,Ingredient_prices!$E:$W,17,FALSE)*$Q224/1000,"not bought")))</f>
        <v/>
      </c>
      <c r="AU224" s="583" t="str">
        <f>IF(H224="Select ingredient:","",IF(G224="Select food category:","",IFERROR(VLOOKUP($H224,Ingredient_prices!$E:$W,18,FALSE)*$Q224/1000,"not bought")))</f>
        <v/>
      </c>
      <c r="AV224" s="583">
        <f t="shared" si="474"/>
        <v>0</v>
      </c>
      <c r="AW224" s="583">
        <f t="shared" si="475"/>
        <v>0</v>
      </c>
      <c r="AX224" s="583">
        <f t="shared" si="476"/>
        <v>0</v>
      </c>
      <c r="AY224" s="583">
        <f t="shared" si="477"/>
        <v>0</v>
      </c>
      <c r="AZ224" s="583">
        <f t="shared" si="478"/>
        <v>0</v>
      </c>
      <c r="BA224" s="583">
        <f t="shared" si="479"/>
        <v>0</v>
      </c>
      <c r="BB224" s="583">
        <f t="shared" si="480"/>
        <v>0</v>
      </c>
      <c r="BC224" s="583">
        <f t="shared" si="481"/>
        <v>0</v>
      </c>
      <c r="BD224" s="583">
        <f t="shared" si="482"/>
        <v>0</v>
      </c>
      <c r="BE224" s="583">
        <f t="shared" si="483"/>
        <v>0</v>
      </c>
      <c r="BF224" s="583">
        <f t="shared" si="484"/>
        <v>0</v>
      </c>
      <c r="BG224" s="583">
        <f t="shared" si="485"/>
        <v>0</v>
      </c>
      <c r="BH224" s="583">
        <f t="shared" si="486"/>
        <v>0</v>
      </c>
      <c r="BI224" s="583">
        <f t="shared" si="487"/>
        <v>0</v>
      </c>
      <c r="BJ224" s="583">
        <f t="shared" si="488"/>
        <v>0</v>
      </c>
      <c r="BK224" s="583">
        <f t="shared" si="489"/>
        <v>0</v>
      </c>
      <c r="BL224" s="583">
        <f t="shared" si="490"/>
        <v>0</v>
      </c>
      <c r="BM224" s="583">
        <f t="shared" si="491"/>
        <v>0</v>
      </c>
      <c r="BN224" s="583">
        <f t="shared" si="492"/>
        <v>0</v>
      </c>
      <c r="BO224" s="583">
        <f t="shared" si="493"/>
        <v>0</v>
      </c>
      <c r="BP224" s="583">
        <f t="shared" si="494"/>
        <v>0</v>
      </c>
      <c r="BQ224" s="583">
        <f t="shared" si="495"/>
        <v>0</v>
      </c>
      <c r="BR224" s="583">
        <f t="shared" si="496"/>
        <v>0</v>
      </c>
    </row>
    <row r="225" spans="1:70" s="229" customFormat="1" ht="15" customHeight="1">
      <c r="A225" s="587"/>
      <c r="D225" s="85"/>
      <c r="E225" s="576">
        <f t="shared" si="498"/>
        <v>100</v>
      </c>
      <c r="F225" s="707"/>
      <c r="G225" s="406" t="s">
        <v>3054</v>
      </c>
      <c r="H225" s="1262" t="s">
        <v>3055</v>
      </c>
      <c r="I225" s="85">
        <v>0</v>
      </c>
      <c r="J225" s="682">
        <v>1</v>
      </c>
      <c r="K225" s="579" t="str">
        <f t="shared" si="472"/>
        <v/>
      </c>
      <c r="L225" s="580" t="str">
        <f>IF(H225="Select ingredient:","",IF(G225="","",_xlfn.IFNA(VLOOKUP($H225,Ingredient_prices!$E:$U,16,FALSE),0)))</f>
        <v/>
      </c>
      <c r="M225" s="844"/>
      <c r="N225" s="844"/>
      <c r="O225" s="588"/>
      <c r="P225" s="589"/>
      <c r="Q225" s="583">
        <f t="shared" si="473"/>
        <v>0</v>
      </c>
      <c r="R225" s="583">
        <f>VLOOKUP($H225,'CO2_emission+%_food_waste'!$A:$K,6,FALSE)*$Q225/100</f>
        <v>0</v>
      </c>
      <c r="S225" s="583">
        <f t="shared" si="497"/>
        <v>0</v>
      </c>
      <c r="T225" s="583" t="str">
        <f>IF(H225="Select ingredient:","",IF(G225="Select food category:","",_xlfn.IFNA(VLOOKUP($H225,Ingredient_prices!$E:$U,16,FALSE)*$Q225/1000,"not bought")))</f>
        <v/>
      </c>
      <c r="U225" s="583" t="str">
        <f>IF(G225="Select food category:","",_xlfn.IFNA(VLOOKUP($H225,Ingredient_prices!$E:$U,16,FALSE)*$R225/1000,"not bought"))</f>
        <v/>
      </c>
      <c r="V225" s="549">
        <f>VLOOKUP($H225,'CO2_emission+%_food_waste'!$A:$K,4,FALSE)*$Q225</f>
        <v>0</v>
      </c>
      <c r="W225" s="583">
        <f>VLOOKUP($H225,Nutrition_tables!$A:$N,10,FALSE)*$Q225/100</f>
        <v>0</v>
      </c>
      <c r="X225" s="583">
        <f>VLOOKUP($H225,Nutrition_tables!$A:$N,11,FALSE)*$Q225/100</f>
        <v>0</v>
      </c>
      <c r="Y225" s="583">
        <f>VLOOKUP($H225,Nutrition_tables!$A:$N,12,FALSE)*$Q225/100</f>
        <v>0</v>
      </c>
      <c r="Z225" s="583">
        <f>VLOOKUP($H225,Nutrition_tables!$A:$N,14,FALSE)*$Q225/100</f>
        <v>0</v>
      </c>
      <c r="AA225" s="583">
        <f>VLOOKUP($H225,Nutrition_tables!$A:$AF,13,FALSE)*$Q225/100</f>
        <v>0</v>
      </c>
      <c r="AB225" s="549">
        <f>VLOOKUP($H225,Nutrition_tables!$A:$AF,15,FALSE)*$Q225/100</f>
        <v>0</v>
      </c>
      <c r="AC225" s="583">
        <f>VLOOKUP($H225,Nutrition_tables!$A:$AF,16,FALSE)*$Q225/100</f>
        <v>0</v>
      </c>
      <c r="AD225" s="583">
        <f>VLOOKUP($H225,Nutrition_tables!$A:$AF,17,FALSE)*$Q225/100</f>
        <v>0</v>
      </c>
      <c r="AE225" s="583">
        <f>VLOOKUP($H225,Nutrition_tables!$A:$AF,18,FALSE)*$Q225/100</f>
        <v>0</v>
      </c>
      <c r="AF225" s="583">
        <f>VLOOKUP($H225,Nutrition_tables!$A:$AF,19,FALSE)*$Q225/100</f>
        <v>0</v>
      </c>
      <c r="AG225" s="583">
        <f>VLOOKUP($H225,Nutrition_tables!$A:$AF,20,FALSE)*$Q225/100</f>
        <v>0</v>
      </c>
      <c r="AH225" s="583">
        <f>VLOOKUP($H225,Nutrition_tables!$A:$AF,21,FALSE)*$Q225/100</f>
        <v>0</v>
      </c>
      <c r="AI225" s="583">
        <f>VLOOKUP($H225,Nutrition_tables!$A:$AF,22,FALSE)*$Q225/100</f>
        <v>0</v>
      </c>
      <c r="AJ225" s="549">
        <f>VLOOKUP($H225,Nutrition_tables!$A:$AF,23,FALSE)*$Q225/100</f>
        <v>0</v>
      </c>
      <c r="AK225" s="583">
        <f>VLOOKUP($H225,Nutrition_tables!$A:$AF,24,FALSE)*$Q225/100</f>
        <v>0</v>
      </c>
      <c r="AL225" s="583">
        <f>VLOOKUP($H225,Nutrition_tables!$A:$AF,25,FALSE)*$Q225/100</f>
        <v>0</v>
      </c>
      <c r="AM225" s="583">
        <f>VLOOKUP($H225,Nutrition_tables!$A:$AF,26,FALSE)*$Q225/100</f>
        <v>0</v>
      </c>
      <c r="AN225" s="583">
        <f>VLOOKUP($H225,Nutrition_tables!$A:$AF,27,FALSE)*$Q225/100</f>
        <v>0</v>
      </c>
      <c r="AO225" s="583">
        <f>VLOOKUP($H225,Nutrition_tables!$A:$AF,28,FALSE)*$Q225/100</f>
        <v>0</v>
      </c>
      <c r="AP225" s="583">
        <f>VLOOKUP($H225,Nutrition_tables!$A:$AF,29,FALSE)*$Q225/100</f>
        <v>0</v>
      </c>
      <c r="AQ225" s="583">
        <f>VLOOKUP($H225,Nutrition_tables!$A:$AF,30,FALSE)*$Q225/100</f>
        <v>0</v>
      </c>
      <c r="AR225" s="583">
        <f>VLOOKUP($H225,Nutrition_tables!$A:$AF,31,FALSE)*$Q225/100</f>
        <v>0</v>
      </c>
      <c r="AS225" s="549">
        <f>VLOOKUP($H225,Nutrition_tables!$A:$AF,32,FALSE)*$Q225/100</f>
        <v>0</v>
      </c>
      <c r="AT225" s="583" t="str">
        <f>IF(H225="Select ingredient:","",IF(G225="Select food category:","",IFERROR(VLOOKUP($H225,Ingredient_prices!$E:$W,17,FALSE)*$Q225/1000,"not bought")))</f>
        <v/>
      </c>
      <c r="AU225" s="583" t="str">
        <f>IF(H225="Select ingredient:","",IF(G225="Select food category:","",IFERROR(VLOOKUP($H225,Ingredient_prices!$E:$W,18,FALSE)*$Q225/1000,"not bought")))</f>
        <v/>
      </c>
      <c r="AV225" s="583">
        <f t="shared" si="474"/>
        <v>0</v>
      </c>
      <c r="AW225" s="583">
        <f t="shared" si="475"/>
        <v>0</v>
      </c>
      <c r="AX225" s="583">
        <f t="shared" si="476"/>
        <v>0</v>
      </c>
      <c r="AY225" s="583">
        <f t="shared" si="477"/>
        <v>0</v>
      </c>
      <c r="AZ225" s="583">
        <f t="shared" si="478"/>
        <v>0</v>
      </c>
      <c r="BA225" s="583">
        <f t="shared" si="479"/>
        <v>0</v>
      </c>
      <c r="BB225" s="583">
        <f t="shared" si="480"/>
        <v>0</v>
      </c>
      <c r="BC225" s="583">
        <f t="shared" si="481"/>
        <v>0</v>
      </c>
      <c r="BD225" s="583">
        <f t="shared" si="482"/>
        <v>0</v>
      </c>
      <c r="BE225" s="583">
        <f t="shared" si="483"/>
        <v>0</v>
      </c>
      <c r="BF225" s="583">
        <f t="shared" si="484"/>
        <v>0</v>
      </c>
      <c r="BG225" s="583">
        <f t="shared" si="485"/>
        <v>0</v>
      </c>
      <c r="BH225" s="583">
        <f t="shared" si="486"/>
        <v>0</v>
      </c>
      <c r="BI225" s="583">
        <f t="shared" si="487"/>
        <v>0</v>
      </c>
      <c r="BJ225" s="583">
        <f t="shared" si="488"/>
        <v>0</v>
      </c>
      <c r="BK225" s="583">
        <f t="shared" si="489"/>
        <v>0</v>
      </c>
      <c r="BL225" s="583">
        <f t="shared" si="490"/>
        <v>0</v>
      </c>
      <c r="BM225" s="583">
        <f t="shared" si="491"/>
        <v>0</v>
      </c>
      <c r="BN225" s="583">
        <f t="shared" si="492"/>
        <v>0</v>
      </c>
      <c r="BO225" s="583">
        <f t="shared" si="493"/>
        <v>0</v>
      </c>
      <c r="BP225" s="583">
        <f t="shared" si="494"/>
        <v>0</v>
      </c>
      <c r="BQ225" s="583">
        <f t="shared" si="495"/>
        <v>0</v>
      </c>
      <c r="BR225" s="583">
        <f t="shared" si="496"/>
        <v>0</v>
      </c>
    </row>
    <row r="226" spans="1:70" s="229" customFormat="1" ht="15" customHeight="1">
      <c r="A226" s="587"/>
      <c r="D226" s="85"/>
      <c r="E226" s="576">
        <f t="shared" si="498"/>
        <v>100</v>
      </c>
      <c r="F226" s="707"/>
      <c r="G226" s="406" t="s">
        <v>3054</v>
      </c>
      <c r="H226" s="1262" t="s">
        <v>3055</v>
      </c>
      <c r="I226" s="85">
        <v>0</v>
      </c>
      <c r="J226" s="682">
        <v>1</v>
      </c>
      <c r="K226" s="579" t="str">
        <f t="shared" si="472"/>
        <v/>
      </c>
      <c r="L226" s="580" t="str">
        <f>IF(H226="Select ingredient:","",IF(G226="","",_xlfn.IFNA(VLOOKUP($H226,Ingredient_prices!$E:$U,16,FALSE),0)))</f>
        <v/>
      </c>
      <c r="M226" s="844"/>
      <c r="N226" s="844"/>
      <c r="O226" s="588"/>
      <c r="P226" s="589"/>
      <c r="Q226" s="583">
        <f t="shared" si="473"/>
        <v>0</v>
      </c>
      <c r="R226" s="583">
        <f>VLOOKUP($H226,'CO2_emission+%_food_waste'!$A:$K,6,FALSE)*$Q226/100</f>
        <v>0</v>
      </c>
      <c r="S226" s="583">
        <f t="shared" si="497"/>
        <v>0</v>
      </c>
      <c r="T226" s="583" t="str">
        <f>IF(H226="Select ingredient:","",IF(G226="Select food category:","",_xlfn.IFNA(VLOOKUP($H226,Ingredient_prices!$E:$U,16,FALSE)*$Q226/1000,"not bought")))</f>
        <v/>
      </c>
      <c r="U226" s="583" t="str">
        <f>IF(G226="Select food category:","",_xlfn.IFNA(VLOOKUP($H226,Ingredient_prices!$E:$U,16,FALSE)*$R226/1000,"not bought"))</f>
        <v/>
      </c>
      <c r="V226" s="549">
        <f>VLOOKUP($H226,'CO2_emission+%_food_waste'!$A:$K,4,FALSE)*$Q226</f>
        <v>0</v>
      </c>
      <c r="W226" s="583">
        <f>VLOOKUP($H226,Nutrition_tables!$A:$N,10,FALSE)*$Q226/100</f>
        <v>0</v>
      </c>
      <c r="X226" s="583">
        <f>VLOOKUP($H226,Nutrition_tables!$A:$N,11,FALSE)*$Q226/100</f>
        <v>0</v>
      </c>
      <c r="Y226" s="583">
        <f>VLOOKUP($H226,Nutrition_tables!$A:$N,12,FALSE)*$Q226/100</f>
        <v>0</v>
      </c>
      <c r="Z226" s="583">
        <f>VLOOKUP($H226,Nutrition_tables!$A:$N,14,FALSE)*$Q226/100</f>
        <v>0</v>
      </c>
      <c r="AA226" s="583">
        <f>VLOOKUP($H226,Nutrition_tables!$A:$AF,13,FALSE)*$Q226/100</f>
        <v>0</v>
      </c>
      <c r="AB226" s="549">
        <f>VLOOKUP($H226,Nutrition_tables!$A:$AF,15,FALSE)*$Q226/100</f>
        <v>0</v>
      </c>
      <c r="AC226" s="583">
        <f>VLOOKUP($H226,Nutrition_tables!$A:$AF,16,FALSE)*$Q226/100</f>
        <v>0</v>
      </c>
      <c r="AD226" s="583">
        <f>VLOOKUP($H226,Nutrition_tables!$A:$AF,17,FALSE)*$Q226/100</f>
        <v>0</v>
      </c>
      <c r="AE226" s="583">
        <f>VLOOKUP($H226,Nutrition_tables!$A:$AF,18,FALSE)*$Q226/100</f>
        <v>0</v>
      </c>
      <c r="AF226" s="583">
        <f>VLOOKUP($H226,Nutrition_tables!$A:$AF,19,FALSE)*$Q226/100</f>
        <v>0</v>
      </c>
      <c r="AG226" s="583">
        <f>VLOOKUP($H226,Nutrition_tables!$A:$AF,20,FALSE)*$Q226/100</f>
        <v>0</v>
      </c>
      <c r="AH226" s="583">
        <f>VLOOKUP($H226,Nutrition_tables!$A:$AF,21,FALSE)*$Q226/100</f>
        <v>0</v>
      </c>
      <c r="AI226" s="583">
        <f>VLOOKUP($H226,Nutrition_tables!$A:$AF,22,FALSE)*$Q226/100</f>
        <v>0</v>
      </c>
      <c r="AJ226" s="549">
        <f>VLOOKUP($H226,Nutrition_tables!$A:$AF,23,FALSE)*$Q226/100</f>
        <v>0</v>
      </c>
      <c r="AK226" s="583">
        <f>VLOOKUP($H226,Nutrition_tables!$A:$AF,24,FALSE)*$Q226/100</f>
        <v>0</v>
      </c>
      <c r="AL226" s="583">
        <f>VLOOKUP($H226,Nutrition_tables!$A:$AF,25,FALSE)*$Q226/100</f>
        <v>0</v>
      </c>
      <c r="AM226" s="583">
        <f>VLOOKUP($H226,Nutrition_tables!$A:$AF,26,FALSE)*$Q226/100</f>
        <v>0</v>
      </c>
      <c r="AN226" s="583">
        <f>VLOOKUP($H226,Nutrition_tables!$A:$AF,27,FALSE)*$Q226/100</f>
        <v>0</v>
      </c>
      <c r="AO226" s="583">
        <f>VLOOKUP($H226,Nutrition_tables!$A:$AF,28,FALSE)*$Q226/100</f>
        <v>0</v>
      </c>
      <c r="AP226" s="583">
        <f>VLOOKUP($H226,Nutrition_tables!$A:$AF,29,FALSE)*$Q226/100</f>
        <v>0</v>
      </c>
      <c r="AQ226" s="583">
        <f>VLOOKUP($H226,Nutrition_tables!$A:$AF,30,FALSE)*$Q226/100</f>
        <v>0</v>
      </c>
      <c r="AR226" s="583">
        <f>VLOOKUP($H226,Nutrition_tables!$A:$AF,31,FALSE)*$Q226/100</f>
        <v>0</v>
      </c>
      <c r="AS226" s="549">
        <f>VLOOKUP($H226,Nutrition_tables!$A:$AF,32,FALSE)*$Q226/100</f>
        <v>0</v>
      </c>
      <c r="AT226" s="583" t="str">
        <f>IF(H226="Select ingredient:","",IF(G226="Select food category:","",IFERROR(VLOOKUP($H226,Ingredient_prices!$E:$W,17,FALSE)*$Q226/1000,"not bought")))</f>
        <v/>
      </c>
      <c r="AU226" s="583" t="str">
        <f>IF(H226="Select ingredient:","",IF(G226="Select food category:","",IFERROR(VLOOKUP($H226,Ingredient_prices!$E:$W,18,FALSE)*$Q226/1000,"not bought")))</f>
        <v/>
      </c>
      <c r="AV226" s="583">
        <f t="shared" si="474"/>
        <v>0</v>
      </c>
      <c r="AW226" s="583">
        <f t="shared" si="475"/>
        <v>0</v>
      </c>
      <c r="AX226" s="583">
        <f t="shared" si="476"/>
        <v>0</v>
      </c>
      <c r="AY226" s="583">
        <f t="shared" si="477"/>
        <v>0</v>
      </c>
      <c r="AZ226" s="583">
        <f t="shared" si="478"/>
        <v>0</v>
      </c>
      <c r="BA226" s="583">
        <f t="shared" si="479"/>
        <v>0</v>
      </c>
      <c r="BB226" s="583">
        <f t="shared" si="480"/>
        <v>0</v>
      </c>
      <c r="BC226" s="583">
        <f t="shared" si="481"/>
        <v>0</v>
      </c>
      <c r="BD226" s="583">
        <f t="shared" si="482"/>
        <v>0</v>
      </c>
      <c r="BE226" s="583">
        <f t="shared" si="483"/>
        <v>0</v>
      </c>
      <c r="BF226" s="583">
        <f t="shared" si="484"/>
        <v>0</v>
      </c>
      <c r="BG226" s="583">
        <f t="shared" si="485"/>
        <v>0</v>
      </c>
      <c r="BH226" s="583">
        <f t="shared" si="486"/>
        <v>0</v>
      </c>
      <c r="BI226" s="583">
        <f t="shared" si="487"/>
        <v>0</v>
      </c>
      <c r="BJ226" s="583">
        <f t="shared" si="488"/>
        <v>0</v>
      </c>
      <c r="BK226" s="583">
        <f t="shared" si="489"/>
        <v>0</v>
      </c>
      <c r="BL226" s="583">
        <f t="shared" si="490"/>
        <v>0</v>
      </c>
      <c r="BM226" s="583">
        <f t="shared" si="491"/>
        <v>0</v>
      </c>
      <c r="BN226" s="583">
        <f t="shared" si="492"/>
        <v>0</v>
      </c>
      <c r="BO226" s="583">
        <f t="shared" si="493"/>
        <v>0</v>
      </c>
      <c r="BP226" s="583">
        <f t="shared" si="494"/>
        <v>0</v>
      </c>
      <c r="BQ226" s="583">
        <f t="shared" si="495"/>
        <v>0</v>
      </c>
      <c r="BR226" s="583">
        <f t="shared" si="496"/>
        <v>0</v>
      </c>
    </row>
    <row r="227" spans="1:70" s="229" customFormat="1" ht="15" customHeight="1">
      <c r="A227" s="587"/>
      <c r="D227" s="85"/>
      <c r="E227" s="576">
        <f t="shared" si="498"/>
        <v>100</v>
      </c>
      <c r="F227" s="707"/>
      <c r="G227" s="406" t="s">
        <v>3054</v>
      </c>
      <c r="H227" s="1262" t="s">
        <v>3055</v>
      </c>
      <c r="I227" s="85">
        <v>0</v>
      </c>
      <c r="J227" s="682">
        <v>1</v>
      </c>
      <c r="K227" s="579" t="str">
        <f t="shared" si="472"/>
        <v/>
      </c>
      <c r="L227" s="580" t="str">
        <f>IF(H227="Select ingredient:","",IF(G227="","",_xlfn.IFNA(VLOOKUP($H227,Ingredient_prices!$E:$U,16,FALSE),0)))</f>
        <v/>
      </c>
      <c r="M227" s="844"/>
      <c r="N227" s="844"/>
      <c r="O227" s="588"/>
      <c r="P227" s="589"/>
      <c r="Q227" s="583">
        <f t="shared" si="473"/>
        <v>0</v>
      </c>
      <c r="R227" s="583">
        <f>VLOOKUP($H227,'CO2_emission+%_food_waste'!$A:$K,6,FALSE)*$Q227/100</f>
        <v>0</v>
      </c>
      <c r="S227" s="583">
        <f t="shared" si="497"/>
        <v>0</v>
      </c>
      <c r="T227" s="583" t="str">
        <f>IF(H227="Select ingredient:","",IF(G227="Select food category:","",_xlfn.IFNA(VLOOKUP($H227,Ingredient_prices!$E:$U,16,FALSE)*$Q227/1000,"not bought")))</f>
        <v/>
      </c>
      <c r="U227" s="583" t="str">
        <f>IF(G227="Select food category:","",_xlfn.IFNA(VLOOKUP($H227,Ingredient_prices!$E:$U,16,FALSE)*$R227/1000,"not bought"))</f>
        <v/>
      </c>
      <c r="V227" s="549">
        <f>VLOOKUP($H227,'CO2_emission+%_food_waste'!$A:$K,4,FALSE)*$Q227</f>
        <v>0</v>
      </c>
      <c r="W227" s="583">
        <f>VLOOKUP($H227,Nutrition_tables!$A:$N,10,FALSE)*$Q227/100</f>
        <v>0</v>
      </c>
      <c r="X227" s="583">
        <f>VLOOKUP($H227,Nutrition_tables!$A:$N,11,FALSE)*$Q227/100</f>
        <v>0</v>
      </c>
      <c r="Y227" s="583">
        <f>VLOOKUP($H227,Nutrition_tables!$A:$N,12,FALSE)*$Q227/100</f>
        <v>0</v>
      </c>
      <c r="Z227" s="583">
        <f>VLOOKUP($H227,Nutrition_tables!$A:$N,14,FALSE)*$Q227/100</f>
        <v>0</v>
      </c>
      <c r="AA227" s="583">
        <f>VLOOKUP($H227,Nutrition_tables!$A:$AF,13,FALSE)*$Q227/100</f>
        <v>0</v>
      </c>
      <c r="AB227" s="549">
        <f>VLOOKUP($H227,Nutrition_tables!$A:$AF,15,FALSE)*$Q227/100</f>
        <v>0</v>
      </c>
      <c r="AC227" s="583">
        <f>VLOOKUP($H227,Nutrition_tables!$A:$AF,16,FALSE)*$Q227/100</f>
        <v>0</v>
      </c>
      <c r="AD227" s="583">
        <f>VLOOKUP($H227,Nutrition_tables!$A:$AF,17,FALSE)*$Q227/100</f>
        <v>0</v>
      </c>
      <c r="AE227" s="583">
        <f>VLOOKUP($H227,Nutrition_tables!$A:$AF,18,FALSE)*$Q227/100</f>
        <v>0</v>
      </c>
      <c r="AF227" s="583">
        <f>VLOOKUP($H227,Nutrition_tables!$A:$AF,19,FALSE)*$Q227/100</f>
        <v>0</v>
      </c>
      <c r="AG227" s="583">
        <f>VLOOKUP($H227,Nutrition_tables!$A:$AF,20,FALSE)*$Q227/100</f>
        <v>0</v>
      </c>
      <c r="AH227" s="583">
        <f>VLOOKUP($H227,Nutrition_tables!$A:$AF,21,FALSE)*$Q227/100</f>
        <v>0</v>
      </c>
      <c r="AI227" s="583">
        <f>VLOOKUP($H227,Nutrition_tables!$A:$AF,22,FALSE)*$Q227/100</f>
        <v>0</v>
      </c>
      <c r="AJ227" s="549">
        <f>VLOOKUP($H227,Nutrition_tables!$A:$AF,23,FALSE)*$Q227/100</f>
        <v>0</v>
      </c>
      <c r="AK227" s="583">
        <f>VLOOKUP($H227,Nutrition_tables!$A:$AF,24,FALSE)*$Q227/100</f>
        <v>0</v>
      </c>
      <c r="AL227" s="583">
        <f>VLOOKUP($H227,Nutrition_tables!$A:$AF,25,FALSE)*$Q227/100</f>
        <v>0</v>
      </c>
      <c r="AM227" s="583">
        <f>VLOOKUP($H227,Nutrition_tables!$A:$AF,26,FALSE)*$Q227/100</f>
        <v>0</v>
      </c>
      <c r="AN227" s="583">
        <f>VLOOKUP($H227,Nutrition_tables!$A:$AF,27,FALSE)*$Q227/100</f>
        <v>0</v>
      </c>
      <c r="AO227" s="583">
        <f>VLOOKUP($H227,Nutrition_tables!$A:$AF,28,FALSE)*$Q227/100</f>
        <v>0</v>
      </c>
      <c r="AP227" s="583">
        <f>VLOOKUP($H227,Nutrition_tables!$A:$AF,29,FALSE)*$Q227/100</f>
        <v>0</v>
      </c>
      <c r="AQ227" s="583">
        <f>VLOOKUP($H227,Nutrition_tables!$A:$AF,30,FALSE)*$Q227/100</f>
        <v>0</v>
      </c>
      <c r="AR227" s="583">
        <f>VLOOKUP($H227,Nutrition_tables!$A:$AF,31,FALSE)*$Q227/100</f>
        <v>0</v>
      </c>
      <c r="AS227" s="549">
        <f>VLOOKUP($H227,Nutrition_tables!$A:$AF,32,FALSE)*$Q227/100</f>
        <v>0</v>
      </c>
      <c r="AT227" s="583" t="str">
        <f>IF(H227="Select ingredient:","",IF(G227="Select food category:","",IFERROR(VLOOKUP($H227,Ingredient_prices!$E:$W,17,FALSE)*$Q227/1000,"not bought")))</f>
        <v/>
      </c>
      <c r="AU227" s="583" t="str">
        <f>IF(H227="Select ingredient:","",IF(G227="Select food category:","",IFERROR(VLOOKUP($H227,Ingredient_prices!$E:$W,18,FALSE)*$Q227/1000,"not bought")))</f>
        <v/>
      </c>
      <c r="AV227" s="583">
        <f t="shared" si="474"/>
        <v>0</v>
      </c>
      <c r="AW227" s="583">
        <f t="shared" si="475"/>
        <v>0</v>
      </c>
      <c r="AX227" s="583">
        <f t="shared" si="476"/>
        <v>0</v>
      </c>
      <c r="AY227" s="583">
        <f t="shared" si="477"/>
        <v>0</v>
      </c>
      <c r="AZ227" s="583">
        <f t="shared" si="478"/>
        <v>0</v>
      </c>
      <c r="BA227" s="583">
        <f t="shared" si="479"/>
        <v>0</v>
      </c>
      <c r="BB227" s="583">
        <f t="shared" si="480"/>
        <v>0</v>
      </c>
      <c r="BC227" s="583">
        <f t="shared" si="481"/>
        <v>0</v>
      </c>
      <c r="BD227" s="583">
        <f t="shared" si="482"/>
        <v>0</v>
      </c>
      <c r="BE227" s="583">
        <f t="shared" si="483"/>
        <v>0</v>
      </c>
      <c r="BF227" s="583">
        <f t="shared" si="484"/>
        <v>0</v>
      </c>
      <c r="BG227" s="583">
        <f t="shared" si="485"/>
        <v>0</v>
      </c>
      <c r="BH227" s="583">
        <f t="shared" si="486"/>
        <v>0</v>
      </c>
      <c r="BI227" s="583">
        <f t="shared" si="487"/>
        <v>0</v>
      </c>
      <c r="BJ227" s="583">
        <f t="shared" si="488"/>
        <v>0</v>
      </c>
      <c r="BK227" s="583">
        <f t="shared" si="489"/>
        <v>0</v>
      </c>
      <c r="BL227" s="583">
        <f t="shared" si="490"/>
        <v>0</v>
      </c>
      <c r="BM227" s="583">
        <f t="shared" si="491"/>
        <v>0</v>
      </c>
      <c r="BN227" s="583">
        <f t="shared" si="492"/>
        <v>0</v>
      </c>
      <c r="BO227" s="583">
        <f t="shared" si="493"/>
        <v>0</v>
      </c>
      <c r="BP227" s="583">
        <f t="shared" si="494"/>
        <v>0</v>
      </c>
      <c r="BQ227" s="583">
        <f t="shared" si="495"/>
        <v>0</v>
      </c>
      <c r="BR227" s="583">
        <f t="shared" si="496"/>
        <v>0</v>
      </c>
    </row>
    <row r="228" spans="1:70" s="229" customFormat="1" ht="15" customHeight="1">
      <c r="A228" s="587"/>
      <c r="D228" s="85"/>
      <c r="E228" s="576">
        <f t="shared" si="498"/>
        <v>100</v>
      </c>
      <c r="F228" s="707"/>
      <c r="G228" s="406" t="s">
        <v>3054</v>
      </c>
      <c r="H228" s="1262" t="s">
        <v>3055</v>
      </c>
      <c r="I228" s="85">
        <v>0</v>
      </c>
      <c r="J228" s="682">
        <v>1</v>
      </c>
      <c r="K228" s="579" t="str">
        <f t="shared" si="472"/>
        <v/>
      </c>
      <c r="L228" s="580" t="str">
        <f>IF(H228="Select ingredient:","",IF(G228="","",_xlfn.IFNA(VLOOKUP($H228,Ingredient_prices!$E:$U,16,FALSE),0)))</f>
        <v/>
      </c>
      <c r="M228" s="844"/>
      <c r="N228" s="844"/>
      <c r="O228" s="588"/>
      <c r="P228" s="589"/>
      <c r="Q228" s="583">
        <f t="shared" si="473"/>
        <v>0</v>
      </c>
      <c r="R228" s="583">
        <f>VLOOKUP($H228,'CO2_emission+%_food_waste'!$A:$K,6,FALSE)*$Q228/100</f>
        <v>0</v>
      </c>
      <c r="S228" s="583">
        <f t="shared" si="497"/>
        <v>0</v>
      </c>
      <c r="T228" s="583" t="str">
        <f>IF(H228="Select ingredient:","",IF(G228="Select food category:","",_xlfn.IFNA(VLOOKUP($H228,Ingredient_prices!$E:$U,16,FALSE)*$Q228/1000,"not bought")))</f>
        <v/>
      </c>
      <c r="U228" s="583" t="str">
        <f>IF(G228="Select food category:","",_xlfn.IFNA(VLOOKUP($H228,Ingredient_prices!$E:$U,16,FALSE)*$R228/1000,"not bought"))</f>
        <v/>
      </c>
      <c r="V228" s="549">
        <f>VLOOKUP($H228,'CO2_emission+%_food_waste'!$A:$K,4,FALSE)*$Q228</f>
        <v>0</v>
      </c>
      <c r="W228" s="583">
        <f>VLOOKUP($H228,Nutrition_tables!$A:$N,10,FALSE)*$Q228/100</f>
        <v>0</v>
      </c>
      <c r="X228" s="583">
        <f>VLOOKUP($H228,Nutrition_tables!$A:$N,11,FALSE)*$Q228/100</f>
        <v>0</v>
      </c>
      <c r="Y228" s="583">
        <f>VLOOKUP($H228,Nutrition_tables!$A:$N,12,FALSE)*$Q228/100</f>
        <v>0</v>
      </c>
      <c r="Z228" s="583">
        <f>VLOOKUP($H228,Nutrition_tables!$A:$N,14,FALSE)*$Q228/100</f>
        <v>0</v>
      </c>
      <c r="AA228" s="583">
        <f>VLOOKUP($H228,Nutrition_tables!$A:$AF,13,FALSE)*$Q228/100</f>
        <v>0</v>
      </c>
      <c r="AB228" s="549">
        <f>VLOOKUP($H228,Nutrition_tables!$A:$AF,15,FALSE)*$Q228/100</f>
        <v>0</v>
      </c>
      <c r="AC228" s="583">
        <f>VLOOKUP($H228,Nutrition_tables!$A:$AF,16,FALSE)*$Q228/100</f>
        <v>0</v>
      </c>
      <c r="AD228" s="583">
        <f>VLOOKUP($H228,Nutrition_tables!$A:$AF,17,FALSE)*$Q228/100</f>
        <v>0</v>
      </c>
      <c r="AE228" s="583">
        <f>VLOOKUP($H228,Nutrition_tables!$A:$AF,18,FALSE)*$Q228/100</f>
        <v>0</v>
      </c>
      <c r="AF228" s="583">
        <f>VLOOKUP($H228,Nutrition_tables!$A:$AF,19,FALSE)*$Q228/100</f>
        <v>0</v>
      </c>
      <c r="AG228" s="583">
        <f>VLOOKUP($H228,Nutrition_tables!$A:$AF,20,FALSE)*$Q228/100</f>
        <v>0</v>
      </c>
      <c r="AH228" s="583">
        <f>VLOOKUP($H228,Nutrition_tables!$A:$AF,21,FALSE)*$Q228/100</f>
        <v>0</v>
      </c>
      <c r="AI228" s="583">
        <f>VLOOKUP($H228,Nutrition_tables!$A:$AF,22,FALSE)*$Q228/100</f>
        <v>0</v>
      </c>
      <c r="AJ228" s="549">
        <f>VLOOKUP($H228,Nutrition_tables!$A:$AF,23,FALSE)*$Q228/100</f>
        <v>0</v>
      </c>
      <c r="AK228" s="583">
        <f>VLOOKUP($H228,Nutrition_tables!$A:$AF,24,FALSE)*$Q228/100</f>
        <v>0</v>
      </c>
      <c r="AL228" s="583">
        <f>VLOOKUP($H228,Nutrition_tables!$A:$AF,25,FALSE)*$Q228/100</f>
        <v>0</v>
      </c>
      <c r="AM228" s="583">
        <f>VLOOKUP($H228,Nutrition_tables!$A:$AF,26,FALSE)*$Q228/100</f>
        <v>0</v>
      </c>
      <c r="AN228" s="583">
        <f>VLOOKUP($H228,Nutrition_tables!$A:$AF,27,FALSE)*$Q228/100</f>
        <v>0</v>
      </c>
      <c r="AO228" s="583">
        <f>VLOOKUP($H228,Nutrition_tables!$A:$AF,28,FALSE)*$Q228/100</f>
        <v>0</v>
      </c>
      <c r="AP228" s="583">
        <f>VLOOKUP($H228,Nutrition_tables!$A:$AF,29,FALSE)*$Q228/100</f>
        <v>0</v>
      </c>
      <c r="AQ228" s="583">
        <f>VLOOKUP($H228,Nutrition_tables!$A:$AF,30,FALSE)*$Q228/100</f>
        <v>0</v>
      </c>
      <c r="AR228" s="583">
        <f>VLOOKUP($H228,Nutrition_tables!$A:$AF,31,FALSE)*$Q228/100</f>
        <v>0</v>
      </c>
      <c r="AS228" s="549">
        <f>VLOOKUP($H228,Nutrition_tables!$A:$AF,32,FALSE)*$Q228/100</f>
        <v>0</v>
      </c>
      <c r="AT228" s="583" t="str">
        <f>IF(H228="Select ingredient:","",IF(G228="Select food category:","",IFERROR(VLOOKUP($H228,Ingredient_prices!$E:$W,17,FALSE)*$Q228/1000,"not bought")))</f>
        <v/>
      </c>
      <c r="AU228" s="583" t="str">
        <f>IF(H228="Select ingredient:","",IF(G228="Select food category:","",IFERROR(VLOOKUP($H228,Ingredient_prices!$E:$W,18,FALSE)*$Q228/1000,"not bought")))</f>
        <v/>
      </c>
      <c r="AV228" s="583">
        <f t="shared" si="474"/>
        <v>0</v>
      </c>
      <c r="AW228" s="583">
        <f t="shared" si="475"/>
        <v>0</v>
      </c>
      <c r="AX228" s="583">
        <f t="shared" si="476"/>
        <v>0</v>
      </c>
      <c r="AY228" s="583">
        <f t="shared" si="477"/>
        <v>0</v>
      </c>
      <c r="AZ228" s="583">
        <f t="shared" si="478"/>
        <v>0</v>
      </c>
      <c r="BA228" s="583">
        <f t="shared" si="479"/>
        <v>0</v>
      </c>
      <c r="BB228" s="583">
        <f t="shared" si="480"/>
        <v>0</v>
      </c>
      <c r="BC228" s="583">
        <f t="shared" si="481"/>
        <v>0</v>
      </c>
      <c r="BD228" s="583">
        <f t="shared" si="482"/>
        <v>0</v>
      </c>
      <c r="BE228" s="583">
        <f t="shared" si="483"/>
        <v>0</v>
      </c>
      <c r="BF228" s="583">
        <f t="shared" si="484"/>
        <v>0</v>
      </c>
      <c r="BG228" s="583">
        <f t="shared" si="485"/>
        <v>0</v>
      </c>
      <c r="BH228" s="583">
        <f t="shared" si="486"/>
        <v>0</v>
      </c>
      <c r="BI228" s="583">
        <f t="shared" si="487"/>
        <v>0</v>
      </c>
      <c r="BJ228" s="583">
        <f t="shared" si="488"/>
        <v>0</v>
      </c>
      <c r="BK228" s="583">
        <f t="shared" si="489"/>
        <v>0</v>
      </c>
      <c r="BL228" s="583">
        <f t="shared" si="490"/>
        <v>0</v>
      </c>
      <c r="BM228" s="583">
        <f t="shared" si="491"/>
        <v>0</v>
      </c>
      <c r="BN228" s="583">
        <f t="shared" si="492"/>
        <v>0</v>
      </c>
      <c r="BO228" s="583">
        <f t="shared" si="493"/>
        <v>0</v>
      </c>
      <c r="BP228" s="583">
        <f t="shared" si="494"/>
        <v>0</v>
      </c>
      <c r="BQ228" s="583">
        <f t="shared" si="495"/>
        <v>0</v>
      </c>
      <c r="BR228" s="583">
        <f t="shared" si="496"/>
        <v>0</v>
      </c>
    </row>
    <row r="229" spans="1:70" s="603" customFormat="1" ht="56">
      <c r="A229" s="587"/>
      <c r="B229" s="593"/>
      <c r="C229" s="522"/>
      <c r="D229" s="141"/>
      <c r="E229" s="594"/>
      <c r="F229" s="708"/>
      <c r="G229" s="522"/>
      <c r="H229" s="522"/>
      <c r="I229" s="86"/>
      <c r="J229" s="87"/>
      <c r="K229" s="595"/>
      <c r="L229" s="596"/>
      <c r="M229" s="845"/>
      <c r="N229" s="845"/>
      <c r="O229" s="588"/>
      <c r="P229" s="638"/>
      <c r="Q229" s="599" t="s">
        <v>384</v>
      </c>
      <c r="R229" s="600" t="s">
        <v>455</v>
      </c>
      <c r="S229" s="600" t="s">
        <v>2087</v>
      </c>
      <c r="T229" s="600" t="s">
        <v>456</v>
      </c>
      <c r="U229" s="600" t="s">
        <v>535</v>
      </c>
      <c r="V229" s="601" t="s">
        <v>457</v>
      </c>
      <c r="W229" s="600" t="s">
        <v>75</v>
      </c>
      <c r="X229" s="600" t="s">
        <v>385</v>
      </c>
      <c r="Y229" s="600" t="s">
        <v>386</v>
      </c>
      <c r="Z229" s="600" t="s">
        <v>387</v>
      </c>
      <c r="AA229" s="600" t="s">
        <v>388</v>
      </c>
      <c r="AB229" s="601" t="s">
        <v>389</v>
      </c>
      <c r="AC229" s="602" t="s">
        <v>390</v>
      </c>
      <c r="AD229" s="600" t="s">
        <v>391</v>
      </c>
      <c r="AE229" s="600" t="s">
        <v>392</v>
      </c>
      <c r="AF229" s="600" t="s">
        <v>393</v>
      </c>
      <c r="AG229" s="600" t="s">
        <v>394</v>
      </c>
      <c r="AH229" s="600" t="s">
        <v>395</v>
      </c>
      <c r="AI229" s="600" t="s">
        <v>396</v>
      </c>
      <c r="AJ229" s="601" t="s">
        <v>397</v>
      </c>
      <c r="AK229" s="602" t="s">
        <v>398</v>
      </c>
      <c r="AL229" s="600" t="s">
        <v>399</v>
      </c>
      <c r="AM229" s="600" t="s">
        <v>400</v>
      </c>
      <c r="AN229" s="600" t="s">
        <v>401</v>
      </c>
      <c r="AO229" s="600" t="s">
        <v>402</v>
      </c>
      <c r="AP229" s="600" t="s">
        <v>406</v>
      </c>
      <c r="AQ229" s="600" t="s">
        <v>405</v>
      </c>
      <c r="AR229" s="600" t="s">
        <v>403</v>
      </c>
      <c r="AS229" s="601" t="s">
        <v>404</v>
      </c>
      <c r="AT229" s="593"/>
      <c r="AU229" s="593"/>
    </row>
    <row r="230" spans="1:70" s="229" customFormat="1">
      <c r="A230" s="587"/>
      <c r="B230" s="522"/>
      <c r="C230" s="522"/>
      <c r="D230" s="141"/>
      <c r="E230" s="594"/>
      <c r="F230" s="708"/>
      <c r="G230" s="522"/>
      <c r="H230" s="522"/>
      <c r="I230" s="86"/>
      <c r="J230" s="87"/>
      <c r="K230" s="595"/>
      <c r="L230" s="604"/>
      <c r="M230" s="846"/>
      <c r="N230" s="846"/>
      <c r="O230" s="588"/>
      <c r="P230" s="639" t="s">
        <v>383</v>
      </c>
      <c r="Q230" s="583">
        <f>SUM(Q209:Q228)</f>
        <v>100</v>
      </c>
      <c r="R230" s="583">
        <f t="shared" ref="R230:V230" si="499">SUM(R209:R228)</f>
        <v>28.5</v>
      </c>
      <c r="S230" s="583">
        <f>SUM(S209:S228)</f>
        <v>71.5</v>
      </c>
      <c r="T230" s="583">
        <f t="shared" si="499"/>
        <v>9</v>
      </c>
      <c r="U230" s="583">
        <f t="shared" si="499"/>
        <v>2.5649999999999999</v>
      </c>
      <c r="V230" s="549">
        <f t="shared" si="499"/>
        <v>48</v>
      </c>
      <c r="W230" s="583">
        <f t="shared" ref="W230:AU230" si="500">SUM(W209:W228)</f>
        <v>24</v>
      </c>
      <c r="X230" s="583">
        <f t="shared" si="500"/>
        <v>4.0999999999999996</v>
      </c>
      <c r="Y230" s="583">
        <f t="shared" si="500"/>
        <v>1.2</v>
      </c>
      <c r="Z230" s="583">
        <f t="shared" si="500"/>
        <v>0.2</v>
      </c>
      <c r="AA230" s="583">
        <f t="shared" si="500"/>
        <v>2.5</v>
      </c>
      <c r="AB230" s="549">
        <f t="shared" si="500"/>
        <v>0.1</v>
      </c>
      <c r="AC230" s="583">
        <f t="shared" si="500"/>
        <v>5</v>
      </c>
      <c r="AD230" s="583">
        <f t="shared" si="500"/>
        <v>320</v>
      </c>
      <c r="AE230" s="583">
        <f t="shared" si="500"/>
        <v>42</v>
      </c>
      <c r="AF230" s="583">
        <f t="shared" si="500"/>
        <v>14</v>
      </c>
      <c r="AG230" s="583">
        <f t="shared" si="500"/>
        <v>40</v>
      </c>
      <c r="AH230" s="583">
        <f t="shared" si="500"/>
        <v>0.4</v>
      </c>
      <c r="AI230" s="583">
        <f t="shared" si="500"/>
        <v>0.2</v>
      </c>
      <c r="AJ230" s="549">
        <f t="shared" si="500"/>
        <v>3.833333333333333E-2</v>
      </c>
      <c r="AK230" s="583">
        <f t="shared" si="500"/>
        <v>5.5</v>
      </c>
      <c r="AL230" s="583">
        <f t="shared" si="500"/>
        <v>7.0000000000000007E-2</v>
      </c>
      <c r="AM230" s="583">
        <f t="shared" si="500"/>
        <v>0.05</v>
      </c>
      <c r="AN230" s="583">
        <f t="shared" si="500"/>
        <v>0.8</v>
      </c>
      <c r="AO230" s="583">
        <f t="shared" si="500"/>
        <v>3.7999999999999999E-2</v>
      </c>
      <c r="AP230" s="583">
        <f t="shared" si="500"/>
        <v>29.9</v>
      </c>
      <c r="AQ230" s="583">
        <f t="shared" si="500"/>
        <v>0</v>
      </c>
      <c r="AR230" s="583">
        <f t="shared" si="500"/>
        <v>37.4</v>
      </c>
      <c r="AS230" s="549">
        <f t="shared" si="500"/>
        <v>0</v>
      </c>
      <c r="AT230" s="583">
        <f t="shared" si="500"/>
        <v>6.6</v>
      </c>
      <c r="AU230" s="583">
        <f t="shared" si="500"/>
        <v>9</v>
      </c>
      <c r="AV230" s="583">
        <f>SUM(AV209:AV228)</f>
        <v>17.159998284000171</v>
      </c>
      <c r="AW230" s="583">
        <f t="shared" ref="AW230:BR230" si="501">SUM(AW209:AW228)</f>
        <v>2.9314997068500288</v>
      </c>
      <c r="AX230" s="583">
        <f t="shared" si="501"/>
        <v>0.85799991420000854</v>
      </c>
      <c r="AY230" s="583">
        <f t="shared" si="501"/>
        <v>0.14299998570000144</v>
      </c>
      <c r="AZ230" s="583">
        <f t="shared" si="501"/>
        <v>1.7874998212500177</v>
      </c>
      <c r="BA230" s="583">
        <f t="shared" si="501"/>
        <v>7.1499992850000721E-2</v>
      </c>
      <c r="BB230" s="583">
        <f t="shared" si="501"/>
        <v>3.5749996425000354</v>
      </c>
      <c r="BC230" s="583">
        <f t="shared" si="501"/>
        <v>228.79997712000227</v>
      </c>
      <c r="BD230" s="583">
        <f t="shared" si="501"/>
        <v>30.0299969970003</v>
      </c>
      <c r="BE230" s="583">
        <f t="shared" si="501"/>
        <v>10.0099989990001</v>
      </c>
      <c r="BF230" s="583">
        <f t="shared" si="501"/>
        <v>28.599997140000283</v>
      </c>
      <c r="BG230" s="583">
        <f t="shared" si="501"/>
        <v>0.28599997140000288</v>
      </c>
      <c r="BH230" s="583">
        <f t="shared" si="501"/>
        <v>0.14299998570000144</v>
      </c>
      <c r="BI230" s="583">
        <f t="shared" si="501"/>
        <v>2.7408330592500273E-2</v>
      </c>
      <c r="BJ230" s="583">
        <f t="shared" si="501"/>
        <v>3.9324996067500391</v>
      </c>
      <c r="BK230" s="583">
        <f t="shared" si="501"/>
        <v>5.0049994995000506E-2</v>
      </c>
      <c r="BL230" s="583">
        <f t="shared" si="501"/>
        <v>3.574999642500036E-2</v>
      </c>
      <c r="BM230" s="583">
        <f t="shared" si="501"/>
        <v>0.57199994280000577</v>
      </c>
      <c r="BN230" s="583">
        <f t="shared" si="501"/>
        <v>2.716999728300027E-2</v>
      </c>
      <c r="BO230" s="583">
        <f t="shared" si="501"/>
        <v>21.378497862150212</v>
      </c>
      <c r="BP230" s="583">
        <f t="shared" si="501"/>
        <v>0</v>
      </c>
      <c r="BQ230" s="583">
        <f t="shared" si="501"/>
        <v>26.740997325900267</v>
      </c>
      <c r="BR230" s="583">
        <f t="shared" si="501"/>
        <v>0</v>
      </c>
    </row>
    <row r="231" spans="1:70" s="229" customFormat="1">
      <c r="A231" s="587"/>
      <c r="B231" s="522"/>
      <c r="C231" s="522"/>
      <c r="D231" s="141"/>
      <c r="E231" s="594"/>
      <c r="F231" s="708"/>
      <c r="G231" s="522"/>
      <c r="H231" s="522"/>
      <c r="I231" s="86"/>
      <c r="J231" s="87"/>
      <c r="K231" s="595"/>
      <c r="L231" s="604"/>
      <c r="M231" s="846"/>
      <c r="N231" s="846"/>
      <c r="O231" s="588"/>
      <c r="P231" s="639" t="s">
        <v>538</v>
      </c>
      <c r="V231" s="527" t="s">
        <v>588</v>
      </c>
      <c r="W231" s="229">
        <v>649.25</v>
      </c>
      <c r="X231" s="229">
        <v>81.199999999999989</v>
      </c>
      <c r="Y231" s="229">
        <v>20.299999999999997</v>
      </c>
      <c r="Z231" s="229">
        <v>21.7</v>
      </c>
      <c r="AA231" s="229">
        <v>6.6499999999999995</v>
      </c>
      <c r="AB231" s="526">
        <v>7</v>
      </c>
      <c r="AC231" s="229">
        <v>482.99999999999994</v>
      </c>
      <c r="AD231" s="229">
        <v>630</v>
      </c>
      <c r="AE231" s="229">
        <v>315</v>
      </c>
      <c r="AF231" s="229">
        <v>59.499999999999993</v>
      </c>
      <c r="AG231" s="229">
        <v>280</v>
      </c>
      <c r="AH231" s="229">
        <v>3.5</v>
      </c>
      <c r="AI231" s="229">
        <v>2.4499999999999997</v>
      </c>
      <c r="AJ231" s="526">
        <v>0.4375</v>
      </c>
      <c r="AK231" s="229">
        <v>280</v>
      </c>
      <c r="AL231" s="229">
        <v>0.35</v>
      </c>
      <c r="AM231" s="229">
        <v>0.38500000000000001</v>
      </c>
      <c r="AN231" s="229">
        <v>4.1999999999999993</v>
      </c>
      <c r="AO231" s="229">
        <v>0.24499999999999997</v>
      </c>
      <c r="AP231" s="229">
        <v>105</v>
      </c>
      <c r="AQ231" s="229">
        <v>0.63</v>
      </c>
      <c r="AR231" s="229">
        <v>28</v>
      </c>
      <c r="AS231" s="526">
        <v>1.75</v>
      </c>
      <c r="AV231" s="229">
        <v>649.25</v>
      </c>
      <c r="AW231" s="229">
        <v>81.199999999999989</v>
      </c>
      <c r="AX231" s="229">
        <v>20.299999999999997</v>
      </c>
      <c r="AY231" s="229">
        <v>21.7</v>
      </c>
      <c r="AZ231" s="229">
        <v>6.6499999999999995</v>
      </c>
      <c r="BA231" s="526">
        <v>7</v>
      </c>
      <c r="BB231" s="229">
        <v>482.99999999999994</v>
      </c>
      <c r="BC231" s="229">
        <v>630</v>
      </c>
      <c r="BD231" s="229">
        <v>315</v>
      </c>
      <c r="BE231" s="229">
        <v>59.499999999999993</v>
      </c>
      <c r="BF231" s="229">
        <v>280</v>
      </c>
      <c r="BG231" s="229">
        <v>3.5</v>
      </c>
      <c r="BH231" s="229">
        <v>2.4499999999999997</v>
      </c>
      <c r="BI231" s="526">
        <v>0.4375</v>
      </c>
      <c r="BJ231" s="229">
        <v>280</v>
      </c>
      <c r="BK231" s="229">
        <v>0.35</v>
      </c>
      <c r="BL231" s="229">
        <v>0.38500000000000001</v>
      </c>
      <c r="BM231" s="229">
        <v>4.1999999999999993</v>
      </c>
      <c r="BN231" s="229">
        <v>0.24499999999999997</v>
      </c>
      <c r="BO231" s="229">
        <v>105</v>
      </c>
      <c r="BP231" s="229">
        <v>0.63</v>
      </c>
      <c r="BQ231" s="229">
        <v>28</v>
      </c>
      <c r="BR231" s="526">
        <v>1.75</v>
      </c>
    </row>
    <row r="232" spans="1:70" s="229" customFormat="1">
      <c r="A232" s="587"/>
      <c r="B232" s="522"/>
      <c r="C232" s="522"/>
      <c r="D232" s="141"/>
      <c r="E232" s="594"/>
      <c r="F232" s="708"/>
      <c r="G232" s="522"/>
      <c r="H232" s="522"/>
      <c r="I232" s="86"/>
      <c r="J232" s="87"/>
      <c r="K232" s="595"/>
      <c r="L232" s="604"/>
      <c r="M232" s="846"/>
      <c r="N232" s="846"/>
      <c r="O232" s="588"/>
      <c r="P232" s="639" t="s">
        <v>407</v>
      </c>
      <c r="V232" s="526"/>
      <c r="W232" s="514">
        <f t="shared" ref="W232:AS232" si="502">100*W230/W231</f>
        <v>3.6965729688101656</v>
      </c>
      <c r="X232" s="514">
        <f t="shared" si="502"/>
        <v>5.0492610837438425</v>
      </c>
      <c r="Y232" s="514">
        <f t="shared" si="502"/>
        <v>5.9113300492610845</v>
      </c>
      <c r="Z232" s="514">
        <f t="shared" si="502"/>
        <v>0.92165898617511521</v>
      </c>
      <c r="AA232" s="514">
        <f t="shared" si="502"/>
        <v>37.593984962406019</v>
      </c>
      <c r="AB232" s="506">
        <f t="shared" si="502"/>
        <v>1.4285714285714286</v>
      </c>
      <c r="AC232" s="514">
        <f t="shared" si="502"/>
        <v>1.0351966873706004</v>
      </c>
      <c r="AD232" s="514">
        <f t="shared" si="502"/>
        <v>50.793650793650791</v>
      </c>
      <c r="AE232" s="514">
        <f t="shared" si="502"/>
        <v>13.333333333333334</v>
      </c>
      <c r="AF232" s="514">
        <f t="shared" si="502"/>
        <v>23.529411764705884</v>
      </c>
      <c r="AG232" s="514">
        <f t="shared" si="502"/>
        <v>14.285714285714286</v>
      </c>
      <c r="AH232" s="514">
        <f t="shared" si="502"/>
        <v>11.428571428571429</v>
      </c>
      <c r="AI232" s="514">
        <f t="shared" si="502"/>
        <v>8.1632653061224492</v>
      </c>
      <c r="AJ232" s="506">
        <f t="shared" si="502"/>
        <v>8.761904761904761</v>
      </c>
      <c r="AK232" s="514">
        <f t="shared" si="502"/>
        <v>1.9642857142857142</v>
      </c>
      <c r="AL232" s="514">
        <f t="shared" si="502"/>
        <v>20.000000000000004</v>
      </c>
      <c r="AM232" s="514">
        <f t="shared" si="502"/>
        <v>12.987012987012987</v>
      </c>
      <c r="AN232" s="514">
        <f t="shared" si="502"/>
        <v>19.047619047619051</v>
      </c>
      <c r="AO232" s="514">
        <f t="shared" si="502"/>
        <v>15.510204081632654</v>
      </c>
      <c r="AP232" s="514">
        <f t="shared" si="502"/>
        <v>28.476190476190474</v>
      </c>
      <c r="AQ232" s="514">
        <f t="shared" si="502"/>
        <v>0</v>
      </c>
      <c r="AR232" s="514">
        <f t="shared" si="502"/>
        <v>133.57142857142858</v>
      </c>
      <c r="AS232" s="506">
        <f t="shared" si="502"/>
        <v>0</v>
      </c>
      <c r="AV232" s="514">
        <f t="shared" ref="AV232:BR232" si="503">100*AV230/AV231</f>
        <v>2.6430494083943277</v>
      </c>
      <c r="AW232" s="514">
        <f t="shared" si="503"/>
        <v>3.6102213138547157</v>
      </c>
      <c r="AX232" s="514">
        <f t="shared" si="503"/>
        <v>4.226600562561619</v>
      </c>
      <c r="AY232" s="514">
        <f t="shared" si="503"/>
        <v>0.65898610921659651</v>
      </c>
      <c r="AZ232" s="514">
        <f t="shared" si="503"/>
        <v>26.879696560150645</v>
      </c>
      <c r="BA232" s="506">
        <f t="shared" si="503"/>
        <v>1.0214284692857245</v>
      </c>
      <c r="BB232" s="514">
        <f t="shared" si="503"/>
        <v>0.74016555745342349</v>
      </c>
      <c r="BC232" s="514">
        <f t="shared" si="503"/>
        <v>36.317456685714646</v>
      </c>
      <c r="BD232" s="514">
        <f t="shared" si="503"/>
        <v>9.5333323800000951</v>
      </c>
      <c r="BE232" s="514">
        <f t="shared" si="503"/>
        <v>16.823527729411936</v>
      </c>
      <c r="BF232" s="514">
        <f t="shared" si="503"/>
        <v>10.214284692857243</v>
      </c>
      <c r="BG232" s="514">
        <f t="shared" si="503"/>
        <v>8.171427754285796</v>
      </c>
      <c r="BH232" s="514">
        <f t="shared" si="503"/>
        <v>5.8367341102041408</v>
      </c>
      <c r="BI232" s="506">
        <f t="shared" si="503"/>
        <v>6.2647612782857767</v>
      </c>
      <c r="BJ232" s="514">
        <f t="shared" si="503"/>
        <v>1.4044641452678712</v>
      </c>
      <c r="BK232" s="514">
        <f t="shared" si="503"/>
        <v>14.299998570000147</v>
      </c>
      <c r="BL232" s="514">
        <f t="shared" si="503"/>
        <v>9.2857133571429493</v>
      </c>
      <c r="BM232" s="514">
        <f t="shared" si="503"/>
        <v>13.619046257142996</v>
      </c>
      <c r="BN232" s="514">
        <f t="shared" si="503"/>
        <v>11.089794809387866</v>
      </c>
      <c r="BO232" s="514">
        <f t="shared" si="503"/>
        <v>20.360474154428772</v>
      </c>
      <c r="BP232" s="514">
        <f t="shared" si="503"/>
        <v>0</v>
      </c>
      <c r="BQ232" s="514">
        <f t="shared" si="503"/>
        <v>95.503561878215237</v>
      </c>
      <c r="BR232" s="506">
        <f t="shared" si="503"/>
        <v>0</v>
      </c>
    </row>
    <row r="233" spans="1:70" s="229" customFormat="1">
      <c r="A233" s="587"/>
      <c r="B233" s="522"/>
      <c r="C233" s="522"/>
      <c r="D233" s="141"/>
      <c r="E233" s="594"/>
      <c r="F233" s="708"/>
      <c r="G233" s="522"/>
      <c r="H233" s="522"/>
      <c r="I233" s="86"/>
      <c r="J233" s="87"/>
      <c r="K233" s="595"/>
      <c r="L233" s="604"/>
      <c r="M233" s="846"/>
      <c r="N233" s="846"/>
      <c r="O233" s="588"/>
      <c r="P233" s="639" t="s">
        <v>548</v>
      </c>
      <c r="V233" s="526"/>
      <c r="W233" s="583">
        <f>AV230</f>
        <v>17.159998284000171</v>
      </c>
      <c r="X233" s="583">
        <f t="shared" ref="X233" si="504">AW230</f>
        <v>2.9314997068500288</v>
      </c>
      <c r="Y233" s="583">
        <f t="shared" ref="Y233" si="505">AX230</f>
        <v>0.85799991420000854</v>
      </c>
      <c r="Z233" s="583">
        <f t="shared" ref="Z233" si="506">AY230</f>
        <v>0.14299998570000144</v>
      </c>
      <c r="AA233" s="583">
        <f t="shared" ref="AA233" si="507">AZ230</f>
        <v>1.7874998212500177</v>
      </c>
      <c r="AB233" s="549">
        <f t="shared" ref="AB233" si="508">BA230</f>
        <v>7.1499992850000721E-2</v>
      </c>
      <c r="AC233" s="583">
        <f t="shared" ref="AC233" si="509">BB230</f>
        <v>3.5749996425000354</v>
      </c>
      <c r="AD233" s="583">
        <f t="shared" ref="AD233" si="510">BC230</f>
        <v>228.79997712000227</v>
      </c>
      <c r="AE233" s="583">
        <f t="shared" ref="AE233" si="511">BD230</f>
        <v>30.0299969970003</v>
      </c>
      <c r="AF233" s="583">
        <f t="shared" ref="AF233" si="512">BE230</f>
        <v>10.0099989990001</v>
      </c>
      <c r="AG233" s="583">
        <f t="shared" ref="AG233" si="513">BF230</f>
        <v>28.599997140000283</v>
      </c>
      <c r="AH233" s="583">
        <f t="shared" ref="AH233" si="514">BG230</f>
        <v>0.28599997140000288</v>
      </c>
      <c r="AI233" s="583">
        <f t="shared" ref="AI233" si="515">BH230</f>
        <v>0.14299998570000144</v>
      </c>
      <c r="AJ233" s="549">
        <f t="shared" ref="AJ233" si="516">BI230</f>
        <v>2.7408330592500273E-2</v>
      </c>
      <c r="AK233" s="583">
        <f t="shared" ref="AK233" si="517">BJ230</f>
        <v>3.9324996067500391</v>
      </c>
      <c r="AL233" s="583">
        <f t="shared" ref="AL233" si="518">BK230</f>
        <v>5.0049994995000506E-2</v>
      </c>
      <c r="AM233" s="583">
        <f t="shared" ref="AM233" si="519">BL230</f>
        <v>3.574999642500036E-2</v>
      </c>
      <c r="AN233" s="583">
        <f>BM230</f>
        <v>0.57199994280000577</v>
      </c>
      <c r="AO233" s="583">
        <f t="shared" ref="AO233" si="520">BN230</f>
        <v>2.716999728300027E-2</v>
      </c>
      <c r="AP233" s="583">
        <f t="shared" ref="AP233" si="521">BO230</f>
        <v>21.378497862150212</v>
      </c>
      <c r="AQ233" s="583">
        <f t="shared" ref="AQ233" si="522">BP230</f>
        <v>0</v>
      </c>
      <c r="AR233" s="583">
        <f t="shared" ref="AR233" si="523">BQ230</f>
        <v>26.740997325900267</v>
      </c>
      <c r="AS233" s="549">
        <f>BR230</f>
        <v>0</v>
      </c>
    </row>
    <row r="234" spans="1:70" s="229" customFormat="1">
      <c r="A234" s="587"/>
      <c r="B234" s="522"/>
      <c r="C234" s="522"/>
      <c r="D234" s="141"/>
      <c r="E234" s="594"/>
      <c r="F234" s="708"/>
      <c r="G234" s="522"/>
      <c r="H234" s="522"/>
      <c r="I234" s="86"/>
      <c r="J234" s="87"/>
      <c r="K234" s="595"/>
      <c r="L234" s="604"/>
      <c r="M234" s="846"/>
      <c r="N234" s="846"/>
      <c r="O234" s="588"/>
      <c r="P234" s="639" t="s">
        <v>543</v>
      </c>
      <c r="V234" s="526"/>
      <c r="W234" s="514">
        <f t="shared" ref="W234:AS234" si="524">AV232</f>
        <v>2.6430494083943277</v>
      </c>
      <c r="X234" s="514">
        <f t="shared" si="524"/>
        <v>3.6102213138547157</v>
      </c>
      <c r="Y234" s="514">
        <f t="shared" si="524"/>
        <v>4.226600562561619</v>
      </c>
      <c r="Z234" s="514">
        <f t="shared" si="524"/>
        <v>0.65898610921659651</v>
      </c>
      <c r="AA234" s="514">
        <f t="shared" si="524"/>
        <v>26.879696560150645</v>
      </c>
      <c r="AB234" s="506">
        <f t="shared" si="524"/>
        <v>1.0214284692857245</v>
      </c>
      <c r="AC234" s="514">
        <f t="shared" si="524"/>
        <v>0.74016555745342349</v>
      </c>
      <c r="AD234" s="514">
        <f t="shared" si="524"/>
        <v>36.317456685714646</v>
      </c>
      <c r="AE234" s="514">
        <f t="shared" si="524"/>
        <v>9.5333323800000951</v>
      </c>
      <c r="AF234" s="514">
        <f t="shared" si="524"/>
        <v>16.823527729411936</v>
      </c>
      <c r="AG234" s="514">
        <f t="shared" si="524"/>
        <v>10.214284692857243</v>
      </c>
      <c r="AH234" s="514">
        <f t="shared" si="524"/>
        <v>8.171427754285796</v>
      </c>
      <c r="AI234" s="514">
        <f t="shared" si="524"/>
        <v>5.8367341102041408</v>
      </c>
      <c r="AJ234" s="506">
        <f t="shared" si="524"/>
        <v>6.2647612782857767</v>
      </c>
      <c r="AK234" s="514">
        <f t="shared" si="524"/>
        <v>1.4044641452678712</v>
      </c>
      <c r="AL234" s="514">
        <f t="shared" si="524"/>
        <v>14.299998570000147</v>
      </c>
      <c r="AM234" s="514">
        <f t="shared" si="524"/>
        <v>9.2857133571429493</v>
      </c>
      <c r="AN234" s="514">
        <f t="shared" si="524"/>
        <v>13.619046257142996</v>
      </c>
      <c r="AO234" s="514">
        <f t="shared" si="524"/>
        <v>11.089794809387866</v>
      </c>
      <c r="AP234" s="514">
        <f t="shared" si="524"/>
        <v>20.360474154428772</v>
      </c>
      <c r="AQ234" s="514">
        <f t="shared" si="524"/>
        <v>0</v>
      </c>
      <c r="AR234" s="514">
        <f t="shared" si="524"/>
        <v>95.503561878215237</v>
      </c>
      <c r="AS234" s="506">
        <f t="shared" si="524"/>
        <v>0</v>
      </c>
      <c r="AV234" s="514"/>
      <c r="AW234" s="514"/>
      <c r="AX234" s="514"/>
      <c r="AY234" s="514"/>
      <c r="AZ234" s="514"/>
      <c r="BA234" s="505"/>
      <c r="BB234" s="514"/>
      <c r="BC234" s="514"/>
      <c r="BD234" s="514"/>
      <c r="BE234" s="514"/>
      <c r="BF234" s="514"/>
      <c r="BG234" s="514"/>
      <c r="BH234" s="514"/>
      <c r="BI234" s="505"/>
      <c r="BJ234" s="514"/>
      <c r="BK234" s="514"/>
      <c r="BL234" s="514"/>
      <c r="BM234" s="514"/>
      <c r="BN234" s="514"/>
      <c r="BO234" s="514"/>
      <c r="BP234" s="514"/>
      <c r="BQ234" s="514"/>
      <c r="BR234" s="505"/>
    </row>
    <row r="235" spans="1:70" s="229" customFormat="1" ht="16" thickBot="1">
      <c r="A235" s="587"/>
      <c r="B235" s="587"/>
      <c r="C235" s="587"/>
      <c r="D235" s="111"/>
      <c r="E235" s="631"/>
      <c r="F235" s="712"/>
      <c r="G235" s="632" t="s">
        <v>3054</v>
      </c>
      <c r="H235" s="633"/>
      <c r="I235" s="686"/>
      <c r="J235" s="686"/>
      <c r="K235" s="587"/>
      <c r="L235" s="634"/>
      <c r="M235" s="843"/>
      <c r="N235" s="843"/>
      <c r="O235" s="588"/>
      <c r="P235" s="587"/>
      <c r="Q235" s="587"/>
      <c r="R235" s="587"/>
      <c r="S235" s="587"/>
      <c r="T235" s="587"/>
      <c r="U235" s="635"/>
      <c r="V235" s="636"/>
      <c r="W235" s="587"/>
      <c r="X235" s="587"/>
      <c r="Y235" s="587"/>
      <c r="Z235" s="587"/>
      <c r="AA235" s="637">
        <f>COUNTIF(AA236:AA247,"&lt;0")</f>
        <v>1</v>
      </c>
      <c r="AB235" s="637">
        <f t="shared" ref="AB235:AS235" si="525">COUNTIF(AB236:AB247,"&lt;0")</f>
        <v>1</v>
      </c>
      <c r="AC235" s="637">
        <f t="shared" si="525"/>
        <v>1</v>
      </c>
      <c r="AD235" s="637">
        <f t="shared" si="525"/>
        <v>1</v>
      </c>
      <c r="AE235" s="637">
        <f t="shared" si="525"/>
        <v>1</v>
      </c>
      <c r="AF235" s="637">
        <f t="shared" si="525"/>
        <v>1</v>
      </c>
      <c r="AG235" s="637">
        <f t="shared" si="525"/>
        <v>1</v>
      </c>
      <c r="AH235" s="637">
        <f t="shared" si="525"/>
        <v>1</v>
      </c>
      <c r="AI235" s="637">
        <f t="shared" si="525"/>
        <v>1</v>
      </c>
      <c r="AJ235" s="637">
        <f t="shared" si="525"/>
        <v>1</v>
      </c>
      <c r="AK235" s="637">
        <f t="shared" si="525"/>
        <v>1</v>
      </c>
      <c r="AL235" s="637">
        <f t="shared" si="525"/>
        <v>1</v>
      </c>
      <c r="AM235" s="637">
        <f t="shared" si="525"/>
        <v>1</v>
      </c>
      <c r="AN235" s="637">
        <f t="shared" si="525"/>
        <v>1</v>
      </c>
      <c r="AO235" s="637">
        <f t="shared" si="525"/>
        <v>1</v>
      </c>
      <c r="AP235" s="637">
        <f t="shared" si="525"/>
        <v>1</v>
      </c>
      <c r="AQ235" s="637">
        <f t="shared" si="525"/>
        <v>1</v>
      </c>
      <c r="AR235" s="637">
        <f t="shared" si="525"/>
        <v>1</v>
      </c>
      <c r="AS235" s="637">
        <f t="shared" si="525"/>
        <v>1</v>
      </c>
      <c r="AT235" s="1298"/>
      <c r="AU235" s="1298"/>
    </row>
    <row r="236" spans="1:70" s="229" customFormat="1" ht="15" customHeight="1" thickBot="1">
      <c r="A236" s="587"/>
      <c r="B236" s="575" t="s">
        <v>3066</v>
      </c>
      <c r="C236" s="229" t="s">
        <v>1362</v>
      </c>
      <c r="D236" s="85" t="s">
        <v>2740</v>
      </c>
      <c r="E236" s="577">
        <v>100</v>
      </c>
      <c r="F236" s="85" t="s">
        <v>3548</v>
      </c>
      <c r="G236" s="406" t="s">
        <v>3085</v>
      </c>
      <c r="H236" s="578" t="s">
        <v>3451</v>
      </c>
      <c r="I236" s="85">
        <v>100</v>
      </c>
      <c r="J236" s="682">
        <v>1</v>
      </c>
      <c r="K236" s="579">
        <f t="shared" ref="K236:K247" si="526">IF(I236&gt;0,1.1*Q236*E236/1000,"")</f>
        <v>11.000000000000002</v>
      </c>
      <c r="L236" s="580">
        <f>IF(H236="Select ingredient:","",IF(G236="","",_xlfn.IFNA(VLOOKUP($H236,Ingredient_prices!$E:$U,16,FALSE),0)))</f>
        <v>81.400000000000006</v>
      </c>
      <c r="M236" s="844"/>
      <c r="N236" s="1228">
        <f>$W249</f>
        <v>424</v>
      </c>
      <c r="O236" s="588"/>
      <c r="P236" s="589"/>
      <c r="Q236" s="583">
        <f t="shared" ref="Q236:Q247" si="527">I236/J236</f>
        <v>100</v>
      </c>
      <c r="R236" s="583">
        <f>VLOOKUP($H236,'CO2_emission+%_food_waste'!$A:$K,6,FALSE)*$Q236/100</f>
        <v>4.5</v>
      </c>
      <c r="S236" s="583">
        <f t="shared" ref="S236:S247" si="528">Q236-R236</f>
        <v>95.5</v>
      </c>
      <c r="T236" s="583">
        <f>IF(H236="Select ingredient:","",IF(G236="Select food category:","",_xlfn.IFNA(VLOOKUP($H236,Ingredient_prices!$E:$U,16,FALSE)*$Q236/1000,"not bought")))</f>
        <v>8.14</v>
      </c>
      <c r="U236" s="583">
        <f>IF(G236="Select food category:","",_xlfn.IFNA(VLOOKUP($H236,Ingredient_prices!$E:$U,16,FALSE)*$R236/1000,"not bought"))</f>
        <v>0.36630000000000001</v>
      </c>
      <c r="V236" s="549">
        <f>VLOOKUP($H236,'CO2_emission+%_food_waste'!$A:$K,4,FALSE)*$Q236</f>
        <v>202.99999999999997</v>
      </c>
      <c r="W236" s="583">
        <f>VLOOKUP($H236,Nutrition_tables!$A:$N,10,FALSE)*$Q236/100</f>
        <v>62</v>
      </c>
      <c r="X236" s="583">
        <f>VLOOKUP($H236,Nutrition_tables!$A:$N,11,FALSE)*$Q236/100</f>
        <v>4.5</v>
      </c>
      <c r="Y236" s="583">
        <f>VLOOKUP($H236,Nutrition_tables!$A:$N,12,FALSE)*$Q236/100</f>
        <v>3.2</v>
      </c>
      <c r="Z236" s="583">
        <f>VLOOKUP($H236,Nutrition_tables!$A:$N,14,FALSE)*$Q236/100</f>
        <v>3.2</v>
      </c>
      <c r="AA236" s="583">
        <f>VLOOKUP($H236,Nutrition_tables!$A:$AF,13,FALSE)*$Q236/100</f>
        <v>0</v>
      </c>
      <c r="AB236" s="549">
        <f>VLOOKUP($H236,Nutrition_tables!$A:$AF,15,FALSE)*$Q236/100</f>
        <v>2.1</v>
      </c>
      <c r="AC236" s="583">
        <f>VLOOKUP($H236,Nutrition_tables!$A:$AF,16,FALSE)*$Q236/100</f>
        <v>46</v>
      </c>
      <c r="AD236" s="583">
        <f>VLOOKUP($H236,Nutrition_tables!$A:$AF,17,FALSE)*$Q236/100</f>
        <v>155</v>
      </c>
      <c r="AE236" s="583">
        <f>VLOOKUP($H236,Nutrition_tables!$A:$AF,18,FALSE)*$Q236/100</f>
        <v>120</v>
      </c>
      <c r="AF236" s="583">
        <f>VLOOKUP($H236,Nutrition_tables!$A:$AF,19,FALSE)*$Q236/100</f>
        <v>11</v>
      </c>
      <c r="AG236" s="583">
        <f>VLOOKUP($H236,Nutrition_tables!$A:$AF,20,FALSE)*$Q236/100</f>
        <v>95</v>
      </c>
      <c r="AH236" s="583">
        <f>VLOOKUP($H236,Nutrition_tables!$A:$AF,21,FALSE)*$Q236/100</f>
        <v>0.1</v>
      </c>
      <c r="AI236" s="583">
        <f>VLOOKUP($H236,Nutrition_tables!$A:$AF,22,FALSE)*$Q236/100</f>
        <v>0.59</v>
      </c>
      <c r="AJ236" s="549">
        <f>VLOOKUP($H236,Nutrition_tables!$A:$AF,23,FALSE)*$Q236/100</f>
        <v>8.9999999999999993E-3</v>
      </c>
      <c r="AK236" s="583">
        <f>VLOOKUP($H236,Nutrition_tables!$A:$AF,24,FALSE)*$Q236/100</f>
        <v>30</v>
      </c>
      <c r="AL236" s="583">
        <f>VLOOKUP($H236,Nutrition_tables!$A:$AF,25,FALSE)*$Q236/100</f>
        <v>0.03</v>
      </c>
      <c r="AM236" s="583">
        <f>VLOOKUP($H236,Nutrition_tables!$A:$AF,26,FALSE)*$Q236/100</f>
        <v>0.14000000000000001</v>
      </c>
      <c r="AN236" s="583">
        <f>VLOOKUP($H236,Nutrition_tables!$A:$AF,27,FALSE)*$Q236/100</f>
        <v>0.1</v>
      </c>
      <c r="AO236" s="583">
        <f>VLOOKUP($H236,Nutrition_tables!$A:$AF,28,FALSE)*$Q236/100</f>
        <v>3.5000000000000003E-2</v>
      </c>
      <c r="AP236" s="583">
        <f>VLOOKUP($H236,Nutrition_tables!$A:$AF,29,FALSE)*$Q236/100</f>
        <v>8</v>
      </c>
      <c r="AQ236" s="583">
        <f>VLOOKUP($H236,Nutrition_tables!$A:$AF,30,FALSE)*$Q236/100</f>
        <v>0.3</v>
      </c>
      <c r="AR236" s="583">
        <f>VLOOKUP($H236,Nutrition_tables!$A:$AF,31,FALSE)*$Q236/100</f>
        <v>0.5</v>
      </c>
      <c r="AS236" s="549">
        <f>VLOOKUP($H236,Nutrition_tables!$A:$AF,32,FALSE)*$Q236/100</f>
        <v>0.06</v>
      </c>
      <c r="AT236" s="583">
        <f>IF(H236="Select ingredient:","",IF(G236="Select food category:","",IFERROR(VLOOKUP($H236,Ingredient_prices!$E:$W,17,FALSE)*$Q236/1000,"not bought")))</f>
        <v>8.14</v>
      </c>
      <c r="AU236" s="583">
        <f>IF(H236="Select ingredient:","",IF(G236="Select food category:","",IFERROR(VLOOKUP($H236,Ingredient_prices!$E:$W,18,FALSE)*$Q236/1000,"not bought")))</f>
        <v>8.14</v>
      </c>
      <c r="AV236" s="583">
        <f t="shared" ref="AV236:AV247" si="529">W236*($Q236-$R236)/($Q236+0.00001)</f>
        <v>59.209994079000587</v>
      </c>
      <c r="AW236" s="583">
        <f t="shared" ref="AW236:AW247" si="530">X236*($Q236-$R236)/($Q236+0.00001)</f>
        <v>4.2974995702500429</v>
      </c>
      <c r="AX236" s="583">
        <f t="shared" ref="AX236:AX247" si="531">Y236*($Q236-$R236)/($Q236+0.00001)</f>
        <v>3.0559996944000307</v>
      </c>
      <c r="AY236" s="583">
        <f t="shared" ref="AY236:AY247" si="532">Z236*($Q236-$R236)/($Q236+0.00001)</f>
        <v>3.0559996944000307</v>
      </c>
      <c r="AZ236" s="583">
        <f t="shared" ref="AZ236:AZ247" si="533">AA236*($Q236-$R236)/($Q236+0.00001)</f>
        <v>0</v>
      </c>
      <c r="BA236" s="583">
        <f t="shared" ref="BA236:BA247" si="534">AB236*($Q236-$R236)/($Q236+0.00001)</f>
        <v>2.0054997994500203</v>
      </c>
      <c r="BB236" s="583">
        <f t="shared" ref="BB236:BB247" si="535">AC236*($Q236-$R236)/($Q236+0.00001)</f>
        <v>43.929995607000436</v>
      </c>
      <c r="BC236" s="583">
        <f t="shared" ref="BC236:BC247" si="536">AD236*($Q236-$R236)/($Q236+0.00001)</f>
        <v>148.02498519750148</v>
      </c>
      <c r="BD236" s="583">
        <f t="shared" ref="BD236:BD247" si="537">AE236*($Q236-$R236)/($Q236+0.00001)</f>
        <v>114.59998854000115</v>
      </c>
      <c r="BE236" s="583">
        <f t="shared" ref="BE236:BE247" si="538">AF236*($Q236-$R236)/($Q236+0.00001)</f>
        <v>10.504998949500104</v>
      </c>
      <c r="BF236" s="583">
        <f t="shared" ref="BF236:BF247" si="539">AG236*($Q236-$R236)/($Q236+0.00001)</f>
        <v>90.724990927500897</v>
      </c>
      <c r="BG236" s="583">
        <f t="shared" ref="BG236:BG247" si="540">AH236*($Q236-$R236)/($Q236+0.00001)</f>
        <v>9.549999045000096E-2</v>
      </c>
      <c r="BH236" s="583">
        <f t="shared" ref="BH236:BH247" si="541">AI236*($Q236-$R236)/($Q236+0.00001)</f>
        <v>0.56344994365500556</v>
      </c>
      <c r="BI236" s="583">
        <f t="shared" ref="BI236:BI247" si="542">AJ236*($Q236-$R236)/($Q236+0.00001)</f>
        <v>8.5949991405000845E-3</v>
      </c>
      <c r="BJ236" s="583">
        <f t="shared" ref="BJ236:BJ247" si="543">AK236*($Q236-$R236)/($Q236+0.00001)</f>
        <v>28.649997135000287</v>
      </c>
      <c r="BK236" s="583">
        <f t="shared" ref="BK236:BK247" si="544">AL236*($Q236-$R236)/($Q236+0.00001)</f>
        <v>2.8649997135000282E-2</v>
      </c>
      <c r="BL236" s="583">
        <f t="shared" ref="BL236:BL247" si="545">AM236*($Q236-$R236)/($Q236+0.00001)</f>
        <v>0.13369998663000135</v>
      </c>
      <c r="BM236" s="583">
        <f t="shared" ref="BM236:BM247" si="546">AN236*($Q236-$R236)/($Q236+0.00001)</f>
        <v>9.549999045000096E-2</v>
      </c>
      <c r="BN236" s="583">
        <f t="shared" ref="BN236:BN247" si="547">AO236*($Q236-$R236)/($Q236+0.00001)</f>
        <v>3.3424996657500337E-2</v>
      </c>
      <c r="BO236" s="583">
        <f t="shared" ref="BO236:BO247" si="548">AP236*($Q236-$R236)/($Q236+0.00001)</f>
        <v>7.6399992360000759</v>
      </c>
      <c r="BP236" s="583">
        <f t="shared" ref="BP236:BP247" si="549">AQ236*($Q236-$R236)/($Q236+0.00001)</f>
        <v>0.28649997135000282</v>
      </c>
      <c r="BQ236" s="583">
        <f t="shared" ref="BQ236:BQ247" si="550">AR236*($Q236-$R236)/($Q236+0.00001)</f>
        <v>0.47749995225000474</v>
      </c>
      <c r="BR236" s="583">
        <f t="shared" ref="BR236:BR247" si="551">AS236*($Q236-$R236)/($Q236+0.00001)</f>
        <v>5.7299994270000564E-2</v>
      </c>
    </row>
    <row r="237" spans="1:70" s="229" customFormat="1" ht="15" customHeight="1">
      <c r="A237" s="587"/>
      <c r="D237" s="85" t="s">
        <v>2743</v>
      </c>
      <c r="E237" s="576">
        <f>IF(E$236&gt;0,E$236,"")</f>
        <v>100</v>
      </c>
      <c r="F237" s="85" t="s">
        <v>3903</v>
      </c>
      <c r="G237" s="406" t="s">
        <v>3080</v>
      </c>
      <c r="H237" s="578" t="s">
        <v>3548</v>
      </c>
      <c r="I237" s="85">
        <v>100</v>
      </c>
      <c r="J237" s="682">
        <v>1</v>
      </c>
      <c r="K237" s="579">
        <f t="shared" si="526"/>
        <v>11.000000000000002</v>
      </c>
      <c r="L237" s="580">
        <f>IF(H237="Select ingredient:","",IF(G237="","",_xlfn.IFNA(VLOOKUP($H237,Ingredient_prices!$E:$U,16,FALSE),0)))</f>
        <v>310.79999999999995</v>
      </c>
      <c r="M237" s="844"/>
      <c r="N237" s="844"/>
      <c r="O237" s="588"/>
      <c r="P237" s="589"/>
      <c r="Q237" s="583">
        <f t="shared" si="527"/>
        <v>100</v>
      </c>
      <c r="R237" s="583">
        <f>VLOOKUP($H237,'CO2_emission+%_food_waste'!$A:$K,6,FALSE)*$Q237/100</f>
        <v>-1E-4</v>
      </c>
      <c r="S237" s="583">
        <f t="shared" si="528"/>
        <v>100.0001</v>
      </c>
      <c r="T237" s="583">
        <f>IF(H237="Select ingredient:","",IF(G237="Select food category:","",_xlfn.IFNA(VLOOKUP($H237,Ingredient_prices!$E:$U,16,FALSE)*$Q237/1000,"not bought")))</f>
        <v>31.079999999999995</v>
      </c>
      <c r="U237" s="583">
        <f>IF(G237="Select food category:","",_xlfn.IFNA(VLOOKUP($H237,Ingredient_prices!$E:$U,16,FALSE)*$R237/1000,"not bought"))</f>
        <v>-3.1079999999999994E-5</v>
      </c>
      <c r="V237" s="549">
        <f>VLOOKUP($H237,'CO2_emission+%_food_waste'!$A:$K,4,FALSE)*$Q237</f>
        <v>120</v>
      </c>
      <c r="W237" s="583">
        <f>VLOOKUP($H237,Nutrition_tables!$A:$N,10,FALSE)*$Q237/100</f>
        <v>362</v>
      </c>
      <c r="X237" s="583">
        <f>VLOOKUP($H237,Nutrition_tables!$A:$N,11,FALSE)*$Q237/100</f>
        <v>24.4</v>
      </c>
      <c r="Y237" s="583">
        <f>VLOOKUP($H237,Nutrition_tables!$A:$N,12,FALSE)*$Q237/100</f>
        <v>9.3699999999999992</v>
      </c>
      <c r="Z237" s="583">
        <f>VLOOKUP($H237,Nutrition_tables!$A:$N,14,FALSE)*$Q237/100</f>
        <v>25.1</v>
      </c>
      <c r="AA237" s="583">
        <f>VLOOKUP($H237,Nutrition_tables!$A:$AF,13,FALSE)*$Q237/100</f>
        <v>-4.0000000000000001E-3</v>
      </c>
      <c r="AB237" s="549">
        <f>VLOOKUP($H237,Nutrition_tables!$A:$AF,15,FALSE)*$Q237/100</f>
        <v>-4.0000000000000001E-3</v>
      </c>
      <c r="AC237" s="583">
        <f>VLOOKUP($H237,Nutrition_tables!$A:$AF,16,FALSE)*$Q237/100</f>
        <v>-4.0000000000000001E-3</v>
      </c>
      <c r="AD237" s="583">
        <f>VLOOKUP($H237,Nutrition_tables!$A:$AF,17,FALSE)*$Q237/100</f>
        <v>-4.0000000000000001E-3</v>
      </c>
      <c r="AE237" s="583">
        <f>VLOOKUP($H237,Nutrition_tables!$A:$AF,18,FALSE)*$Q237/100</f>
        <v>-4.0000000000000001E-3</v>
      </c>
      <c r="AF237" s="583">
        <f>VLOOKUP($H237,Nutrition_tables!$A:$AF,19,FALSE)*$Q237/100</f>
        <v>-4.0000000000000001E-3</v>
      </c>
      <c r="AG237" s="583">
        <f>VLOOKUP($H237,Nutrition_tables!$A:$AF,20,FALSE)*$Q237/100</f>
        <v>-4.0000000000000001E-3</v>
      </c>
      <c r="AH237" s="583">
        <f>VLOOKUP($H237,Nutrition_tables!$A:$AF,21,FALSE)*$Q237/100</f>
        <v>-4.0000000000000001E-3</v>
      </c>
      <c r="AI237" s="583">
        <f>VLOOKUP($H237,Nutrition_tables!$A:$AF,22,FALSE)*$Q237/100</f>
        <v>-4.0000000000000001E-3</v>
      </c>
      <c r="AJ237" s="549">
        <f>VLOOKUP($H237,Nutrition_tables!$A:$AF,23,FALSE)*$Q237/100</f>
        <v>-4.0000000000000002E-4</v>
      </c>
      <c r="AK237" s="583">
        <f>VLOOKUP($H237,Nutrition_tables!$A:$AF,24,FALSE)*$Q237/100</f>
        <v>-4.0000000000000001E-3</v>
      </c>
      <c r="AL237" s="583">
        <f>VLOOKUP($H237,Nutrition_tables!$A:$AF,25,FALSE)*$Q237/100</f>
        <v>-4.0000000000000001E-3</v>
      </c>
      <c r="AM237" s="583">
        <f>VLOOKUP($H237,Nutrition_tables!$A:$AF,26,FALSE)*$Q237/100</f>
        <v>-4.0000000000000001E-3</v>
      </c>
      <c r="AN237" s="583">
        <f>VLOOKUP($H237,Nutrition_tables!$A:$AF,27,FALSE)*$Q237/100</f>
        <v>-4.0000000000000001E-3</v>
      </c>
      <c r="AO237" s="583">
        <f>VLOOKUP($H237,Nutrition_tables!$A:$AF,28,FALSE)*$Q237/100</f>
        <v>-4.0000000000000001E-3</v>
      </c>
      <c r="AP237" s="583">
        <f>VLOOKUP($H237,Nutrition_tables!$A:$AF,29,FALSE)*$Q237/100</f>
        <v>-4.0000000000000001E-3</v>
      </c>
      <c r="AQ237" s="583">
        <f>VLOOKUP($H237,Nutrition_tables!$A:$AF,30,FALSE)*$Q237/100</f>
        <v>-4.0000000000000002E-4</v>
      </c>
      <c r="AR237" s="583">
        <f>VLOOKUP($H237,Nutrition_tables!$A:$AF,31,FALSE)*$Q237/100</f>
        <v>-4.0000000000000001E-3</v>
      </c>
      <c r="AS237" s="549">
        <f>VLOOKUP($H237,Nutrition_tables!$A:$AF,32,FALSE)*$Q237/100</f>
        <v>-4.0000000000000002E-4</v>
      </c>
      <c r="AT237" s="583">
        <f>IF(H237="Select ingredient:","",IF(G237="Select food category:","",IFERROR(VLOOKUP($H237,Ingredient_prices!$E:$W,17,FALSE)*$Q237/1000,"not bought")))</f>
        <v>31.079999999999995</v>
      </c>
      <c r="AU237" s="583">
        <f>IF(H237="Select ingredient:","",IF(G237="Select food category:","",IFERROR(VLOOKUP($H237,Ingredient_prices!$E:$W,18,FALSE)*$Q237/1000,"not bought")))</f>
        <v>31.079999999999995</v>
      </c>
      <c r="AV237" s="583">
        <f t="shared" si="529"/>
        <v>362.00032579996741</v>
      </c>
      <c r="AW237" s="583">
        <f t="shared" si="530"/>
        <v>24.400021959997801</v>
      </c>
      <c r="AX237" s="583">
        <f t="shared" si="531"/>
        <v>9.3700084329991551</v>
      </c>
      <c r="AY237" s="583">
        <f t="shared" si="532"/>
        <v>25.100022589997742</v>
      </c>
      <c r="AZ237" s="583">
        <f t="shared" si="533"/>
        <v>-4.0000035999996405E-3</v>
      </c>
      <c r="BA237" s="583">
        <f t="shared" si="534"/>
        <v>-4.0000035999996405E-3</v>
      </c>
      <c r="BB237" s="583">
        <f t="shared" si="535"/>
        <v>-4.0000035999996405E-3</v>
      </c>
      <c r="BC237" s="583">
        <f t="shared" si="536"/>
        <v>-4.0000035999996405E-3</v>
      </c>
      <c r="BD237" s="583">
        <f t="shared" si="537"/>
        <v>-4.0000035999996405E-3</v>
      </c>
      <c r="BE237" s="583">
        <f t="shared" si="538"/>
        <v>-4.0000035999996405E-3</v>
      </c>
      <c r="BF237" s="583">
        <f t="shared" si="539"/>
        <v>-4.0000035999996405E-3</v>
      </c>
      <c r="BG237" s="583">
        <f t="shared" si="540"/>
        <v>-4.0000035999996405E-3</v>
      </c>
      <c r="BH237" s="583">
        <f t="shared" si="541"/>
        <v>-4.0000035999996405E-3</v>
      </c>
      <c r="BI237" s="583">
        <f t="shared" si="542"/>
        <v>-4.0000035999996399E-4</v>
      </c>
      <c r="BJ237" s="583">
        <f t="shared" si="543"/>
        <v>-4.0000035999996405E-3</v>
      </c>
      <c r="BK237" s="583">
        <f t="shared" si="544"/>
        <v>-4.0000035999996405E-3</v>
      </c>
      <c r="BL237" s="583">
        <f t="shared" si="545"/>
        <v>-4.0000035999996405E-3</v>
      </c>
      <c r="BM237" s="583">
        <f t="shared" si="546"/>
        <v>-4.0000035999996405E-3</v>
      </c>
      <c r="BN237" s="583">
        <f t="shared" si="547"/>
        <v>-4.0000035999996405E-3</v>
      </c>
      <c r="BO237" s="583">
        <f t="shared" si="548"/>
        <v>-4.0000035999996405E-3</v>
      </c>
      <c r="BP237" s="583">
        <f t="shared" si="549"/>
        <v>-4.0000035999996399E-4</v>
      </c>
      <c r="BQ237" s="583">
        <f t="shared" si="550"/>
        <v>-4.0000035999996405E-3</v>
      </c>
      <c r="BR237" s="583">
        <f t="shared" si="551"/>
        <v>-4.0000035999996399E-4</v>
      </c>
    </row>
    <row r="238" spans="1:70" s="229" customFormat="1" ht="15" customHeight="1">
      <c r="A238" s="587"/>
      <c r="D238" s="406"/>
      <c r="E238" s="576">
        <f t="shared" ref="E238:E247" si="552">IF(E$236&gt;0,E$236,"")</f>
        <v>100</v>
      </c>
      <c r="F238" s="707"/>
      <c r="G238" s="406" t="s">
        <v>3054</v>
      </c>
      <c r="H238" s="1262" t="s">
        <v>3055</v>
      </c>
      <c r="I238" s="85">
        <v>0</v>
      </c>
      <c r="J238" s="682">
        <v>1</v>
      </c>
      <c r="K238" s="579" t="str">
        <f t="shared" si="526"/>
        <v/>
      </c>
      <c r="L238" s="580" t="str">
        <f>IF(H238="Select ingredient:","",IF(G238="","",_xlfn.IFNA(VLOOKUP($H238,Ingredient_prices!$E:$U,16,FALSE),0)))</f>
        <v/>
      </c>
      <c r="M238" s="844"/>
      <c r="N238" s="844"/>
      <c r="O238" s="588"/>
      <c r="P238" s="589"/>
      <c r="Q238" s="583">
        <f t="shared" si="527"/>
        <v>0</v>
      </c>
      <c r="R238" s="583">
        <f>VLOOKUP($H238,'CO2_emission+%_food_waste'!$A:$K,6,FALSE)*$Q238/100</f>
        <v>0</v>
      </c>
      <c r="S238" s="583">
        <f t="shared" si="528"/>
        <v>0</v>
      </c>
      <c r="T238" s="583" t="str">
        <f>IF(H238="Select ingredient:","",IF(G238="Select food category:","",_xlfn.IFNA(VLOOKUP($H238,Ingredient_prices!$E:$U,16,FALSE)*$Q238/1000,"not bought")))</f>
        <v/>
      </c>
      <c r="U238" s="583" t="str">
        <f>IF(G238="Select food category:","",_xlfn.IFNA(VLOOKUP($H238,Ingredient_prices!$E:$U,16,FALSE)*$R238/1000,"not bought"))</f>
        <v/>
      </c>
      <c r="V238" s="549">
        <f>VLOOKUP($H238,'CO2_emission+%_food_waste'!$A:$K,4,FALSE)*$Q238</f>
        <v>0</v>
      </c>
      <c r="W238" s="583">
        <f>VLOOKUP($H238,Nutrition_tables!$A:$N,10,FALSE)*$Q238/100</f>
        <v>0</v>
      </c>
      <c r="X238" s="583">
        <f>VLOOKUP($H238,Nutrition_tables!$A:$N,11,FALSE)*$Q238/100</f>
        <v>0</v>
      </c>
      <c r="Y238" s="583">
        <f>VLOOKUP($H238,Nutrition_tables!$A:$N,12,FALSE)*$Q238/100</f>
        <v>0</v>
      </c>
      <c r="Z238" s="583">
        <f>VLOOKUP($H238,Nutrition_tables!$A:$N,14,FALSE)*$Q238/100</f>
        <v>0</v>
      </c>
      <c r="AA238" s="583">
        <f>VLOOKUP($H238,Nutrition_tables!$A:$AF,13,FALSE)*$Q238/100</f>
        <v>0</v>
      </c>
      <c r="AB238" s="549">
        <f>VLOOKUP($H238,Nutrition_tables!$A:$AF,15,FALSE)*$Q238/100</f>
        <v>0</v>
      </c>
      <c r="AC238" s="583">
        <f>VLOOKUP($H238,Nutrition_tables!$A:$AF,16,FALSE)*$Q238/100</f>
        <v>0</v>
      </c>
      <c r="AD238" s="583">
        <f>VLOOKUP($H238,Nutrition_tables!$A:$AF,17,FALSE)*$Q238/100</f>
        <v>0</v>
      </c>
      <c r="AE238" s="583">
        <f>VLOOKUP($H238,Nutrition_tables!$A:$AF,18,FALSE)*$Q238/100</f>
        <v>0</v>
      </c>
      <c r="AF238" s="583">
        <f>VLOOKUP($H238,Nutrition_tables!$A:$AF,19,FALSE)*$Q238/100</f>
        <v>0</v>
      </c>
      <c r="AG238" s="583">
        <f>VLOOKUP($H238,Nutrition_tables!$A:$AF,20,FALSE)*$Q238/100</f>
        <v>0</v>
      </c>
      <c r="AH238" s="583">
        <f>VLOOKUP($H238,Nutrition_tables!$A:$AF,21,FALSE)*$Q238/100</f>
        <v>0</v>
      </c>
      <c r="AI238" s="583">
        <f>VLOOKUP($H238,Nutrition_tables!$A:$AF,22,FALSE)*$Q238/100</f>
        <v>0</v>
      </c>
      <c r="AJ238" s="549">
        <f>VLOOKUP($H238,Nutrition_tables!$A:$AF,23,FALSE)*$Q238/100</f>
        <v>0</v>
      </c>
      <c r="AK238" s="583">
        <f>VLOOKUP($H238,Nutrition_tables!$A:$AF,24,FALSE)*$Q238/100</f>
        <v>0</v>
      </c>
      <c r="AL238" s="583">
        <f>VLOOKUP($H238,Nutrition_tables!$A:$AF,25,FALSE)*$Q238/100</f>
        <v>0</v>
      </c>
      <c r="AM238" s="583">
        <f>VLOOKUP($H238,Nutrition_tables!$A:$AF,26,FALSE)*$Q238/100</f>
        <v>0</v>
      </c>
      <c r="AN238" s="583">
        <f>VLOOKUP($H238,Nutrition_tables!$A:$AF,27,FALSE)*$Q238/100</f>
        <v>0</v>
      </c>
      <c r="AO238" s="583">
        <f>VLOOKUP($H238,Nutrition_tables!$A:$AF,28,FALSE)*$Q238/100</f>
        <v>0</v>
      </c>
      <c r="AP238" s="583">
        <f>VLOOKUP($H238,Nutrition_tables!$A:$AF,29,FALSE)*$Q238/100</f>
        <v>0</v>
      </c>
      <c r="AQ238" s="583">
        <f>VLOOKUP($H238,Nutrition_tables!$A:$AF,30,FALSE)*$Q238/100</f>
        <v>0</v>
      </c>
      <c r="AR238" s="583">
        <f>VLOOKUP($H238,Nutrition_tables!$A:$AF,31,FALSE)*$Q238/100</f>
        <v>0</v>
      </c>
      <c r="AS238" s="549">
        <f>VLOOKUP($H238,Nutrition_tables!$A:$AF,32,FALSE)*$Q238/100</f>
        <v>0</v>
      </c>
      <c r="AT238" s="583" t="str">
        <f>IF(H238="Select ingredient:","",IF(G238="Select food category:","",IFERROR(VLOOKUP($H238,Ingredient_prices!$E:$W,17,FALSE)*$Q238/1000,"not bought")))</f>
        <v/>
      </c>
      <c r="AU238" s="583" t="str">
        <f>IF(H238="Select ingredient:","",IF(G238="Select food category:","",IFERROR(VLOOKUP($H238,Ingredient_prices!$E:$W,18,FALSE)*$Q238/1000,"not bought")))</f>
        <v/>
      </c>
      <c r="AV238" s="583">
        <f t="shared" si="529"/>
        <v>0</v>
      </c>
      <c r="AW238" s="583">
        <f t="shared" si="530"/>
        <v>0</v>
      </c>
      <c r="AX238" s="583">
        <f t="shared" si="531"/>
        <v>0</v>
      </c>
      <c r="AY238" s="583">
        <f t="shared" si="532"/>
        <v>0</v>
      </c>
      <c r="AZ238" s="583">
        <f t="shared" si="533"/>
        <v>0</v>
      </c>
      <c r="BA238" s="583">
        <f t="shared" si="534"/>
        <v>0</v>
      </c>
      <c r="BB238" s="583">
        <f t="shared" si="535"/>
        <v>0</v>
      </c>
      <c r="BC238" s="583">
        <f t="shared" si="536"/>
        <v>0</v>
      </c>
      <c r="BD238" s="583">
        <f t="shared" si="537"/>
        <v>0</v>
      </c>
      <c r="BE238" s="583">
        <f t="shared" si="538"/>
        <v>0</v>
      </c>
      <c r="BF238" s="583">
        <f t="shared" si="539"/>
        <v>0</v>
      </c>
      <c r="BG238" s="583">
        <f t="shared" si="540"/>
        <v>0</v>
      </c>
      <c r="BH238" s="583">
        <f t="shared" si="541"/>
        <v>0</v>
      </c>
      <c r="BI238" s="583">
        <f t="shared" si="542"/>
        <v>0</v>
      </c>
      <c r="BJ238" s="583">
        <f t="shared" si="543"/>
        <v>0</v>
      </c>
      <c r="BK238" s="583">
        <f t="shared" si="544"/>
        <v>0</v>
      </c>
      <c r="BL238" s="583">
        <f t="shared" si="545"/>
        <v>0</v>
      </c>
      <c r="BM238" s="583">
        <f t="shared" si="546"/>
        <v>0</v>
      </c>
      <c r="BN238" s="583">
        <f t="shared" si="547"/>
        <v>0</v>
      </c>
      <c r="BO238" s="583">
        <f t="shared" si="548"/>
        <v>0</v>
      </c>
      <c r="BP238" s="583">
        <f t="shared" si="549"/>
        <v>0</v>
      </c>
      <c r="BQ238" s="583">
        <f t="shared" si="550"/>
        <v>0</v>
      </c>
      <c r="BR238" s="583">
        <f t="shared" si="551"/>
        <v>0</v>
      </c>
    </row>
    <row r="239" spans="1:70" s="229" customFormat="1" ht="15" customHeight="1">
      <c r="A239" s="587"/>
      <c r="D239" s="85"/>
      <c r="E239" s="576">
        <f t="shared" si="552"/>
        <v>100</v>
      </c>
      <c r="F239" s="707"/>
      <c r="G239" s="406" t="s">
        <v>3054</v>
      </c>
      <c r="H239" s="1262" t="s">
        <v>3055</v>
      </c>
      <c r="I239" s="85">
        <v>0</v>
      </c>
      <c r="J239" s="682">
        <v>1</v>
      </c>
      <c r="K239" s="579" t="str">
        <f t="shared" si="526"/>
        <v/>
      </c>
      <c r="L239" s="580" t="str">
        <f>IF(H239="Select ingredient:","",IF(G239="","",_xlfn.IFNA(VLOOKUP($H239,Ingredient_prices!$E:$U,16,FALSE),0)))</f>
        <v/>
      </c>
      <c r="M239" s="844"/>
      <c r="N239" s="844"/>
      <c r="O239" s="588"/>
      <c r="P239" s="589"/>
      <c r="Q239" s="583">
        <f t="shared" si="527"/>
        <v>0</v>
      </c>
      <c r="R239" s="583">
        <f>VLOOKUP($H239,'CO2_emission+%_food_waste'!$A:$K,6,FALSE)*$Q239/100</f>
        <v>0</v>
      </c>
      <c r="S239" s="583">
        <f t="shared" si="528"/>
        <v>0</v>
      </c>
      <c r="T239" s="583" t="str">
        <f>IF(H239="Select ingredient:","",IF(G239="Select food category:","",_xlfn.IFNA(VLOOKUP($H239,Ingredient_prices!$E:$U,16,FALSE)*$Q239/1000,"not bought")))</f>
        <v/>
      </c>
      <c r="U239" s="583" t="str">
        <f>IF(G239="Select food category:","",_xlfn.IFNA(VLOOKUP($H239,Ingredient_prices!$E:$U,16,FALSE)*$R239/1000,"not bought"))</f>
        <v/>
      </c>
      <c r="V239" s="549">
        <f>VLOOKUP($H239,'CO2_emission+%_food_waste'!$A:$K,4,FALSE)*$Q239</f>
        <v>0</v>
      </c>
      <c r="W239" s="583">
        <f>VLOOKUP($H239,Nutrition_tables!$A:$N,10,FALSE)*$Q239/100</f>
        <v>0</v>
      </c>
      <c r="X239" s="583">
        <f>VLOOKUP($H239,Nutrition_tables!$A:$N,11,FALSE)*$Q239/100</f>
        <v>0</v>
      </c>
      <c r="Y239" s="583">
        <f>VLOOKUP($H239,Nutrition_tables!$A:$N,12,FALSE)*$Q239/100</f>
        <v>0</v>
      </c>
      <c r="Z239" s="583">
        <f>VLOOKUP($H239,Nutrition_tables!$A:$N,14,FALSE)*$Q239/100</f>
        <v>0</v>
      </c>
      <c r="AA239" s="583">
        <f>VLOOKUP($H239,Nutrition_tables!$A:$AF,13,FALSE)*$Q239/100</f>
        <v>0</v>
      </c>
      <c r="AB239" s="549">
        <f>VLOOKUP($H239,Nutrition_tables!$A:$AF,15,FALSE)*$Q239/100</f>
        <v>0</v>
      </c>
      <c r="AC239" s="583">
        <f>VLOOKUP($H239,Nutrition_tables!$A:$AF,16,FALSE)*$Q239/100</f>
        <v>0</v>
      </c>
      <c r="AD239" s="583">
        <f>VLOOKUP($H239,Nutrition_tables!$A:$AF,17,FALSE)*$Q239/100</f>
        <v>0</v>
      </c>
      <c r="AE239" s="583">
        <f>VLOOKUP($H239,Nutrition_tables!$A:$AF,18,FALSE)*$Q239/100</f>
        <v>0</v>
      </c>
      <c r="AF239" s="583">
        <f>VLOOKUP($H239,Nutrition_tables!$A:$AF,19,FALSE)*$Q239/100</f>
        <v>0</v>
      </c>
      <c r="AG239" s="583">
        <f>VLOOKUP($H239,Nutrition_tables!$A:$AF,20,FALSE)*$Q239/100</f>
        <v>0</v>
      </c>
      <c r="AH239" s="583">
        <f>VLOOKUP($H239,Nutrition_tables!$A:$AF,21,FALSE)*$Q239/100</f>
        <v>0</v>
      </c>
      <c r="AI239" s="583">
        <f>VLOOKUP($H239,Nutrition_tables!$A:$AF,22,FALSE)*$Q239/100</f>
        <v>0</v>
      </c>
      <c r="AJ239" s="549">
        <f>VLOOKUP($H239,Nutrition_tables!$A:$AF,23,FALSE)*$Q239/100</f>
        <v>0</v>
      </c>
      <c r="AK239" s="583">
        <f>VLOOKUP($H239,Nutrition_tables!$A:$AF,24,FALSE)*$Q239/100</f>
        <v>0</v>
      </c>
      <c r="AL239" s="583">
        <f>VLOOKUP($H239,Nutrition_tables!$A:$AF,25,FALSE)*$Q239/100</f>
        <v>0</v>
      </c>
      <c r="AM239" s="583">
        <f>VLOOKUP($H239,Nutrition_tables!$A:$AF,26,FALSE)*$Q239/100</f>
        <v>0</v>
      </c>
      <c r="AN239" s="583">
        <f>VLOOKUP($H239,Nutrition_tables!$A:$AF,27,FALSE)*$Q239/100</f>
        <v>0</v>
      </c>
      <c r="AO239" s="583">
        <f>VLOOKUP($H239,Nutrition_tables!$A:$AF,28,FALSE)*$Q239/100</f>
        <v>0</v>
      </c>
      <c r="AP239" s="583">
        <f>VLOOKUP($H239,Nutrition_tables!$A:$AF,29,FALSE)*$Q239/100</f>
        <v>0</v>
      </c>
      <c r="AQ239" s="583">
        <f>VLOOKUP($H239,Nutrition_tables!$A:$AF,30,FALSE)*$Q239/100</f>
        <v>0</v>
      </c>
      <c r="AR239" s="583">
        <f>VLOOKUP($H239,Nutrition_tables!$A:$AF,31,FALSE)*$Q239/100</f>
        <v>0</v>
      </c>
      <c r="AS239" s="549">
        <f>VLOOKUP($H239,Nutrition_tables!$A:$AF,32,FALSE)*$Q239/100</f>
        <v>0</v>
      </c>
      <c r="AT239" s="583" t="str">
        <f>IF(H239="Select ingredient:","",IF(G239="Select food category:","",IFERROR(VLOOKUP($H239,Ingredient_prices!$E:$W,17,FALSE)*$Q239/1000,"not bought")))</f>
        <v/>
      </c>
      <c r="AU239" s="583" t="str">
        <f>IF(H239="Select ingredient:","",IF(G239="Select food category:","",IFERROR(VLOOKUP($H239,Ingredient_prices!$E:$W,18,FALSE)*$Q239/1000,"not bought")))</f>
        <v/>
      </c>
      <c r="AV239" s="583">
        <f t="shared" si="529"/>
        <v>0</v>
      </c>
      <c r="AW239" s="583">
        <f t="shared" si="530"/>
        <v>0</v>
      </c>
      <c r="AX239" s="583">
        <f t="shared" si="531"/>
        <v>0</v>
      </c>
      <c r="AY239" s="583">
        <f t="shared" si="532"/>
        <v>0</v>
      </c>
      <c r="AZ239" s="583">
        <f t="shared" si="533"/>
        <v>0</v>
      </c>
      <c r="BA239" s="583">
        <f t="shared" si="534"/>
        <v>0</v>
      </c>
      <c r="BB239" s="583">
        <f t="shared" si="535"/>
        <v>0</v>
      </c>
      <c r="BC239" s="583">
        <f t="shared" si="536"/>
        <v>0</v>
      </c>
      <c r="BD239" s="583">
        <f t="shared" si="537"/>
        <v>0</v>
      </c>
      <c r="BE239" s="583">
        <f t="shared" si="538"/>
        <v>0</v>
      </c>
      <c r="BF239" s="583">
        <f t="shared" si="539"/>
        <v>0</v>
      </c>
      <c r="BG239" s="583">
        <f t="shared" si="540"/>
        <v>0</v>
      </c>
      <c r="BH239" s="583">
        <f t="shared" si="541"/>
        <v>0</v>
      </c>
      <c r="BI239" s="583">
        <f t="shared" si="542"/>
        <v>0</v>
      </c>
      <c r="BJ239" s="583">
        <f t="shared" si="543"/>
        <v>0</v>
      </c>
      <c r="BK239" s="583">
        <f t="shared" si="544"/>
        <v>0</v>
      </c>
      <c r="BL239" s="583">
        <f t="shared" si="545"/>
        <v>0</v>
      </c>
      <c r="BM239" s="583">
        <f t="shared" si="546"/>
        <v>0</v>
      </c>
      <c r="BN239" s="583">
        <f t="shared" si="547"/>
        <v>0</v>
      </c>
      <c r="BO239" s="583">
        <f t="shared" si="548"/>
        <v>0</v>
      </c>
      <c r="BP239" s="583">
        <f t="shared" si="549"/>
        <v>0</v>
      </c>
      <c r="BQ239" s="583">
        <f t="shared" si="550"/>
        <v>0</v>
      </c>
      <c r="BR239" s="583">
        <f t="shared" si="551"/>
        <v>0</v>
      </c>
    </row>
    <row r="240" spans="1:70" s="229" customFormat="1" ht="15" customHeight="1">
      <c r="A240" s="587"/>
      <c r="D240" s="85"/>
      <c r="E240" s="576">
        <f t="shared" si="552"/>
        <v>100</v>
      </c>
      <c r="F240" s="85"/>
      <c r="G240" s="406" t="s">
        <v>3054</v>
      </c>
      <c r="H240" s="1262" t="s">
        <v>3055</v>
      </c>
      <c r="I240" s="85">
        <v>0</v>
      </c>
      <c r="J240" s="682">
        <v>1</v>
      </c>
      <c r="K240" s="579" t="str">
        <f t="shared" si="526"/>
        <v/>
      </c>
      <c r="L240" s="580" t="str">
        <f>IF(H240="Select ingredient:","",IF(G240="","",_xlfn.IFNA(VLOOKUP($H240,Ingredient_prices!$E:$U,16,FALSE),0)))</f>
        <v/>
      </c>
      <c r="M240" s="844"/>
      <c r="N240" s="844"/>
      <c r="O240" s="588"/>
      <c r="P240" s="589"/>
      <c r="Q240" s="583">
        <f t="shared" si="527"/>
        <v>0</v>
      </c>
      <c r="R240" s="583">
        <f>VLOOKUP($H240,'CO2_emission+%_food_waste'!$A:$K,6,FALSE)*$Q240/100</f>
        <v>0</v>
      </c>
      <c r="S240" s="583">
        <f t="shared" si="528"/>
        <v>0</v>
      </c>
      <c r="T240" s="583" t="str">
        <f>IF(H240="Select ingredient:","",IF(G240="Select food category:","",_xlfn.IFNA(VLOOKUP($H240,Ingredient_prices!$E:$U,16,FALSE)*$Q240/1000,"not bought")))</f>
        <v/>
      </c>
      <c r="U240" s="583" t="str">
        <f>IF(G240="Select food category:","",_xlfn.IFNA(VLOOKUP($H240,Ingredient_prices!$E:$U,16,FALSE)*$R240/1000,"not bought"))</f>
        <v/>
      </c>
      <c r="V240" s="549">
        <f>VLOOKUP($H240,'CO2_emission+%_food_waste'!$A:$K,4,FALSE)*$Q240</f>
        <v>0</v>
      </c>
      <c r="W240" s="583">
        <f>VLOOKUP($H240,Nutrition_tables!$A:$N,10,FALSE)*$Q240/100</f>
        <v>0</v>
      </c>
      <c r="X240" s="583">
        <f>VLOOKUP($H240,Nutrition_tables!$A:$N,11,FALSE)*$Q240/100</f>
        <v>0</v>
      </c>
      <c r="Y240" s="583">
        <f>VLOOKUP($H240,Nutrition_tables!$A:$N,12,FALSE)*$Q240/100</f>
        <v>0</v>
      </c>
      <c r="Z240" s="583">
        <f>VLOOKUP($H240,Nutrition_tables!$A:$N,14,FALSE)*$Q240/100</f>
        <v>0</v>
      </c>
      <c r="AA240" s="583">
        <f>VLOOKUP($H240,Nutrition_tables!$A:$AF,13,FALSE)*$Q240/100</f>
        <v>0</v>
      </c>
      <c r="AB240" s="549">
        <f>VLOOKUP($H240,Nutrition_tables!$A:$AF,15,FALSE)*$Q240/100</f>
        <v>0</v>
      </c>
      <c r="AC240" s="583">
        <f>VLOOKUP($H240,Nutrition_tables!$A:$AF,16,FALSE)*$Q240/100</f>
        <v>0</v>
      </c>
      <c r="AD240" s="583">
        <f>VLOOKUP($H240,Nutrition_tables!$A:$AF,17,FALSE)*$Q240/100</f>
        <v>0</v>
      </c>
      <c r="AE240" s="583">
        <f>VLOOKUP($H240,Nutrition_tables!$A:$AF,18,FALSE)*$Q240/100</f>
        <v>0</v>
      </c>
      <c r="AF240" s="583">
        <f>VLOOKUP($H240,Nutrition_tables!$A:$AF,19,FALSE)*$Q240/100</f>
        <v>0</v>
      </c>
      <c r="AG240" s="583">
        <f>VLOOKUP($H240,Nutrition_tables!$A:$AF,20,FALSE)*$Q240/100</f>
        <v>0</v>
      </c>
      <c r="AH240" s="583">
        <f>VLOOKUP($H240,Nutrition_tables!$A:$AF,21,FALSE)*$Q240/100</f>
        <v>0</v>
      </c>
      <c r="AI240" s="583">
        <f>VLOOKUP($H240,Nutrition_tables!$A:$AF,22,FALSE)*$Q240/100</f>
        <v>0</v>
      </c>
      <c r="AJ240" s="549">
        <f>VLOOKUP($H240,Nutrition_tables!$A:$AF,23,FALSE)*$Q240/100</f>
        <v>0</v>
      </c>
      <c r="AK240" s="583">
        <f>VLOOKUP($H240,Nutrition_tables!$A:$AF,24,FALSE)*$Q240/100</f>
        <v>0</v>
      </c>
      <c r="AL240" s="583">
        <f>VLOOKUP($H240,Nutrition_tables!$A:$AF,25,FALSE)*$Q240/100</f>
        <v>0</v>
      </c>
      <c r="AM240" s="583">
        <f>VLOOKUP($H240,Nutrition_tables!$A:$AF,26,FALSE)*$Q240/100</f>
        <v>0</v>
      </c>
      <c r="AN240" s="583">
        <f>VLOOKUP($H240,Nutrition_tables!$A:$AF,27,FALSE)*$Q240/100</f>
        <v>0</v>
      </c>
      <c r="AO240" s="583">
        <f>VLOOKUP($H240,Nutrition_tables!$A:$AF,28,FALSE)*$Q240/100</f>
        <v>0</v>
      </c>
      <c r="AP240" s="583">
        <f>VLOOKUP($H240,Nutrition_tables!$A:$AF,29,FALSE)*$Q240/100</f>
        <v>0</v>
      </c>
      <c r="AQ240" s="583">
        <f>VLOOKUP($H240,Nutrition_tables!$A:$AF,30,FALSE)*$Q240/100</f>
        <v>0</v>
      </c>
      <c r="AR240" s="583">
        <f>VLOOKUP($H240,Nutrition_tables!$A:$AF,31,FALSE)*$Q240/100</f>
        <v>0</v>
      </c>
      <c r="AS240" s="549">
        <f>VLOOKUP($H240,Nutrition_tables!$A:$AF,32,FALSE)*$Q240/100</f>
        <v>0</v>
      </c>
      <c r="AT240" s="583" t="str">
        <f>IF(H240="Select ingredient:","",IF(G240="Select food category:","",IFERROR(VLOOKUP($H240,Ingredient_prices!$E:$W,17,FALSE)*$Q240/1000,"not bought")))</f>
        <v/>
      </c>
      <c r="AU240" s="583" t="str">
        <f>IF(H240="Select ingredient:","",IF(G240="Select food category:","",IFERROR(VLOOKUP($H240,Ingredient_prices!$E:$W,18,FALSE)*$Q240/1000,"not bought")))</f>
        <v/>
      </c>
      <c r="AV240" s="583">
        <f t="shared" si="529"/>
        <v>0</v>
      </c>
      <c r="AW240" s="583">
        <f t="shared" si="530"/>
        <v>0</v>
      </c>
      <c r="AX240" s="583">
        <f t="shared" si="531"/>
        <v>0</v>
      </c>
      <c r="AY240" s="583">
        <f t="shared" si="532"/>
        <v>0</v>
      </c>
      <c r="AZ240" s="583">
        <f t="shared" si="533"/>
        <v>0</v>
      </c>
      <c r="BA240" s="583">
        <f t="shared" si="534"/>
        <v>0</v>
      </c>
      <c r="BB240" s="583">
        <f t="shared" si="535"/>
        <v>0</v>
      </c>
      <c r="BC240" s="583">
        <f t="shared" si="536"/>
        <v>0</v>
      </c>
      <c r="BD240" s="583">
        <f t="shared" si="537"/>
        <v>0</v>
      </c>
      <c r="BE240" s="583">
        <f t="shared" si="538"/>
        <v>0</v>
      </c>
      <c r="BF240" s="583">
        <f t="shared" si="539"/>
        <v>0</v>
      </c>
      <c r="BG240" s="583">
        <f t="shared" si="540"/>
        <v>0</v>
      </c>
      <c r="BH240" s="583">
        <f t="shared" si="541"/>
        <v>0</v>
      </c>
      <c r="BI240" s="583">
        <f t="shared" si="542"/>
        <v>0</v>
      </c>
      <c r="BJ240" s="583">
        <f t="shared" si="543"/>
        <v>0</v>
      </c>
      <c r="BK240" s="583">
        <f t="shared" si="544"/>
        <v>0</v>
      </c>
      <c r="BL240" s="583">
        <f t="shared" si="545"/>
        <v>0</v>
      </c>
      <c r="BM240" s="583">
        <f t="shared" si="546"/>
        <v>0</v>
      </c>
      <c r="BN240" s="583">
        <f t="shared" si="547"/>
        <v>0</v>
      </c>
      <c r="BO240" s="583">
        <f t="shared" si="548"/>
        <v>0</v>
      </c>
      <c r="BP240" s="583">
        <f t="shared" si="549"/>
        <v>0</v>
      </c>
      <c r="BQ240" s="583">
        <f t="shared" si="550"/>
        <v>0</v>
      </c>
      <c r="BR240" s="583">
        <f t="shared" si="551"/>
        <v>0</v>
      </c>
    </row>
    <row r="241" spans="1:70" s="229" customFormat="1" ht="15" customHeight="1">
      <c r="A241" s="587"/>
      <c r="D241" s="85"/>
      <c r="E241" s="576">
        <f t="shared" si="552"/>
        <v>100</v>
      </c>
      <c r="F241" s="85"/>
      <c r="G241" s="406" t="s">
        <v>3054</v>
      </c>
      <c r="H241" s="1262" t="s">
        <v>3055</v>
      </c>
      <c r="I241" s="85">
        <v>0</v>
      </c>
      <c r="J241" s="682">
        <v>1</v>
      </c>
      <c r="K241" s="579" t="str">
        <f t="shared" si="526"/>
        <v/>
      </c>
      <c r="L241" s="580" t="str">
        <f>IF(H241="Select ingredient:","",IF(G241="","",_xlfn.IFNA(VLOOKUP($H241,Ingredient_prices!$E:$U,16,FALSE),0)))</f>
        <v/>
      </c>
      <c r="M241" s="844"/>
      <c r="N241" s="844"/>
      <c r="O241" s="588"/>
      <c r="P241" s="589"/>
      <c r="Q241" s="583">
        <f t="shared" si="527"/>
        <v>0</v>
      </c>
      <c r="R241" s="583">
        <f>VLOOKUP($H241,'CO2_emission+%_food_waste'!$A:$K,6,FALSE)*$Q241/100</f>
        <v>0</v>
      </c>
      <c r="S241" s="583">
        <f t="shared" si="528"/>
        <v>0</v>
      </c>
      <c r="T241" s="583" t="str">
        <f>IF(H241="Select ingredient:","",IF(G241="Select food category:","",_xlfn.IFNA(VLOOKUP($H241,Ingredient_prices!$E:$U,16,FALSE)*$Q241/1000,"not bought")))</f>
        <v/>
      </c>
      <c r="U241" s="583" t="str">
        <f>IF(G241="Select food category:","",_xlfn.IFNA(VLOOKUP($H241,Ingredient_prices!$E:$U,16,FALSE)*$R241/1000,"not bought"))</f>
        <v/>
      </c>
      <c r="V241" s="549">
        <f>VLOOKUP($H241,'CO2_emission+%_food_waste'!$A:$K,4,FALSE)*$Q241</f>
        <v>0</v>
      </c>
      <c r="W241" s="583">
        <f>VLOOKUP($H241,Nutrition_tables!$A:$N,10,FALSE)*$Q241/100</f>
        <v>0</v>
      </c>
      <c r="X241" s="583">
        <f>VLOOKUP($H241,Nutrition_tables!$A:$N,11,FALSE)*$Q241/100</f>
        <v>0</v>
      </c>
      <c r="Y241" s="583">
        <f>VLOOKUP($H241,Nutrition_tables!$A:$N,12,FALSE)*$Q241/100</f>
        <v>0</v>
      </c>
      <c r="Z241" s="583">
        <f>VLOOKUP($H241,Nutrition_tables!$A:$N,14,FALSE)*$Q241/100</f>
        <v>0</v>
      </c>
      <c r="AA241" s="583">
        <f>VLOOKUP($H241,Nutrition_tables!$A:$AF,13,FALSE)*$Q241/100</f>
        <v>0</v>
      </c>
      <c r="AB241" s="549">
        <f>VLOOKUP($H241,Nutrition_tables!$A:$AF,15,FALSE)*$Q241/100</f>
        <v>0</v>
      </c>
      <c r="AC241" s="583">
        <f>VLOOKUP($H241,Nutrition_tables!$A:$AF,16,FALSE)*$Q241/100</f>
        <v>0</v>
      </c>
      <c r="AD241" s="583">
        <f>VLOOKUP($H241,Nutrition_tables!$A:$AF,17,FALSE)*$Q241/100</f>
        <v>0</v>
      </c>
      <c r="AE241" s="583">
        <f>VLOOKUP($H241,Nutrition_tables!$A:$AF,18,FALSE)*$Q241/100</f>
        <v>0</v>
      </c>
      <c r="AF241" s="583">
        <f>VLOOKUP($H241,Nutrition_tables!$A:$AF,19,FALSE)*$Q241/100</f>
        <v>0</v>
      </c>
      <c r="AG241" s="583">
        <f>VLOOKUP($H241,Nutrition_tables!$A:$AF,20,FALSE)*$Q241/100</f>
        <v>0</v>
      </c>
      <c r="AH241" s="583">
        <f>VLOOKUP($H241,Nutrition_tables!$A:$AF,21,FALSE)*$Q241/100</f>
        <v>0</v>
      </c>
      <c r="AI241" s="583">
        <f>VLOOKUP($H241,Nutrition_tables!$A:$AF,22,FALSE)*$Q241/100</f>
        <v>0</v>
      </c>
      <c r="AJ241" s="549">
        <f>VLOOKUP($H241,Nutrition_tables!$A:$AF,23,FALSE)*$Q241/100</f>
        <v>0</v>
      </c>
      <c r="AK241" s="583">
        <f>VLOOKUP($H241,Nutrition_tables!$A:$AF,24,FALSE)*$Q241/100</f>
        <v>0</v>
      </c>
      <c r="AL241" s="583">
        <f>VLOOKUP($H241,Nutrition_tables!$A:$AF,25,FALSE)*$Q241/100</f>
        <v>0</v>
      </c>
      <c r="AM241" s="583">
        <f>VLOOKUP($H241,Nutrition_tables!$A:$AF,26,FALSE)*$Q241/100</f>
        <v>0</v>
      </c>
      <c r="AN241" s="583">
        <f>VLOOKUP($H241,Nutrition_tables!$A:$AF,27,FALSE)*$Q241/100</f>
        <v>0</v>
      </c>
      <c r="AO241" s="583">
        <f>VLOOKUP($H241,Nutrition_tables!$A:$AF,28,FALSE)*$Q241/100</f>
        <v>0</v>
      </c>
      <c r="AP241" s="583">
        <f>VLOOKUP($H241,Nutrition_tables!$A:$AF,29,FALSE)*$Q241/100</f>
        <v>0</v>
      </c>
      <c r="AQ241" s="583">
        <f>VLOOKUP($H241,Nutrition_tables!$A:$AF,30,FALSE)*$Q241/100</f>
        <v>0</v>
      </c>
      <c r="AR241" s="583">
        <f>VLOOKUP($H241,Nutrition_tables!$A:$AF,31,FALSE)*$Q241/100</f>
        <v>0</v>
      </c>
      <c r="AS241" s="549">
        <f>VLOOKUP($H241,Nutrition_tables!$A:$AF,32,FALSE)*$Q241/100</f>
        <v>0</v>
      </c>
      <c r="AT241" s="583" t="str">
        <f>IF(H241="Select ingredient:","",IF(G241="Select food category:","",IFERROR(VLOOKUP($H241,Ingredient_prices!$E:$W,17,FALSE)*$Q241/1000,"not bought")))</f>
        <v/>
      </c>
      <c r="AU241" s="583" t="str">
        <f>IF(H241="Select ingredient:","",IF(G241="Select food category:","",IFERROR(VLOOKUP($H241,Ingredient_prices!$E:$W,18,FALSE)*$Q241/1000,"not bought")))</f>
        <v/>
      </c>
      <c r="AV241" s="583">
        <f t="shared" si="529"/>
        <v>0</v>
      </c>
      <c r="AW241" s="583">
        <f t="shared" si="530"/>
        <v>0</v>
      </c>
      <c r="AX241" s="583">
        <f t="shared" si="531"/>
        <v>0</v>
      </c>
      <c r="AY241" s="583">
        <f t="shared" si="532"/>
        <v>0</v>
      </c>
      <c r="AZ241" s="583">
        <f t="shared" si="533"/>
        <v>0</v>
      </c>
      <c r="BA241" s="583">
        <f t="shared" si="534"/>
        <v>0</v>
      </c>
      <c r="BB241" s="583">
        <f t="shared" si="535"/>
        <v>0</v>
      </c>
      <c r="BC241" s="583">
        <f t="shared" si="536"/>
        <v>0</v>
      </c>
      <c r="BD241" s="583">
        <f t="shared" si="537"/>
        <v>0</v>
      </c>
      <c r="BE241" s="583">
        <f t="shared" si="538"/>
        <v>0</v>
      </c>
      <c r="BF241" s="583">
        <f t="shared" si="539"/>
        <v>0</v>
      </c>
      <c r="BG241" s="583">
        <f t="shared" si="540"/>
        <v>0</v>
      </c>
      <c r="BH241" s="583">
        <f t="shared" si="541"/>
        <v>0</v>
      </c>
      <c r="BI241" s="583">
        <f t="shared" si="542"/>
        <v>0</v>
      </c>
      <c r="BJ241" s="583">
        <f t="shared" si="543"/>
        <v>0</v>
      </c>
      <c r="BK241" s="583">
        <f t="shared" si="544"/>
        <v>0</v>
      </c>
      <c r="BL241" s="583">
        <f t="shared" si="545"/>
        <v>0</v>
      </c>
      <c r="BM241" s="583">
        <f t="shared" si="546"/>
        <v>0</v>
      </c>
      <c r="BN241" s="583">
        <f t="shared" si="547"/>
        <v>0</v>
      </c>
      <c r="BO241" s="583">
        <f t="shared" si="548"/>
        <v>0</v>
      </c>
      <c r="BP241" s="583">
        <f t="shared" si="549"/>
        <v>0</v>
      </c>
      <c r="BQ241" s="583">
        <f t="shared" si="550"/>
        <v>0</v>
      </c>
      <c r="BR241" s="583">
        <f t="shared" si="551"/>
        <v>0</v>
      </c>
    </row>
    <row r="242" spans="1:70" s="229" customFormat="1" ht="15" customHeight="1">
      <c r="A242" s="587"/>
      <c r="D242" s="85"/>
      <c r="E242" s="576">
        <f t="shared" si="552"/>
        <v>100</v>
      </c>
      <c r="F242" s="85"/>
      <c r="G242" s="406" t="s">
        <v>3054</v>
      </c>
      <c r="H242" s="1262" t="s">
        <v>3055</v>
      </c>
      <c r="I242" s="85">
        <v>0</v>
      </c>
      <c r="J242" s="682">
        <v>1</v>
      </c>
      <c r="K242" s="579" t="str">
        <f t="shared" si="526"/>
        <v/>
      </c>
      <c r="L242" s="580" t="str">
        <f>IF(H242="Select ingredient:","",IF(G242="","",_xlfn.IFNA(VLOOKUP($H242,Ingredient_prices!$E:$U,16,FALSE),0)))</f>
        <v/>
      </c>
      <c r="M242" s="844"/>
      <c r="N242" s="844"/>
      <c r="O242" s="588"/>
      <c r="P242" s="589"/>
      <c r="Q242" s="583">
        <f t="shared" si="527"/>
        <v>0</v>
      </c>
      <c r="R242" s="583">
        <f>VLOOKUP($H242,'CO2_emission+%_food_waste'!$A:$K,6,FALSE)*$Q242/100</f>
        <v>0</v>
      </c>
      <c r="S242" s="583">
        <f t="shared" si="528"/>
        <v>0</v>
      </c>
      <c r="T242" s="583" t="str">
        <f>IF(H242="Select ingredient:","",IF(G242="Select food category:","",_xlfn.IFNA(VLOOKUP($H242,Ingredient_prices!$E:$U,16,FALSE)*$Q242/1000,"not bought")))</f>
        <v/>
      </c>
      <c r="U242" s="583" t="str">
        <f>IF(G242="Select food category:","",_xlfn.IFNA(VLOOKUP($H242,Ingredient_prices!$E:$U,16,FALSE)*$R242/1000,"not bought"))</f>
        <v/>
      </c>
      <c r="V242" s="549">
        <f>VLOOKUP($H242,'CO2_emission+%_food_waste'!$A:$K,4,FALSE)*$Q242</f>
        <v>0</v>
      </c>
      <c r="W242" s="583">
        <f>VLOOKUP($H242,Nutrition_tables!$A:$N,10,FALSE)*$Q242/100</f>
        <v>0</v>
      </c>
      <c r="X242" s="583">
        <f>VLOOKUP($H242,Nutrition_tables!$A:$N,11,FALSE)*$Q242/100</f>
        <v>0</v>
      </c>
      <c r="Y242" s="583">
        <f>VLOOKUP($H242,Nutrition_tables!$A:$N,12,FALSE)*$Q242/100</f>
        <v>0</v>
      </c>
      <c r="Z242" s="583">
        <f>VLOOKUP($H242,Nutrition_tables!$A:$N,14,FALSE)*$Q242/100</f>
        <v>0</v>
      </c>
      <c r="AA242" s="583">
        <f>VLOOKUP($H242,Nutrition_tables!$A:$AF,13,FALSE)*$Q242/100</f>
        <v>0</v>
      </c>
      <c r="AB242" s="549">
        <f>VLOOKUP($H242,Nutrition_tables!$A:$AF,15,FALSE)*$Q242/100</f>
        <v>0</v>
      </c>
      <c r="AC242" s="583">
        <f>VLOOKUP($H242,Nutrition_tables!$A:$AF,16,FALSE)*$Q242/100</f>
        <v>0</v>
      </c>
      <c r="AD242" s="583">
        <f>VLOOKUP($H242,Nutrition_tables!$A:$AF,17,FALSE)*$Q242/100</f>
        <v>0</v>
      </c>
      <c r="AE242" s="583">
        <f>VLOOKUP($H242,Nutrition_tables!$A:$AF,18,FALSE)*$Q242/100</f>
        <v>0</v>
      </c>
      <c r="AF242" s="583">
        <f>VLOOKUP($H242,Nutrition_tables!$A:$AF,19,FALSE)*$Q242/100</f>
        <v>0</v>
      </c>
      <c r="AG242" s="583">
        <f>VLOOKUP($H242,Nutrition_tables!$A:$AF,20,FALSE)*$Q242/100</f>
        <v>0</v>
      </c>
      <c r="AH242" s="583">
        <f>VLOOKUP($H242,Nutrition_tables!$A:$AF,21,FALSE)*$Q242/100</f>
        <v>0</v>
      </c>
      <c r="AI242" s="583">
        <f>VLOOKUP($H242,Nutrition_tables!$A:$AF,22,FALSE)*$Q242/100</f>
        <v>0</v>
      </c>
      <c r="AJ242" s="549">
        <f>VLOOKUP($H242,Nutrition_tables!$A:$AF,23,FALSE)*$Q242/100</f>
        <v>0</v>
      </c>
      <c r="AK242" s="583">
        <f>VLOOKUP($H242,Nutrition_tables!$A:$AF,24,FALSE)*$Q242/100</f>
        <v>0</v>
      </c>
      <c r="AL242" s="583">
        <f>VLOOKUP($H242,Nutrition_tables!$A:$AF,25,FALSE)*$Q242/100</f>
        <v>0</v>
      </c>
      <c r="AM242" s="583">
        <f>VLOOKUP($H242,Nutrition_tables!$A:$AF,26,FALSE)*$Q242/100</f>
        <v>0</v>
      </c>
      <c r="AN242" s="583">
        <f>VLOOKUP($H242,Nutrition_tables!$A:$AF,27,FALSE)*$Q242/100</f>
        <v>0</v>
      </c>
      <c r="AO242" s="583">
        <f>VLOOKUP($H242,Nutrition_tables!$A:$AF,28,FALSE)*$Q242/100</f>
        <v>0</v>
      </c>
      <c r="AP242" s="583">
        <f>VLOOKUP($H242,Nutrition_tables!$A:$AF,29,FALSE)*$Q242/100</f>
        <v>0</v>
      </c>
      <c r="AQ242" s="583">
        <f>VLOOKUP($H242,Nutrition_tables!$A:$AF,30,FALSE)*$Q242/100</f>
        <v>0</v>
      </c>
      <c r="AR242" s="583">
        <f>VLOOKUP($H242,Nutrition_tables!$A:$AF,31,FALSE)*$Q242/100</f>
        <v>0</v>
      </c>
      <c r="AS242" s="549">
        <f>VLOOKUP($H242,Nutrition_tables!$A:$AF,32,FALSE)*$Q242/100</f>
        <v>0</v>
      </c>
      <c r="AT242" s="583" t="str">
        <f>IF(H242="Select ingredient:","",IF(G242="Select food category:","",IFERROR(VLOOKUP($H242,Ingredient_prices!$E:$W,17,FALSE)*$Q242/1000,"not bought")))</f>
        <v/>
      </c>
      <c r="AU242" s="583" t="str">
        <f>IF(H242="Select ingredient:","",IF(G242="Select food category:","",IFERROR(VLOOKUP($H242,Ingredient_prices!$E:$W,18,FALSE)*$Q242/1000,"not bought")))</f>
        <v/>
      </c>
      <c r="AV242" s="583">
        <f t="shared" si="529"/>
        <v>0</v>
      </c>
      <c r="AW242" s="583">
        <f t="shared" si="530"/>
        <v>0</v>
      </c>
      <c r="AX242" s="583">
        <f t="shared" si="531"/>
        <v>0</v>
      </c>
      <c r="AY242" s="583">
        <f t="shared" si="532"/>
        <v>0</v>
      </c>
      <c r="AZ242" s="583">
        <f t="shared" si="533"/>
        <v>0</v>
      </c>
      <c r="BA242" s="583">
        <f t="shared" si="534"/>
        <v>0</v>
      </c>
      <c r="BB242" s="583">
        <f t="shared" si="535"/>
        <v>0</v>
      </c>
      <c r="BC242" s="583">
        <f t="shared" si="536"/>
        <v>0</v>
      </c>
      <c r="BD242" s="583">
        <f t="shared" si="537"/>
        <v>0</v>
      </c>
      <c r="BE242" s="583">
        <f t="shared" si="538"/>
        <v>0</v>
      </c>
      <c r="BF242" s="583">
        <f t="shared" si="539"/>
        <v>0</v>
      </c>
      <c r="BG242" s="583">
        <f t="shared" si="540"/>
        <v>0</v>
      </c>
      <c r="BH242" s="583">
        <f t="shared" si="541"/>
        <v>0</v>
      </c>
      <c r="BI242" s="583">
        <f t="shared" si="542"/>
        <v>0</v>
      </c>
      <c r="BJ242" s="583">
        <f t="shared" si="543"/>
        <v>0</v>
      </c>
      <c r="BK242" s="583">
        <f t="shared" si="544"/>
        <v>0</v>
      </c>
      <c r="BL242" s="583">
        <f t="shared" si="545"/>
        <v>0</v>
      </c>
      <c r="BM242" s="583">
        <f t="shared" si="546"/>
        <v>0</v>
      </c>
      <c r="BN242" s="583">
        <f t="shared" si="547"/>
        <v>0</v>
      </c>
      <c r="BO242" s="583">
        <f t="shared" si="548"/>
        <v>0</v>
      </c>
      <c r="BP242" s="583">
        <f t="shared" si="549"/>
        <v>0</v>
      </c>
      <c r="BQ242" s="583">
        <f t="shared" si="550"/>
        <v>0</v>
      </c>
      <c r="BR242" s="583">
        <f t="shared" si="551"/>
        <v>0</v>
      </c>
    </row>
    <row r="243" spans="1:70" s="229" customFormat="1" ht="15" customHeight="1">
      <c r="A243" s="587"/>
      <c r="D243" s="85"/>
      <c r="E243" s="576">
        <f t="shared" si="552"/>
        <v>100</v>
      </c>
      <c r="F243" s="85"/>
      <c r="G243" s="406" t="s">
        <v>3054</v>
      </c>
      <c r="H243" s="1262" t="s">
        <v>3055</v>
      </c>
      <c r="I243" s="85">
        <v>0</v>
      </c>
      <c r="J243" s="682">
        <v>1</v>
      </c>
      <c r="K243" s="579" t="str">
        <f t="shared" si="526"/>
        <v/>
      </c>
      <c r="L243" s="580" t="str">
        <f>IF(H243="Select ingredient:","",IF(G243="","",_xlfn.IFNA(VLOOKUP($H243,Ingredient_prices!$E:$U,16,FALSE),0)))</f>
        <v/>
      </c>
      <c r="M243" s="844"/>
      <c r="N243" s="844"/>
      <c r="O243" s="588"/>
      <c r="P243" s="589"/>
      <c r="Q243" s="583">
        <f t="shared" si="527"/>
        <v>0</v>
      </c>
      <c r="R243" s="583">
        <f>VLOOKUP($H243,'CO2_emission+%_food_waste'!$A:$K,6,FALSE)*$Q243/100</f>
        <v>0</v>
      </c>
      <c r="S243" s="583">
        <f t="shared" si="528"/>
        <v>0</v>
      </c>
      <c r="T243" s="583" t="str">
        <f>IF(H243="Select ingredient:","",IF(G243="Select food category:","",_xlfn.IFNA(VLOOKUP($H243,Ingredient_prices!$E:$U,16,FALSE)*$Q243/1000,"not bought")))</f>
        <v/>
      </c>
      <c r="U243" s="583" t="str">
        <f>IF(G243="Select food category:","",_xlfn.IFNA(VLOOKUP($H243,Ingredient_prices!$E:$U,16,FALSE)*$R243/1000,"not bought"))</f>
        <v/>
      </c>
      <c r="V243" s="549">
        <f>VLOOKUP($H243,'CO2_emission+%_food_waste'!$A:$K,4,FALSE)*$Q243</f>
        <v>0</v>
      </c>
      <c r="W243" s="583">
        <f>VLOOKUP($H243,Nutrition_tables!$A:$N,10,FALSE)*$Q243/100</f>
        <v>0</v>
      </c>
      <c r="X243" s="583">
        <f>VLOOKUP($H243,Nutrition_tables!$A:$N,11,FALSE)*$Q243/100</f>
        <v>0</v>
      </c>
      <c r="Y243" s="583">
        <f>VLOOKUP($H243,Nutrition_tables!$A:$N,12,FALSE)*$Q243/100</f>
        <v>0</v>
      </c>
      <c r="Z243" s="583">
        <f>VLOOKUP($H243,Nutrition_tables!$A:$N,14,FALSE)*$Q243/100</f>
        <v>0</v>
      </c>
      <c r="AA243" s="583">
        <f>VLOOKUP($H243,Nutrition_tables!$A:$AF,13,FALSE)*$Q243/100</f>
        <v>0</v>
      </c>
      <c r="AB243" s="549">
        <f>VLOOKUP($H243,Nutrition_tables!$A:$AF,15,FALSE)*$Q243/100</f>
        <v>0</v>
      </c>
      <c r="AC243" s="583">
        <f>VLOOKUP($H243,Nutrition_tables!$A:$AF,16,FALSE)*$Q243/100</f>
        <v>0</v>
      </c>
      <c r="AD243" s="583">
        <f>VLOOKUP($H243,Nutrition_tables!$A:$AF,17,FALSE)*$Q243/100</f>
        <v>0</v>
      </c>
      <c r="AE243" s="583">
        <f>VLOOKUP($H243,Nutrition_tables!$A:$AF,18,FALSE)*$Q243/100</f>
        <v>0</v>
      </c>
      <c r="AF243" s="583">
        <f>VLOOKUP($H243,Nutrition_tables!$A:$AF,19,FALSE)*$Q243/100</f>
        <v>0</v>
      </c>
      <c r="AG243" s="583">
        <f>VLOOKUP($H243,Nutrition_tables!$A:$AF,20,FALSE)*$Q243/100</f>
        <v>0</v>
      </c>
      <c r="AH243" s="583">
        <f>VLOOKUP($H243,Nutrition_tables!$A:$AF,21,FALSE)*$Q243/100</f>
        <v>0</v>
      </c>
      <c r="AI243" s="583">
        <f>VLOOKUP($H243,Nutrition_tables!$A:$AF,22,FALSE)*$Q243/100</f>
        <v>0</v>
      </c>
      <c r="AJ243" s="549">
        <f>VLOOKUP($H243,Nutrition_tables!$A:$AF,23,FALSE)*$Q243/100</f>
        <v>0</v>
      </c>
      <c r="AK243" s="583">
        <f>VLOOKUP($H243,Nutrition_tables!$A:$AF,24,FALSE)*$Q243/100</f>
        <v>0</v>
      </c>
      <c r="AL243" s="583">
        <f>VLOOKUP($H243,Nutrition_tables!$A:$AF,25,FALSE)*$Q243/100</f>
        <v>0</v>
      </c>
      <c r="AM243" s="583">
        <f>VLOOKUP($H243,Nutrition_tables!$A:$AF,26,FALSE)*$Q243/100</f>
        <v>0</v>
      </c>
      <c r="AN243" s="583">
        <f>VLOOKUP($H243,Nutrition_tables!$A:$AF,27,FALSE)*$Q243/100</f>
        <v>0</v>
      </c>
      <c r="AO243" s="583">
        <f>VLOOKUP($H243,Nutrition_tables!$A:$AF,28,FALSE)*$Q243/100</f>
        <v>0</v>
      </c>
      <c r="AP243" s="583">
        <f>VLOOKUP($H243,Nutrition_tables!$A:$AF,29,FALSE)*$Q243/100</f>
        <v>0</v>
      </c>
      <c r="AQ243" s="583">
        <f>VLOOKUP($H243,Nutrition_tables!$A:$AF,30,FALSE)*$Q243/100</f>
        <v>0</v>
      </c>
      <c r="AR243" s="583">
        <f>VLOOKUP($H243,Nutrition_tables!$A:$AF,31,FALSE)*$Q243/100</f>
        <v>0</v>
      </c>
      <c r="AS243" s="549">
        <f>VLOOKUP($H243,Nutrition_tables!$A:$AF,32,FALSE)*$Q243/100</f>
        <v>0</v>
      </c>
      <c r="AT243" s="583" t="str">
        <f>IF(H243="Select ingredient:","",IF(G243="Select food category:","",IFERROR(VLOOKUP($H243,Ingredient_prices!$E:$W,17,FALSE)*$Q243/1000,"not bought")))</f>
        <v/>
      </c>
      <c r="AU243" s="583" t="str">
        <f>IF(H243="Select ingredient:","",IF(G243="Select food category:","",IFERROR(VLOOKUP($H243,Ingredient_prices!$E:$W,18,FALSE)*$Q243/1000,"not bought")))</f>
        <v/>
      </c>
      <c r="AV243" s="583">
        <f t="shared" si="529"/>
        <v>0</v>
      </c>
      <c r="AW243" s="583">
        <f t="shared" si="530"/>
        <v>0</v>
      </c>
      <c r="AX243" s="583">
        <f t="shared" si="531"/>
        <v>0</v>
      </c>
      <c r="AY243" s="583">
        <f t="shared" si="532"/>
        <v>0</v>
      </c>
      <c r="AZ243" s="583">
        <f t="shared" si="533"/>
        <v>0</v>
      </c>
      <c r="BA243" s="583">
        <f t="shared" si="534"/>
        <v>0</v>
      </c>
      <c r="BB243" s="583">
        <f t="shared" si="535"/>
        <v>0</v>
      </c>
      <c r="BC243" s="583">
        <f t="shared" si="536"/>
        <v>0</v>
      </c>
      <c r="BD243" s="583">
        <f t="shared" si="537"/>
        <v>0</v>
      </c>
      <c r="BE243" s="583">
        <f t="shared" si="538"/>
        <v>0</v>
      </c>
      <c r="BF243" s="583">
        <f t="shared" si="539"/>
        <v>0</v>
      </c>
      <c r="BG243" s="583">
        <f t="shared" si="540"/>
        <v>0</v>
      </c>
      <c r="BH243" s="583">
        <f t="shared" si="541"/>
        <v>0</v>
      </c>
      <c r="BI243" s="583">
        <f t="shared" si="542"/>
        <v>0</v>
      </c>
      <c r="BJ243" s="583">
        <f t="shared" si="543"/>
        <v>0</v>
      </c>
      <c r="BK243" s="583">
        <f t="shared" si="544"/>
        <v>0</v>
      </c>
      <c r="BL243" s="583">
        <f t="shared" si="545"/>
        <v>0</v>
      </c>
      <c r="BM243" s="583">
        <f t="shared" si="546"/>
        <v>0</v>
      </c>
      <c r="BN243" s="583">
        <f t="shared" si="547"/>
        <v>0</v>
      </c>
      <c r="BO243" s="583">
        <f t="shared" si="548"/>
        <v>0</v>
      </c>
      <c r="BP243" s="583">
        <f t="shared" si="549"/>
        <v>0</v>
      </c>
      <c r="BQ243" s="583">
        <f t="shared" si="550"/>
        <v>0</v>
      </c>
      <c r="BR243" s="583">
        <f t="shared" si="551"/>
        <v>0</v>
      </c>
    </row>
    <row r="244" spans="1:70" s="229" customFormat="1" ht="15" customHeight="1">
      <c r="A244" s="587"/>
      <c r="D244" s="85"/>
      <c r="E244" s="576">
        <f t="shared" si="552"/>
        <v>100</v>
      </c>
      <c r="F244" s="85"/>
      <c r="G244" s="406" t="s">
        <v>3054</v>
      </c>
      <c r="H244" s="1262" t="s">
        <v>3055</v>
      </c>
      <c r="I244" s="85">
        <v>0</v>
      </c>
      <c r="J244" s="682">
        <v>1</v>
      </c>
      <c r="K244" s="579" t="str">
        <f t="shared" si="526"/>
        <v/>
      </c>
      <c r="L244" s="580" t="str">
        <f>IF(H244="Select ingredient:","",IF(G244="","",_xlfn.IFNA(VLOOKUP($H244,Ingredient_prices!$E:$U,16,FALSE),0)))</f>
        <v/>
      </c>
      <c r="M244" s="844"/>
      <c r="N244" s="844"/>
      <c r="O244" s="588"/>
      <c r="P244" s="589"/>
      <c r="Q244" s="583">
        <f t="shared" si="527"/>
        <v>0</v>
      </c>
      <c r="R244" s="583">
        <f>VLOOKUP($H244,'CO2_emission+%_food_waste'!$A:$K,6,FALSE)*$Q244/100</f>
        <v>0</v>
      </c>
      <c r="S244" s="583">
        <f t="shared" si="528"/>
        <v>0</v>
      </c>
      <c r="T244" s="583" t="str">
        <f>IF(H244="Select ingredient:","",IF(G244="Select food category:","",_xlfn.IFNA(VLOOKUP($H244,Ingredient_prices!$E:$U,16,FALSE)*$Q244/1000,"not bought")))</f>
        <v/>
      </c>
      <c r="U244" s="583" t="str">
        <f>IF(G244="Select food category:","",_xlfn.IFNA(VLOOKUP($H244,Ingredient_prices!$E:$U,16,FALSE)*$R244/1000,"not bought"))</f>
        <v/>
      </c>
      <c r="V244" s="549">
        <f>VLOOKUP($H244,'CO2_emission+%_food_waste'!$A:$K,4,FALSE)*$Q244</f>
        <v>0</v>
      </c>
      <c r="W244" s="583">
        <f>VLOOKUP($H244,Nutrition_tables!$A:$N,10,FALSE)*$Q244/100</f>
        <v>0</v>
      </c>
      <c r="X244" s="583">
        <f>VLOOKUP($H244,Nutrition_tables!$A:$N,11,FALSE)*$Q244/100</f>
        <v>0</v>
      </c>
      <c r="Y244" s="583">
        <f>VLOOKUP($H244,Nutrition_tables!$A:$N,12,FALSE)*$Q244/100</f>
        <v>0</v>
      </c>
      <c r="Z244" s="583">
        <f>VLOOKUP($H244,Nutrition_tables!$A:$N,14,FALSE)*$Q244/100</f>
        <v>0</v>
      </c>
      <c r="AA244" s="583">
        <f>VLOOKUP($H244,Nutrition_tables!$A:$AF,13,FALSE)*$Q244/100</f>
        <v>0</v>
      </c>
      <c r="AB244" s="549">
        <f>VLOOKUP($H244,Nutrition_tables!$A:$AF,15,FALSE)*$Q244/100</f>
        <v>0</v>
      </c>
      <c r="AC244" s="583">
        <f>VLOOKUP($H244,Nutrition_tables!$A:$AF,16,FALSE)*$Q244/100</f>
        <v>0</v>
      </c>
      <c r="AD244" s="583">
        <f>VLOOKUP($H244,Nutrition_tables!$A:$AF,17,FALSE)*$Q244/100</f>
        <v>0</v>
      </c>
      <c r="AE244" s="583">
        <f>VLOOKUP($H244,Nutrition_tables!$A:$AF,18,FALSE)*$Q244/100</f>
        <v>0</v>
      </c>
      <c r="AF244" s="583">
        <f>VLOOKUP($H244,Nutrition_tables!$A:$AF,19,FALSE)*$Q244/100</f>
        <v>0</v>
      </c>
      <c r="AG244" s="583">
        <f>VLOOKUP($H244,Nutrition_tables!$A:$AF,20,FALSE)*$Q244/100</f>
        <v>0</v>
      </c>
      <c r="AH244" s="583">
        <f>VLOOKUP($H244,Nutrition_tables!$A:$AF,21,FALSE)*$Q244/100</f>
        <v>0</v>
      </c>
      <c r="AI244" s="583">
        <f>VLOOKUP($H244,Nutrition_tables!$A:$AF,22,FALSE)*$Q244/100</f>
        <v>0</v>
      </c>
      <c r="AJ244" s="549">
        <f>VLOOKUP($H244,Nutrition_tables!$A:$AF,23,FALSE)*$Q244/100</f>
        <v>0</v>
      </c>
      <c r="AK244" s="583">
        <f>VLOOKUP($H244,Nutrition_tables!$A:$AF,24,FALSE)*$Q244/100</f>
        <v>0</v>
      </c>
      <c r="AL244" s="583">
        <f>VLOOKUP($H244,Nutrition_tables!$A:$AF,25,FALSE)*$Q244/100</f>
        <v>0</v>
      </c>
      <c r="AM244" s="583">
        <f>VLOOKUP($H244,Nutrition_tables!$A:$AF,26,FALSE)*$Q244/100</f>
        <v>0</v>
      </c>
      <c r="AN244" s="583">
        <f>VLOOKUP($H244,Nutrition_tables!$A:$AF,27,FALSE)*$Q244/100</f>
        <v>0</v>
      </c>
      <c r="AO244" s="583">
        <f>VLOOKUP($H244,Nutrition_tables!$A:$AF,28,FALSE)*$Q244/100</f>
        <v>0</v>
      </c>
      <c r="AP244" s="583">
        <f>VLOOKUP($H244,Nutrition_tables!$A:$AF,29,FALSE)*$Q244/100</f>
        <v>0</v>
      </c>
      <c r="AQ244" s="583">
        <f>VLOOKUP($H244,Nutrition_tables!$A:$AF,30,FALSE)*$Q244/100</f>
        <v>0</v>
      </c>
      <c r="AR244" s="583">
        <f>VLOOKUP($H244,Nutrition_tables!$A:$AF,31,FALSE)*$Q244/100</f>
        <v>0</v>
      </c>
      <c r="AS244" s="549">
        <f>VLOOKUP($H244,Nutrition_tables!$A:$AF,32,FALSE)*$Q244/100</f>
        <v>0</v>
      </c>
      <c r="AT244" s="583" t="str">
        <f>IF(H244="Select ingredient:","",IF(G244="Select food category:","",IFERROR(VLOOKUP($H244,Ingredient_prices!$E:$W,17,FALSE)*$Q244/1000,"not bought")))</f>
        <v/>
      </c>
      <c r="AU244" s="583" t="str">
        <f>IF(H244="Select ingredient:","",IF(G244="Select food category:","",IFERROR(VLOOKUP($H244,Ingredient_prices!$E:$W,18,FALSE)*$Q244/1000,"not bought")))</f>
        <v/>
      </c>
      <c r="AV244" s="583">
        <f t="shared" si="529"/>
        <v>0</v>
      </c>
      <c r="AW244" s="583">
        <f t="shared" si="530"/>
        <v>0</v>
      </c>
      <c r="AX244" s="583">
        <f t="shared" si="531"/>
        <v>0</v>
      </c>
      <c r="AY244" s="583">
        <f t="shared" si="532"/>
        <v>0</v>
      </c>
      <c r="AZ244" s="583">
        <f t="shared" si="533"/>
        <v>0</v>
      </c>
      <c r="BA244" s="583">
        <f t="shared" si="534"/>
        <v>0</v>
      </c>
      <c r="BB244" s="583">
        <f t="shared" si="535"/>
        <v>0</v>
      </c>
      <c r="BC244" s="583">
        <f t="shared" si="536"/>
        <v>0</v>
      </c>
      <c r="BD244" s="583">
        <f t="shared" si="537"/>
        <v>0</v>
      </c>
      <c r="BE244" s="583">
        <f t="shared" si="538"/>
        <v>0</v>
      </c>
      <c r="BF244" s="583">
        <f t="shared" si="539"/>
        <v>0</v>
      </c>
      <c r="BG244" s="583">
        <f t="shared" si="540"/>
        <v>0</v>
      </c>
      <c r="BH244" s="583">
        <f t="shared" si="541"/>
        <v>0</v>
      </c>
      <c r="BI244" s="583">
        <f t="shared" si="542"/>
        <v>0</v>
      </c>
      <c r="BJ244" s="583">
        <f t="shared" si="543"/>
        <v>0</v>
      </c>
      <c r="BK244" s="583">
        <f t="shared" si="544"/>
        <v>0</v>
      </c>
      <c r="BL244" s="583">
        <f t="shared" si="545"/>
        <v>0</v>
      </c>
      <c r="BM244" s="583">
        <f t="shared" si="546"/>
        <v>0</v>
      </c>
      <c r="BN244" s="583">
        <f t="shared" si="547"/>
        <v>0</v>
      </c>
      <c r="BO244" s="583">
        <f t="shared" si="548"/>
        <v>0</v>
      </c>
      <c r="BP244" s="583">
        <f t="shared" si="549"/>
        <v>0</v>
      </c>
      <c r="BQ244" s="583">
        <f t="shared" si="550"/>
        <v>0</v>
      </c>
      <c r="BR244" s="583">
        <f t="shared" si="551"/>
        <v>0</v>
      </c>
    </row>
    <row r="245" spans="1:70" s="229" customFormat="1" ht="15" customHeight="1">
      <c r="A245" s="587"/>
      <c r="D245" s="85"/>
      <c r="E245" s="576">
        <f t="shared" si="552"/>
        <v>100</v>
      </c>
      <c r="F245" s="85"/>
      <c r="G245" s="406" t="s">
        <v>3054</v>
      </c>
      <c r="H245" s="1262" t="s">
        <v>3055</v>
      </c>
      <c r="I245" s="85">
        <v>0</v>
      </c>
      <c r="J245" s="682">
        <v>1</v>
      </c>
      <c r="K245" s="579" t="str">
        <f t="shared" si="526"/>
        <v/>
      </c>
      <c r="L245" s="580" t="str">
        <f>IF(H245="Select ingredient:","",IF(G245="","",_xlfn.IFNA(VLOOKUP($H245,Ingredient_prices!$E:$U,16,FALSE),0)))</f>
        <v/>
      </c>
      <c r="M245" s="844"/>
      <c r="N245" s="844"/>
      <c r="O245" s="588"/>
      <c r="P245" s="589"/>
      <c r="Q245" s="583">
        <f t="shared" si="527"/>
        <v>0</v>
      </c>
      <c r="R245" s="583">
        <f>VLOOKUP($H245,'CO2_emission+%_food_waste'!$A:$K,6,FALSE)*$Q245/100</f>
        <v>0</v>
      </c>
      <c r="S245" s="583">
        <f t="shared" si="528"/>
        <v>0</v>
      </c>
      <c r="T245" s="583" t="str">
        <f>IF(H245="Select ingredient:","",IF(G245="Select food category:","",_xlfn.IFNA(VLOOKUP($H245,Ingredient_prices!$E:$U,16,FALSE)*$Q245/1000,"not bought")))</f>
        <v/>
      </c>
      <c r="U245" s="583" t="str">
        <f>IF(G245="Select food category:","",_xlfn.IFNA(VLOOKUP($H245,Ingredient_prices!$E:$U,16,FALSE)*$R245/1000,"not bought"))</f>
        <v/>
      </c>
      <c r="V245" s="549">
        <f>VLOOKUP($H245,'CO2_emission+%_food_waste'!$A:$K,4,FALSE)*$Q245</f>
        <v>0</v>
      </c>
      <c r="W245" s="583">
        <f>VLOOKUP($H245,Nutrition_tables!$A:$N,10,FALSE)*$Q245/100</f>
        <v>0</v>
      </c>
      <c r="X245" s="583">
        <f>VLOOKUP($H245,Nutrition_tables!$A:$N,11,FALSE)*$Q245/100</f>
        <v>0</v>
      </c>
      <c r="Y245" s="583">
        <f>VLOOKUP($H245,Nutrition_tables!$A:$N,12,FALSE)*$Q245/100</f>
        <v>0</v>
      </c>
      <c r="Z245" s="583">
        <f>VLOOKUP($H245,Nutrition_tables!$A:$N,14,FALSE)*$Q245/100</f>
        <v>0</v>
      </c>
      <c r="AA245" s="583">
        <f>VLOOKUP($H245,Nutrition_tables!$A:$AF,13,FALSE)*$Q245/100</f>
        <v>0</v>
      </c>
      <c r="AB245" s="549">
        <f>VLOOKUP($H245,Nutrition_tables!$A:$AF,15,FALSE)*$Q245/100</f>
        <v>0</v>
      </c>
      <c r="AC245" s="583">
        <f>VLOOKUP($H245,Nutrition_tables!$A:$AF,16,FALSE)*$Q245/100</f>
        <v>0</v>
      </c>
      <c r="AD245" s="583">
        <f>VLOOKUP($H245,Nutrition_tables!$A:$AF,17,FALSE)*$Q245/100</f>
        <v>0</v>
      </c>
      <c r="AE245" s="583">
        <f>VLOOKUP($H245,Nutrition_tables!$A:$AF,18,FALSE)*$Q245/100</f>
        <v>0</v>
      </c>
      <c r="AF245" s="583">
        <f>VLOOKUP($H245,Nutrition_tables!$A:$AF,19,FALSE)*$Q245/100</f>
        <v>0</v>
      </c>
      <c r="AG245" s="583">
        <f>VLOOKUP($H245,Nutrition_tables!$A:$AF,20,FALSE)*$Q245/100</f>
        <v>0</v>
      </c>
      <c r="AH245" s="583">
        <f>VLOOKUP($H245,Nutrition_tables!$A:$AF,21,FALSE)*$Q245/100</f>
        <v>0</v>
      </c>
      <c r="AI245" s="583">
        <f>VLOOKUP($H245,Nutrition_tables!$A:$AF,22,FALSE)*$Q245/100</f>
        <v>0</v>
      </c>
      <c r="AJ245" s="549">
        <f>VLOOKUP($H245,Nutrition_tables!$A:$AF,23,FALSE)*$Q245/100</f>
        <v>0</v>
      </c>
      <c r="AK245" s="583">
        <f>VLOOKUP($H245,Nutrition_tables!$A:$AF,24,FALSE)*$Q245/100</f>
        <v>0</v>
      </c>
      <c r="AL245" s="583">
        <f>VLOOKUP($H245,Nutrition_tables!$A:$AF,25,FALSE)*$Q245/100</f>
        <v>0</v>
      </c>
      <c r="AM245" s="583">
        <f>VLOOKUP($H245,Nutrition_tables!$A:$AF,26,FALSE)*$Q245/100</f>
        <v>0</v>
      </c>
      <c r="AN245" s="583">
        <f>VLOOKUP($H245,Nutrition_tables!$A:$AF,27,FALSE)*$Q245/100</f>
        <v>0</v>
      </c>
      <c r="AO245" s="583">
        <f>VLOOKUP($H245,Nutrition_tables!$A:$AF,28,FALSE)*$Q245/100</f>
        <v>0</v>
      </c>
      <c r="AP245" s="583">
        <f>VLOOKUP($H245,Nutrition_tables!$A:$AF,29,FALSE)*$Q245/100</f>
        <v>0</v>
      </c>
      <c r="AQ245" s="583">
        <f>VLOOKUP($H245,Nutrition_tables!$A:$AF,30,FALSE)*$Q245/100</f>
        <v>0</v>
      </c>
      <c r="AR245" s="583">
        <f>VLOOKUP($H245,Nutrition_tables!$A:$AF,31,FALSE)*$Q245/100</f>
        <v>0</v>
      </c>
      <c r="AS245" s="549">
        <f>VLOOKUP($H245,Nutrition_tables!$A:$AF,32,FALSE)*$Q245/100</f>
        <v>0</v>
      </c>
      <c r="AT245" s="583" t="str">
        <f>IF(H245="Select ingredient:","",IF(G245="Select food category:","",IFERROR(VLOOKUP($H245,Ingredient_prices!$E:$W,17,FALSE)*$Q245/1000,"not bought")))</f>
        <v/>
      </c>
      <c r="AU245" s="583" t="str">
        <f>IF(H245="Select ingredient:","",IF(G245="Select food category:","",IFERROR(VLOOKUP($H245,Ingredient_prices!$E:$W,18,FALSE)*$Q245/1000,"not bought")))</f>
        <v/>
      </c>
      <c r="AV245" s="583">
        <f t="shared" si="529"/>
        <v>0</v>
      </c>
      <c r="AW245" s="583">
        <f t="shared" si="530"/>
        <v>0</v>
      </c>
      <c r="AX245" s="583">
        <f t="shared" si="531"/>
        <v>0</v>
      </c>
      <c r="AY245" s="583">
        <f t="shared" si="532"/>
        <v>0</v>
      </c>
      <c r="AZ245" s="583">
        <f t="shared" si="533"/>
        <v>0</v>
      </c>
      <c r="BA245" s="583">
        <f t="shared" si="534"/>
        <v>0</v>
      </c>
      <c r="BB245" s="583">
        <f t="shared" si="535"/>
        <v>0</v>
      </c>
      <c r="BC245" s="583">
        <f t="shared" si="536"/>
        <v>0</v>
      </c>
      <c r="BD245" s="583">
        <f t="shared" si="537"/>
        <v>0</v>
      </c>
      <c r="BE245" s="583">
        <f t="shared" si="538"/>
        <v>0</v>
      </c>
      <c r="BF245" s="583">
        <f t="shared" si="539"/>
        <v>0</v>
      </c>
      <c r="BG245" s="583">
        <f t="shared" si="540"/>
        <v>0</v>
      </c>
      <c r="BH245" s="583">
        <f t="shared" si="541"/>
        <v>0</v>
      </c>
      <c r="BI245" s="583">
        <f t="shared" si="542"/>
        <v>0</v>
      </c>
      <c r="BJ245" s="583">
        <f t="shared" si="543"/>
        <v>0</v>
      </c>
      <c r="BK245" s="583">
        <f t="shared" si="544"/>
        <v>0</v>
      </c>
      <c r="BL245" s="583">
        <f t="shared" si="545"/>
        <v>0</v>
      </c>
      <c r="BM245" s="583">
        <f t="shared" si="546"/>
        <v>0</v>
      </c>
      <c r="BN245" s="583">
        <f t="shared" si="547"/>
        <v>0</v>
      </c>
      <c r="BO245" s="583">
        <f t="shared" si="548"/>
        <v>0</v>
      </c>
      <c r="BP245" s="583">
        <f t="shared" si="549"/>
        <v>0</v>
      </c>
      <c r="BQ245" s="583">
        <f t="shared" si="550"/>
        <v>0</v>
      </c>
      <c r="BR245" s="583">
        <f t="shared" si="551"/>
        <v>0</v>
      </c>
    </row>
    <row r="246" spans="1:70" s="229" customFormat="1" ht="15" customHeight="1">
      <c r="A246" s="587"/>
      <c r="D246" s="85"/>
      <c r="E246" s="576">
        <f t="shared" si="552"/>
        <v>100</v>
      </c>
      <c r="F246" s="710"/>
      <c r="G246" s="406" t="s">
        <v>3054</v>
      </c>
      <c r="H246" s="1262" t="s">
        <v>3055</v>
      </c>
      <c r="I246" s="85">
        <v>0</v>
      </c>
      <c r="J246" s="682">
        <v>1</v>
      </c>
      <c r="K246" s="579" t="str">
        <f t="shared" si="526"/>
        <v/>
      </c>
      <c r="L246" s="580" t="str">
        <f>IF(H246="Select ingredient:","",IF(G246="","",_xlfn.IFNA(VLOOKUP($H246,Ingredient_prices!$E:$U,16,FALSE),0)))</f>
        <v/>
      </c>
      <c r="M246" s="844"/>
      <c r="N246" s="844"/>
      <c r="O246" s="588"/>
      <c r="P246" s="589"/>
      <c r="Q246" s="583">
        <f t="shared" si="527"/>
        <v>0</v>
      </c>
      <c r="R246" s="583">
        <f>VLOOKUP($H246,'CO2_emission+%_food_waste'!$A:$K,6,FALSE)*$Q246/100</f>
        <v>0</v>
      </c>
      <c r="S246" s="583">
        <f t="shared" si="528"/>
        <v>0</v>
      </c>
      <c r="T246" s="583" t="str">
        <f>IF(H246="Select ingredient:","",IF(G246="Select food category:","",_xlfn.IFNA(VLOOKUP($H246,Ingredient_prices!$E:$U,16,FALSE)*$Q246/1000,"not bought")))</f>
        <v/>
      </c>
      <c r="U246" s="583" t="str">
        <f>IF(G246="Select food category:","",_xlfn.IFNA(VLOOKUP($H246,Ingredient_prices!$E:$U,16,FALSE)*$R246/1000,"not bought"))</f>
        <v/>
      </c>
      <c r="V246" s="549">
        <f>VLOOKUP($H246,'CO2_emission+%_food_waste'!$A:$K,4,FALSE)*$Q246</f>
        <v>0</v>
      </c>
      <c r="W246" s="583">
        <f>VLOOKUP($H246,Nutrition_tables!$A:$N,10,FALSE)*$Q246/100</f>
        <v>0</v>
      </c>
      <c r="X246" s="583">
        <f>VLOOKUP($H246,Nutrition_tables!$A:$N,11,FALSE)*$Q246/100</f>
        <v>0</v>
      </c>
      <c r="Y246" s="583">
        <f>VLOOKUP($H246,Nutrition_tables!$A:$N,12,FALSE)*$Q246/100</f>
        <v>0</v>
      </c>
      <c r="Z246" s="583">
        <f>VLOOKUP($H246,Nutrition_tables!$A:$N,14,FALSE)*$Q246/100</f>
        <v>0</v>
      </c>
      <c r="AA246" s="583">
        <f>VLOOKUP($H246,Nutrition_tables!$A:$AF,13,FALSE)*$Q246/100</f>
        <v>0</v>
      </c>
      <c r="AB246" s="549">
        <f>VLOOKUP($H246,Nutrition_tables!$A:$AF,15,FALSE)*$Q246/100</f>
        <v>0</v>
      </c>
      <c r="AC246" s="583">
        <f>VLOOKUP($H246,Nutrition_tables!$A:$AF,16,FALSE)*$Q246/100</f>
        <v>0</v>
      </c>
      <c r="AD246" s="583">
        <f>VLOOKUP($H246,Nutrition_tables!$A:$AF,17,FALSE)*$Q246/100</f>
        <v>0</v>
      </c>
      <c r="AE246" s="583">
        <f>VLOOKUP($H246,Nutrition_tables!$A:$AF,18,FALSE)*$Q246/100</f>
        <v>0</v>
      </c>
      <c r="AF246" s="583">
        <f>VLOOKUP($H246,Nutrition_tables!$A:$AF,19,FALSE)*$Q246/100</f>
        <v>0</v>
      </c>
      <c r="AG246" s="583">
        <f>VLOOKUP($H246,Nutrition_tables!$A:$AF,20,FALSE)*$Q246/100</f>
        <v>0</v>
      </c>
      <c r="AH246" s="583">
        <f>VLOOKUP($H246,Nutrition_tables!$A:$AF,21,FALSE)*$Q246/100</f>
        <v>0</v>
      </c>
      <c r="AI246" s="583">
        <f>VLOOKUP($H246,Nutrition_tables!$A:$AF,22,FALSE)*$Q246/100</f>
        <v>0</v>
      </c>
      <c r="AJ246" s="549">
        <f>VLOOKUP($H246,Nutrition_tables!$A:$AF,23,FALSE)*$Q246/100</f>
        <v>0</v>
      </c>
      <c r="AK246" s="583">
        <f>VLOOKUP($H246,Nutrition_tables!$A:$AF,24,FALSE)*$Q246/100</f>
        <v>0</v>
      </c>
      <c r="AL246" s="583">
        <f>VLOOKUP($H246,Nutrition_tables!$A:$AF,25,FALSE)*$Q246/100</f>
        <v>0</v>
      </c>
      <c r="AM246" s="583">
        <f>VLOOKUP($H246,Nutrition_tables!$A:$AF,26,FALSE)*$Q246/100</f>
        <v>0</v>
      </c>
      <c r="AN246" s="583">
        <f>VLOOKUP($H246,Nutrition_tables!$A:$AF,27,FALSE)*$Q246/100</f>
        <v>0</v>
      </c>
      <c r="AO246" s="583">
        <f>VLOOKUP($H246,Nutrition_tables!$A:$AF,28,FALSE)*$Q246/100</f>
        <v>0</v>
      </c>
      <c r="AP246" s="583">
        <f>VLOOKUP($H246,Nutrition_tables!$A:$AF,29,FALSE)*$Q246/100</f>
        <v>0</v>
      </c>
      <c r="AQ246" s="583">
        <f>VLOOKUP($H246,Nutrition_tables!$A:$AF,30,FALSE)*$Q246/100</f>
        <v>0</v>
      </c>
      <c r="AR246" s="583">
        <f>VLOOKUP($H246,Nutrition_tables!$A:$AF,31,FALSE)*$Q246/100</f>
        <v>0</v>
      </c>
      <c r="AS246" s="549">
        <f>VLOOKUP($H246,Nutrition_tables!$A:$AF,32,FALSE)*$Q246/100</f>
        <v>0</v>
      </c>
      <c r="AT246" s="583" t="str">
        <f>IF(H246="Select ingredient:","",IF(G246="Select food category:","",IFERROR(VLOOKUP($H246,Ingredient_prices!$E:$W,17,FALSE)*$Q246/1000,"not bought")))</f>
        <v/>
      </c>
      <c r="AU246" s="583" t="str">
        <f>IF(H246="Select ingredient:","",IF(G246="Select food category:","",IFERROR(VLOOKUP($H246,Ingredient_prices!$E:$W,18,FALSE)*$Q246/1000,"not bought")))</f>
        <v/>
      </c>
      <c r="AV246" s="583">
        <f t="shared" si="529"/>
        <v>0</v>
      </c>
      <c r="AW246" s="583">
        <f t="shared" si="530"/>
        <v>0</v>
      </c>
      <c r="AX246" s="583">
        <f t="shared" si="531"/>
        <v>0</v>
      </c>
      <c r="AY246" s="583">
        <f t="shared" si="532"/>
        <v>0</v>
      </c>
      <c r="AZ246" s="583">
        <f t="shared" si="533"/>
        <v>0</v>
      </c>
      <c r="BA246" s="583">
        <f t="shared" si="534"/>
        <v>0</v>
      </c>
      <c r="BB246" s="583">
        <f t="shared" si="535"/>
        <v>0</v>
      </c>
      <c r="BC246" s="583">
        <f t="shared" si="536"/>
        <v>0</v>
      </c>
      <c r="BD246" s="583">
        <f t="shared" si="537"/>
        <v>0</v>
      </c>
      <c r="BE246" s="583">
        <f t="shared" si="538"/>
        <v>0</v>
      </c>
      <c r="BF246" s="583">
        <f t="shared" si="539"/>
        <v>0</v>
      </c>
      <c r="BG246" s="583">
        <f t="shared" si="540"/>
        <v>0</v>
      </c>
      <c r="BH246" s="583">
        <f t="shared" si="541"/>
        <v>0</v>
      </c>
      <c r="BI246" s="583">
        <f t="shared" si="542"/>
        <v>0</v>
      </c>
      <c r="BJ246" s="583">
        <f t="shared" si="543"/>
        <v>0</v>
      </c>
      <c r="BK246" s="583">
        <f t="shared" si="544"/>
        <v>0</v>
      </c>
      <c r="BL246" s="583">
        <f t="shared" si="545"/>
        <v>0</v>
      </c>
      <c r="BM246" s="583">
        <f t="shared" si="546"/>
        <v>0</v>
      </c>
      <c r="BN246" s="583">
        <f t="shared" si="547"/>
        <v>0</v>
      </c>
      <c r="BO246" s="583">
        <f t="shared" si="548"/>
        <v>0</v>
      </c>
      <c r="BP246" s="583">
        <f t="shared" si="549"/>
        <v>0</v>
      </c>
      <c r="BQ246" s="583">
        <f t="shared" si="550"/>
        <v>0</v>
      </c>
      <c r="BR246" s="583">
        <f t="shared" si="551"/>
        <v>0</v>
      </c>
    </row>
    <row r="247" spans="1:70" s="229" customFormat="1" ht="15" customHeight="1">
      <c r="A247" s="587"/>
      <c r="D247" s="85"/>
      <c r="E247" s="576">
        <f t="shared" si="552"/>
        <v>100</v>
      </c>
      <c r="F247" s="710"/>
      <c r="G247" s="406" t="s">
        <v>3054</v>
      </c>
      <c r="H247" s="1262" t="s">
        <v>3055</v>
      </c>
      <c r="I247" s="85">
        <v>0</v>
      </c>
      <c r="J247" s="682">
        <v>1</v>
      </c>
      <c r="K247" s="579" t="str">
        <f t="shared" si="526"/>
        <v/>
      </c>
      <c r="L247" s="580" t="str">
        <f>IF(H247="Select ingredient:","",IF(G247="","",_xlfn.IFNA(VLOOKUP($H247,Ingredient_prices!$E:$U,16,FALSE),0)))</f>
        <v/>
      </c>
      <c r="M247" s="844"/>
      <c r="N247" s="844"/>
      <c r="O247" s="588"/>
      <c r="P247" s="589"/>
      <c r="Q247" s="583">
        <f t="shared" si="527"/>
        <v>0</v>
      </c>
      <c r="R247" s="583">
        <f>VLOOKUP($H247,'CO2_emission+%_food_waste'!$A:$K,6,FALSE)*$Q247/100</f>
        <v>0</v>
      </c>
      <c r="S247" s="583">
        <f t="shared" si="528"/>
        <v>0</v>
      </c>
      <c r="T247" s="583" t="str">
        <f>IF(H247="Select ingredient:","",IF(G247="Select food category:","",_xlfn.IFNA(VLOOKUP($H247,Ingredient_prices!$E:$U,16,FALSE)*$Q247/1000,"not bought")))</f>
        <v/>
      </c>
      <c r="U247" s="583" t="str">
        <f>IF(G247="Select food category:","",_xlfn.IFNA(VLOOKUP($H247,Ingredient_prices!$E:$U,16,FALSE)*$R247/1000,"not bought"))</f>
        <v/>
      </c>
      <c r="V247" s="549">
        <f>VLOOKUP($H247,'CO2_emission+%_food_waste'!$A:$K,4,FALSE)*$Q247</f>
        <v>0</v>
      </c>
      <c r="W247" s="583">
        <f>VLOOKUP($H247,Nutrition_tables!$A:$N,10,FALSE)*$Q247/100</f>
        <v>0</v>
      </c>
      <c r="X247" s="583">
        <f>VLOOKUP($H247,Nutrition_tables!$A:$N,11,FALSE)*$Q247/100</f>
        <v>0</v>
      </c>
      <c r="Y247" s="583">
        <f>VLOOKUP($H247,Nutrition_tables!$A:$N,12,FALSE)*$Q247/100</f>
        <v>0</v>
      </c>
      <c r="Z247" s="583">
        <f>VLOOKUP($H247,Nutrition_tables!$A:$N,14,FALSE)*$Q247/100</f>
        <v>0</v>
      </c>
      <c r="AA247" s="583">
        <f>VLOOKUP($H247,Nutrition_tables!$A:$AF,13,FALSE)*$Q247/100</f>
        <v>0</v>
      </c>
      <c r="AB247" s="549">
        <f>VLOOKUP($H247,Nutrition_tables!$A:$AF,15,FALSE)*$Q247/100</f>
        <v>0</v>
      </c>
      <c r="AC247" s="583">
        <f>VLOOKUP($H247,Nutrition_tables!$A:$AF,16,FALSE)*$Q247/100</f>
        <v>0</v>
      </c>
      <c r="AD247" s="583">
        <f>VLOOKUP($H247,Nutrition_tables!$A:$AF,17,FALSE)*$Q247/100</f>
        <v>0</v>
      </c>
      <c r="AE247" s="583">
        <f>VLOOKUP($H247,Nutrition_tables!$A:$AF,18,FALSE)*$Q247/100</f>
        <v>0</v>
      </c>
      <c r="AF247" s="583">
        <f>VLOOKUP($H247,Nutrition_tables!$A:$AF,19,FALSE)*$Q247/100</f>
        <v>0</v>
      </c>
      <c r="AG247" s="583">
        <f>VLOOKUP($H247,Nutrition_tables!$A:$AF,20,FALSE)*$Q247/100</f>
        <v>0</v>
      </c>
      <c r="AH247" s="583">
        <f>VLOOKUP($H247,Nutrition_tables!$A:$AF,21,FALSE)*$Q247/100</f>
        <v>0</v>
      </c>
      <c r="AI247" s="583">
        <f>VLOOKUP($H247,Nutrition_tables!$A:$AF,22,FALSE)*$Q247/100</f>
        <v>0</v>
      </c>
      <c r="AJ247" s="549">
        <f>VLOOKUP($H247,Nutrition_tables!$A:$AF,23,FALSE)*$Q247/100</f>
        <v>0</v>
      </c>
      <c r="AK247" s="583">
        <f>VLOOKUP($H247,Nutrition_tables!$A:$AF,24,FALSE)*$Q247/100</f>
        <v>0</v>
      </c>
      <c r="AL247" s="583">
        <f>VLOOKUP($H247,Nutrition_tables!$A:$AF,25,FALSE)*$Q247/100</f>
        <v>0</v>
      </c>
      <c r="AM247" s="583">
        <f>VLOOKUP($H247,Nutrition_tables!$A:$AF,26,FALSE)*$Q247/100</f>
        <v>0</v>
      </c>
      <c r="AN247" s="583">
        <f>VLOOKUP($H247,Nutrition_tables!$A:$AF,27,FALSE)*$Q247/100</f>
        <v>0</v>
      </c>
      <c r="AO247" s="583">
        <f>VLOOKUP($H247,Nutrition_tables!$A:$AF,28,FALSE)*$Q247/100</f>
        <v>0</v>
      </c>
      <c r="AP247" s="583">
        <f>VLOOKUP($H247,Nutrition_tables!$A:$AF,29,FALSE)*$Q247/100</f>
        <v>0</v>
      </c>
      <c r="AQ247" s="583">
        <f>VLOOKUP($H247,Nutrition_tables!$A:$AF,30,FALSE)*$Q247/100</f>
        <v>0</v>
      </c>
      <c r="AR247" s="583">
        <f>VLOOKUP($H247,Nutrition_tables!$A:$AF,31,FALSE)*$Q247/100</f>
        <v>0</v>
      </c>
      <c r="AS247" s="549">
        <f>VLOOKUP($H247,Nutrition_tables!$A:$AF,32,FALSE)*$Q247/100</f>
        <v>0</v>
      </c>
      <c r="AT247" s="583" t="str">
        <f>IF(H247="Select ingredient:","",IF(G247="Select food category:","",IFERROR(VLOOKUP($H247,Ingredient_prices!$E:$W,17,FALSE)*$Q247/1000,"not bought")))</f>
        <v/>
      </c>
      <c r="AU247" s="583" t="str">
        <f>IF(H247="Select ingredient:","",IF(G247="Select food category:","",IFERROR(VLOOKUP($H247,Ingredient_prices!$E:$W,18,FALSE)*$Q247/1000,"not bought")))</f>
        <v/>
      </c>
      <c r="AV247" s="583">
        <f t="shared" si="529"/>
        <v>0</v>
      </c>
      <c r="AW247" s="583">
        <f t="shared" si="530"/>
        <v>0</v>
      </c>
      <c r="AX247" s="583">
        <f t="shared" si="531"/>
        <v>0</v>
      </c>
      <c r="AY247" s="583">
        <f t="shared" si="532"/>
        <v>0</v>
      </c>
      <c r="AZ247" s="583">
        <f t="shared" si="533"/>
        <v>0</v>
      </c>
      <c r="BA247" s="583">
        <f t="shared" si="534"/>
        <v>0</v>
      </c>
      <c r="BB247" s="583">
        <f t="shared" si="535"/>
        <v>0</v>
      </c>
      <c r="BC247" s="583">
        <f t="shared" si="536"/>
        <v>0</v>
      </c>
      <c r="BD247" s="583">
        <f t="shared" si="537"/>
        <v>0</v>
      </c>
      <c r="BE247" s="583">
        <f t="shared" si="538"/>
        <v>0</v>
      </c>
      <c r="BF247" s="583">
        <f t="shared" si="539"/>
        <v>0</v>
      </c>
      <c r="BG247" s="583">
        <f t="shared" si="540"/>
        <v>0</v>
      </c>
      <c r="BH247" s="583">
        <f t="shared" si="541"/>
        <v>0</v>
      </c>
      <c r="BI247" s="583">
        <f t="shared" si="542"/>
        <v>0</v>
      </c>
      <c r="BJ247" s="583">
        <f t="shared" si="543"/>
        <v>0</v>
      </c>
      <c r="BK247" s="583">
        <f t="shared" si="544"/>
        <v>0</v>
      </c>
      <c r="BL247" s="583">
        <f t="shared" si="545"/>
        <v>0</v>
      </c>
      <c r="BM247" s="583">
        <f t="shared" si="546"/>
        <v>0</v>
      </c>
      <c r="BN247" s="583">
        <f t="shared" si="547"/>
        <v>0</v>
      </c>
      <c r="BO247" s="583">
        <f t="shared" si="548"/>
        <v>0</v>
      </c>
      <c r="BP247" s="583">
        <f t="shared" si="549"/>
        <v>0</v>
      </c>
      <c r="BQ247" s="583">
        <f t="shared" si="550"/>
        <v>0</v>
      </c>
      <c r="BR247" s="583">
        <f t="shared" si="551"/>
        <v>0</v>
      </c>
    </row>
    <row r="248" spans="1:70" s="603" customFormat="1" ht="56">
      <c r="A248" s="587"/>
      <c r="B248" s="593"/>
      <c r="C248" s="522"/>
      <c r="D248" s="141"/>
      <c r="E248" s="594"/>
      <c r="F248" s="708"/>
      <c r="G248" s="522"/>
      <c r="H248" s="522"/>
      <c r="I248" s="86"/>
      <c r="J248" s="87"/>
      <c r="K248" s="595"/>
      <c r="L248" s="596"/>
      <c r="M248" s="845"/>
      <c r="N248" s="845"/>
      <c r="O248" s="588"/>
      <c r="P248" s="638"/>
      <c r="Q248" s="599" t="s">
        <v>384</v>
      </c>
      <c r="R248" s="600" t="s">
        <v>455</v>
      </c>
      <c r="S248" s="600" t="s">
        <v>2087</v>
      </c>
      <c r="T248" s="600" t="s">
        <v>456</v>
      </c>
      <c r="U248" s="600" t="s">
        <v>535</v>
      </c>
      <c r="V248" s="601" t="s">
        <v>457</v>
      </c>
      <c r="W248" s="600" t="s">
        <v>75</v>
      </c>
      <c r="X248" s="600" t="s">
        <v>385</v>
      </c>
      <c r="Y248" s="600" t="s">
        <v>386</v>
      </c>
      <c r="Z248" s="600" t="s">
        <v>387</v>
      </c>
      <c r="AA248" s="600" t="s">
        <v>388</v>
      </c>
      <c r="AB248" s="601" t="s">
        <v>389</v>
      </c>
      <c r="AC248" s="602" t="s">
        <v>390</v>
      </c>
      <c r="AD248" s="600" t="s">
        <v>391</v>
      </c>
      <c r="AE248" s="600" t="s">
        <v>392</v>
      </c>
      <c r="AF248" s="600" t="s">
        <v>393</v>
      </c>
      <c r="AG248" s="600" t="s">
        <v>394</v>
      </c>
      <c r="AH248" s="600" t="s">
        <v>395</v>
      </c>
      <c r="AI248" s="600" t="s">
        <v>396</v>
      </c>
      <c r="AJ248" s="601" t="s">
        <v>397</v>
      </c>
      <c r="AK248" s="602" t="s">
        <v>398</v>
      </c>
      <c r="AL248" s="600" t="s">
        <v>399</v>
      </c>
      <c r="AM248" s="600" t="s">
        <v>400</v>
      </c>
      <c r="AN248" s="600" t="s">
        <v>401</v>
      </c>
      <c r="AO248" s="600" t="s">
        <v>402</v>
      </c>
      <c r="AP248" s="600" t="s">
        <v>406</v>
      </c>
      <c r="AQ248" s="600" t="s">
        <v>405</v>
      </c>
      <c r="AR248" s="600" t="s">
        <v>403</v>
      </c>
      <c r="AS248" s="601" t="s">
        <v>404</v>
      </c>
      <c r="AT248" s="593"/>
      <c r="AU248" s="593"/>
    </row>
    <row r="249" spans="1:70" s="229" customFormat="1">
      <c r="A249" s="587"/>
      <c r="B249" s="522"/>
      <c r="C249" s="522"/>
      <c r="D249" s="141"/>
      <c r="E249" s="594"/>
      <c r="F249" s="708"/>
      <c r="G249" s="522"/>
      <c r="H249" s="522"/>
      <c r="I249" s="86"/>
      <c r="J249" s="87"/>
      <c r="K249" s="595"/>
      <c r="L249" s="604"/>
      <c r="M249" s="846"/>
      <c r="N249" s="846"/>
      <c r="O249" s="588"/>
      <c r="P249" s="639" t="s">
        <v>383</v>
      </c>
      <c r="Q249" s="583">
        <f t="shared" ref="Q249:AU249" si="553">SUM(Q236:Q247)</f>
        <v>200</v>
      </c>
      <c r="R249" s="583">
        <f t="shared" si="553"/>
        <v>4.4999000000000002</v>
      </c>
      <c r="S249" s="583">
        <f>SUM(S236:S247)</f>
        <v>195.5001</v>
      </c>
      <c r="T249" s="583">
        <f t="shared" si="553"/>
        <v>39.22</v>
      </c>
      <c r="U249" s="583">
        <f t="shared" si="553"/>
        <v>0.36626892</v>
      </c>
      <c r="V249" s="549">
        <f t="shared" si="553"/>
        <v>323</v>
      </c>
      <c r="W249" s="583">
        <f t="shared" si="553"/>
        <v>424</v>
      </c>
      <c r="X249" s="583">
        <f t="shared" si="553"/>
        <v>28.9</v>
      </c>
      <c r="Y249" s="583">
        <f t="shared" si="553"/>
        <v>12.57</v>
      </c>
      <c r="Z249" s="583">
        <f t="shared" si="553"/>
        <v>28.3</v>
      </c>
      <c r="AA249" s="583">
        <f t="shared" si="553"/>
        <v>-4.0000000000000001E-3</v>
      </c>
      <c r="AB249" s="549">
        <f t="shared" si="553"/>
        <v>2.0960000000000001</v>
      </c>
      <c r="AC249" s="583">
        <f t="shared" si="553"/>
        <v>45.996000000000002</v>
      </c>
      <c r="AD249" s="583">
        <f t="shared" si="553"/>
        <v>154.99600000000001</v>
      </c>
      <c r="AE249" s="583">
        <f t="shared" si="553"/>
        <v>119.996</v>
      </c>
      <c r="AF249" s="583">
        <f t="shared" si="553"/>
        <v>10.996</v>
      </c>
      <c r="AG249" s="583">
        <f t="shared" si="553"/>
        <v>94.995999999999995</v>
      </c>
      <c r="AH249" s="583">
        <f t="shared" si="553"/>
        <v>9.6000000000000002E-2</v>
      </c>
      <c r="AI249" s="583">
        <f t="shared" si="553"/>
        <v>0.58599999999999997</v>
      </c>
      <c r="AJ249" s="549">
        <f t="shared" si="553"/>
        <v>8.6E-3</v>
      </c>
      <c r="AK249" s="583">
        <f t="shared" si="553"/>
        <v>29.995999999999999</v>
      </c>
      <c r="AL249" s="583">
        <f t="shared" si="553"/>
        <v>2.5999999999999999E-2</v>
      </c>
      <c r="AM249" s="583">
        <f t="shared" si="553"/>
        <v>0.13600000000000001</v>
      </c>
      <c r="AN249" s="583">
        <f t="shared" si="553"/>
        <v>9.6000000000000002E-2</v>
      </c>
      <c r="AO249" s="583">
        <f t="shared" si="553"/>
        <v>3.1000000000000003E-2</v>
      </c>
      <c r="AP249" s="583">
        <f t="shared" si="553"/>
        <v>7.9960000000000004</v>
      </c>
      <c r="AQ249" s="583">
        <f t="shared" si="553"/>
        <v>0.29959999999999998</v>
      </c>
      <c r="AR249" s="583">
        <f t="shared" si="553"/>
        <v>0.496</v>
      </c>
      <c r="AS249" s="549">
        <f t="shared" si="553"/>
        <v>5.96E-2</v>
      </c>
      <c r="AT249" s="583">
        <f t="shared" si="553"/>
        <v>39.22</v>
      </c>
      <c r="AU249" s="583">
        <f t="shared" si="553"/>
        <v>39.22</v>
      </c>
      <c r="AV249" s="545">
        <f t="shared" ref="AV249:BR249" si="554">SUM(AV236:AV247)</f>
        <v>421.21031987896799</v>
      </c>
      <c r="AW249" s="545">
        <f t="shared" si="554"/>
        <v>28.697521530247844</v>
      </c>
      <c r="AX249" s="545">
        <f t="shared" si="554"/>
        <v>12.426008127399186</v>
      </c>
      <c r="AY249" s="545">
        <f t="shared" si="554"/>
        <v>28.156022284397771</v>
      </c>
      <c r="AZ249" s="545">
        <f t="shared" si="554"/>
        <v>-4.0000035999996405E-3</v>
      </c>
      <c r="BA249" s="545">
        <f t="shared" si="554"/>
        <v>2.0014997958500205</v>
      </c>
      <c r="BB249" s="545">
        <f t="shared" si="554"/>
        <v>43.925995603400438</v>
      </c>
      <c r="BC249" s="545">
        <f t="shared" si="554"/>
        <v>148.02098519390148</v>
      </c>
      <c r="BD249" s="545">
        <f t="shared" si="554"/>
        <v>114.59598853640115</v>
      </c>
      <c r="BE249" s="545">
        <f t="shared" si="554"/>
        <v>10.500998945900104</v>
      </c>
      <c r="BF249" s="545">
        <f t="shared" si="554"/>
        <v>90.720990923900899</v>
      </c>
      <c r="BG249" s="545">
        <f t="shared" si="554"/>
        <v>9.1499986850001325E-2</v>
      </c>
      <c r="BH249" s="545">
        <f t="shared" si="554"/>
        <v>0.55944994005500592</v>
      </c>
      <c r="BI249" s="545">
        <f t="shared" si="554"/>
        <v>8.1949987805001213E-3</v>
      </c>
      <c r="BJ249" s="545">
        <f t="shared" si="554"/>
        <v>28.645997131400289</v>
      </c>
      <c r="BK249" s="545">
        <f t="shared" si="554"/>
        <v>2.4649993535000643E-2</v>
      </c>
      <c r="BL249" s="545">
        <f t="shared" si="554"/>
        <v>0.12969998303000171</v>
      </c>
      <c r="BM249" s="545">
        <f t="shared" si="554"/>
        <v>9.1499986850001325E-2</v>
      </c>
      <c r="BN249" s="545">
        <f t="shared" si="554"/>
        <v>2.9424993057500695E-2</v>
      </c>
      <c r="BO249" s="545">
        <f t="shared" si="554"/>
        <v>7.6359992324000761</v>
      </c>
      <c r="BP249" s="545">
        <f t="shared" si="554"/>
        <v>0.28609997099000284</v>
      </c>
      <c r="BQ249" s="545">
        <f t="shared" si="554"/>
        <v>0.47349994865000511</v>
      </c>
      <c r="BR249" s="545">
        <f t="shared" si="554"/>
        <v>5.6899993910000599E-2</v>
      </c>
    </row>
    <row r="250" spans="1:70" s="229" customFormat="1">
      <c r="A250" s="587"/>
      <c r="B250" s="522"/>
      <c r="C250" s="522"/>
      <c r="D250" s="141"/>
      <c r="E250" s="594"/>
      <c r="F250" s="708"/>
      <c r="G250" s="522"/>
      <c r="H250" s="522"/>
      <c r="I250" s="86"/>
      <c r="J250" s="87"/>
      <c r="K250" s="595"/>
      <c r="L250" s="604"/>
      <c r="M250" s="846"/>
      <c r="N250" s="846"/>
      <c r="O250" s="588"/>
      <c r="P250" s="639" t="s">
        <v>537</v>
      </c>
      <c r="V250" s="527" t="s">
        <v>588</v>
      </c>
      <c r="W250" s="229">
        <v>185.5</v>
      </c>
      <c r="X250" s="229">
        <v>23.200000000000003</v>
      </c>
      <c r="Y250" s="229">
        <v>5.8000000000000007</v>
      </c>
      <c r="Z250" s="229">
        <v>6.2</v>
      </c>
      <c r="AA250" s="229">
        <v>1.9000000000000001</v>
      </c>
      <c r="AB250" s="526">
        <v>2</v>
      </c>
      <c r="AC250" s="229">
        <v>138</v>
      </c>
      <c r="AD250" s="229">
        <v>180</v>
      </c>
      <c r="AE250" s="229">
        <v>90</v>
      </c>
      <c r="AF250" s="229">
        <v>17</v>
      </c>
      <c r="AG250" s="229">
        <v>80</v>
      </c>
      <c r="AH250" s="229">
        <v>1</v>
      </c>
      <c r="AI250" s="229">
        <v>0.70000000000000007</v>
      </c>
      <c r="AJ250" s="526">
        <v>0.125</v>
      </c>
      <c r="AK250" s="229">
        <v>80</v>
      </c>
      <c r="AL250" s="229">
        <v>0.1</v>
      </c>
      <c r="AM250" s="229">
        <v>0.11000000000000001</v>
      </c>
      <c r="AN250" s="229">
        <v>1.2000000000000002</v>
      </c>
      <c r="AO250" s="229">
        <v>6.9999999999999993E-2</v>
      </c>
      <c r="AP250" s="229">
        <v>30</v>
      </c>
      <c r="AQ250" s="229">
        <v>0.18000000000000002</v>
      </c>
      <c r="AR250" s="229">
        <v>8</v>
      </c>
      <c r="AS250" s="526">
        <v>0.5</v>
      </c>
      <c r="AV250" s="229">
        <v>185.5</v>
      </c>
      <c r="AW250" s="229">
        <v>23.200000000000003</v>
      </c>
      <c r="AX250" s="229">
        <v>5.8000000000000007</v>
      </c>
      <c r="AY250" s="229">
        <v>6.2</v>
      </c>
      <c r="AZ250" s="229">
        <v>1.9000000000000001</v>
      </c>
      <c r="BA250" s="526">
        <v>2</v>
      </c>
      <c r="BB250" s="229">
        <v>138</v>
      </c>
      <c r="BC250" s="229">
        <v>180</v>
      </c>
      <c r="BD250" s="229">
        <v>90</v>
      </c>
      <c r="BE250" s="229">
        <v>17</v>
      </c>
      <c r="BF250" s="229">
        <v>80</v>
      </c>
      <c r="BG250" s="229">
        <v>1</v>
      </c>
      <c r="BH250" s="229">
        <v>0.70000000000000007</v>
      </c>
      <c r="BI250" s="526">
        <v>0.125</v>
      </c>
      <c r="BJ250" s="229">
        <v>80</v>
      </c>
      <c r="BK250" s="229">
        <v>0.1</v>
      </c>
      <c r="BL250" s="229">
        <v>0.11000000000000001</v>
      </c>
      <c r="BM250" s="229">
        <v>1.2000000000000002</v>
      </c>
      <c r="BN250" s="229">
        <v>6.9999999999999993E-2</v>
      </c>
      <c r="BO250" s="229">
        <v>30</v>
      </c>
      <c r="BP250" s="229">
        <v>0.18000000000000002</v>
      </c>
      <c r="BQ250" s="229">
        <v>8</v>
      </c>
      <c r="BR250" s="526">
        <v>0.5</v>
      </c>
    </row>
    <row r="251" spans="1:70" s="229" customFormat="1">
      <c r="A251" s="587"/>
      <c r="B251" s="522"/>
      <c r="C251" s="522"/>
      <c r="D251" s="141"/>
      <c r="E251" s="594"/>
      <c r="F251" s="708"/>
      <c r="G251" s="522"/>
      <c r="H251" s="522"/>
      <c r="I251" s="86"/>
      <c r="J251" s="87"/>
      <c r="K251" s="595"/>
      <c r="L251" s="604"/>
      <c r="M251" s="846"/>
      <c r="N251" s="846"/>
      <c r="O251" s="588"/>
      <c r="P251" s="639" t="s">
        <v>407</v>
      </c>
      <c r="V251" s="526"/>
      <c r="W251" s="514">
        <f t="shared" ref="W251:AS251" si="555">100*W249/W250</f>
        <v>228.57142857142858</v>
      </c>
      <c r="X251" s="514">
        <f t="shared" si="555"/>
        <v>124.56896551724137</v>
      </c>
      <c r="Y251" s="514">
        <f t="shared" si="555"/>
        <v>216.72413793103445</v>
      </c>
      <c r="Z251" s="514">
        <f t="shared" si="555"/>
        <v>456.45161290322579</v>
      </c>
      <c r="AA251" s="514">
        <f t="shared" si="555"/>
        <v>-0.21052631578947367</v>
      </c>
      <c r="AB251" s="506">
        <f t="shared" si="555"/>
        <v>104.80000000000001</v>
      </c>
      <c r="AC251" s="514">
        <f t="shared" si="555"/>
        <v>33.330434782608698</v>
      </c>
      <c r="AD251" s="514">
        <f t="shared" si="555"/>
        <v>86.108888888888885</v>
      </c>
      <c r="AE251" s="514">
        <f t="shared" si="555"/>
        <v>133.32888888888888</v>
      </c>
      <c r="AF251" s="514">
        <f t="shared" si="555"/>
        <v>64.682352941176475</v>
      </c>
      <c r="AG251" s="514">
        <f t="shared" si="555"/>
        <v>118.745</v>
      </c>
      <c r="AH251" s="514">
        <f t="shared" si="555"/>
        <v>9.6</v>
      </c>
      <c r="AI251" s="514">
        <f t="shared" si="555"/>
        <v>83.714285714285694</v>
      </c>
      <c r="AJ251" s="506">
        <f t="shared" si="555"/>
        <v>6.88</v>
      </c>
      <c r="AK251" s="514">
        <f t="shared" si="555"/>
        <v>37.494999999999997</v>
      </c>
      <c r="AL251" s="514">
        <f t="shared" si="555"/>
        <v>26</v>
      </c>
      <c r="AM251" s="514">
        <f t="shared" si="555"/>
        <v>123.63636363636363</v>
      </c>
      <c r="AN251" s="514">
        <f t="shared" si="555"/>
        <v>7.9999999999999982</v>
      </c>
      <c r="AO251" s="514">
        <f t="shared" si="555"/>
        <v>44.285714285714299</v>
      </c>
      <c r="AP251" s="514">
        <f t="shared" si="555"/>
        <v>26.653333333333332</v>
      </c>
      <c r="AQ251" s="514">
        <f t="shared" si="555"/>
        <v>166.4444444444444</v>
      </c>
      <c r="AR251" s="514">
        <f t="shared" si="555"/>
        <v>6.2</v>
      </c>
      <c r="AS251" s="506">
        <f t="shared" si="555"/>
        <v>11.92</v>
      </c>
      <c r="AV251" s="505">
        <f t="shared" ref="AV251:BR251" si="556">100*AV249/AV250</f>
        <v>227.06755788623613</v>
      </c>
      <c r="AW251" s="505">
        <f t="shared" si="556"/>
        <v>123.6962134924476</v>
      </c>
      <c r="AX251" s="505">
        <f t="shared" si="556"/>
        <v>214.24151943791699</v>
      </c>
      <c r="AY251" s="505">
        <f t="shared" si="556"/>
        <v>454.12939168383502</v>
      </c>
      <c r="AZ251" s="505">
        <f t="shared" si="556"/>
        <v>-0.21052650526313896</v>
      </c>
      <c r="BA251" s="505">
        <f t="shared" si="556"/>
        <v>100.07498979250103</v>
      </c>
      <c r="BB251" s="505">
        <f t="shared" si="556"/>
        <v>31.83043159666698</v>
      </c>
      <c r="BC251" s="505">
        <f t="shared" si="556"/>
        <v>82.233880663278597</v>
      </c>
      <c r="BD251" s="505">
        <f t="shared" si="556"/>
        <v>127.32887615155683</v>
      </c>
      <c r="BE251" s="505">
        <f t="shared" si="556"/>
        <v>61.770582034706486</v>
      </c>
      <c r="BF251" s="505">
        <f t="shared" si="556"/>
        <v>113.40123865487612</v>
      </c>
      <c r="BG251" s="505">
        <f t="shared" si="556"/>
        <v>9.1499986850001331</v>
      </c>
      <c r="BH251" s="505">
        <f t="shared" si="556"/>
        <v>79.921420007857975</v>
      </c>
      <c r="BI251" s="505">
        <f t="shared" si="556"/>
        <v>6.555999024400097</v>
      </c>
      <c r="BJ251" s="505">
        <f t="shared" si="556"/>
        <v>35.807496414250366</v>
      </c>
      <c r="BK251" s="505">
        <f t="shared" si="556"/>
        <v>24.649993535000643</v>
      </c>
      <c r="BL251" s="505">
        <f t="shared" si="556"/>
        <v>117.90907548181973</v>
      </c>
      <c r="BM251" s="505">
        <f t="shared" si="556"/>
        <v>7.6249989041667767</v>
      </c>
      <c r="BN251" s="505">
        <f t="shared" si="556"/>
        <v>42.035704367858138</v>
      </c>
      <c r="BO251" s="505">
        <f t="shared" si="556"/>
        <v>25.45333077466692</v>
      </c>
      <c r="BP251" s="505">
        <f t="shared" si="556"/>
        <v>158.94442832777935</v>
      </c>
      <c r="BQ251" s="505">
        <f t="shared" si="556"/>
        <v>5.9187493581250639</v>
      </c>
      <c r="BR251" s="505">
        <f t="shared" si="556"/>
        <v>11.37999878200012</v>
      </c>
    </row>
    <row r="252" spans="1:70" s="229" customFormat="1">
      <c r="A252" s="587"/>
      <c r="B252" s="522"/>
      <c r="C252" s="522"/>
      <c r="D252" s="141"/>
      <c r="E252" s="594"/>
      <c r="F252" s="708"/>
      <c r="G252" s="522"/>
      <c r="H252" s="522"/>
      <c r="I252" s="86"/>
      <c r="J252" s="87"/>
      <c r="K252" s="595"/>
      <c r="L252" s="604"/>
      <c r="M252" s="846"/>
      <c r="N252" s="846"/>
      <c r="O252" s="588"/>
      <c r="P252" s="639" t="s">
        <v>548</v>
      </c>
      <c r="V252" s="526"/>
      <c r="W252" s="583">
        <f>AV249</f>
        <v>421.21031987896799</v>
      </c>
      <c r="X252" s="583">
        <f t="shared" ref="X252" si="557">AW249</f>
        <v>28.697521530247844</v>
      </c>
      <c r="Y252" s="583">
        <f t="shared" ref="Y252" si="558">AX249</f>
        <v>12.426008127399186</v>
      </c>
      <c r="Z252" s="583">
        <f t="shared" ref="Z252" si="559">AY249</f>
        <v>28.156022284397771</v>
      </c>
      <c r="AA252" s="583">
        <f t="shared" ref="AA252" si="560">AZ249</f>
        <v>-4.0000035999996405E-3</v>
      </c>
      <c r="AB252" s="549">
        <f t="shared" ref="AB252" si="561">BA249</f>
        <v>2.0014997958500205</v>
      </c>
      <c r="AC252" s="583">
        <f t="shared" ref="AC252" si="562">BB249</f>
        <v>43.925995603400438</v>
      </c>
      <c r="AD252" s="583">
        <f t="shared" ref="AD252" si="563">BC249</f>
        <v>148.02098519390148</v>
      </c>
      <c r="AE252" s="583">
        <f t="shared" ref="AE252" si="564">BD249</f>
        <v>114.59598853640115</v>
      </c>
      <c r="AF252" s="583">
        <f t="shared" ref="AF252" si="565">BE249</f>
        <v>10.500998945900104</v>
      </c>
      <c r="AG252" s="583">
        <f t="shared" ref="AG252" si="566">BF249</f>
        <v>90.720990923900899</v>
      </c>
      <c r="AH252" s="583">
        <f t="shared" ref="AH252" si="567">BG249</f>
        <v>9.1499986850001325E-2</v>
      </c>
      <c r="AI252" s="583">
        <f>BH249</f>
        <v>0.55944994005500592</v>
      </c>
      <c r="AJ252" s="549">
        <f t="shared" ref="AJ252" si="568">BI249</f>
        <v>8.1949987805001213E-3</v>
      </c>
      <c r="AK252" s="583">
        <f t="shared" ref="AK252" si="569">BJ249</f>
        <v>28.645997131400289</v>
      </c>
      <c r="AL252" s="583">
        <f t="shared" ref="AL252" si="570">BK249</f>
        <v>2.4649993535000643E-2</v>
      </c>
      <c r="AM252" s="583">
        <f t="shared" ref="AM252" si="571">BL249</f>
        <v>0.12969998303000171</v>
      </c>
      <c r="AN252" s="583">
        <f>BM249</f>
        <v>9.1499986850001325E-2</v>
      </c>
      <c r="AO252" s="583">
        <f t="shared" ref="AO252" si="572">BN249</f>
        <v>2.9424993057500695E-2</v>
      </c>
      <c r="AP252" s="583">
        <f t="shared" ref="AP252" si="573">BO249</f>
        <v>7.6359992324000761</v>
      </c>
      <c r="AQ252" s="583">
        <f t="shared" ref="AQ252" si="574">BP249</f>
        <v>0.28609997099000284</v>
      </c>
      <c r="AR252" s="583">
        <f t="shared" ref="AR252" si="575">BQ249</f>
        <v>0.47349994865000511</v>
      </c>
      <c r="AS252" s="549">
        <f>BR249</f>
        <v>5.6899993910000599E-2</v>
      </c>
    </row>
    <row r="253" spans="1:70" s="229" customFormat="1">
      <c r="A253" s="587"/>
      <c r="B253" s="522"/>
      <c r="C253" s="522"/>
      <c r="D253" s="141"/>
      <c r="E253" s="594"/>
      <c r="F253" s="708"/>
      <c r="G253" s="522"/>
      <c r="H253" s="522"/>
      <c r="I253" s="86"/>
      <c r="J253" s="87"/>
      <c r="K253" s="595"/>
      <c r="L253" s="604"/>
      <c r="M253" s="846"/>
      <c r="N253" s="846"/>
      <c r="O253" s="588"/>
      <c r="P253" s="639" t="s">
        <v>543</v>
      </c>
      <c r="V253" s="526"/>
      <c r="W253" s="514">
        <f t="shared" ref="W253:AS253" si="576">AV251</f>
        <v>227.06755788623613</v>
      </c>
      <c r="X253" s="514">
        <f t="shared" si="576"/>
        <v>123.6962134924476</v>
      </c>
      <c r="Y253" s="514">
        <f t="shared" si="576"/>
        <v>214.24151943791699</v>
      </c>
      <c r="Z253" s="514">
        <f t="shared" si="576"/>
        <v>454.12939168383502</v>
      </c>
      <c r="AA253" s="514">
        <f t="shared" si="576"/>
        <v>-0.21052650526313896</v>
      </c>
      <c r="AB253" s="506">
        <f t="shared" si="576"/>
        <v>100.07498979250103</v>
      </c>
      <c r="AC253" s="514">
        <f t="shared" si="576"/>
        <v>31.83043159666698</v>
      </c>
      <c r="AD253" s="514">
        <f t="shared" si="576"/>
        <v>82.233880663278597</v>
      </c>
      <c r="AE253" s="514">
        <f t="shared" si="576"/>
        <v>127.32887615155683</v>
      </c>
      <c r="AF253" s="514">
        <f t="shared" si="576"/>
        <v>61.770582034706486</v>
      </c>
      <c r="AG253" s="514">
        <f t="shared" si="576"/>
        <v>113.40123865487612</v>
      </c>
      <c r="AH253" s="514">
        <f t="shared" si="576"/>
        <v>9.1499986850001331</v>
      </c>
      <c r="AI253" s="514">
        <f t="shared" si="576"/>
        <v>79.921420007857975</v>
      </c>
      <c r="AJ253" s="506">
        <f t="shared" si="576"/>
        <v>6.555999024400097</v>
      </c>
      <c r="AK253" s="514">
        <f t="shared" si="576"/>
        <v>35.807496414250366</v>
      </c>
      <c r="AL253" s="514">
        <f t="shared" si="576"/>
        <v>24.649993535000643</v>
      </c>
      <c r="AM253" s="514">
        <f t="shared" si="576"/>
        <v>117.90907548181973</v>
      </c>
      <c r="AN253" s="514">
        <f t="shared" si="576"/>
        <v>7.6249989041667767</v>
      </c>
      <c r="AO253" s="514">
        <f t="shared" si="576"/>
        <v>42.035704367858138</v>
      </c>
      <c r="AP253" s="514">
        <f t="shared" si="576"/>
        <v>25.45333077466692</v>
      </c>
      <c r="AQ253" s="514">
        <f t="shared" si="576"/>
        <v>158.94442832777935</v>
      </c>
      <c r="AR253" s="514">
        <f t="shared" si="576"/>
        <v>5.9187493581250639</v>
      </c>
      <c r="AS253" s="506">
        <f t="shared" si="576"/>
        <v>11.37999878200012</v>
      </c>
      <c r="AV253" s="514"/>
      <c r="AW253" s="514"/>
      <c r="AX253" s="514"/>
      <c r="AY253" s="514"/>
      <c r="AZ253" s="514"/>
      <c r="BA253" s="505"/>
      <c r="BB253" s="514"/>
      <c r="BC253" s="514"/>
      <c r="BD253" s="514"/>
      <c r="BE253" s="514"/>
      <c r="BF253" s="514"/>
      <c r="BG253" s="514"/>
      <c r="BH253" s="514"/>
      <c r="BI253" s="505"/>
      <c r="BJ253" s="514"/>
      <c r="BK253" s="514"/>
      <c r="BL253" s="514"/>
      <c r="BM253" s="514"/>
      <c r="BN253" s="514"/>
      <c r="BO253" s="514"/>
      <c r="BP253" s="514"/>
      <c r="BQ253" s="514"/>
      <c r="BR253" s="505"/>
    </row>
    <row r="254" spans="1:70" s="229" customFormat="1" ht="16" thickBot="1">
      <c r="A254" s="587"/>
      <c r="B254" s="587"/>
      <c r="C254" s="587"/>
      <c r="D254" s="111"/>
      <c r="E254" s="631"/>
      <c r="F254" s="712"/>
      <c r="G254" s="632" t="s">
        <v>3054</v>
      </c>
      <c r="H254" s="633"/>
      <c r="I254" s="686"/>
      <c r="J254" s="686"/>
      <c r="K254" s="587"/>
      <c r="L254" s="634"/>
      <c r="M254" s="843"/>
      <c r="N254" s="843"/>
      <c r="O254" s="588"/>
      <c r="P254" s="587"/>
      <c r="Q254" s="587"/>
      <c r="R254" s="587"/>
      <c r="S254" s="587"/>
      <c r="T254" s="587"/>
      <c r="U254" s="635"/>
      <c r="V254" s="636"/>
      <c r="W254" s="587"/>
      <c r="X254" s="587"/>
      <c r="Y254" s="587"/>
      <c r="Z254" s="587"/>
      <c r="AA254" s="637">
        <f>COUNTIF(AA255:AA279,"&lt;0")</f>
        <v>0</v>
      </c>
      <c r="AB254" s="637">
        <f t="shared" ref="AB254:AS254" si="577">COUNTIF(AB255:AB279,"&lt;0")</f>
        <v>0</v>
      </c>
      <c r="AC254" s="637">
        <f t="shared" si="577"/>
        <v>0</v>
      </c>
      <c r="AD254" s="637">
        <f t="shared" si="577"/>
        <v>0</v>
      </c>
      <c r="AE254" s="637">
        <f t="shared" si="577"/>
        <v>0</v>
      </c>
      <c r="AF254" s="637">
        <f t="shared" si="577"/>
        <v>0</v>
      </c>
      <c r="AG254" s="637">
        <f t="shared" si="577"/>
        <v>0</v>
      </c>
      <c r="AH254" s="637">
        <f t="shared" si="577"/>
        <v>0</v>
      </c>
      <c r="AI254" s="637">
        <f t="shared" si="577"/>
        <v>0</v>
      </c>
      <c r="AJ254" s="637">
        <f t="shared" si="577"/>
        <v>0</v>
      </c>
      <c r="AK254" s="637">
        <f t="shared" si="577"/>
        <v>1</v>
      </c>
      <c r="AL254" s="637">
        <f t="shared" si="577"/>
        <v>0</v>
      </c>
      <c r="AM254" s="637">
        <f t="shared" si="577"/>
        <v>0</v>
      </c>
      <c r="AN254" s="637">
        <f t="shared" si="577"/>
        <v>0</v>
      </c>
      <c r="AO254" s="637">
        <f t="shared" si="577"/>
        <v>0</v>
      </c>
      <c r="AP254" s="637">
        <f t="shared" si="577"/>
        <v>0</v>
      </c>
      <c r="AQ254" s="637">
        <f t="shared" si="577"/>
        <v>1</v>
      </c>
      <c r="AR254" s="637">
        <f t="shared" si="577"/>
        <v>0</v>
      </c>
      <c r="AS254" s="637">
        <f t="shared" si="577"/>
        <v>1</v>
      </c>
      <c r="AT254" s="1298"/>
      <c r="AU254" s="1298"/>
    </row>
    <row r="255" spans="1:70" s="229" customFormat="1" ht="15" customHeight="1" thickBot="1">
      <c r="A255" s="587"/>
      <c r="B255" s="575" t="s">
        <v>3066</v>
      </c>
      <c r="C255" s="229" t="s">
        <v>69</v>
      </c>
      <c r="D255" s="576"/>
      <c r="E255" s="577">
        <v>100</v>
      </c>
      <c r="F255" s="707" t="s">
        <v>3904</v>
      </c>
      <c r="G255" s="406" t="s">
        <v>3140</v>
      </c>
      <c r="H255" s="578" t="s">
        <v>518</v>
      </c>
      <c r="I255" s="85">
        <v>80</v>
      </c>
      <c r="J255" s="682">
        <v>1</v>
      </c>
      <c r="K255" s="579">
        <f t="shared" ref="K255:K279" si="578">IF(I255&gt;0,1.1*Q255*E255/1000,"")</f>
        <v>8.8000000000000007</v>
      </c>
      <c r="L255" s="580">
        <f>IF(H255="Select ingredient:","",IF(G255="","",_xlfn.IFNA(VLOOKUP($H255,Ingredient_prices!$E:$U,16,FALSE),0)))</f>
        <v>246</v>
      </c>
      <c r="M255" s="844"/>
      <c r="N255" s="1228">
        <f>$W281</f>
        <v>905.94827668997664</v>
      </c>
      <c r="O255" s="588"/>
      <c r="P255" s="589"/>
      <c r="Q255" s="583">
        <f t="shared" ref="Q255:Q279" si="579">I255/J255</f>
        <v>80</v>
      </c>
      <c r="R255" s="583">
        <f>VLOOKUP($H255,'CO2_emission+%_food_waste'!$A:$K,6,FALSE)*$Q255/100</f>
        <v>23.28</v>
      </c>
      <c r="S255" s="583">
        <f t="shared" ref="S255:S279" si="580">Q255-R255</f>
        <v>56.72</v>
      </c>
      <c r="T255" s="583">
        <f>IF(H255="Select ingredient:","",IF(G255="Select food category:","",_xlfn.IFNA(VLOOKUP($H255,Ingredient_prices!$E:$U,16,FALSE)*$Q255/1000,"not bought")))</f>
        <v>19.68</v>
      </c>
      <c r="U255" s="583">
        <f>IF(G255="Select food category:","",_xlfn.IFNA(VLOOKUP($H255,Ingredient_prices!$E:$U,16,FALSE)*$R255/1000,"not bought"))</f>
        <v>5.7268800000000004</v>
      </c>
      <c r="V255" s="549">
        <f>VLOOKUP($H255,'CO2_emission+%_food_waste'!$A:$K,4,FALSE)*$Q255</f>
        <v>84.800000000000011</v>
      </c>
      <c r="W255" s="583">
        <f>VLOOKUP($H255,Nutrition_tables!$A:$N,10,FALSE)*$Q255/100</f>
        <v>271.99999999999994</v>
      </c>
      <c r="X255" s="583">
        <f>VLOOKUP($H255,Nutrition_tables!$A:$N,11,FALSE)*$Q255/100</f>
        <v>48.08</v>
      </c>
      <c r="Y255" s="583">
        <f>VLOOKUP($H255,Nutrition_tables!$A:$N,12,FALSE)*$Q255/100</f>
        <v>19.520000000000003</v>
      </c>
      <c r="Z255" s="583">
        <f>VLOOKUP($H255,Nutrition_tables!$A:$N,14,FALSE)*$Q255/100</f>
        <v>1.2</v>
      </c>
      <c r="AA255" s="583">
        <f>VLOOKUP($H255,Nutrition_tables!$A:$AF,13,FALSE)*$Q255/100</f>
        <v>14.4</v>
      </c>
      <c r="AB255" s="549">
        <f>VLOOKUP($H255,Nutrition_tables!$A:$AF,15,FALSE)*$Q255/100</f>
        <v>0.24</v>
      </c>
      <c r="AC255" s="583">
        <f>VLOOKUP($H255,Nutrition_tables!$A:$AF,16,FALSE)*$Q255/100</f>
        <v>80.800000000000011</v>
      </c>
      <c r="AD255" s="583">
        <f>VLOOKUP($H255,Nutrition_tables!$A:$AF,17,FALSE)*$Q255/100</f>
        <v>752</v>
      </c>
      <c r="AE255" s="583">
        <f>VLOOKUP($H255,Nutrition_tables!$A:$AF,18,FALSE)*$Q255/100</f>
        <v>56.080000000000013</v>
      </c>
      <c r="AF255" s="583">
        <f>VLOOKUP($H255,Nutrition_tables!$A:$AF,19,FALSE)*$Q255/100</f>
        <v>88</v>
      </c>
      <c r="AG255" s="583">
        <f>VLOOKUP($H255,Nutrition_tables!$A:$AF,20,FALSE)*$Q255/100</f>
        <v>280</v>
      </c>
      <c r="AH255" s="583">
        <f>VLOOKUP($H255,Nutrition_tables!$A:$AF,21,FALSE)*$Q255/100</f>
        <v>8.8800000000000008</v>
      </c>
      <c r="AI255" s="583">
        <f>VLOOKUP($H255,Nutrition_tables!$A:$AF,22,FALSE)*$Q255/100</f>
        <v>3.12</v>
      </c>
      <c r="AJ255" s="549">
        <f>VLOOKUP($H255,Nutrition_tables!$A:$AF,23,FALSE)*$Q255/100</f>
        <v>0.81599999999999995</v>
      </c>
      <c r="AK255" s="583">
        <f>VLOOKUP($H255,Nutrition_tables!$A:$AF,24,FALSE)*$Q255/100</f>
        <v>24</v>
      </c>
      <c r="AL255" s="583">
        <f>VLOOKUP($H255,Nutrition_tables!$A:$AF,25,FALSE)*$Q255/100</f>
        <v>0.32799999999999996</v>
      </c>
      <c r="AM255" s="583">
        <f>VLOOKUP($H255,Nutrition_tables!$A:$AF,26,FALSE)*$Q255/100</f>
        <v>0.21600000000000003</v>
      </c>
      <c r="AN255" s="583">
        <f>VLOOKUP($H255,Nutrition_tables!$A:$AF,27,FALSE)*$Q255/100</f>
        <v>4.4000000000000004</v>
      </c>
      <c r="AO255" s="583">
        <f>VLOOKUP($H255,Nutrition_tables!$A:$AF,28,FALSE)*$Q255/100</f>
        <v>0.28000000000000003</v>
      </c>
      <c r="AP255" s="583">
        <f>VLOOKUP($H255,Nutrition_tables!$A:$AF,29,FALSE)*$Q255/100</f>
        <v>88</v>
      </c>
      <c r="AQ255" s="583">
        <f>VLOOKUP($H255,Nutrition_tables!$A:$AF,30,FALSE)*$Q255/100</f>
        <v>0</v>
      </c>
      <c r="AR255" s="583">
        <f>VLOOKUP($H255,Nutrition_tables!$A:$AF,31,FALSE)*$Q255/100</f>
        <v>3.6</v>
      </c>
      <c r="AS255" s="549">
        <f>VLOOKUP($H255,Nutrition_tables!$A:$AF,32,FALSE)*$Q255/100</f>
        <v>0</v>
      </c>
      <c r="AT255" s="583">
        <f>IF(H255="Select ingredient:","",IF(G255="Select food category:","",IFERROR(VLOOKUP($H255,Ingredient_prices!$E:$W,17,FALSE)*$Q255/1000,"not bought")))</f>
        <v>19.68</v>
      </c>
      <c r="AU255" s="583">
        <f>IF(H255="Select ingredient:","",IF(G255="Select food category:","",IFERROR(VLOOKUP($H255,Ingredient_prices!$E:$W,18,FALSE)*$Q255/1000,"not bought")))</f>
        <v>19.68</v>
      </c>
      <c r="AV255" s="583">
        <f t="shared" ref="AV255:AV279" si="581">W255*($Q255-$R255)/($Q255+0.00001)</f>
        <v>192.84797589400296</v>
      </c>
      <c r="AW255" s="583">
        <f t="shared" ref="AW255:AW279" si="582">X255*($Q255-$R255)/($Q255+0.00001)</f>
        <v>34.08871573891053</v>
      </c>
      <c r="AX255" s="583">
        <f t="shared" ref="AX255:AX279" si="583">Y255*($Q255-$R255)/($Q255+0.00001)</f>
        <v>13.839678270040217</v>
      </c>
      <c r="AY255" s="583">
        <f t="shared" ref="AY255:AY279" si="584">Z255*($Q255-$R255)/($Q255+0.00001)</f>
        <v>0.85079989365001318</v>
      </c>
      <c r="AZ255" s="583">
        <f t="shared" ref="AZ255:AZ279" si="585">AA255*($Q255-$R255)/($Q255+0.00001)</f>
        <v>10.209598723800159</v>
      </c>
      <c r="BA255" s="583">
        <f t="shared" ref="BA255:BA279" si="586">AB255*($Q255-$R255)/($Q255+0.00001)</f>
        <v>0.17015997873000266</v>
      </c>
      <c r="BB255" s="583">
        <f t="shared" ref="BB255:BB279" si="587">AC255*($Q255-$R255)/($Q255+0.00001)</f>
        <v>57.287192839100896</v>
      </c>
      <c r="BC255" s="583">
        <f t="shared" ref="BC255:BC279" si="588">AD255*($Q255-$R255)/($Q255+0.00001)</f>
        <v>533.16793335400837</v>
      </c>
      <c r="BD255" s="583">
        <f t="shared" ref="BD255:BD279" si="589">AE255*($Q255-$R255)/($Q255+0.00001)</f>
        <v>39.760715029910628</v>
      </c>
      <c r="BE255" s="583">
        <f t="shared" ref="BE255:BE279" si="590">AF255*($Q255-$R255)/($Q255+0.00001)</f>
        <v>62.391992201000967</v>
      </c>
      <c r="BF255" s="583">
        <f t="shared" ref="BF255:BF279" si="591">AG255*($Q255-$R255)/($Q255+0.00001)</f>
        <v>198.51997518500309</v>
      </c>
      <c r="BG255" s="583">
        <f t="shared" ref="BG255:BG279" si="592">AH255*($Q255-$R255)/($Q255+0.00001)</f>
        <v>6.295919213010098</v>
      </c>
      <c r="BH255" s="583">
        <f t="shared" ref="BH255:BH279" si="593">AI255*($Q255-$R255)/($Q255+0.00001)</f>
        <v>2.2120797234900342</v>
      </c>
      <c r="BI255" s="583">
        <f t="shared" ref="BI255:BI279" si="594">AJ255*($Q255-$R255)/($Q255+0.00001)</f>
        <v>0.57854392768200902</v>
      </c>
      <c r="BJ255" s="583">
        <f t="shared" ref="BJ255:BJ279" si="595">AK255*($Q255-$R255)/($Q255+0.00001)</f>
        <v>17.015997873000266</v>
      </c>
      <c r="BK255" s="583">
        <f t="shared" ref="BK255:BK279" si="596">AL255*($Q255-$R255)/($Q255+0.00001)</f>
        <v>0.23255197093100358</v>
      </c>
      <c r="BL255" s="583">
        <f t="shared" ref="BL255:BL279" si="597">AM255*($Q255-$R255)/($Q255+0.00001)</f>
        <v>0.1531439808570024</v>
      </c>
      <c r="BM255" s="583">
        <f t="shared" ref="BM255:BM279" si="598">AN255*($Q255-$R255)/($Q255+0.00001)</f>
        <v>3.1195996100500487</v>
      </c>
      <c r="BN255" s="583">
        <f t="shared" ref="BN255:BN279" si="599">AO255*($Q255-$R255)/($Q255+0.00001)</f>
        <v>0.19851997518500311</v>
      </c>
      <c r="BO255" s="583">
        <f t="shared" ref="BO255:BO279" si="600">AP255*($Q255-$R255)/($Q255+0.00001)</f>
        <v>62.391992201000967</v>
      </c>
      <c r="BP255" s="583">
        <f t="shared" ref="BP255:BP279" si="601">AQ255*($Q255-$R255)/($Q255+0.00001)</f>
        <v>0</v>
      </c>
      <c r="BQ255" s="583">
        <f t="shared" ref="BQ255:BQ279" si="602">AR255*($Q255-$R255)/($Q255+0.00001)</f>
        <v>2.5523996809500398</v>
      </c>
      <c r="BR255" s="583">
        <f t="shared" ref="BR255:BR279" si="603">AS255*($Q255-$R255)/($Q255+0.00001)</f>
        <v>0</v>
      </c>
    </row>
    <row r="256" spans="1:70" s="229" customFormat="1" ht="15" customHeight="1">
      <c r="A256" s="587"/>
      <c r="E256" s="576">
        <f>IF(E$255&gt;0,E$255,"")</f>
        <v>100</v>
      </c>
      <c r="F256" s="248"/>
      <c r="G256" s="406" t="s">
        <v>3141</v>
      </c>
      <c r="H256" s="578" t="s">
        <v>3245</v>
      </c>
      <c r="I256" s="85">
        <v>10</v>
      </c>
      <c r="J256" s="682">
        <v>1</v>
      </c>
      <c r="K256" s="579">
        <f t="shared" si="578"/>
        <v>1.1000000000000001</v>
      </c>
      <c r="L256" s="580">
        <f>IF(H256="Select ingredient:","",IF(G256="","",_xlfn.IFNA(VLOOKUP($H256,Ingredient_prices!$E:$U,16,FALSE),0)))</f>
        <v>43.12</v>
      </c>
      <c r="M256" s="844"/>
      <c r="N256" s="844"/>
      <c r="O256" s="588"/>
      <c r="P256" s="589"/>
      <c r="Q256" s="583">
        <f t="shared" si="579"/>
        <v>10</v>
      </c>
      <c r="R256" s="583">
        <f>VLOOKUP($H256,'CO2_emission+%_food_waste'!$A:$K,6,FALSE)*$Q256/100</f>
        <v>2.17</v>
      </c>
      <c r="S256" s="583">
        <f t="shared" si="580"/>
        <v>7.83</v>
      </c>
      <c r="T256" s="583">
        <f>IF(H256="Select ingredient:","",IF(G256="Select food category:","",_xlfn.IFNA(VLOOKUP($H256,Ingredient_prices!$E:$U,16,FALSE)*$Q256/1000,"not bought")))</f>
        <v>0.43119999999999997</v>
      </c>
      <c r="U256" s="583">
        <f>IF(G256="Select food category:","",_xlfn.IFNA(VLOOKUP($H256,Ingredient_prices!$E:$U,16,FALSE)*$R256/1000,"not bought"))</f>
        <v>9.3570399999999998E-2</v>
      </c>
      <c r="V256" s="549">
        <f>VLOOKUP($H256,'CO2_emission+%_food_waste'!$A:$K,4,FALSE)*$Q256</f>
        <v>16.200000000000003</v>
      </c>
      <c r="W256" s="583">
        <f>VLOOKUP($H256,Nutrition_tables!$A:$N,10,FALSE)*$Q256/100</f>
        <v>35.58997668997668</v>
      </c>
      <c r="X256" s="583">
        <f>VLOOKUP($H256,Nutrition_tables!$A:$N,11,FALSE)*$Q256/100</f>
        <v>7.7899766899766902</v>
      </c>
      <c r="Y256" s="583">
        <f>VLOOKUP($H256,Nutrition_tables!$A:$N,12,FALSE)*$Q256/100</f>
        <v>0.95</v>
      </c>
      <c r="Z256" s="583">
        <f>VLOOKUP($H256,Nutrition_tables!$A:$N,14,FALSE)*$Q256/100</f>
        <v>0.11002331002331001</v>
      </c>
      <c r="AA256" s="583">
        <f>VLOOKUP($H256,Nutrition_tables!$A:$AF,13,FALSE)*$Q256/100</f>
        <v>0.25011655011655015</v>
      </c>
      <c r="AB256" s="549">
        <f>VLOOKUP($H256,Nutrition_tables!$A:$AF,15,FALSE)*$Q256/100</f>
        <v>1.6083916083916083E-2</v>
      </c>
      <c r="AC256" s="583">
        <f>VLOOKUP($H256,Nutrition_tables!$A:$AF,16,FALSE)*$Q256/100</f>
        <v>0.28997668997668996</v>
      </c>
      <c r="AD256" s="583">
        <f>VLOOKUP($H256,Nutrition_tables!$A:$AF,17,FALSE)*$Q256/100</f>
        <v>15.8</v>
      </c>
      <c r="AE256" s="583">
        <f>VLOOKUP($H256,Nutrition_tables!$A:$AF,18,FALSE)*$Q256/100</f>
        <v>2.4</v>
      </c>
      <c r="AF256" s="583">
        <f>VLOOKUP($H256,Nutrition_tables!$A:$AF,19,FALSE)*$Q256/100</f>
        <v>2.4799533799533804</v>
      </c>
      <c r="AG256" s="583">
        <f>VLOOKUP($H256,Nutrition_tables!$A:$AF,20,FALSE)*$Q256/100</f>
        <v>10.599999999999998</v>
      </c>
      <c r="AH256" s="583">
        <f>VLOOKUP($H256,Nutrition_tables!$A:$AF,21,FALSE)*$Q256/100</f>
        <v>8.9044289044289043E-2</v>
      </c>
      <c r="AI256" s="583">
        <f>VLOOKUP($H256,Nutrition_tables!$A:$AF,22,FALSE)*$Q256/100</f>
        <v>6.9930069930069921E-2</v>
      </c>
      <c r="AJ256" s="549">
        <f>VLOOKUP($H256,Nutrition_tables!$A:$AF,23,FALSE)*$Q256/100</f>
        <v>5.011655011655012E-2</v>
      </c>
      <c r="AK256" s="583">
        <f>VLOOKUP($H256,Nutrition_tables!$A:$AF,24,FALSE)*$Q256/100</f>
        <v>0</v>
      </c>
      <c r="AL256" s="583">
        <f>VLOOKUP($H256,Nutrition_tables!$A:$AF,25,FALSE)*$Q256/100</f>
        <v>1.491841491841492E-2</v>
      </c>
      <c r="AM256" s="583">
        <f>VLOOKUP($H256,Nutrition_tables!$A:$AF,26,FALSE)*$Q256/100</f>
        <v>3.9627039627039623E-3</v>
      </c>
      <c r="AN256" s="583">
        <f>VLOOKUP($H256,Nutrition_tables!$A:$AF,27,FALSE)*$Q256/100</f>
        <v>0.13100233100233102</v>
      </c>
      <c r="AO256" s="583">
        <f>VLOOKUP($H256,Nutrition_tables!$A:$AF,28,FALSE)*$Q256/100</f>
        <v>6.9930069930069913E-3</v>
      </c>
      <c r="AP256" s="583">
        <f>VLOOKUP($H256,Nutrition_tables!$A:$AF,29,FALSE)*$Q256/100</f>
        <v>1.6400932400932402</v>
      </c>
      <c r="AQ256" s="583">
        <f>VLOOKUP($H256,Nutrition_tables!$A:$AF,30,FALSE)*$Q256/100</f>
        <v>9.0909090909090887E-3</v>
      </c>
      <c r="AR256" s="583">
        <f>VLOOKUP($H256,Nutrition_tables!$A:$AF,31,FALSE)*$Q256/100</f>
        <v>0</v>
      </c>
      <c r="AS256" s="549">
        <f>VLOOKUP($H256,Nutrition_tables!$A:$AF,32,FALSE)*$Q256/100</f>
        <v>0</v>
      </c>
      <c r="AT256" s="583">
        <f>IF(H256="Select ingredient:","",IF(G256="Select food category:","",IFERROR(VLOOKUP($H256,Ingredient_prices!$E:$W,17,FALSE)*$Q256/1000,"not bought")))</f>
        <v>0.43119999999999997</v>
      </c>
      <c r="AU256" s="583">
        <f>IF(H256="Select ingredient:","",IF(G256="Select food category:","",IFERROR(VLOOKUP($H256,Ingredient_prices!$E:$W,18,FALSE)*$Q256/1000,"not bought")))</f>
        <v>0.43119999999999997</v>
      </c>
      <c r="AV256" s="583">
        <f t="shared" si="581"/>
        <v>27.86692388132786</v>
      </c>
      <c r="AW256" s="583">
        <f t="shared" si="582"/>
        <v>6.0995456487061004</v>
      </c>
      <c r="AX256" s="583">
        <f t="shared" si="583"/>
        <v>0.74384925615074382</v>
      </c>
      <c r="AY256" s="583">
        <f t="shared" si="584"/>
        <v>8.6148165600086146E-2</v>
      </c>
      <c r="AZ256" s="583">
        <f t="shared" si="585"/>
        <v>0.19584106290019587</v>
      </c>
      <c r="BA256" s="583">
        <f t="shared" si="586"/>
        <v>1.2593693700012593E-2</v>
      </c>
      <c r="BB256" s="583">
        <f t="shared" si="587"/>
        <v>0.22705152120022704</v>
      </c>
      <c r="BC256" s="583">
        <f t="shared" si="588"/>
        <v>12.371387628612373</v>
      </c>
      <c r="BD256" s="583">
        <f t="shared" si="589"/>
        <v>1.8791981208018791</v>
      </c>
      <c r="BE256" s="583">
        <f t="shared" si="590"/>
        <v>1.9418015547019423</v>
      </c>
      <c r="BF256" s="583">
        <f t="shared" si="591"/>
        <v>8.2997917002082993</v>
      </c>
      <c r="BG256" s="583">
        <f t="shared" si="592"/>
        <v>6.9721608600069734E-2</v>
      </c>
      <c r="BH256" s="583">
        <f t="shared" si="593"/>
        <v>5.475519000005475E-2</v>
      </c>
      <c r="BI256" s="583">
        <f t="shared" si="594"/>
        <v>3.9241219500039247E-2</v>
      </c>
      <c r="BJ256" s="583">
        <f t="shared" si="595"/>
        <v>0</v>
      </c>
      <c r="BK256" s="583">
        <f t="shared" si="596"/>
        <v>1.1681107200011682E-2</v>
      </c>
      <c r="BL256" s="583">
        <f t="shared" si="597"/>
        <v>3.1027941000031025E-3</v>
      </c>
      <c r="BM256" s="583">
        <f t="shared" si="598"/>
        <v>0.1025747226001026</v>
      </c>
      <c r="BN256" s="583">
        <f t="shared" si="599"/>
        <v>5.4755190000054747E-3</v>
      </c>
      <c r="BO256" s="583">
        <f t="shared" si="600"/>
        <v>1.2841917228012842</v>
      </c>
      <c r="BP256" s="583">
        <f t="shared" si="601"/>
        <v>7.1181747000071171E-3</v>
      </c>
      <c r="BQ256" s="583">
        <f t="shared" si="602"/>
        <v>0</v>
      </c>
      <c r="BR256" s="583">
        <f t="shared" si="603"/>
        <v>0</v>
      </c>
    </row>
    <row r="257" spans="1:70" s="229" customFormat="1" ht="15" customHeight="1">
      <c r="A257" s="587"/>
      <c r="E257" s="576">
        <f t="shared" ref="E257:E279" si="604">IF(E$255&gt;0,E$255,"")</f>
        <v>100</v>
      </c>
      <c r="F257" s="248"/>
      <c r="G257" s="406" t="s">
        <v>3075</v>
      </c>
      <c r="H257" s="578" t="s">
        <v>3239</v>
      </c>
      <c r="I257" s="85">
        <v>10</v>
      </c>
      <c r="J257" s="682">
        <v>1</v>
      </c>
      <c r="K257" s="579">
        <f t="shared" si="578"/>
        <v>1.1000000000000001</v>
      </c>
      <c r="L257" s="580">
        <f>IF(H257="Select ingredient:","",IF(G257="","",_xlfn.IFNA(VLOOKUP($H257,Ingredient_prices!$E:$U,16,FALSE),0)))</f>
        <v>121</v>
      </c>
      <c r="M257" s="844"/>
      <c r="N257" s="844"/>
      <c r="O257" s="588"/>
      <c r="P257" s="589"/>
      <c r="Q257" s="583">
        <f t="shared" si="579"/>
        <v>10</v>
      </c>
      <c r="R257" s="583">
        <f>VLOOKUP($H257,'CO2_emission+%_food_waste'!$A:$K,6,FALSE)*$Q257/100</f>
        <v>2.78</v>
      </c>
      <c r="S257" s="583">
        <f t="shared" si="580"/>
        <v>7.2200000000000006</v>
      </c>
      <c r="T257" s="583">
        <f>IF(H257="Select ingredient:","",IF(G257="Select food category:","",_xlfn.IFNA(VLOOKUP($H257,Ingredient_prices!$E:$U,16,FALSE)*$Q257/1000,"not bought")))</f>
        <v>1.21</v>
      </c>
      <c r="U257" s="583">
        <f>IF(G257="Select food category:","",_xlfn.IFNA(VLOOKUP($H257,Ingredient_prices!$E:$U,16,FALSE)*$R257/1000,"not bought"))</f>
        <v>0.33638000000000001</v>
      </c>
      <c r="V257" s="549">
        <f>VLOOKUP($H257,'CO2_emission+%_food_waste'!$A:$K,4,FALSE)*$Q257</f>
        <v>47.300000000000004</v>
      </c>
      <c r="W257" s="583">
        <f>VLOOKUP($H257,Nutrition_tables!$A:$N,10,FALSE)*$Q257/100</f>
        <v>88.432100000000005</v>
      </c>
      <c r="X257" s="583">
        <f>VLOOKUP($H257,Nutrition_tables!$A:$N,11,FALSE)*$Q257/100</f>
        <v>0.01</v>
      </c>
      <c r="Y257" s="583">
        <f>VLOOKUP($H257,Nutrition_tables!$A:$N,12,FALSE)*$Q257/100</f>
        <v>0.01</v>
      </c>
      <c r="Z257" s="583">
        <f>VLOOKUP($H257,Nutrition_tables!$A:$N,14,FALSE)*$Q257/100</f>
        <v>9.9499999999999993</v>
      </c>
      <c r="AA257" s="583">
        <f>VLOOKUP($H257,Nutrition_tables!$A:$AF,13,FALSE)*$Q257/100</f>
        <v>0</v>
      </c>
      <c r="AB257" s="549">
        <f>VLOOKUP($H257,Nutrition_tables!$A:$AF,15,FALSE)*$Q257/100</f>
        <v>0.67900000000000005</v>
      </c>
      <c r="AC257" s="583">
        <f>VLOOKUP($H257,Nutrition_tables!$A:$AF,16,FALSE)*$Q257/100</f>
        <v>0.01</v>
      </c>
      <c r="AD257" s="583">
        <f>VLOOKUP($H257,Nutrition_tables!$A:$AF,17,FALSE)*$Q257/100</f>
        <v>0</v>
      </c>
      <c r="AE257" s="583">
        <f>VLOOKUP($H257,Nutrition_tables!$A:$AF,18,FALSE)*$Q257/100</f>
        <v>0.02</v>
      </c>
      <c r="AF257" s="583">
        <f>VLOOKUP($H257,Nutrition_tables!$A:$AF,19,FALSE)*$Q257/100</f>
        <v>0.1</v>
      </c>
      <c r="AG257" s="583">
        <f>VLOOKUP($H257,Nutrition_tables!$A:$AF,20,FALSE)*$Q257/100</f>
        <v>0</v>
      </c>
      <c r="AH257" s="583">
        <f>VLOOKUP($H257,Nutrition_tables!$A:$AF,21,FALSE)*$Q257/100</f>
        <v>0.01</v>
      </c>
      <c r="AI257" s="583">
        <f>VLOOKUP($H257,Nutrition_tables!$A:$AF,22,FALSE)*$Q257/100</f>
        <v>0</v>
      </c>
      <c r="AJ257" s="549">
        <f>VLOOKUP($H257,Nutrition_tables!$A:$AF,23,FALSE)*$Q257/100</f>
        <v>0</v>
      </c>
      <c r="AK257" s="583">
        <f>VLOOKUP($H257,Nutrition_tables!$A:$AF,24,FALSE)*$Q257/100</f>
        <v>0</v>
      </c>
      <c r="AL257" s="583">
        <f>VLOOKUP($H257,Nutrition_tables!$A:$AF,25,FALSE)*$Q257/100</f>
        <v>0</v>
      </c>
      <c r="AM257" s="583">
        <f>VLOOKUP($H257,Nutrition_tables!$A:$AF,26,FALSE)*$Q257/100</f>
        <v>0</v>
      </c>
      <c r="AN257" s="583">
        <f>VLOOKUP($H257,Nutrition_tables!$A:$AF,27,FALSE)*$Q257/100</f>
        <v>0</v>
      </c>
      <c r="AO257" s="583">
        <f>VLOOKUP($H257,Nutrition_tables!$A:$AF,28,FALSE)*$Q257/100</f>
        <v>0</v>
      </c>
      <c r="AP257" s="583">
        <f>VLOOKUP($H257,Nutrition_tables!$A:$AF,29,FALSE)*$Q257/100</f>
        <v>0</v>
      </c>
      <c r="AQ257" s="583">
        <f>VLOOKUP($H257,Nutrition_tables!$A:$AF,30,FALSE)*$Q257/100</f>
        <v>0</v>
      </c>
      <c r="AR257" s="583">
        <f>VLOOKUP($H257,Nutrition_tables!$A:$AF,31,FALSE)*$Q257/100</f>
        <v>0</v>
      </c>
      <c r="AS257" s="549">
        <f>VLOOKUP($H257,Nutrition_tables!$A:$AF,32,FALSE)*$Q257/100</f>
        <v>0</v>
      </c>
      <c r="AT257" s="583">
        <f>IF(H257="Select ingredient:","",IF(G257="Select food category:","",IFERROR(VLOOKUP($H257,Ingredient_prices!$E:$W,17,FALSE)*$Q257/1000,"not bought")))</f>
        <v>1.21</v>
      </c>
      <c r="AU257" s="583">
        <f>IF(H257="Select ingredient:","",IF(G257="Select food category:","",IFERROR(VLOOKUP($H257,Ingredient_prices!$E:$W,18,FALSE)*$Q257/1000,"not bought")))</f>
        <v>1.21</v>
      </c>
      <c r="AV257" s="583">
        <f t="shared" si="581"/>
        <v>63.847912352087654</v>
      </c>
      <c r="AW257" s="583">
        <f t="shared" si="582"/>
        <v>7.2199927800072217E-3</v>
      </c>
      <c r="AX257" s="583">
        <f t="shared" si="583"/>
        <v>7.2199927800072217E-3</v>
      </c>
      <c r="AY257" s="583">
        <f t="shared" si="584"/>
        <v>7.1838928161071838</v>
      </c>
      <c r="AZ257" s="583">
        <f t="shared" si="585"/>
        <v>0</v>
      </c>
      <c r="BA257" s="583">
        <f t="shared" si="586"/>
        <v>0.49023750976249036</v>
      </c>
      <c r="BB257" s="583">
        <f t="shared" si="587"/>
        <v>7.2199927800072217E-3</v>
      </c>
      <c r="BC257" s="583">
        <f t="shared" si="588"/>
        <v>0</v>
      </c>
      <c r="BD257" s="583">
        <f t="shared" si="589"/>
        <v>1.4439985560014443E-2</v>
      </c>
      <c r="BE257" s="583">
        <f t="shared" si="590"/>
        <v>7.2199927800072214E-2</v>
      </c>
      <c r="BF257" s="583">
        <f t="shared" si="591"/>
        <v>0</v>
      </c>
      <c r="BG257" s="583">
        <f t="shared" si="592"/>
        <v>7.2199927800072217E-3</v>
      </c>
      <c r="BH257" s="583">
        <f t="shared" si="593"/>
        <v>0</v>
      </c>
      <c r="BI257" s="583">
        <f t="shared" si="594"/>
        <v>0</v>
      </c>
      <c r="BJ257" s="583">
        <f t="shared" si="595"/>
        <v>0</v>
      </c>
      <c r="BK257" s="583">
        <f t="shared" si="596"/>
        <v>0</v>
      </c>
      <c r="BL257" s="583">
        <f t="shared" si="597"/>
        <v>0</v>
      </c>
      <c r="BM257" s="583">
        <f t="shared" si="598"/>
        <v>0</v>
      </c>
      <c r="BN257" s="583">
        <f t="shared" si="599"/>
        <v>0</v>
      </c>
      <c r="BO257" s="583">
        <f t="shared" si="600"/>
        <v>0</v>
      </c>
      <c r="BP257" s="583">
        <f t="shared" si="601"/>
        <v>0</v>
      </c>
      <c r="BQ257" s="583">
        <f t="shared" si="602"/>
        <v>0</v>
      </c>
      <c r="BR257" s="583">
        <f t="shared" si="603"/>
        <v>0</v>
      </c>
    </row>
    <row r="258" spans="1:70" s="229" customFormat="1" ht="15" customHeight="1">
      <c r="A258" s="587"/>
      <c r="D258" s="85"/>
      <c r="E258" s="576">
        <f t="shared" si="604"/>
        <v>100</v>
      </c>
      <c r="F258" s="248"/>
      <c r="G258" s="406" t="s">
        <v>3140</v>
      </c>
      <c r="H258" s="578" t="s">
        <v>3100</v>
      </c>
      <c r="I258" s="85">
        <v>20</v>
      </c>
      <c r="J258" s="682">
        <v>1</v>
      </c>
      <c r="K258" s="579">
        <f t="shared" si="578"/>
        <v>2.2000000000000002</v>
      </c>
      <c r="L258" s="580">
        <f>IF(H258="Select ingredient:","",IF(G258="","",_xlfn.IFNA(VLOOKUP($H258,Ingredient_prices!$E:$U,16,FALSE),0)))</f>
        <v>120</v>
      </c>
      <c r="M258" s="844"/>
      <c r="N258" s="844"/>
      <c r="O258" s="588"/>
      <c r="P258" s="589"/>
      <c r="Q258" s="583">
        <f t="shared" si="579"/>
        <v>20</v>
      </c>
      <c r="R258" s="583">
        <f>VLOOKUP($H258,'CO2_emission+%_food_waste'!$A:$K,6,FALSE)*$Q258/100</f>
        <v>5.3</v>
      </c>
      <c r="S258" s="583">
        <f t="shared" si="580"/>
        <v>14.7</v>
      </c>
      <c r="T258" s="583">
        <f>IF(H258="Select ingredient:","",IF(G258="Select food category:","",_xlfn.IFNA(VLOOKUP($H258,Ingredient_prices!$E:$U,16,FALSE)*$Q258/1000,"not bought")))</f>
        <v>2.4</v>
      </c>
      <c r="U258" s="583">
        <f>IF(G258="Select food category:","",_xlfn.IFNA(VLOOKUP($H258,Ingredient_prices!$E:$U,16,FALSE)*$R258/1000,"not bought"))</f>
        <v>0.63600000000000001</v>
      </c>
      <c r="V258" s="549">
        <f>VLOOKUP($H258,'CO2_emission+%_food_waste'!$A:$K,4,FALSE)*$Q258</f>
        <v>9.6</v>
      </c>
      <c r="W258" s="583">
        <f>VLOOKUP($H258,Nutrition_tables!$A:$N,10,FALSE)*$Q258/100</f>
        <v>5.6</v>
      </c>
      <c r="X258" s="583">
        <f>VLOOKUP($H258,Nutrition_tables!$A:$N,11,FALSE)*$Q258/100</f>
        <v>2</v>
      </c>
      <c r="Y258" s="583">
        <f>VLOOKUP($H258,Nutrition_tables!$A:$N,12,FALSE)*$Q258/100</f>
        <v>0.23533333333333331</v>
      </c>
      <c r="Z258" s="583">
        <f>VLOOKUP($H258,Nutrition_tables!$A:$N,14,FALSE)*$Q258/100</f>
        <v>0.05</v>
      </c>
      <c r="AA258" s="583">
        <f>VLOOKUP($H258,Nutrition_tables!$A:$AF,13,FALSE)*$Q258/100</f>
        <v>0.34</v>
      </c>
      <c r="AB258" s="549">
        <f>VLOOKUP($H258,Nutrition_tables!$A:$AF,15,FALSE)*$Q258/100</f>
        <v>1.9000000000000003E-2</v>
      </c>
      <c r="AC258" s="583">
        <f>VLOOKUP($H258,Nutrition_tables!$A:$AF,16,FALSE)*$Q258/100</f>
        <v>0.8</v>
      </c>
      <c r="AD258" s="583">
        <f>VLOOKUP($H258,Nutrition_tables!$A:$AF,17,FALSE)*$Q258/100</f>
        <v>29.2</v>
      </c>
      <c r="AE258" s="583">
        <f>VLOOKUP($H258,Nutrition_tables!$A:$AF,18,FALSE)*$Q258/100</f>
        <v>4.5999999999999996</v>
      </c>
      <c r="AF258" s="583">
        <f>VLOOKUP($H258,Nutrition_tables!$A:$AF,19,FALSE)*$Q258/100</f>
        <v>2</v>
      </c>
      <c r="AG258" s="583">
        <f>VLOOKUP($H258,Nutrition_tables!$A:$AF,20,FALSE)*$Q258/100</f>
        <v>5.8</v>
      </c>
      <c r="AH258" s="583">
        <f>VLOOKUP($H258,Nutrition_tables!$A:$AF,21,FALSE)*$Q258/100</f>
        <v>4.2000000000000003E-2</v>
      </c>
      <c r="AI258" s="583">
        <f>VLOOKUP($H258,Nutrition_tables!$A:$AF,22,FALSE)*$Q258/100</f>
        <v>3.4000000000000002E-2</v>
      </c>
      <c r="AJ258" s="549">
        <f>VLOOKUP($H258,Nutrition_tables!$A:$AF,23,FALSE)*$Q258/100</f>
        <v>8.0000000000000002E-3</v>
      </c>
      <c r="AK258" s="583">
        <f>VLOOKUP($H258,Nutrition_tables!$A:$AF,24,FALSE)*$Q258/100</f>
        <v>0</v>
      </c>
      <c r="AL258" s="583">
        <f>VLOOKUP($H258,Nutrition_tables!$A:$AF,25,FALSE)*$Q258/100</f>
        <v>9.9999999999999985E-3</v>
      </c>
      <c r="AM258" s="583">
        <f>VLOOKUP($H258,Nutrition_tables!$A:$AF,26,FALSE)*$Q258/100</f>
        <v>6.0000000000000001E-3</v>
      </c>
      <c r="AN258" s="583">
        <f>VLOOKUP($H258,Nutrition_tables!$A:$AF,27,FALSE)*$Q258/100</f>
        <v>2.4E-2</v>
      </c>
      <c r="AO258" s="583">
        <f>VLOOKUP($H258,Nutrition_tables!$A:$AF,28,FALSE)*$Q258/100</f>
        <v>1.4399999999999999E-3</v>
      </c>
      <c r="AP258" s="583">
        <f>VLOOKUP($H258,Nutrition_tables!$A:$AF,29,FALSE)*$Q258/100</f>
        <v>7.2</v>
      </c>
      <c r="AQ258" s="583">
        <f>VLOOKUP($H258,Nutrition_tables!$A:$AF,30,FALSE)*$Q258/100</f>
        <v>0</v>
      </c>
      <c r="AR258" s="583">
        <f>VLOOKUP($H258,Nutrition_tables!$A:$AF,31,FALSE)*$Q258/100</f>
        <v>1.48</v>
      </c>
      <c r="AS258" s="549">
        <f>VLOOKUP($H258,Nutrition_tables!$A:$AF,32,FALSE)*$Q258/100</f>
        <v>0</v>
      </c>
      <c r="AT258" s="583">
        <f>IF(H258="Select ingredient:","",IF(G258="Select food category:","",IFERROR(VLOOKUP($H258,Ingredient_prices!$E:$W,17,FALSE)*$Q258/1000,"not bought")))</f>
        <v>1.87</v>
      </c>
      <c r="AU258" s="583">
        <f>IF(H258="Select ingredient:","",IF(G258="Select food category:","",IFERROR(VLOOKUP($H258,Ingredient_prices!$E:$W,18,FALSE)*$Q258/1000,"not bought")))</f>
        <v>2.4</v>
      </c>
      <c r="AV258" s="583">
        <f t="shared" si="581"/>
        <v>4.1159979420010284</v>
      </c>
      <c r="AW258" s="583">
        <f t="shared" si="582"/>
        <v>1.4699992650003675</v>
      </c>
      <c r="AX258" s="583">
        <f t="shared" si="583"/>
        <v>0.17296991351504323</v>
      </c>
      <c r="AY258" s="583">
        <f t="shared" si="584"/>
        <v>3.6749981625009184E-2</v>
      </c>
      <c r="AZ258" s="583">
        <f t="shared" si="585"/>
        <v>0.2498998750500625</v>
      </c>
      <c r="BA258" s="583">
        <f t="shared" si="586"/>
        <v>1.3964993017503494E-2</v>
      </c>
      <c r="BB258" s="583">
        <f t="shared" si="587"/>
        <v>0.58799970600014695</v>
      </c>
      <c r="BC258" s="583">
        <f t="shared" si="588"/>
        <v>21.461989269005365</v>
      </c>
      <c r="BD258" s="583">
        <f t="shared" si="589"/>
        <v>3.3809983095008449</v>
      </c>
      <c r="BE258" s="583">
        <f t="shared" si="590"/>
        <v>1.4699992650003675</v>
      </c>
      <c r="BF258" s="583">
        <f t="shared" si="591"/>
        <v>4.2629978685010652</v>
      </c>
      <c r="BG258" s="583">
        <f t="shared" si="592"/>
        <v>3.0869984565007721E-2</v>
      </c>
      <c r="BH258" s="583">
        <f t="shared" si="593"/>
        <v>2.498998750500625E-2</v>
      </c>
      <c r="BI258" s="583">
        <f t="shared" si="594"/>
        <v>5.8799970600014696E-3</v>
      </c>
      <c r="BJ258" s="583">
        <f t="shared" si="595"/>
        <v>0</v>
      </c>
      <c r="BK258" s="583">
        <f t="shared" si="596"/>
        <v>7.3499963250018355E-3</v>
      </c>
      <c r="BL258" s="583">
        <f t="shared" si="597"/>
        <v>4.4099977950011028E-3</v>
      </c>
      <c r="BM258" s="583">
        <f t="shared" si="598"/>
        <v>1.7639991180004411E-2</v>
      </c>
      <c r="BN258" s="583">
        <f t="shared" si="599"/>
        <v>1.0583994708002645E-3</v>
      </c>
      <c r="BO258" s="583">
        <f t="shared" si="600"/>
        <v>5.2919973540013237</v>
      </c>
      <c r="BP258" s="583">
        <f t="shared" si="601"/>
        <v>0</v>
      </c>
      <c r="BQ258" s="583">
        <f t="shared" si="602"/>
        <v>1.087799456100272</v>
      </c>
      <c r="BR258" s="583">
        <f t="shared" si="603"/>
        <v>0</v>
      </c>
    </row>
    <row r="259" spans="1:70" s="229" customFormat="1" ht="15" customHeight="1">
      <c r="A259" s="587"/>
      <c r="D259" s="85"/>
      <c r="E259" s="576">
        <f t="shared" si="604"/>
        <v>100</v>
      </c>
      <c r="F259" s="248"/>
      <c r="G259" s="406" t="s">
        <v>3140</v>
      </c>
      <c r="H259" s="578" t="s">
        <v>414</v>
      </c>
      <c r="I259" s="85">
        <v>3</v>
      </c>
      <c r="J259" s="682">
        <v>1</v>
      </c>
      <c r="K259" s="579">
        <f t="shared" si="578"/>
        <v>0.33</v>
      </c>
      <c r="L259" s="580">
        <f>IF(H259="Select ingredient:","",IF(G259="","",_xlfn.IFNA(VLOOKUP($H259,Ingredient_prices!$E:$U,16,FALSE),0)))</f>
        <v>1142.8571428571429</v>
      </c>
      <c r="M259" s="844"/>
      <c r="N259" s="844"/>
      <c r="O259" s="588"/>
      <c r="P259" s="589"/>
      <c r="Q259" s="583">
        <f t="shared" si="579"/>
        <v>3</v>
      </c>
      <c r="R259" s="583">
        <f>VLOOKUP($H259,'CO2_emission+%_food_waste'!$A:$K,6,FALSE)*$Q259/100</f>
        <v>1.32</v>
      </c>
      <c r="S259" s="583">
        <f t="shared" si="580"/>
        <v>1.68</v>
      </c>
      <c r="T259" s="583">
        <f>IF(H259="Select ingredient:","",IF(G259="Select food category:","",_xlfn.IFNA(VLOOKUP($H259,Ingredient_prices!$E:$U,16,FALSE)*$Q259/1000,"not bought")))</f>
        <v>3.4285714285714284</v>
      </c>
      <c r="U259" s="583">
        <f>IF(G259="Select food category:","",_xlfn.IFNA(VLOOKUP($H259,Ingredient_prices!$E:$U,16,FALSE)*$R259/1000,"not bought"))</f>
        <v>1.5085714285714287</v>
      </c>
      <c r="V259" s="549">
        <f>VLOOKUP($H259,'CO2_emission+%_food_waste'!$A:$K,4,FALSE)*$Q259</f>
        <v>2.04</v>
      </c>
      <c r="W259" s="583">
        <f>VLOOKUP($H259,Nutrition_tables!$A:$N,10,FALSE)*$Q259/100</f>
        <v>4.8112000000000013</v>
      </c>
      <c r="X259" s="583">
        <f>VLOOKUP($H259,Nutrition_tables!$A:$N,11,FALSE)*$Q259/100</f>
        <v>0.9930000000000001</v>
      </c>
      <c r="Y259" s="583">
        <f>VLOOKUP($H259,Nutrition_tables!$A:$N,12,FALSE)*$Q259/100</f>
        <v>0.192</v>
      </c>
      <c r="Z259" s="583">
        <f>VLOOKUP($H259,Nutrition_tables!$A:$N,14,FALSE)*$Q259/100</f>
        <v>1.4999999999999999E-2</v>
      </c>
      <c r="AA259" s="583">
        <f>VLOOKUP($H259,Nutrition_tables!$A:$AF,13,FALSE)*$Q259/100</f>
        <v>6.3E-2</v>
      </c>
      <c r="AB259" s="549">
        <f>VLOOKUP($H259,Nutrition_tables!$A:$AF,15,FALSE)*$Q259/100</f>
        <v>2.7000000000000001E-3</v>
      </c>
      <c r="AC259" s="583">
        <f>VLOOKUP($H259,Nutrition_tables!$A:$AF,16,FALSE)*$Q259/100</f>
        <v>0.51</v>
      </c>
      <c r="AD259" s="583">
        <f>VLOOKUP($H259,Nutrition_tables!$A:$AF,17,FALSE)*$Q259/100</f>
        <v>12.03</v>
      </c>
      <c r="AE259" s="583">
        <f>VLOOKUP($H259,Nutrition_tables!$A:$AF,18,FALSE)*$Q259/100</f>
        <v>0.61799999999999999</v>
      </c>
      <c r="AF259" s="583">
        <f>VLOOKUP($H259,Nutrition_tables!$A:$AF,19,FALSE)*$Q259/100</f>
        <v>0.75</v>
      </c>
      <c r="AG259" s="583">
        <f>VLOOKUP($H259,Nutrition_tables!$A:$AF,20,FALSE)*$Q259/100</f>
        <v>4.8</v>
      </c>
      <c r="AH259" s="583">
        <f>VLOOKUP($H259,Nutrition_tables!$A:$AF,21,FALSE)*$Q259/100</f>
        <v>5.0999999999999997E-2</v>
      </c>
      <c r="AI259" s="583">
        <f>VLOOKUP($H259,Nutrition_tables!$A:$AF,22,FALSE)*$Q259/100</f>
        <v>3.4799999999999998E-2</v>
      </c>
      <c r="AJ259" s="549">
        <f>VLOOKUP($H259,Nutrition_tables!$A:$AF,23,FALSE)*$Q259/100</f>
        <v>8.9700000000000005E-3</v>
      </c>
      <c r="AK259" s="583">
        <f>VLOOKUP($H259,Nutrition_tables!$A:$AF,24,FALSE)*$Q259/100</f>
        <v>-2.9999999999999997E-4</v>
      </c>
      <c r="AL259" s="583">
        <f>VLOOKUP($H259,Nutrition_tables!$A:$AF,25,FALSE)*$Q259/100</f>
        <v>6.0000000000000001E-3</v>
      </c>
      <c r="AM259" s="583">
        <f>VLOOKUP($H259,Nutrition_tables!$A:$AF,26,FALSE)*$Q259/100</f>
        <v>3.3E-3</v>
      </c>
      <c r="AN259" s="583">
        <f>VLOOKUP($H259,Nutrition_tables!$A:$AF,27,FALSE)*$Q259/100</f>
        <v>5.4600000000000003E-2</v>
      </c>
      <c r="AO259" s="583">
        <f>VLOOKUP($H259,Nutrition_tables!$A:$AF,28,FALSE)*$Q259/100</f>
        <v>3.705E-2</v>
      </c>
      <c r="AP259" s="583">
        <f>VLOOKUP($H259,Nutrition_tables!$A:$AF,29,FALSE)*$Q259/100</f>
        <v>0.09</v>
      </c>
      <c r="AQ259" s="583">
        <f>VLOOKUP($H259,Nutrition_tables!$A:$AF,30,FALSE)*$Q259/100</f>
        <v>0</v>
      </c>
      <c r="AR259" s="583">
        <f>VLOOKUP($H259,Nutrition_tables!$A:$AF,31,FALSE)*$Q259/100</f>
        <v>0.24629999999999996</v>
      </c>
      <c r="AS259" s="549">
        <f>VLOOKUP($H259,Nutrition_tables!$A:$AF,32,FALSE)*$Q259/100</f>
        <v>0</v>
      </c>
      <c r="AT259" s="583">
        <f>IF(H259="Select ingredient:","",IF(G259="Select food category:","",IFERROR(VLOOKUP($H259,Ingredient_prices!$E:$W,17,FALSE)*$Q259/1000,"not bought")))</f>
        <v>3.7715700000000001</v>
      </c>
      <c r="AU259" s="583">
        <f>IF(H259="Select ingredient:","",IF(G259="Select food category:","",IFERROR(VLOOKUP($H259,Ingredient_prices!$E:$W,18,FALSE)*$Q259/1000,"not bought")))</f>
        <v>3.4285714285714284</v>
      </c>
      <c r="AV259" s="583">
        <f t="shared" si="581"/>
        <v>2.6942630191232699</v>
      </c>
      <c r="AW259" s="583">
        <f t="shared" si="582"/>
        <v>0.5560781464061787</v>
      </c>
      <c r="AX259" s="583">
        <f t="shared" si="583"/>
        <v>0.10751964160119466</v>
      </c>
      <c r="AY259" s="583">
        <f t="shared" si="584"/>
        <v>8.3999720000933319E-3</v>
      </c>
      <c r="AZ259" s="583">
        <f t="shared" si="585"/>
        <v>3.5279882400391996E-2</v>
      </c>
      <c r="BA259" s="583">
        <f t="shared" si="586"/>
        <v>1.5119949600168E-3</v>
      </c>
      <c r="BB259" s="583">
        <f t="shared" si="587"/>
        <v>0.28559904800317332</v>
      </c>
      <c r="BC259" s="583">
        <f t="shared" si="588"/>
        <v>6.7367775440748527</v>
      </c>
      <c r="BD259" s="583">
        <f t="shared" si="589"/>
        <v>0.34607884640384534</v>
      </c>
      <c r="BE259" s="583">
        <f t="shared" si="590"/>
        <v>0.41999860000466666</v>
      </c>
      <c r="BF259" s="583">
        <f t="shared" si="591"/>
        <v>2.6879910400298663</v>
      </c>
      <c r="BG259" s="583">
        <f t="shared" si="592"/>
        <v>2.855990480031733E-2</v>
      </c>
      <c r="BH259" s="583">
        <f t="shared" si="593"/>
        <v>1.9487935040216529E-2</v>
      </c>
      <c r="BI259" s="583">
        <f t="shared" si="594"/>
        <v>5.0231832560558133E-3</v>
      </c>
      <c r="BJ259" s="583">
        <f t="shared" si="595"/>
        <v>-1.6799944000186662E-4</v>
      </c>
      <c r="BK259" s="583">
        <f t="shared" si="596"/>
        <v>3.3599888000373332E-3</v>
      </c>
      <c r="BL259" s="583">
        <f t="shared" si="597"/>
        <v>1.847993840020533E-3</v>
      </c>
      <c r="BM259" s="583">
        <f t="shared" si="598"/>
        <v>3.0575898080339732E-2</v>
      </c>
      <c r="BN259" s="583">
        <f t="shared" si="599"/>
        <v>2.0747930840230529E-2</v>
      </c>
      <c r="BO259" s="583">
        <f t="shared" si="600"/>
        <v>5.0399832000559995E-2</v>
      </c>
      <c r="BP259" s="583">
        <f t="shared" si="601"/>
        <v>0</v>
      </c>
      <c r="BQ259" s="583">
        <f t="shared" si="602"/>
        <v>0.1379275402415325</v>
      </c>
      <c r="BR259" s="583">
        <f t="shared" si="603"/>
        <v>0</v>
      </c>
    </row>
    <row r="260" spans="1:70" s="229" customFormat="1" ht="15" customHeight="1">
      <c r="A260" s="587"/>
      <c r="D260" s="85"/>
      <c r="E260" s="576">
        <f t="shared" si="604"/>
        <v>100</v>
      </c>
      <c r="F260" s="248"/>
      <c r="G260" s="406" t="s">
        <v>3070</v>
      </c>
      <c r="H260" s="578" t="s">
        <v>3194</v>
      </c>
      <c r="I260" s="85">
        <v>50</v>
      </c>
      <c r="J260" s="682">
        <v>1</v>
      </c>
      <c r="K260" s="579">
        <f t="shared" si="578"/>
        <v>5.5000000000000009</v>
      </c>
      <c r="L260" s="580">
        <f>IF(H260="Select ingredient:","",IF(G260="","",_xlfn.IFNA(VLOOKUP($H260,Ingredient_prices!$E:$U,16,FALSE),0)))</f>
        <v>372</v>
      </c>
      <c r="M260" s="844"/>
      <c r="N260" s="844"/>
      <c r="O260" s="588"/>
      <c r="P260" s="589"/>
      <c r="Q260" s="583">
        <f t="shared" si="579"/>
        <v>50</v>
      </c>
      <c r="R260" s="583">
        <f>VLOOKUP($H260,'CO2_emission+%_food_waste'!$A:$K,6,FALSE)*$Q260/100</f>
        <v>27.03</v>
      </c>
      <c r="S260" s="583">
        <f t="shared" si="580"/>
        <v>22.97</v>
      </c>
      <c r="T260" s="583">
        <f>IF(H260="Select ingredient:","",IF(G260="Select food category:","",_xlfn.IFNA(VLOOKUP($H260,Ingredient_prices!$E:$U,16,FALSE)*$Q260/1000,"not bought")))</f>
        <v>18.600000000000001</v>
      </c>
      <c r="U260" s="583">
        <f>IF(G260="Select food category:","",_xlfn.IFNA(VLOOKUP($H260,Ingredient_prices!$E:$U,16,FALSE)*$R260/1000,"not bought"))</f>
        <v>10.055159999999999</v>
      </c>
      <c r="V260" s="549">
        <f>VLOOKUP($H260,'CO2_emission+%_food_waste'!$A:$K,4,FALSE)*$Q260</f>
        <v>451.99999999999994</v>
      </c>
      <c r="W260" s="583">
        <f>VLOOKUP($H260,Nutrition_tables!$A:$N,10,FALSE)*$Q260/100</f>
        <v>180.5</v>
      </c>
      <c r="X260" s="583">
        <f>VLOOKUP($H260,Nutrition_tables!$A:$N,11,FALSE)*$Q260/100</f>
        <v>0</v>
      </c>
      <c r="Y260" s="583">
        <f>VLOOKUP($H260,Nutrition_tables!$A:$N,12,FALSE)*$Q260/100</f>
        <v>10.445</v>
      </c>
      <c r="Z260" s="583">
        <f>VLOOKUP($H260,Nutrition_tables!$A:$N,14,FALSE)*$Q260/100</f>
        <v>15.429999999999998</v>
      </c>
      <c r="AA260" s="583">
        <f>VLOOKUP($H260,Nutrition_tables!$A:$AF,13,FALSE)*$Q260/100</f>
        <v>0</v>
      </c>
      <c r="AB260" s="549">
        <f>VLOOKUP($H260,Nutrition_tables!$A:$AF,15,FALSE)*$Q260/100</f>
        <v>4.6210000000000004</v>
      </c>
      <c r="AC260" s="583">
        <f>VLOOKUP($H260,Nutrition_tables!$A:$AF,16,FALSE)*$Q260/100</f>
        <v>45.5</v>
      </c>
      <c r="AD260" s="583">
        <f>VLOOKUP($H260,Nutrition_tables!$A:$AF,17,FALSE)*$Q260/100</f>
        <v>132.5</v>
      </c>
      <c r="AE260" s="583">
        <f>VLOOKUP($H260,Nutrition_tables!$A:$AF,18,FALSE)*$Q260/100</f>
        <v>9.5</v>
      </c>
      <c r="AF260" s="583">
        <f>VLOOKUP($H260,Nutrition_tables!$A:$AF,19,FALSE)*$Q260/100</f>
        <v>9</v>
      </c>
      <c r="AG260" s="583">
        <f>VLOOKUP($H260,Nutrition_tables!$A:$AF,20,FALSE)*$Q260/100</f>
        <v>81</v>
      </c>
      <c r="AH260" s="583">
        <f>VLOOKUP($H260,Nutrition_tables!$A:$AF,21,FALSE)*$Q260/100</f>
        <v>0.71499999999999997</v>
      </c>
      <c r="AI260" s="583">
        <f>VLOOKUP($H260,Nutrition_tables!$A:$AF,22,FALSE)*$Q260/100</f>
        <v>1.63</v>
      </c>
      <c r="AJ260" s="549">
        <f>VLOOKUP($H260,Nutrition_tables!$A:$AF,23,FALSE)*$Q260/100</f>
        <v>5.7000000000000009E-2</v>
      </c>
      <c r="AK260" s="583">
        <f>VLOOKUP($H260,Nutrition_tables!$A:$AF,24,FALSE)*$Q260/100</f>
        <v>0.25</v>
      </c>
      <c r="AL260" s="583">
        <f>VLOOKUP($H260,Nutrition_tables!$A:$AF,25,FALSE)*$Q260/100</f>
        <v>0.20899999999999999</v>
      </c>
      <c r="AM260" s="583">
        <f>VLOOKUP($H260,Nutrition_tables!$A:$AF,26,FALSE)*$Q260/100</f>
        <v>0.16400000000000003</v>
      </c>
      <c r="AN260" s="583">
        <f>VLOOKUP($H260,Nutrition_tables!$A:$AF,27,FALSE)*$Q260/100</f>
        <v>0.79137500000000005</v>
      </c>
      <c r="AO260" s="583">
        <f>VLOOKUP($H260,Nutrition_tables!$A:$AF,28,FALSE)*$Q260/100</f>
        <v>0.29499999999999998</v>
      </c>
      <c r="AP260" s="583">
        <f>VLOOKUP($H260,Nutrition_tables!$A:$AF,29,FALSE)*$Q260/100</f>
        <v>0</v>
      </c>
      <c r="AQ260" s="583">
        <f>VLOOKUP($H260,Nutrition_tables!$A:$AF,30,FALSE)*$Q260/100</f>
        <v>0.22500000000000001</v>
      </c>
      <c r="AR260" s="583">
        <f>VLOOKUP($H260,Nutrition_tables!$A:$AF,31,FALSE)*$Q260/100</f>
        <v>0</v>
      </c>
      <c r="AS260" s="549">
        <f>VLOOKUP($H260,Nutrition_tables!$A:$AF,32,FALSE)*$Q260/100</f>
        <v>1.1000000000000001</v>
      </c>
      <c r="AT260" s="583">
        <f>IF(H260="Select ingredient:","",IF(G260="Select food category:","",IFERROR(VLOOKUP($H260,Ingredient_prices!$E:$W,17,FALSE)*$Q260/1000,"not bought")))</f>
        <v>18.600000000000001</v>
      </c>
      <c r="AU260" s="583">
        <f>IF(H260="Select ingredient:","",IF(G260="Select food category:","",IFERROR(VLOOKUP($H260,Ingredient_prices!$E:$W,18,FALSE)*$Q260/1000,"not bought")))</f>
        <v>18.600000000000001</v>
      </c>
      <c r="AV260" s="583">
        <f t="shared" si="581"/>
        <v>82.92168341566331</v>
      </c>
      <c r="AW260" s="583">
        <f t="shared" si="582"/>
        <v>0</v>
      </c>
      <c r="AX260" s="583">
        <f t="shared" si="583"/>
        <v>4.7984320403135916</v>
      </c>
      <c r="AY260" s="583">
        <f t="shared" si="584"/>
        <v>7.0885405822918814</v>
      </c>
      <c r="AZ260" s="583">
        <f t="shared" si="585"/>
        <v>0</v>
      </c>
      <c r="BA260" s="583">
        <f t="shared" si="586"/>
        <v>2.1228869754226052</v>
      </c>
      <c r="BB260" s="583">
        <f t="shared" si="587"/>
        <v>20.902695819460835</v>
      </c>
      <c r="BC260" s="583">
        <f t="shared" si="588"/>
        <v>60.870487825902423</v>
      </c>
      <c r="BD260" s="583">
        <f t="shared" si="589"/>
        <v>4.3642991271401739</v>
      </c>
      <c r="BE260" s="583">
        <f t="shared" si="590"/>
        <v>4.134599173080165</v>
      </c>
      <c r="BF260" s="583">
        <f t="shared" si="591"/>
        <v>37.211392557721481</v>
      </c>
      <c r="BG260" s="583">
        <f t="shared" si="592"/>
        <v>0.32847093430581309</v>
      </c>
      <c r="BH260" s="583">
        <f t="shared" si="593"/>
        <v>0.74882185023562986</v>
      </c>
      <c r="BI260" s="583">
        <f t="shared" si="594"/>
        <v>2.6185794762841046E-2</v>
      </c>
      <c r="BJ260" s="583">
        <f t="shared" si="595"/>
        <v>0.11484997703000457</v>
      </c>
      <c r="BK260" s="583">
        <f t="shared" si="596"/>
        <v>9.6014580797083832E-2</v>
      </c>
      <c r="BL260" s="583">
        <f t="shared" si="597"/>
        <v>7.5341584931683012E-2</v>
      </c>
      <c r="BM260" s="583">
        <f t="shared" si="598"/>
        <v>0.3635576022884795</v>
      </c>
      <c r="BN260" s="583">
        <f t="shared" si="599"/>
        <v>0.13552297289540541</v>
      </c>
      <c r="BO260" s="583">
        <f t="shared" si="600"/>
        <v>0</v>
      </c>
      <c r="BP260" s="583">
        <f t="shared" si="601"/>
        <v>0.10336497932700411</v>
      </c>
      <c r="BQ260" s="583">
        <f t="shared" si="602"/>
        <v>0</v>
      </c>
      <c r="BR260" s="583">
        <f t="shared" si="603"/>
        <v>0.50533989893202014</v>
      </c>
    </row>
    <row r="261" spans="1:70" s="229" customFormat="1" ht="15" customHeight="1">
      <c r="A261" s="587"/>
      <c r="D261" s="85"/>
      <c r="E261" s="576">
        <f t="shared" si="604"/>
        <v>100</v>
      </c>
      <c r="F261" s="248"/>
      <c r="G261" s="406" t="s">
        <v>3076</v>
      </c>
      <c r="H261" s="578" t="s">
        <v>495</v>
      </c>
      <c r="I261" s="85">
        <v>0.5</v>
      </c>
      <c r="J261" s="682">
        <v>1</v>
      </c>
      <c r="K261" s="579">
        <f t="shared" si="578"/>
        <v>5.5000000000000007E-2</v>
      </c>
      <c r="L261" s="580">
        <f>IF(H261="Select ingredient:","",IF(G261="","",_xlfn.IFNA(VLOOKUP($H261,Ingredient_prices!$E:$U,16,FALSE),0)))</f>
        <v>33.6</v>
      </c>
      <c r="M261" s="844"/>
      <c r="N261" s="844"/>
      <c r="O261" s="588"/>
      <c r="P261" s="589"/>
      <c r="Q261" s="583">
        <f t="shared" si="579"/>
        <v>0.5</v>
      </c>
      <c r="R261" s="583">
        <f>VLOOKUP($H261,'CO2_emission+%_food_waste'!$A:$K,6,FALSE)*$Q261/100</f>
        <v>0.155</v>
      </c>
      <c r="S261" s="583">
        <f t="shared" si="580"/>
        <v>0.34499999999999997</v>
      </c>
      <c r="T261" s="583">
        <f>IF(H261="Select ingredient:","",IF(G261="Select food category:","",_xlfn.IFNA(VLOOKUP($H261,Ingredient_prices!$E:$U,16,FALSE)*$Q261/1000,"not bought")))</f>
        <v>1.6800000000000002E-2</v>
      </c>
      <c r="U261" s="583">
        <f>IF(G261="Select food category:","",_xlfn.IFNA(VLOOKUP($H261,Ingredient_prices!$E:$U,16,FALSE)*$R261/1000,"not bought"))</f>
        <v>5.208E-3</v>
      </c>
      <c r="V261" s="549">
        <f>VLOOKUP($H261,'CO2_emission+%_food_waste'!$A:$K,4,FALSE)*$Q261</f>
        <v>0.09</v>
      </c>
      <c r="W261" s="583">
        <f>VLOOKUP($H261,Nutrition_tables!$A:$N,10,FALSE)*$Q261/100</f>
        <v>0</v>
      </c>
      <c r="X261" s="583">
        <f>VLOOKUP($H261,Nutrition_tables!$A:$N,11,FALSE)*$Q261/100</f>
        <v>0</v>
      </c>
      <c r="Y261" s="583">
        <f>VLOOKUP($H261,Nutrition_tables!$A:$N,12,FALSE)*$Q261/100</f>
        <v>0</v>
      </c>
      <c r="Z261" s="583">
        <f>VLOOKUP($H261,Nutrition_tables!$A:$N,14,FALSE)*$Q261/100</f>
        <v>0</v>
      </c>
      <c r="AA261" s="583">
        <f>VLOOKUP($H261,Nutrition_tables!$A:$AF,13,FALSE)*$Q261/100</f>
        <v>0</v>
      </c>
      <c r="AB261" s="549">
        <f>VLOOKUP($H261,Nutrition_tables!$A:$AF,15,FALSE)*$Q261/100</f>
        <v>0</v>
      </c>
      <c r="AC261" s="583">
        <f>VLOOKUP($H261,Nutrition_tables!$A:$AF,16,FALSE)*$Q261/100</f>
        <v>194.25</v>
      </c>
      <c r="AD261" s="583">
        <f>VLOOKUP($H261,Nutrition_tables!$A:$AF,17,FALSE)*$Q261/100</f>
        <v>0.57999999999999996</v>
      </c>
      <c r="AE261" s="583">
        <f>VLOOKUP($H261,Nutrition_tables!$A:$AF,18,FALSE)*$Q261/100</f>
        <v>9.5000000000000001E-2</v>
      </c>
      <c r="AF261" s="583">
        <f>VLOOKUP($H261,Nutrition_tables!$A:$AF,19,FALSE)*$Q261/100</f>
        <v>1.325</v>
      </c>
      <c r="AG261" s="583">
        <f>VLOOKUP($H261,Nutrition_tables!$A:$AF,20,FALSE)*$Q261/100</f>
        <v>0.04</v>
      </c>
      <c r="AH261" s="583">
        <f>VLOOKUP($H261,Nutrition_tables!$A:$AF,21,FALSE)*$Q261/100</f>
        <v>1E-4</v>
      </c>
      <c r="AI261" s="583">
        <f>VLOOKUP($H261,Nutrition_tables!$A:$AF,22,FALSE)*$Q261/100</f>
        <v>5.0000000000000001E-4</v>
      </c>
      <c r="AJ261" s="549">
        <f>VLOOKUP($H261,Nutrition_tables!$A:$AF,23,FALSE)*$Q261/100</f>
        <v>1.4999999999999999E-4</v>
      </c>
      <c r="AK261" s="583">
        <f>VLOOKUP($H261,Nutrition_tables!$A:$AF,24,FALSE)*$Q261/100</f>
        <v>0</v>
      </c>
      <c r="AL261" s="583">
        <f>VLOOKUP($H261,Nutrition_tables!$A:$AF,25,FALSE)*$Q261/100</f>
        <v>0</v>
      </c>
      <c r="AM261" s="583">
        <f>VLOOKUP($H261,Nutrition_tables!$A:$AF,26,FALSE)*$Q261/100</f>
        <v>0</v>
      </c>
      <c r="AN261" s="583">
        <f>VLOOKUP($H261,Nutrition_tables!$A:$AF,27,FALSE)*$Q261/100</f>
        <v>0</v>
      </c>
      <c r="AO261" s="583">
        <f>VLOOKUP($H261,Nutrition_tables!$A:$AF,28,FALSE)*$Q261/100</f>
        <v>0</v>
      </c>
      <c r="AP261" s="583">
        <f>VLOOKUP($H261,Nutrition_tables!$A:$AF,29,FALSE)*$Q261/100</f>
        <v>0</v>
      </c>
      <c r="AQ261" s="583">
        <f>VLOOKUP($H261,Nutrition_tables!$A:$AF,30,FALSE)*$Q261/100</f>
        <v>0</v>
      </c>
      <c r="AR261" s="583">
        <f>VLOOKUP($H261,Nutrition_tables!$A:$AF,31,FALSE)*$Q261/100</f>
        <v>0</v>
      </c>
      <c r="AS261" s="549">
        <f>VLOOKUP($H261,Nutrition_tables!$A:$AF,32,FALSE)*$Q261/100</f>
        <v>0</v>
      </c>
      <c r="AT261" s="583">
        <f>IF(H261="Select ingredient:","",IF(G261="Select food category:","",IFERROR(VLOOKUP($H261,Ingredient_prices!$E:$W,17,FALSE)*$Q261/1000,"not bought")))</f>
        <v>1.6800000000000002E-2</v>
      </c>
      <c r="AU261" s="583">
        <f>IF(H261="Select ingredient:","",IF(G261="Select food category:","",IFERROR(VLOOKUP($H261,Ingredient_prices!$E:$W,18,FALSE)*$Q261/1000,"not bought")))</f>
        <v>1.6800000000000002E-2</v>
      </c>
      <c r="AV261" s="583">
        <f t="shared" si="581"/>
        <v>0</v>
      </c>
      <c r="AW261" s="583">
        <f t="shared" si="582"/>
        <v>0</v>
      </c>
      <c r="AX261" s="583">
        <f t="shared" si="583"/>
        <v>0</v>
      </c>
      <c r="AY261" s="583">
        <f t="shared" si="584"/>
        <v>0</v>
      </c>
      <c r="AZ261" s="583">
        <f t="shared" si="585"/>
        <v>0</v>
      </c>
      <c r="BA261" s="583">
        <f t="shared" si="586"/>
        <v>0</v>
      </c>
      <c r="BB261" s="583">
        <f t="shared" si="587"/>
        <v>134.02981940361195</v>
      </c>
      <c r="BC261" s="583">
        <f t="shared" si="588"/>
        <v>0.40019199616007678</v>
      </c>
      <c r="BD261" s="583">
        <f t="shared" si="589"/>
        <v>6.5548689026219478E-2</v>
      </c>
      <c r="BE261" s="583">
        <f t="shared" si="590"/>
        <v>0.9142317153656927</v>
      </c>
      <c r="BF261" s="583">
        <f t="shared" si="591"/>
        <v>2.7599448011039782E-2</v>
      </c>
      <c r="BG261" s="583">
        <f t="shared" si="592"/>
        <v>6.8998620027599445E-5</v>
      </c>
      <c r="BH261" s="583">
        <f t="shared" si="593"/>
        <v>3.4499310013799727E-4</v>
      </c>
      <c r="BI261" s="583">
        <f t="shared" si="594"/>
        <v>1.0349793004139916E-4</v>
      </c>
      <c r="BJ261" s="583">
        <f t="shared" si="595"/>
        <v>0</v>
      </c>
      <c r="BK261" s="583">
        <f t="shared" si="596"/>
        <v>0</v>
      </c>
      <c r="BL261" s="583">
        <f t="shared" si="597"/>
        <v>0</v>
      </c>
      <c r="BM261" s="583">
        <f t="shared" si="598"/>
        <v>0</v>
      </c>
      <c r="BN261" s="583">
        <f t="shared" si="599"/>
        <v>0</v>
      </c>
      <c r="BO261" s="583">
        <f t="shared" si="600"/>
        <v>0</v>
      </c>
      <c r="BP261" s="583">
        <f t="shared" si="601"/>
        <v>0</v>
      </c>
      <c r="BQ261" s="583">
        <f t="shared" si="602"/>
        <v>0</v>
      </c>
      <c r="BR261" s="583">
        <f t="shared" si="603"/>
        <v>0</v>
      </c>
    </row>
    <row r="262" spans="1:70" s="229" customFormat="1" ht="15" customHeight="1">
      <c r="A262" s="587"/>
      <c r="D262" s="85"/>
      <c r="E262" s="576">
        <f t="shared" si="604"/>
        <v>100</v>
      </c>
      <c r="F262" s="248"/>
      <c r="G262" s="406" t="s">
        <v>3140</v>
      </c>
      <c r="H262" s="578" t="s">
        <v>469</v>
      </c>
      <c r="I262" s="85">
        <v>20</v>
      </c>
      <c r="J262" s="682">
        <v>1</v>
      </c>
      <c r="K262" s="579">
        <f t="shared" si="578"/>
        <v>2.2000000000000002</v>
      </c>
      <c r="L262" s="580">
        <f>IF(H262="Select ingredient:","",IF(G262="","",_xlfn.IFNA(VLOOKUP($H262,Ingredient_prices!$E:$U,16,FALSE),0)))</f>
        <v>300</v>
      </c>
      <c r="M262" s="844"/>
      <c r="N262" s="844"/>
      <c r="O262" s="588"/>
      <c r="P262" s="589"/>
      <c r="Q262" s="583">
        <f t="shared" si="579"/>
        <v>20</v>
      </c>
      <c r="R262" s="583">
        <f>VLOOKUP($H262,'CO2_emission+%_food_waste'!$A:$K,6,FALSE)*$Q262/100</f>
        <v>5.82</v>
      </c>
      <c r="S262" s="583">
        <f t="shared" si="580"/>
        <v>14.18</v>
      </c>
      <c r="T262" s="583">
        <f>IF(H262="Select ingredient:","",IF(G262="Select food category:","",_xlfn.IFNA(VLOOKUP($H262,Ingredient_prices!$E:$U,16,FALSE)*$Q262/1000,"not bought")))</f>
        <v>6</v>
      </c>
      <c r="U262" s="583">
        <f>IF(G262="Select food category:","",_xlfn.IFNA(VLOOKUP($H262,Ingredient_prices!$E:$U,16,FALSE)*$R262/1000,"not bought"))</f>
        <v>1.746</v>
      </c>
      <c r="V262" s="549">
        <f>VLOOKUP($H262,'CO2_emission+%_food_waste'!$A:$K,4,FALSE)*$Q262</f>
        <v>44.400000000000006</v>
      </c>
      <c r="W262" s="583">
        <f>VLOOKUP($H262,Nutrition_tables!$A:$N,10,FALSE)*$Q262/100</f>
        <v>4</v>
      </c>
      <c r="X262" s="583">
        <f>VLOOKUP($H262,Nutrition_tables!$A:$N,11,FALSE)*$Q262/100</f>
        <v>0.44</v>
      </c>
      <c r="Y262" s="583">
        <f>VLOOKUP($H262,Nutrition_tables!$A:$N,12,FALSE)*$Q262/100</f>
        <v>0.36</v>
      </c>
      <c r="Z262" s="583">
        <f>VLOOKUP($H262,Nutrition_tables!$A:$N,14,FALSE)*$Q262/100</f>
        <v>0.06</v>
      </c>
      <c r="AA262" s="583">
        <f>VLOOKUP($H262,Nutrition_tables!$A:$AF,13,FALSE)*$Q262/100</f>
        <v>0.42</v>
      </c>
      <c r="AB262" s="549">
        <f>VLOOKUP($H262,Nutrition_tables!$A:$AF,15,FALSE)*$Q262/100</f>
        <v>0.02</v>
      </c>
      <c r="AC262" s="583">
        <f>VLOOKUP($H262,Nutrition_tables!$A:$AF,16,FALSE)*$Q262/100</f>
        <v>5</v>
      </c>
      <c r="AD262" s="583">
        <f>VLOOKUP($H262,Nutrition_tables!$A:$AF,17,FALSE)*$Q262/100</f>
        <v>74</v>
      </c>
      <c r="AE262" s="583">
        <f>VLOOKUP($H262,Nutrition_tables!$A:$AF,18,FALSE)*$Q262/100</f>
        <v>4.8</v>
      </c>
      <c r="AF262" s="583">
        <f>VLOOKUP($H262,Nutrition_tables!$A:$AF,19,FALSE)*$Q262/100</f>
        <v>3</v>
      </c>
      <c r="AG262" s="583">
        <f>VLOOKUP($H262,Nutrition_tables!$A:$AF,20,FALSE)*$Q262/100</f>
        <v>10</v>
      </c>
      <c r="AH262" s="583">
        <f>VLOOKUP($H262,Nutrition_tables!$A:$AF,21,FALSE)*$Q262/100</f>
        <v>0.12</v>
      </c>
      <c r="AI262" s="583">
        <f>VLOOKUP($H262,Nutrition_tables!$A:$AF,22,FALSE)*$Q262/100</f>
        <v>0.1</v>
      </c>
      <c r="AJ262" s="549">
        <f>VLOOKUP($H262,Nutrition_tables!$A:$AF,23,FALSE)*$Q262/100</f>
        <v>0.02</v>
      </c>
      <c r="AK262" s="583">
        <f>VLOOKUP($H262,Nutrition_tables!$A:$AF,24,FALSE)*$Q262/100</f>
        <v>0.18</v>
      </c>
      <c r="AL262" s="583">
        <f>VLOOKUP($H262,Nutrition_tables!$A:$AF,25,FALSE)*$Q262/100</f>
        <v>0.02</v>
      </c>
      <c r="AM262" s="583">
        <f>VLOOKUP($H262,Nutrition_tables!$A:$AF,26,FALSE)*$Q262/100</f>
        <v>1.2E-2</v>
      </c>
      <c r="AN262" s="583">
        <f>VLOOKUP($H262,Nutrition_tables!$A:$AF,27,FALSE)*$Q262/100</f>
        <v>0.24</v>
      </c>
      <c r="AO262" s="583">
        <f>VLOOKUP($H262,Nutrition_tables!$A:$AF,28,FALSE)*$Q262/100</f>
        <v>3.4599999999999999E-2</v>
      </c>
      <c r="AP262" s="583">
        <f>VLOOKUP($H262,Nutrition_tables!$A:$AF,29,FALSE)*$Q262/100</f>
        <v>17.18</v>
      </c>
      <c r="AQ262" s="583">
        <f>VLOOKUP($H262,Nutrition_tables!$A:$AF,30,FALSE)*$Q262/100</f>
        <v>-8.0000000000000007E-5</v>
      </c>
      <c r="AR262" s="583">
        <f>VLOOKUP($H262,Nutrition_tables!$A:$AF,31,FALSE)*$Q262/100</f>
        <v>12.3</v>
      </c>
      <c r="AS262" s="549">
        <f>VLOOKUP($H262,Nutrition_tables!$A:$AF,32,FALSE)*$Q262/100</f>
        <v>-8.0000000000000007E-5</v>
      </c>
      <c r="AT262" s="583">
        <f>IF(H262="Select ingredient:","",IF(G262="Select food category:","",IFERROR(VLOOKUP($H262,Ingredient_prices!$E:$W,17,FALSE)*$Q262/1000,"not bought")))</f>
        <v>2.2000000000000002</v>
      </c>
      <c r="AU262" s="583">
        <f>IF(H262="Select ingredient:","",IF(G262="Select food category:","",IFERROR(VLOOKUP($H262,Ingredient_prices!$E:$W,18,FALSE)*$Q262/1000,"not bought")))</f>
        <v>6</v>
      </c>
      <c r="AV262" s="583">
        <f t="shared" si="581"/>
        <v>2.835998582000709</v>
      </c>
      <c r="AW262" s="583">
        <f t="shared" si="582"/>
        <v>0.31195984402007804</v>
      </c>
      <c r="AX262" s="583">
        <f t="shared" si="583"/>
        <v>0.25523987238006379</v>
      </c>
      <c r="AY262" s="583">
        <f t="shared" si="584"/>
        <v>4.2539978730010634E-2</v>
      </c>
      <c r="AZ262" s="583">
        <f t="shared" si="585"/>
        <v>0.29777985111007443</v>
      </c>
      <c r="BA262" s="583">
        <f t="shared" si="586"/>
        <v>1.4179992910003545E-2</v>
      </c>
      <c r="BB262" s="583">
        <f t="shared" si="587"/>
        <v>3.5449982275008867</v>
      </c>
      <c r="BC262" s="583">
        <f t="shared" si="588"/>
        <v>52.465973767013111</v>
      </c>
      <c r="BD262" s="583">
        <f t="shared" si="589"/>
        <v>3.4031982984008504</v>
      </c>
      <c r="BE262" s="583">
        <f t="shared" si="590"/>
        <v>2.1269989365005317</v>
      </c>
      <c r="BF262" s="583">
        <f t="shared" si="591"/>
        <v>7.0899964550017733</v>
      </c>
      <c r="BG262" s="583">
        <f t="shared" si="592"/>
        <v>8.5079957460021269E-2</v>
      </c>
      <c r="BH262" s="583">
        <f t="shared" si="593"/>
        <v>7.0899964550017736E-2</v>
      </c>
      <c r="BI262" s="583">
        <f t="shared" si="594"/>
        <v>1.4179992910003545E-2</v>
      </c>
      <c r="BJ262" s="583">
        <f t="shared" si="595"/>
        <v>0.1276199361900319</v>
      </c>
      <c r="BK262" s="583">
        <f t="shared" si="596"/>
        <v>1.4179992910003545E-2</v>
      </c>
      <c r="BL262" s="583">
        <f t="shared" si="597"/>
        <v>8.5079957460021272E-3</v>
      </c>
      <c r="BM262" s="583">
        <f t="shared" si="598"/>
        <v>0.17015991492004254</v>
      </c>
      <c r="BN262" s="583">
        <f t="shared" si="599"/>
        <v>2.4531387734306132E-2</v>
      </c>
      <c r="BO262" s="583">
        <f t="shared" si="600"/>
        <v>12.180613909693044</v>
      </c>
      <c r="BP262" s="583">
        <f t="shared" si="601"/>
        <v>-5.6719971640014185E-5</v>
      </c>
      <c r="BQ262" s="583">
        <f t="shared" si="602"/>
        <v>8.7206956396521811</v>
      </c>
      <c r="BR262" s="583">
        <f t="shared" si="603"/>
        <v>-5.6719971640014185E-5</v>
      </c>
    </row>
    <row r="263" spans="1:70" s="229" customFormat="1" ht="15" customHeight="1">
      <c r="A263" s="587"/>
      <c r="D263" s="406"/>
      <c r="E263" s="576">
        <f t="shared" si="604"/>
        <v>100</v>
      </c>
      <c r="F263" s="248"/>
      <c r="G263" s="406" t="s">
        <v>3072</v>
      </c>
      <c r="H263" s="578" t="s">
        <v>3208</v>
      </c>
      <c r="I263" s="85">
        <v>0</v>
      </c>
      <c r="J263" s="682">
        <v>1</v>
      </c>
      <c r="K263" s="579" t="str">
        <f t="shared" si="578"/>
        <v/>
      </c>
      <c r="L263" s="580">
        <f>IF(H263="Select ingredient:","",IF(G263="","",_xlfn.IFNA(VLOOKUP($H263,Ingredient_prices!$E:$U,16,FALSE),0)))</f>
        <v>183.33333333333334</v>
      </c>
      <c r="M263" s="844"/>
      <c r="N263" s="844"/>
      <c r="O263" s="588"/>
      <c r="P263" s="589"/>
      <c r="Q263" s="583">
        <f t="shared" si="579"/>
        <v>0</v>
      </c>
      <c r="R263" s="583">
        <f>VLOOKUP($H263,'CO2_emission+%_food_waste'!$A:$K,6,FALSE)*$Q263/100</f>
        <v>0</v>
      </c>
      <c r="S263" s="583">
        <f t="shared" si="580"/>
        <v>0</v>
      </c>
      <c r="T263" s="583">
        <f>IF(H263="Select ingredient:","",IF(G263="Select food category:","",_xlfn.IFNA(VLOOKUP($H263,Ingredient_prices!$E:$U,16,FALSE)*$Q263/1000,"not bought")))</f>
        <v>0</v>
      </c>
      <c r="U263" s="583">
        <f>IF(G263="Select food category:","",_xlfn.IFNA(VLOOKUP($H263,Ingredient_prices!$E:$U,16,FALSE)*$R263/1000,"not bought"))</f>
        <v>0</v>
      </c>
      <c r="V263" s="549">
        <f>VLOOKUP($H263,'CO2_emission+%_food_waste'!$A:$K,4,FALSE)*$Q263</f>
        <v>0</v>
      </c>
      <c r="W263" s="583">
        <f>VLOOKUP($H263,Nutrition_tables!$A:$N,10,FALSE)*$Q263/100</f>
        <v>0</v>
      </c>
      <c r="X263" s="583">
        <f>VLOOKUP($H263,Nutrition_tables!$A:$N,11,FALSE)*$Q263/100</f>
        <v>0</v>
      </c>
      <c r="Y263" s="583">
        <f>VLOOKUP($H263,Nutrition_tables!$A:$N,12,FALSE)*$Q263/100</f>
        <v>0</v>
      </c>
      <c r="Z263" s="583">
        <f>VLOOKUP($H263,Nutrition_tables!$A:$N,14,FALSE)*$Q263/100</f>
        <v>0</v>
      </c>
      <c r="AA263" s="583">
        <f>VLOOKUP($H263,Nutrition_tables!$A:$AF,13,FALSE)*$Q263/100</f>
        <v>0</v>
      </c>
      <c r="AB263" s="549">
        <f>VLOOKUP($H263,Nutrition_tables!$A:$AF,15,FALSE)*$Q263/100</f>
        <v>0</v>
      </c>
      <c r="AC263" s="583">
        <f>VLOOKUP($H263,Nutrition_tables!$A:$AF,16,FALSE)*$Q263/100</f>
        <v>0</v>
      </c>
      <c r="AD263" s="583">
        <f>VLOOKUP($H263,Nutrition_tables!$A:$AF,17,FALSE)*$Q263/100</f>
        <v>0</v>
      </c>
      <c r="AE263" s="583">
        <f>VLOOKUP($H263,Nutrition_tables!$A:$AF,18,FALSE)*$Q263/100</f>
        <v>0</v>
      </c>
      <c r="AF263" s="583">
        <f>VLOOKUP($H263,Nutrition_tables!$A:$AF,19,FALSE)*$Q263/100</f>
        <v>0</v>
      </c>
      <c r="AG263" s="583">
        <f>VLOOKUP($H263,Nutrition_tables!$A:$AF,20,FALSE)*$Q263/100</f>
        <v>0</v>
      </c>
      <c r="AH263" s="583">
        <f>VLOOKUP($H263,Nutrition_tables!$A:$AF,21,FALSE)*$Q263/100</f>
        <v>0</v>
      </c>
      <c r="AI263" s="583">
        <f>VLOOKUP($H263,Nutrition_tables!$A:$AF,22,FALSE)*$Q263/100</f>
        <v>0</v>
      </c>
      <c r="AJ263" s="549">
        <f>VLOOKUP($H263,Nutrition_tables!$A:$AF,23,FALSE)*$Q263/100</f>
        <v>0</v>
      </c>
      <c r="AK263" s="583">
        <f>VLOOKUP($H263,Nutrition_tables!$A:$AF,24,FALSE)*$Q263/100</f>
        <v>0</v>
      </c>
      <c r="AL263" s="583">
        <f>VLOOKUP($H263,Nutrition_tables!$A:$AF,25,FALSE)*$Q263/100</f>
        <v>0</v>
      </c>
      <c r="AM263" s="583">
        <f>VLOOKUP($H263,Nutrition_tables!$A:$AF,26,FALSE)*$Q263/100</f>
        <v>0</v>
      </c>
      <c r="AN263" s="583">
        <f>VLOOKUP($H263,Nutrition_tables!$A:$AF,27,FALSE)*$Q263/100</f>
        <v>0</v>
      </c>
      <c r="AO263" s="583">
        <f>VLOOKUP($H263,Nutrition_tables!$A:$AF,28,FALSE)*$Q263/100</f>
        <v>0</v>
      </c>
      <c r="AP263" s="583">
        <f>VLOOKUP($H263,Nutrition_tables!$A:$AF,29,FALSE)*$Q263/100</f>
        <v>0</v>
      </c>
      <c r="AQ263" s="583">
        <f>VLOOKUP($H263,Nutrition_tables!$A:$AF,30,FALSE)*$Q263/100</f>
        <v>0</v>
      </c>
      <c r="AR263" s="583">
        <f>VLOOKUP($H263,Nutrition_tables!$A:$AF,31,FALSE)*$Q263/100</f>
        <v>0</v>
      </c>
      <c r="AS263" s="549">
        <f>VLOOKUP($H263,Nutrition_tables!$A:$AF,32,FALSE)*$Q263/100</f>
        <v>0</v>
      </c>
      <c r="AT263" s="583">
        <f>IF(H263="Select ingredient:","",IF(G263="Select food category:","",IFERROR(VLOOKUP($H263,Ingredient_prices!$E:$W,17,FALSE)*$Q263/1000,"not bought")))</f>
        <v>0</v>
      </c>
      <c r="AU263" s="583">
        <f>IF(H263="Select ingredient:","",IF(G263="Select food category:","",IFERROR(VLOOKUP($H263,Ingredient_prices!$E:$W,18,FALSE)*$Q263/1000,"not bought")))</f>
        <v>0</v>
      </c>
      <c r="AV263" s="583">
        <f t="shared" si="581"/>
        <v>0</v>
      </c>
      <c r="AW263" s="583">
        <f t="shared" si="582"/>
        <v>0</v>
      </c>
      <c r="AX263" s="583">
        <f t="shared" si="583"/>
        <v>0</v>
      </c>
      <c r="AY263" s="583">
        <f t="shared" si="584"/>
        <v>0</v>
      </c>
      <c r="AZ263" s="583">
        <f t="shared" si="585"/>
        <v>0</v>
      </c>
      <c r="BA263" s="583">
        <f t="shared" si="586"/>
        <v>0</v>
      </c>
      <c r="BB263" s="583">
        <f t="shared" si="587"/>
        <v>0</v>
      </c>
      <c r="BC263" s="583">
        <f t="shared" si="588"/>
        <v>0</v>
      </c>
      <c r="BD263" s="583">
        <f t="shared" si="589"/>
        <v>0</v>
      </c>
      <c r="BE263" s="583">
        <f t="shared" si="590"/>
        <v>0</v>
      </c>
      <c r="BF263" s="583">
        <f t="shared" si="591"/>
        <v>0</v>
      </c>
      <c r="BG263" s="583">
        <f t="shared" si="592"/>
        <v>0</v>
      </c>
      <c r="BH263" s="583">
        <f t="shared" si="593"/>
        <v>0</v>
      </c>
      <c r="BI263" s="583">
        <f t="shared" si="594"/>
        <v>0</v>
      </c>
      <c r="BJ263" s="583">
        <f t="shared" si="595"/>
        <v>0</v>
      </c>
      <c r="BK263" s="583">
        <f t="shared" si="596"/>
        <v>0</v>
      </c>
      <c r="BL263" s="583">
        <f t="shared" si="597"/>
        <v>0</v>
      </c>
      <c r="BM263" s="583">
        <f t="shared" si="598"/>
        <v>0</v>
      </c>
      <c r="BN263" s="583">
        <f t="shared" si="599"/>
        <v>0</v>
      </c>
      <c r="BO263" s="583">
        <f t="shared" si="600"/>
        <v>0</v>
      </c>
      <c r="BP263" s="583">
        <f t="shared" si="601"/>
        <v>0</v>
      </c>
      <c r="BQ263" s="583">
        <f t="shared" si="602"/>
        <v>0</v>
      </c>
      <c r="BR263" s="583">
        <f t="shared" si="603"/>
        <v>0</v>
      </c>
    </row>
    <row r="264" spans="1:70" s="229" customFormat="1" ht="15" customHeight="1">
      <c r="A264" s="587"/>
      <c r="D264" s="406"/>
      <c r="E264" s="576">
        <f t="shared" si="604"/>
        <v>100</v>
      </c>
      <c r="F264" s="248"/>
      <c r="G264" s="406" t="s">
        <v>3140</v>
      </c>
      <c r="H264" s="578" t="s">
        <v>3115</v>
      </c>
      <c r="I264" s="85">
        <v>30</v>
      </c>
      <c r="J264" s="682">
        <v>1</v>
      </c>
      <c r="K264" s="579">
        <f t="shared" si="578"/>
        <v>3.3</v>
      </c>
      <c r="L264" s="580">
        <f>IF(H264="Select ingredient:","",IF(G264="","",_xlfn.IFNA(VLOOKUP($H264,Ingredient_prices!$E:$U,16,FALSE),0)))</f>
        <v>110</v>
      </c>
      <c r="M264" s="844"/>
      <c r="N264" s="844"/>
      <c r="O264" s="588"/>
      <c r="P264" s="589"/>
      <c r="Q264" s="583">
        <f t="shared" si="579"/>
        <v>30</v>
      </c>
      <c r="R264" s="583">
        <f>VLOOKUP($H264,'CO2_emission+%_food_waste'!$A:$K,6,FALSE)*$Q264/100</f>
        <v>9.0090000000000003</v>
      </c>
      <c r="S264" s="583">
        <f t="shared" si="580"/>
        <v>20.991</v>
      </c>
      <c r="T264" s="583">
        <f>IF(H264="Select ingredient:","",IF(G264="Select food category:","",_xlfn.IFNA(VLOOKUP($H264,Ingredient_prices!$E:$U,16,FALSE)*$Q264/1000,"not bought")))</f>
        <v>3.3</v>
      </c>
      <c r="U264" s="583">
        <f>IF(G264="Select food category:","",_xlfn.IFNA(VLOOKUP($H264,Ingredient_prices!$E:$U,16,FALSE)*$R264/1000,"not bought"))</f>
        <v>0.99099000000000004</v>
      </c>
      <c r="V264" s="549">
        <f>VLOOKUP($H264,'CO2_emission+%_food_waste'!$A:$K,4,FALSE)*$Q264</f>
        <v>13.8</v>
      </c>
      <c r="W264" s="583">
        <f>VLOOKUP($H264,Nutrition_tables!$A:$N,10,FALSE)*$Q264/100</f>
        <v>9.5399999999999991</v>
      </c>
      <c r="X264" s="583">
        <f>VLOOKUP($H264,Nutrition_tables!$A:$N,11,FALSE)*$Q264/100</f>
        <v>1.98</v>
      </c>
      <c r="Y264" s="583">
        <f>VLOOKUP($H264,Nutrition_tables!$A:$N,12,FALSE)*$Q264/100</f>
        <v>0.252</v>
      </c>
      <c r="Z264" s="583">
        <f>VLOOKUP($H264,Nutrition_tables!$A:$N,14,FALSE)*$Q264/100</f>
        <v>8.1000000000000016E-2</v>
      </c>
      <c r="AA264" s="583">
        <f>VLOOKUP($H264,Nutrition_tables!$A:$AF,13,FALSE)*$Q264/100</f>
        <v>0.65099999999999991</v>
      </c>
      <c r="AB264" s="549">
        <f>VLOOKUP($H264,Nutrition_tables!$A:$AF,15,FALSE)*$Q264/100</f>
        <v>1.2E-2</v>
      </c>
      <c r="AC264" s="583">
        <f>VLOOKUP($H264,Nutrition_tables!$A:$AF,16,FALSE)*$Q264/100</f>
        <v>11.28</v>
      </c>
      <c r="AD264" s="583">
        <f>VLOOKUP($H264,Nutrition_tables!$A:$AF,17,FALSE)*$Q264/100</f>
        <v>94.5</v>
      </c>
      <c r="AE264" s="583">
        <f>VLOOKUP($H264,Nutrition_tables!$A:$AF,18,FALSE)*$Q264/100</f>
        <v>9.57</v>
      </c>
      <c r="AF264" s="583">
        <f>VLOOKUP($H264,Nutrition_tables!$A:$AF,19,FALSE)*$Q264/100</f>
        <v>3.54</v>
      </c>
      <c r="AG264" s="583">
        <f>VLOOKUP($H264,Nutrition_tables!$A:$AF,20,FALSE)*$Q264/100</f>
        <v>4.919999999999999</v>
      </c>
      <c r="AH264" s="583">
        <f>VLOOKUP($H264,Nutrition_tables!$A:$AF,21,FALSE)*$Q264/100</f>
        <v>6.3E-2</v>
      </c>
      <c r="AI264" s="583">
        <f>VLOOKUP($H264,Nutrition_tables!$A:$AF,22,FALSE)*$Q264/100</f>
        <v>6.6000000000000003E-2</v>
      </c>
      <c r="AJ264" s="549">
        <f>VLOOKUP($H264,Nutrition_tables!$A:$AF,23,FALSE)*$Q264/100</f>
        <v>1.3499999999999999E-3</v>
      </c>
      <c r="AK264" s="583">
        <f>VLOOKUP($H264,Nutrition_tables!$A:$AF,24,FALSE)*$Q264/100</f>
        <v>255.6</v>
      </c>
      <c r="AL264" s="583">
        <f>VLOOKUP($H264,Nutrition_tables!$A:$AF,25,FALSE)*$Q264/100</f>
        <v>1.4999999999999999E-2</v>
      </c>
      <c r="AM264" s="583">
        <f>VLOOKUP($H264,Nutrition_tables!$A:$AF,26,FALSE)*$Q264/100</f>
        <v>1.2E-2</v>
      </c>
      <c r="AN264" s="583">
        <f>VLOOKUP($H264,Nutrition_tables!$A:$AF,27,FALSE)*$Q264/100</f>
        <v>0.29400000000000004</v>
      </c>
      <c r="AO264" s="583">
        <f>VLOOKUP($H264,Nutrition_tables!$A:$AF,28,FALSE)*$Q264/100</f>
        <v>3.5999999999999997E-2</v>
      </c>
      <c r="AP264" s="583">
        <f>VLOOKUP($H264,Nutrition_tables!$A:$AF,29,FALSE)*$Q264/100</f>
        <v>13.919999999999998</v>
      </c>
      <c r="AQ264" s="583">
        <f>VLOOKUP($H264,Nutrition_tables!$A:$AF,30,FALSE)*$Q264/100</f>
        <v>0</v>
      </c>
      <c r="AR264" s="583">
        <f>VLOOKUP($H264,Nutrition_tables!$A:$AF,31,FALSE)*$Q264/100</f>
        <v>1.6320000000000001</v>
      </c>
      <c r="AS264" s="549">
        <f>VLOOKUP($H264,Nutrition_tables!$A:$AF,32,FALSE)*$Q264/100</f>
        <v>0</v>
      </c>
      <c r="AT264" s="583">
        <f>IF(H264="Select ingredient:","",IF(G264="Select food category:","",IFERROR(VLOOKUP($H264,Ingredient_prices!$E:$W,17,FALSE)*$Q264/1000,"not bought")))</f>
        <v>1.155</v>
      </c>
      <c r="AU264" s="583">
        <f>IF(H264="Select ingredient:","",IF(G264="Select food category:","",IFERROR(VLOOKUP($H264,Ingredient_prices!$E:$W,18,FALSE)*$Q264/1000,"not bought")))</f>
        <v>3.3</v>
      </c>
      <c r="AV264" s="583">
        <f t="shared" si="581"/>
        <v>6.6751357749547413</v>
      </c>
      <c r="AW264" s="583">
        <f t="shared" si="582"/>
        <v>1.3854055381981538</v>
      </c>
      <c r="AX264" s="583">
        <f t="shared" si="583"/>
        <v>0.17632434122521959</v>
      </c>
      <c r="AY264" s="583">
        <f t="shared" si="584"/>
        <v>5.6675681108106307E-2</v>
      </c>
      <c r="AZ264" s="583">
        <f t="shared" si="585"/>
        <v>0.45550454816515057</v>
      </c>
      <c r="BA264" s="583">
        <f t="shared" si="586"/>
        <v>8.3963972012009325E-3</v>
      </c>
      <c r="BB264" s="583">
        <f t="shared" si="587"/>
        <v>7.8926133691288758</v>
      </c>
      <c r="BC264" s="583">
        <f t="shared" si="588"/>
        <v>66.121627959457342</v>
      </c>
      <c r="BD264" s="583">
        <f t="shared" si="589"/>
        <v>6.6961267679577441</v>
      </c>
      <c r="BE264" s="583">
        <f t="shared" si="590"/>
        <v>2.476937174354275</v>
      </c>
      <c r="BF264" s="583">
        <f t="shared" si="591"/>
        <v>3.4425228524923819</v>
      </c>
      <c r="BG264" s="583">
        <f t="shared" si="592"/>
        <v>4.4081085306304897E-2</v>
      </c>
      <c r="BH264" s="583">
        <f t="shared" si="593"/>
        <v>4.6180184606605133E-2</v>
      </c>
      <c r="BI264" s="583">
        <f t="shared" si="594"/>
        <v>9.4459468513510489E-4</v>
      </c>
      <c r="BJ264" s="583">
        <f t="shared" si="595"/>
        <v>178.84326038557984</v>
      </c>
      <c r="BK264" s="583">
        <f t="shared" si="596"/>
        <v>1.0495496501501167E-2</v>
      </c>
      <c r="BL264" s="583">
        <f t="shared" si="597"/>
        <v>8.3963972012009325E-3</v>
      </c>
      <c r="BM264" s="583">
        <f t="shared" si="598"/>
        <v>0.20571173142942289</v>
      </c>
      <c r="BN264" s="583">
        <f t="shared" si="599"/>
        <v>2.5189191603602796E-2</v>
      </c>
      <c r="BO264" s="583">
        <f t="shared" si="600"/>
        <v>9.7398207533930812</v>
      </c>
      <c r="BP264" s="583">
        <f t="shared" si="601"/>
        <v>0</v>
      </c>
      <c r="BQ264" s="583">
        <f t="shared" si="602"/>
        <v>1.1419100193633269</v>
      </c>
      <c r="BR264" s="583">
        <f t="shared" si="603"/>
        <v>0</v>
      </c>
    </row>
    <row r="265" spans="1:70" s="229" customFormat="1" ht="15" customHeight="1">
      <c r="A265" s="587"/>
      <c r="D265" s="85"/>
      <c r="E265" s="576">
        <f t="shared" si="604"/>
        <v>100</v>
      </c>
      <c r="F265" s="248"/>
      <c r="G265" s="406" t="s">
        <v>3085</v>
      </c>
      <c r="H265" s="578" t="s">
        <v>3454</v>
      </c>
      <c r="I265" s="85">
        <v>20</v>
      </c>
      <c r="J265" s="682">
        <v>1</v>
      </c>
      <c r="K265" s="579">
        <f t="shared" si="578"/>
        <v>2.2000000000000002</v>
      </c>
      <c r="L265" s="580">
        <f>IF(H265="Select ingredient:","",IF(G265="","",_xlfn.IFNA(VLOOKUP($H265,Ingredient_prices!$E:$U,16,FALSE),0)))</f>
        <v>202.28571428571428</v>
      </c>
      <c r="M265" s="844"/>
      <c r="N265" s="844"/>
      <c r="O265" s="588"/>
      <c r="P265" s="589"/>
      <c r="Q265" s="583">
        <f t="shared" si="579"/>
        <v>20</v>
      </c>
      <c r="R265" s="583">
        <f>VLOOKUP($H265,'CO2_emission+%_food_waste'!$A:$K,6,FALSE)*$Q265/100</f>
        <v>1.58</v>
      </c>
      <c r="S265" s="583">
        <f t="shared" si="580"/>
        <v>18.420000000000002</v>
      </c>
      <c r="T265" s="583">
        <f>IF(H265="Select ingredient:","",IF(G265="Select food category:","",_xlfn.IFNA(VLOOKUP($H265,Ingredient_prices!$E:$U,16,FALSE)*$Q265/1000,"not bought")))</f>
        <v>4.0457142857142854</v>
      </c>
      <c r="U265" s="583">
        <f>IF(G265="Select food category:","",_xlfn.IFNA(VLOOKUP($H265,Ingredient_prices!$E:$U,16,FALSE)*$R265/1000,"not bought"))</f>
        <v>0.3196114285714286</v>
      </c>
      <c r="V265" s="549">
        <f>VLOOKUP($H265,'CO2_emission+%_food_waste'!$A:$K,4,FALSE)*$Q265</f>
        <v>110</v>
      </c>
      <c r="W265" s="583">
        <f>VLOOKUP($H265,Nutrition_tables!$A:$N,10,FALSE)*$Q265/100</f>
        <v>40.799999999999997</v>
      </c>
      <c r="X265" s="583">
        <f>VLOOKUP($H265,Nutrition_tables!$A:$N,11,FALSE)*$Q265/100</f>
        <v>0.68</v>
      </c>
      <c r="Y265" s="583">
        <f>VLOOKUP($H265,Nutrition_tables!$A:$N,12,FALSE)*$Q265/100</f>
        <v>0.56000000000000005</v>
      </c>
      <c r="Z265" s="583">
        <f>VLOOKUP($H265,Nutrition_tables!$A:$N,14,FALSE)*$Q265/100</f>
        <v>4.0002666666666666</v>
      </c>
      <c r="AA265" s="583">
        <f>VLOOKUP($H265,Nutrition_tables!$A:$AF,13,FALSE)*$Q265/100</f>
        <v>0</v>
      </c>
      <c r="AB265" s="549">
        <f>VLOOKUP($H265,Nutrition_tables!$A:$AF,15,FALSE)*$Q265/100</f>
        <v>2.4267999999999996</v>
      </c>
      <c r="AC265" s="583">
        <f>VLOOKUP($H265,Nutrition_tables!$A:$AF,16,FALSE)*$Q265/100</f>
        <v>8</v>
      </c>
      <c r="AD265" s="583">
        <f>VLOOKUP($H265,Nutrition_tables!$A:$AF,17,FALSE)*$Q265/100</f>
        <v>26</v>
      </c>
      <c r="AE265" s="583">
        <f>VLOOKUP($H265,Nutrition_tables!$A:$AF,18,FALSE)*$Q265/100</f>
        <v>20</v>
      </c>
      <c r="AF265" s="583">
        <f>VLOOKUP($H265,Nutrition_tables!$A:$AF,19,FALSE)*$Q265/100</f>
        <v>2.2000000000000002</v>
      </c>
      <c r="AG265" s="583">
        <f>VLOOKUP($H265,Nutrition_tables!$A:$AF,20,FALSE)*$Q265/100</f>
        <v>16</v>
      </c>
      <c r="AH265" s="583">
        <f>VLOOKUP($H265,Nutrition_tables!$A:$AF,21,FALSE)*$Q265/100</f>
        <v>0.02</v>
      </c>
      <c r="AI265" s="583">
        <f>VLOOKUP($H265,Nutrition_tables!$A:$AF,22,FALSE)*$Q265/100</f>
        <v>0.08</v>
      </c>
      <c r="AJ265" s="549">
        <f>VLOOKUP($H265,Nutrition_tables!$A:$AF,23,FALSE)*$Q265/100</f>
        <v>4.6666666666666671E-3</v>
      </c>
      <c r="AK265" s="583">
        <f>VLOOKUP($H265,Nutrition_tables!$A:$AF,24,FALSE)*$Q265/100</f>
        <v>48</v>
      </c>
      <c r="AL265" s="583">
        <f>VLOOKUP($H265,Nutrition_tables!$A:$AF,25,FALSE)*$Q265/100</f>
        <v>8.0000000000000002E-3</v>
      </c>
      <c r="AM265" s="583">
        <f>VLOOKUP($H265,Nutrition_tables!$A:$AF,26,FALSE)*$Q265/100</f>
        <v>3.3999999999999996E-2</v>
      </c>
      <c r="AN265" s="583">
        <f>VLOOKUP($H265,Nutrition_tables!$A:$AF,27,FALSE)*$Q265/100</f>
        <v>0.14000000000000001</v>
      </c>
      <c r="AO265" s="583">
        <f>VLOOKUP($H265,Nutrition_tables!$A:$AF,28,FALSE)*$Q265/100</f>
        <v>8.0000000000000002E-3</v>
      </c>
      <c r="AP265" s="583">
        <f>VLOOKUP($H265,Nutrition_tables!$A:$AF,29,FALSE)*$Q265/100</f>
        <v>2.2000000000000002</v>
      </c>
      <c r="AQ265" s="583">
        <f>VLOOKUP($H265,Nutrition_tables!$A:$AF,30,FALSE)*$Q265/100</f>
        <v>0.06</v>
      </c>
      <c r="AR265" s="583">
        <f>VLOOKUP($H265,Nutrition_tables!$A:$AF,31,FALSE)*$Q265/100</f>
        <v>0.2</v>
      </c>
      <c r="AS265" s="549">
        <f>VLOOKUP($H265,Nutrition_tables!$A:$AF,32,FALSE)*$Q265/100</f>
        <v>0.08</v>
      </c>
      <c r="AT265" s="583">
        <f>IF(H265="Select ingredient:","",IF(G265="Select food category:","",IFERROR(VLOOKUP($H265,Ingredient_prices!$E:$W,17,FALSE)*$Q265/1000,"not bought")))</f>
        <v>4.0457142857142854</v>
      </c>
      <c r="AU265" s="583">
        <f>IF(H265="Select ingredient:","",IF(G265="Select food category:","",IFERROR(VLOOKUP($H265,Ingredient_prices!$E:$W,18,FALSE)*$Q265/1000,"not bought")))</f>
        <v>4.0457142857142854</v>
      </c>
      <c r="AV265" s="583">
        <f t="shared" si="581"/>
        <v>37.576781211609401</v>
      </c>
      <c r="AW265" s="583">
        <f t="shared" si="582"/>
        <v>0.62627968686015667</v>
      </c>
      <c r="AX265" s="583">
        <f t="shared" si="583"/>
        <v>0.51575974212012909</v>
      </c>
      <c r="AY265" s="583">
        <f t="shared" si="584"/>
        <v>3.6842437578781215</v>
      </c>
      <c r="AZ265" s="583">
        <f t="shared" si="585"/>
        <v>0</v>
      </c>
      <c r="BA265" s="583">
        <f t="shared" si="586"/>
        <v>2.2350816824591586</v>
      </c>
      <c r="BB265" s="583">
        <f t="shared" si="587"/>
        <v>7.3679963160018431</v>
      </c>
      <c r="BC265" s="583">
        <f t="shared" si="588"/>
        <v>23.945988027005992</v>
      </c>
      <c r="BD265" s="583">
        <f t="shared" si="589"/>
        <v>18.419990790004608</v>
      </c>
      <c r="BE265" s="583">
        <f t="shared" si="590"/>
        <v>2.026198986900507</v>
      </c>
      <c r="BF265" s="583">
        <f t="shared" si="591"/>
        <v>14.735992632003686</v>
      </c>
      <c r="BG265" s="583">
        <f t="shared" si="592"/>
        <v>1.8419990790004608E-2</v>
      </c>
      <c r="BH265" s="583">
        <f t="shared" si="593"/>
        <v>7.367996316001843E-2</v>
      </c>
      <c r="BI265" s="583">
        <f t="shared" si="594"/>
        <v>4.2979978510010747E-3</v>
      </c>
      <c r="BJ265" s="583">
        <f t="shared" si="595"/>
        <v>44.207977896011059</v>
      </c>
      <c r="BK265" s="583">
        <f t="shared" si="596"/>
        <v>7.3679963160018427E-3</v>
      </c>
      <c r="BL265" s="583">
        <f t="shared" si="597"/>
        <v>3.1313984343007827E-2</v>
      </c>
      <c r="BM265" s="583">
        <f t="shared" si="598"/>
        <v>0.12893993553003227</v>
      </c>
      <c r="BN265" s="583">
        <f t="shared" si="599"/>
        <v>7.3679963160018427E-3</v>
      </c>
      <c r="BO265" s="583">
        <f t="shared" si="600"/>
        <v>2.026198986900507</v>
      </c>
      <c r="BP265" s="583">
        <f t="shared" si="601"/>
        <v>5.5259972370013816E-2</v>
      </c>
      <c r="BQ265" s="583">
        <f t="shared" si="602"/>
        <v>0.18419990790004609</v>
      </c>
      <c r="BR265" s="583">
        <f t="shared" si="603"/>
        <v>7.367996316001843E-2</v>
      </c>
    </row>
    <row r="266" spans="1:70" s="229" customFormat="1" ht="15" customHeight="1">
      <c r="A266" s="587"/>
      <c r="D266" s="85"/>
      <c r="E266" s="576">
        <f t="shared" si="604"/>
        <v>100</v>
      </c>
      <c r="F266" s="707" t="s">
        <v>21</v>
      </c>
      <c r="G266" s="406" t="s">
        <v>3079</v>
      </c>
      <c r="H266" s="578" t="s">
        <v>3365</v>
      </c>
      <c r="I266" s="85">
        <v>75</v>
      </c>
      <c r="J266" s="682">
        <v>1</v>
      </c>
      <c r="K266" s="579">
        <f t="shared" si="578"/>
        <v>8.25</v>
      </c>
      <c r="L266" s="580">
        <f>IF(H266="Select ingredient:","",IF(G266="","",_xlfn.IFNA(VLOOKUP($H266,Ingredient_prices!$E:$U,16,FALSE),0)))</f>
        <v>70.400000000000006</v>
      </c>
      <c r="M266" s="844"/>
      <c r="N266" s="844"/>
      <c r="O266" s="588"/>
      <c r="P266" s="589"/>
      <c r="Q266" s="583">
        <f t="shared" si="579"/>
        <v>75</v>
      </c>
      <c r="R266" s="583">
        <f>VLOOKUP($H266,'CO2_emission+%_food_waste'!$A:$K,6,FALSE)*$Q266/100</f>
        <v>29.55</v>
      </c>
      <c r="S266" s="583">
        <f t="shared" si="580"/>
        <v>45.45</v>
      </c>
      <c r="T266" s="583">
        <f>IF(H266="Select ingredient:","",IF(G266="Select food category:","",_xlfn.IFNA(VLOOKUP($H266,Ingredient_prices!$E:$U,16,FALSE)*$Q266/1000,"not bought")))</f>
        <v>5.28</v>
      </c>
      <c r="U266" s="583">
        <f>IF(G266="Select food category:","",_xlfn.IFNA(VLOOKUP($H266,Ingredient_prices!$E:$U,16,FALSE)*$R266/1000,"not bought"))</f>
        <v>2.0803199999999999</v>
      </c>
      <c r="V266" s="549">
        <f>VLOOKUP($H266,'CO2_emission+%_food_waste'!$A:$K,4,FALSE)*$Q266</f>
        <v>121.50000000000001</v>
      </c>
      <c r="W266" s="583">
        <f>VLOOKUP($H266,Nutrition_tables!$A:$N,10,FALSE)*$Q266/100</f>
        <v>197.17500000000001</v>
      </c>
      <c r="X266" s="583">
        <f>VLOOKUP($H266,Nutrition_tables!$A:$N,11,FALSE)*$Q266/100</f>
        <v>38.1</v>
      </c>
      <c r="Y266" s="583">
        <f>VLOOKUP($H266,Nutrition_tables!$A:$N,12,FALSE)*$Q266/100</f>
        <v>5.0999999999999996</v>
      </c>
      <c r="Z266" s="583">
        <f>VLOOKUP($H266,Nutrition_tables!$A:$N,14,FALSE)*$Q266/100</f>
        <v>0.375</v>
      </c>
      <c r="AA266" s="583">
        <f>VLOOKUP($H266,Nutrition_tables!$A:$AF,13,FALSE)*$Q266/100</f>
        <v>3.2250000000000001</v>
      </c>
      <c r="AB266" s="549">
        <f>VLOOKUP($H266,Nutrition_tables!$A:$AF,15,FALSE)*$Q266/100</f>
        <v>7.4999999999999997E-2</v>
      </c>
      <c r="AC266" s="583">
        <f>VLOOKUP($H266,Nutrition_tables!$A:$AF,16,FALSE)*$Q266/100</f>
        <v>382.5</v>
      </c>
      <c r="AD266" s="583">
        <f>VLOOKUP($H266,Nutrition_tables!$A:$AF,17,FALSE)*$Q266/100</f>
        <v>86.25</v>
      </c>
      <c r="AE266" s="583">
        <f>VLOOKUP($H266,Nutrition_tables!$A:$AF,18,FALSE)*$Q266/100</f>
        <v>72.75</v>
      </c>
      <c r="AF266" s="583">
        <f>VLOOKUP($H266,Nutrition_tables!$A:$AF,19,FALSE)*$Q266/100</f>
        <v>18</v>
      </c>
      <c r="AG266" s="583">
        <f>VLOOKUP($H266,Nutrition_tables!$A:$AF,20,FALSE)*$Q266/100</f>
        <v>0</v>
      </c>
      <c r="AH266" s="583">
        <f>VLOOKUP($H266,Nutrition_tables!$A:$AF,21,FALSE)*$Q266/100</f>
        <v>1.125</v>
      </c>
      <c r="AI266" s="583">
        <f>VLOOKUP($H266,Nutrition_tables!$A:$AF,22,FALSE)*$Q266/100</f>
        <v>2.85</v>
      </c>
      <c r="AJ266" s="549">
        <f>VLOOKUP($H266,Nutrition_tables!$A:$AF,23,FALSE)*$Q266/100</f>
        <v>0.23850000000000002</v>
      </c>
      <c r="AK266" s="583">
        <f>VLOOKUP($H266,Nutrition_tables!$A:$AF,24,FALSE)*$Q266/100</f>
        <v>0</v>
      </c>
      <c r="AL266" s="583">
        <f>VLOOKUP($H266,Nutrition_tables!$A:$AF,25,FALSE)*$Q266/100</f>
        <v>0.15</v>
      </c>
      <c r="AM266" s="583">
        <f>VLOOKUP($H266,Nutrition_tables!$A:$AF,26,FALSE)*$Q266/100</f>
        <v>0.06</v>
      </c>
      <c r="AN266" s="583">
        <f>VLOOKUP($H266,Nutrition_tables!$A:$AF,27,FALSE)*$Q266/100</f>
        <v>2.1074999999999999</v>
      </c>
      <c r="AO266" s="583">
        <f>VLOOKUP($H266,Nutrition_tables!$A:$AF,28,FALSE)*$Q266/100</f>
        <v>4.2000000000000003E-2</v>
      </c>
      <c r="AP266" s="583">
        <f>VLOOKUP($H266,Nutrition_tables!$A:$AF,29,FALSE)*$Q266/100</f>
        <v>20.25</v>
      </c>
      <c r="AQ266" s="583">
        <f>VLOOKUP($H266,Nutrition_tables!$A:$AF,30,FALSE)*$Q266/100</f>
        <v>0</v>
      </c>
      <c r="AR266" s="583">
        <f>VLOOKUP($H266,Nutrition_tables!$A:$AF,31,FALSE)*$Q266/100</f>
        <v>7.4999999999999997E-2</v>
      </c>
      <c r="AS266" s="549">
        <f>VLOOKUP($H266,Nutrition_tables!$A:$AF,32,FALSE)*$Q266/100</f>
        <v>8.2500000000000004E-2</v>
      </c>
      <c r="AT266" s="583">
        <f>IF(H266="Select ingredient:","",IF(G266="Select food category:","",IFERROR(VLOOKUP($H266,Ingredient_prices!$E:$W,17,FALSE)*$Q266/1000,"not bought")))</f>
        <v>5.28</v>
      </c>
      <c r="AU266" s="583">
        <f>IF(H266="Select ingredient:","",IF(G266="Select food category:","",IFERROR(VLOOKUP($H266,Ingredient_prices!$E:$W,18,FALSE)*$Q266/1000,"not bought")))</f>
        <v>5.28</v>
      </c>
      <c r="AV266" s="583">
        <f t="shared" si="581"/>
        <v>119.48803406826212</v>
      </c>
      <c r="AW266" s="583">
        <f t="shared" si="582"/>
        <v>23.088596921520413</v>
      </c>
      <c r="AX266" s="583">
        <f t="shared" si="583"/>
        <v>3.0905995879200545</v>
      </c>
      <c r="AY266" s="583">
        <f t="shared" si="584"/>
        <v>0.22724996970000408</v>
      </c>
      <c r="AZ266" s="583">
        <f t="shared" si="585"/>
        <v>1.9543497394200349</v>
      </c>
      <c r="BA266" s="583">
        <f t="shared" si="586"/>
        <v>4.5449993940000807E-2</v>
      </c>
      <c r="BB266" s="583">
        <f t="shared" si="587"/>
        <v>231.7949690940041</v>
      </c>
      <c r="BC266" s="583">
        <f t="shared" si="588"/>
        <v>52.267493031000932</v>
      </c>
      <c r="BD266" s="583">
        <f t="shared" si="589"/>
        <v>44.086494121800783</v>
      </c>
      <c r="BE266" s="583">
        <f t="shared" si="590"/>
        <v>10.907998545600194</v>
      </c>
      <c r="BF266" s="583">
        <f t="shared" si="591"/>
        <v>0</v>
      </c>
      <c r="BG266" s="583">
        <f t="shared" si="592"/>
        <v>0.6817499091000121</v>
      </c>
      <c r="BH266" s="583">
        <f t="shared" si="593"/>
        <v>1.7270997697200305</v>
      </c>
      <c r="BI266" s="583">
        <f t="shared" si="594"/>
        <v>0.14453098072920259</v>
      </c>
      <c r="BJ266" s="583">
        <f t="shared" si="595"/>
        <v>0</v>
      </c>
      <c r="BK266" s="583">
        <f t="shared" si="596"/>
        <v>9.0899987880001615E-2</v>
      </c>
      <c r="BL266" s="583">
        <f t="shared" si="597"/>
        <v>3.635999515200064E-2</v>
      </c>
      <c r="BM266" s="583">
        <f t="shared" si="598"/>
        <v>1.2771448297140227</v>
      </c>
      <c r="BN266" s="583">
        <f t="shared" si="599"/>
        <v>2.5451996606400455E-2</v>
      </c>
      <c r="BO266" s="583">
        <f t="shared" si="600"/>
        <v>12.271498363800218</v>
      </c>
      <c r="BP266" s="583">
        <f t="shared" si="601"/>
        <v>0</v>
      </c>
      <c r="BQ266" s="583">
        <f t="shared" si="602"/>
        <v>4.5449993940000807E-2</v>
      </c>
      <c r="BR266" s="583">
        <f t="shared" si="603"/>
        <v>4.9994993334000891E-2</v>
      </c>
    </row>
    <row r="267" spans="1:70" s="229" customFormat="1" ht="15" customHeight="1">
      <c r="A267" s="587"/>
      <c r="D267" s="85"/>
      <c r="E267" s="576">
        <f t="shared" si="604"/>
        <v>100</v>
      </c>
      <c r="F267" s="707" t="s">
        <v>1748</v>
      </c>
      <c r="G267" s="406" t="s">
        <v>3077</v>
      </c>
      <c r="H267" s="578" t="s">
        <v>3308</v>
      </c>
      <c r="I267" s="85">
        <v>150</v>
      </c>
      <c r="J267" s="682">
        <v>1</v>
      </c>
      <c r="K267" s="579">
        <f t="shared" si="578"/>
        <v>16.5</v>
      </c>
      <c r="L267" s="580">
        <f>IF(H267="Select ingredient:","",IF(G267="","",_xlfn.IFNA(VLOOKUP($H267,Ingredient_prices!$E:$U,16,FALSE),0)))</f>
        <v>49.5</v>
      </c>
      <c r="M267" s="844"/>
      <c r="N267" s="844"/>
      <c r="O267" s="588"/>
      <c r="P267" s="589"/>
      <c r="Q267" s="583">
        <f t="shared" si="579"/>
        <v>150</v>
      </c>
      <c r="R267" s="583">
        <f>VLOOKUP($H267,'CO2_emission+%_food_waste'!$A:$K,6,FALSE)*$Q267/100</f>
        <v>32.49</v>
      </c>
      <c r="S267" s="583">
        <f t="shared" si="580"/>
        <v>117.50999999999999</v>
      </c>
      <c r="T267" s="583">
        <f>IF(H267="Select ingredient:","",IF(G267="Select food category:","",_xlfn.IFNA(VLOOKUP($H267,Ingredient_prices!$E:$U,16,FALSE)*$Q267/1000,"not bought")))</f>
        <v>7.4249999999999998</v>
      </c>
      <c r="U267" s="583">
        <f>IF(G267="Select food category:","",_xlfn.IFNA(VLOOKUP($H267,Ingredient_prices!$E:$U,16,FALSE)*$R267/1000,"not bought"))</f>
        <v>1.6082550000000002</v>
      </c>
      <c r="V267" s="549">
        <f>VLOOKUP($H267,'CO2_emission+%_food_waste'!$A:$K,4,FALSE)*$Q267</f>
        <v>64.5</v>
      </c>
      <c r="W267" s="583">
        <f>VLOOKUP($H267,Nutrition_tables!$A:$N,10,FALSE)*$Q267/100</f>
        <v>67.5</v>
      </c>
      <c r="X267" s="583">
        <f>VLOOKUP($H267,Nutrition_tables!$A:$N,11,FALSE)*$Q267/100</f>
        <v>15</v>
      </c>
      <c r="Y267" s="583">
        <f>VLOOKUP($H267,Nutrition_tables!$A:$N,12,FALSE)*$Q267/100</f>
        <v>0.3</v>
      </c>
      <c r="Z267" s="583">
        <f>VLOOKUP($H267,Nutrition_tables!$A:$N,14,FALSE)*$Q267/100</f>
        <v>0.45</v>
      </c>
      <c r="AA267" s="583">
        <f>VLOOKUP($H267,Nutrition_tables!$A:$AF,13,FALSE)*$Q267/100</f>
        <v>3.6</v>
      </c>
      <c r="AB267" s="549">
        <f>VLOOKUP($H267,Nutrition_tables!$A:$AF,15,FALSE)*$Q267/100</f>
        <v>0.10500000000000002</v>
      </c>
      <c r="AC267" s="583">
        <f>VLOOKUP($H267,Nutrition_tables!$A:$AF,16,FALSE)*$Q267/100</f>
        <v>3</v>
      </c>
      <c r="AD267" s="583">
        <f>VLOOKUP($H267,Nutrition_tables!$A:$AF,17,FALSE)*$Q267/100</f>
        <v>180</v>
      </c>
      <c r="AE267" s="583">
        <f>VLOOKUP($H267,Nutrition_tables!$A:$AF,18,FALSE)*$Q267/100</f>
        <v>9</v>
      </c>
      <c r="AF267" s="583">
        <f>VLOOKUP($H267,Nutrition_tables!$A:$AF,19,FALSE)*$Q267/100</f>
        <v>12.975</v>
      </c>
      <c r="AG267" s="583">
        <f>VLOOKUP($H267,Nutrition_tables!$A:$AF,20,FALSE)*$Q267/100</f>
        <v>18</v>
      </c>
      <c r="AH267" s="583">
        <f>VLOOKUP($H267,Nutrition_tables!$A:$AF,21,FALSE)*$Q267/100</f>
        <v>0.45</v>
      </c>
      <c r="AI267" s="583">
        <f>VLOOKUP($H267,Nutrition_tables!$A:$AF,22,FALSE)*$Q267/100</f>
        <v>0.15</v>
      </c>
      <c r="AJ267" s="549">
        <f>VLOOKUP($H267,Nutrition_tables!$A:$AF,23,FALSE)*$Q267/100</f>
        <v>5.4495000000000002E-2</v>
      </c>
      <c r="AK267" s="583">
        <f>VLOOKUP($H267,Nutrition_tables!$A:$AF,24,FALSE)*$Q267/100</f>
        <v>4.5</v>
      </c>
      <c r="AL267" s="583">
        <f>VLOOKUP($H267,Nutrition_tables!$A:$AF,25,FALSE)*$Q267/100</f>
        <v>0.03</v>
      </c>
      <c r="AM267" s="583">
        <f>VLOOKUP($H267,Nutrition_tables!$A:$AF,26,FALSE)*$Q267/100</f>
        <v>0.03</v>
      </c>
      <c r="AN267" s="583">
        <f>VLOOKUP($H267,Nutrition_tables!$A:$AF,27,FALSE)*$Q267/100</f>
        <v>0.45</v>
      </c>
      <c r="AO267" s="583">
        <f>VLOOKUP($H267,Nutrition_tables!$A:$AF,28,FALSE)*$Q267/100</f>
        <v>0.16500000000000001</v>
      </c>
      <c r="AP267" s="583">
        <f>VLOOKUP($H267,Nutrition_tables!$A:$AF,29,FALSE)*$Q267/100</f>
        <v>1.5</v>
      </c>
      <c r="AQ267" s="583">
        <f>VLOOKUP($H267,Nutrition_tables!$A:$AF,30,FALSE)*$Q267/100</f>
        <v>0</v>
      </c>
      <c r="AR267" s="583">
        <f>VLOOKUP($H267,Nutrition_tables!$A:$AF,31,FALSE)*$Q267/100</f>
        <v>15</v>
      </c>
      <c r="AS267" s="549">
        <f>VLOOKUP($H267,Nutrition_tables!$A:$AF,32,FALSE)*$Q267/100</f>
        <v>0</v>
      </c>
      <c r="AT267" s="583">
        <f>IF(H267="Select ingredient:","",IF(G267="Select food category:","",IFERROR(VLOOKUP($H267,Ingredient_prices!$E:$W,17,FALSE)*$Q267/1000,"not bought")))</f>
        <v>7.4249999999999998</v>
      </c>
      <c r="AU267" s="583">
        <f>IF(H267="Select ingredient:","",IF(G267="Select food category:","",IFERROR(VLOOKUP($H267,Ingredient_prices!$E:$W,18,FALSE)*$Q267/1000,"not bought")))</f>
        <v>7.4249999999999998</v>
      </c>
      <c r="AV267" s="583">
        <f t="shared" si="581"/>
        <v>52.879496474700233</v>
      </c>
      <c r="AW267" s="583">
        <f t="shared" si="582"/>
        <v>11.750999216600052</v>
      </c>
      <c r="AX267" s="583">
        <f t="shared" si="583"/>
        <v>0.235019984332001</v>
      </c>
      <c r="AY267" s="583">
        <f t="shared" si="584"/>
        <v>0.35252997649800155</v>
      </c>
      <c r="AZ267" s="583">
        <f t="shared" si="585"/>
        <v>2.8202398119840124</v>
      </c>
      <c r="BA267" s="583">
        <f t="shared" si="586"/>
        <v>8.2256994516200374E-2</v>
      </c>
      <c r="BB267" s="583">
        <f t="shared" si="587"/>
        <v>2.3501998433200102</v>
      </c>
      <c r="BC267" s="583">
        <f t="shared" si="588"/>
        <v>141.01199059920063</v>
      </c>
      <c r="BD267" s="583">
        <f t="shared" si="589"/>
        <v>7.0505995299600306</v>
      </c>
      <c r="BE267" s="583">
        <f t="shared" si="590"/>
        <v>10.164614322359045</v>
      </c>
      <c r="BF267" s="583">
        <f t="shared" si="591"/>
        <v>14.101199059920061</v>
      </c>
      <c r="BG267" s="583">
        <f t="shared" si="592"/>
        <v>0.35252997649800155</v>
      </c>
      <c r="BH267" s="583">
        <f t="shared" si="593"/>
        <v>0.1175099921660005</v>
      </c>
      <c r="BI267" s="583">
        <f t="shared" si="594"/>
        <v>4.2691380153907985E-2</v>
      </c>
      <c r="BJ267" s="583">
        <f t="shared" si="595"/>
        <v>3.5252997649800153</v>
      </c>
      <c r="BK267" s="583">
        <f t="shared" si="596"/>
        <v>2.35019984332001E-2</v>
      </c>
      <c r="BL267" s="583">
        <f t="shared" si="597"/>
        <v>2.35019984332001E-2</v>
      </c>
      <c r="BM267" s="583">
        <f t="shared" si="598"/>
        <v>0.35252997649800155</v>
      </c>
      <c r="BN267" s="583">
        <f t="shared" si="599"/>
        <v>0.12926099138260058</v>
      </c>
      <c r="BO267" s="583">
        <f t="shared" si="600"/>
        <v>1.1750999216600051</v>
      </c>
      <c r="BP267" s="583">
        <f t="shared" si="601"/>
        <v>0</v>
      </c>
      <c r="BQ267" s="583">
        <f t="shared" si="602"/>
        <v>11.750999216600052</v>
      </c>
      <c r="BR267" s="583">
        <f t="shared" si="603"/>
        <v>0</v>
      </c>
    </row>
    <row r="268" spans="1:70" s="229" customFormat="1" ht="15" customHeight="1">
      <c r="A268" s="587"/>
      <c r="D268" s="85"/>
      <c r="E268" s="576">
        <f t="shared" si="604"/>
        <v>100</v>
      </c>
      <c r="F268" s="707"/>
      <c r="G268" s="406" t="s">
        <v>3054</v>
      </c>
      <c r="H268" s="1262" t="s">
        <v>3055</v>
      </c>
      <c r="I268" s="85">
        <v>0</v>
      </c>
      <c r="J268" s="682">
        <v>1</v>
      </c>
      <c r="K268" s="579" t="str">
        <f t="shared" si="578"/>
        <v/>
      </c>
      <c r="L268" s="580" t="str">
        <f>IF(H268="Select ingredient:","",IF(G268="","",_xlfn.IFNA(VLOOKUP($H268,Ingredient_prices!$E:$U,16,FALSE),0)))</f>
        <v/>
      </c>
      <c r="M268" s="844"/>
      <c r="N268" s="844"/>
      <c r="O268" s="588"/>
      <c r="P268" s="589"/>
      <c r="Q268" s="583">
        <f t="shared" si="579"/>
        <v>0</v>
      </c>
      <c r="R268" s="583">
        <f>VLOOKUP($H268,'CO2_emission+%_food_waste'!$A:$K,6,FALSE)*$Q268/100</f>
        <v>0</v>
      </c>
      <c r="S268" s="583">
        <f t="shared" si="580"/>
        <v>0</v>
      </c>
      <c r="T268" s="583" t="str">
        <f>IF(H268="Select ingredient:","",IF(G268="Select food category:","",_xlfn.IFNA(VLOOKUP($H268,Ingredient_prices!$E:$U,16,FALSE)*$Q268/1000,"not bought")))</f>
        <v/>
      </c>
      <c r="U268" s="583" t="str">
        <f>IF(G268="Select food category:","",_xlfn.IFNA(VLOOKUP($H268,Ingredient_prices!$E:$U,16,FALSE)*$R268/1000,"not bought"))</f>
        <v/>
      </c>
      <c r="V268" s="549">
        <f>VLOOKUP($H268,'CO2_emission+%_food_waste'!$A:$K,4,FALSE)*$Q268</f>
        <v>0</v>
      </c>
      <c r="W268" s="583">
        <f>VLOOKUP($H268,Nutrition_tables!$A:$N,10,FALSE)*$Q268/100</f>
        <v>0</v>
      </c>
      <c r="X268" s="583">
        <f>VLOOKUP($H268,Nutrition_tables!$A:$N,11,FALSE)*$Q268/100</f>
        <v>0</v>
      </c>
      <c r="Y268" s="583">
        <f>VLOOKUP($H268,Nutrition_tables!$A:$N,12,FALSE)*$Q268/100</f>
        <v>0</v>
      </c>
      <c r="Z268" s="583">
        <f>VLOOKUP($H268,Nutrition_tables!$A:$N,14,FALSE)*$Q268/100</f>
        <v>0</v>
      </c>
      <c r="AA268" s="583">
        <f>VLOOKUP($H268,Nutrition_tables!$A:$AF,13,FALSE)*$Q268/100</f>
        <v>0</v>
      </c>
      <c r="AB268" s="549">
        <f>VLOOKUP($H268,Nutrition_tables!$A:$AF,15,FALSE)*$Q268/100</f>
        <v>0</v>
      </c>
      <c r="AC268" s="583">
        <f>VLOOKUP($H268,Nutrition_tables!$A:$AF,16,FALSE)*$Q268/100</f>
        <v>0</v>
      </c>
      <c r="AD268" s="583">
        <f>VLOOKUP($H268,Nutrition_tables!$A:$AF,17,FALSE)*$Q268/100</f>
        <v>0</v>
      </c>
      <c r="AE268" s="583">
        <f>VLOOKUP($H268,Nutrition_tables!$A:$AF,18,FALSE)*$Q268/100</f>
        <v>0</v>
      </c>
      <c r="AF268" s="583">
        <f>VLOOKUP($H268,Nutrition_tables!$A:$AF,19,FALSE)*$Q268/100</f>
        <v>0</v>
      </c>
      <c r="AG268" s="583">
        <f>VLOOKUP($H268,Nutrition_tables!$A:$AF,20,FALSE)*$Q268/100</f>
        <v>0</v>
      </c>
      <c r="AH268" s="583">
        <f>VLOOKUP($H268,Nutrition_tables!$A:$AF,21,FALSE)*$Q268/100</f>
        <v>0</v>
      </c>
      <c r="AI268" s="583">
        <f>VLOOKUP($H268,Nutrition_tables!$A:$AF,22,FALSE)*$Q268/100</f>
        <v>0</v>
      </c>
      <c r="AJ268" s="549">
        <f>VLOOKUP($H268,Nutrition_tables!$A:$AF,23,FALSE)*$Q268/100</f>
        <v>0</v>
      </c>
      <c r="AK268" s="583">
        <f>VLOOKUP($H268,Nutrition_tables!$A:$AF,24,FALSE)*$Q268/100</f>
        <v>0</v>
      </c>
      <c r="AL268" s="583">
        <f>VLOOKUP($H268,Nutrition_tables!$A:$AF,25,FALSE)*$Q268/100</f>
        <v>0</v>
      </c>
      <c r="AM268" s="583">
        <f>VLOOKUP($H268,Nutrition_tables!$A:$AF,26,FALSE)*$Q268/100</f>
        <v>0</v>
      </c>
      <c r="AN268" s="583">
        <f>VLOOKUP($H268,Nutrition_tables!$A:$AF,27,FALSE)*$Q268/100</f>
        <v>0</v>
      </c>
      <c r="AO268" s="583">
        <f>VLOOKUP($H268,Nutrition_tables!$A:$AF,28,FALSE)*$Q268/100</f>
        <v>0</v>
      </c>
      <c r="AP268" s="583">
        <f>VLOOKUP($H268,Nutrition_tables!$A:$AF,29,FALSE)*$Q268/100</f>
        <v>0</v>
      </c>
      <c r="AQ268" s="583">
        <f>VLOOKUP($H268,Nutrition_tables!$A:$AF,30,FALSE)*$Q268/100</f>
        <v>0</v>
      </c>
      <c r="AR268" s="583">
        <f>VLOOKUP($H268,Nutrition_tables!$A:$AF,31,FALSE)*$Q268/100</f>
        <v>0</v>
      </c>
      <c r="AS268" s="549">
        <f>VLOOKUP($H268,Nutrition_tables!$A:$AF,32,FALSE)*$Q268/100</f>
        <v>0</v>
      </c>
      <c r="AT268" s="583" t="str">
        <f>IF(H268="Select ingredient:","",IF(G268="Select food category:","",IFERROR(VLOOKUP($H268,Ingredient_prices!$E:$W,17,FALSE)*$Q268/1000,"not bought")))</f>
        <v/>
      </c>
      <c r="AU268" s="583" t="str">
        <f>IF(H268="Select ingredient:","",IF(G268="Select food category:","",IFERROR(VLOOKUP($H268,Ingredient_prices!$E:$W,18,FALSE)*$Q268/1000,"not bought")))</f>
        <v/>
      </c>
      <c r="AV268" s="583">
        <f t="shared" si="581"/>
        <v>0</v>
      </c>
      <c r="AW268" s="583">
        <f t="shared" si="582"/>
        <v>0</v>
      </c>
      <c r="AX268" s="583">
        <f t="shared" si="583"/>
        <v>0</v>
      </c>
      <c r="AY268" s="583">
        <f t="shared" si="584"/>
        <v>0</v>
      </c>
      <c r="AZ268" s="583">
        <f t="shared" si="585"/>
        <v>0</v>
      </c>
      <c r="BA268" s="583">
        <f t="shared" si="586"/>
        <v>0</v>
      </c>
      <c r="BB268" s="583">
        <f t="shared" si="587"/>
        <v>0</v>
      </c>
      <c r="BC268" s="583">
        <f t="shared" si="588"/>
        <v>0</v>
      </c>
      <c r="BD268" s="583">
        <f t="shared" si="589"/>
        <v>0</v>
      </c>
      <c r="BE268" s="583">
        <f t="shared" si="590"/>
        <v>0</v>
      </c>
      <c r="BF268" s="583">
        <f t="shared" si="591"/>
        <v>0</v>
      </c>
      <c r="BG268" s="583">
        <f t="shared" si="592"/>
        <v>0</v>
      </c>
      <c r="BH268" s="583">
        <f t="shared" si="593"/>
        <v>0</v>
      </c>
      <c r="BI268" s="583">
        <f t="shared" si="594"/>
        <v>0</v>
      </c>
      <c r="BJ268" s="583">
        <f t="shared" si="595"/>
        <v>0</v>
      </c>
      <c r="BK268" s="583">
        <f t="shared" si="596"/>
        <v>0</v>
      </c>
      <c r="BL268" s="583">
        <f t="shared" si="597"/>
        <v>0</v>
      </c>
      <c r="BM268" s="583">
        <f t="shared" si="598"/>
        <v>0</v>
      </c>
      <c r="BN268" s="583">
        <f t="shared" si="599"/>
        <v>0</v>
      </c>
      <c r="BO268" s="583">
        <f t="shared" si="600"/>
        <v>0</v>
      </c>
      <c r="BP268" s="583">
        <f t="shared" si="601"/>
        <v>0</v>
      </c>
      <c r="BQ268" s="583">
        <f t="shared" si="602"/>
        <v>0</v>
      </c>
      <c r="BR268" s="583">
        <f t="shared" si="603"/>
        <v>0</v>
      </c>
    </row>
    <row r="269" spans="1:70" s="229" customFormat="1" ht="15" customHeight="1">
      <c r="A269" s="587"/>
      <c r="D269" s="85"/>
      <c r="E269" s="576">
        <f t="shared" si="604"/>
        <v>100</v>
      </c>
      <c r="F269" s="707"/>
      <c r="G269" s="406" t="s">
        <v>3054</v>
      </c>
      <c r="H269" s="1262" t="s">
        <v>3055</v>
      </c>
      <c r="I269" s="85">
        <v>0</v>
      </c>
      <c r="J269" s="682">
        <v>1</v>
      </c>
      <c r="K269" s="579" t="str">
        <f t="shared" si="578"/>
        <v/>
      </c>
      <c r="L269" s="580" t="str">
        <f>IF(H269="Select ingredient:","",IF(G269="","",_xlfn.IFNA(VLOOKUP($H269,Ingredient_prices!$E:$U,16,FALSE),0)))</f>
        <v/>
      </c>
      <c r="M269" s="844"/>
      <c r="N269" s="844"/>
      <c r="O269" s="588"/>
      <c r="P269" s="589"/>
      <c r="Q269" s="583">
        <f t="shared" si="579"/>
        <v>0</v>
      </c>
      <c r="R269" s="583">
        <f>VLOOKUP($H269,'CO2_emission+%_food_waste'!$A:$K,6,FALSE)*$Q269/100</f>
        <v>0</v>
      </c>
      <c r="S269" s="583">
        <f t="shared" si="580"/>
        <v>0</v>
      </c>
      <c r="T269" s="583" t="str">
        <f>IF(H269="Select ingredient:","",IF(G269="Select food category:","",_xlfn.IFNA(VLOOKUP($H269,Ingredient_prices!$E:$U,16,FALSE)*$Q269/1000,"not bought")))</f>
        <v/>
      </c>
      <c r="U269" s="583" t="str">
        <f>IF(G269="Select food category:","",_xlfn.IFNA(VLOOKUP($H269,Ingredient_prices!$E:$U,16,FALSE)*$R269/1000,"not bought"))</f>
        <v/>
      </c>
      <c r="V269" s="549">
        <f>VLOOKUP($H269,'CO2_emission+%_food_waste'!$A:$K,4,FALSE)*$Q269</f>
        <v>0</v>
      </c>
      <c r="W269" s="583">
        <f>VLOOKUP($H269,Nutrition_tables!$A:$N,10,FALSE)*$Q269/100</f>
        <v>0</v>
      </c>
      <c r="X269" s="583">
        <f>VLOOKUP($H269,Nutrition_tables!$A:$N,11,FALSE)*$Q269/100</f>
        <v>0</v>
      </c>
      <c r="Y269" s="583">
        <f>VLOOKUP($H269,Nutrition_tables!$A:$N,12,FALSE)*$Q269/100</f>
        <v>0</v>
      </c>
      <c r="Z269" s="583">
        <f>VLOOKUP($H269,Nutrition_tables!$A:$N,14,FALSE)*$Q269/100</f>
        <v>0</v>
      </c>
      <c r="AA269" s="583">
        <f>VLOOKUP($H269,Nutrition_tables!$A:$AF,13,FALSE)*$Q269/100</f>
        <v>0</v>
      </c>
      <c r="AB269" s="549">
        <f>VLOOKUP($H269,Nutrition_tables!$A:$AF,15,FALSE)*$Q269/100</f>
        <v>0</v>
      </c>
      <c r="AC269" s="583">
        <f>VLOOKUP($H269,Nutrition_tables!$A:$AF,16,FALSE)*$Q269/100</f>
        <v>0</v>
      </c>
      <c r="AD269" s="583">
        <f>VLOOKUP($H269,Nutrition_tables!$A:$AF,17,FALSE)*$Q269/100</f>
        <v>0</v>
      </c>
      <c r="AE269" s="583">
        <f>VLOOKUP($H269,Nutrition_tables!$A:$AF,18,FALSE)*$Q269/100</f>
        <v>0</v>
      </c>
      <c r="AF269" s="583">
        <f>VLOOKUP($H269,Nutrition_tables!$A:$AF,19,FALSE)*$Q269/100</f>
        <v>0</v>
      </c>
      <c r="AG269" s="583">
        <f>VLOOKUP($H269,Nutrition_tables!$A:$AF,20,FALSE)*$Q269/100</f>
        <v>0</v>
      </c>
      <c r="AH269" s="583">
        <f>VLOOKUP($H269,Nutrition_tables!$A:$AF,21,FALSE)*$Q269/100</f>
        <v>0</v>
      </c>
      <c r="AI269" s="583">
        <f>VLOOKUP($H269,Nutrition_tables!$A:$AF,22,FALSE)*$Q269/100</f>
        <v>0</v>
      </c>
      <c r="AJ269" s="549">
        <f>VLOOKUP($H269,Nutrition_tables!$A:$AF,23,FALSE)*$Q269/100</f>
        <v>0</v>
      </c>
      <c r="AK269" s="583">
        <f>VLOOKUP($H269,Nutrition_tables!$A:$AF,24,FALSE)*$Q269/100</f>
        <v>0</v>
      </c>
      <c r="AL269" s="583">
        <f>VLOOKUP($H269,Nutrition_tables!$A:$AF,25,FALSE)*$Q269/100</f>
        <v>0</v>
      </c>
      <c r="AM269" s="583">
        <f>VLOOKUP($H269,Nutrition_tables!$A:$AF,26,FALSE)*$Q269/100</f>
        <v>0</v>
      </c>
      <c r="AN269" s="583">
        <f>VLOOKUP($H269,Nutrition_tables!$A:$AF,27,FALSE)*$Q269/100</f>
        <v>0</v>
      </c>
      <c r="AO269" s="583">
        <f>VLOOKUP($H269,Nutrition_tables!$A:$AF,28,FALSE)*$Q269/100</f>
        <v>0</v>
      </c>
      <c r="AP269" s="583">
        <f>VLOOKUP($H269,Nutrition_tables!$A:$AF,29,FALSE)*$Q269/100</f>
        <v>0</v>
      </c>
      <c r="AQ269" s="583">
        <f>VLOOKUP($H269,Nutrition_tables!$A:$AF,30,FALSE)*$Q269/100</f>
        <v>0</v>
      </c>
      <c r="AR269" s="583">
        <f>VLOOKUP($H269,Nutrition_tables!$A:$AF,31,FALSE)*$Q269/100</f>
        <v>0</v>
      </c>
      <c r="AS269" s="549">
        <f>VLOOKUP($H269,Nutrition_tables!$A:$AF,32,FALSE)*$Q269/100</f>
        <v>0</v>
      </c>
      <c r="AT269" s="583" t="str">
        <f>IF(H269="Select ingredient:","",IF(G269="Select food category:","",IFERROR(VLOOKUP($H269,Ingredient_prices!$E:$W,17,FALSE)*$Q269/1000,"not bought")))</f>
        <v/>
      </c>
      <c r="AU269" s="583" t="str">
        <f>IF(H269="Select ingredient:","",IF(G269="Select food category:","",IFERROR(VLOOKUP($H269,Ingredient_prices!$E:$W,18,FALSE)*$Q269/1000,"not bought")))</f>
        <v/>
      </c>
      <c r="AV269" s="583">
        <f t="shared" si="581"/>
        <v>0</v>
      </c>
      <c r="AW269" s="583">
        <f t="shared" si="582"/>
        <v>0</v>
      </c>
      <c r="AX269" s="583">
        <f t="shared" si="583"/>
        <v>0</v>
      </c>
      <c r="AY269" s="583">
        <f t="shared" si="584"/>
        <v>0</v>
      </c>
      <c r="AZ269" s="583">
        <f t="shared" si="585"/>
        <v>0</v>
      </c>
      <c r="BA269" s="583">
        <f t="shared" si="586"/>
        <v>0</v>
      </c>
      <c r="BB269" s="583">
        <f t="shared" si="587"/>
        <v>0</v>
      </c>
      <c r="BC269" s="583">
        <f t="shared" si="588"/>
        <v>0</v>
      </c>
      <c r="BD269" s="583">
        <f t="shared" si="589"/>
        <v>0</v>
      </c>
      <c r="BE269" s="583">
        <f t="shared" si="590"/>
        <v>0</v>
      </c>
      <c r="BF269" s="583">
        <f t="shared" si="591"/>
        <v>0</v>
      </c>
      <c r="BG269" s="583">
        <f t="shared" si="592"/>
        <v>0</v>
      </c>
      <c r="BH269" s="583">
        <f t="shared" si="593"/>
        <v>0</v>
      </c>
      <c r="BI269" s="583">
        <f t="shared" si="594"/>
        <v>0</v>
      </c>
      <c r="BJ269" s="583">
        <f t="shared" si="595"/>
        <v>0</v>
      </c>
      <c r="BK269" s="583">
        <f t="shared" si="596"/>
        <v>0</v>
      </c>
      <c r="BL269" s="583">
        <f t="shared" si="597"/>
        <v>0</v>
      </c>
      <c r="BM269" s="583">
        <f t="shared" si="598"/>
        <v>0</v>
      </c>
      <c r="BN269" s="583">
        <f t="shared" si="599"/>
        <v>0</v>
      </c>
      <c r="BO269" s="583">
        <f t="shared" si="600"/>
        <v>0</v>
      </c>
      <c r="BP269" s="583">
        <f t="shared" si="601"/>
        <v>0</v>
      </c>
      <c r="BQ269" s="583">
        <f t="shared" si="602"/>
        <v>0</v>
      </c>
      <c r="BR269" s="583">
        <f t="shared" si="603"/>
        <v>0</v>
      </c>
    </row>
    <row r="270" spans="1:70" s="229" customFormat="1" ht="15" customHeight="1">
      <c r="A270" s="587"/>
      <c r="D270" s="85"/>
      <c r="E270" s="576">
        <f t="shared" si="604"/>
        <v>100</v>
      </c>
      <c r="F270" s="707"/>
      <c r="G270" s="406" t="s">
        <v>3054</v>
      </c>
      <c r="H270" s="1262" t="s">
        <v>3055</v>
      </c>
      <c r="I270" s="85">
        <v>0</v>
      </c>
      <c r="J270" s="682">
        <v>1</v>
      </c>
      <c r="K270" s="579" t="str">
        <f t="shared" si="578"/>
        <v/>
      </c>
      <c r="L270" s="580" t="str">
        <f>IF(H270="Select ingredient:","",IF(G270="","",_xlfn.IFNA(VLOOKUP($H270,Ingredient_prices!$E:$U,16,FALSE),0)))</f>
        <v/>
      </c>
      <c r="M270" s="844"/>
      <c r="N270" s="844"/>
      <c r="O270" s="588"/>
      <c r="P270" s="589"/>
      <c r="Q270" s="583">
        <f t="shared" si="579"/>
        <v>0</v>
      </c>
      <c r="R270" s="583">
        <f>VLOOKUP($H270,'CO2_emission+%_food_waste'!$A:$K,6,FALSE)*$Q270/100</f>
        <v>0</v>
      </c>
      <c r="S270" s="583">
        <f t="shared" si="580"/>
        <v>0</v>
      </c>
      <c r="T270" s="583" t="str">
        <f>IF(H270="Select ingredient:","",IF(G270="Select food category:","",_xlfn.IFNA(VLOOKUP($H270,Ingredient_prices!$E:$U,16,FALSE)*$Q270/1000,"not bought")))</f>
        <v/>
      </c>
      <c r="U270" s="583" t="str">
        <f>IF(G270="Select food category:","",_xlfn.IFNA(VLOOKUP($H270,Ingredient_prices!$E:$U,16,FALSE)*$R270/1000,"not bought"))</f>
        <v/>
      </c>
      <c r="V270" s="549">
        <f>VLOOKUP($H270,'CO2_emission+%_food_waste'!$A:$K,4,FALSE)*$Q270</f>
        <v>0</v>
      </c>
      <c r="W270" s="583">
        <f>VLOOKUP($H270,Nutrition_tables!$A:$N,10,FALSE)*$Q270/100</f>
        <v>0</v>
      </c>
      <c r="X270" s="583">
        <f>VLOOKUP($H270,Nutrition_tables!$A:$N,11,FALSE)*$Q270/100</f>
        <v>0</v>
      </c>
      <c r="Y270" s="583">
        <f>VLOOKUP($H270,Nutrition_tables!$A:$N,12,FALSE)*$Q270/100</f>
        <v>0</v>
      </c>
      <c r="Z270" s="583">
        <f>VLOOKUP($H270,Nutrition_tables!$A:$N,14,FALSE)*$Q270/100</f>
        <v>0</v>
      </c>
      <c r="AA270" s="583">
        <f>VLOOKUP($H270,Nutrition_tables!$A:$AF,13,FALSE)*$Q270/100</f>
        <v>0</v>
      </c>
      <c r="AB270" s="549">
        <f>VLOOKUP($H270,Nutrition_tables!$A:$AF,15,FALSE)*$Q270/100</f>
        <v>0</v>
      </c>
      <c r="AC270" s="583">
        <f>VLOOKUP($H270,Nutrition_tables!$A:$AF,16,FALSE)*$Q270/100</f>
        <v>0</v>
      </c>
      <c r="AD270" s="583">
        <f>VLOOKUP($H270,Nutrition_tables!$A:$AF,17,FALSE)*$Q270/100</f>
        <v>0</v>
      </c>
      <c r="AE270" s="583">
        <f>VLOOKUP($H270,Nutrition_tables!$A:$AF,18,FALSE)*$Q270/100</f>
        <v>0</v>
      </c>
      <c r="AF270" s="583">
        <f>VLOOKUP($H270,Nutrition_tables!$A:$AF,19,FALSE)*$Q270/100</f>
        <v>0</v>
      </c>
      <c r="AG270" s="583">
        <f>VLOOKUP($H270,Nutrition_tables!$A:$AF,20,FALSE)*$Q270/100</f>
        <v>0</v>
      </c>
      <c r="AH270" s="583">
        <f>VLOOKUP($H270,Nutrition_tables!$A:$AF,21,FALSE)*$Q270/100</f>
        <v>0</v>
      </c>
      <c r="AI270" s="583">
        <f>VLOOKUP($H270,Nutrition_tables!$A:$AF,22,FALSE)*$Q270/100</f>
        <v>0</v>
      </c>
      <c r="AJ270" s="549">
        <f>VLOOKUP($H270,Nutrition_tables!$A:$AF,23,FALSE)*$Q270/100</f>
        <v>0</v>
      </c>
      <c r="AK270" s="583">
        <f>VLOOKUP($H270,Nutrition_tables!$A:$AF,24,FALSE)*$Q270/100</f>
        <v>0</v>
      </c>
      <c r="AL270" s="583">
        <f>VLOOKUP($H270,Nutrition_tables!$A:$AF,25,FALSE)*$Q270/100</f>
        <v>0</v>
      </c>
      <c r="AM270" s="583">
        <f>VLOOKUP($H270,Nutrition_tables!$A:$AF,26,FALSE)*$Q270/100</f>
        <v>0</v>
      </c>
      <c r="AN270" s="583">
        <f>VLOOKUP($H270,Nutrition_tables!$A:$AF,27,FALSE)*$Q270/100</f>
        <v>0</v>
      </c>
      <c r="AO270" s="583">
        <f>VLOOKUP($H270,Nutrition_tables!$A:$AF,28,FALSE)*$Q270/100</f>
        <v>0</v>
      </c>
      <c r="AP270" s="583">
        <f>VLOOKUP($H270,Nutrition_tables!$A:$AF,29,FALSE)*$Q270/100</f>
        <v>0</v>
      </c>
      <c r="AQ270" s="583">
        <f>VLOOKUP($H270,Nutrition_tables!$A:$AF,30,FALSE)*$Q270/100</f>
        <v>0</v>
      </c>
      <c r="AR270" s="583">
        <f>VLOOKUP($H270,Nutrition_tables!$A:$AF,31,FALSE)*$Q270/100</f>
        <v>0</v>
      </c>
      <c r="AS270" s="549">
        <f>VLOOKUP($H270,Nutrition_tables!$A:$AF,32,FALSE)*$Q270/100</f>
        <v>0</v>
      </c>
      <c r="AT270" s="583" t="str">
        <f>IF(H270="Select ingredient:","",IF(G270="Select food category:","",IFERROR(VLOOKUP($H270,Ingredient_prices!$E:$W,17,FALSE)*$Q270/1000,"not bought")))</f>
        <v/>
      </c>
      <c r="AU270" s="583" t="str">
        <f>IF(H270="Select ingredient:","",IF(G270="Select food category:","",IFERROR(VLOOKUP($H270,Ingredient_prices!$E:$W,18,FALSE)*$Q270/1000,"not bought")))</f>
        <v/>
      </c>
      <c r="AV270" s="583">
        <f t="shared" si="581"/>
        <v>0</v>
      </c>
      <c r="AW270" s="583">
        <f t="shared" si="582"/>
        <v>0</v>
      </c>
      <c r="AX270" s="583">
        <f t="shared" si="583"/>
        <v>0</v>
      </c>
      <c r="AY270" s="583">
        <f t="shared" si="584"/>
        <v>0</v>
      </c>
      <c r="AZ270" s="583">
        <f t="shared" si="585"/>
        <v>0</v>
      </c>
      <c r="BA270" s="583">
        <f t="shared" si="586"/>
        <v>0</v>
      </c>
      <c r="BB270" s="583">
        <f t="shared" si="587"/>
        <v>0</v>
      </c>
      <c r="BC270" s="583">
        <f t="shared" si="588"/>
        <v>0</v>
      </c>
      <c r="BD270" s="583">
        <f t="shared" si="589"/>
        <v>0</v>
      </c>
      <c r="BE270" s="583">
        <f t="shared" si="590"/>
        <v>0</v>
      </c>
      <c r="BF270" s="583">
        <f t="shared" si="591"/>
        <v>0</v>
      </c>
      <c r="BG270" s="583">
        <f t="shared" si="592"/>
        <v>0</v>
      </c>
      <c r="BH270" s="583">
        <f t="shared" si="593"/>
        <v>0</v>
      </c>
      <c r="BI270" s="583">
        <f t="shared" si="594"/>
        <v>0</v>
      </c>
      <c r="BJ270" s="583">
        <f t="shared" si="595"/>
        <v>0</v>
      </c>
      <c r="BK270" s="583">
        <f t="shared" si="596"/>
        <v>0</v>
      </c>
      <c r="BL270" s="583">
        <f t="shared" si="597"/>
        <v>0</v>
      </c>
      <c r="BM270" s="583">
        <f t="shared" si="598"/>
        <v>0</v>
      </c>
      <c r="BN270" s="583">
        <f t="shared" si="599"/>
        <v>0</v>
      </c>
      <c r="BO270" s="583">
        <f t="shared" si="600"/>
        <v>0</v>
      </c>
      <c r="BP270" s="583">
        <f t="shared" si="601"/>
        <v>0</v>
      </c>
      <c r="BQ270" s="583">
        <f t="shared" si="602"/>
        <v>0</v>
      </c>
      <c r="BR270" s="583">
        <f t="shared" si="603"/>
        <v>0</v>
      </c>
    </row>
    <row r="271" spans="1:70" s="229" customFormat="1" ht="15" customHeight="1">
      <c r="A271" s="587"/>
      <c r="D271" s="85"/>
      <c r="E271" s="576">
        <f t="shared" si="604"/>
        <v>100</v>
      </c>
      <c r="F271" s="707"/>
      <c r="G271" s="406" t="s">
        <v>3054</v>
      </c>
      <c r="H271" s="1262" t="s">
        <v>3055</v>
      </c>
      <c r="I271" s="85">
        <v>0</v>
      </c>
      <c r="J271" s="682">
        <v>1</v>
      </c>
      <c r="K271" s="579" t="str">
        <f t="shared" si="578"/>
        <v/>
      </c>
      <c r="L271" s="580" t="str">
        <f>IF(H271="Select ingredient:","",IF(G271="","",_xlfn.IFNA(VLOOKUP($H271,Ingredient_prices!$E:$U,16,FALSE),0)))</f>
        <v/>
      </c>
      <c r="M271" s="844"/>
      <c r="N271" s="844"/>
      <c r="O271" s="588"/>
      <c r="P271" s="589"/>
      <c r="Q271" s="583">
        <f t="shared" si="579"/>
        <v>0</v>
      </c>
      <c r="R271" s="583">
        <f>VLOOKUP($H271,'CO2_emission+%_food_waste'!$A:$K,6,FALSE)*$Q271/100</f>
        <v>0</v>
      </c>
      <c r="S271" s="583">
        <f t="shared" si="580"/>
        <v>0</v>
      </c>
      <c r="T271" s="583" t="str">
        <f>IF(H271="Select ingredient:","",IF(G271="Select food category:","",_xlfn.IFNA(VLOOKUP($H271,Ingredient_prices!$E:$U,16,FALSE)*$Q271/1000,"not bought")))</f>
        <v/>
      </c>
      <c r="U271" s="583" t="str">
        <f>IF(G271="Select food category:","",_xlfn.IFNA(VLOOKUP($H271,Ingredient_prices!$E:$U,16,FALSE)*$R271/1000,"not bought"))</f>
        <v/>
      </c>
      <c r="V271" s="549">
        <f>VLOOKUP($H271,'CO2_emission+%_food_waste'!$A:$K,4,FALSE)*$Q271</f>
        <v>0</v>
      </c>
      <c r="W271" s="583">
        <f>VLOOKUP($H271,Nutrition_tables!$A:$N,10,FALSE)*$Q271/100</f>
        <v>0</v>
      </c>
      <c r="X271" s="583">
        <f>VLOOKUP($H271,Nutrition_tables!$A:$N,11,FALSE)*$Q271/100</f>
        <v>0</v>
      </c>
      <c r="Y271" s="583">
        <f>VLOOKUP($H271,Nutrition_tables!$A:$N,12,FALSE)*$Q271/100</f>
        <v>0</v>
      </c>
      <c r="Z271" s="583">
        <f>VLOOKUP($H271,Nutrition_tables!$A:$N,14,FALSE)*$Q271/100</f>
        <v>0</v>
      </c>
      <c r="AA271" s="583">
        <f>VLOOKUP($H271,Nutrition_tables!$A:$AF,13,FALSE)*$Q271/100</f>
        <v>0</v>
      </c>
      <c r="AB271" s="549">
        <f>VLOOKUP($H271,Nutrition_tables!$A:$AF,15,FALSE)*$Q271/100</f>
        <v>0</v>
      </c>
      <c r="AC271" s="583">
        <f>VLOOKUP($H271,Nutrition_tables!$A:$AF,16,FALSE)*$Q271/100</f>
        <v>0</v>
      </c>
      <c r="AD271" s="583">
        <f>VLOOKUP($H271,Nutrition_tables!$A:$AF,17,FALSE)*$Q271/100</f>
        <v>0</v>
      </c>
      <c r="AE271" s="583">
        <f>VLOOKUP($H271,Nutrition_tables!$A:$AF,18,FALSE)*$Q271/100</f>
        <v>0</v>
      </c>
      <c r="AF271" s="583">
        <f>VLOOKUP($H271,Nutrition_tables!$A:$AF,19,FALSE)*$Q271/100</f>
        <v>0</v>
      </c>
      <c r="AG271" s="583">
        <f>VLOOKUP($H271,Nutrition_tables!$A:$AF,20,FALSE)*$Q271/100</f>
        <v>0</v>
      </c>
      <c r="AH271" s="583">
        <f>VLOOKUP($H271,Nutrition_tables!$A:$AF,21,FALSE)*$Q271/100</f>
        <v>0</v>
      </c>
      <c r="AI271" s="583">
        <f>VLOOKUP($H271,Nutrition_tables!$A:$AF,22,FALSE)*$Q271/100</f>
        <v>0</v>
      </c>
      <c r="AJ271" s="549">
        <f>VLOOKUP($H271,Nutrition_tables!$A:$AF,23,FALSE)*$Q271/100</f>
        <v>0</v>
      </c>
      <c r="AK271" s="583">
        <f>VLOOKUP($H271,Nutrition_tables!$A:$AF,24,FALSE)*$Q271/100</f>
        <v>0</v>
      </c>
      <c r="AL271" s="583">
        <f>VLOOKUP($H271,Nutrition_tables!$A:$AF,25,FALSE)*$Q271/100</f>
        <v>0</v>
      </c>
      <c r="AM271" s="583">
        <f>VLOOKUP($H271,Nutrition_tables!$A:$AF,26,FALSE)*$Q271/100</f>
        <v>0</v>
      </c>
      <c r="AN271" s="583">
        <f>VLOOKUP($H271,Nutrition_tables!$A:$AF,27,FALSE)*$Q271/100</f>
        <v>0</v>
      </c>
      <c r="AO271" s="583">
        <f>VLOOKUP($H271,Nutrition_tables!$A:$AF,28,FALSE)*$Q271/100</f>
        <v>0</v>
      </c>
      <c r="AP271" s="583">
        <f>VLOOKUP($H271,Nutrition_tables!$A:$AF,29,FALSE)*$Q271/100</f>
        <v>0</v>
      </c>
      <c r="AQ271" s="583">
        <f>VLOOKUP($H271,Nutrition_tables!$A:$AF,30,FALSE)*$Q271/100</f>
        <v>0</v>
      </c>
      <c r="AR271" s="583">
        <f>VLOOKUP($H271,Nutrition_tables!$A:$AF,31,FALSE)*$Q271/100</f>
        <v>0</v>
      </c>
      <c r="AS271" s="549">
        <f>VLOOKUP($H271,Nutrition_tables!$A:$AF,32,FALSE)*$Q271/100</f>
        <v>0</v>
      </c>
      <c r="AT271" s="583" t="str">
        <f>IF(H271="Select ingredient:","",IF(G271="Select food category:","",IFERROR(VLOOKUP($H271,Ingredient_prices!$E:$W,17,FALSE)*$Q271/1000,"not bought")))</f>
        <v/>
      </c>
      <c r="AU271" s="583" t="str">
        <f>IF(H271="Select ingredient:","",IF(G271="Select food category:","",IFERROR(VLOOKUP($H271,Ingredient_prices!$E:$W,18,FALSE)*$Q271/1000,"not bought")))</f>
        <v/>
      </c>
      <c r="AV271" s="583">
        <f t="shared" si="581"/>
        <v>0</v>
      </c>
      <c r="AW271" s="583">
        <f t="shared" si="582"/>
        <v>0</v>
      </c>
      <c r="AX271" s="583">
        <f t="shared" si="583"/>
        <v>0</v>
      </c>
      <c r="AY271" s="583">
        <f t="shared" si="584"/>
        <v>0</v>
      </c>
      <c r="AZ271" s="583">
        <f t="shared" si="585"/>
        <v>0</v>
      </c>
      <c r="BA271" s="583">
        <f t="shared" si="586"/>
        <v>0</v>
      </c>
      <c r="BB271" s="583">
        <f t="shared" si="587"/>
        <v>0</v>
      </c>
      <c r="BC271" s="583">
        <f t="shared" si="588"/>
        <v>0</v>
      </c>
      <c r="BD271" s="583">
        <f t="shared" si="589"/>
        <v>0</v>
      </c>
      <c r="BE271" s="583">
        <f t="shared" si="590"/>
        <v>0</v>
      </c>
      <c r="BF271" s="583">
        <f t="shared" si="591"/>
        <v>0</v>
      </c>
      <c r="BG271" s="583">
        <f t="shared" si="592"/>
        <v>0</v>
      </c>
      <c r="BH271" s="583">
        <f t="shared" si="593"/>
        <v>0</v>
      </c>
      <c r="BI271" s="583">
        <f t="shared" si="594"/>
        <v>0</v>
      </c>
      <c r="BJ271" s="583">
        <f t="shared" si="595"/>
        <v>0</v>
      </c>
      <c r="BK271" s="583">
        <f t="shared" si="596"/>
        <v>0</v>
      </c>
      <c r="BL271" s="583">
        <f t="shared" si="597"/>
        <v>0</v>
      </c>
      <c r="BM271" s="583">
        <f t="shared" si="598"/>
        <v>0</v>
      </c>
      <c r="BN271" s="583">
        <f t="shared" si="599"/>
        <v>0</v>
      </c>
      <c r="BO271" s="583">
        <f t="shared" si="600"/>
        <v>0</v>
      </c>
      <c r="BP271" s="583">
        <f t="shared" si="601"/>
        <v>0</v>
      </c>
      <c r="BQ271" s="583">
        <f t="shared" si="602"/>
        <v>0</v>
      </c>
      <c r="BR271" s="583">
        <f t="shared" si="603"/>
        <v>0</v>
      </c>
    </row>
    <row r="272" spans="1:70" s="229" customFormat="1" ht="15" customHeight="1">
      <c r="A272" s="587"/>
      <c r="D272" s="85"/>
      <c r="E272" s="576">
        <f t="shared" si="604"/>
        <v>100</v>
      </c>
      <c r="F272" s="707"/>
      <c r="G272" s="406" t="s">
        <v>3054</v>
      </c>
      <c r="H272" s="1262" t="s">
        <v>3055</v>
      </c>
      <c r="I272" s="85">
        <v>0</v>
      </c>
      <c r="J272" s="682">
        <v>1</v>
      </c>
      <c r="K272" s="579" t="str">
        <f t="shared" si="578"/>
        <v/>
      </c>
      <c r="L272" s="580" t="str">
        <f>IF(H272="Select ingredient:","",IF(G272="","",_xlfn.IFNA(VLOOKUP($H272,Ingredient_prices!$E:$U,16,FALSE),0)))</f>
        <v/>
      </c>
      <c r="M272" s="844"/>
      <c r="N272" s="844"/>
      <c r="O272" s="588"/>
      <c r="P272" s="589"/>
      <c r="Q272" s="583">
        <f t="shared" si="579"/>
        <v>0</v>
      </c>
      <c r="R272" s="583">
        <f>VLOOKUP($H272,'CO2_emission+%_food_waste'!$A:$K,6,FALSE)*$Q272/100</f>
        <v>0</v>
      </c>
      <c r="S272" s="583">
        <f t="shared" si="580"/>
        <v>0</v>
      </c>
      <c r="T272" s="583" t="str">
        <f>IF(H272="Select ingredient:","",IF(G272="Select food category:","",_xlfn.IFNA(VLOOKUP($H272,Ingredient_prices!$E:$U,16,FALSE)*$Q272/1000,"not bought")))</f>
        <v/>
      </c>
      <c r="U272" s="583" t="str">
        <f>IF(G272="Select food category:","",_xlfn.IFNA(VLOOKUP($H272,Ingredient_prices!$E:$U,16,FALSE)*$R272/1000,"not bought"))</f>
        <v/>
      </c>
      <c r="V272" s="549">
        <f>VLOOKUP($H272,'CO2_emission+%_food_waste'!$A:$K,4,FALSE)*$Q272</f>
        <v>0</v>
      </c>
      <c r="W272" s="583">
        <f>VLOOKUP($H272,Nutrition_tables!$A:$N,10,FALSE)*$Q272/100</f>
        <v>0</v>
      </c>
      <c r="X272" s="583">
        <f>VLOOKUP($H272,Nutrition_tables!$A:$N,11,FALSE)*$Q272/100</f>
        <v>0</v>
      </c>
      <c r="Y272" s="583">
        <f>VLOOKUP($H272,Nutrition_tables!$A:$N,12,FALSE)*$Q272/100</f>
        <v>0</v>
      </c>
      <c r="Z272" s="583">
        <f>VLOOKUP($H272,Nutrition_tables!$A:$N,14,FALSE)*$Q272/100</f>
        <v>0</v>
      </c>
      <c r="AA272" s="583">
        <f>VLOOKUP($H272,Nutrition_tables!$A:$AF,13,FALSE)*$Q272/100</f>
        <v>0</v>
      </c>
      <c r="AB272" s="549">
        <f>VLOOKUP($H272,Nutrition_tables!$A:$AF,15,FALSE)*$Q272/100</f>
        <v>0</v>
      </c>
      <c r="AC272" s="583">
        <f>VLOOKUP($H272,Nutrition_tables!$A:$AF,16,FALSE)*$Q272/100</f>
        <v>0</v>
      </c>
      <c r="AD272" s="583">
        <f>VLOOKUP($H272,Nutrition_tables!$A:$AF,17,FALSE)*$Q272/100</f>
        <v>0</v>
      </c>
      <c r="AE272" s="583">
        <f>VLOOKUP($H272,Nutrition_tables!$A:$AF,18,FALSE)*$Q272/100</f>
        <v>0</v>
      </c>
      <c r="AF272" s="583">
        <f>VLOOKUP($H272,Nutrition_tables!$A:$AF,19,FALSE)*$Q272/100</f>
        <v>0</v>
      </c>
      <c r="AG272" s="583">
        <f>VLOOKUP($H272,Nutrition_tables!$A:$AF,20,FALSE)*$Q272/100</f>
        <v>0</v>
      </c>
      <c r="AH272" s="583">
        <f>VLOOKUP($H272,Nutrition_tables!$A:$AF,21,FALSE)*$Q272/100</f>
        <v>0</v>
      </c>
      <c r="AI272" s="583">
        <f>VLOOKUP($H272,Nutrition_tables!$A:$AF,22,FALSE)*$Q272/100</f>
        <v>0</v>
      </c>
      <c r="AJ272" s="549">
        <f>VLOOKUP($H272,Nutrition_tables!$A:$AF,23,FALSE)*$Q272/100</f>
        <v>0</v>
      </c>
      <c r="AK272" s="583">
        <f>VLOOKUP($H272,Nutrition_tables!$A:$AF,24,FALSE)*$Q272/100</f>
        <v>0</v>
      </c>
      <c r="AL272" s="583">
        <f>VLOOKUP($H272,Nutrition_tables!$A:$AF,25,FALSE)*$Q272/100</f>
        <v>0</v>
      </c>
      <c r="AM272" s="583">
        <f>VLOOKUP($H272,Nutrition_tables!$A:$AF,26,FALSE)*$Q272/100</f>
        <v>0</v>
      </c>
      <c r="AN272" s="583">
        <f>VLOOKUP($H272,Nutrition_tables!$A:$AF,27,FALSE)*$Q272/100</f>
        <v>0</v>
      </c>
      <c r="AO272" s="583">
        <f>VLOOKUP($H272,Nutrition_tables!$A:$AF,28,FALSE)*$Q272/100</f>
        <v>0</v>
      </c>
      <c r="AP272" s="583">
        <f>VLOOKUP($H272,Nutrition_tables!$A:$AF,29,FALSE)*$Q272/100</f>
        <v>0</v>
      </c>
      <c r="AQ272" s="583">
        <f>VLOOKUP($H272,Nutrition_tables!$A:$AF,30,FALSE)*$Q272/100</f>
        <v>0</v>
      </c>
      <c r="AR272" s="583">
        <f>VLOOKUP($H272,Nutrition_tables!$A:$AF,31,FALSE)*$Q272/100</f>
        <v>0</v>
      </c>
      <c r="AS272" s="549">
        <f>VLOOKUP($H272,Nutrition_tables!$A:$AF,32,FALSE)*$Q272/100</f>
        <v>0</v>
      </c>
      <c r="AT272" s="583" t="str">
        <f>IF(H272="Select ingredient:","",IF(G272="Select food category:","",IFERROR(VLOOKUP($H272,Ingredient_prices!$E:$W,17,FALSE)*$Q272/1000,"not bought")))</f>
        <v/>
      </c>
      <c r="AU272" s="583" t="str">
        <f>IF(H272="Select ingredient:","",IF(G272="Select food category:","",IFERROR(VLOOKUP($H272,Ingredient_prices!$E:$W,18,FALSE)*$Q272/1000,"not bought")))</f>
        <v/>
      </c>
      <c r="AV272" s="583">
        <f t="shared" si="581"/>
        <v>0</v>
      </c>
      <c r="AW272" s="583">
        <f t="shared" si="582"/>
        <v>0</v>
      </c>
      <c r="AX272" s="583">
        <f t="shared" si="583"/>
        <v>0</v>
      </c>
      <c r="AY272" s="583">
        <f t="shared" si="584"/>
        <v>0</v>
      </c>
      <c r="AZ272" s="583">
        <f t="shared" si="585"/>
        <v>0</v>
      </c>
      <c r="BA272" s="583">
        <f t="shared" si="586"/>
        <v>0</v>
      </c>
      <c r="BB272" s="583">
        <f t="shared" si="587"/>
        <v>0</v>
      </c>
      <c r="BC272" s="583">
        <f t="shared" si="588"/>
        <v>0</v>
      </c>
      <c r="BD272" s="583">
        <f t="shared" si="589"/>
        <v>0</v>
      </c>
      <c r="BE272" s="583">
        <f t="shared" si="590"/>
        <v>0</v>
      </c>
      <c r="BF272" s="583">
        <f t="shared" si="591"/>
        <v>0</v>
      </c>
      <c r="BG272" s="583">
        <f t="shared" si="592"/>
        <v>0</v>
      </c>
      <c r="BH272" s="583">
        <f t="shared" si="593"/>
        <v>0</v>
      </c>
      <c r="BI272" s="583">
        <f t="shared" si="594"/>
        <v>0</v>
      </c>
      <c r="BJ272" s="583">
        <f t="shared" si="595"/>
        <v>0</v>
      </c>
      <c r="BK272" s="583">
        <f t="shared" si="596"/>
        <v>0</v>
      </c>
      <c r="BL272" s="583">
        <f t="shared" si="597"/>
        <v>0</v>
      </c>
      <c r="BM272" s="583">
        <f t="shared" si="598"/>
        <v>0</v>
      </c>
      <c r="BN272" s="583">
        <f t="shared" si="599"/>
        <v>0</v>
      </c>
      <c r="BO272" s="583">
        <f t="shared" si="600"/>
        <v>0</v>
      </c>
      <c r="BP272" s="583">
        <f t="shared" si="601"/>
        <v>0</v>
      </c>
      <c r="BQ272" s="583">
        <f t="shared" si="602"/>
        <v>0</v>
      </c>
      <c r="BR272" s="583">
        <f t="shared" si="603"/>
        <v>0</v>
      </c>
    </row>
    <row r="273" spans="1:70" s="229" customFormat="1" ht="15" customHeight="1">
      <c r="A273" s="587"/>
      <c r="D273" s="85"/>
      <c r="E273" s="576">
        <f t="shared" si="604"/>
        <v>100</v>
      </c>
      <c r="F273" s="707"/>
      <c r="G273" s="406" t="s">
        <v>3054</v>
      </c>
      <c r="H273" s="1262" t="s">
        <v>3055</v>
      </c>
      <c r="I273" s="85">
        <v>0</v>
      </c>
      <c r="J273" s="682">
        <v>1</v>
      </c>
      <c r="K273" s="579" t="str">
        <f t="shared" si="578"/>
        <v/>
      </c>
      <c r="L273" s="580" t="str">
        <f>IF(H273="Select ingredient:","",IF(G273="","",_xlfn.IFNA(VLOOKUP($H273,Ingredient_prices!$E:$U,16,FALSE),0)))</f>
        <v/>
      </c>
      <c r="M273" s="844"/>
      <c r="N273" s="844"/>
      <c r="O273" s="588"/>
      <c r="P273" s="589"/>
      <c r="Q273" s="583">
        <f t="shared" si="579"/>
        <v>0</v>
      </c>
      <c r="R273" s="583">
        <f>VLOOKUP($H273,'CO2_emission+%_food_waste'!$A:$K,6,FALSE)*$Q273/100</f>
        <v>0</v>
      </c>
      <c r="S273" s="583">
        <f t="shared" si="580"/>
        <v>0</v>
      </c>
      <c r="T273" s="583" t="str">
        <f>IF(H273="Select ingredient:","",IF(G273="Select food category:","",_xlfn.IFNA(VLOOKUP($H273,Ingredient_prices!$E:$U,16,FALSE)*$Q273/1000,"not bought")))</f>
        <v/>
      </c>
      <c r="U273" s="583" t="str">
        <f>IF(G273="Select food category:","",_xlfn.IFNA(VLOOKUP($H273,Ingredient_prices!$E:$U,16,FALSE)*$R273/1000,"not bought"))</f>
        <v/>
      </c>
      <c r="V273" s="549">
        <f>VLOOKUP($H273,'CO2_emission+%_food_waste'!$A:$K,4,FALSE)*$Q273</f>
        <v>0</v>
      </c>
      <c r="W273" s="583">
        <f>VLOOKUP($H273,Nutrition_tables!$A:$N,10,FALSE)*$Q273/100</f>
        <v>0</v>
      </c>
      <c r="X273" s="583">
        <f>VLOOKUP($H273,Nutrition_tables!$A:$N,11,FALSE)*$Q273/100</f>
        <v>0</v>
      </c>
      <c r="Y273" s="583">
        <f>VLOOKUP($H273,Nutrition_tables!$A:$N,12,FALSE)*$Q273/100</f>
        <v>0</v>
      </c>
      <c r="Z273" s="583">
        <f>VLOOKUP($H273,Nutrition_tables!$A:$N,14,FALSE)*$Q273/100</f>
        <v>0</v>
      </c>
      <c r="AA273" s="583">
        <f>VLOOKUP($H273,Nutrition_tables!$A:$AF,13,FALSE)*$Q273/100</f>
        <v>0</v>
      </c>
      <c r="AB273" s="549">
        <f>VLOOKUP($H273,Nutrition_tables!$A:$AF,15,FALSE)*$Q273/100</f>
        <v>0</v>
      </c>
      <c r="AC273" s="583">
        <f>VLOOKUP($H273,Nutrition_tables!$A:$AF,16,FALSE)*$Q273/100</f>
        <v>0</v>
      </c>
      <c r="AD273" s="583">
        <f>VLOOKUP($H273,Nutrition_tables!$A:$AF,17,FALSE)*$Q273/100</f>
        <v>0</v>
      </c>
      <c r="AE273" s="583">
        <f>VLOOKUP($H273,Nutrition_tables!$A:$AF,18,FALSE)*$Q273/100</f>
        <v>0</v>
      </c>
      <c r="AF273" s="583">
        <f>VLOOKUP($H273,Nutrition_tables!$A:$AF,19,FALSE)*$Q273/100</f>
        <v>0</v>
      </c>
      <c r="AG273" s="583">
        <f>VLOOKUP($H273,Nutrition_tables!$A:$AF,20,FALSE)*$Q273/100</f>
        <v>0</v>
      </c>
      <c r="AH273" s="583">
        <f>VLOOKUP($H273,Nutrition_tables!$A:$AF,21,FALSE)*$Q273/100</f>
        <v>0</v>
      </c>
      <c r="AI273" s="583">
        <f>VLOOKUP($H273,Nutrition_tables!$A:$AF,22,FALSE)*$Q273/100</f>
        <v>0</v>
      </c>
      <c r="AJ273" s="549">
        <f>VLOOKUP($H273,Nutrition_tables!$A:$AF,23,FALSE)*$Q273/100</f>
        <v>0</v>
      </c>
      <c r="AK273" s="583">
        <f>VLOOKUP($H273,Nutrition_tables!$A:$AF,24,FALSE)*$Q273/100</f>
        <v>0</v>
      </c>
      <c r="AL273" s="583">
        <f>VLOOKUP($H273,Nutrition_tables!$A:$AF,25,FALSE)*$Q273/100</f>
        <v>0</v>
      </c>
      <c r="AM273" s="583">
        <f>VLOOKUP($H273,Nutrition_tables!$A:$AF,26,FALSE)*$Q273/100</f>
        <v>0</v>
      </c>
      <c r="AN273" s="583">
        <f>VLOOKUP($H273,Nutrition_tables!$A:$AF,27,FALSE)*$Q273/100</f>
        <v>0</v>
      </c>
      <c r="AO273" s="583">
        <f>VLOOKUP($H273,Nutrition_tables!$A:$AF,28,FALSE)*$Q273/100</f>
        <v>0</v>
      </c>
      <c r="AP273" s="583">
        <f>VLOOKUP($H273,Nutrition_tables!$A:$AF,29,FALSE)*$Q273/100</f>
        <v>0</v>
      </c>
      <c r="AQ273" s="583">
        <f>VLOOKUP($H273,Nutrition_tables!$A:$AF,30,FALSE)*$Q273/100</f>
        <v>0</v>
      </c>
      <c r="AR273" s="583">
        <f>VLOOKUP($H273,Nutrition_tables!$A:$AF,31,FALSE)*$Q273/100</f>
        <v>0</v>
      </c>
      <c r="AS273" s="549">
        <f>VLOOKUP($H273,Nutrition_tables!$A:$AF,32,FALSE)*$Q273/100</f>
        <v>0</v>
      </c>
      <c r="AT273" s="583" t="str">
        <f>IF(H273="Select ingredient:","",IF(G273="Select food category:","",IFERROR(VLOOKUP($H273,Ingredient_prices!$E:$W,17,FALSE)*$Q273/1000,"not bought")))</f>
        <v/>
      </c>
      <c r="AU273" s="583" t="str">
        <f>IF(H273="Select ingredient:","",IF(G273="Select food category:","",IFERROR(VLOOKUP($H273,Ingredient_prices!$E:$W,18,FALSE)*$Q273/1000,"not bought")))</f>
        <v/>
      </c>
      <c r="AV273" s="583">
        <f t="shared" si="581"/>
        <v>0</v>
      </c>
      <c r="AW273" s="583">
        <f t="shared" si="582"/>
        <v>0</v>
      </c>
      <c r="AX273" s="583">
        <f t="shared" si="583"/>
        <v>0</v>
      </c>
      <c r="AY273" s="583">
        <f t="shared" si="584"/>
        <v>0</v>
      </c>
      <c r="AZ273" s="583">
        <f t="shared" si="585"/>
        <v>0</v>
      </c>
      <c r="BA273" s="583">
        <f t="shared" si="586"/>
        <v>0</v>
      </c>
      <c r="BB273" s="583">
        <f t="shared" si="587"/>
        <v>0</v>
      </c>
      <c r="BC273" s="583">
        <f t="shared" si="588"/>
        <v>0</v>
      </c>
      <c r="BD273" s="583">
        <f t="shared" si="589"/>
        <v>0</v>
      </c>
      <c r="BE273" s="583">
        <f t="shared" si="590"/>
        <v>0</v>
      </c>
      <c r="BF273" s="583">
        <f t="shared" si="591"/>
        <v>0</v>
      </c>
      <c r="BG273" s="583">
        <f t="shared" si="592"/>
        <v>0</v>
      </c>
      <c r="BH273" s="583">
        <f t="shared" si="593"/>
        <v>0</v>
      </c>
      <c r="BI273" s="583">
        <f t="shared" si="594"/>
        <v>0</v>
      </c>
      <c r="BJ273" s="583">
        <f t="shared" si="595"/>
        <v>0</v>
      </c>
      <c r="BK273" s="583">
        <f t="shared" si="596"/>
        <v>0</v>
      </c>
      <c r="BL273" s="583">
        <f t="shared" si="597"/>
        <v>0</v>
      </c>
      <c r="BM273" s="583">
        <f t="shared" si="598"/>
        <v>0</v>
      </c>
      <c r="BN273" s="583">
        <f t="shared" si="599"/>
        <v>0</v>
      </c>
      <c r="BO273" s="583">
        <f t="shared" si="600"/>
        <v>0</v>
      </c>
      <c r="BP273" s="583">
        <f t="shared" si="601"/>
        <v>0</v>
      </c>
      <c r="BQ273" s="583">
        <f t="shared" si="602"/>
        <v>0</v>
      </c>
      <c r="BR273" s="583">
        <f t="shared" si="603"/>
        <v>0</v>
      </c>
    </row>
    <row r="274" spans="1:70" s="229" customFormat="1" ht="15" customHeight="1">
      <c r="A274" s="587"/>
      <c r="D274" s="85"/>
      <c r="E274" s="576">
        <f t="shared" si="604"/>
        <v>100</v>
      </c>
      <c r="F274" s="707"/>
      <c r="G274" s="406" t="s">
        <v>3054</v>
      </c>
      <c r="H274" s="1262" t="s">
        <v>3055</v>
      </c>
      <c r="I274" s="85">
        <v>0</v>
      </c>
      <c r="J274" s="682">
        <v>1</v>
      </c>
      <c r="K274" s="579" t="str">
        <f t="shared" si="578"/>
        <v/>
      </c>
      <c r="L274" s="580" t="str">
        <f>IF(H274="Select ingredient:","",IF(G274="","",_xlfn.IFNA(VLOOKUP($H274,Ingredient_prices!$E:$U,16,FALSE),0)))</f>
        <v/>
      </c>
      <c r="M274" s="844"/>
      <c r="N274" s="844"/>
      <c r="O274" s="588"/>
      <c r="P274" s="589"/>
      <c r="Q274" s="583">
        <f t="shared" si="579"/>
        <v>0</v>
      </c>
      <c r="R274" s="583">
        <f>VLOOKUP($H274,'CO2_emission+%_food_waste'!$A:$K,6,FALSE)*$Q274/100</f>
        <v>0</v>
      </c>
      <c r="S274" s="583">
        <f t="shared" si="580"/>
        <v>0</v>
      </c>
      <c r="T274" s="583" t="str">
        <f>IF(H274="Select ingredient:","",IF(G274="Select food category:","",_xlfn.IFNA(VLOOKUP($H274,Ingredient_prices!$E:$U,16,FALSE)*$Q274/1000,"not bought")))</f>
        <v/>
      </c>
      <c r="U274" s="583" t="str">
        <f>IF(G274="Select food category:","",_xlfn.IFNA(VLOOKUP($H274,Ingredient_prices!$E:$U,16,FALSE)*$R274/1000,"not bought"))</f>
        <v/>
      </c>
      <c r="V274" s="549">
        <f>VLOOKUP($H274,'CO2_emission+%_food_waste'!$A:$K,4,FALSE)*$Q274</f>
        <v>0</v>
      </c>
      <c r="W274" s="583">
        <f>VLOOKUP($H274,Nutrition_tables!$A:$N,10,FALSE)*$Q274/100</f>
        <v>0</v>
      </c>
      <c r="X274" s="583">
        <f>VLOOKUP($H274,Nutrition_tables!$A:$N,11,FALSE)*$Q274/100</f>
        <v>0</v>
      </c>
      <c r="Y274" s="583">
        <f>VLOOKUP($H274,Nutrition_tables!$A:$N,12,FALSE)*$Q274/100</f>
        <v>0</v>
      </c>
      <c r="Z274" s="583">
        <f>VLOOKUP($H274,Nutrition_tables!$A:$N,14,FALSE)*$Q274/100</f>
        <v>0</v>
      </c>
      <c r="AA274" s="583">
        <f>VLOOKUP($H274,Nutrition_tables!$A:$AF,13,FALSE)*$Q274/100</f>
        <v>0</v>
      </c>
      <c r="AB274" s="549">
        <f>VLOOKUP($H274,Nutrition_tables!$A:$AF,15,FALSE)*$Q274/100</f>
        <v>0</v>
      </c>
      <c r="AC274" s="583">
        <f>VLOOKUP($H274,Nutrition_tables!$A:$AF,16,FALSE)*$Q274/100</f>
        <v>0</v>
      </c>
      <c r="AD274" s="583">
        <f>VLOOKUP($H274,Nutrition_tables!$A:$AF,17,FALSE)*$Q274/100</f>
        <v>0</v>
      </c>
      <c r="AE274" s="583">
        <f>VLOOKUP($H274,Nutrition_tables!$A:$AF,18,FALSE)*$Q274/100</f>
        <v>0</v>
      </c>
      <c r="AF274" s="583">
        <f>VLOOKUP($H274,Nutrition_tables!$A:$AF,19,FALSE)*$Q274/100</f>
        <v>0</v>
      </c>
      <c r="AG274" s="583">
        <f>VLOOKUP($H274,Nutrition_tables!$A:$AF,20,FALSE)*$Q274/100</f>
        <v>0</v>
      </c>
      <c r="AH274" s="583">
        <f>VLOOKUP($H274,Nutrition_tables!$A:$AF,21,FALSE)*$Q274/100</f>
        <v>0</v>
      </c>
      <c r="AI274" s="583">
        <f>VLOOKUP($H274,Nutrition_tables!$A:$AF,22,FALSE)*$Q274/100</f>
        <v>0</v>
      </c>
      <c r="AJ274" s="549">
        <f>VLOOKUP($H274,Nutrition_tables!$A:$AF,23,FALSE)*$Q274/100</f>
        <v>0</v>
      </c>
      <c r="AK274" s="583">
        <f>VLOOKUP($H274,Nutrition_tables!$A:$AF,24,FALSE)*$Q274/100</f>
        <v>0</v>
      </c>
      <c r="AL274" s="583">
        <f>VLOOKUP($H274,Nutrition_tables!$A:$AF,25,FALSE)*$Q274/100</f>
        <v>0</v>
      </c>
      <c r="AM274" s="583">
        <f>VLOOKUP($H274,Nutrition_tables!$A:$AF,26,FALSE)*$Q274/100</f>
        <v>0</v>
      </c>
      <c r="AN274" s="583">
        <f>VLOOKUP($H274,Nutrition_tables!$A:$AF,27,FALSE)*$Q274/100</f>
        <v>0</v>
      </c>
      <c r="AO274" s="583">
        <f>VLOOKUP($H274,Nutrition_tables!$A:$AF,28,FALSE)*$Q274/100</f>
        <v>0</v>
      </c>
      <c r="AP274" s="583">
        <f>VLOOKUP($H274,Nutrition_tables!$A:$AF,29,FALSE)*$Q274/100</f>
        <v>0</v>
      </c>
      <c r="AQ274" s="583">
        <f>VLOOKUP($H274,Nutrition_tables!$A:$AF,30,FALSE)*$Q274/100</f>
        <v>0</v>
      </c>
      <c r="AR274" s="583">
        <f>VLOOKUP($H274,Nutrition_tables!$A:$AF,31,FALSE)*$Q274/100</f>
        <v>0</v>
      </c>
      <c r="AS274" s="549">
        <f>VLOOKUP($H274,Nutrition_tables!$A:$AF,32,FALSE)*$Q274/100</f>
        <v>0</v>
      </c>
      <c r="AT274" s="583" t="str">
        <f>IF(H274="Select ingredient:","",IF(G274="Select food category:","",IFERROR(VLOOKUP($H274,Ingredient_prices!$E:$W,17,FALSE)*$Q274/1000,"not bought")))</f>
        <v/>
      </c>
      <c r="AU274" s="583" t="str">
        <f>IF(H274="Select ingredient:","",IF(G274="Select food category:","",IFERROR(VLOOKUP($H274,Ingredient_prices!$E:$W,18,FALSE)*$Q274/1000,"not bought")))</f>
        <v/>
      </c>
      <c r="AV274" s="583">
        <f t="shared" si="581"/>
        <v>0</v>
      </c>
      <c r="AW274" s="583">
        <f t="shared" si="582"/>
        <v>0</v>
      </c>
      <c r="AX274" s="583">
        <f t="shared" si="583"/>
        <v>0</v>
      </c>
      <c r="AY274" s="583">
        <f t="shared" si="584"/>
        <v>0</v>
      </c>
      <c r="AZ274" s="583">
        <f t="shared" si="585"/>
        <v>0</v>
      </c>
      <c r="BA274" s="583">
        <f t="shared" si="586"/>
        <v>0</v>
      </c>
      <c r="BB274" s="583">
        <f t="shared" si="587"/>
        <v>0</v>
      </c>
      <c r="BC274" s="583">
        <f t="shared" si="588"/>
        <v>0</v>
      </c>
      <c r="BD274" s="583">
        <f t="shared" si="589"/>
        <v>0</v>
      </c>
      <c r="BE274" s="583">
        <f t="shared" si="590"/>
        <v>0</v>
      </c>
      <c r="BF274" s="583">
        <f t="shared" si="591"/>
        <v>0</v>
      </c>
      <c r="BG274" s="583">
        <f t="shared" si="592"/>
        <v>0</v>
      </c>
      <c r="BH274" s="583">
        <f t="shared" si="593"/>
        <v>0</v>
      </c>
      <c r="BI274" s="583">
        <f t="shared" si="594"/>
        <v>0</v>
      </c>
      <c r="BJ274" s="583">
        <f t="shared" si="595"/>
        <v>0</v>
      </c>
      <c r="BK274" s="583">
        <f t="shared" si="596"/>
        <v>0</v>
      </c>
      <c r="BL274" s="583">
        <f t="shared" si="597"/>
        <v>0</v>
      </c>
      <c r="BM274" s="583">
        <f t="shared" si="598"/>
        <v>0</v>
      </c>
      <c r="BN274" s="583">
        <f t="shared" si="599"/>
        <v>0</v>
      </c>
      <c r="BO274" s="583">
        <f t="shared" si="600"/>
        <v>0</v>
      </c>
      <c r="BP274" s="583">
        <f t="shared" si="601"/>
        <v>0</v>
      </c>
      <c r="BQ274" s="583">
        <f t="shared" si="602"/>
        <v>0</v>
      </c>
      <c r="BR274" s="583">
        <f t="shared" si="603"/>
        <v>0</v>
      </c>
    </row>
    <row r="275" spans="1:70" s="229" customFormat="1" ht="15" customHeight="1">
      <c r="A275" s="587"/>
      <c r="D275" s="85"/>
      <c r="E275" s="576">
        <f t="shared" si="604"/>
        <v>100</v>
      </c>
      <c r="F275" s="707"/>
      <c r="G275" s="406" t="s">
        <v>3054</v>
      </c>
      <c r="H275" s="1262" t="s">
        <v>3055</v>
      </c>
      <c r="I275" s="85">
        <v>0</v>
      </c>
      <c r="J275" s="682">
        <v>1</v>
      </c>
      <c r="K275" s="579" t="str">
        <f t="shared" si="578"/>
        <v/>
      </c>
      <c r="L275" s="580" t="str">
        <f>IF(H275="Select ingredient:","",IF(G275="","",_xlfn.IFNA(VLOOKUP($H275,Ingredient_prices!$E:$U,16,FALSE),0)))</f>
        <v/>
      </c>
      <c r="M275" s="844"/>
      <c r="N275" s="844"/>
      <c r="O275" s="588"/>
      <c r="P275" s="589"/>
      <c r="Q275" s="583">
        <f t="shared" si="579"/>
        <v>0</v>
      </c>
      <c r="R275" s="583">
        <f>VLOOKUP($H275,'CO2_emission+%_food_waste'!$A:$K,6,FALSE)*$Q275/100</f>
        <v>0</v>
      </c>
      <c r="S275" s="583">
        <f t="shared" si="580"/>
        <v>0</v>
      </c>
      <c r="T275" s="583" t="str">
        <f>IF(H275="Select ingredient:","",IF(G275="Select food category:","",_xlfn.IFNA(VLOOKUP($H275,Ingredient_prices!$E:$U,16,FALSE)*$Q275/1000,"not bought")))</f>
        <v/>
      </c>
      <c r="U275" s="583" t="str">
        <f>IF(G275="Select food category:","",_xlfn.IFNA(VLOOKUP($H275,Ingredient_prices!$E:$U,16,FALSE)*$R275/1000,"not bought"))</f>
        <v/>
      </c>
      <c r="V275" s="549">
        <f>VLOOKUP($H275,'CO2_emission+%_food_waste'!$A:$K,4,FALSE)*$Q275</f>
        <v>0</v>
      </c>
      <c r="W275" s="583">
        <f>VLOOKUP($H275,Nutrition_tables!$A:$N,10,FALSE)*$Q275/100</f>
        <v>0</v>
      </c>
      <c r="X275" s="583">
        <f>VLOOKUP($H275,Nutrition_tables!$A:$N,11,FALSE)*$Q275/100</f>
        <v>0</v>
      </c>
      <c r="Y275" s="583">
        <f>VLOOKUP($H275,Nutrition_tables!$A:$N,12,FALSE)*$Q275/100</f>
        <v>0</v>
      </c>
      <c r="Z275" s="583">
        <f>VLOOKUP($H275,Nutrition_tables!$A:$N,14,FALSE)*$Q275/100</f>
        <v>0</v>
      </c>
      <c r="AA275" s="583">
        <f>VLOOKUP($H275,Nutrition_tables!$A:$AF,13,FALSE)*$Q275/100</f>
        <v>0</v>
      </c>
      <c r="AB275" s="549">
        <f>VLOOKUP($H275,Nutrition_tables!$A:$AF,15,FALSE)*$Q275/100</f>
        <v>0</v>
      </c>
      <c r="AC275" s="583">
        <f>VLOOKUP($H275,Nutrition_tables!$A:$AF,16,FALSE)*$Q275/100</f>
        <v>0</v>
      </c>
      <c r="AD275" s="583">
        <f>VLOOKUP($H275,Nutrition_tables!$A:$AF,17,FALSE)*$Q275/100</f>
        <v>0</v>
      </c>
      <c r="AE275" s="583">
        <f>VLOOKUP($H275,Nutrition_tables!$A:$AF,18,FALSE)*$Q275/100</f>
        <v>0</v>
      </c>
      <c r="AF275" s="583">
        <f>VLOOKUP($H275,Nutrition_tables!$A:$AF,19,FALSE)*$Q275/100</f>
        <v>0</v>
      </c>
      <c r="AG275" s="583">
        <f>VLOOKUP($H275,Nutrition_tables!$A:$AF,20,FALSE)*$Q275/100</f>
        <v>0</v>
      </c>
      <c r="AH275" s="583">
        <f>VLOOKUP($H275,Nutrition_tables!$A:$AF,21,FALSE)*$Q275/100</f>
        <v>0</v>
      </c>
      <c r="AI275" s="583">
        <f>VLOOKUP($H275,Nutrition_tables!$A:$AF,22,FALSE)*$Q275/100</f>
        <v>0</v>
      </c>
      <c r="AJ275" s="549">
        <f>VLOOKUP($H275,Nutrition_tables!$A:$AF,23,FALSE)*$Q275/100</f>
        <v>0</v>
      </c>
      <c r="AK275" s="583">
        <f>VLOOKUP($H275,Nutrition_tables!$A:$AF,24,FALSE)*$Q275/100</f>
        <v>0</v>
      </c>
      <c r="AL275" s="583">
        <f>VLOOKUP($H275,Nutrition_tables!$A:$AF,25,FALSE)*$Q275/100</f>
        <v>0</v>
      </c>
      <c r="AM275" s="583">
        <f>VLOOKUP($H275,Nutrition_tables!$A:$AF,26,FALSE)*$Q275/100</f>
        <v>0</v>
      </c>
      <c r="AN275" s="583">
        <f>VLOOKUP($H275,Nutrition_tables!$A:$AF,27,FALSE)*$Q275/100</f>
        <v>0</v>
      </c>
      <c r="AO275" s="583">
        <f>VLOOKUP($H275,Nutrition_tables!$A:$AF,28,FALSE)*$Q275/100</f>
        <v>0</v>
      </c>
      <c r="AP275" s="583">
        <f>VLOOKUP($H275,Nutrition_tables!$A:$AF,29,FALSE)*$Q275/100</f>
        <v>0</v>
      </c>
      <c r="AQ275" s="583">
        <f>VLOOKUP($H275,Nutrition_tables!$A:$AF,30,FALSE)*$Q275/100</f>
        <v>0</v>
      </c>
      <c r="AR275" s="583">
        <f>VLOOKUP($H275,Nutrition_tables!$A:$AF,31,FALSE)*$Q275/100</f>
        <v>0</v>
      </c>
      <c r="AS275" s="549">
        <f>VLOOKUP($H275,Nutrition_tables!$A:$AF,32,FALSE)*$Q275/100</f>
        <v>0</v>
      </c>
      <c r="AT275" s="583" t="str">
        <f>IF(H275="Select ingredient:","",IF(G275="Select food category:","",IFERROR(VLOOKUP($H275,Ingredient_prices!$E:$W,17,FALSE)*$Q275/1000,"not bought")))</f>
        <v/>
      </c>
      <c r="AU275" s="583" t="str">
        <f>IF(H275="Select ingredient:","",IF(G275="Select food category:","",IFERROR(VLOOKUP($H275,Ingredient_prices!$E:$W,18,FALSE)*$Q275/1000,"not bought")))</f>
        <v/>
      </c>
      <c r="AV275" s="583">
        <f t="shared" si="581"/>
        <v>0</v>
      </c>
      <c r="AW275" s="583">
        <f t="shared" si="582"/>
        <v>0</v>
      </c>
      <c r="AX275" s="583">
        <f t="shared" si="583"/>
        <v>0</v>
      </c>
      <c r="AY275" s="583">
        <f t="shared" si="584"/>
        <v>0</v>
      </c>
      <c r="AZ275" s="583">
        <f t="shared" si="585"/>
        <v>0</v>
      </c>
      <c r="BA275" s="583">
        <f t="shared" si="586"/>
        <v>0</v>
      </c>
      <c r="BB275" s="583">
        <f t="shared" si="587"/>
        <v>0</v>
      </c>
      <c r="BC275" s="583">
        <f t="shared" si="588"/>
        <v>0</v>
      </c>
      <c r="BD275" s="583">
        <f t="shared" si="589"/>
        <v>0</v>
      </c>
      <c r="BE275" s="583">
        <f t="shared" si="590"/>
        <v>0</v>
      </c>
      <c r="BF275" s="583">
        <f t="shared" si="591"/>
        <v>0</v>
      </c>
      <c r="BG275" s="583">
        <f t="shared" si="592"/>
        <v>0</v>
      </c>
      <c r="BH275" s="583">
        <f t="shared" si="593"/>
        <v>0</v>
      </c>
      <c r="BI275" s="583">
        <f t="shared" si="594"/>
        <v>0</v>
      </c>
      <c r="BJ275" s="583">
        <f t="shared" si="595"/>
        <v>0</v>
      </c>
      <c r="BK275" s="583">
        <f t="shared" si="596"/>
        <v>0</v>
      </c>
      <c r="BL275" s="583">
        <f t="shared" si="597"/>
        <v>0</v>
      </c>
      <c r="BM275" s="583">
        <f t="shared" si="598"/>
        <v>0</v>
      </c>
      <c r="BN275" s="583">
        <f t="shared" si="599"/>
        <v>0</v>
      </c>
      <c r="BO275" s="583">
        <f t="shared" si="600"/>
        <v>0</v>
      </c>
      <c r="BP275" s="583">
        <f t="shared" si="601"/>
        <v>0</v>
      </c>
      <c r="BQ275" s="583">
        <f t="shared" si="602"/>
        <v>0</v>
      </c>
      <c r="BR275" s="583">
        <f t="shared" si="603"/>
        <v>0</v>
      </c>
    </row>
    <row r="276" spans="1:70" s="229" customFormat="1" ht="15" customHeight="1">
      <c r="A276" s="587"/>
      <c r="D276" s="85"/>
      <c r="E276" s="576">
        <f t="shared" si="604"/>
        <v>100</v>
      </c>
      <c r="F276" s="707"/>
      <c r="G276" s="406" t="s">
        <v>3054</v>
      </c>
      <c r="H276" s="1262" t="s">
        <v>3055</v>
      </c>
      <c r="I276" s="85">
        <v>0</v>
      </c>
      <c r="J276" s="682">
        <v>1</v>
      </c>
      <c r="K276" s="579" t="str">
        <f t="shared" si="578"/>
        <v/>
      </c>
      <c r="L276" s="580" t="str">
        <f>IF(H276="Select ingredient:","",IF(G276="","",_xlfn.IFNA(VLOOKUP($H276,Ingredient_prices!$E:$U,16,FALSE),0)))</f>
        <v/>
      </c>
      <c r="M276" s="844"/>
      <c r="N276" s="844"/>
      <c r="O276" s="588"/>
      <c r="P276" s="589"/>
      <c r="Q276" s="583">
        <f t="shared" si="579"/>
        <v>0</v>
      </c>
      <c r="R276" s="583">
        <f>VLOOKUP($H276,'CO2_emission+%_food_waste'!$A:$K,6,FALSE)*$Q276/100</f>
        <v>0</v>
      </c>
      <c r="S276" s="583">
        <f t="shared" si="580"/>
        <v>0</v>
      </c>
      <c r="T276" s="583" t="str">
        <f>IF(H276="Select ingredient:","",IF(G276="Select food category:","",_xlfn.IFNA(VLOOKUP($H276,Ingredient_prices!$E:$U,16,FALSE)*$Q276/1000,"not bought")))</f>
        <v/>
      </c>
      <c r="U276" s="583" t="str">
        <f>IF(G276="Select food category:","",_xlfn.IFNA(VLOOKUP($H276,Ingredient_prices!$E:$U,16,FALSE)*$R276/1000,"not bought"))</f>
        <v/>
      </c>
      <c r="V276" s="549">
        <f>VLOOKUP($H276,'CO2_emission+%_food_waste'!$A:$K,4,FALSE)*$Q276</f>
        <v>0</v>
      </c>
      <c r="W276" s="583">
        <f>VLOOKUP($H276,Nutrition_tables!$A:$N,10,FALSE)*$Q276/100</f>
        <v>0</v>
      </c>
      <c r="X276" s="583">
        <f>VLOOKUP($H276,Nutrition_tables!$A:$N,11,FALSE)*$Q276/100</f>
        <v>0</v>
      </c>
      <c r="Y276" s="583">
        <f>VLOOKUP($H276,Nutrition_tables!$A:$N,12,FALSE)*$Q276/100</f>
        <v>0</v>
      </c>
      <c r="Z276" s="583">
        <f>VLOOKUP($H276,Nutrition_tables!$A:$N,14,FALSE)*$Q276/100</f>
        <v>0</v>
      </c>
      <c r="AA276" s="583">
        <f>VLOOKUP($H276,Nutrition_tables!$A:$AF,13,FALSE)*$Q276/100</f>
        <v>0</v>
      </c>
      <c r="AB276" s="549">
        <f>VLOOKUP($H276,Nutrition_tables!$A:$AF,15,FALSE)*$Q276/100</f>
        <v>0</v>
      </c>
      <c r="AC276" s="583">
        <f>VLOOKUP($H276,Nutrition_tables!$A:$AF,16,FALSE)*$Q276/100</f>
        <v>0</v>
      </c>
      <c r="AD276" s="583">
        <f>VLOOKUP($H276,Nutrition_tables!$A:$AF,17,FALSE)*$Q276/100</f>
        <v>0</v>
      </c>
      <c r="AE276" s="583">
        <f>VLOOKUP($H276,Nutrition_tables!$A:$AF,18,FALSE)*$Q276/100</f>
        <v>0</v>
      </c>
      <c r="AF276" s="583">
        <f>VLOOKUP($H276,Nutrition_tables!$A:$AF,19,FALSE)*$Q276/100</f>
        <v>0</v>
      </c>
      <c r="AG276" s="583">
        <f>VLOOKUP($H276,Nutrition_tables!$A:$AF,20,FALSE)*$Q276/100</f>
        <v>0</v>
      </c>
      <c r="AH276" s="583">
        <f>VLOOKUP($H276,Nutrition_tables!$A:$AF,21,FALSE)*$Q276/100</f>
        <v>0</v>
      </c>
      <c r="AI276" s="583">
        <f>VLOOKUP($H276,Nutrition_tables!$A:$AF,22,FALSE)*$Q276/100</f>
        <v>0</v>
      </c>
      <c r="AJ276" s="549">
        <f>VLOOKUP($H276,Nutrition_tables!$A:$AF,23,FALSE)*$Q276/100</f>
        <v>0</v>
      </c>
      <c r="AK276" s="583">
        <f>VLOOKUP($H276,Nutrition_tables!$A:$AF,24,FALSE)*$Q276/100</f>
        <v>0</v>
      </c>
      <c r="AL276" s="583">
        <f>VLOOKUP($H276,Nutrition_tables!$A:$AF,25,FALSE)*$Q276/100</f>
        <v>0</v>
      </c>
      <c r="AM276" s="583">
        <f>VLOOKUP($H276,Nutrition_tables!$A:$AF,26,FALSE)*$Q276/100</f>
        <v>0</v>
      </c>
      <c r="AN276" s="583">
        <f>VLOOKUP($H276,Nutrition_tables!$A:$AF,27,FALSE)*$Q276/100</f>
        <v>0</v>
      </c>
      <c r="AO276" s="583">
        <f>VLOOKUP($H276,Nutrition_tables!$A:$AF,28,FALSE)*$Q276/100</f>
        <v>0</v>
      </c>
      <c r="AP276" s="583">
        <f>VLOOKUP($H276,Nutrition_tables!$A:$AF,29,FALSE)*$Q276/100</f>
        <v>0</v>
      </c>
      <c r="AQ276" s="583">
        <f>VLOOKUP($H276,Nutrition_tables!$A:$AF,30,FALSE)*$Q276/100</f>
        <v>0</v>
      </c>
      <c r="AR276" s="583">
        <f>VLOOKUP($H276,Nutrition_tables!$A:$AF,31,FALSE)*$Q276/100</f>
        <v>0</v>
      </c>
      <c r="AS276" s="549">
        <f>VLOOKUP($H276,Nutrition_tables!$A:$AF,32,FALSE)*$Q276/100</f>
        <v>0</v>
      </c>
      <c r="AT276" s="583" t="str">
        <f>IF(H276="Select ingredient:","",IF(G276="Select food category:","",IFERROR(VLOOKUP($H276,Ingredient_prices!$E:$W,17,FALSE)*$Q276/1000,"not bought")))</f>
        <v/>
      </c>
      <c r="AU276" s="583" t="str">
        <f>IF(H276="Select ingredient:","",IF(G276="Select food category:","",IFERROR(VLOOKUP($H276,Ingredient_prices!$E:$W,18,FALSE)*$Q276/1000,"not bought")))</f>
        <v/>
      </c>
      <c r="AV276" s="583">
        <f t="shared" si="581"/>
        <v>0</v>
      </c>
      <c r="AW276" s="583">
        <f t="shared" si="582"/>
        <v>0</v>
      </c>
      <c r="AX276" s="583">
        <f t="shared" si="583"/>
        <v>0</v>
      </c>
      <c r="AY276" s="583">
        <f t="shared" si="584"/>
        <v>0</v>
      </c>
      <c r="AZ276" s="583">
        <f t="shared" si="585"/>
        <v>0</v>
      </c>
      <c r="BA276" s="583">
        <f t="shared" si="586"/>
        <v>0</v>
      </c>
      <c r="BB276" s="583">
        <f t="shared" si="587"/>
        <v>0</v>
      </c>
      <c r="BC276" s="583">
        <f t="shared" si="588"/>
        <v>0</v>
      </c>
      <c r="BD276" s="583">
        <f t="shared" si="589"/>
        <v>0</v>
      </c>
      <c r="BE276" s="583">
        <f t="shared" si="590"/>
        <v>0</v>
      </c>
      <c r="BF276" s="583">
        <f t="shared" si="591"/>
        <v>0</v>
      </c>
      <c r="BG276" s="583">
        <f t="shared" si="592"/>
        <v>0</v>
      </c>
      <c r="BH276" s="583">
        <f t="shared" si="593"/>
        <v>0</v>
      </c>
      <c r="BI276" s="583">
        <f t="shared" si="594"/>
        <v>0</v>
      </c>
      <c r="BJ276" s="583">
        <f t="shared" si="595"/>
        <v>0</v>
      </c>
      <c r="BK276" s="583">
        <f t="shared" si="596"/>
        <v>0</v>
      </c>
      <c r="BL276" s="583">
        <f t="shared" si="597"/>
        <v>0</v>
      </c>
      <c r="BM276" s="583">
        <f t="shared" si="598"/>
        <v>0</v>
      </c>
      <c r="BN276" s="583">
        <f t="shared" si="599"/>
        <v>0</v>
      </c>
      <c r="BO276" s="583">
        <f t="shared" si="600"/>
        <v>0</v>
      </c>
      <c r="BP276" s="583">
        <f t="shared" si="601"/>
        <v>0</v>
      </c>
      <c r="BQ276" s="583">
        <f t="shared" si="602"/>
        <v>0</v>
      </c>
      <c r="BR276" s="583">
        <f t="shared" si="603"/>
        <v>0</v>
      </c>
    </row>
    <row r="277" spans="1:70" s="229" customFormat="1" ht="15" customHeight="1">
      <c r="A277" s="587"/>
      <c r="D277" s="85"/>
      <c r="E277" s="576">
        <f t="shared" si="604"/>
        <v>100</v>
      </c>
      <c r="F277" s="707"/>
      <c r="G277" s="406" t="s">
        <v>3054</v>
      </c>
      <c r="H277" s="1262" t="s">
        <v>3055</v>
      </c>
      <c r="I277" s="85">
        <v>0</v>
      </c>
      <c r="J277" s="682">
        <v>1</v>
      </c>
      <c r="K277" s="579" t="str">
        <f t="shared" si="578"/>
        <v/>
      </c>
      <c r="L277" s="580" t="str">
        <f>IF(H277="Select ingredient:","",IF(G277="","",_xlfn.IFNA(VLOOKUP($H277,Ingredient_prices!$E:$U,16,FALSE),0)))</f>
        <v/>
      </c>
      <c r="M277" s="844"/>
      <c r="N277" s="844"/>
      <c r="O277" s="588"/>
      <c r="P277" s="589"/>
      <c r="Q277" s="583">
        <f t="shared" si="579"/>
        <v>0</v>
      </c>
      <c r="R277" s="583">
        <f>VLOOKUP($H277,'CO2_emission+%_food_waste'!$A:$K,6,FALSE)*$Q277/100</f>
        <v>0</v>
      </c>
      <c r="S277" s="583">
        <f t="shared" si="580"/>
        <v>0</v>
      </c>
      <c r="T277" s="583" t="str">
        <f>IF(H277="Select ingredient:","",IF(G277="Select food category:","",_xlfn.IFNA(VLOOKUP($H277,Ingredient_prices!$E:$U,16,FALSE)*$Q277/1000,"not bought")))</f>
        <v/>
      </c>
      <c r="U277" s="583" t="str">
        <f>IF(G277="Select food category:","",_xlfn.IFNA(VLOOKUP($H277,Ingredient_prices!$E:$U,16,FALSE)*$R277/1000,"not bought"))</f>
        <v/>
      </c>
      <c r="V277" s="549">
        <f>VLOOKUP($H277,'CO2_emission+%_food_waste'!$A:$K,4,FALSE)*$Q277</f>
        <v>0</v>
      </c>
      <c r="W277" s="583">
        <f>VLOOKUP($H277,Nutrition_tables!$A:$N,10,FALSE)*$Q277/100</f>
        <v>0</v>
      </c>
      <c r="X277" s="583">
        <f>VLOOKUP($H277,Nutrition_tables!$A:$N,11,FALSE)*$Q277/100</f>
        <v>0</v>
      </c>
      <c r="Y277" s="583">
        <f>VLOOKUP($H277,Nutrition_tables!$A:$N,12,FALSE)*$Q277/100</f>
        <v>0</v>
      </c>
      <c r="Z277" s="583">
        <f>VLOOKUP($H277,Nutrition_tables!$A:$N,14,FALSE)*$Q277/100</f>
        <v>0</v>
      </c>
      <c r="AA277" s="583">
        <f>VLOOKUP($H277,Nutrition_tables!$A:$AF,13,FALSE)*$Q277/100</f>
        <v>0</v>
      </c>
      <c r="AB277" s="549">
        <f>VLOOKUP($H277,Nutrition_tables!$A:$AF,15,FALSE)*$Q277/100</f>
        <v>0</v>
      </c>
      <c r="AC277" s="583">
        <f>VLOOKUP($H277,Nutrition_tables!$A:$AF,16,FALSE)*$Q277/100</f>
        <v>0</v>
      </c>
      <c r="AD277" s="583">
        <f>VLOOKUP($H277,Nutrition_tables!$A:$AF,17,FALSE)*$Q277/100</f>
        <v>0</v>
      </c>
      <c r="AE277" s="583">
        <f>VLOOKUP($H277,Nutrition_tables!$A:$AF,18,FALSE)*$Q277/100</f>
        <v>0</v>
      </c>
      <c r="AF277" s="583">
        <f>VLOOKUP($H277,Nutrition_tables!$A:$AF,19,FALSE)*$Q277/100</f>
        <v>0</v>
      </c>
      <c r="AG277" s="583">
        <f>VLOOKUP($H277,Nutrition_tables!$A:$AF,20,FALSE)*$Q277/100</f>
        <v>0</v>
      </c>
      <c r="AH277" s="583">
        <f>VLOOKUP($H277,Nutrition_tables!$A:$AF,21,FALSE)*$Q277/100</f>
        <v>0</v>
      </c>
      <c r="AI277" s="583">
        <f>VLOOKUP($H277,Nutrition_tables!$A:$AF,22,FALSE)*$Q277/100</f>
        <v>0</v>
      </c>
      <c r="AJ277" s="549">
        <f>VLOOKUP($H277,Nutrition_tables!$A:$AF,23,FALSE)*$Q277/100</f>
        <v>0</v>
      </c>
      <c r="AK277" s="583">
        <f>VLOOKUP($H277,Nutrition_tables!$A:$AF,24,FALSE)*$Q277/100</f>
        <v>0</v>
      </c>
      <c r="AL277" s="583">
        <f>VLOOKUP($H277,Nutrition_tables!$A:$AF,25,FALSE)*$Q277/100</f>
        <v>0</v>
      </c>
      <c r="AM277" s="583">
        <f>VLOOKUP($H277,Nutrition_tables!$A:$AF,26,FALSE)*$Q277/100</f>
        <v>0</v>
      </c>
      <c r="AN277" s="583">
        <f>VLOOKUP($H277,Nutrition_tables!$A:$AF,27,FALSE)*$Q277/100</f>
        <v>0</v>
      </c>
      <c r="AO277" s="583">
        <f>VLOOKUP($H277,Nutrition_tables!$A:$AF,28,FALSE)*$Q277/100</f>
        <v>0</v>
      </c>
      <c r="AP277" s="583">
        <f>VLOOKUP($H277,Nutrition_tables!$A:$AF,29,FALSE)*$Q277/100</f>
        <v>0</v>
      </c>
      <c r="AQ277" s="583">
        <f>VLOOKUP($H277,Nutrition_tables!$A:$AF,30,FALSE)*$Q277/100</f>
        <v>0</v>
      </c>
      <c r="AR277" s="583">
        <f>VLOOKUP($H277,Nutrition_tables!$A:$AF,31,FALSE)*$Q277/100</f>
        <v>0</v>
      </c>
      <c r="AS277" s="549">
        <f>VLOOKUP($H277,Nutrition_tables!$A:$AF,32,FALSE)*$Q277/100</f>
        <v>0</v>
      </c>
      <c r="AT277" s="583" t="str">
        <f>IF(H277="Select ingredient:","",IF(G277="Select food category:","",IFERROR(VLOOKUP($H277,Ingredient_prices!$E:$W,17,FALSE)*$Q277/1000,"not bought")))</f>
        <v/>
      </c>
      <c r="AU277" s="583" t="str">
        <f>IF(H277="Select ingredient:","",IF(G277="Select food category:","",IFERROR(VLOOKUP($H277,Ingredient_prices!$E:$W,18,FALSE)*$Q277/1000,"not bought")))</f>
        <v/>
      </c>
      <c r="AV277" s="583">
        <f t="shared" si="581"/>
        <v>0</v>
      </c>
      <c r="AW277" s="583">
        <f t="shared" si="582"/>
        <v>0</v>
      </c>
      <c r="AX277" s="583">
        <f t="shared" si="583"/>
        <v>0</v>
      </c>
      <c r="AY277" s="583">
        <f t="shared" si="584"/>
        <v>0</v>
      </c>
      <c r="AZ277" s="583">
        <f t="shared" si="585"/>
        <v>0</v>
      </c>
      <c r="BA277" s="583">
        <f t="shared" si="586"/>
        <v>0</v>
      </c>
      <c r="BB277" s="583">
        <f t="shared" si="587"/>
        <v>0</v>
      </c>
      <c r="BC277" s="583">
        <f t="shared" si="588"/>
        <v>0</v>
      </c>
      <c r="BD277" s="583">
        <f t="shared" si="589"/>
        <v>0</v>
      </c>
      <c r="BE277" s="583">
        <f t="shared" si="590"/>
        <v>0</v>
      </c>
      <c r="BF277" s="583">
        <f t="shared" si="591"/>
        <v>0</v>
      </c>
      <c r="BG277" s="583">
        <f t="shared" si="592"/>
        <v>0</v>
      </c>
      <c r="BH277" s="583">
        <f t="shared" si="593"/>
        <v>0</v>
      </c>
      <c r="BI277" s="583">
        <f t="shared" si="594"/>
        <v>0</v>
      </c>
      <c r="BJ277" s="583">
        <f t="shared" si="595"/>
        <v>0</v>
      </c>
      <c r="BK277" s="583">
        <f t="shared" si="596"/>
        <v>0</v>
      </c>
      <c r="BL277" s="583">
        <f t="shared" si="597"/>
        <v>0</v>
      </c>
      <c r="BM277" s="583">
        <f t="shared" si="598"/>
        <v>0</v>
      </c>
      <c r="BN277" s="583">
        <f t="shared" si="599"/>
        <v>0</v>
      </c>
      <c r="BO277" s="583">
        <f t="shared" si="600"/>
        <v>0</v>
      </c>
      <c r="BP277" s="583">
        <f t="shared" si="601"/>
        <v>0</v>
      </c>
      <c r="BQ277" s="583">
        <f t="shared" si="602"/>
        <v>0</v>
      </c>
      <c r="BR277" s="583">
        <f t="shared" si="603"/>
        <v>0</v>
      </c>
    </row>
    <row r="278" spans="1:70" s="229" customFormat="1" ht="15" customHeight="1">
      <c r="A278" s="587"/>
      <c r="D278" s="85"/>
      <c r="E278" s="576">
        <f t="shared" si="604"/>
        <v>100</v>
      </c>
      <c r="F278" s="707"/>
      <c r="G278" s="406" t="s">
        <v>3054</v>
      </c>
      <c r="H278" s="1262" t="s">
        <v>3055</v>
      </c>
      <c r="I278" s="85">
        <v>0</v>
      </c>
      <c r="J278" s="682">
        <v>1</v>
      </c>
      <c r="K278" s="579" t="str">
        <f t="shared" si="578"/>
        <v/>
      </c>
      <c r="L278" s="580" t="str">
        <f>IF(H278="Select ingredient:","",IF(G278="","",_xlfn.IFNA(VLOOKUP($H278,Ingredient_prices!$E:$U,16,FALSE),0)))</f>
        <v/>
      </c>
      <c r="M278" s="844"/>
      <c r="N278" s="844"/>
      <c r="O278" s="588"/>
      <c r="P278" s="589"/>
      <c r="Q278" s="583">
        <f t="shared" si="579"/>
        <v>0</v>
      </c>
      <c r="R278" s="583">
        <f>VLOOKUP($H278,'CO2_emission+%_food_waste'!$A:$K,6,FALSE)*$Q278/100</f>
        <v>0</v>
      </c>
      <c r="S278" s="583">
        <f t="shared" si="580"/>
        <v>0</v>
      </c>
      <c r="T278" s="583" t="str">
        <f>IF(H278="Select ingredient:","",IF(G278="Select food category:","",_xlfn.IFNA(VLOOKUP($H278,Ingredient_prices!$E:$U,16,FALSE)*$Q278/1000,"not bought")))</f>
        <v/>
      </c>
      <c r="U278" s="583" t="str">
        <f>IF(G278="Select food category:","",_xlfn.IFNA(VLOOKUP($H278,Ingredient_prices!$E:$U,16,FALSE)*$R278/1000,"not bought"))</f>
        <v/>
      </c>
      <c r="V278" s="549">
        <f>VLOOKUP($H278,'CO2_emission+%_food_waste'!$A:$K,4,FALSE)*$Q278</f>
        <v>0</v>
      </c>
      <c r="W278" s="583">
        <f>VLOOKUP($H278,Nutrition_tables!$A:$N,10,FALSE)*$Q278/100</f>
        <v>0</v>
      </c>
      <c r="X278" s="583">
        <f>VLOOKUP($H278,Nutrition_tables!$A:$N,11,FALSE)*$Q278/100</f>
        <v>0</v>
      </c>
      <c r="Y278" s="583">
        <f>VLOOKUP($H278,Nutrition_tables!$A:$N,12,FALSE)*$Q278/100</f>
        <v>0</v>
      </c>
      <c r="Z278" s="583">
        <f>VLOOKUP($H278,Nutrition_tables!$A:$N,14,FALSE)*$Q278/100</f>
        <v>0</v>
      </c>
      <c r="AA278" s="583">
        <f>VLOOKUP($H278,Nutrition_tables!$A:$AF,13,FALSE)*$Q278/100</f>
        <v>0</v>
      </c>
      <c r="AB278" s="549">
        <f>VLOOKUP($H278,Nutrition_tables!$A:$AF,15,FALSE)*$Q278/100</f>
        <v>0</v>
      </c>
      <c r="AC278" s="583">
        <f>VLOOKUP($H278,Nutrition_tables!$A:$AF,16,FALSE)*$Q278/100</f>
        <v>0</v>
      </c>
      <c r="AD278" s="583">
        <f>VLOOKUP($H278,Nutrition_tables!$A:$AF,17,FALSE)*$Q278/100</f>
        <v>0</v>
      </c>
      <c r="AE278" s="583">
        <f>VLOOKUP($H278,Nutrition_tables!$A:$AF,18,FALSE)*$Q278/100</f>
        <v>0</v>
      </c>
      <c r="AF278" s="583">
        <f>VLOOKUP($H278,Nutrition_tables!$A:$AF,19,FALSE)*$Q278/100</f>
        <v>0</v>
      </c>
      <c r="AG278" s="583">
        <f>VLOOKUP($H278,Nutrition_tables!$A:$AF,20,FALSE)*$Q278/100</f>
        <v>0</v>
      </c>
      <c r="AH278" s="583">
        <f>VLOOKUP($H278,Nutrition_tables!$A:$AF,21,FALSE)*$Q278/100</f>
        <v>0</v>
      </c>
      <c r="AI278" s="583">
        <f>VLOOKUP($H278,Nutrition_tables!$A:$AF,22,FALSE)*$Q278/100</f>
        <v>0</v>
      </c>
      <c r="AJ278" s="549">
        <f>VLOOKUP($H278,Nutrition_tables!$A:$AF,23,FALSE)*$Q278/100</f>
        <v>0</v>
      </c>
      <c r="AK278" s="583">
        <f>VLOOKUP($H278,Nutrition_tables!$A:$AF,24,FALSE)*$Q278/100</f>
        <v>0</v>
      </c>
      <c r="AL278" s="583">
        <f>VLOOKUP($H278,Nutrition_tables!$A:$AF,25,FALSE)*$Q278/100</f>
        <v>0</v>
      </c>
      <c r="AM278" s="583">
        <f>VLOOKUP($H278,Nutrition_tables!$A:$AF,26,FALSE)*$Q278/100</f>
        <v>0</v>
      </c>
      <c r="AN278" s="583">
        <f>VLOOKUP($H278,Nutrition_tables!$A:$AF,27,FALSE)*$Q278/100</f>
        <v>0</v>
      </c>
      <c r="AO278" s="583">
        <f>VLOOKUP($H278,Nutrition_tables!$A:$AF,28,FALSE)*$Q278/100</f>
        <v>0</v>
      </c>
      <c r="AP278" s="583">
        <f>VLOOKUP($H278,Nutrition_tables!$A:$AF,29,FALSE)*$Q278/100</f>
        <v>0</v>
      </c>
      <c r="AQ278" s="583">
        <f>VLOOKUP($H278,Nutrition_tables!$A:$AF,30,FALSE)*$Q278/100</f>
        <v>0</v>
      </c>
      <c r="AR278" s="583">
        <f>VLOOKUP($H278,Nutrition_tables!$A:$AF,31,FALSE)*$Q278/100</f>
        <v>0</v>
      </c>
      <c r="AS278" s="549">
        <f>VLOOKUP($H278,Nutrition_tables!$A:$AF,32,FALSE)*$Q278/100</f>
        <v>0</v>
      </c>
      <c r="AT278" s="583" t="str">
        <f>IF(H278="Select ingredient:","",IF(G278="Select food category:","",IFERROR(VLOOKUP($H278,Ingredient_prices!$E:$W,17,FALSE)*$Q278/1000,"not bought")))</f>
        <v/>
      </c>
      <c r="AU278" s="583" t="str">
        <f>IF(H278="Select ingredient:","",IF(G278="Select food category:","",IFERROR(VLOOKUP($H278,Ingredient_prices!$E:$W,18,FALSE)*$Q278/1000,"not bought")))</f>
        <v/>
      </c>
      <c r="AV278" s="583">
        <f t="shared" si="581"/>
        <v>0</v>
      </c>
      <c r="AW278" s="583">
        <f t="shared" si="582"/>
        <v>0</v>
      </c>
      <c r="AX278" s="583">
        <f t="shared" si="583"/>
        <v>0</v>
      </c>
      <c r="AY278" s="583">
        <f t="shared" si="584"/>
        <v>0</v>
      </c>
      <c r="AZ278" s="583">
        <f t="shared" si="585"/>
        <v>0</v>
      </c>
      <c r="BA278" s="583">
        <f t="shared" si="586"/>
        <v>0</v>
      </c>
      <c r="BB278" s="583">
        <f t="shared" si="587"/>
        <v>0</v>
      </c>
      <c r="BC278" s="583">
        <f t="shared" si="588"/>
        <v>0</v>
      </c>
      <c r="BD278" s="583">
        <f t="shared" si="589"/>
        <v>0</v>
      </c>
      <c r="BE278" s="583">
        <f t="shared" si="590"/>
        <v>0</v>
      </c>
      <c r="BF278" s="583">
        <f t="shared" si="591"/>
        <v>0</v>
      </c>
      <c r="BG278" s="583">
        <f t="shared" si="592"/>
        <v>0</v>
      </c>
      <c r="BH278" s="583">
        <f t="shared" si="593"/>
        <v>0</v>
      </c>
      <c r="BI278" s="583">
        <f t="shared" si="594"/>
        <v>0</v>
      </c>
      <c r="BJ278" s="583">
        <f t="shared" si="595"/>
        <v>0</v>
      </c>
      <c r="BK278" s="583">
        <f t="shared" si="596"/>
        <v>0</v>
      </c>
      <c r="BL278" s="583">
        <f t="shared" si="597"/>
        <v>0</v>
      </c>
      <c r="BM278" s="583">
        <f t="shared" si="598"/>
        <v>0</v>
      </c>
      <c r="BN278" s="583">
        <f t="shared" si="599"/>
        <v>0</v>
      </c>
      <c r="BO278" s="583">
        <f t="shared" si="600"/>
        <v>0</v>
      </c>
      <c r="BP278" s="583">
        <f t="shared" si="601"/>
        <v>0</v>
      </c>
      <c r="BQ278" s="583">
        <f t="shared" si="602"/>
        <v>0</v>
      </c>
      <c r="BR278" s="583">
        <f t="shared" si="603"/>
        <v>0</v>
      </c>
    </row>
    <row r="279" spans="1:70" s="229" customFormat="1" ht="15" customHeight="1">
      <c r="A279" s="587"/>
      <c r="D279" s="85"/>
      <c r="E279" s="576">
        <f t="shared" si="604"/>
        <v>100</v>
      </c>
      <c r="F279" s="707"/>
      <c r="G279" s="406" t="s">
        <v>3054</v>
      </c>
      <c r="H279" s="1262" t="s">
        <v>3055</v>
      </c>
      <c r="I279" s="85">
        <v>0</v>
      </c>
      <c r="J279" s="682">
        <v>1</v>
      </c>
      <c r="K279" s="579" t="str">
        <f t="shared" si="578"/>
        <v/>
      </c>
      <c r="L279" s="580" t="str">
        <f>IF(H279="Select ingredient:","",IF(G279="","",_xlfn.IFNA(VLOOKUP($H279,Ingredient_prices!$E:$U,16,FALSE),0)))</f>
        <v/>
      </c>
      <c r="M279" s="844"/>
      <c r="N279" s="844"/>
      <c r="O279" s="588"/>
      <c r="P279" s="589"/>
      <c r="Q279" s="583">
        <f t="shared" si="579"/>
        <v>0</v>
      </c>
      <c r="R279" s="583">
        <f>VLOOKUP($H279,'CO2_emission+%_food_waste'!$A:$K,6,FALSE)*$Q279/100</f>
        <v>0</v>
      </c>
      <c r="S279" s="583">
        <f t="shared" si="580"/>
        <v>0</v>
      </c>
      <c r="T279" s="583" t="str">
        <f>IF(H279="Select ingredient:","",IF(G279="Select food category:","",_xlfn.IFNA(VLOOKUP($H279,Ingredient_prices!$E:$U,16,FALSE)*$Q279/1000,"not bought")))</f>
        <v/>
      </c>
      <c r="U279" s="583" t="str">
        <f>IF(G279="Select food category:","",_xlfn.IFNA(VLOOKUP($H279,Ingredient_prices!$E:$U,16,FALSE)*$R279/1000,"not bought"))</f>
        <v/>
      </c>
      <c r="V279" s="549">
        <f>VLOOKUP($H279,'CO2_emission+%_food_waste'!$A:$K,4,FALSE)*$Q279</f>
        <v>0</v>
      </c>
      <c r="W279" s="583">
        <f>VLOOKUP($H279,Nutrition_tables!$A:$N,10,FALSE)*$Q279/100</f>
        <v>0</v>
      </c>
      <c r="X279" s="583">
        <f>VLOOKUP($H279,Nutrition_tables!$A:$N,11,FALSE)*$Q279/100</f>
        <v>0</v>
      </c>
      <c r="Y279" s="583">
        <f>VLOOKUP($H279,Nutrition_tables!$A:$N,12,FALSE)*$Q279/100</f>
        <v>0</v>
      </c>
      <c r="Z279" s="583">
        <f>VLOOKUP($H279,Nutrition_tables!$A:$N,14,FALSE)*$Q279/100</f>
        <v>0</v>
      </c>
      <c r="AA279" s="583">
        <f>VLOOKUP($H279,Nutrition_tables!$A:$AF,13,FALSE)*$Q279/100</f>
        <v>0</v>
      </c>
      <c r="AB279" s="549">
        <f>VLOOKUP($H279,Nutrition_tables!$A:$AF,15,FALSE)*$Q279/100</f>
        <v>0</v>
      </c>
      <c r="AC279" s="583">
        <f>VLOOKUP($H279,Nutrition_tables!$A:$AF,16,FALSE)*$Q279/100</f>
        <v>0</v>
      </c>
      <c r="AD279" s="583">
        <f>VLOOKUP($H279,Nutrition_tables!$A:$AF,17,FALSE)*$Q279/100</f>
        <v>0</v>
      </c>
      <c r="AE279" s="583">
        <f>VLOOKUP($H279,Nutrition_tables!$A:$AF,18,FALSE)*$Q279/100</f>
        <v>0</v>
      </c>
      <c r="AF279" s="583">
        <f>VLOOKUP($H279,Nutrition_tables!$A:$AF,19,FALSE)*$Q279/100</f>
        <v>0</v>
      </c>
      <c r="AG279" s="583">
        <f>VLOOKUP($H279,Nutrition_tables!$A:$AF,20,FALSE)*$Q279/100</f>
        <v>0</v>
      </c>
      <c r="AH279" s="583">
        <f>VLOOKUP($H279,Nutrition_tables!$A:$AF,21,FALSE)*$Q279/100</f>
        <v>0</v>
      </c>
      <c r="AI279" s="583">
        <f>VLOOKUP($H279,Nutrition_tables!$A:$AF,22,FALSE)*$Q279/100</f>
        <v>0</v>
      </c>
      <c r="AJ279" s="549">
        <f>VLOOKUP($H279,Nutrition_tables!$A:$AF,23,FALSE)*$Q279/100</f>
        <v>0</v>
      </c>
      <c r="AK279" s="583">
        <f>VLOOKUP($H279,Nutrition_tables!$A:$AF,24,FALSE)*$Q279/100</f>
        <v>0</v>
      </c>
      <c r="AL279" s="583">
        <f>VLOOKUP($H279,Nutrition_tables!$A:$AF,25,FALSE)*$Q279/100</f>
        <v>0</v>
      </c>
      <c r="AM279" s="583">
        <f>VLOOKUP($H279,Nutrition_tables!$A:$AF,26,FALSE)*$Q279/100</f>
        <v>0</v>
      </c>
      <c r="AN279" s="583">
        <f>VLOOKUP($H279,Nutrition_tables!$A:$AF,27,FALSE)*$Q279/100</f>
        <v>0</v>
      </c>
      <c r="AO279" s="583">
        <f>VLOOKUP($H279,Nutrition_tables!$A:$AF,28,FALSE)*$Q279/100</f>
        <v>0</v>
      </c>
      <c r="AP279" s="583">
        <f>VLOOKUP($H279,Nutrition_tables!$A:$AF,29,FALSE)*$Q279/100</f>
        <v>0</v>
      </c>
      <c r="AQ279" s="583">
        <f>VLOOKUP($H279,Nutrition_tables!$A:$AF,30,FALSE)*$Q279/100</f>
        <v>0</v>
      </c>
      <c r="AR279" s="583">
        <f>VLOOKUP($H279,Nutrition_tables!$A:$AF,31,FALSE)*$Q279/100</f>
        <v>0</v>
      </c>
      <c r="AS279" s="549">
        <f>VLOOKUP($H279,Nutrition_tables!$A:$AF,32,FALSE)*$Q279/100</f>
        <v>0</v>
      </c>
      <c r="AT279" s="583" t="str">
        <f>IF(H279="Select ingredient:","",IF(G279="Select food category:","",IFERROR(VLOOKUP($H279,Ingredient_prices!$E:$W,17,FALSE)*$Q279/1000,"not bought")))</f>
        <v/>
      </c>
      <c r="AU279" s="583" t="str">
        <f>IF(H279="Select ingredient:","",IF(G279="Select food category:","",IFERROR(VLOOKUP($H279,Ingredient_prices!$E:$W,18,FALSE)*$Q279/1000,"not bought")))</f>
        <v/>
      </c>
      <c r="AV279" s="583">
        <f t="shared" si="581"/>
        <v>0</v>
      </c>
      <c r="AW279" s="583">
        <f t="shared" si="582"/>
        <v>0</v>
      </c>
      <c r="AX279" s="583">
        <f t="shared" si="583"/>
        <v>0</v>
      </c>
      <c r="AY279" s="583">
        <f t="shared" si="584"/>
        <v>0</v>
      </c>
      <c r="AZ279" s="583">
        <f t="shared" si="585"/>
        <v>0</v>
      </c>
      <c r="BA279" s="583">
        <f t="shared" si="586"/>
        <v>0</v>
      </c>
      <c r="BB279" s="583">
        <f t="shared" si="587"/>
        <v>0</v>
      </c>
      <c r="BC279" s="583">
        <f t="shared" si="588"/>
        <v>0</v>
      </c>
      <c r="BD279" s="583">
        <f t="shared" si="589"/>
        <v>0</v>
      </c>
      <c r="BE279" s="583">
        <f t="shared" si="590"/>
        <v>0</v>
      </c>
      <c r="BF279" s="583">
        <f t="shared" si="591"/>
        <v>0</v>
      </c>
      <c r="BG279" s="583">
        <f t="shared" si="592"/>
        <v>0</v>
      </c>
      <c r="BH279" s="583">
        <f t="shared" si="593"/>
        <v>0</v>
      </c>
      <c r="BI279" s="583">
        <f t="shared" si="594"/>
        <v>0</v>
      </c>
      <c r="BJ279" s="583">
        <f t="shared" si="595"/>
        <v>0</v>
      </c>
      <c r="BK279" s="583">
        <f t="shared" si="596"/>
        <v>0</v>
      </c>
      <c r="BL279" s="583">
        <f t="shared" si="597"/>
        <v>0</v>
      </c>
      <c r="BM279" s="583">
        <f t="shared" si="598"/>
        <v>0</v>
      </c>
      <c r="BN279" s="583">
        <f t="shared" si="599"/>
        <v>0</v>
      </c>
      <c r="BO279" s="583">
        <f t="shared" si="600"/>
        <v>0</v>
      </c>
      <c r="BP279" s="583">
        <f t="shared" si="601"/>
        <v>0</v>
      </c>
      <c r="BQ279" s="583">
        <f t="shared" si="602"/>
        <v>0</v>
      </c>
      <c r="BR279" s="583">
        <f t="shared" si="603"/>
        <v>0</v>
      </c>
    </row>
    <row r="280" spans="1:70" s="603" customFormat="1" ht="56">
      <c r="A280" s="587"/>
      <c r="B280" s="593"/>
      <c r="C280" s="522"/>
      <c r="D280" s="141"/>
      <c r="E280" s="594"/>
      <c r="F280" s="708"/>
      <c r="G280" s="522"/>
      <c r="H280" s="522"/>
      <c r="I280" s="86"/>
      <c r="J280" s="87"/>
      <c r="K280" s="595"/>
      <c r="L280" s="596"/>
      <c r="M280" s="845"/>
      <c r="N280" s="845"/>
      <c r="O280" s="588"/>
      <c r="P280" s="638"/>
      <c r="Q280" s="599" t="s">
        <v>384</v>
      </c>
      <c r="R280" s="600" t="s">
        <v>455</v>
      </c>
      <c r="S280" s="600" t="s">
        <v>2087</v>
      </c>
      <c r="T280" s="600" t="s">
        <v>456</v>
      </c>
      <c r="U280" s="600" t="s">
        <v>535</v>
      </c>
      <c r="V280" s="601" t="s">
        <v>457</v>
      </c>
      <c r="W280" s="600" t="s">
        <v>75</v>
      </c>
      <c r="X280" s="600" t="s">
        <v>385</v>
      </c>
      <c r="Y280" s="600" t="s">
        <v>386</v>
      </c>
      <c r="Z280" s="600" t="s">
        <v>387</v>
      </c>
      <c r="AA280" s="600" t="s">
        <v>388</v>
      </c>
      <c r="AB280" s="601" t="s">
        <v>389</v>
      </c>
      <c r="AC280" s="602" t="s">
        <v>390</v>
      </c>
      <c r="AD280" s="600" t="s">
        <v>391</v>
      </c>
      <c r="AE280" s="600" t="s">
        <v>392</v>
      </c>
      <c r="AF280" s="600" t="s">
        <v>393</v>
      </c>
      <c r="AG280" s="600" t="s">
        <v>394</v>
      </c>
      <c r="AH280" s="600" t="s">
        <v>395</v>
      </c>
      <c r="AI280" s="600" t="s">
        <v>396</v>
      </c>
      <c r="AJ280" s="601" t="s">
        <v>397</v>
      </c>
      <c r="AK280" s="602" t="s">
        <v>398</v>
      </c>
      <c r="AL280" s="600" t="s">
        <v>399</v>
      </c>
      <c r="AM280" s="600" t="s">
        <v>400</v>
      </c>
      <c r="AN280" s="600" t="s">
        <v>401</v>
      </c>
      <c r="AO280" s="600" t="s">
        <v>402</v>
      </c>
      <c r="AP280" s="600" t="s">
        <v>406</v>
      </c>
      <c r="AQ280" s="600" t="s">
        <v>405</v>
      </c>
      <c r="AR280" s="600" t="s">
        <v>403</v>
      </c>
      <c r="AS280" s="601" t="s">
        <v>404</v>
      </c>
      <c r="AT280" s="593"/>
      <c r="AU280" s="593"/>
    </row>
    <row r="281" spans="1:70" s="229" customFormat="1">
      <c r="A281" s="587"/>
      <c r="B281" s="522"/>
      <c r="C281" s="522"/>
      <c r="D281" s="141"/>
      <c r="E281" s="594"/>
      <c r="F281" s="708"/>
      <c r="G281" s="522"/>
      <c r="H281" s="522"/>
      <c r="I281" s="86"/>
      <c r="J281" s="87"/>
      <c r="K281" s="595"/>
      <c r="L281" s="604"/>
      <c r="M281" s="846"/>
      <c r="N281" s="846"/>
      <c r="O281" s="588"/>
      <c r="P281" s="639" t="s">
        <v>383</v>
      </c>
      <c r="Q281" s="583">
        <f t="shared" ref="Q281:V281" si="605">SUM(Q255:Q279)</f>
        <v>468.5</v>
      </c>
      <c r="R281" s="583">
        <f t="shared" si="605"/>
        <v>140.48400000000001</v>
      </c>
      <c r="S281" s="583">
        <f t="shared" si="605"/>
        <v>328.01600000000002</v>
      </c>
      <c r="T281" s="583">
        <f t="shared" si="605"/>
        <v>71.817285714285703</v>
      </c>
      <c r="U281" s="583">
        <f t="shared" si="605"/>
        <v>25.106946257142855</v>
      </c>
      <c r="V281" s="549">
        <f t="shared" si="605"/>
        <v>966.2299999999999</v>
      </c>
      <c r="W281" s="583">
        <f>SUM(W255:W279)</f>
        <v>905.94827668997664</v>
      </c>
      <c r="X281" s="583">
        <f t="shared" ref="X281" si="606">SUM(X255:X279)</f>
        <v>115.07297668997668</v>
      </c>
      <c r="Y281" s="583">
        <f t="shared" ref="Y281" si="607">SUM(Y255:Y279)</f>
        <v>37.924333333333337</v>
      </c>
      <c r="Z281" s="583">
        <f t="shared" ref="Z281" si="608">SUM(Z255:Z279)</f>
        <v>31.72128997668997</v>
      </c>
      <c r="AA281" s="583">
        <f t="shared" ref="AA281" si="609">SUM(AA255:AA279)</f>
        <v>22.949116550116553</v>
      </c>
      <c r="AB281" s="549">
        <f t="shared" ref="AB281" si="610">SUM(AB255:AB279)</f>
        <v>8.2165839160839145</v>
      </c>
      <c r="AC281" s="583">
        <f t="shared" ref="AC281" si="611">SUM(AC255:AC279)</f>
        <v>731.93997668997667</v>
      </c>
      <c r="AD281" s="583">
        <f t="shared" ref="AD281" si="612">SUM(AD255:AD279)</f>
        <v>1402.8600000000001</v>
      </c>
      <c r="AE281" s="583">
        <f t="shared" ref="AE281" si="613">SUM(AE255:AE279)</f>
        <v>189.43300000000002</v>
      </c>
      <c r="AF281" s="583">
        <f t="shared" ref="AF281" si="614">SUM(AF255:AF279)</f>
        <v>143.36995337995339</v>
      </c>
      <c r="AG281" s="583">
        <f t="shared" ref="AG281" si="615">SUM(AG255:AG279)</f>
        <v>431.16000000000008</v>
      </c>
      <c r="AH281" s="583">
        <f t="shared" ref="AH281" si="616">SUM(AH255:AH279)</f>
        <v>11.565144289044287</v>
      </c>
      <c r="AI281" s="583">
        <f t="shared" ref="AI281" si="617">SUM(AI255:AI279)</f>
        <v>8.1352300699300688</v>
      </c>
      <c r="AJ281" s="549">
        <f t="shared" ref="AJ281" si="618">SUM(AJ255:AJ279)</f>
        <v>1.2592482167832169</v>
      </c>
      <c r="AK281" s="583">
        <f t="shared" ref="AK281" si="619">SUM(AK255:AK279)</f>
        <v>332.52969999999999</v>
      </c>
      <c r="AL281" s="583">
        <f t="shared" ref="AL281" si="620">SUM(AL255:AL279)</f>
        <v>0.79091841491841497</v>
      </c>
      <c r="AM281" s="583">
        <f t="shared" ref="AM281" si="621">SUM(AM255:AM279)</f>
        <v>0.54126270396270404</v>
      </c>
      <c r="AN281" s="583">
        <f t="shared" ref="AN281" si="622">SUM(AN255:AN279)</f>
        <v>8.6324773310023311</v>
      </c>
      <c r="AO281" s="583">
        <f t="shared" ref="AO281" si="623">SUM(AO255:AO279)</f>
        <v>0.90608300699300703</v>
      </c>
      <c r="AP281" s="583">
        <f t="shared" ref="AP281" si="624">SUM(AP255:AP279)</f>
        <v>151.98009324009323</v>
      </c>
      <c r="AQ281" s="583">
        <f t="shared" ref="AQ281" si="625">SUM(AQ255:AQ279)</f>
        <v>0.2940109090909091</v>
      </c>
      <c r="AR281" s="583">
        <f t="shared" ref="AR281" si="626">SUM(AR255:AR279)</f>
        <v>34.533299999999997</v>
      </c>
      <c r="AS281" s="549">
        <f t="shared" ref="AS281" si="627">SUM(AS255:AS279)</f>
        <v>1.2624200000000001</v>
      </c>
      <c r="AT281" s="583">
        <f t="shared" ref="AT281:AU281" si="628">SUM(AT255:AT279)</f>
        <v>65.685284285714289</v>
      </c>
      <c r="AU281" s="583">
        <f t="shared" si="628"/>
        <v>71.817285714285703</v>
      </c>
      <c r="AV281" s="583">
        <f t="shared" ref="AV281:BR281" si="629">SUM(AV255:AV279)</f>
        <v>593.7502026157332</v>
      </c>
      <c r="AW281" s="583">
        <f t="shared" si="629"/>
        <v>79.384799999002041</v>
      </c>
      <c r="AX281" s="583">
        <f t="shared" si="629"/>
        <v>23.942612642378261</v>
      </c>
      <c r="AY281" s="583">
        <f t="shared" si="629"/>
        <v>19.617770775188514</v>
      </c>
      <c r="AZ281" s="583">
        <f t="shared" si="629"/>
        <v>16.218493494830081</v>
      </c>
      <c r="BA281" s="583">
        <f t="shared" si="629"/>
        <v>5.1967202066191955</v>
      </c>
      <c r="BB281" s="583">
        <f t="shared" si="629"/>
        <v>466.2783551801129</v>
      </c>
      <c r="BC281" s="583">
        <f t="shared" si="629"/>
        <v>970.8218410014415</v>
      </c>
      <c r="BD281" s="583">
        <f t="shared" si="629"/>
        <v>129.46768761646763</v>
      </c>
      <c r="BE281" s="583">
        <f t="shared" si="629"/>
        <v>99.047570402668413</v>
      </c>
      <c r="BF281" s="583">
        <f t="shared" si="629"/>
        <v>290.37945879889276</v>
      </c>
      <c r="BG281" s="583">
        <f t="shared" si="629"/>
        <v>7.9426915558356832</v>
      </c>
      <c r="BH281" s="583">
        <f t="shared" si="629"/>
        <v>5.0958495535737516</v>
      </c>
      <c r="BI281" s="583">
        <f t="shared" si="629"/>
        <v>0.86162256652023794</v>
      </c>
      <c r="BJ281" s="583">
        <f t="shared" si="629"/>
        <v>243.8348378333512</v>
      </c>
      <c r="BK281" s="583">
        <f t="shared" si="629"/>
        <v>0.49740311609384646</v>
      </c>
      <c r="BL281" s="583">
        <f t="shared" si="629"/>
        <v>0.34592672239912181</v>
      </c>
      <c r="BM281" s="583">
        <f t="shared" si="629"/>
        <v>5.7684342122904964</v>
      </c>
      <c r="BN281" s="583">
        <f t="shared" si="629"/>
        <v>0.57312636103435655</v>
      </c>
      <c r="BO281" s="583">
        <f t="shared" si="629"/>
        <v>106.41181304525099</v>
      </c>
      <c r="BP281" s="583">
        <f t="shared" si="629"/>
        <v>0.16568640642538501</v>
      </c>
      <c r="BQ281" s="583">
        <f t="shared" si="629"/>
        <v>25.62138145474745</v>
      </c>
      <c r="BR281" s="583">
        <f t="shared" si="629"/>
        <v>0.62895813545439949</v>
      </c>
    </row>
    <row r="282" spans="1:70" s="229" customFormat="1">
      <c r="A282" s="587"/>
      <c r="B282" s="522"/>
      <c r="C282" s="522"/>
      <c r="D282" s="141"/>
      <c r="E282" s="594"/>
      <c r="F282" s="708"/>
      <c r="G282" s="522"/>
      <c r="H282" s="522"/>
      <c r="I282" s="86"/>
      <c r="J282" s="87"/>
      <c r="K282" s="595"/>
      <c r="L282" s="604"/>
      <c r="M282" s="846"/>
      <c r="N282" s="846"/>
      <c r="O282" s="588"/>
      <c r="P282" s="639" t="s">
        <v>545</v>
      </c>
      <c r="V282" s="527" t="s">
        <v>588</v>
      </c>
      <c r="W282" s="229">
        <v>556.5</v>
      </c>
      <c r="X282" s="229">
        <v>69.599999999999994</v>
      </c>
      <c r="Y282" s="229">
        <v>17.399999999999999</v>
      </c>
      <c r="Z282" s="229">
        <v>18.599999999999998</v>
      </c>
      <c r="AA282" s="229">
        <v>5.7</v>
      </c>
      <c r="AB282" s="526">
        <v>6</v>
      </c>
      <c r="AC282" s="229">
        <v>414</v>
      </c>
      <c r="AD282" s="229">
        <v>540</v>
      </c>
      <c r="AE282" s="229">
        <v>270</v>
      </c>
      <c r="AF282" s="229">
        <v>51</v>
      </c>
      <c r="AG282" s="229">
        <v>240</v>
      </c>
      <c r="AH282" s="229">
        <v>3</v>
      </c>
      <c r="AI282" s="229">
        <v>2.1</v>
      </c>
      <c r="AJ282" s="526">
        <v>0.375</v>
      </c>
      <c r="AK282" s="229">
        <v>240</v>
      </c>
      <c r="AL282" s="229">
        <v>0.3</v>
      </c>
      <c r="AM282" s="229">
        <v>0.33</v>
      </c>
      <c r="AN282" s="229">
        <v>3.5999999999999996</v>
      </c>
      <c r="AO282" s="229">
        <v>0.21</v>
      </c>
      <c r="AP282" s="229">
        <v>90</v>
      </c>
      <c r="AQ282" s="229">
        <v>0.54</v>
      </c>
      <c r="AR282" s="229">
        <v>24</v>
      </c>
      <c r="AS282" s="526">
        <v>1.5</v>
      </c>
      <c r="AV282" s="229">
        <v>556.5</v>
      </c>
      <c r="AW282" s="229">
        <v>69.599999999999994</v>
      </c>
      <c r="AX282" s="229">
        <v>17.399999999999999</v>
      </c>
      <c r="AY282" s="229">
        <v>18.599999999999998</v>
      </c>
      <c r="AZ282" s="229">
        <v>5.7</v>
      </c>
      <c r="BA282" s="526">
        <v>6</v>
      </c>
      <c r="BB282" s="229">
        <v>414</v>
      </c>
      <c r="BC282" s="229">
        <v>540</v>
      </c>
      <c r="BD282" s="229">
        <v>270</v>
      </c>
      <c r="BE282" s="229">
        <v>51</v>
      </c>
      <c r="BF282" s="229">
        <v>240</v>
      </c>
      <c r="BG282" s="229">
        <v>3</v>
      </c>
      <c r="BH282" s="229">
        <v>2.1</v>
      </c>
      <c r="BI282" s="526">
        <v>0.375</v>
      </c>
      <c r="BJ282" s="229">
        <v>240</v>
      </c>
      <c r="BK282" s="229">
        <v>0.3</v>
      </c>
      <c r="BL282" s="229">
        <v>0.33</v>
      </c>
      <c r="BM282" s="229">
        <v>3.5999999999999996</v>
      </c>
      <c r="BN282" s="229">
        <v>0.21</v>
      </c>
      <c r="BO282" s="229">
        <v>90</v>
      </c>
      <c r="BP282" s="229">
        <v>0.54</v>
      </c>
      <c r="BQ282" s="229">
        <v>24</v>
      </c>
      <c r="BR282" s="526">
        <v>1.5</v>
      </c>
    </row>
    <row r="283" spans="1:70" s="229" customFormat="1">
      <c r="A283" s="587"/>
      <c r="B283" s="522"/>
      <c r="C283" s="522"/>
      <c r="D283" s="141"/>
      <c r="E283" s="594"/>
      <c r="F283" s="708"/>
      <c r="G283" s="522"/>
      <c r="H283" s="522"/>
      <c r="I283" s="86"/>
      <c r="J283" s="87"/>
      <c r="K283" s="595"/>
      <c r="L283" s="604"/>
      <c r="M283" s="846"/>
      <c r="N283" s="846"/>
      <c r="O283" s="588"/>
      <c r="P283" s="639" t="s">
        <v>407</v>
      </c>
      <c r="V283" s="526"/>
      <c r="W283" s="514">
        <f t="shared" ref="W283:AS283" si="630">100*W281/W282</f>
        <v>162.79394010601555</v>
      </c>
      <c r="X283" s="514">
        <f t="shared" si="630"/>
        <v>165.33473662352972</v>
      </c>
      <c r="Y283" s="514">
        <f t="shared" si="630"/>
        <v>217.95593869731806</v>
      </c>
      <c r="Z283" s="514">
        <f t="shared" si="630"/>
        <v>170.54456976715039</v>
      </c>
      <c r="AA283" s="514">
        <f t="shared" si="630"/>
        <v>402.61607982660621</v>
      </c>
      <c r="AB283" s="506">
        <f t="shared" si="630"/>
        <v>136.94306526806523</v>
      </c>
      <c r="AC283" s="514">
        <f t="shared" si="630"/>
        <v>176.79709581883492</v>
      </c>
      <c r="AD283" s="514">
        <f t="shared" si="630"/>
        <v>259.78888888888889</v>
      </c>
      <c r="AE283" s="514">
        <f t="shared" si="630"/>
        <v>70.160370370370387</v>
      </c>
      <c r="AF283" s="514">
        <f t="shared" si="630"/>
        <v>281.11755564696745</v>
      </c>
      <c r="AG283" s="514">
        <f t="shared" si="630"/>
        <v>179.65000000000003</v>
      </c>
      <c r="AH283" s="514">
        <f t="shared" si="630"/>
        <v>385.50480963480959</v>
      </c>
      <c r="AI283" s="514">
        <f t="shared" si="630"/>
        <v>387.39190809190802</v>
      </c>
      <c r="AJ283" s="506">
        <f t="shared" si="630"/>
        <v>335.79952447552449</v>
      </c>
      <c r="AK283" s="514">
        <f t="shared" si="630"/>
        <v>138.55404166666668</v>
      </c>
      <c r="AL283" s="514">
        <f t="shared" si="630"/>
        <v>263.63947163947165</v>
      </c>
      <c r="AM283" s="514">
        <f t="shared" si="630"/>
        <v>164.01900120081942</v>
      </c>
      <c r="AN283" s="514">
        <f t="shared" si="630"/>
        <v>239.79103697228697</v>
      </c>
      <c r="AO283" s="514">
        <f t="shared" si="630"/>
        <v>431.46809856809858</v>
      </c>
      <c r="AP283" s="514">
        <f t="shared" si="630"/>
        <v>168.86677026677026</v>
      </c>
      <c r="AQ283" s="514">
        <f t="shared" si="630"/>
        <v>54.446464646464648</v>
      </c>
      <c r="AR283" s="514">
        <f t="shared" si="630"/>
        <v>143.88874999999999</v>
      </c>
      <c r="AS283" s="506">
        <f t="shared" si="630"/>
        <v>84.161333333333332</v>
      </c>
      <c r="AV283" s="514">
        <f t="shared" ref="AV283:BR283" si="631">100*AV281/AV282</f>
        <v>106.69365725350103</v>
      </c>
      <c r="AW283" s="514">
        <f t="shared" si="631"/>
        <v>114.05862068822134</v>
      </c>
      <c r="AX283" s="514">
        <f t="shared" si="631"/>
        <v>137.60122208263371</v>
      </c>
      <c r="AY283" s="514">
        <f t="shared" si="631"/>
        <v>105.47188588811031</v>
      </c>
      <c r="AZ283" s="514">
        <f t="shared" si="631"/>
        <v>284.53497359351019</v>
      </c>
      <c r="BA283" s="506">
        <f t="shared" si="631"/>
        <v>86.612003443653251</v>
      </c>
      <c r="BB283" s="514">
        <f t="shared" si="631"/>
        <v>112.62762202418186</v>
      </c>
      <c r="BC283" s="514">
        <f t="shared" si="631"/>
        <v>179.78182240767435</v>
      </c>
      <c r="BD283" s="514">
        <f t="shared" si="631"/>
        <v>47.950995413506526</v>
      </c>
      <c r="BE283" s="514">
        <f t="shared" si="631"/>
        <v>194.21092235817335</v>
      </c>
      <c r="BF283" s="514">
        <f t="shared" si="631"/>
        <v>120.99144116620531</v>
      </c>
      <c r="BG283" s="514">
        <f t="shared" si="631"/>
        <v>264.75638519452281</v>
      </c>
      <c r="BH283" s="514">
        <f t="shared" si="631"/>
        <v>242.65950255113103</v>
      </c>
      <c r="BI283" s="506">
        <f t="shared" si="631"/>
        <v>229.76601773873014</v>
      </c>
      <c r="BJ283" s="514">
        <f t="shared" si="631"/>
        <v>101.59784909722967</v>
      </c>
      <c r="BK283" s="514">
        <f t="shared" si="631"/>
        <v>165.80103869794883</v>
      </c>
      <c r="BL283" s="514">
        <f t="shared" si="631"/>
        <v>104.8262795148854</v>
      </c>
      <c r="BM283" s="514">
        <f t="shared" si="631"/>
        <v>160.23428367473605</v>
      </c>
      <c r="BN283" s="514">
        <f t="shared" si="631"/>
        <v>272.91731477826505</v>
      </c>
      <c r="BO283" s="514">
        <f t="shared" si="631"/>
        <v>118.23534782805667</v>
      </c>
      <c r="BP283" s="514">
        <f t="shared" si="631"/>
        <v>30.682667856552776</v>
      </c>
      <c r="BQ283" s="514">
        <f t="shared" si="631"/>
        <v>106.75575606144771</v>
      </c>
      <c r="BR283" s="506">
        <f t="shared" si="631"/>
        <v>41.930542363626635</v>
      </c>
    </row>
    <row r="284" spans="1:70" s="229" customFormat="1">
      <c r="A284" s="587"/>
      <c r="B284" s="522"/>
      <c r="C284" s="522"/>
      <c r="D284" s="141"/>
      <c r="E284" s="594"/>
      <c r="F284" s="708"/>
      <c r="G284" s="522"/>
      <c r="H284" s="522"/>
      <c r="I284" s="86"/>
      <c r="J284" s="87"/>
      <c r="K284" s="595"/>
      <c r="L284" s="604"/>
      <c r="M284" s="846"/>
      <c r="N284" s="846"/>
      <c r="O284" s="588"/>
      <c r="P284" s="639" t="s">
        <v>548</v>
      </c>
      <c r="V284" s="526"/>
      <c r="W284" s="583">
        <f>AV281</f>
        <v>593.7502026157332</v>
      </c>
      <c r="X284" s="583">
        <f t="shared" ref="X284" si="632">AW281</f>
        <v>79.384799999002041</v>
      </c>
      <c r="Y284" s="583">
        <f t="shared" ref="Y284" si="633">AX281</f>
        <v>23.942612642378261</v>
      </c>
      <c r="Z284" s="583">
        <f t="shared" ref="Z284" si="634">AY281</f>
        <v>19.617770775188514</v>
      </c>
      <c r="AA284" s="583">
        <f t="shared" ref="AA284" si="635">AZ281</f>
        <v>16.218493494830081</v>
      </c>
      <c r="AB284" s="549">
        <f t="shared" ref="AB284" si="636">BA281</f>
        <v>5.1967202066191955</v>
      </c>
      <c r="AC284" s="583">
        <f t="shared" ref="AC284" si="637">BB281</f>
        <v>466.2783551801129</v>
      </c>
      <c r="AD284" s="583">
        <f t="shared" ref="AD284" si="638">BC281</f>
        <v>970.8218410014415</v>
      </c>
      <c r="AE284" s="583">
        <f>BD281</f>
        <v>129.46768761646763</v>
      </c>
      <c r="AF284" s="583">
        <f t="shared" ref="AF284" si="639">BE281</f>
        <v>99.047570402668413</v>
      </c>
      <c r="AG284" s="583">
        <f t="shared" ref="AG284" si="640">BF281</f>
        <v>290.37945879889276</v>
      </c>
      <c r="AH284" s="583">
        <f t="shared" ref="AH284" si="641">BG281</f>
        <v>7.9426915558356832</v>
      </c>
      <c r="AI284" s="583">
        <f t="shared" ref="AI284" si="642">BH281</f>
        <v>5.0958495535737516</v>
      </c>
      <c r="AJ284" s="549">
        <f t="shared" ref="AJ284" si="643">BI281</f>
        <v>0.86162256652023794</v>
      </c>
      <c r="AK284" s="583">
        <f t="shared" ref="AK284" si="644">BJ281</f>
        <v>243.8348378333512</v>
      </c>
      <c r="AL284" s="583">
        <f t="shared" ref="AL284" si="645">BK281</f>
        <v>0.49740311609384646</v>
      </c>
      <c r="AM284" s="583">
        <f t="shared" ref="AM284" si="646">BL281</f>
        <v>0.34592672239912181</v>
      </c>
      <c r="AN284" s="583">
        <f>BM281</f>
        <v>5.7684342122904964</v>
      </c>
      <c r="AO284" s="583">
        <f t="shared" ref="AO284" si="647">BN281</f>
        <v>0.57312636103435655</v>
      </c>
      <c r="AP284" s="583">
        <f t="shared" ref="AP284" si="648">BO281</f>
        <v>106.41181304525099</v>
      </c>
      <c r="AQ284" s="583">
        <f t="shared" ref="AQ284" si="649">BP281</f>
        <v>0.16568640642538501</v>
      </c>
      <c r="AR284" s="583">
        <f t="shared" ref="AR284" si="650">BQ281</f>
        <v>25.62138145474745</v>
      </c>
      <c r="AS284" s="549">
        <f>BR281</f>
        <v>0.62895813545439949</v>
      </c>
    </row>
    <row r="285" spans="1:70" s="229" customFormat="1">
      <c r="A285" s="587"/>
      <c r="B285" s="522"/>
      <c r="C285" s="522"/>
      <c r="D285" s="141"/>
      <c r="E285" s="594"/>
      <c r="F285" s="708"/>
      <c r="G285" s="522"/>
      <c r="H285" s="522"/>
      <c r="I285" s="86"/>
      <c r="J285" s="87"/>
      <c r="K285" s="595"/>
      <c r="L285" s="604"/>
      <c r="M285" s="846"/>
      <c r="N285" s="846"/>
      <c r="O285" s="588"/>
      <c r="P285" s="639" t="s">
        <v>543</v>
      </c>
      <c r="V285" s="526"/>
      <c r="W285" s="514">
        <f t="shared" ref="W285:AS285" si="651">AV283</f>
        <v>106.69365725350103</v>
      </c>
      <c r="X285" s="514">
        <f t="shared" si="651"/>
        <v>114.05862068822134</v>
      </c>
      <c r="Y285" s="514">
        <f t="shared" si="651"/>
        <v>137.60122208263371</v>
      </c>
      <c r="Z285" s="514">
        <f t="shared" si="651"/>
        <v>105.47188588811031</v>
      </c>
      <c r="AA285" s="514">
        <f t="shared" si="651"/>
        <v>284.53497359351019</v>
      </c>
      <c r="AB285" s="506">
        <f t="shared" si="651"/>
        <v>86.612003443653251</v>
      </c>
      <c r="AC285" s="514">
        <f t="shared" si="651"/>
        <v>112.62762202418186</v>
      </c>
      <c r="AD285" s="514">
        <f t="shared" si="651"/>
        <v>179.78182240767435</v>
      </c>
      <c r="AE285" s="514">
        <f t="shared" si="651"/>
        <v>47.950995413506526</v>
      </c>
      <c r="AF285" s="514">
        <f t="shared" si="651"/>
        <v>194.21092235817335</v>
      </c>
      <c r="AG285" s="514">
        <f t="shared" si="651"/>
        <v>120.99144116620531</v>
      </c>
      <c r="AH285" s="514">
        <f t="shared" si="651"/>
        <v>264.75638519452281</v>
      </c>
      <c r="AI285" s="514">
        <f t="shared" si="651"/>
        <v>242.65950255113103</v>
      </c>
      <c r="AJ285" s="506">
        <f t="shared" si="651"/>
        <v>229.76601773873014</v>
      </c>
      <c r="AK285" s="514">
        <f t="shared" si="651"/>
        <v>101.59784909722967</v>
      </c>
      <c r="AL285" s="514">
        <f t="shared" si="651"/>
        <v>165.80103869794883</v>
      </c>
      <c r="AM285" s="514">
        <f t="shared" si="651"/>
        <v>104.8262795148854</v>
      </c>
      <c r="AN285" s="514">
        <f t="shared" si="651"/>
        <v>160.23428367473605</v>
      </c>
      <c r="AO285" s="514">
        <f t="shared" si="651"/>
        <v>272.91731477826505</v>
      </c>
      <c r="AP285" s="514">
        <f t="shared" si="651"/>
        <v>118.23534782805667</v>
      </c>
      <c r="AQ285" s="514">
        <f t="shared" si="651"/>
        <v>30.682667856552776</v>
      </c>
      <c r="AR285" s="514">
        <f t="shared" si="651"/>
        <v>106.75575606144771</v>
      </c>
      <c r="AS285" s="506">
        <f t="shared" si="651"/>
        <v>41.930542363626635</v>
      </c>
      <c r="AV285" s="514"/>
      <c r="AW285" s="514"/>
      <c r="AX285" s="514"/>
      <c r="AY285" s="514"/>
      <c r="AZ285" s="514"/>
      <c r="BA285" s="505"/>
      <c r="BB285" s="514"/>
      <c r="BC285" s="514"/>
      <c r="BD285" s="514"/>
      <c r="BE285" s="514"/>
      <c r="BF285" s="514"/>
      <c r="BG285" s="514"/>
      <c r="BH285" s="514"/>
      <c r="BI285" s="505"/>
      <c r="BJ285" s="514"/>
      <c r="BK285" s="514"/>
      <c r="BL285" s="514"/>
      <c r="BM285" s="514"/>
      <c r="BN285" s="514"/>
      <c r="BO285" s="514"/>
      <c r="BP285" s="514"/>
      <c r="BQ285" s="514"/>
      <c r="BR285" s="505"/>
    </row>
    <row r="286" spans="1:70" s="229" customFormat="1" ht="16" thickBot="1">
      <c r="A286" s="587"/>
      <c r="B286" s="587"/>
      <c r="C286" s="587"/>
      <c r="D286" s="111"/>
      <c r="E286" s="631"/>
      <c r="F286" s="712"/>
      <c r="G286" s="632" t="s">
        <v>3054</v>
      </c>
      <c r="H286" s="633"/>
      <c r="I286" s="686"/>
      <c r="J286" s="686"/>
      <c r="K286" s="587"/>
      <c r="L286" s="634"/>
      <c r="M286" s="843"/>
      <c r="N286" s="843"/>
      <c r="O286" s="588"/>
      <c r="P286" s="587"/>
      <c r="Q286" s="587"/>
      <c r="R286" s="587"/>
      <c r="S286" s="587"/>
      <c r="T286" s="587"/>
      <c r="U286" s="635"/>
      <c r="V286" s="636"/>
      <c r="W286" s="587"/>
      <c r="X286" s="587"/>
      <c r="Y286" s="587"/>
      <c r="Z286" s="587"/>
      <c r="AA286" s="637">
        <f>COUNTIF(AA287:AA298,"&lt;0")</f>
        <v>0</v>
      </c>
      <c r="AB286" s="637">
        <f t="shared" ref="AB286:AN286" si="652">COUNTIF(AB287:AB298,"&lt;0")</f>
        <v>0</v>
      </c>
      <c r="AC286" s="637">
        <f t="shared" si="652"/>
        <v>0</v>
      </c>
      <c r="AD286" s="637">
        <f t="shared" si="652"/>
        <v>0</v>
      </c>
      <c r="AE286" s="637">
        <f t="shared" si="652"/>
        <v>0</v>
      </c>
      <c r="AF286" s="637">
        <f t="shared" si="652"/>
        <v>0</v>
      </c>
      <c r="AG286" s="637">
        <f t="shared" si="652"/>
        <v>0</v>
      </c>
      <c r="AH286" s="637">
        <f t="shared" si="652"/>
        <v>0</v>
      </c>
      <c r="AI286" s="637">
        <f t="shared" si="652"/>
        <v>0</v>
      </c>
      <c r="AJ286" s="637">
        <f t="shared" si="652"/>
        <v>0</v>
      </c>
      <c r="AK286" s="637">
        <f t="shared" si="652"/>
        <v>0</v>
      </c>
      <c r="AL286" s="637">
        <f t="shared" si="652"/>
        <v>0</v>
      </c>
      <c r="AM286" s="637">
        <f t="shared" si="652"/>
        <v>0</v>
      </c>
      <c r="AN286" s="637">
        <f t="shared" si="652"/>
        <v>0</v>
      </c>
      <c r="AO286" s="637">
        <f>COUNTIF(AO287:AO298,"&lt;0")</f>
        <v>0</v>
      </c>
      <c r="AP286" s="637">
        <f t="shared" ref="AP286:AS286" si="653">COUNTIF(AP287:AP298,"&lt;0")</f>
        <v>0</v>
      </c>
      <c r="AQ286" s="637">
        <f t="shared" si="653"/>
        <v>0</v>
      </c>
      <c r="AR286" s="637">
        <f t="shared" si="653"/>
        <v>0</v>
      </c>
      <c r="AS286" s="637">
        <f t="shared" si="653"/>
        <v>0</v>
      </c>
      <c r="AT286" s="1298"/>
      <c r="AU286" s="1298"/>
    </row>
    <row r="287" spans="1:70" s="229" customFormat="1" ht="15" customHeight="1" thickBot="1">
      <c r="A287" s="587"/>
      <c r="B287" s="575" t="s">
        <v>3066</v>
      </c>
      <c r="C287" s="229" t="s">
        <v>1364</v>
      </c>
      <c r="D287" s="85"/>
      <c r="E287" s="577">
        <v>0</v>
      </c>
      <c r="F287" s="707"/>
      <c r="G287" s="406" t="s">
        <v>3054</v>
      </c>
      <c r="H287" s="1262" t="s">
        <v>3055</v>
      </c>
      <c r="I287" s="85">
        <v>0</v>
      </c>
      <c r="J287" s="682">
        <v>1</v>
      </c>
      <c r="K287" s="579" t="str">
        <f t="shared" ref="K287:K298" si="654">IF(I287&gt;0,1.1*Q287*E287/1000,"")</f>
        <v/>
      </c>
      <c r="L287" s="580" t="str">
        <f>IF(H287="Select ingredient:","",IF(G287="","",_xlfn.IFNA(VLOOKUP($H287,Ingredient_prices!$E:$U,16,FALSE),0)))</f>
        <v/>
      </c>
      <c r="M287" s="844"/>
      <c r="N287" s="1228">
        <f>$W300</f>
        <v>0</v>
      </c>
      <c r="O287" s="588"/>
      <c r="P287" s="640"/>
      <c r="Q287" s="583">
        <f t="shared" ref="Q287:Q298" si="655">I287/J287</f>
        <v>0</v>
      </c>
      <c r="R287" s="583">
        <f>VLOOKUP($H287,'CO2_emission+%_food_waste'!$A:$K,6,FALSE)*$Q287/100</f>
        <v>0</v>
      </c>
      <c r="S287" s="583">
        <f t="shared" ref="S287:S298" si="656">Q287-R287</f>
        <v>0</v>
      </c>
      <c r="T287" s="583" t="str">
        <f>IF(H287="Select ingredient:","",IF(G287="Select food category:","",_xlfn.IFNA(VLOOKUP($H287,Ingredient_prices!$E:$U,16,FALSE)*$Q287/1000,"not bought")))</f>
        <v/>
      </c>
      <c r="U287" s="583" t="str">
        <f>IF(G287="Select food category:","",_xlfn.IFNA(VLOOKUP($H287,Ingredient_prices!$E:$U,16,FALSE)*$R287/1000,"not bought"))</f>
        <v/>
      </c>
      <c r="V287" s="549">
        <f>VLOOKUP($H287,'CO2_emission+%_food_waste'!$A:$K,4,FALSE)*$Q287</f>
        <v>0</v>
      </c>
      <c r="W287" s="583">
        <f>VLOOKUP($H287,Nutrition_tables!$A:$N,10,FALSE)*$Q287/100</f>
        <v>0</v>
      </c>
      <c r="X287" s="583">
        <f>VLOOKUP($H287,Nutrition_tables!$A:$N,11,FALSE)*$Q287/100</f>
        <v>0</v>
      </c>
      <c r="Y287" s="583">
        <f>VLOOKUP($H287,Nutrition_tables!$A:$N,12,FALSE)*$Q287/100</f>
        <v>0</v>
      </c>
      <c r="Z287" s="583">
        <f>VLOOKUP($H287,Nutrition_tables!$A:$N,14,FALSE)*$Q287/100</f>
        <v>0</v>
      </c>
      <c r="AA287" s="583">
        <f>VLOOKUP($H287,Nutrition_tables!$A:$AF,13,FALSE)*$Q287/100</f>
        <v>0</v>
      </c>
      <c r="AB287" s="549">
        <f>VLOOKUP($H287,Nutrition_tables!$A:$AF,15,FALSE)*$Q287/100</f>
        <v>0</v>
      </c>
      <c r="AC287" s="583">
        <f>VLOOKUP($H287,Nutrition_tables!$A:$AF,16,FALSE)*$Q287/100</f>
        <v>0</v>
      </c>
      <c r="AD287" s="583">
        <f>VLOOKUP($H287,Nutrition_tables!$A:$AF,17,FALSE)*$Q287/100</f>
        <v>0</v>
      </c>
      <c r="AE287" s="583">
        <f>VLOOKUP($H287,Nutrition_tables!$A:$AF,18,FALSE)*$Q287/100</f>
        <v>0</v>
      </c>
      <c r="AF287" s="583">
        <f>VLOOKUP($H287,Nutrition_tables!$A:$AF,19,FALSE)*$Q287/100</f>
        <v>0</v>
      </c>
      <c r="AG287" s="583">
        <f>VLOOKUP($H287,Nutrition_tables!$A:$AF,20,FALSE)*$Q287/100</f>
        <v>0</v>
      </c>
      <c r="AH287" s="583">
        <f>VLOOKUP($H287,Nutrition_tables!$A:$AF,21,FALSE)*$Q287/100</f>
        <v>0</v>
      </c>
      <c r="AI287" s="583">
        <f>VLOOKUP($H287,Nutrition_tables!$A:$AF,22,FALSE)*$Q287/100</f>
        <v>0</v>
      </c>
      <c r="AJ287" s="549">
        <f>VLOOKUP($H287,Nutrition_tables!$A:$AF,23,FALSE)*$Q287/100</f>
        <v>0</v>
      </c>
      <c r="AK287" s="583">
        <f>VLOOKUP($H287,Nutrition_tables!$A:$AF,24,FALSE)*$Q287/100</f>
        <v>0</v>
      </c>
      <c r="AL287" s="583">
        <f>VLOOKUP($H287,Nutrition_tables!$A:$AF,25,FALSE)*$Q287/100</f>
        <v>0</v>
      </c>
      <c r="AM287" s="583">
        <f>VLOOKUP($H287,Nutrition_tables!$A:$AF,26,FALSE)*$Q287/100</f>
        <v>0</v>
      </c>
      <c r="AN287" s="583">
        <f>VLOOKUP($H287,Nutrition_tables!$A:$AF,27,FALSE)*$Q287/100</f>
        <v>0</v>
      </c>
      <c r="AO287" s="583">
        <f>VLOOKUP($H287,Nutrition_tables!$A:$AF,28,FALSE)*$Q287/100</f>
        <v>0</v>
      </c>
      <c r="AP287" s="583">
        <f>VLOOKUP($H287,Nutrition_tables!$A:$AF,29,FALSE)*$Q287/100</f>
        <v>0</v>
      </c>
      <c r="AQ287" s="583">
        <f>VLOOKUP($H287,Nutrition_tables!$A:$AF,30,FALSE)*$Q287/100</f>
        <v>0</v>
      </c>
      <c r="AR287" s="583">
        <f>VLOOKUP($H287,Nutrition_tables!$A:$AF,31,FALSE)*$Q287/100</f>
        <v>0</v>
      </c>
      <c r="AS287" s="549">
        <f>VLOOKUP($H287,Nutrition_tables!$A:$AF,32,FALSE)*$Q287/100</f>
        <v>0</v>
      </c>
      <c r="AT287" s="583" t="str">
        <f>IF(H287="Select ingredient:","",IF(G287="Select food category:","",IFERROR(VLOOKUP($H287,Ingredient_prices!$E:$W,17,FALSE)*$Q287/1000,"not bought")))</f>
        <v/>
      </c>
      <c r="AU287" s="583" t="str">
        <f>IF(H287="Select ingredient:","",IF(G287="Select food category:","",IFERROR(VLOOKUP($H287,Ingredient_prices!$E:$W,18,FALSE)*$Q287/1000,"not bought")))</f>
        <v/>
      </c>
      <c r="AV287" s="583">
        <f t="shared" ref="AV287:AV298" si="657">W287*($Q287-$R287)/($Q287+0.00001)</f>
        <v>0</v>
      </c>
      <c r="AW287" s="583">
        <f t="shared" ref="AW287:AW298" si="658">X287*($Q287-$R287)/($Q287+0.00001)</f>
        <v>0</v>
      </c>
      <c r="AX287" s="583">
        <f t="shared" ref="AX287:AX298" si="659">Y287*($Q287-$R287)/($Q287+0.00001)</f>
        <v>0</v>
      </c>
      <c r="AY287" s="583">
        <f t="shared" ref="AY287:AY298" si="660">Z287*($Q287-$R287)/($Q287+0.00001)</f>
        <v>0</v>
      </c>
      <c r="AZ287" s="583">
        <f t="shared" ref="AZ287:AZ298" si="661">AA287*($Q287-$R287)/($Q287+0.00001)</f>
        <v>0</v>
      </c>
      <c r="BA287" s="583">
        <f t="shared" ref="BA287:BA298" si="662">AB287*($Q287-$R287)/($Q287+0.00001)</f>
        <v>0</v>
      </c>
      <c r="BB287" s="583">
        <f t="shared" ref="BB287:BB298" si="663">AC287*($Q287-$R287)/($Q287+0.00001)</f>
        <v>0</v>
      </c>
      <c r="BC287" s="583">
        <f t="shared" ref="BC287:BC298" si="664">AD287*($Q287-$R287)/($Q287+0.00001)</f>
        <v>0</v>
      </c>
      <c r="BD287" s="583">
        <f t="shared" ref="BD287:BD298" si="665">AE287*($Q287-$R287)/($Q287+0.00001)</f>
        <v>0</v>
      </c>
      <c r="BE287" s="583">
        <f t="shared" ref="BE287:BE298" si="666">AF287*($Q287-$R287)/($Q287+0.00001)</f>
        <v>0</v>
      </c>
      <c r="BF287" s="583">
        <f t="shared" ref="BF287:BF298" si="667">AG287*($Q287-$R287)/($Q287+0.00001)</f>
        <v>0</v>
      </c>
      <c r="BG287" s="583">
        <f t="shared" ref="BG287:BG298" si="668">AH287*($Q287-$R287)/($Q287+0.00001)</f>
        <v>0</v>
      </c>
      <c r="BH287" s="583">
        <f t="shared" ref="BH287:BH298" si="669">AI287*($Q287-$R287)/($Q287+0.00001)</f>
        <v>0</v>
      </c>
      <c r="BI287" s="583">
        <f t="shared" ref="BI287:BI298" si="670">AJ287*($Q287-$R287)/($Q287+0.00001)</f>
        <v>0</v>
      </c>
      <c r="BJ287" s="583">
        <f t="shared" ref="BJ287:BJ298" si="671">AK287*($Q287-$R287)/($Q287+0.00001)</f>
        <v>0</v>
      </c>
      <c r="BK287" s="583">
        <f t="shared" ref="BK287:BK298" si="672">AL287*($Q287-$R287)/($Q287+0.00001)</f>
        <v>0</v>
      </c>
      <c r="BL287" s="583">
        <f t="shared" ref="BL287:BL298" si="673">AM287*($Q287-$R287)/($Q287+0.00001)</f>
        <v>0</v>
      </c>
      <c r="BM287" s="583">
        <f t="shared" ref="BM287:BM298" si="674">AN287*($Q287-$R287)/($Q287+0.00001)</f>
        <v>0</v>
      </c>
      <c r="BN287" s="583">
        <f t="shared" ref="BN287:BN298" si="675">AO287*($Q287-$R287)/($Q287+0.00001)</f>
        <v>0</v>
      </c>
      <c r="BO287" s="583">
        <f t="shared" ref="BO287:BO298" si="676">AP287*($Q287-$R287)/($Q287+0.00001)</f>
        <v>0</v>
      </c>
      <c r="BP287" s="583">
        <f t="shared" ref="BP287:BP298" si="677">AQ287*($Q287-$R287)/($Q287+0.00001)</f>
        <v>0</v>
      </c>
      <c r="BQ287" s="583">
        <f t="shared" ref="BQ287:BQ298" si="678">AR287*($Q287-$R287)/($Q287+0.00001)</f>
        <v>0</v>
      </c>
      <c r="BR287" s="583">
        <f t="shared" ref="BR287:BR298" si="679">AS287*($Q287-$R287)/($Q287+0.00001)</f>
        <v>0</v>
      </c>
    </row>
    <row r="288" spans="1:70" s="229" customFormat="1" ht="15" customHeight="1">
      <c r="A288" s="587"/>
      <c r="D288" s="85"/>
      <c r="E288" s="576" t="str">
        <f>IF(E$287&gt;0,E$287,"")</f>
        <v/>
      </c>
      <c r="F288" s="707"/>
      <c r="G288" s="406" t="s">
        <v>3054</v>
      </c>
      <c r="H288" s="1262" t="s">
        <v>3055</v>
      </c>
      <c r="I288" s="85">
        <v>0</v>
      </c>
      <c r="J288" s="682">
        <v>1</v>
      </c>
      <c r="K288" s="579" t="str">
        <f t="shared" si="654"/>
        <v/>
      </c>
      <c r="L288" s="580" t="str">
        <f>IF(H288="Select ingredient:","",IF(G288="","",_xlfn.IFNA(VLOOKUP($H288,Ingredient_prices!$E:$U,16,FALSE),0)))</f>
        <v/>
      </c>
      <c r="M288" s="844"/>
      <c r="N288" s="844"/>
      <c r="O288" s="588"/>
      <c r="P288" s="640"/>
      <c r="Q288" s="583">
        <f t="shared" si="655"/>
        <v>0</v>
      </c>
      <c r="R288" s="583">
        <f>VLOOKUP($H288,'CO2_emission+%_food_waste'!$A:$K,6,FALSE)*$Q288/100</f>
        <v>0</v>
      </c>
      <c r="S288" s="583">
        <f t="shared" si="656"/>
        <v>0</v>
      </c>
      <c r="T288" s="583" t="str">
        <f>IF(H288="Select ingredient:","",IF(G288="Select food category:","",_xlfn.IFNA(VLOOKUP($H288,Ingredient_prices!$E:$U,16,FALSE)*$Q288/1000,"not bought")))</f>
        <v/>
      </c>
      <c r="U288" s="583" t="str">
        <f>IF(G288="Select food category:","",_xlfn.IFNA(VLOOKUP($H288,Ingredient_prices!$E:$U,16,FALSE)*$R288/1000,"not bought"))</f>
        <v/>
      </c>
      <c r="V288" s="549">
        <f>VLOOKUP($H288,'CO2_emission+%_food_waste'!$A:$K,4,FALSE)*$Q288</f>
        <v>0</v>
      </c>
      <c r="W288" s="583">
        <f>VLOOKUP($H288,Nutrition_tables!$A:$N,10,FALSE)*$Q288/100</f>
        <v>0</v>
      </c>
      <c r="X288" s="583">
        <f>VLOOKUP($H288,Nutrition_tables!$A:$N,11,FALSE)*$Q288/100</f>
        <v>0</v>
      </c>
      <c r="Y288" s="583">
        <f>VLOOKUP($H288,Nutrition_tables!$A:$N,12,FALSE)*$Q288/100</f>
        <v>0</v>
      </c>
      <c r="Z288" s="583">
        <f>VLOOKUP($H288,Nutrition_tables!$A:$N,14,FALSE)*$Q288/100</f>
        <v>0</v>
      </c>
      <c r="AA288" s="583">
        <f>VLOOKUP($H288,Nutrition_tables!$A:$AF,13,FALSE)*$Q288/100</f>
        <v>0</v>
      </c>
      <c r="AB288" s="549">
        <f>VLOOKUP($H288,Nutrition_tables!$A:$AF,15,FALSE)*$Q288/100</f>
        <v>0</v>
      </c>
      <c r="AC288" s="583">
        <f>VLOOKUP($H288,Nutrition_tables!$A:$AF,16,FALSE)*$Q288/100</f>
        <v>0</v>
      </c>
      <c r="AD288" s="583">
        <f>VLOOKUP($H288,Nutrition_tables!$A:$AF,17,FALSE)*$Q288/100</f>
        <v>0</v>
      </c>
      <c r="AE288" s="583">
        <f>VLOOKUP($H288,Nutrition_tables!$A:$AF,18,FALSE)*$Q288/100</f>
        <v>0</v>
      </c>
      <c r="AF288" s="583">
        <f>VLOOKUP($H288,Nutrition_tables!$A:$AF,19,FALSE)*$Q288/100</f>
        <v>0</v>
      </c>
      <c r="AG288" s="583">
        <f>VLOOKUP($H288,Nutrition_tables!$A:$AF,20,FALSE)*$Q288/100</f>
        <v>0</v>
      </c>
      <c r="AH288" s="583">
        <f>VLOOKUP($H288,Nutrition_tables!$A:$AF,21,FALSE)*$Q288/100</f>
        <v>0</v>
      </c>
      <c r="AI288" s="583">
        <f>VLOOKUP($H288,Nutrition_tables!$A:$AF,22,FALSE)*$Q288/100</f>
        <v>0</v>
      </c>
      <c r="AJ288" s="549">
        <f>VLOOKUP($H288,Nutrition_tables!$A:$AF,23,FALSE)*$Q288/100</f>
        <v>0</v>
      </c>
      <c r="AK288" s="583">
        <f>VLOOKUP($H288,Nutrition_tables!$A:$AF,24,FALSE)*$Q288/100</f>
        <v>0</v>
      </c>
      <c r="AL288" s="583">
        <f>VLOOKUP($H288,Nutrition_tables!$A:$AF,25,FALSE)*$Q288/100</f>
        <v>0</v>
      </c>
      <c r="AM288" s="583">
        <f>VLOOKUP($H288,Nutrition_tables!$A:$AF,26,FALSE)*$Q288/100</f>
        <v>0</v>
      </c>
      <c r="AN288" s="583">
        <f>VLOOKUP($H288,Nutrition_tables!$A:$AF,27,FALSE)*$Q288/100</f>
        <v>0</v>
      </c>
      <c r="AO288" s="583">
        <f>VLOOKUP($H288,Nutrition_tables!$A:$AF,28,FALSE)*$Q288/100</f>
        <v>0</v>
      </c>
      <c r="AP288" s="583">
        <f>VLOOKUP($H288,Nutrition_tables!$A:$AF,29,FALSE)*$Q288/100</f>
        <v>0</v>
      </c>
      <c r="AQ288" s="583">
        <f>VLOOKUP($H288,Nutrition_tables!$A:$AF,30,FALSE)*$Q288/100</f>
        <v>0</v>
      </c>
      <c r="AR288" s="583">
        <f>VLOOKUP($H288,Nutrition_tables!$A:$AF,31,FALSE)*$Q288/100</f>
        <v>0</v>
      </c>
      <c r="AS288" s="549">
        <f>VLOOKUP($H288,Nutrition_tables!$A:$AF,32,FALSE)*$Q288/100</f>
        <v>0</v>
      </c>
      <c r="AT288" s="583" t="str">
        <f>IF(H288="Select ingredient:","",IF(G288="Select food category:","",IFERROR(VLOOKUP($H288,Ingredient_prices!$E:$W,17,FALSE)*$Q288/1000,"not bought")))</f>
        <v/>
      </c>
      <c r="AU288" s="583" t="str">
        <f>IF(H288="Select ingredient:","",IF(G288="Select food category:","",IFERROR(VLOOKUP($H288,Ingredient_prices!$E:$W,18,FALSE)*$Q288/1000,"not bought")))</f>
        <v/>
      </c>
      <c r="AV288" s="583">
        <f t="shared" si="657"/>
        <v>0</v>
      </c>
      <c r="AW288" s="583">
        <f t="shared" si="658"/>
        <v>0</v>
      </c>
      <c r="AX288" s="583">
        <f t="shared" si="659"/>
        <v>0</v>
      </c>
      <c r="AY288" s="583">
        <f t="shared" si="660"/>
        <v>0</v>
      </c>
      <c r="AZ288" s="583">
        <f t="shared" si="661"/>
        <v>0</v>
      </c>
      <c r="BA288" s="583">
        <f t="shared" si="662"/>
        <v>0</v>
      </c>
      <c r="BB288" s="583">
        <f t="shared" si="663"/>
        <v>0</v>
      </c>
      <c r="BC288" s="583">
        <f t="shared" si="664"/>
        <v>0</v>
      </c>
      <c r="BD288" s="583">
        <f t="shared" si="665"/>
        <v>0</v>
      </c>
      <c r="BE288" s="583">
        <f t="shared" si="666"/>
        <v>0</v>
      </c>
      <c r="BF288" s="583">
        <f t="shared" si="667"/>
        <v>0</v>
      </c>
      <c r="BG288" s="583">
        <f t="shared" si="668"/>
        <v>0</v>
      </c>
      <c r="BH288" s="583">
        <f t="shared" si="669"/>
        <v>0</v>
      </c>
      <c r="BI288" s="583">
        <f t="shared" si="670"/>
        <v>0</v>
      </c>
      <c r="BJ288" s="583">
        <f t="shared" si="671"/>
        <v>0</v>
      </c>
      <c r="BK288" s="583">
        <f t="shared" si="672"/>
        <v>0</v>
      </c>
      <c r="BL288" s="583">
        <f t="shared" si="673"/>
        <v>0</v>
      </c>
      <c r="BM288" s="583">
        <f t="shared" si="674"/>
        <v>0</v>
      </c>
      <c r="BN288" s="583">
        <f t="shared" si="675"/>
        <v>0</v>
      </c>
      <c r="BO288" s="583">
        <f t="shared" si="676"/>
        <v>0</v>
      </c>
      <c r="BP288" s="583">
        <f t="shared" si="677"/>
        <v>0</v>
      </c>
      <c r="BQ288" s="583">
        <f t="shared" si="678"/>
        <v>0</v>
      </c>
      <c r="BR288" s="583">
        <f t="shared" si="679"/>
        <v>0</v>
      </c>
    </row>
    <row r="289" spans="1:70" s="229" customFormat="1" ht="15" customHeight="1">
      <c r="A289" s="587"/>
      <c r="D289" s="85"/>
      <c r="E289" s="576" t="str">
        <f t="shared" ref="E289:E298" si="680">IF(E$287&gt;0,E$287,"")</f>
        <v/>
      </c>
      <c r="F289" s="707"/>
      <c r="G289" s="406" t="s">
        <v>3054</v>
      </c>
      <c r="H289" s="1262" t="s">
        <v>3055</v>
      </c>
      <c r="I289" s="85">
        <v>0</v>
      </c>
      <c r="J289" s="682">
        <v>1</v>
      </c>
      <c r="K289" s="579" t="str">
        <f t="shared" si="654"/>
        <v/>
      </c>
      <c r="L289" s="580" t="str">
        <f>IF(H289="Select ingredient:","",IF(G289="","",_xlfn.IFNA(VLOOKUP($H289,Ingredient_prices!$E:$U,16,FALSE),0)))</f>
        <v/>
      </c>
      <c r="M289" s="844"/>
      <c r="N289" s="844"/>
      <c r="O289" s="588"/>
      <c r="P289" s="640"/>
      <c r="Q289" s="583">
        <f t="shared" si="655"/>
        <v>0</v>
      </c>
      <c r="R289" s="583">
        <f>VLOOKUP($H289,'CO2_emission+%_food_waste'!$A:$K,6,FALSE)*$Q289/100</f>
        <v>0</v>
      </c>
      <c r="S289" s="583">
        <f t="shared" si="656"/>
        <v>0</v>
      </c>
      <c r="T289" s="583" t="str">
        <f>IF(H289="Select ingredient:","",IF(G289="Select food category:","",_xlfn.IFNA(VLOOKUP($H289,Ingredient_prices!$E:$U,16,FALSE)*$Q289/1000,"not bought")))</f>
        <v/>
      </c>
      <c r="U289" s="583" t="str">
        <f>IF(G289="Select food category:","",_xlfn.IFNA(VLOOKUP($H289,Ingredient_prices!$E:$U,16,FALSE)*$R289/1000,"not bought"))</f>
        <v/>
      </c>
      <c r="V289" s="549">
        <f>VLOOKUP($H289,'CO2_emission+%_food_waste'!$A:$K,4,FALSE)*$Q289</f>
        <v>0</v>
      </c>
      <c r="W289" s="583">
        <f>VLOOKUP($H289,Nutrition_tables!$A:$N,10,FALSE)*$Q289/100</f>
        <v>0</v>
      </c>
      <c r="X289" s="583">
        <f>VLOOKUP($H289,Nutrition_tables!$A:$N,11,FALSE)*$Q289/100</f>
        <v>0</v>
      </c>
      <c r="Y289" s="583">
        <f>VLOOKUP($H289,Nutrition_tables!$A:$N,12,FALSE)*$Q289/100</f>
        <v>0</v>
      </c>
      <c r="Z289" s="583">
        <f>VLOOKUP($H289,Nutrition_tables!$A:$N,14,FALSE)*$Q289/100</f>
        <v>0</v>
      </c>
      <c r="AA289" s="583">
        <f>VLOOKUP($H289,Nutrition_tables!$A:$AF,13,FALSE)*$Q289/100</f>
        <v>0</v>
      </c>
      <c r="AB289" s="549">
        <f>VLOOKUP($H289,Nutrition_tables!$A:$AF,15,FALSE)*$Q289/100</f>
        <v>0</v>
      </c>
      <c r="AC289" s="583">
        <f>VLOOKUP($H289,Nutrition_tables!$A:$AF,16,FALSE)*$Q289/100</f>
        <v>0</v>
      </c>
      <c r="AD289" s="583">
        <f>VLOOKUP($H289,Nutrition_tables!$A:$AF,17,FALSE)*$Q289/100</f>
        <v>0</v>
      </c>
      <c r="AE289" s="583">
        <f>VLOOKUP($H289,Nutrition_tables!$A:$AF,18,FALSE)*$Q289/100</f>
        <v>0</v>
      </c>
      <c r="AF289" s="583">
        <f>VLOOKUP($H289,Nutrition_tables!$A:$AF,19,FALSE)*$Q289/100</f>
        <v>0</v>
      </c>
      <c r="AG289" s="583">
        <f>VLOOKUP($H289,Nutrition_tables!$A:$AF,20,FALSE)*$Q289/100</f>
        <v>0</v>
      </c>
      <c r="AH289" s="583">
        <f>VLOOKUP($H289,Nutrition_tables!$A:$AF,21,FALSE)*$Q289/100</f>
        <v>0</v>
      </c>
      <c r="AI289" s="583">
        <f>VLOOKUP($H289,Nutrition_tables!$A:$AF,22,FALSE)*$Q289/100</f>
        <v>0</v>
      </c>
      <c r="AJ289" s="549">
        <f>VLOOKUP($H289,Nutrition_tables!$A:$AF,23,FALSE)*$Q289/100</f>
        <v>0</v>
      </c>
      <c r="AK289" s="583">
        <f>VLOOKUP($H289,Nutrition_tables!$A:$AF,24,FALSE)*$Q289/100</f>
        <v>0</v>
      </c>
      <c r="AL289" s="583">
        <f>VLOOKUP($H289,Nutrition_tables!$A:$AF,25,FALSE)*$Q289/100</f>
        <v>0</v>
      </c>
      <c r="AM289" s="583">
        <f>VLOOKUP($H289,Nutrition_tables!$A:$AF,26,FALSE)*$Q289/100</f>
        <v>0</v>
      </c>
      <c r="AN289" s="583">
        <f>VLOOKUP($H289,Nutrition_tables!$A:$AF,27,FALSE)*$Q289/100</f>
        <v>0</v>
      </c>
      <c r="AO289" s="583">
        <f>VLOOKUP($H289,Nutrition_tables!$A:$AF,28,FALSE)*$Q289/100</f>
        <v>0</v>
      </c>
      <c r="AP289" s="583">
        <f>VLOOKUP($H289,Nutrition_tables!$A:$AF,29,FALSE)*$Q289/100</f>
        <v>0</v>
      </c>
      <c r="AQ289" s="583">
        <f>VLOOKUP($H289,Nutrition_tables!$A:$AF,30,FALSE)*$Q289/100</f>
        <v>0</v>
      </c>
      <c r="AR289" s="583">
        <f>VLOOKUP($H289,Nutrition_tables!$A:$AF,31,FALSE)*$Q289/100</f>
        <v>0</v>
      </c>
      <c r="AS289" s="549">
        <f>VLOOKUP($H289,Nutrition_tables!$A:$AF,32,FALSE)*$Q289/100</f>
        <v>0</v>
      </c>
      <c r="AT289" s="583" t="str">
        <f>IF(H289="Select ingredient:","",IF(G289="Select food category:","",IFERROR(VLOOKUP($H289,Ingredient_prices!$E:$W,17,FALSE)*$Q289/1000,"not bought")))</f>
        <v/>
      </c>
      <c r="AU289" s="583" t="str">
        <f>IF(H289="Select ingredient:","",IF(G289="Select food category:","",IFERROR(VLOOKUP($H289,Ingredient_prices!$E:$W,18,FALSE)*$Q289/1000,"not bought")))</f>
        <v/>
      </c>
      <c r="AV289" s="583">
        <f t="shared" si="657"/>
        <v>0</v>
      </c>
      <c r="AW289" s="583">
        <f t="shared" si="658"/>
        <v>0</v>
      </c>
      <c r="AX289" s="583">
        <f t="shared" si="659"/>
        <v>0</v>
      </c>
      <c r="AY289" s="583">
        <f t="shared" si="660"/>
        <v>0</v>
      </c>
      <c r="AZ289" s="583">
        <f t="shared" si="661"/>
        <v>0</v>
      </c>
      <c r="BA289" s="583">
        <f t="shared" si="662"/>
        <v>0</v>
      </c>
      <c r="BB289" s="583">
        <f t="shared" si="663"/>
        <v>0</v>
      </c>
      <c r="BC289" s="583">
        <f t="shared" si="664"/>
        <v>0</v>
      </c>
      <c r="BD289" s="583">
        <f t="shared" si="665"/>
        <v>0</v>
      </c>
      <c r="BE289" s="583">
        <f t="shared" si="666"/>
        <v>0</v>
      </c>
      <c r="BF289" s="583">
        <f t="shared" si="667"/>
        <v>0</v>
      </c>
      <c r="BG289" s="583">
        <f t="shared" si="668"/>
        <v>0</v>
      </c>
      <c r="BH289" s="583">
        <f t="shared" si="669"/>
        <v>0</v>
      </c>
      <c r="BI289" s="583">
        <f t="shared" si="670"/>
        <v>0</v>
      </c>
      <c r="BJ289" s="583">
        <f t="shared" si="671"/>
        <v>0</v>
      </c>
      <c r="BK289" s="583">
        <f t="shared" si="672"/>
        <v>0</v>
      </c>
      <c r="BL289" s="583">
        <f t="shared" si="673"/>
        <v>0</v>
      </c>
      <c r="BM289" s="583">
        <f t="shared" si="674"/>
        <v>0</v>
      </c>
      <c r="BN289" s="583">
        <f t="shared" si="675"/>
        <v>0</v>
      </c>
      <c r="BO289" s="583">
        <f t="shared" si="676"/>
        <v>0</v>
      </c>
      <c r="BP289" s="583">
        <f t="shared" si="677"/>
        <v>0</v>
      </c>
      <c r="BQ289" s="583">
        <f t="shared" si="678"/>
        <v>0</v>
      </c>
      <c r="BR289" s="583">
        <f t="shared" si="679"/>
        <v>0</v>
      </c>
    </row>
    <row r="290" spans="1:70" s="229" customFormat="1" ht="15" customHeight="1">
      <c r="A290" s="587"/>
      <c r="D290" s="85"/>
      <c r="E290" s="576" t="str">
        <f t="shared" si="680"/>
        <v/>
      </c>
      <c r="F290" s="707"/>
      <c r="G290" s="406" t="s">
        <v>3054</v>
      </c>
      <c r="H290" s="1262" t="s">
        <v>3055</v>
      </c>
      <c r="I290" s="85">
        <v>0</v>
      </c>
      <c r="J290" s="682">
        <v>1</v>
      </c>
      <c r="K290" s="579" t="str">
        <f t="shared" si="654"/>
        <v/>
      </c>
      <c r="L290" s="580" t="str">
        <f>IF(H290="Select ingredient:","",IF(G290="","",_xlfn.IFNA(VLOOKUP($H290,Ingredient_prices!$E:$U,16,FALSE),0)))</f>
        <v/>
      </c>
      <c r="M290" s="844"/>
      <c r="N290" s="844"/>
      <c r="O290" s="588"/>
      <c r="P290" s="640"/>
      <c r="Q290" s="583">
        <f t="shared" si="655"/>
        <v>0</v>
      </c>
      <c r="R290" s="583">
        <f>VLOOKUP($H290,'CO2_emission+%_food_waste'!$A:$K,6,FALSE)*$Q290/100</f>
        <v>0</v>
      </c>
      <c r="S290" s="583">
        <f t="shared" si="656"/>
        <v>0</v>
      </c>
      <c r="T290" s="583" t="str">
        <f>IF(H290="Select ingredient:","",IF(G290="Select food category:","",_xlfn.IFNA(VLOOKUP($H290,Ingredient_prices!$E:$U,16,FALSE)*$Q290/1000,"not bought")))</f>
        <v/>
      </c>
      <c r="U290" s="583" t="str">
        <f>IF(G290="Select food category:","",_xlfn.IFNA(VLOOKUP($H290,Ingredient_prices!$E:$U,16,FALSE)*$R290/1000,"not bought"))</f>
        <v/>
      </c>
      <c r="V290" s="549">
        <f>VLOOKUP($H290,'CO2_emission+%_food_waste'!$A:$K,4,FALSE)*$Q290</f>
        <v>0</v>
      </c>
      <c r="W290" s="583">
        <f>VLOOKUP($H290,Nutrition_tables!$A:$N,10,FALSE)*$Q290/100</f>
        <v>0</v>
      </c>
      <c r="X290" s="583">
        <f>VLOOKUP($H290,Nutrition_tables!$A:$N,11,FALSE)*$Q290/100</f>
        <v>0</v>
      </c>
      <c r="Y290" s="583">
        <f>VLOOKUP($H290,Nutrition_tables!$A:$N,12,FALSE)*$Q290/100</f>
        <v>0</v>
      </c>
      <c r="Z290" s="583">
        <f>VLOOKUP($H290,Nutrition_tables!$A:$N,14,FALSE)*$Q290/100</f>
        <v>0</v>
      </c>
      <c r="AA290" s="583">
        <f>VLOOKUP($H290,Nutrition_tables!$A:$AF,13,FALSE)*$Q290/100</f>
        <v>0</v>
      </c>
      <c r="AB290" s="549">
        <f>VLOOKUP($H290,Nutrition_tables!$A:$AF,15,FALSE)*$Q290/100</f>
        <v>0</v>
      </c>
      <c r="AC290" s="583">
        <f>VLOOKUP($H290,Nutrition_tables!$A:$AF,16,FALSE)*$Q290/100</f>
        <v>0</v>
      </c>
      <c r="AD290" s="583">
        <f>VLOOKUP($H290,Nutrition_tables!$A:$AF,17,FALSE)*$Q290/100</f>
        <v>0</v>
      </c>
      <c r="AE290" s="583">
        <f>VLOOKUP($H290,Nutrition_tables!$A:$AF,18,FALSE)*$Q290/100</f>
        <v>0</v>
      </c>
      <c r="AF290" s="583">
        <f>VLOOKUP($H290,Nutrition_tables!$A:$AF,19,FALSE)*$Q290/100</f>
        <v>0</v>
      </c>
      <c r="AG290" s="583">
        <f>VLOOKUP($H290,Nutrition_tables!$A:$AF,20,FALSE)*$Q290/100</f>
        <v>0</v>
      </c>
      <c r="AH290" s="583">
        <f>VLOOKUP($H290,Nutrition_tables!$A:$AF,21,FALSE)*$Q290/100</f>
        <v>0</v>
      </c>
      <c r="AI290" s="583">
        <f>VLOOKUP($H290,Nutrition_tables!$A:$AF,22,FALSE)*$Q290/100</f>
        <v>0</v>
      </c>
      <c r="AJ290" s="549">
        <f>VLOOKUP($H290,Nutrition_tables!$A:$AF,23,FALSE)*$Q290/100</f>
        <v>0</v>
      </c>
      <c r="AK290" s="583">
        <f>VLOOKUP($H290,Nutrition_tables!$A:$AF,24,FALSE)*$Q290/100</f>
        <v>0</v>
      </c>
      <c r="AL290" s="583">
        <f>VLOOKUP($H290,Nutrition_tables!$A:$AF,25,FALSE)*$Q290/100</f>
        <v>0</v>
      </c>
      <c r="AM290" s="583">
        <f>VLOOKUP($H290,Nutrition_tables!$A:$AF,26,FALSE)*$Q290/100</f>
        <v>0</v>
      </c>
      <c r="AN290" s="583">
        <f>VLOOKUP($H290,Nutrition_tables!$A:$AF,27,FALSE)*$Q290/100</f>
        <v>0</v>
      </c>
      <c r="AO290" s="583">
        <f>VLOOKUP($H290,Nutrition_tables!$A:$AF,28,FALSE)*$Q290/100</f>
        <v>0</v>
      </c>
      <c r="AP290" s="583">
        <f>VLOOKUP($H290,Nutrition_tables!$A:$AF,29,FALSE)*$Q290/100</f>
        <v>0</v>
      </c>
      <c r="AQ290" s="583">
        <f>VLOOKUP($H290,Nutrition_tables!$A:$AF,30,FALSE)*$Q290/100</f>
        <v>0</v>
      </c>
      <c r="AR290" s="583">
        <f>VLOOKUP($H290,Nutrition_tables!$A:$AF,31,FALSE)*$Q290/100</f>
        <v>0</v>
      </c>
      <c r="AS290" s="549">
        <f>VLOOKUP($H290,Nutrition_tables!$A:$AF,32,FALSE)*$Q290/100</f>
        <v>0</v>
      </c>
      <c r="AT290" s="583" t="str">
        <f>IF(H290="Select ingredient:","",IF(G290="Select food category:","",IFERROR(VLOOKUP($H290,Ingredient_prices!$E:$W,17,FALSE)*$Q290/1000,"not bought")))</f>
        <v/>
      </c>
      <c r="AU290" s="583" t="str">
        <f>IF(H290="Select ingredient:","",IF(G290="Select food category:","",IFERROR(VLOOKUP($H290,Ingredient_prices!$E:$W,18,FALSE)*$Q290/1000,"not bought")))</f>
        <v/>
      </c>
      <c r="AV290" s="583">
        <f t="shared" si="657"/>
        <v>0</v>
      </c>
      <c r="AW290" s="583">
        <f t="shared" si="658"/>
        <v>0</v>
      </c>
      <c r="AX290" s="583">
        <f t="shared" si="659"/>
        <v>0</v>
      </c>
      <c r="AY290" s="583">
        <f t="shared" si="660"/>
        <v>0</v>
      </c>
      <c r="AZ290" s="583">
        <f t="shared" si="661"/>
        <v>0</v>
      </c>
      <c r="BA290" s="583">
        <f t="shared" si="662"/>
        <v>0</v>
      </c>
      <c r="BB290" s="583">
        <f t="shared" si="663"/>
        <v>0</v>
      </c>
      <c r="BC290" s="583">
        <f t="shared" si="664"/>
        <v>0</v>
      </c>
      <c r="BD290" s="583">
        <f t="shared" si="665"/>
        <v>0</v>
      </c>
      <c r="BE290" s="583">
        <f t="shared" si="666"/>
        <v>0</v>
      </c>
      <c r="BF290" s="583">
        <f t="shared" si="667"/>
        <v>0</v>
      </c>
      <c r="BG290" s="583">
        <f t="shared" si="668"/>
        <v>0</v>
      </c>
      <c r="BH290" s="583">
        <f t="shared" si="669"/>
        <v>0</v>
      </c>
      <c r="BI290" s="583">
        <f t="shared" si="670"/>
        <v>0</v>
      </c>
      <c r="BJ290" s="583">
        <f t="shared" si="671"/>
        <v>0</v>
      </c>
      <c r="BK290" s="583">
        <f t="shared" si="672"/>
        <v>0</v>
      </c>
      <c r="BL290" s="583">
        <f t="shared" si="673"/>
        <v>0</v>
      </c>
      <c r="BM290" s="583">
        <f t="shared" si="674"/>
        <v>0</v>
      </c>
      <c r="BN290" s="583">
        <f t="shared" si="675"/>
        <v>0</v>
      </c>
      <c r="BO290" s="583">
        <f t="shared" si="676"/>
        <v>0</v>
      </c>
      <c r="BP290" s="583">
        <f t="shared" si="677"/>
        <v>0</v>
      </c>
      <c r="BQ290" s="583">
        <f t="shared" si="678"/>
        <v>0</v>
      </c>
      <c r="BR290" s="583">
        <f t="shared" si="679"/>
        <v>0</v>
      </c>
    </row>
    <row r="291" spans="1:70" s="229" customFormat="1" ht="15" customHeight="1">
      <c r="A291" s="587"/>
      <c r="D291" s="85"/>
      <c r="E291" s="576" t="str">
        <f t="shared" si="680"/>
        <v/>
      </c>
      <c r="F291" s="707"/>
      <c r="G291" s="406" t="s">
        <v>3054</v>
      </c>
      <c r="H291" s="1262" t="s">
        <v>3055</v>
      </c>
      <c r="I291" s="85">
        <v>0</v>
      </c>
      <c r="J291" s="682">
        <v>1</v>
      </c>
      <c r="K291" s="579" t="str">
        <f t="shared" si="654"/>
        <v/>
      </c>
      <c r="L291" s="580" t="str">
        <f>IF(H291="Select ingredient:","",IF(G291="","",_xlfn.IFNA(VLOOKUP($H291,Ingredient_prices!$E:$U,16,FALSE),0)))</f>
        <v/>
      </c>
      <c r="M291" s="844"/>
      <c r="N291" s="844"/>
      <c r="O291" s="588"/>
      <c r="P291" s="640"/>
      <c r="Q291" s="583">
        <f t="shared" si="655"/>
        <v>0</v>
      </c>
      <c r="R291" s="583">
        <f>VLOOKUP($H291,'CO2_emission+%_food_waste'!$A:$K,6,FALSE)*$Q291/100</f>
        <v>0</v>
      </c>
      <c r="S291" s="583">
        <f t="shared" si="656"/>
        <v>0</v>
      </c>
      <c r="T291" s="583" t="str">
        <f>IF(H291="Select ingredient:","",IF(G291="Select food category:","",_xlfn.IFNA(VLOOKUP($H291,Ingredient_prices!$E:$U,16,FALSE)*$Q291/1000,"not bought")))</f>
        <v/>
      </c>
      <c r="U291" s="583" t="str">
        <f>IF(G291="Select food category:","",_xlfn.IFNA(VLOOKUP($H291,Ingredient_prices!$E:$U,16,FALSE)*$R291/1000,"not bought"))</f>
        <v/>
      </c>
      <c r="V291" s="549">
        <f>VLOOKUP($H291,'CO2_emission+%_food_waste'!$A:$K,4,FALSE)*$Q291</f>
        <v>0</v>
      </c>
      <c r="W291" s="583">
        <f>VLOOKUP($H291,Nutrition_tables!$A:$N,10,FALSE)*$Q291/100</f>
        <v>0</v>
      </c>
      <c r="X291" s="583">
        <f>VLOOKUP($H291,Nutrition_tables!$A:$N,11,FALSE)*$Q291/100</f>
        <v>0</v>
      </c>
      <c r="Y291" s="583">
        <f>VLOOKUP($H291,Nutrition_tables!$A:$N,12,FALSE)*$Q291/100</f>
        <v>0</v>
      </c>
      <c r="Z291" s="583">
        <f>VLOOKUP($H291,Nutrition_tables!$A:$N,14,FALSE)*$Q291/100</f>
        <v>0</v>
      </c>
      <c r="AA291" s="583">
        <f>VLOOKUP($H291,Nutrition_tables!$A:$AF,13,FALSE)*$Q291/100</f>
        <v>0</v>
      </c>
      <c r="AB291" s="549">
        <f>VLOOKUP($H291,Nutrition_tables!$A:$AF,15,FALSE)*$Q291/100</f>
        <v>0</v>
      </c>
      <c r="AC291" s="583">
        <f>VLOOKUP($H291,Nutrition_tables!$A:$AF,16,FALSE)*$Q291/100</f>
        <v>0</v>
      </c>
      <c r="AD291" s="583">
        <f>VLOOKUP($H291,Nutrition_tables!$A:$AF,17,FALSE)*$Q291/100</f>
        <v>0</v>
      </c>
      <c r="AE291" s="583">
        <f>VLOOKUP($H291,Nutrition_tables!$A:$AF,18,FALSE)*$Q291/100</f>
        <v>0</v>
      </c>
      <c r="AF291" s="583">
        <f>VLOOKUP($H291,Nutrition_tables!$A:$AF,19,FALSE)*$Q291/100</f>
        <v>0</v>
      </c>
      <c r="AG291" s="583">
        <f>VLOOKUP($H291,Nutrition_tables!$A:$AF,20,FALSE)*$Q291/100</f>
        <v>0</v>
      </c>
      <c r="AH291" s="583">
        <f>VLOOKUP($H291,Nutrition_tables!$A:$AF,21,FALSE)*$Q291/100</f>
        <v>0</v>
      </c>
      <c r="AI291" s="583">
        <f>VLOOKUP($H291,Nutrition_tables!$A:$AF,22,FALSE)*$Q291/100</f>
        <v>0</v>
      </c>
      <c r="AJ291" s="549">
        <f>VLOOKUP($H291,Nutrition_tables!$A:$AF,23,FALSE)*$Q291/100</f>
        <v>0</v>
      </c>
      <c r="AK291" s="583">
        <f>VLOOKUP($H291,Nutrition_tables!$A:$AF,24,FALSE)*$Q291/100</f>
        <v>0</v>
      </c>
      <c r="AL291" s="583">
        <f>VLOOKUP($H291,Nutrition_tables!$A:$AF,25,FALSE)*$Q291/100</f>
        <v>0</v>
      </c>
      <c r="AM291" s="583">
        <f>VLOOKUP($H291,Nutrition_tables!$A:$AF,26,FALSE)*$Q291/100</f>
        <v>0</v>
      </c>
      <c r="AN291" s="583">
        <f>VLOOKUP($H291,Nutrition_tables!$A:$AF,27,FALSE)*$Q291/100</f>
        <v>0</v>
      </c>
      <c r="AO291" s="583">
        <f>VLOOKUP($H291,Nutrition_tables!$A:$AF,28,FALSE)*$Q291/100</f>
        <v>0</v>
      </c>
      <c r="AP291" s="583">
        <f>VLOOKUP($H291,Nutrition_tables!$A:$AF,29,FALSE)*$Q291/100</f>
        <v>0</v>
      </c>
      <c r="AQ291" s="583">
        <f>VLOOKUP($H291,Nutrition_tables!$A:$AF,30,FALSE)*$Q291/100</f>
        <v>0</v>
      </c>
      <c r="AR291" s="583">
        <f>VLOOKUP($H291,Nutrition_tables!$A:$AF,31,FALSE)*$Q291/100</f>
        <v>0</v>
      </c>
      <c r="AS291" s="549">
        <f>VLOOKUP($H291,Nutrition_tables!$A:$AF,32,FALSE)*$Q291/100</f>
        <v>0</v>
      </c>
      <c r="AT291" s="583" t="str">
        <f>IF(H291="Select ingredient:","",IF(G291="Select food category:","",IFERROR(VLOOKUP($H291,Ingredient_prices!$E:$W,17,FALSE)*$Q291/1000,"not bought")))</f>
        <v/>
      </c>
      <c r="AU291" s="583" t="str">
        <f>IF(H291="Select ingredient:","",IF(G291="Select food category:","",IFERROR(VLOOKUP($H291,Ingredient_prices!$E:$W,18,FALSE)*$Q291/1000,"not bought")))</f>
        <v/>
      </c>
      <c r="AV291" s="583">
        <f t="shared" si="657"/>
        <v>0</v>
      </c>
      <c r="AW291" s="583">
        <f t="shared" si="658"/>
        <v>0</v>
      </c>
      <c r="AX291" s="583">
        <f t="shared" si="659"/>
        <v>0</v>
      </c>
      <c r="AY291" s="583">
        <f t="shared" si="660"/>
        <v>0</v>
      </c>
      <c r="AZ291" s="583">
        <f t="shared" si="661"/>
        <v>0</v>
      </c>
      <c r="BA291" s="583">
        <f t="shared" si="662"/>
        <v>0</v>
      </c>
      <c r="BB291" s="583">
        <f t="shared" si="663"/>
        <v>0</v>
      </c>
      <c r="BC291" s="583">
        <f t="shared" si="664"/>
        <v>0</v>
      </c>
      <c r="BD291" s="583">
        <f t="shared" si="665"/>
        <v>0</v>
      </c>
      <c r="BE291" s="583">
        <f t="shared" si="666"/>
        <v>0</v>
      </c>
      <c r="BF291" s="583">
        <f t="shared" si="667"/>
        <v>0</v>
      </c>
      <c r="BG291" s="583">
        <f t="shared" si="668"/>
        <v>0</v>
      </c>
      <c r="BH291" s="583">
        <f t="shared" si="669"/>
        <v>0</v>
      </c>
      <c r="BI291" s="583">
        <f t="shared" si="670"/>
        <v>0</v>
      </c>
      <c r="BJ291" s="583">
        <f t="shared" si="671"/>
        <v>0</v>
      </c>
      <c r="BK291" s="583">
        <f t="shared" si="672"/>
        <v>0</v>
      </c>
      <c r="BL291" s="583">
        <f t="shared" si="673"/>
        <v>0</v>
      </c>
      <c r="BM291" s="583">
        <f t="shared" si="674"/>
        <v>0</v>
      </c>
      <c r="BN291" s="583">
        <f t="shared" si="675"/>
        <v>0</v>
      </c>
      <c r="BO291" s="583">
        <f t="shared" si="676"/>
        <v>0</v>
      </c>
      <c r="BP291" s="583">
        <f t="shared" si="677"/>
        <v>0</v>
      </c>
      <c r="BQ291" s="583">
        <f t="shared" si="678"/>
        <v>0</v>
      </c>
      <c r="BR291" s="583">
        <f t="shared" si="679"/>
        <v>0</v>
      </c>
    </row>
    <row r="292" spans="1:70" s="229" customFormat="1" ht="15" customHeight="1">
      <c r="A292" s="587"/>
      <c r="D292" s="85"/>
      <c r="E292" s="576" t="str">
        <f t="shared" si="680"/>
        <v/>
      </c>
      <c r="F292" s="707"/>
      <c r="G292" s="406" t="s">
        <v>3054</v>
      </c>
      <c r="H292" s="1262" t="s">
        <v>3055</v>
      </c>
      <c r="I292" s="85">
        <v>0</v>
      </c>
      <c r="J292" s="682">
        <v>1</v>
      </c>
      <c r="K292" s="579" t="str">
        <f t="shared" si="654"/>
        <v/>
      </c>
      <c r="L292" s="580" t="str">
        <f>IF(H292="Select ingredient:","",IF(G292="","",_xlfn.IFNA(VLOOKUP($H292,Ingredient_prices!$E:$U,16,FALSE),0)))</f>
        <v/>
      </c>
      <c r="M292" s="844"/>
      <c r="N292" s="844"/>
      <c r="O292" s="588"/>
      <c r="P292" s="640"/>
      <c r="Q292" s="583">
        <f t="shared" si="655"/>
        <v>0</v>
      </c>
      <c r="R292" s="583">
        <f>VLOOKUP($H292,'CO2_emission+%_food_waste'!$A:$K,6,FALSE)*$Q292/100</f>
        <v>0</v>
      </c>
      <c r="S292" s="583">
        <f t="shared" si="656"/>
        <v>0</v>
      </c>
      <c r="T292" s="583" t="str">
        <f>IF(H292="Select ingredient:","",IF(G292="Select food category:","",_xlfn.IFNA(VLOOKUP($H292,Ingredient_prices!$E:$U,16,FALSE)*$Q292/1000,"not bought")))</f>
        <v/>
      </c>
      <c r="U292" s="583" t="str">
        <f>IF(G292="Select food category:","",_xlfn.IFNA(VLOOKUP($H292,Ingredient_prices!$E:$U,16,FALSE)*$R292/1000,"not bought"))</f>
        <v/>
      </c>
      <c r="V292" s="549">
        <f>VLOOKUP($H292,'CO2_emission+%_food_waste'!$A:$K,4,FALSE)*$Q292</f>
        <v>0</v>
      </c>
      <c r="W292" s="583">
        <f>VLOOKUP($H292,Nutrition_tables!$A:$N,10,FALSE)*$Q292/100</f>
        <v>0</v>
      </c>
      <c r="X292" s="583">
        <f>VLOOKUP($H292,Nutrition_tables!$A:$N,11,FALSE)*$Q292/100</f>
        <v>0</v>
      </c>
      <c r="Y292" s="583">
        <f>VLOOKUP($H292,Nutrition_tables!$A:$N,12,FALSE)*$Q292/100</f>
        <v>0</v>
      </c>
      <c r="Z292" s="583">
        <f>VLOOKUP($H292,Nutrition_tables!$A:$N,14,FALSE)*$Q292/100</f>
        <v>0</v>
      </c>
      <c r="AA292" s="583">
        <f>VLOOKUP($H292,Nutrition_tables!$A:$AF,13,FALSE)*$Q292/100</f>
        <v>0</v>
      </c>
      <c r="AB292" s="549">
        <f>VLOOKUP($H292,Nutrition_tables!$A:$AF,15,FALSE)*$Q292/100</f>
        <v>0</v>
      </c>
      <c r="AC292" s="583">
        <f>VLOOKUP($H292,Nutrition_tables!$A:$AF,16,FALSE)*$Q292/100</f>
        <v>0</v>
      </c>
      <c r="AD292" s="583">
        <f>VLOOKUP($H292,Nutrition_tables!$A:$AF,17,FALSE)*$Q292/100</f>
        <v>0</v>
      </c>
      <c r="AE292" s="583">
        <f>VLOOKUP($H292,Nutrition_tables!$A:$AF,18,FALSE)*$Q292/100</f>
        <v>0</v>
      </c>
      <c r="AF292" s="583">
        <f>VLOOKUP($H292,Nutrition_tables!$A:$AF,19,FALSE)*$Q292/100</f>
        <v>0</v>
      </c>
      <c r="AG292" s="583">
        <f>VLOOKUP($H292,Nutrition_tables!$A:$AF,20,FALSE)*$Q292/100</f>
        <v>0</v>
      </c>
      <c r="AH292" s="583">
        <f>VLOOKUP($H292,Nutrition_tables!$A:$AF,21,FALSE)*$Q292/100</f>
        <v>0</v>
      </c>
      <c r="AI292" s="583">
        <f>VLOOKUP($H292,Nutrition_tables!$A:$AF,22,FALSE)*$Q292/100</f>
        <v>0</v>
      </c>
      <c r="AJ292" s="549">
        <f>VLOOKUP($H292,Nutrition_tables!$A:$AF,23,FALSE)*$Q292/100</f>
        <v>0</v>
      </c>
      <c r="AK292" s="583">
        <f>VLOOKUP($H292,Nutrition_tables!$A:$AF,24,FALSE)*$Q292/100</f>
        <v>0</v>
      </c>
      <c r="AL292" s="583">
        <f>VLOOKUP($H292,Nutrition_tables!$A:$AF,25,FALSE)*$Q292/100</f>
        <v>0</v>
      </c>
      <c r="AM292" s="583">
        <f>VLOOKUP($H292,Nutrition_tables!$A:$AF,26,FALSE)*$Q292/100</f>
        <v>0</v>
      </c>
      <c r="AN292" s="583">
        <f>VLOOKUP($H292,Nutrition_tables!$A:$AF,27,FALSE)*$Q292/100</f>
        <v>0</v>
      </c>
      <c r="AO292" s="583">
        <f>VLOOKUP($H292,Nutrition_tables!$A:$AF,28,FALSE)*$Q292/100</f>
        <v>0</v>
      </c>
      <c r="AP292" s="583">
        <f>VLOOKUP($H292,Nutrition_tables!$A:$AF,29,FALSE)*$Q292/100</f>
        <v>0</v>
      </c>
      <c r="AQ292" s="583">
        <f>VLOOKUP($H292,Nutrition_tables!$A:$AF,30,FALSE)*$Q292/100</f>
        <v>0</v>
      </c>
      <c r="AR292" s="583">
        <f>VLOOKUP($H292,Nutrition_tables!$A:$AF,31,FALSE)*$Q292/100</f>
        <v>0</v>
      </c>
      <c r="AS292" s="549">
        <f>VLOOKUP($H292,Nutrition_tables!$A:$AF,32,FALSE)*$Q292/100</f>
        <v>0</v>
      </c>
      <c r="AT292" s="583" t="str">
        <f>IF(H292="Select ingredient:","",IF(G292="Select food category:","",IFERROR(VLOOKUP($H292,Ingredient_prices!$E:$W,17,FALSE)*$Q292/1000,"not bought")))</f>
        <v/>
      </c>
      <c r="AU292" s="583" t="str">
        <f>IF(H292="Select ingredient:","",IF(G292="Select food category:","",IFERROR(VLOOKUP($H292,Ingredient_prices!$E:$W,18,FALSE)*$Q292/1000,"not bought")))</f>
        <v/>
      </c>
      <c r="AV292" s="583">
        <f t="shared" si="657"/>
        <v>0</v>
      </c>
      <c r="AW292" s="583">
        <f t="shared" si="658"/>
        <v>0</v>
      </c>
      <c r="AX292" s="583">
        <f t="shared" si="659"/>
        <v>0</v>
      </c>
      <c r="AY292" s="583">
        <f t="shared" si="660"/>
        <v>0</v>
      </c>
      <c r="AZ292" s="583">
        <f t="shared" si="661"/>
        <v>0</v>
      </c>
      <c r="BA292" s="583">
        <f t="shared" si="662"/>
        <v>0</v>
      </c>
      <c r="BB292" s="583">
        <f t="shared" si="663"/>
        <v>0</v>
      </c>
      <c r="BC292" s="583">
        <f t="shared" si="664"/>
        <v>0</v>
      </c>
      <c r="BD292" s="583">
        <f t="shared" si="665"/>
        <v>0</v>
      </c>
      <c r="BE292" s="583">
        <f t="shared" si="666"/>
        <v>0</v>
      </c>
      <c r="BF292" s="583">
        <f t="shared" si="667"/>
        <v>0</v>
      </c>
      <c r="BG292" s="583">
        <f t="shared" si="668"/>
        <v>0</v>
      </c>
      <c r="BH292" s="583">
        <f t="shared" si="669"/>
        <v>0</v>
      </c>
      <c r="BI292" s="583">
        <f t="shared" si="670"/>
        <v>0</v>
      </c>
      <c r="BJ292" s="583">
        <f t="shared" si="671"/>
        <v>0</v>
      </c>
      <c r="BK292" s="583">
        <f t="shared" si="672"/>
        <v>0</v>
      </c>
      <c r="BL292" s="583">
        <f t="shared" si="673"/>
        <v>0</v>
      </c>
      <c r="BM292" s="583">
        <f t="shared" si="674"/>
        <v>0</v>
      </c>
      <c r="BN292" s="583">
        <f t="shared" si="675"/>
        <v>0</v>
      </c>
      <c r="BO292" s="583">
        <f t="shared" si="676"/>
        <v>0</v>
      </c>
      <c r="BP292" s="583">
        <f t="shared" si="677"/>
        <v>0</v>
      </c>
      <c r="BQ292" s="583">
        <f t="shared" si="678"/>
        <v>0</v>
      </c>
      <c r="BR292" s="583">
        <f t="shared" si="679"/>
        <v>0</v>
      </c>
    </row>
    <row r="293" spans="1:70" s="229" customFormat="1" ht="15" customHeight="1">
      <c r="A293" s="587"/>
      <c r="D293" s="85"/>
      <c r="E293" s="576" t="str">
        <f t="shared" si="680"/>
        <v/>
      </c>
      <c r="F293" s="707"/>
      <c r="G293" s="406" t="s">
        <v>3054</v>
      </c>
      <c r="H293" s="1262" t="s">
        <v>3055</v>
      </c>
      <c r="I293" s="85">
        <v>0</v>
      </c>
      <c r="J293" s="682">
        <v>1</v>
      </c>
      <c r="K293" s="579" t="str">
        <f t="shared" si="654"/>
        <v/>
      </c>
      <c r="L293" s="580" t="str">
        <f>IF(H293="Select ingredient:","",IF(G293="","",_xlfn.IFNA(VLOOKUP($H293,Ingredient_prices!$E:$U,16,FALSE),0)))</f>
        <v/>
      </c>
      <c r="M293" s="844"/>
      <c r="N293" s="844"/>
      <c r="O293" s="588"/>
      <c r="P293" s="640"/>
      <c r="Q293" s="583">
        <f t="shared" si="655"/>
        <v>0</v>
      </c>
      <c r="R293" s="583">
        <f>VLOOKUP($H293,'CO2_emission+%_food_waste'!$A:$K,6,FALSE)*$Q293/100</f>
        <v>0</v>
      </c>
      <c r="S293" s="583">
        <f t="shared" si="656"/>
        <v>0</v>
      </c>
      <c r="T293" s="583" t="str">
        <f>IF(H293="Select ingredient:","",IF(G293="Select food category:","",_xlfn.IFNA(VLOOKUP($H293,Ingredient_prices!$E:$U,16,FALSE)*$Q293/1000,"not bought")))</f>
        <v/>
      </c>
      <c r="U293" s="583" t="str">
        <f>IF(G293="Select food category:","",_xlfn.IFNA(VLOOKUP($H293,Ingredient_prices!$E:$U,16,FALSE)*$R293/1000,"not bought"))</f>
        <v/>
      </c>
      <c r="V293" s="549">
        <f>VLOOKUP($H293,'CO2_emission+%_food_waste'!$A:$K,4,FALSE)*$Q293</f>
        <v>0</v>
      </c>
      <c r="W293" s="583">
        <f>VLOOKUP($H293,Nutrition_tables!$A:$N,10,FALSE)*$Q293/100</f>
        <v>0</v>
      </c>
      <c r="X293" s="583">
        <f>VLOOKUP($H293,Nutrition_tables!$A:$N,11,FALSE)*$Q293/100</f>
        <v>0</v>
      </c>
      <c r="Y293" s="583">
        <f>VLOOKUP($H293,Nutrition_tables!$A:$N,12,FALSE)*$Q293/100</f>
        <v>0</v>
      </c>
      <c r="Z293" s="583">
        <f>VLOOKUP($H293,Nutrition_tables!$A:$N,14,FALSE)*$Q293/100</f>
        <v>0</v>
      </c>
      <c r="AA293" s="583">
        <f>VLOOKUP($H293,Nutrition_tables!$A:$AF,13,FALSE)*$Q293/100</f>
        <v>0</v>
      </c>
      <c r="AB293" s="549">
        <f>VLOOKUP($H293,Nutrition_tables!$A:$AF,15,FALSE)*$Q293/100</f>
        <v>0</v>
      </c>
      <c r="AC293" s="583">
        <f>VLOOKUP($H293,Nutrition_tables!$A:$AF,16,FALSE)*$Q293/100</f>
        <v>0</v>
      </c>
      <c r="AD293" s="583">
        <f>VLOOKUP($H293,Nutrition_tables!$A:$AF,17,FALSE)*$Q293/100</f>
        <v>0</v>
      </c>
      <c r="AE293" s="583">
        <f>VLOOKUP($H293,Nutrition_tables!$A:$AF,18,FALSE)*$Q293/100</f>
        <v>0</v>
      </c>
      <c r="AF293" s="583">
        <f>VLOOKUP($H293,Nutrition_tables!$A:$AF,19,FALSE)*$Q293/100</f>
        <v>0</v>
      </c>
      <c r="AG293" s="583">
        <f>VLOOKUP($H293,Nutrition_tables!$A:$AF,20,FALSE)*$Q293/100</f>
        <v>0</v>
      </c>
      <c r="AH293" s="583">
        <f>VLOOKUP($H293,Nutrition_tables!$A:$AF,21,FALSE)*$Q293/100</f>
        <v>0</v>
      </c>
      <c r="AI293" s="583">
        <f>VLOOKUP($H293,Nutrition_tables!$A:$AF,22,FALSE)*$Q293/100</f>
        <v>0</v>
      </c>
      <c r="AJ293" s="549">
        <f>VLOOKUP($H293,Nutrition_tables!$A:$AF,23,FALSE)*$Q293/100</f>
        <v>0</v>
      </c>
      <c r="AK293" s="583">
        <f>VLOOKUP($H293,Nutrition_tables!$A:$AF,24,FALSE)*$Q293/100</f>
        <v>0</v>
      </c>
      <c r="AL293" s="583">
        <f>VLOOKUP($H293,Nutrition_tables!$A:$AF,25,FALSE)*$Q293/100</f>
        <v>0</v>
      </c>
      <c r="AM293" s="583">
        <f>VLOOKUP($H293,Nutrition_tables!$A:$AF,26,FALSE)*$Q293/100</f>
        <v>0</v>
      </c>
      <c r="AN293" s="583">
        <f>VLOOKUP($H293,Nutrition_tables!$A:$AF,27,FALSE)*$Q293/100</f>
        <v>0</v>
      </c>
      <c r="AO293" s="583">
        <f>VLOOKUP($H293,Nutrition_tables!$A:$AF,28,FALSE)*$Q293/100</f>
        <v>0</v>
      </c>
      <c r="AP293" s="583">
        <f>VLOOKUP($H293,Nutrition_tables!$A:$AF,29,FALSE)*$Q293/100</f>
        <v>0</v>
      </c>
      <c r="AQ293" s="583">
        <f>VLOOKUP($H293,Nutrition_tables!$A:$AF,30,FALSE)*$Q293/100</f>
        <v>0</v>
      </c>
      <c r="AR293" s="583">
        <f>VLOOKUP($H293,Nutrition_tables!$A:$AF,31,FALSE)*$Q293/100</f>
        <v>0</v>
      </c>
      <c r="AS293" s="549">
        <f>VLOOKUP($H293,Nutrition_tables!$A:$AF,32,FALSE)*$Q293/100</f>
        <v>0</v>
      </c>
      <c r="AT293" s="583" t="str">
        <f>IF(H293="Select ingredient:","",IF(G293="Select food category:","",IFERROR(VLOOKUP($H293,Ingredient_prices!$E:$W,17,FALSE)*$Q293/1000,"not bought")))</f>
        <v/>
      </c>
      <c r="AU293" s="583" t="str">
        <f>IF(H293="Select ingredient:","",IF(G293="Select food category:","",IFERROR(VLOOKUP($H293,Ingredient_prices!$E:$W,18,FALSE)*$Q293/1000,"not bought")))</f>
        <v/>
      </c>
      <c r="AV293" s="583">
        <f t="shared" si="657"/>
        <v>0</v>
      </c>
      <c r="AW293" s="583">
        <f t="shared" si="658"/>
        <v>0</v>
      </c>
      <c r="AX293" s="583">
        <f t="shared" si="659"/>
        <v>0</v>
      </c>
      <c r="AY293" s="583">
        <f t="shared" si="660"/>
        <v>0</v>
      </c>
      <c r="AZ293" s="583">
        <f t="shared" si="661"/>
        <v>0</v>
      </c>
      <c r="BA293" s="583">
        <f t="shared" si="662"/>
        <v>0</v>
      </c>
      <c r="BB293" s="583">
        <f t="shared" si="663"/>
        <v>0</v>
      </c>
      <c r="BC293" s="583">
        <f t="shared" si="664"/>
        <v>0</v>
      </c>
      <c r="BD293" s="583">
        <f t="shared" si="665"/>
        <v>0</v>
      </c>
      <c r="BE293" s="583">
        <f t="shared" si="666"/>
        <v>0</v>
      </c>
      <c r="BF293" s="583">
        <f t="shared" si="667"/>
        <v>0</v>
      </c>
      <c r="BG293" s="583">
        <f t="shared" si="668"/>
        <v>0</v>
      </c>
      <c r="BH293" s="583">
        <f t="shared" si="669"/>
        <v>0</v>
      </c>
      <c r="BI293" s="583">
        <f t="shared" si="670"/>
        <v>0</v>
      </c>
      <c r="BJ293" s="583">
        <f t="shared" si="671"/>
        <v>0</v>
      </c>
      <c r="BK293" s="583">
        <f t="shared" si="672"/>
        <v>0</v>
      </c>
      <c r="BL293" s="583">
        <f t="shared" si="673"/>
        <v>0</v>
      </c>
      <c r="BM293" s="583">
        <f t="shared" si="674"/>
        <v>0</v>
      </c>
      <c r="BN293" s="583">
        <f t="shared" si="675"/>
        <v>0</v>
      </c>
      <c r="BO293" s="583">
        <f t="shared" si="676"/>
        <v>0</v>
      </c>
      <c r="BP293" s="583">
        <f t="shared" si="677"/>
        <v>0</v>
      </c>
      <c r="BQ293" s="583">
        <f t="shared" si="678"/>
        <v>0</v>
      </c>
      <c r="BR293" s="583">
        <f t="shared" si="679"/>
        <v>0</v>
      </c>
    </row>
    <row r="294" spans="1:70" s="229" customFormat="1" ht="15" customHeight="1">
      <c r="A294" s="587"/>
      <c r="D294" s="85"/>
      <c r="E294" s="576" t="str">
        <f t="shared" si="680"/>
        <v/>
      </c>
      <c r="F294" s="707"/>
      <c r="G294" s="406" t="s">
        <v>3054</v>
      </c>
      <c r="H294" s="1262" t="s">
        <v>3055</v>
      </c>
      <c r="I294" s="85">
        <v>0</v>
      </c>
      <c r="J294" s="682">
        <v>1</v>
      </c>
      <c r="K294" s="579" t="str">
        <f t="shared" si="654"/>
        <v/>
      </c>
      <c r="L294" s="580" t="str">
        <f>IF(H294="Select ingredient:","",IF(G294="","",_xlfn.IFNA(VLOOKUP($H294,Ingredient_prices!$E:$U,16,FALSE),0)))</f>
        <v/>
      </c>
      <c r="M294" s="844"/>
      <c r="N294" s="844"/>
      <c r="O294" s="588"/>
      <c r="P294" s="640"/>
      <c r="Q294" s="583">
        <f t="shared" si="655"/>
        <v>0</v>
      </c>
      <c r="R294" s="583">
        <f>VLOOKUP($H294,'CO2_emission+%_food_waste'!$A:$K,6,FALSE)*$Q294/100</f>
        <v>0</v>
      </c>
      <c r="S294" s="583">
        <f t="shared" si="656"/>
        <v>0</v>
      </c>
      <c r="T294" s="583" t="str">
        <f>IF(H294="Select ingredient:","",IF(G294="Select food category:","",_xlfn.IFNA(VLOOKUP($H294,Ingredient_prices!$E:$U,16,FALSE)*$Q294/1000,"not bought")))</f>
        <v/>
      </c>
      <c r="U294" s="583" t="str">
        <f>IF(G294="Select food category:","",_xlfn.IFNA(VLOOKUP($H294,Ingredient_prices!$E:$U,16,FALSE)*$R294/1000,"not bought"))</f>
        <v/>
      </c>
      <c r="V294" s="549">
        <f>VLOOKUP($H294,'CO2_emission+%_food_waste'!$A:$K,4,FALSE)*$Q294</f>
        <v>0</v>
      </c>
      <c r="W294" s="583">
        <f>VLOOKUP($H294,Nutrition_tables!$A:$N,10,FALSE)*$Q294/100</f>
        <v>0</v>
      </c>
      <c r="X294" s="583">
        <f>VLOOKUP($H294,Nutrition_tables!$A:$N,11,FALSE)*$Q294/100</f>
        <v>0</v>
      </c>
      <c r="Y294" s="583">
        <f>VLOOKUP($H294,Nutrition_tables!$A:$N,12,FALSE)*$Q294/100</f>
        <v>0</v>
      </c>
      <c r="Z294" s="583">
        <f>VLOOKUP($H294,Nutrition_tables!$A:$N,14,FALSE)*$Q294/100</f>
        <v>0</v>
      </c>
      <c r="AA294" s="583">
        <f>VLOOKUP($H294,Nutrition_tables!$A:$AF,13,FALSE)*$Q294/100</f>
        <v>0</v>
      </c>
      <c r="AB294" s="549">
        <f>VLOOKUP($H294,Nutrition_tables!$A:$AF,15,FALSE)*$Q294/100</f>
        <v>0</v>
      </c>
      <c r="AC294" s="583">
        <f>VLOOKUP($H294,Nutrition_tables!$A:$AF,16,FALSE)*$Q294/100</f>
        <v>0</v>
      </c>
      <c r="AD294" s="583">
        <f>VLOOKUP($H294,Nutrition_tables!$A:$AF,17,FALSE)*$Q294/100</f>
        <v>0</v>
      </c>
      <c r="AE294" s="583">
        <f>VLOOKUP($H294,Nutrition_tables!$A:$AF,18,FALSE)*$Q294/100</f>
        <v>0</v>
      </c>
      <c r="AF294" s="583">
        <f>VLOOKUP($H294,Nutrition_tables!$A:$AF,19,FALSE)*$Q294/100</f>
        <v>0</v>
      </c>
      <c r="AG294" s="583">
        <f>VLOOKUP($H294,Nutrition_tables!$A:$AF,20,FALSE)*$Q294/100</f>
        <v>0</v>
      </c>
      <c r="AH294" s="583">
        <f>VLOOKUP($H294,Nutrition_tables!$A:$AF,21,FALSE)*$Q294/100</f>
        <v>0</v>
      </c>
      <c r="AI294" s="583">
        <f>VLOOKUP($H294,Nutrition_tables!$A:$AF,22,FALSE)*$Q294/100</f>
        <v>0</v>
      </c>
      <c r="AJ294" s="549">
        <f>VLOOKUP($H294,Nutrition_tables!$A:$AF,23,FALSE)*$Q294/100</f>
        <v>0</v>
      </c>
      <c r="AK294" s="583">
        <f>VLOOKUP($H294,Nutrition_tables!$A:$AF,24,FALSE)*$Q294/100</f>
        <v>0</v>
      </c>
      <c r="AL294" s="583">
        <f>VLOOKUP($H294,Nutrition_tables!$A:$AF,25,FALSE)*$Q294/100</f>
        <v>0</v>
      </c>
      <c r="AM294" s="583">
        <f>VLOOKUP($H294,Nutrition_tables!$A:$AF,26,FALSE)*$Q294/100</f>
        <v>0</v>
      </c>
      <c r="AN294" s="583">
        <f>VLOOKUP($H294,Nutrition_tables!$A:$AF,27,FALSE)*$Q294/100</f>
        <v>0</v>
      </c>
      <c r="AO294" s="583">
        <f>VLOOKUP($H294,Nutrition_tables!$A:$AF,28,FALSE)*$Q294/100</f>
        <v>0</v>
      </c>
      <c r="AP294" s="583">
        <f>VLOOKUP($H294,Nutrition_tables!$A:$AF,29,FALSE)*$Q294/100</f>
        <v>0</v>
      </c>
      <c r="AQ294" s="583">
        <f>VLOOKUP($H294,Nutrition_tables!$A:$AF,30,FALSE)*$Q294/100</f>
        <v>0</v>
      </c>
      <c r="AR294" s="583">
        <f>VLOOKUP($H294,Nutrition_tables!$A:$AF,31,FALSE)*$Q294/100</f>
        <v>0</v>
      </c>
      <c r="AS294" s="549">
        <f>VLOOKUP($H294,Nutrition_tables!$A:$AF,32,FALSE)*$Q294/100</f>
        <v>0</v>
      </c>
      <c r="AT294" s="583" t="str">
        <f>IF(H294="Select ingredient:","",IF(G294="Select food category:","",IFERROR(VLOOKUP($H294,Ingredient_prices!$E:$W,17,FALSE)*$Q294/1000,"not bought")))</f>
        <v/>
      </c>
      <c r="AU294" s="583" t="str">
        <f>IF(H294="Select ingredient:","",IF(G294="Select food category:","",IFERROR(VLOOKUP($H294,Ingredient_prices!$E:$W,18,FALSE)*$Q294/1000,"not bought")))</f>
        <v/>
      </c>
      <c r="AV294" s="583">
        <f t="shared" si="657"/>
        <v>0</v>
      </c>
      <c r="AW294" s="583">
        <f t="shared" si="658"/>
        <v>0</v>
      </c>
      <c r="AX294" s="583">
        <f t="shared" si="659"/>
        <v>0</v>
      </c>
      <c r="AY294" s="583">
        <f t="shared" si="660"/>
        <v>0</v>
      </c>
      <c r="AZ294" s="583">
        <f t="shared" si="661"/>
        <v>0</v>
      </c>
      <c r="BA294" s="583">
        <f t="shared" si="662"/>
        <v>0</v>
      </c>
      <c r="BB294" s="583">
        <f t="shared" si="663"/>
        <v>0</v>
      </c>
      <c r="BC294" s="583">
        <f t="shared" si="664"/>
        <v>0</v>
      </c>
      <c r="BD294" s="583">
        <f t="shared" si="665"/>
        <v>0</v>
      </c>
      <c r="BE294" s="583">
        <f t="shared" si="666"/>
        <v>0</v>
      </c>
      <c r="BF294" s="583">
        <f t="shared" si="667"/>
        <v>0</v>
      </c>
      <c r="BG294" s="583">
        <f t="shared" si="668"/>
        <v>0</v>
      </c>
      <c r="BH294" s="583">
        <f t="shared" si="669"/>
        <v>0</v>
      </c>
      <c r="BI294" s="583">
        <f t="shared" si="670"/>
        <v>0</v>
      </c>
      <c r="BJ294" s="583">
        <f t="shared" si="671"/>
        <v>0</v>
      </c>
      <c r="BK294" s="583">
        <f t="shared" si="672"/>
        <v>0</v>
      </c>
      <c r="BL294" s="583">
        <f t="shared" si="673"/>
        <v>0</v>
      </c>
      <c r="BM294" s="583">
        <f t="shared" si="674"/>
        <v>0</v>
      </c>
      <c r="BN294" s="583">
        <f t="shared" si="675"/>
        <v>0</v>
      </c>
      <c r="BO294" s="583">
        <f t="shared" si="676"/>
        <v>0</v>
      </c>
      <c r="BP294" s="583">
        <f t="shared" si="677"/>
        <v>0</v>
      </c>
      <c r="BQ294" s="583">
        <f t="shared" si="678"/>
        <v>0</v>
      </c>
      <c r="BR294" s="583">
        <f t="shared" si="679"/>
        <v>0</v>
      </c>
    </row>
    <row r="295" spans="1:70" s="229" customFormat="1" ht="15" customHeight="1">
      <c r="A295" s="587"/>
      <c r="D295" s="85"/>
      <c r="E295" s="576" t="str">
        <f t="shared" si="680"/>
        <v/>
      </c>
      <c r="F295" s="707"/>
      <c r="G295" s="406" t="s">
        <v>3054</v>
      </c>
      <c r="H295" s="1262" t="s">
        <v>3055</v>
      </c>
      <c r="I295" s="85">
        <v>0</v>
      </c>
      <c r="J295" s="682">
        <v>1</v>
      </c>
      <c r="K295" s="579" t="str">
        <f t="shared" si="654"/>
        <v/>
      </c>
      <c r="L295" s="580" t="str">
        <f>IF(H295="Select ingredient:","",IF(G295="","",_xlfn.IFNA(VLOOKUP($H295,Ingredient_prices!$E:$U,16,FALSE),0)))</f>
        <v/>
      </c>
      <c r="M295" s="844"/>
      <c r="N295" s="844"/>
      <c r="O295" s="588"/>
      <c r="P295" s="640"/>
      <c r="Q295" s="583">
        <f t="shared" si="655"/>
        <v>0</v>
      </c>
      <c r="R295" s="583">
        <f>VLOOKUP($H295,'CO2_emission+%_food_waste'!$A:$K,6,FALSE)*$Q295/100</f>
        <v>0</v>
      </c>
      <c r="S295" s="583">
        <f t="shared" si="656"/>
        <v>0</v>
      </c>
      <c r="T295" s="583" t="str">
        <f>IF(H295="Select ingredient:","",IF(G295="Select food category:","",_xlfn.IFNA(VLOOKUP($H295,Ingredient_prices!$E:$U,16,FALSE)*$Q295/1000,"not bought")))</f>
        <v/>
      </c>
      <c r="U295" s="583" t="str">
        <f>IF(G295="Select food category:","",_xlfn.IFNA(VLOOKUP($H295,Ingredient_prices!$E:$U,16,FALSE)*$R295/1000,"not bought"))</f>
        <v/>
      </c>
      <c r="V295" s="549">
        <f>VLOOKUP($H295,'CO2_emission+%_food_waste'!$A:$K,4,FALSE)*$Q295</f>
        <v>0</v>
      </c>
      <c r="W295" s="583">
        <f>VLOOKUP($H295,Nutrition_tables!$A:$N,10,FALSE)*$Q295/100</f>
        <v>0</v>
      </c>
      <c r="X295" s="583">
        <f>VLOOKUP($H295,Nutrition_tables!$A:$N,11,FALSE)*$Q295/100</f>
        <v>0</v>
      </c>
      <c r="Y295" s="583">
        <f>VLOOKUP($H295,Nutrition_tables!$A:$N,12,FALSE)*$Q295/100</f>
        <v>0</v>
      </c>
      <c r="Z295" s="583">
        <f>VLOOKUP($H295,Nutrition_tables!$A:$N,14,FALSE)*$Q295/100</f>
        <v>0</v>
      </c>
      <c r="AA295" s="583">
        <f>VLOOKUP($H295,Nutrition_tables!$A:$AF,13,FALSE)*$Q295/100</f>
        <v>0</v>
      </c>
      <c r="AB295" s="549">
        <f>VLOOKUP($H295,Nutrition_tables!$A:$AF,15,FALSE)*$Q295/100</f>
        <v>0</v>
      </c>
      <c r="AC295" s="583">
        <f>VLOOKUP($H295,Nutrition_tables!$A:$AF,16,FALSE)*$Q295/100</f>
        <v>0</v>
      </c>
      <c r="AD295" s="583">
        <f>VLOOKUP($H295,Nutrition_tables!$A:$AF,17,FALSE)*$Q295/100</f>
        <v>0</v>
      </c>
      <c r="AE295" s="583">
        <f>VLOOKUP($H295,Nutrition_tables!$A:$AF,18,FALSE)*$Q295/100</f>
        <v>0</v>
      </c>
      <c r="AF295" s="583">
        <f>VLOOKUP($H295,Nutrition_tables!$A:$AF,19,FALSE)*$Q295/100</f>
        <v>0</v>
      </c>
      <c r="AG295" s="583">
        <f>VLOOKUP($H295,Nutrition_tables!$A:$AF,20,FALSE)*$Q295/100</f>
        <v>0</v>
      </c>
      <c r="AH295" s="583">
        <f>VLOOKUP($H295,Nutrition_tables!$A:$AF,21,FALSE)*$Q295/100</f>
        <v>0</v>
      </c>
      <c r="AI295" s="583">
        <f>VLOOKUP($H295,Nutrition_tables!$A:$AF,22,FALSE)*$Q295/100</f>
        <v>0</v>
      </c>
      <c r="AJ295" s="549">
        <f>VLOOKUP($H295,Nutrition_tables!$A:$AF,23,FALSE)*$Q295/100</f>
        <v>0</v>
      </c>
      <c r="AK295" s="583">
        <f>VLOOKUP($H295,Nutrition_tables!$A:$AF,24,FALSE)*$Q295/100</f>
        <v>0</v>
      </c>
      <c r="AL295" s="583">
        <f>VLOOKUP($H295,Nutrition_tables!$A:$AF,25,FALSE)*$Q295/100</f>
        <v>0</v>
      </c>
      <c r="AM295" s="583">
        <f>VLOOKUP($H295,Nutrition_tables!$A:$AF,26,FALSE)*$Q295/100</f>
        <v>0</v>
      </c>
      <c r="AN295" s="583">
        <f>VLOOKUP($H295,Nutrition_tables!$A:$AF,27,FALSE)*$Q295/100</f>
        <v>0</v>
      </c>
      <c r="AO295" s="583">
        <f>VLOOKUP($H295,Nutrition_tables!$A:$AF,28,FALSE)*$Q295/100</f>
        <v>0</v>
      </c>
      <c r="AP295" s="583">
        <f>VLOOKUP($H295,Nutrition_tables!$A:$AF,29,FALSE)*$Q295/100</f>
        <v>0</v>
      </c>
      <c r="AQ295" s="583">
        <f>VLOOKUP($H295,Nutrition_tables!$A:$AF,30,FALSE)*$Q295/100</f>
        <v>0</v>
      </c>
      <c r="AR295" s="583">
        <f>VLOOKUP($H295,Nutrition_tables!$A:$AF,31,FALSE)*$Q295/100</f>
        <v>0</v>
      </c>
      <c r="AS295" s="549">
        <f>VLOOKUP($H295,Nutrition_tables!$A:$AF,32,FALSE)*$Q295/100</f>
        <v>0</v>
      </c>
      <c r="AT295" s="583" t="str">
        <f>IF(H295="Select ingredient:","",IF(G295="Select food category:","",IFERROR(VLOOKUP($H295,Ingredient_prices!$E:$W,17,FALSE)*$Q295/1000,"not bought")))</f>
        <v/>
      </c>
      <c r="AU295" s="583" t="str">
        <f>IF(H295="Select ingredient:","",IF(G295="Select food category:","",IFERROR(VLOOKUP($H295,Ingredient_prices!$E:$W,18,FALSE)*$Q295/1000,"not bought")))</f>
        <v/>
      </c>
      <c r="AV295" s="583">
        <f t="shared" si="657"/>
        <v>0</v>
      </c>
      <c r="AW295" s="583">
        <f t="shared" si="658"/>
        <v>0</v>
      </c>
      <c r="AX295" s="583">
        <f t="shared" si="659"/>
        <v>0</v>
      </c>
      <c r="AY295" s="583">
        <f t="shared" si="660"/>
        <v>0</v>
      </c>
      <c r="AZ295" s="583">
        <f t="shared" si="661"/>
        <v>0</v>
      </c>
      <c r="BA295" s="583">
        <f t="shared" si="662"/>
        <v>0</v>
      </c>
      <c r="BB295" s="583">
        <f t="shared" si="663"/>
        <v>0</v>
      </c>
      <c r="BC295" s="583">
        <f t="shared" si="664"/>
        <v>0</v>
      </c>
      <c r="BD295" s="583">
        <f t="shared" si="665"/>
        <v>0</v>
      </c>
      <c r="BE295" s="583">
        <f t="shared" si="666"/>
        <v>0</v>
      </c>
      <c r="BF295" s="583">
        <f t="shared" si="667"/>
        <v>0</v>
      </c>
      <c r="BG295" s="583">
        <f t="shared" si="668"/>
        <v>0</v>
      </c>
      <c r="BH295" s="583">
        <f t="shared" si="669"/>
        <v>0</v>
      </c>
      <c r="BI295" s="583">
        <f t="shared" si="670"/>
        <v>0</v>
      </c>
      <c r="BJ295" s="583">
        <f t="shared" si="671"/>
        <v>0</v>
      </c>
      <c r="BK295" s="583">
        <f t="shared" si="672"/>
        <v>0</v>
      </c>
      <c r="BL295" s="583">
        <f t="shared" si="673"/>
        <v>0</v>
      </c>
      <c r="BM295" s="583">
        <f t="shared" si="674"/>
        <v>0</v>
      </c>
      <c r="BN295" s="583">
        <f t="shared" si="675"/>
        <v>0</v>
      </c>
      <c r="BO295" s="583">
        <f t="shared" si="676"/>
        <v>0</v>
      </c>
      <c r="BP295" s="583">
        <f t="shared" si="677"/>
        <v>0</v>
      </c>
      <c r="BQ295" s="583">
        <f t="shared" si="678"/>
        <v>0</v>
      </c>
      <c r="BR295" s="583">
        <f t="shared" si="679"/>
        <v>0</v>
      </c>
    </row>
    <row r="296" spans="1:70" s="229" customFormat="1" ht="15" customHeight="1">
      <c r="A296" s="587"/>
      <c r="D296" s="85"/>
      <c r="E296" s="576" t="str">
        <f t="shared" si="680"/>
        <v/>
      </c>
      <c r="F296" s="707"/>
      <c r="G296" s="406" t="s">
        <v>3054</v>
      </c>
      <c r="H296" s="1262" t="s">
        <v>3055</v>
      </c>
      <c r="I296" s="85">
        <v>0</v>
      </c>
      <c r="J296" s="682">
        <v>1</v>
      </c>
      <c r="K296" s="579" t="str">
        <f t="shared" si="654"/>
        <v/>
      </c>
      <c r="L296" s="580" t="str">
        <f>IF(H296="Select ingredient:","",IF(G296="","",_xlfn.IFNA(VLOOKUP($H296,Ingredient_prices!$E:$U,16,FALSE),0)))</f>
        <v/>
      </c>
      <c r="M296" s="844"/>
      <c r="N296" s="844"/>
      <c r="O296" s="588"/>
      <c r="P296" s="640"/>
      <c r="Q296" s="583">
        <f t="shared" si="655"/>
        <v>0</v>
      </c>
      <c r="R296" s="583">
        <f>VLOOKUP($H296,'CO2_emission+%_food_waste'!$A:$K,6,FALSE)*$Q296/100</f>
        <v>0</v>
      </c>
      <c r="S296" s="583">
        <f t="shared" si="656"/>
        <v>0</v>
      </c>
      <c r="T296" s="583" t="str">
        <f>IF(H296="Select ingredient:","",IF(G296="Select food category:","",_xlfn.IFNA(VLOOKUP($H296,Ingredient_prices!$E:$U,16,FALSE)*$Q296/1000,"not bought")))</f>
        <v/>
      </c>
      <c r="U296" s="583" t="str">
        <f>IF(G296="Select food category:","",_xlfn.IFNA(VLOOKUP($H296,Ingredient_prices!$E:$U,16,FALSE)*$R296/1000,"not bought"))</f>
        <v/>
      </c>
      <c r="V296" s="549">
        <f>VLOOKUP($H296,'CO2_emission+%_food_waste'!$A:$K,4,FALSE)*$Q296</f>
        <v>0</v>
      </c>
      <c r="W296" s="583">
        <f>VLOOKUP($H296,Nutrition_tables!$A:$N,10,FALSE)*$Q296/100</f>
        <v>0</v>
      </c>
      <c r="X296" s="583">
        <f>VLOOKUP($H296,Nutrition_tables!$A:$N,11,FALSE)*$Q296/100</f>
        <v>0</v>
      </c>
      <c r="Y296" s="583">
        <f>VLOOKUP($H296,Nutrition_tables!$A:$N,12,FALSE)*$Q296/100</f>
        <v>0</v>
      </c>
      <c r="Z296" s="583">
        <f>VLOOKUP($H296,Nutrition_tables!$A:$N,14,FALSE)*$Q296/100</f>
        <v>0</v>
      </c>
      <c r="AA296" s="583">
        <f>VLOOKUP($H296,Nutrition_tables!$A:$AF,13,FALSE)*$Q296/100</f>
        <v>0</v>
      </c>
      <c r="AB296" s="549">
        <f>VLOOKUP($H296,Nutrition_tables!$A:$AF,15,FALSE)*$Q296/100</f>
        <v>0</v>
      </c>
      <c r="AC296" s="583">
        <f>VLOOKUP($H296,Nutrition_tables!$A:$AF,16,FALSE)*$Q296/100</f>
        <v>0</v>
      </c>
      <c r="AD296" s="583">
        <f>VLOOKUP($H296,Nutrition_tables!$A:$AF,17,FALSE)*$Q296/100</f>
        <v>0</v>
      </c>
      <c r="AE296" s="583">
        <f>VLOOKUP($H296,Nutrition_tables!$A:$AF,18,FALSE)*$Q296/100</f>
        <v>0</v>
      </c>
      <c r="AF296" s="583">
        <f>VLOOKUP($H296,Nutrition_tables!$A:$AF,19,FALSE)*$Q296/100</f>
        <v>0</v>
      </c>
      <c r="AG296" s="583">
        <f>VLOOKUP($H296,Nutrition_tables!$A:$AF,20,FALSE)*$Q296/100</f>
        <v>0</v>
      </c>
      <c r="AH296" s="583">
        <f>VLOOKUP($H296,Nutrition_tables!$A:$AF,21,FALSE)*$Q296/100</f>
        <v>0</v>
      </c>
      <c r="AI296" s="583">
        <f>VLOOKUP($H296,Nutrition_tables!$A:$AF,22,FALSE)*$Q296/100</f>
        <v>0</v>
      </c>
      <c r="AJ296" s="549">
        <f>VLOOKUP($H296,Nutrition_tables!$A:$AF,23,FALSE)*$Q296/100</f>
        <v>0</v>
      </c>
      <c r="AK296" s="583">
        <f>VLOOKUP($H296,Nutrition_tables!$A:$AF,24,FALSE)*$Q296/100</f>
        <v>0</v>
      </c>
      <c r="AL296" s="583">
        <f>VLOOKUP($H296,Nutrition_tables!$A:$AF,25,FALSE)*$Q296/100</f>
        <v>0</v>
      </c>
      <c r="AM296" s="583">
        <f>VLOOKUP($H296,Nutrition_tables!$A:$AF,26,FALSE)*$Q296/100</f>
        <v>0</v>
      </c>
      <c r="AN296" s="583">
        <f>VLOOKUP($H296,Nutrition_tables!$A:$AF,27,FALSE)*$Q296/100</f>
        <v>0</v>
      </c>
      <c r="AO296" s="583">
        <f>VLOOKUP($H296,Nutrition_tables!$A:$AF,28,FALSE)*$Q296/100</f>
        <v>0</v>
      </c>
      <c r="AP296" s="583">
        <f>VLOOKUP($H296,Nutrition_tables!$A:$AF,29,FALSE)*$Q296/100</f>
        <v>0</v>
      </c>
      <c r="AQ296" s="583">
        <f>VLOOKUP($H296,Nutrition_tables!$A:$AF,30,FALSE)*$Q296/100</f>
        <v>0</v>
      </c>
      <c r="AR296" s="583">
        <f>VLOOKUP($H296,Nutrition_tables!$A:$AF,31,FALSE)*$Q296/100</f>
        <v>0</v>
      </c>
      <c r="AS296" s="549">
        <f>VLOOKUP($H296,Nutrition_tables!$A:$AF,32,FALSE)*$Q296/100</f>
        <v>0</v>
      </c>
      <c r="AT296" s="583" t="str">
        <f>IF(H296="Select ingredient:","",IF(G296="Select food category:","",IFERROR(VLOOKUP($H296,Ingredient_prices!$E:$W,17,FALSE)*$Q296/1000,"not bought")))</f>
        <v/>
      </c>
      <c r="AU296" s="583" t="str">
        <f>IF(H296="Select ingredient:","",IF(G296="Select food category:","",IFERROR(VLOOKUP($H296,Ingredient_prices!$E:$W,18,FALSE)*$Q296/1000,"not bought")))</f>
        <v/>
      </c>
      <c r="AV296" s="583">
        <f t="shared" si="657"/>
        <v>0</v>
      </c>
      <c r="AW296" s="583">
        <f t="shared" si="658"/>
        <v>0</v>
      </c>
      <c r="AX296" s="583">
        <f t="shared" si="659"/>
        <v>0</v>
      </c>
      <c r="AY296" s="583">
        <f t="shared" si="660"/>
        <v>0</v>
      </c>
      <c r="AZ296" s="583">
        <f t="shared" si="661"/>
        <v>0</v>
      </c>
      <c r="BA296" s="583">
        <f t="shared" si="662"/>
        <v>0</v>
      </c>
      <c r="BB296" s="583">
        <f t="shared" si="663"/>
        <v>0</v>
      </c>
      <c r="BC296" s="583">
        <f t="shared" si="664"/>
        <v>0</v>
      </c>
      <c r="BD296" s="583">
        <f t="shared" si="665"/>
        <v>0</v>
      </c>
      <c r="BE296" s="583">
        <f t="shared" si="666"/>
        <v>0</v>
      </c>
      <c r="BF296" s="583">
        <f t="shared" si="667"/>
        <v>0</v>
      </c>
      <c r="BG296" s="583">
        <f t="shared" si="668"/>
        <v>0</v>
      </c>
      <c r="BH296" s="583">
        <f t="shared" si="669"/>
        <v>0</v>
      </c>
      <c r="BI296" s="583">
        <f t="shared" si="670"/>
        <v>0</v>
      </c>
      <c r="BJ296" s="583">
        <f t="shared" si="671"/>
        <v>0</v>
      </c>
      <c r="BK296" s="583">
        <f t="shared" si="672"/>
        <v>0</v>
      </c>
      <c r="BL296" s="583">
        <f t="shared" si="673"/>
        <v>0</v>
      </c>
      <c r="BM296" s="583">
        <f t="shared" si="674"/>
        <v>0</v>
      </c>
      <c r="BN296" s="583">
        <f t="shared" si="675"/>
        <v>0</v>
      </c>
      <c r="BO296" s="583">
        <f t="shared" si="676"/>
        <v>0</v>
      </c>
      <c r="BP296" s="583">
        <f t="shared" si="677"/>
        <v>0</v>
      </c>
      <c r="BQ296" s="583">
        <f t="shared" si="678"/>
        <v>0</v>
      </c>
      <c r="BR296" s="583">
        <f t="shared" si="679"/>
        <v>0</v>
      </c>
    </row>
    <row r="297" spans="1:70" s="229" customFormat="1" ht="15" customHeight="1">
      <c r="A297" s="587"/>
      <c r="D297" s="85"/>
      <c r="E297" s="576" t="str">
        <f t="shared" si="680"/>
        <v/>
      </c>
      <c r="F297" s="707"/>
      <c r="G297" s="406" t="s">
        <v>3054</v>
      </c>
      <c r="H297" s="1262" t="s">
        <v>3055</v>
      </c>
      <c r="I297" s="85">
        <v>0</v>
      </c>
      <c r="J297" s="682">
        <v>1</v>
      </c>
      <c r="K297" s="579" t="str">
        <f t="shared" si="654"/>
        <v/>
      </c>
      <c r="L297" s="580" t="str">
        <f>IF(H297="Select ingredient:","",IF(G297="","",_xlfn.IFNA(VLOOKUP($H297,Ingredient_prices!$E:$U,16,FALSE),0)))</f>
        <v/>
      </c>
      <c r="M297" s="844"/>
      <c r="N297" s="844"/>
      <c r="O297" s="588"/>
      <c r="P297" s="640"/>
      <c r="Q297" s="583">
        <f t="shared" si="655"/>
        <v>0</v>
      </c>
      <c r="R297" s="583">
        <f>VLOOKUP($H297,'CO2_emission+%_food_waste'!$A:$K,6,FALSE)*$Q297/100</f>
        <v>0</v>
      </c>
      <c r="S297" s="583">
        <f t="shared" si="656"/>
        <v>0</v>
      </c>
      <c r="T297" s="583" t="str">
        <f>IF(H297="Select ingredient:","",IF(G297="Select food category:","",_xlfn.IFNA(VLOOKUP($H297,Ingredient_prices!$E:$U,16,FALSE)*$Q297/1000,"not bought")))</f>
        <v/>
      </c>
      <c r="U297" s="583" t="str">
        <f>IF(G297="Select food category:","",_xlfn.IFNA(VLOOKUP($H297,Ingredient_prices!$E:$U,16,FALSE)*$R297/1000,"not bought"))</f>
        <v/>
      </c>
      <c r="V297" s="549">
        <f>VLOOKUP($H297,'CO2_emission+%_food_waste'!$A:$K,4,FALSE)*$Q297</f>
        <v>0</v>
      </c>
      <c r="W297" s="583">
        <f>VLOOKUP($H297,Nutrition_tables!$A:$N,10,FALSE)*$Q297/100</f>
        <v>0</v>
      </c>
      <c r="X297" s="583">
        <f>VLOOKUP($H297,Nutrition_tables!$A:$N,11,FALSE)*$Q297/100</f>
        <v>0</v>
      </c>
      <c r="Y297" s="583">
        <f>VLOOKUP($H297,Nutrition_tables!$A:$N,12,FALSE)*$Q297/100</f>
        <v>0</v>
      </c>
      <c r="Z297" s="583">
        <f>VLOOKUP($H297,Nutrition_tables!$A:$N,14,FALSE)*$Q297/100</f>
        <v>0</v>
      </c>
      <c r="AA297" s="583">
        <f>VLOOKUP($H297,Nutrition_tables!$A:$AF,13,FALSE)*$Q297/100</f>
        <v>0</v>
      </c>
      <c r="AB297" s="549">
        <f>VLOOKUP($H297,Nutrition_tables!$A:$AF,15,FALSE)*$Q297/100</f>
        <v>0</v>
      </c>
      <c r="AC297" s="583">
        <f>VLOOKUP($H297,Nutrition_tables!$A:$AF,16,FALSE)*$Q297/100</f>
        <v>0</v>
      </c>
      <c r="AD297" s="583">
        <f>VLOOKUP($H297,Nutrition_tables!$A:$AF,17,FALSE)*$Q297/100</f>
        <v>0</v>
      </c>
      <c r="AE297" s="583">
        <f>VLOOKUP($H297,Nutrition_tables!$A:$AF,18,FALSE)*$Q297/100</f>
        <v>0</v>
      </c>
      <c r="AF297" s="583">
        <f>VLOOKUP($H297,Nutrition_tables!$A:$AF,19,FALSE)*$Q297/100</f>
        <v>0</v>
      </c>
      <c r="AG297" s="583">
        <f>VLOOKUP($H297,Nutrition_tables!$A:$AF,20,FALSE)*$Q297/100</f>
        <v>0</v>
      </c>
      <c r="AH297" s="583">
        <f>VLOOKUP($H297,Nutrition_tables!$A:$AF,21,FALSE)*$Q297/100</f>
        <v>0</v>
      </c>
      <c r="AI297" s="583">
        <f>VLOOKUP($H297,Nutrition_tables!$A:$AF,22,FALSE)*$Q297/100</f>
        <v>0</v>
      </c>
      <c r="AJ297" s="549">
        <f>VLOOKUP($H297,Nutrition_tables!$A:$AF,23,FALSE)*$Q297/100</f>
        <v>0</v>
      </c>
      <c r="AK297" s="583">
        <f>VLOOKUP($H297,Nutrition_tables!$A:$AF,24,FALSE)*$Q297/100</f>
        <v>0</v>
      </c>
      <c r="AL297" s="583">
        <f>VLOOKUP($H297,Nutrition_tables!$A:$AF,25,FALSE)*$Q297/100</f>
        <v>0</v>
      </c>
      <c r="AM297" s="583">
        <f>VLOOKUP($H297,Nutrition_tables!$A:$AF,26,FALSE)*$Q297/100</f>
        <v>0</v>
      </c>
      <c r="AN297" s="583">
        <f>VLOOKUP($H297,Nutrition_tables!$A:$AF,27,FALSE)*$Q297/100</f>
        <v>0</v>
      </c>
      <c r="AO297" s="583">
        <f>VLOOKUP($H297,Nutrition_tables!$A:$AF,28,FALSE)*$Q297/100</f>
        <v>0</v>
      </c>
      <c r="AP297" s="583">
        <f>VLOOKUP($H297,Nutrition_tables!$A:$AF,29,FALSE)*$Q297/100</f>
        <v>0</v>
      </c>
      <c r="AQ297" s="583">
        <f>VLOOKUP($H297,Nutrition_tables!$A:$AF,30,FALSE)*$Q297/100</f>
        <v>0</v>
      </c>
      <c r="AR297" s="583">
        <f>VLOOKUP($H297,Nutrition_tables!$A:$AF,31,FALSE)*$Q297/100</f>
        <v>0</v>
      </c>
      <c r="AS297" s="549">
        <f>VLOOKUP($H297,Nutrition_tables!$A:$AF,32,FALSE)*$Q297/100</f>
        <v>0</v>
      </c>
      <c r="AT297" s="583" t="str">
        <f>IF(H297="Select ingredient:","",IF(G297="Select food category:","",IFERROR(VLOOKUP($H297,Ingredient_prices!$E:$W,17,FALSE)*$Q297/1000,"not bought")))</f>
        <v/>
      </c>
      <c r="AU297" s="583" t="str">
        <f>IF(H297="Select ingredient:","",IF(G297="Select food category:","",IFERROR(VLOOKUP($H297,Ingredient_prices!$E:$W,18,FALSE)*$Q297/1000,"not bought")))</f>
        <v/>
      </c>
      <c r="AV297" s="583">
        <f t="shared" si="657"/>
        <v>0</v>
      </c>
      <c r="AW297" s="583">
        <f t="shared" si="658"/>
        <v>0</v>
      </c>
      <c r="AX297" s="583">
        <f t="shared" si="659"/>
        <v>0</v>
      </c>
      <c r="AY297" s="583">
        <f t="shared" si="660"/>
        <v>0</v>
      </c>
      <c r="AZ297" s="583">
        <f t="shared" si="661"/>
        <v>0</v>
      </c>
      <c r="BA297" s="583">
        <f t="shared" si="662"/>
        <v>0</v>
      </c>
      <c r="BB297" s="583">
        <f t="shared" si="663"/>
        <v>0</v>
      </c>
      <c r="BC297" s="583">
        <f t="shared" si="664"/>
        <v>0</v>
      </c>
      <c r="BD297" s="583">
        <f t="shared" si="665"/>
        <v>0</v>
      </c>
      <c r="BE297" s="583">
        <f t="shared" si="666"/>
        <v>0</v>
      </c>
      <c r="BF297" s="583">
        <f t="shared" si="667"/>
        <v>0</v>
      </c>
      <c r="BG297" s="583">
        <f t="shared" si="668"/>
        <v>0</v>
      </c>
      <c r="BH297" s="583">
        <f t="shared" si="669"/>
        <v>0</v>
      </c>
      <c r="BI297" s="583">
        <f t="shared" si="670"/>
        <v>0</v>
      </c>
      <c r="BJ297" s="583">
        <f t="shared" si="671"/>
        <v>0</v>
      </c>
      <c r="BK297" s="583">
        <f t="shared" si="672"/>
        <v>0</v>
      </c>
      <c r="BL297" s="583">
        <f t="shared" si="673"/>
        <v>0</v>
      </c>
      <c r="BM297" s="583">
        <f t="shared" si="674"/>
        <v>0</v>
      </c>
      <c r="BN297" s="583">
        <f t="shared" si="675"/>
        <v>0</v>
      </c>
      <c r="BO297" s="583">
        <f t="shared" si="676"/>
        <v>0</v>
      </c>
      <c r="BP297" s="583">
        <f t="shared" si="677"/>
        <v>0</v>
      </c>
      <c r="BQ297" s="583">
        <f t="shared" si="678"/>
        <v>0</v>
      </c>
      <c r="BR297" s="583">
        <f t="shared" si="679"/>
        <v>0</v>
      </c>
    </row>
    <row r="298" spans="1:70" s="229" customFormat="1" ht="15" customHeight="1">
      <c r="A298" s="587"/>
      <c r="D298" s="85"/>
      <c r="E298" s="576" t="str">
        <f t="shared" si="680"/>
        <v/>
      </c>
      <c r="F298" s="707"/>
      <c r="G298" s="406" t="s">
        <v>3054</v>
      </c>
      <c r="H298" s="1262" t="s">
        <v>3055</v>
      </c>
      <c r="I298" s="85">
        <v>0</v>
      </c>
      <c r="J298" s="682">
        <v>1</v>
      </c>
      <c r="K298" s="579" t="str">
        <f t="shared" si="654"/>
        <v/>
      </c>
      <c r="L298" s="580" t="str">
        <f>IF(H298="Select ingredient:","",IF(G298="","",_xlfn.IFNA(VLOOKUP($H298,Ingredient_prices!$E:$U,16,FALSE),0)))</f>
        <v/>
      </c>
      <c r="M298" s="844"/>
      <c r="N298" s="844"/>
      <c r="O298" s="588"/>
      <c r="P298" s="640"/>
      <c r="Q298" s="583">
        <f t="shared" si="655"/>
        <v>0</v>
      </c>
      <c r="R298" s="583">
        <f>VLOOKUP($H298,'CO2_emission+%_food_waste'!$A:$K,6,FALSE)*$Q298/100</f>
        <v>0</v>
      </c>
      <c r="S298" s="583">
        <f t="shared" si="656"/>
        <v>0</v>
      </c>
      <c r="T298" s="583" t="str">
        <f>IF(H298="Select ingredient:","",IF(G298="Select food category:","",_xlfn.IFNA(VLOOKUP($H298,Ingredient_prices!$E:$U,16,FALSE)*$Q298/1000,"not bought")))</f>
        <v/>
      </c>
      <c r="U298" s="583" t="str">
        <f>IF(G298="Select food category:","",_xlfn.IFNA(VLOOKUP($H298,Ingredient_prices!$E:$U,16,FALSE)*$R298/1000,"not bought"))</f>
        <v/>
      </c>
      <c r="V298" s="549">
        <f>VLOOKUP($H298,'CO2_emission+%_food_waste'!$A:$K,4,FALSE)*$Q298</f>
        <v>0</v>
      </c>
      <c r="W298" s="583">
        <f>VLOOKUP($H298,Nutrition_tables!$A:$N,10,FALSE)*$Q298/100</f>
        <v>0</v>
      </c>
      <c r="X298" s="583">
        <f>VLOOKUP($H298,Nutrition_tables!$A:$N,11,FALSE)*$Q298/100</f>
        <v>0</v>
      </c>
      <c r="Y298" s="583">
        <f>VLOOKUP($H298,Nutrition_tables!$A:$N,12,FALSE)*$Q298/100</f>
        <v>0</v>
      </c>
      <c r="Z298" s="583">
        <f>VLOOKUP($H298,Nutrition_tables!$A:$N,14,FALSE)*$Q298/100</f>
        <v>0</v>
      </c>
      <c r="AA298" s="583">
        <f>VLOOKUP($H298,Nutrition_tables!$A:$AF,13,FALSE)*$Q298/100</f>
        <v>0</v>
      </c>
      <c r="AB298" s="549">
        <f>VLOOKUP($H298,Nutrition_tables!$A:$AF,15,FALSE)*$Q298/100</f>
        <v>0</v>
      </c>
      <c r="AC298" s="583">
        <f>VLOOKUP($H298,Nutrition_tables!$A:$AF,16,FALSE)*$Q298/100</f>
        <v>0</v>
      </c>
      <c r="AD298" s="583">
        <f>VLOOKUP($H298,Nutrition_tables!$A:$AF,17,FALSE)*$Q298/100</f>
        <v>0</v>
      </c>
      <c r="AE298" s="583">
        <f>VLOOKUP($H298,Nutrition_tables!$A:$AF,18,FALSE)*$Q298/100</f>
        <v>0</v>
      </c>
      <c r="AF298" s="583">
        <f>VLOOKUP($H298,Nutrition_tables!$A:$AF,19,FALSE)*$Q298/100</f>
        <v>0</v>
      </c>
      <c r="AG298" s="583">
        <f>VLOOKUP($H298,Nutrition_tables!$A:$AF,20,FALSE)*$Q298/100</f>
        <v>0</v>
      </c>
      <c r="AH298" s="583">
        <f>VLOOKUP($H298,Nutrition_tables!$A:$AF,21,FALSE)*$Q298/100</f>
        <v>0</v>
      </c>
      <c r="AI298" s="583">
        <f>VLOOKUP($H298,Nutrition_tables!$A:$AF,22,FALSE)*$Q298/100</f>
        <v>0</v>
      </c>
      <c r="AJ298" s="549">
        <f>VLOOKUP($H298,Nutrition_tables!$A:$AF,23,FALSE)*$Q298/100</f>
        <v>0</v>
      </c>
      <c r="AK298" s="583">
        <f>VLOOKUP($H298,Nutrition_tables!$A:$AF,24,FALSE)*$Q298/100</f>
        <v>0</v>
      </c>
      <c r="AL298" s="583">
        <f>VLOOKUP($H298,Nutrition_tables!$A:$AF,25,FALSE)*$Q298/100</f>
        <v>0</v>
      </c>
      <c r="AM298" s="583">
        <f>VLOOKUP($H298,Nutrition_tables!$A:$AF,26,FALSE)*$Q298/100</f>
        <v>0</v>
      </c>
      <c r="AN298" s="583">
        <f>VLOOKUP($H298,Nutrition_tables!$A:$AF,27,FALSE)*$Q298/100</f>
        <v>0</v>
      </c>
      <c r="AO298" s="583">
        <f>VLOOKUP($H298,Nutrition_tables!$A:$AF,28,FALSE)*$Q298/100</f>
        <v>0</v>
      </c>
      <c r="AP298" s="583">
        <f>VLOOKUP($H298,Nutrition_tables!$A:$AF,29,FALSE)*$Q298/100</f>
        <v>0</v>
      </c>
      <c r="AQ298" s="583">
        <f>VLOOKUP($H298,Nutrition_tables!$A:$AF,30,FALSE)*$Q298/100</f>
        <v>0</v>
      </c>
      <c r="AR298" s="583">
        <f>VLOOKUP($H298,Nutrition_tables!$A:$AF,31,FALSE)*$Q298/100</f>
        <v>0</v>
      </c>
      <c r="AS298" s="549">
        <f>VLOOKUP($H298,Nutrition_tables!$A:$AF,32,FALSE)*$Q298/100</f>
        <v>0</v>
      </c>
      <c r="AT298" s="583" t="str">
        <f>IF(H298="Select ingredient:","",IF(G298="Select food category:","",IFERROR(VLOOKUP($H298,Ingredient_prices!$E:$W,17,FALSE)*$Q298/1000,"not bought")))</f>
        <v/>
      </c>
      <c r="AU298" s="583" t="str">
        <f>IF(H298="Select ingredient:","",IF(G298="Select food category:","",IFERROR(VLOOKUP($H298,Ingredient_prices!$E:$W,18,FALSE)*$Q298/1000,"not bought")))</f>
        <v/>
      </c>
      <c r="AV298" s="583">
        <f t="shared" si="657"/>
        <v>0</v>
      </c>
      <c r="AW298" s="583">
        <f t="shared" si="658"/>
        <v>0</v>
      </c>
      <c r="AX298" s="583">
        <f t="shared" si="659"/>
        <v>0</v>
      </c>
      <c r="AY298" s="583">
        <f t="shared" si="660"/>
        <v>0</v>
      </c>
      <c r="AZ298" s="583">
        <f t="shared" si="661"/>
        <v>0</v>
      </c>
      <c r="BA298" s="583">
        <f t="shared" si="662"/>
        <v>0</v>
      </c>
      <c r="BB298" s="583">
        <f t="shared" si="663"/>
        <v>0</v>
      </c>
      <c r="BC298" s="583">
        <f t="shared" si="664"/>
        <v>0</v>
      </c>
      <c r="BD298" s="583">
        <f t="shared" si="665"/>
        <v>0</v>
      </c>
      <c r="BE298" s="583">
        <f t="shared" si="666"/>
        <v>0</v>
      </c>
      <c r="BF298" s="583">
        <f t="shared" si="667"/>
        <v>0</v>
      </c>
      <c r="BG298" s="583">
        <f t="shared" si="668"/>
        <v>0</v>
      </c>
      <c r="BH298" s="583">
        <f t="shared" si="669"/>
        <v>0</v>
      </c>
      <c r="BI298" s="583">
        <f t="shared" si="670"/>
        <v>0</v>
      </c>
      <c r="BJ298" s="583">
        <f t="shared" si="671"/>
        <v>0</v>
      </c>
      <c r="BK298" s="583">
        <f t="shared" si="672"/>
        <v>0</v>
      </c>
      <c r="BL298" s="583">
        <f t="shared" si="673"/>
        <v>0</v>
      </c>
      <c r="BM298" s="583">
        <f t="shared" si="674"/>
        <v>0</v>
      </c>
      <c r="BN298" s="583">
        <f t="shared" si="675"/>
        <v>0</v>
      </c>
      <c r="BO298" s="583">
        <f t="shared" si="676"/>
        <v>0</v>
      </c>
      <c r="BP298" s="583">
        <f t="shared" si="677"/>
        <v>0</v>
      </c>
      <c r="BQ298" s="583">
        <f t="shared" si="678"/>
        <v>0</v>
      </c>
      <c r="BR298" s="583">
        <f t="shared" si="679"/>
        <v>0</v>
      </c>
    </row>
    <row r="299" spans="1:70" s="603" customFormat="1" ht="56">
      <c r="A299" s="587"/>
      <c r="B299" s="593"/>
      <c r="C299" s="522"/>
      <c r="D299" s="141"/>
      <c r="E299" s="594"/>
      <c r="F299" s="708"/>
      <c r="G299" s="522"/>
      <c r="H299" s="522"/>
      <c r="I299" s="86"/>
      <c r="J299" s="87"/>
      <c r="K299" s="595"/>
      <c r="L299" s="596"/>
      <c r="M299" s="845"/>
      <c r="N299" s="845"/>
      <c r="O299" s="588"/>
      <c r="P299" s="638"/>
      <c r="Q299" s="599" t="s">
        <v>384</v>
      </c>
      <c r="R299" s="600" t="s">
        <v>455</v>
      </c>
      <c r="S299" s="600" t="s">
        <v>2087</v>
      </c>
      <c r="T299" s="600" t="s">
        <v>456</v>
      </c>
      <c r="U299" s="600" t="s">
        <v>535</v>
      </c>
      <c r="V299" s="601" t="s">
        <v>457</v>
      </c>
      <c r="W299" s="600" t="s">
        <v>75</v>
      </c>
      <c r="X299" s="600" t="s">
        <v>385</v>
      </c>
      <c r="Y299" s="600" t="s">
        <v>386</v>
      </c>
      <c r="Z299" s="600" t="s">
        <v>387</v>
      </c>
      <c r="AA299" s="600" t="s">
        <v>388</v>
      </c>
      <c r="AB299" s="601" t="s">
        <v>389</v>
      </c>
      <c r="AC299" s="602" t="s">
        <v>390</v>
      </c>
      <c r="AD299" s="600" t="s">
        <v>391</v>
      </c>
      <c r="AE299" s="600" t="s">
        <v>392</v>
      </c>
      <c r="AF299" s="600" t="s">
        <v>393</v>
      </c>
      <c r="AG299" s="600" t="s">
        <v>394</v>
      </c>
      <c r="AH299" s="600" t="s">
        <v>395</v>
      </c>
      <c r="AI299" s="600" t="s">
        <v>396</v>
      </c>
      <c r="AJ299" s="601" t="s">
        <v>397</v>
      </c>
      <c r="AK299" s="602" t="s">
        <v>398</v>
      </c>
      <c r="AL299" s="600" t="s">
        <v>399</v>
      </c>
      <c r="AM299" s="600" t="s">
        <v>400</v>
      </c>
      <c r="AN299" s="600" t="s">
        <v>401</v>
      </c>
      <c r="AO299" s="600" t="s">
        <v>402</v>
      </c>
      <c r="AP299" s="600" t="s">
        <v>406</v>
      </c>
      <c r="AQ299" s="600" t="s">
        <v>405</v>
      </c>
      <c r="AR299" s="600" t="s">
        <v>403</v>
      </c>
      <c r="AS299" s="601" t="s">
        <v>404</v>
      </c>
      <c r="AT299" s="593"/>
      <c r="AU299" s="593"/>
    </row>
    <row r="300" spans="1:70" s="229" customFormat="1">
      <c r="A300" s="587"/>
      <c r="B300" s="593"/>
      <c r="C300" s="522"/>
      <c r="D300" s="141"/>
      <c r="E300" s="594"/>
      <c r="F300" s="708"/>
      <c r="G300" s="522"/>
      <c r="H300" s="522"/>
      <c r="I300" s="86"/>
      <c r="J300" s="87"/>
      <c r="K300" s="595"/>
      <c r="L300" s="604"/>
      <c r="M300" s="846"/>
      <c r="N300" s="846"/>
      <c r="O300" s="588"/>
      <c r="P300" s="639" t="s">
        <v>383</v>
      </c>
      <c r="Q300" s="583">
        <f t="shared" ref="Q300:AU300" si="681">SUM(Q287:Q298)</f>
        <v>0</v>
      </c>
      <c r="R300" s="583">
        <f t="shared" si="681"/>
        <v>0</v>
      </c>
      <c r="S300" s="583">
        <f>SUM(S287:S298)</f>
        <v>0</v>
      </c>
      <c r="T300" s="583">
        <f t="shared" si="681"/>
        <v>0</v>
      </c>
      <c r="U300" s="583">
        <f t="shared" si="681"/>
        <v>0</v>
      </c>
      <c r="V300" s="549">
        <f t="shared" si="681"/>
        <v>0</v>
      </c>
      <c r="W300" s="583">
        <f t="shared" si="681"/>
        <v>0</v>
      </c>
      <c r="X300" s="583">
        <f t="shared" si="681"/>
        <v>0</v>
      </c>
      <c r="Y300" s="583">
        <f t="shared" si="681"/>
        <v>0</v>
      </c>
      <c r="Z300" s="583">
        <f t="shared" si="681"/>
        <v>0</v>
      </c>
      <c r="AA300" s="583">
        <f t="shared" si="681"/>
        <v>0</v>
      </c>
      <c r="AB300" s="549">
        <f t="shared" si="681"/>
        <v>0</v>
      </c>
      <c r="AC300" s="583">
        <f t="shared" si="681"/>
        <v>0</v>
      </c>
      <c r="AD300" s="583">
        <f t="shared" si="681"/>
        <v>0</v>
      </c>
      <c r="AE300" s="583">
        <f t="shared" si="681"/>
        <v>0</v>
      </c>
      <c r="AF300" s="583">
        <f t="shared" si="681"/>
        <v>0</v>
      </c>
      <c r="AG300" s="583">
        <f t="shared" si="681"/>
        <v>0</v>
      </c>
      <c r="AH300" s="583">
        <f t="shared" si="681"/>
        <v>0</v>
      </c>
      <c r="AI300" s="583">
        <f t="shared" si="681"/>
        <v>0</v>
      </c>
      <c r="AJ300" s="549">
        <f t="shared" si="681"/>
        <v>0</v>
      </c>
      <c r="AK300" s="583">
        <f t="shared" si="681"/>
        <v>0</v>
      </c>
      <c r="AL300" s="583">
        <f t="shared" si="681"/>
        <v>0</v>
      </c>
      <c r="AM300" s="583">
        <f t="shared" si="681"/>
        <v>0</v>
      </c>
      <c r="AN300" s="583">
        <f t="shared" si="681"/>
        <v>0</v>
      </c>
      <c r="AO300" s="583">
        <f t="shared" si="681"/>
        <v>0</v>
      </c>
      <c r="AP300" s="583">
        <f t="shared" si="681"/>
        <v>0</v>
      </c>
      <c r="AQ300" s="583">
        <f t="shared" si="681"/>
        <v>0</v>
      </c>
      <c r="AR300" s="583">
        <f t="shared" si="681"/>
        <v>0</v>
      </c>
      <c r="AS300" s="549">
        <f t="shared" si="681"/>
        <v>0</v>
      </c>
      <c r="AT300" s="5">
        <f t="shared" si="681"/>
        <v>0</v>
      </c>
      <c r="AU300" s="5">
        <f t="shared" si="681"/>
        <v>0</v>
      </c>
      <c r="AV300" s="545">
        <f t="shared" ref="AV300:BR300" si="682">SUM(AV287:AV298)</f>
        <v>0</v>
      </c>
      <c r="AW300" s="545">
        <f t="shared" si="682"/>
        <v>0</v>
      </c>
      <c r="AX300" s="545">
        <f t="shared" si="682"/>
        <v>0</v>
      </c>
      <c r="AY300" s="545">
        <f t="shared" si="682"/>
        <v>0</v>
      </c>
      <c r="AZ300" s="545">
        <f t="shared" si="682"/>
        <v>0</v>
      </c>
      <c r="BA300" s="545">
        <f t="shared" si="682"/>
        <v>0</v>
      </c>
      <c r="BB300" s="545">
        <f t="shared" si="682"/>
        <v>0</v>
      </c>
      <c r="BC300" s="545">
        <f t="shared" si="682"/>
        <v>0</v>
      </c>
      <c r="BD300" s="545">
        <f t="shared" si="682"/>
        <v>0</v>
      </c>
      <c r="BE300" s="545">
        <f t="shared" si="682"/>
        <v>0</v>
      </c>
      <c r="BF300" s="545">
        <f t="shared" si="682"/>
        <v>0</v>
      </c>
      <c r="BG300" s="545">
        <f t="shared" si="682"/>
        <v>0</v>
      </c>
      <c r="BH300" s="545">
        <f t="shared" si="682"/>
        <v>0</v>
      </c>
      <c r="BI300" s="545">
        <f t="shared" si="682"/>
        <v>0</v>
      </c>
      <c r="BJ300" s="545">
        <f t="shared" si="682"/>
        <v>0</v>
      </c>
      <c r="BK300" s="545">
        <f t="shared" si="682"/>
        <v>0</v>
      </c>
      <c r="BL300" s="545">
        <f t="shared" si="682"/>
        <v>0</v>
      </c>
      <c r="BM300" s="545">
        <f t="shared" si="682"/>
        <v>0</v>
      </c>
      <c r="BN300" s="545">
        <f t="shared" si="682"/>
        <v>0</v>
      </c>
      <c r="BO300" s="545">
        <f t="shared" si="682"/>
        <v>0</v>
      </c>
      <c r="BP300" s="545">
        <f t="shared" si="682"/>
        <v>0</v>
      </c>
      <c r="BQ300" s="545">
        <f t="shared" si="682"/>
        <v>0</v>
      </c>
      <c r="BR300" s="545">
        <f t="shared" si="682"/>
        <v>0</v>
      </c>
    </row>
    <row r="301" spans="1:70" s="229" customFormat="1">
      <c r="A301" s="587"/>
      <c r="B301" s="593"/>
      <c r="C301" s="522"/>
      <c r="D301" s="141"/>
      <c r="E301" s="594"/>
      <c r="F301" s="708"/>
      <c r="G301" s="522"/>
      <c r="H301" s="522"/>
      <c r="I301" s="86"/>
      <c r="J301" s="87"/>
      <c r="K301" s="595"/>
      <c r="L301" s="604"/>
      <c r="M301" s="846"/>
      <c r="N301" s="846"/>
      <c r="O301" s="588"/>
      <c r="P301" s="639" t="s">
        <v>539</v>
      </c>
      <c r="V301" s="527" t="s">
        <v>588</v>
      </c>
      <c r="W301" s="229">
        <v>185.5</v>
      </c>
      <c r="X301" s="229">
        <v>23.200000000000003</v>
      </c>
      <c r="Y301" s="229">
        <v>5.8000000000000007</v>
      </c>
      <c r="Z301" s="229">
        <v>6.2</v>
      </c>
      <c r="AA301" s="229">
        <v>1.9000000000000001</v>
      </c>
      <c r="AB301" s="526">
        <v>2</v>
      </c>
      <c r="AC301" s="229">
        <v>138</v>
      </c>
      <c r="AD301" s="229">
        <v>180</v>
      </c>
      <c r="AE301" s="229">
        <v>90</v>
      </c>
      <c r="AF301" s="229">
        <v>17</v>
      </c>
      <c r="AG301" s="229">
        <v>80</v>
      </c>
      <c r="AH301" s="229">
        <v>1</v>
      </c>
      <c r="AI301" s="229">
        <v>0.70000000000000007</v>
      </c>
      <c r="AJ301" s="526">
        <v>0.125</v>
      </c>
      <c r="AK301" s="229">
        <v>80</v>
      </c>
      <c r="AL301" s="229">
        <v>0.1</v>
      </c>
      <c r="AM301" s="229">
        <v>0.11000000000000001</v>
      </c>
      <c r="AN301" s="229">
        <v>1.2000000000000002</v>
      </c>
      <c r="AO301" s="229">
        <v>6.9999999999999993E-2</v>
      </c>
      <c r="AP301" s="229">
        <v>30</v>
      </c>
      <c r="AQ301" s="229">
        <v>0.18000000000000002</v>
      </c>
      <c r="AR301" s="229">
        <v>8</v>
      </c>
      <c r="AS301" s="526">
        <v>0.5</v>
      </c>
      <c r="AV301" s="229">
        <v>185.5</v>
      </c>
      <c r="AW301" s="229">
        <v>23.200000000000003</v>
      </c>
      <c r="AX301" s="229">
        <v>5.8000000000000007</v>
      </c>
      <c r="AY301" s="229">
        <v>6.2</v>
      </c>
      <c r="AZ301" s="229">
        <v>1.9000000000000001</v>
      </c>
      <c r="BA301" s="526">
        <v>2</v>
      </c>
      <c r="BB301" s="229">
        <v>138</v>
      </c>
      <c r="BC301" s="229">
        <v>180</v>
      </c>
      <c r="BD301" s="229">
        <v>90</v>
      </c>
      <c r="BE301" s="229">
        <v>17</v>
      </c>
      <c r="BF301" s="229">
        <v>80</v>
      </c>
      <c r="BG301" s="229">
        <v>1</v>
      </c>
      <c r="BH301" s="229">
        <v>0.70000000000000007</v>
      </c>
      <c r="BI301" s="526">
        <v>0.125</v>
      </c>
      <c r="BJ301" s="229">
        <v>80</v>
      </c>
      <c r="BK301" s="229">
        <v>0.1</v>
      </c>
      <c r="BL301" s="229">
        <v>0.11000000000000001</v>
      </c>
      <c r="BM301" s="229">
        <v>1.2000000000000002</v>
      </c>
      <c r="BN301" s="229">
        <v>6.9999999999999993E-2</v>
      </c>
      <c r="BO301" s="229">
        <v>30</v>
      </c>
      <c r="BP301" s="229">
        <v>0.18000000000000002</v>
      </c>
      <c r="BQ301" s="229">
        <v>8</v>
      </c>
      <c r="BR301" s="526">
        <v>0.5</v>
      </c>
    </row>
    <row r="302" spans="1:70" s="229" customFormat="1">
      <c r="A302" s="587"/>
      <c r="B302" s="593"/>
      <c r="C302" s="522"/>
      <c r="D302" s="141"/>
      <c r="E302" s="594"/>
      <c r="F302" s="708"/>
      <c r="G302" s="522"/>
      <c r="H302" s="522"/>
      <c r="I302" s="86"/>
      <c r="J302" s="87"/>
      <c r="K302" s="595"/>
      <c r="L302" s="604"/>
      <c r="M302" s="846"/>
      <c r="N302" s="846"/>
      <c r="O302" s="588"/>
      <c r="P302" s="639" t="s">
        <v>407</v>
      </c>
      <c r="V302" s="526"/>
      <c r="W302" s="514">
        <f t="shared" ref="W302:AS302" si="683">100*W300/W301</f>
        <v>0</v>
      </c>
      <c r="X302" s="514">
        <f t="shared" si="683"/>
        <v>0</v>
      </c>
      <c r="Y302" s="514">
        <f t="shared" si="683"/>
        <v>0</v>
      </c>
      <c r="Z302" s="514">
        <f t="shared" si="683"/>
        <v>0</v>
      </c>
      <c r="AA302" s="514">
        <f t="shared" si="683"/>
        <v>0</v>
      </c>
      <c r="AB302" s="506">
        <f t="shared" si="683"/>
        <v>0</v>
      </c>
      <c r="AC302" s="514">
        <f t="shared" si="683"/>
        <v>0</v>
      </c>
      <c r="AD302" s="514">
        <f t="shared" si="683"/>
        <v>0</v>
      </c>
      <c r="AE302" s="514">
        <f t="shared" si="683"/>
        <v>0</v>
      </c>
      <c r="AF302" s="514">
        <f t="shared" si="683"/>
        <v>0</v>
      </c>
      <c r="AG302" s="514">
        <f t="shared" si="683"/>
        <v>0</v>
      </c>
      <c r="AH302" s="514">
        <f t="shared" si="683"/>
        <v>0</v>
      </c>
      <c r="AI302" s="514">
        <f t="shared" si="683"/>
        <v>0</v>
      </c>
      <c r="AJ302" s="506">
        <f t="shared" si="683"/>
        <v>0</v>
      </c>
      <c r="AK302" s="514">
        <f t="shared" si="683"/>
        <v>0</v>
      </c>
      <c r="AL302" s="514">
        <f t="shared" si="683"/>
        <v>0</v>
      </c>
      <c r="AM302" s="514">
        <f t="shared" si="683"/>
        <v>0</v>
      </c>
      <c r="AN302" s="514">
        <f t="shared" si="683"/>
        <v>0</v>
      </c>
      <c r="AO302" s="514">
        <f t="shared" si="683"/>
        <v>0</v>
      </c>
      <c r="AP302" s="514">
        <f t="shared" si="683"/>
        <v>0</v>
      </c>
      <c r="AQ302" s="514">
        <f t="shared" si="683"/>
        <v>0</v>
      </c>
      <c r="AR302" s="514">
        <f t="shared" si="683"/>
        <v>0</v>
      </c>
      <c r="AS302" s="506">
        <f t="shared" si="683"/>
        <v>0</v>
      </c>
      <c r="AV302" s="505">
        <f t="shared" ref="AV302:BR302" si="684">100*AV300/AV301</f>
        <v>0</v>
      </c>
      <c r="AW302" s="505">
        <f t="shared" si="684"/>
        <v>0</v>
      </c>
      <c r="AX302" s="505">
        <f t="shared" si="684"/>
        <v>0</v>
      </c>
      <c r="AY302" s="505">
        <f t="shared" si="684"/>
        <v>0</v>
      </c>
      <c r="AZ302" s="505">
        <f t="shared" si="684"/>
        <v>0</v>
      </c>
      <c r="BA302" s="505">
        <f t="shared" si="684"/>
        <v>0</v>
      </c>
      <c r="BB302" s="505">
        <f t="shared" si="684"/>
        <v>0</v>
      </c>
      <c r="BC302" s="505">
        <f t="shared" si="684"/>
        <v>0</v>
      </c>
      <c r="BD302" s="505">
        <f t="shared" si="684"/>
        <v>0</v>
      </c>
      <c r="BE302" s="505">
        <f t="shared" si="684"/>
        <v>0</v>
      </c>
      <c r="BF302" s="505">
        <f t="shared" si="684"/>
        <v>0</v>
      </c>
      <c r="BG302" s="505">
        <f t="shared" si="684"/>
        <v>0</v>
      </c>
      <c r="BH302" s="505">
        <f t="shared" si="684"/>
        <v>0</v>
      </c>
      <c r="BI302" s="505">
        <f t="shared" si="684"/>
        <v>0</v>
      </c>
      <c r="BJ302" s="505">
        <f t="shared" si="684"/>
        <v>0</v>
      </c>
      <c r="BK302" s="505">
        <f t="shared" si="684"/>
        <v>0</v>
      </c>
      <c r="BL302" s="505">
        <f t="shared" si="684"/>
        <v>0</v>
      </c>
      <c r="BM302" s="505">
        <f t="shared" si="684"/>
        <v>0</v>
      </c>
      <c r="BN302" s="505">
        <f t="shared" si="684"/>
        <v>0</v>
      </c>
      <c r="BO302" s="505">
        <f t="shared" si="684"/>
        <v>0</v>
      </c>
      <c r="BP302" s="505">
        <f t="shared" si="684"/>
        <v>0</v>
      </c>
      <c r="BQ302" s="505">
        <f t="shared" si="684"/>
        <v>0</v>
      </c>
      <c r="BR302" s="505">
        <f t="shared" si="684"/>
        <v>0</v>
      </c>
    </row>
    <row r="303" spans="1:70" s="229" customFormat="1">
      <c r="A303" s="587"/>
      <c r="B303" s="593"/>
      <c r="C303" s="522"/>
      <c r="D303" s="141"/>
      <c r="E303" s="594"/>
      <c r="F303" s="708"/>
      <c r="G303" s="522"/>
      <c r="H303" s="522"/>
      <c r="I303" s="86"/>
      <c r="J303" s="87"/>
      <c r="K303" s="595"/>
      <c r="L303" s="604"/>
      <c r="M303" s="846"/>
      <c r="N303" s="846"/>
      <c r="O303" s="588"/>
      <c r="P303" s="639" t="s">
        <v>548</v>
      </c>
      <c r="V303" s="526"/>
      <c r="W303" s="583">
        <f>AV300</f>
        <v>0</v>
      </c>
      <c r="X303" s="583">
        <f t="shared" ref="X303" si="685">AW300</f>
        <v>0</v>
      </c>
      <c r="Y303" s="583">
        <f t="shared" ref="Y303" si="686">AX300</f>
        <v>0</v>
      </c>
      <c r="Z303" s="583">
        <f t="shared" ref="Z303" si="687">AY300</f>
        <v>0</v>
      </c>
      <c r="AA303" s="583">
        <f t="shared" ref="AA303" si="688">AZ300</f>
        <v>0</v>
      </c>
      <c r="AB303" s="549">
        <f t="shared" ref="AB303" si="689">BA300</f>
        <v>0</v>
      </c>
      <c r="AC303" s="583">
        <f t="shared" ref="AC303" si="690">BB300</f>
        <v>0</v>
      </c>
      <c r="AD303" s="583">
        <f t="shared" ref="AD303" si="691">BC300</f>
        <v>0</v>
      </c>
      <c r="AE303" s="583">
        <f>BD300</f>
        <v>0</v>
      </c>
      <c r="AF303" s="583">
        <f t="shared" ref="AF303" si="692">BE300</f>
        <v>0</v>
      </c>
      <c r="AG303" s="583">
        <f t="shared" ref="AG303" si="693">BF300</f>
        <v>0</v>
      </c>
      <c r="AH303" s="583">
        <f t="shared" ref="AH303" si="694">BG300</f>
        <v>0</v>
      </c>
      <c r="AI303" s="583">
        <f t="shared" ref="AI303" si="695">BH300</f>
        <v>0</v>
      </c>
      <c r="AJ303" s="549">
        <f t="shared" ref="AJ303" si="696">BI300</f>
        <v>0</v>
      </c>
      <c r="AK303" s="583">
        <f t="shared" ref="AK303" si="697">BJ300</f>
        <v>0</v>
      </c>
      <c r="AL303" s="583">
        <f t="shared" ref="AL303" si="698">BK300</f>
        <v>0</v>
      </c>
      <c r="AM303" s="583">
        <f t="shared" ref="AM303" si="699">BL300</f>
        <v>0</v>
      </c>
      <c r="AN303" s="583">
        <f>BM300</f>
        <v>0</v>
      </c>
      <c r="AO303" s="583">
        <f t="shared" ref="AO303" si="700">BN300</f>
        <v>0</v>
      </c>
      <c r="AP303" s="583">
        <f t="shared" ref="AP303" si="701">BO300</f>
        <v>0</v>
      </c>
      <c r="AQ303" s="583">
        <f t="shared" ref="AQ303" si="702">BP300</f>
        <v>0</v>
      </c>
      <c r="AR303" s="583">
        <f t="shared" ref="AR303" si="703">BQ300</f>
        <v>0</v>
      </c>
      <c r="AS303" s="549">
        <f>BR300</f>
        <v>0</v>
      </c>
    </row>
    <row r="304" spans="1:70" s="229" customFormat="1" ht="15" thickBot="1">
      <c r="A304" s="587"/>
      <c r="B304" s="593"/>
      <c r="C304" s="522"/>
      <c r="D304" s="141"/>
      <c r="E304" s="594"/>
      <c r="F304" s="708"/>
      <c r="G304" s="522"/>
      <c r="H304" s="522"/>
      <c r="I304" s="86"/>
      <c r="J304" s="87"/>
      <c r="K304" s="595"/>
      <c r="L304" s="616"/>
      <c r="M304" s="847"/>
      <c r="N304" s="846"/>
      <c r="O304" s="588"/>
      <c r="P304" s="641" t="s">
        <v>546</v>
      </c>
      <c r="Q304" s="546"/>
      <c r="R304" s="546"/>
      <c r="S304" s="546"/>
      <c r="T304" s="546"/>
      <c r="U304" s="546"/>
      <c r="V304" s="529"/>
      <c r="W304" s="502">
        <f t="shared" ref="W304:AS304" si="704">AV302</f>
        <v>0</v>
      </c>
      <c r="X304" s="502">
        <f t="shared" si="704"/>
        <v>0</v>
      </c>
      <c r="Y304" s="502">
        <f t="shared" si="704"/>
        <v>0</v>
      </c>
      <c r="Z304" s="502">
        <f t="shared" si="704"/>
        <v>0</v>
      </c>
      <c r="AA304" s="502">
        <f t="shared" si="704"/>
        <v>0</v>
      </c>
      <c r="AB304" s="503">
        <f t="shared" si="704"/>
        <v>0</v>
      </c>
      <c r="AC304" s="502">
        <f t="shared" si="704"/>
        <v>0</v>
      </c>
      <c r="AD304" s="502">
        <f t="shared" si="704"/>
        <v>0</v>
      </c>
      <c r="AE304" s="502">
        <f t="shared" si="704"/>
        <v>0</v>
      </c>
      <c r="AF304" s="502">
        <f t="shared" si="704"/>
        <v>0</v>
      </c>
      <c r="AG304" s="502">
        <f t="shared" si="704"/>
        <v>0</v>
      </c>
      <c r="AH304" s="502">
        <f t="shared" si="704"/>
        <v>0</v>
      </c>
      <c r="AI304" s="502">
        <f t="shared" si="704"/>
        <v>0</v>
      </c>
      <c r="AJ304" s="503">
        <f t="shared" si="704"/>
        <v>0</v>
      </c>
      <c r="AK304" s="502">
        <f t="shared" si="704"/>
        <v>0</v>
      </c>
      <c r="AL304" s="502">
        <f t="shared" si="704"/>
        <v>0</v>
      </c>
      <c r="AM304" s="502">
        <f t="shared" si="704"/>
        <v>0</v>
      </c>
      <c r="AN304" s="502">
        <f t="shared" si="704"/>
        <v>0</v>
      </c>
      <c r="AO304" s="502">
        <f t="shared" si="704"/>
        <v>0</v>
      </c>
      <c r="AP304" s="502">
        <f t="shared" si="704"/>
        <v>0</v>
      </c>
      <c r="AQ304" s="502">
        <f t="shared" si="704"/>
        <v>0</v>
      </c>
      <c r="AR304" s="502">
        <f t="shared" si="704"/>
        <v>0</v>
      </c>
      <c r="AS304" s="503">
        <f t="shared" si="704"/>
        <v>0</v>
      </c>
      <c r="AT304" s="1296"/>
      <c r="AU304" s="1296"/>
      <c r="AV304" s="514"/>
      <c r="AW304" s="514"/>
      <c r="AX304" s="514"/>
      <c r="AY304" s="514"/>
      <c r="AZ304" s="514"/>
      <c r="BA304" s="505"/>
      <c r="BB304" s="514"/>
      <c r="BC304" s="514"/>
      <c r="BD304" s="514"/>
      <c r="BE304" s="514"/>
      <c r="BF304" s="514"/>
      <c r="BG304" s="514"/>
      <c r="BH304" s="514"/>
      <c r="BI304" s="505"/>
      <c r="BJ304" s="514"/>
      <c r="BK304" s="514"/>
      <c r="BL304" s="514"/>
      <c r="BM304" s="514"/>
      <c r="BN304" s="514"/>
      <c r="BO304" s="514"/>
      <c r="BP304" s="514"/>
      <c r="BQ304" s="514"/>
      <c r="BR304" s="505"/>
    </row>
    <row r="305" spans="1:70" s="229" customFormat="1">
      <c r="A305" s="587"/>
      <c r="B305" s="593"/>
      <c r="C305" s="522"/>
      <c r="D305" s="141"/>
      <c r="E305" s="594"/>
      <c r="F305" s="708"/>
      <c r="G305" s="522"/>
      <c r="H305" s="522"/>
      <c r="I305" s="86"/>
      <c r="J305" s="87"/>
      <c r="K305" s="595"/>
      <c r="L305" s="604"/>
      <c r="M305" s="846"/>
      <c r="N305" s="846"/>
      <c r="O305" s="588"/>
      <c r="P305" s="639" t="s">
        <v>550</v>
      </c>
      <c r="Q305" s="514">
        <f t="shared" ref="Q305:R305" si="705">Q230+Q249+Q281+Q300</f>
        <v>768.5</v>
      </c>
      <c r="R305" s="514">
        <f t="shared" si="705"/>
        <v>173.48390000000001</v>
      </c>
      <c r="S305" s="514"/>
      <c r="T305" s="514">
        <f>T230+T249+T281+T300</f>
        <v>120.0372857142857</v>
      </c>
      <c r="U305" s="514">
        <f>U230+U249+U281+U300</f>
        <v>28.038215177142856</v>
      </c>
      <c r="V305" s="514">
        <f>V230+V249+V281+V300</f>
        <v>1337.23</v>
      </c>
      <c r="W305" s="514">
        <f>W230+W249+W281+W300</f>
        <v>1353.9482766899766</v>
      </c>
      <c r="X305" s="514">
        <f>X230+X249+X281+X300</f>
        <v>148.07297668997668</v>
      </c>
      <c r="Y305" s="514">
        <f t="shared" ref="Y305:AU305" si="706">Y230+Y249+Y281+Y300</f>
        <v>51.694333333333333</v>
      </c>
      <c r="Z305" s="514">
        <f t="shared" si="706"/>
        <v>60.221289976689974</v>
      </c>
      <c r="AA305" s="514">
        <f t="shared" si="706"/>
        <v>25.445116550116552</v>
      </c>
      <c r="AB305" s="506">
        <f t="shared" si="706"/>
        <v>10.412583916083914</v>
      </c>
      <c r="AC305" s="514">
        <f t="shared" si="706"/>
        <v>782.93597668997666</v>
      </c>
      <c r="AD305" s="514">
        <f t="shared" si="706"/>
        <v>1877.8560000000002</v>
      </c>
      <c r="AE305" s="514">
        <f t="shared" si="706"/>
        <v>351.42899999999997</v>
      </c>
      <c r="AF305" s="514">
        <f t="shared" si="706"/>
        <v>168.3659533799534</v>
      </c>
      <c r="AG305" s="514">
        <f t="shared" si="706"/>
        <v>566.15600000000006</v>
      </c>
      <c r="AH305" s="514">
        <f t="shared" si="706"/>
        <v>12.061144289044288</v>
      </c>
      <c r="AI305" s="514">
        <f t="shared" si="706"/>
        <v>8.9212300699300684</v>
      </c>
      <c r="AJ305" s="506">
        <f t="shared" si="706"/>
        <v>1.3061815501165501</v>
      </c>
      <c r="AK305" s="514">
        <f t="shared" si="706"/>
        <v>368.02569999999997</v>
      </c>
      <c r="AL305" s="514">
        <f t="shared" si="706"/>
        <v>0.88691841491841494</v>
      </c>
      <c r="AM305" s="514">
        <f t="shared" si="706"/>
        <v>0.72726270396270398</v>
      </c>
      <c r="AN305" s="514">
        <f t="shared" si="706"/>
        <v>9.5284773310023319</v>
      </c>
      <c r="AO305" s="514">
        <f t="shared" si="706"/>
        <v>0.97508300699300698</v>
      </c>
      <c r="AP305" s="514">
        <f t="shared" si="706"/>
        <v>189.87609324009321</v>
      </c>
      <c r="AQ305" s="514">
        <f t="shared" si="706"/>
        <v>0.59361090909090908</v>
      </c>
      <c r="AR305" s="514">
        <f t="shared" si="706"/>
        <v>72.429299999999998</v>
      </c>
      <c r="AS305" s="506">
        <f t="shared" si="706"/>
        <v>1.3220200000000002</v>
      </c>
      <c r="AT305" s="514">
        <f t="shared" si="706"/>
        <v>111.50528428571428</v>
      </c>
      <c r="AU305" s="514">
        <f t="shared" si="706"/>
        <v>120.0372857142857</v>
      </c>
      <c r="AV305" s="514"/>
      <c r="AW305" s="514"/>
      <c r="AX305" s="514"/>
      <c r="AY305" s="514"/>
      <c r="AZ305" s="514"/>
      <c r="BA305" s="505"/>
      <c r="BB305" s="514"/>
      <c r="BC305" s="514"/>
      <c r="BD305" s="514"/>
      <c r="BE305" s="514"/>
      <c r="BF305" s="514"/>
      <c r="BG305" s="514"/>
      <c r="BH305" s="514"/>
      <c r="BI305" s="505"/>
      <c r="BJ305" s="514"/>
      <c r="BK305" s="514"/>
      <c r="BL305" s="514"/>
      <c r="BM305" s="514"/>
      <c r="BN305" s="514"/>
      <c r="BO305" s="514"/>
      <c r="BP305" s="514"/>
      <c r="BQ305" s="514"/>
      <c r="BR305" s="505"/>
    </row>
    <row r="306" spans="1:70" s="229" customFormat="1">
      <c r="A306" s="587"/>
      <c r="B306" s="593"/>
      <c r="C306" s="522"/>
      <c r="D306" s="141"/>
      <c r="E306" s="594"/>
      <c r="F306" s="708"/>
      <c r="G306" s="522"/>
      <c r="H306" s="522"/>
      <c r="I306" s="86"/>
      <c r="J306" s="87"/>
      <c r="K306" s="595"/>
      <c r="L306" s="604"/>
      <c r="M306" s="846"/>
      <c r="N306" s="846"/>
      <c r="O306" s="588"/>
      <c r="P306" s="642" t="s">
        <v>549</v>
      </c>
      <c r="S306" s="514"/>
      <c r="V306" s="526"/>
      <c r="W306" s="514">
        <f>W233+W252+W284+W303</f>
        <v>1032.1205207787013</v>
      </c>
      <c r="X306" s="514">
        <f>X233+X252+X284+X303</f>
        <v>111.01382123609991</v>
      </c>
      <c r="Y306" s="514">
        <f t="shared" ref="Y306:AS306" si="707">Y233+Y252+Y284+Y303</f>
        <v>37.226620683977458</v>
      </c>
      <c r="Z306" s="514">
        <f t="shared" si="707"/>
        <v>47.916793045286283</v>
      </c>
      <c r="AA306" s="514">
        <f t="shared" si="707"/>
        <v>18.001993312480099</v>
      </c>
      <c r="AB306" s="506">
        <f t="shared" si="707"/>
        <v>7.2697199953192166</v>
      </c>
      <c r="AC306" s="514">
        <f t="shared" si="707"/>
        <v>513.77935042601337</v>
      </c>
      <c r="AD306" s="514">
        <f t="shared" si="707"/>
        <v>1347.6428033153452</v>
      </c>
      <c r="AE306" s="514">
        <f t="shared" si="707"/>
        <v>274.09367314986912</v>
      </c>
      <c r="AF306" s="514">
        <f t="shared" si="707"/>
        <v>119.55856834756861</v>
      </c>
      <c r="AG306" s="514">
        <f t="shared" si="707"/>
        <v>409.70044686279391</v>
      </c>
      <c r="AH306" s="514">
        <f t="shared" si="707"/>
        <v>8.3201915140856872</v>
      </c>
      <c r="AI306" s="514">
        <f t="shared" si="707"/>
        <v>5.798299479328759</v>
      </c>
      <c r="AJ306" s="506">
        <f t="shared" si="707"/>
        <v>0.89722589589323831</v>
      </c>
      <c r="AK306" s="514">
        <f t="shared" si="707"/>
        <v>276.41333457150154</v>
      </c>
      <c r="AL306" s="514">
        <f t="shared" si="707"/>
        <v>0.57210310462384761</v>
      </c>
      <c r="AM306" s="514">
        <f t="shared" si="707"/>
        <v>0.51137670185412387</v>
      </c>
      <c r="AN306" s="514">
        <f t="shared" si="707"/>
        <v>6.4319341419405038</v>
      </c>
      <c r="AO306" s="514">
        <f t="shared" si="707"/>
        <v>0.62972135137485752</v>
      </c>
      <c r="AP306" s="514">
        <f t="shared" si="707"/>
        <v>135.42631013980127</v>
      </c>
      <c r="AQ306" s="514">
        <f t="shared" si="707"/>
        <v>0.45178637741538785</v>
      </c>
      <c r="AR306" s="514">
        <f t="shared" si="707"/>
        <v>52.835878729297718</v>
      </c>
      <c r="AS306" s="506">
        <f t="shared" si="707"/>
        <v>0.68585812936440005</v>
      </c>
      <c r="AV306" s="514"/>
      <c r="AW306" s="514"/>
      <c r="AX306" s="514"/>
      <c r="AY306" s="514"/>
      <c r="AZ306" s="514"/>
      <c r="BA306" s="505"/>
      <c r="BB306" s="514"/>
      <c r="BC306" s="514"/>
      <c r="BD306" s="514"/>
      <c r="BE306" s="514"/>
      <c r="BF306" s="514"/>
      <c r="BG306" s="514"/>
      <c r="BH306" s="514"/>
      <c r="BI306" s="505"/>
      <c r="BJ306" s="514"/>
      <c r="BK306" s="514"/>
      <c r="BL306" s="514"/>
      <c r="BM306" s="514"/>
      <c r="BN306" s="514"/>
      <c r="BO306" s="514"/>
      <c r="BP306" s="514"/>
      <c r="BQ306" s="514"/>
      <c r="BR306" s="505"/>
    </row>
    <row r="307" spans="1:70" s="229" customFormat="1" ht="15" thickBot="1">
      <c r="A307" s="643"/>
      <c r="B307" s="643"/>
      <c r="C307" s="643"/>
      <c r="D307" s="687"/>
      <c r="E307" s="644"/>
      <c r="F307" s="713"/>
      <c r="G307" s="645" t="s">
        <v>3054</v>
      </c>
      <c r="H307" s="646"/>
      <c r="I307" s="688"/>
      <c r="J307" s="688"/>
      <c r="K307" s="643"/>
      <c r="L307" s="647"/>
      <c r="M307" s="647"/>
      <c r="N307" s="647"/>
      <c r="O307" s="648"/>
      <c r="P307" s="643"/>
      <c r="Q307" s="649"/>
      <c r="R307" s="649"/>
      <c r="S307" s="649"/>
      <c r="T307" s="649"/>
      <c r="U307" s="650"/>
      <c r="V307" s="651"/>
      <c r="W307" s="643"/>
      <c r="X307" s="643"/>
      <c r="Y307" s="643"/>
      <c r="Z307" s="643"/>
      <c r="AA307" s="652">
        <f>COUNTIF(AA308:AA327,"&lt;0")</f>
        <v>0</v>
      </c>
      <c r="AB307" s="652">
        <f t="shared" ref="AB307:AS307" si="708">COUNTIF(AB308:AB327,"&lt;0")</f>
        <v>0</v>
      </c>
      <c r="AC307" s="652">
        <f t="shared" si="708"/>
        <v>0</v>
      </c>
      <c r="AD307" s="652">
        <f t="shared" si="708"/>
        <v>0</v>
      </c>
      <c r="AE307" s="652">
        <f t="shared" si="708"/>
        <v>0</v>
      </c>
      <c r="AF307" s="652">
        <f t="shared" si="708"/>
        <v>0</v>
      </c>
      <c r="AG307" s="652">
        <f t="shared" si="708"/>
        <v>0</v>
      </c>
      <c r="AH307" s="652">
        <f t="shared" si="708"/>
        <v>0</v>
      </c>
      <c r="AI307" s="652">
        <f t="shared" si="708"/>
        <v>0</v>
      </c>
      <c r="AJ307" s="652">
        <f t="shared" si="708"/>
        <v>0</v>
      </c>
      <c r="AK307" s="652">
        <f t="shared" si="708"/>
        <v>0</v>
      </c>
      <c r="AL307" s="652">
        <f t="shared" si="708"/>
        <v>0</v>
      </c>
      <c r="AM307" s="652">
        <f t="shared" si="708"/>
        <v>0</v>
      </c>
      <c r="AN307" s="652">
        <f t="shared" si="708"/>
        <v>0</v>
      </c>
      <c r="AO307" s="652">
        <f t="shared" si="708"/>
        <v>0</v>
      </c>
      <c r="AP307" s="652">
        <f t="shared" si="708"/>
        <v>0</v>
      </c>
      <c r="AQ307" s="652">
        <f t="shared" si="708"/>
        <v>0</v>
      </c>
      <c r="AR307" s="652">
        <f t="shared" si="708"/>
        <v>0</v>
      </c>
      <c r="AS307" s="652">
        <f t="shared" si="708"/>
        <v>0</v>
      </c>
      <c r="AT307" s="1299"/>
      <c r="AU307" s="1299"/>
    </row>
    <row r="308" spans="1:70" s="229" customFormat="1" ht="15" customHeight="1" thickBot="1">
      <c r="A308" s="643"/>
      <c r="B308" s="575" t="s">
        <v>3067</v>
      </c>
      <c r="C308" s="229" t="s">
        <v>67</v>
      </c>
      <c r="D308" s="576"/>
      <c r="E308" s="577">
        <v>100</v>
      </c>
      <c r="F308" s="707"/>
      <c r="G308" s="406" t="s">
        <v>3054</v>
      </c>
      <c r="H308" s="1262" t="s">
        <v>3055</v>
      </c>
      <c r="I308" s="85">
        <v>0</v>
      </c>
      <c r="J308" s="682">
        <v>1</v>
      </c>
      <c r="K308" s="579" t="str">
        <f t="shared" ref="K308:K327" si="709">IF(I308&gt;0,1.1*Q308*E308/1000,"")</f>
        <v/>
      </c>
      <c r="L308" s="580" t="str">
        <f>IF(H308="Select ingredient:","",IF(G308="","",_xlfn.IFNA(VLOOKUP($H308,Ingredient_prices!$E:$U,16,FALSE),0)))</f>
        <v/>
      </c>
      <c r="M308" s="848"/>
      <c r="N308" s="1228">
        <f>$W329</f>
        <v>0</v>
      </c>
      <c r="O308" s="648"/>
      <c r="P308" s="653"/>
      <c r="Q308" s="583">
        <f t="shared" ref="Q308:Q327" si="710">I308/J308</f>
        <v>0</v>
      </c>
      <c r="R308" s="583">
        <f>VLOOKUP($H308,'CO2_emission+%_food_waste'!$A:$K,6,FALSE)*$Q308/100</f>
        <v>0</v>
      </c>
      <c r="S308" s="583">
        <f>Q308-R308</f>
        <v>0</v>
      </c>
      <c r="T308" s="583" t="str">
        <f>IF(H308="Select ingredient:","",IF(G308="Select food category:","",_xlfn.IFNA(VLOOKUP($H308,Ingredient_prices!$E:$U,16,FALSE)*$Q308/1000,"not bought")))</f>
        <v/>
      </c>
      <c r="U308" s="583" t="str">
        <f>IF(G308="Select food category:","",_xlfn.IFNA(VLOOKUP($H308,Ingredient_prices!$E:$U,16,FALSE)*$R308/1000,"not bought"))</f>
        <v/>
      </c>
      <c r="V308" s="549">
        <f>VLOOKUP($H308,'CO2_emission+%_food_waste'!$A:$K,4,FALSE)*$Q308</f>
        <v>0</v>
      </c>
      <c r="W308" s="583">
        <f>VLOOKUP($H308,Nutrition_tables!$A:$N,10,FALSE)*$Q308/100</f>
        <v>0</v>
      </c>
      <c r="X308" s="583">
        <f>VLOOKUP($H308,Nutrition_tables!$A:$N,11,FALSE)*$Q308/100</f>
        <v>0</v>
      </c>
      <c r="Y308" s="583">
        <f>VLOOKUP($H308,Nutrition_tables!$A:$N,12,FALSE)*$Q308/100</f>
        <v>0</v>
      </c>
      <c r="Z308" s="583">
        <f>VLOOKUP($H308,Nutrition_tables!$A:$N,14,FALSE)*$Q308/100</f>
        <v>0</v>
      </c>
      <c r="AA308" s="583">
        <f>VLOOKUP($H308,Nutrition_tables!$A:$AF,13,FALSE)*$Q308/100</f>
        <v>0</v>
      </c>
      <c r="AB308" s="549">
        <f>VLOOKUP($H308,Nutrition_tables!$A:$AF,15,FALSE)*$Q308/100</f>
        <v>0</v>
      </c>
      <c r="AC308" s="583">
        <f>VLOOKUP($H308,Nutrition_tables!$A:$AF,16,FALSE)*$Q308/100</f>
        <v>0</v>
      </c>
      <c r="AD308" s="583">
        <f>VLOOKUP($H308,Nutrition_tables!$A:$AF,17,FALSE)*$Q308/100</f>
        <v>0</v>
      </c>
      <c r="AE308" s="583">
        <f>VLOOKUP($H308,Nutrition_tables!$A:$AF,18,FALSE)*$Q308/100</f>
        <v>0</v>
      </c>
      <c r="AF308" s="583">
        <f>VLOOKUP($H308,Nutrition_tables!$A:$AF,19,FALSE)*$Q308/100</f>
        <v>0</v>
      </c>
      <c r="AG308" s="583">
        <f>VLOOKUP($H308,Nutrition_tables!$A:$AF,20,FALSE)*$Q308/100</f>
        <v>0</v>
      </c>
      <c r="AH308" s="583">
        <f>VLOOKUP($H308,Nutrition_tables!$A:$AF,21,FALSE)*$Q308/100</f>
        <v>0</v>
      </c>
      <c r="AI308" s="583">
        <f>VLOOKUP($H308,Nutrition_tables!$A:$AF,22,FALSE)*$Q308/100</f>
        <v>0</v>
      </c>
      <c r="AJ308" s="549">
        <f>VLOOKUP($H308,Nutrition_tables!$A:$AF,23,FALSE)*$Q308/100</f>
        <v>0</v>
      </c>
      <c r="AK308" s="583">
        <f>VLOOKUP($H308,Nutrition_tables!$A:$AF,24,FALSE)*$Q308/100</f>
        <v>0</v>
      </c>
      <c r="AL308" s="583">
        <f>VLOOKUP($H308,Nutrition_tables!$A:$AF,25,FALSE)*$Q308/100</f>
        <v>0</v>
      </c>
      <c r="AM308" s="583">
        <f>VLOOKUP($H308,Nutrition_tables!$A:$AF,26,FALSE)*$Q308/100</f>
        <v>0</v>
      </c>
      <c r="AN308" s="583">
        <f>VLOOKUP($H308,Nutrition_tables!$A:$AF,27,FALSE)*$Q308/100</f>
        <v>0</v>
      </c>
      <c r="AO308" s="583">
        <f>VLOOKUP($H308,Nutrition_tables!$A:$AF,28,FALSE)*$Q308/100</f>
        <v>0</v>
      </c>
      <c r="AP308" s="583">
        <f>VLOOKUP($H308,Nutrition_tables!$A:$AF,29,FALSE)*$Q308/100</f>
        <v>0</v>
      </c>
      <c r="AQ308" s="583">
        <f>VLOOKUP($H308,Nutrition_tables!$A:$AF,30,FALSE)*$Q308/100</f>
        <v>0</v>
      </c>
      <c r="AR308" s="583">
        <f>VLOOKUP($H308,Nutrition_tables!$A:$AF,31,FALSE)*$Q308/100</f>
        <v>0</v>
      </c>
      <c r="AS308" s="549">
        <f>VLOOKUP($H308,Nutrition_tables!$A:$AF,32,FALSE)*$Q308/100</f>
        <v>0</v>
      </c>
      <c r="AT308" s="583" t="str">
        <f>IF(H308="Select ingredient:","",IF(G308="Select food category:","",IFERROR(VLOOKUP($H308,Ingredient_prices!$E:$W,17,FALSE)*$Q308/1000,"not bought")))</f>
        <v/>
      </c>
      <c r="AU308" s="583" t="str">
        <f>IF(H308="Select ingredient:","",IF(G308="Select food category:","",IFERROR(VLOOKUP($H308,Ingredient_prices!$E:$W,18,FALSE)*$Q308/1000,"not bought")))</f>
        <v/>
      </c>
      <c r="AV308" s="583">
        <f t="shared" ref="AV308:AV327" si="711">W308*($Q308-$R308)/($Q308+0.00001)</f>
        <v>0</v>
      </c>
      <c r="AW308" s="583">
        <f t="shared" ref="AW308:AW327" si="712">X308*($Q308-$R308)/($Q308+0.00001)</f>
        <v>0</v>
      </c>
      <c r="AX308" s="583">
        <f t="shared" ref="AX308:AX327" si="713">Y308*($Q308-$R308)/($Q308+0.00001)</f>
        <v>0</v>
      </c>
      <c r="AY308" s="583">
        <f t="shared" ref="AY308:AY327" si="714">Z308*($Q308-$R308)/($Q308+0.00001)</f>
        <v>0</v>
      </c>
      <c r="AZ308" s="583">
        <f t="shared" ref="AZ308:AZ327" si="715">AA308*($Q308-$R308)/($Q308+0.00001)</f>
        <v>0</v>
      </c>
      <c r="BA308" s="583">
        <f t="shared" ref="BA308:BA327" si="716">AB308*($Q308-$R308)/($Q308+0.00001)</f>
        <v>0</v>
      </c>
      <c r="BB308" s="583">
        <f t="shared" ref="BB308:BB327" si="717">AC308*($Q308-$R308)/($Q308+0.00001)</f>
        <v>0</v>
      </c>
      <c r="BC308" s="583">
        <f t="shared" ref="BC308:BC327" si="718">AD308*($Q308-$R308)/($Q308+0.00001)</f>
        <v>0</v>
      </c>
      <c r="BD308" s="583">
        <f t="shared" ref="BD308:BD327" si="719">AE308*($Q308-$R308)/($Q308+0.00001)</f>
        <v>0</v>
      </c>
      <c r="BE308" s="583">
        <f t="shared" ref="BE308:BE327" si="720">AF308*($Q308-$R308)/($Q308+0.00001)</f>
        <v>0</v>
      </c>
      <c r="BF308" s="583">
        <f t="shared" ref="BF308:BF327" si="721">AG308*($Q308-$R308)/($Q308+0.00001)</f>
        <v>0</v>
      </c>
      <c r="BG308" s="583">
        <f t="shared" ref="BG308:BG327" si="722">AH308*($Q308-$R308)/($Q308+0.00001)</f>
        <v>0</v>
      </c>
      <c r="BH308" s="583">
        <f t="shared" ref="BH308:BH327" si="723">AI308*($Q308-$R308)/($Q308+0.00001)</f>
        <v>0</v>
      </c>
      <c r="BI308" s="583">
        <f t="shared" ref="BI308:BI327" si="724">AJ308*($Q308-$R308)/($Q308+0.00001)</f>
        <v>0</v>
      </c>
      <c r="BJ308" s="583">
        <f t="shared" ref="BJ308:BJ327" si="725">AK308*($Q308-$R308)/($Q308+0.00001)</f>
        <v>0</v>
      </c>
      <c r="BK308" s="583">
        <f t="shared" ref="BK308:BK327" si="726">AL308*($Q308-$R308)/($Q308+0.00001)</f>
        <v>0</v>
      </c>
      <c r="BL308" s="583">
        <f t="shared" ref="BL308:BL327" si="727">AM308*($Q308-$R308)/($Q308+0.00001)</f>
        <v>0</v>
      </c>
      <c r="BM308" s="583">
        <f t="shared" ref="BM308:BM327" si="728">AN308*($Q308-$R308)/($Q308+0.00001)</f>
        <v>0</v>
      </c>
      <c r="BN308" s="583">
        <f t="shared" ref="BN308:BN327" si="729">AO308*($Q308-$R308)/($Q308+0.00001)</f>
        <v>0</v>
      </c>
      <c r="BO308" s="583">
        <f t="shared" ref="BO308:BO327" si="730">AP308*($Q308-$R308)/($Q308+0.00001)</f>
        <v>0</v>
      </c>
      <c r="BP308" s="583">
        <f t="shared" ref="BP308:BP327" si="731">AQ308*($Q308-$R308)/($Q308+0.00001)</f>
        <v>0</v>
      </c>
      <c r="BQ308" s="583">
        <f t="shared" ref="BQ308:BQ327" si="732">AR308*($Q308-$R308)/($Q308+0.00001)</f>
        <v>0</v>
      </c>
      <c r="BR308" s="583">
        <f t="shared" ref="BR308:BR327" si="733">AS308*($Q308-$R308)/($Q308+0.00001)</f>
        <v>0</v>
      </c>
    </row>
    <row r="309" spans="1:70" s="229" customFormat="1" ht="15" customHeight="1">
      <c r="A309" s="643"/>
      <c r="E309" s="576">
        <f>IF(E$308&gt;0,E$308,"")</f>
        <v>100</v>
      </c>
      <c r="F309" s="707"/>
      <c r="G309" s="406" t="s">
        <v>3054</v>
      </c>
      <c r="H309" s="1262" t="s">
        <v>3055</v>
      </c>
      <c r="I309" s="85">
        <v>0</v>
      </c>
      <c r="J309" s="682">
        <v>1</v>
      </c>
      <c r="K309" s="579" t="str">
        <f t="shared" si="709"/>
        <v/>
      </c>
      <c r="L309" s="580" t="str">
        <f>IF(H309="Select ingredient:","",IF(G309="","",_xlfn.IFNA(VLOOKUP($H309,Ingredient_prices!$E:$U,16,FALSE),0)))</f>
        <v/>
      </c>
      <c r="M309" s="848"/>
      <c r="N309" s="848"/>
      <c r="O309" s="648"/>
      <c r="P309" s="653"/>
      <c r="Q309" s="583">
        <f t="shared" si="710"/>
        <v>0</v>
      </c>
      <c r="R309" s="583">
        <f>VLOOKUP($H309,'CO2_emission+%_food_waste'!$A:$K,6,FALSE)*$Q309/100</f>
        <v>0</v>
      </c>
      <c r="S309" s="583">
        <f t="shared" ref="S309:S327" si="734">Q309-R309</f>
        <v>0</v>
      </c>
      <c r="T309" s="583" t="str">
        <f>IF(H309="Select ingredient:","",IF(G309="Select food category:","",_xlfn.IFNA(VLOOKUP($H309,Ingredient_prices!$E:$U,16,FALSE)*$Q309/1000,"not bought")))</f>
        <v/>
      </c>
      <c r="U309" s="583" t="str">
        <f>IF(G309="Select food category:","",_xlfn.IFNA(VLOOKUP($H309,Ingredient_prices!$E:$U,16,FALSE)*$R309/1000,"not bought"))</f>
        <v/>
      </c>
      <c r="V309" s="549">
        <f>VLOOKUP($H309,'CO2_emission+%_food_waste'!$A:$K,4,FALSE)*$Q309</f>
        <v>0</v>
      </c>
      <c r="W309" s="583">
        <f>VLOOKUP($H309,Nutrition_tables!$A:$N,10,FALSE)*$Q309/100</f>
        <v>0</v>
      </c>
      <c r="X309" s="583">
        <f>VLOOKUP($H309,Nutrition_tables!$A:$N,11,FALSE)*$Q309/100</f>
        <v>0</v>
      </c>
      <c r="Y309" s="583">
        <f>VLOOKUP($H309,Nutrition_tables!$A:$N,12,FALSE)*$Q309/100</f>
        <v>0</v>
      </c>
      <c r="Z309" s="583">
        <f>VLOOKUP($H309,Nutrition_tables!$A:$N,14,FALSE)*$Q309/100</f>
        <v>0</v>
      </c>
      <c r="AA309" s="583">
        <f>VLOOKUP($H309,Nutrition_tables!$A:$AF,13,FALSE)*$Q309/100</f>
        <v>0</v>
      </c>
      <c r="AB309" s="549">
        <f>VLOOKUP($H309,Nutrition_tables!$A:$AF,15,FALSE)*$Q309/100</f>
        <v>0</v>
      </c>
      <c r="AC309" s="583">
        <f>VLOOKUP($H309,Nutrition_tables!$A:$AF,16,FALSE)*$Q309/100</f>
        <v>0</v>
      </c>
      <c r="AD309" s="583">
        <f>VLOOKUP($H309,Nutrition_tables!$A:$AF,17,FALSE)*$Q309/100</f>
        <v>0</v>
      </c>
      <c r="AE309" s="583">
        <f>VLOOKUP($H309,Nutrition_tables!$A:$AF,18,FALSE)*$Q309/100</f>
        <v>0</v>
      </c>
      <c r="AF309" s="583">
        <f>VLOOKUP($H309,Nutrition_tables!$A:$AF,19,FALSE)*$Q309/100</f>
        <v>0</v>
      </c>
      <c r="AG309" s="583">
        <f>VLOOKUP($H309,Nutrition_tables!$A:$AF,20,FALSE)*$Q309/100</f>
        <v>0</v>
      </c>
      <c r="AH309" s="583">
        <f>VLOOKUP($H309,Nutrition_tables!$A:$AF,21,FALSE)*$Q309/100</f>
        <v>0</v>
      </c>
      <c r="AI309" s="583">
        <f>VLOOKUP($H309,Nutrition_tables!$A:$AF,22,FALSE)*$Q309/100</f>
        <v>0</v>
      </c>
      <c r="AJ309" s="549">
        <f>VLOOKUP($H309,Nutrition_tables!$A:$AF,23,FALSE)*$Q309/100</f>
        <v>0</v>
      </c>
      <c r="AK309" s="583">
        <f>VLOOKUP($H309,Nutrition_tables!$A:$AF,24,FALSE)*$Q309/100</f>
        <v>0</v>
      </c>
      <c r="AL309" s="583">
        <f>VLOOKUP($H309,Nutrition_tables!$A:$AF,25,FALSE)*$Q309/100</f>
        <v>0</v>
      </c>
      <c r="AM309" s="583">
        <f>VLOOKUP($H309,Nutrition_tables!$A:$AF,26,FALSE)*$Q309/100</f>
        <v>0</v>
      </c>
      <c r="AN309" s="583">
        <f>VLOOKUP($H309,Nutrition_tables!$A:$AF,27,FALSE)*$Q309/100</f>
        <v>0</v>
      </c>
      <c r="AO309" s="583">
        <f>VLOOKUP($H309,Nutrition_tables!$A:$AF,28,FALSE)*$Q309/100</f>
        <v>0</v>
      </c>
      <c r="AP309" s="583">
        <f>VLOOKUP($H309,Nutrition_tables!$A:$AF,29,FALSE)*$Q309/100</f>
        <v>0</v>
      </c>
      <c r="AQ309" s="583">
        <f>VLOOKUP($H309,Nutrition_tables!$A:$AF,30,FALSE)*$Q309/100</f>
        <v>0</v>
      </c>
      <c r="AR309" s="583">
        <f>VLOOKUP($H309,Nutrition_tables!$A:$AF,31,FALSE)*$Q309/100</f>
        <v>0</v>
      </c>
      <c r="AS309" s="549">
        <f>VLOOKUP($H309,Nutrition_tables!$A:$AF,32,FALSE)*$Q309/100</f>
        <v>0</v>
      </c>
      <c r="AT309" s="583" t="str">
        <f>IF(H309="Select ingredient:","",IF(G309="Select food category:","",IFERROR(VLOOKUP($H309,Ingredient_prices!$E:$W,17,FALSE)*$Q309/1000,"not bought")))</f>
        <v/>
      </c>
      <c r="AU309" s="583" t="str">
        <f>IF(H309="Select ingredient:","",IF(G309="Select food category:","",IFERROR(VLOOKUP($H309,Ingredient_prices!$E:$W,18,FALSE)*$Q309/1000,"not bought")))</f>
        <v/>
      </c>
      <c r="AV309" s="583">
        <f t="shared" si="711"/>
        <v>0</v>
      </c>
      <c r="AW309" s="583">
        <f t="shared" si="712"/>
        <v>0</v>
      </c>
      <c r="AX309" s="583">
        <f t="shared" si="713"/>
        <v>0</v>
      </c>
      <c r="AY309" s="583">
        <f t="shared" si="714"/>
        <v>0</v>
      </c>
      <c r="AZ309" s="583">
        <f t="shared" si="715"/>
        <v>0</v>
      </c>
      <c r="BA309" s="583">
        <f t="shared" si="716"/>
        <v>0</v>
      </c>
      <c r="BB309" s="583">
        <f t="shared" si="717"/>
        <v>0</v>
      </c>
      <c r="BC309" s="583">
        <f t="shared" si="718"/>
        <v>0</v>
      </c>
      <c r="BD309" s="583">
        <f t="shared" si="719"/>
        <v>0</v>
      </c>
      <c r="BE309" s="583">
        <f t="shared" si="720"/>
        <v>0</v>
      </c>
      <c r="BF309" s="583">
        <f t="shared" si="721"/>
        <v>0</v>
      </c>
      <c r="BG309" s="583">
        <f t="shared" si="722"/>
        <v>0</v>
      </c>
      <c r="BH309" s="583">
        <f t="shared" si="723"/>
        <v>0</v>
      </c>
      <c r="BI309" s="583">
        <f t="shared" si="724"/>
        <v>0</v>
      </c>
      <c r="BJ309" s="583">
        <f t="shared" si="725"/>
        <v>0</v>
      </c>
      <c r="BK309" s="583">
        <f t="shared" si="726"/>
        <v>0</v>
      </c>
      <c r="BL309" s="583">
        <f t="shared" si="727"/>
        <v>0</v>
      </c>
      <c r="BM309" s="583">
        <f t="shared" si="728"/>
        <v>0</v>
      </c>
      <c r="BN309" s="583">
        <f t="shared" si="729"/>
        <v>0</v>
      </c>
      <c r="BO309" s="583">
        <f t="shared" si="730"/>
        <v>0</v>
      </c>
      <c r="BP309" s="583">
        <f t="shared" si="731"/>
        <v>0</v>
      </c>
      <c r="BQ309" s="583">
        <f t="shared" si="732"/>
        <v>0</v>
      </c>
      <c r="BR309" s="583">
        <f t="shared" si="733"/>
        <v>0</v>
      </c>
    </row>
    <row r="310" spans="1:70" s="229" customFormat="1" ht="15" customHeight="1">
      <c r="A310" s="643"/>
      <c r="D310" s="406"/>
      <c r="E310" s="576">
        <f t="shared" ref="E310:E327" si="735">IF(E$308&gt;0,E$308,"")</f>
        <v>100</v>
      </c>
      <c r="F310" s="707"/>
      <c r="G310" s="406" t="s">
        <v>3054</v>
      </c>
      <c r="H310" s="1262" t="s">
        <v>3055</v>
      </c>
      <c r="I310" s="85">
        <v>0</v>
      </c>
      <c r="J310" s="682">
        <v>1</v>
      </c>
      <c r="K310" s="579" t="str">
        <f t="shared" si="709"/>
        <v/>
      </c>
      <c r="L310" s="580" t="str">
        <f>IF(H310="Select ingredient:","",IF(G310="","",_xlfn.IFNA(VLOOKUP($H310,Ingredient_prices!$E:$U,16,FALSE),0)))</f>
        <v/>
      </c>
      <c r="M310" s="848"/>
      <c r="N310" s="848"/>
      <c r="O310" s="648"/>
      <c r="P310" s="653"/>
      <c r="Q310" s="583">
        <f t="shared" si="710"/>
        <v>0</v>
      </c>
      <c r="R310" s="583">
        <f>VLOOKUP($H310,'CO2_emission+%_food_waste'!$A:$K,6,FALSE)*$Q310/100</f>
        <v>0</v>
      </c>
      <c r="S310" s="583">
        <f t="shared" si="734"/>
        <v>0</v>
      </c>
      <c r="T310" s="583" t="str">
        <f>IF(H310="Select ingredient:","",IF(G310="Select food category:","",_xlfn.IFNA(VLOOKUP($H310,Ingredient_prices!$E:$U,16,FALSE)*$Q310/1000,"not bought")))</f>
        <v/>
      </c>
      <c r="U310" s="583" t="str">
        <f>IF(G310="Select food category:","",_xlfn.IFNA(VLOOKUP($H310,Ingredient_prices!$E:$U,16,FALSE)*$R310/1000,"not bought"))</f>
        <v/>
      </c>
      <c r="V310" s="549">
        <f>VLOOKUP($H310,'CO2_emission+%_food_waste'!$A:$K,4,FALSE)*$Q310</f>
        <v>0</v>
      </c>
      <c r="W310" s="583">
        <f>VLOOKUP($H310,Nutrition_tables!$A:$N,10,FALSE)*$Q310/100</f>
        <v>0</v>
      </c>
      <c r="X310" s="583">
        <f>VLOOKUP($H310,Nutrition_tables!$A:$N,11,FALSE)*$Q310/100</f>
        <v>0</v>
      </c>
      <c r="Y310" s="583">
        <f>VLOOKUP($H310,Nutrition_tables!$A:$N,12,FALSE)*$Q310/100</f>
        <v>0</v>
      </c>
      <c r="Z310" s="583">
        <f>VLOOKUP($H310,Nutrition_tables!$A:$N,14,FALSE)*$Q310/100</f>
        <v>0</v>
      </c>
      <c r="AA310" s="583">
        <f>VLOOKUP($H310,Nutrition_tables!$A:$AF,13,FALSE)*$Q310/100</f>
        <v>0</v>
      </c>
      <c r="AB310" s="549">
        <f>VLOOKUP($H310,Nutrition_tables!$A:$AF,15,FALSE)*$Q310/100</f>
        <v>0</v>
      </c>
      <c r="AC310" s="583">
        <f>VLOOKUP($H310,Nutrition_tables!$A:$AF,16,FALSE)*$Q310/100</f>
        <v>0</v>
      </c>
      <c r="AD310" s="583">
        <f>VLOOKUP($H310,Nutrition_tables!$A:$AF,17,FALSE)*$Q310/100</f>
        <v>0</v>
      </c>
      <c r="AE310" s="583">
        <f>VLOOKUP($H310,Nutrition_tables!$A:$AF,18,FALSE)*$Q310/100</f>
        <v>0</v>
      </c>
      <c r="AF310" s="583">
        <f>VLOOKUP($H310,Nutrition_tables!$A:$AF,19,FALSE)*$Q310/100</f>
        <v>0</v>
      </c>
      <c r="AG310" s="583">
        <f>VLOOKUP($H310,Nutrition_tables!$A:$AF,20,FALSE)*$Q310/100</f>
        <v>0</v>
      </c>
      <c r="AH310" s="583">
        <f>VLOOKUP($H310,Nutrition_tables!$A:$AF,21,FALSE)*$Q310/100</f>
        <v>0</v>
      </c>
      <c r="AI310" s="583">
        <f>VLOOKUP($H310,Nutrition_tables!$A:$AF,22,FALSE)*$Q310/100</f>
        <v>0</v>
      </c>
      <c r="AJ310" s="549">
        <f>VLOOKUP($H310,Nutrition_tables!$A:$AF,23,FALSE)*$Q310/100</f>
        <v>0</v>
      </c>
      <c r="AK310" s="583">
        <f>VLOOKUP($H310,Nutrition_tables!$A:$AF,24,FALSE)*$Q310/100</f>
        <v>0</v>
      </c>
      <c r="AL310" s="583">
        <f>VLOOKUP($H310,Nutrition_tables!$A:$AF,25,FALSE)*$Q310/100</f>
        <v>0</v>
      </c>
      <c r="AM310" s="583">
        <f>VLOOKUP($H310,Nutrition_tables!$A:$AF,26,FALSE)*$Q310/100</f>
        <v>0</v>
      </c>
      <c r="AN310" s="583">
        <f>VLOOKUP($H310,Nutrition_tables!$A:$AF,27,FALSE)*$Q310/100</f>
        <v>0</v>
      </c>
      <c r="AO310" s="583">
        <f>VLOOKUP($H310,Nutrition_tables!$A:$AF,28,FALSE)*$Q310/100</f>
        <v>0</v>
      </c>
      <c r="AP310" s="583">
        <f>VLOOKUP($H310,Nutrition_tables!$A:$AF,29,FALSE)*$Q310/100</f>
        <v>0</v>
      </c>
      <c r="AQ310" s="583">
        <f>VLOOKUP($H310,Nutrition_tables!$A:$AF,30,FALSE)*$Q310/100</f>
        <v>0</v>
      </c>
      <c r="AR310" s="583">
        <f>VLOOKUP($H310,Nutrition_tables!$A:$AF,31,FALSE)*$Q310/100</f>
        <v>0</v>
      </c>
      <c r="AS310" s="549">
        <f>VLOOKUP($H310,Nutrition_tables!$A:$AF,32,FALSE)*$Q310/100</f>
        <v>0</v>
      </c>
      <c r="AT310" s="583" t="str">
        <f>IF(H310="Select ingredient:","",IF(G310="Select food category:","",IFERROR(VLOOKUP($H310,Ingredient_prices!$E:$W,17,FALSE)*$Q310/1000,"not bought")))</f>
        <v/>
      </c>
      <c r="AU310" s="583" t="str">
        <f>IF(H310="Select ingredient:","",IF(G310="Select food category:","",IFERROR(VLOOKUP($H310,Ingredient_prices!$E:$W,18,FALSE)*$Q310/1000,"not bought")))</f>
        <v/>
      </c>
      <c r="AV310" s="583">
        <f t="shared" si="711"/>
        <v>0</v>
      </c>
      <c r="AW310" s="583">
        <f t="shared" si="712"/>
        <v>0</v>
      </c>
      <c r="AX310" s="583">
        <f t="shared" si="713"/>
        <v>0</v>
      </c>
      <c r="AY310" s="583">
        <f t="shared" si="714"/>
        <v>0</v>
      </c>
      <c r="AZ310" s="583">
        <f t="shared" si="715"/>
        <v>0</v>
      </c>
      <c r="BA310" s="583">
        <f t="shared" si="716"/>
        <v>0</v>
      </c>
      <c r="BB310" s="583">
        <f t="shared" si="717"/>
        <v>0</v>
      </c>
      <c r="BC310" s="583">
        <f t="shared" si="718"/>
        <v>0</v>
      </c>
      <c r="BD310" s="583">
        <f t="shared" si="719"/>
        <v>0</v>
      </c>
      <c r="BE310" s="583">
        <f t="shared" si="720"/>
        <v>0</v>
      </c>
      <c r="BF310" s="583">
        <f t="shared" si="721"/>
        <v>0</v>
      </c>
      <c r="BG310" s="583">
        <f t="shared" si="722"/>
        <v>0</v>
      </c>
      <c r="BH310" s="583">
        <f t="shared" si="723"/>
        <v>0</v>
      </c>
      <c r="BI310" s="583">
        <f t="shared" si="724"/>
        <v>0</v>
      </c>
      <c r="BJ310" s="583">
        <f t="shared" si="725"/>
        <v>0</v>
      </c>
      <c r="BK310" s="583">
        <f t="shared" si="726"/>
        <v>0</v>
      </c>
      <c r="BL310" s="583">
        <f t="shared" si="727"/>
        <v>0</v>
      </c>
      <c r="BM310" s="583">
        <f t="shared" si="728"/>
        <v>0</v>
      </c>
      <c r="BN310" s="583">
        <f t="shared" si="729"/>
        <v>0</v>
      </c>
      <c r="BO310" s="583">
        <f t="shared" si="730"/>
        <v>0</v>
      </c>
      <c r="BP310" s="583">
        <f t="shared" si="731"/>
        <v>0</v>
      </c>
      <c r="BQ310" s="583">
        <f t="shared" si="732"/>
        <v>0</v>
      </c>
      <c r="BR310" s="583">
        <f t="shared" si="733"/>
        <v>0</v>
      </c>
    </row>
    <row r="311" spans="1:70" s="229" customFormat="1" ht="15" customHeight="1">
      <c r="A311" s="643"/>
      <c r="D311" s="85"/>
      <c r="E311" s="576">
        <f t="shared" si="735"/>
        <v>100</v>
      </c>
      <c r="F311" s="707"/>
      <c r="G311" s="406" t="s">
        <v>3054</v>
      </c>
      <c r="H311" s="1262" t="s">
        <v>3055</v>
      </c>
      <c r="I311" s="85">
        <v>0</v>
      </c>
      <c r="J311" s="682">
        <v>1</v>
      </c>
      <c r="K311" s="579" t="str">
        <f t="shared" si="709"/>
        <v/>
      </c>
      <c r="L311" s="580" t="str">
        <f>IF(H311="Select ingredient:","",IF(G311="","",_xlfn.IFNA(VLOOKUP($H311,Ingredient_prices!$E:$U,16,FALSE),0)))</f>
        <v/>
      </c>
      <c r="M311" s="848"/>
      <c r="N311" s="848"/>
      <c r="O311" s="648"/>
      <c r="P311" s="653"/>
      <c r="Q311" s="583">
        <f t="shared" si="710"/>
        <v>0</v>
      </c>
      <c r="R311" s="583">
        <f>VLOOKUP($H311,'CO2_emission+%_food_waste'!$A:$K,6,FALSE)*$Q311/100</f>
        <v>0</v>
      </c>
      <c r="S311" s="583">
        <f t="shared" si="734"/>
        <v>0</v>
      </c>
      <c r="T311" s="583" t="str">
        <f>IF(H311="Select ingredient:","",IF(G311="Select food category:","",_xlfn.IFNA(VLOOKUP($H311,Ingredient_prices!$E:$U,16,FALSE)*$Q311/1000,"not bought")))</f>
        <v/>
      </c>
      <c r="U311" s="583" t="str">
        <f>IF(G311="Select food category:","",_xlfn.IFNA(VLOOKUP($H311,Ingredient_prices!$E:$U,16,FALSE)*$R311/1000,"not bought"))</f>
        <v/>
      </c>
      <c r="V311" s="549">
        <f>VLOOKUP($H311,'CO2_emission+%_food_waste'!$A:$K,4,FALSE)*$Q311</f>
        <v>0</v>
      </c>
      <c r="W311" s="583">
        <f>VLOOKUP($H311,Nutrition_tables!$A:$N,10,FALSE)*$Q311/100</f>
        <v>0</v>
      </c>
      <c r="X311" s="583">
        <f>VLOOKUP($H311,Nutrition_tables!$A:$N,11,FALSE)*$Q311/100</f>
        <v>0</v>
      </c>
      <c r="Y311" s="583">
        <f>VLOOKUP($H311,Nutrition_tables!$A:$N,12,FALSE)*$Q311/100</f>
        <v>0</v>
      </c>
      <c r="Z311" s="583">
        <f>VLOOKUP($H311,Nutrition_tables!$A:$N,14,FALSE)*$Q311/100</f>
        <v>0</v>
      </c>
      <c r="AA311" s="583">
        <f>VLOOKUP($H311,Nutrition_tables!$A:$AF,13,FALSE)*$Q311/100</f>
        <v>0</v>
      </c>
      <c r="AB311" s="549">
        <f>VLOOKUP($H311,Nutrition_tables!$A:$AF,15,FALSE)*$Q311/100</f>
        <v>0</v>
      </c>
      <c r="AC311" s="583">
        <f>VLOOKUP($H311,Nutrition_tables!$A:$AF,16,FALSE)*$Q311/100</f>
        <v>0</v>
      </c>
      <c r="AD311" s="583">
        <f>VLOOKUP($H311,Nutrition_tables!$A:$AF,17,FALSE)*$Q311/100</f>
        <v>0</v>
      </c>
      <c r="AE311" s="583">
        <f>VLOOKUP($H311,Nutrition_tables!$A:$AF,18,FALSE)*$Q311/100</f>
        <v>0</v>
      </c>
      <c r="AF311" s="583">
        <f>VLOOKUP($H311,Nutrition_tables!$A:$AF,19,FALSE)*$Q311/100</f>
        <v>0</v>
      </c>
      <c r="AG311" s="583">
        <f>VLOOKUP($H311,Nutrition_tables!$A:$AF,20,FALSE)*$Q311/100</f>
        <v>0</v>
      </c>
      <c r="AH311" s="583">
        <f>VLOOKUP($H311,Nutrition_tables!$A:$AF,21,FALSE)*$Q311/100</f>
        <v>0</v>
      </c>
      <c r="AI311" s="583">
        <f>VLOOKUP($H311,Nutrition_tables!$A:$AF,22,FALSE)*$Q311/100</f>
        <v>0</v>
      </c>
      <c r="AJ311" s="549">
        <f>VLOOKUP($H311,Nutrition_tables!$A:$AF,23,FALSE)*$Q311/100</f>
        <v>0</v>
      </c>
      <c r="AK311" s="583">
        <f>VLOOKUP($H311,Nutrition_tables!$A:$AF,24,FALSE)*$Q311/100</f>
        <v>0</v>
      </c>
      <c r="AL311" s="583">
        <f>VLOOKUP($H311,Nutrition_tables!$A:$AF,25,FALSE)*$Q311/100</f>
        <v>0</v>
      </c>
      <c r="AM311" s="583">
        <f>VLOOKUP($H311,Nutrition_tables!$A:$AF,26,FALSE)*$Q311/100</f>
        <v>0</v>
      </c>
      <c r="AN311" s="583">
        <f>VLOOKUP($H311,Nutrition_tables!$A:$AF,27,FALSE)*$Q311/100</f>
        <v>0</v>
      </c>
      <c r="AO311" s="583">
        <f>VLOOKUP($H311,Nutrition_tables!$A:$AF,28,FALSE)*$Q311/100</f>
        <v>0</v>
      </c>
      <c r="AP311" s="583">
        <f>VLOOKUP($H311,Nutrition_tables!$A:$AF,29,FALSE)*$Q311/100</f>
        <v>0</v>
      </c>
      <c r="AQ311" s="583">
        <f>VLOOKUP($H311,Nutrition_tables!$A:$AF,30,FALSE)*$Q311/100</f>
        <v>0</v>
      </c>
      <c r="AR311" s="583">
        <f>VLOOKUP($H311,Nutrition_tables!$A:$AF,31,FALSE)*$Q311/100</f>
        <v>0</v>
      </c>
      <c r="AS311" s="549">
        <f>VLOOKUP($H311,Nutrition_tables!$A:$AF,32,FALSE)*$Q311/100</f>
        <v>0</v>
      </c>
      <c r="AT311" s="583" t="str">
        <f>IF(H311="Select ingredient:","",IF(G311="Select food category:","",IFERROR(VLOOKUP($H311,Ingredient_prices!$E:$W,17,FALSE)*$Q311/1000,"not bought")))</f>
        <v/>
      </c>
      <c r="AU311" s="583" t="str">
        <f>IF(H311="Select ingredient:","",IF(G311="Select food category:","",IFERROR(VLOOKUP($H311,Ingredient_prices!$E:$W,18,FALSE)*$Q311/1000,"not bought")))</f>
        <v/>
      </c>
      <c r="AV311" s="583">
        <f t="shared" si="711"/>
        <v>0</v>
      </c>
      <c r="AW311" s="583">
        <f t="shared" si="712"/>
        <v>0</v>
      </c>
      <c r="AX311" s="583">
        <f t="shared" si="713"/>
        <v>0</v>
      </c>
      <c r="AY311" s="583">
        <f t="shared" si="714"/>
        <v>0</v>
      </c>
      <c r="AZ311" s="583">
        <f t="shared" si="715"/>
        <v>0</v>
      </c>
      <c r="BA311" s="583">
        <f t="shared" si="716"/>
        <v>0</v>
      </c>
      <c r="BB311" s="583">
        <f t="shared" si="717"/>
        <v>0</v>
      </c>
      <c r="BC311" s="583">
        <f t="shared" si="718"/>
        <v>0</v>
      </c>
      <c r="BD311" s="583">
        <f t="shared" si="719"/>
        <v>0</v>
      </c>
      <c r="BE311" s="583">
        <f t="shared" si="720"/>
        <v>0</v>
      </c>
      <c r="BF311" s="583">
        <f t="shared" si="721"/>
        <v>0</v>
      </c>
      <c r="BG311" s="583">
        <f t="shared" si="722"/>
        <v>0</v>
      </c>
      <c r="BH311" s="583">
        <f t="shared" si="723"/>
        <v>0</v>
      </c>
      <c r="BI311" s="583">
        <f t="shared" si="724"/>
        <v>0</v>
      </c>
      <c r="BJ311" s="583">
        <f t="shared" si="725"/>
        <v>0</v>
      </c>
      <c r="BK311" s="583">
        <f t="shared" si="726"/>
        <v>0</v>
      </c>
      <c r="BL311" s="583">
        <f t="shared" si="727"/>
        <v>0</v>
      </c>
      <c r="BM311" s="583">
        <f t="shared" si="728"/>
        <v>0</v>
      </c>
      <c r="BN311" s="583">
        <f t="shared" si="729"/>
        <v>0</v>
      </c>
      <c r="BO311" s="583">
        <f t="shared" si="730"/>
        <v>0</v>
      </c>
      <c r="BP311" s="583">
        <f t="shared" si="731"/>
        <v>0</v>
      </c>
      <c r="BQ311" s="583">
        <f t="shared" si="732"/>
        <v>0</v>
      </c>
      <c r="BR311" s="583">
        <f t="shared" si="733"/>
        <v>0</v>
      </c>
    </row>
    <row r="312" spans="1:70" s="229" customFormat="1" ht="15" customHeight="1">
      <c r="A312" s="643"/>
      <c r="D312" s="85"/>
      <c r="E312" s="576">
        <f t="shared" si="735"/>
        <v>100</v>
      </c>
      <c r="F312" s="707"/>
      <c r="G312" s="406" t="s">
        <v>3054</v>
      </c>
      <c r="H312" s="1262" t="s">
        <v>3055</v>
      </c>
      <c r="I312" s="85">
        <v>0</v>
      </c>
      <c r="J312" s="682">
        <v>1</v>
      </c>
      <c r="K312" s="579" t="str">
        <f t="shared" si="709"/>
        <v/>
      </c>
      <c r="L312" s="580" t="str">
        <f>IF(H312="Select ingredient:","",IF(G312="","",_xlfn.IFNA(VLOOKUP($H312,Ingredient_prices!$E:$U,16,FALSE),0)))</f>
        <v/>
      </c>
      <c r="M312" s="848"/>
      <c r="N312" s="848"/>
      <c r="O312" s="648"/>
      <c r="P312" s="653"/>
      <c r="Q312" s="583">
        <f t="shared" si="710"/>
        <v>0</v>
      </c>
      <c r="R312" s="583">
        <f>VLOOKUP($H312,'CO2_emission+%_food_waste'!$A:$K,6,FALSE)*$Q312/100</f>
        <v>0</v>
      </c>
      <c r="S312" s="583">
        <f t="shared" si="734"/>
        <v>0</v>
      </c>
      <c r="T312" s="583" t="str">
        <f>IF(H312="Select ingredient:","",IF(G312="Select food category:","",_xlfn.IFNA(VLOOKUP($H312,Ingredient_prices!$E:$U,16,FALSE)*$Q312/1000,"not bought")))</f>
        <v/>
      </c>
      <c r="U312" s="583" t="str">
        <f>IF(G312="Select food category:","",_xlfn.IFNA(VLOOKUP($H312,Ingredient_prices!$E:$U,16,FALSE)*$R312/1000,"not bought"))</f>
        <v/>
      </c>
      <c r="V312" s="549">
        <f>VLOOKUP($H312,'CO2_emission+%_food_waste'!$A:$K,4,FALSE)*$Q312</f>
        <v>0</v>
      </c>
      <c r="W312" s="583">
        <f>VLOOKUP($H312,Nutrition_tables!$A:$N,10,FALSE)*$Q312/100</f>
        <v>0</v>
      </c>
      <c r="X312" s="583">
        <f>VLOOKUP($H312,Nutrition_tables!$A:$N,11,FALSE)*$Q312/100</f>
        <v>0</v>
      </c>
      <c r="Y312" s="583">
        <f>VLOOKUP($H312,Nutrition_tables!$A:$N,12,FALSE)*$Q312/100</f>
        <v>0</v>
      </c>
      <c r="Z312" s="583">
        <f>VLOOKUP($H312,Nutrition_tables!$A:$N,14,FALSE)*$Q312/100</f>
        <v>0</v>
      </c>
      <c r="AA312" s="583">
        <f>VLOOKUP($H312,Nutrition_tables!$A:$AF,13,FALSE)*$Q312/100</f>
        <v>0</v>
      </c>
      <c r="AB312" s="549">
        <f>VLOOKUP($H312,Nutrition_tables!$A:$AF,15,FALSE)*$Q312/100</f>
        <v>0</v>
      </c>
      <c r="AC312" s="583">
        <f>VLOOKUP($H312,Nutrition_tables!$A:$AF,16,FALSE)*$Q312/100</f>
        <v>0</v>
      </c>
      <c r="AD312" s="583">
        <f>VLOOKUP($H312,Nutrition_tables!$A:$AF,17,FALSE)*$Q312/100</f>
        <v>0</v>
      </c>
      <c r="AE312" s="583">
        <f>VLOOKUP($H312,Nutrition_tables!$A:$AF,18,FALSE)*$Q312/100</f>
        <v>0</v>
      </c>
      <c r="AF312" s="583">
        <f>VLOOKUP($H312,Nutrition_tables!$A:$AF,19,FALSE)*$Q312/100</f>
        <v>0</v>
      </c>
      <c r="AG312" s="583">
        <f>VLOOKUP($H312,Nutrition_tables!$A:$AF,20,FALSE)*$Q312/100</f>
        <v>0</v>
      </c>
      <c r="AH312" s="583">
        <f>VLOOKUP($H312,Nutrition_tables!$A:$AF,21,FALSE)*$Q312/100</f>
        <v>0</v>
      </c>
      <c r="AI312" s="583">
        <f>VLOOKUP($H312,Nutrition_tables!$A:$AF,22,FALSE)*$Q312/100</f>
        <v>0</v>
      </c>
      <c r="AJ312" s="549">
        <f>VLOOKUP($H312,Nutrition_tables!$A:$AF,23,FALSE)*$Q312/100</f>
        <v>0</v>
      </c>
      <c r="AK312" s="583">
        <f>VLOOKUP($H312,Nutrition_tables!$A:$AF,24,FALSE)*$Q312/100</f>
        <v>0</v>
      </c>
      <c r="AL312" s="583">
        <f>VLOOKUP($H312,Nutrition_tables!$A:$AF,25,FALSE)*$Q312/100</f>
        <v>0</v>
      </c>
      <c r="AM312" s="583">
        <f>VLOOKUP($H312,Nutrition_tables!$A:$AF,26,FALSE)*$Q312/100</f>
        <v>0</v>
      </c>
      <c r="AN312" s="583">
        <f>VLOOKUP($H312,Nutrition_tables!$A:$AF,27,FALSE)*$Q312/100</f>
        <v>0</v>
      </c>
      <c r="AO312" s="583">
        <f>VLOOKUP($H312,Nutrition_tables!$A:$AF,28,FALSE)*$Q312/100</f>
        <v>0</v>
      </c>
      <c r="AP312" s="583">
        <f>VLOOKUP($H312,Nutrition_tables!$A:$AF,29,FALSE)*$Q312/100</f>
        <v>0</v>
      </c>
      <c r="AQ312" s="583">
        <f>VLOOKUP($H312,Nutrition_tables!$A:$AF,30,FALSE)*$Q312/100</f>
        <v>0</v>
      </c>
      <c r="AR312" s="583">
        <f>VLOOKUP($H312,Nutrition_tables!$A:$AF,31,FALSE)*$Q312/100</f>
        <v>0</v>
      </c>
      <c r="AS312" s="549">
        <f>VLOOKUP($H312,Nutrition_tables!$A:$AF,32,FALSE)*$Q312/100</f>
        <v>0</v>
      </c>
      <c r="AT312" s="583" t="str">
        <f>IF(H312="Select ingredient:","",IF(G312="Select food category:","",IFERROR(VLOOKUP($H312,Ingredient_prices!$E:$W,17,FALSE)*$Q312/1000,"not bought")))</f>
        <v/>
      </c>
      <c r="AU312" s="583" t="str">
        <f>IF(H312="Select ingredient:","",IF(G312="Select food category:","",IFERROR(VLOOKUP($H312,Ingredient_prices!$E:$W,18,FALSE)*$Q312/1000,"not bought")))</f>
        <v/>
      </c>
      <c r="AV312" s="583">
        <f t="shared" si="711"/>
        <v>0</v>
      </c>
      <c r="AW312" s="583">
        <f t="shared" si="712"/>
        <v>0</v>
      </c>
      <c r="AX312" s="583">
        <f t="shared" si="713"/>
        <v>0</v>
      </c>
      <c r="AY312" s="583">
        <f t="shared" si="714"/>
        <v>0</v>
      </c>
      <c r="AZ312" s="583">
        <f t="shared" si="715"/>
        <v>0</v>
      </c>
      <c r="BA312" s="583">
        <f t="shared" si="716"/>
        <v>0</v>
      </c>
      <c r="BB312" s="583">
        <f t="shared" si="717"/>
        <v>0</v>
      </c>
      <c r="BC312" s="583">
        <f t="shared" si="718"/>
        <v>0</v>
      </c>
      <c r="BD312" s="583">
        <f t="shared" si="719"/>
        <v>0</v>
      </c>
      <c r="BE312" s="583">
        <f t="shared" si="720"/>
        <v>0</v>
      </c>
      <c r="BF312" s="583">
        <f t="shared" si="721"/>
        <v>0</v>
      </c>
      <c r="BG312" s="583">
        <f t="shared" si="722"/>
        <v>0</v>
      </c>
      <c r="BH312" s="583">
        <f t="shared" si="723"/>
        <v>0</v>
      </c>
      <c r="BI312" s="583">
        <f t="shared" si="724"/>
        <v>0</v>
      </c>
      <c r="BJ312" s="583">
        <f t="shared" si="725"/>
        <v>0</v>
      </c>
      <c r="BK312" s="583">
        <f t="shared" si="726"/>
        <v>0</v>
      </c>
      <c r="BL312" s="583">
        <f t="shared" si="727"/>
        <v>0</v>
      </c>
      <c r="BM312" s="583">
        <f t="shared" si="728"/>
        <v>0</v>
      </c>
      <c r="BN312" s="583">
        <f t="shared" si="729"/>
        <v>0</v>
      </c>
      <c r="BO312" s="583">
        <f t="shared" si="730"/>
        <v>0</v>
      </c>
      <c r="BP312" s="583">
        <f t="shared" si="731"/>
        <v>0</v>
      </c>
      <c r="BQ312" s="583">
        <f t="shared" si="732"/>
        <v>0</v>
      </c>
      <c r="BR312" s="583">
        <f t="shared" si="733"/>
        <v>0</v>
      </c>
    </row>
    <row r="313" spans="1:70" s="229" customFormat="1" ht="15" customHeight="1">
      <c r="A313" s="643"/>
      <c r="D313" s="85"/>
      <c r="E313" s="576">
        <f t="shared" si="735"/>
        <v>100</v>
      </c>
      <c r="F313" s="707"/>
      <c r="G313" s="406" t="s">
        <v>3054</v>
      </c>
      <c r="H313" s="1262" t="s">
        <v>3055</v>
      </c>
      <c r="I313" s="85">
        <v>0</v>
      </c>
      <c r="J313" s="682">
        <v>1</v>
      </c>
      <c r="K313" s="579" t="str">
        <f t="shared" si="709"/>
        <v/>
      </c>
      <c r="L313" s="580" t="str">
        <f>IF(H313="Select ingredient:","",IF(G313="","",_xlfn.IFNA(VLOOKUP($H313,Ingredient_prices!$E:$U,16,FALSE),0)))</f>
        <v/>
      </c>
      <c r="M313" s="848"/>
      <c r="N313" s="848"/>
      <c r="O313" s="648"/>
      <c r="P313" s="653"/>
      <c r="Q313" s="583">
        <f t="shared" si="710"/>
        <v>0</v>
      </c>
      <c r="R313" s="583">
        <f>VLOOKUP($H313,'CO2_emission+%_food_waste'!$A:$K,6,FALSE)*$Q313/100</f>
        <v>0</v>
      </c>
      <c r="S313" s="583">
        <f t="shared" si="734"/>
        <v>0</v>
      </c>
      <c r="T313" s="583" t="str">
        <f>IF(H313="Select ingredient:","",IF(G313="Select food category:","",_xlfn.IFNA(VLOOKUP($H313,Ingredient_prices!$E:$U,16,FALSE)*$Q313/1000,"not bought")))</f>
        <v/>
      </c>
      <c r="U313" s="583" t="str">
        <f>IF(G313="Select food category:","",_xlfn.IFNA(VLOOKUP($H313,Ingredient_prices!$E:$U,16,FALSE)*$R313/1000,"not bought"))</f>
        <v/>
      </c>
      <c r="V313" s="549">
        <f>VLOOKUP($H313,'CO2_emission+%_food_waste'!$A:$K,4,FALSE)*$Q313</f>
        <v>0</v>
      </c>
      <c r="W313" s="583">
        <f>VLOOKUP($H313,Nutrition_tables!$A:$N,10,FALSE)*$Q313/100</f>
        <v>0</v>
      </c>
      <c r="X313" s="583">
        <f>VLOOKUP($H313,Nutrition_tables!$A:$N,11,FALSE)*$Q313/100</f>
        <v>0</v>
      </c>
      <c r="Y313" s="583">
        <f>VLOOKUP($H313,Nutrition_tables!$A:$N,12,FALSE)*$Q313/100</f>
        <v>0</v>
      </c>
      <c r="Z313" s="583">
        <f>VLOOKUP($H313,Nutrition_tables!$A:$N,14,FALSE)*$Q313/100</f>
        <v>0</v>
      </c>
      <c r="AA313" s="583">
        <f>VLOOKUP($H313,Nutrition_tables!$A:$AF,13,FALSE)*$Q313/100</f>
        <v>0</v>
      </c>
      <c r="AB313" s="549">
        <f>VLOOKUP($H313,Nutrition_tables!$A:$AF,15,FALSE)*$Q313/100</f>
        <v>0</v>
      </c>
      <c r="AC313" s="583">
        <f>VLOOKUP($H313,Nutrition_tables!$A:$AF,16,FALSE)*$Q313/100</f>
        <v>0</v>
      </c>
      <c r="AD313" s="583">
        <f>VLOOKUP($H313,Nutrition_tables!$A:$AF,17,FALSE)*$Q313/100</f>
        <v>0</v>
      </c>
      <c r="AE313" s="583">
        <f>VLOOKUP($H313,Nutrition_tables!$A:$AF,18,FALSE)*$Q313/100</f>
        <v>0</v>
      </c>
      <c r="AF313" s="583">
        <f>VLOOKUP($H313,Nutrition_tables!$A:$AF,19,FALSE)*$Q313/100</f>
        <v>0</v>
      </c>
      <c r="AG313" s="583">
        <f>VLOOKUP($H313,Nutrition_tables!$A:$AF,20,FALSE)*$Q313/100</f>
        <v>0</v>
      </c>
      <c r="AH313" s="583">
        <f>VLOOKUP($H313,Nutrition_tables!$A:$AF,21,FALSE)*$Q313/100</f>
        <v>0</v>
      </c>
      <c r="AI313" s="583">
        <f>VLOOKUP($H313,Nutrition_tables!$A:$AF,22,FALSE)*$Q313/100</f>
        <v>0</v>
      </c>
      <c r="AJ313" s="549">
        <f>VLOOKUP($H313,Nutrition_tables!$A:$AF,23,FALSE)*$Q313/100</f>
        <v>0</v>
      </c>
      <c r="AK313" s="583">
        <f>VLOOKUP($H313,Nutrition_tables!$A:$AF,24,FALSE)*$Q313/100</f>
        <v>0</v>
      </c>
      <c r="AL313" s="583">
        <f>VLOOKUP($H313,Nutrition_tables!$A:$AF,25,FALSE)*$Q313/100</f>
        <v>0</v>
      </c>
      <c r="AM313" s="583">
        <f>VLOOKUP($H313,Nutrition_tables!$A:$AF,26,FALSE)*$Q313/100</f>
        <v>0</v>
      </c>
      <c r="AN313" s="583">
        <f>VLOOKUP($H313,Nutrition_tables!$A:$AF,27,FALSE)*$Q313/100</f>
        <v>0</v>
      </c>
      <c r="AO313" s="583">
        <f>VLOOKUP($H313,Nutrition_tables!$A:$AF,28,FALSE)*$Q313/100</f>
        <v>0</v>
      </c>
      <c r="AP313" s="583">
        <f>VLOOKUP($H313,Nutrition_tables!$A:$AF,29,FALSE)*$Q313/100</f>
        <v>0</v>
      </c>
      <c r="AQ313" s="583">
        <f>VLOOKUP($H313,Nutrition_tables!$A:$AF,30,FALSE)*$Q313/100</f>
        <v>0</v>
      </c>
      <c r="AR313" s="583">
        <f>VLOOKUP($H313,Nutrition_tables!$A:$AF,31,FALSE)*$Q313/100</f>
        <v>0</v>
      </c>
      <c r="AS313" s="549">
        <f>VLOOKUP($H313,Nutrition_tables!$A:$AF,32,FALSE)*$Q313/100</f>
        <v>0</v>
      </c>
      <c r="AT313" s="583" t="str">
        <f>IF(H313="Select ingredient:","",IF(G313="Select food category:","",IFERROR(VLOOKUP($H313,Ingredient_prices!$E:$W,17,FALSE)*$Q313/1000,"not bought")))</f>
        <v/>
      </c>
      <c r="AU313" s="583" t="str">
        <f>IF(H313="Select ingredient:","",IF(G313="Select food category:","",IFERROR(VLOOKUP($H313,Ingredient_prices!$E:$W,18,FALSE)*$Q313/1000,"not bought")))</f>
        <v/>
      </c>
      <c r="AV313" s="583">
        <f t="shared" si="711"/>
        <v>0</v>
      </c>
      <c r="AW313" s="583">
        <f t="shared" si="712"/>
        <v>0</v>
      </c>
      <c r="AX313" s="583">
        <f t="shared" si="713"/>
        <v>0</v>
      </c>
      <c r="AY313" s="583">
        <f t="shared" si="714"/>
        <v>0</v>
      </c>
      <c r="AZ313" s="583">
        <f t="shared" si="715"/>
        <v>0</v>
      </c>
      <c r="BA313" s="583">
        <f t="shared" si="716"/>
        <v>0</v>
      </c>
      <c r="BB313" s="583">
        <f t="shared" si="717"/>
        <v>0</v>
      </c>
      <c r="BC313" s="583">
        <f t="shared" si="718"/>
        <v>0</v>
      </c>
      <c r="BD313" s="583">
        <f t="shared" si="719"/>
        <v>0</v>
      </c>
      <c r="BE313" s="583">
        <f t="shared" si="720"/>
        <v>0</v>
      </c>
      <c r="BF313" s="583">
        <f t="shared" si="721"/>
        <v>0</v>
      </c>
      <c r="BG313" s="583">
        <f t="shared" si="722"/>
        <v>0</v>
      </c>
      <c r="BH313" s="583">
        <f t="shared" si="723"/>
        <v>0</v>
      </c>
      <c r="BI313" s="583">
        <f t="shared" si="724"/>
        <v>0</v>
      </c>
      <c r="BJ313" s="583">
        <f t="shared" si="725"/>
        <v>0</v>
      </c>
      <c r="BK313" s="583">
        <f t="shared" si="726"/>
        <v>0</v>
      </c>
      <c r="BL313" s="583">
        <f t="shared" si="727"/>
        <v>0</v>
      </c>
      <c r="BM313" s="583">
        <f t="shared" si="728"/>
        <v>0</v>
      </c>
      <c r="BN313" s="583">
        <f t="shared" si="729"/>
        <v>0</v>
      </c>
      <c r="BO313" s="583">
        <f t="shared" si="730"/>
        <v>0</v>
      </c>
      <c r="BP313" s="583">
        <f t="shared" si="731"/>
        <v>0</v>
      </c>
      <c r="BQ313" s="583">
        <f t="shared" si="732"/>
        <v>0</v>
      </c>
      <c r="BR313" s="583">
        <f t="shared" si="733"/>
        <v>0</v>
      </c>
    </row>
    <row r="314" spans="1:70" s="229" customFormat="1" ht="15" customHeight="1">
      <c r="A314" s="643"/>
      <c r="D314" s="85"/>
      <c r="E314" s="576">
        <f t="shared" si="735"/>
        <v>100</v>
      </c>
      <c r="F314" s="707"/>
      <c r="G314" s="406" t="s">
        <v>3054</v>
      </c>
      <c r="H314" s="1262" t="s">
        <v>3055</v>
      </c>
      <c r="I314" s="85">
        <v>0</v>
      </c>
      <c r="J314" s="682">
        <v>1</v>
      </c>
      <c r="K314" s="579" t="str">
        <f t="shared" si="709"/>
        <v/>
      </c>
      <c r="L314" s="580" t="str">
        <f>IF(H314="Select ingredient:","",IF(G314="","",_xlfn.IFNA(VLOOKUP($H314,Ingredient_prices!$E:$U,16,FALSE),0)))</f>
        <v/>
      </c>
      <c r="M314" s="848"/>
      <c r="N314" s="848"/>
      <c r="O314" s="648"/>
      <c r="P314" s="653"/>
      <c r="Q314" s="583">
        <f t="shared" si="710"/>
        <v>0</v>
      </c>
      <c r="R314" s="583">
        <f>VLOOKUP($H314,'CO2_emission+%_food_waste'!$A:$K,6,FALSE)*$Q314/100</f>
        <v>0</v>
      </c>
      <c r="S314" s="583">
        <f t="shared" si="734"/>
        <v>0</v>
      </c>
      <c r="T314" s="583" t="str">
        <f>IF(H314="Select ingredient:","",IF(G314="Select food category:","",_xlfn.IFNA(VLOOKUP($H314,Ingredient_prices!$E:$U,16,FALSE)*$Q314/1000,"not bought")))</f>
        <v/>
      </c>
      <c r="U314" s="583" t="str">
        <f>IF(G314="Select food category:","",_xlfn.IFNA(VLOOKUP($H314,Ingredient_prices!$E:$U,16,FALSE)*$R314/1000,"not bought"))</f>
        <v/>
      </c>
      <c r="V314" s="549">
        <f>VLOOKUP($H314,'CO2_emission+%_food_waste'!$A:$K,4,FALSE)*$Q314</f>
        <v>0</v>
      </c>
      <c r="W314" s="583">
        <f>VLOOKUP($H314,Nutrition_tables!$A:$N,10,FALSE)*$Q314/100</f>
        <v>0</v>
      </c>
      <c r="X314" s="583">
        <f>VLOOKUP($H314,Nutrition_tables!$A:$N,11,FALSE)*$Q314/100</f>
        <v>0</v>
      </c>
      <c r="Y314" s="583">
        <f>VLOOKUP($H314,Nutrition_tables!$A:$N,12,FALSE)*$Q314/100</f>
        <v>0</v>
      </c>
      <c r="Z314" s="583">
        <f>VLOOKUP($H314,Nutrition_tables!$A:$N,14,FALSE)*$Q314/100</f>
        <v>0</v>
      </c>
      <c r="AA314" s="583">
        <f>VLOOKUP($H314,Nutrition_tables!$A:$AF,13,FALSE)*$Q314/100</f>
        <v>0</v>
      </c>
      <c r="AB314" s="549">
        <f>VLOOKUP($H314,Nutrition_tables!$A:$AF,15,FALSE)*$Q314/100</f>
        <v>0</v>
      </c>
      <c r="AC314" s="583">
        <f>VLOOKUP($H314,Nutrition_tables!$A:$AF,16,FALSE)*$Q314/100</f>
        <v>0</v>
      </c>
      <c r="AD314" s="583">
        <f>VLOOKUP($H314,Nutrition_tables!$A:$AF,17,FALSE)*$Q314/100</f>
        <v>0</v>
      </c>
      <c r="AE314" s="583">
        <f>VLOOKUP($H314,Nutrition_tables!$A:$AF,18,FALSE)*$Q314/100</f>
        <v>0</v>
      </c>
      <c r="AF314" s="583">
        <f>VLOOKUP($H314,Nutrition_tables!$A:$AF,19,FALSE)*$Q314/100</f>
        <v>0</v>
      </c>
      <c r="AG314" s="583">
        <f>VLOOKUP($H314,Nutrition_tables!$A:$AF,20,FALSE)*$Q314/100</f>
        <v>0</v>
      </c>
      <c r="AH314" s="583">
        <f>VLOOKUP($H314,Nutrition_tables!$A:$AF,21,FALSE)*$Q314/100</f>
        <v>0</v>
      </c>
      <c r="AI314" s="583">
        <f>VLOOKUP($H314,Nutrition_tables!$A:$AF,22,FALSE)*$Q314/100</f>
        <v>0</v>
      </c>
      <c r="AJ314" s="549">
        <f>VLOOKUP($H314,Nutrition_tables!$A:$AF,23,FALSE)*$Q314/100</f>
        <v>0</v>
      </c>
      <c r="AK314" s="583">
        <f>VLOOKUP($H314,Nutrition_tables!$A:$AF,24,FALSE)*$Q314/100</f>
        <v>0</v>
      </c>
      <c r="AL314" s="583">
        <f>VLOOKUP($H314,Nutrition_tables!$A:$AF,25,FALSE)*$Q314/100</f>
        <v>0</v>
      </c>
      <c r="AM314" s="583">
        <f>VLOOKUP($H314,Nutrition_tables!$A:$AF,26,FALSE)*$Q314/100</f>
        <v>0</v>
      </c>
      <c r="AN314" s="583">
        <f>VLOOKUP($H314,Nutrition_tables!$A:$AF,27,FALSE)*$Q314/100</f>
        <v>0</v>
      </c>
      <c r="AO314" s="583">
        <f>VLOOKUP($H314,Nutrition_tables!$A:$AF,28,FALSE)*$Q314/100</f>
        <v>0</v>
      </c>
      <c r="AP314" s="583">
        <f>VLOOKUP($H314,Nutrition_tables!$A:$AF,29,FALSE)*$Q314/100</f>
        <v>0</v>
      </c>
      <c r="AQ314" s="583">
        <f>VLOOKUP($H314,Nutrition_tables!$A:$AF,30,FALSE)*$Q314/100</f>
        <v>0</v>
      </c>
      <c r="AR314" s="583">
        <f>VLOOKUP($H314,Nutrition_tables!$A:$AF,31,FALSE)*$Q314/100</f>
        <v>0</v>
      </c>
      <c r="AS314" s="549">
        <f>VLOOKUP($H314,Nutrition_tables!$A:$AF,32,FALSE)*$Q314/100</f>
        <v>0</v>
      </c>
      <c r="AT314" s="583" t="str">
        <f>IF(H314="Select ingredient:","",IF(G314="Select food category:","",IFERROR(VLOOKUP($H314,Ingredient_prices!$E:$W,17,FALSE)*$Q314/1000,"not bought")))</f>
        <v/>
      </c>
      <c r="AU314" s="583" t="str">
        <f>IF(H314="Select ingredient:","",IF(G314="Select food category:","",IFERROR(VLOOKUP($H314,Ingredient_prices!$E:$W,18,FALSE)*$Q314/1000,"not bought")))</f>
        <v/>
      </c>
      <c r="AV314" s="583">
        <f t="shared" si="711"/>
        <v>0</v>
      </c>
      <c r="AW314" s="583">
        <f t="shared" si="712"/>
        <v>0</v>
      </c>
      <c r="AX314" s="583">
        <f t="shared" si="713"/>
        <v>0</v>
      </c>
      <c r="AY314" s="583">
        <f t="shared" si="714"/>
        <v>0</v>
      </c>
      <c r="AZ314" s="583">
        <f t="shared" si="715"/>
        <v>0</v>
      </c>
      <c r="BA314" s="583">
        <f t="shared" si="716"/>
        <v>0</v>
      </c>
      <c r="BB314" s="583">
        <f t="shared" si="717"/>
        <v>0</v>
      </c>
      <c r="BC314" s="583">
        <f t="shared" si="718"/>
        <v>0</v>
      </c>
      <c r="BD314" s="583">
        <f t="shared" si="719"/>
        <v>0</v>
      </c>
      <c r="BE314" s="583">
        <f t="shared" si="720"/>
        <v>0</v>
      </c>
      <c r="BF314" s="583">
        <f t="shared" si="721"/>
        <v>0</v>
      </c>
      <c r="BG314" s="583">
        <f t="shared" si="722"/>
        <v>0</v>
      </c>
      <c r="BH314" s="583">
        <f t="shared" si="723"/>
        <v>0</v>
      </c>
      <c r="BI314" s="583">
        <f t="shared" si="724"/>
        <v>0</v>
      </c>
      <c r="BJ314" s="583">
        <f t="shared" si="725"/>
        <v>0</v>
      </c>
      <c r="BK314" s="583">
        <f t="shared" si="726"/>
        <v>0</v>
      </c>
      <c r="BL314" s="583">
        <f t="shared" si="727"/>
        <v>0</v>
      </c>
      <c r="BM314" s="583">
        <f t="shared" si="728"/>
        <v>0</v>
      </c>
      <c r="BN314" s="583">
        <f t="shared" si="729"/>
        <v>0</v>
      </c>
      <c r="BO314" s="583">
        <f t="shared" si="730"/>
        <v>0</v>
      </c>
      <c r="BP314" s="583">
        <f t="shared" si="731"/>
        <v>0</v>
      </c>
      <c r="BQ314" s="583">
        <f t="shared" si="732"/>
        <v>0</v>
      </c>
      <c r="BR314" s="583">
        <f t="shared" si="733"/>
        <v>0</v>
      </c>
    </row>
    <row r="315" spans="1:70" s="229" customFormat="1" ht="15" customHeight="1">
      <c r="A315" s="643"/>
      <c r="D315" s="85"/>
      <c r="E315" s="576">
        <f t="shared" si="735"/>
        <v>100</v>
      </c>
      <c r="F315" s="707"/>
      <c r="G315" s="406" t="s">
        <v>3054</v>
      </c>
      <c r="H315" s="1262" t="s">
        <v>3055</v>
      </c>
      <c r="I315" s="85">
        <v>0</v>
      </c>
      <c r="J315" s="682">
        <v>1</v>
      </c>
      <c r="K315" s="579" t="str">
        <f t="shared" si="709"/>
        <v/>
      </c>
      <c r="L315" s="580" t="str">
        <f>IF(H315="Select ingredient:","",IF(G315="","",_xlfn.IFNA(VLOOKUP($H315,Ingredient_prices!$E:$U,16,FALSE),0)))</f>
        <v/>
      </c>
      <c r="M315" s="848"/>
      <c r="N315" s="848"/>
      <c r="O315" s="648"/>
      <c r="P315" s="653"/>
      <c r="Q315" s="583">
        <f t="shared" si="710"/>
        <v>0</v>
      </c>
      <c r="R315" s="583">
        <f>VLOOKUP($H315,'CO2_emission+%_food_waste'!$A:$K,6,FALSE)*$Q315/100</f>
        <v>0</v>
      </c>
      <c r="S315" s="583">
        <f t="shared" si="734"/>
        <v>0</v>
      </c>
      <c r="T315" s="583" t="str">
        <f>IF(H315="Select ingredient:","",IF(G315="Select food category:","",_xlfn.IFNA(VLOOKUP($H315,Ingredient_prices!$E:$U,16,FALSE)*$Q315/1000,"not bought")))</f>
        <v/>
      </c>
      <c r="U315" s="583" t="str">
        <f>IF(G315="Select food category:","",_xlfn.IFNA(VLOOKUP($H315,Ingredient_prices!$E:$U,16,FALSE)*$R315/1000,"not bought"))</f>
        <v/>
      </c>
      <c r="V315" s="549">
        <f>VLOOKUP($H315,'CO2_emission+%_food_waste'!$A:$K,4,FALSE)*$Q315</f>
        <v>0</v>
      </c>
      <c r="W315" s="583">
        <f>VLOOKUP($H315,Nutrition_tables!$A:$N,10,FALSE)*$Q315/100</f>
        <v>0</v>
      </c>
      <c r="X315" s="583">
        <f>VLOOKUP($H315,Nutrition_tables!$A:$N,11,FALSE)*$Q315/100</f>
        <v>0</v>
      </c>
      <c r="Y315" s="583">
        <f>VLOOKUP($H315,Nutrition_tables!$A:$N,12,FALSE)*$Q315/100</f>
        <v>0</v>
      </c>
      <c r="Z315" s="583">
        <f>VLOOKUP($H315,Nutrition_tables!$A:$N,14,FALSE)*$Q315/100</f>
        <v>0</v>
      </c>
      <c r="AA315" s="583">
        <f>VLOOKUP($H315,Nutrition_tables!$A:$AF,13,FALSE)*$Q315/100</f>
        <v>0</v>
      </c>
      <c r="AB315" s="549">
        <f>VLOOKUP($H315,Nutrition_tables!$A:$AF,15,FALSE)*$Q315/100</f>
        <v>0</v>
      </c>
      <c r="AC315" s="583">
        <f>VLOOKUP($H315,Nutrition_tables!$A:$AF,16,FALSE)*$Q315/100</f>
        <v>0</v>
      </c>
      <c r="AD315" s="583">
        <f>VLOOKUP($H315,Nutrition_tables!$A:$AF,17,FALSE)*$Q315/100</f>
        <v>0</v>
      </c>
      <c r="AE315" s="583">
        <f>VLOOKUP($H315,Nutrition_tables!$A:$AF,18,FALSE)*$Q315/100</f>
        <v>0</v>
      </c>
      <c r="AF315" s="583">
        <f>VLOOKUP($H315,Nutrition_tables!$A:$AF,19,FALSE)*$Q315/100</f>
        <v>0</v>
      </c>
      <c r="AG315" s="583">
        <f>VLOOKUP($H315,Nutrition_tables!$A:$AF,20,FALSE)*$Q315/100</f>
        <v>0</v>
      </c>
      <c r="AH315" s="583">
        <f>VLOOKUP($H315,Nutrition_tables!$A:$AF,21,FALSE)*$Q315/100</f>
        <v>0</v>
      </c>
      <c r="AI315" s="583">
        <f>VLOOKUP($H315,Nutrition_tables!$A:$AF,22,FALSE)*$Q315/100</f>
        <v>0</v>
      </c>
      <c r="AJ315" s="549">
        <f>VLOOKUP($H315,Nutrition_tables!$A:$AF,23,FALSE)*$Q315/100</f>
        <v>0</v>
      </c>
      <c r="AK315" s="583">
        <f>VLOOKUP($H315,Nutrition_tables!$A:$AF,24,FALSE)*$Q315/100</f>
        <v>0</v>
      </c>
      <c r="AL315" s="583">
        <f>VLOOKUP($H315,Nutrition_tables!$A:$AF,25,FALSE)*$Q315/100</f>
        <v>0</v>
      </c>
      <c r="AM315" s="583">
        <f>VLOOKUP($H315,Nutrition_tables!$A:$AF,26,FALSE)*$Q315/100</f>
        <v>0</v>
      </c>
      <c r="AN315" s="583">
        <f>VLOOKUP($H315,Nutrition_tables!$A:$AF,27,FALSE)*$Q315/100</f>
        <v>0</v>
      </c>
      <c r="AO315" s="583">
        <f>VLOOKUP($H315,Nutrition_tables!$A:$AF,28,FALSE)*$Q315/100</f>
        <v>0</v>
      </c>
      <c r="AP315" s="583">
        <f>VLOOKUP($H315,Nutrition_tables!$A:$AF,29,FALSE)*$Q315/100</f>
        <v>0</v>
      </c>
      <c r="AQ315" s="583">
        <f>VLOOKUP($H315,Nutrition_tables!$A:$AF,30,FALSE)*$Q315/100</f>
        <v>0</v>
      </c>
      <c r="AR315" s="583">
        <f>VLOOKUP($H315,Nutrition_tables!$A:$AF,31,FALSE)*$Q315/100</f>
        <v>0</v>
      </c>
      <c r="AS315" s="549">
        <f>VLOOKUP($H315,Nutrition_tables!$A:$AF,32,FALSE)*$Q315/100</f>
        <v>0</v>
      </c>
      <c r="AT315" s="583" t="str">
        <f>IF(H315="Select ingredient:","",IF(G315="Select food category:","",IFERROR(VLOOKUP($H315,Ingredient_prices!$E:$W,17,FALSE)*$Q315/1000,"not bought")))</f>
        <v/>
      </c>
      <c r="AU315" s="583" t="str">
        <f>IF(H315="Select ingredient:","",IF(G315="Select food category:","",IFERROR(VLOOKUP($H315,Ingredient_prices!$E:$W,18,FALSE)*$Q315/1000,"not bought")))</f>
        <v/>
      </c>
      <c r="AV315" s="583">
        <f t="shared" si="711"/>
        <v>0</v>
      </c>
      <c r="AW315" s="583">
        <f t="shared" si="712"/>
        <v>0</v>
      </c>
      <c r="AX315" s="583">
        <f t="shared" si="713"/>
        <v>0</v>
      </c>
      <c r="AY315" s="583">
        <f t="shared" si="714"/>
        <v>0</v>
      </c>
      <c r="AZ315" s="583">
        <f t="shared" si="715"/>
        <v>0</v>
      </c>
      <c r="BA315" s="583">
        <f t="shared" si="716"/>
        <v>0</v>
      </c>
      <c r="BB315" s="583">
        <f t="shared" si="717"/>
        <v>0</v>
      </c>
      <c r="BC315" s="583">
        <f t="shared" si="718"/>
        <v>0</v>
      </c>
      <c r="BD315" s="583">
        <f t="shared" si="719"/>
        <v>0</v>
      </c>
      <c r="BE315" s="583">
        <f t="shared" si="720"/>
        <v>0</v>
      </c>
      <c r="BF315" s="583">
        <f t="shared" si="721"/>
        <v>0</v>
      </c>
      <c r="BG315" s="583">
        <f t="shared" si="722"/>
        <v>0</v>
      </c>
      <c r="BH315" s="583">
        <f t="shared" si="723"/>
        <v>0</v>
      </c>
      <c r="BI315" s="583">
        <f t="shared" si="724"/>
        <v>0</v>
      </c>
      <c r="BJ315" s="583">
        <f t="shared" si="725"/>
        <v>0</v>
      </c>
      <c r="BK315" s="583">
        <f t="shared" si="726"/>
        <v>0</v>
      </c>
      <c r="BL315" s="583">
        <f t="shared" si="727"/>
        <v>0</v>
      </c>
      <c r="BM315" s="583">
        <f t="shared" si="728"/>
        <v>0</v>
      </c>
      <c r="BN315" s="583">
        <f t="shared" si="729"/>
        <v>0</v>
      </c>
      <c r="BO315" s="583">
        <f t="shared" si="730"/>
        <v>0</v>
      </c>
      <c r="BP315" s="583">
        <f t="shared" si="731"/>
        <v>0</v>
      </c>
      <c r="BQ315" s="583">
        <f t="shared" si="732"/>
        <v>0</v>
      </c>
      <c r="BR315" s="583">
        <f t="shared" si="733"/>
        <v>0</v>
      </c>
    </row>
    <row r="316" spans="1:70" s="229" customFormat="1" ht="15" customHeight="1">
      <c r="A316" s="643"/>
      <c r="D316" s="85"/>
      <c r="E316" s="576">
        <f t="shared" si="735"/>
        <v>100</v>
      </c>
      <c r="F316" s="707"/>
      <c r="G316" s="406" t="s">
        <v>3054</v>
      </c>
      <c r="H316" s="1262" t="s">
        <v>3055</v>
      </c>
      <c r="I316" s="85">
        <v>0</v>
      </c>
      <c r="J316" s="682">
        <v>1</v>
      </c>
      <c r="K316" s="579" t="str">
        <f t="shared" si="709"/>
        <v/>
      </c>
      <c r="L316" s="580" t="str">
        <f>IF(H316="Select ingredient:","",IF(G316="","",_xlfn.IFNA(VLOOKUP($H316,Ingredient_prices!$E:$U,16,FALSE),0)))</f>
        <v/>
      </c>
      <c r="M316" s="848"/>
      <c r="N316" s="848"/>
      <c r="O316" s="648"/>
      <c r="P316" s="653"/>
      <c r="Q316" s="583">
        <f t="shared" si="710"/>
        <v>0</v>
      </c>
      <c r="R316" s="583">
        <f>VLOOKUP($H316,'CO2_emission+%_food_waste'!$A:$K,6,FALSE)*$Q316/100</f>
        <v>0</v>
      </c>
      <c r="S316" s="583">
        <f t="shared" si="734"/>
        <v>0</v>
      </c>
      <c r="T316" s="583" t="str">
        <f>IF(H316="Select ingredient:","",IF(G316="Select food category:","",_xlfn.IFNA(VLOOKUP($H316,Ingredient_prices!$E:$U,16,FALSE)*$Q316/1000,"not bought")))</f>
        <v/>
      </c>
      <c r="U316" s="583" t="str">
        <f>IF(G316="Select food category:","",_xlfn.IFNA(VLOOKUP($H316,Ingredient_prices!$E:$U,16,FALSE)*$R316/1000,"not bought"))</f>
        <v/>
      </c>
      <c r="V316" s="549">
        <f>VLOOKUP($H316,'CO2_emission+%_food_waste'!$A:$K,4,FALSE)*$Q316</f>
        <v>0</v>
      </c>
      <c r="W316" s="583">
        <f>VLOOKUP($H316,Nutrition_tables!$A:$N,10,FALSE)*$Q316/100</f>
        <v>0</v>
      </c>
      <c r="X316" s="583">
        <f>VLOOKUP($H316,Nutrition_tables!$A:$N,11,FALSE)*$Q316/100</f>
        <v>0</v>
      </c>
      <c r="Y316" s="583">
        <f>VLOOKUP($H316,Nutrition_tables!$A:$N,12,FALSE)*$Q316/100</f>
        <v>0</v>
      </c>
      <c r="Z316" s="583">
        <f>VLOOKUP($H316,Nutrition_tables!$A:$N,14,FALSE)*$Q316/100</f>
        <v>0</v>
      </c>
      <c r="AA316" s="583">
        <f>VLOOKUP($H316,Nutrition_tables!$A:$AF,13,FALSE)*$Q316/100</f>
        <v>0</v>
      </c>
      <c r="AB316" s="549">
        <f>VLOOKUP($H316,Nutrition_tables!$A:$AF,15,FALSE)*$Q316/100</f>
        <v>0</v>
      </c>
      <c r="AC316" s="583">
        <f>VLOOKUP($H316,Nutrition_tables!$A:$AF,16,FALSE)*$Q316/100</f>
        <v>0</v>
      </c>
      <c r="AD316" s="583">
        <f>VLOOKUP($H316,Nutrition_tables!$A:$AF,17,FALSE)*$Q316/100</f>
        <v>0</v>
      </c>
      <c r="AE316" s="583">
        <f>VLOOKUP($H316,Nutrition_tables!$A:$AF,18,FALSE)*$Q316/100</f>
        <v>0</v>
      </c>
      <c r="AF316" s="583">
        <f>VLOOKUP($H316,Nutrition_tables!$A:$AF,19,FALSE)*$Q316/100</f>
        <v>0</v>
      </c>
      <c r="AG316" s="583">
        <f>VLOOKUP($H316,Nutrition_tables!$A:$AF,20,FALSE)*$Q316/100</f>
        <v>0</v>
      </c>
      <c r="AH316" s="583">
        <f>VLOOKUP($H316,Nutrition_tables!$A:$AF,21,FALSE)*$Q316/100</f>
        <v>0</v>
      </c>
      <c r="AI316" s="583">
        <f>VLOOKUP($H316,Nutrition_tables!$A:$AF,22,FALSE)*$Q316/100</f>
        <v>0</v>
      </c>
      <c r="AJ316" s="549">
        <f>VLOOKUP($H316,Nutrition_tables!$A:$AF,23,FALSE)*$Q316/100</f>
        <v>0</v>
      </c>
      <c r="AK316" s="583">
        <f>VLOOKUP($H316,Nutrition_tables!$A:$AF,24,FALSE)*$Q316/100</f>
        <v>0</v>
      </c>
      <c r="AL316" s="583">
        <f>VLOOKUP($H316,Nutrition_tables!$A:$AF,25,FALSE)*$Q316/100</f>
        <v>0</v>
      </c>
      <c r="AM316" s="583">
        <f>VLOOKUP($H316,Nutrition_tables!$A:$AF,26,FALSE)*$Q316/100</f>
        <v>0</v>
      </c>
      <c r="AN316" s="583">
        <f>VLOOKUP($H316,Nutrition_tables!$A:$AF,27,FALSE)*$Q316/100</f>
        <v>0</v>
      </c>
      <c r="AO316" s="583">
        <f>VLOOKUP($H316,Nutrition_tables!$A:$AF,28,FALSE)*$Q316/100</f>
        <v>0</v>
      </c>
      <c r="AP316" s="583">
        <f>VLOOKUP($H316,Nutrition_tables!$A:$AF,29,FALSE)*$Q316/100</f>
        <v>0</v>
      </c>
      <c r="AQ316" s="583">
        <f>VLOOKUP($H316,Nutrition_tables!$A:$AF,30,FALSE)*$Q316/100</f>
        <v>0</v>
      </c>
      <c r="AR316" s="583">
        <f>VLOOKUP($H316,Nutrition_tables!$A:$AF,31,FALSE)*$Q316/100</f>
        <v>0</v>
      </c>
      <c r="AS316" s="549">
        <f>VLOOKUP($H316,Nutrition_tables!$A:$AF,32,FALSE)*$Q316/100</f>
        <v>0</v>
      </c>
      <c r="AT316" s="583" t="str">
        <f>IF(H316="Select ingredient:","",IF(G316="Select food category:","",IFERROR(VLOOKUP($H316,Ingredient_prices!$E:$W,17,FALSE)*$Q316/1000,"not bought")))</f>
        <v/>
      </c>
      <c r="AU316" s="583" t="str">
        <f>IF(H316="Select ingredient:","",IF(G316="Select food category:","",IFERROR(VLOOKUP($H316,Ingredient_prices!$E:$W,18,FALSE)*$Q316/1000,"not bought")))</f>
        <v/>
      </c>
      <c r="AV316" s="583">
        <f t="shared" si="711"/>
        <v>0</v>
      </c>
      <c r="AW316" s="583">
        <f t="shared" si="712"/>
        <v>0</v>
      </c>
      <c r="AX316" s="583">
        <f t="shared" si="713"/>
        <v>0</v>
      </c>
      <c r="AY316" s="583">
        <f t="shared" si="714"/>
        <v>0</v>
      </c>
      <c r="AZ316" s="583">
        <f t="shared" si="715"/>
        <v>0</v>
      </c>
      <c r="BA316" s="583">
        <f t="shared" si="716"/>
        <v>0</v>
      </c>
      <c r="BB316" s="583">
        <f t="shared" si="717"/>
        <v>0</v>
      </c>
      <c r="BC316" s="583">
        <f t="shared" si="718"/>
        <v>0</v>
      </c>
      <c r="BD316" s="583">
        <f t="shared" si="719"/>
        <v>0</v>
      </c>
      <c r="BE316" s="583">
        <f t="shared" si="720"/>
        <v>0</v>
      </c>
      <c r="BF316" s="583">
        <f t="shared" si="721"/>
        <v>0</v>
      </c>
      <c r="BG316" s="583">
        <f t="shared" si="722"/>
        <v>0</v>
      </c>
      <c r="BH316" s="583">
        <f t="shared" si="723"/>
        <v>0</v>
      </c>
      <c r="BI316" s="583">
        <f t="shared" si="724"/>
        <v>0</v>
      </c>
      <c r="BJ316" s="583">
        <f t="shared" si="725"/>
        <v>0</v>
      </c>
      <c r="BK316" s="583">
        <f t="shared" si="726"/>
        <v>0</v>
      </c>
      <c r="BL316" s="583">
        <f t="shared" si="727"/>
        <v>0</v>
      </c>
      <c r="BM316" s="583">
        <f t="shared" si="728"/>
        <v>0</v>
      </c>
      <c r="BN316" s="583">
        <f t="shared" si="729"/>
        <v>0</v>
      </c>
      <c r="BO316" s="583">
        <f t="shared" si="730"/>
        <v>0</v>
      </c>
      <c r="BP316" s="583">
        <f t="shared" si="731"/>
        <v>0</v>
      </c>
      <c r="BQ316" s="583">
        <f t="shared" si="732"/>
        <v>0</v>
      </c>
      <c r="BR316" s="583">
        <f t="shared" si="733"/>
        <v>0</v>
      </c>
    </row>
    <row r="317" spans="1:70" s="229" customFormat="1" ht="15" customHeight="1">
      <c r="A317" s="643"/>
      <c r="D317" s="85"/>
      <c r="E317" s="576">
        <f t="shared" si="735"/>
        <v>100</v>
      </c>
      <c r="F317" s="707"/>
      <c r="G317" s="406" t="s">
        <v>3054</v>
      </c>
      <c r="H317" s="1262" t="s">
        <v>3055</v>
      </c>
      <c r="I317" s="85">
        <v>0</v>
      </c>
      <c r="J317" s="682">
        <v>1</v>
      </c>
      <c r="K317" s="579" t="str">
        <f t="shared" si="709"/>
        <v/>
      </c>
      <c r="L317" s="580" t="str">
        <f>IF(H317="Select ingredient:","",IF(G317="","",_xlfn.IFNA(VLOOKUP($H317,Ingredient_prices!$E:$U,16,FALSE),0)))</f>
        <v/>
      </c>
      <c r="M317" s="848"/>
      <c r="N317" s="848"/>
      <c r="O317" s="648"/>
      <c r="P317" s="653"/>
      <c r="Q317" s="583">
        <f t="shared" si="710"/>
        <v>0</v>
      </c>
      <c r="R317" s="583">
        <f>VLOOKUP($H317,'CO2_emission+%_food_waste'!$A:$K,6,FALSE)*$Q317/100</f>
        <v>0</v>
      </c>
      <c r="S317" s="583">
        <f t="shared" si="734"/>
        <v>0</v>
      </c>
      <c r="T317" s="583" t="str">
        <f>IF(H317="Select ingredient:","",IF(G317="Select food category:","",_xlfn.IFNA(VLOOKUP($H317,Ingredient_prices!$E:$U,16,FALSE)*$Q317/1000,"not bought")))</f>
        <v/>
      </c>
      <c r="U317" s="583" t="str">
        <f>IF(G317="Select food category:","",_xlfn.IFNA(VLOOKUP($H317,Ingredient_prices!$E:$U,16,FALSE)*$R317/1000,"not bought"))</f>
        <v/>
      </c>
      <c r="V317" s="549">
        <f>VLOOKUP($H317,'CO2_emission+%_food_waste'!$A:$K,4,FALSE)*$Q317</f>
        <v>0</v>
      </c>
      <c r="W317" s="583">
        <f>VLOOKUP($H317,Nutrition_tables!$A:$N,10,FALSE)*$Q317/100</f>
        <v>0</v>
      </c>
      <c r="X317" s="583">
        <f>VLOOKUP($H317,Nutrition_tables!$A:$N,11,FALSE)*$Q317/100</f>
        <v>0</v>
      </c>
      <c r="Y317" s="583">
        <f>VLOOKUP($H317,Nutrition_tables!$A:$N,12,FALSE)*$Q317/100</f>
        <v>0</v>
      </c>
      <c r="Z317" s="583">
        <f>VLOOKUP($H317,Nutrition_tables!$A:$N,14,FALSE)*$Q317/100</f>
        <v>0</v>
      </c>
      <c r="AA317" s="583">
        <f>VLOOKUP($H317,Nutrition_tables!$A:$AF,13,FALSE)*$Q317/100</f>
        <v>0</v>
      </c>
      <c r="AB317" s="549">
        <f>VLOOKUP($H317,Nutrition_tables!$A:$AF,15,FALSE)*$Q317/100</f>
        <v>0</v>
      </c>
      <c r="AC317" s="583">
        <f>VLOOKUP($H317,Nutrition_tables!$A:$AF,16,FALSE)*$Q317/100</f>
        <v>0</v>
      </c>
      <c r="AD317" s="583">
        <f>VLOOKUP($H317,Nutrition_tables!$A:$AF,17,FALSE)*$Q317/100</f>
        <v>0</v>
      </c>
      <c r="AE317" s="583">
        <f>VLOOKUP($H317,Nutrition_tables!$A:$AF,18,FALSE)*$Q317/100</f>
        <v>0</v>
      </c>
      <c r="AF317" s="583">
        <f>VLOOKUP($H317,Nutrition_tables!$A:$AF,19,FALSE)*$Q317/100</f>
        <v>0</v>
      </c>
      <c r="AG317" s="583">
        <f>VLOOKUP($H317,Nutrition_tables!$A:$AF,20,FALSE)*$Q317/100</f>
        <v>0</v>
      </c>
      <c r="AH317" s="583">
        <f>VLOOKUP($H317,Nutrition_tables!$A:$AF,21,FALSE)*$Q317/100</f>
        <v>0</v>
      </c>
      <c r="AI317" s="583">
        <f>VLOOKUP($H317,Nutrition_tables!$A:$AF,22,FALSE)*$Q317/100</f>
        <v>0</v>
      </c>
      <c r="AJ317" s="549">
        <f>VLOOKUP($H317,Nutrition_tables!$A:$AF,23,FALSE)*$Q317/100</f>
        <v>0</v>
      </c>
      <c r="AK317" s="583">
        <f>VLOOKUP($H317,Nutrition_tables!$A:$AF,24,FALSE)*$Q317/100</f>
        <v>0</v>
      </c>
      <c r="AL317" s="583">
        <f>VLOOKUP($H317,Nutrition_tables!$A:$AF,25,FALSE)*$Q317/100</f>
        <v>0</v>
      </c>
      <c r="AM317" s="583">
        <f>VLOOKUP($H317,Nutrition_tables!$A:$AF,26,FALSE)*$Q317/100</f>
        <v>0</v>
      </c>
      <c r="AN317" s="583">
        <f>VLOOKUP($H317,Nutrition_tables!$A:$AF,27,FALSE)*$Q317/100</f>
        <v>0</v>
      </c>
      <c r="AO317" s="583">
        <f>VLOOKUP($H317,Nutrition_tables!$A:$AF,28,FALSE)*$Q317/100</f>
        <v>0</v>
      </c>
      <c r="AP317" s="583">
        <f>VLOOKUP($H317,Nutrition_tables!$A:$AF,29,FALSE)*$Q317/100</f>
        <v>0</v>
      </c>
      <c r="AQ317" s="583">
        <f>VLOOKUP($H317,Nutrition_tables!$A:$AF,30,FALSE)*$Q317/100</f>
        <v>0</v>
      </c>
      <c r="AR317" s="583">
        <f>VLOOKUP($H317,Nutrition_tables!$A:$AF,31,FALSE)*$Q317/100</f>
        <v>0</v>
      </c>
      <c r="AS317" s="549">
        <f>VLOOKUP($H317,Nutrition_tables!$A:$AF,32,FALSE)*$Q317/100</f>
        <v>0</v>
      </c>
      <c r="AT317" s="583" t="str">
        <f>IF(H317="Select ingredient:","",IF(G317="Select food category:","",IFERROR(VLOOKUP($H317,Ingredient_prices!$E:$W,17,FALSE)*$Q317/1000,"not bought")))</f>
        <v/>
      </c>
      <c r="AU317" s="583" t="str">
        <f>IF(H317="Select ingredient:","",IF(G317="Select food category:","",IFERROR(VLOOKUP($H317,Ingredient_prices!$E:$W,18,FALSE)*$Q317/1000,"not bought")))</f>
        <v/>
      </c>
      <c r="AV317" s="583">
        <f t="shared" si="711"/>
        <v>0</v>
      </c>
      <c r="AW317" s="583">
        <f t="shared" si="712"/>
        <v>0</v>
      </c>
      <c r="AX317" s="583">
        <f t="shared" si="713"/>
        <v>0</v>
      </c>
      <c r="AY317" s="583">
        <f t="shared" si="714"/>
        <v>0</v>
      </c>
      <c r="AZ317" s="583">
        <f t="shared" si="715"/>
        <v>0</v>
      </c>
      <c r="BA317" s="583">
        <f t="shared" si="716"/>
        <v>0</v>
      </c>
      <c r="BB317" s="583">
        <f t="shared" si="717"/>
        <v>0</v>
      </c>
      <c r="BC317" s="583">
        <f t="shared" si="718"/>
        <v>0</v>
      </c>
      <c r="BD317" s="583">
        <f t="shared" si="719"/>
        <v>0</v>
      </c>
      <c r="BE317" s="583">
        <f t="shared" si="720"/>
        <v>0</v>
      </c>
      <c r="BF317" s="583">
        <f t="shared" si="721"/>
        <v>0</v>
      </c>
      <c r="BG317" s="583">
        <f t="shared" si="722"/>
        <v>0</v>
      </c>
      <c r="BH317" s="583">
        <f t="shared" si="723"/>
        <v>0</v>
      </c>
      <c r="BI317" s="583">
        <f t="shared" si="724"/>
        <v>0</v>
      </c>
      <c r="BJ317" s="583">
        <f t="shared" si="725"/>
        <v>0</v>
      </c>
      <c r="BK317" s="583">
        <f t="shared" si="726"/>
        <v>0</v>
      </c>
      <c r="BL317" s="583">
        <f t="shared" si="727"/>
        <v>0</v>
      </c>
      <c r="BM317" s="583">
        <f t="shared" si="728"/>
        <v>0</v>
      </c>
      <c r="BN317" s="583">
        <f t="shared" si="729"/>
        <v>0</v>
      </c>
      <c r="BO317" s="583">
        <f t="shared" si="730"/>
        <v>0</v>
      </c>
      <c r="BP317" s="583">
        <f t="shared" si="731"/>
        <v>0</v>
      </c>
      <c r="BQ317" s="583">
        <f t="shared" si="732"/>
        <v>0</v>
      </c>
      <c r="BR317" s="583">
        <f t="shared" si="733"/>
        <v>0</v>
      </c>
    </row>
    <row r="318" spans="1:70" s="229" customFormat="1" ht="15" customHeight="1">
      <c r="A318" s="643"/>
      <c r="D318" s="85"/>
      <c r="E318" s="576">
        <f t="shared" si="735"/>
        <v>100</v>
      </c>
      <c r="F318" s="707"/>
      <c r="G318" s="406" t="s">
        <v>3054</v>
      </c>
      <c r="H318" s="1262" t="s">
        <v>3055</v>
      </c>
      <c r="I318" s="85">
        <v>0</v>
      </c>
      <c r="J318" s="682">
        <v>1</v>
      </c>
      <c r="K318" s="579" t="str">
        <f t="shared" si="709"/>
        <v/>
      </c>
      <c r="L318" s="580" t="str">
        <f>IF(H318="Select ingredient:","",IF(G318="","",_xlfn.IFNA(VLOOKUP($H318,Ingredient_prices!$E:$U,16,FALSE),0)))</f>
        <v/>
      </c>
      <c r="M318" s="848"/>
      <c r="N318" s="848"/>
      <c r="O318" s="648"/>
      <c r="P318" s="653"/>
      <c r="Q318" s="583">
        <f t="shared" si="710"/>
        <v>0</v>
      </c>
      <c r="R318" s="583">
        <f>VLOOKUP($H318,'CO2_emission+%_food_waste'!$A:$K,6,FALSE)*$Q318/100</f>
        <v>0</v>
      </c>
      <c r="S318" s="583">
        <f t="shared" si="734"/>
        <v>0</v>
      </c>
      <c r="T318" s="583" t="str">
        <f>IF(H318="Select ingredient:","",IF(G318="Select food category:","",_xlfn.IFNA(VLOOKUP($H318,Ingredient_prices!$E:$U,16,FALSE)*$Q318/1000,"not bought")))</f>
        <v/>
      </c>
      <c r="U318" s="583" t="str">
        <f>IF(G318="Select food category:","",_xlfn.IFNA(VLOOKUP($H318,Ingredient_prices!$E:$U,16,FALSE)*$R318/1000,"not bought"))</f>
        <v/>
      </c>
      <c r="V318" s="549">
        <f>VLOOKUP($H318,'CO2_emission+%_food_waste'!$A:$K,4,FALSE)*$Q318</f>
        <v>0</v>
      </c>
      <c r="W318" s="583">
        <f>VLOOKUP($H318,Nutrition_tables!$A:$N,10,FALSE)*$Q318/100</f>
        <v>0</v>
      </c>
      <c r="X318" s="583">
        <f>VLOOKUP($H318,Nutrition_tables!$A:$N,11,FALSE)*$Q318/100</f>
        <v>0</v>
      </c>
      <c r="Y318" s="583">
        <f>VLOOKUP($H318,Nutrition_tables!$A:$N,12,FALSE)*$Q318/100</f>
        <v>0</v>
      </c>
      <c r="Z318" s="583">
        <f>VLOOKUP($H318,Nutrition_tables!$A:$N,14,FALSE)*$Q318/100</f>
        <v>0</v>
      </c>
      <c r="AA318" s="583">
        <f>VLOOKUP($H318,Nutrition_tables!$A:$AF,13,FALSE)*$Q318/100</f>
        <v>0</v>
      </c>
      <c r="AB318" s="549">
        <f>VLOOKUP($H318,Nutrition_tables!$A:$AF,15,FALSE)*$Q318/100</f>
        <v>0</v>
      </c>
      <c r="AC318" s="583">
        <f>VLOOKUP($H318,Nutrition_tables!$A:$AF,16,FALSE)*$Q318/100</f>
        <v>0</v>
      </c>
      <c r="AD318" s="583">
        <f>VLOOKUP($H318,Nutrition_tables!$A:$AF,17,FALSE)*$Q318/100</f>
        <v>0</v>
      </c>
      <c r="AE318" s="583">
        <f>VLOOKUP($H318,Nutrition_tables!$A:$AF,18,FALSE)*$Q318/100</f>
        <v>0</v>
      </c>
      <c r="AF318" s="583">
        <f>VLOOKUP($H318,Nutrition_tables!$A:$AF,19,FALSE)*$Q318/100</f>
        <v>0</v>
      </c>
      <c r="AG318" s="583">
        <f>VLOOKUP($H318,Nutrition_tables!$A:$AF,20,FALSE)*$Q318/100</f>
        <v>0</v>
      </c>
      <c r="AH318" s="583">
        <f>VLOOKUP($H318,Nutrition_tables!$A:$AF,21,FALSE)*$Q318/100</f>
        <v>0</v>
      </c>
      <c r="AI318" s="583">
        <f>VLOOKUP($H318,Nutrition_tables!$A:$AF,22,FALSE)*$Q318/100</f>
        <v>0</v>
      </c>
      <c r="AJ318" s="549">
        <f>VLOOKUP($H318,Nutrition_tables!$A:$AF,23,FALSE)*$Q318/100</f>
        <v>0</v>
      </c>
      <c r="AK318" s="583">
        <f>VLOOKUP($H318,Nutrition_tables!$A:$AF,24,FALSE)*$Q318/100</f>
        <v>0</v>
      </c>
      <c r="AL318" s="583">
        <f>VLOOKUP($H318,Nutrition_tables!$A:$AF,25,FALSE)*$Q318/100</f>
        <v>0</v>
      </c>
      <c r="AM318" s="583">
        <f>VLOOKUP($H318,Nutrition_tables!$A:$AF,26,FALSE)*$Q318/100</f>
        <v>0</v>
      </c>
      <c r="AN318" s="583">
        <f>VLOOKUP($H318,Nutrition_tables!$A:$AF,27,FALSE)*$Q318/100</f>
        <v>0</v>
      </c>
      <c r="AO318" s="583">
        <f>VLOOKUP($H318,Nutrition_tables!$A:$AF,28,FALSE)*$Q318/100</f>
        <v>0</v>
      </c>
      <c r="AP318" s="583">
        <f>VLOOKUP($H318,Nutrition_tables!$A:$AF,29,FALSE)*$Q318/100</f>
        <v>0</v>
      </c>
      <c r="AQ318" s="583">
        <f>VLOOKUP($H318,Nutrition_tables!$A:$AF,30,FALSE)*$Q318/100</f>
        <v>0</v>
      </c>
      <c r="AR318" s="583">
        <f>VLOOKUP($H318,Nutrition_tables!$A:$AF,31,FALSE)*$Q318/100</f>
        <v>0</v>
      </c>
      <c r="AS318" s="549">
        <f>VLOOKUP($H318,Nutrition_tables!$A:$AF,32,FALSE)*$Q318/100</f>
        <v>0</v>
      </c>
      <c r="AT318" s="583" t="str">
        <f>IF(H318="Select ingredient:","",IF(G318="Select food category:","",IFERROR(VLOOKUP($H318,Ingredient_prices!$E:$W,17,FALSE)*$Q318/1000,"not bought")))</f>
        <v/>
      </c>
      <c r="AU318" s="583" t="str">
        <f>IF(H318="Select ingredient:","",IF(G318="Select food category:","",IFERROR(VLOOKUP($H318,Ingredient_prices!$E:$W,18,FALSE)*$Q318/1000,"not bought")))</f>
        <v/>
      </c>
      <c r="AV318" s="583">
        <f t="shared" si="711"/>
        <v>0</v>
      </c>
      <c r="AW318" s="583">
        <f t="shared" si="712"/>
        <v>0</v>
      </c>
      <c r="AX318" s="583">
        <f t="shared" si="713"/>
        <v>0</v>
      </c>
      <c r="AY318" s="583">
        <f t="shared" si="714"/>
        <v>0</v>
      </c>
      <c r="AZ318" s="583">
        <f t="shared" si="715"/>
        <v>0</v>
      </c>
      <c r="BA318" s="583">
        <f t="shared" si="716"/>
        <v>0</v>
      </c>
      <c r="BB318" s="583">
        <f t="shared" si="717"/>
        <v>0</v>
      </c>
      <c r="BC318" s="583">
        <f t="shared" si="718"/>
        <v>0</v>
      </c>
      <c r="BD318" s="583">
        <f t="shared" si="719"/>
        <v>0</v>
      </c>
      <c r="BE318" s="583">
        <f t="shared" si="720"/>
        <v>0</v>
      </c>
      <c r="BF318" s="583">
        <f t="shared" si="721"/>
        <v>0</v>
      </c>
      <c r="BG318" s="583">
        <f t="shared" si="722"/>
        <v>0</v>
      </c>
      <c r="BH318" s="583">
        <f t="shared" si="723"/>
        <v>0</v>
      </c>
      <c r="BI318" s="583">
        <f t="shared" si="724"/>
        <v>0</v>
      </c>
      <c r="BJ318" s="583">
        <f t="shared" si="725"/>
        <v>0</v>
      </c>
      <c r="BK318" s="583">
        <f t="shared" si="726"/>
        <v>0</v>
      </c>
      <c r="BL318" s="583">
        <f t="shared" si="727"/>
        <v>0</v>
      </c>
      <c r="BM318" s="583">
        <f t="shared" si="728"/>
        <v>0</v>
      </c>
      <c r="BN318" s="583">
        <f t="shared" si="729"/>
        <v>0</v>
      </c>
      <c r="BO318" s="583">
        <f t="shared" si="730"/>
        <v>0</v>
      </c>
      <c r="BP318" s="583">
        <f t="shared" si="731"/>
        <v>0</v>
      </c>
      <c r="BQ318" s="583">
        <f t="shared" si="732"/>
        <v>0</v>
      </c>
      <c r="BR318" s="583">
        <f t="shared" si="733"/>
        <v>0</v>
      </c>
    </row>
    <row r="319" spans="1:70" s="229" customFormat="1" ht="15" customHeight="1">
      <c r="A319" s="643"/>
      <c r="D319" s="85"/>
      <c r="E319" s="576">
        <f t="shared" si="735"/>
        <v>100</v>
      </c>
      <c r="F319" s="707"/>
      <c r="G319" s="406" t="s">
        <v>3054</v>
      </c>
      <c r="H319" s="1262" t="s">
        <v>3055</v>
      </c>
      <c r="I319" s="85">
        <v>0</v>
      </c>
      <c r="J319" s="682">
        <v>1</v>
      </c>
      <c r="K319" s="579" t="str">
        <f t="shared" si="709"/>
        <v/>
      </c>
      <c r="L319" s="580" t="str">
        <f>IF(H319="Select ingredient:","",IF(G319="","",_xlfn.IFNA(VLOOKUP($H319,Ingredient_prices!$E:$U,16,FALSE),0)))</f>
        <v/>
      </c>
      <c r="M319" s="848"/>
      <c r="N319" s="848"/>
      <c r="O319" s="648"/>
      <c r="P319" s="653"/>
      <c r="Q319" s="583">
        <f t="shared" si="710"/>
        <v>0</v>
      </c>
      <c r="R319" s="583">
        <f>VLOOKUP($H319,'CO2_emission+%_food_waste'!$A:$K,6,FALSE)*$Q319/100</f>
        <v>0</v>
      </c>
      <c r="S319" s="583">
        <f t="shared" si="734"/>
        <v>0</v>
      </c>
      <c r="T319" s="583" t="str">
        <f>IF(H319="Select ingredient:","",IF(G319="Select food category:","",_xlfn.IFNA(VLOOKUP($H319,Ingredient_prices!$E:$U,16,FALSE)*$Q319/1000,"not bought")))</f>
        <v/>
      </c>
      <c r="U319" s="583" t="str">
        <f>IF(G319="Select food category:","",_xlfn.IFNA(VLOOKUP($H319,Ingredient_prices!$E:$U,16,FALSE)*$R319/1000,"not bought"))</f>
        <v/>
      </c>
      <c r="V319" s="549">
        <f>VLOOKUP($H319,'CO2_emission+%_food_waste'!$A:$K,4,FALSE)*$Q319</f>
        <v>0</v>
      </c>
      <c r="W319" s="583">
        <f>VLOOKUP($H319,Nutrition_tables!$A:$N,10,FALSE)*$Q319/100</f>
        <v>0</v>
      </c>
      <c r="X319" s="583">
        <f>VLOOKUP($H319,Nutrition_tables!$A:$N,11,FALSE)*$Q319/100</f>
        <v>0</v>
      </c>
      <c r="Y319" s="583">
        <f>VLOOKUP($H319,Nutrition_tables!$A:$N,12,FALSE)*$Q319/100</f>
        <v>0</v>
      </c>
      <c r="Z319" s="583">
        <f>VLOOKUP($H319,Nutrition_tables!$A:$N,14,FALSE)*$Q319/100</f>
        <v>0</v>
      </c>
      <c r="AA319" s="583">
        <f>VLOOKUP($H319,Nutrition_tables!$A:$AF,13,FALSE)*$Q319/100</f>
        <v>0</v>
      </c>
      <c r="AB319" s="549">
        <f>VLOOKUP($H319,Nutrition_tables!$A:$AF,15,FALSE)*$Q319/100</f>
        <v>0</v>
      </c>
      <c r="AC319" s="583">
        <f>VLOOKUP($H319,Nutrition_tables!$A:$AF,16,FALSE)*$Q319/100</f>
        <v>0</v>
      </c>
      <c r="AD319" s="583">
        <f>VLOOKUP($H319,Nutrition_tables!$A:$AF,17,FALSE)*$Q319/100</f>
        <v>0</v>
      </c>
      <c r="AE319" s="583">
        <f>VLOOKUP($H319,Nutrition_tables!$A:$AF,18,FALSE)*$Q319/100</f>
        <v>0</v>
      </c>
      <c r="AF319" s="583">
        <f>VLOOKUP($H319,Nutrition_tables!$A:$AF,19,FALSE)*$Q319/100</f>
        <v>0</v>
      </c>
      <c r="AG319" s="583">
        <f>VLOOKUP($H319,Nutrition_tables!$A:$AF,20,FALSE)*$Q319/100</f>
        <v>0</v>
      </c>
      <c r="AH319" s="583">
        <f>VLOOKUP($H319,Nutrition_tables!$A:$AF,21,FALSE)*$Q319/100</f>
        <v>0</v>
      </c>
      <c r="AI319" s="583">
        <f>VLOOKUP($H319,Nutrition_tables!$A:$AF,22,FALSE)*$Q319/100</f>
        <v>0</v>
      </c>
      <c r="AJ319" s="549">
        <f>VLOOKUP($H319,Nutrition_tables!$A:$AF,23,FALSE)*$Q319/100</f>
        <v>0</v>
      </c>
      <c r="AK319" s="583">
        <f>VLOOKUP($H319,Nutrition_tables!$A:$AF,24,FALSE)*$Q319/100</f>
        <v>0</v>
      </c>
      <c r="AL319" s="583">
        <f>VLOOKUP($H319,Nutrition_tables!$A:$AF,25,FALSE)*$Q319/100</f>
        <v>0</v>
      </c>
      <c r="AM319" s="583">
        <f>VLOOKUP($H319,Nutrition_tables!$A:$AF,26,FALSE)*$Q319/100</f>
        <v>0</v>
      </c>
      <c r="AN319" s="583">
        <f>VLOOKUP($H319,Nutrition_tables!$A:$AF,27,FALSE)*$Q319/100</f>
        <v>0</v>
      </c>
      <c r="AO319" s="583">
        <f>VLOOKUP($H319,Nutrition_tables!$A:$AF,28,FALSE)*$Q319/100</f>
        <v>0</v>
      </c>
      <c r="AP319" s="583">
        <f>VLOOKUP($H319,Nutrition_tables!$A:$AF,29,FALSE)*$Q319/100</f>
        <v>0</v>
      </c>
      <c r="AQ319" s="583">
        <f>VLOOKUP($H319,Nutrition_tables!$A:$AF,30,FALSE)*$Q319/100</f>
        <v>0</v>
      </c>
      <c r="AR319" s="583">
        <f>VLOOKUP($H319,Nutrition_tables!$A:$AF,31,FALSE)*$Q319/100</f>
        <v>0</v>
      </c>
      <c r="AS319" s="549">
        <f>VLOOKUP($H319,Nutrition_tables!$A:$AF,32,FALSE)*$Q319/100</f>
        <v>0</v>
      </c>
      <c r="AT319" s="583" t="str">
        <f>IF(H319="Select ingredient:","",IF(G319="Select food category:","",IFERROR(VLOOKUP($H319,Ingredient_prices!$E:$W,17,FALSE)*$Q319/1000,"not bought")))</f>
        <v/>
      </c>
      <c r="AU319" s="583" t="str">
        <f>IF(H319="Select ingredient:","",IF(G319="Select food category:","",IFERROR(VLOOKUP($H319,Ingredient_prices!$E:$W,18,FALSE)*$Q319/1000,"not bought")))</f>
        <v/>
      </c>
      <c r="AV319" s="583">
        <f t="shared" si="711"/>
        <v>0</v>
      </c>
      <c r="AW319" s="583">
        <f t="shared" si="712"/>
        <v>0</v>
      </c>
      <c r="AX319" s="583">
        <f t="shared" si="713"/>
        <v>0</v>
      </c>
      <c r="AY319" s="583">
        <f t="shared" si="714"/>
        <v>0</v>
      </c>
      <c r="AZ319" s="583">
        <f t="shared" si="715"/>
        <v>0</v>
      </c>
      <c r="BA319" s="583">
        <f t="shared" si="716"/>
        <v>0</v>
      </c>
      <c r="BB319" s="583">
        <f t="shared" si="717"/>
        <v>0</v>
      </c>
      <c r="BC319" s="583">
        <f t="shared" si="718"/>
        <v>0</v>
      </c>
      <c r="BD319" s="583">
        <f t="shared" si="719"/>
        <v>0</v>
      </c>
      <c r="BE319" s="583">
        <f t="shared" si="720"/>
        <v>0</v>
      </c>
      <c r="BF319" s="583">
        <f t="shared" si="721"/>
        <v>0</v>
      </c>
      <c r="BG319" s="583">
        <f t="shared" si="722"/>
        <v>0</v>
      </c>
      <c r="BH319" s="583">
        <f t="shared" si="723"/>
        <v>0</v>
      </c>
      <c r="BI319" s="583">
        <f t="shared" si="724"/>
        <v>0</v>
      </c>
      <c r="BJ319" s="583">
        <f t="shared" si="725"/>
        <v>0</v>
      </c>
      <c r="BK319" s="583">
        <f t="shared" si="726"/>
        <v>0</v>
      </c>
      <c r="BL319" s="583">
        <f t="shared" si="727"/>
        <v>0</v>
      </c>
      <c r="BM319" s="583">
        <f t="shared" si="728"/>
        <v>0</v>
      </c>
      <c r="BN319" s="583">
        <f t="shared" si="729"/>
        <v>0</v>
      </c>
      <c r="BO319" s="583">
        <f t="shared" si="730"/>
        <v>0</v>
      </c>
      <c r="BP319" s="583">
        <f t="shared" si="731"/>
        <v>0</v>
      </c>
      <c r="BQ319" s="583">
        <f t="shared" si="732"/>
        <v>0</v>
      </c>
      <c r="BR319" s="583">
        <f t="shared" si="733"/>
        <v>0</v>
      </c>
    </row>
    <row r="320" spans="1:70" s="229" customFormat="1" ht="15" customHeight="1">
      <c r="A320" s="643"/>
      <c r="D320" s="85"/>
      <c r="E320" s="576">
        <f t="shared" si="735"/>
        <v>100</v>
      </c>
      <c r="F320" s="707"/>
      <c r="G320" s="406" t="s">
        <v>3054</v>
      </c>
      <c r="H320" s="1262" t="s">
        <v>3055</v>
      </c>
      <c r="I320" s="85">
        <v>0</v>
      </c>
      <c r="J320" s="682">
        <v>1</v>
      </c>
      <c r="K320" s="579" t="str">
        <f t="shared" si="709"/>
        <v/>
      </c>
      <c r="L320" s="580" t="str">
        <f>IF(H320="Select ingredient:","",IF(G320="","",_xlfn.IFNA(VLOOKUP($H320,Ingredient_prices!$E:$U,16,FALSE),0)))</f>
        <v/>
      </c>
      <c r="M320" s="848"/>
      <c r="N320" s="848"/>
      <c r="O320" s="648"/>
      <c r="P320" s="653"/>
      <c r="Q320" s="583">
        <f t="shared" si="710"/>
        <v>0</v>
      </c>
      <c r="R320" s="583">
        <f>VLOOKUP($H320,'CO2_emission+%_food_waste'!$A:$K,6,FALSE)*$Q320/100</f>
        <v>0</v>
      </c>
      <c r="S320" s="583">
        <f t="shared" si="734"/>
        <v>0</v>
      </c>
      <c r="T320" s="583" t="str">
        <f>IF(H320="Select ingredient:","",IF(G320="Select food category:","",_xlfn.IFNA(VLOOKUP($H320,Ingredient_prices!$E:$U,16,FALSE)*$Q320/1000,"not bought")))</f>
        <v/>
      </c>
      <c r="U320" s="583" t="str">
        <f>IF(G320="Select food category:","",_xlfn.IFNA(VLOOKUP($H320,Ingredient_prices!$E:$U,16,FALSE)*$R320/1000,"not bought"))</f>
        <v/>
      </c>
      <c r="V320" s="549">
        <f>VLOOKUP($H320,'CO2_emission+%_food_waste'!$A:$K,4,FALSE)*$Q320</f>
        <v>0</v>
      </c>
      <c r="W320" s="583">
        <f>VLOOKUP($H320,Nutrition_tables!$A:$N,10,FALSE)*$Q320/100</f>
        <v>0</v>
      </c>
      <c r="X320" s="583">
        <f>VLOOKUP($H320,Nutrition_tables!$A:$N,11,FALSE)*$Q320/100</f>
        <v>0</v>
      </c>
      <c r="Y320" s="583">
        <f>VLOOKUP($H320,Nutrition_tables!$A:$N,12,FALSE)*$Q320/100</f>
        <v>0</v>
      </c>
      <c r="Z320" s="583">
        <f>VLOOKUP($H320,Nutrition_tables!$A:$N,14,FALSE)*$Q320/100</f>
        <v>0</v>
      </c>
      <c r="AA320" s="583">
        <f>VLOOKUP($H320,Nutrition_tables!$A:$AF,13,FALSE)*$Q320/100</f>
        <v>0</v>
      </c>
      <c r="AB320" s="549">
        <f>VLOOKUP($H320,Nutrition_tables!$A:$AF,15,FALSE)*$Q320/100</f>
        <v>0</v>
      </c>
      <c r="AC320" s="583">
        <f>VLOOKUP($H320,Nutrition_tables!$A:$AF,16,FALSE)*$Q320/100</f>
        <v>0</v>
      </c>
      <c r="AD320" s="583">
        <f>VLOOKUP($H320,Nutrition_tables!$A:$AF,17,FALSE)*$Q320/100</f>
        <v>0</v>
      </c>
      <c r="AE320" s="583">
        <f>VLOOKUP($H320,Nutrition_tables!$A:$AF,18,FALSE)*$Q320/100</f>
        <v>0</v>
      </c>
      <c r="AF320" s="583">
        <f>VLOOKUP($H320,Nutrition_tables!$A:$AF,19,FALSE)*$Q320/100</f>
        <v>0</v>
      </c>
      <c r="AG320" s="583">
        <f>VLOOKUP($H320,Nutrition_tables!$A:$AF,20,FALSE)*$Q320/100</f>
        <v>0</v>
      </c>
      <c r="AH320" s="583">
        <f>VLOOKUP($H320,Nutrition_tables!$A:$AF,21,FALSE)*$Q320/100</f>
        <v>0</v>
      </c>
      <c r="AI320" s="583">
        <f>VLOOKUP($H320,Nutrition_tables!$A:$AF,22,FALSE)*$Q320/100</f>
        <v>0</v>
      </c>
      <c r="AJ320" s="549">
        <f>VLOOKUP($H320,Nutrition_tables!$A:$AF,23,FALSE)*$Q320/100</f>
        <v>0</v>
      </c>
      <c r="AK320" s="583">
        <f>VLOOKUP($H320,Nutrition_tables!$A:$AF,24,FALSE)*$Q320/100</f>
        <v>0</v>
      </c>
      <c r="AL320" s="583">
        <f>VLOOKUP($H320,Nutrition_tables!$A:$AF,25,FALSE)*$Q320/100</f>
        <v>0</v>
      </c>
      <c r="AM320" s="583">
        <f>VLOOKUP($H320,Nutrition_tables!$A:$AF,26,FALSE)*$Q320/100</f>
        <v>0</v>
      </c>
      <c r="AN320" s="583">
        <f>VLOOKUP($H320,Nutrition_tables!$A:$AF,27,FALSE)*$Q320/100</f>
        <v>0</v>
      </c>
      <c r="AO320" s="583">
        <f>VLOOKUP($H320,Nutrition_tables!$A:$AF,28,FALSE)*$Q320/100</f>
        <v>0</v>
      </c>
      <c r="AP320" s="583">
        <f>VLOOKUP($H320,Nutrition_tables!$A:$AF,29,FALSE)*$Q320/100</f>
        <v>0</v>
      </c>
      <c r="AQ320" s="583">
        <f>VLOOKUP($H320,Nutrition_tables!$A:$AF,30,FALSE)*$Q320/100</f>
        <v>0</v>
      </c>
      <c r="AR320" s="583">
        <f>VLOOKUP($H320,Nutrition_tables!$A:$AF,31,FALSE)*$Q320/100</f>
        <v>0</v>
      </c>
      <c r="AS320" s="549">
        <f>VLOOKUP($H320,Nutrition_tables!$A:$AF,32,FALSE)*$Q320/100</f>
        <v>0</v>
      </c>
      <c r="AT320" s="583" t="str">
        <f>IF(H320="Select ingredient:","",IF(G320="Select food category:","",IFERROR(VLOOKUP($H320,Ingredient_prices!$E:$W,17,FALSE)*$Q320/1000,"not bought")))</f>
        <v/>
      </c>
      <c r="AU320" s="583" t="str">
        <f>IF(H320="Select ingredient:","",IF(G320="Select food category:","",IFERROR(VLOOKUP($H320,Ingredient_prices!$E:$W,18,FALSE)*$Q320/1000,"not bought")))</f>
        <v/>
      </c>
      <c r="AV320" s="583">
        <f t="shared" si="711"/>
        <v>0</v>
      </c>
      <c r="AW320" s="583">
        <f t="shared" si="712"/>
        <v>0</v>
      </c>
      <c r="AX320" s="583">
        <f t="shared" si="713"/>
        <v>0</v>
      </c>
      <c r="AY320" s="583">
        <f t="shared" si="714"/>
        <v>0</v>
      </c>
      <c r="AZ320" s="583">
        <f t="shared" si="715"/>
        <v>0</v>
      </c>
      <c r="BA320" s="583">
        <f t="shared" si="716"/>
        <v>0</v>
      </c>
      <c r="BB320" s="583">
        <f t="shared" si="717"/>
        <v>0</v>
      </c>
      <c r="BC320" s="583">
        <f t="shared" si="718"/>
        <v>0</v>
      </c>
      <c r="BD320" s="583">
        <f t="shared" si="719"/>
        <v>0</v>
      </c>
      <c r="BE320" s="583">
        <f t="shared" si="720"/>
        <v>0</v>
      </c>
      <c r="BF320" s="583">
        <f t="shared" si="721"/>
        <v>0</v>
      </c>
      <c r="BG320" s="583">
        <f t="shared" si="722"/>
        <v>0</v>
      </c>
      <c r="BH320" s="583">
        <f t="shared" si="723"/>
        <v>0</v>
      </c>
      <c r="BI320" s="583">
        <f t="shared" si="724"/>
        <v>0</v>
      </c>
      <c r="BJ320" s="583">
        <f t="shared" si="725"/>
        <v>0</v>
      </c>
      <c r="BK320" s="583">
        <f t="shared" si="726"/>
        <v>0</v>
      </c>
      <c r="BL320" s="583">
        <f t="shared" si="727"/>
        <v>0</v>
      </c>
      <c r="BM320" s="583">
        <f t="shared" si="728"/>
        <v>0</v>
      </c>
      <c r="BN320" s="583">
        <f t="shared" si="729"/>
        <v>0</v>
      </c>
      <c r="BO320" s="583">
        <f t="shared" si="730"/>
        <v>0</v>
      </c>
      <c r="BP320" s="583">
        <f t="shared" si="731"/>
        <v>0</v>
      </c>
      <c r="BQ320" s="583">
        <f t="shared" si="732"/>
        <v>0</v>
      </c>
      <c r="BR320" s="583">
        <f t="shared" si="733"/>
        <v>0</v>
      </c>
    </row>
    <row r="321" spans="1:70" s="229" customFormat="1" ht="15" customHeight="1">
      <c r="A321" s="643"/>
      <c r="D321" s="85"/>
      <c r="E321" s="576">
        <f t="shared" si="735"/>
        <v>100</v>
      </c>
      <c r="F321" s="707"/>
      <c r="G321" s="406" t="s">
        <v>3054</v>
      </c>
      <c r="H321" s="1262" t="s">
        <v>3055</v>
      </c>
      <c r="I321" s="85">
        <v>0</v>
      </c>
      <c r="J321" s="682">
        <v>1</v>
      </c>
      <c r="K321" s="579" t="str">
        <f t="shared" si="709"/>
        <v/>
      </c>
      <c r="L321" s="580" t="str">
        <f>IF(H321="Select ingredient:","",IF(G321="","",_xlfn.IFNA(VLOOKUP($H321,Ingredient_prices!$E:$U,16,FALSE),0)))</f>
        <v/>
      </c>
      <c r="M321" s="848"/>
      <c r="N321" s="848"/>
      <c r="O321" s="648"/>
      <c r="P321" s="653"/>
      <c r="Q321" s="583">
        <f t="shared" si="710"/>
        <v>0</v>
      </c>
      <c r="R321" s="583">
        <f>VLOOKUP($H321,'CO2_emission+%_food_waste'!$A:$K,6,FALSE)*$Q321/100</f>
        <v>0</v>
      </c>
      <c r="S321" s="583">
        <f t="shared" si="734"/>
        <v>0</v>
      </c>
      <c r="T321" s="583" t="str">
        <f>IF(H321="Select ingredient:","",IF(G321="Select food category:","",_xlfn.IFNA(VLOOKUP($H321,Ingredient_prices!$E:$U,16,FALSE)*$Q321/1000,"not bought")))</f>
        <v/>
      </c>
      <c r="U321" s="583" t="str">
        <f>IF(G321="Select food category:","",_xlfn.IFNA(VLOOKUP($H321,Ingredient_prices!$E:$U,16,FALSE)*$R321/1000,"not bought"))</f>
        <v/>
      </c>
      <c r="V321" s="549">
        <f>VLOOKUP($H321,'CO2_emission+%_food_waste'!$A:$K,4,FALSE)*$Q321</f>
        <v>0</v>
      </c>
      <c r="W321" s="583">
        <f>VLOOKUP($H321,Nutrition_tables!$A:$N,10,FALSE)*$Q321/100</f>
        <v>0</v>
      </c>
      <c r="X321" s="583">
        <f>VLOOKUP($H321,Nutrition_tables!$A:$N,11,FALSE)*$Q321/100</f>
        <v>0</v>
      </c>
      <c r="Y321" s="583">
        <f>VLOOKUP($H321,Nutrition_tables!$A:$N,12,FALSE)*$Q321/100</f>
        <v>0</v>
      </c>
      <c r="Z321" s="583">
        <f>VLOOKUP($H321,Nutrition_tables!$A:$N,14,FALSE)*$Q321/100</f>
        <v>0</v>
      </c>
      <c r="AA321" s="583">
        <f>VLOOKUP($H321,Nutrition_tables!$A:$AF,13,FALSE)*$Q321/100</f>
        <v>0</v>
      </c>
      <c r="AB321" s="549">
        <f>VLOOKUP($H321,Nutrition_tables!$A:$AF,15,FALSE)*$Q321/100</f>
        <v>0</v>
      </c>
      <c r="AC321" s="583">
        <f>VLOOKUP($H321,Nutrition_tables!$A:$AF,16,FALSE)*$Q321/100</f>
        <v>0</v>
      </c>
      <c r="AD321" s="583">
        <f>VLOOKUP($H321,Nutrition_tables!$A:$AF,17,FALSE)*$Q321/100</f>
        <v>0</v>
      </c>
      <c r="AE321" s="583">
        <f>VLOOKUP($H321,Nutrition_tables!$A:$AF,18,FALSE)*$Q321/100</f>
        <v>0</v>
      </c>
      <c r="AF321" s="583">
        <f>VLOOKUP($H321,Nutrition_tables!$A:$AF,19,FALSE)*$Q321/100</f>
        <v>0</v>
      </c>
      <c r="AG321" s="583">
        <f>VLOOKUP($H321,Nutrition_tables!$A:$AF,20,FALSE)*$Q321/100</f>
        <v>0</v>
      </c>
      <c r="AH321" s="583">
        <f>VLOOKUP($H321,Nutrition_tables!$A:$AF,21,FALSE)*$Q321/100</f>
        <v>0</v>
      </c>
      <c r="AI321" s="583">
        <f>VLOOKUP($H321,Nutrition_tables!$A:$AF,22,FALSE)*$Q321/100</f>
        <v>0</v>
      </c>
      <c r="AJ321" s="549">
        <f>VLOOKUP($H321,Nutrition_tables!$A:$AF,23,FALSE)*$Q321/100</f>
        <v>0</v>
      </c>
      <c r="AK321" s="583">
        <f>VLOOKUP($H321,Nutrition_tables!$A:$AF,24,FALSE)*$Q321/100</f>
        <v>0</v>
      </c>
      <c r="AL321" s="583">
        <f>VLOOKUP($H321,Nutrition_tables!$A:$AF,25,FALSE)*$Q321/100</f>
        <v>0</v>
      </c>
      <c r="AM321" s="583">
        <f>VLOOKUP($H321,Nutrition_tables!$A:$AF,26,FALSE)*$Q321/100</f>
        <v>0</v>
      </c>
      <c r="AN321" s="583">
        <f>VLOOKUP($H321,Nutrition_tables!$A:$AF,27,FALSE)*$Q321/100</f>
        <v>0</v>
      </c>
      <c r="AO321" s="583">
        <f>VLOOKUP($H321,Nutrition_tables!$A:$AF,28,FALSE)*$Q321/100</f>
        <v>0</v>
      </c>
      <c r="AP321" s="583">
        <f>VLOOKUP($H321,Nutrition_tables!$A:$AF,29,FALSE)*$Q321/100</f>
        <v>0</v>
      </c>
      <c r="AQ321" s="583">
        <f>VLOOKUP($H321,Nutrition_tables!$A:$AF,30,FALSE)*$Q321/100</f>
        <v>0</v>
      </c>
      <c r="AR321" s="583">
        <f>VLOOKUP($H321,Nutrition_tables!$A:$AF,31,FALSE)*$Q321/100</f>
        <v>0</v>
      </c>
      <c r="AS321" s="549">
        <f>VLOOKUP($H321,Nutrition_tables!$A:$AF,32,FALSE)*$Q321/100</f>
        <v>0</v>
      </c>
      <c r="AT321" s="583" t="str">
        <f>IF(H321="Select ingredient:","",IF(G321="Select food category:","",IFERROR(VLOOKUP($H321,Ingredient_prices!$E:$W,17,FALSE)*$Q321/1000,"not bought")))</f>
        <v/>
      </c>
      <c r="AU321" s="583" t="str">
        <f>IF(H321="Select ingredient:","",IF(G321="Select food category:","",IFERROR(VLOOKUP($H321,Ingredient_prices!$E:$W,18,FALSE)*$Q321/1000,"not bought")))</f>
        <v/>
      </c>
      <c r="AV321" s="583">
        <f t="shared" si="711"/>
        <v>0</v>
      </c>
      <c r="AW321" s="583">
        <f t="shared" si="712"/>
        <v>0</v>
      </c>
      <c r="AX321" s="583">
        <f t="shared" si="713"/>
        <v>0</v>
      </c>
      <c r="AY321" s="583">
        <f t="shared" si="714"/>
        <v>0</v>
      </c>
      <c r="AZ321" s="583">
        <f t="shared" si="715"/>
        <v>0</v>
      </c>
      <c r="BA321" s="583">
        <f t="shared" si="716"/>
        <v>0</v>
      </c>
      <c r="BB321" s="583">
        <f t="shared" si="717"/>
        <v>0</v>
      </c>
      <c r="BC321" s="583">
        <f t="shared" si="718"/>
        <v>0</v>
      </c>
      <c r="BD321" s="583">
        <f t="shared" si="719"/>
        <v>0</v>
      </c>
      <c r="BE321" s="583">
        <f t="shared" si="720"/>
        <v>0</v>
      </c>
      <c r="BF321" s="583">
        <f t="shared" si="721"/>
        <v>0</v>
      </c>
      <c r="BG321" s="583">
        <f t="shared" si="722"/>
        <v>0</v>
      </c>
      <c r="BH321" s="583">
        <f t="shared" si="723"/>
        <v>0</v>
      </c>
      <c r="BI321" s="583">
        <f t="shared" si="724"/>
        <v>0</v>
      </c>
      <c r="BJ321" s="583">
        <f t="shared" si="725"/>
        <v>0</v>
      </c>
      <c r="BK321" s="583">
        <f t="shared" si="726"/>
        <v>0</v>
      </c>
      <c r="BL321" s="583">
        <f t="shared" si="727"/>
        <v>0</v>
      </c>
      <c r="BM321" s="583">
        <f t="shared" si="728"/>
        <v>0</v>
      </c>
      <c r="BN321" s="583">
        <f t="shared" si="729"/>
        <v>0</v>
      </c>
      <c r="BO321" s="583">
        <f t="shared" si="730"/>
        <v>0</v>
      </c>
      <c r="BP321" s="583">
        <f t="shared" si="731"/>
        <v>0</v>
      </c>
      <c r="BQ321" s="583">
        <f t="shared" si="732"/>
        <v>0</v>
      </c>
      <c r="BR321" s="583">
        <f t="shared" si="733"/>
        <v>0</v>
      </c>
    </row>
    <row r="322" spans="1:70" s="229" customFormat="1" ht="15" customHeight="1">
      <c r="A322" s="643"/>
      <c r="D322" s="85"/>
      <c r="E322" s="576">
        <f t="shared" si="735"/>
        <v>100</v>
      </c>
      <c r="F322" s="707"/>
      <c r="G322" s="406" t="s">
        <v>3054</v>
      </c>
      <c r="H322" s="1262" t="s">
        <v>3055</v>
      </c>
      <c r="I322" s="85">
        <v>0</v>
      </c>
      <c r="J322" s="682">
        <v>1</v>
      </c>
      <c r="K322" s="579" t="str">
        <f t="shared" si="709"/>
        <v/>
      </c>
      <c r="L322" s="580" t="str">
        <f>IF(H322="Select ingredient:","",IF(G322="","",_xlfn.IFNA(VLOOKUP($H322,Ingredient_prices!$E:$U,16,FALSE),0)))</f>
        <v/>
      </c>
      <c r="M322" s="848"/>
      <c r="N322" s="848"/>
      <c r="O322" s="648"/>
      <c r="P322" s="653"/>
      <c r="Q322" s="583">
        <f t="shared" si="710"/>
        <v>0</v>
      </c>
      <c r="R322" s="583">
        <f>VLOOKUP($H322,'CO2_emission+%_food_waste'!$A:$K,6,FALSE)*$Q322/100</f>
        <v>0</v>
      </c>
      <c r="S322" s="583">
        <f t="shared" si="734"/>
        <v>0</v>
      </c>
      <c r="T322" s="583" t="str">
        <f>IF(H322="Select ingredient:","",IF(G322="Select food category:","",_xlfn.IFNA(VLOOKUP($H322,Ingredient_prices!$E:$U,16,FALSE)*$Q322/1000,"not bought")))</f>
        <v/>
      </c>
      <c r="U322" s="583" t="str">
        <f>IF(G322="Select food category:","",_xlfn.IFNA(VLOOKUP($H322,Ingredient_prices!$E:$U,16,FALSE)*$R322/1000,"not bought"))</f>
        <v/>
      </c>
      <c r="V322" s="549">
        <f>VLOOKUP($H322,'CO2_emission+%_food_waste'!$A:$K,4,FALSE)*$Q322</f>
        <v>0</v>
      </c>
      <c r="W322" s="583">
        <f>VLOOKUP($H322,Nutrition_tables!$A:$N,10,FALSE)*$Q322/100</f>
        <v>0</v>
      </c>
      <c r="X322" s="583">
        <f>VLOOKUP($H322,Nutrition_tables!$A:$N,11,FALSE)*$Q322/100</f>
        <v>0</v>
      </c>
      <c r="Y322" s="583">
        <f>VLOOKUP($H322,Nutrition_tables!$A:$N,12,FALSE)*$Q322/100</f>
        <v>0</v>
      </c>
      <c r="Z322" s="583">
        <f>VLOOKUP($H322,Nutrition_tables!$A:$N,14,FALSE)*$Q322/100</f>
        <v>0</v>
      </c>
      <c r="AA322" s="583">
        <f>VLOOKUP($H322,Nutrition_tables!$A:$AF,13,FALSE)*$Q322/100</f>
        <v>0</v>
      </c>
      <c r="AB322" s="549">
        <f>VLOOKUP($H322,Nutrition_tables!$A:$AF,15,FALSE)*$Q322/100</f>
        <v>0</v>
      </c>
      <c r="AC322" s="583">
        <f>VLOOKUP($H322,Nutrition_tables!$A:$AF,16,FALSE)*$Q322/100</f>
        <v>0</v>
      </c>
      <c r="AD322" s="583">
        <f>VLOOKUP($H322,Nutrition_tables!$A:$AF,17,FALSE)*$Q322/100</f>
        <v>0</v>
      </c>
      <c r="AE322" s="583">
        <f>VLOOKUP($H322,Nutrition_tables!$A:$AF,18,FALSE)*$Q322/100</f>
        <v>0</v>
      </c>
      <c r="AF322" s="583">
        <f>VLOOKUP($H322,Nutrition_tables!$A:$AF,19,FALSE)*$Q322/100</f>
        <v>0</v>
      </c>
      <c r="AG322" s="583">
        <f>VLOOKUP($H322,Nutrition_tables!$A:$AF,20,FALSE)*$Q322/100</f>
        <v>0</v>
      </c>
      <c r="AH322" s="583">
        <f>VLOOKUP($H322,Nutrition_tables!$A:$AF,21,FALSE)*$Q322/100</f>
        <v>0</v>
      </c>
      <c r="AI322" s="583">
        <f>VLOOKUP($H322,Nutrition_tables!$A:$AF,22,FALSE)*$Q322/100</f>
        <v>0</v>
      </c>
      <c r="AJ322" s="549">
        <f>VLOOKUP($H322,Nutrition_tables!$A:$AF,23,FALSE)*$Q322/100</f>
        <v>0</v>
      </c>
      <c r="AK322" s="583">
        <f>VLOOKUP($H322,Nutrition_tables!$A:$AF,24,FALSE)*$Q322/100</f>
        <v>0</v>
      </c>
      <c r="AL322" s="583">
        <f>VLOOKUP($H322,Nutrition_tables!$A:$AF,25,FALSE)*$Q322/100</f>
        <v>0</v>
      </c>
      <c r="AM322" s="583">
        <f>VLOOKUP($H322,Nutrition_tables!$A:$AF,26,FALSE)*$Q322/100</f>
        <v>0</v>
      </c>
      <c r="AN322" s="583">
        <f>VLOOKUP($H322,Nutrition_tables!$A:$AF,27,FALSE)*$Q322/100</f>
        <v>0</v>
      </c>
      <c r="AO322" s="583">
        <f>VLOOKUP($H322,Nutrition_tables!$A:$AF,28,FALSE)*$Q322/100</f>
        <v>0</v>
      </c>
      <c r="AP322" s="583">
        <f>VLOOKUP($H322,Nutrition_tables!$A:$AF,29,FALSE)*$Q322/100</f>
        <v>0</v>
      </c>
      <c r="AQ322" s="583">
        <f>VLOOKUP($H322,Nutrition_tables!$A:$AF,30,FALSE)*$Q322/100</f>
        <v>0</v>
      </c>
      <c r="AR322" s="583">
        <f>VLOOKUP($H322,Nutrition_tables!$A:$AF,31,FALSE)*$Q322/100</f>
        <v>0</v>
      </c>
      <c r="AS322" s="549">
        <f>VLOOKUP($H322,Nutrition_tables!$A:$AF,32,FALSE)*$Q322/100</f>
        <v>0</v>
      </c>
      <c r="AT322" s="583" t="str">
        <f>IF(H322="Select ingredient:","",IF(G322="Select food category:","",IFERROR(VLOOKUP($H322,Ingredient_prices!$E:$W,17,FALSE)*$Q322/1000,"not bought")))</f>
        <v/>
      </c>
      <c r="AU322" s="583" t="str">
        <f>IF(H322="Select ingredient:","",IF(G322="Select food category:","",IFERROR(VLOOKUP($H322,Ingredient_prices!$E:$W,18,FALSE)*$Q322/1000,"not bought")))</f>
        <v/>
      </c>
      <c r="AV322" s="583">
        <f t="shared" si="711"/>
        <v>0</v>
      </c>
      <c r="AW322" s="583">
        <f t="shared" si="712"/>
        <v>0</v>
      </c>
      <c r="AX322" s="583">
        <f t="shared" si="713"/>
        <v>0</v>
      </c>
      <c r="AY322" s="583">
        <f t="shared" si="714"/>
        <v>0</v>
      </c>
      <c r="AZ322" s="583">
        <f t="shared" si="715"/>
        <v>0</v>
      </c>
      <c r="BA322" s="583">
        <f t="shared" si="716"/>
        <v>0</v>
      </c>
      <c r="BB322" s="583">
        <f t="shared" si="717"/>
        <v>0</v>
      </c>
      <c r="BC322" s="583">
        <f t="shared" si="718"/>
        <v>0</v>
      </c>
      <c r="BD322" s="583">
        <f t="shared" si="719"/>
        <v>0</v>
      </c>
      <c r="BE322" s="583">
        <f t="shared" si="720"/>
        <v>0</v>
      </c>
      <c r="BF322" s="583">
        <f t="shared" si="721"/>
        <v>0</v>
      </c>
      <c r="BG322" s="583">
        <f t="shared" si="722"/>
        <v>0</v>
      </c>
      <c r="BH322" s="583">
        <f t="shared" si="723"/>
        <v>0</v>
      </c>
      <c r="BI322" s="583">
        <f t="shared" si="724"/>
        <v>0</v>
      </c>
      <c r="BJ322" s="583">
        <f t="shared" si="725"/>
        <v>0</v>
      </c>
      <c r="BK322" s="583">
        <f t="shared" si="726"/>
        <v>0</v>
      </c>
      <c r="BL322" s="583">
        <f t="shared" si="727"/>
        <v>0</v>
      </c>
      <c r="BM322" s="583">
        <f t="shared" si="728"/>
        <v>0</v>
      </c>
      <c r="BN322" s="583">
        <f t="shared" si="729"/>
        <v>0</v>
      </c>
      <c r="BO322" s="583">
        <f t="shared" si="730"/>
        <v>0</v>
      </c>
      <c r="BP322" s="583">
        <f t="shared" si="731"/>
        <v>0</v>
      </c>
      <c r="BQ322" s="583">
        <f t="shared" si="732"/>
        <v>0</v>
      </c>
      <c r="BR322" s="583">
        <f t="shared" si="733"/>
        <v>0</v>
      </c>
    </row>
    <row r="323" spans="1:70" s="229" customFormat="1" ht="15" customHeight="1">
      <c r="A323" s="643"/>
      <c r="D323" s="85"/>
      <c r="E323" s="576">
        <f t="shared" si="735"/>
        <v>100</v>
      </c>
      <c r="F323" s="707"/>
      <c r="G323" s="406" t="s">
        <v>3054</v>
      </c>
      <c r="H323" s="1262" t="s">
        <v>3055</v>
      </c>
      <c r="I323" s="85">
        <v>0</v>
      </c>
      <c r="J323" s="682">
        <v>1</v>
      </c>
      <c r="K323" s="579" t="str">
        <f t="shared" si="709"/>
        <v/>
      </c>
      <c r="L323" s="580" t="str">
        <f>IF(H323="Select ingredient:","",IF(G323="","",_xlfn.IFNA(VLOOKUP($H323,Ingredient_prices!$E:$U,16,FALSE),0)))</f>
        <v/>
      </c>
      <c r="M323" s="848"/>
      <c r="N323" s="848"/>
      <c r="O323" s="648"/>
      <c r="P323" s="653"/>
      <c r="Q323" s="583">
        <f t="shared" si="710"/>
        <v>0</v>
      </c>
      <c r="R323" s="583">
        <f>VLOOKUP($H323,'CO2_emission+%_food_waste'!$A:$K,6,FALSE)*$Q323/100</f>
        <v>0</v>
      </c>
      <c r="S323" s="583">
        <f t="shared" si="734"/>
        <v>0</v>
      </c>
      <c r="T323" s="583" t="str">
        <f>IF(H323="Select ingredient:","",IF(G323="Select food category:","",_xlfn.IFNA(VLOOKUP($H323,Ingredient_prices!$E:$U,16,FALSE)*$Q323/1000,"not bought")))</f>
        <v/>
      </c>
      <c r="U323" s="583" t="str">
        <f>IF(G323="Select food category:","",_xlfn.IFNA(VLOOKUP($H323,Ingredient_prices!$E:$U,16,FALSE)*$R323/1000,"not bought"))</f>
        <v/>
      </c>
      <c r="V323" s="549">
        <f>VLOOKUP($H323,'CO2_emission+%_food_waste'!$A:$K,4,FALSE)*$Q323</f>
        <v>0</v>
      </c>
      <c r="W323" s="583">
        <f>VLOOKUP($H323,Nutrition_tables!$A:$N,10,FALSE)*$Q323/100</f>
        <v>0</v>
      </c>
      <c r="X323" s="583">
        <f>VLOOKUP($H323,Nutrition_tables!$A:$N,11,FALSE)*$Q323/100</f>
        <v>0</v>
      </c>
      <c r="Y323" s="583">
        <f>VLOOKUP($H323,Nutrition_tables!$A:$N,12,FALSE)*$Q323/100</f>
        <v>0</v>
      </c>
      <c r="Z323" s="583">
        <f>VLOOKUP($H323,Nutrition_tables!$A:$N,14,FALSE)*$Q323/100</f>
        <v>0</v>
      </c>
      <c r="AA323" s="583">
        <f>VLOOKUP($H323,Nutrition_tables!$A:$AF,13,FALSE)*$Q323/100</f>
        <v>0</v>
      </c>
      <c r="AB323" s="549">
        <f>VLOOKUP($H323,Nutrition_tables!$A:$AF,15,FALSE)*$Q323/100</f>
        <v>0</v>
      </c>
      <c r="AC323" s="583">
        <f>VLOOKUP($H323,Nutrition_tables!$A:$AF,16,FALSE)*$Q323/100</f>
        <v>0</v>
      </c>
      <c r="AD323" s="583">
        <f>VLOOKUP($H323,Nutrition_tables!$A:$AF,17,FALSE)*$Q323/100</f>
        <v>0</v>
      </c>
      <c r="AE323" s="583">
        <f>VLOOKUP($H323,Nutrition_tables!$A:$AF,18,FALSE)*$Q323/100</f>
        <v>0</v>
      </c>
      <c r="AF323" s="583">
        <f>VLOOKUP($H323,Nutrition_tables!$A:$AF,19,FALSE)*$Q323/100</f>
        <v>0</v>
      </c>
      <c r="AG323" s="583">
        <f>VLOOKUP($H323,Nutrition_tables!$A:$AF,20,FALSE)*$Q323/100</f>
        <v>0</v>
      </c>
      <c r="AH323" s="583">
        <f>VLOOKUP($H323,Nutrition_tables!$A:$AF,21,FALSE)*$Q323/100</f>
        <v>0</v>
      </c>
      <c r="AI323" s="583">
        <f>VLOOKUP($H323,Nutrition_tables!$A:$AF,22,FALSE)*$Q323/100</f>
        <v>0</v>
      </c>
      <c r="AJ323" s="549">
        <f>VLOOKUP($H323,Nutrition_tables!$A:$AF,23,FALSE)*$Q323/100</f>
        <v>0</v>
      </c>
      <c r="AK323" s="583">
        <f>VLOOKUP($H323,Nutrition_tables!$A:$AF,24,FALSE)*$Q323/100</f>
        <v>0</v>
      </c>
      <c r="AL323" s="583">
        <f>VLOOKUP($H323,Nutrition_tables!$A:$AF,25,FALSE)*$Q323/100</f>
        <v>0</v>
      </c>
      <c r="AM323" s="583">
        <f>VLOOKUP($H323,Nutrition_tables!$A:$AF,26,FALSE)*$Q323/100</f>
        <v>0</v>
      </c>
      <c r="AN323" s="583">
        <f>VLOOKUP($H323,Nutrition_tables!$A:$AF,27,FALSE)*$Q323/100</f>
        <v>0</v>
      </c>
      <c r="AO323" s="583">
        <f>VLOOKUP($H323,Nutrition_tables!$A:$AF,28,FALSE)*$Q323/100</f>
        <v>0</v>
      </c>
      <c r="AP323" s="583">
        <f>VLOOKUP($H323,Nutrition_tables!$A:$AF,29,FALSE)*$Q323/100</f>
        <v>0</v>
      </c>
      <c r="AQ323" s="583">
        <f>VLOOKUP($H323,Nutrition_tables!$A:$AF,30,FALSE)*$Q323/100</f>
        <v>0</v>
      </c>
      <c r="AR323" s="583">
        <f>VLOOKUP($H323,Nutrition_tables!$A:$AF,31,FALSE)*$Q323/100</f>
        <v>0</v>
      </c>
      <c r="AS323" s="549">
        <f>VLOOKUP($H323,Nutrition_tables!$A:$AF,32,FALSE)*$Q323/100</f>
        <v>0</v>
      </c>
      <c r="AT323" s="583" t="str">
        <f>IF(H323="Select ingredient:","",IF(G323="Select food category:","",IFERROR(VLOOKUP($H323,Ingredient_prices!$E:$W,17,FALSE)*$Q323/1000,"not bought")))</f>
        <v/>
      </c>
      <c r="AU323" s="583" t="str">
        <f>IF(H323="Select ingredient:","",IF(G323="Select food category:","",IFERROR(VLOOKUP($H323,Ingredient_prices!$E:$W,18,FALSE)*$Q323/1000,"not bought")))</f>
        <v/>
      </c>
      <c r="AV323" s="583">
        <f t="shared" si="711"/>
        <v>0</v>
      </c>
      <c r="AW323" s="583">
        <f t="shared" si="712"/>
        <v>0</v>
      </c>
      <c r="AX323" s="583">
        <f t="shared" si="713"/>
        <v>0</v>
      </c>
      <c r="AY323" s="583">
        <f t="shared" si="714"/>
        <v>0</v>
      </c>
      <c r="AZ323" s="583">
        <f t="shared" si="715"/>
        <v>0</v>
      </c>
      <c r="BA323" s="583">
        <f t="shared" si="716"/>
        <v>0</v>
      </c>
      <c r="BB323" s="583">
        <f t="shared" si="717"/>
        <v>0</v>
      </c>
      <c r="BC323" s="583">
        <f t="shared" si="718"/>
        <v>0</v>
      </c>
      <c r="BD323" s="583">
        <f t="shared" si="719"/>
        <v>0</v>
      </c>
      <c r="BE323" s="583">
        <f t="shared" si="720"/>
        <v>0</v>
      </c>
      <c r="BF323" s="583">
        <f t="shared" si="721"/>
        <v>0</v>
      </c>
      <c r="BG323" s="583">
        <f t="shared" si="722"/>
        <v>0</v>
      </c>
      <c r="BH323" s="583">
        <f t="shared" si="723"/>
        <v>0</v>
      </c>
      <c r="BI323" s="583">
        <f t="shared" si="724"/>
        <v>0</v>
      </c>
      <c r="BJ323" s="583">
        <f t="shared" si="725"/>
        <v>0</v>
      </c>
      <c r="BK323" s="583">
        <f t="shared" si="726"/>
        <v>0</v>
      </c>
      <c r="BL323" s="583">
        <f t="shared" si="727"/>
        <v>0</v>
      </c>
      <c r="BM323" s="583">
        <f t="shared" si="728"/>
        <v>0</v>
      </c>
      <c r="BN323" s="583">
        <f t="shared" si="729"/>
        <v>0</v>
      </c>
      <c r="BO323" s="583">
        <f t="shared" si="730"/>
        <v>0</v>
      </c>
      <c r="BP323" s="583">
        <f t="shared" si="731"/>
        <v>0</v>
      </c>
      <c r="BQ323" s="583">
        <f t="shared" si="732"/>
        <v>0</v>
      </c>
      <c r="BR323" s="583">
        <f t="shared" si="733"/>
        <v>0</v>
      </c>
    </row>
    <row r="324" spans="1:70" s="229" customFormat="1" ht="15" customHeight="1">
      <c r="A324" s="643"/>
      <c r="D324" s="85"/>
      <c r="E324" s="576">
        <f t="shared" si="735"/>
        <v>100</v>
      </c>
      <c r="F324" s="707"/>
      <c r="G324" s="406" t="s">
        <v>3054</v>
      </c>
      <c r="H324" s="1262" t="s">
        <v>3055</v>
      </c>
      <c r="I324" s="85">
        <v>0</v>
      </c>
      <c r="J324" s="682">
        <v>1</v>
      </c>
      <c r="K324" s="579" t="str">
        <f t="shared" si="709"/>
        <v/>
      </c>
      <c r="L324" s="580" t="str">
        <f>IF(H324="Select ingredient:","",IF(G324="","",_xlfn.IFNA(VLOOKUP($H324,Ingredient_prices!$E:$U,16,FALSE),0)))</f>
        <v/>
      </c>
      <c r="M324" s="848"/>
      <c r="N324" s="848"/>
      <c r="O324" s="648"/>
      <c r="P324" s="653"/>
      <c r="Q324" s="583">
        <f t="shared" si="710"/>
        <v>0</v>
      </c>
      <c r="R324" s="583">
        <f>VLOOKUP($H324,'CO2_emission+%_food_waste'!$A:$K,6,FALSE)*$Q324/100</f>
        <v>0</v>
      </c>
      <c r="S324" s="583">
        <f t="shared" si="734"/>
        <v>0</v>
      </c>
      <c r="T324" s="583" t="str">
        <f>IF(H324="Select ingredient:","",IF(G324="Select food category:","",_xlfn.IFNA(VLOOKUP($H324,Ingredient_prices!$E:$U,16,FALSE)*$Q324/1000,"not bought")))</f>
        <v/>
      </c>
      <c r="U324" s="583" t="str">
        <f>IF(G324="Select food category:","",_xlfn.IFNA(VLOOKUP($H324,Ingredient_prices!$E:$U,16,FALSE)*$R324/1000,"not bought"))</f>
        <v/>
      </c>
      <c r="V324" s="549">
        <f>VLOOKUP($H324,'CO2_emission+%_food_waste'!$A:$K,4,FALSE)*$Q324</f>
        <v>0</v>
      </c>
      <c r="W324" s="583">
        <f>VLOOKUP($H324,Nutrition_tables!$A:$N,10,FALSE)*$Q324/100</f>
        <v>0</v>
      </c>
      <c r="X324" s="583">
        <f>VLOOKUP($H324,Nutrition_tables!$A:$N,11,FALSE)*$Q324/100</f>
        <v>0</v>
      </c>
      <c r="Y324" s="583">
        <f>VLOOKUP($H324,Nutrition_tables!$A:$N,12,FALSE)*$Q324/100</f>
        <v>0</v>
      </c>
      <c r="Z324" s="583">
        <f>VLOOKUP($H324,Nutrition_tables!$A:$N,14,FALSE)*$Q324/100</f>
        <v>0</v>
      </c>
      <c r="AA324" s="583">
        <f>VLOOKUP($H324,Nutrition_tables!$A:$AF,13,FALSE)*$Q324/100</f>
        <v>0</v>
      </c>
      <c r="AB324" s="549">
        <f>VLOOKUP($H324,Nutrition_tables!$A:$AF,15,FALSE)*$Q324/100</f>
        <v>0</v>
      </c>
      <c r="AC324" s="583">
        <f>VLOOKUP($H324,Nutrition_tables!$A:$AF,16,FALSE)*$Q324/100</f>
        <v>0</v>
      </c>
      <c r="AD324" s="583">
        <f>VLOOKUP($H324,Nutrition_tables!$A:$AF,17,FALSE)*$Q324/100</f>
        <v>0</v>
      </c>
      <c r="AE324" s="583">
        <f>VLOOKUP($H324,Nutrition_tables!$A:$AF,18,FALSE)*$Q324/100</f>
        <v>0</v>
      </c>
      <c r="AF324" s="583">
        <f>VLOOKUP($H324,Nutrition_tables!$A:$AF,19,FALSE)*$Q324/100</f>
        <v>0</v>
      </c>
      <c r="AG324" s="583">
        <f>VLOOKUP($H324,Nutrition_tables!$A:$AF,20,FALSE)*$Q324/100</f>
        <v>0</v>
      </c>
      <c r="AH324" s="583">
        <f>VLOOKUP($H324,Nutrition_tables!$A:$AF,21,FALSE)*$Q324/100</f>
        <v>0</v>
      </c>
      <c r="AI324" s="583">
        <f>VLOOKUP($H324,Nutrition_tables!$A:$AF,22,FALSE)*$Q324/100</f>
        <v>0</v>
      </c>
      <c r="AJ324" s="549">
        <f>VLOOKUP($H324,Nutrition_tables!$A:$AF,23,FALSE)*$Q324/100</f>
        <v>0</v>
      </c>
      <c r="AK324" s="583">
        <f>VLOOKUP($H324,Nutrition_tables!$A:$AF,24,FALSE)*$Q324/100</f>
        <v>0</v>
      </c>
      <c r="AL324" s="583">
        <f>VLOOKUP($H324,Nutrition_tables!$A:$AF,25,FALSE)*$Q324/100</f>
        <v>0</v>
      </c>
      <c r="AM324" s="583">
        <f>VLOOKUP($H324,Nutrition_tables!$A:$AF,26,FALSE)*$Q324/100</f>
        <v>0</v>
      </c>
      <c r="AN324" s="583">
        <f>VLOOKUP($H324,Nutrition_tables!$A:$AF,27,FALSE)*$Q324/100</f>
        <v>0</v>
      </c>
      <c r="AO324" s="583">
        <f>VLOOKUP($H324,Nutrition_tables!$A:$AF,28,FALSE)*$Q324/100</f>
        <v>0</v>
      </c>
      <c r="AP324" s="583">
        <f>VLOOKUP($H324,Nutrition_tables!$A:$AF,29,FALSE)*$Q324/100</f>
        <v>0</v>
      </c>
      <c r="AQ324" s="583">
        <f>VLOOKUP($H324,Nutrition_tables!$A:$AF,30,FALSE)*$Q324/100</f>
        <v>0</v>
      </c>
      <c r="AR324" s="583">
        <f>VLOOKUP($H324,Nutrition_tables!$A:$AF,31,FALSE)*$Q324/100</f>
        <v>0</v>
      </c>
      <c r="AS324" s="549">
        <f>VLOOKUP($H324,Nutrition_tables!$A:$AF,32,FALSE)*$Q324/100</f>
        <v>0</v>
      </c>
      <c r="AT324" s="583" t="str">
        <f>IF(H324="Select ingredient:","",IF(G324="Select food category:","",IFERROR(VLOOKUP($H324,Ingredient_prices!$E:$W,17,FALSE)*$Q324/1000,"not bought")))</f>
        <v/>
      </c>
      <c r="AU324" s="583" t="str">
        <f>IF(H324="Select ingredient:","",IF(G324="Select food category:","",IFERROR(VLOOKUP($H324,Ingredient_prices!$E:$W,18,FALSE)*$Q324/1000,"not bought")))</f>
        <v/>
      </c>
      <c r="AV324" s="583">
        <f t="shared" si="711"/>
        <v>0</v>
      </c>
      <c r="AW324" s="583">
        <f t="shared" si="712"/>
        <v>0</v>
      </c>
      <c r="AX324" s="583">
        <f t="shared" si="713"/>
        <v>0</v>
      </c>
      <c r="AY324" s="583">
        <f t="shared" si="714"/>
        <v>0</v>
      </c>
      <c r="AZ324" s="583">
        <f t="shared" si="715"/>
        <v>0</v>
      </c>
      <c r="BA324" s="583">
        <f t="shared" si="716"/>
        <v>0</v>
      </c>
      <c r="BB324" s="583">
        <f t="shared" si="717"/>
        <v>0</v>
      </c>
      <c r="BC324" s="583">
        <f t="shared" si="718"/>
        <v>0</v>
      </c>
      <c r="BD324" s="583">
        <f t="shared" si="719"/>
        <v>0</v>
      </c>
      <c r="BE324" s="583">
        <f t="shared" si="720"/>
        <v>0</v>
      </c>
      <c r="BF324" s="583">
        <f t="shared" si="721"/>
        <v>0</v>
      </c>
      <c r="BG324" s="583">
        <f t="shared" si="722"/>
        <v>0</v>
      </c>
      <c r="BH324" s="583">
        <f t="shared" si="723"/>
        <v>0</v>
      </c>
      <c r="BI324" s="583">
        <f t="shared" si="724"/>
        <v>0</v>
      </c>
      <c r="BJ324" s="583">
        <f t="shared" si="725"/>
        <v>0</v>
      </c>
      <c r="BK324" s="583">
        <f t="shared" si="726"/>
        <v>0</v>
      </c>
      <c r="BL324" s="583">
        <f t="shared" si="727"/>
        <v>0</v>
      </c>
      <c r="BM324" s="583">
        <f t="shared" si="728"/>
        <v>0</v>
      </c>
      <c r="BN324" s="583">
        <f t="shared" si="729"/>
        <v>0</v>
      </c>
      <c r="BO324" s="583">
        <f t="shared" si="730"/>
        <v>0</v>
      </c>
      <c r="BP324" s="583">
        <f t="shared" si="731"/>
        <v>0</v>
      </c>
      <c r="BQ324" s="583">
        <f t="shared" si="732"/>
        <v>0</v>
      </c>
      <c r="BR324" s="583">
        <f t="shared" si="733"/>
        <v>0</v>
      </c>
    </row>
    <row r="325" spans="1:70" s="229" customFormat="1" ht="15" customHeight="1">
      <c r="A325" s="643"/>
      <c r="D325" s="85"/>
      <c r="E325" s="576">
        <f t="shared" si="735"/>
        <v>100</v>
      </c>
      <c r="F325" s="707"/>
      <c r="G325" s="406" t="s">
        <v>3054</v>
      </c>
      <c r="H325" s="1262" t="s">
        <v>3055</v>
      </c>
      <c r="I325" s="85">
        <v>0</v>
      </c>
      <c r="J325" s="682">
        <v>1</v>
      </c>
      <c r="K325" s="579" t="str">
        <f t="shared" si="709"/>
        <v/>
      </c>
      <c r="L325" s="580" t="str">
        <f>IF(H325="Select ingredient:","",IF(G325="","",_xlfn.IFNA(VLOOKUP($H325,Ingredient_prices!$E:$U,16,FALSE),0)))</f>
        <v/>
      </c>
      <c r="M325" s="848"/>
      <c r="N325" s="848"/>
      <c r="O325" s="648"/>
      <c r="P325" s="653"/>
      <c r="Q325" s="583">
        <f t="shared" si="710"/>
        <v>0</v>
      </c>
      <c r="R325" s="583">
        <f>VLOOKUP($H325,'CO2_emission+%_food_waste'!$A:$K,6,FALSE)*$Q325/100</f>
        <v>0</v>
      </c>
      <c r="S325" s="583">
        <f t="shared" si="734"/>
        <v>0</v>
      </c>
      <c r="T325" s="583" t="str">
        <f>IF(H325="Select ingredient:","",IF(G325="Select food category:","",_xlfn.IFNA(VLOOKUP($H325,Ingredient_prices!$E:$U,16,FALSE)*$Q325/1000,"not bought")))</f>
        <v/>
      </c>
      <c r="U325" s="583" t="str">
        <f>IF(G325="Select food category:","",_xlfn.IFNA(VLOOKUP($H325,Ingredient_prices!$E:$U,16,FALSE)*$R325/1000,"not bought"))</f>
        <v/>
      </c>
      <c r="V325" s="549">
        <f>VLOOKUP($H325,'CO2_emission+%_food_waste'!$A:$K,4,FALSE)*$Q325</f>
        <v>0</v>
      </c>
      <c r="W325" s="583">
        <f>VLOOKUP($H325,Nutrition_tables!$A:$N,10,FALSE)*$Q325/100</f>
        <v>0</v>
      </c>
      <c r="X325" s="583">
        <f>VLOOKUP($H325,Nutrition_tables!$A:$N,11,FALSE)*$Q325/100</f>
        <v>0</v>
      </c>
      <c r="Y325" s="583">
        <f>VLOOKUP($H325,Nutrition_tables!$A:$N,12,FALSE)*$Q325/100</f>
        <v>0</v>
      </c>
      <c r="Z325" s="583">
        <f>VLOOKUP($H325,Nutrition_tables!$A:$N,14,FALSE)*$Q325/100</f>
        <v>0</v>
      </c>
      <c r="AA325" s="583">
        <f>VLOOKUP($H325,Nutrition_tables!$A:$AF,13,FALSE)*$Q325/100</f>
        <v>0</v>
      </c>
      <c r="AB325" s="549">
        <f>VLOOKUP($H325,Nutrition_tables!$A:$AF,15,FALSE)*$Q325/100</f>
        <v>0</v>
      </c>
      <c r="AC325" s="583">
        <f>VLOOKUP($H325,Nutrition_tables!$A:$AF,16,FALSE)*$Q325/100</f>
        <v>0</v>
      </c>
      <c r="AD325" s="583">
        <f>VLOOKUP($H325,Nutrition_tables!$A:$AF,17,FALSE)*$Q325/100</f>
        <v>0</v>
      </c>
      <c r="AE325" s="583">
        <f>VLOOKUP($H325,Nutrition_tables!$A:$AF,18,FALSE)*$Q325/100</f>
        <v>0</v>
      </c>
      <c r="AF325" s="583">
        <f>VLOOKUP($H325,Nutrition_tables!$A:$AF,19,FALSE)*$Q325/100</f>
        <v>0</v>
      </c>
      <c r="AG325" s="583">
        <f>VLOOKUP($H325,Nutrition_tables!$A:$AF,20,FALSE)*$Q325/100</f>
        <v>0</v>
      </c>
      <c r="AH325" s="583">
        <f>VLOOKUP($H325,Nutrition_tables!$A:$AF,21,FALSE)*$Q325/100</f>
        <v>0</v>
      </c>
      <c r="AI325" s="583">
        <f>VLOOKUP($H325,Nutrition_tables!$A:$AF,22,FALSE)*$Q325/100</f>
        <v>0</v>
      </c>
      <c r="AJ325" s="549">
        <f>VLOOKUP($H325,Nutrition_tables!$A:$AF,23,FALSE)*$Q325/100</f>
        <v>0</v>
      </c>
      <c r="AK325" s="583">
        <f>VLOOKUP($H325,Nutrition_tables!$A:$AF,24,FALSE)*$Q325/100</f>
        <v>0</v>
      </c>
      <c r="AL325" s="583">
        <f>VLOOKUP($H325,Nutrition_tables!$A:$AF,25,FALSE)*$Q325/100</f>
        <v>0</v>
      </c>
      <c r="AM325" s="583">
        <f>VLOOKUP($H325,Nutrition_tables!$A:$AF,26,FALSE)*$Q325/100</f>
        <v>0</v>
      </c>
      <c r="AN325" s="583">
        <f>VLOOKUP($H325,Nutrition_tables!$A:$AF,27,FALSE)*$Q325/100</f>
        <v>0</v>
      </c>
      <c r="AO325" s="583">
        <f>VLOOKUP($H325,Nutrition_tables!$A:$AF,28,FALSE)*$Q325/100</f>
        <v>0</v>
      </c>
      <c r="AP325" s="583">
        <f>VLOOKUP($H325,Nutrition_tables!$A:$AF,29,FALSE)*$Q325/100</f>
        <v>0</v>
      </c>
      <c r="AQ325" s="583">
        <f>VLOOKUP($H325,Nutrition_tables!$A:$AF,30,FALSE)*$Q325/100</f>
        <v>0</v>
      </c>
      <c r="AR325" s="583">
        <f>VLOOKUP($H325,Nutrition_tables!$A:$AF,31,FALSE)*$Q325/100</f>
        <v>0</v>
      </c>
      <c r="AS325" s="549">
        <f>VLOOKUP($H325,Nutrition_tables!$A:$AF,32,FALSE)*$Q325/100</f>
        <v>0</v>
      </c>
      <c r="AT325" s="583" t="str">
        <f>IF(H325="Select ingredient:","",IF(G325="Select food category:","",IFERROR(VLOOKUP($H325,Ingredient_prices!$E:$W,17,FALSE)*$Q325/1000,"not bought")))</f>
        <v/>
      </c>
      <c r="AU325" s="583" t="str">
        <f>IF(H325="Select ingredient:","",IF(G325="Select food category:","",IFERROR(VLOOKUP($H325,Ingredient_prices!$E:$W,18,FALSE)*$Q325/1000,"not bought")))</f>
        <v/>
      </c>
      <c r="AV325" s="583">
        <f t="shared" si="711"/>
        <v>0</v>
      </c>
      <c r="AW325" s="583">
        <f t="shared" si="712"/>
        <v>0</v>
      </c>
      <c r="AX325" s="583">
        <f t="shared" si="713"/>
        <v>0</v>
      </c>
      <c r="AY325" s="583">
        <f t="shared" si="714"/>
        <v>0</v>
      </c>
      <c r="AZ325" s="583">
        <f t="shared" si="715"/>
        <v>0</v>
      </c>
      <c r="BA325" s="583">
        <f t="shared" si="716"/>
        <v>0</v>
      </c>
      <c r="BB325" s="583">
        <f t="shared" si="717"/>
        <v>0</v>
      </c>
      <c r="BC325" s="583">
        <f t="shared" si="718"/>
        <v>0</v>
      </c>
      <c r="BD325" s="583">
        <f t="shared" si="719"/>
        <v>0</v>
      </c>
      <c r="BE325" s="583">
        <f t="shared" si="720"/>
        <v>0</v>
      </c>
      <c r="BF325" s="583">
        <f t="shared" si="721"/>
        <v>0</v>
      </c>
      <c r="BG325" s="583">
        <f t="shared" si="722"/>
        <v>0</v>
      </c>
      <c r="BH325" s="583">
        <f t="shared" si="723"/>
        <v>0</v>
      </c>
      <c r="BI325" s="583">
        <f t="shared" si="724"/>
        <v>0</v>
      </c>
      <c r="BJ325" s="583">
        <f t="shared" si="725"/>
        <v>0</v>
      </c>
      <c r="BK325" s="583">
        <f t="shared" si="726"/>
        <v>0</v>
      </c>
      <c r="BL325" s="583">
        <f t="shared" si="727"/>
        <v>0</v>
      </c>
      <c r="BM325" s="583">
        <f t="shared" si="728"/>
        <v>0</v>
      </c>
      <c r="BN325" s="583">
        <f t="shared" si="729"/>
        <v>0</v>
      </c>
      <c r="BO325" s="583">
        <f t="shared" si="730"/>
        <v>0</v>
      </c>
      <c r="BP325" s="583">
        <f t="shared" si="731"/>
        <v>0</v>
      </c>
      <c r="BQ325" s="583">
        <f t="shared" si="732"/>
        <v>0</v>
      </c>
      <c r="BR325" s="583">
        <f t="shared" si="733"/>
        <v>0</v>
      </c>
    </row>
    <row r="326" spans="1:70" s="229" customFormat="1" ht="15" customHeight="1">
      <c r="A326" s="643"/>
      <c r="D326" s="85"/>
      <c r="E326" s="576">
        <f t="shared" si="735"/>
        <v>100</v>
      </c>
      <c r="F326" s="707"/>
      <c r="G326" s="406" t="s">
        <v>3054</v>
      </c>
      <c r="H326" s="1262" t="s">
        <v>3055</v>
      </c>
      <c r="I326" s="85">
        <v>0</v>
      </c>
      <c r="J326" s="682">
        <v>1</v>
      </c>
      <c r="K326" s="579" t="str">
        <f t="shared" si="709"/>
        <v/>
      </c>
      <c r="L326" s="580" t="str">
        <f>IF(H326="Select ingredient:","",IF(G326="","",_xlfn.IFNA(VLOOKUP($H326,Ingredient_prices!$E:$U,16,FALSE),0)))</f>
        <v/>
      </c>
      <c r="M326" s="848"/>
      <c r="N326" s="848"/>
      <c r="O326" s="648"/>
      <c r="P326" s="653"/>
      <c r="Q326" s="583">
        <f t="shared" si="710"/>
        <v>0</v>
      </c>
      <c r="R326" s="583">
        <f>VLOOKUP($H326,'CO2_emission+%_food_waste'!$A:$K,6,FALSE)*$Q326/100</f>
        <v>0</v>
      </c>
      <c r="S326" s="583">
        <f t="shared" si="734"/>
        <v>0</v>
      </c>
      <c r="T326" s="583" t="str">
        <f>IF(H326="Select ingredient:","",IF(G326="Select food category:","",_xlfn.IFNA(VLOOKUP($H326,Ingredient_prices!$E:$U,16,FALSE)*$Q326/1000,"not bought")))</f>
        <v/>
      </c>
      <c r="U326" s="583" t="str">
        <f>IF(G326="Select food category:","",_xlfn.IFNA(VLOOKUP($H326,Ingredient_prices!$E:$U,16,FALSE)*$R326/1000,"not bought"))</f>
        <v/>
      </c>
      <c r="V326" s="549">
        <f>VLOOKUP($H326,'CO2_emission+%_food_waste'!$A:$K,4,FALSE)*$Q326</f>
        <v>0</v>
      </c>
      <c r="W326" s="583">
        <f>VLOOKUP($H326,Nutrition_tables!$A:$N,10,FALSE)*$Q326/100</f>
        <v>0</v>
      </c>
      <c r="X326" s="583">
        <f>VLOOKUP($H326,Nutrition_tables!$A:$N,11,FALSE)*$Q326/100</f>
        <v>0</v>
      </c>
      <c r="Y326" s="583">
        <f>VLOOKUP($H326,Nutrition_tables!$A:$N,12,FALSE)*$Q326/100</f>
        <v>0</v>
      </c>
      <c r="Z326" s="583">
        <f>VLOOKUP($H326,Nutrition_tables!$A:$N,14,FALSE)*$Q326/100</f>
        <v>0</v>
      </c>
      <c r="AA326" s="583">
        <f>VLOOKUP($H326,Nutrition_tables!$A:$AF,13,FALSE)*$Q326/100</f>
        <v>0</v>
      </c>
      <c r="AB326" s="549">
        <f>VLOOKUP($H326,Nutrition_tables!$A:$AF,15,FALSE)*$Q326/100</f>
        <v>0</v>
      </c>
      <c r="AC326" s="583">
        <f>VLOOKUP($H326,Nutrition_tables!$A:$AF,16,FALSE)*$Q326/100</f>
        <v>0</v>
      </c>
      <c r="AD326" s="583">
        <f>VLOOKUP($H326,Nutrition_tables!$A:$AF,17,FALSE)*$Q326/100</f>
        <v>0</v>
      </c>
      <c r="AE326" s="583">
        <f>VLOOKUP($H326,Nutrition_tables!$A:$AF,18,FALSE)*$Q326/100</f>
        <v>0</v>
      </c>
      <c r="AF326" s="583">
        <f>VLOOKUP($H326,Nutrition_tables!$A:$AF,19,FALSE)*$Q326/100</f>
        <v>0</v>
      </c>
      <c r="AG326" s="583">
        <f>VLOOKUP($H326,Nutrition_tables!$A:$AF,20,FALSE)*$Q326/100</f>
        <v>0</v>
      </c>
      <c r="AH326" s="583">
        <f>VLOOKUP($H326,Nutrition_tables!$A:$AF,21,FALSE)*$Q326/100</f>
        <v>0</v>
      </c>
      <c r="AI326" s="583">
        <f>VLOOKUP($H326,Nutrition_tables!$A:$AF,22,FALSE)*$Q326/100</f>
        <v>0</v>
      </c>
      <c r="AJ326" s="549">
        <f>VLOOKUP($H326,Nutrition_tables!$A:$AF,23,FALSE)*$Q326/100</f>
        <v>0</v>
      </c>
      <c r="AK326" s="583">
        <f>VLOOKUP($H326,Nutrition_tables!$A:$AF,24,FALSE)*$Q326/100</f>
        <v>0</v>
      </c>
      <c r="AL326" s="583">
        <f>VLOOKUP($H326,Nutrition_tables!$A:$AF,25,FALSE)*$Q326/100</f>
        <v>0</v>
      </c>
      <c r="AM326" s="583">
        <f>VLOOKUP($H326,Nutrition_tables!$A:$AF,26,FALSE)*$Q326/100</f>
        <v>0</v>
      </c>
      <c r="AN326" s="583">
        <f>VLOOKUP($H326,Nutrition_tables!$A:$AF,27,FALSE)*$Q326/100</f>
        <v>0</v>
      </c>
      <c r="AO326" s="583">
        <f>VLOOKUP($H326,Nutrition_tables!$A:$AF,28,FALSE)*$Q326/100</f>
        <v>0</v>
      </c>
      <c r="AP326" s="583">
        <f>VLOOKUP($H326,Nutrition_tables!$A:$AF,29,FALSE)*$Q326/100</f>
        <v>0</v>
      </c>
      <c r="AQ326" s="583">
        <f>VLOOKUP($H326,Nutrition_tables!$A:$AF,30,FALSE)*$Q326/100</f>
        <v>0</v>
      </c>
      <c r="AR326" s="583">
        <f>VLOOKUP($H326,Nutrition_tables!$A:$AF,31,FALSE)*$Q326/100</f>
        <v>0</v>
      </c>
      <c r="AS326" s="549">
        <f>VLOOKUP($H326,Nutrition_tables!$A:$AF,32,FALSE)*$Q326/100</f>
        <v>0</v>
      </c>
      <c r="AT326" s="583" t="str">
        <f>IF(H326="Select ingredient:","",IF(G326="Select food category:","",IFERROR(VLOOKUP($H326,Ingredient_prices!$E:$W,17,FALSE)*$Q326/1000,"not bought")))</f>
        <v/>
      </c>
      <c r="AU326" s="583" t="str">
        <f>IF(H326="Select ingredient:","",IF(G326="Select food category:","",IFERROR(VLOOKUP($H326,Ingredient_prices!$E:$W,18,FALSE)*$Q326/1000,"not bought")))</f>
        <v/>
      </c>
      <c r="AV326" s="583">
        <f t="shared" si="711"/>
        <v>0</v>
      </c>
      <c r="AW326" s="583">
        <f t="shared" si="712"/>
        <v>0</v>
      </c>
      <c r="AX326" s="583">
        <f t="shared" si="713"/>
        <v>0</v>
      </c>
      <c r="AY326" s="583">
        <f t="shared" si="714"/>
        <v>0</v>
      </c>
      <c r="AZ326" s="583">
        <f t="shared" si="715"/>
        <v>0</v>
      </c>
      <c r="BA326" s="583">
        <f t="shared" si="716"/>
        <v>0</v>
      </c>
      <c r="BB326" s="583">
        <f t="shared" si="717"/>
        <v>0</v>
      </c>
      <c r="BC326" s="583">
        <f t="shared" si="718"/>
        <v>0</v>
      </c>
      <c r="BD326" s="583">
        <f t="shared" si="719"/>
        <v>0</v>
      </c>
      <c r="BE326" s="583">
        <f t="shared" si="720"/>
        <v>0</v>
      </c>
      <c r="BF326" s="583">
        <f t="shared" si="721"/>
        <v>0</v>
      </c>
      <c r="BG326" s="583">
        <f t="shared" si="722"/>
        <v>0</v>
      </c>
      <c r="BH326" s="583">
        <f t="shared" si="723"/>
        <v>0</v>
      </c>
      <c r="BI326" s="583">
        <f t="shared" si="724"/>
        <v>0</v>
      </c>
      <c r="BJ326" s="583">
        <f t="shared" si="725"/>
        <v>0</v>
      </c>
      <c r="BK326" s="583">
        <f t="shared" si="726"/>
        <v>0</v>
      </c>
      <c r="BL326" s="583">
        <f t="shared" si="727"/>
        <v>0</v>
      </c>
      <c r="BM326" s="583">
        <f t="shared" si="728"/>
        <v>0</v>
      </c>
      <c r="BN326" s="583">
        <f t="shared" si="729"/>
        <v>0</v>
      </c>
      <c r="BO326" s="583">
        <f t="shared" si="730"/>
        <v>0</v>
      </c>
      <c r="BP326" s="583">
        <f t="shared" si="731"/>
        <v>0</v>
      </c>
      <c r="BQ326" s="583">
        <f t="shared" si="732"/>
        <v>0</v>
      </c>
      <c r="BR326" s="583">
        <f t="shared" si="733"/>
        <v>0</v>
      </c>
    </row>
    <row r="327" spans="1:70" s="229" customFormat="1" ht="15" customHeight="1">
      <c r="A327" s="643"/>
      <c r="D327" s="85"/>
      <c r="E327" s="576">
        <f t="shared" si="735"/>
        <v>100</v>
      </c>
      <c r="F327" s="707"/>
      <c r="G327" s="406" t="s">
        <v>3054</v>
      </c>
      <c r="H327" s="1262" t="s">
        <v>3055</v>
      </c>
      <c r="I327" s="85">
        <v>0</v>
      </c>
      <c r="J327" s="682">
        <v>1</v>
      </c>
      <c r="K327" s="579" t="str">
        <f t="shared" si="709"/>
        <v/>
      </c>
      <c r="L327" s="580" t="str">
        <f>IF(H327="Select ingredient:","",IF(G327="","",_xlfn.IFNA(VLOOKUP($H327,Ingredient_prices!$E:$U,16,FALSE),0)))</f>
        <v/>
      </c>
      <c r="M327" s="848"/>
      <c r="N327" s="848"/>
      <c r="O327" s="648"/>
      <c r="P327" s="653"/>
      <c r="Q327" s="583">
        <f t="shared" si="710"/>
        <v>0</v>
      </c>
      <c r="R327" s="583">
        <f>VLOOKUP($H327,'CO2_emission+%_food_waste'!$A:$K,6,FALSE)*$Q327/100</f>
        <v>0</v>
      </c>
      <c r="S327" s="583">
        <f t="shared" si="734"/>
        <v>0</v>
      </c>
      <c r="T327" s="583" t="str">
        <f>IF(H327="Select ingredient:","",IF(G327="Select food category:","",_xlfn.IFNA(VLOOKUP($H327,Ingredient_prices!$E:$U,16,FALSE)*$Q327/1000,"not bought")))</f>
        <v/>
      </c>
      <c r="U327" s="583" t="str">
        <f>IF(G327="Select food category:","",_xlfn.IFNA(VLOOKUP($H327,Ingredient_prices!$E:$U,16,FALSE)*$R327/1000,"not bought"))</f>
        <v/>
      </c>
      <c r="V327" s="549">
        <f>VLOOKUP($H327,'CO2_emission+%_food_waste'!$A:$K,4,FALSE)*$Q327</f>
        <v>0</v>
      </c>
      <c r="W327" s="583">
        <f>VLOOKUP($H327,Nutrition_tables!$A:$N,10,FALSE)*$Q327/100</f>
        <v>0</v>
      </c>
      <c r="X327" s="583">
        <f>VLOOKUP($H327,Nutrition_tables!$A:$N,11,FALSE)*$Q327/100</f>
        <v>0</v>
      </c>
      <c r="Y327" s="583">
        <f>VLOOKUP($H327,Nutrition_tables!$A:$N,12,FALSE)*$Q327/100</f>
        <v>0</v>
      </c>
      <c r="Z327" s="583">
        <f>VLOOKUP($H327,Nutrition_tables!$A:$N,14,FALSE)*$Q327/100</f>
        <v>0</v>
      </c>
      <c r="AA327" s="583">
        <f>VLOOKUP($H327,Nutrition_tables!$A:$AF,13,FALSE)*$Q327/100</f>
        <v>0</v>
      </c>
      <c r="AB327" s="549">
        <f>VLOOKUP($H327,Nutrition_tables!$A:$AF,15,FALSE)*$Q327/100</f>
        <v>0</v>
      </c>
      <c r="AC327" s="583">
        <f>VLOOKUP($H327,Nutrition_tables!$A:$AF,16,FALSE)*$Q327/100</f>
        <v>0</v>
      </c>
      <c r="AD327" s="583">
        <f>VLOOKUP($H327,Nutrition_tables!$A:$AF,17,FALSE)*$Q327/100</f>
        <v>0</v>
      </c>
      <c r="AE327" s="583">
        <f>VLOOKUP($H327,Nutrition_tables!$A:$AF,18,FALSE)*$Q327/100</f>
        <v>0</v>
      </c>
      <c r="AF327" s="583">
        <f>VLOOKUP($H327,Nutrition_tables!$A:$AF,19,FALSE)*$Q327/100</f>
        <v>0</v>
      </c>
      <c r="AG327" s="583">
        <f>VLOOKUP($H327,Nutrition_tables!$A:$AF,20,FALSE)*$Q327/100</f>
        <v>0</v>
      </c>
      <c r="AH327" s="583">
        <f>VLOOKUP($H327,Nutrition_tables!$A:$AF,21,FALSE)*$Q327/100</f>
        <v>0</v>
      </c>
      <c r="AI327" s="583">
        <f>VLOOKUP($H327,Nutrition_tables!$A:$AF,22,FALSE)*$Q327/100</f>
        <v>0</v>
      </c>
      <c r="AJ327" s="549">
        <f>VLOOKUP($H327,Nutrition_tables!$A:$AF,23,FALSE)*$Q327/100</f>
        <v>0</v>
      </c>
      <c r="AK327" s="583">
        <f>VLOOKUP($H327,Nutrition_tables!$A:$AF,24,FALSE)*$Q327/100</f>
        <v>0</v>
      </c>
      <c r="AL327" s="583">
        <f>VLOOKUP($H327,Nutrition_tables!$A:$AF,25,FALSE)*$Q327/100</f>
        <v>0</v>
      </c>
      <c r="AM327" s="583">
        <f>VLOOKUP($H327,Nutrition_tables!$A:$AF,26,FALSE)*$Q327/100</f>
        <v>0</v>
      </c>
      <c r="AN327" s="583">
        <f>VLOOKUP($H327,Nutrition_tables!$A:$AF,27,FALSE)*$Q327/100</f>
        <v>0</v>
      </c>
      <c r="AO327" s="583">
        <f>VLOOKUP($H327,Nutrition_tables!$A:$AF,28,FALSE)*$Q327/100</f>
        <v>0</v>
      </c>
      <c r="AP327" s="583">
        <f>VLOOKUP($H327,Nutrition_tables!$A:$AF,29,FALSE)*$Q327/100</f>
        <v>0</v>
      </c>
      <c r="AQ327" s="583">
        <f>VLOOKUP($H327,Nutrition_tables!$A:$AF,30,FALSE)*$Q327/100</f>
        <v>0</v>
      </c>
      <c r="AR327" s="583">
        <f>VLOOKUP($H327,Nutrition_tables!$A:$AF,31,FALSE)*$Q327/100</f>
        <v>0</v>
      </c>
      <c r="AS327" s="549">
        <f>VLOOKUP($H327,Nutrition_tables!$A:$AF,32,FALSE)*$Q327/100</f>
        <v>0</v>
      </c>
      <c r="AT327" s="583" t="str">
        <f>IF(H327="Select ingredient:","",IF(G327="Select food category:","",IFERROR(VLOOKUP($H327,Ingredient_prices!$E:$W,17,FALSE)*$Q327/1000,"not bought")))</f>
        <v/>
      </c>
      <c r="AU327" s="583" t="str">
        <f>IF(H327="Select ingredient:","",IF(G327="Select food category:","",IFERROR(VLOOKUP($H327,Ingredient_prices!$E:$W,18,FALSE)*$Q327/1000,"not bought")))</f>
        <v/>
      </c>
      <c r="AV327" s="583">
        <f t="shared" si="711"/>
        <v>0</v>
      </c>
      <c r="AW327" s="583">
        <f t="shared" si="712"/>
        <v>0</v>
      </c>
      <c r="AX327" s="583">
        <f t="shared" si="713"/>
        <v>0</v>
      </c>
      <c r="AY327" s="583">
        <f t="shared" si="714"/>
        <v>0</v>
      </c>
      <c r="AZ327" s="583">
        <f t="shared" si="715"/>
        <v>0</v>
      </c>
      <c r="BA327" s="583">
        <f t="shared" si="716"/>
        <v>0</v>
      </c>
      <c r="BB327" s="583">
        <f t="shared" si="717"/>
        <v>0</v>
      </c>
      <c r="BC327" s="583">
        <f t="shared" si="718"/>
        <v>0</v>
      </c>
      <c r="BD327" s="583">
        <f t="shared" si="719"/>
        <v>0</v>
      </c>
      <c r="BE327" s="583">
        <f t="shared" si="720"/>
        <v>0</v>
      </c>
      <c r="BF327" s="583">
        <f t="shared" si="721"/>
        <v>0</v>
      </c>
      <c r="BG327" s="583">
        <f t="shared" si="722"/>
        <v>0</v>
      </c>
      <c r="BH327" s="583">
        <f t="shared" si="723"/>
        <v>0</v>
      </c>
      <c r="BI327" s="583">
        <f t="shared" si="724"/>
        <v>0</v>
      </c>
      <c r="BJ327" s="583">
        <f t="shared" si="725"/>
        <v>0</v>
      </c>
      <c r="BK327" s="583">
        <f t="shared" si="726"/>
        <v>0</v>
      </c>
      <c r="BL327" s="583">
        <f t="shared" si="727"/>
        <v>0</v>
      </c>
      <c r="BM327" s="583">
        <f t="shared" si="728"/>
        <v>0</v>
      </c>
      <c r="BN327" s="583">
        <f t="shared" si="729"/>
        <v>0</v>
      </c>
      <c r="BO327" s="583">
        <f t="shared" si="730"/>
        <v>0</v>
      </c>
      <c r="BP327" s="583">
        <f t="shared" si="731"/>
        <v>0</v>
      </c>
      <c r="BQ327" s="583">
        <f t="shared" si="732"/>
        <v>0</v>
      </c>
      <c r="BR327" s="583">
        <f t="shared" si="733"/>
        <v>0</v>
      </c>
    </row>
    <row r="328" spans="1:70" s="603" customFormat="1" ht="56">
      <c r="A328" s="643"/>
      <c r="B328" s="593"/>
      <c r="C328" s="522"/>
      <c r="D328" s="141"/>
      <c r="E328" s="594"/>
      <c r="F328" s="708"/>
      <c r="G328" s="522"/>
      <c r="H328" s="522"/>
      <c r="I328" s="86"/>
      <c r="J328" s="87"/>
      <c r="K328" s="595"/>
      <c r="L328" s="596"/>
      <c r="M328" s="849"/>
      <c r="N328" s="849"/>
      <c r="O328" s="648"/>
      <c r="P328" s="654"/>
      <c r="Q328" s="599" t="s">
        <v>384</v>
      </c>
      <c r="R328" s="600" t="s">
        <v>455</v>
      </c>
      <c r="S328" s="600" t="s">
        <v>2087</v>
      </c>
      <c r="T328" s="600" t="s">
        <v>456</v>
      </c>
      <c r="U328" s="600" t="s">
        <v>535</v>
      </c>
      <c r="V328" s="601" t="s">
        <v>457</v>
      </c>
      <c r="W328" s="600" t="s">
        <v>75</v>
      </c>
      <c r="X328" s="600" t="s">
        <v>385</v>
      </c>
      <c r="Y328" s="600" t="s">
        <v>386</v>
      </c>
      <c r="Z328" s="600" t="s">
        <v>387</v>
      </c>
      <c r="AA328" s="600" t="s">
        <v>388</v>
      </c>
      <c r="AB328" s="601" t="s">
        <v>389</v>
      </c>
      <c r="AC328" s="602" t="s">
        <v>390</v>
      </c>
      <c r="AD328" s="600" t="s">
        <v>391</v>
      </c>
      <c r="AE328" s="600" t="s">
        <v>392</v>
      </c>
      <c r="AF328" s="600" t="s">
        <v>393</v>
      </c>
      <c r="AG328" s="600" t="s">
        <v>394</v>
      </c>
      <c r="AH328" s="600" t="s">
        <v>395</v>
      </c>
      <c r="AI328" s="600" t="s">
        <v>396</v>
      </c>
      <c r="AJ328" s="601" t="s">
        <v>397</v>
      </c>
      <c r="AK328" s="602" t="s">
        <v>398</v>
      </c>
      <c r="AL328" s="600" t="s">
        <v>399</v>
      </c>
      <c r="AM328" s="600" t="s">
        <v>400</v>
      </c>
      <c r="AN328" s="600" t="s">
        <v>401</v>
      </c>
      <c r="AO328" s="600" t="s">
        <v>402</v>
      </c>
      <c r="AP328" s="600" t="s">
        <v>406</v>
      </c>
      <c r="AQ328" s="600" t="s">
        <v>405</v>
      </c>
      <c r="AR328" s="600" t="s">
        <v>403</v>
      </c>
      <c r="AS328" s="601" t="s">
        <v>404</v>
      </c>
      <c r="AT328" s="593"/>
      <c r="AU328" s="593"/>
    </row>
    <row r="329" spans="1:70" s="229" customFormat="1">
      <c r="A329" s="643"/>
      <c r="B329" s="522"/>
      <c r="C329" s="522"/>
      <c r="D329" s="141"/>
      <c r="E329" s="594"/>
      <c r="F329" s="708"/>
      <c r="G329" s="522"/>
      <c r="H329" s="522"/>
      <c r="I329" s="86"/>
      <c r="J329" s="87"/>
      <c r="K329" s="595"/>
      <c r="L329" s="604"/>
      <c r="M329" s="648"/>
      <c r="N329" s="648"/>
      <c r="O329" s="648"/>
      <c r="P329" s="655" t="s">
        <v>383</v>
      </c>
      <c r="Q329" s="583">
        <f>SUM(Q308:Q327)</f>
        <v>0</v>
      </c>
      <c r="R329" s="583">
        <f t="shared" ref="R329:V329" si="736">SUM(R308:R327)</f>
        <v>0</v>
      </c>
      <c r="S329" s="583">
        <f>SUM(S308:S327)</f>
        <v>0</v>
      </c>
      <c r="T329" s="583">
        <f t="shared" si="736"/>
        <v>0</v>
      </c>
      <c r="U329" s="583">
        <f t="shared" si="736"/>
        <v>0</v>
      </c>
      <c r="V329" s="549">
        <f t="shared" si="736"/>
        <v>0</v>
      </c>
      <c r="W329" s="583">
        <f t="shared" ref="W329:AU329" si="737">SUM(W308:W327)</f>
        <v>0</v>
      </c>
      <c r="X329" s="583">
        <f t="shared" si="737"/>
        <v>0</v>
      </c>
      <c r="Y329" s="583">
        <f t="shared" si="737"/>
        <v>0</v>
      </c>
      <c r="Z329" s="583">
        <f t="shared" si="737"/>
        <v>0</v>
      </c>
      <c r="AA329" s="583">
        <f t="shared" si="737"/>
        <v>0</v>
      </c>
      <c r="AB329" s="549">
        <f t="shared" si="737"/>
        <v>0</v>
      </c>
      <c r="AC329" s="583">
        <f t="shared" si="737"/>
        <v>0</v>
      </c>
      <c r="AD329" s="583">
        <f t="shared" si="737"/>
        <v>0</v>
      </c>
      <c r="AE329" s="583">
        <f t="shared" si="737"/>
        <v>0</v>
      </c>
      <c r="AF329" s="583">
        <f t="shared" si="737"/>
        <v>0</v>
      </c>
      <c r="AG329" s="583">
        <f t="shared" si="737"/>
        <v>0</v>
      </c>
      <c r="AH329" s="583">
        <f t="shared" si="737"/>
        <v>0</v>
      </c>
      <c r="AI329" s="583">
        <f t="shared" si="737"/>
        <v>0</v>
      </c>
      <c r="AJ329" s="549">
        <f t="shared" si="737"/>
        <v>0</v>
      </c>
      <c r="AK329" s="583">
        <f t="shared" si="737"/>
        <v>0</v>
      </c>
      <c r="AL329" s="583">
        <f t="shared" si="737"/>
        <v>0</v>
      </c>
      <c r="AM329" s="583">
        <f t="shared" si="737"/>
        <v>0</v>
      </c>
      <c r="AN329" s="583">
        <f t="shared" si="737"/>
        <v>0</v>
      </c>
      <c r="AO329" s="583">
        <f t="shared" si="737"/>
        <v>0</v>
      </c>
      <c r="AP329" s="583">
        <f t="shared" si="737"/>
        <v>0</v>
      </c>
      <c r="AQ329" s="583">
        <f t="shared" si="737"/>
        <v>0</v>
      </c>
      <c r="AR329" s="583">
        <f t="shared" si="737"/>
        <v>0</v>
      </c>
      <c r="AS329" s="549">
        <f t="shared" si="737"/>
        <v>0</v>
      </c>
      <c r="AT329" s="583">
        <f t="shared" si="737"/>
        <v>0</v>
      </c>
      <c r="AU329" s="583">
        <f t="shared" si="737"/>
        <v>0</v>
      </c>
      <c r="AV329" s="583">
        <f>SUM(AV308:AV327)</f>
        <v>0</v>
      </c>
      <c r="AW329" s="583">
        <f t="shared" ref="AW329:BR329" si="738">SUM(AW308:AW327)</f>
        <v>0</v>
      </c>
      <c r="AX329" s="583">
        <f t="shared" si="738"/>
        <v>0</v>
      </c>
      <c r="AY329" s="583">
        <f t="shared" si="738"/>
        <v>0</v>
      </c>
      <c r="AZ329" s="583">
        <f t="shared" si="738"/>
        <v>0</v>
      </c>
      <c r="BA329" s="583">
        <f t="shared" si="738"/>
        <v>0</v>
      </c>
      <c r="BB329" s="583">
        <f t="shared" si="738"/>
        <v>0</v>
      </c>
      <c r="BC329" s="583">
        <f t="shared" si="738"/>
        <v>0</v>
      </c>
      <c r="BD329" s="583">
        <f t="shared" si="738"/>
        <v>0</v>
      </c>
      <c r="BE329" s="583">
        <f t="shared" si="738"/>
        <v>0</v>
      </c>
      <c r="BF329" s="583">
        <f t="shared" si="738"/>
        <v>0</v>
      </c>
      <c r="BG329" s="583">
        <f t="shared" si="738"/>
        <v>0</v>
      </c>
      <c r="BH329" s="583">
        <f t="shared" si="738"/>
        <v>0</v>
      </c>
      <c r="BI329" s="583">
        <f t="shared" si="738"/>
        <v>0</v>
      </c>
      <c r="BJ329" s="583">
        <f t="shared" si="738"/>
        <v>0</v>
      </c>
      <c r="BK329" s="583">
        <f t="shared" si="738"/>
        <v>0</v>
      </c>
      <c r="BL329" s="583">
        <f t="shared" si="738"/>
        <v>0</v>
      </c>
      <c r="BM329" s="583">
        <f t="shared" si="738"/>
        <v>0</v>
      </c>
      <c r="BN329" s="583">
        <f t="shared" si="738"/>
        <v>0</v>
      </c>
      <c r="BO329" s="583">
        <f t="shared" si="738"/>
        <v>0</v>
      </c>
      <c r="BP329" s="583">
        <f t="shared" si="738"/>
        <v>0</v>
      </c>
      <c r="BQ329" s="583">
        <f t="shared" si="738"/>
        <v>0</v>
      </c>
      <c r="BR329" s="583">
        <f t="shared" si="738"/>
        <v>0</v>
      </c>
    </row>
    <row r="330" spans="1:70" s="229" customFormat="1">
      <c r="A330" s="643"/>
      <c r="B330" s="522"/>
      <c r="C330" s="522"/>
      <c r="D330" s="141"/>
      <c r="E330" s="594"/>
      <c r="F330" s="708"/>
      <c r="G330" s="522"/>
      <c r="H330" s="522"/>
      <c r="I330" s="86"/>
      <c r="J330" s="87"/>
      <c r="K330" s="595"/>
      <c r="L330" s="604"/>
      <c r="M330" s="648"/>
      <c r="N330" s="648"/>
      <c r="O330" s="648"/>
      <c r="P330" s="655" t="s">
        <v>538</v>
      </c>
      <c r="V330" s="527" t="s">
        <v>588</v>
      </c>
      <c r="W330" s="229">
        <v>649.25</v>
      </c>
      <c r="X330" s="229">
        <v>81.199999999999989</v>
      </c>
      <c r="Y330" s="229">
        <v>20.299999999999997</v>
      </c>
      <c r="Z330" s="229">
        <v>21.7</v>
      </c>
      <c r="AA330" s="229">
        <v>6.6499999999999995</v>
      </c>
      <c r="AB330" s="526">
        <v>7</v>
      </c>
      <c r="AC330" s="229">
        <v>482.99999999999994</v>
      </c>
      <c r="AD330" s="229">
        <v>630</v>
      </c>
      <c r="AE330" s="229">
        <v>315</v>
      </c>
      <c r="AF330" s="229">
        <v>59.499999999999993</v>
      </c>
      <c r="AG330" s="229">
        <v>280</v>
      </c>
      <c r="AH330" s="229">
        <v>3.5</v>
      </c>
      <c r="AI330" s="229">
        <v>2.4499999999999997</v>
      </c>
      <c r="AJ330" s="526">
        <v>0.4375</v>
      </c>
      <c r="AK330" s="229">
        <v>280</v>
      </c>
      <c r="AL330" s="229">
        <v>0.35</v>
      </c>
      <c r="AM330" s="229">
        <v>0.38500000000000001</v>
      </c>
      <c r="AN330" s="229">
        <v>4.1999999999999993</v>
      </c>
      <c r="AO330" s="229">
        <v>0.24499999999999997</v>
      </c>
      <c r="AP330" s="229">
        <v>105</v>
      </c>
      <c r="AQ330" s="229">
        <v>0.63</v>
      </c>
      <c r="AR330" s="229">
        <v>28</v>
      </c>
      <c r="AS330" s="526">
        <v>1.75</v>
      </c>
      <c r="AV330" s="229">
        <v>649.25</v>
      </c>
      <c r="AW330" s="229">
        <v>81.199999999999989</v>
      </c>
      <c r="AX330" s="229">
        <v>20.299999999999997</v>
      </c>
      <c r="AY330" s="229">
        <v>21.7</v>
      </c>
      <c r="AZ330" s="229">
        <v>6.6499999999999995</v>
      </c>
      <c r="BA330" s="526">
        <v>7</v>
      </c>
      <c r="BB330" s="229">
        <v>482.99999999999994</v>
      </c>
      <c r="BC330" s="229">
        <v>630</v>
      </c>
      <c r="BD330" s="229">
        <v>315</v>
      </c>
      <c r="BE330" s="229">
        <v>59.499999999999993</v>
      </c>
      <c r="BF330" s="229">
        <v>280</v>
      </c>
      <c r="BG330" s="229">
        <v>3.5</v>
      </c>
      <c r="BH330" s="229">
        <v>2.4499999999999997</v>
      </c>
      <c r="BI330" s="526">
        <v>0.4375</v>
      </c>
      <c r="BJ330" s="229">
        <v>280</v>
      </c>
      <c r="BK330" s="229">
        <v>0.35</v>
      </c>
      <c r="BL330" s="229">
        <v>0.38500000000000001</v>
      </c>
      <c r="BM330" s="229">
        <v>4.1999999999999993</v>
      </c>
      <c r="BN330" s="229">
        <v>0.24499999999999997</v>
      </c>
      <c r="BO330" s="229">
        <v>105</v>
      </c>
      <c r="BP330" s="229">
        <v>0.63</v>
      </c>
      <c r="BQ330" s="229">
        <v>28</v>
      </c>
      <c r="BR330" s="526">
        <v>1.75</v>
      </c>
    </row>
    <row r="331" spans="1:70" s="229" customFormat="1">
      <c r="A331" s="643"/>
      <c r="B331" s="522"/>
      <c r="C331" s="522"/>
      <c r="D331" s="141"/>
      <c r="E331" s="594"/>
      <c r="F331" s="708"/>
      <c r="G331" s="522"/>
      <c r="H331" s="522"/>
      <c r="I331" s="86"/>
      <c r="J331" s="87"/>
      <c r="K331" s="595"/>
      <c r="L331" s="604"/>
      <c r="M331" s="648"/>
      <c r="N331" s="648"/>
      <c r="O331" s="648"/>
      <c r="P331" s="655" t="s">
        <v>407</v>
      </c>
      <c r="V331" s="526"/>
      <c r="W331" s="514">
        <f t="shared" ref="W331:AS331" si="739">100*W329/W330</f>
        <v>0</v>
      </c>
      <c r="X331" s="514">
        <f t="shared" si="739"/>
        <v>0</v>
      </c>
      <c r="Y331" s="514">
        <f t="shared" si="739"/>
        <v>0</v>
      </c>
      <c r="Z331" s="514">
        <f t="shared" si="739"/>
        <v>0</v>
      </c>
      <c r="AA331" s="514">
        <f t="shared" si="739"/>
        <v>0</v>
      </c>
      <c r="AB331" s="506">
        <f t="shared" si="739"/>
        <v>0</v>
      </c>
      <c r="AC331" s="514">
        <f t="shared" si="739"/>
        <v>0</v>
      </c>
      <c r="AD331" s="514">
        <f t="shared" si="739"/>
        <v>0</v>
      </c>
      <c r="AE331" s="514">
        <f t="shared" si="739"/>
        <v>0</v>
      </c>
      <c r="AF331" s="514">
        <f t="shared" si="739"/>
        <v>0</v>
      </c>
      <c r="AG331" s="514">
        <f t="shared" si="739"/>
        <v>0</v>
      </c>
      <c r="AH331" s="514">
        <f t="shared" si="739"/>
        <v>0</v>
      </c>
      <c r="AI331" s="514">
        <f t="shared" si="739"/>
        <v>0</v>
      </c>
      <c r="AJ331" s="506">
        <f t="shared" si="739"/>
        <v>0</v>
      </c>
      <c r="AK331" s="514">
        <f t="shared" si="739"/>
        <v>0</v>
      </c>
      <c r="AL331" s="514">
        <f t="shared" si="739"/>
        <v>0</v>
      </c>
      <c r="AM331" s="514">
        <f t="shared" si="739"/>
        <v>0</v>
      </c>
      <c r="AN331" s="514">
        <f t="shared" si="739"/>
        <v>0</v>
      </c>
      <c r="AO331" s="514">
        <f t="shared" si="739"/>
        <v>0</v>
      </c>
      <c r="AP331" s="514">
        <f t="shared" si="739"/>
        <v>0</v>
      </c>
      <c r="AQ331" s="514">
        <f t="shared" si="739"/>
        <v>0</v>
      </c>
      <c r="AR331" s="514">
        <f t="shared" si="739"/>
        <v>0</v>
      </c>
      <c r="AS331" s="506">
        <f t="shared" si="739"/>
        <v>0</v>
      </c>
      <c r="AV331" s="514">
        <f t="shared" ref="AV331:BR331" si="740">100*AV329/AV330</f>
        <v>0</v>
      </c>
      <c r="AW331" s="514">
        <f t="shared" si="740"/>
        <v>0</v>
      </c>
      <c r="AX331" s="514">
        <f t="shared" si="740"/>
        <v>0</v>
      </c>
      <c r="AY331" s="514">
        <f t="shared" si="740"/>
        <v>0</v>
      </c>
      <c r="AZ331" s="514">
        <f t="shared" si="740"/>
        <v>0</v>
      </c>
      <c r="BA331" s="506">
        <f t="shared" si="740"/>
        <v>0</v>
      </c>
      <c r="BB331" s="514">
        <f t="shared" si="740"/>
        <v>0</v>
      </c>
      <c r="BC331" s="514">
        <f t="shared" si="740"/>
        <v>0</v>
      </c>
      <c r="BD331" s="514">
        <f t="shared" si="740"/>
        <v>0</v>
      </c>
      <c r="BE331" s="514">
        <f t="shared" si="740"/>
        <v>0</v>
      </c>
      <c r="BF331" s="514">
        <f t="shared" si="740"/>
        <v>0</v>
      </c>
      <c r="BG331" s="514">
        <f t="shared" si="740"/>
        <v>0</v>
      </c>
      <c r="BH331" s="514">
        <f t="shared" si="740"/>
        <v>0</v>
      </c>
      <c r="BI331" s="506">
        <f t="shared" si="740"/>
        <v>0</v>
      </c>
      <c r="BJ331" s="514">
        <f t="shared" si="740"/>
        <v>0</v>
      </c>
      <c r="BK331" s="514">
        <f t="shared" si="740"/>
        <v>0</v>
      </c>
      <c r="BL331" s="514">
        <f t="shared" si="740"/>
        <v>0</v>
      </c>
      <c r="BM331" s="514">
        <f t="shared" si="740"/>
        <v>0</v>
      </c>
      <c r="BN331" s="514">
        <f t="shared" si="740"/>
        <v>0</v>
      </c>
      <c r="BO331" s="514">
        <f t="shared" si="740"/>
        <v>0</v>
      </c>
      <c r="BP331" s="514">
        <f t="shared" si="740"/>
        <v>0</v>
      </c>
      <c r="BQ331" s="514">
        <f t="shared" si="740"/>
        <v>0</v>
      </c>
      <c r="BR331" s="506">
        <f t="shared" si="740"/>
        <v>0</v>
      </c>
    </row>
    <row r="332" spans="1:70" s="229" customFormat="1">
      <c r="A332" s="643"/>
      <c r="B332" s="522"/>
      <c r="C332" s="522"/>
      <c r="D332" s="141"/>
      <c r="E332" s="594"/>
      <c r="F332" s="708"/>
      <c r="G332" s="522"/>
      <c r="H332" s="522"/>
      <c r="I332" s="86"/>
      <c r="J332" s="87"/>
      <c r="K332" s="595"/>
      <c r="L332" s="604"/>
      <c r="M332" s="648"/>
      <c r="N332" s="648"/>
      <c r="O332" s="648"/>
      <c r="P332" s="655" t="s">
        <v>548</v>
      </c>
      <c r="V332" s="526"/>
      <c r="W332" s="583">
        <f>AV329</f>
        <v>0</v>
      </c>
      <c r="X332" s="583">
        <f t="shared" ref="X332" si="741">AW329</f>
        <v>0</v>
      </c>
      <c r="Y332" s="583">
        <f t="shared" ref="Y332" si="742">AX329</f>
        <v>0</v>
      </c>
      <c r="Z332" s="583">
        <f t="shared" ref="Z332" si="743">AY329</f>
        <v>0</v>
      </c>
      <c r="AA332" s="583">
        <f t="shared" ref="AA332" si="744">AZ329</f>
        <v>0</v>
      </c>
      <c r="AB332" s="549">
        <f t="shared" ref="AB332" si="745">BA329</f>
        <v>0</v>
      </c>
      <c r="AC332" s="583">
        <f t="shared" ref="AC332" si="746">BB329</f>
        <v>0</v>
      </c>
      <c r="AD332" s="583">
        <f t="shared" ref="AD332" si="747">BC329</f>
        <v>0</v>
      </c>
      <c r="AE332" s="583">
        <f t="shared" ref="AE332" si="748">BD329</f>
        <v>0</v>
      </c>
      <c r="AF332" s="583">
        <f t="shared" ref="AF332" si="749">BE329</f>
        <v>0</v>
      </c>
      <c r="AG332" s="583">
        <f t="shared" ref="AG332" si="750">BF329</f>
        <v>0</v>
      </c>
      <c r="AH332" s="583">
        <f t="shared" ref="AH332" si="751">BG329</f>
        <v>0</v>
      </c>
      <c r="AI332" s="583">
        <f t="shared" ref="AI332" si="752">BH329</f>
        <v>0</v>
      </c>
      <c r="AJ332" s="549">
        <f t="shared" ref="AJ332" si="753">BI329</f>
        <v>0</v>
      </c>
      <c r="AK332" s="583">
        <f t="shared" ref="AK332" si="754">BJ329</f>
        <v>0</v>
      </c>
      <c r="AL332" s="583">
        <f t="shared" ref="AL332" si="755">BK329</f>
        <v>0</v>
      </c>
      <c r="AM332" s="583">
        <f t="shared" ref="AM332" si="756">BL329</f>
        <v>0</v>
      </c>
      <c r="AN332" s="583">
        <f>BM329</f>
        <v>0</v>
      </c>
      <c r="AO332" s="583">
        <f t="shared" ref="AO332" si="757">BN329</f>
        <v>0</v>
      </c>
      <c r="AP332" s="583">
        <f t="shared" ref="AP332" si="758">BO329</f>
        <v>0</v>
      </c>
      <c r="AQ332" s="583">
        <f t="shared" ref="AQ332" si="759">BP329</f>
        <v>0</v>
      </c>
      <c r="AR332" s="583">
        <f t="shared" ref="AR332" si="760">BQ329</f>
        <v>0</v>
      </c>
      <c r="AS332" s="549">
        <f>BR329</f>
        <v>0</v>
      </c>
    </row>
    <row r="333" spans="1:70" s="229" customFormat="1">
      <c r="A333" s="643"/>
      <c r="B333" s="522"/>
      <c r="C333" s="522"/>
      <c r="D333" s="141"/>
      <c r="E333" s="594"/>
      <c r="F333" s="708"/>
      <c r="G333" s="522"/>
      <c r="H333" s="522"/>
      <c r="I333" s="86"/>
      <c r="J333" s="87"/>
      <c r="K333" s="595"/>
      <c r="L333" s="604"/>
      <c r="M333" s="648"/>
      <c r="N333" s="648"/>
      <c r="O333" s="648"/>
      <c r="P333" s="655" t="s">
        <v>543</v>
      </c>
      <c r="V333" s="526"/>
      <c r="W333" s="514">
        <f t="shared" ref="W333:AS333" si="761">AV331</f>
        <v>0</v>
      </c>
      <c r="X333" s="514">
        <f t="shared" si="761"/>
        <v>0</v>
      </c>
      <c r="Y333" s="514">
        <f t="shared" si="761"/>
        <v>0</v>
      </c>
      <c r="Z333" s="514">
        <f t="shared" si="761"/>
        <v>0</v>
      </c>
      <c r="AA333" s="514">
        <f t="shared" si="761"/>
        <v>0</v>
      </c>
      <c r="AB333" s="506">
        <f t="shared" si="761"/>
        <v>0</v>
      </c>
      <c r="AC333" s="514">
        <f t="shared" si="761"/>
        <v>0</v>
      </c>
      <c r="AD333" s="514">
        <f t="shared" si="761"/>
        <v>0</v>
      </c>
      <c r="AE333" s="514">
        <f t="shared" si="761"/>
        <v>0</v>
      </c>
      <c r="AF333" s="514">
        <f t="shared" si="761"/>
        <v>0</v>
      </c>
      <c r="AG333" s="514">
        <f t="shared" si="761"/>
        <v>0</v>
      </c>
      <c r="AH333" s="514">
        <f t="shared" si="761"/>
        <v>0</v>
      </c>
      <c r="AI333" s="514">
        <f t="shared" si="761"/>
        <v>0</v>
      </c>
      <c r="AJ333" s="506">
        <f t="shared" si="761"/>
        <v>0</v>
      </c>
      <c r="AK333" s="514">
        <f t="shared" si="761"/>
        <v>0</v>
      </c>
      <c r="AL333" s="514">
        <f t="shared" si="761"/>
        <v>0</v>
      </c>
      <c r="AM333" s="514">
        <f t="shared" si="761"/>
        <v>0</v>
      </c>
      <c r="AN333" s="514">
        <f t="shared" si="761"/>
        <v>0</v>
      </c>
      <c r="AO333" s="514">
        <f t="shared" si="761"/>
        <v>0</v>
      </c>
      <c r="AP333" s="514">
        <f t="shared" si="761"/>
        <v>0</v>
      </c>
      <c r="AQ333" s="514">
        <f t="shared" si="761"/>
        <v>0</v>
      </c>
      <c r="AR333" s="514">
        <f t="shared" si="761"/>
        <v>0</v>
      </c>
      <c r="AS333" s="506">
        <f t="shared" si="761"/>
        <v>0</v>
      </c>
      <c r="AV333" s="514"/>
      <c r="AW333" s="514"/>
      <c r="AX333" s="514"/>
      <c r="AY333" s="514"/>
      <c r="AZ333" s="514"/>
      <c r="BA333" s="505"/>
      <c r="BB333" s="514"/>
      <c r="BC333" s="514"/>
      <c r="BD333" s="514"/>
      <c r="BE333" s="514"/>
      <c r="BF333" s="514"/>
      <c r="BG333" s="514"/>
      <c r="BH333" s="514"/>
      <c r="BI333" s="505"/>
      <c r="BJ333" s="514"/>
      <c r="BK333" s="514"/>
      <c r="BL333" s="514"/>
      <c r="BM333" s="514"/>
      <c r="BN333" s="514"/>
      <c r="BO333" s="514"/>
      <c r="BP333" s="514"/>
      <c r="BQ333" s="514"/>
      <c r="BR333" s="505"/>
    </row>
    <row r="334" spans="1:70" s="229" customFormat="1" ht="15" thickBot="1">
      <c r="A334" s="643"/>
      <c r="B334" s="643"/>
      <c r="C334" s="643"/>
      <c r="D334" s="687"/>
      <c r="E334" s="644"/>
      <c r="F334" s="713"/>
      <c r="G334" s="645" t="s">
        <v>3054</v>
      </c>
      <c r="H334" s="656"/>
      <c r="I334" s="688"/>
      <c r="J334" s="688"/>
      <c r="K334" s="643"/>
      <c r="L334" s="647"/>
      <c r="M334" s="647"/>
      <c r="N334" s="647"/>
      <c r="O334" s="648"/>
      <c r="P334" s="643"/>
      <c r="Q334" s="643"/>
      <c r="R334" s="643"/>
      <c r="S334" s="643"/>
      <c r="T334" s="643"/>
      <c r="U334" s="657"/>
      <c r="V334" s="658"/>
      <c r="W334" s="643"/>
      <c r="X334" s="643"/>
      <c r="Y334" s="643"/>
      <c r="Z334" s="643"/>
      <c r="AA334" s="652">
        <f>COUNTIF(AA335:AA346,"&lt;0")</f>
        <v>1</v>
      </c>
      <c r="AB334" s="652">
        <f t="shared" ref="AB334:AS334" si="762">COUNTIF(AB335:AB346,"&lt;0")</f>
        <v>1</v>
      </c>
      <c r="AC334" s="652">
        <f t="shared" si="762"/>
        <v>1</v>
      </c>
      <c r="AD334" s="652">
        <f t="shared" si="762"/>
        <v>1</v>
      </c>
      <c r="AE334" s="652">
        <f t="shared" si="762"/>
        <v>1</v>
      </c>
      <c r="AF334" s="652">
        <f t="shared" si="762"/>
        <v>1</v>
      </c>
      <c r="AG334" s="652">
        <f t="shared" si="762"/>
        <v>1</v>
      </c>
      <c r="AH334" s="652">
        <f t="shared" si="762"/>
        <v>1</v>
      </c>
      <c r="AI334" s="652">
        <f t="shared" si="762"/>
        <v>1</v>
      </c>
      <c r="AJ334" s="652">
        <f t="shared" si="762"/>
        <v>1</v>
      </c>
      <c r="AK334" s="652">
        <f t="shared" si="762"/>
        <v>1</v>
      </c>
      <c r="AL334" s="652">
        <f t="shared" si="762"/>
        <v>1</v>
      </c>
      <c r="AM334" s="652">
        <f t="shared" si="762"/>
        <v>1</v>
      </c>
      <c r="AN334" s="652">
        <f t="shared" si="762"/>
        <v>1</v>
      </c>
      <c r="AO334" s="652">
        <f t="shared" si="762"/>
        <v>1</v>
      </c>
      <c r="AP334" s="652">
        <f t="shared" si="762"/>
        <v>1</v>
      </c>
      <c r="AQ334" s="652">
        <f t="shared" si="762"/>
        <v>2</v>
      </c>
      <c r="AR334" s="652">
        <f t="shared" si="762"/>
        <v>1</v>
      </c>
      <c r="AS334" s="652">
        <f t="shared" si="762"/>
        <v>2</v>
      </c>
      <c r="AT334" s="1299"/>
      <c r="AU334" s="1299"/>
    </row>
    <row r="335" spans="1:70" s="229" customFormat="1" ht="15" customHeight="1" thickBot="1">
      <c r="A335" s="643"/>
      <c r="B335" s="575" t="s">
        <v>3067</v>
      </c>
      <c r="C335" s="229" t="s">
        <v>1362</v>
      </c>
      <c r="D335" s="85"/>
      <c r="E335" s="577">
        <v>100</v>
      </c>
      <c r="F335" s="85" t="s">
        <v>3905</v>
      </c>
      <c r="G335" s="406" t="s">
        <v>3083</v>
      </c>
      <c r="H335" s="578" t="s">
        <v>3414</v>
      </c>
      <c r="I335" s="85">
        <v>25</v>
      </c>
      <c r="J335" s="682">
        <v>1</v>
      </c>
      <c r="K335" s="579">
        <f t="shared" ref="K335:K346" si="763">IF(I335&gt;0,1.1*Q335*E335/1000,"")</f>
        <v>2.7500000000000004</v>
      </c>
      <c r="L335" s="580">
        <f>IF(H335="Select ingredient:","",IF(G335="","",_xlfn.IFNA(VLOOKUP($H335,Ingredient_prices!$E:$U,16,FALSE),0)))</f>
        <v>564</v>
      </c>
      <c r="M335" s="848"/>
      <c r="N335" s="1228">
        <f>$W348</f>
        <v>395.01614498175491</v>
      </c>
      <c r="O335" s="648"/>
      <c r="P335" s="653"/>
      <c r="Q335" s="583">
        <f t="shared" ref="Q335:Q346" si="764">I335/J335</f>
        <v>25</v>
      </c>
      <c r="R335" s="583">
        <f>VLOOKUP($H335,'CO2_emission+%_food_waste'!$A:$K,6,FALSE)*$Q335/100</f>
        <v>-2.5000000000000001E-5</v>
      </c>
      <c r="S335" s="583">
        <f t="shared" ref="S335:S346" si="765">Q335-R335</f>
        <v>25.000025000000001</v>
      </c>
      <c r="T335" s="583">
        <f>IF(H335="Select ingredient:","",IF(G335="Select food category:","",_xlfn.IFNA(VLOOKUP($H335,Ingredient_prices!$E:$U,16,FALSE)*$Q335/1000,"not bought")))</f>
        <v>14.1</v>
      </c>
      <c r="U335" s="583">
        <f>IF(G335="Select food category:","",_xlfn.IFNA(VLOOKUP($H335,Ingredient_prices!$E:$U,16,FALSE)*$R335/1000,"not bought"))</f>
        <v>-1.4100000000000002E-5</v>
      </c>
      <c r="V335" s="549">
        <f>VLOOKUP($H335,'CO2_emission+%_food_waste'!$A:$K,4,FALSE)*$Q335</f>
        <v>30</v>
      </c>
      <c r="W335" s="583">
        <f>VLOOKUP($H335,Nutrition_tables!$A:$N,10,FALSE)*$Q335/100</f>
        <v>11</v>
      </c>
      <c r="X335" s="583">
        <f>VLOOKUP($H335,Nutrition_tables!$A:$N,11,FALSE)*$Q335/100</f>
        <v>3</v>
      </c>
      <c r="Y335" s="583">
        <f>VLOOKUP($H335,Nutrition_tables!$A:$N,12,FALSE)*$Q335/100</f>
        <v>0</v>
      </c>
      <c r="Z335" s="583">
        <f>VLOOKUP($H335,Nutrition_tables!$A:$N,14,FALSE)*$Q335/100</f>
        <v>0</v>
      </c>
      <c r="AA335" s="583">
        <f>VLOOKUP($H335,Nutrition_tables!$A:$AF,13,FALSE)*$Q335/100</f>
        <v>-1E-4</v>
      </c>
      <c r="AB335" s="549">
        <f>VLOOKUP($H335,Nutrition_tables!$A:$AF,15,FALSE)*$Q335/100</f>
        <v>-1E-4</v>
      </c>
      <c r="AC335" s="583">
        <f>VLOOKUP($H335,Nutrition_tables!$A:$AF,16,FALSE)*$Q335/100</f>
        <v>-1E-4</v>
      </c>
      <c r="AD335" s="583">
        <f>VLOOKUP($H335,Nutrition_tables!$A:$AF,17,FALSE)*$Q335/100</f>
        <v>-1E-4</v>
      </c>
      <c r="AE335" s="583">
        <f>VLOOKUP($H335,Nutrition_tables!$A:$AF,18,FALSE)*$Q335/100</f>
        <v>-1E-4</v>
      </c>
      <c r="AF335" s="583">
        <f>VLOOKUP($H335,Nutrition_tables!$A:$AF,19,FALSE)*$Q335/100</f>
        <v>-1E-4</v>
      </c>
      <c r="AG335" s="583">
        <f>VLOOKUP($H335,Nutrition_tables!$A:$AF,20,FALSE)*$Q335/100</f>
        <v>-1E-4</v>
      </c>
      <c r="AH335" s="583">
        <f>VLOOKUP($H335,Nutrition_tables!$A:$AF,21,FALSE)*$Q335/100</f>
        <v>-1E-4</v>
      </c>
      <c r="AI335" s="583">
        <f>VLOOKUP($H335,Nutrition_tables!$A:$AF,22,FALSE)*$Q335/100</f>
        <v>-1E-4</v>
      </c>
      <c r="AJ335" s="549">
        <f>VLOOKUP($H335,Nutrition_tables!$A:$AF,23,FALSE)*$Q335/100</f>
        <v>-1E-4</v>
      </c>
      <c r="AK335" s="583">
        <f>VLOOKUP($H335,Nutrition_tables!$A:$AF,24,FALSE)*$Q335/100</f>
        <v>-1E-4</v>
      </c>
      <c r="AL335" s="583">
        <f>VLOOKUP($H335,Nutrition_tables!$A:$AF,25,FALSE)*$Q335/100</f>
        <v>-1E-4</v>
      </c>
      <c r="AM335" s="583">
        <f>VLOOKUP($H335,Nutrition_tables!$A:$AF,26,FALSE)*$Q335/100</f>
        <v>-1E-4</v>
      </c>
      <c r="AN335" s="583">
        <f>VLOOKUP($H335,Nutrition_tables!$A:$AF,27,FALSE)*$Q335/100</f>
        <v>-1E-4</v>
      </c>
      <c r="AO335" s="583">
        <f>VLOOKUP($H335,Nutrition_tables!$A:$AF,28,FALSE)*$Q335/100</f>
        <v>-1E-4</v>
      </c>
      <c r="AP335" s="583">
        <f>VLOOKUP($H335,Nutrition_tables!$A:$AF,29,FALSE)*$Q335/100</f>
        <v>-1E-4</v>
      </c>
      <c r="AQ335" s="583">
        <f>VLOOKUP($H335,Nutrition_tables!$A:$AF,30,FALSE)*$Q335/100</f>
        <v>-1E-4</v>
      </c>
      <c r="AR335" s="583">
        <f>VLOOKUP($H335,Nutrition_tables!$A:$AF,31,FALSE)*$Q335/100</f>
        <v>-1E-4</v>
      </c>
      <c r="AS335" s="549">
        <f>VLOOKUP($H335,Nutrition_tables!$A:$AF,32,FALSE)*$Q335/100</f>
        <v>-1E-4</v>
      </c>
      <c r="AT335" s="583">
        <f>IF(H335="Select ingredient:","",IF(G335="Select food category:","",IFERROR(VLOOKUP($H335,Ingredient_prices!$E:$W,17,FALSE)*$Q335/1000,"not bought")))</f>
        <v>14.1</v>
      </c>
      <c r="AU335" s="583">
        <f>IF(H335="Select ingredient:","",IF(G335="Select food category:","",IFERROR(VLOOKUP($H335,Ingredient_prices!$E:$W,18,FALSE)*$Q335/1000,"not bought")))</f>
        <v>14.1</v>
      </c>
      <c r="AV335" s="583">
        <f t="shared" ref="AV335:AV346" si="766">W335*($Q335-$R335)/($Q335+0.00001)</f>
        <v>11.000006599997359</v>
      </c>
      <c r="AW335" s="583">
        <f t="shared" ref="AW335:AW346" si="767">X335*($Q335-$R335)/($Q335+0.00001)</f>
        <v>3.0000017999992803</v>
      </c>
      <c r="AX335" s="583">
        <f t="shared" ref="AX335:AX346" si="768">Y335*($Q335-$R335)/($Q335+0.00001)</f>
        <v>0</v>
      </c>
      <c r="AY335" s="583">
        <f t="shared" ref="AY335:AY346" si="769">Z335*($Q335-$R335)/($Q335+0.00001)</f>
        <v>0</v>
      </c>
      <c r="AZ335" s="583">
        <f t="shared" ref="AZ335:AZ346" si="770">AA335*($Q335-$R335)/($Q335+0.00001)</f>
        <v>-1.0000005999997601E-4</v>
      </c>
      <c r="BA335" s="583">
        <f t="shared" ref="BA335:BA346" si="771">AB335*($Q335-$R335)/($Q335+0.00001)</f>
        <v>-1.0000005999997601E-4</v>
      </c>
      <c r="BB335" s="583">
        <f t="shared" ref="BB335:BB346" si="772">AC335*($Q335-$R335)/($Q335+0.00001)</f>
        <v>-1.0000005999997601E-4</v>
      </c>
      <c r="BC335" s="583">
        <f t="shared" ref="BC335:BC346" si="773">AD335*($Q335-$R335)/($Q335+0.00001)</f>
        <v>-1.0000005999997601E-4</v>
      </c>
      <c r="BD335" s="583">
        <f t="shared" ref="BD335:BD346" si="774">AE335*($Q335-$R335)/($Q335+0.00001)</f>
        <v>-1.0000005999997601E-4</v>
      </c>
      <c r="BE335" s="583">
        <f t="shared" ref="BE335:BE346" si="775">AF335*($Q335-$R335)/($Q335+0.00001)</f>
        <v>-1.0000005999997601E-4</v>
      </c>
      <c r="BF335" s="583">
        <f t="shared" ref="BF335:BF346" si="776">AG335*($Q335-$R335)/($Q335+0.00001)</f>
        <v>-1.0000005999997601E-4</v>
      </c>
      <c r="BG335" s="583">
        <f t="shared" ref="BG335:BG346" si="777">AH335*($Q335-$R335)/($Q335+0.00001)</f>
        <v>-1.0000005999997601E-4</v>
      </c>
      <c r="BH335" s="583">
        <f t="shared" ref="BH335:BH346" si="778">AI335*($Q335-$R335)/($Q335+0.00001)</f>
        <v>-1.0000005999997601E-4</v>
      </c>
      <c r="BI335" s="583">
        <f t="shared" ref="BI335:BI346" si="779">AJ335*($Q335-$R335)/($Q335+0.00001)</f>
        <v>-1.0000005999997601E-4</v>
      </c>
      <c r="BJ335" s="583">
        <f t="shared" ref="BJ335:BJ346" si="780">AK335*($Q335-$R335)/($Q335+0.00001)</f>
        <v>-1.0000005999997601E-4</v>
      </c>
      <c r="BK335" s="583">
        <f t="shared" ref="BK335:BK346" si="781">AL335*($Q335-$R335)/($Q335+0.00001)</f>
        <v>-1.0000005999997601E-4</v>
      </c>
      <c r="BL335" s="583">
        <f t="shared" ref="BL335:BL346" si="782">AM335*($Q335-$R335)/($Q335+0.00001)</f>
        <v>-1.0000005999997601E-4</v>
      </c>
      <c r="BM335" s="583">
        <f t="shared" ref="BM335:BM346" si="783">AN335*($Q335-$R335)/($Q335+0.00001)</f>
        <v>-1.0000005999997601E-4</v>
      </c>
      <c r="BN335" s="583">
        <f t="shared" ref="BN335:BN346" si="784">AO335*($Q335-$R335)/($Q335+0.00001)</f>
        <v>-1.0000005999997601E-4</v>
      </c>
      <c r="BO335" s="583">
        <f t="shared" ref="BO335:BO346" si="785">AP335*($Q335-$R335)/($Q335+0.00001)</f>
        <v>-1.0000005999997601E-4</v>
      </c>
      <c r="BP335" s="583">
        <f t="shared" ref="BP335:BP346" si="786">AQ335*($Q335-$R335)/($Q335+0.00001)</f>
        <v>-1.0000005999997601E-4</v>
      </c>
      <c r="BQ335" s="583">
        <f t="shared" ref="BQ335:BQ346" si="787">AR335*($Q335-$R335)/($Q335+0.00001)</f>
        <v>-1.0000005999997601E-4</v>
      </c>
      <c r="BR335" s="583">
        <f t="shared" ref="BR335:BR346" si="788">AS335*($Q335-$R335)/($Q335+0.00001)</f>
        <v>-1.0000005999997601E-4</v>
      </c>
    </row>
    <row r="336" spans="1:70" s="229" customFormat="1" ht="15" customHeight="1">
      <c r="A336" s="643"/>
      <c r="D336" s="85"/>
      <c r="E336" s="576">
        <f>IF(E$335&gt;0,E$335,"")</f>
        <v>100</v>
      </c>
      <c r="F336" s="85" t="s">
        <v>3906</v>
      </c>
      <c r="G336" s="406" t="s">
        <v>3141</v>
      </c>
      <c r="H336" s="578" t="s">
        <v>3245</v>
      </c>
      <c r="I336" s="85">
        <v>31</v>
      </c>
      <c r="J336" s="682">
        <v>1</v>
      </c>
      <c r="K336" s="579">
        <f t="shared" si="763"/>
        <v>3.41</v>
      </c>
      <c r="L336" s="580">
        <f>IF(H336="Select ingredient:","",IF(G336="","",_xlfn.IFNA(VLOOKUP($H336,Ingredient_prices!$E:$U,16,FALSE),0)))</f>
        <v>43.12</v>
      </c>
      <c r="M336" s="848"/>
      <c r="N336" s="848"/>
      <c r="O336" s="648"/>
      <c r="P336" s="653"/>
      <c r="Q336" s="583">
        <f t="shared" si="764"/>
        <v>31</v>
      </c>
      <c r="R336" s="583">
        <f>VLOOKUP($H336,'CO2_emission+%_food_waste'!$A:$K,6,FALSE)*$Q336/100</f>
        <v>6.7269999999999994</v>
      </c>
      <c r="S336" s="583">
        <f t="shared" si="765"/>
        <v>24.273</v>
      </c>
      <c r="T336" s="583">
        <f>IF(H336="Select ingredient:","",IF(G336="Select food category:","",_xlfn.IFNA(VLOOKUP($H336,Ingredient_prices!$E:$U,16,FALSE)*$Q336/1000,"not bought")))</f>
        <v>1.3367200000000001</v>
      </c>
      <c r="U336" s="583">
        <f>IF(G336="Select food category:","",_xlfn.IFNA(VLOOKUP($H336,Ingredient_prices!$E:$U,16,FALSE)*$R336/1000,"not bought"))</f>
        <v>0.29006823999999992</v>
      </c>
      <c r="V336" s="549">
        <f>VLOOKUP($H336,'CO2_emission+%_food_waste'!$A:$K,4,FALSE)*$Q336</f>
        <v>50.220000000000006</v>
      </c>
      <c r="W336" s="583">
        <f>VLOOKUP($H336,Nutrition_tables!$A:$N,10,FALSE)*$Q336/100</f>
        <v>110.32892773892772</v>
      </c>
      <c r="X336" s="583">
        <f>VLOOKUP($H336,Nutrition_tables!$A:$N,11,FALSE)*$Q336/100</f>
        <v>24.148927738927743</v>
      </c>
      <c r="Y336" s="583">
        <f>VLOOKUP($H336,Nutrition_tables!$A:$N,12,FALSE)*$Q336/100</f>
        <v>2.9449999999999998</v>
      </c>
      <c r="Z336" s="583">
        <f>VLOOKUP($H336,Nutrition_tables!$A:$N,14,FALSE)*$Q336/100</f>
        <v>0.34107226107226102</v>
      </c>
      <c r="AA336" s="583">
        <f>VLOOKUP($H336,Nutrition_tables!$A:$AF,13,FALSE)*$Q336/100</f>
        <v>0.77536130536130543</v>
      </c>
      <c r="AB336" s="549">
        <f>VLOOKUP($H336,Nutrition_tables!$A:$AF,15,FALSE)*$Q336/100</f>
        <v>4.986013986013986E-2</v>
      </c>
      <c r="AC336" s="583">
        <f>VLOOKUP($H336,Nutrition_tables!$A:$AF,16,FALSE)*$Q336/100</f>
        <v>0.89892773892773892</v>
      </c>
      <c r="AD336" s="583">
        <f>VLOOKUP($H336,Nutrition_tables!$A:$AF,17,FALSE)*$Q336/100</f>
        <v>48.98</v>
      </c>
      <c r="AE336" s="583">
        <f>VLOOKUP($H336,Nutrition_tables!$A:$AF,18,FALSE)*$Q336/100</f>
        <v>7.44</v>
      </c>
      <c r="AF336" s="583">
        <f>VLOOKUP($H336,Nutrition_tables!$A:$AF,19,FALSE)*$Q336/100</f>
        <v>7.6878554778554777</v>
      </c>
      <c r="AG336" s="583">
        <f>VLOOKUP($H336,Nutrition_tables!$A:$AF,20,FALSE)*$Q336/100</f>
        <v>32.859999999999992</v>
      </c>
      <c r="AH336" s="583">
        <f>VLOOKUP($H336,Nutrition_tables!$A:$AF,21,FALSE)*$Q336/100</f>
        <v>0.27603729603729599</v>
      </c>
      <c r="AI336" s="583">
        <f>VLOOKUP($H336,Nutrition_tables!$A:$AF,22,FALSE)*$Q336/100</f>
        <v>0.21678321678321677</v>
      </c>
      <c r="AJ336" s="549">
        <f>VLOOKUP($H336,Nutrition_tables!$A:$AF,23,FALSE)*$Q336/100</f>
        <v>0.15536130536130538</v>
      </c>
      <c r="AK336" s="583">
        <f>VLOOKUP($H336,Nutrition_tables!$A:$AF,24,FALSE)*$Q336/100</f>
        <v>0</v>
      </c>
      <c r="AL336" s="583">
        <f>VLOOKUP($H336,Nutrition_tables!$A:$AF,25,FALSE)*$Q336/100</f>
        <v>4.6247086247086247E-2</v>
      </c>
      <c r="AM336" s="583">
        <f>VLOOKUP($H336,Nutrition_tables!$A:$AF,26,FALSE)*$Q336/100</f>
        <v>1.2284382284382283E-2</v>
      </c>
      <c r="AN336" s="583">
        <f>VLOOKUP($H336,Nutrition_tables!$A:$AF,27,FALSE)*$Q336/100</f>
        <v>0.4061072261072261</v>
      </c>
      <c r="AO336" s="583">
        <f>VLOOKUP($H336,Nutrition_tables!$A:$AF,28,FALSE)*$Q336/100</f>
        <v>2.1678321678321674E-2</v>
      </c>
      <c r="AP336" s="583">
        <f>VLOOKUP($H336,Nutrition_tables!$A:$AF,29,FALSE)*$Q336/100</f>
        <v>5.0842890442890445</v>
      </c>
      <c r="AQ336" s="583">
        <f>VLOOKUP($H336,Nutrition_tables!$A:$AF,30,FALSE)*$Q336/100</f>
        <v>2.8181818181818179E-2</v>
      </c>
      <c r="AR336" s="583">
        <f>VLOOKUP($H336,Nutrition_tables!$A:$AF,31,FALSE)*$Q336/100</f>
        <v>0</v>
      </c>
      <c r="AS336" s="549">
        <f>VLOOKUP($H336,Nutrition_tables!$A:$AF,32,FALSE)*$Q336/100</f>
        <v>0</v>
      </c>
      <c r="AT336" s="583">
        <f>IF(H336="Select ingredient:","",IF(G336="Select food category:","",IFERROR(VLOOKUP($H336,Ingredient_prices!$E:$W,17,FALSE)*$Q336/1000,"not bought")))</f>
        <v>1.3367200000000001</v>
      </c>
      <c r="AU336" s="583">
        <f>IF(H336="Select ingredient:","",IF(G336="Select food category:","",IFERROR(VLOOKUP($H336,Ingredient_prices!$E:$W,18,FALSE)*$Q336/1000,"not bought")))</f>
        <v>1.3367200000000001</v>
      </c>
      <c r="AV336" s="583">
        <f t="shared" si="766"/>
        <v>86.387522552637634</v>
      </c>
      <c r="AW336" s="583">
        <f t="shared" si="767"/>
        <v>18.908604320030641</v>
      </c>
      <c r="AX336" s="583">
        <f t="shared" si="768"/>
        <v>2.3059342561502398</v>
      </c>
      <c r="AY336" s="583">
        <f t="shared" si="769"/>
        <v>0.26705949427135645</v>
      </c>
      <c r="AZ336" s="583">
        <f t="shared" si="770"/>
        <v>0.60710770625670663</v>
      </c>
      <c r="BA336" s="583">
        <f t="shared" si="771"/>
        <v>3.9040476916787283E-2</v>
      </c>
      <c r="BB336" s="583">
        <f t="shared" si="772"/>
        <v>0.70386019252874454</v>
      </c>
      <c r="BC336" s="583">
        <f t="shared" si="773"/>
        <v>38.35132762860399</v>
      </c>
      <c r="BD336" s="583">
        <f t="shared" si="774"/>
        <v>5.8255181208006066</v>
      </c>
      <c r="BE336" s="583">
        <f t="shared" si="775"/>
        <v>6.019588897357969</v>
      </c>
      <c r="BF336" s="583">
        <f t="shared" si="776"/>
        <v>25.72937170020267</v>
      </c>
      <c r="BG336" s="583">
        <f t="shared" si="777"/>
        <v>0.21613713307554691</v>
      </c>
      <c r="BH336" s="583">
        <f t="shared" si="778"/>
        <v>0.16974120398603162</v>
      </c>
      <c r="BI336" s="583">
        <f t="shared" si="779"/>
        <v>0.12164786285665603</v>
      </c>
      <c r="BJ336" s="583">
        <f t="shared" si="780"/>
        <v>0</v>
      </c>
      <c r="BK336" s="583">
        <f t="shared" si="781"/>
        <v>3.6211456850353423E-2</v>
      </c>
      <c r="BL336" s="583">
        <f t="shared" si="782"/>
        <v>9.6186682258751263E-3</v>
      </c>
      <c r="BM336" s="583">
        <f t="shared" si="783"/>
        <v>0.31798185546716595</v>
      </c>
      <c r="BN336" s="583">
        <f t="shared" si="784"/>
        <v>1.697412039860316E-2</v>
      </c>
      <c r="BO336" s="583">
        <f t="shared" si="785"/>
        <v>3.9809970374857291</v>
      </c>
      <c r="BP336" s="583">
        <f t="shared" si="786"/>
        <v>2.2066356518184112E-2</v>
      </c>
      <c r="BQ336" s="583">
        <f t="shared" si="787"/>
        <v>0</v>
      </c>
      <c r="BR336" s="583">
        <f t="shared" si="788"/>
        <v>0</v>
      </c>
    </row>
    <row r="337" spans="1:70" s="229" customFormat="1" ht="15" customHeight="1">
      <c r="A337" s="643"/>
      <c r="D337" s="406"/>
      <c r="E337" s="576">
        <f t="shared" ref="E337:E346" si="789">IF(E$335&gt;0,E$335,"")</f>
        <v>100</v>
      </c>
      <c r="F337" s="85"/>
      <c r="G337" s="406" t="s">
        <v>3072</v>
      </c>
      <c r="H337" s="578" t="s">
        <v>3208</v>
      </c>
      <c r="I337" s="85">
        <v>10</v>
      </c>
      <c r="J337" s="682">
        <v>1</v>
      </c>
      <c r="K337" s="579">
        <f t="shared" si="763"/>
        <v>1.1000000000000001</v>
      </c>
      <c r="L337" s="580">
        <f>IF(H337="Select ingredient:","",IF(G337="","",_xlfn.IFNA(VLOOKUP($H337,Ingredient_prices!$E:$U,16,FALSE),0)))</f>
        <v>183.33333333333334</v>
      </c>
      <c r="M337" s="848"/>
      <c r="N337" s="848"/>
      <c r="O337" s="648"/>
      <c r="P337" s="653"/>
      <c r="Q337" s="583">
        <f t="shared" si="764"/>
        <v>10</v>
      </c>
      <c r="R337" s="583">
        <f>VLOOKUP($H337,'CO2_emission+%_food_waste'!$A:$K,6,FALSE)*$Q337/100</f>
        <v>1.06</v>
      </c>
      <c r="S337" s="583">
        <f t="shared" si="765"/>
        <v>8.94</v>
      </c>
      <c r="T337" s="583">
        <f>IF(H337="Select ingredient:","",IF(G337="Select food category:","",_xlfn.IFNA(VLOOKUP($H337,Ingredient_prices!$E:$U,16,FALSE)*$Q337/1000,"not bought")))</f>
        <v>1.8333333333333335</v>
      </c>
      <c r="U337" s="583">
        <f>IF(G337="Select food category:","",_xlfn.IFNA(VLOOKUP($H337,Ingredient_prices!$E:$U,16,FALSE)*$R337/1000,"not bought"))</f>
        <v>0.19433333333333333</v>
      </c>
      <c r="V337" s="549">
        <f>VLOOKUP($H337,'CO2_emission+%_food_waste'!$A:$K,4,FALSE)*$Q337</f>
        <v>30.4</v>
      </c>
      <c r="W337" s="583">
        <f>VLOOKUP($H337,Nutrition_tables!$A:$N,10,FALSE)*$Q337/100</f>
        <v>14.199999999999998</v>
      </c>
      <c r="X337" s="583">
        <f>VLOOKUP($H337,Nutrition_tables!$A:$N,11,FALSE)*$Q337/100</f>
        <v>8.0018674136321188E-2</v>
      </c>
      <c r="Y337" s="583">
        <f>VLOOKUP($H337,Nutrition_tables!$A:$N,12,FALSE)*$Q337/100</f>
        <v>1.2600373482726424</v>
      </c>
      <c r="Z337" s="583">
        <f>VLOOKUP($H337,Nutrition_tables!$A:$N,14,FALSE)*$Q337/100</f>
        <v>0.99000933706816041</v>
      </c>
      <c r="AA337" s="583">
        <f>VLOOKUP($H337,Nutrition_tables!$A:$AF,13,FALSE)*$Q337/100</f>
        <v>0</v>
      </c>
      <c r="AB337" s="549">
        <f>VLOOKUP($H337,Nutrition_tables!$A:$AF,15,FALSE)*$Q337/100</f>
        <v>0.26003734827264241</v>
      </c>
      <c r="AC337" s="583">
        <f>VLOOKUP($H337,Nutrition_tables!$A:$AF,16,FALSE)*$Q337/100</f>
        <v>14</v>
      </c>
      <c r="AD337" s="583">
        <f>VLOOKUP($H337,Nutrition_tables!$A:$AF,17,FALSE)*$Q337/100</f>
        <v>12.999999999999998</v>
      </c>
      <c r="AE337" s="583">
        <f>VLOOKUP($H337,Nutrition_tables!$A:$AF,18,FALSE)*$Q337/100</f>
        <v>3.9999999999999996</v>
      </c>
      <c r="AF337" s="583">
        <f>VLOOKUP($H337,Nutrition_tables!$A:$AF,19,FALSE)*$Q337/100</f>
        <v>1.3</v>
      </c>
      <c r="AG337" s="583">
        <f>VLOOKUP($H337,Nutrition_tables!$A:$AF,20,FALSE)*$Q337/100</f>
        <v>20.999999999999996</v>
      </c>
      <c r="AH337" s="583">
        <f>VLOOKUP($H337,Nutrition_tables!$A:$AF,21,FALSE)*$Q337/100</f>
        <v>0.2</v>
      </c>
      <c r="AI337" s="583">
        <f>VLOOKUP($H337,Nutrition_tables!$A:$AF,22,FALSE)*$Q337/100</f>
        <v>0.13996265172735761</v>
      </c>
      <c r="AJ337" s="549">
        <f>VLOOKUP($H337,Nutrition_tables!$A:$AF,23,FALSE)*$Q337/100</f>
        <v>7.0028011204481787E-3</v>
      </c>
      <c r="AK337" s="583">
        <f>VLOOKUP($H337,Nutrition_tables!$A:$AF,24,FALSE)*$Q337/100</f>
        <v>19.399999999999999</v>
      </c>
      <c r="AL337" s="583">
        <f>VLOOKUP($H337,Nutrition_tables!$A:$AF,25,FALSE)*$Q337/100</f>
        <v>7.0028011204481787E-3</v>
      </c>
      <c r="AM337" s="583">
        <f>VLOOKUP($H337,Nutrition_tables!$A:$AF,26,FALSE)*$Q337/100</f>
        <v>4.5004668534080298E-2</v>
      </c>
      <c r="AN337" s="583">
        <f>VLOOKUP($H337,Nutrition_tables!$A:$AF,27,FALSE)*$Q337/100</f>
        <v>5.0420168067226885E-3</v>
      </c>
      <c r="AO337" s="583">
        <f>VLOOKUP($H337,Nutrition_tables!$A:$AF,28,FALSE)*$Q337/100</f>
        <v>1.2044817927170867E-2</v>
      </c>
      <c r="AP337" s="583">
        <f>VLOOKUP($H337,Nutrition_tables!$A:$AF,29,FALSE)*$Q337/100</f>
        <v>2.0999999999999996</v>
      </c>
      <c r="AQ337" s="583">
        <f>VLOOKUP($H337,Nutrition_tables!$A:$AF,30,FALSE)*$Q337/100</f>
        <v>0.2</v>
      </c>
      <c r="AR337" s="583">
        <f>VLOOKUP($H337,Nutrition_tables!$A:$AF,31,FALSE)*$Q337/100</f>
        <v>0</v>
      </c>
      <c r="AS337" s="549">
        <f>VLOOKUP($H337,Nutrition_tables!$A:$AF,32,FALSE)*$Q337/100</f>
        <v>0.17497665732959852</v>
      </c>
      <c r="AT337" s="583">
        <f>IF(H337="Select ingredient:","",IF(G337="Select food category:","",IFERROR(VLOOKUP($H337,Ingredient_prices!$E:$W,17,FALSE)*$Q337/1000,"not bought")))</f>
        <v>1.8333333333333335</v>
      </c>
      <c r="AU337" s="583">
        <f>IF(H337="Select ingredient:","",IF(G337="Select food category:","",IFERROR(VLOOKUP($H337,Ingredient_prices!$E:$W,18,FALSE)*$Q337/1000,"not bought")))</f>
        <v>1.8333333333333335</v>
      </c>
      <c r="AV337" s="583">
        <f t="shared" si="766"/>
        <v>12.694787305212692</v>
      </c>
      <c r="AW337" s="583">
        <f t="shared" si="767"/>
        <v>7.1536623141247993E-2</v>
      </c>
      <c r="AX337" s="583">
        <f t="shared" si="768"/>
        <v>1.1264722628834793</v>
      </c>
      <c r="AY337" s="583">
        <f t="shared" si="769"/>
        <v>0.88506746227147326</v>
      </c>
      <c r="AZ337" s="583">
        <f t="shared" si="770"/>
        <v>0</v>
      </c>
      <c r="BA337" s="583">
        <f t="shared" si="771"/>
        <v>0.23247315688258541</v>
      </c>
      <c r="BB337" s="583">
        <f t="shared" si="772"/>
        <v>12.515987484012516</v>
      </c>
      <c r="BC337" s="583">
        <f t="shared" si="773"/>
        <v>11.62198837801162</v>
      </c>
      <c r="BD337" s="583">
        <f t="shared" si="774"/>
        <v>3.5759964240035753</v>
      </c>
      <c r="BE337" s="583">
        <f t="shared" si="775"/>
        <v>1.1621988378011623</v>
      </c>
      <c r="BF337" s="583">
        <f t="shared" si="776"/>
        <v>18.773981226018769</v>
      </c>
      <c r="BG337" s="583">
        <f t="shared" si="777"/>
        <v>0.17879982120017882</v>
      </c>
      <c r="BH337" s="583">
        <f t="shared" si="778"/>
        <v>0.1251264855177722</v>
      </c>
      <c r="BI337" s="583">
        <f t="shared" si="779"/>
        <v>6.2604979411827301E-3</v>
      </c>
      <c r="BJ337" s="583">
        <f t="shared" si="780"/>
        <v>17.343582656417343</v>
      </c>
      <c r="BK337" s="583">
        <f t="shared" si="781"/>
        <v>6.2604979411827301E-3</v>
      </c>
      <c r="BL337" s="583">
        <f t="shared" si="782"/>
        <v>4.023413343533435E-2</v>
      </c>
      <c r="BM337" s="583">
        <f t="shared" si="783"/>
        <v>4.5075585176515658E-3</v>
      </c>
      <c r="BN337" s="583">
        <f t="shared" si="784"/>
        <v>1.0768056458834295E-2</v>
      </c>
      <c r="BO337" s="583">
        <f t="shared" si="785"/>
        <v>1.8773981226018772</v>
      </c>
      <c r="BP337" s="583">
        <f t="shared" si="786"/>
        <v>0.17879982120017882</v>
      </c>
      <c r="BQ337" s="583">
        <f t="shared" si="787"/>
        <v>0</v>
      </c>
      <c r="BR337" s="583">
        <f t="shared" si="788"/>
        <v>0.15642897522368587</v>
      </c>
    </row>
    <row r="338" spans="1:70" s="229" customFormat="1" ht="15" customHeight="1">
      <c r="A338" s="643"/>
      <c r="D338" s="85"/>
      <c r="E338" s="576">
        <f t="shared" si="789"/>
        <v>100</v>
      </c>
      <c r="F338" s="85"/>
      <c r="G338" s="406" t="s">
        <v>3078</v>
      </c>
      <c r="H338" s="578" t="s">
        <v>3359</v>
      </c>
      <c r="I338" s="85">
        <v>23</v>
      </c>
      <c r="J338" s="682">
        <v>1</v>
      </c>
      <c r="K338" s="579">
        <f t="shared" si="763"/>
        <v>2.5299999999999998</v>
      </c>
      <c r="L338" s="580">
        <f>IF(H338="Select ingredient:","",IF(G338="","",_xlfn.IFNA(VLOOKUP($H338,Ingredient_prices!$E:$U,16,FALSE),0)))</f>
        <v>67.540000000000006</v>
      </c>
      <c r="M338" s="848"/>
      <c r="N338" s="848"/>
      <c r="O338" s="648"/>
      <c r="P338" s="653"/>
      <c r="Q338" s="583">
        <f t="shared" si="764"/>
        <v>23</v>
      </c>
      <c r="R338" s="583">
        <f>VLOOKUP($H338,'CO2_emission+%_food_waste'!$A:$K,6,FALSE)*$Q338/100</f>
        <v>1.9779999999999998</v>
      </c>
      <c r="S338" s="583">
        <f t="shared" si="765"/>
        <v>21.021999999999998</v>
      </c>
      <c r="T338" s="583">
        <f>IF(H338="Select ingredient:","",IF(G338="Select food category:","",_xlfn.IFNA(VLOOKUP($H338,Ingredient_prices!$E:$U,16,FALSE)*$Q338/1000,"not bought")))</f>
        <v>1.55342</v>
      </c>
      <c r="U338" s="583">
        <f>IF(G338="Select food category:","",_xlfn.IFNA(VLOOKUP($H338,Ingredient_prices!$E:$U,16,FALSE)*$R338/1000,"not bought"))</f>
        <v>0.13359412000000001</v>
      </c>
      <c r="V338" s="549">
        <f>VLOOKUP($H338,'CO2_emission+%_food_waste'!$A:$K,4,FALSE)*$Q338</f>
        <v>8.74</v>
      </c>
      <c r="W338" s="583">
        <f>VLOOKUP($H338,Nutrition_tables!$A:$N,10,FALSE)*$Q338/100</f>
        <v>94.275857242827158</v>
      </c>
      <c r="X338" s="583">
        <f>VLOOKUP($H338,Nutrition_tables!$A:$N,11,FALSE)*$Q338/100</f>
        <v>22.965556333100068</v>
      </c>
      <c r="Y338" s="583">
        <f>VLOOKUP($H338,Nutrition_tables!$A:$N,12,FALSE)*$Q338/100</f>
        <v>0</v>
      </c>
      <c r="Z338" s="583">
        <f>VLOOKUP($H338,Nutrition_tables!$A:$N,14,FALSE)*$Q338/100</f>
        <v>0</v>
      </c>
      <c r="AA338" s="583">
        <f>VLOOKUP($H338,Nutrition_tables!$A:$AF,13,FALSE)*$Q338/100</f>
        <v>0</v>
      </c>
      <c r="AB338" s="549">
        <f>VLOOKUP($H338,Nutrition_tables!$A:$AF,15,FALSE)*$Q338/100</f>
        <v>0</v>
      </c>
      <c r="AC338" s="583">
        <f>VLOOKUP($H338,Nutrition_tables!$A:$AF,16,FALSE)*$Q338/100</f>
        <v>3.2867E-2</v>
      </c>
      <c r="AD338" s="583">
        <f>VLOOKUP($H338,Nutrition_tables!$A:$AF,17,FALSE)*$Q338/100</f>
        <v>0.46</v>
      </c>
      <c r="AE338" s="583">
        <f>VLOOKUP($H338,Nutrition_tables!$A:$AF,18,FALSE)*$Q338/100</f>
        <v>0.23</v>
      </c>
      <c r="AF338" s="583">
        <f>VLOOKUP($H338,Nutrition_tables!$A:$AF,19,FALSE)*$Q338/100</f>
        <v>0</v>
      </c>
      <c r="AG338" s="583">
        <f>VLOOKUP($H338,Nutrition_tables!$A:$AF,20,FALSE)*$Q338/100</f>
        <v>0</v>
      </c>
      <c r="AH338" s="583">
        <f>VLOOKUP($H338,Nutrition_tables!$A:$AF,21,FALSE)*$Q338/100</f>
        <v>6.6634009797060884E-2</v>
      </c>
      <c r="AI338" s="583">
        <f>VLOOKUP($H338,Nutrition_tables!$A:$AF,22,FALSE)*$Q338/100</f>
        <v>4.6675997200839748E-3</v>
      </c>
      <c r="AJ338" s="549">
        <f>VLOOKUP($H338,Nutrition_tables!$A:$AF,23,FALSE)*$Q338/100</f>
        <v>3.3799860041987405E-3</v>
      </c>
      <c r="AK338" s="583">
        <f>VLOOKUP($H338,Nutrition_tables!$A:$AF,24,FALSE)*$Q338/100</f>
        <v>0</v>
      </c>
      <c r="AL338" s="583">
        <f>VLOOKUP($H338,Nutrition_tables!$A:$AF,25,FALSE)*$Q338/100</f>
        <v>0</v>
      </c>
      <c r="AM338" s="583">
        <f>VLOOKUP($H338,Nutrition_tables!$A:$AF,26,FALSE)*$Q338/100</f>
        <v>6.2447299999999996E-4</v>
      </c>
      <c r="AN338" s="583">
        <f>VLOOKUP($H338,Nutrition_tables!$A:$AF,27,FALSE)*$Q338/100</f>
        <v>0</v>
      </c>
      <c r="AO338" s="583">
        <f>VLOOKUP($H338,Nutrition_tables!$A:$AF,28,FALSE)*$Q338/100</f>
        <v>0</v>
      </c>
      <c r="AP338" s="583">
        <f>VLOOKUP($H338,Nutrition_tables!$A:$AF,29,FALSE)*$Q338/100</f>
        <v>0</v>
      </c>
      <c r="AQ338" s="583">
        <f>VLOOKUP($H338,Nutrition_tables!$A:$AF,30,FALSE)*$Q338/100</f>
        <v>0</v>
      </c>
      <c r="AR338" s="583">
        <f>VLOOKUP($H338,Nutrition_tables!$A:$AF,31,FALSE)*$Q338/100</f>
        <v>0</v>
      </c>
      <c r="AS338" s="549">
        <f>VLOOKUP($H338,Nutrition_tables!$A:$AF,32,FALSE)*$Q338/100</f>
        <v>0</v>
      </c>
      <c r="AT338" s="583">
        <f>IF(H338="Select ingredient:","",IF(G338="Select food category:","",IFERROR(VLOOKUP($H338,Ingredient_prices!$E:$W,17,FALSE)*$Q338/1000,"not bought")))</f>
        <v>1.55342</v>
      </c>
      <c r="AU338" s="583">
        <f>IF(H338="Select ingredient:","",IF(G338="Select food category:","",IFERROR(VLOOKUP($H338,Ingredient_prices!$E:$W,18,FALSE)*$Q338/1000,"not bought")))</f>
        <v>1.55342</v>
      </c>
      <c r="AV338" s="583">
        <f t="shared" si="766"/>
        <v>86.168096055554429</v>
      </c>
      <c r="AW338" s="583">
        <f t="shared" si="767"/>
        <v>20.990509362145044</v>
      </c>
      <c r="AX338" s="583">
        <f t="shared" si="768"/>
        <v>0</v>
      </c>
      <c r="AY338" s="583">
        <f t="shared" si="769"/>
        <v>0</v>
      </c>
      <c r="AZ338" s="583">
        <f t="shared" si="770"/>
        <v>0</v>
      </c>
      <c r="BA338" s="583">
        <f t="shared" si="771"/>
        <v>0</v>
      </c>
      <c r="BB338" s="583">
        <f t="shared" si="772"/>
        <v>3.0040424938945678E-2</v>
      </c>
      <c r="BC338" s="583">
        <f t="shared" si="773"/>
        <v>0.42043981720007945</v>
      </c>
      <c r="BD338" s="583">
        <f t="shared" si="774"/>
        <v>0.21021990860003972</v>
      </c>
      <c r="BE338" s="583">
        <f t="shared" si="775"/>
        <v>0</v>
      </c>
      <c r="BF338" s="583">
        <f t="shared" si="776"/>
        <v>0</v>
      </c>
      <c r="BG338" s="583">
        <f t="shared" si="777"/>
        <v>6.0903458474749095E-2</v>
      </c>
      <c r="BH338" s="583">
        <f t="shared" si="778"/>
        <v>4.2661842892940186E-3</v>
      </c>
      <c r="BI338" s="583">
        <f t="shared" si="779"/>
        <v>3.0893058646611861E-3</v>
      </c>
      <c r="BJ338" s="583">
        <f t="shared" si="780"/>
        <v>0</v>
      </c>
      <c r="BK338" s="583">
        <f t="shared" si="781"/>
        <v>0</v>
      </c>
      <c r="BL338" s="583">
        <f t="shared" si="782"/>
        <v>5.7076807383996781E-4</v>
      </c>
      <c r="BM338" s="583">
        <f t="shared" si="783"/>
        <v>0</v>
      </c>
      <c r="BN338" s="583">
        <f t="shared" si="784"/>
        <v>0</v>
      </c>
      <c r="BO338" s="583">
        <f t="shared" si="785"/>
        <v>0</v>
      </c>
      <c r="BP338" s="583">
        <f t="shared" si="786"/>
        <v>0</v>
      </c>
      <c r="BQ338" s="583">
        <f t="shared" si="787"/>
        <v>0</v>
      </c>
      <c r="BR338" s="583">
        <f t="shared" si="788"/>
        <v>0</v>
      </c>
    </row>
    <row r="339" spans="1:70" s="229" customFormat="1" ht="15" customHeight="1">
      <c r="A339" s="643"/>
      <c r="D339" s="85"/>
      <c r="E339" s="576">
        <f t="shared" si="789"/>
        <v>100</v>
      </c>
      <c r="F339" s="85"/>
      <c r="G339" s="406" t="s">
        <v>3075</v>
      </c>
      <c r="H339" s="578" t="s">
        <v>3239</v>
      </c>
      <c r="I339" s="85">
        <v>16</v>
      </c>
      <c r="J339" s="682">
        <v>1</v>
      </c>
      <c r="K339" s="579">
        <f t="shared" si="763"/>
        <v>1.7600000000000002</v>
      </c>
      <c r="L339" s="580">
        <f>IF(H339="Select ingredient:","",IF(G339="","",_xlfn.IFNA(VLOOKUP($H339,Ingredient_prices!$E:$U,16,FALSE),0)))</f>
        <v>121</v>
      </c>
      <c r="M339" s="848"/>
      <c r="N339" s="848"/>
      <c r="O339" s="648"/>
      <c r="P339" s="653"/>
      <c r="Q339" s="583">
        <f t="shared" si="764"/>
        <v>16</v>
      </c>
      <c r="R339" s="583">
        <f>VLOOKUP($H339,'CO2_emission+%_food_waste'!$A:$K,6,FALSE)*$Q339/100</f>
        <v>4.4480000000000004</v>
      </c>
      <c r="S339" s="583">
        <f t="shared" si="765"/>
        <v>11.552</v>
      </c>
      <c r="T339" s="583">
        <f>IF(H339="Select ingredient:","",IF(G339="Select food category:","",_xlfn.IFNA(VLOOKUP($H339,Ingredient_prices!$E:$U,16,FALSE)*$Q339/1000,"not bought")))</f>
        <v>1.9359999999999999</v>
      </c>
      <c r="U339" s="583">
        <f>IF(G339="Select food category:","",_xlfn.IFNA(VLOOKUP($H339,Ingredient_prices!$E:$U,16,FALSE)*$R339/1000,"not bought"))</f>
        <v>0.53820800000000013</v>
      </c>
      <c r="V339" s="549">
        <f>VLOOKUP($H339,'CO2_emission+%_food_waste'!$A:$K,4,FALSE)*$Q339</f>
        <v>75.680000000000007</v>
      </c>
      <c r="W339" s="583">
        <f>VLOOKUP($H339,Nutrition_tables!$A:$N,10,FALSE)*$Q339/100</f>
        <v>141.49136000000001</v>
      </c>
      <c r="X339" s="583">
        <f>VLOOKUP($H339,Nutrition_tables!$A:$N,11,FALSE)*$Q339/100</f>
        <v>1.6E-2</v>
      </c>
      <c r="Y339" s="583">
        <f>VLOOKUP($H339,Nutrition_tables!$A:$N,12,FALSE)*$Q339/100</f>
        <v>1.6E-2</v>
      </c>
      <c r="Z339" s="583">
        <f>VLOOKUP($H339,Nutrition_tables!$A:$N,14,FALSE)*$Q339/100</f>
        <v>15.919999999999998</v>
      </c>
      <c r="AA339" s="583">
        <f>VLOOKUP($H339,Nutrition_tables!$A:$AF,13,FALSE)*$Q339/100</f>
        <v>0</v>
      </c>
      <c r="AB339" s="549">
        <f>VLOOKUP($H339,Nutrition_tables!$A:$AF,15,FALSE)*$Q339/100</f>
        <v>1.0864000000000003</v>
      </c>
      <c r="AC339" s="583">
        <f>VLOOKUP($H339,Nutrition_tables!$A:$AF,16,FALSE)*$Q339/100</f>
        <v>1.6E-2</v>
      </c>
      <c r="AD339" s="583">
        <f>VLOOKUP($H339,Nutrition_tables!$A:$AF,17,FALSE)*$Q339/100</f>
        <v>0</v>
      </c>
      <c r="AE339" s="583">
        <f>VLOOKUP($H339,Nutrition_tables!$A:$AF,18,FALSE)*$Q339/100</f>
        <v>3.2000000000000001E-2</v>
      </c>
      <c r="AF339" s="583">
        <f>VLOOKUP($H339,Nutrition_tables!$A:$AF,19,FALSE)*$Q339/100</f>
        <v>0.16</v>
      </c>
      <c r="AG339" s="583">
        <f>VLOOKUP($H339,Nutrition_tables!$A:$AF,20,FALSE)*$Q339/100</f>
        <v>0</v>
      </c>
      <c r="AH339" s="583">
        <f>VLOOKUP($H339,Nutrition_tables!$A:$AF,21,FALSE)*$Q339/100</f>
        <v>1.6E-2</v>
      </c>
      <c r="AI339" s="583">
        <f>VLOOKUP($H339,Nutrition_tables!$A:$AF,22,FALSE)*$Q339/100</f>
        <v>0</v>
      </c>
      <c r="AJ339" s="549">
        <f>VLOOKUP($H339,Nutrition_tables!$A:$AF,23,FALSE)*$Q339/100</f>
        <v>0</v>
      </c>
      <c r="AK339" s="583">
        <f>VLOOKUP($H339,Nutrition_tables!$A:$AF,24,FALSE)*$Q339/100</f>
        <v>0</v>
      </c>
      <c r="AL339" s="583">
        <f>VLOOKUP($H339,Nutrition_tables!$A:$AF,25,FALSE)*$Q339/100</f>
        <v>0</v>
      </c>
      <c r="AM339" s="583">
        <f>VLOOKUP($H339,Nutrition_tables!$A:$AF,26,FALSE)*$Q339/100</f>
        <v>0</v>
      </c>
      <c r="AN339" s="583">
        <f>VLOOKUP($H339,Nutrition_tables!$A:$AF,27,FALSE)*$Q339/100</f>
        <v>0</v>
      </c>
      <c r="AO339" s="583">
        <f>VLOOKUP($H339,Nutrition_tables!$A:$AF,28,FALSE)*$Q339/100</f>
        <v>0</v>
      </c>
      <c r="AP339" s="583">
        <f>VLOOKUP($H339,Nutrition_tables!$A:$AF,29,FALSE)*$Q339/100</f>
        <v>0</v>
      </c>
      <c r="AQ339" s="583">
        <f>VLOOKUP($H339,Nutrition_tables!$A:$AF,30,FALSE)*$Q339/100</f>
        <v>0</v>
      </c>
      <c r="AR339" s="583">
        <f>VLOOKUP($H339,Nutrition_tables!$A:$AF,31,FALSE)*$Q339/100</f>
        <v>0</v>
      </c>
      <c r="AS339" s="549">
        <f>VLOOKUP($H339,Nutrition_tables!$A:$AF,32,FALSE)*$Q339/100</f>
        <v>0</v>
      </c>
      <c r="AT339" s="583">
        <f>IF(H339="Select ingredient:","",IF(G339="Select food category:","",IFERROR(VLOOKUP($H339,Ingredient_prices!$E:$W,17,FALSE)*$Q339/1000,"not bought")))</f>
        <v>1.9359999999999999</v>
      </c>
      <c r="AU339" s="583">
        <f>IF(H339="Select ingredient:","",IF(G339="Select food category:","",IFERROR(VLOOKUP($H339,Ingredient_prices!$E:$W,18,FALSE)*$Q339/1000,"not bought")))</f>
        <v>1.9359999999999999</v>
      </c>
      <c r="AV339" s="583">
        <f t="shared" si="766"/>
        <v>102.15669807206372</v>
      </c>
      <c r="AW339" s="583">
        <f t="shared" si="767"/>
        <v>1.1551992780004513E-2</v>
      </c>
      <c r="AX339" s="583">
        <f t="shared" si="768"/>
        <v>1.1551992780004513E-2</v>
      </c>
      <c r="AY339" s="583">
        <f t="shared" si="769"/>
        <v>11.494232816104487</v>
      </c>
      <c r="AZ339" s="583">
        <f t="shared" si="770"/>
        <v>0</v>
      </c>
      <c r="BA339" s="583">
        <f t="shared" si="771"/>
        <v>0.78438030976230666</v>
      </c>
      <c r="BB339" s="583">
        <f t="shared" si="772"/>
        <v>1.1551992780004513E-2</v>
      </c>
      <c r="BC339" s="583">
        <f t="shared" si="773"/>
        <v>0</v>
      </c>
      <c r="BD339" s="583">
        <f t="shared" si="774"/>
        <v>2.3103985560009026E-2</v>
      </c>
      <c r="BE339" s="583">
        <f t="shared" si="775"/>
        <v>0.11551992780004512</v>
      </c>
      <c r="BF339" s="583">
        <f t="shared" si="776"/>
        <v>0</v>
      </c>
      <c r="BG339" s="583">
        <f t="shared" si="777"/>
        <v>1.1551992780004513E-2</v>
      </c>
      <c r="BH339" s="583">
        <f t="shared" si="778"/>
        <v>0</v>
      </c>
      <c r="BI339" s="583">
        <f t="shared" si="779"/>
        <v>0</v>
      </c>
      <c r="BJ339" s="583">
        <f t="shared" si="780"/>
        <v>0</v>
      </c>
      <c r="BK339" s="583">
        <f t="shared" si="781"/>
        <v>0</v>
      </c>
      <c r="BL339" s="583">
        <f t="shared" si="782"/>
        <v>0</v>
      </c>
      <c r="BM339" s="583">
        <f t="shared" si="783"/>
        <v>0</v>
      </c>
      <c r="BN339" s="583">
        <f t="shared" si="784"/>
        <v>0</v>
      </c>
      <c r="BO339" s="583">
        <f t="shared" si="785"/>
        <v>0</v>
      </c>
      <c r="BP339" s="583">
        <f t="shared" si="786"/>
        <v>0</v>
      </c>
      <c r="BQ339" s="583">
        <f t="shared" si="787"/>
        <v>0</v>
      </c>
      <c r="BR339" s="583">
        <f t="shared" si="788"/>
        <v>0</v>
      </c>
    </row>
    <row r="340" spans="1:70" s="229" customFormat="1" ht="15" customHeight="1">
      <c r="A340" s="643"/>
      <c r="D340" s="85"/>
      <c r="E340" s="576">
        <f t="shared" si="789"/>
        <v>100</v>
      </c>
      <c r="F340" s="85"/>
      <c r="G340" s="406" t="s">
        <v>3077</v>
      </c>
      <c r="H340" s="578" t="s">
        <v>3324</v>
      </c>
      <c r="I340" s="85">
        <v>23</v>
      </c>
      <c r="J340" s="682">
        <v>1</v>
      </c>
      <c r="K340" s="579">
        <f t="shared" si="763"/>
        <v>2.5299999999999998</v>
      </c>
      <c r="L340" s="580">
        <f>IF(H340="Select ingredient:","",IF(G340="","",_xlfn.IFNA(VLOOKUP($H340,Ingredient_prices!$E:$U,16,FALSE),0)))</f>
        <v>176</v>
      </c>
      <c r="M340" s="848"/>
      <c r="N340" s="848"/>
      <c r="O340" s="648"/>
      <c r="P340" s="653"/>
      <c r="Q340" s="583">
        <f t="shared" si="764"/>
        <v>23</v>
      </c>
      <c r="R340" s="583">
        <f>VLOOKUP($H340,'CO2_emission+%_food_waste'!$A:$K,6,FALSE)*$Q340/100</f>
        <v>0</v>
      </c>
      <c r="S340" s="583">
        <f t="shared" si="765"/>
        <v>23</v>
      </c>
      <c r="T340" s="583">
        <f>IF(H340="Select ingredient:","",IF(G340="Select food category:","",_xlfn.IFNA(VLOOKUP($H340,Ingredient_prices!$E:$U,16,FALSE)*$Q340/1000,"not bought")))</f>
        <v>4.048</v>
      </c>
      <c r="U340" s="583">
        <f>IF(G340="Select food category:","",_xlfn.IFNA(VLOOKUP($H340,Ingredient_prices!$E:$U,16,FALSE)*$R340/1000,"not bought"))</f>
        <v>0</v>
      </c>
      <c r="V340" s="549">
        <f>VLOOKUP($H340,'CO2_emission+%_food_waste'!$A:$K,4,FALSE)*$Q340</f>
        <v>27.599999999999998</v>
      </c>
      <c r="W340" s="583">
        <f>VLOOKUP($H340,Nutrition_tables!$A:$N,10,FALSE)*$Q340/100</f>
        <v>13.8</v>
      </c>
      <c r="X340" s="583">
        <f>VLOOKUP($H340,Nutrition_tables!$A:$N,11,FALSE)*$Q340/100</f>
        <v>2.6219999999999999</v>
      </c>
      <c r="Y340" s="583">
        <f>VLOOKUP($H340,Nutrition_tables!$A:$N,12,FALSE)*$Q340/100</f>
        <v>0.21528000000000003</v>
      </c>
      <c r="Z340" s="583">
        <f>VLOOKUP($H340,Nutrition_tables!$A:$N,14,FALSE)*$Q340/100</f>
        <v>9.6600000000000005E-2</v>
      </c>
      <c r="AA340" s="583">
        <f>VLOOKUP($H340,Nutrition_tables!$A:$AF,13,FALSE)*$Q340/100</f>
        <v>0.36800000000000005</v>
      </c>
      <c r="AB340" s="549">
        <f>VLOOKUP($H340,Nutrition_tables!$A:$AF,15,FALSE)*$Q340/100</f>
        <v>2.1160000000000002E-2</v>
      </c>
      <c r="AC340" s="583">
        <f>VLOOKUP($H340,Nutrition_tables!$A:$AF,16,FALSE)*$Q340/100</f>
        <v>0.92</v>
      </c>
      <c r="AD340" s="583">
        <f>VLOOKUP($H340,Nutrition_tables!$A:$AF,17,FALSE)*$Q340/100</f>
        <v>27.6</v>
      </c>
      <c r="AE340" s="583">
        <f>VLOOKUP($H340,Nutrition_tables!$A:$AF,18,FALSE)*$Q340/100</f>
        <v>1.84</v>
      </c>
      <c r="AF340" s="583">
        <f>VLOOKUP($H340,Nutrition_tables!$A:$AF,19,FALSE)*$Q340/100</f>
        <v>1.84</v>
      </c>
      <c r="AG340" s="583">
        <f>VLOOKUP($H340,Nutrition_tables!$A:$AF,20,FALSE)*$Q340/100</f>
        <v>4.5999999999999996</v>
      </c>
      <c r="AH340" s="583">
        <f>VLOOKUP($H340,Nutrition_tables!$A:$AF,21,FALSE)*$Q340/100</f>
        <v>0.14352000000000001</v>
      </c>
      <c r="AI340" s="583">
        <f>VLOOKUP($H340,Nutrition_tables!$A:$AF,22,FALSE)*$Q340/100</f>
        <v>2.392E-2</v>
      </c>
      <c r="AJ340" s="549">
        <f>VLOOKUP($H340,Nutrition_tables!$A:$AF,23,FALSE)*$Q340/100</f>
        <v>2.392E-2</v>
      </c>
      <c r="AK340" s="583">
        <f>VLOOKUP($H340,Nutrition_tables!$A:$AF,24,FALSE)*$Q340/100</f>
        <v>10.81</v>
      </c>
      <c r="AL340" s="583">
        <f>VLOOKUP($H340,Nutrition_tables!$A:$AF,25,FALSE)*$Q340/100</f>
        <v>2.3E-3</v>
      </c>
      <c r="AM340" s="583">
        <f>VLOOKUP($H340,Nutrition_tables!$A:$AF,26,FALSE)*$Q340/100</f>
        <v>2.3E-3</v>
      </c>
      <c r="AN340" s="583">
        <f>VLOOKUP($H340,Nutrition_tables!$A:$AF,27,FALSE)*$Q340/100</f>
        <v>9.6600000000000002E-3</v>
      </c>
      <c r="AO340" s="583">
        <f>VLOOKUP($H340,Nutrition_tables!$A:$AF,28,FALSE)*$Q340/100</f>
        <v>1.1500000000000002E-2</v>
      </c>
      <c r="AP340" s="583">
        <f>VLOOKUP($H340,Nutrition_tables!$A:$AF,29,FALSE)*$Q340/100</f>
        <v>0.23</v>
      </c>
      <c r="AQ340" s="583">
        <f>VLOOKUP($H340,Nutrition_tables!$A:$AF,30,FALSE)*$Q340/100</f>
        <v>-9.2E-5</v>
      </c>
      <c r="AR340" s="583">
        <f>VLOOKUP($H340,Nutrition_tables!$A:$AF,31,FALSE)*$Q340/100</f>
        <v>1.4720000000000002</v>
      </c>
      <c r="AS340" s="549">
        <f>VLOOKUP($H340,Nutrition_tables!$A:$AF,32,FALSE)*$Q340/100</f>
        <v>-9.2E-5</v>
      </c>
      <c r="AT340" s="583">
        <f>IF(H340="Select ingredient:","",IF(G340="Select food category:","",IFERROR(VLOOKUP($H340,Ingredient_prices!$E:$W,17,FALSE)*$Q340/1000,"not bought")))</f>
        <v>4.048</v>
      </c>
      <c r="AU340" s="583">
        <f>IF(H340="Select ingredient:","",IF(G340="Select food category:","",IFERROR(VLOOKUP($H340,Ingredient_prices!$E:$W,18,FALSE)*$Q340/1000,"not bought")))</f>
        <v>4.048</v>
      </c>
      <c r="AV340" s="583">
        <f t="shared" si="766"/>
        <v>13.799994000002611</v>
      </c>
      <c r="AW340" s="583">
        <f t="shared" si="767"/>
        <v>2.6219988600004958</v>
      </c>
      <c r="AX340" s="583">
        <f t="shared" si="768"/>
        <v>0.21527990640004074</v>
      </c>
      <c r="AY340" s="583">
        <f t="shared" si="769"/>
        <v>9.6599958000018263E-2</v>
      </c>
      <c r="AZ340" s="583">
        <f t="shared" si="770"/>
        <v>0.36799984000006958</v>
      </c>
      <c r="BA340" s="583">
        <f t="shared" si="771"/>
        <v>2.1159990800004004E-2</v>
      </c>
      <c r="BB340" s="583">
        <f t="shared" si="772"/>
        <v>0.91999960000017389</v>
      </c>
      <c r="BC340" s="583">
        <f t="shared" si="773"/>
        <v>27.599988000005222</v>
      </c>
      <c r="BD340" s="583">
        <f t="shared" si="774"/>
        <v>1.8399992000003478</v>
      </c>
      <c r="BE340" s="583">
        <f t="shared" si="775"/>
        <v>1.8399992000003478</v>
      </c>
      <c r="BF340" s="583">
        <f t="shared" si="776"/>
        <v>4.5999980000008698</v>
      </c>
      <c r="BG340" s="583">
        <f t="shared" si="777"/>
        <v>0.14351993760002715</v>
      </c>
      <c r="BH340" s="583">
        <f t="shared" si="778"/>
        <v>2.3919989600004521E-2</v>
      </c>
      <c r="BI340" s="583">
        <f t="shared" si="779"/>
        <v>2.3919989600004521E-2</v>
      </c>
      <c r="BJ340" s="583">
        <f t="shared" si="780"/>
        <v>10.809995300002045</v>
      </c>
      <c r="BK340" s="583">
        <f t="shared" si="781"/>
        <v>2.299999000000435E-3</v>
      </c>
      <c r="BL340" s="583">
        <f t="shared" si="782"/>
        <v>2.299999000000435E-3</v>
      </c>
      <c r="BM340" s="583">
        <f t="shared" si="783"/>
        <v>9.6599958000018263E-3</v>
      </c>
      <c r="BN340" s="583">
        <f t="shared" si="784"/>
        <v>1.1499995000002174E-2</v>
      </c>
      <c r="BO340" s="583">
        <f t="shared" si="785"/>
        <v>0.22999990000004347</v>
      </c>
      <c r="BP340" s="583">
        <f t="shared" si="786"/>
        <v>-9.1999960000017385E-5</v>
      </c>
      <c r="BQ340" s="583">
        <f t="shared" si="787"/>
        <v>1.4719993600002783</v>
      </c>
      <c r="BR340" s="583">
        <f t="shared" si="788"/>
        <v>-9.1999960000017385E-5</v>
      </c>
    </row>
    <row r="341" spans="1:70" s="229" customFormat="1" ht="15" customHeight="1">
      <c r="A341" s="643"/>
      <c r="D341" s="85"/>
      <c r="E341" s="576">
        <f t="shared" si="789"/>
        <v>100</v>
      </c>
      <c r="F341" s="85"/>
      <c r="G341" s="406" t="s">
        <v>3085</v>
      </c>
      <c r="H341" s="578" t="s">
        <v>3451</v>
      </c>
      <c r="I341" s="85">
        <v>16</v>
      </c>
      <c r="J341" s="682">
        <v>1</v>
      </c>
      <c r="K341" s="579">
        <f t="shared" si="763"/>
        <v>1.7600000000000002</v>
      </c>
      <c r="L341" s="580">
        <f>IF(H341="Select ingredient:","",IF(G341="","",_xlfn.IFNA(VLOOKUP($H341,Ingredient_prices!$E:$U,16,FALSE),0)))</f>
        <v>81.400000000000006</v>
      </c>
      <c r="M341" s="848"/>
      <c r="N341" s="848"/>
      <c r="O341" s="648"/>
      <c r="P341" s="653"/>
      <c r="Q341" s="583">
        <f t="shared" si="764"/>
        <v>16</v>
      </c>
      <c r="R341" s="583">
        <f>VLOOKUP($H341,'CO2_emission+%_food_waste'!$A:$K,6,FALSE)*$Q341/100</f>
        <v>0.72</v>
      </c>
      <c r="S341" s="583">
        <f t="shared" si="765"/>
        <v>15.28</v>
      </c>
      <c r="T341" s="583">
        <f>IF(H341="Select ingredient:","",IF(G341="Select food category:","",_xlfn.IFNA(VLOOKUP($H341,Ingredient_prices!$E:$U,16,FALSE)*$Q341/1000,"not bought")))</f>
        <v>1.3024</v>
      </c>
      <c r="U341" s="583">
        <f>IF(G341="Select food category:","",_xlfn.IFNA(VLOOKUP($H341,Ingredient_prices!$E:$U,16,FALSE)*$R341/1000,"not bought"))</f>
        <v>5.8608000000000007E-2</v>
      </c>
      <c r="V341" s="549">
        <f>VLOOKUP($H341,'CO2_emission+%_food_waste'!$A:$K,4,FALSE)*$Q341</f>
        <v>32.479999999999997</v>
      </c>
      <c r="W341" s="583">
        <f>VLOOKUP($H341,Nutrition_tables!$A:$N,10,FALSE)*$Q341/100</f>
        <v>9.92</v>
      </c>
      <c r="X341" s="583">
        <f>VLOOKUP($H341,Nutrition_tables!$A:$N,11,FALSE)*$Q341/100</f>
        <v>0.72</v>
      </c>
      <c r="Y341" s="583">
        <f>VLOOKUP($H341,Nutrition_tables!$A:$N,12,FALSE)*$Q341/100</f>
        <v>0.51200000000000001</v>
      </c>
      <c r="Z341" s="583">
        <f>VLOOKUP($H341,Nutrition_tables!$A:$N,14,FALSE)*$Q341/100</f>
        <v>0.51200000000000001</v>
      </c>
      <c r="AA341" s="583">
        <f>VLOOKUP($H341,Nutrition_tables!$A:$AF,13,FALSE)*$Q341/100</f>
        <v>0</v>
      </c>
      <c r="AB341" s="549">
        <f>VLOOKUP($H341,Nutrition_tables!$A:$AF,15,FALSE)*$Q341/100</f>
        <v>0.33600000000000002</v>
      </c>
      <c r="AC341" s="583">
        <f>VLOOKUP($H341,Nutrition_tables!$A:$AF,16,FALSE)*$Q341/100</f>
        <v>7.36</v>
      </c>
      <c r="AD341" s="583">
        <f>VLOOKUP($H341,Nutrition_tables!$A:$AF,17,FALSE)*$Q341/100</f>
        <v>24.8</v>
      </c>
      <c r="AE341" s="583">
        <f>VLOOKUP($H341,Nutrition_tables!$A:$AF,18,FALSE)*$Q341/100</f>
        <v>19.2</v>
      </c>
      <c r="AF341" s="583">
        <f>VLOOKUP($H341,Nutrition_tables!$A:$AF,19,FALSE)*$Q341/100</f>
        <v>1.76</v>
      </c>
      <c r="AG341" s="583">
        <f>VLOOKUP($H341,Nutrition_tables!$A:$AF,20,FALSE)*$Q341/100</f>
        <v>15.2</v>
      </c>
      <c r="AH341" s="583">
        <f>VLOOKUP($H341,Nutrition_tables!$A:$AF,21,FALSE)*$Q341/100</f>
        <v>1.6E-2</v>
      </c>
      <c r="AI341" s="583">
        <f>VLOOKUP($H341,Nutrition_tables!$A:$AF,22,FALSE)*$Q341/100</f>
        <v>9.4399999999999998E-2</v>
      </c>
      <c r="AJ341" s="549">
        <f>VLOOKUP($H341,Nutrition_tables!$A:$AF,23,FALSE)*$Q341/100</f>
        <v>1.4399999999999999E-3</v>
      </c>
      <c r="AK341" s="583">
        <f>VLOOKUP($H341,Nutrition_tables!$A:$AF,24,FALSE)*$Q341/100</f>
        <v>4.8</v>
      </c>
      <c r="AL341" s="583">
        <f>VLOOKUP($H341,Nutrition_tables!$A:$AF,25,FALSE)*$Q341/100</f>
        <v>4.7999999999999996E-3</v>
      </c>
      <c r="AM341" s="583">
        <f>VLOOKUP($H341,Nutrition_tables!$A:$AF,26,FALSE)*$Q341/100</f>
        <v>2.2400000000000003E-2</v>
      </c>
      <c r="AN341" s="583">
        <f>VLOOKUP($H341,Nutrition_tables!$A:$AF,27,FALSE)*$Q341/100</f>
        <v>1.6E-2</v>
      </c>
      <c r="AO341" s="583">
        <f>VLOOKUP($H341,Nutrition_tables!$A:$AF,28,FALSE)*$Q341/100</f>
        <v>5.6000000000000008E-3</v>
      </c>
      <c r="AP341" s="583">
        <f>VLOOKUP($H341,Nutrition_tables!$A:$AF,29,FALSE)*$Q341/100</f>
        <v>1.28</v>
      </c>
      <c r="AQ341" s="583">
        <f>VLOOKUP($H341,Nutrition_tables!$A:$AF,30,FALSE)*$Q341/100</f>
        <v>4.8000000000000001E-2</v>
      </c>
      <c r="AR341" s="583">
        <f>VLOOKUP($H341,Nutrition_tables!$A:$AF,31,FALSE)*$Q341/100</f>
        <v>0.08</v>
      </c>
      <c r="AS341" s="549">
        <f>VLOOKUP($H341,Nutrition_tables!$A:$AF,32,FALSE)*$Q341/100</f>
        <v>9.5999999999999992E-3</v>
      </c>
      <c r="AT341" s="583">
        <f>IF(H341="Select ingredient:","",IF(G341="Select food category:","",IFERROR(VLOOKUP($H341,Ingredient_prices!$E:$W,17,FALSE)*$Q341/1000,"not bought")))</f>
        <v>1.3024</v>
      </c>
      <c r="AU341" s="583">
        <f>IF(H341="Select ingredient:","",IF(G341="Select food category:","",IFERROR(VLOOKUP($H341,Ingredient_prices!$E:$W,18,FALSE)*$Q341/1000,"not bought")))</f>
        <v>1.3024</v>
      </c>
      <c r="AV341" s="583">
        <f t="shared" si="766"/>
        <v>9.4735940790036999</v>
      </c>
      <c r="AW341" s="583">
        <f t="shared" si="767"/>
        <v>0.68759957025026863</v>
      </c>
      <c r="AX341" s="583">
        <f t="shared" si="768"/>
        <v>0.48895969440019099</v>
      </c>
      <c r="AY341" s="583">
        <f t="shared" si="769"/>
        <v>0.48895969440019099</v>
      </c>
      <c r="AZ341" s="583">
        <f t="shared" si="770"/>
        <v>0</v>
      </c>
      <c r="BA341" s="583">
        <f t="shared" si="771"/>
        <v>0.32087979945012535</v>
      </c>
      <c r="BB341" s="583">
        <f t="shared" si="772"/>
        <v>7.0287956070027464</v>
      </c>
      <c r="BC341" s="583">
        <f t="shared" si="773"/>
        <v>23.683985197509251</v>
      </c>
      <c r="BD341" s="583">
        <f t="shared" si="774"/>
        <v>18.335988540007161</v>
      </c>
      <c r="BE341" s="583">
        <f t="shared" si="775"/>
        <v>1.6807989495006566</v>
      </c>
      <c r="BF341" s="583">
        <f t="shared" si="776"/>
        <v>14.515990927505669</v>
      </c>
      <c r="BG341" s="583">
        <f t="shared" si="777"/>
        <v>1.5279990450005968E-2</v>
      </c>
      <c r="BH341" s="583">
        <f t="shared" si="778"/>
        <v>9.0151943655035219E-2</v>
      </c>
      <c r="BI341" s="583">
        <f t="shared" si="779"/>
        <v>1.3751991405005371E-3</v>
      </c>
      <c r="BJ341" s="583">
        <f t="shared" si="780"/>
        <v>4.5839971350017903</v>
      </c>
      <c r="BK341" s="583">
        <f t="shared" si="781"/>
        <v>4.5839971350017904E-3</v>
      </c>
      <c r="BL341" s="583">
        <f t="shared" si="782"/>
        <v>2.139198663000836E-2</v>
      </c>
      <c r="BM341" s="583">
        <f t="shared" si="783"/>
        <v>1.5279990450005968E-2</v>
      </c>
      <c r="BN341" s="583">
        <f t="shared" si="784"/>
        <v>5.3479966575020899E-3</v>
      </c>
      <c r="BO341" s="583">
        <f t="shared" si="785"/>
        <v>1.2223992360004774</v>
      </c>
      <c r="BP341" s="583">
        <f t="shared" si="786"/>
        <v>4.5839971350017904E-2</v>
      </c>
      <c r="BQ341" s="583">
        <f t="shared" si="787"/>
        <v>7.6399952250029837E-2</v>
      </c>
      <c r="BR341" s="583">
        <f t="shared" si="788"/>
        <v>9.1679942700035807E-3</v>
      </c>
    </row>
    <row r="342" spans="1:70" s="229" customFormat="1" ht="15" customHeight="1">
      <c r="A342" s="643"/>
      <c r="D342" s="85"/>
      <c r="E342" s="576">
        <f t="shared" si="789"/>
        <v>100</v>
      </c>
      <c r="F342" s="85"/>
      <c r="G342" s="406" t="s">
        <v>3054</v>
      </c>
      <c r="H342" s="1262" t="s">
        <v>3055</v>
      </c>
      <c r="I342" s="85">
        <v>0</v>
      </c>
      <c r="J342" s="682">
        <v>1</v>
      </c>
      <c r="K342" s="579" t="str">
        <f t="shared" si="763"/>
        <v/>
      </c>
      <c r="L342" s="580" t="str">
        <f>IF(H342="Select ingredient:","",IF(G342="","",_xlfn.IFNA(VLOOKUP($H342,Ingredient_prices!$E:$U,16,FALSE),0)))</f>
        <v/>
      </c>
      <c r="M342" s="848"/>
      <c r="N342" s="848"/>
      <c r="O342" s="648"/>
      <c r="P342" s="653"/>
      <c r="Q342" s="583">
        <f t="shared" si="764"/>
        <v>0</v>
      </c>
      <c r="R342" s="583">
        <f>VLOOKUP($H342,'CO2_emission+%_food_waste'!$A:$K,6,FALSE)*$Q342/100</f>
        <v>0</v>
      </c>
      <c r="S342" s="583">
        <f t="shared" si="765"/>
        <v>0</v>
      </c>
      <c r="T342" s="583" t="str">
        <f>IF(H342="Select ingredient:","",IF(G342="Select food category:","",_xlfn.IFNA(VLOOKUP($H342,Ingredient_prices!$E:$U,16,FALSE)*$Q342/1000,"not bought")))</f>
        <v/>
      </c>
      <c r="U342" s="583" t="str">
        <f>IF(G342="Select food category:","",_xlfn.IFNA(VLOOKUP($H342,Ingredient_prices!$E:$U,16,FALSE)*$R342/1000,"not bought"))</f>
        <v/>
      </c>
      <c r="V342" s="549">
        <f>VLOOKUP($H342,'CO2_emission+%_food_waste'!$A:$K,4,FALSE)*$Q342</f>
        <v>0</v>
      </c>
      <c r="W342" s="583">
        <f>VLOOKUP($H342,Nutrition_tables!$A:$N,10,FALSE)*$Q342/100</f>
        <v>0</v>
      </c>
      <c r="X342" s="583">
        <f>VLOOKUP($H342,Nutrition_tables!$A:$N,11,FALSE)*$Q342/100</f>
        <v>0</v>
      </c>
      <c r="Y342" s="583">
        <f>VLOOKUP($H342,Nutrition_tables!$A:$N,12,FALSE)*$Q342/100</f>
        <v>0</v>
      </c>
      <c r="Z342" s="583">
        <f>VLOOKUP($H342,Nutrition_tables!$A:$N,14,FALSE)*$Q342/100</f>
        <v>0</v>
      </c>
      <c r="AA342" s="583">
        <f>VLOOKUP($H342,Nutrition_tables!$A:$AF,13,FALSE)*$Q342/100</f>
        <v>0</v>
      </c>
      <c r="AB342" s="549">
        <f>VLOOKUP($H342,Nutrition_tables!$A:$AF,15,FALSE)*$Q342/100</f>
        <v>0</v>
      </c>
      <c r="AC342" s="583">
        <f>VLOOKUP($H342,Nutrition_tables!$A:$AF,16,FALSE)*$Q342/100</f>
        <v>0</v>
      </c>
      <c r="AD342" s="583">
        <f>VLOOKUP($H342,Nutrition_tables!$A:$AF,17,FALSE)*$Q342/100</f>
        <v>0</v>
      </c>
      <c r="AE342" s="583">
        <f>VLOOKUP($H342,Nutrition_tables!$A:$AF,18,FALSE)*$Q342/100</f>
        <v>0</v>
      </c>
      <c r="AF342" s="583">
        <f>VLOOKUP($H342,Nutrition_tables!$A:$AF,19,FALSE)*$Q342/100</f>
        <v>0</v>
      </c>
      <c r="AG342" s="583">
        <f>VLOOKUP($H342,Nutrition_tables!$A:$AF,20,FALSE)*$Q342/100</f>
        <v>0</v>
      </c>
      <c r="AH342" s="583">
        <f>VLOOKUP($H342,Nutrition_tables!$A:$AF,21,FALSE)*$Q342/100</f>
        <v>0</v>
      </c>
      <c r="AI342" s="583">
        <f>VLOOKUP($H342,Nutrition_tables!$A:$AF,22,FALSE)*$Q342/100</f>
        <v>0</v>
      </c>
      <c r="AJ342" s="549">
        <f>VLOOKUP($H342,Nutrition_tables!$A:$AF,23,FALSE)*$Q342/100</f>
        <v>0</v>
      </c>
      <c r="AK342" s="583">
        <f>VLOOKUP($H342,Nutrition_tables!$A:$AF,24,FALSE)*$Q342/100</f>
        <v>0</v>
      </c>
      <c r="AL342" s="583">
        <f>VLOOKUP($H342,Nutrition_tables!$A:$AF,25,FALSE)*$Q342/100</f>
        <v>0</v>
      </c>
      <c r="AM342" s="583">
        <f>VLOOKUP($H342,Nutrition_tables!$A:$AF,26,FALSE)*$Q342/100</f>
        <v>0</v>
      </c>
      <c r="AN342" s="583">
        <f>VLOOKUP($H342,Nutrition_tables!$A:$AF,27,FALSE)*$Q342/100</f>
        <v>0</v>
      </c>
      <c r="AO342" s="583">
        <f>VLOOKUP($H342,Nutrition_tables!$A:$AF,28,FALSE)*$Q342/100</f>
        <v>0</v>
      </c>
      <c r="AP342" s="583">
        <f>VLOOKUP($H342,Nutrition_tables!$A:$AF,29,FALSE)*$Q342/100</f>
        <v>0</v>
      </c>
      <c r="AQ342" s="583">
        <f>VLOOKUP($H342,Nutrition_tables!$A:$AF,30,FALSE)*$Q342/100</f>
        <v>0</v>
      </c>
      <c r="AR342" s="583">
        <f>VLOOKUP($H342,Nutrition_tables!$A:$AF,31,FALSE)*$Q342/100</f>
        <v>0</v>
      </c>
      <c r="AS342" s="549">
        <f>VLOOKUP($H342,Nutrition_tables!$A:$AF,32,FALSE)*$Q342/100</f>
        <v>0</v>
      </c>
      <c r="AT342" s="583" t="str">
        <f>IF(H342="Select ingredient:","",IF(G342="Select food category:","",IFERROR(VLOOKUP($H342,Ingredient_prices!$E:$W,17,FALSE)*$Q342/1000,"not bought")))</f>
        <v/>
      </c>
      <c r="AU342" s="583" t="str">
        <f>IF(H342="Select ingredient:","",IF(G342="Select food category:","",IFERROR(VLOOKUP($H342,Ingredient_prices!$E:$W,18,FALSE)*$Q342/1000,"not bought")))</f>
        <v/>
      </c>
      <c r="AV342" s="583">
        <f t="shared" si="766"/>
        <v>0</v>
      </c>
      <c r="AW342" s="583">
        <f t="shared" si="767"/>
        <v>0</v>
      </c>
      <c r="AX342" s="583">
        <f t="shared" si="768"/>
        <v>0</v>
      </c>
      <c r="AY342" s="583">
        <f t="shared" si="769"/>
        <v>0</v>
      </c>
      <c r="AZ342" s="583">
        <f t="shared" si="770"/>
        <v>0</v>
      </c>
      <c r="BA342" s="583">
        <f t="shared" si="771"/>
        <v>0</v>
      </c>
      <c r="BB342" s="583">
        <f t="shared" si="772"/>
        <v>0</v>
      </c>
      <c r="BC342" s="583">
        <f t="shared" si="773"/>
        <v>0</v>
      </c>
      <c r="BD342" s="583">
        <f t="shared" si="774"/>
        <v>0</v>
      </c>
      <c r="BE342" s="583">
        <f t="shared" si="775"/>
        <v>0</v>
      </c>
      <c r="BF342" s="583">
        <f t="shared" si="776"/>
        <v>0</v>
      </c>
      <c r="BG342" s="583">
        <f t="shared" si="777"/>
        <v>0</v>
      </c>
      <c r="BH342" s="583">
        <f t="shared" si="778"/>
        <v>0</v>
      </c>
      <c r="BI342" s="583">
        <f t="shared" si="779"/>
        <v>0</v>
      </c>
      <c r="BJ342" s="583">
        <f t="shared" si="780"/>
        <v>0</v>
      </c>
      <c r="BK342" s="583">
        <f t="shared" si="781"/>
        <v>0</v>
      </c>
      <c r="BL342" s="583">
        <f t="shared" si="782"/>
        <v>0</v>
      </c>
      <c r="BM342" s="583">
        <f t="shared" si="783"/>
        <v>0</v>
      </c>
      <c r="BN342" s="583">
        <f t="shared" si="784"/>
        <v>0</v>
      </c>
      <c r="BO342" s="583">
        <f t="shared" si="785"/>
        <v>0</v>
      </c>
      <c r="BP342" s="583">
        <f t="shared" si="786"/>
        <v>0</v>
      </c>
      <c r="BQ342" s="583">
        <f t="shared" si="787"/>
        <v>0</v>
      </c>
      <c r="BR342" s="583">
        <f t="shared" si="788"/>
        <v>0</v>
      </c>
    </row>
    <row r="343" spans="1:70" s="229" customFormat="1" ht="15" customHeight="1">
      <c r="A343" s="643"/>
      <c r="D343" s="85"/>
      <c r="E343" s="576">
        <f t="shared" si="789"/>
        <v>100</v>
      </c>
      <c r="F343" s="85"/>
      <c r="G343" s="406" t="s">
        <v>3054</v>
      </c>
      <c r="H343" s="1262" t="s">
        <v>3055</v>
      </c>
      <c r="I343" s="85">
        <v>0</v>
      </c>
      <c r="J343" s="682">
        <v>1</v>
      </c>
      <c r="K343" s="579" t="str">
        <f t="shared" si="763"/>
        <v/>
      </c>
      <c r="L343" s="580" t="str">
        <f>IF(H343="Select ingredient:","",IF(G343="","",_xlfn.IFNA(VLOOKUP($H343,Ingredient_prices!$E:$U,16,FALSE),0)))</f>
        <v/>
      </c>
      <c r="M343" s="848"/>
      <c r="N343" s="848"/>
      <c r="O343" s="648"/>
      <c r="P343" s="653"/>
      <c r="Q343" s="583">
        <f t="shared" si="764"/>
        <v>0</v>
      </c>
      <c r="R343" s="583">
        <f>VLOOKUP($H343,'CO2_emission+%_food_waste'!$A:$K,6,FALSE)*$Q343/100</f>
        <v>0</v>
      </c>
      <c r="S343" s="583">
        <f t="shared" si="765"/>
        <v>0</v>
      </c>
      <c r="T343" s="583" t="str">
        <f>IF(H343="Select ingredient:","",IF(G343="Select food category:","",_xlfn.IFNA(VLOOKUP($H343,Ingredient_prices!$E:$U,16,FALSE)*$Q343/1000,"not bought")))</f>
        <v/>
      </c>
      <c r="U343" s="583" t="str">
        <f>IF(G343="Select food category:","",_xlfn.IFNA(VLOOKUP($H343,Ingredient_prices!$E:$U,16,FALSE)*$R343/1000,"not bought"))</f>
        <v/>
      </c>
      <c r="V343" s="549">
        <f>VLOOKUP($H343,'CO2_emission+%_food_waste'!$A:$K,4,FALSE)*$Q343</f>
        <v>0</v>
      </c>
      <c r="W343" s="583">
        <f>VLOOKUP($H343,Nutrition_tables!$A:$N,10,FALSE)*$Q343/100</f>
        <v>0</v>
      </c>
      <c r="X343" s="583">
        <f>VLOOKUP($H343,Nutrition_tables!$A:$N,11,FALSE)*$Q343/100</f>
        <v>0</v>
      </c>
      <c r="Y343" s="583">
        <f>VLOOKUP($H343,Nutrition_tables!$A:$N,12,FALSE)*$Q343/100</f>
        <v>0</v>
      </c>
      <c r="Z343" s="583">
        <f>VLOOKUP($H343,Nutrition_tables!$A:$N,14,FALSE)*$Q343/100</f>
        <v>0</v>
      </c>
      <c r="AA343" s="583">
        <f>VLOOKUP($H343,Nutrition_tables!$A:$AF,13,FALSE)*$Q343/100</f>
        <v>0</v>
      </c>
      <c r="AB343" s="549">
        <f>VLOOKUP($H343,Nutrition_tables!$A:$AF,15,FALSE)*$Q343/100</f>
        <v>0</v>
      </c>
      <c r="AC343" s="583">
        <f>VLOOKUP($H343,Nutrition_tables!$A:$AF,16,FALSE)*$Q343/100</f>
        <v>0</v>
      </c>
      <c r="AD343" s="583">
        <f>VLOOKUP($H343,Nutrition_tables!$A:$AF,17,FALSE)*$Q343/100</f>
        <v>0</v>
      </c>
      <c r="AE343" s="583">
        <f>VLOOKUP($H343,Nutrition_tables!$A:$AF,18,FALSE)*$Q343/100</f>
        <v>0</v>
      </c>
      <c r="AF343" s="583">
        <f>VLOOKUP($H343,Nutrition_tables!$A:$AF,19,FALSE)*$Q343/100</f>
        <v>0</v>
      </c>
      <c r="AG343" s="583">
        <f>VLOOKUP($H343,Nutrition_tables!$A:$AF,20,FALSE)*$Q343/100</f>
        <v>0</v>
      </c>
      <c r="AH343" s="583">
        <f>VLOOKUP($H343,Nutrition_tables!$A:$AF,21,FALSE)*$Q343/100</f>
        <v>0</v>
      </c>
      <c r="AI343" s="583">
        <f>VLOOKUP($H343,Nutrition_tables!$A:$AF,22,FALSE)*$Q343/100</f>
        <v>0</v>
      </c>
      <c r="AJ343" s="549">
        <f>VLOOKUP($H343,Nutrition_tables!$A:$AF,23,FALSE)*$Q343/100</f>
        <v>0</v>
      </c>
      <c r="AK343" s="583">
        <f>VLOOKUP($H343,Nutrition_tables!$A:$AF,24,FALSE)*$Q343/100</f>
        <v>0</v>
      </c>
      <c r="AL343" s="583">
        <f>VLOOKUP($H343,Nutrition_tables!$A:$AF,25,FALSE)*$Q343/100</f>
        <v>0</v>
      </c>
      <c r="AM343" s="583">
        <f>VLOOKUP($H343,Nutrition_tables!$A:$AF,26,FALSE)*$Q343/100</f>
        <v>0</v>
      </c>
      <c r="AN343" s="583">
        <f>VLOOKUP($H343,Nutrition_tables!$A:$AF,27,FALSE)*$Q343/100</f>
        <v>0</v>
      </c>
      <c r="AO343" s="583">
        <f>VLOOKUP($H343,Nutrition_tables!$A:$AF,28,FALSE)*$Q343/100</f>
        <v>0</v>
      </c>
      <c r="AP343" s="583">
        <f>VLOOKUP($H343,Nutrition_tables!$A:$AF,29,FALSE)*$Q343/100</f>
        <v>0</v>
      </c>
      <c r="AQ343" s="583">
        <f>VLOOKUP($H343,Nutrition_tables!$A:$AF,30,FALSE)*$Q343/100</f>
        <v>0</v>
      </c>
      <c r="AR343" s="583">
        <f>VLOOKUP($H343,Nutrition_tables!$A:$AF,31,FALSE)*$Q343/100</f>
        <v>0</v>
      </c>
      <c r="AS343" s="549">
        <f>VLOOKUP($H343,Nutrition_tables!$A:$AF,32,FALSE)*$Q343/100</f>
        <v>0</v>
      </c>
      <c r="AT343" s="583" t="str">
        <f>IF(H343="Select ingredient:","",IF(G343="Select food category:","",IFERROR(VLOOKUP($H343,Ingredient_prices!$E:$W,17,FALSE)*$Q343/1000,"not bought")))</f>
        <v/>
      </c>
      <c r="AU343" s="583" t="str">
        <f>IF(H343="Select ingredient:","",IF(G343="Select food category:","",IFERROR(VLOOKUP($H343,Ingredient_prices!$E:$W,18,FALSE)*$Q343/1000,"not bought")))</f>
        <v/>
      </c>
      <c r="AV343" s="583">
        <f t="shared" si="766"/>
        <v>0</v>
      </c>
      <c r="AW343" s="583">
        <f t="shared" si="767"/>
        <v>0</v>
      </c>
      <c r="AX343" s="583">
        <f t="shared" si="768"/>
        <v>0</v>
      </c>
      <c r="AY343" s="583">
        <f t="shared" si="769"/>
        <v>0</v>
      </c>
      <c r="AZ343" s="583">
        <f t="shared" si="770"/>
        <v>0</v>
      </c>
      <c r="BA343" s="583">
        <f t="shared" si="771"/>
        <v>0</v>
      </c>
      <c r="BB343" s="583">
        <f t="shared" si="772"/>
        <v>0</v>
      </c>
      <c r="BC343" s="583">
        <f t="shared" si="773"/>
        <v>0</v>
      </c>
      <c r="BD343" s="583">
        <f t="shared" si="774"/>
        <v>0</v>
      </c>
      <c r="BE343" s="583">
        <f t="shared" si="775"/>
        <v>0</v>
      </c>
      <c r="BF343" s="583">
        <f t="shared" si="776"/>
        <v>0</v>
      </c>
      <c r="BG343" s="583">
        <f t="shared" si="777"/>
        <v>0</v>
      </c>
      <c r="BH343" s="583">
        <f t="shared" si="778"/>
        <v>0</v>
      </c>
      <c r="BI343" s="583">
        <f t="shared" si="779"/>
        <v>0</v>
      </c>
      <c r="BJ343" s="583">
        <f t="shared" si="780"/>
        <v>0</v>
      </c>
      <c r="BK343" s="583">
        <f t="shared" si="781"/>
        <v>0</v>
      </c>
      <c r="BL343" s="583">
        <f t="shared" si="782"/>
        <v>0</v>
      </c>
      <c r="BM343" s="583">
        <f t="shared" si="783"/>
        <v>0</v>
      </c>
      <c r="BN343" s="583">
        <f t="shared" si="784"/>
        <v>0</v>
      </c>
      <c r="BO343" s="583">
        <f t="shared" si="785"/>
        <v>0</v>
      </c>
      <c r="BP343" s="583">
        <f t="shared" si="786"/>
        <v>0</v>
      </c>
      <c r="BQ343" s="583">
        <f t="shared" si="787"/>
        <v>0</v>
      </c>
      <c r="BR343" s="583">
        <f t="shared" si="788"/>
        <v>0</v>
      </c>
    </row>
    <row r="344" spans="1:70" s="229" customFormat="1" ht="15" customHeight="1">
      <c r="A344" s="643"/>
      <c r="D344" s="85"/>
      <c r="E344" s="576">
        <f t="shared" si="789"/>
        <v>100</v>
      </c>
      <c r="F344" s="710"/>
      <c r="G344" s="406" t="s">
        <v>3054</v>
      </c>
      <c r="H344" s="1262" t="s">
        <v>3055</v>
      </c>
      <c r="I344" s="85">
        <v>0</v>
      </c>
      <c r="J344" s="682">
        <v>1</v>
      </c>
      <c r="K344" s="579" t="str">
        <f t="shared" si="763"/>
        <v/>
      </c>
      <c r="L344" s="580" t="str">
        <f>IF(H344="Select ingredient:","",IF(G344="","",_xlfn.IFNA(VLOOKUP($H344,Ingredient_prices!$E:$U,16,FALSE),0)))</f>
        <v/>
      </c>
      <c r="M344" s="848"/>
      <c r="N344" s="848"/>
      <c r="O344" s="648"/>
      <c r="P344" s="653"/>
      <c r="Q344" s="583">
        <f t="shared" si="764"/>
        <v>0</v>
      </c>
      <c r="R344" s="583">
        <f>VLOOKUP($H344,'CO2_emission+%_food_waste'!$A:$K,6,FALSE)*$Q344/100</f>
        <v>0</v>
      </c>
      <c r="S344" s="583">
        <f t="shared" si="765"/>
        <v>0</v>
      </c>
      <c r="T344" s="583" t="str">
        <f>IF(H344="Select ingredient:","",IF(G344="Select food category:","",_xlfn.IFNA(VLOOKUP($H344,Ingredient_prices!$E:$U,16,FALSE)*$Q344/1000,"not bought")))</f>
        <v/>
      </c>
      <c r="U344" s="583" t="str">
        <f>IF(G344="Select food category:","",_xlfn.IFNA(VLOOKUP($H344,Ingredient_prices!$E:$U,16,FALSE)*$R344/1000,"not bought"))</f>
        <v/>
      </c>
      <c r="V344" s="549">
        <f>VLOOKUP($H344,'CO2_emission+%_food_waste'!$A:$K,4,FALSE)*$Q344</f>
        <v>0</v>
      </c>
      <c r="W344" s="583">
        <f>VLOOKUP($H344,Nutrition_tables!$A:$N,10,FALSE)*$Q344/100</f>
        <v>0</v>
      </c>
      <c r="X344" s="583">
        <f>VLOOKUP($H344,Nutrition_tables!$A:$N,11,FALSE)*$Q344/100</f>
        <v>0</v>
      </c>
      <c r="Y344" s="583">
        <f>VLOOKUP($H344,Nutrition_tables!$A:$N,12,FALSE)*$Q344/100</f>
        <v>0</v>
      </c>
      <c r="Z344" s="583">
        <f>VLOOKUP($H344,Nutrition_tables!$A:$N,14,FALSE)*$Q344/100</f>
        <v>0</v>
      </c>
      <c r="AA344" s="583">
        <f>VLOOKUP($H344,Nutrition_tables!$A:$AF,13,FALSE)*$Q344/100</f>
        <v>0</v>
      </c>
      <c r="AB344" s="549">
        <f>VLOOKUP($H344,Nutrition_tables!$A:$AF,15,FALSE)*$Q344/100</f>
        <v>0</v>
      </c>
      <c r="AC344" s="583">
        <f>VLOOKUP($H344,Nutrition_tables!$A:$AF,16,FALSE)*$Q344/100</f>
        <v>0</v>
      </c>
      <c r="AD344" s="583">
        <f>VLOOKUP($H344,Nutrition_tables!$A:$AF,17,FALSE)*$Q344/100</f>
        <v>0</v>
      </c>
      <c r="AE344" s="583">
        <f>VLOOKUP($H344,Nutrition_tables!$A:$AF,18,FALSE)*$Q344/100</f>
        <v>0</v>
      </c>
      <c r="AF344" s="583">
        <f>VLOOKUP($H344,Nutrition_tables!$A:$AF,19,FALSE)*$Q344/100</f>
        <v>0</v>
      </c>
      <c r="AG344" s="583">
        <f>VLOOKUP($H344,Nutrition_tables!$A:$AF,20,FALSE)*$Q344/100</f>
        <v>0</v>
      </c>
      <c r="AH344" s="583">
        <f>VLOOKUP($H344,Nutrition_tables!$A:$AF,21,FALSE)*$Q344/100</f>
        <v>0</v>
      </c>
      <c r="AI344" s="583">
        <f>VLOOKUP($H344,Nutrition_tables!$A:$AF,22,FALSE)*$Q344/100</f>
        <v>0</v>
      </c>
      <c r="AJ344" s="549">
        <f>VLOOKUP($H344,Nutrition_tables!$A:$AF,23,FALSE)*$Q344/100</f>
        <v>0</v>
      </c>
      <c r="AK344" s="583">
        <f>VLOOKUP($H344,Nutrition_tables!$A:$AF,24,FALSE)*$Q344/100</f>
        <v>0</v>
      </c>
      <c r="AL344" s="583">
        <f>VLOOKUP($H344,Nutrition_tables!$A:$AF,25,FALSE)*$Q344/100</f>
        <v>0</v>
      </c>
      <c r="AM344" s="583">
        <f>VLOOKUP($H344,Nutrition_tables!$A:$AF,26,FALSE)*$Q344/100</f>
        <v>0</v>
      </c>
      <c r="AN344" s="583">
        <f>VLOOKUP($H344,Nutrition_tables!$A:$AF,27,FALSE)*$Q344/100</f>
        <v>0</v>
      </c>
      <c r="AO344" s="583">
        <f>VLOOKUP($H344,Nutrition_tables!$A:$AF,28,FALSE)*$Q344/100</f>
        <v>0</v>
      </c>
      <c r="AP344" s="583">
        <f>VLOOKUP($H344,Nutrition_tables!$A:$AF,29,FALSE)*$Q344/100</f>
        <v>0</v>
      </c>
      <c r="AQ344" s="583">
        <f>VLOOKUP($H344,Nutrition_tables!$A:$AF,30,FALSE)*$Q344/100</f>
        <v>0</v>
      </c>
      <c r="AR344" s="583">
        <f>VLOOKUP($H344,Nutrition_tables!$A:$AF,31,FALSE)*$Q344/100</f>
        <v>0</v>
      </c>
      <c r="AS344" s="549">
        <f>VLOOKUP($H344,Nutrition_tables!$A:$AF,32,FALSE)*$Q344/100</f>
        <v>0</v>
      </c>
      <c r="AT344" s="583" t="str">
        <f>IF(H344="Select ingredient:","",IF(G344="Select food category:","",IFERROR(VLOOKUP($H344,Ingredient_prices!$E:$W,17,FALSE)*$Q344/1000,"not bought")))</f>
        <v/>
      </c>
      <c r="AU344" s="583" t="str">
        <f>IF(H344="Select ingredient:","",IF(G344="Select food category:","",IFERROR(VLOOKUP($H344,Ingredient_prices!$E:$W,18,FALSE)*$Q344/1000,"not bought")))</f>
        <v/>
      </c>
      <c r="AV344" s="583">
        <f t="shared" si="766"/>
        <v>0</v>
      </c>
      <c r="AW344" s="583">
        <f t="shared" si="767"/>
        <v>0</v>
      </c>
      <c r="AX344" s="583">
        <f t="shared" si="768"/>
        <v>0</v>
      </c>
      <c r="AY344" s="583">
        <f t="shared" si="769"/>
        <v>0</v>
      </c>
      <c r="AZ344" s="583">
        <f t="shared" si="770"/>
        <v>0</v>
      </c>
      <c r="BA344" s="583">
        <f t="shared" si="771"/>
        <v>0</v>
      </c>
      <c r="BB344" s="583">
        <f t="shared" si="772"/>
        <v>0</v>
      </c>
      <c r="BC344" s="583">
        <f t="shared" si="773"/>
        <v>0</v>
      </c>
      <c r="BD344" s="583">
        <f t="shared" si="774"/>
        <v>0</v>
      </c>
      <c r="BE344" s="583">
        <f t="shared" si="775"/>
        <v>0</v>
      </c>
      <c r="BF344" s="583">
        <f t="shared" si="776"/>
        <v>0</v>
      </c>
      <c r="BG344" s="583">
        <f t="shared" si="777"/>
        <v>0</v>
      </c>
      <c r="BH344" s="583">
        <f t="shared" si="778"/>
        <v>0</v>
      </c>
      <c r="BI344" s="583">
        <f t="shared" si="779"/>
        <v>0</v>
      </c>
      <c r="BJ344" s="583">
        <f t="shared" si="780"/>
        <v>0</v>
      </c>
      <c r="BK344" s="583">
        <f t="shared" si="781"/>
        <v>0</v>
      </c>
      <c r="BL344" s="583">
        <f t="shared" si="782"/>
        <v>0</v>
      </c>
      <c r="BM344" s="583">
        <f t="shared" si="783"/>
        <v>0</v>
      </c>
      <c r="BN344" s="583">
        <f t="shared" si="784"/>
        <v>0</v>
      </c>
      <c r="BO344" s="583">
        <f t="shared" si="785"/>
        <v>0</v>
      </c>
      <c r="BP344" s="583">
        <f t="shared" si="786"/>
        <v>0</v>
      </c>
      <c r="BQ344" s="583">
        <f t="shared" si="787"/>
        <v>0</v>
      </c>
      <c r="BR344" s="583">
        <f t="shared" si="788"/>
        <v>0</v>
      </c>
    </row>
    <row r="345" spans="1:70" s="229" customFormat="1" ht="15" customHeight="1">
      <c r="A345" s="643"/>
      <c r="D345" s="85"/>
      <c r="E345" s="576">
        <f t="shared" si="789"/>
        <v>100</v>
      </c>
      <c r="F345" s="710"/>
      <c r="G345" s="406" t="s">
        <v>3054</v>
      </c>
      <c r="H345" s="1262" t="s">
        <v>3055</v>
      </c>
      <c r="I345" s="85">
        <v>0</v>
      </c>
      <c r="J345" s="682">
        <v>1</v>
      </c>
      <c r="K345" s="579" t="str">
        <f t="shared" si="763"/>
        <v/>
      </c>
      <c r="L345" s="580" t="str">
        <f>IF(H345="Select ingredient:","",IF(G345="","",_xlfn.IFNA(VLOOKUP($H345,Ingredient_prices!$E:$U,16,FALSE),0)))</f>
        <v/>
      </c>
      <c r="M345" s="848"/>
      <c r="N345" s="848"/>
      <c r="O345" s="648"/>
      <c r="P345" s="653"/>
      <c r="Q345" s="583">
        <f t="shared" si="764"/>
        <v>0</v>
      </c>
      <c r="R345" s="583">
        <f>VLOOKUP($H345,'CO2_emission+%_food_waste'!$A:$K,6,FALSE)*$Q345/100</f>
        <v>0</v>
      </c>
      <c r="S345" s="583">
        <f t="shared" si="765"/>
        <v>0</v>
      </c>
      <c r="T345" s="583" t="str">
        <f>IF(H345="Select ingredient:","",IF(G345="Select food category:","",_xlfn.IFNA(VLOOKUP($H345,Ingredient_prices!$E:$U,16,FALSE)*$Q345/1000,"not bought")))</f>
        <v/>
      </c>
      <c r="U345" s="583" t="str">
        <f>IF(G345="Select food category:","",_xlfn.IFNA(VLOOKUP($H345,Ingredient_prices!$E:$U,16,FALSE)*$R345/1000,"not bought"))</f>
        <v/>
      </c>
      <c r="V345" s="549">
        <f>VLOOKUP($H345,'CO2_emission+%_food_waste'!$A:$K,4,FALSE)*$Q345</f>
        <v>0</v>
      </c>
      <c r="W345" s="583">
        <f>VLOOKUP($H345,Nutrition_tables!$A:$N,10,FALSE)*$Q345/100</f>
        <v>0</v>
      </c>
      <c r="X345" s="583">
        <f>VLOOKUP($H345,Nutrition_tables!$A:$N,11,FALSE)*$Q345/100</f>
        <v>0</v>
      </c>
      <c r="Y345" s="583">
        <f>VLOOKUP($H345,Nutrition_tables!$A:$N,12,FALSE)*$Q345/100</f>
        <v>0</v>
      </c>
      <c r="Z345" s="583">
        <f>VLOOKUP($H345,Nutrition_tables!$A:$N,14,FALSE)*$Q345/100</f>
        <v>0</v>
      </c>
      <c r="AA345" s="583">
        <f>VLOOKUP($H345,Nutrition_tables!$A:$AF,13,FALSE)*$Q345/100</f>
        <v>0</v>
      </c>
      <c r="AB345" s="549">
        <f>VLOOKUP($H345,Nutrition_tables!$A:$AF,15,FALSE)*$Q345/100</f>
        <v>0</v>
      </c>
      <c r="AC345" s="583">
        <f>VLOOKUP($H345,Nutrition_tables!$A:$AF,16,FALSE)*$Q345/100</f>
        <v>0</v>
      </c>
      <c r="AD345" s="583">
        <f>VLOOKUP($H345,Nutrition_tables!$A:$AF,17,FALSE)*$Q345/100</f>
        <v>0</v>
      </c>
      <c r="AE345" s="583">
        <f>VLOOKUP($H345,Nutrition_tables!$A:$AF,18,FALSE)*$Q345/100</f>
        <v>0</v>
      </c>
      <c r="AF345" s="583">
        <f>VLOOKUP($H345,Nutrition_tables!$A:$AF,19,FALSE)*$Q345/100</f>
        <v>0</v>
      </c>
      <c r="AG345" s="583">
        <f>VLOOKUP($H345,Nutrition_tables!$A:$AF,20,FALSE)*$Q345/100</f>
        <v>0</v>
      </c>
      <c r="AH345" s="583">
        <f>VLOOKUP($H345,Nutrition_tables!$A:$AF,21,FALSE)*$Q345/100</f>
        <v>0</v>
      </c>
      <c r="AI345" s="583">
        <f>VLOOKUP($H345,Nutrition_tables!$A:$AF,22,FALSE)*$Q345/100</f>
        <v>0</v>
      </c>
      <c r="AJ345" s="549">
        <f>VLOOKUP($H345,Nutrition_tables!$A:$AF,23,FALSE)*$Q345/100</f>
        <v>0</v>
      </c>
      <c r="AK345" s="583">
        <f>VLOOKUP($H345,Nutrition_tables!$A:$AF,24,FALSE)*$Q345/100</f>
        <v>0</v>
      </c>
      <c r="AL345" s="583">
        <f>VLOOKUP($H345,Nutrition_tables!$A:$AF,25,FALSE)*$Q345/100</f>
        <v>0</v>
      </c>
      <c r="AM345" s="583">
        <f>VLOOKUP($H345,Nutrition_tables!$A:$AF,26,FALSE)*$Q345/100</f>
        <v>0</v>
      </c>
      <c r="AN345" s="583">
        <f>VLOOKUP($H345,Nutrition_tables!$A:$AF,27,FALSE)*$Q345/100</f>
        <v>0</v>
      </c>
      <c r="AO345" s="583">
        <f>VLOOKUP($H345,Nutrition_tables!$A:$AF,28,FALSE)*$Q345/100</f>
        <v>0</v>
      </c>
      <c r="AP345" s="583">
        <f>VLOOKUP($H345,Nutrition_tables!$A:$AF,29,FALSE)*$Q345/100</f>
        <v>0</v>
      </c>
      <c r="AQ345" s="583">
        <f>VLOOKUP($H345,Nutrition_tables!$A:$AF,30,FALSE)*$Q345/100</f>
        <v>0</v>
      </c>
      <c r="AR345" s="583">
        <f>VLOOKUP($H345,Nutrition_tables!$A:$AF,31,FALSE)*$Q345/100</f>
        <v>0</v>
      </c>
      <c r="AS345" s="549">
        <f>VLOOKUP($H345,Nutrition_tables!$A:$AF,32,FALSE)*$Q345/100</f>
        <v>0</v>
      </c>
      <c r="AT345" s="583" t="str">
        <f>IF(H345="Select ingredient:","",IF(G345="Select food category:","",IFERROR(VLOOKUP($H345,Ingredient_prices!$E:$W,17,FALSE)*$Q345/1000,"not bought")))</f>
        <v/>
      </c>
      <c r="AU345" s="583" t="str">
        <f>IF(H345="Select ingredient:","",IF(G345="Select food category:","",IFERROR(VLOOKUP($H345,Ingredient_prices!$E:$W,18,FALSE)*$Q345/1000,"not bought")))</f>
        <v/>
      </c>
      <c r="AV345" s="583">
        <f t="shared" si="766"/>
        <v>0</v>
      </c>
      <c r="AW345" s="583">
        <f t="shared" si="767"/>
        <v>0</v>
      </c>
      <c r="AX345" s="583">
        <f t="shared" si="768"/>
        <v>0</v>
      </c>
      <c r="AY345" s="583">
        <f t="shared" si="769"/>
        <v>0</v>
      </c>
      <c r="AZ345" s="583">
        <f t="shared" si="770"/>
        <v>0</v>
      </c>
      <c r="BA345" s="583">
        <f t="shared" si="771"/>
        <v>0</v>
      </c>
      <c r="BB345" s="583">
        <f t="shared" si="772"/>
        <v>0</v>
      </c>
      <c r="BC345" s="583">
        <f t="shared" si="773"/>
        <v>0</v>
      </c>
      <c r="BD345" s="583">
        <f t="shared" si="774"/>
        <v>0</v>
      </c>
      <c r="BE345" s="583">
        <f t="shared" si="775"/>
        <v>0</v>
      </c>
      <c r="BF345" s="583">
        <f t="shared" si="776"/>
        <v>0</v>
      </c>
      <c r="BG345" s="583">
        <f t="shared" si="777"/>
        <v>0</v>
      </c>
      <c r="BH345" s="583">
        <f t="shared" si="778"/>
        <v>0</v>
      </c>
      <c r="BI345" s="583">
        <f t="shared" si="779"/>
        <v>0</v>
      </c>
      <c r="BJ345" s="583">
        <f t="shared" si="780"/>
        <v>0</v>
      </c>
      <c r="BK345" s="583">
        <f t="shared" si="781"/>
        <v>0</v>
      </c>
      <c r="BL345" s="583">
        <f t="shared" si="782"/>
        <v>0</v>
      </c>
      <c r="BM345" s="583">
        <f t="shared" si="783"/>
        <v>0</v>
      </c>
      <c r="BN345" s="583">
        <f t="shared" si="784"/>
        <v>0</v>
      </c>
      <c r="BO345" s="583">
        <f t="shared" si="785"/>
        <v>0</v>
      </c>
      <c r="BP345" s="583">
        <f t="shared" si="786"/>
        <v>0</v>
      </c>
      <c r="BQ345" s="583">
        <f t="shared" si="787"/>
        <v>0</v>
      </c>
      <c r="BR345" s="583">
        <f t="shared" si="788"/>
        <v>0</v>
      </c>
    </row>
    <row r="346" spans="1:70" s="229" customFormat="1" ht="15" customHeight="1">
      <c r="A346" s="643"/>
      <c r="D346" s="85"/>
      <c r="E346" s="576">
        <f t="shared" si="789"/>
        <v>100</v>
      </c>
      <c r="F346" s="710"/>
      <c r="G346" s="406" t="s">
        <v>3054</v>
      </c>
      <c r="H346" s="1262" t="s">
        <v>3055</v>
      </c>
      <c r="I346" s="85">
        <v>0</v>
      </c>
      <c r="J346" s="682">
        <v>1</v>
      </c>
      <c r="K346" s="579" t="str">
        <f t="shared" si="763"/>
        <v/>
      </c>
      <c r="L346" s="580" t="str">
        <f>IF(H346="Select ingredient:","",IF(G346="","",_xlfn.IFNA(VLOOKUP($H346,Ingredient_prices!$E:$U,16,FALSE),0)))</f>
        <v/>
      </c>
      <c r="M346" s="848"/>
      <c r="N346" s="848"/>
      <c r="O346" s="648"/>
      <c r="P346" s="653"/>
      <c r="Q346" s="583">
        <f t="shared" si="764"/>
        <v>0</v>
      </c>
      <c r="R346" s="583">
        <f>VLOOKUP($H346,'CO2_emission+%_food_waste'!$A:$K,6,FALSE)*$Q346/100</f>
        <v>0</v>
      </c>
      <c r="S346" s="583">
        <f t="shared" si="765"/>
        <v>0</v>
      </c>
      <c r="T346" s="583" t="str">
        <f>IF(H346="Select ingredient:","",IF(G346="Select food category:","",_xlfn.IFNA(VLOOKUP($H346,Ingredient_prices!$E:$U,16,FALSE)*$Q346/1000,"not bought")))</f>
        <v/>
      </c>
      <c r="U346" s="583" t="str">
        <f>IF(G346="Select food category:","",_xlfn.IFNA(VLOOKUP($H346,Ingredient_prices!$E:$U,16,FALSE)*$R346/1000,"not bought"))</f>
        <v/>
      </c>
      <c r="V346" s="549">
        <f>VLOOKUP($H346,'CO2_emission+%_food_waste'!$A:$K,4,FALSE)*$Q346</f>
        <v>0</v>
      </c>
      <c r="W346" s="583">
        <f>VLOOKUP($H346,Nutrition_tables!$A:$N,10,FALSE)*$Q346/100</f>
        <v>0</v>
      </c>
      <c r="X346" s="583">
        <f>VLOOKUP($H346,Nutrition_tables!$A:$N,11,FALSE)*$Q346/100</f>
        <v>0</v>
      </c>
      <c r="Y346" s="583">
        <f>VLOOKUP($H346,Nutrition_tables!$A:$N,12,FALSE)*$Q346/100</f>
        <v>0</v>
      </c>
      <c r="Z346" s="583">
        <f>VLOOKUP($H346,Nutrition_tables!$A:$N,14,FALSE)*$Q346/100</f>
        <v>0</v>
      </c>
      <c r="AA346" s="583">
        <f>VLOOKUP($H346,Nutrition_tables!$A:$AF,13,FALSE)*$Q346/100</f>
        <v>0</v>
      </c>
      <c r="AB346" s="549">
        <f>VLOOKUP($H346,Nutrition_tables!$A:$AF,15,FALSE)*$Q346/100</f>
        <v>0</v>
      </c>
      <c r="AC346" s="583">
        <f>VLOOKUP($H346,Nutrition_tables!$A:$AF,16,FALSE)*$Q346/100</f>
        <v>0</v>
      </c>
      <c r="AD346" s="583">
        <f>VLOOKUP($H346,Nutrition_tables!$A:$AF,17,FALSE)*$Q346/100</f>
        <v>0</v>
      </c>
      <c r="AE346" s="583">
        <f>VLOOKUP($H346,Nutrition_tables!$A:$AF,18,FALSE)*$Q346/100</f>
        <v>0</v>
      </c>
      <c r="AF346" s="583">
        <f>VLOOKUP($H346,Nutrition_tables!$A:$AF,19,FALSE)*$Q346/100</f>
        <v>0</v>
      </c>
      <c r="AG346" s="583">
        <f>VLOOKUP($H346,Nutrition_tables!$A:$AF,20,FALSE)*$Q346/100</f>
        <v>0</v>
      </c>
      <c r="AH346" s="583">
        <f>VLOOKUP($H346,Nutrition_tables!$A:$AF,21,FALSE)*$Q346/100</f>
        <v>0</v>
      </c>
      <c r="AI346" s="583">
        <f>VLOOKUP($H346,Nutrition_tables!$A:$AF,22,FALSE)*$Q346/100</f>
        <v>0</v>
      </c>
      <c r="AJ346" s="549">
        <f>VLOOKUP($H346,Nutrition_tables!$A:$AF,23,FALSE)*$Q346/100</f>
        <v>0</v>
      </c>
      <c r="AK346" s="583">
        <f>VLOOKUP($H346,Nutrition_tables!$A:$AF,24,FALSE)*$Q346/100</f>
        <v>0</v>
      </c>
      <c r="AL346" s="583">
        <f>VLOOKUP($H346,Nutrition_tables!$A:$AF,25,FALSE)*$Q346/100</f>
        <v>0</v>
      </c>
      <c r="AM346" s="583">
        <f>VLOOKUP($H346,Nutrition_tables!$A:$AF,26,FALSE)*$Q346/100</f>
        <v>0</v>
      </c>
      <c r="AN346" s="583">
        <f>VLOOKUP($H346,Nutrition_tables!$A:$AF,27,FALSE)*$Q346/100</f>
        <v>0</v>
      </c>
      <c r="AO346" s="583">
        <f>VLOOKUP($H346,Nutrition_tables!$A:$AF,28,FALSE)*$Q346/100</f>
        <v>0</v>
      </c>
      <c r="AP346" s="583">
        <f>VLOOKUP($H346,Nutrition_tables!$A:$AF,29,FALSE)*$Q346/100</f>
        <v>0</v>
      </c>
      <c r="AQ346" s="583">
        <f>VLOOKUP($H346,Nutrition_tables!$A:$AF,30,FALSE)*$Q346/100</f>
        <v>0</v>
      </c>
      <c r="AR346" s="583">
        <f>VLOOKUP($H346,Nutrition_tables!$A:$AF,31,FALSE)*$Q346/100</f>
        <v>0</v>
      </c>
      <c r="AS346" s="549">
        <f>VLOOKUP($H346,Nutrition_tables!$A:$AF,32,FALSE)*$Q346/100</f>
        <v>0</v>
      </c>
      <c r="AT346" s="583" t="str">
        <f>IF(H346="Select ingredient:","",IF(G346="Select food category:","",IFERROR(VLOOKUP($H346,Ingredient_prices!$E:$W,17,FALSE)*$Q346/1000,"not bought")))</f>
        <v/>
      </c>
      <c r="AU346" s="583" t="str">
        <f>IF(H346="Select ingredient:","",IF(G346="Select food category:","",IFERROR(VLOOKUP($H346,Ingredient_prices!$E:$W,18,FALSE)*$Q346/1000,"not bought")))</f>
        <v/>
      </c>
      <c r="AV346" s="583">
        <f t="shared" si="766"/>
        <v>0</v>
      </c>
      <c r="AW346" s="583">
        <f t="shared" si="767"/>
        <v>0</v>
      </c>
      <c r="AX346" s="583">
        <f t="shared" si="768"/>
        <v>0</v>
      </c>
      <c r="AY346" s="583">
        <f t="shared" si="769"/>
        <v>0</v>
      </c>
      <c r="AZ346" s="583">
        <f t="shared" si="770"/>
        <v>0</v>
      </c>
      <c r="BA346" s="583">
        <f t="shared" si="771"/>
        <v>0</v>
      </c>
      <c r="BB346" s="583">
        <f t="shared" si="772"/>
        <v>0</v>
      </c>
      <c r="BC346" s="583">
        <f t="shared" si="773"/>
        <v>0</v>
      </c>
      <c r="BD346" s="583">
        <f t="shared" si="774"/>
        <v>0</v>
      </c>
      <c r="BE346" s="583">
        <f t="shared" si="775"/>
        <v>0</v>
      </c>
      <c r="BF346" s="583">
        <f t="shared" si="776"/>
        <v>0</v>
      </c>
      <c r="BG346" s="583">
        <f t="shared" si="777"/>
        <v>0</v>
      </c>
      <c r="BH346" s="583">
        <f t="shared" si="778"/>
        <v>0</v>
      </c>
      <c r="BI346" s="583">
        <f t="shared" si="779"/>
        <v>0</v>
      </c>
      <c r="BJ346" s="583">
        <f t="shared" si="780"/>
        <v>0</v>
      </c>
      <c r="BK346" s="583">
        <f t="shared" si="781"/>
        <v>0</v>
      </c>
      <c r="BL346" s="583">
        <f t="shared" si="782"/>
        <v>0</v>
      </c>
      <c r="BM346" s="583">
        <f t="shared" si="783"/>
        <v>0</v>
      </c>
      <c r="BN346" s="583">
        <f t="shared" si="784"/>
        <v>0</v>
      </c>
      <c r="BO346" s="583">
        <f t="shared" si="785"/>
        <v>0</v>
      </c>
      <c r="BP346" s="583">
        <f t="shared" si="786"/>
        <v>0</v>
      </c>
      <c r="BQ346" s="583">
        <f t="shared" si="787"/>
        <v>0</v>
      </c>
      <c r="BR346" s="583">
        <f t="shared" si="788"/>
        <v>0</v>
      </c>
    </row>
    <row r="347" spans="1:70" s="603" customFormat="1" ht="56">
      <c r="A347" s="643"/>
      <c r="B347" s="593"/>
      <c r="C347" s="522"/>
      <c r="D347" s="141"/>
      <c r="E347" s="594"/>
      <c r="F347" s="708"/>
      <c r="G347" s="522"/>
      <c r="H347" s="522"/>
      <c r="I347" s="86"/>
      <c r="J347" s="87"/>
      <c r="K347" s="595"/>
      <c r="L347" s="596"/>
      <c r="M347" s="849"/>
      <c r="N347" s="849"/>
      <c r="O347" s="648"/>
      <c r="P347" s="654"/>
      <c r="Q347" s="599" t="s">
        <v>384</v>
      </c>
      <c r="R347" s="600" t="s">
        <v>455</v>
      </c>
      <c r="S347" s="600" t="s">
        <v>2087</v>
      </c>
      <c r="T347" s="600" t="s">
        <v>456</v>
      </c>
      <c r="U347" s="600" t="s">
        <v>535</v>
      </c>
      <c r="V347" s="601" t="s">
        <v>457</v>
      </c>
      <c r="W347" s="600" t="s">
        <v>75</v>
      </c>
      <c r="X347" s="600" t="s">
        <v>385</v>
      </c>
      <c r="Y347" s="600" t="s">
        <v>386</v>
      </c>
      <c r="Z347" s="600" t="s">
        <v>387</v>
      </c>
      <c r="AA347" s="600" t="s">
        <v>388</v>
      </c>
      <c r="AB347" s="601" t="s">
        <v>389</v>
      </c>
      <c r="AC347" s="602" t="s">
        <v>390</v>
      </c>
      <c r="AD347" s="600" t="s">
        <v>391</v>
      </c>
      <c r="AE347" s="600" t="s">
        <v>392</v>
      </c>
      <c r="AF347" s="600" t="s">
        <v>393</v>
      </c>
      <c r="AG347" s="600" t="s">
        <v>394</v>
      </c>
      <c r="AH347" s="600" t="s">
        <v>395</v>
      </c>
      <c r="AI347" s="600" t="s">
        <v>396</v>
      </c>
      <c r="AJ347" s="601" t="s">
        <v>397</v>
      </c>
      <c r="AK347" s="602" t="s">
        <v>398</v>
      </c>
      <c r="AL347" s="600" t="s">
        <v>399</v>
      </c>
      <c r="AM347" s="600" t="s">
        <v>400</v>
      </c>
      <c r="AN347" s="600" t="s">
        <v>401</v>
      </c>
      <c r="AO347" s="600" t="s">
        <v>402</v>
      </c>
      <c r="AP347" s="600" t="s">
        <v>406</v>
      </c>
      <c r="AQ347" s="600" t="s">
        <v>405</v>
      </c>
      <c r="AR347" s="600" t="s">
        <v>403</v>
      </c>
      <c r="AS347" s="601" t="s">
        <v>404</v>
      </c>
      <c r="AT347" s="593"/>
      <c r="AU347" s="593"/>
    </row>
    <row r="348" spans="1:70" s="229" customFormat="1">
      <c r="A348" s="643"/>
      <c r="B348" s="522"/>
      <c r="C348" s="522"/>
      <c r="D348" s="141"/>
      <c r="E348" s="594"/>
      <c r="F348" s="708"/>
      <c r="G348" s="522"/>
      <c r="H348" s="522"/>
      <c r="I348" s="86"/>
      <c r="J348" s="87"/>
      <c r="K348" s="595"/>
      <c r="L348" s="596"/>
      <c r="M348" s="849"/>
      <c r="N348" s="849"/>
      <c r="O348" s="648"/>
      <c r="P348" s="655" t="s">
        <v>383</v>
      </c>
      <c r="Q348" s="583">
        <f t="shared" ref="Q348:AU348" si="790">SUM(Q335:Q346)</f>
        <v>144</v>
      </c>
      <c r="R348" s="583">
        <f t="shared" si="790"/>
        <v>14.932975000000001</v>
      </c>
      <c r="S348" s="583">
        <f>SUM(S335:S346)</f>
        <v>129.067025</v>
      </c>
      <c r="T348" s="583">
        <f t="shared" si="790"/>
        <v>26.109873333333333</v>
      </c>
      <c r="U348" s="583">
        <f t="shared" si="790"/>
        <v>1.2147975933333335</v>
      </c>
      <c r="V348" s="549">
        <f t="shared" si="790"/>
        <v>255.12</v>
      </c>
      <c r="W348" s="583">
        <f t="shared" si="790"/>
        <v>395.01614498175491</v>
      </c>
      <c r="X348" s="583">
        <f t="shared" si="790"/>
        <v>53.55250274616413</v>
      </c>
      <c r="Y348" s="583">
        <f t="shared" si="790"/>
        <v>4.9483173482726421</v>
      </c>
      <c r="Z348" s="583">
        <f t="shared" si="790"/>
        <v>17.859681598140419</v>
      </c>
      <c r="AA348" s="583">
        <f t="shared" si="790"/>
        <v>1.1432613053613054</v>
      </c>
      <c r="AB348" s="549">
        <f t="shared" si="790"/>
        <v>1.7533574881327827</v>
      </c>
      <c r="AC348" s="583">
        <f t="shared" si="790"/>
        <v>23.227694738927738</v>
      </c>
      <c r="AD348" s="583">
        <f t="shared" si="790"/>
        <v>114.83989999999999</v>
      </c>
      <c r="AE348" s="583">
        <f t="shared" si="790"/>
        <v>32.741900000000001</v>
      </c>
      <c r="AF348" s="583">
        <f t="shared" si="790"/>
        <v>12.747755477855478</v>
      </c>
      <c r="AG348" s="583">
        <f t="shared" si="790"/>
        <v>73.659899999999979</v>
      </c>
      <c r="AH348" s="583">
        <f t="shared" si="790"/>
        <v>0.71809130583435687</v>
      </c>
      <c r="AI348" s="583">
        <f t="shared" si="790"/>
        <v>0.47963346823065833</v>
      </c>
      <c r="AJ348" s="549">
        <f t="shared" si="790"/>
        <v>0.19100409248595232</v>
      </c>
      <c r="AK348" s="583">
        <f t="shared" si="790"/>
        <v>35.009899999999995</v>
      </c>
      <c r="AL348" s="583">
        <f t="shared" si="790"/>
        <v>6.0249887367534422E-2</v>
      </c>
      <c r="AM348" s="583">
        <f t="shared" si="790"/>
        <v>8.2513523818462581E-2</v>
      </c>
      <c r="AN348" s="583">
        <f t="shared" si="790"/>
        <v>0.4367092429139488</v>
      </c>
      <c r="AO348" s="583">
        <f t="shared" si="790"/>
        <v>5.0723139605492545E-2</v>
      </c>
      <c r="AP348" s="583">
        <f t="shared" si="790"/>
        <v>8.694189044289045</v>
      </c>
      <c r="AQ348" s="583">
        <f t="shared" si="790"/>
        <v>0.27598981818181817</v>
      </c>
      <c r="AR348" s="583">
        <f t="shared" si="790"/>
        <v>1.5519000000000003</v>
      </c>
      <c r="AS348" s="549">
        <f t="shared" si="790"/>
        <v>0.18438465732959852</v>
      </c>
      <c r="AT348" s="583">
        <f t="shared" si="790"/>
        <v>26.109873333333333</v>
      </c>
      <c r="AU348" s="583">
        <f t="shared" si="790"/>
        <v>26.109873333333333</v>
      </c>
      <c r="AV348" s="545">
        <f t="shared" ref="AV348:BR348" si="791">SUM(AV335:AV346)</f>
        <v>321.68069866447212</v>
      </c>
      <c r="AW348" s="545">
        <f t="shared" si="791"/>
        <v>46.291802528346992</v>
      </c>
      <c r="AX348" s="545">
        <f t="shared" si="791"/>
        <v>4.1481981126139553</v>
      </c>
      <c r="AY348" s="545">
        <f t="shared" si="791"/>
        <v>13.231919425047526</v>
      </c>
      <c r="AZ348" s="545">
        <f t="shared" si="791"/>
        <v>0.97500754619677621</v>
      </c>
      <c r="BA348" s="545">
        <f t="shared" si="791"/>
        <v>1.3978337337518087</v>
      </c>
      <c r="BB348" s="545">
        <f t="shared" si="791"/>
        <v>21.210135301203131</v>
      </c>
      <c r="BC348" s="545">
        <f t="shared" si="791"/>
        <v>101.67762902127015</v>
      </c>
      <c r="BD348" s="545">
        <f t="shared" si="791"/>
        <v>29.810726178911739</v>
      </c>
      <c r="BE348" s="545">
        <f t="shared" si="791"/>
        <v>10.818005812400182</v>
      </c>
      <c r="BF348" s="545">
        <f t="shared" si="791"/>
        <v>63.619241853667972</v>
      </c>
      <c r="BG348" s="545">
        <f t="shared" si="791"/>
        <v>0.62609233352051241</v>
      </c>
      <c r="BH348" s="545">
        <f t="shared" si="791"/>
        <v>0.41310580698813759</v>
      </c>
      <c r="BI348" s="545">
        <f t="shared" si="791"/>
        <v>0.15619285534300503</v>
      </c>
      <c r="BJ348" s="545">
        <f t="shared" si="791"/>
        <v>32.737475091361176</v>
      </c>
      <c r="BK348" s="545">
        <f t="shared" si="791"/>
        <v>4.9255950866538403E-2</v>
      </c>
      <c r="BL348" s="545">
        <f t="shared" si="791"/>
        <v>7.4015555305058267E-2</v>
      </c>
      <c r="BM348" s="545">
        <f t="shared" si="791"/>
        <v>0.34732940017482528</v>
      </c>
      <c r="BN348" s="545">
        <f t="shared" si="791"/>
        <v>4.4490168454941741E-2</v>
      </c>
      <c r="BO348" s="545">
        <f t="shared" si="791"/>
        <v>7.3106942960281271</v>
      </c>
      <c r="BP348" s="545">
        <f t="shared" si="791"/>
        <v>0.24651414904838087</v>
      </c>
      <c r="BQ348" s="545">
        <f t="shared" si="791"/>
        <v>1.5482993121903081</v>
      </c>
      <c r="BR348" s="545">
        <f t="shared" si="791"/>
        <v>0.16540496947368949</v>
      </c>
    </row>
    <row r="349" spans="1:70" s="229" customFormat="1">
      <c r="A349" s="643"/>
      <c r="B349" s="522"/>
      <c r="C349" s="522"/>
      <c r="D349" s="141"/>
      <c r="E349" s="594"/>
      <c r="F349" s="708"/>
      <c r="G349" s="522"/>
      <c r="H349" s="522"/>
      <c r="I349" s="86"/>
      <c r="J349" s="87"/>
      <c r="K349" s="595"/>
      <c r="L349" s="596"/>
      <c r="M349" s="849"/>
      <c r="N349" s="849"/>
      <c r="O349" s="648"/>
      <c r="P349" s="655" t="s">
        <v>537</v>
      </c>
      <c r="V349" s="527" t="s">
        <v>588</v>
      </c>
      <c r="W349" s="229">
        <v>185.5</v>
      </c>
      <c r="X349" s="229">
        <v>23.200000000000003</v>
      </c>
      <c r="Y349" s="229">
        <v>5.8000000000000007</v>
      </c>
      <c r="Z349" s="229">
        <v>6.2</v>
      </c>
      <c r="AA349" s="229">
        <v>1.9000000000000001</v>
      </c>
      <c r="AB349" s="526">
        <v>2</v>
      </c>
      <c r="AC349" s="229">
        <v>138</v>
      </c>
      <c r="AD349" s="229">
        <v>180</v>
      </c>
      <c r="AE349" s="229">
        <v>90</v>
      </c>
      <c r="AF349" s="229">
        <v>17</v>
      </c>
      <c r="AG349" s="229">
        <v>80</v>
      </c>
      <c r="AH349" s="229">
        <v>1</v>
      </c>
      <c r="AI349" s="229">
        <v>0.70000000000000007</v>
      </c>
      <c r="AJ349" s="526">
        <v>0.125</v>
      </c>
      <c r="AK349" s="229">
        <v>80</v>
      </c>
      <c r="AL349" s="229">
        <v>0.1</v>
      </c>
      <c r="AM349" s="229">
        <v>0.11000000000000001</v>
      </c>
      <c r="AN349" s="229">
        <v>1.2000000000000002</v>
      </c>
      <c r="AO349" s="229">
        <v>6.9999999999999993E-2</v>
      </c>
      <c r="AP349" s="229">
        <v>30</v>
      </c>
      <c r="AQ349" s="229">
        <v>0.18000000000000002</v>
      </c>
      <c r="AR349" s="229">
        <v>8</v>
      </c>
      <c r="AS349" s="526">
        <v>0.5</v>
      </c>
      <c r="AV349" s="229">
        <v>185.5</v>
      </c>
      <c r="AW349" s="229">
        <v>23.200000000000003</v>
      </c>
      <c r="AX349" s="229">
        <v>5.8000000000000007</v>
      </c>
      <c r="AY349" s="229">
        <v>6.2</v>
      </c>
      <c r="AZ349" s="229">
        <v>1.9000000000000001</v>
      </c>
      <c r="BA349" s="526">
        <v>2</v>
      </c>
      <c r="BB349" s="229">
        <v>138</v>
      </c>
      <c r="BC349" s="229">
        <v>180</v>
      </c>
      <c r="BD349" s="229">
        <v>90</v>
      </c>
      <c r="BE349" s="229">
        <v>17</v>
      </c>
      <c r="BF349" s="229">
        <v>80</v>
      </c>
      <c r="BG349" s="229">
        <v>1</v>
      </c>
      <c r="BH349" s="229">
        <v>0.70000000000000007</v>
      </c>
      <c r="BI349" s="526">
        <v>0.125</v>
      </c>
      <c r="BJ349" s="229">
        <v>80</v>
      </c>
      <c r="BK349" s="229">
        <v>0.1</v>
      </c>
      <c r="BL349" s="229">
        <v>0.11000000000000001</v>
      </c>
      <c r="BM349" s="229">
        <v>1.2000000000000002</v>
      </c>
      <c r="BN349" s="229">
        <v>6.9999999999999993E-2</v>
      </c>
      <c r="BO349" s="229">
        <v>30</v>
      </c>
      <c r="BP349" s="229">
        <v>0.18000000000000002</v>
      </c>
      <c r="BQ349" s="229">
        <v>8</v>
      </c>
      <c r="BR349" s="526">
        <v>0.5</v>
      </c>
    </row>
    <row r="350" spans="1:70" s="229" customFormat="1">
      <c r="A350" s="643"/>
      <c r="B350" s="522"/>
      <c r="C350" s="522"/>
      <c r="D350" s="141"/>
      <c r="E350" s="594"/>
      <c r="F350" s="708"/>
      <c r="G350" s="522"/>
      <c r="H350" s="522"/>
      <c r="I350" s="86"/>
      <c r="J350" s="87"/>
      <c r="K350" s="595"/>
      <c r="L350" s="596"/>
      <c r="M350" s="849"/>
      <c r="N350" s="849"/>
      <c r="O350" s="648"/>
      <c r="P350" s="655" t="s">
        <v>407</v>
      </c>
      <c r="V350" s="526"/>
      <c r="W350" s="514">
        <f t="shared" ref="W350:AS350" si="792">100*W348/W349</f>
        <v>212.94670888504308</v>
      </c>
      <c r="X350" s="514">
        <f t="shared" si="792"/>
        <v>230.82975321622465</v>
      </c>
      <c r="Y350" s="514">
        <f t="shared" si="792"/>
        <v>85.315816349528305</v>
      </c>
      <c r="Z350" s="514">
        <f t="shared" si="792"/>
        <v>288.05938061516804</v>
      </c>
      <c r="AA350" s="514">
        <f t="shared" si="792"/>
        <v>60.17164765059502</v>
      </c>
      <c r="AB350" s="506">
        <f t="shared" si="792"/>
        <v>87.667874406639129</v>
      </c>
      <c r="AC350" s="514">
        <f t="shared" si="792"/>
        <v>16.831662854295462</v>
      </c>
      <c r="AD350" s="514">
        <f t="shared" si="792"/>
        <v>63.799944444444435</v>
      </c>
      <c r="AE350" s="514">
        <f t="shared" si="792"/>
        <v>36.379888888888892</v>
      </c>
      <c r="AF350" s="514">
        <f t="shared" si="792"/>
        <v>74.986796928561631</v>
      </c>
      <c r="AG350" s="514">
        <f t="shared" si="792"/>
        <v>92.074874999999977</v>
      </c>
      <c r="AH350" s="514">
        <f t="shared" si="792"/>
        <v>71.809130583435689</v>
      </c>
      <c r="AI350" s="514">
        <f t="shared" si="792"/>
        <v>68.519066890094038</v>
      </c>
      <c r="AJ350" s="506">
        <f t="shared" si="792"/>
        <v>152.80327398876184</v>
      </c>
      <c r="AK350" s="514">
        <f t="shared" si="792"/>
        <v>43.762374999999992</v>
      </c>
      <c r="AL350" s="514">
        <f t="shared" si="792"/>
        <v>60.249887367534413</v>
      </c>
      <c r="AM350" s="514">
        <f t="shared" si="792"/>
        <v>75.012294380420528</v>
      </c>
      <c r="AN350" s="514">
        <f t="shared" si="792"/>
        <v>36.392436909495729</v>
      </c>
      <c r="AO350" s="514">
        <f t="shared" si="792"/>
        <v>72.4616280078465</v>
      </c>
      <c r="AP350" s="514">
        <f t="shared" si="792"/>
        <v>28.980630147630151</v>
      </c>
      <c r="AQ350" s="514">
        <f t="shared" si="792"/>
        <v>153.32767676767673</v>
      </c>
      <c r="AR350" s="514">
        <f t="shared" si="792"/>
        <v>19.398750000000003</v>
      </c>
      <c r="AS350" s="506">
        <f t="shared" si="792"/>
        <v>36.876931465919704</v>
      </c>
      <c r="AV350" s="505">
        <f t="shared" ref="AV350:BR350" si="793">100*AV348/AV349</f>
        <v>173.41277556036232</v>
      </c>
      <c r="AW350" s="505">
        <f t="shared" si="793"/>
        <v>199.5336315877025</v>
      </c>
      <c r="AX350" s="505">
        <f t="shared" si="793"/>
        <v>71.52065711403371</v>
      </c>
      <c r="AY350" s="505">
        <f t="shared" si="793"/>
        <v>213.41805524270202</v>
      </c>
      <c r="AZ350" s="505">
        <f t="shared" si="793"/>
        <v>51.316186641935587</v>
      </c>
      <c r="BA350" s="505">
        <f t="shared" si="793"/>
        <v>69.891686687590436</v>
      </c>
      <c r="BB350" s="505">
        <f t="shared" si="793"/>
        <v>15.369663261741399</v>
      </c>
      <c r="BC350" s="505">
        <f t="shared" si="793"/>
        <v>56.48757167848342</v>
      </c>
      <c r="BD350" s="505">
        <f t="shared" si="793"/>
        <v>33.123029087679711</v>
      </c>
      <c r="BE350" s="505">
        <f t="shared" si="793"/>
        <v>63.63532830823636</v>
      </c>
      <c r="BF350" s="505">
        <f t="shared" si="793"/>
        <v>79.524052317084966</v>
      </c>
      <c r="BG350" s="505">
        <f t="shared" si="793"/>
        <v>62.609233352051241</v>
      </c>
      <c r="BH350" s="505">
        <f t="shared" si="793"/>
        <v>59.01511528401965</v>
      </c>
      <c r="BI350" s="505">
        <f t="shared" si="793"/>
        <v>124.95428427440403</v>
      </c>
      <c r="BJ350" s="505">
        <f t="shared" si="793"/>
        <v>40.92184386420147</v>
      </c>
      <c r="BK350" s="505">
        <f t="shared" si="793"/>
        <v>49.255950866538399</v>
      </c>
      <c r="BL350" s="505">
        <f t="shared" si="793"/>
        <v>67.286868459143875</v>
      </c>
      <c r="BM350" s="505">
        <f t="shared" si="793"/>
        <v>28.944116681235435</v>
      </c>
      <c r="BN350" s="505">
        <f t="shared" si="793"/>
        <v>63.557383507059633</v>
      </c>
      <c r="BO350" s="505">
        <f t="shared" si="793"/>
        <v>24.368980986760427</v>
      </c>
      <c r="BP350" s="505">
        <f t="shared" si="793"/>
        <v>136.95230502687826</v>
      </c>
      <c r="BQ350" s="505">
        <f t="shared" si="793"/>
        <v>19.353741402378851</v>
      </c>
      <c r="BR350" s="505">
        <f t="shared" si="793"/>
        <v>33.080993894737901</v>
      </c>
    </row>
    <row r="351" spans="1:70" s="229" customFormat="1">
      <c r="A351" s="643"/>
      <c r="B351" s="522"/>
      <c r="C351" s="522"/>
      <c r="D351" s="141"/>
      <c r="E351" s="594"/>
      <c r="F351" s="708"/>
      <c r="G351" s="522"/>
      <c r="H351" s="522"/>
      <c r="I351" s="86"/>
      <c r="J351" s="87"/>
      <c r="K351" s="595"/>
      <c r="L351" s="596"/>
      <c r="M351" s="849"/>
      <c r="N351" s="849"/>
      <c r="O351" s="648"/>
      <c r="P351" s="655" t="s">
        <v>548</v>
      </c>
      <c r="V351" s="526"/>
      <c r="W351" s="583">
        <f>AV348</f>
        <v>321.68069866447212</v>
      </c>
      <c r="X351" s="583">
        <f t="shared" ref="X351" si="794">AW348</f>
        <v>46.291802528346992</v>
      </c>
      <c r="Y351" s="583">
        <f t="shared" ref="Y351" si="795">AX348</f>
        <v>4.1481981126139553</v>
      </c>
      <c r="Z351" s="583">
        <f t="shared" ref="Z351" si="796">AY348</f>
        <v>13.231919425047526</v>
      </c>
      <c r="AA351" s="583">
        <f t="shared" ref="AA351" si="797">AZ348</f>
        <v>0.97500754619677621</v>
      </c>
      <c r="AB351" s="549">
        <f t="shared" ref="AB351" si="798">BA348</f>
        <v>1.3978337337518087</v>
      </c>
      <c r="AC351" s="583">
        <f t="shared" ref="AC351" si="799">BB348</f>
        <v>21.210135301203131</v>
      </c>
      <c r="AD351" s="583">
        <f t="shared" ref="AD351" si="800">BC348</f>
        <v>101.67762902127015</v>
      </c>
      <c r="AE351" s="583">
        <f t="shared" ref="AE351" si="801">BD348</f>
        <v>29.810726178911739</v>
      </c>
      <c r="AF351" s="583">
        <f t="shared" ref="AF351" si="802">BE348</f>
        <v>10.818005812400182</v>
      </c>
      <c r="AG351" s="583">
        <f t="shared" ref="AG351" si="803">BF348</f>
        <v>63.619241853667972</v>
      </c>
      <c r="AH351" s="583">
        <f t="shared" ref="AH351" si="804">BG348</f>
        <v>0.62609233352051241</v>
      </c>
      <c r="AI351" s="583">
        <f>BH348</f>
        <v>0.41310580698813759</v>
      </c>
      <c r="AJ351" s="549">
        <f t="shared" ref="AJ351" si="805">BI348</f>
        <v>0.15619285534300503</v>
      </c>
      <c r="AK351" s="583">
        <f t="shared" ref="AK351" si="806">BJ348</f>
        <v>32.737475091361176</v>
      </c>
      <c r="AL351" s="583">
        <f t="shared" ref="AL351" si="807">BK348</f>
        <v>4.9255950866538403E-2</v>
      </c>
      <c r="AM351" s="583">
        <f t="shared" ref="AM351" si="808">BL348</f>
        <v>7.4015555305058267E-2</v>
      </c>
      <c r="AN351" s="583">
        <f>BM348</f>
        <v>0.34732940017482528</v>
      </c>
      <c r="AO351" s="583">
        <f t="shared" ref="AO351" si="809">BN348</f>
        <v>4.4490168454941741E-2</v>
      </c>
      <c r="AP351" s="583">
        <f t="shared" ref="AP351" si="810">BO348</f>
        <v>7.3106942960281271</v>
      </c>
      <c r="AQ351" s="583">
        <f t="shared" ref="AQ351" si="811">BP348</f>
        <v>0.24651414904838087</v>
      </c>
      <c r="AR351" s="583">
        <f t="shared" ref="AR351" si="812">BQ348</f>
        <v>1.5482993121903081</v>
      </c>
      <c r="AS351" s="549">
        <f>BR348</f>
        <v>0.16540496947368949</v>
      </c>
    </row>
    <row r="352" spans="1:70" s="229" customFormat="1">
      <c r="A352" s="643"/>
      <c r="B352" s="522"/>
      <c r="C352" s="522"/>
      <c r="D352" s="141"/>
      <c r="E352" s="594"/>
      <c r="F352" s="708"/>
      <c r="G352" s="522"/>
      <c r="H352" s="522"/>
      <c r="I352" s="86"/>
      <c r="J352" s="87"/>
      <c r="K352" s="595"/>
      <c r="L352" s="596"/>
      <c r="M352" s="849"/>
      <c r="N352" s="849"/>
      <c r="O352" s="648"/>
      <c r="P352" s="655" t="s">
        <v>543</v>
      </c>
      <c r="V352" s="526"/>
      <c r="W352" s="514">
        <f t="shared" ref="W352:AS352" si="813">AV350</f>
        <v>173.41277556036232</v>
      </c>
      <c r="X352" s="514">
        <f t="shared" si="813"/>
        <v>199.5336315877025</v>
      </c>
      <c r="Y352" s="514">
        <f t="shared" si="813"/>
        <v>71.52065711403371</v>
      </c>
      <c r="Z352" s="514">
        <f t="shared" si="813"/>
        <v>213.41805524270202</v>
      </c>
      <c r="AA352" s="514">
        <f t="shared" si="813"/>
        <v>51.316186641935587</v>
      </c>
      <c r="AB352" s="506">
        <f t="shared" si="813"/>
        <v>69.891686687590436</v>
      </c>
      <c r="AC352" s="514">
        <f t="shared" si="813"/>
        <v>15.369663261741399</v>
      </c>
      <c r="AD352" s="514">
        <f t="shared" si="813"/>
        <v>56.48757167848342</v>
      </c>
      <c r="AE352" s="514">
        <f t="shared" si="813"/>
        <v>33.123029087679711</v>
      </c>
      <c r="AF352" s="514">
        <f t="shared" si="813"/>
        <v>63.63532830823636</v>
      </c>
      <c r="AG352" s="514">
        <f t="shared" si="813"/>
        <v>79.524052317084966</v>
      </c>
      <c r="AH352" s="514">
        <f t="shared" si="813"/>
        <v>62.609233352051241</v>
      </c>
      <c r="AI352" s="514">
        <f t="shared" si="813"/>
        <v>59.01511528401965</v>
      </c>
      <c r="AJ352" s="506">
        <f t="shared" si="813"/>
        <v>124.95428427440403</v>
      </c>
      <c r="AK352" s="514">
        <f t="shared" si="813"/>
        <v>40.92184386420147</v>
      </c>
      <c r="AL352" s="514">
        <f t="shared" si="813"/>
        <v>49.255950866538399</v>
      </c>
      <c r="AM352" s="514">
        <f t="shared" si="813"/>
        <v>67.286868459143875</v>
      </c>
      <c r="AN352" s="514">
        <f t="shared" si="813"/>
        <v>28.944116681235435</v>
      </c>
      <c r="AO352" s="514">
        <f t="shared" si="813"/>
        <v>63.557383507059633</v>
      </c>
      <c r="AP352" s="514">
        <f t="shared" si="813"/>
        <v>24.368980986760427</v>
      </c>
      <c r="AQ352" s="514">
        <f t="shared" si="813"/>
        <v>136.95230502687826</v>
      </c>
      <c r="AR352" s="514">
        <f t="shared" si="813"/>
        <v>19.353741402378851</v>
      </c>
      <c r="AS352" s="506">
        <f t="shared" si="813"/>
        <v>33.080993894737901</v>
      </c>
      <c r="AV352" s="514"/>
      <c r="AW352" s="514"/>
      <c r="AX352" s="514"/>
      <c r="AY352" s="514"/>
      <c r="AZ352" s="514"/>
      <c r="BA352" s="505"/>
      <c r="BB352" s="514"/>
      <c r="BC352" s="514"/>
      <c r="BD352" s="514"/>
      <c r="BE352" s="514"/>
      <c r="BF352" s="514"/>
      <c r="BG352" s="514"/>
      <c r="BH352" s="514"/>
      <c r="BI352" s="505"/>
      <c r="BJ352" s="514"/>
      <c r="BK352" s="514"/>
      <c r="BL352" s="514"/>
      <c r="BM352" s="514"/>
      <c r="BN352" s="514"/>
      <c r="BO352" s="514"/>
      <c r="BP352" s="514"/>
      <c r="BQ352" s="514"/>
      <c r="BR352" s="505"/>
    </row>
    <row r="353" spans="1:70" s="229" customFormat="1" ht="15" thickBot="1">
      <c r="A353" s="643"/>
      <c r="B353" s="643"/>
      <c r="C353" s="643"/>
      <c r="D353" s="687"/>
      <c r="E353" s="644"/>
      <c r="F353" s="713"/>
      <c r="G353" s="645" t="s">
        <v>3054</v>
      </c>
      <c r="H353" s="656"/>
      <c r="I353" s="688"/>
      <c r="J353" s="688"/>
      <c r="K353" s="643"/>
      <c r="L353" s="647"/>
      <c r="M353" s="647"/>
      <c r="N353" s="647"/>
      <c r="O353" s="648"/>
      <c r="P353" s="643"/>
      <c r="Q353" s="643"/>
      <c r="R353" s="643"/>
      <c r="S353" s="643"/>
      <c r="T353" s="643"/>
      <c r="U353" s="657"/>
      <c r="V353" s="658"/>
      <c r="W353" s="643"/>
      <c r="X353" s="643"/>
      <c r="Y353" s="643"/>
      <c r="Z353" s="643"/>
      <c r="AA353" s="652">
        <f>COUNTIF(AA354:AA378,"&lt;0")</f>
        <v>0</v>
      </c>
      <c r="AB353" s="652">
        <f t="shared" ref="AB353:AS353" si="814">COUNTIF(AB354:AB378,"&lt;0")</f>
        <v>0</v>
      </c>
      <c r="AC353" s="652">
        <f t="shared" si="814"/>
        <v>0</v>
      </c>
      <c r="AD353" s="652">
        <f t="shared" si="814"/>
        <v>0</v>
      </c>
      <c r="AE353" s="652">
        <f t="shared" si="814"/>
        <v>0</v>
      </c>
      <c r="AF353" s="652">
        <f t="shared" si="814"/>
        <v>0</v>
      </c>
      <c r="AG353" s="652">
        <f t="shared" si="814"/>
        <v>0</v>
      </c>
      <c r="AH353" s="652">
        <f t="shared" si="814"/>
        <v>0</v>
      </c>
      <c r="AI353" s="652">
        <f t="shared" si="814"/>
        <v>0</v>
      </c>
      <c r="AJ353" s="652">
        <f t="shared" si="814"/>
        <v>0</v>
      </c>
      <c r="AK353" s="652">
        <f t="shared" si="814"/>
        <v>0</v>
      </c>
      <c r="AL353" s="652">
        <f t="shared" si="814"/>
        <v>0</v>
      </c>
      <c r="AM353" s="652">
        <f t="shared" si="814"/>
        <v>0</v>
      </c>
      <c r="AN353" s="652">
        <f t="shared" si="814"/>
        <v>0</v>
      </c>
      <c r="AO353" s="652">
        <f t="shared" si="814"/>
        <v>0</v>
      </c>
      <c r="AP353" s="652">
        <f t="shared" si="814"/>
        <v>0</v>
      </c>
      <c r="AQ353" s="652">
        <f t="shared" si="814"/>
        <v>1</v>
      </c>
      <c r="AR353" s="652">
        <f t="shared" si="814"/>
        <v>0</v>
      </c>
      <c r="AS353" s="652">
        <f t="shared" si="814"/>
        <v>1</v>
      </c>
      <c r="AT353" s="1299"/>
      <c r="AU353" s="1299"/>
    </row>
    <row r="354" spans="1:70" s="229" customFormat="1" ht="15" customHeight="1" thickBot="1">
      <c r="A354" s="643"/>
      <c r="B354" s="575" t="s">
        <v>3067</v>
      </c>
      <c r="C354" s="229" t="s">
        <v>69</v>
      </c>
      <c r="D354" s="576"/>
      <c r="E354" s="577">
        <v>100</v>
      </c>
      <c r="F354" s="707" t="s">
        <v>3907</v>
      </c>
      <c r="G354" s="406" t="s">
        <v>3140</v>
      </c>
      <c r="H354" s="578" t="s">
        <v>3100</v>
      </c>
      <c r="I354" s="85">
        <v>10</v>
      </c>
      <c r="J354" s="682">
        <v>1</v>
      </c>
      <c r="K354" s="579">
        <f t="shared" ref="K354:K378" si="815">IF(I354&gt;0,1.1*Q354*E354/1000,"")</f>
        <v>1.1000000000000001</v>
      </c>
      <c r="L354" s="580">
        <f>IF(H354="Select ingredient:","",IF(G354="","",_xlfn.IFNA(VLOOKUP($H354,Ingredient_prices!$E:$U,16,FALSE),0)))</f>
        <v>120</v>
      </c>
      <c r="M354" s="848"/>
      <c r="N354" s="1228">
        <f>$W380</f>
        <v>855.77178834498841</v>
      </c>
      <c r="O354" s="648"/>
      <c r="P354" s="653"/>
      <c r="Q354" s="583">
        <f t="shared" ref="Q354:Q378" si="816">I354/J354</f>
        <v>10</v>
      </c>
      <c r="R354" s="583">
        <f>VLOOKUP($H354,'CO2_emission+%_food_waste'!$A:$K,6,FALSE)*$Q354/100</f>
        <v>2.65</v>
      </c>
      <c r="S354" s="583">
        <f t="shared" ref="S354:S378" si="817">Q354-R354</f>
        <v>7.35</v>
      </c>
      <c r="T354" s="583">
        <f>IF(H354="Select ingredient:","",IF(G354="Select food category:","",_xlfn.IFNA(VLOOKUP($H354,Ingredient_prices!$E:$U,16,FALSE)*$Q354/1000,"not bought")))</f>
        <v>1.2</v>
      </c>
      <c r="U354" s="583">
        <f>IF(G354="Select food category:","",_xlfn.IFNA(VLOOKUP($H354,Ingredient_prices!$E:$U,16,FALSE)*$R354/1000,"not bought"))</f>
        <v>0.318</v>
      </c>
      <c r="V354" s="549">
        <f>VLOOKUP($H354,'CO2_emission+%_food_waste'!$A:$K,4,FALSE)*$Q354</f>
        <v>4.8</v>
      </c>
      <c r="W354" s="583">
        <f>VLOOKUP($H354,Nutrition_tables!$A:$N,10,FALSE)*$Q354/100</f>
        <v>2.8</v>
      </c>
      <c r="X354" s="583">
        <f>VLOOKUP($H354,Nutrition_tables!$A:$N,11,FALSE)*$Q354/100</f>
        <v>1</v>
      </c>
      <c r="Y354" s="583">
        <f>VLOOKUP($H354,Nutrition_tables!$A:$N,12,FALSE)*$Q354/100</f>
        <v>0.11766666666666666</v>
      </c>
      <c r="Z354" s="583">
        <f>VLOOKUP($H354,Nutrition_tables!$A:$N,14,FALSE)*$Q354/100</f>
        <v>2.5000000000000001E-2</v>
      </c>
      <c r="AA354" s="583">
        <f>VLOOKUP($H354,Nutrition_tables!$A:$AF,13,FALSE)*$Q354/100</f>
        <v>0.17</v>
      </c>
      <c r="AB354" s="549">
        <f>VLOOKUP($H354,Nutrition_tables!$A:$AF,15,FALSE)*$Q354/100</f>
        <v>9.5000000000000015E-3</v>
      </c>
      <c r="AC354" s="583">
        <f>VLOOKUP($H354,Nutrition_tables!$A:$AF,16,FALSE)*$Q354/100</f>
        <v>0.4</v>
      </c>
      <c r="AD354" s="583">
        <f>VLOOKUP($H354,Nutrition_tables!$A:$AF,17,FALSE)*$Q354/100</f>
        <v>14.6</v>
      </c>
      <c r="AE354" s="583">
        <f>VLOOKUP($H354,Nutrition_tables!$A:$AF,18,FALSE)*$Q354/100</f>
        <v>2.2999999999999998</v>
      </c>
      <c r="AF354" s="583">
        <f>VLOOKUP($H354,Nutrition_tables!$A:$AF,19,FALSE)*$Q354/100</f>
        <v>1</v>
      </c>
      <c r="AG354" s="583">
        <f>VLOOKUP($H354,Nutrition_tables!$A:$AF,20,FALSE)*$Q354/100</f>
        <v>2.9</v>
      </c>
      <c r="AH354" s="583">
        <f>VLOOKUP($H354,Nutrition_tables!$A:$AF,21,FALSE)*$Q354/100</f>
        <v>2.1000000000000001E-2</v>
      </c>
      <c r="AI354" s="583">
        <f>VLOOKUP($H354,Nutrition_tables!$A:$AF,22,FALSE)*$Q354/100</f>
        <v>1.7000000000000001E-2</v>
      </c>
      <c r="AJ354" s="549">
        <f>VLOOKUP($H354,Nutrition_tables!$A:$AF,23,FALSE)*$Q354/100</f>
        <v>4.0000000000000001E-3</v>
      </c>
      <c r="AK354" s="583">
        <f>VLOOKUP($H354,Nutrition_tables!$A:$AF,24,FALSE)*$Q354/100</f>
        <v>0</v>
      </c>
      <c r="AL354" s="583">
        <f>VLOOKUP($H354,Nutrition_tables!$A:$AF,25,FALSE)*$Q354/100</f>
        <v>4.9999999999999992E-3</v>
      </c>
      <c r="AM354" s="583">
        <f>VLOOKUP($H354,Nutrition_tables!$A:$AF,26,FALSE)*$Q354/100</f>
        <v>3.0000000000000001E-3</v>
      </c>
      <c r="AN354" s="583">
        <f>VLOOKUP($H354,Nutrition_tables!$A:$AF,27,FALSE)*$Q354/100</f>
        <v>1.2E-2</v>
      </c>
      <c r="AO354" s="583">
        <f>VLOOKUP($H354,Nutrition_tables!$A:$AF,28,FALSE)*$Q354/100</f>
        <v>7.1999999999999994E-4</v>
      </c>
      <c r="AP354" s="583">
        <f>VLOOKUP($H354,Nutrition_tables!$A:$AF,29,FALSE)*$Q354/100</f>
        <v>3.6</v>
      </c>
      <c r="AQ354" s="583">
        <f>VLOOKUP($H354,Nutrition_tables!$A:$AF,30,FALSE)*$Q354/100</f>
        <v>0</v>
      </c>
      <c r="AR354" s="583">
        <f>VLOOKUP($H354,Nutrition_tables!$A:$AF,31,FALSE)*$Q354/100</f>
        <v>0.74</v>
      </c>
      <c r="AS354" s="549">
        <f>VLOOKUP($H354,Nutrition_tables!$A:$AF,32,FALSE)*$Q354/100</f>
        <v>0</v>
      </c>
      <c r="AT354" s="583">
        <f>IF(H354="Select ingredient:","",IF(G354="Select food category:","",IFERROR(VLOOKUP($H354,Ingredient_prices!$E:$W,17,FALSE)*$Q354/1000,"not bought")))</f>
        <v>0.93500000000000005</v>
      </c>
      <c r="AU354" s="583">
        <f>IF(H354="Select ingredient:","",IF(G354="Select food category:","",IFERROR(VLOOKUP($H354,Ingredient_prices!$E:$W,18,FALSE)*$Q354/1000,"not bought")))</f>
        <v>1.2</v>
      </c>
      <c r="AV354" s="583">
        <f t="shared" ref="AV354:AV378" si="818">W354*($Q354-$R354)/($Q354+0.00001)</f>
        <v>2.057997942002058</v>
      </c>
      <c r="AW354" s="583">
        <f t="shared" ref="AW354:AW378" si="819">X354*($Q354-$R354)/($Q354+0.00001)</f>
        <v>0.73499926500073498</v>
      </c>
      <c r="AX354" s="583">
        <f t="shared" ref="AX354:AX378" si="820">Y354*($Q354-$R354)/($Q354+0.00001)</f>
        <v>8.6484913515086484E-2</v>
      </c>
      <c r="AY354" s="583">
        <f t="shared" ref="AY354:AY378" si="821">Z354*($Q354-$R354)/($Q354+0.00001)</f>
        <v>1.8374981625018376E-2</v>
      </c>
      <c r="AZ354" s="583">
        <f t="shared" ref="AZ354:AZ378" si="822">AA354*($Q354-$R354)/($Q354+0.00001)</f>
        <v>0.12494987505012496</v>
      </c>
      <c r="BA354" s="583">
        <f t="shared" ref="BA354:BA378" si="823">AB354*($Q354-$R354)/($Q354+0.00001)</f>
        <v>6.9824930175069839E-3</v>
      </c>
      <c r="BB354" s="583">
        <f t="shared" ref="BB354:BB378" si="824">AC354*($Q354-$R354)/($Q354+0.00001)</f>
        <v>0.29399970600029401</v>
      </c>
      <c r="BC354" s="583">
        <f t="shared" ref="BC354:BC378" si="825">AD354*($Q354-$R354)/($Q354+0.00001)</f>
        <v>10.730989269010729</v>
      </c>
      <c r="BD354" s="583">
        <f t="shared" ref="BD354:BD378" si="826">AE354*($Q354-$R354)/($Q354+0.00001)</f>
        <v>1.6904983095016903</v>
      </c>
      <c r="BE354" s="583">
        <f t="shared" ref="BE354:BE378" si="827">AF354*($Q354-$R354)/($Q354+0.00001)</f>
        <v>0.73499926500073498</v>
      </c>
      <c r="BF354" s="583">
        <f t="shared" ref="BF354:BF378" si="828">AG354*($Q354-$R354)/($Q354+0.00001)</f>
        <v>2.1314978685021315</v>
      </c>
      <c r="BG354" s="583">
        <f t="shared" ref="BG354:BG378" si="829">AH354*($Q354-$R354)/($Q354+0.00001)</f>
        <v>1.5434984565015438E-2</v>
      </c>
      <c r="BH354" s="583">
        <f t="shared" ref="BH354:BH378" si="830">AI354*($Q354-$R354)/($Q354+0.00001)</f>
        <v>1.2494987505012496E-2</v>
      </c>
      <c r="BI354" s="583">
        <f t="shared" ref="BI354:BI378" si="831">AJ354*($Q354-$R354)/($Q354+0.00001)</f>
        <v>2.9399970600029399E-3</v>
      </c>
      <c r="BJ354" s="583">
        <f t="shared" ref="BJ354:BJ378" si="832">AK354*($Q354-$R354)/($Q354+0.00001)</f>
        <v>0</v>
      </c>
      <c r="BK354" s="583">
        <f t="shared" ref="BK354:BK378" si="833">AL354*($Q354-$R354)/($Q354+0.00001)</f>
        <v>3.6749963250036744E-3</v>
      </c>
      <c r="BL354" s="583">
        <f t="shared" ref="BL354:BL378" si="834">AM354*($Q354-$R354)/($Q354+0.00001)</f>
        <v>2.2049977950022049E-3</v>
      </c>
      <c r="BM354" s="583">
        <f t="shared" ref="BM354:BM378" si="835">AN354*($Q354-$R354)/($Q354+0.00001)</f>
        <v>8.8199911800088196E-3</v>
      </c>
      <c r="BN354" s="583">
        <f t="shared" ref="BN354:BN378" si="836">AO354*($Q354-$R354)/($Q354+0.00001)</f>
        <v>5.2919947080052915E-4</v>
      </c>
      <c r="BO354" s="583">
        <f t="shared" ref="BO354:BO378" si="837">AP354*($Q354-$R354)/($Q354+0.00001)</f>
        <v>2.6459973540026462</v>
      </c>
      <c r="BP354" s="583">
        <f t="shared" ref="BP354:BP378" si="838">AQ354*($Q354-$R354)/($Q354+0.00001)</f>
        <v>0</v>
      </c>
      <c r="BQ354" s="583">
        <f t="shared" ref="BQ354:BQ378" si="839">AR354*($Q354-$R354)/($Q354+0.00001)</f>
        <v>0.54389945610054391</v>
      </c>
      <c r="BR354" s="583">
        <f t="shared" ref="BR354:BR378" si="840">AS354*($Q354-$R354)/($Q354+0.00001)</f>
        <v>0</v>
      </c>
    </row>
    <row r="355" spans="1:70" s="229" customFormat="1" ht="15" customHeight="1">
      <c r="A355" s="643"/>
      <c r="E355" s="576">
        <f>IF(E$354&gt;0,E$354,"")</f>
        <v>100</v>
      </c>
      <c r="F355" s="707"/>
      <c r="G355" s="406" t="s">
        <v>3140</v>
      </c>
      <c r="H355" s="578" t="s">
        <v>3115</v>
      </c>
      <c r="I355" s="85">
        <v>20</v>
      </c>
      <c r="J355" s="682">
        <v>1</v>
      </c>
      <c r="K355" s="579">
        <f t="shared" si="815"/>
        <v>2.2000000000000002</v>
      </c>
      <c r="L355" s="580">
        <f>IF(H355="Select ingredient:","",IF(G355="","",_xlfn.IFNA(VLOOKUP($H355,Ingredient_prices!$E:$U,16,FALSE),0)))</f>
        <v>110</v>
      </c>
      <c r="M355" s="848"/>
      <c r="N355" s="848"/>
      <c r="O355" s="648"/>
      <c r="P355" s="653"/>
      <c r="Q355" s="583">
        <f t="shared" si="816"/>
        <v>20</v>
      </c>
      <c r="R355" s="583">
        <f>VLOOKUP($H355,'CO2_emission+%_food_waste'!$A:$K,6,FALSE)*$Q355/100</f>
        <v>6.0060000000000002</v>
      </c>
      <c r="S355" s="583">
        <f>Q355-R355</f>
        <v>13.994</v>
      </c>
      <c r="T355" s="583">
        <f>IF(H355="Select ingredient:","",IF(G355="Select food category:","",_xlfn.IFNA(VLOOKUP($H355,Ingredient_prices!$E:$U,16,FALSE)*$Q355/1000,"not bought")))</f>
        <v>2.2000000000000002</v>
      </c>
      <c r="U355" s="583">
        <f>IF(G355="Select food category:","",_xlfn.IFNA(VLOOKUP($H355,Ingredient_prices!$E:$U,16,FALSE)*$R355/1000,"not bought"))</f>
        <v>0.66066000000000014</v>
      </c>
      <c r="V355" s="549">
        <f>VLOOKUP($H355,'CO2_emission+%_food_waste'!$A:$K,4,FALSE)*$Q355</f>
        <v>9.2000000000000011</v>
      </c>
      <c r="W355" s="583">
        <f>VLOOKUP($H355,Nutrition_tables!$A:$N,10,FALSE)*$Q355/100</f>
        <v>6.36</v>
      </c>
      <c r="X355" s="583">
        <f>VLOOKUP($H355,Nutrition_tables!$A:$N,11,FALSE)*$Q355/100</f>
        <v>1.32</v>
      </c>
      <c r="Y355" s="583">
        <f>VLOOKUP($H355,Nutrition_tables!$A:$N,12,FALSE)*$Q355/100</f>
        <v>0.16800000000000001</v>
      </c>
      <c r="Z355" s="583">
        <f>VLOOKUP($H355,Nutrition_tables!$A:$N,14,FALSE)*$Q355/100</f>
        <v>5.4000000000000006E-2</v>
      </c>
      <c r="AA355" s="583">
        <f>VLOOKUP($H355,Nutrition_tables!$A:$AF,13,FALSE)*$Q355/100</f>
        <v>0.434</v>
      </c>
      <c r="AB355" s="549">
        <f>VLOOKUP($H355,Nutrition_tables!$A:$AF,15,FALSE)*$Q355/100</f>
        <v>8.0000000000000002E-3</v>
      </c>
      <c r="AC355" s="583">
        <f>VLOOKUP($H355,Nutrition_tables!$A:$AF,16,FALSE)*$Q355/100</f>
        <v>7.52</v>
      </c>
      <c r="AD355" s="583">
        <f>VLOOKUP($H355,Nutrition_tables!$A:$AF,17,FALSE)*$Q355/100</f>
        <v>63</v>
      </c>
      <c r="AE355" s="583">
        <f>VLOOKUP($H355,Nutrition_tables!$A:$AF,18,FALSE)*$Q355/100</f>
        <v>6.38</v>
      </c>
      <c r="AF355" s="583">
        <f>VLOOKUP($H355,Nutrition_tables!$A:$AF,19,FALSE)*$Q355/100</f>
        <v>2.36</v>
      </c>
      <c r="AG355" s="583">
        <f>VLOOKUP($H355,Nutrition_tables!$A:$AF,20,FALSE)*$Q355/100</f>
        <v>3.28</v>
      </c>
      <c r="AH355" s="583">
        <f>VLOOKUP($H355,Nutrition_tables!$A:$AF,21,FALSE)*$Q355/100</f>
        <v>4.2000000000000003E-2</v>
      </c>
      <c r="AI355" s="583">
        <f>VLOOKUP($H355,Nutrition_tables!$A:$AF,22,FALSE)*$Q355/100</f>
        <v>4.3999999999999997E-2</v>
      </c>
      <c r="AJ355" s="549">
        <f>VLOOKUP($H355,Nutrition_tables!$A:$AF,23,FALSE)*$Q355/100</f>
        <v>8.9999999999999998E-4</v>
      </c>
      <c r="AK355" s="583">
        <f>VLOOKUP($H355,Nutrition_tables!$A:$AF,24,FALSE)*$Q355/100</f>
        <v>170.4</v>
      </c>
      <c r="AL355" s="583">
        <f>VLOOKUP($H355,Nutrition_tables!$A:$AF,25,FALSE)*$Q355/100</f>
        <v>0.01</v>
      </c>
      <c r="AM355" s="583">
        <f>VLOOKUP($H355,Nutrition_tables!$A:$AF,26,FALSE)*$Q355/100</f>
        <v>8.0000000000000002E-3</v>
      </c>
      <c r="AN355" s="583">
        <f>VLOOKUP($H355,Nutrition_tables!$A:$AF,27,FALSE)*$Q355/100</f>
        <v>0.19600000000000001</v>
      </c>
      <c r="AO355" s="583">
        <f>VLOOKUP($H355,Nutrition_tables!$A:$AF,28,FALSE)*$Q355/100</f>
        <v>2.4E-2</v>
      </c>
      <c r="AP355" s="583">
        <f>VLOOKUP($H355,Nutrition_tables!$A:$AF,29,FALSE)*$Q355/100</f>
        <v>9.2799999999999976</v>
      </c>
      <c r="AQ355" s="583">
        <f>VLOOKUP($H355,Nutrition_tables!$A:$AF,30,FALSE)*$Q355/100</f>
        <v>0</v>
      </c>
      <c r="AR355" s="583">
        <f>VLOOKUP($H355,Nutrition_tables!$A:$AF,31,FALSE)*$Q355/100</f>
        <v>1.0880000000000001</v>
      </c>
      <c r="AS355" s="549">
        <f>VLOOKUP($H355,Nutrition_tables!$A:$AF,32,FALSE)*$Q355/100</f>
        <v>0</v>
      </c>
      <c r="AT355" s="583">
        <f>IF(H355="Select ingredient:","",IF(G355="Select food category:","",IFERROR(VLOOKUP($H355,Ingredient_prices!$E:$W,17,FALSE)*$Q355/1000,"not bought")))</f>
        <v>0.77</v>
      </c>
      <c r="AU355" s="583">
        <f>IF(H355="Select ingredient:","",IF(G355="Select food category:","",IFERROR(VLOOKUP($H355,Ingredient_prices!$E:$W,18,FALSE)*$Q355/1000,"not bought")))</f>
        <v>2.2000000000000002</v>
      </c>
      <c r="AV355" s="583">
        <f t="shared" si="818"/>
        <v>4.4500897749551127</v>
      </c>
      <c r="AW355" s="583">
        <f t="shared" si="819"/>
        <v>0.92360353819823104</v>
      </c>
      <c r="AX355" s="583">
        <f t="shared" si="820"/>
        <v>0.1175495412252294</v>
      </c>
      <c r="AY355" s="583">
        <f t="shared" si="821"/>
        <v>3.7783781108109454E-2</v>
      </c>
      <c r="AZ355" s="583">
        <f t="shared" si="822"/>
        <v>0.30366964816517589</v>
      </c>
      <c r="BA355" s="583">
        <f t="shared" si="823"/>
        <v>5.5975972012013995E-3</v>
      </c>
      <c r="BB355" s="583">
        <f t="shared" si="824"/>
        <v>5.2617413691293153</v>
      </c>
      <c r="BC355" s="583">
        <f t="shared" si="825"/>
        <v>44.08107795946102</v>
      </c>
      <c r="BD355" s="583">
        <f t="shared" si="826"/>
        <v>4.4640837679581153</v>
      </c>
      <c r="BE355" s="583">
        <f t="shared" si="827"/>
        <v>1.6512911743544125</v>
      </c>
      <c r="BF355" s="583">
        <f t="shared" si="828"/>
        <v>2.2950148524925735</v>
      </c>
      <c r="BG355" s="583">
        <f t="shared" si="829"/>
        <v>2.938738530630735E-2</v>
      </c>
      <c r="BH355" s="583">
        <f t="shared" si="830"/>
        <v>3.0786784606607696E-2</v>
      </c>
      <c r="BI355" s="583">
        <f t="shared" si="831"/>
        <v>6.2972968513515736E-4</v>
      </c>
      <c r="BJ355" s="583">
        <f t="shared" si="832"/>
        <v>119.22882038558981</v>
      </c>
      <c r="BK355" s="583">
        <f t="shared" si="833"/>
        <v>6.99699650150175E-3</v>
      </c>
      <c r="BL355" s="583">
        <f t="shared" si="834"/>
        <v>5.5975972012013995E-3</v>
      </c>
      <c r="BM355" s="583">
        <f t="shared" si="835"/>
        <v>0.13714113142943429</v>
      </c>
      <c r="BN355" s="583">
        <f t="shared" si="836"/>
        <v>1.6792791603604199E-2</v>
      </c>
      <c r="BO355" s="583">
        <f t="shared" si="837"/>
        <v>6.4932127533936219</v>
      </c>
      <c r="BP355" s="583">
        <f t="shared" si="838"/>
        <v>0</v>
      </c>
      <c r="BQ355" s="583">
        <f t="shared" si="839"/>
        <v>0.76127321936339043</v>
      </c>
      <c r="BR355" s="583">
        <f t="shared" si="840"/>
        <v>0</v>
      </c>
    </row>
    <row r="356" spans="1:70" s="229" customFormat="1" ht="15" customHeight="1">
      <c r="A356" s="643"/>
      <c r="E356" s="576">
        <f t="shared" ref="E356:E378" si="841">IF(E$354&gt;0,E$354,"")</f>
        <v>100</v>
      </c>
      <c r="F356" s="707"/>
      <c r="G356" s="406" t="s">
        <v>3142</v>
      </c>
      <c r="H356" s="578" t="s">
        <v>3293</v>
      </c>
      <c r="I356" s="85">
        <v>20</v>
      </c>
      <c r="J356" s="682">
        <v>1</v>
      </c>
      <c r="K356" s="579">
        <f t="shared" si="815"/>
        <v>2.2000000000000002</v>
      </c>
      <c r="L356" s="580">
        <f>IF(H356="Select ingredient:","",IF(G356="","",_xlfn.IFNA(VLOOKUP($H356,Ingredient_prices!$E:$U,16,FALSE),0)))</f>
        <v>130.90909090909091</v>
      </c>
      <c r="M356" s="848"/>
      <c r="N356" s="848"/>
      <c r="O356" s="648"/>
      <c r="P356" s="653"/>
      <c r="Q356" s="583">
        <f t="shared" si="816"/>
        <v>20</v>
      </c>
      <c r="R356" s="583">
        <f>VLOOKUP($H356,'CO2_emission+%_food_waste'!$A:$K,6,FALSE)*$Q356/100</f>
        <v>4.1399999999999997</v>
      </c>
      <c r="S356" s="583">
        <f t="shared" si="817"/>
        <v>15.86</v>
      </c>
      <c r="T356" s="583">
        <f>IF(H356="Select ingredient:","",IF(G356="Select food category:","",_xlfn.IFNA(VLOOKUP($H356,Ingredient_prices!$E:$U,16,FALSE)*$Q356/1000,"not bought")))</f>
        <v>2.6181818181818182</v>
      </c>
      <c r="U356" s="583">
        <f>IF(G356="Select food category:","",_xlfn.IFNA(VLOOKUP($H356,Ingredient_prices!$E:$U,16,FALSE)*$R356/1000,"not bought"))</f>
        <v>0.54196363636363631</v>
      </c>
      <c r="V356" s="549">
        <f>VLOOKUP($H356,'CO2_emission+%_food_waste'!$A:$K,4,FALSE)*$Q356</f>
        <v>28</v>
      </c>
      <c r="W356" s="583">
        <f>VLOOKUP($H356,Nutrition_tables!$A:$N,10,FALSE)*$Q356/100</f>
        <v>19.550799999999999</v>
      </c>
      <c r="X356" s="583">
        <f>VLOOKUP($H356,Nutrition_tables!$A:$N,11,FALSE)*$Q356/100</f>
        <v>3.92</v>
      </c>
      <c r="Y356" s="583">
        <f>VLOOKUP($H356,Nutrition_tables!$A:$N,12,FALSE)*$Q356/100</f>
        <v>0.88</v>
      </c>
      <c r="Z356" s="583">
        <f>VLOOKUP($H356,Nutrition_tables!$A:$N,14,FALSE)*$Q356/100</f>
        <v>0.18</v>
      </c>
      <c r="AA356" s="583">
        <f>VLOOKUP($H356,Nutrition_tables!$A:$AF,13,FALSE)*$Q356/100</f>
        <v>0.72</v>
      </c>
      <c r="AB356" s="549">
        <f>VLOOKUP($H356,Nutrition_tables!$A:$AF,15,FALSE)*$Q356/100</f>
        <v>3.3199999999999993E-2</v>
      </c>
      <c r="AC356" s="583">
        <f>VLOOKUP($H356,Nutrition_tables!$A:$AF,16,FALSE)*$Q356/100</f>
        <v>86.6</v>
      </c>
      <c r="AD356" s="583">
        <f>VLOOKUP($H356,Nutrition_tables!$A:$AF,17,FALSE)*$Q356/100</f>
        <v>159.6</v>
      </c>
      <c r="AE356" s="583">
        <f>VLOOKUP($H356,Nutrition_tables!$A:$AF,18,FALSE)*$Q356/100</f>
        <v>3.98</v>
      </c>
      <c r="AF356" s="583">
        <f>VLOOKUP($H356,Nutrition_tables!$A:$AF,19,FALSE)*$Q356/100</f>
        <v>6</v>
      </c>
      <c r="AG356" s="583">
        <f>VLOOKUP($H356,Nutrition_tables!$A:$AF,20,FALSE)*$Q356/100</f>
        <v>8.3800000000000008</v>
      </c>
      <c r="AH356" s="583">
        <f>VLOOKUP($H356,Nutrition_tables!$A:$AF,21,FALSE)*$Q356/100</f>
        <v>0.12</v>
      </c>
      <c r="AI356" s="583">
        <f>VLOOKUP($H356,Nutrition_tables!$A:$AF,22,FALSE)*$Q356/100</f>
        <v>0.04</v>
      </c>
      <c r="AJ356" s="549">
        <f>VLOOKUP($H356,Nutrition_tables!$A:$AF,23,FALSE)*$Q356/100</f>
        <v>0.03</v>
      </c>
      <c r="AK356" s="583">
        <f>VLOOKUP($H356,Nutrition_tables!$A:$AF,24,FALSE)*$Q356/100</f>
        <v>12.24</v>
      </c>
      <c r="AL356" s="583">
        <f>VLOOKUP($H356,Nutrition_tables!$A:$AF,25,FALSE)*$Q356/100</f>
        <v>0.02</v>
      </c>
      <c r="AM356" s="583">
        <f>VLOOKUP($H356,Nutrition_tables!$A:$AF,26,FALSE)*$Q356/100</f>
        <v>0.01</v>
      </c>
      <c r="AN356" s="583">
        <f>VLOOKUP($H356,Nutrition_tables!$A:$AF,27,FALSE)*$Q356/100</f>
        <v>0.36</v>
      </c>
      <c r="AO356" s="583">
        <f>VLOOKUP($H356,Nutrition_tables!$A:$AF,28,FALSE)*$Q356/100</f>
        <v>7.0000000000000007E-2</v>
      </c>
      <c r="AP356" s="583">
        <f>VLOOKUP($H356,Nutrition_tables!$A:$AF,29,FALSE)*$Q356/100</f>
        <v>14.4</v>
      </c>
      <c r="AQ356" s="583">
        <f>VLOOKUP($H356,Nutrition_tables!$A:$AF,30,FALSE)*$Q356/100</f>
        <v>0</v>
      </c>
      <c r="AR356" s="583">
        <f>VLOOKUP($H356,Nutrition_tables!$A:$AF,31,FALSE)*$Q356/100</f>
        <v>1.8</v>
      </c>
      <c r="AS356" s="549">
        <f>VLOOKUP($H356,Nutrition_tables!$A:$AF,32,FALSE)*$Q356/100</f>
        <v>0</v>
      </c>
      <c r="AT356" s="583">
        <f>IF(H356="Select ingredient:","",IF(G356="Select food category:","",IFERROR(VLOOKUP($H356,Ingredient_prices!$E:$W,17,FALSE)*$Q356/1000,"not bought")))</f>
        <v>2.6181818181818182</v>
      </c>
      <c r="AU356" s="583">
        <f>IF(H356="Select ingredient:","",IF(G356="Select food category:","",IFERROR(VLOOKUP($H356,Ingredient_prices!$E:$W,18,FALSE)*$Q356/1000,"not bought")))</f>
        <v>2.6181818181818182</v>
      </c>
      <c r="AV356" s="583">
        <f t="shared" si="818"/>
        <v>15.503776648111675</v>
      </c>
      <c r="AW356" s="583">
        <f t="shared" si="819"/>
        <v>3.1085584457207771</v>
      </c>
      <c r="AX356" s="583">
        <f t="shared" si="820"/>
        <v>0.69783965108017443</v>
      </c>
      <c r="AY356" s="583">
        <f t="shared" si="821"/>
        <v>0.14273992863003568</v>
      </c>
      <c r="AZ356" s="583">
        <f t="shared" si="822"/>
        <v>0.57095971452014271</v>
      </c>
      <c r="BA356" s="583">
        <f t="shared" si="823"/>
        <v>2.6327586836206576E-2</v>
      </c>
      <c r="BB356" s="583">
        <f t="shared" si="824"/>
        <v>68.673765663117166</v>
      </c>
      <c r="BC356" s="583">
        <f t="shared" si="825"/>
        <v>126.56273671863164</v>
      </c>
      <c r="BD356" s="583">
        <f t="shared" si="826"/>
        <v>3.1561384219307889</v>
      </c>
      <c r="BE356" s="583">
        <f t="shared" si="827"/>
        <v>4.7579976210011896</v>
      </c>
      <c r="BF356" s="583">
        <f t="shared" si="828"/>
        <v>6.6453366773316613</v>
      </c>
      <c r="BG356" s="583">
        <f t="shared" si="829"/>
        <v>9.5159952420023786E-2</v>
      </c>
      <c r="BH356" s="583">
        <f t="shared" si="830"/>
        <v>3.1719984140007929E-2</v>
      </c>
      <c r="BI356" s="583">
        <f t="shared" si="831"/>
        <v>2.3789988105005946E-2</v>
      </c>
      <c r="BJ356" s="583">
        <f t="shared" si="832"/>
        <v>9.7063151468424262</v>
      </c>
      <c r="BK356" s="583">
        <f t="shared" si="833"/>
        <v>1.5859992070003964E-2</v>
      </c>
      <c r="BL356" s="583">
        <f t="shared" si="834"/>
        <v>7.9299960350019821E-3</v>
      </c>
      <c r="BM356" s="583">
        <f t="shared" si="835"/>
        <v>0.28547985726007136</v>
      </c>
      <c r="BN356" s="583">
        <f t="shared" si="836"/>
        <v>5.5509972245013882E-2</v>
      </c>
      <c r="BO356" s="583">
        <f t="shared" si="837"/>
        <v>11.419194290402855</v>
      </c>
      <c r="BP356" s="583">
        <f t="shared" si="838"/>
        <v>0</v>
      </c>
      <c r="BQ356" s="583">
        <f t="shared" si="839"/>
        <v>1.4273992863003568</v>
      </c>
      <c r="BR356" s="583">
        <f t="shared" si="840"/>
        <v>0</v>
      </c>
    </row>
    <row r="357" spans="1:70" s="229" customFormat="1" ht="15" customHeight="1">
      <c r="A357" s="643"/>
      <c r="D357" s="85"/>
      <c r="E357" s="576">
        <f t="shared" si="841"/>
        <v>100</v>
      </c>
      <c r="F357" s="707"/>
      <c r="G357" s="406" t="s">
        <v>3073</v>
      </c>
      <c r="H357" s="578" t="s">
        <v>3157</v>
      </c>
      <c r="I357" s="85">
        <v>50</v>
      </c>
      <c r="J357" s="682">
        <v>1</v>
      </c>
      <c r="K357" s="579">
        <f t="shared" si="815"/>
        <v>5.5000000000000009</v>
      </c>
      <c r="L357" s="580">
        <f>IF(H357="Select ingredient:","",IF(G357="","",_xlfn.IFNA(VLOOKUP($H357,Ingredient_prices!$E:$U,16,FALSE),0)))</f>
        <v>352</v>
      </c>
      <c r="M357" s="848"/>
      <c r="N357" s="848"/>
      <c r="O357" s="648"/>
      <c r="P357" s="653"/>
      <c r="Q357" s="583">
        <f t="shared" si="816"/>
        <v>50</v>
      </c>
      <c r="R357" s="583">
        <f>VLOOKUP($H357,'CO2_emission+%_food_waste'!$A:$K,6,FALSE)*$Q357/100</f>
        <v>14.25</v>
      </c>
      <c r="S357" s="583">
        <f t="shared" si="817"/>
        <v>35.75</v>
      </c>
      <c r="T357" s="583">
        <f>IF(H357="Select ingredient:","",IF(G357="Select food category:","",_xlfn.IFNA(VLOOKUP($H357,Ingredient_prices!$E:$U,16,FALSE)*$Q357/1000,"not bought")))</f>
        <v>17.600000000000001</v>
      </c>
      <c r="U357" s="583">
        <f>IF(G357="Select food category:","",_xlfn.IFNA(VLOOKUP($H357,Ingredient_prices!$E:$U,16,FALSE)*$R357/1000,"not bought"))</f>
        <v>5.016</v>
      </c>
      <c r="V357" s="549">
        <f>VLOOKUP($H357,'CO2_emission+%_food_waste'!$A:$K,4,FALSE)*$Q357</f>
        <v>451.99999999999994</v>
      </c>
      <c r="W357" s="583">
        <f>VLOOKUP($H357,Nutrition_tables!$A:$N,10,FALSE)*$Q357/100</f>
        <v>135.05000000000001</v>
      </c>
      <c r="X357" s="583">
        <f>VLOOKUP($H357,Nutrition_tables!$A:$N,11,FALSE)*$Q357/100</f>
        <v>0.84999999999999987</v>
      </c>
      <c r="Y357" s="583">
        <f>VLOOKUP($H357,Nutrition_tables!$A:$N,12,FALSE)*$Q357/100</f>
        <v>7.6</v>
      </c>
      <c r="Z357" s="583">
        <f>VLOOKUP($H357,Nutrition_tables!$A:$N,14,FALSE)*$Q357/100</f>
        <v>10</v>
      </c>
      <c r="AA357" s="583">
        <f>VLOOKUP($H357,Nutrition_tables!$A:$AF,13,FALSE)*$Q357/100</f>
        <v>0</v>
      </c>
      <c r="AB357" s="549">
        <f>VLOOKUP($H357,Nutrition_tables!$A:$AF,15,FALSE)*$Q357/100</f>
        <v>4.3</v>
      </c>
      <c r="AC357" s="583">
        <f>VLOOKUP($H357,Nutrition_tables!$A:$AF,16,FALSE)*$Q357/100</f>
        <v>28</v>
      </c>
      <c r="AD357" s="583">
        <f>VLOOKUP($H357,Nutrition_tables!$A:$AF,17,FALSE)*$Q357/100</f>
        <v>143.5</v>
      </c>
      <c r="AE357" s="583">
        <f>VLOOKUP($H357,Nutrition_tables!$A:$AF,18,FALSE)*$Q357/100</f>
        <v>10.5</v>
      </c>
      <c r="AF357" s="583">
        <f>VLOOKUP($H357,Nutrition_tables!$A:$AF,19,FALSE)*$Q357/100</f>
        <v>9.5</v>
      </c>
      <c r="AG357" s="583">
        <f>VLOOKUP($H357,Nutrition_tables!$A:$AF,20,FALSE)*$Q357/100</f>
        <v>87.5</v>
      </c>
      <c r="AH357" s="583">
        <f>VLOOKUP($H357,Nutrition_tables!$A:$AF,21,FALSE)*$Q357/100</f>
        <v>0.7</v>
      </c>
      <c r="AI357" s="583">
        <f>VLOOKUP($H357,Nutrition_tables!$A:$AF,22,FALSE)*$Q357/100</f>
        <v>1.1000000000000001</v>
      </c>
      <c r="AJ357" s="549">
        <f>VLOOKUP($H357,Nutrition_tables!$A:$AF,23,FALSE)*$Q357/100</f>
        <v>2.2499999999999999E-2</v>
      </c>
      <c r="AK357" s="583">
        <f>VLOOKUP($H357,Nutrition_tables!$A:$AF,24,FALSE)*$Q357/100</f>
        <v>1</v>
      </c>
      <c r="AL357" s="583">
        <f>VLOOKUP($H357,Nutrition_tables!$A:$AF,25,FALSE)*$Q357/100</f>
        <v>0.14499999999999999</v>
      </c>
      <c r="AM357" s="583">
        <f>VLOOKUP($H357,Nutrition_tables!$A:$AF,26,FALSE)*$Q357/100</f>
        <v>0.105</v>
      </c>
      <c r="AN357" s="583">
        <f>VLOOKUP($H357,Nutrition_tables!$A:$AF,27,FALSE)*$Q357/100</f>
        <v>1.35</v>
      </c>
      <c r="AO357" s="583">
        <f>VLOOKUP($H357,Nutrition_tables!$A:$AF,28,FALSE)*$Q357/100</f>
        <v>0.19149999999999998</v>
      </c>
      <c r="AP357" s="583">
        <f>VLOOKUP($H357,Nutrition_tables!$A:$AF,29,FALSE)*$Q357/100</f>
        <v>2.5</v>
      </c>
      <c r="AQ357" s="583">
        <f>VLOOKUP($H357,Nutrition_tables!$A:$AF,30,FALSE)*$Q357/100</f>
        <v>0.35</v>
      </c>
      <c r="AR357" s="583">
        <f>VLOOKUP($H357,Nutrition_tables!$A:$AF,31,FALSE)*$Q357/100</f>
        <v>0.35</v>
      </c>
      <c r="AS357" s="549">
        <f>VLOOKUP($H357,Nutrition_tables!$A:$AF,32,FALSE)*$Q357/100</f>
        <v>0.25</v>
      </c>
      <c r="AT357" s="583">
        <f>IF(H357="Select ingredient:","",IF(G357="Select food category:","",IFERROR(VLOOKUP($H357,Ingredient_prices!$E:$W,17,FALSE)*$Q357/1000,"not bought")))</f>
        <v>17.600000000000001</v>
      </c>
      <c r="AU357" s="583">
        <f>IF(H357="Select ingredient:","",IF(G357="Select food category:","",IFERROR(VLOOKUP($H357,Ingredient_prices!$E:$W,18,FALSE)*$Q357/1000,"not bought")))</f>
        <v>17.600000000000001</v>
      </c>
      <c r="AV357" s="583">
        <f t="shared" si="818"/>
        <v>96.560730687853862</v>
      </c>
      <c r="AW357" s="583">
        <f t="shared" si="819"/>
        <v>0.60774987845002415</v>
      </c>
      <c r="AX357" s="583">
        <f t="shared" si="820"/>
        <v>5.4339989132002167</v>
      </c>
      <c r="AY357" s="583">
        <f t="shared" si="821"/>
        <v>7.1499985700002853</v>
      </c>
      <c r="AZ357" s="583">
        <f t="shared" si="822"/>
        <v>0</v>
      </c>
      <c r="BA357" s="583">
        <f t="shared" si="823"/>
        <v>3.0744993851001228</v>
      </c>
      <c r="BB357" s="583">
        <f t="shared" si="824"/>
        <v>20.019995996000798</v>
      </c>
      <c r="BC357" s="583">
        <f t="shared" si="825"/>
        <v>102.6024794795041</v>
      </c>
      <c r="BD357" s="583">
        <f t="shared" si="826"/>
        <v>7.5074984985002997</v>
      </c>
      <c r="BE357" s="583">
        <f t="shared" si="827"/>
        <v>6.7924986415002708</v>
      </c>
      <c r="BF357" s="583">
        <f t="shared" si="828"/>
        <v>62.562487487502501</v>
      </c>
      <c r="BG357" s="583">
        <f t="shared" si="829"/>
        <v>0.50049989990001997</v>
      </c>
      <c r="BH357" s="583">
        <f t="shared" si="830"/>
        <v>0.78649984270003148</v>
      </c>
      <c r="BI357" s="583">
        <f t="shared" si="831"/>
        <v>1.608749678250064E-2</v>
      </c>
      <c r="BJ357" s="583">
        <f t="shared" si="832"/>
        <v>0.71499985700002855</v>
      </c>
      <c r="BK357" s="583">
        <f t="shared" si="833"/>
        <v>0.10367497926500414</v>
      </c>
      <c r="BL357" s="583">
        <f t="shared" si="834"/>
        <v>7.5074984985002993E-2</v>
      </c>
      <c r="BM357" s="583">
        <f t="shared" si="835"/>
        <v>0.96524980695003859</v>
      </c>
      <c r="BN357" s="583">
        <f t="shared" si="836"/>
        <v>0.13692247261550544</v>
      </c>
      <c r="BO357" s="583">
        <f t="shared" si="837"/>
        <v>1.7874996425000713</v>
      </c>
      <c r="BP357" s="583">
        <f t="shared" si="838"/>
        <v>0.25024994995000999</v>
      </c>
      <c r="BQ357" s="583">
        <f t="shared" si="839"/>
        <v>0.25024994995000999</v>
      </c>
      <c r="BR357" s="583">
        <f t="shared" si="840"/>
        <v>0.17874996425000714</v>
      </c>
    </row>
    <row r="358" spans="1:70" s="229" customFormat="1" ht="15" customHeight="1">
      <c r="A358" s="643"/>
      <c r="D358" s="85"/>
      <c r="E358" s="576">
        <f t="shared" si="841"/>
        <v>100</v>
      </c>
      <c r="F358" s="707"/>
      <c r="G358" s="406" t="s">
        <v>3075</v>
      </c>
      <c r="H358" s="578" t="s">
        <v>3239</v>
      </c>
      <c r="I358" s="85">
        <v>10</v>
      </c>
      <c r="J358" s="682">
        <v>1</v>
      </c>
      <c r="K358" s="579">
        <f t="shared" si="815"/>
        <v>1.1000000000000001</v>
      </c>
      <c r="L358" s="580">
        <f>IF(H358="Select ingredient:","",IF(G358="","",_xlfn.IFNA(VLOOKUP($H358,Ingredient_prices!$E:$U,16,FALSE),0)))</f>
        <v>121</v>
      </c>
      <c r="M358" s="848"/>
      <c r="N358" s="848"/>
      <c r="O358" s="648"/>
      <c r="P358" s="653"/>
      <c r="Q358" s="583">
        <f t="shared" si="816"/>
        <v>10</v>
      </c>
      <c r="R358" s="583">
        <f>VLOOKUP($H358,'CO2_emission+%_food_waste'!$A:$K,6,FALSE)*$Q358/100</f>
        <v>2.78</v>
      </c>
      <c r="S358" s="583">
        <f t="shared" si="817"/>
        <v>7.2200000000000006</v>
      </c>
      <c r="T358" s="583">
        <f>IF(H358="Select ingredient:","",IF(G358="Select food category:","",_xlfn.IFNA(VLOOKUP($H358,Ingredient_prices!$E:$U,16,FALSE)*$Q358/1000,"not bought")))</f>
        <v>1.21</v>
      </c>
      <c r="U358" s="583">
        <f>IF(G358="Select food category:","",_xlfn.IFNA(VLOOKUP($H358,Ingredient_prices!$E:$U,16,FALSE)*$R358/1000,"not bought"))</f>
        <v>0.33638000000000001</v>
      </c>
      <c r="V358" s="549">
        <f>VLOOKUP($H358,'CO2_emission+%_food_waste'!$A:$K,4,FALSE)*$Q358</f>
        <v>47.300000000000004</v>
      </c>
      <c r="W358" s="583">
        <f>VLOOKUP($H358,Nutrition_tables!$A:$N,10,FALSE)*$Q358/100</f>
        <v>88.432100000000005</v>
      </c>
      <c r="X358" s="583">
        <f>VLOOKUP($H358,Nutrition_tables!$A:$N,11,FALSE)*$Q358/100</f>
        <v>0.01</v>
      </c>
      <c r="Y358" s="583">
        <f>VLOOKUP($H358,Nutrition_tables!$A:$N,12,FALSE)*$Q358/100</f>
        <v>0.01</v>
      </c>
      <c r="Z358" s="583">
        <f>VLOOKUP($H358,Nutrition_tables!$A:$N,14,FALSE)*$Q358/100</f>
        <v>9.9499999999999993</v>
      </c>
      <c r="AA358" s="583">
        <f>VLOOKUP($H358,Nutrition_tables!$A:$AF,13,FALSE)*$Q358/100</f>
        <v>0</v>
      </c>
      <c r="AB358" s="549">
        <f>VLOOKUP($H358,Nutrition_tables!$A:$AF,15,FALSE)*$Q358/100</f>
        <v>0.67900000000000005</v>
      </c>
      <c r="AC358" s="583">
        <f>VLOOKUP($H358,Nutrition_tables!$A:$AF,16,FALSE)*$Q358/100</f>
        <v>0.01</v>
      </c>
      <c r="AD358" s="583">
        <f>VLOOKUP($H358,Nutrition_tables!$A:$AF,17,FALSE)*$Q358/100</f>
        <v>0</v>
      </c>
      <c r="AE358" s="583">
        <f>VLOOKUP($H358,Nutrition_tables!$A:$AF,18,FALSE)*$Q358/100</f>
        <v>0.02</v>
      </c>
      <c r="AF358" s="583">
        <f>VLOOKUP($H358,Nutrition_tables!$A:$AF,19,FALSE)*$Q358/100</f>
        <v>0.1</v>
      </c>
      <c r="AG358" s="583">
        <f>VLOOKUP($H358,Nutrition_tables!$A:$AF,20,FALSE)*$Q358/100</f>
        <v>0</v>
      </c>
      <c r="AH358" s="583">
        <f>VLOOKUP($H358,Nutrition_tables!$A:$AF,21,FALSE)*$Q358/100</f>
        <v>0.01</v>
      </c>
      <c r="AI358" s="583">
        <f>VLOOKUP($H358,Nutrition_tables!$A:$AF,22,FALSE)*$Q358/100</f>
        <v>0</v>
      </c>
      <c r="AJ358" s="549">
        <f>VLOOKUP($H358,Nutrition_tables!$A:$AF,23,FALSE)*$Q358/100</f>
        <v>0</v>
      </c>
      <c r="AK358" s="583">
        <f>VLOOKUP($H358,Nutrition_tables!$A:$AF,24,FALSE)*$Q358/100</f>
        <v>0</v>
      </c>
      <c r="AL358" s="583">
        <f>VLOOKUP($H358,Nutrition_tables!$A:$AF,25,FALSE)*$Q358/100</f>
        <v>0</v>
      </c>
      <c r="AM358" s="583">
        <f>VLOOKUP($H358,Nutrition_tables!$A:$AF,26,FALSE)*$Q358/100</f>
        <v>0</v>
      </c>
      <c r="AN358" s="583">
        <f>VLOOKUP($H358,Nutrition_tables!$A:$AF,27,FALSE)*$Q358/100</f>
        <v>0</v>
      </c>
      <c r="AO358" s="583">
        <f>VLOOKUP($H358,Nutrition_tables!$A:$AF,28,FALSE)*$Q358/100</f>
        <v>0</v>
      </c>
      <c r="AP358" s="583">
        <f>VLOOKUP($H358,Nutrition_tables!$A:$AF,29,FALSE)*$Q358/100</f>
        <v>0</v>
      </c>
      <c r="AQ358" s="583">
        <f>VLOOKUP($H358,Nutrition_tables!$A:$AF,30,FALSE)*$Q358/100</f>
        <v>0</v>
      </c>
      <c r="AR358" s="583">
        <f>VLOOKUP($H358,Nutrition_tables!$A:$AF,31,FALSE)*$Q358/100</f>
        <v>0</v>
      </c>
      <c r="AS358" s="549">
        <f>VLOOKUP($H358,Nutrition_tables!$A:$AF,32,FALSE)*$Q358/100</f>
        <v>0</v>
      </c>
      <c r="AT358" s="583">
        <f>IF(H358="Select ingredient:","",IF(G358="Select food category:","",IFERROR(VLOOKUP($H358,Ingredient_prices!$E:$W,17,FALSE)*$Q358/1000,"not bought")))</f>
        <v>1.21</v>
      </c>
      <c r="AU358" s="583">
        <f>IF(H358="Select ingredient:","",IF(G358="Select food category:","",IFERROR(VLOOKUP($H358,Ingredient_prices!$E:$W,18,FALSE)*$Q358/1000,"not bought")))</f>
        <v>1.21</v>
      </c>
      <c r="AV358" s="583">
        <f t="shared" si="818"/>
        <v>63.847912352087654</v>
      </c>
      <c r="AW358" s="583">
        <f t="shared" si="819"/>
        <v>7.2199927800072217E-3</v>
      </c>
      <c r="AX358" s="583">
        <f t="shared" si="820"/>
        <v>7.2199927800072217E-3</v>
      </c>
      <c r="AY358" s="583">
        <f t="shared" si="821"/>
        <v>7.1838928161071838</v>
      </c>
      <c r="AZ358" s="583">
        <f t="shared" si="822"/>
        <v>0</v>
      </c>
      <c r="BA358" s="583">
        <f t="shared" si="823"/>
        <v>0.49023750976249036</v>
      </c>
      <c r="BB358" s="583">
        <f t="shared" si="824"/>
        <v>7.2199927800072217E-3</v>
      </c>
      <c r="BC358" s="583">
        <f t="shared" si="825"/>
        <v>0</v>
      </c>
      <c r="BD358" s="583">
        <f t="shared" si="826"/>
        <v>1.4439985560014443E-2</v>
      </c>
      <c r="BE358" s="583">
        <f t="shared" si="827"/>
        <v>7.2199927800072214E-2</v>
      </c>
      <c r="BF358" s="583">
        <f t="shared" si="828"/>
        <v>0</v>
      </c>
      <c r="BG358" s="583">
        <f t="shared" si="829"/>
        <v>7.2199927800072217E-3</v>
      </c>
      <c r="BH358" s="583">
        <f t="shared" si="830"/>
        <v>0</v>
      </c>
      <c r="BI358" s="583">
        <f t="shared" si="831"/>
        <v>0</v>
      </c>
      <c r="BJ358" s="583">
        <f t="shared" si="832"/>
        <v>0</v>
      </c>
      <c r="BK358" s="583">
        <f t="shared" si="833"/>
        <v>0</v>
      </c>
      <c r="BL358" s="583">
        <f t="shared" si="834"/>
        <v>0</v>
      </c>
      <c r="BM358" s="583">
        <f t="shared" si="835"/>
        <v>0</v>
      </c>
      <c r="BN358" s="583">
        <f t="shared" si="836"/>
        <v>0</v>
      </c>
      <c r="BO358" s="583">
        <f t="shared" si="837"/>
        <v>0</v>
      </c>
      <c r="BP358" s="583">
        <f t="shared" si="838"/>
        <v>0</v>
      </c>
      <c r="BQ358" s="583">
        <f t="shared" si="839"/>
        <v>0</v>
      </c>
      <c r="BR358" s="583">
        <f t="shared" si="840"/>
        <v>0</v>
      </c>
    </row>
    <row r="359" spans="1:70" s="229" customFormat="1" ht="15" customHeight="1">
      <c r="A359" s="643"/>
      <c r="D359" s="85"/>
      <c r="E359" s="576">
        <f t="shared" si="841"/>
        <v>100</v>
      </c>
      <c r="F359" s="707"/>
      <c r="G359" s="406" t="s">
        <v>3141</v>
      </c>
      <c r="H359" s="578" t="s">
        <v>3245</v>
      </c>
      <c r="I359" s="85">
        <v>5</v>
      </c>
      <c r="J359" s="682">
        <v>1</v>
      </c>
      <c r="K359" s="579">
        <f t="shared" si="815"/>
        <v>0.55000000000000004</v>
      </c>
      <c r="L359" s="580">
        <f>IF(H359="Select ingredient:","",IF(G359="","",_xlfn.IFNA(VLOOKUP($H359,Ingredient_prices!$E:$U,16,FALSE),0)))</f>
        <v>43.12</v>
      </c>
      <c r="M359" s="848"/>
      <c r="N359" s="848"/>
      <c r="O359" s="648"/>
      <c r="P359" s="653"/>
      <c r="Q359" s="583">
        <f t="shared" si="816"/>
        <v>5</v>
      </c>
      <c r="R359" s="583">
        <f>VLOOKUP($H359,'CO2_emission+%_food_waste'!$A:$K,6,FALSE)*$Q359/100</f>
        <v>1.085</v>
      </c>
      <c r="S359" s="583">
        <f t="shared" si="817"/>
        <v>3.915</v>
      </c>
      <c r="T359" s="583">
        <f>IF(H359="Select ingredient:","",IF(G359="Select food category:","",_xlfn.IFNA(VLOOKUP($H359,Ingredient_prices!$E:$U,16,FALSE)*$Q359/1000,"not bought")))</f>
        <v>0.21559999999999999</v>
      </c>
      <c r="U359" s="583">
        <f>IF(G359="Select food category:","",_xlfn.IFNA(VLOOKUP($H359,Ingredient_prices!$E:$U,16,FALSE)*$R359/1000,"not bought"))</f>
        <v>4.6785199999999999E-2</v>
      </c>
      <c r="V359" s="549">
        <f>VLOOKUP($H359,'CO2_emission+%_food_waste'!$A:$K,4,FALSE)*$Q359</f>
        <v>8.1000000000000014</v>
      </c>
      <c r="W359" s="583">
        <f>VLOOKUP($H359,Nutrition_tables!$A:$N,10,FALSE)*$Q359/100</f>
        <v>17.79498834498834</v>
      </c>
      <c r="X359" s="583">
        <f>VLOOKUP($H359,Nutrition_tables!$A:$N,11,FALSE)*$Q359/100</f>
        <v>3.8949883449883451</v>
      </c>
      <c r="Y359" s="583">
        <f>VLOOKUP($H359,Nutrition_tables!$A:$N,12,FALSE)*$Q359/100</f>
        <v>0.47499999999999998</v>
      </c>
      <c r="Z359" s="583">
        <f>VLOOKUP($H359,Nutrition_tables!$A:$N,14,FALSE)*$Q359/100</f>
        <v>5.5011655011655003E-2</v>
      </c>
      <c r="AA359" s="583">
        <f>VLOOKUP($H359,Nutrition_tables!$A:$AF,13,FALSE)*$Q359/100</f>
        <v>0.12505827505827508</v>
      </c>
      <c r="AB359" s="549">
        <f>VLOOKUP($H359,Nutrition_tables!$A:$AF,15,FALSE)*$Q359/100</f>
        <v>8.0419580419580413E-3</v>
      </c>
      <c r="AC359" s="583">
        <f>VLOOKUP($H359,Nutrition_tables!$A:$AF,16,FALSE)*$Q359/100</f>
        <v>0.14498834498834498</v>
      </c>
      <c r="AD359" s="583">
        <f>VLOOKUP($H359,Nutrition_tables!$A:$AF,17,FALSE)*$Q359/100</f>
        <v>7.9</v>
      </c>
      <c r="AE359" s="583">
        <f>VLOOKUP($H359,Nutrition_tables!$A:$AF,18,FALSE)*$Q359/100</f>
        <v>1.2</v>
      </c>
      <c r="AF359" s="583">
        <f>VLOOKUP($H359,Nutrition_tables!$A:$AF,19,FALSE)*$Q359/100</f>
        <v>1.2399766899766902</v>
      </c>
      <c r="AG359" s="583">
        <f>VLOOKUP($H359,Nutrition_tables!$A:$AF,20,FALSE)*$Q359/100</f>
        <v>5.2999999999999989</v>
      </c>
      <c r="AH359" s="583">
        <f>VLOOKUP($H359,Nutrition_tables!$A:$AF,21,FALSE)*$Q359/100</f>
        <v>4.4522144522144522E-2</v>
      </c>
      <c r="AI359" s="583">
        <f>VLOOKUP($H359,Nutrition_tables!$A:$AF,22,FALSE)*$Q359/100</f>
        <v>3.4965034965034961E-2</v>
      </c>
      <c r="AJ359" s="549">
        <f>VLOOKUP($H359,Nutrition_tables!$A:$AF,23,FALSE)*$Q359/100</f>
        <v>2.505827505827506E-2</v>
      </c>
      <c r="AK359" s="583">
        <f>VLOOKUP($H359,Nutrition_tables!$A:$AF,24,FALSE)*$Q359/100</f>
        <v>0</v>
      </c>
      <c r="AL359" s="583">
        <f>VLOOKUP($H359,Nutrition_tables!$A:$AF,25,FALSE)*$Q359/100</f>
        <v>7.4592074592074601E-3</v>
      </c>
      <c r="AM359" s="583">
        <f>VLOOKUP($H359,Nutrition_tables!$A:$AF,26,FALSE)*$Q359/100</f>
        <v>1.9813519813519811E-3</v>
      </c>
      <c r="AN359" s="583">
        <f>VLOOKUP($H359,Nutrition_tables!$A:$AF,27,FALSE)*$Q359/100</f>
        <v>6.5501165501165512E-2</v>
      </c>
      <c r="AO359" s="583">
        <f>VLOOKUP($H359,Nutrition_tables!$A:$AF,28,FALSE)*$Q359/100</f>
        <v>3.4965034965034956E-3</v>
      </c>
      <c r="AP359" s="583">
        <f>VLOOKUP($H359,Nutrition_tables!$A:$AF,29,FALSE)*$Q359/100</f>
        <v>0.8200466200466201</v>
      </c>
      <c r="AQ359" s="583">
        <f>VLOOKUP($H359,Nutrition_tables!$A:$AF,30,FALSE)*$Q359/100</f>
        <v>4.5454545454545444E-3</v>
      </c>
      <c r="AR359" s="583">
        <f>VLOOKUP($H359,Nutrition_tables!$A:$AF,31,FALSE)*$Q359/100</f>
        <v>0</v>
      </c>
      <c r="AS359" s="549">
        <f>VLOOKUP($H359,Nutrition_tables!$A:$AF,32,FALSE)*$Q359/100</f>
        <v>0</v>
      </c>
      <c r="AT359" s="583">
        <f>IF(H359="Select ingredient:","",IF(G359="Select food category:","",IFERROR(VLOOKUP($H359,Ingredient_prices!$E:$W,17,FALSE)*$Q359/1000,"not bought")))</f>
        <v>0.21559999999999999</v>
      </c>
      <c r="AU359" s="583">
        <f>IF(H359="Select ingredient:","",IF(G359="Select food category:","",IFERROR(VLOOKUP($H359,Ingredient_prices!$E:$W,18,FALSE)*$Q359/1000,"not bought")))</f>
        <v>0.21559999999999999</v>
      </c>
      <c r="AV359" s="583">
        <f t="shared" si="818"/>
        <v>13.933448007229856</v>
      </c>
      <c r="AW359" s="583">
        <f t="shared" si="819"/>
        <v>3.0497697745863253</v>
      </c>
      <c r="AX359" s="583">
        <f t="shared" si="820"/>
        <v>0.37192425615148772</v>
      </c>
      <c r="AY359" s="583">
        <f t="shared" si="821"/>
        <v>4.3074039726046419E-2</v>
      </c>
      <c r="AZ359" s="583">
        <f t="shared" si="822"/>
        <v>9.7920433529762332E-2</v>
      </c>
      <c r="BA359" s="583">
        <f t="shared" si="823"/>
        <v>6.29684055317204E-3</v>
      </c>
      <c r="BB359" s="583">
        <f t="shared" si="824"/>
        <v>0.11352564707457997</v>
      </c>
      <c r="BC359" s="583">
        <f t="shared" si="825"/>
        <v>6.185687628624744</v>
      </c>
      <c r="BD359" s="583">
        <f t="shared" si="826"/>
        <v>0.93959812080375837</v>
      </c>
      <c r="BE359" s="583">
        <f t="shared" si="827"/>
        <v>0.97089980645213569</v>
      </c>
      <c r="BF359" s="583">
        <f t="shared" si="828"/>
        <v>4.1498917002165996</v>
      </c>
      <c r="BG359" s="583">
        <f t="shared" si="829"/>
        <v>3.486076943930029E-2</v>
      </c>
      <c r="BH359" s="583">
        <f t="shared" si="830"/>
        <v>2.737756762248713E-2</v>
      </c>
      <c r="BI359" s="583">
        <f t="shared" si="831"/>
        <v>1.9620590129449115E-2</v>
      </c>
      <c r="BJ359" s="583">
        <f t="shared" si="832"/>
        <v>0</v>
      </c>
      <c r="BK359" s="583">
        <f t="shared" si="833"/>
        <v>5.8405477594639229E-3</v>
      </c>
      <c r="BL359" s="583">
        <f t="shared" si="834"/>
        <v>1.5513954986076041E-3</v>
      </c>
      <c r="BM359" s="583">
        <f t="shared" si="835"/>
        <v>5.1287310012792575E-2</v>
      </c>
      <c r="BN359" s="583">
        <f t="shared" si="836"/>
        <v>2.737756762248713E-3</v>
      </c>
      <c r="BO359" s="583">
        <f t="shared" si="837"/>
        <v>0.64209521930606495</v>
      </c>
      <c r="BP359" s="583">
        <f t="shared" si="838"/>
        <v>3.5590837909233266E-3</v>
      </c>
      <c r="BQ359" s="583">
        <f t="shared" si="839"/>
        <v>0</v>
      </c>
      <c r="BR359" s="583">
        <f t="shared" si="840"/>
        <v>0</v>
      </c>
    </row>
    <row r="360" spans="1:70" s="229" customFormat="1" ht="15" customHeight="1">
      <c r="A360" s="643"/>
      <c r="D360" s="85"/>
      <c r="E360" s="576">
        <f t="shared" si="841"/>
        <v>100</v>
      </c>
      <c r="F360" s="707"/>
      <c r="G360" s="406" t="s">
        <v>3072</v>
      </c>
      <c r="H360" s="578" t="s">
        <v>3208</v>
      </c>
      <c r="I360" s="85">
        <v>15</v>
      </c>
      <c r="J360" s="682">
        <v>1</v>
      </c>
      <c r="K360" s="579">
        <f t="shared" si="815"/>
        <v>1.65</v>
      </c>
      <c r="L360" s="580">
        <f>IF(H360="Select ingredient:","",IF(G360="","",_xlfn.IFNA(VLOOKUP($H360,Ingredient_prices!$E:$U,16,FALSE),0)))</f>
        <v>183.33333333333334</v>
      </c>
      <c r="M360" s="848"/>
      <c r="N360" s="848"/>
      <c r="O360" s="648"/>
      <c r="P360" s="653"/>
      <c r="Q360" s="583">
        <f t="shared" si="816"/>
        <v>15</v>
      </c>
      <c r="R360" s="583">
        <f>VLOOKUP($H360,'CO2_emission+%_food_waste'!$A:$K,6,FALSE)*$Q360/100</f>
        <v>1.59</v>
      </c>
      <c r="S360" s="583">
        <f t="shared" si="817"/>
        <v>13.41</v>
      </c>
      <c r="T360" s="583">
        <f>IF(H360="Select ingredient:","",IF(G360="Select food category:","",_xlfn.IFNA(VLOOKUP($H360,Ingredient_prices!$E:$U,16,FALSE)*$Q360/1000,"not bought")))</f>
        <v>2.75</v>
      </c>
      <c r="U360" s="583">
        <f>IF(G360="Select food category:","",_xlfn.IFNA(VLOOKUP($H360,Ingredient_prices!$E:$U,16,FALSE)*$R360/1000,"not bought"))</f>
        <v>0.29150000000000004</v>
      </c>
      <c r="V360" s="549">
        <f>VLOOKUP($H360,'CO2_emission+%_food_waste'!$A:$K,4,FALSE)*$Q360</f>
        <v>45.6</v>
      </c>
      <c r="W360" s="583">
        <f>VLOOKUP($H360,Nutrition_tables!$A:$N,10,FALSE)*$Q360/100</f>
        <v>21.299999999999997</v>
      </c>
      <c r="X360" s="583">
        <f>VLOOKUP($H360,Nutrition_tables!$A:$N,11,FALSE)*$Q360/100</f>
        <v>0.12002801120448177</v>
      </c>
      <c r="Y360" s="583">
        <f>VLOOKUP($H360,Nutrition_tables!$A:$N,12,FALSE)*$Q360/100</f>
        <v>1.8900560224089633</v>
      </c>
      <c r="Z360" s="583">
        <f>VLOOKUP($H360,Nutrition_tables!$A:$N,14,FALSE)*$Q360/100</f>
        <v>1.4850140056022405</v>
      </c>
      <c r="AA360" s="583">
        <f>VLOOKUP($H360,Nutrition_tables!$A:$AF,13,FALSE)*$Q360/100</f>
        <v>0</v>
      </c>
      <c r="AB360" s="549">
        <f>VLOOKUP($H360,Nutrition_tables!$A:$AF,15,FALSE)*$Q360/100</f>
        <v>0.39005602240896359</v>
      </c>
      <c r="AC360" s="583">
        <f>VLOOKUP($H360,Nutrition_tables!$A:$AF,16,FALSE)*$Q360/100</f>
        <v>21</v>
      </c>
      <c r="AD360" s="583">
        <f>VLOOKUP($H360,Nutrition_tables!$A:$AF,17,FALSE)*$Q360/100</f>
        <v>19.499999999999996</v>
      </c>
      <c r="AE360" s="583">
        <f>VLOOKUP($H360,Nutrition_tables!$A:$AF,18,FALSE)*$Q360/100</f>
        <v>5.9999999999999991</v>
      </c>
      <c r="AF360" s="583">
        <f>VLOOKUP($H360,Nutrition_tables!$A:$AF,19,FALSE)*$Q360/100</f>
        <v>1.95</v>
      </c>
      <c r="AG360" s="583">
        <f>VLOOKUP($H360,Nutrition_tables!$A:$AF,20,FALSE)*$Q360/100</f>
        <v>31.499999999999996</v>
      </c>
      <c r="AH360" s="583">
        <f>VLOOKUP($H360,Nutrition_tables!$A:$AF,21,FALSE)*$Q360/100</f>
        <v>0.3</v>
      </c>
      <c r="AI360" s="583">
        <f>VLOOKUP($H360,Nutrition_tables!$A:$AF,22,FALSE)*$Q360/100</f>
        <v>0.20994397759103642</v>
      </c>
      <c r="AJ360" s="549">
        <f>VLOOKUP($H360,Nutrition_tables!$A:$AF,23,FALSE)*$Q360/100</f>
        <v>1.050420168067227E-2</v>
      </c>
      <c r="AK360" s="583">
        <f>VLOOKUP($H360,Nutrition_tables!$A:$AF,24,FALSE)*$Q360/100</f>
        <v>29.099999999999994</v>
      </c>
      <c r="AL360" s="583">
        <f>VLOOKUP($H360,Nutrition_tables!$A:$AF,25,FALSE)*$Q360/100</f>
        <v>1.050420168067227E-2</v>
      </c>
      <c r="AM360" s="583">
        <f>VLOOKUP($H360,Nutrition_tables!$A:$AF,26,FALSE)*$Q360/100</f>
        <v>6.7507002801120444E-2</v>
      </c>
      <c r="AN360" s="583">
        <f>VLOOKUP($H360,Nutrition_tables!$A:$AF,27,FALSE)*$Q360/100</f>
        <v>7.5630252100840336E-3</v>
      </c>
      <c r="AO360" s="583">
        <f>VLOOKUP($H360,Nutrition_tables!$A:$AF,28,FALSE)*$Q360/100</f>
        <v>1.8067226890756301E-2</v>
      </c>
      <c r="AP360" s="583">
        <f>VLOOKUP($H360,Nutrition_tables!$A:$AF,29,FALSE)*$Q360/100</f>
        <v>3.1499999999999995</v>
      </c>
      <c r="AQ360" s="583">
        <f>VLOOKUP($H360,Nutrition_tables!$A:$AF,30,FALSE)*$Q360/100</f>
        <v>0.3</v>
      </c>
      <c r="AR360" s="583">
        <f>VLOOKUP($H360,Nutrition_tables!$A:$AF,31,FALSE)*$Q360/100</f>
        <v>0</v>
      </c>
      <c r="AS360" s="549">
        <f>VLOOKUP($H360,Nutrition_tables!$A:$AF,32,FALSE)*$Q360/100</f>
        <v>0.26246498599439777</v>
      </c>
      <c r="AT360" s="583">
        <f>IF(H360="Select ingredient:","",IF(G360="Select food category:","",IFERROR(VLOOKUP($H360,Ingredient_prices!$E:$W,17,FALSE)*$Q360/1000,"not bought")))</f>
        <v>2.75</v>
      </c>
      <c r="AU360" s="583">
        <f>IF(H360="Select ingredient:","",IF(G360="Select food category:","",IFERROR(VLOOKUP($H360,Ingredient_prices!$E:$W,18,FALSE)*$Q360/1000,"not bought")))</f>
        <v>2.75</v>
      </c>
      <c r="AV360" s="583">
        <f t="shared" si="818"/>
        <v>19.042187305208461</v>
      </c>
      <c r="AW360" s="583">
        <f t="shared" si="819"/>
        <v>0.10730497048015972</v>
      </c>
      <c r="AX360" s="583">
        <f t="shared" si="820"/>
        <v>1.6897089575609749</v>
      </c>
      <c r="AY360" s="583">
        <f t="shared" si="821"/>
        <v>1.327601635940646</v>
      </c>
      <c r="AZ360" s="583">
        <f t="shared" si="822"/>
        <v>0</v>
      </c>
      <c r="BA360" s="583">
        <f t="shared" si="823"/>
        <v>0.34870985156037909</v>
      </c>
      <c r="BB360" s="583">
        <f t="shared" si="824"/>
        <v>18.773987484008344</v>
      </c>
      <c r="BC360" s="583">
        <f t="shared" si="825"/>
        <v>17.432988378007746</v>
      </c>
      <c r="BD360" s="583">
        <f t="shared" si="826"/>
        <v>5.3639964240023836</v>
      </c>
      <c r="BE360" s="583">
        <f t="shared" si="827"/>
        <v>1.7432988378007748</v>
      </c>
      <c r="BF360" s="583">
        <f t="shared" si="828"/>
        <v>28.160981226012513</v>
      </c>
      <c r="BG360" s="583">
        <f t="shared" si="829"/>
        <v>0.2681998212001192</v>
      </c>
      <c r="BH360" s="583">
        <f t="shared" si="830"/>
        <v>0.18768979083985934</v>
      </c>
      <c r="BI360" s="583">
        <f t="shared" si="831"/>
        <v>9.3907500420209802E-3</v>
      </c>
      <c r="BJ360" s="583">
        <f t="shared" si="832"/>
        <v>26.01538265641156</v>
      </c>
      <c r="BK360" s="583">
        <f t="shared" si="833"/>
        <v>9.3907500420209802E-3</v>
      </c>
      <c r="BL360" s="583">
        <f t="shared" si="834"/>
        <v>6.035122027005483E-2</v>
      </c>
      <c r="BM360" s="583">
        <f t="shared" si="835"/>
        <v>6.7613400302551068E-3</v>
      </c>
      <c r="BN360" s="583">
        <f t="shared" si="836"/>
        <v>1.6152090072276085E-2</v>
      </c>
      <c r="BO360" s="583">
        <f t="shared" si="837"/>
        <v>2.8160981226012511</v>
      </c>
      <c r="BP360" s="583">
        <f t="shared" si="838"/>
        <v>0.2681998212001192</v>
      </c>
      <c r="BQ360" s="583">
        <f t="shared" si="839"/>
        <v>0</v>
      </c>
      <c r="BR360" s="583">
        <f t="shared" si="840"/>
        <v>0.23464354104996424</v>
      </c>
    </row>
    <row r="361" spans="1:70" s="229" customFormat="1" ht="15" customHeight="1">
      <c r="A361" s="643"/>
      <c r="D361" s="406"/>
      <c r="E361" s="576">
        <f t="shared" si="841"/>
        <v>100</v>
      </c>
      <c r="F361" s="707"/>
      <c r="G361" s="406" t="s">
        <v>3141</v>
      </c>
      <c r="H361" s="578" t="s">
        <v>3252</v>
      </c>
      <c r="I361" s="85">
        <v>20</v>
      </c>
      <c r="J361" s="682">
        <v>1</v>
      </c>
      <c r="K361" s="579">
        <f t="shared" si="815"/>
        <v>2.2000000000000002</v>
      </c>
      <c r="L361" s="580">
        <f>IF(H361="Select ingredient:","",IF(G361="","",_xlfn.IFNA(VLOOKUP($H361,Ingredient_prices!$E:$U,16,FALSE),0)))</f>
        <v>79.2</v>
      </c>
      <c r="M361" s="848"/>
      <c r="N361" s="848"/>
      <c r="O361" s="648"/>
      <c r="P361" s="653"/>
      <c r="Q361" s="583">
        <f t="shared" si="816"/>
        <v>20</v>
      </c>
      <c r="R361" s="583">
        <f>VLOOKUP($H361,'CO2_emission+%_food_waste'!$A:$K,6,FALSE)*$Q361/100</f>
        <v>4.7</v>
      </c>
      <c r="S361" s="583">
        <f t="shared" si="817"/>
        <v>15.3</v>
      </c>
      <c r="T361" s="583">
        <f>IF(H361="Select ingredient:","",IF(G361="Select food category:","",_xlfn.IFNA(VLOOKUP($H361,Ingredient_prices!$E:$U,16,FALSE)*$Q361/1000,"not bought")))</f>
        <v>1.5840000000000001</v>
      </c>
      <c r="U361" s="583">
        <f>IF(G361="Select food category:","",_xlfn.IFNA(VLOOKUP($H361,Ingredient_prices!$E:$U,16,FALSE)*$R361/1000,"not bought"))</f>
        <v>0.37224000000000002</v>
      </c>
      <c r="V361" s="549">
        <f>VLOOKUP($H361,'CO2_emission+%_food_waste'!$A:$K,4,FALSE)*$Q361</f>
        <v>93.4</v>
      </c>
      <c r="W361" s="583">
        <f>VLOOKUP($H361,Nutrition_tables!$A:$N,10,FALSE)*$Q361/100</f>
        <v>72.8489</v>
      </c>
      <c r="X361" s="583">
        <f>VLOOKUP($H361,Nutrition_tables!$A:$N,11,FALSE)*$Q361/100</f>
        <v>15.8</v>
      </c>
      <c r="Y361" s="583">
        <f>VLOOKUP($H361,Nutrition_tables!$A:$N,12,FALSE)*$Q361/100</f>
        <v>1.68</v>
      </c>
      <c r="Z361" s="583">
        <f>VLOOKUP($H361,Nutrition_tables!$A:$N,14,FALSE)*$Q361/100</f>
        <v>0.24</v>
      </c>
      <c r="AA361" s="583">
        <f>VLOOKUP($H361,Nutrition_tables!$A:$AF,13,FALSE)*$Q361/100</f>
        <v>0.34</v>
      </c>
      <c r="AB361" s="549">
        <f>VLOOKUP($H361,Nutrition_tables!$A:$AF,15,FALSE)*$Q361/100</f>
        <v>0.06</v>
      </c>
      <c r="AC361" s="583">
        <f>VLOOKUP($H361,Nutrition_tables!$A:$AF,16,FALSE)*$Q361/100</f>
        <v>0.36</v>
      </c>
      <c r="AD361" s="583">
        <f>VLOOKUP($H361,Nutrition_tables!$A:$AF,17,FALSE)*$Q361/100</f>
        <v>30</v>
      </c>
      <c r="AE361" s="583">
        <f>VLOOKUP($H361,Nutrition_tables!$A:$AF,18,FALSE)*$Q361/100</f>
        <v>10.6</v>
      </c>
      <c r="AF361" s="583">
        <f>VLOOKUP($H361,Nutrition_tables!$A:$AF,19,FALSE)*$Q361/100</f>
        <v>7</v>
      </c>
      <c r="AG361" s="583">
        <f>VLOOKUP($H361,Nutrition_tables!$A:$AF,20,FALSE)*$Q361/100</f>
        <v>26</v>
      </c>
      <c r="AH361" s="583">
        <f>VLOOKUP($H361,Nutrition_tables!$A:$AF,21,FALSE)*$Q361/100</f>
        <v>0.24</v>
      </c>
      <c r="AI361" s="583">
        <f>VLOOKUP($H361,Nutrition_tables!$A:$AF,22,FALSE)*$Q361/100</f>
        <v>0.34</v>
      </c>
      <c r="AJ361" s="549">
        <f>VLOOKUP($H361,Nutrition_tables!$A:$AF,23,FALSE)*$Q361/100</f>
        <v>3.4200000000000001E-2</v>
      </c>
      <c r="AK361" s="583">
        <f>VLOOKUP($H361,Nutrition_tables!$A:$AF,24,FALSE)*$Q361/100</f>
        <v>0</v>
      </c>
      <c r="AL361" s="583">
        <f>VLOOKUP($H361,Nutrition_tables!$A:$AF,25,FALSE)*$Q361/100</f>
        <v>1.4000000000000002E-2</v>
      </c>
      <c r="AM361" s="583">
        <f>VLOOKUP($H361,Nutrition_tables!$A:$AF,26,FALSE)*$Q361/100</f>
        <v>8.0000000000000002E-3</v>
      </c>
      <c r="AN361" s="583">
        <f>VLOOKUP($H361,Nutrition_tables!$A:$AF,27,FALSE)*$Q361/100</f>
        <v>0.4</v>
      </c>
      <c r="AO361" s="583">
        <f>VLOOKUP($H361,Nutrition_tables!$A:$AF,28,FALSE)*$Q361/100</f>
        <v>2.18E-2</v>
      </c>
      <c r="AP361" s="583">
        <f>VLOOKUP($H361,Nutrition_tables!$A:$AF,29,FALSE)*$Q361/100</f>
        <v>6.2</v>
      </c>
      <c r="AQ361" s="583">
        <f>VLOOKUP($H361,Nutrition_tables!$A:$AF,30,FALSE)*$Q361/100</f>
        <v>0</v>
      </c>
      <c r="AR361" s="583">
        <f>VLOOKUP($H361,Nutrition_tables!$A:$AF,31,FALSE)*$Q361/100</f>
        <v>0</v>
      </c>
      <c r="AS361" s="549">
        <f>VLOOKUP($H361,Nutrition_tables!$A:$AF,32,FALSE)*$Q361/100</f>
        <v>0</v>
      </c>
      <c r="AT361" s="583">
        <f>IF(H361="Select ingredient:","",IF(G361="Select food category:","",IFERROR(VLOOKUP($H361,Ingredient_prices!$E:$W,17,FALSE)*$Q361/1000,"not bought")))</f>
        <v>1.5840000000000001</v>
      </c>
      <c r="AU361" s="583">
        <f>IF(H361="Select ingredient:","",IF(G361="Select food category:","",IFERROR(VLOOKUP($H361,Ingredient_prices!$E:$W,18,FALSE)*$Q361/1000,"not bought")))</f>
        <v>1.5840000000000001</v>
      </c>
      <c r="AV361" s="583">
        <f t="shared" si="818"/>
        <v>55.729380635309681</v>
      </c>
      <c r="AW361" s="583">
        <f t="shared" si="819"/>
        <v>12.086993956503022</v>
      </c>
      <c r="AX361" s="583">
        <f t="shared" si="820"/>
        <v>1.2851993574003213</v>
      </c>
      <c r="AY361" s="583">
        <f t="shared" si="821"/>
        <v>0.1835999082000459</v>
      </c>
      <c r="AZ361" s="583">
        <f t="shared" si="822"/>
        <v>0.26009986995006507</v>
      </c>
      <c r="BA361" s="583">
        <f t="shared" si="823"/>
        <v>4.5899977050011476E-2</v>
      </c>
      <c r="BB361" s="583">
        <f t="shared" si="824"/>
        <v>0.27539986230006885</v>
      </c>
      <c r="BC361" s="583">
        <f t="shared" si="825"/>
        <v>22.94998852500574</v>
      </c>
      <c r="BD361" s="583">
        <f t="shared" si="826"/>
        <v>8.1089959455020271</v>
      </c>
      <c r="BE361" s="583">
        <f t="shared" si="827"/>
        <v>5.3549973225013394</v>
      </c>
      <c r="BF361" s="583">
        <f t="shared" si="828"/>
        <v>19.889990055004972</v>
      </c>
      <c r="BG361" s="583">
        <f t="shared" si="829"/>
        <v>0.1835999082000459</v>
      </c>
      <c r="BH361" s="583">
        <f t="shared" si="830"/>
        <v>0.26009986995006507</v>
      </c>
      <c r="BI361" s="583">
        <f t="shared" si="831"/>
        <v>2.6162986918506544E-2</v>
      </c>
      <c r="BJ361" s="583">
        <f t="shared" si="832"/>
        <v>0</v>
      </c>
      <c r="BK361" s="583">
        <f t="shared" si="833"/>
        <v>1.0709994645002678E-2</v>
      </c>
      <c r="BL361" s="583">
        <f t="shared" si="834"/>
        <v>6.1199969400015305E-3</v>
      </c>
      <c r="BM361" s="583">
        <f t="shared" si="835"/>
        <v>0.30599984700007654</v>
      </c>
      <c r="BN361" s="583">
        <f t="shared" si="836"/>
        <v>1.667699166150417E-2</v>
      </c>
      <c r="BO361" s="583">
        <f t="shared" si="837"/>
        <v>4.7429976285011861</v>
      </c>
      <c r="BP361" s="583">
        <f t="shared" si="838"/>
        <v>0</v>
      </c>
      <c r="BQ361" s="583">
        <f t="shared" si="839"/>
        <v>0</v>
      </c>
      <c r="BR361" s="583">
        <f t="shared" si="840"/>
        <v>0</v>
      </c>
    </row>
    <row r="362" spans="1:70" s="229" customFormat="1" ht="15" customHeight="1">
      <c r="A362" s="643"/>
      <c r="D362" s="85"/>
      <c r="E362" s="576">
        <f t="shared" si="841"/>
        <v>100</v>
      </c>
      <c r="F362" s="707" t="s">
        <v>3908</v>
      </c>
      <c r="G362" s="406" t="s">
        <v>3140</v>
      </c>
      <c r="H362" s="578" t="s">
        <v>3124</v>
      </c>
      <c r="I362" s="85">
        <v>160</v>
      </c>
      <c r="J362" s="682">
        <v>1</v>
      </c>
      <c r="K362" s="579">
        <f t="shared" si="815"/>
        <v>17.600000000000001</v>
      </c>
      <c r="L362" s="580">
        <f>IF(H362="Select ingredient:","",IF(G362="","",_xlfn.IFNA(VLOOKUP($H362,Ingredient_prices!$E:$U,16,FALSE),0)))</f>
        <v>135</v>
      </c>
      <c r="M362" s="848"/>
      <c r="N362" s="848"/>
      <c r="O362" s="648"/>
      <c r="P362" s="653"/>
      <c r="Q362" s="583">
        <f t="shared" si="816"/>
        <v>160</v>
      </c>
      <c r="R362" s="583">
        <f>VLOOKUP($H362,'CO2_emission+%_food_waste'!$A:$K,6,FALSE)*$Q362/100</f>
        <v>46.56</v>
      </c>
      <c r="S362" s="583">
        <f t="shared" si="817"/>
        <v>113.44</v>
      </c>
      <c r="T362" s="583">
        <f>IF(H362="Select ingredient:","",IF(G362="Select food category:","",_xlfn.IFNA(VLOOKUP($H362,Ingredient_prices!$E:$U,16,FALSE)*$Q362/1000,"not bought")))</f>
        <v>21.6</v>
      </c>
      <c r="U362" s="583">
        <f>IF(G362="Select food category:","",_xlfn.IFNA(VLOOKUP($H362,Ingredient_prices!$E:$U,16,FALSE)*$R362/1000,"not bought"))</f>
        <v>6.2856000000000005</v>
      </c>
      <c r="V362" s="549">
        <f>VLOOKUP($H362,'CO2_emission+%_food_waste'!$A:$K,4,FALSE)*$Q362</f>
        <v>81.599999999999994</v>
      </c>
      <c r="W362" s="583">
        <f>VLOOKUP($H362,Nutrition_tables!$A:$N,10,FALSE)*$Q362/100</f>
        <v>139.19999999999999</v>
      </c>
      <c r="X362" s="583">
        <f>VLOOKUP($H362,Nutrition_tables!$A:$N,11,FALSE)*$Q362/100</f>
        <v>32.208017172989869</v>
      </c>
      <c r="Y362" s="583">
        <f>VLOOKUP($H362,Nutrition_tables!$A:$N,12,FALSE)*$Q362/100</f>
        <v>2.9919828270101267</v>
      </c>
      <c r="Z362" s="583">
        <f>VLOOKUP($H362,Nutrition_tables!$A:$N,14,FALSE)*$Q362/100</f>
        <v>0.16000746651733633</v>
      </c>
      <c r="AA362" s="583">
        <f>VLOOKUP($H362,Nutrition_tables!$A:$AF,13,FALSE)*$Q362/100</f>
        <v>2.0800223995520088</v>
      </c>
      <c r="AB362" s="549">
        <f>VLOOKUP($H362,Nutrition_tables!$A:$AF,15,FALSE)*$Q362/100</f>
        <v>4.8009706472537224E-2</v>
      </c>
      <c r="AC362" s="583">
        <f>VLOOKUP($H362,Nutrition_tables!$A:$AF,16,FALSE)*$Q362/100</f>
        <v>6.4</v>
      </c>
      <c r="AD362" s="583">
        <f>VLOOKUP($H362,Nutrition_tables!$A:$AF,17,FALSE)*$Q362/100</f>
        <v>606.40000000000009</v>
      </c>
      <c r="AE362" s="583">
        <f>VLOOKUP($H362,Nutrition_tables!$A:$AF,18,FALSE)*$Q362/100</f>
        <v>7.9999999999999991</v>
      </c>
      <c r="AF362" s="583">
        <f>VLOOKUP($H362,Nutrition_tables!$A:$AF,19,FALSE)*$Q362/100</f>
        <v>35.200000000000003</v>
      </c>
      <c r="AG362" s="583">
        <f>VLOOKUP($H362,Nutrition_tables!$A:$AF,20,FALSE)*$Q362/100</f>
        <v>70.400000000000006</v>
      </c>
      <c r="AH362" s="583">
        <f>VLOOKUP($H362,Nutrition_tables!$A:$AF,21,FALSE)*$Q362/100</f>
        <v>0.49600074665173366</v>
      </c>
      <c r="AI362" s="583">
        <f>VLOOKUP($H362,Nutrition_tables!$A:$AF,22,FALSE)*$Q362/100</f>
        <v>0.48002239955200904</v>
      </c>
      <c r="AJ362" s="549">
        <f>VLOOKUP($H362,Nutrition_tables!$A:$AF,23,FALSE)*$Q362/100</f>
        <v>0.43802096000000007</v>
      </c>
      <c r="AK362" s="583">
        <f>VLOOKUP($H362,Nutrition_tables!$A:$AF,24,FALSE)*$Q362/100</f>
        <v>1.6</v>
      </c>
      <c r="AL362" s="583">
        <f>VLOOKUP($H362,Nutrition_tables!$A:$AF,25,FALSE)*$Q362/100</f>
        <v>0.19196416071678571</v>
      </c>
      <c r="AM362" s="583">
        <f>VLOOKUP($H362,Nutrition_tables!$A:$AF,26,FALSE)*$Q362/100</f>
        <v>3.2031359372812547E-2</v>
      </c>
      <c r="AN362" s="583">
        <f>VLOOKUP($H362,Nutrition_tables!$A:$AF,27,FALSE)*$Q362/100</f>
        <v>2.3040179196416073</v>
      </c>
      <c r="AO362" s="583">
        <f>VLOOKUP($H362,Nutrition_tables!$A:$AF,28,FALSE)*$Q362/100</f>
        <v>0.48002239955200904</v>
      </c>
      <c r="AP362" s="583">
        <f>VLOOKUP($H362,Nutrition_tables!$A:$AF,29,FALSE)*$Q362/100</f>
        <v>15.999999999999998</v>
      </c>
      <c r="AQ362" s="583">
        <f>VLOOKUP($H362,Nutrition_tables!$A:$AF,30,FALSE)*$Q362/100</f>
        <v>0</v>
      </c>
      <c r="AR362" s="583">
        <f>VLOOKUP($H362,Nutrition_tables!$A:$AF,31,FALSE)*$Q362/100</f>
        <v>20.8</v>
      </c>
      <c r="AS362" s="549">
        <f>VLOOKUP($H362,Nutrition_tables!$A:$AF,32,FALSE)*$Q362/100</f>
        <v>0</v>
      </c>
      <c r="AT362" s="583">
        <f>IF(H362="Select ingredient:","",IF(G362="Select food category:","",IFERROR(VLOOKUP($H362,Ingredient_prices!$E:$W,17,FALSE)*$Q362/1000,"not bought")))</f>
        <v>10.56</v>
      </c>
      <c r="AU362" s="583">
        <f>IF(H362="Select ingredient:","",IF(G362="Select food category:","",IFERROR(VLOOKUP($H362,Ingredient_prices!$E:$W,18,FALSE)*$Q362/1000,"not bought")))</f>
        <v>21.6</v>
      </c>
      <c r="AV362" s="583">
        <f t="shared" si="818"/>
        <v>98.692793831700371</v>
      </c>
      <c r="AW362" s="583">
        <f t="shared" si="819"/>
        <v>22.835482748432145</v>
      </c>
      <c r="AX362" s="583">
        <f t="shared" si="820"/>
        <v>2.1213156917679492</v>
      </c>
      <c r="AY362" s="583">
        <f t="shared" si="821"/>
        <v>0.11344528667046103</v>
      </c>
      <c r="AZ362" s="583">
        <f t="shared" si="822"/>
        <v>1.4747357891113875</v>
      </c>
      <c r="BA362" s="583">
        <f t="shared" si="823"/>
        <v>3.403887976159891E-2</v>
      </c>
      <c r="BB362" s="583">
        <f t="shared" si="824"/>
        <v>4.5375997164000177</v>
      </c>
      <c r="BC362" s="583">
        <f t="shared" si="825"/>
        <v>429.9375731289017</v>
      </c>
      <c r="BD362" s="583">
        <f t="shared" si="826"/>
        <v>5.671999645500021</v>
      </c>
      <c r="BE362" s="583">
        <f t="shared" si="827"/>
        <v>24.9567984402001</v>
      </c>
      <c r="BF362" s="583">
        <f t="shared" si="828"/>
        <v>49.913596880400199</v>
      </c>
      <c r="BG362" s="583">
        <f t="shared" si="829"/>
        <v>0.35166450739704747</v>
      </c>
      <c r="BH362" s="583">
        <f t="shared" si="830"/>
        <v>0.34033586001138316</v>
      </c>
      <c r="BI362" s="583">
        <f t="shared" si="831"/>
        <v>0.31055684123019744</v>
      </c>
      <c r="BJ362" s="583">
        <f t="shared" si="832"/>
        <v>1.1343999291000044</v>
      </c>
      <c r="BK362" s="583">
        <f t="shared" si="833"/>
        <v>0.13610258144178972</v>
      </c>
      <c r="BL362" s="583">
        <f t="shared" si="834"/>
        <v>2.2710232375934572E-2</v>
      </c>
      <c r="BM362" s="583">
        <f t="shared" si="835"/>
        <v>1.6335486029291117</v>
      </c>
      <c r="BN362" s="583">
        <f t="shared" si="836"/>
        <v>0.34033586001138316</v>
      </c>
      <c r="BO362" s="583">
        <f t="shared" si="837"/>
        <v>11.343999291000042</v>
      </c>
      <c r="BP362" s="583">
        <f t="shared" si="838"/>
        <v>0</v>
      </c>
      <c r="BQ362" s="583">
        <f t="shared" si="839"/>
        <v>14.747199078300058</v>
      </c>
      <c r="BR362" s="583">
        <f t="shared" si="840"/>
        <v>0</v>
      </c>
    </row>
    <row r="363" spans="1:70" s="229" customFormat="1" ht="15" customHeight="1">
      <c r="A363" s="643"/>
      <c r="D363" s="85"/>
      <c r="E363" s="576">
        <f t="shared" si="841"/>
        <v>100</v>
      </c>
      <c r="F363" s="248"/>
      <c r="G363" s="406" t="s">
        <v>3085</v>
      </c>
      <c r="H363" s="578" t="s">
        <v>3221</v>
      </c>
      <c r="I363" s="85">
        <v>40</v>
      </c>
      <c r="J363" s="682">
        <v>1</v>
      </c>
      <c r="K363" s="579">
        <f t="shared" si="815"/>
        <v>4.4000000000000004</v>
      </c>
      <c r="L363" s="580">
        <f>IF(H363="Select ingredient:","",IF(G363="","",_xlfn.IFNA(VLOOKUP($H363,Ingredient_prices!$E:$U,16,FALSE),0)))</f>
        <v>91.3</v>
      </c>
      <c r="M363" s="848"/>
      <c r="N363" s="848"/>
      <c r="O363" s="648"/>
      <c r="P363" s="653"/>
      <c r="Q363" s="583">
        <f t="shared" si="816"/>
        <v>40</v>
      </c>
      <c r="R363" s="583">
        <f>VLOOKUP($H363,'CO2_emission+%_food_waste'!$A:$K,6,FALSE)*$Q363/100</f>
        <v>6.92</v>
      </c>
      <c r="S363" s="583">
        <f t="shared" si="817"/>
        <v>33.08</v>
      </c>
      <c r="T363" s="583">
        <f>IF(H363="Select ingredient:","",IF(G363="Select food category:","",_xlfn.IFNA(VLOOKUP($H363,Ingredient_prices!$E:$U,16,FALSE)*$Q363/1000,"not bought")))</f>
        <v>3.6520000000000001</v>
      </c>
      <c r="U363" s="583">
        <f>IF(G363="Select food category:","",_xlfn.IFNA(VLOOKUP($H363,Ingredient_prices!$E:$U,16,FALSE)*$R363/1000,"not bought"))</f>
        <v>0.63179599999999991</v>
      </c>
      <c r="V363" s="549">
        <f>VLOOKUP($H363,'CO2_emission+%_food_waste'!$A:$K,4,FALSE)*$Q363</f>
        <v>58.4</v>
      </c>
      <c r="W363" s="583">
        <f>VLOOKUP($H363,Nutrition_tables!$A:$N,10,FALSE)*$Q363/100</f>
        <v>24</v>
      </c>
      <c r="X363" s="583">
        <f>VLOOKUP($H363,Nutrition_tables!$A:$N,11,FALSE)*$Q363/100</f>
        <v>1.9199440167949615</v>
      </c>
      <c r="Y363" s="583">
        <f>VLOOKUP($H363,Nutrition_tables!$A:$N,12,FALSE)*$Q363/100</f>
        <v>1.3601119664100769</v>
      </c>
      <c r="Z363" s="583">
        <f>VLOOKUP($H363,Nutrition_tables!$A:$N,14,FALSE)*$Q363/100</f>
        <v>1.2000000000000002</v>
      </c>
      <c r="AA363" s="583">
        <f>VLOOKUP($H363,Nutrition_tables!$A:$AF,13,FALSE)*$Q363/100</f>
        <v>0</v>
      </c>
      <c r="AB363" s="549">
        <f>VLOOKUP($H363,Nutrition_tables!$A:$AF,15,FALSE)*$Q363/100</f>
        <v>0.8</v>
      </c>
      <c r="AC363" s="583">
        <f>VLOOKUP($H363,Nutrition_tables!$A:$AF,16,FALSE)*$Q363/100</f>
        <v>16.399999999999999</v>
      </c>
      <c r="AD363" s="583">
        <f>VLOOKUP($H363,Nutrition_tables!$A:$AF,17,FALSE)*$Q363/100</f>
        <v>64.8</v>
      </c>
      <c r="AE363" s="583">
        <f>VLOOKUP($H363,Nutrition_tables!$A:$AF,18,FALSE)*$Q363/100</f>
        <v>46.4</v>
      </c>
      <c r="AF363" s="583">
        <f>VLOOKUP($H363,Nutrition_tables!$A:$AF,19,FALSE)*$Q363/100</f>
        <v>4.8000000000000007</v>
      </c>
      <c r="AG363" s="583">
        <f>VLOOKUP($H363,Nutrition_tables!$A:$AF,20,FALSE)*$Q363/100</f>
        <v>36.4</v>
      </c>
      <c r="AH363" s="583">
        <f>VLOOKUP($H363,Nutrition_tables!$A:$AF,21,FALSE)*$Q363/100</f>
        <v>1.5955213435969215E-2</v>
      </c>
      <c r="AI363" s="583">
        <f>VLOOKUP($H363,Nutrition_tables!$A:$AF,22,FALSE)*$Q363/100</f>
        <v>0.17606717984604622</v>
      </c>
      <c r="AJ363" s="549">
        <f>VLOOKUP($H363,Nutrition_tables!$A:$AF,23,FALSE)*$Q363/100</f>
        <v>4.0000000000000001E-3</v>
      </c>
      <c r="AK363" s="583">
        <f>VLOOKUP($H363,Nutrition_tables!$A:$AF,24,FALSE)*$Q363/100</f>
        <v>10.4</v>
      </c>
      <c r="AL363" s="583">
        <f>VLOOKUP($H363,Nutrition_tables!$A:$AF,25,FALSE)*$Q363/100</f>
        <v>1.5955213435969215E-2</v>
      </c>
      <c r="AM363" s="583">
        <f>VLOOKUP($H363,Nutrition_tables!$A:$AF,26,FALSE)*$Q363/100</f>
        <v>5.5983205038488464E-2</v>
      </c>
      <c r="AN363" s="583">
        <f>VLOOKUP($H363,Nutrition_tables!$A:$AF,27,FALSE)*$Q363/100</f>
        <v>0.35997200839748072</v>
      </c>
      <c r="AO363" s="583">
        <f>VLOOKUP($H363,Nutrition_tables!$A:$AF,28,FALSE)*$Q363/100</f>
        <v>1.5955213435969215E-2</v>
      </c>
      <c r="AP363" s="583">
        <f>VLOOKUP($H363,Nutrition_tables!$A:$AF,29,FALSE)*$Q363/100</f>
        <v>2.0000000000000004</v>
      </c>
      <c r="AQ363" s="583">
        <f>VLOOKUP($H363,Nutrition_tables!$A:$AF,30,FALSE)*$Q363/100</f>
        <v>0.16794961511546538</v>
      </c>
      <c r="AR363" s="583">
        <f>VLOOKUP($H363,Nutrition_tables!$A:$AF,31,FALSE)*$Q363/100</f>
        <v>0</v>
      </c>
      <c r="AS363" s="549">
        <f>VLOOKUP($H363,Nutrition_tables!$A:$AF,32,FALSE)*$Q363/100</f>
        <v>8.1175647305808257E-3</v>
      </c>
      <c r="AT363" s="583">
        <f>IF(H363="Select ingredient:","",IF(G363="Select food category:","",IFERROR(VLOOKUP($H363,Ingredient_prices!$E:$W,17,FALSE)*$Q363/1000,"not bought")))</f>
        <v>3.6520000000000001</v>
      </c>
      <c r="AU363" s="583">
        <f>IF(H363="Select ingredient:","",IF(G363="Select food category:","",IFERROR(VLOOKUP($H363,Ingredient_prices!$E:$W,18,FALSE)*$Q363/1000,"not bought")))</f>
        <v>3.6520000000000001</v>
      </c>
      <c r="AV363" s="583">
        <f t="shared" si="818"/>
        <v>19.847995038001237</v>
      </c>
      <c r="AW363" s="583">
        <f t="shared" si="819"/>
        <v>1.5877933049411068</v>
      </c>
      <c r="AX363" s="583">
        <f t="shared" si="820"/>
        <v>1.1248123150180549</v>
      </c>
      <c r="AY363" s="583">
        <f t="shared" si="821"/>
        <v>0.99239975190006202</v>
      </c>
      <c r="AZ363" s="583">
        <f t="shared" si="822"/>
        <v>0</v>
      </c>
      <c r="BA363" s="583">
        <f t="shared" si="823"/>
        <v>0.66159983460004124</v>
      </c>
      <c r="BB363" s="583">
        <f t="shared" si="824"/>
        <v>13.562796609300845</v>
      </c>
      <c r="BC363" s="583">
        <f t="shared" si="825"/>
        <v>53.58958660260334</v>
      </c>
      <c r="BD363" s="583">
        <f t="shared" si="826"/>
        <v>38.372790406802388</v>
      </c>
      <c r="BE363" s="583">
        <f t="shared" si="827"/>
        <v>3.9695990076002481</v>
      </c>
      <c r="BF363" s="583">
        <f t="shared" si="828"/>
        <v>30.102792474301875</v>
      </c>
      <c r="BG363" s="583">
        <f t="shared" si="829"/>
        <v>1.3194958212806987E-2</v>
      </c>
      <c r="BH363" s="583">
        <f t="shared" si="830"/>
        <v>0.14560752133079988</v>
      </c>
      <c r="BI363" s="583">
        <f t="shared" si="831"/>
        <v>3.3079991730002064E-3</v>
      </c>
      <c r="BJ363" s="583">
        <f t="shared" si="832"/>
        <v>8.6007978498005357</v>
      </c>
      <c r="BK363" s="583">
        <f t="shared" si="833"/>
        <v>1.3194958212806987E-2</v>
      </c>
      <c r="BL363" s="583">
        <f t="shared" si="834"/>
        <v>4.6298098992305206E-2</v>
      </c>
      <c r="BM363" s="583">
        <f t="shared" si="835"/>
        <v>0.2976967765205224</v>
      </c>
      <c r="BN363" s="583">
        <f t="shared" si="836"/>
        <v>1.3194958212806987E-2</v>
      </c>
      <c r="BO363" s="583">
        <f t="shared" si="837"/>
        <v>1.6539995865001036</v>
      </c>
      <c r="BP363" s="583">
        <f t="shared" si="838"/>
        <v>0.1388942969769156</v>
      </c>
      <c r="BQ363" s="583">
        <f t="shared" si="839"/>
        <v>0</v>
      </c>
      <c r="BR363" s="583">
        <f t="shared" si="840"/>
        <v>6.7132243538842529E-3</v>
      </c>
    </row>
    <row r="364" spans="1:70" s="229" customFormat="1" ht="15" customHeight="1">
      <c r="A364" s="643"/>
      <c r="D364" s="85"/>
      <c r="E364" s="576">
        <f t="shared" si="841"/>
        <v>100</v>
      </c>
      <c r="F364" s="248"/>
      <c r="G364" s="406" t="s">
        <v>3075</v>
      </c>
      <c r="H364" s="578" t="s">
        <v>3242</v>
      </c>
      <c r="I364" s="85">
        <v>8</v>
      </c>
      <c r="J364" s="682">
        <v>1</v>
      </c>
      <c r="K364" s="579">
        <f t="shared" si="815"/>
        <v>0.88000000000000012</v>
      </c>
      <c r="L364" s="580">
        <f>IF(H364="Select ingredient:","",IF(G364="","",_xlfn.IFNA(VLOOKUP($H364,Ingredient_prices!$E:$U,16,FALSE),0)))</f>
        <v>345.6</v>
      </c>
      <c r="M364" s="848"/>
      <c r="N364" s="848"/>
      <c r="O364" s="648"/>
      <c r="P364" s="653"/>
      <c r="Q364" s="583">
        <f t="shared" si="816"/>
        <v>8</v>
      </c>
      <c r="R364" s="583">
        <f>VLOOKUP($H364,'CO2_emission+%_food_waste'!$A:$K,6,FALSE)*$Q364/100</f>
        <v>1.1840000000000002</v>
      </c>
      <c r="S364" s="583">
        <f t="shared" si="817"/>
        <v>6.8159999999999998</v>
      </c>
      <c r="T364" s="583">
        <f>IF(H364="Select ingredient:","",IF(G364="Select food category:","",_xlfn.IFNA(VLOOKUP($H364,Ingredient_prices!$E:$U,16,FALSE)*$Q364/1000,"not bought")))</f>
        <v>2.7648000000000001</v>
      </c>
      <c r="U364" s="583">
        <f>IF(G364="Select food category:","",_xlfn.IFNA(VLOOKUP($H364,Ingredient_prices!$E:$U,16,FALSE)*$R364/1000,"not bought"))</f>
        <v>0.40919040000000007</v>
      </c>
      <c r="V364" s="549">
        <f>VLOOKUP($H364,'CO2_emission+%_food_waste'!$A:$K,4,FALSE)*$Q364</f>
        <v>37.840000000000003</v>
      </c>
      <c r="W364" s="583">
        <f>VLOOKUP($H364,Nutrition_tables!$A:$N,10,FALSE)*$Q364/100</f>
        <v>43.76</v>
      </c>
      <c r="X364" s="583">
        <f>VLOOKUP($H364,Nutrition_tables!$A:$N,11,FALSE)*$Q364/100</f>
        <v>4.3200000000000002E-2</v>
      </c>
      <c r="Y364" s="583">
        <f>VLOOKUP($H364,Nutrition_tables!$A:$N,12,FALSE)*$Q364/100</f>
        <v>4.0800000000000003E-2</v>
      </c>
      <c r="Z364" s="583">
        <f>VLOOKUP($H364,Nutrition_tables!$A:$N,14,FALSE)*$Q364/100</f>
        <v>4.8</v>
      </c>
      <c r="AA364" s="583">
        <f>VLOOKUP($H364,Nutrition_tables!$A:$AF,13,FALSE)*$Q364/100</f>
        <v>0</v>
      </c>
      <c r="AB364" s="549">
        <f>VLOOKUP($H364,Nutrition_tables!$A:$AF,15,FALSE)*$Q364/100</f>
        <v>1.5919999999999999</v>
      </c>
      <c r="AC364" s="583">
        <f>VLOOKUP($H364,Nutrition_tables!$A:$AF,16,FALSE)*$Q364/100</f>
        <v>53.92</v>
      </c>
      <c r="AD364" s="583">
        <f>VLOOKUP($H364,Nutrition_tables!$A:$AF,17,FALSE)*$Q364/100</f>
        <v>2.4</v>
      </c>
      <c r="AE364" s="583">
        <f>VLOOKUP($H364,Nutrition_tables!$A:$AF,18,FALSE)*$Q364/100</f>
        <v>1.68</v>
      </c>
      <c r="AF364" s="583">
        <f>VLOOKUP($H364,Nutrition_tables!$A:$AF,19,FALSE)*$Q364/100</f>
        <v>0.16</v>
      </c>
      <c r="AG364" s="583">
        <f>VLOOKUP($H364,Nutrition_tables!$A:$AF,20,FALSE)*$Q364/100</f>
        <v>1.28</v>
      </c>
      <c r="AH364" s="583">
        <f>VLOOKUP($H364,Nutrition_tables!$A:$AF,21,FALSE)*$Q364/100</f>
        <v>0</v>
      </c>
      <c r="AI364" s="583">
        <f>VLOOKUP($H364,Nutrition_tables!$A:$AF,22,FALSE)*$Q364/100</f>
        <v>0</v>
      </c>
      <c r="AJ364" s="549">
        <f>VLOOKUP($H364,Nutrition_tables!$A:$AF,23,FALSE)*$Q364/100</f>
        <v>0</v>
      </c>
      <c r="AK364" s="583">
        <f>VLOOKUP($H364,Nutrition_tables!$A:$AF,24,FALSE)*$Q364/100</f>
        <v>132</v>
      </c>
      <c r="AL364" s="583">
        <f>VLOOKUP($H364,Nutrition_tables!$A:$AF,25,FALSE)*$Q364/100</f>
        <v>5.6000000000000006E-4</v>
      </c>
      <c r="AM364" s="583">
        <f>VLOOKUP($H364,Nutrition_tables!$A:$AF,26,FALSE)*$Q364/100</f>
        <v>2.0799999999999998E-3</v>
      </c>
      <c r="AN364" s="583">
        <f>VLOOKUP($H364,Nutrition_tables!$A:$AF,27,FALSE)*$Q364/100</f>
        <v>1.2800000000000001E-3</v>
      </c>
      <c r="AO364" s="583">
        <f>VLOOKUP($H364,Nutrition_tables!$A:$AF,28,FALSE)*$Q364/100</f>
        <v>0.3</v>
      </c>
      <c r="AP364" s="583">
        <f>VLOOKUP($H364,Nutrition_tables!$A:$AF,29,FALSE)*$Q364/100</f>
        <v>0.08</v>
      </c>
      <c r="AQ364" s="583">
        <f>VLOOKUP($H364,Nutrition_tables!$A:$AF,30,FALSE)*$Q364/100</f>
        <v>0</v>
      </c>
      <c r="AR364" s="583">
        <f>VLOOKUP($H364,Nutrition_tables!$A:$AF,31,FALSE)*$Q364/100</f>
        <v>8.0000000000000002E-3</v>
      </c>
      <c r="AS364" s="549">
        <f>VLOOKUP($H364,Nutrition_tables!$A:$AF,32,FALSE)*$Q364/100</f>
        <v>0.6</v>
      </c>
      <c r="AT364" s="583">
        <f>IF(H364="Select ingredient:","",IF(G364="Select food category:","",IFERROR(VLOOKUP($H364,Ingredient_prices!$E:$W,17,FALSE)*$Q364/1000,"not bought")))</f>
        <v>2.7648000000000001</v>
      </c>
      <c r="AU364" s="583">
        <f>IF(H364="Select ingredient:","",IF(G364="Select food category:","",IFERROR(VLOOKUP($H364,Ingredient_prices!$E:$W,18,FALSE)*$Q364/1000,"not bought")))</f>
        <v>2.7648000000000001</v>
      </c>
      <c r="AV364" s="583">
        <f t="shared" si="818"/>
        <v>37.283473395658255</v>
      </c>
      <c r="AW364" s="583">
        <f t="shared" si="819"/>
        <v>3.6806353992057513E-2</v>
      </c>
      <c r="AX364" s="583">
        <f t="shared" si="820"/>
        <v>3.4761556548054323E-2</v>
      </c>
      <c r="AY364" s="583">
        <f t="shared" si="821"/>
        <v>4.0895948880063901</v>
      </c>
      <c r="AZ364" s="583">
        <f t="shared" si="822"/>
        <v>0</v>
      </c>
      <c r="BA364" s="583">
        <f t="shared" si="823"/>
        <v>1.3563823045221193</v>
      </c>
      <c r="BB364" s="583">
        <f t="shared" si="824"/>
        <v>45.939782575271785</v>
      </c>
      <c r="BC364" s="583">
        <f t="shared" si="825"/>
        <v>2.0447974440031951</v>
      </c>
      <c r="BD364" s="583">
        <f t="shared" si="826"/>
        <v>1.4313582108022365</v>
      </c>
      <c r="BE364" s="583">
        <f t="shared" si="827"/>
        <v>0.13631982960021299</v>
      </c>
      <c r="BF364" s="583">
        <f t="shared" si="828"/>
        <v>1.090558636801704</v>
      </c>
      <c r="BG364" s="583">
        <f t="shared" si="829"/>
        <v>0</v>
      </c>
      <c r="BH364" s="583">
        <f t="shared" si="830"/>
        <v>0</v>
      </c>
      <c r="BI364" s="583">
        <f t="shared" si="831"/>
        <v>0</v>
      </c>
      <c r="BJ364" s="583">
        <f t="shared" si="832"/>
        <v>112.46385942017572</v>
      </c>
      <c r="BK364" s="583">
        <f t="shared" si="833"/>
        <v>4.7711940360074557E-4</v>
      </c>
      <c r="BL364" s="583">
        <f t="shared" si="834"/>
        <v>1.7721577848027689E-3</v>
      </c>
      <c r="BM364" s="583">
        <f t="shared" si="835"/>
        <v>1.090558636801704E-3</v>
      </c>
      <c r="BN364" s="583">
        <f t="shared" si="836"/>
        <v>0.25559968050039938</v>
      </c>
      <c r="BO364" s="583">
        <f t="shared" si="837"/>
        <v>6.8159914800106497E-2</v>
      </c>
      <c r="BP364" s="583">
        <f t="shared" si="838"/>
        <v>0</v>
      </c>
      <c r="BQ364" s="583">
        <f t="shared" si="839"/>
        <v>6.8159914800106506E-3</v>
      </c>
      <c r="BR364" s="583">
        <f t="shared" si="840"/>
        <v>0.51119936100079877</v>
      </c>
    </row>
    <row r="365" spans="1:70" s="229" customFormat="1" ht="15" customHeight="1">
      <c r="A365" s="643"/>
      <c r="D365" s="85"/>
      <c r="E365" s="576">
        <f t="shared" si="841"/>
        <v>100</v>
      </c>
      <c r="F365" s="248"/>
      <c r="G365" s="406" t="s">
        <v>3076</v>
      </c>
      <c r="H365" s="578" t="s">
        <v>495</v>
      </c>
      <c r="I365" s="85">
        <v>0.2</v>
      </c>
      <c r="J365" s="682">
        <v>1</v>
      </c>
      <c r="K365" s="579">
        <f t="shared" si="815"/>
        <v>2.2000000000000002E-2</v>
      </c>
      <c r="L365" s="580">
        <f>IF(H365="Select ingredient:","",IF(G365="","",_xlfn.IFNA(VLOOKUP($H365,Ingredient_prices!$E:$U,16,FALSE),0)))</f>
        <v>33.6</v>
      </c>
      <c r="M365" s="848"/>
      <c r="N365" s="848"/>
      <c r="O365" s="648"/>
      <c r="P365" s="653"/>
      <c r="Q365" s="583">
        <f t="shared" si="816"/>
        <v>0.2</v>
      </c>
      <c r="R365" s="583">
        <f>VLOOKUP($H365,'CO2_emission+%_food_waste'!$A:$K,6,FALSE)*$Q365/100</f>
        <v>6.2E-2</v>
      </c>
      <c r="S365" s="583">
        <f t="shared" si="817"/>
        <v>0.13800000000000001</v>
      </c>
      <c r="T365" s="583">
        <f>IF(H365="Select ingredient:","",IF(G365="Select food category:","",_xlfn.IFNA(VLOOKUP($H365,Ingredient_prices!$E:$U,16,FALSE)*$Q365/1000,"not bought")))</f>
        <v>6.7200000000000003E-3</v>
      </c>
      <c r="U365" s="583">
        <f>IF(G365="Select food category:","",_xlfn.IFNA(VLOOKUP($H365,Ingredient_prices!$E:$U,16,FALSE)*$R365/1000,"not bought"))</f>
        <v>2.0832000000000003E-3</v>
      </c>
      <c r="V365" s="549">
        <f>VLOOKUP($H365,'CO2_emission+%_food_waste'!$A:$K,4,FALSE)*$Q365</f>
        <v>3.5999999999999997E-2</v>
      </c>
      <c r="W365" s="583">
        <f>VLOOKUP($H365,Nutrition_tables!$A:$N,10,FALSE)*$Q365/100</f>
        <v>0</v>
      </c>
      <c r="X365" s="583">
        <f>VLOOKUP($H365,Nutrition_tables!$A:$N,11,FALSE)*$Q365/100</f>
        <v>0</v>
      </c>
      <c r="Y365" s="583">
        <f>VLOOKUP($H365,Nutrition_tables!$A:$N,12,FALSE)*$Q365/100</f>
        <v>0</v>
      </c>
      <c r="Z365" s="583">
        <f>VLOOKUP($H365,Nutrition_tables!$A:$N,14,FALSE)*$Q365/100</f>
        <v>0</v>
      </c>
      <c r="AA365" s="583">
        <f>VLOOKUP($H365,Nutrition_tables!$A:$AF,13,FALSE)*$Q365/100</f>
        <v>0</v>
      </c>
      <c r="AB365" s="549">
        <f>VLOOKUP($H365,Nutrition_tables!$A:$AF,15,FALSE)*$Q365/100</f>
        <v>0</v>
      </c>
      <c r="AC365" s="583">
        <f>VLOOKUP($H365,Nutrition_tables!$A:$AF,16,FALSE)*$Q365/100</f>
        <v>77.7</v>
      </c>
      <c r="AD365" s="583">
        <f>VLOOKUP($H365,Nutrition_tables!$A:$AF,17,FALSE)*$Q365/100</f>
        <v>0.23199999999999998</v>
      </c>
      <c r="AE365" s="583">
        <f>VLOOKUP($H365,Nutrition_tables!$A:$AF,18,FALSE)*$Q365/100</f>
        <v>3.8000000000000006E-2</v>
      </c>
      <c r="AF365" s="583">
        <f>VLOOKUP($H365,Nutrition_tables!$A:$AF,19,FALSE)*$Q365/100</f>
        <v>0.53</v>
      </c>
      <c r="AG365" s="583">
        <f>VLOOKUP($H365,Nutrition_tables!$A:$AF,20,FALSE)*$Q365/100</f>
        <v>1.6E-2</v>
      </c>
      <c r="AH365" s="583">
        <f>VLOOKUP($H365,Nutrition_tables!$A:$AF,21,FALSE)*$Q365/100</f>
        <v>4.0000000000000003E-5</v>
      </c>
      <c r="AI365" s="583">
        <f>VLOOKUP($H365,Nutrition_tables!$A:$AF,22,FALSE)*$Q365/100</f>
        <v>2.0000000000000004E-4</v>
      </c>
      <c r="AJ365" s="549">
        <f>VLOOKUP($H365,Nutrition_tables!$A:$AF,23,FALSE)*$Q365/100</f>
        <v>6.0000000000000002E-5</v>
      </c>
      <c r="AK365" s="583">
        <f>VLOOKUP($H365,Nutrition_tables!$A:$AF,24,FALSE)*$Q365/100</f>
        <v>0</v>
      </c>
      <c r="AL365" s="583">
        <f>VLOOKUP($H365,Nutrition_tables!$A:$AF,25,FALSE)*$Q365/100</f>
        <v>0</v>
      </c>
      <c r="AM365" s="583">
        <f>VLOOKUP($H365,Nutrition_tables!$A:$AF,26,FALSE)*$Q365/100</f>
        <v>0</v>
      </c>
      <c r="AN365" s="583">
        <f>VLOOKUP($H365,Nutrition_tables!$A:$AF,27,FALSE)*$Q365/100</f>
        <v>0</v>
      </c>
      <c r="AO365" s="583">
        <f>VLOOKUP($H365,Nutrition_tables!$A:$AF,28,FALSE)*$Q365/100</f>
        <v>0</v>
      </c>
      <c r="AP365" s="583">
        <f>VLOOKUP($H365,Nutrition_tables!$A:$AF,29,FALSE)*$Q365/100</f>
        <v>0</v>
      </c>
      <c r="AQ365" s="583">
        <f>VLOOKUP($H365,Nutrition_tables!$A:$AF,30,FALSE)*$Q365/100</f>
        <v>0</v>
      </c>
      <c r="AR365" s="583">
        <f>VLOOKUP($H365,Nutrition_tables!$A:$AF,31,FALSE)*$Q365/100</f>
        <v>0</v>
      </c>
      <c r="AS365" s="549">
        <f>VLOOKUP($H365,Nutrition_tables!$A:$AF,32,FALSE)*$Q365/100</f>
        <v>0</v>
      </c>
      <c r="AT365" s="583">
        <f>IF(H365="Select ingredient:","",IF(G365="Select food category:","",IFERROR(VLOOKUP($H365,Ingredient_prices!$E:$W,17,FALSE)*$Q365/1000,"not bought")))</f>
        <v>6.7200000000000003E-3</v>
      </c>
      <c r="AU365" s="583">
        <f>IF(H365="Select ingredient:","",IF(G365="Select food category:","",IFERROR(VLOOKUP($H365,Ingredient_prices!$E:$W,18,FALSE)*$Q365/1000,"not bought")))</f>
        <v>6.7200000000000003E-3</v>
      </c>
      <c r="AV365" s="583">
        <f t="shared" si="818"/>
        <v>0</v>
      </c>
      <c r="AW365" s="583">
        <f t="shared" si="819"/>
        <v>0</v>
      </c>
      <c r="AX365" s="583">
        <f t="shared" si="820"/>
        <v>0</v>
      </c>
      <c r="AY365" s="583">
        <f t="shared" si="821"/>
        <v>0</v>
      </c>
      <c r="AZ365" s="583">
        <f t="shared" si="822"/>
        <v>0</v>
      </c>
      <c r="BA365" s="583">
        <f t="shared" si="823"/>
        <v>0</v>
      </c>
      <c r="BB365" s="583">
        <f t="shared" si="824"/>
        <v>53.610319484025801</v>
      </c>
      <c r="BC365" s="583">
        <f t="shared" si="825"/>
        <v>0.16007199640017999</v>
      </c>
      <c r="BD365" s="583">
        <f t="shared" si="826"/>
        <v>2.6218689065546728E-2</v>
      </c>
      <c r="BE365" s="583">
        <f t="shared" si="827"/>
        <v>0.36568171591420429</v>
      </c>
      <c r="BF365" s="583">
        <f t="shared" si="828"/>
        <v>1.103944802759862E-2</v>
      </c>
      <c r="BG365" s="583">
        <f t="shared" si="829"/>
        <v>2.7598620068996551E-5</v>
      </c>
      <c r="BH365" s="583">
        <f t="shared" si="830"/>
        <v>1.3799310034498278E-4</v>
      </c>
      <c r="BI365" s="583">
        <f t="shared" si="831"/>
        <v>4.1397930103494823E-5</v>
      </c>
      <c r="BJ365" s="583">
        <f t="shared" si="832"/>
        <v>0</v>
      </c>
      <c r="BK365" s="583">
        <f t="shared" si="833"/>
        <v>0</v>
      </c>
      <c r="BL365" s="583">
        <f t="shared" si="834"/>
        <v>0</v>
      </c>
      <c r="BM365" s="583">
        <f t="shared" si="835"/>
        <v>0</v>
      </c>
      <c r="BN365" s="583">
        <f t="shared" si="836"/>
        <v>0</v>
      </c>
      <c r="BO365" s="583">
        <f t="shared" si="837"/>
        <v>0</v>
      </c>
      <c r="BP365" s="583">
        <f t="shared" si="838"/>
        <v>0</v>
      </c>
      <c r="BQ365" s="583">
        <f t="shared" si="839"/>
        <v>0</v>
      </c>
      <c r="BR365" s="583">
        <f t="shared" si="840"/>
        <v>0</v>
      </c>
    </row>
    <row r="366" spans="1:70" s="229" customFormat="1" ht="15" customHeight="1">
      <c r="A366" s="643"/>
      <c r="D366" s="85"/>
      <c r="E366" s="576">
        <f t="shared" si="841"/>
        <v>100</v>
      </c>
      <c r="F366" s="248"/>
      <c r="G366" s="406" t="s">
        <v>3140</v>
      </c>
      <c r="H366" s="578" t="s">
        <v>3126</v>
      </c>
      <c r="I366" s="85">
        <v>30</v>
      </c>
      <c r="J366" s="682">
        <v>1</v>
      </c>
      <c r="K366" s="579">
        <f t="shared" si="815"/>
        <v>3.3</v>
      </c>
      <c r="L366" s="580">
        <f>IF(H366="Select ingredient:","",IF(G366="","",_xlfn.IFNA(VLOOKUP($H366,Ingredient_prices!$E:$U,16,FALSE),0)))</f>
        <v>99</v>
      </c>
      <c r="M366" s="848"/>
      <c r="N366" s="848"/>
      <c r="O366" s="648"/>
      <c r="P366" s="653"/>
      <c r="Q366" s="583">
        <f t="shared" si="816"/>
        <v>30</v>
      </c>
      <c r="R366" s="583">
        <f>VLOOKUP($H366,'CO2_emission+%_food_waste'!$A:$K,6,FALSE)*$Q366/100</f>
        <v>8.2799999999999994</v>
      </c>
      <c r="S366" s="583">
        <f t="shared" si="817"/>
        <v>21.72</v>
      </c>
      <c r="T366" s="583">
        <f>IF(H366="Select ingredient:","",IF(G366="Select food category:","",_xlfn.IFNA(VLOOKUP($H366,Ingredient_prices!$E:$U,16,FALSE)*$Q366/1000,"not bought")))</f>
        <v>2.97</v>
      </c>
      <c r="U366" s="583">
        <f>IF(G366="Select food category:","",_xlfn.IFNA(VLOOKUP($H366,Ingredient_prices!$E:$U,16,FALSE)*$R366/1000,"not bought"))</f>
        <v>0.81971999999999989</v>
      </c>
      <c r="V366" s="549">
        <f>VLOOKUP($H366,'CO2_emission+%_food_waste'!$A:$K,4,FALSE)*$Q366</f>
        <v>75</v>
      </c>
      <c r="W366" s="583">
        <f>VLOOKUP($H366,Nutrition_tables!$A:$N,10,FALSE)*$Q366/100</f>
        <v>25.8</v>
      </c>
      <c r="X366" s="583">
        <f>VLOOKUP($H366,Nutrition_tables!$A:$N,11,FALSE)*$Q366/100</f>
        <v>5.01</v>
      </c>
      <c r="Y366" s="583">
        <f>VLOOKUP($H366,Nutrition_tables!$A:$N,12,FALSE)*$Q366/100</f>
        <v>0.98099999999999998</v>
      </c>
      <c r="Z366" s="583">
        <f>VLOOKUP($H366,Nutrition_tables!$A:$N,14,FALSE)*$Q366/100</f>
        <v>0.40500000000000003</v>
      </c>
      <c r="AA366" s="583">
        <f>VLOOKUP($H366,Nutrition_tables!$A:$AF,13,FALSE)*$Q366/100</f>
        <v>0.6</v>
      </c>
      <c r="AB366" s="549">
        <f>VLOOKUP($H366,Nutrition_tables!$A:$AF,15,FALSE)*$Q366/100</f>
        <v>0.20016</v>
      </c>
      <c r="AC366" s="583">
        <f>VLOOKUP($H366,Nutrition_tables!$A:$AF,16,FALSE)*$Q366/100</f>
        <v>10.5</v>
      </c>
      <c r="AD366" s="583">
        <f>VLOOKUP($H366,Nutrition_tables!$A:$AF,17,FALSE)*$Q366/100</f>
        <v>86.1</v>
      </c>
      <c r="AE366" s="583">
        <f>VLOOKUP($H366,Nutrition_tables!$A:$AF,18,FALSE)*$Q366/100</f>
        <v>2.1</v>
      </c>
      <c r="AF366" s="583">
        <f>VLOOKUP($H366,Nutrition_tables!$A:$AF,19,FALSE)*$Q366/100</f>
        <v>38.1</v>
      </c>
      <c r="AG366" s="583">
        <f>VLOOKUP($H366,Nutrition_tables!$A:$AF,20,FALSE)*$Q366/100</f>
        <v>63</v>
      </c>
      <c r="AH366" s="583">
        <f>VLOOKUP($H366,Nutrition_tables!$A:$AF,21,FALSE)*$Q366/100</f>
        <v>0.81299999999999994</v>
      </c>
      <c r="AI366" s="583">
        <f>VLOOKUP($H366,Nutrition_tables!$A:$AF,22,FALSE)*$Q366/100</f>
        <v>0.66299999999999992</v>
      </c>
      <c r="AJ366" s="549">
        <f>VLOOKUP($H366,Nutrition_tables!$A:$AF,23,FALSE)*$Q366/100</f>
        <v>9.4200000000000006E-2</v>
      </c>
      <c r="AK366" s="583">
        <f>VLOOKUP($H366,Nutrition_tables!$A:$AF,24,FALSE)*$Q366/100</f>
        <v>3.3</v>
      </c>
      <c r="AL366" s="583">
        <f>VLOOKUP($H366,Nutrition_tables!$A:$AF,25,FALSE)*$Q366/100</f>
        <v>0.11556</v>
      </c>
      <c r="AM366" s="583">
        <f>VLOOKUP($H366,Nutrition_tables!$A:$AF,26,FALSE)*$Q366/100</f>
        <v>6.035999999999999E-2</v>
      </c>
      <c r="AN366" s="583">
        <f>VLOOKUP($H366,Nutrition_tables!$A:$AF,27,FALSE)*$Q366/100</f>
        <v>1.08816</v>
      </c>
      <c r="AO366" s="583">
        <f>VLOOKUP($H366,Nutrition_tables!$A:$AF,28,FALSE)*$Q366/100</f>
        <v>4.8000000000000001E-2</v>
      </c>
      <c r="AP366" s="583">
        <f>VLOOKUP($H366,Nutrition_tables!$A:$AF,29,FALSE)*$Q366/100</f>
        <v>5.7</v>
      </c>
      <c r="AQ366" s="583">
        <f>VLOOKUP($H366,Nutrition_tables!$A:$AF,30,FALSE)*$Q366/100</f>
        <v>-1.2E-4</v>
      </c>
      <c r="AR366" s="583">
        <f>VLOOKUP($H366,Nutrition_tables!$A:$AF,31,FALSE)*$Q366/100</f>
        <v>0.93</v>
      </c>
      <c r="AS366" s="549">
        <f>VLOOKUP($H366,Nutrition_tables!$A:$AF,32,FALSE)*$Q366/100</f>
        <v>-1.2E-4</v>
      </c>
      <c r="AT366" s="583">
        <f>IF(H366="Select ingredient:","",IF(G366="Select food category:","",IFERROR(VLOOKUP($H366,Ingredient_prices!$E:$W,17,FALSE)*$Q366/1000,"not bought")))</f>
        <v>2.97</v>
      </c>
      <c r="AU366" s="583">
        <f>IF(H366="Select ingredient:","",IF(G366="Select food category:","",IFERROR(VLOOKUP($H366,Ingredient_prices!$E:$W,18,FALSE)*$Q366/1000,"not bought")))</f>
        <v>2.97</v>
      </c>
      <c r="AV366" s="583">
        <f t="shared" si="818"/>
        <v>18.679193773602076</v>
      </c>
      <c r="AW366" s="583">
        <f t="shared" si="819"/>
        <v>3.6272387909204027</v>
      </c>
      <c r="AX366" s="583">
        <f t="shared" si="820"/>
        <v>0.71024376325207883</v>
      </c>
      <c r="AY366" s="583">
        <f t="shared" si="821"/>
        <v>0.29321990226003258</v>
      </c>
      <c r="AZ366" s="583">
        <f t="shared" si="822"/>
        <v>0.4343998552000482</v>
      </c>
      <c r="BA366" s="583">
        <f t="shared" si="823"/>
        <v>0.14491579169473609</v>
      </c>
      <c r="BB366" s="583">
        <f t="shared" si="824"/>
        <v>7.6019974660008449</v>
      </c>
      <c r="BC366" s="583">
        <f t="shared" si="825"/>
        <v>62.336379221206926</v>
      </c>
      <c r="BD366" s="583">
        <f t="shared" si="826"/>
        <v>1.520399493200169</v>
      </c>
      <c r="BE366" s="583">
        <f t="shared" si="827"/>
        <v>27.584390805203068</v>
      </c>
      <c r="BF366" s="583">
        <f t="shared" si="828"/>
        <v>45.611984796005068</v>
      </c>
      <c r="BG366" s="583">
        <f t="shared" si="829"/>
        <v>0.58861180379606537</v>
      </c>
      <c r="BH366" s="583">
        <f t="shared" si="830"/>
        <v>0.48001183999605324</v>
      </c>
      <c r="BI366" s="583">
        <f t="shared" si="831"/>
        <v>6.8200777266407581E-2</v>
      </c>
      <c r="BJ366" s="583">
        <f t="shared" si="832"/>
        <v>2.3891992036002652</v>
      </c>
      <c r="BK366" s="583">
        <f t="shared" si="833"/>
        <v>8.366541211152928E-2</v>
      </c>
      <c r="BL366" s="583">
        <f t="shared" si="834"/>
        <v>4.3700625433124841E-2</v>
      </c>
      <c r="BM366" s="583">
        <f t="shared" si="835"/>
        <v>0.78782757739080744</v>
      </c>
      <c r="BN366" s="583">
        <f t="shared" si="836"/>
        <v>3.4751988416003861E-2</v>
      </c>
      <c r="BO366" s="583">
        <f t="shared" si="837"/>
        <v>4.1267986244004584</v>
      </c>
      <c r="BP366" s="583">
        <f t="shared" si="838"/>
        <v>-8.6879971040009651E-5</v>
      </c>
      <c r="BQ366" s="583">
        <f t="shared" si="839"/>
        <v>0.67331977556007483</v>
      </c>
      <c r="BR366" s="583">
        <f t="shared" si="840"/>
        <v>-8.6879971040009651E-5</v>
      </c>
    </row>
    <row r="367" spans="1:70" s="229" customFormat="1" ht="15" customHeight="1">
      <c r="A367" s="643"/>
      <c r="D367" s="85"/>
      <c r="E367" s="576">
        <f t="shared" si="841"/>
        <v>100</v>
      </c>
      <c r="F367" s="85"/>
      <c r="G367" s="406" t="s">
        <v>3054</v>
      </c>
      <c r="H367" s="1262" t="s">
        <v>3055</v>
      </c>
      <c r="I367" s="85">
        <v>0</v>
      </c>
      <c r="J367" s="682">
        <v>1</v>
      </c>
      <c r="K367" s="579" t="str">
        <f t="shared" si="815"/>
        <v/>
      </c>
      <c r="L367" s="580" t="str">
        <f>IF(H367="Select ingredient:","",IF(G367="","",_xlfn.IFNA(VLOOKUP($H367,Ingredient_prices!$E:$U,16,FALSE),0)))</f>
        <v/>
      </c>
      <c r="M367" s="848"/>
      <c r="N367" s="848"/>
      <c r="O367" s="648"/>
      <c r="P367" s="653"/>
      <c r="Q367" s="583">
        <f t="shared" si="816"/>
        <v>0</v>
      </c>
      <c r="R367" s="583">
        <f>VLOOKUP($H367,'CO2_emission+%_food_waste'!$A:$K,6,FALSE)*$Q367/100</f>
        <v>0</v>
      </c>
      <c r="S367" s="583">
        <f t="shared" si="817"/>
        <v>0</v>
      </c>
      <c r="T367" s="583" t="str">
        <f>IF(H367="Select ingredient:","",IF(G367="Select food category:","",_xlfn.IFNA(VLOOKUP($H367,Ingredient_prices!$E:$U,16,FALSE)*$Q367/1000,"not bought")))</f>
        <v/>
      </c>
      <c r="U367" s="583" t="str">
        <f>IF(G367="Select food category:","",_xlfn.IFNA(VLOOKUP($H367,Ingredient_prices!$E:$U,16,FALSE)*$R367/1000,"not bought"))</f>
        <v/>
      </c>
      <c r="V367" s="549">
        <f>VLOOKUP($H367,'CO2_emission+%_food_waste'!$A:$K,4,FALSE)*$Q367</f>
        <v>0</v>
      </c>
      <c r="W367" s="583">
        <f>VLOOKUP($H367,Nutrition_tables!$A:$N,10,FALSE)*$Q367/100</f>
        <v>0</v>
      </c>
      <c r="X367" s="583">
        <f>VLOOKUP($H367,Nutrition_tables!$A:$N,11,FALSE)*$Q367/100</f>
        <v>0</v>
      </c>
      <c r="Y367" s="583">
        <f>VLOOKUP($H367,Nutrition_tables!$A:$N,12,FALSE)*$Q367/100</f>
        <v>0</v>
      </c>
      <c r="Z367" s="583">
        <f>VLOOKUP($H367,Nutrition_tables!$A:$N,14,FALSE)*$Q367/100</f>
        <v>0</v>
      </c>
      <c r="AA367" s="583">
        <f>VLOOKUP($H367,Nutrition_tables!$A:$AF,13,FALSE)*$Q367/100</f>
        <v>0</v>
      </c>
      <c r="AB367" s="549">
        <f>VLOOKUP($H367,Nutrition_tables!$A:$AF,15,FALSE)*$Q367/100</f>
        <v>0</v>
      </c>
      <c r="AC367" s="583">
        <f>VLOOKUP($H367,Nutrition_tables!$A:$AF,16,FALSE)*$Q367/100</f>
        <v>0</v>
      </c>
      <c r="AD367" s="583">
        <f>VLOOKUP($H367,Nutrition_tables!$A:$AF,17,FALSE)*$Q367/100</f>
        <v>0</v>
      </c>
      <c r="AE367" s="583">
        <f>VLOOKUP($H367,Nutrition_tables!$A:$AF,18,FALSE)*$Q367/100</f>
        <v>0</v>
      </c>
      <c r="AF367" s="583">
        <f>VLOOKUP($H367,Nutrition_tables!$A:$AF,19,FALSE)*$Q367/100</f>
        <v>0</v>
      </c>
      <c r="AG367" s="583">
        <f>VLOOKUP($H367,Nutrition_tables!$A:$AF,20,FALSE)*$Q367/100</f>
        <v>0</v>
      </c>
      <c r="AH367" s="583">
        <f>VLOOKUP($H367,Nutrition_tables!$A:$AF,21,FALSE)*$Q367/100</f>
        <v>0</v>
      </c>
      <c r="AI367" s="583">
        <f>VLOOKUP($H367,Nutrition_tables!$A:$AF,22,FALSE)*$Q367/100</f>
        <v>0</v>
      </c>
      <c r="AJ367" s="549">
        <f>VLOOKUP($H367,Nutrition_tables!$A:$AF,23,FALSE)*$Q367/100</f>
        <v>0</v>
      </c>
      <c r="AK367" s="583">
        <f>VLOOKUP($H367,Nutrition_tables!$A:$AF,24,FALSE)*$Q367/100</f>
        <v>0</v>
      </c>
      <c r="AL367" s="583">
        <f>VLOOKUP($H367,Nutrition_tables!$A:$AF,25,FALSE)*$Q367/100</f>
        <v>0</v>
      </c>
      <c r="AM367" s="583">
        <f>VLOOKUP($H367,Nutrition_tables!$A:$AF,26,FALSE)*$Q367/100</f>
        <v>0</v>
      </c>
      <c r="AN367" s="583">
        <f>VLOOKUP($H367,Nutrition_tables!$A:$AF,27,FALSE)*$Q367/100</f>
        <v>0</v>
      </c>
      <c r="AO367" s="583">
        <f>VLOOKUP($H367,Nutrition_tables!$A:$AF,28,FALSE)*$Q367/100</f>
        <v>0</v>
      </c>
      <c r="AP367" s="583">
        <f>VLOOKUP($H367,Nutrition_tables!$A:$AF,29,FALSE)*$Q367/100</f>
        <v>0</v>
      </c>
      <c r="AQ367" s="583">
        <f>VLOOKUP($H367,Nutrition_tables!$A:$AF,30,FALSE)*$Q367/100</f>
        <v>0</v>
      </c>
      <c r="AR367" s="583">
        <f>VLOOKUP($H367,Nutrition_tables!$A:$AF,31,FALSE)*$Q367/100</f>
        <v>0</v>
      </c>
      <c r="AS367" s="549">
        <f>VLOOKUP($H367,Nutrition_tables!$A:$AF,32,FALSE)*$Q367/100</f>
        <v>0</v>
      </c>
      <c r="AT367" s="583" t="str">
        <f>IF(H367="Select ingredient:","",IF(G367="Select food category:","",IFERROR(VLOOKUP($H367,Ingredient_prices!$E:$W,17,FALSE)*$Q367/1000,"not bought")))</f>
        <v/>
      </c>
      <c r="AU367" s="583" t="str">
        <f>IF(H367="Select ingredient:","",IF(G367="Select food category:","",IFERROR(VLOOKUP($H367,Ingredient_prices!$E:$W,18,FALSE)*$Q367/1000,"not bought")))</f>
        <v/>
      </c>
      <c r="AV367" s="583">
        <f t="shared" si="818"/>
        <v>0</v>
      </c>
      <c r="AW367" s="583">
        <f t="shared" si="819"/>
        <v>0</v>
      </c>
      <c r="AX367" s="583">
        <f t="shared" si="820"/>
        <v>0</v>
      </c>
      <c r="AY367" s="583">
        <f t="shared" si="821"/>
        <v>0</v>
      </c>
      <c r="AZ367" s="583">
        <f t="shared" si="822"/>
        <v>0</v>
      </c>
      <c r="BA367" s="583">
        <f t="shared" si="823"/>
        <v>0</v>
      </c>
      <c r="BB367" s="583">
        <f t="shared" si="824"/>
        <v>0</v>
      </c>
      <c r="BC367" s="583">
        <f t="shared" si="825"/>
        <v>0</v>
      </c>
      <c r="BD367" s="583">
        <f t="shared" si="826"/>
        <v>0</v>
      </c>
      <c r="BE367" s="583">
        <f t="shared" si="827"/>
        <v>0</v>
      </c>
      <c r="BF367" s="583">
        <f t="shared" si="828"/>
        <v>0</v>
      </c>
      <c r="BG367" s="583">
        <f t="shared" si="829"/>
        <v>0</v>
      </c>
      <c r="BH367" s="583">
        <f t="shared" si="830"/>
        <v>0</v>
      </c>
      <c r="BI367" s="583">
        <f t="shared" si="831"/>
        <v>0</v>
      </c>
      <c r="BJ367" s="583">
        <f t="shared" si="832"/>
        <v>0</v>
      </c>
      <c r="BK367" s="583">
        <f t="shared" si="833"/>
        <v>0</v>
      </c>
      <c r="BL367" s="583">
        <f t="shared" si="834"/>
        <v>0</v>
      </c>
      <c r="BM367" s="583">
        <f t="shared" si="835"/>
        <v>0</v>
      </c>
      <c r="BN367" s="583">
        <f t="shared" si="836"/>
        <v>0</v>
      </c>
      <c r="BO367" s="583">
        <f t="shared" si="837"/>
        <v>0</v>
      </c>
      <c r="BP367" s="583">
        <f t="shared" si="838"/>
        <v>0</v>
      </c>
      <c r="BQ367" s="583">
        <f t="shared" si="839"/>
        <v>0</v>
      </c>
      <c r="BR367" s="583">
        <f t="shared" si="840"/>
        <v>0</v>
      </c>
    </row>
    <row r="368" spans="1:70" s="229" customFormat="1" ht="15" customHeight="1">
      <c r="A368" s="643"/>
      <c r="D368" s="85"/>
      <c r="E368" s="576">
        <f t="shared" si="841"/>
        <v>100</v>
      </c>
      <c r="F368" s="707" t="s">
        <v>3909</v>
      </c>
      <c r="G368" s="406" t="s">
        <v>3069</v>
      </c>
      <c r="H368" s="578" t="s">
        <v>3145</v>
      </c>
      <c r="I368" s="85">
        <v>70</v>
      </c>
      <c r="J368" s="682">
        <v>1</v>
      </c>
      <c r="K368" s="579">
        <f t="shared" si="815"/>
        <v>7.7</v>
      </c>
      <c r="L368" s="580">
        <f>IF(H368="Select ingredient:","",IF(G368="","",_xlfn.IFNA(VLOOKUP($H368,Ingredient_prices!$E:$U,16,FALSE),0)))</f>
        <v>72.3</v>
      </c>
      <c r="M368" s="848"/>
      <c r="N368" s="848"/>
      <c r="O368" s="648"/>
      <c r="P368" s="653"/>
      <c r="Q368" s="583">
        <f t="shared" si="816"/>
        <v>70</v>
      </c>
      <c r="R368" s="583">
        <f>VLOOKUP($H368,'CO2_emission+%_food_waste'!$A:$K,6,FALSE)*$Q368/100</f>
        <v>33.18</v>
      </c>
      <c r="S368" s="583">
        <f t="shared" si="817"/>
        <v>36.82</v>
      </c>
      <c r="T368" s="583">
        <f>IF(H368="Select ingredient:","",IF(G368="Select food category:","",_xlfn.IFNA(VLOOKUP($H368,Ingredient_prices!$E:$U,16,FALSE)*$Q368/1000,"not bought")))</f>
        <v>5.0609999999999999</v>
      </c>
      <c r="U368" s="583">
        <f>IF(G368="Select food category:","",_xlfn.IFNA(VLOOKUP($H368,Ingredient_prices!$E:$U,16,FALSE)*$R368/1000,"not bought"))</f>
        <v>2.3989139999999995</v>
      </c>
      <c r="V368" s="549">
        <f>VLOOKUP($H368,'CO2_emission+%_food_waste'!$A:$K,4,FALSE)*$Q368</f>
        <v>112</v>
      </c>
      <c r="W368" s="583">
        <f>VLOOKUP($H368,Nutrition_tables!$A:$N,10,FALSE)*$Q368/100</f>
        <v>7.7</v>
      </c>
      <c r="X368" s="583">
        <f>VLOOKUP($H368,Nutrition_tables!$A:$N,11,FALSE)*$Q368/100</f>
        <v>1.5819999999999999</v>
      </c>
      <c r="Y368" s="583">
        <f>VLOOKUP($H368,Nutrition_tables!$A:$N,12,FALSE)*$Q368/100</f>
        <v>0.23100000000000001</v>
      </c>
      <c r="Z368" s="583">
        <f>VLOOKUP($H368,Nutrition_tables!$A:$N,14,FALSE)*$Q368/100</f>
        <v>6.5099999999999991E-2</v>
      </c>
      <c r="AA368" s="583">
        <f>VLOOKUP($H368,Nutrition_tables!$A:$AF,13,FALSE)*$Q368/100</f>
        <v>0.84</v>
      </c>
      <c r="AB368" s="549">
        <f>VLOOKUP($H368,Nutrition_tables!$A:$AF,15,FALSE)*$Q368/100</f>
        <v>2.2400000000000003E-2</v>
      </c>
      <c r="AC368" s="583">
        <f>VLOOKUP($H368,Nutrition_tables!$A:$AF,16,FALSE)*$Q368/100</f>
        <v>112</v>
      </c>
      <c r="AD368" s="583">
        <f>VLOOKUP($H368,Nutrition_tables!$A:$AF,17,FALSE)*$Q368/100</f>
        <v>45.5</v>
      </c>
      <c r="AE368" s="583">
        <f>VLOOKUP($H368,Nutrition_tables!$A:$AF,18,FALSE)*$Q368/100</f>
        <v>8.4</v>
      </c>
      <c r="AF368" s="583">
        <f>VLOOKUP($H368,Nutrition_tables!$A:$AF,19,FALSE)*$Q368/100</f>
        <v>3.5</v>
      </c>
      <c r="AG368" s="583">
        <f>VLOOKUP($H368,Nutrition_tables!$A:$AF,20,FALSE)*$Q368/100</f>
        <v>9.1</v>
      </c>
      <c r="AH368" s="583">
        <f>VLOOKUP($H368,Nutrition_tables!$A:$AF,21,FALSE)*$Q368/100</f>
        <v>0.14560000000000001</v>
      </c>
      <c r="AI368" s="583">
        <f>VLOOKUP($H368,Nutrition_tables!$A:$AF,22,FALSE)*$Q368/100</f>
        <v>8.1199999999999994E-2</v>
      </c>
      <c r="AJ368" s="549">
        <f>VLOOKUP($H368,Nutrition_tables!$A:$AF,23,FALSE)*$Q368/100</f>
        <v>2.1000000000000001E-2</v>
      </c>
      <c r="AK368" s="583">
        <f>VLOOKUP($H368,Nutrition_tables!$A:$AF,24,FALSE)*$Q368/100</f>
        <v>21</v>
      </c>
      <c r="AL368" s="583">
        <f>VLOOKUP($H368,Nutrition_tables!$A:$AF,25,FALSE)*$Q368/100</f>
        <v>2.5200000000000001E-3</v>
      </c>
      <c r="AM368" s="583">
        <f>VLOOKUP($H368,Nutrition_tables!$A:$AF,26,FALSE)*$Q368/100</f>
        <v>8.3999999999999995E-3</v>
      </c>
      <c r="AN368" s="583">
        <f>VLOOKUP($H368,Nutrition_tables!$A:$AF,27,FALSE)*$Q368/100</f>
        <v>0</v>
      </c>
      <c r="AO368" s="583">
        <f>VLOOKUP($H368,Nutrition_tables!$A:$AF,28,FALSE)*$Q368/100</f>
        <v>6.3E-3</v>
      </c>
      <c r="AP368" s="583">
        <f>VLOOKUP($H368,Nutrition_tables!$A:$AF,29,FALSE)*$Q368/100</f>
        <v>3.5</v>
      </c>
      <c r="AQ368" s="583">
        <f>VLOOKUP($H368,Nutrition_tables!$A:$AF,30,FALSE)*$Q368/100</f>
        <v>0</v>
      </c>
      <c r="AR368" s="583">
        <f>VLOOKUP($H368,Nutrition_tables!$A:$AF,31,FALSE)*$Q368/100</f>
        <v>2.0369999999999999</v>
      </c>
      <c r="AS368" s="549">
        <f>VLOOKUP($H368,Nutrition_tables!$A:$AF,32,FALSE)*$Q368/100</f>
        <v>0</v>
      </c>
      <c r="AT368" s="583">
        <f>IF(H368="Select ingredient:","",IF(G368="Select food category:","",IFERROR(VLOOKUP($H368,Ingredient_prices!$E:$W,17,FALSE)*$Q368/1000,"not bought")))</f>
        <v>5.0609999999999999</v>
      </c>
      <c r="AU368" s="583">
        <f>IF(H368="Select ingredient:","",IF(G368="Select food category:","",IFERROR(VLOOKUP($H368,Ingredient_prices!$E:$W,18,FALSE)*$Q368/1000,"not bought")))</f>
        <v>5.0609999999999999</v>
      </c>
      <c r="AV368" s="583">
        <f t="shared" si="818"/>
        <v>4.0501994214000829</v>
      </c>
      <c r="AW368" s="583">
        <f t="shared" si="819"/>
        <v>0.83213188112401681</v>
      </c>
      <c r="AX368" s="583">
        <f t="shared" si="820"/>
        <v>0.12150598264200249</v>
      </c>
      <c r="AY368" s="583">
        <f t="shared" si="821"/>
        <v>3.4242595108200692E-2</v>
      </c>
      <c r="AZ368" s="583">
        <f t="shared" si="822"/>
        <v>0.441839936880009</v>
      </c>
      <c r="BA368" s="583">
        <f t="shared" si="823"/>
        <v>1.1782398316800242E-2</v>
      </c>
      <c r="BB368" s="583">
        <f t="shared" si="824"/>
        <v>58.9119915840012</v>
      </c>
      <c r="BC368" s="583">
        <f t="shared" si="825"/>
        <v>23.932996581000488</v>
      </c>
      <c r="BD368" s="583">
        <f t="shared" si="826"/>
        <v>4.41839936880009</v>
      </c>
      <c r="BE368" s="583">
        <f t="shared" si="827"/>
        <v>1.8409997370000375</v>
      </c>
      <c r="BF368" s="583">
        <f t="shared" si="828"/>
        <v>4.7865993162000979</v>
      </c>
      <c r="BG368" s="583">
        <f t="shared" si="829"/>
        <v>7.658558905920157E-2</v>
      </c>
      <c r="BH368" s="583">
        <f t="shared" si="830"/>
        <v>4.2711193898400869E-2</v>
      </c>
      <c r="BI368" s="583">
        <f t="shared" si="831"/>
        <v>1.1045998422000226E-2</v>
      </c>
      <c r="BJ368" s="583">
        <f t="shared" si="832"/>
        <v>11.045998422000226</v>
      </c>
      <c r="BK368" s="583">
        <f t="shared" si="833"/>
        <v>1.3255198106400272E-3</v>
      </c>
      <c r="BL368" s="583">
        <f t="shared" si="834"/>
        <v>4.4183993688000902E-3</v>
      </c>
      <c r="BM368" s="583">
        <f t="shared" si="835"/>
        <v>0</v>
      </c>
      <c r="BN368" s="583">
        <f t="shared" si="836"/>
        <v>3.3137995266000675E-3</v>
      </c>
      <c r="BO368" s="583">
        <f t="shared" si="837"/>
        <v>1.8409997370000375</v>
      </c>
      <c r="BP368" s="583">
        <f t="shared" si="838"/>
        <v>0</v>
      </c>
      <c r="BQ368" s="583">
        <f t="shared" si="839"/>
        <v>1.0714618469340218</v>
      </c>
      <c r="BR368" s="583">
        <f t="shared" si="840"/>
        <v>0</v>
      </c>
    </row>
    <row r="369" spans="1:70" s="229" customFormat="1" ht="15" customHeight="1">
      <c r="A369" s="643"/>
      <c r="D369" s="85"/>
      <c r="E369" s="576">
        <f t="shared" si="841"/>
        <v>100</v>
      </c>
      <c r="F369" s="85"/>
      <c r="G369" s="406" t="s">
        <v>3054</v>
      </c>
      <c r="H369" s="1262" t="s">
        <v>3055</v>
      </c>
      <c r="I369" s="85">
        <v>0</v>
      </c>
      <c r="J369" s="682">
        <v>1</v>
      </c>
      <c r="K369" s="579" t="str">
        <f t="shared" si="815"/>
        <v/>
      </c>
      <c r="L369" s="580" t="str">
        <f>IF(H369="Select ingredient:","",IF(G369="","",_xlfn.IFNA(VLOOKUP($H369,Ingredient_prices!$E:$U,16,FALSE),0)))</f>
        <v/>
      </c>
      <c r="M369" s="848"/>
      <c r="N369" s="848"/>
      <c r="O369" s="648"/>
      <c r="P369" s="653"/>
      <c r="Q369" s="583">
        <f t="shared" si="816"/>
        <v>0</v>
      </c>
      <c r="R369" s="583">
        <f>VLOOKUP($H369,'CO2_emission+%_food_waste'!$A:$K,6,FALSE)*$Q369/100</f>
        <v>0</v>
      </c>
      <c r="S369" s="583">
        <f t="shared" si="817"/>
        <v>0</v>
      </c>
      <c r="T369" s="583" t="str">
        <f>IF(H369="Select ingredient:","",IF(G369="Select food category:","",_xlfn.IFNA(VLOOKUP($H369,Ingredient_prices!$E:$U,16,FALSE)*$Q369/1000,"not bought")))</f>
        <v/>
      </c>
      <c r="U369" s="583" t="str">
        <f>IF(G369="Select food category:","",_xlfn.IFNA(VLOOKUP($H369,Ingredient_prices!$E:$U,16,FALSE)*$R369/1000,"not bought"))</f>
        <v/>
      </c>
      <c r="V369" s="549">
        <f>VLOOKUP($H369,'CO2_emission+%_food_waste'!$A:$K,4,FALSE)*$Q369</f>
        <v>0</v>
      </c>
      <c r="W369" s="583">
        <f>VLOOKUP($H369,Nutrition_tables!$A:$N,10,FALSE)*$Q369/100</f>
        <v>0</v>
      </c>
      <c r="X369" s="583">
        <f>VLOOKUP($H369,Nutrition_tables!$A:$N,11,FALSE)*$Q369/100</f>
        <v>0</v>
      </c>
      <c r="Y369" s="583">
        <f>VLOOKUP($H369,Nutrition_tables!$A:$N,12,FALSE)*$Q369/100</f>
        <v>0</v>
      </c>
      <c r="Z369" s="583">
        <f>VLOOKUP($H369,Nutrition_tables!$A:$N,14,FALSE)*$Q369/100</f>
        <v>0</v>
      </c>
      <c r="AA369" s="583">
        <f>VLOOKUP($H369,Nutrition_tables!$A:$AF,13,FALSE)*$Q369/100</f>
        <v>0</v>
      </c>
      <c r="AB369" s="549">
        <f>VLOOKUP($H369,Nutrition_tables!$A:$AF,15,FALSE)*$Q369/100</f>
        <v>0</v>
      </c>
      <c r="AC369" s="583">
        <f>VLOOKUP($H369,Nutrition_tables!$A:$AF,16,FALSE)*$Q369/100</f>
        <v>0</v>
      </c>
      <c r="AD369" s="583">
        <f>VLOOKUP($H369,Nutrition_tables!$A:$AF,17,FALSE)*$Q369/100</f>
        <v>0</v>
      </c>
      <c r="AE369" s="583">
        <f>VLOOKUP($H369,Nutrition_tables!$A:$AF,18,FALSE)*$Q369/100</f>
        <v>0</v>
      </c>
      <c r="AF369" s="583">
        <f>VLOOKUP($H369,Nutrition_tables!$A:$AF,19,FALSE)*$Q369/100</f>
        <v>0</v>
      </c>
      <c r="AG369" s="583">
        <f>VLOOKUP($H369,Nutrition_tables!$A:$AF,20,FALSE)*$Q369/100</f>
        <v>0</v>
      </c>
      <c r="AH369" s="583">
        <f>VLOOKUP($H369,Nutrition_tables!$A:$AF,21,FALSE)*$Q369/100</f>
        <v>0</v>
      </c>
      <c r="AI369" s="583">
        <f>VLOOKUP($H369,Nutrition_tables!$A:$AF,22,FALSE)*$Q369/100</f>
        <v>0</v>
      </c>
      <c r="AJ369" s="549">
        <f>VLOOKUP($H369,Nutrition_tables!$A:$AF,23,FALSE)*$Q369/100</f>
        <v>0</v>
      </c>
      <c r="AK369" s="583">
        <f>VLOOKUP($H369,Nutrition_tables!$A:$AF,24,FALSE)*$Q369/100</f>
        <v>0</v>
      </c>
      <c r="AL369" s="583">
        <f>VLOOKUP($H369,Nutrition_tables!$A:$AF,25,FALSE)*$Q369/100</f>
        <v>0</v>
      </c>
      <c r="AM369" s="583">
        <f>VLOOKUP($H369,Nutrition_tables!$A:$AF,26,FALSE)*$Q369/100</f>
        <v>0</v>
      </c>
      <c r="AN369" s="583">
        <f>VLOOKUP($H369,Nutrition_tables!$A:$AF,27,FALSE)*$Q369/100</f>
        <v>0</v>
      </c>
      <c r="AO369" s="583">
        <f>VLOOKUP($H369,Nutrition_tables!$A:$AF,28,FALSE)*$Q369/100</f>
        <v>0</v>
      </c>
      <c r="AP369" s="583">
        <f>VLOOKUP($H369,Nutrition_tables!$A:$AF,29,FALSE)*$Q369/100</f>
        <v>0</v>
      </c>
      <c r="AQ369" s="583">
        <f>VLOOKUP($H369,Nutrition_tables!$A:$AF,30,FALSE)*$Q369/100</f>
        <v>0</v>
      </c>
      <c r="AR369" s="583">
        <f>VLOOKUP($H369,Nutrition_tables!$A:$AF,31,FALSE)*$Q369/100</f>
        <v>0</v>
      </c>
      <c r="AS369" s="549">
        <f>VLOOKUP($H369,Nutrition_tables!$A:$AF,32,FALSE)*$Q369/100</f>
        <v>0</v>
      </c>
      <c r="AT369" s="583" t="str">
        <f>IF(H369="Select ingredient:","",IF(G369="Select food category:","",IFERROR(VLOOKUP($H369,Ingredient_prices!$E:$W,17,FALSE)*$Q369/1000,"not bought")))</f>
        <v/>
      </c>
      <c r="AU369" s="583" t="str">
        <f>IF(H369="Select ingredient:","",IF(G369="Select food category:","",IFERROR(VLOOKUP($H369,Ingredient_prices!$E:$W,18,FALSE)*$Q369/1000,"not bought")))</f>
        <v/>
      </c>
      <c r="AV369" s="583">
        <f t="shared" si="818"/>
        <v>0</v>
      </c>
      <c r="AW369" s="583">
        <f t="shared" si="819"/>
        <v>0</v>
      </c>
      <c r="AX369" s="583">
        <f t="shared" si="820"/>
        <v>0</v>
      </c>
      <c r="AY369" s="583">
        <f t="shared" si="821"/>
        <v>0</v>
      </c>
      <c r="AZ369" s="583">
        <f t="shared" si="822"/>
        <v>0</v>
      </c>
      <c r="BA369" s="583">
        <f t="shared" si="823"/>
        <v>0</v>
      </c>
      <c r="BB369" s="583">
        <f t="shared" si="824"/>
        <v>0</v>
      </c>
      <c r="BC369" s="583">
        <f t="shared" si="825"/>
        <v>0</v>
      </c>
      <c r="BD369" s="583">
        <f t="shared" si="826"/>
        <v>0</v>
      </c>
      <c r="BE369" s="583">
        <f t="shared" si="827"/>
        <v>0</v>
      </c>
      <c r="BF369" s="583">
        <f t="shared" si="828"/>
        <v>0</v>
      </c>
      <c r="BG369" s="583">
        <f t="shared" si="829"/>
        <v>0</v>
      </c>
      <c r="BH369" s="583">
        <f t="shared" si="830"/>
        <v>0</v>
      </c>
      <c r="BI369" s="583">
        <f t="shared" si="831"/>
        <v>0</v>
      </c>
      <c r="BJ369" s="583">
        <f t="shared" si="832"/>
        <v>0</v>
      </c>
      <c r="BK369" s="583">
        <f t="shared" si="833"/>
        <v>0</v>
      </c>
      <c r="BL369" s="583">
        <f t="shared" si="834"/>
        <v>0</v>
      </c>
      <c r="BM369" s="583">
        <f t="shared" si="835"/>
        <v>0</v>
      </c>
      <c r="BN369" s="583">
        <f t="shared" si="836"/>
        <v>0</v>
      </c>
      <c r="BO369" s="583">
        <f t="shared" si="837"/>
        <v>0</v>
      </c>
      <c r="BP369" s="583">
        <f t="shared" si="838"/>
        <v>0</v>
      </c>
      <c r="BQ369" s="583">
        <f t="shared" si="839"/>
        <v>0</v>
      </c>
      <c r="BR369" s="583">
        <f t="shared" si="840"/>
        <v>0</v>
      </c>
    </row>
    <row r="370" spans="1:70" s="229" customFormat="1" ht="15" customHeight="1">
      <c r="A370" s="643"/>
      <c r="D370" s="85"/>
      <c r="E370" s="576">
        <f t="shared" si="841"/>
        <v>100</v>
      </c>
      <c r="F370" s="707" t="s">
        <v>21</v>
      </c>
      <c r="G370" s="406" t="s">
        <v>3079</v>
      </c>
      <c r="H370" s="578" t="s">
        <v>3365</v>
      </c>
      <c r="I370" s="85">
        <v>75</v>
      </c>
      <c r="J370" s="682">
        <v>1</v>
      </c>
      <c r="K370" s="579">
        <f t="shared" si="815"/>
        <v>8.25</v>
      </c>
      <c r="L370" s="580">
        <f>IF(H370="Select ingredient:","",IF(G370="","",_xlfn.IFNA(VLOOKUP($H370,Ingredient_prices!$E:$U,16,FALSE),0)))</f>
        <v>70.400000000000006</v>
      </c>
      <c r="M370" s="848"/>
      <c r="N370" s="848"/>
      <c r="O370" s="648"/>
      <c r="P370" s="653"/>
      <c r="Q370" s="583">
        <f t="shared" si="816"/>
        <v>75</v>
      </c>
      <c r="R370" s="583">
        <f>VLOOKUP($H370,'CO2_emission+%_food_waste'!$A:$K,6,FALSE)*$Q370/100</f>
        <v>29.55</v>
      </c>
      <c r="S370" s="583">
        <f t="shared" si="817"/>
        <v>45.45</v>
      </c>
      <c r="T370" s="583">
        <f>IF(H370="Select ingredient:","",IF(G370="Select food category:","",_xlfn.IFNA(VLOOKUP($H370,Ingredient_prices!$E:$U,16,FALSE)*$Q370/1000,"not bought")))</f>
        <v>5.28</v>
      </c>
      <c r="U370" s="583">
        <f>IF(G370="Select food category:","",_xlfn.IFNA(VLOOKUP($H370,Ingredient_prices!$E:$U,16,FALSE)*$R370/1000,"not bought"))</f>
        <v>2.0803199999999999</v>
      </c>
      <c r="V370" s="549">
        <f>VLOOKUP($H370,'CO2_emission+%_food_waste'!$A:$K,4,FALSE)*$Q370</f>
        <v>121.50000000000001</v>
      </c>
      <c r="W370" s="583">
        <f>VLOOKUP($H370,Nutrition_tables!$A:$N,10,FALSE)*$Q370/100</f>
        <v>197.17500000000001</v>
      </c>
      <c r="X370" s="583">
        <f>VLOOKUP($H370,Nutrition_tables!$A:$N,11,FALSE)*$Q370/100</f>
        <v>38.1</v>
      </c>
      <c r="Y370" s="583">
        <f>VLOOKUP($H370,Nutrition_tables!$A:$N,12,FALSE)*$Q370/100</f>
        <v>5.0999999999999996</v>
      </c>
      <c r="Z370" s="583">
        <f>VLOOKUP($H370,Nutrition_tables!$A:$N,14,FALSE)*$Q370/100</f>
        <v>0.375</v>
      </c>
      <c r="AA370" s="583">
        <f>VLOOKUP($H370,Nutrition_tables!$A:$AF,13,FALSE)*$Q370/100</f>
        <v>3.2250000000000001</v>
      </c>
      <c r="AB370" s="549">
        <f>VLOOKUP($H370,Nutrition_tables!$A:$AF,15,FALSE)*$Q370/100</f>
        <v>7.4999999999999997E-2</v>
      </c>
      <c r="AC370" s="583">
        <f>VLOOKUP($H370,Nutrition_tables!$A:$AF,16,FALSE)*$Q370/100</f>
        <v>382.5</v>
      </c>
      <c r="AD370" s="583">
        <f>VLOOKUP($H370,Nutrition_tables!$A:$AF,17,FALSE)*$Q370/100</f>
        <v>86.25</v>
      </c>
      <c r="AE370" s="583">
        <f>VLOOKUP($H370,Nutrition_tables!$A:$AF,18,FALSE)*$Q370/100</f>
        <v>72.75</v>
      </c>
      <c r="AF370" s="583">
        <f>VLOOKUP($H370,Nutrition_tables!$A:$AF,19,FALSE)*$Q370/100</f>
        <v>18</v>
      </c>
      <c r="AG370" s="583">
        <f>VLOOKUP($H370,Nutrition_tables!$A:$AF,20,FALSE)*$Q370/100</f>
        <v>0</v>
      </c>
      <c r="AH370" s="583">
        <f>VLOOKUP($H370,Nutrition_tables!$A:$AF,21,FALSE)*$Q370/100</f>
        <v>1.125</v>
      </c>
      <c r="AI370" s="583">
        <f>VLOOKUP($H370,Nutrition_tables!$A:$AF,22,FALSE)*$Q370/100</f>
        <v>2.85</v>
      </c>
      <c r="AJ370" s="549">
        <f>VLOOKUP($H370,Nutrition_tables!$A:$AF,23,FALSE)*$Q370/100</f>
        <v>0.23850000000000002</v>
      </c>
      <c r="AK370" s="583">
        <f>VLOOKUP($H370,Nutrition_tables!$A:$AF,24,FALSE)*$Q370/100</f>
        <v>0</v>
      </c>
      <c r="AL370" s="583">
        <f>VLOOKUP($H370,Nutrition_tables!$A:$AF,25,FALSE)*$Q370/100</f>
        <v>0.15</v>
      </c>
      <c r="AM370" s="583">
        <f>VLOOKUP($H370,Nutrition_tables!$A:$AF,26,FALSE)*$Q370/100</f>
        <v>0.06</v>
      </c>
      <c r="AN370" s="583">
        <f>VLOOKUP($H370,Nutrition_tables!$A:$AF,27,FALSE)*$Q370/100</f>
        <v>2.1074999999999999</v>
      </c>
      <c r="AO370" s="583">
        <f>VLOOKUP($H370,Nutrition_tables!$A:$AF,28,FALSE)*$Q370/100</f>
        <v>4.2000000000000003E-2</v>
      </c>
      <c r="AP370" s="583">
        <f>VLOOKUP($H370,Nutrition_tables!$A:$AF,29,FALSE)*$Q370/100</f>
        <v>20.25</v>
      </c>
      <c r="AQ370" s="583">
        <f>VLOOKUP($H370,Nutrition_tables!$A:$AF,30,FALSE)*$Q370/100</f>
        <v>0</v>
      </c>
      <c r="AR370" s="583">
        <f>VLOOKUP($H370,Nutrition_tables!$A:$AF,31,FALSE)*$Q370/100</f>
        <v>7.4999999999999997E-2</v>
      </c>
      <c r="AS370" s="549">
        <f>VLOOKUP($H370,Nutrition_tables!$A:$AF,32,FALSE)*$Q370/100</f>
        <v>8.2500000000000004E-2</v>
      </c>
      <c r="AT370" s="583">
        <f>IF(H370="Select ingredient:","",IF(G370="Select food category:","",IFERROR(VLOOKUP($H370,Ingredient_prices!$E:$W,17,FALSE)*$Q370/1000,"not bought")))</f>
        <v>5.28</v>
      </c>
      <c r="AU370" s="583">
        <f>IF(H370="Select ingredient:","",IF(G370="Select food category:","",IFERROR(VLOOKUP($H370,Ingredient_prices!$E:$W,18,FALSE)*$Q370/1000,"not bought")))</f>
        <v>5.28</v>
      </c>
      <c r="AV370" s="583">
        <f t="shared" si="818"/>
        <v>119.48803406826212</v>
      </c>
      <c r="AW370" s="583">
        <f t="shared" si="819"/>
        <v>23.088596921520413</v>
      </c>
      <c r="AX370" s="583">
        <f t="shared" si="820"/>
        <v>3.0905995879200545</v>
      </c>
      <c r="AY370" s="583">
        <f t="shared" si="821"/>
        <v>0.22724996970000408</v>
      </c>
      <c r="AZ370" s="583">
        <f t="shared" si="822"/>
        <v>1.9543497394200349</v>
      </c>
      <c r="BA370" s="583">
        <f t="shared" si="823"/>
        <v>4.5449993940000807E-2</v>
      </c>
      <c r="BB370" s="583">
        <f t="shared" si="824"/>
        <v>231.7949690940041</v>
      </c>
      <c r="BC370" s="583">
        <f t="shared" si="825"/>
        <v>52.267493031000932</v>
      </c>
      <c r="BD370" s="583">
        <f t="shared" si="826"/>
        <v>44.086494121800783</v>
      </c>
      <c r="BE370" s="583">
        <f t="shared" si="827"/>
        <v>10.907998545600194</v>
      </c>
      <c r="BF370" s="583">
        <f t="shared" si="828"/>
        <v>0</v>
      </c>
      <c r="BG370" s="583">
        <f t="shared" si="829"/>
        <v>0.6817499091000121</v>
      </c>
      <c r="BH370" s="583">
        <f t="shared" si="830"/>
        <v>1.7270997697200305</v>
      </c>
      <c r="BI370" s="583">
        <f t="shared" si="831"/>
        <v>0.14453098072920259</v>
      </c>
      <c r="BJ370" s="583">
        <f t="shared" si="832"/>
        <v>0</v>
      </c>
      <c r="BK370" s="583">
        <f t="shared" si="833"/>
        <v>9.0899987880001615E-2</v>
      </c>
      <c r="BL370" s="583">
        <f t="shared" si="834"/>
        <v>3.635999515200064E-2</v>
      </c>
      <c r="BM370" s="583">
        <f t="shared" si="835"/>
        <v>1.2771448297140227</v>
      </c>
      <c r="BN370" s="583">
        <f t="shared" si="836"/>
        <v>2.5451996606400455E-2</v>
      </c>
      <c r="BO370" s="583">
        <f t="shared" si="837"/>
        <v>12.271498363800218</v>
      </c>
      <c r="BP370" s="583">
        <f t="shared" si="838"/>
        <v>0</v>
      </c>
      <c r="BQ370" s="583">
        <f t="shared" si="839"/>
        <v>4.5449993940000807E-2</v>
      </c>
      <c r="BR370" s="583">
        <f t="shared" si="840"/>
        <v>4.9994993334000891E-2</v>
      </c>
    </row>
    <row r="371" spans="1:70" s="229" customFormat="1" ht="15" customHeight="1">
      <c r="A371" s="643"/>
      <c r="D371" s="85"/>
      <c r="E371" s="576">
        <f t="shared" si="841"/>
        <v>100</v>
      </c>
      <c r="F371" s="707" t="s">
        <v>1748</v>
      </c>
      <c r="G371" s="406" t="s">
        <v>3077</v>
      </c>
      <c r="H371" s="578" t="s">
        <v>3308</v>
      </c>
      <c r="I371" s="85">
        <v>120</v>
      </c>
      <c r="J371" s="682">
        <v>1</v>
      </c>
      <c r="K371" s="579">
        <f t="shared" si="815"/>
        <v>13.2</v>
      </c>
      <c r="L371" s="580">
        <f>IF(H371="Select ingredient:","",IF(G371="","",_xlfn.IFNA(VLOOKUP($H371,Ingredient_prices!$E:$U,16,FALSE),0)))</f>
        <v>49.5</v>
      </c>
      <c r="M371" s="848"/>
      <c r="N371" s="848"/>
      <c r="O371" s="648"/>
      <c r="P371" s="653"/>
      <c r="Q371" s="583">
        <f t="shared" si="816"/>
        <v>120</v>
      </c>
      <c r="R371" s="583">
        <f>VLOOKUP($H371,'CO2_emission+%_food_waste'!$A:$K,6,FALSE)*$Q371/100</f>
        <v>25.991999999999997</v>
      </c>
      <c r="S371" s="583">
        <f t="shared" si="817"/>
        <v>94.00800000000001</v>
      </c>
      <c r="T371" s="583">
        <f>IF(H371="Select ingredient:","",IF(G371="Select food category:","",_xlfn.IFNA(VLOOKUP($H371,Ingredient_prices!$E:$U,16,FALSE)*$Q371/1000,"not bought")))</f>
        <v>5.94</v>
      </c>
      <c r="U371" s="583">
        <f>IF(G371="Select food category:","",_xlfn.IFNA(VLOOKUP($H371,Ingredient_prices!$E:$U,16,FALSE)*$R371/1000,"not bought"))</f>
        <v>1.2866039999999999</v>
      </c>
      <c r="V371" s="549">
        <f>VLOOKUP($H371,'CO2_emission+%_food_waste'!$A:$K,4,FALSE)*$Q371</f>
        <v>51.6</v>
      </c>
      <c r="W371" s="583">
        <f>VLOOKUP($H371,Nutrition_tables!$A:$N,10,FALSE)*$Q371/100</f>
        <v>54</v>
      </c>
      <c r="X371" s="583">
        <f>VLOOKUP($H371,Nutrition_tables!$A:$N,11,FALSE)*$Q371/100</f>
        <v>12</v>
      </c>
      <c r="Y371" s="583">
        <f>VLOOKUP($H371,Nutrition_tables!$A:$N,12,FALSE)*$Q371/100</f>
        <v>0.24</v>
      </c>
      <c r="Z371" s="583">
        <f>VLOOKUP($H371,Nutrition_tables!$A:$N,14,FALSE)*$Q371/100</f>
        <v>0.36</v>
      </c>
      <c r="AA371" s="583">
        <f>VLOOKUP($H371,Nutrition_tables!$A:$AF,13,FALSE)*$Q371/100</f>
        <v>2.88</v>
      </c>
      <c r="AB371" s="549">
        <f>VLOOKUP($H371,Nutrition_tables!$A:$AF,15,FALSE)*$Q371/100</f>
        <v>8.4000000000000005E-2</v>
      </c>
      <c r="AC371" s="583">
        <f>VLOOKUP($H371,Nutrition_tables!$A:$AF,16,FALSE)*$Q371/100</f>
        <v>2.4</v>
      </c>
      <c r="AD371" s="583">
        <f>VLOOKUP($H371,Nutrition_tables!$A:$AF,17,FALSE)*$Q371/100</f>
        <v>144</v>
      </c>
      <c r="AE371" s="583">
        <f>VLOOKUP($H371,Nutrition_tables!$A:$AF,18,FALSE)*$Q371/100</f>
        <v>7.2</v>
      </c>
      <c r="AF371" s="583">
        <f>VLOOKUP($H371,Nutrition_tables!$A:$AF,19,FALSE)*$Q371/100</f>
        <v>10.38</v>
      </c>
      <c r="AG371" s="583">
        <f>VLOOKUP($H371,Nutrition_tables!$A:$AF,20,FALSE)*$Q371/100</f>
        <v>14.4</v>
      </c>
      <c r="AH371" s="583">
        <f>VLOOKUP($H371,Nutrition_tables!$A:$AF,21,FALSE)*$Q371/100</f>
        <v>0.36</v>
      </c>
      <c r="AI371" s="583">
        <f>VLOOKUP($H371,Nutrition_tables!$A:$AF,22,FALSE)*$Q371/100</f>
        <v>0.12</v>
      </c>
      <c r="AJ371" s="549">
        <f>VLOOKUP($H371,Nutrition_tables!$A:$AF,23,FALSE)*$Q371/100</f>
        <v>4.3596000000000003E-2</v>
      </c>
      <c r="AK371" s="583">
        <f>VLOOKUP($H371,Nutrition_tables!$A:$AF,24,FALSE)*$Q371/100</f>
        <v>3.6</v>
      </c>
      <c r="AL371" s="583">
        <f>VLOOKUP($H371,Nutrition_tables!$A:$AF,25,FALSE)*$Q371/100</f>
        <v>2.4E-2</v>
      </c>
      <c r="AM371" s="583">
        <f>VLOOKUP($H371,Nutrition_tables!$A:$AF,26,FALSE)*$Q371/100</f>
        <v>2.4E-2</v>
      </c>
      <c r="AN371" s="583">
        <f>VLOOKUP($H371,Nutrition_tables!$A:$AF,27,FALSE)*$Q371/100</f>
        <v>0.36</v>
      </c>
      <c r="AO371" s="583">
        <f>VLOOKUP($H371,Nutrition_tables!$A:$AF,28,FALSE)*$Q371/100</f>
        <v>0.13200000000000001</v>
      </c>
      <c r="AP371" s="583">
        <f>VLOOKUP($H371,Nutrition_tables!$A:$AF,29,FALSE)*$Q371/100</f>
        <v>1.2</v>
      </c>
      <c r="AQ371" s="583">
        <f>VLOOKUP($H371,Nutrition_tables!$A:$AF,30,FALSE)*$Q371/100</f>
        <v>0</v>
      </c>
      <c r="AR371" s="583">
        <f>VLOOKUP($H371,Nutrition_tables!$A:$AF,31,FALSE)*$Q371/100</f>
        <v>12</v>
      </c>
      <c r="AS371" s="549">
        <f>VLOOKUP($H371,Nutrition_tables!$A:$AF,32,FALSE)*$Q371/100</f>
        <v>0</v>
      </c>
      <c r="AT371" s="583">
        <f>IF(H371="Select ingredient:","",IF(G371="Select food category:","",IFERROR(VLOOKUP($H371,Ingredient_prices!$E:$W,17,FALSE)*$Q371/1000,"not bought")))</f>
        <v>5.94</v>
      </c>
      <c r="AU371" s="583">
        <f>IF(H371="Select ingredient:","",IF(G371="Select food category:","",IFERROR(VLOOKUP($H371,Ingredient_prices!$E:$W,18,FALSE)*$Q371/1000,"not bought")))</f>
        <v>5.94</v>
      </c>
      <c r="AV371" s="583">
        <f t="shared" si="818"/>
        <v>42.303596474700299</v>
      </c>
      <c r="AW371" s="583">
        <f t="shared" si="819"/>
        <v>9.4007992166000651</v>
      </c>
      <c r="AX371" s="583">
        <f t="shared" si="820"/>
        <v>0.18801598433200131</v>
      </c>
      <c r="AY371" s="583">
        <f t="shared" si="821"/>
        <v>0.28202397649800198</v>
      </c>
      <c r="AZ371" s="583">
        <f t="shared" si="822"/>
        <v>2.2561918119840159</v>
      </c>
      <c r="BA371" s="583">
        <f t="shared" si="823"/>
        <v>6.5805594516200466E-2</v>
      </c>
      <c r="BB371" s="583">
        <f t="shared" si="824"/>
        <v>1.8801598433200131</v>
      </c>
      <c r="BC371" s="583">
        <f t="shared" si="825"/>
        <v>112.8095905992008</v>
      </c>
      <c r="BD371" s="583">
        <f t="shared" si="826"/>
        <v>5.6404795299600394</v>
      </c>
      <c r="BE371" s="583">
        <f t="shared" si="827"/>
        <v>8.1316913223590568</v>
      </c>
      <c r="BF371" s="583">
        <f t="shared" si="828"/>
        <v>11.280959059920079</v>
      </c>
      <c r="BG371" s="583">
        <f t="shared" si="829"/>
        <v>0.28202397649800198</v>
      </c>
      <c r="BH371" s="583">
        <f t="shared" si="830"/>
        <v>9.4007992166000656E-2</v>
      </c>
      <c r="BI371" s="583">
        <f t="shared" si="831"/>
        <v>3.4153103553908042E-2</v>
      </c>
      <c r="BJ371" s="583">
        <f t="shared" si="832"/>
        <v>2.8202397649800197</v>
      </c>
      <c r="BK371" s="583">
        <f t="shared" si="833"/>
        <v>1.8801598433200135E-2</v>
      </c>
      <c r="BL371" s="583">
        <f t="shared" si="834"/>
        <v>1.8801598433200135E-2</v>
      </c>
      <c r="BM371" s="583">
        <f t="shared" si="835"/>
        <v>0.28202397649800198</v>
      </c>
      <c r="BN371" s="583">
        <f t="shared" si="836"/>
        <v>0.10340879138260073</v>
      </c>
      <c r="BO371" s="583">
        <f t="shared" si="837"/>
        <v>0.94007992166000653</v>
      </c>
      <c r="BP371" s="583">
        <f t="shared" si="838"/>
        <v>0</v>
      </c>
      <c r="BQ371" s="583">
        <f t="shared" si="839"/>
        <v>9.4007992166000651</v>
      </c>
      <c r="BR371" s="583">
        <f t="shared" si="840"/>
        <v>0</v>
      </c>
    </row>
    <row r="372" spans="1:70" s="229" customFormat="1" ht="15" customHeight="1">
      <c r="A372" s="643"/>
      <c r="D372" s="85"/>
      <c r="E372" s="576">
        <f t="shared" si="841"/>
        <v>100</v>
      </c>
      <c r="F372" s="707"/>
      <c r="G372" s="406" t="s">
        <v>3054</v>
      </c>
      <c r="H372" s="1262" t="s">
        <v>3055</v>
      </c>
      <c r="I372" s="85">
        <v>0</v>
      </c>
      <c r="J372" s="682">
        <v>1</v>
      </c>
      <c r="K372" s="579" t="str">
        <f t="shared" si="815"/>
        <v/>
      </c>
      <c r="L372" s="580" t="str">
        <f>IF(H372="Select ingredient:","",IF(G372="","",_xlfn.IFNA(VLOOKUP($H372,Ingredient_prices!$E:$U,16,FALSE),0)))</f>
        <v/>
      </c>
      <c r="M372" s="848"/>
      <c r="N372" s="848"/>
      <c r="O372" s="648"/>
      <c r="P372" s="653"/>
      <c r="Q372" s="583">
        <f t="shared" si="816"/>
        <v>0</v>
      </c>
      <c r="R372" s="583">
        <f>VLOOKUP($H372,'CO2_emission+%_food_waste'!$A:$K,6,FALSE)*$Q372/100</f>
        <v>0</v>
      </c>
      <c r="S372" s="583">
        <f t="shared" si="817"/>
        <v>0</v>
      </c>
      <c r="T372" s="583" t="str">
        <f>IF(H372="Select ingredient:","",IF(G372="Select food category:","",_xlfn.IFNA(VLOOKUP($H372,Ingredient_prices!$E:$U,16,FALSE)*$Q372/1000,"not bought")))</f>
        <v/>
      </c>
      <c r="U372" s="583" t="str">
        <f>IF(G372="Select food category:","",_xlfn.IFNA(VLOOKUP($H372,Ingredient_prices!$E:$U,16,FALSE)*$R372/1000,"not bought"))</f>
        <v/>
      </c>
      <c r="V372" s="549">
        <f>VLOOKUP($H372,'CO2_emission+%_food_waste'!$A:$K,4,FALSE)*$Q372</f>
        <v>0</v>
      </c>
      <c r="W372" s="583">
        <f>VLOOKUP($H372,Nutrition_tables!$A:$N,10,FALSE)*$Q372/100</f>
        <v>0</v>
      </c>
      <c r="X372" s="583">
        <f>VLOOKUP($H372,Nutrition_tables!$A:$N,11,FALSE)*$Q372/100</f>
        <v>0</v>
      </c>
      <c r="Y372" s="583">
        <f>VLOOKUP($H372,Nutrition_tables!$A:$N,12,FALSE)*$Q372/100</f>
        <v>0</v>
      </c>
      <c r="Z372" s="583">
        <f>VLOOKUP($H372,Nutrition_tables!$A:$N,14,FALSE)*$Q372/100</f>
        <v>0</v>
      </c>
      <c r="AA372" s="583">
        <f>VLOOKUP($H372,Nutrition_tables!$A:$AF,13,FALSE)*$Q372/100</f>
        <v>0</v>
      </c>
      <c r="AB372" s="549">
        <f>VLOOKUP($H372,Nutrition_tables!$A:$AF,15,FALSE)*$Q372/100</f>
        <v>0</v>
      </c>
      <c r="AC372" s="583">
        <f>VLOOKUP($H372,Nutrition_tables!$A:$AF,16,FALSE)*$Q372/100</f>
        <v>0</v>
      </c>
      <c r="AD372" s="583">
        <f>VLOOKUP($H372,Nutrition_tables!$A:$AF,17,FALSE)*$Q372/100</f>
        <v>0</v>
      </c>
      <c r="AE372" s="583">
        <f>VLOOKUP($H372,Nutrition_tables!$A:$AF,18,FALSE)*$Q372/100</f>
        <v>0</v>
      </c>
      <c r="AF372" s="583">
        <f>VLOOKUP($H372,Nutrition_tables!$A:$AF,19,FALSE)*$Q372/100</f>
        <v>0</v>
      </c>
      <c r="AG372" s="583">
        <f>VLOOKUP($H372,Nutrition_tables!$A:$AF,20,FALSE)*$Q372/100</f>
        <v>0</v>
      </c>
      <c r="AH372" s="583">
        <f>VLOOKUP($H372,Nutrition_tables!$A:$AF,21,FALSE)*$Q372/100</f>
        <v>0</v>
      </c>
      <c r="AI372" s="583">
        <f>VLOOKUP($H372,Nutrition_tables!$A:$AF,22,FALSE)*$Q372/100</f>
        <v>0</v>
      </c>
      <c r="AJ372" s="549">
        <f>VLOOKUP($H372,Nutrition_tables!$A:$AF,23,FALSE)*$Q372/100</f>
        <v>0</v>
      </c>
      <c r="AK372" s="583">
        <f>VLOOKUP($H372,Nutrition_tables!$A:$AF,24,FALSE)*$Q372/100</f>
        <v>0</v>
      </c>
      <c r="AL372" s="583">
        <f>VLOOKUP($H372,Nutrition_tables!$A:$AF,25,FALSE)*$Q372/100</f>
        <v>0</v>
      </c>
      <c r="AM372" s="583">
        <f>VLOOKUP($H372,Nutrition_tables!$A:$AF,26,FALSE)*$Q372/100</f>
        <v>0</v>
      </c>
      <c r="AN372" s="583">
        <f>VLOOKUP($H372,Nutrition_tables!$A:$AF,27,FALSE)*$Q372/100</f>
        <v>0</v>
      </c>
      <c r="AO372" s="583">
        <f>VLOOKUP($H372,Nutrition_tables!$A:$AF,28,FALSE)*$Q372/100</f>
        <v>0</v>
      </c>
      <c r="AP372" s="583">
        <f>VLOOKUP($H372,Nutrition_tables!$A:$AF,29,FALSE)*$Q372/100</f>
        <v>0</v>
      </c>
      <c r="AQ372" s="583">
        <f>VLOOKUP($H372,Nutrition_tables!$A:$AF,30,FALSE)*$Q372/100</f>
        <v>0</v>
      </c>
      <c r="AR372" s="583">
        <f>VLOOKUP($H372,Nutrition_tables!$A:$AF,31,FALSE)*$Q372/100</f>
        <v>0</v>
      </c>
      <c r="AS372" s="549">
        <f>VLOOKUP($H372,Nutrition_tables!$A:$AF,32,FALSE)*$Q372/100</f>
        <v>0</v>
      </c>
      <c r="AT372" s="583" t="str">
        <f>IF(H372="Select ingredient:","",IF(G372="Select food category:","",IFERROR(VLOOKUP($H372,Ingredient_prices!$E:$W,17,FALSE)*$Q372/1000,"not bought")))</f>
        <v/>
      </c>
      <c r="AU372" s="583" t="str">
        <f>IF(H372="Select ingredient:","",IF(G372="Select food category:","",IFERROR(VLOOKUP($H372,Ingredient_prices!$E:$W,18,FALSE)*$Q372/1000,"not bought")))</f>
        <v/>
      </c>
      <c r="AV372" s="583">
        <f t="shared" si="818"/>
        <v>0</v>
      </c>
      <c r="AW372" s="583">
        <f t="shared" si="819"/>
        <v>0</v>
      </c>
      <c r="AX372" s="583">
        <f t="shared" si="820"/>
        <v>0</v>
      </c>
      <c r="AY372" s="583">
        <f t="shared" si="821"/>
        <v>0</v>
      </c>
      <c r="AZ372" s="583">
        <f t="shared" si="822"/>
        <v>0</v>
      </c>
      <c r="BA372" s="583">
        <f t="shared" si="823"/>
        <v>0</v>
      </c>
      <c r="BB372" s="583">
        <f t="shared" si="824"/>
        <v>0</v>
      </c>
      <c r="BC372" s="583">
        <f t="shared" si="825"/>
        <v>0</v>
      </c>
      <c r="BD372" s="583">
        <f t="shared" si="826"/>
        <v>0</v>
      </c>
      <c r="BE372" s="583">
        <f t="shared" si="827"/>
        <v>0</v>
      </c>
      <c r="BF372" s="583">
        <f t="shared" si="828"/>
        <v>0</v>
      </c>
      <c r="BG372" s="583">
        <f t="shared" si="829"/>
        <v>0</v>
      </c>
      <c r="BH372" s="583">
        <f t="shared" si="830"/>
        <v>0</v>
      </c>
      <c r="BI372" s="583">
        <f t="shared" si="831"/>
        <v>0</v>
      </c>
      <c r="BJ372" s="583">
        <f t="shared" si="832"/>
        <v>0</v>
      </c>
      <c r="BK372" s="583">
        <f t="shared" si="833"/>
        <v>0</v>
      </c>
      <c r="BL372" s="583">
        <f t="shared" si="834"/>
        <v>0</v>
      </c>
      <c r="BM372" s="583">
        <f t="shared" si="835"/>
        <v>0</v>
      </c>
      <c r="BN372" s="583">
        <f t="shared" si="836"/>
        <v>0</v>
      </c>
      <c r="BO372" s="583">
        <f t="shared" si="837"/>
        <v>0</v>
      </c>
      <c r="BP372" s="583">
        <f t="shared" si="838"/>
        <v>0</v>
      </c>
      <c r="BQ372" s="583">
        <f t="shared" si="839"/>
        <v>0</v>
      </c>
      <c r="BR372" s="583">
        <f t="shared" si="840"/>
        <v>0</v>
      </c>
    </row>
    <row r="373" spans="1:70" s="229" customFormat="1" ht="15" customHeight="1">
      <c r="A373" s="643"/>
      <c r="D373" s="85"/>
      <c r="E373" s="576">
        <f t="shared" si="841"/>
        <v>100</v>
      </c>
      <c r="F373" s="707"/>
      <c r="G373" s="406" t="s">
        <v>3054</v>
      </c>
      <c r="H373" s="1262" t="s">
        <v>3055</v>
      </c>
      <c r="I373" s="85">
        <v>0</v>
      </c>
      <c r="J373" s="682">
        <v>1</v>
      </c>
      <c r="K373" s="579" t="str">
        <f t="shared" si="815"/>
        <v/>
      </c>
      <c r="L373" s="580" t="str">
        <f>IF(H373="Select ingredient:","",IF(G373="","",_xlfn.IFNA(VLOOKUP($H373,Ingredient_prices!$E:$U,16,FALSE),0)))</f>
        <v/>
      </c>
      <c r="M373" s="848"/>
      <c r="N373" s="848"/>
      <c r="O373" s="648"/>
      <c r="P373" s="653"/>
      <c r="Q373" s="583">
        <f t="shared" si="816"/>
        <v>0</v>
      </c>
      <c r="R373" s="583">
        <f>VLOOKUP($H373,'CO2_emission+%_food_waste'!$A:$K,6,FALSE)*$Q373/100</f>
        <v>0</v>
      </c>
      <c r="S373" s="583">
        <f t="shared" si="817"/>
        <v>0</v>
      </c>
      <c r="T373" s="583" t="str">
        <f>IF(H373="Select ingredient:","",IF(G373="Select food category:","",_xlfn.IFNA(VLOOKUP($H373,Ingredient_prices!$E:$U,16,FALSE)*$Q373/1000,"not bought")))</f>
        <v/>
      </c>
      <c r="U373" s="583" t="str">
        <f>IF(G373="Select food category:","",_xlfn.IFNA(VLOOKUP($H373,Ingredient_prices!$E:$U,16,FALSE)*$R373/1000,"not bought"))</f>
        <v/>
      </c>
      <c r="V373" s="549">
        <f>VLOOKUP($H373,'CO2_emission+%_food_waste'!$A:$K,4,FALSE)*$Q373</f>
        <v>0</v>
      </c>
      <c r="W373" s="583">
        <f>VLOOKUP($H373,Nutrition_tables!$A:$N,10,FALSE)*$Q373/100</f>
        <v>0</v>
      </c>
      <c r="X373" s="583">
        <f>VLOOKUP($H373,Nutrition_tables!$A:$N,11,FALSE)*$Q373/100</f>
        <v>0</v>
      </c>
      <c r="Y373" s="583">
        <f>VLOOKUP($H373,Nutrition_tables!$A:$N,12,FALSE)*$Q373/100</f>
        <v>0</v>
      </c>
      <c r="Z373" s="583">
        <f>VLOOKUP($H373,Nutrition_tables!$A:$N,14,FALSE)*$Q373/100</f>
        <v>0</v>
      </c>
      <c r="AA373" s="583">
        <f>VLOOKUP($H373,Nutrition_tables!$A:$AF,13,FALSE)*$Q373/100</f>
        <v>0</v>
      </c>
      <c r="AB373" s="549">
        <f>VLOOKUP($H373,Nutrition_tables!$A:$AF,15,FALSE)*$Q373/100</f>
        <v>0</v>
      </c>
      <c r="AC373" s="583">
        <f>VLOOKUP($H373,Nutrition_tables!$A:$AF,16,FALSE)*$Q373/100</f>
        <v>0</v>
      </c>
      <c r="AD373" s="583">
        <f>VLOOKUP($H373,Nutrition_tables!$A:$AF,17,FALSE)*$Q373/100</f>
        <v>0</v>
      </c>
      <c r="AE373" s="583">
        <f>VLOOKUP($H373,Nutrition_tables!$A:$AF,18,FALSE)*$Q373/100</f>
        <v>0</v>
      </c>
      <c r="AF373" s="583">
        <f>VLOOKUP($H373,Nutrition_tables!$A:$AF,19,FALSE)*$Q373/100</f>
        <v>0</v>
      </c>
      <c r="AG373" s="583">
        <f>VLOOKUP($H373,Nutrition_tables!$A:$AF,20,FALSE)*$Q373/100</f>
        <v>0</v>
      </c>
      <c r="AH373" s="583">
        <f>VLOOKUP($H373,Nutrition_tables!$A:$AF,21,FALSE)*$Q373/100</f>
        <v>0</v>
      </c>
      <c r="AI373" s="583">
        <f>VLOOKUP($H373,Nutrition_tables!$A:$AF,22,FALSE)*$Q373/100</f>
        <v>0</v>
      </c>
      <c r="AJ373" s="549">
        <f>VLOOKUP($H373,Nutrition_tables!$A:$AF,23,FALSE)*$Q373/100</f>
        <v>0</v>
      </c>
      <c r="AK373" s="583">
        <f>VLOOKUP($H373,Nutrition_tables!$A:$AF,24,FALSE)*$Q373/100</f>
        <v>0</v>
      </c>
      <c r="AL373" s="583">
        <f>VLOOKUP($H373,Nutrition_tables!$A:$AF,25,FALSE)*$Q373/100</f>
        <v>0</v>
      </c>
      <c r="AM373" s="583">
        <f>VLOOKUP($H373,Nutrition_tables!$A:$AF,26,FALSE)*$Q373/100</f>
        <v>0</v>
      </c>
      <c r="AN373" s="583">
        <f>VLOOKUP($H373,Nutrition_tables!$A:$AF,27,FALSE)*$Q373/100</f>
        <v>0</v>
      </c>
      <c r="AO373" s="583">
        <f>VLOOKUP($H373,Nutrition_tables!$A:$AF,28,FALSE)*$Q373/100</f>
        <v>0</v>
      </c>
      <c r="AP373" s="583">
        <f>VLOOKUP($H373,Nutrition_tables!$A:$AF,29,FALSE)*$Q373/100</f>
        <v>0</v>
      </c>
      <c r="AQ373" s="583">
        <f>VLOOKUP($H373,Nutrition_tables!$A:$AF,30,FALSE)*$Q373/100</f>
        <v>0</v>
      </c>
      <c r="AR373" s="583">
        <f>VLOOKUP($H373,Nutrition_tables!$A:$AF,31,FALSE)*$Q373/100</f>
        <v>0</v>
      </c>
      <c r="AS373" s="549">
        <f>VLOOKUP($H373,Nutrition_tables!$A:$AF,32,FALSE)*$Q373/100</f>
        <v>0</v>
      </c>
      <c r="AT373" s="583" t="str">
        <f>IF(H373="Select ingredient:","",IF(G373="Select food category:","",IFERROR(VLOOKUP($H373,Ingredient_prices!$E:$W,17,FALSE)*$Q373/1000,"not bought")))</f>
        <v/>
      </c>
      <c r="AU373" s="583" t="str">
        <f>IF(H373="Select ingredient:","",IF(G373="Select food category:","",IFERROR(VLOOKUP($H373,Ingredient_prices!$E:$W,18,FALSE)*$Q373/1000,"not bought")))</f>
        <v/>
      </c>
      <c r="AV373" s="583">
        <f t="shared" si="818"/>
        <v>0</v>
      </c>
      <c r="AW373" s="583">
        <f t="shared" si="819"/>
        <v>0</v>
      </c>
      <c r="AX373" s="583">
        <f t="shared" si="820"/>
        <v>0</v>
      </c>
      <c r="AY373" s="583">
        <f t="shared" si="821"/>
        <v>0</v>
      </c>
      <c r="AZ373" s="583">
        <f t="shared" si="822"/>
        <v>0</v>
      </c>
      <c r="BA373" s="583">
        <f t="shared" si="823"/>
        <v>0</v>
      </c>
      <c r="BB373" s="583">
        <f t="shared" si="824"/>
        <v>0</v>
      </c>
      <c r="BC373" s="583">
        <f t="shared" si="825"/>
        <v>0</v>
      </c>
      <c r="BD373" s="583">
        <f t="shared" si="826"/>
        <v>0</v>
      </c>
      <c r="BE373" s="583">
        <f t="shared" si="827"/>
        <v>0</v>
      </c>
      <c r="BF373" s="583">
        <f t="shared" si="828"/>
        <v>0</v>
      </c>
      <c r="BG373" s="583">
        <f t="shared" si="829"/>
        <v>0</v>
      </c>
      <c r="BH373" s="583">
        <f t="shared" si="830"/>
        <v>0</v>
      </c>
      <c r="BI373" s="583">
        <f t="shared" si="831"/>
        <v>0</v>
      </c>
      <c r="BJ373" s="583">
        <f t="shared" si="832"/>
        <v>0</v>
      </c>
      <c r="BK373" s="583">
        <f t="shared" si="833"/>
        <v>0</v>
      </c>
      <c r="BL373" s="583">
        <f t="shared" si="834"/>
        <v>0</v>
      </c>
      <c r="BM373" s="583">
        <f t="shared" si="835"/>
        <v>0</v>
      </c>
      <c r="BN373" s="583">
        <f t="shared" si="836"/>
        <v>0</v>
      </c>
      <c r="BO373" s="583">
        <f t="shared" si="837"/>
        <v>0</v>
      </c>
      <c r="BP373" s="583">
        <f t="shared" si="838"/>
        <v>0</v>
      </c>
      <c r="BQ373" s="583">
        <f t="shared" si="839"/>
        <v>0</v>
      </c>
      <c r="BR373" s="583">
        <f t="shared" si="840"/>
        <v>0</v>
      </c>
    </row>
    <row r="374" spans="1:70" s="229" customFormat="1" ht="15" customHeight="1">
      <c r="A374" s="643"/>
      <c r="D374" s="85"/>
      <c r="E374" s="576">
        <f t="shared" si="841"/>
        <v>100</v>
      </c>
      <c r="F374" s="707"/>
      <c r="G374" s="406" t="s">
        <v>3054</v>
      </c>
      <c r="H374" s="1262" t="s">
        <v>3055</v>
      </c>
      <c r="I374" s="85">
        <v>0</v>
      </c>
      <c r="J374" s="682">
        <v>1</v>
      </c>
      <c r="K374" s="579" t="str">
        <f t="shared" si="815"/>
        <v/>
      </c>
      <c r="L374" s="580" t="str">
        <f>IF(H374="Select ingredient:","",IF(G374="","",_xlfn.IFNA(VLOOKUP($H374,Ingredient_prices!$E:$U,16,FALSE),0)))</f>
        <v/>
      </c>
      <c r="M374" s="848"/>
      <c r="N374" s="848"/>
      <c r="O374" s="648"/>
      <c r="P374" s="653"/>
      <c r="Q374" s="583">
        <f t="shared" si="816"/>
        <v>0</v>
      </c>
      <c r="R374" s="583">
        <f>VLOOKUP($H374,'CO2_emission+%_food_waste'!$A:$K,6,FALSE)*$Q374/100</f>
        <v>0</v>
      </c>
      <c r="S374" s="583">
        <f t="shared" si="817"/>
        <v>0</v>
      </c>
      <c r="T374" s="583" t="str">
        <f>IF(H374="Select ingredient:","",IF(G374="Select food category:","",_xlfn.IFNA(VLOOKUP($H374,Ingredient_prices!$E:$U,16,FALSE)*$Q374/1000,"not bought")))</f>
        <v/>
      </c>
      <c r="U374" s="583" t="str">
        <f>IF(G374="Select food category:","",_xlfn.IFNA(VLOOKUP($H374,Ingredient_prices!$E:$U,16,FALSE)*$R374/1000,"not bought"))</f>
        <v/>
      </c>
      <c r="V374" s="549">
        <f>VLOOKUP($H374,'CO2_emission+%_food_waste'!$A:$K,4,FALSE)*$Q374</f>
        <v>0</v>
      </c>
      <c r="W374" s="583">
        <f>VLOOKUP($H374,Nutrition_tables!$A:$N,10,FALSE)*$Q374/100</f>
        <v>0</v>
      </c>
      <c r="X374" s="583">
        <f>VLOOKUP($H374,Nutrition_tables!$A:$N,11,FALSE)*$Q374/100</f>
        <v>0</v>
      </c>
      <c r="Y374" s="583">
        <f>VLOOKUP($H374,Nutrition_tables!$A:$N,12,FALSE)*$Q374/100</f>
        <v>0</v>
      </c>
      <c r="Z374" s="583">
        <f>VLOOKUP($H374,Nutrition_tables!$A:$N,14,FALSE)*$Q374/100</f>
        <v>0</v>
      </c>
      <c r="AA374" s="583">
        <f>VLOOKUP($H374,Nutrition_tables!$A:$AF,13,FALSE)*$Q374/100</f>
        <v>0</v>
      </c>
      <c r="AB374" s="549">
        <f>VLOOKUP($H374,Nutrition_tables!$A:$AF,15,FALSE)*$Q374/100</f>
        <v>0</v>
      </c>
      <c r="AC374" s="583">
        <f>VLOOKUP($H374,Nutrition_tables!$A:$AF,16,FALSE)*$Q374/100</f>
        <v>0</v>
      </c>
      <c r="AD374" s="583">
        <f>VLOOKUP($H374,Nutrition_tables!$A:$AF,17,FALSE)*$Q374/100</f>
        <v>0</v>
      </c>
      <c r="AE374" s="583">
        <f>VLOOKUP($H374,Nutrition_tables!$A:$AF,18,FALSE)*$Q374/100</f>
        <v>0</v>
      </c>
      <c r="AF374" s="583">
        <f>VLOOKUP($H374,Nutrition_tables!$A:$AF,19,FALSE)*$Q374/100</f>
        <v>0</v>
      </c>
      <c r="AG374" s="583">
        <f>VLOOKUP($H374,Nutrition_tables!$A:$AF,20,FALSE)*$Q374/100</f>
        <v>0</v>
      </c>
      <c r="AH374" s="583">
        <f>VLOOKUP($H374,Nutrition_tables!$A:$AF,21,FALSE)*$Q374/100</f>
        <v>0</v>
      </c>
      <c r="AI374" s="583">
        <f>VLOOKUP($H374,Nutrition_tables!$A:$AF,22,FALSE)*$Q374/100</f>
        <v>0</v>
      </c>
      <c r="AJ374" s="549">
        <f>VLOOKUP($H374,Nutrition_tables!$A:$AF,23,FALSE)*$Q374/100</f>
        <v>0</v>
      </c>
      <c r="AK374" s="583">
        <f>VLOOKUP($H374,Nutrition_tables!$A:$AF,24,FALSE)*$Q374/100</f>
        <v>0</v>
      </c>
      <c r="AL374" s="583">
        <f>VLOOKUP($H374,Nutrition_tables!$A:$AF,25,FALSE)*$Q374/100</f>
        <v>0</v>
      </c>
      <c r="AM374" s="583">
        <f>VLOOKUP($H374,Nutrition_tables!$A:$AF,26,FALSE)*$Q374/100</f>
        <v>0</v>
      </c>
      <c r="AN374" s="583">
        <f>VLOOKUP($H374,Nutrition_tables!$A:$AF,27,FALSE)*$Q374/100</f>
        <v>0</v>
      </c>
      <c r="AO374" s="583">
        <f>VLOOKUP($H374,Nutrition_tables!$A:$AF,28,FALSE)*$Q374/100</f>
        <v>0</v>
      </c>
      <c r="AP374" s="583">
        <f>VLOOKUP($H374,Nutrition_tables!$A:$AF,29,FALSE)*$Q374/100</f>
        <v>0</v>
      </c>
      <c r="AQ374" s="583">
        <f>VLOOKUP($H374,Nutrition_tables!$A:$AF,30,FALSE)*$Q374/100</f>
        <v>0</v>
      </c>
      <c r="AR374" s="583">
        <f>VLOOKUP($H374,Nutrition_tables!$A:$AF,31,FALSE)*$Q374/100</f>
        <v>0</v>
      </c>
      <c r="AS374" s="549">
        <f>VLOOKUP($H374,Nutrition_tables!$A:$AF,32,FALSE)*$Q374/100</f>
        <v>0</v>
      </c>
      <c r="AT374" s="583" t="str">
        <f>IF(H374="Select ingredient:","",IF(G374="Select food category:","",IFERROR(VLOOKUP($H374,Ingredient_prices!$E:$W,17,FALSE)*$Q374/1000,"not bought")))</f>
        <v/>
      </c>
      <c r="AU374" s="583" t="str">
        <f>IF(H374="Select ingredient:","",IF(G374="Select food category:","",IFERROR(VLOOKUP($H374,Ingredient_prices!$E:$W,18,FALSE)*$Q374/1000,"not bought")))</f>
        <v/>
      </c>
      <c r="AV374" s="583">
        <f t="shared" si="818"/>
        <v>0</v>
      </c>
      <c r="AW374" s="583">
        <f t="shared" si="819"/>
        <v>0</v>
      </c>
      <c r="AX374" s="583">
        <f t="shared" si="820"/>
        <v>0</v>
      </c>
      <c r="AY374" s="583">
        <f t="shared" si="821"/>
        <v>0</v>
      </c>
      <c r="AZ374" s="583">
        <f t="shared" si="822"/>
        <v>0</v>
      </c>
      <c r="BA374" s="583">
        <f t="shared" si="823"/>
        <v>0</v>
      </c>
      <c r="BB374" s="583">
        <f t="shared" si="824"/>
        <v>0</v>
      </c>
      <c r="BC374" s="583">
        <f t="shared" si="825"/>
        <v>0</v>
      </c>
      <c r="BD374" s="583">
        <f t="shared" si="826"/>
        <v>0</v>
      </c>
      <c r="BE374" s="583">
        <f t="shared" si="827"/>
        <v>0</v>
      </c>
      <c r="BF374" s="583">
        <f t="shared" si="828"/>
        <v>0</v>
      </c>
      <c r="BG374" s="583">
        <f t="shared" si="829"/>
        <v>0</v>
      </c>
      <c r="BH374" s="583">
        <f t="shared" si="830"/>
        <v>0</v>
      </c>
      <c r="BI374" s="583">
        <f t="shared" si="831"/>
        <v>0</v>
      </c>
      <c r="BJ374" s="583">
        <f t="shared" si="832"/>
        <v>0</v>
      </c>
      <c r="BK374" s="583">
        <f t="shared" si="833"/>
        <v>0</v>
      </c>
      <c r="BL374" s="583">
        <f t="shared" si="834"/>
        <v>0</v>
      </c>
      <c r="BM374" s="583">
        <f t="shared" si="835"/>
        <v>0</v>
      </c>
      <c r="BN374" s="583">
        <f t="shared" si="836"/>
        <v>0</v>
      </c>
      <c r="BO374" s="583">
        <f t="shared" si="837"/>
        <v>0</v>
      </c>
      <c r="BP374" s="583">
        <f t="shared" si="838"/>
        <v>0</v>
      </c>
      <c r="BQ374" s="583">
        <f t="shared" si="839"/>
        <v>0</v>
      </c>
      <c r="BR374" s="583">
        <f t="shared" si="840"/>
        <v>0</v>
      </c>
    </row>
    <row r="375" spans="1:70" s="229" customFormat="1" ht="15" customHeight="1">
      <c r="A375" s="643"/>
      <c r="D375" s="406"/>
      <c r="E375" s="576">
        <f t="shared" si="841"/>
        <v>100</v>
      </c>
      <c r="F375" s="707"/>
      <c r="G375" s="406" t="s">
        <v>3054</v>
      </c>
      <c r="H375" s="1262" t="s">
        <v>3055</v>
      </c>
      <c r="I375" s="85">
        <v>0</v>
      </c>
      <c r="J375" s="682">
        <v>1</v>
      </c>
      <c r="K375" s="579" t="str">
        <f t="shared" si="815"/>
        <v/>
      </c>
      <c r="L375" s="580" t="str">
        <f>IF(H375="Select ingredient:","",IF(G375="","",_xlfn.IFNA(VLOOKUP($H375,Ingredient_prices!$E:$U,16,FALSE),0)))</f>
        <v/>
      </c>
      <c r="M375" s="848"/>
      <c r="N375" s="848"/>
      <c r="O375" s="648"/>
      <c r="P375" s="653"/>
      <c r="Q375" s="583">
        <f t="shared" si="816"/>
        <v>0</v>
      </c>
      <c r="R375" s="583">
        <f>VLOOKUP($H375,'CO2_emission+%_food_waste'!$A:$K,6,FALSE)*$Q375/100</f>
        <v>0</v>
      </c>
      <c r="S375" s="583">
        <f t="shared" si="817"/>
        <v>0</v>
      </c>
      <c r="T375" s="583" t="str">
        <f>IF(H375="Select ingredient:","",IF(G375="Select food category:","",_xlfn.IFNA(VLOOKUP($H375,Ingredient_prices!$E:$U,16,FALSE)*$Q375/1000,"not bought")))</f>
        <v/>
      </c>
      <c r="U375" s="583" t="str">
        <f>IF(G375="Select food category:","",_xlfn.IFNA(VLOOKUP($H375,Ingredient_prices!$E:$U,16,FALSE)*$R375/1000,"not bought"))</f>
        <v/>
      </c>
      <c r="V375" s="549">
        <f>VLOOKUP($H375,'CO2_emission+%_food_waste'!$A:$K,4,FALSE)*$Q375</f>
        <v>0</v>
      </c>
      <c r="W375" s="583">
        <f>VLOOKUP($H375,Nutrition_tables!$A:$N,10,FALSE)*$Q375/100</f>
        <v>0</v>
      </c>
      <c r="X375" s="583">
        <f>VLOOKUP($H375,Nutrition_tables!$A:$N,11,FALSE)*$Q375/100</f>
        <v>0</v>
      </c>
      <c r="Y375" s="583">
        <f>VLOOKUP($H375,Nutrition_tables!$A:$N,12,FALSE)*$Q375/100</f>
        <v>0</v>
      </c>
      <c r="Z375" s="583">
        <f>VLOOKUP($H375,Nutrition_tables!$A:$N,14,FALSE)*$Q375/100</f>
        <v>0</v>
      </c>
      <c r="AA375" s="583">
        <f>VLOOKUP($H375,Nutrition_tables!$A:$AF,13,FALSE)*$Q375/100</f>
        <v>0</v>
      </c>
      <c r="AB375" s="549">
        <f>VLOOKUP($H375,Nutrition_tables!$A:$AF,15,FALSE)*$Q375/100</f>
        <v>0</v>
      </c>
      <c r="AC375" s="583">
        <f>VLOOKUP($H375,Nutrition_tables!$A:$AF,16,FALSE)*$Q375/100</f>
        <v>0</v>
      </c>
      <c r="AD375" s="583">
        <f>VLOOKUP($H375,Nutrition_tables!$A:$AF,17,FALSE)*$Q375/100</f>
        <v>0</v>
      </c>
      <c r="AE375" s="583">
        <f>VLOOKUP($H375,Nutrition_tables!$A:$AF,18,FALSE)*$Q375/100</f>
        <v>0</v>
      </c>
      <c r="AF375" s="583">
        <f>VLOOKUP($H375,Nutrition_tables!$A:$AF,19,FALSE)*$Q375/100</f>
        <v>0</v>
      </c>
      <c r="AG375" s="583">
        <f>VLOOKUP($H375,Nutrition_tables!$A:$AF,20,FALSE)*$Q375/100</f>
        <v>0</v>
      </c>
      <c r="AH375" s="583">
        <f>VLOOKUP($H375,Nutrition_tables!$A:$AF,21,FALSE)*$Q375/100</f>
        <v>0</v>
      </c>
      <c r="AI375" s="583">
        <f>VLOOKUP($H375,Nutrition_tables!$A:$AF,22,FALSE)*$Q375/100</f>
        <v>0</v>
      </c>
      <c r="AJ375" s="549">
        <f>VLOOKUP($H375,Nutrition_tables!$A:$AF,23,FALSE)*$Q375/100</f>
        <v>0</v>
      </c>
      <c r="AK375" s="583">
        <f>VLOOKUP($H375,Nutrition_tables!$A:$AF,24,FALSE)*$Q375/100</f>
        <v>0</v>
      </c>
      <c r="AL375" s="583">
        <f>VLOOKUP($H375,Nutrition_tables!$A:$AF,25,FALSE)*$Q375/100</f>
        <v>0</v>
      </c>
      <c r="AM375" s="583">
        <f>VLOOKUP($H375,Nutrition_tables!$A:$AF,26,FALSE)*$Q375/100</f>
        <v>0</v>
      </c>
      <c r="AN375" s="583">
        <f>VLOOKUP($H375,Nutrition_tables!$A:$AF,27,FALSE)*$Q375/100</f>
        <v>0</v>
      </c>
      <c r="AO375" s="583">
        <f>VLOOKUP($H375,Nutrition_tables!$A:$AF,28,FALSE)*$Q375/100</f>
        <v>0</v>
      </c>
      <c r="AP375" s="583">
        <f>VLOOKUP($H375,Nutrition_tables!$A:$AF,29,FALSE)*$Q375/100</f>
        <v>0</v>
      </c>
      <c r="AQ375" s="583">
        <f>VLOOKUP($H375,Nutrition_tables!$A:$AF,30,FALSE)*$Q375/100</f>
        <v>0</v>
      </c>
      <c r="AR375" s="583">
        <f>VLOOKUP($H375,Nutrition_tables!$A:$AF,31,FALSE)*$Q375/100</f>
        <v>0</v>
      </c>
      <c r="AS375" s="549">
        <f>VLOOKUP($H375,Nutrition_tables!$A:$AF,32,FALSE)*$Q375/100</f>
        <v>0</v>
      </c>
      <c r="AT375" s="583" t="str">
        <f>IF(H375="Select ingredient:","",IF(G375="Select food category:","",IFERROR(VLOOKUP($H375,Ingredient_prices!$E:$W,17,FALSE)*$Q375/1000,"not bought")))</f>
        <v/>
      </c>
      <c r="AU375" s="583" t="str">
        <f>IF(H375="Select ingredient:","",IF(G375="Select food category:","",IFERROR(VLOOKUP($H375,Ingredient_prices!$E:$W,18,FALSE)*$Q375/1000,"not bought")))</f>
        <v/>
      </c>
      <c r="AV375" s="583">
        <f t="shared" si="818"/>
        <v>0</v>
      </c>
      <c r="AW375" s="583">
        <f t="shared" si="819"/>
        <v>0</v>
      </c>
      <c r="AX375" s="583">
        <f t="shared" si="820"/>
        <v>0</v>
      </c>
      <c r="AY375" s="583">
        <f t="shared" si="821"/>
        <v>0</v>
      </c>
      <c r="AZ375" s="583">
        <f t="shared" si="822"/>
        <v>0</v>
      </c>
      <c r="BA375" s="583">
        <f t="shared" si="823"/>
        <v>0</v>
      </c>
      <c r="BB375" s="583">
        <f t="shared" si="824"/>
        <v>0</v>
      </c>
      <c r="BC375" s="583">
        <f t="shared" si="825"/>
        <v>0</v>
      </c>
      <c r="BD375" s="583">
        <f t="shared" si="826"/>
        <v>0</v>
      </c>
      <c r="BE375" s="583">
        <f t="shared" si="827"/>
        <v>0</v>
      </c>
      <c r="BF375" s="583">
        <f t="shared" si="828"/>
        <v>0</v>
      </c>
      <c r="BG375" s="583">
        <f t="shared" si="829"/>
        <v>0</v>
      </c>
      <c r="BH375" s="583">
        <f t="shared" si="830"/>
        <v>0</v>
      </c>
      <c r="BI375" s="583">
        <f t="shared" si="831"/>
        <v>0</v>
      </c>
      <c r="BJ375" s="583">
        <f t="shared" si="832"/>
        <v>0</v>
      </c>
      <c r="BK375" s="583">
        <f t="shared" si="833"/>
        <v>0</v>
      </c>
      <c r="BL375" s="583">
        <f t="shared" si="834"/>
        <v>0</v>
      </c>
      <c r="BM375" s="583">
        <f t="shared" si="835"/>
        <v>0</v>
      </c>
      <c r="BN375" s="583">
        <f t="shared" si="836"/>
        <v>0</v>
      </c>
      <c r="BO375" s="583">
        <f t="shared" si="837"/>
        <v>0</v>
      </c>
      <c r="BP375" s="583">
        <f t="shared" si="838"/>
        <v>0</v>
      </c>
      <c r="BQ375" s="583">
        <f t="shared" si="839"/>
        <v>0</v>
      </c>
      <c r="BR375" s="583">
        <f t="shared" si="840"/>
        <v>0</v>
      </c>
    </row>
    <row r="376" spans="1:70" s="229" customFormat="1" ht="15" customHeight="1">
      <c r="A376" s="643"/>
      <c r="D376" s="85"/>
      <c r="E376" s="576">
        <f t="shared" si="841"/>
        <v>100</v>
      </c>
      <c r="F376" s="707"/>
      <c r="G376" s="406" t="s">
        <v>3054</v>
      </c>
      <c r="H376" s="1262" t="s">
        <v>3055</v>
      </c>
      <c r="I376" s="85">
        <v>0</v>
      </c>
      <c r="J376" s="682">
        <v>1</v>
      </c>
      <c r="K376" s="579" t="str">
        <f t="shared" si="815"/>
        <v/>
      </c>
      <c r="L376" s="580" t="str">
        <f>IF(H376="Select ingredient:","",IF(G376="","",_xlfn.IFNA(VLOOKUP($H376,Ingredient_prices!$E:$U,16,FALSE),0)))</f>
        <v/>
      </c>
      <c r="M376" s="848"/>
      <c r="N376" s="848"/>
      <c r="O376" s="648"/>
      <c r="P376" s="653"/>
      <c r="Q376" s="583">
        <f t="shared" si="816"/>
        <v>0</v>
      </c>
      <c r="R376" s="583">
        <f>VLOOKUP($H376,'CO2_emission+%_food_waste'!$A:$K,6,FALSE)*$Q376/100</f>
        <v>0</v>
      </c>
      <c r="S376" s="583">
        <f t="shared" si="817"/>
        <v>0</v>
      </c>
      <c r="T376" s="583" t="str">
        <f>IF(H376="Select ingredient:","",IF(G376="Select food category:","",_xlfn.IFNA(VLOOKUP($H376,Ingredient_prices!$E:$U,16,FALSE)*$Q376/1000,"not bought")))</f>
        <v/>
      </c>
      <c r="U376" s="583" t="str">
        <f>IF(G376="Select food category:","",_xlfn.IFNA(VLOOKUP($H376,Ingredient_prices!$E:$U,16,FALSE)*$R376/1000,"not bought"))</f>
        <v/>
      </c>
      <c r="V376" s="549">
        <f>VLOOKUP($H376,'CO2_emission+%_food_waste'!$A:$K,4,FALSE)*$Q376</f>
        <v>0</v>
      </c>
      <c r="W376" s="583">
        <f>VLOOKUP($H376,Nutrition_tables!$A:$N,10,FALSE)*$Q376/100</f>
        <v>0</v>
      </c>
      <c r="X376" s="583">
        <f>VLOOKUP($H376,Nutrition_tables!$A:$N,11,FALSE)*$Q376/100</f>
        <v>0</v>
      </c>
      <c r="Y376" s="583">
        <f>VLOOKUP($H376,Nutrition_tables!$A:$N,12,FALSE)*$Q376/100</f>
        <v>0</v>
      </c>
      <c r="Z376" s="583">
        <f>VLOOKUP($H376,Nutrition_tables!$A:$N,14,FALSE)*$Q376/100</f>
        <v>0</v>
      </c>
      <c r="AA376" s="583">
        <f>VLOOKUP($H376,Nutrition_tables!$A:$AF,13,FALSE)*$Q376/100</f>
        <v>0</v>
      </c>
      <c r="AB376" s="549">
        <f>VLOOKUP($H376,Nutrition_tables!$A:$AF,15,FALSE)*$Q376/100</f>
        <v>0</v>
      </c>
      <c r="AC376" s="583">
        <f>VLOOKUP($H376,Nutrition_tables!$A:$AF,16,FALSE)*$Q376/100</f>
        <v>0</v>
      </c>
      <c r="AD376" s="583">
        <f>VLOOKUP($H376,Nutrition_tables!$A:$AF,17,FALSE)*$Q376/100</f>
        <v>0</v>
      </c>
      <c r="AE376" s="583">
        <f>VLOOKUP($H376,Nutrition_tables!$A:$AF,18,FALSE)*$Q376/100</f>
        <v>0</v>
      </c>
      <c r="AF376" s="583">
        <f>VLOOKUP($H376,Nutrition_tables!$A:$AF,19,FALSE)*$Q376/100</f>
        <v>0</v>
      </c>
      <c r="AG376" s="583">
        <f>VLOOKUP($H376,Nutrition_tables!$A:$AF,20,FALSE)*$Q376/100</f>
        <v>0</v>
      </c>
      <c r="AH376" s="583">
        <f>VLOOKUP($H376,Nutrition_tables!$A:$AF,21,FALSE)*$Q376/100</f>
        <v>0</v>
      </c>
      <c r="AI376" s="583">
        <f>VLOOKUP($H376,Nutrition_tables!$A:$AF,22,FALSE)*$Q376/100</f>
        <v>0</v>
      </c>
      <c r="AJ376" s="549">
        <f>VLOOKUP($H376,Nutrition_tables!$A:$AF,23,FALSE)*$Q376/100</f>
        <v>0</v>
      </c>
      <c r="AK376" s="583">
        <f>VLOOKUP($H376,Nutrition_tables!$A:$AF,24,FALSE)*$Q376/100</f>
        <v>0</v>
      </c>
      <c r="AL376" s="583">
        <f>VLOOKUP($H376,Nutrition_tables!$A:$AF,25,FALSE)*$Q376/100</f>
        <v>0</v>
      </c>
      <c r="AM376" s="583">
        <f>VLOOKUP($H376,Nutrition_tables!$A:$AF,26,FALSE)*$Q376/100</f>
        <v>0</v>
      </c>
      <c r="AN376" s="583">
        <f>VLOOKUP($H376,Nutrition_tables!$A:$AF,27,FALSE)*$Q376/100</f>
        <v>0</v>
      </c>
      <c r="AO376" s="583">
        <f>VLOOKUP($H376,Nutrition_tables!$A:$AF,28,FALSE)*$Q376/100</f>
        <v>0</v>
      </c>
      <c r="AP376" s="583">
        <f>VLOOKUP($H376,Nutrition_tables!$A:$AF,29,FALSE)*$Q376/100</f>
        <v>0</v>
      </c>
      <c r="AQ376" s="583">
        <f>VLOOKUP($H376,Nutrition_tables!$A:$AF,30,FALSE)*$Q376/100</f>
        <v>0</v>
      </c>
      <c r="AR376" s="583">
        <f>VLOOKUP($H376,Nutrition_tables!$A:$AF,31,FALSE)*$Q376/100</f>
        <v>0</v>
      </c>
      <c r="AS376" s="549">
        <f>VLOOKUP($H376,Nutrition_tables!$A:$AF,32,FALSE)*$Q376/100</f>
        <v>0</v>
      </c>
      <c r="AT376" s="583" t="str">
        <f>IF(H376="Select ingredient:","",IF(G376="Select food category:","",IFERROR(VLOOKUP($H376,Ingredient_prices!$E:$W,17,FALSE)*$Q376/1000,"not bought")))</f>
        <v/>
      </c>
      <c r="AU376" s="583" t="str">
        <f>IF(H376="Select ingredient:","",IF(G376="Select food category:","",IFERROR(VLOOKUP($H376,Ingredient_prices!$E:$W,18,FALSE)*$Q376/1000,"not bought")))</f>
        <v/>
      </c>
      <c r="AV376" s="583">
        <f t="shared" si="818"/>
        <v>0</v>
      </c>
      <c r="AW376" s="583">
        <f t="shared" si="819"/>
        <v>0</v>
      </c>
      <c r="AX376" s="583">
        <f t="shared" si="820"/>
        <v>0</v>
      </c>
      <c r="AY376" s="583">
        <f t="shared" si="821"/>
        <v>0</v>
      </c>
      <c r="AZ376" s="583">
        <f t="shared" si="822"/>
        <v>0</v>
      </c>
      <c r="BA376" s="583">
        <f t="shared" si="823"/>
        <v>0</v>
      </c>
      <c r="BB376" s="583">
        <f t="shared" si="824"/>
        <v>0</v>
      </c>
      <c r="BC376" s="583">
        <f t="shared" si="825"/>
        <v>0</v>
      </c>
      <c r="BD376" s="583">
        <f t="shared" si="826"/>
        <v>0</v>
      </c>
      <c r="BE376" s="583">
        <f t="shared" si="827"/>
        <v>0</v>
      </c>
      <c r="BF376" s="583">
        <f t="shared" si="828"/>
        <v>0</v>
      </c>
      <c r="BG376" s="583">
        <f t="shared" si="829"/>
        <v>0</v>
      </c>
      <c r="BH376" s="583">
        <f t="shared" si="830"/>
        <v>0</v>
      </c>
      <c r="BI376" s="583">
        <f t="shared" si="831"/>
        <v>0</v>
      </c>
      <c r="BJ376" s="583">
        <f t="shared" si="832"/>
        <v>0</v>
      </c>
      <c r="BK376" s="583">
        <f t="shared" si="833"/>
        <v>0</v>
      </c>
      <c r="BL376" s="583">
        <f t="shared" si="834"/>
        <v>0</v>
      </c>
      <c r="BM376" s="583">
        <f t="shared" si="835"/>
        <v>0</v>
      </c>
      <c r="BN376" s="583">
        <f t="shared" si="836"/>
        <v>0</v>
      </c>
      <c r="BO376" s="583">
        <f t="shared" si="837"/>
        <v>0</v>
      </c>
      <c r="BP376" s="583">
        <f t="shared" si="838"/>
        <v>0</v>
      </c>
      <c r="BQ376" s="583">
        <f t="shared" si="839"/>
        <v>0</v>
      </c>
      <c r="BR376" s="583">
        <f t="shared" si="840"/>
        <v>0</v>
      </c>
    </row>
    <row r="377" spans="1:70" s="229" customFormat="1" ht="15" customHeight="1">
      <c r="A377" s="643"/>
      <c r="D377" s="85"/>
      <c r="E377" s="576">
        <f t="shared" si="841"/>
        <v>100</v>
      </c>
      <c r="F377" s="707"/>
      <c r="G377" s="406" t="s">
        <v>3054</v>
      </c>
      <c r="H377" s="1262" t="s">
        <v>3055</v>
      </c>
      <c r="I377" s="85">
        <v>0</v>
      </c>
      <c r="J377" s="682">
        <v>1</v>
      </c>
      <c r="K377" s="579" t="str">
        <f t="shared" si="815"/>
        <v/>
      </c>
      <c r="L377" s="580" t="str">
        <f>IF(H377="Select ingredient:","",IF(G377="","",_xlfn.IFNA(VLOOKUP($H377,Ingredient_prices!$E:$U,16,FALSE),0)))</f>
        <v/>
      </c>
      <c r="M377" s="848"/>
      <c r="N377" s="848"/>
      <c r="O377" s="648"/>
      <c r="P377" s="653"/>
      <c r="Q377" s="583">
        <f t="shared" si="816"/>
        <v>0</v>
      </c>
      <c r="R377" s="583">
        <f>VLOOKUP($H377,'CO2_emission+%_food_waste'!$A:$K,6,FALSE)*$Q377/100</f>
        <v>0</v>
      </c>
      <c r="S377" s="583">
        <f t="shared" si="817"/>
        <v>0</v>
      </c>
      <c r="T377" s="583" t="str">
        <f>IF(H377="Select ingredient:","",IF(G377="Select food category:","",_xlfn.IFNA(VLOOKUP($H377,Ingredient_prices!$E:$U,16,FALSE)*$Q377/1000,"not bought")))</f>
        <v/>
      </c>
      <c r="U377" s="583" t="str">
        <f>IF(G377="Select food category:","",_xlfn.IFNA(VLOOKUP($H377,Ingredient_prices!$E:$U,16,FALSE)*$R377/1000,"not bought"))</f>
        <v/>
      </c>
      <c r="V377" s="549">
        <f>VLOOKUP($H377,'CO2_emission+%_food_waste'!$A:$K,4,FALSE)*$Q377</f>
        <v>0</v>
      </c>
      <c r="W377" s="583">
        <f>VLOOKUP($H377,Nutrition_tables!$A:$N,10,FALSE)*$Q377/100</f>
        <v>0</v>
      </c>
      <c r="X377" s="583">
        <f>VLOOKUP($H377,Nutrition_tables!$A:$N,11,FALSE)*$Q377/100</f>
        <v>0</v>
      </c>
      <c r="Y377" s="583">
        <f>VLOOKUP($H377,Nutrition_tables!$A:$N,12,FALSE)*$Q377/100</f>
        <v>0</v>
      </c>
      <c r="Z377" s="583">
        <f>VLOOKUP($H377,Nutrition_tables!$A:$N,14,FALSE)*$Q377/100</f>
        <v>0</v>
      </c>
      <c r="AA377" s="583">
        <f>VLOOKUP($H377,Nutrition_tables!$A:$AF,13,FALSE)*$Q377/100</f>
        <v>0</v>
      </c>
      <c r="AB377" s="549">
        <f>VLOOKUP($H377,Nutrition_tables!$A:$AF,15,FALSE)*$Q377/100</f>
        <v>0</v>
      </c>
      <c r="AC377" s="583">
        <f>VLOOKUP($H377,Nutrition_tables!$A:$AF,16,FALSE)*$Q377/100</f>
        <v>0</v>
      </c>
      <c r="AD377" s="583">
        <f>VLOOKUP($H377,Nutrition_tables!$A:$AF,17,FALSE)*$Q377/100</f>
        <v>0</v>
      </c>
      <c r="AE377" s="583">
        <f>VLOOKUP($H377,Nutrition_tables!$A:$AF,18,FALSE)*$Q377/100</f>
        <v>0</v>
      </c>
      <c r="AF377" s="583">
        <f>VLOOKUP($H377,Nutrition_tables!$A:$AF,19,FALSE)*$Q377/100</f>
        <v>0</v>
      </c>
      <c r="AG377" s="583">
        <f>VLOOKUP($H377,Nutrition_tables!$A:$AF,20,FALSE)*$Q377/100</f>
        <v>0</v>
      </c>
      <c r="AH377" s="583">
        <f>VLOOKUP($H377,Nutrition_tables!$A:$AF,21,FALSE)*$Q377/100</f>
        <v>0</v>
      </c>
      <c r="AI377" s="583">
        <f>VLOOKUP($H377,Nutrition_tables!$A:$AF,22,FALSE)*$Q377/100</f>
        <v>0</v>
      </c>
      <c r="AJ377" s="549">
        <f>VLOOKUP($H377,Nutrition_tables!$A:$AF,23,FALSE)*$Q377/100</f>
        <v>0</v>
      </c>
      <c r="AK377" s="583">
        <f>VLOOKUP($H377,Nutrition_tables!$A:$AF,24,FALSE)*$Q377/100</f>
        <v>0</v>
      </c>
      <c r="AL377" s="583">
        <f>VLOOKUP($H377,Nutrition_tables!$A:$AF,25,FALSE)*$Q377/100</f>
        <v>0</v>
      </c>
      <c r="AM377" s="583">
        <f>VLOOKUP($H377,Nutrition_tables!$A:$AF,26,FALSE)*$Q377/100</f>
        <v>0</v>
      </c>
      <c r="AN377" s="583">
        <f>VLOOKUP($H377,Nutrition_tables!$A:$AF,27,FALSE)*$Q377/100</f>
        <v>0</v>
      </c>
      <c r="AO377" s="583">
        <f>VLOOKUP($H377,Nutrition_tables!$A:$AF,28,FALSE)*$Q377/100</f>
        <v>0</v>
      </c>
      <c r="AP377" s="583">
        <f>VLOOKUP($H377,Nutrition_tables!$A:$AF,29,FALSE)*$Q377/100</f>
        <v>0</v>
      </c>
      <c r="AQ377" s="583">
        <f>VLOOKUP($H377,Nutrition_tables!$A:$AF,30,FALSE)*$Q377/100</f>
        <v>0</v>
      </c>
      <c r="AR377" s="583">
        <f>VLOOKUP($H377,Nutrition_tables!$A:$AF,31,FALSE)*$Q377/100</f>
        <v>0</v>
      </c>
      <c r="AS377" s="549">
        <f>VLOOKUP($H377,Nutrition_tables!$A:$AF,32,FALSE)*$Q377/100</f>
        <v>0</v>
      </c>
      <c r="AT377" s="583" t="str">
        <f>IF(H377="Select ingredient:","",IF(G377="Select food category:","",IFERROR(VLOOKUP($H377,Ingredient_prices!$E:$W,17,FALSE)*$Q377/1000,"not bought")))</f>
        <v/>
      </c>
      <c r="AU377" s="583" t="str">
        <f>IF(H377="Select ingredient:","",IF(G377="Select food category:","",IFERROR(VLOOKUP($H377,Ingredient_prices!$E:$W,18,FALSE)*$Q377/1000,"not bought")))</f>
        <v/>
      </c>
      <c r="AV377" s="583">
        <f t="shared" si="818"/>
        <v>0</v>
      </c>
      <c r="AW377" s="583">
        <f t="shared" si="819"/>
        <v>0</v>
      </c>
      <c r="AX377" s="583">
        <f t="shared" si="820"/>
        <v>0</v>
      </c>
      <c r="AY377" s="583">
        <f t="shared" si="821"/>
        <v>0</v>
      </c>
      <c r="AZ377" s="583">
        <f t="shared" si="822"/>
        <v>0</v>
      </c>
      <c r="BA377" s="583">
        <f t="shared" si="823"/>
        <v>0</v>
      </c>
      <c r="BB377" s="583">
        <f t="shared" si="824"/>
        <v>0</v>
      </c>
      <c r="BC377" s="583">
        <f t="shared" si="825"/>
        <v>0</v>
      </c>
      <c r="BD377" s="583">
        <f t="shared" si="826"/>
        <v>0</v>
      </c>
      <c r="BE377" s="583">
        <f t="shared" si="827"/>
        <v>0</v>
      </c>
      <c r="BF377" s="583">
        <f t="shared" si="828"/>
        <v>0</v>
      </c>
      <c r="BG377" s="583">
        <f t="shared" si="829"/>
        <v>0</v>
      </c>
      <c r="BH377" s="583">
        <f t="shared" si="830"/>
        <v>0</v>
      </c>
      <c r="BI377" s="583">
        <f t="shared" si="831"/>
        <v>0</v>
      </c>
      <c r="BJ377" s="583">
        <f t="shared" si="832"/>
        <v>0</v>
      </c>
      <c r="BK377" s="583">
        <f t="shared" si="833"/>
        <v>0</v>
      </c>
      <c r="BL377" s="583">
        <f t="shared" si="834"/>
        <v>0</v>
      </c>
      <c r="BM377" s="583">
        <f t="shared" si="835"/>
        <v>0</v>
      </c>
      <c r="BN377" s="583">
        <f t="shared" si="836"/>
        <v>0</v>
      </c>
      <c r="BO377" s="583">
        <f t="shared" si="837"/>
        <v>0</v>
      </c>
      <c r="BP377" s="583">
        <f t="shared" si="838"/>
        <v>0</v>
      </c>
      <c r="BQ377" s="583">
        <f t="shared" si="839"/>
        <v>0</v>
      </c>
      <c r="BR377" s="583">
        <f t="shared" si="840"/>
        <v>0</v>
      </c>
    </row>
    <row r="378" spans="1:70" s="229" customFormat="1" ht="15" customHeight="1">
      <c r="A378" s="643"/>
      <c r="D378" s="85"/>
      <c r="E378" s="576">
        <f t="shared" si="841"/>
        <v>100</v>
      </c>
      <c r="F378" s="707"/>
      <c r="G378" s="406" t="s">
        <v>3054</v>
      </c>
      <c r="H378" s="1262" t="s">
        <v>3055</v>
      </c>
      <c r="I378" s="85">
        <v>0</v>
      </c>
      <c r="J378" s="682">
        <v>1</v>
      </c>
      <c r="K378" s="579" t="str">
        <f t="shared" si="815"/>
        <v/>
      </c>
      <c r="L378" s="580" t="str">
        <f>IF(H378="Select ingredient:","",IF(G378="","",_xlfn.IFNA(VLOOKUP($H378,Ingredient_prices!$E:$U,16,FALSE),0)))</f>
        <v/>
      </c>
      <c r="M378" s="848"/>
      <c r="N378" s="848"/>
      <c r="O378" s="648"/>
      <c r="P378" s="653"/>
      <c r="Q378" s="583">
        <f t="shared" si="816"/>
        <v>0</v>
      </c>
      <c r="R378" s="583">
        <f>VLOOKUP($H378,'CO2_emission+%_food_waste'!$A:$K,6,FALSE)*$Q378/100</f>
        <v>0</v>
      </c>
      <c r="S378" s="583">
        <f t="shared" si="817"/>
        <v>0</v>
      </c>
      <c r="T378" s="583" t="str">
        <f>IF(H378="Select ingredient:","",IF(G378="Select food category:","",_xlfn.IFNA(VLOOKUP($H378,Ingredient_prices!$E:$U,16,FALSE)*$Q378/1000,"not bought")))</f>
        <v/>
      </c>
      <c r="U378" s="583" t="str">
        <f>IF(G378="Select food category:","",_xlfn.IFNA(VLOOKUP($H378,Ingredient_prices!$E:$U,16,FALSE)*$R378/1000,"not bought"))</f>
        <v/>
      </c>
      <c r="V378" s="549">
        <f>VLOOKUP($H378,'CO2_emission+%_food_waste'!$A:$K,4,FALSE)*$Q378</f>
        <v>0</v>
      </c>
      <c r="W378" s="583">
        <f>VLOOKUP($H378,Nutrition_tables!$A:$N,10,FALSE)*$Q378/100</f>
        <v>0</v>
      </c>
      <c r="X378" s="583">
        <f>VLOOKUP($H378,Nutrition_tables!$A:$N,11,FALSE)*$Q378/100</f>
        <v>0</v>
      </c>
      <c r="Y378" s="583">
        <f>VLOOKUP($H378,Nutrition_tables!$A:$N,12,FALSE)*$Q378/100</f>
        <v>0</v>
      </c>
      <c r="Z378" s="583">
        <f>VLOOKUP($H378,Nutrition_tables!$A:$N,14,FALSE)*$Q378/100</f>
        <v>0</v>
      </c>
      <c r="AA378" s="583">
        <f>VLOOKUP($H378,Nutrition_tables!$A:$AF,13,FALSE)*$Q378/100</f>
        <v>0</v>
      </c>
      <c r="AB378" s="549">
        <f>VLOOKUP($H378,Nutrition_tables!$A:$AF,15,FALSE)*$Q378/100</f>
        <v>0</v>
      </c>
      <c r="AC378" s="583">
        <f>VLOOKUP($H378,Nutrition_tables!$A:$AF,16,FALSE)*$Q378/100</f>
        <v>0</v>
      </c>
      <c r="AD378" s="583">
        <f>VLOOKUP($H378,Nutrition_tables!$A:$AF,17,FALSE)*$Q378/100</f>
        <v>0</v>
      </c>
      <c r="AE378" s="583">
        <f>VLOOKUP($H378,Nutrition_tables!$A:$AF,18,FALSE)*$Q378/100</f>
        <v>0</v>
      </c>
      <c r="AF378" s="583">
        <f>VLOOKUP($H378,Nutrition_tables!$A:$AF,19,FALSE)*$Q378/100</f>
        <v>0</v>
      </c>
      <c r="AG378" s="583">
        <f>VLOOKUP($H378,Nutrition_tables!$A:$AF,20,FALSE)*$Q378/100</f>
        <v>0</v>
      </c>
      <c r="AH378" s="583">
        <f>VLOOKUP($H378,Nutrition_tables!$A:$AF,21,FALSE)*$Q378/100</f>
        <v>0</v>
      </c>
      <c r="AI378" s="583">
        <f>VLOOKUP($H378,Nutrition_tables!$A:$AF,22,FALSE)*$Q378/100</f>
        <v>0</v>
      </c>
      <c r="AJ378" s="549">
        <f>VLOOKUP($H378,Nutrition_tables!$A:$AF,23,FALSE)*$Q378/100</f>
        <v>0</v>
      </c>
      <c r="AK378" s="583">
        <f>VLOOKUP($H378,Nutrition_tables!$A:$AF,24,FALSE)*$Q378/100</f>
        <v>0</v>
      </c>
      <c r="AL378" s="583">
        <f>VLOOKUP($H378,Nutrition_tables!$A:$AF,25,FALSE)*$Q378/100</f>
        <v>0</v>
      </c>
      <c r="AM378" s="583">
        <f>VLOOKUP($H378,Nutrition_tables!$A:$AF,26,FALSE)*$Q378/100</f>
        <v>0</v>
      </c>
      <c r="AN378" s="583">
        <f>VLOOKUP($H378,Nutrition_tables!$A:$AF,27,FALSE)*$Q378/100</f>
        <v>0</v>
      </c>
      <c r="AO378" s="583">
        <f>VLOOKUP($H378,Nutrition_tables!$A:$AF,28,FALSE)*$Q378/100</f>
        <v>0</v>
      </c>
      <c r="AP378" s="583">
        <f>VLOOKUP($H378,Nutrition_tables!$A:$AF,29,FALSE)*$Q378/100</f>
        <v>0</v>
      </c>
      <c r="AQ378" s="583">
        <f>VLOOKUP($H378,Nutrition_tables!$A:$AF,30,FALSE)*$Q378/100</f>
        <v>0</v>
      </c>
      <c r="AR378" s="583">
        <f>VLOOKUP($H378,Nutrition_tables!$A:$AF,31,FALSE)*$Q378/100</f>
        <v>0</v>
      </c>
      <c r="AS378" s="549">
        <f>VLOOKUP($H378,Nutrition_tables!$A:$AF,32,FALSE)*$Q378/100</f>
        <v>0</v>
      </c>
      <c r="AT378" s="583" t="str">
        <f>IF(H378="Select ingredient:","",IF(G378="Select food category:","",IFERROR(VLOOKUP($H378,Ingredient_prices!$E:$W,17,FALSE)*$Q378/1000,"not bought")))</f>
        <v/>
      </c>
      <c r="AU378" s="583" t="str">
        <f>IF(H378="Select ingredient:","",IF(G378="Select food category:","",IFERROR(VLOOKUP($H378,Ingredient_prices!$E:$W,18,FALSE)*$Q378/1000,"not bought")))</f>
        <v/>
      </c>
      <c r="AV378" s="583">
        <f t="shared" si="818"/>
        <v>0</v>
      </c>
      <c r="AW378" s="583">
        <f t="shared" si="819"/>
        <v>0</v>
      </c>
      <c r="AX378" s="583">
        <f t="shared" si="820"/>
        <v>0</v>
      </c>
      <c r="AY378" s="583">
        <f t="shared" si="821"/>
        <v>0</v>
      </c>
      <c r="AZ378" s="583">
        <f t="shared" si="822"/>
        <v>0</v>
      </c>
      <c r="BA378" s="583">
        <f t="shared" si="823"/>
        <v>0</v>
      </c>
      <c r="BB378" s="583">
        <f t="shared" si="824"/>
        <v>0</v>
      </c>
      <c r="BC378" s="583">
        <f t="shared" si="825"/>
        <v>0</v>
      </c>
      <c r="BD378" s="583">
        <f t="shared" si="826"/>
        <v>0</v>
      </c>
      <c r="BE378" s="583">
        <f t="shared" si="827"/>
        <v>0</v>
      </c>
      <c r="BF378" s="583">
        <f t="shared" si="828"/>
        <v>0</v>
      </c>
      <c r="BG378" s="583">
        <f t="shared" si="829"/>
        <v>0</v>
      </c>
      <c r="BH378" s="583">
        <f t="shared" si="830"/>
        <v>0</v>
      </c>
      <c r="BI378" s="583">
        <f t="shared" si="831"/>
        <v>0</v>
      </c>
      <c r="BJ378" s="583">
        <f t="shared" si="832"/>
        <v>0</v>
      </c>
      <c r="BK378" s="583">
        <f t="shared" si="833"/>
        <v>0</v>
      </c>
      <c r="BL378" s="583">
        <f t="shared" si="834"/>
        <v>0</v>
      </c>
      <c r="BM378" s="583">
        <f t="shared" si="835"/>
        <v>0</v>
      </c>
      <c r="BN378" s="583">
        <f t="shared" si="836"/>
        <v>0</v>
      </c>
      <c r="BO378" s="583">
        <f t="shared" si="837"/>
        <v>0</v>
      </c>
      <c r="BP378" s="583">
        <f t="shared" si="838"/>
        <v>0</v>
      </c>
      <c r="BQ378" s="583">
        <f t="shared" si="839"/>
        <v>0</v>
      </c>
      <c r="BR378" s="583">
        <f t="shared" si="840"/>
        <v>0</v>
      </c>
    </row>
    <row r="379" spans="1:70" s="603" customFormat="1" ht="56">
      <c r="A379" s="643"/>
      <c r="B379" s="593"/>
      <c r="C379" s="522"/>
      <c r="D379" s="141"/>
      <c r="E379" s="594"/>
      <c r="F379" s="708"/>
      <c r="G379" s="522"/>
      <c r="H379" s="522"/>
      <c r="I379" s="86"/>
      <c r="J379" s="87"/>
      <c r="K379" s="595"/>
      <c r="L379" s="596"/>
      <c r="M379" s="849"/>
      <c r="N379" s="849"/>
      <c r="O379" s="648"/>
      <c r="P379" s="654"/>
      <c r="Q379" s="599" t="s">
        <v>384</v>
      </c>
      <c r="R379" s="600" t="s">
        <v>455</v>
      </c>
      <c r="S379" s="600" t="s">
        <v>2087</v>
      </c>
      <c r="T379" s="600" t="s">
        <v>456</v>
      </c>
      <c r="U379" s="600" t="s">
        <v>535</v>
      </c>
      <c r="V379" s="601" t="s">
        <v>457</v>
      </c>
      <c r="W379" s="600" t="s">
        <v>75</v>
      </c>
      <c r="X379" s="600" t="s">
        <v>385</v>
      </c>
      <c r="Y379" s="600" t="s">
        <v>386</v>
      </c>
      <c r="Z379" s="600" t="s">
        <v>387</v>
      </c>
      <c r="AA379" s="600" t="s">
        <v>388</v>
      </c>
      <c r="AB379" s="601" t="s">
        <v>389</v>
      </c>
      <c r="AC379" s="602" t="s">
        <v>390</v>
      </c>
      <c r="AD379" s="600" t="s">
        <v>391</v>
      </c>
      <c r="AE379" s="600" t="s">
        <v>392</v>
      </c>
      <c r="AF379" s="600" t="s">
        <v>393</v>
      </c>
      <c r="AG379" s="600" t="s">
        <v>394</v>
      </c>
      <c r="AH379" s="600" t="s">
        <v>395</v>
      </c>
      <c r="AI379" s="600" t="s">
        <v>396</v>
      </c>
      <c r="AJ379" s="601" t="s">
        <v>397</v>
      </c>
      <c r="AK379" s="602" t="s">
        <v>398</v>
      </c>
      <c r="AL379" s="600" t="s">
        <v>399</v>
      </c>
      <c r="AM379" s="600" t="s">
        <v>400</v>
      </c>
      <c r="AN379" s="600" t="s">
        <v>401</v>
      </c>
      <c r="AO379" s="600" t="s">
        <v>402</v>
      </c>
      <c r="AP379" s="600" t="s">
        <v>406</v>
      </c>
      <c r="AQ379" s="600" t="s">
        <v>405</v>
      </c>
      <c r="AR379" s="600" t="s">
        <v>403</v>
      </c>
      <c r="AS379" s="601" t="s">
        <v>404</v>
      </c>
      <c r="AT379" s="593"/>
      <c r="AU379" s="593"/>
    </row>
    <row r="380" spans="1:70" s="229" customFormat="1">
      <c r="A380" s="643"/>
      <c r="B380" s="522"/>
      <c r="C380" s="522"/>
      <c r="D380" s="141"/>
      <c r="E380" s="594"/>
      <c r="F380" s="708"/>
      <c r="G380" s="522"/>
      <c r="H380" s="522"/>
      <c r="I380" s="86"/>
      <c r="J380" s="87"/>
      <c r="K380" s="595"/>
      <c r="L380" s="596"/>
      <c r="M380" s="849"/>
      <c r="N380" s="849"/>
      <c r="O380" s="648"/>
      <c r="P380" s="655" t="s">
        <v>383</v>
      </c>
      <c r="Q380" s="583">
        <f t="shared" ref="Q380:V380" si="842">SUM(Q354:Q378)</f>
        <v>653.20000000000005</v>
      </c>
      <c r="R380" s="583">
        <f t="shared" si="842"/>
        <v>188.929</v>
      </c>
      <c r="S380" s="583">
        <f>SUM(S354:S378)</f>
        <v>464.27099999999996</v>
      </c>
      <c r="T380" s="583">
        <f t="shared" si="842"/>
        <v>76.652301818181826</v>
      </c>
      <c r="U380" s="583">
        <f t="shared" si="842"/>
        <v>21.497756436363634</v>
      </c>
      <c r="V380" s="549">
        <f t="shared" si="842"/>
        <v>1226.3759999999997</v>
      </c>
      <c r="W380" s="583">
        <f>SUM(W354:W378)</f>
        <v>855.77178834498841</v>
      </c>
      <c r="X380" s="583">
        <f t="shared" ref="X380:AS380" si="843">SUM(X354:X378)</f>
        <v>117.77817754597766</v>
      </c>
      <c r="Y380" s="583">
        <f t="shared" si="843"/>
        <v>23.765617482495831</v>
      </c>
      <c r="Z380" s="583">
        <f t="shared" si="843"/>
        <v>29.354133127131231</v>
      </c>
      <c r="AA380" s="583">
        <f t="shared" si="843"/>
        <v>11.414080674610283</v>
      </c>
      <c r="AB380" s="549">
        <f t="shared" si="843"/>
        <v>8.3093676869234567</v>
      </c>
      <c r="AC380" s="583">
        <f t="shared" si="843"/>
        <v>805.85498834498833</v>
      </c>
      <c r="AD380" s="583">
        <f t="shared" si="843"/>
        <v>1473.7819999999999</v>
      </c>
      <c r="AE380" s="583">
        <f t="shared" si="843"/>
        <v>187.548</v>
      </c>
      <c r="AF380" s="583">
        <f t="shared" si="843"/>
        <v>139.8199766899767</v>
      </c>
      <c r="AG380" s="583">
        <f t="shared" si="843"/>
        <v>359.45599999999996</v>
      </c>
      <c r="AH380" s="583">
        <f t="shared" si="843"/>
        <v>4.4331181046098473</v>
      </c>
      <c r="AI380" s="583">
        <f t="shared" si="843"/>
        <v>6.1563985919541269</v>
      </c>
      <c r="AJ380" s="549">
        <f t="shared" si="843"/>
        <v>0.96653943673894749</v>
      </c>
      <c r="AK380" s="583">
        <f t="shared" si="843"/>
        <v>384.64000000000004</v>
      </c>
      <c r="AL380" s="583">
        <f t="shared" si="843"/>
        <v>0.71252278329263463</v>
      </c>
      <c r="AM380" s="583">
        <f t="shared" si="843"/>
        <v>0.4463429191937735</v>
      </c>
      <c r="AN380" s="583">
        <f t="shared" si="843"/>
        <v>8.6119941187503386</v>
      </c>
      <c r="AO380" s="583">
        <f t="shared" si="843"/>
        <v>1.3538613433752378</v>
      </c>
      <c r="AP380" s="583">
        <f t="shared" si="843"/>
        <v>88.680046620046625</v>
      </c>
      <c r="AQ380" s="583">
        <f t="shared" si="843"/>
        <v>0.82237506966091989</v>
      </c>
      <c r="AR380" s="583">
        <f t="shared" si="843"/>
        <v>39.828000000000003</v>
      </c>
      <c r="AS380" s="549">
        <f t="shared" si="843"/>
        <v>1.2029625507249786</v>
      </c>
      <c r="AT380" s="583">
        <f t="shared" ref="AT380:AU380" si="844">SUM(AT354:AT378)</f>
        <v>63.917301818181819</v>
      </c>
      <c r="AU380" s="583">
        <f t="shared" si="844"/>
        <v>76.652301818181826</v>
      </c>
      <c r="AV380" s="583">
        <f t="shared" ref="AV380:BR380" si="845">SUM(AV354:AV378)</f>
        <v>611.47080935608278</v>
      </c>
      <c r="AW380" s="583">
        <f t="shared" si="845"/>
        <v>82.035049039249486</v>
      </c>
      <c r="AX380" s="583">
        <f t="shared" si="845"/>
        <v>17.08118046439369</v>
      </c>
      <c r="AY380" s="583">
        <f t="shared" si="845"/>
        <v>22.119242031480528</v>
      </c>
      <c r="AZ380" s="583">
        <f t="shared" si="845"/>
        <v>7.9191166738107661</v>
      </c>
      <c r="BA380" s="583">
        <f t="shared" si="845"/>
        <v>6.3245260384325874</v>
      </c>
      <c r="BB380" s="583">
        <f t="shared" si="845"/>
        <v>531.25925209273521</v>
      </c>
      <c r="BC380" s="583">
        <f t="shared" si="845"/>
        <v>1067.6244365625635</v>
      </c>
      <c r="BD380" s="583">
        <f t="shared" si="845"/>
        <v>132.41338893969035</v>
      </c>
      <c r="BE380" s="583">
        <f t="shared" si="845"/>
        <v>99.971661999888056</v>
      </c>
      <c r="BF380" s="583">
        <f t="shared" si="845"/>
        <v>268.63273047871957</v>
      </c>
      <c r="BG380" s="583">
        <f t="shared" si="845"/>
        <v>3.128221056494044</v>
      </c>
      <c r="BH380" s="583">
        <f t="shared" si="845"/>
        <v>4.1665809975870838</v>
      </c>
      <c r="BI380" s="583">
        <f t="shared" si="845"/>
        <v>0.67045863702744091</v>
      </c>
      <c r="BJ380" s="583">
        <f t="shared" si="845"/>
        <v>294.12001263550064</v>
      </c>
      <c r="BK380" s="583">
        <f t="shared" si="845"/>
        <v>0.5006154339015696</v>
      </c>
      <c r="BL380" s="583">
        <f t="shared" si="845"/>
        <v>0.33289129626504083</v>
      </c>
      <c r="BM380" s="583">
        <f t="shared" si="845"/>
        <v>6.0400716055519457</v>
      </c>
      <c r="BN380" s="583">
        <f t="shared" si="845"/>
        <v>1.0213783490871475</v>
      </c>
      <c r="BO380" s="583">
        <f t="shared" si="845"/>
        <v>62.792630449868675</v>
      </c>
      <c r="BP380" s="583">
        <f t="shared" si="845"/>
        <v>0.66081627194692816</v>
      </c>
      <c r="BQ380" s="583">
        <f t="shared" si="845"/>
        <v>28.927867814528533</v>
      </c>
      <c r="BR380" s="583">
        <f t="shared" si="845"/>
        <v>0.98121420401761539</v>
      </c>
    </row>
    <row r="381" spans="1:70" s="229" customFormat="1">
      <c r="A381" s="643"/>
      <c r="B381" s="522"/>
      <c r="C381" s="522"/>
      <c r="D381" s="141"/>
      <c r="E381" s="594"/>
      <c r="F381" s="708"/>
      <c r="G381" s="522"/>
      <c r="H381" s="522"/>
      <c r="I381" s="86"/>
      <c r="J381" s="87"/>
      <c r="K381" s="595"/>
      <c r="L381" s="596"/>
      <c r="M381" s="849"/>
      <c r="N381" s="849"/>
      <c r="O381" s="648"/>
      <c r="P381" s="655" t="s">
        <v>545</v>
      </c>
      <c r="V381" s="527" t="s">
        <v>588</v>
      </c>
      <c r="W381" s="229">
        <v>556.5</v>
      </c>
      <c r="X381" s="229">
        <v>69.599999999999994</v>
      </c>
      <c r="Y381" s="229">
        <v>17.399999999999999</v>
      </c>
      <c r="Z381" s="229">
        <v>18.599999999999998</v>
      </c>
      <c r="AA381" s="229">
        <v>5.7</v>
      </c>
      <c r="AB381" s="526">
        <v>6</v>
      </c>
      <c r="AC381" s="229">
        <v>414</v>
      </c>
      <c r="AD381" s="229">
        <v>540</v>
      </c>
      <c r="AE381" s="229">
        <v>270</v>
      </c>
      <c r="AF381" s="229">
        <v>51</v>
      </c>
      <c r="AG381" s="229">
        <v>240</v>
      </c>
      <c r="AH381" s="229">
        <v>3</v>
      </c>
      <c r="AI381" s="229">
        <v>2.1</v>
      </c>
      <c r="AJ381" s="526">
        <v>0.375</v>
      </c>
      <c r="AK381" s="229">
        <v>240</v>
      </c>
      <c r="AL381" s="229">
        <v>0.3</v>
      </c>
      <c r="AM381" s="229">
        <v>0.33</v>
      </c>
      <c r="AN381" s="229">
        <v>3.5999999999999996</v>
      </c>
      <c r="AO381" s="229">
        <v>0.21</v>
      </c>
      <c r="AP381" s="229">
        <v>90</v>
      </c>
      <c r="AQ381" s="229">
        <v>0.54</v>
      </c>
      <c r="AR381" s="229">
        <v>24</v>
      </c>
      <c r="AS381" s="526">
        <v>1.5</v>
      </c>
      <c r="AV381" s="229">
        <v>556.5</v>
      </c>
      <c r="AW381" s="229">
        <v>69.599999999999994</v>
      </c>
      <c r="AX381" s="229">
        <v>17.399999999999999</v>
      </c>
      <c r="AY381" s="229">
        <v>18.599999999999998</v>
      </c>
      <c r="AZ381" s="229">
        <v>5.7</v>
      </c>
      <c r="BA381" s="526">
        <v>6</v>
      </c>
      <c r="BB381" s="229">
        <v>414</v>
      </c>
      <c r="BC381" s="229">
        <v>540</v>
      </c>
      <c r="BD381" s="229">
        <v>270</v>
      </c>
      <c r="BE381" s="229">
        <v>51</v>
      </c>
      <c r="BF381" s="229">
        <v>240</v>
      </c>
      <c r="BG381" s="229">
        <v>3</v>
      </c>
      <c r="BH381" s="229">
        <v>2.1</v>
      </c>
      <c r="BI381" s="526">
        <v>0.375</v>
      </c>
      <c r="BJ381" s="229">
        <v>240</v>
      </c>
      <c r="BK381" s="229">
        <v>0.3</v>
      </c>
      <c r="BL381" s="229">
        <v>0.33</v>
      </c>
      <c r="BM381" s="229">
        <v>3.5999999999999996</v>
      </c>
      <c r="BN381" s="229">
        <v>0.21</v>
      </c>
      <c r="BO381" s="229">
        <v>90</v>
      </c>
      <c r="BP381" s="229">
        <v>0.54</v>
      </c>
      <c r="BQ381" s="229">
        <v>24</v>
      </c>
      <c r="BR381" s="526">
        <v>1.5</v>
      </c>
    </row>
    <row r="382" spans="1:70" s="229" customFormat="1">
      <c r="A382" s="643"/>
      <c r="B382" s="522"/>
      <c r="C382" s="522"/>
      <c r="D382" s="141"/>
      <c r="E382" s="594"/>
      <c r="F382" s="708"/>
      <c r="G382" s="522"/>
      <c r="H382" s="522"/>
      <c r="I382" s="86"/>
      <c r="J382" s="87"/>
      <c r="K382" s="595"/>
      <c r="L382" s="596"/>
      <c r="M382" s="849"/>
      <c r="N382" s="849"/>
      <c r="O382" s="648"/>
      <c r="P382" s="655" t="s">
        <v>407</v>
      </c>
      <c r="V382" s="526"/>
      <c r="W382" s="514">
        <f t="shared" ref="W382:AS382" si="846">100*W380/W381</f>
        <v>153.7775001518398</v>
      </c>
      <c r="X382" s="514">
        <f t="shared" si="846"/>
        <v>169.22151946261158</v>
      </c>
      <c r="Y382" s="514">
        <f t="shared" si="846"/>
        <v>136.584008520091</v>
      </c>
      <c r="Z382" s="514">
        <f t="shared" si="846"/>
        <v>157.81792003833996</v>
      </c>
      <c r="AA382" s="514">
        <f t="shared" si="846"/>
        <v>200.24702937912775</v>
      </c>
      <c r="AB382" s="506">
        <f t="shared" si="846"/>
        <v>138.48946144872428</v>
      </c>
      <c r="AC382" s="514">
        <f t="shared" si="846"/>
        <v>194.65096336835467</v>
      </c>
      <c r="AD382" s="514">
        <f t="shared" si="846"/>
        <v>272.92259259259254</v>
      </c>
      <c r="AE382" s="514">
        <f t="shared" si="846"/>
        <v>69.462222222222223</v>
      </c>
      <c r="AF382" s="514">
        <f t="shared" si="846"/>
        <v>274.15681703916999</v>
      </c>
      <c r="AG382" s="514">
        <f t="shared" si="846"/>
        <v>149.77333333333334</v>
      </c>
      <c r="AH382" s="514">
        <f t="shared" si="846"/>
        <v>147.77060348699493</v>
      </c>
      <c r="AI382" s="514">
        <f t="shared" si="846"/>
        <v>293.16183771210126</v>
      </c>
      <c r="AJ382" s="506">
        <f t="shared" si="846"/>
        <v>257.74384979705263</v>
      </c>
      <c r="AK382" s="514">
        <f t="shared" si="846"/>
        <v>160.26666666666671</v>
      </c>
      <c r="AL382" s="514">
        <f t="shared" si="846"/>
        <v>237.50759443087821</v>
      </c>
      <c r="AM382" s="514">
        <f t="shared" si="846"/>
        <v>135.25543005871921</v>
      </c>
      <c r="AN382" s="514">
        <f t="shared" si="846"/>
        <v>239.22205885417611</v>
      </c>
      <c r="AO382" s="514">
        <f t="shared" si="846"/>
        <v>644.69587779773224</v>
      </c>
      <c r="AP382" s="514">
        <f t="shared" si="846"/>
        <v>98.533385133385153</v>
      </c>
      <c r="AQ382" s="514">
        <f t="shared" si="846"/>
        <v>152.29167956683699</v>
      </c>
      <c r="AR382" s="514">
        <f t="shared" si="846"/>
        <v>165.95000000000002</v>
      </c>
      <c r="AS382" s="506">
        <f t="shared" si="846"/>
        <v>80.197503381665243</v>
      </c>
      <c r="AV382" s="514">
        <f t="shared" ref="AV382:BR382" si="847">100*AV380/AV381</f>
        <v>109.87795316371658</v>
      </c>
      <c r="AW382" s="514">
        <f t="shared" si="847"/>
        <v>117.86644976903662</v>
      </c>
      <c r="AX382" s="514">
        <f t="shared" si="847"/>
        <v>98.167703818354553</v>
      </c>
      <c r="AY382" s="514">
        <f t="shared" si="847"/>
        <v>118.92065608322868</v>
      </c>
      <c r="AZ382" s="514">
        <f t="shared" si="847"/>
        <v>138.93187147036431</v>
      </c>
      <c r="BA382" s="506">
        <f t="shared" si="847"/>
        <v>105.4087673072098</v>
      </c>
      <c r="BB382" s="514">
        <f t="shared" si="847"/>
        <v>128.32349084365583</v>
      </c>
      <c r="BC382" s="514">
        <f t="shared" si="847"/>
        <v>197.70822899306731</v>
      </c>
      <c r="BD382" s="514">
        <f t="shared" si="847"/>
        <v>49.041995903589019</v>
      </c>
      <c r="BE382" s="514">
        <f t="shared" si="847"/>
        <v>196.02286666644716</v>
      </c>
      <c r="BF382" s="514">
        <f t="shared" si="847"/>
        <v>111.93030436613316</v>
      </c>
      <c r="BG382" s="514">
        <f t="shared" si="847"/>
        <v>104.27403521646814</v>
      </c>
      <c r="BH382" s="514">
        <f t="shared" si="847"/>
        <v>198.40861893271827</v>
      </c>
      <c r="BI382" s="506">
        <f t="shared" si="847"/>
        <v>178.78896987398423</v>
      </c>
      <c r="BJ382" s="514">
        <f t="shared" si="847"/>
        <v>122.55000526479193</v>
      </c>
      <c r="BK382" s="514">
        <f t="shared" si="847"/>
        <v>166.87181130052321</v>
      </c>
      <c r="BL382" s="514">
        <f t="shared" si="847"/>
        <v>100.8761503833457</v>
      </c>
      <c r="BM382" s="514">
        <f t="shared" si="847"/>
        <v>167.7797668208874</v>
      </c>
      <c r="BN382" s="514">
        <f t="shared" si="847"/>
        <v>486.37064242245123</v>
      </c>
      <c r="BO382" s="514">
        <f t="shared" si="847"/>
        <v>69.769589388742972</v>
      </c>
      <c r="BP382" s="514">
        <f t="shared" si="847"/>
        <v>122.37338369387557</v>
      </c>
      <c r="BQ382" s="514">
        <f t="shared" si="847"/>
        <v>120.53278256053555</v>
      </c>
      <c r="BR382" s="506">
        <f t="shared" si="847"/>
        <v>65.414280267841022</v>
      </c>
    </row>
    <row r="383" spans="1:70" s="229" customFormat="1">
      <c r="A383" s="643"/>
      <c r="B383" s="522"/>
      <c r="C383" s="522"/>
      <c r="D383" s="141"/>
      <c r="E383" s="594"/>
      <c r="F383" s="708"/>
      <c r="G383" s="522"/>
      <c r="H383" s="522"/>
      <c r="I383" s="86"/>
      <c r="J383" s="87"/>
      <c r="K383" s="595"/>
      <c r="L383" s="596"/>
      <c r="M383" s="849"/>
      <c r="N383" s="849"/>
      <c r="O383" s="648"/>
      <c r="P383" s="655" t="s">
        <v>548</v>
      </c>
      <c r="V383" s="526"/>
      <c r="W383" s="583">
        <f>AV380</f>
        <v>611.47080935608278</v>
      </c>
      <c r="X383" s="583">
        <f t="shared" ref="X383" si="848">AW380</f>
        <v>82.035049039249486</v>
      </c>
      <c r="Y383" s="583">
        <f t="shared" ref="Y383" si="849">AX380</f>
        <v>17.08118046439369</v>
      </c>
      <c r="Z383" s="583">
        <f t="shared" ref="Z383" si="850">AY380</f>
        <v>22.119242031480528</v>
      </c>
      <c r="AA383" s="583">
        <f t="shared" ref="AA383" si="851">AZ380</f>
        <v>7.9191166738107661</v>
      </c>
      <c r="AB383" s="549">
        <f t="shared" ref="AB383" si="852">BA380</f>
        <v>6.3245260384325874</v>
      </c>
      <c r="AC383" s="583">
        <f t="shared" ref="AC383" si="853">BB380</f>
        <v>531.25925209273521</v>
      </c>
      <c r="AD383" s="583">
        <f t="shared" ref="AD383" si="854">BC380</f>
        <v>1067.6244365625635</v>
      </c>
      <c r="AE383" s="583">
        <f>BD380</f>
        <v>132.41338893969035</v>
      </c>
      <c r="AF383" s="583">
        <f t="shared" ref="AF383" si="855">BE380</f>
        <v>99.971661999888056</v>
      </c>
      <c r="AG383" s="583">
        <f t="shared" ref="AG383" si="856">BF380</f>
        <v>268.63273047871957</v>
      </c>
      <c r="AH383" s="583">
        <f t="shared" ref="AH383" si="857">BG380</f>
        <v>3.128221056494044</v>
      </c>
      <c r="AI383" s="583">
        <f t="shared" ref="AI383" si="858">BH380</f>
        <v>4.1665809975870838</v>
      </c>
      <c r="AJ383" s="549">
        <f t="shared" ref="AJ383" si="859">BI380</f>
        <v>0.67045863702744091</v>
      </c>
      <c r="AK383" s="583">
        <f t="shared" ref="AK383" si="860">BJ380</f>
        <v>294.12001263550064</v>
      </c>
      <c r="AL383" s="583">
        <f t="shared" ref="AL383" si="861">BK380</f>
        <v>0.5006154339015696</v>
      </c>
      <c r="AM383" s="583">
        <f t="shared" ref="AM383" si="862">BL380</f>
        <v>0.33289129626504083</v>
      </c>
      <c r="AN383" s="583">
        <f>BM380</f>
        <v>6.0400716055519457</v>
      </c>
      <c r="AO383" s="583">
        <f t="shared" ref="AO383" si="863">BN380</f>
        <v>1.0213783490871475</v>
      </c>
      <c r="AP383" s="583">
        <f t="shared" ref="AP383" si="864">BO380</f>
        <v>62.792630449868675</v>
      </c>
      <c r="AQ383" s="583">
        <f t="shared" ref="AQ383" si="865">BP380</f>
        <v>0.66081627194692816</v>
      </c>
      <c r="AR383" s="583">
        <f t="shared" ref="AR383" si="866">BQ380</f>
        <v>28.927867814528533</v>
      </c>
      <c r="AS383" s="549">
        <f>BR380</f>
        <v>0.98121420401761539</v>
      </c>
    </row>
    <row r="384" spans="1:70" s="229" customFormat="1">
      <c r="A384" s="643"/>
      <c r="B384" s="522"/>
      <c r="C384" s="522"/>
      <c r="D384" s="141"/>
      <c r="E384" s="594"/>
      <c r="F384" s="708"/>
      <c r="G384" s="522"/>
      <c r="H384" s="522"/>
      <c r="I384" s="86"/>
      <c r="J384" s="87"/>
      <c r="K384" s="595"/>
      <c r="L384" s="596"/>
      <c r="M384" s="849"/>
      <c r="N384" s="849"/>
      <c r="O384" s="648"/>
      <c r="P384" s="655" t="s">
        <v>543</v>
      </c>
      <c r="V384" s="526"/>
      <c r="W384" s="514">
        <f t="shared" ref="W384:AS384" si="867">AV382</f>
        <v>109.87795316371658</v>
      </c>
      <c r="X384" s="514">
        <f t="shared" si="867"/>
        <v>117.86644976903662</v>
      </c>
      <c r="Y384" s="514">
        <f t="shared" si="867"/>
        <v>98.167703818354553</v>
      </c>
      <c r="Z384" s="514">
        <f t="shared" si="867"/>
        <v>118.92065608322868</v>
      </c>
      <c r="AA384" s="514">
        <f t="shared" si="867"/>
        <v>138.93187147036431</v>
      </c>
      <c r="AB384" s="506">
        <f t="shared" si="867"/>
        <v>105.4087673072098</v>
      </c>
      <c r="AC384" s="514">
        <f t="shared" si="867"/>
        <v>128.32349084365583</v>
      </c>
      <c r="AD384" s="514">
        <f t="shared" si="867"/>
        <v>197.70822899306731</v>
      </c>
      <c r="AE384" s="514">
        <f t="shared" si="867"/>
        <v>49.041995903589019</v>
      </c>
      <c r="AF384" s="514">
        <f t="shared" si="867"/>
        <v>196.02286666644716</v>
      </c>
      <c r="AG384" s="514">
        <f t="shared" si="867"/>
        <v>111.93030436613316</v>
      </c>
      <c r="AH384" s="514">
        <f t="shared" si="867"/>
        <v>104.27403521646814</v>
      </c>
      <c r="AI384" s="514">
        <f t="shared" si="867"/>
        <v>198.40861893271827</v>
      </c>
      <c r="AJ384" s="506">
        <f t="shared" si="867"/>
        <v>178.78896987398423</v>
      </c>
      <c r="AK384" s="514">
        <f t="shared" si="867"/>
        <v>122.55000526479193</v>
      </c>
      <c r="AL384" s="514">
        <f t="shared" si="867"/>
        <v>166.87181130052321</v>
      </c>
      <c r="AM384" s="514">
        <f t="shared" si="867"/>
        <v>100.8761503833457</v>
      </c>
      <c r="AN384" s="514">
        <f t="shared" si="867"/>
        <v>167.7797668208874</v>
      </c>
      <c r="AO384" s="514">
        <f t="shared" si="867"/>
        <v>486.37064242245123</v>
      </c>
      <c r="AP384" s="514">
        <f t="shared" si="867"/>
        <v>69.769589388742972</v>
      </c>
      <c r="AQ384" s="514">
        <f t="shared" si="867"/>
        <v>122.37338369387557</v>
      </c>
      <c r="AR384" s="514">
        <f t="shared" si="867"/>
        <v>120.53278256053555</v>
      </c>
      <c r="AS384" s="506">
        <f t="shared" si="867"/>
        <v>65.414280267841022</v>
      </c>
      <c r="AV384" s="514"/>
      <c r="AW384" s="514"/>
      <c r="AX384" s="514"/>
      <c r="AY384" s="514"/>
      <c r="AZ384" s="514"/>
      <c r="BA384" s="505"/>
      <c r="BB384" s="514"/>
      <c r="BC384" s="514"/>
      <c r="BD384" s="514"/>
      <c r="BE384" s="514"/>
      <c r="BF384" s="514"/>
      <c r="BG384" s="514"/>
      <c r="BH384" s="514"/>
      <c r="BI384" s="505"/>
      <c r="BJ384" s="514"/>
      <c r="BK384" s="514"/>
      <c r="BL384" s="514"/>
      <c r="BM384" s="514"/>
      <c r="BN384" s="514"/>
      <c r="BO384" s="514"/>
      <c r="BP384" s="514"/>
      <c r="BQ384" s="514"/>
      <c r="BR384" s="505"/>
    </row>
    <row r="385" spans="1:70" s="229" customFormat="1" ht="15" thickBot="1">
      <c r="A385" s="643"/>
      <c r="B385" s="643"/>
      <c r="C385" s="643"/>
      <c r="D385" s="687"/>
      <c r="E385" s="644"/>
      <c r="F385" s="713"/>
      <c r="G385" s="645" t="s">
        <v>3054</v>
      </c>
      <c r="H385" s="656"/>
      <c r="I385" s="688"/>
      <c r="J385" s="688"/>
      <c r="K385" s="643"/>
      <c r="L385" s="647"/>
      <c r="M385" s="647"/>
      <c r="N385" s="647"/>
      <c r="O385" s="648"/>
      <c r="P385" s="643"/>
      <c r="Q385" s="643"/>
      <c r="R385" s="643"/>
      <c r="S385" s="643"/>
      <c r="T385" s="643"/>
      <c r="U385" s="657"/>
      <c r="V385" s="658"/>
      <c r="W385" s="643"/>
      <c r="X385" s="643"/>
      <c r="Y385" s="643"/>
      <c r="Z385" s="643"/>
      <c r="AA385" s="652">
        <f>COUNTIF(AA386:AA397,"&lt;0")</f>
        <v>0</v>
      </c>
      <c r="AB385" s="652">
        <f t="shared" ref="AB385:AN385" si="868">COUNTIF(AB386:AB397,"&lt;0")</f>
        <v>0</v>
      </c>
      <c r="AC385" s="652">
        <f t="shared" si="868"/>
        <v>0</v>
      </c>
      <c r="AD385" s="652">
        <f t="shared" si="868"/>
        <v>0</v>
      </c>
      <c r="AE385" s="652">
        <f t="shared" si="868"/>
        <v>0</v>
      </c>
      <c r="AF385" s="652">
        <f t="shared" si="868"/>
        <v>0</v>
      </c>
      <c r="AG385" s="652">
        <f t="shared" si="868"/>
        <v>0</v>
      </c>
      <c r="AH385" s="652">
        <f t="shared" si="868"/>
        <v>0</v>
      </c>
      <c r="AI385" s="652">
        <f t="shared" si="868"/>
        <v>0</v>
      </c>
      <c r="AJ385" s="652">
        <f t="shared" si="868"/>
        <v>0</v>
      </c>
      <c r="AK385" s="652">
        <f t="shared" si="868"/>
        <v>0</v>
      </c>
      <c r="AL385" s="652">
        <f t="shared" si="868"/>
        <v>0</v>
      </c>
      <c r="AM385" s="652">
        <f t="shared" si="868"/>
        <v>0</v>
      </c>
      <c r="AN385" s="652">
        <f t="shared" si="868"/>
        <v>0</v>
      </c>
      <c r="AO385" s="652">
        <f>COUNTIF(AO386:AO397,"&lt;0")</f>
        <v>0</v>
      </c>
      <c r="AP385" s="652">
        <f t="shared" ref="AP385:AS385" si="869">COUNTIF(AP386:AP397,"&lt;0")</f>
        <v>0</v>
      </c>
      <c r="AQ385" s="652">
        <f t="shared" si="869"/>
        <v>0</v>
      </c>
      <c r="AR385" s="652">
        <f t="shared" si="869"/>
        <v>0</v>
      </c>
      <c r="AS385" s="652">
        <f t="shared" si="869"/>
        <v>0</v>
      </c>
      <c r="AT385" s="1299"/>
      <c r="AU385" s="1299"/>
    </row>
    <row r="386" spans="1:70" s="229" customFormat="1" ht="15" customHeight="1" thickBot="1">
      <c r="A386" s="643"/>
      <c r="B386" s="575" t="s">
        <v>3067</v>
      </c>
      <c r="C386" s="229" t="s">
        <v>1364</v>
      </c>
      <c r="D386" s="85"/>
      <c r="E386" s="577">
        <v>0</v>
      </c>
      <c r="F386" s="707"/>
      <c r="G386" s="406" t="s">
        <v>3054</v>
      </c>
      <c r="H386" s="1262" t="s">
        <v>3055</v>
      </c>
      <c r="I386" s="85">
        <v>0</v>
      </c>
      <c r="J386" s="682">
        <v>1</v>
      </c>
      <c r="K386" s="579" t="str">
        <f t="shared" ref="K386:K397" si="870">IF(I386&gt;0,1.1*Q386*E386/1000,"")</f>
        <v/>
      </c>
      <c r="L386" s="580" t="str">
        <f>IF(H386="Select ingredient:","",IF(G386="","",_xlfn.IFNA(VLOOKUP($H386,Ingredient_prices!$E:$U,16,FALSE),0)))</f>
        <v/>
      </c>
      <c r="M386" s="848"/>
      <c r="N386" s="1228">
        <f>$W399</f>
        <v>0</v>
      </c>
      <c r="O386" s="648"/>
      <c r="P386" s="659"/>
      <c r="Q386" s="583">
        <f t="shared" ref="Q386:Q397" si="871">I386/J386</f>
        <v>0</v>
      </c>
      <c r="R386" s="583">
        <f>VLOOKUP($H386,'CO2_emission+%_food_waste'!$A:$K,6,FALSE)*$Q386/100</f>
        <v>0</v>
      </c>
      <c r="S386" s="583">
        <f t="shared" ref="S386:S397" si="872">Q386-R386</f>
        <v>0</v>
      </c>
      <c r="T386" s="583" t="str">
        <f>IF(H386="Select ingredient:","",IF(G386="Select food category:","",_xlfn.IFNA(VLOOKUP($H386,Ingredient_prices!$E:$U,16,FALSE)*$Q386/1000,"not bought")))</f>
        <v/>
      </c>
      <c r="U386" s="583" t="str">
        <f>IF(G386="Select food category:","",_xlfn.IFNA(VLOOKUP($H386,Ingredient_prices!$E:$U,16,FALSE)*$R386/1000,"not bought"))</f>
        <v/>
      </c>
      <c r="V386" s="549">
        <f>VLOOKUP($H386,'CO2_emission+%_food_waste'!$A:$K,4,FALSE)*$Q386</f>
        <v>0</v>
      </c>
      <c r="W386" s="583">
        <f>VLOOKUP($H386,Nutrition_tables!$A:$N,10,FALSE)*$Q386/100</f>
        <v>0</v>
      </c>
      <c r="X386" s="583">
        <f>VLOOKUP($H386,Nutrition_tables!$A:$N,11,FALSE)*$Q386/100</f>
        <v>0</v>
      </c>
      <c r="Y386" s="583">
        <f>VLOOKUP($H386,Nutrition_tables!$A:$N,12,FALSE)*$Q386/100</f>
        <v>0</v>
      </c>
      <c r="Z386" s="583">
        <f>VLOOKUP($H386,Nutrition_tables!$A:$N,14,FALSE)*$Q386/100</f>
        <v>0</v>
      </c>
      <c r="AA386" s="583">
        <f>VLOOKUP($H386,Nutrition_tables!$A:$AF,13,FALSE)*$Q386/100</f>
        <v>0</v>
      </c>
      <c r="AB386" s="549">
        <f>VLOOKUP($H386,Nutrition_tables!$A:$AF,15,FALSE)*$Q386/100</f>
        <v>0</v>
      </c>
      <c r="AC386" s="583">
        <f>VLOOKUP($H386,Nutrition_tables!$A:$AF,16,FALSE)*$Q386/100</f>
        <v>0</v>
      </c>
      <c r="AD386" s="583">
        <f>VLOOKUP($H386,Nutrition_tables!$A:$AF,17,FALSE)*$Q386/100</f>
        <v>0</v>
      </c>
      <c r="AE386" s="583">
        <f>VLOOKUP($H386,Nutrition_tables!$A:$AF,18,FALSE)*$Q386/100</f>
        <v>0</v>
      </c>
      <c r="AF386" s="583">
        <f>VLOOKUP($H386,Nutrition_tables!$A:$AF,19,FALSE)*$Q386/100</f>
        <v>0</v>
      </c>
      <c r="AG386" s="583">
        <f>VLOOKUP($H386,Nutrition_tables!$A:$AF,20,FALSE)*$Q386/100</f>
        <v>0</v>
      </c>
      <c r="AH386" s="583">
        <f>VLOOKUP($H386,Nutrition_tables!$A:$AF,21,FALSE)*$Q386/100</f>
        <v>0</v>
      </c>
      <c r="AI386" s="583">
        <f>VLOOKUP($H386,Nutrition_tables!$A:$AF,22,FALSE)*$Q386/100</f>
        <v>0</v>
      </c>
      <c r="AJ386" s="549">
        <f>VLOOKUP($H386,Nutrition_tables!$A:$AF,23,FALSE)*$Q386/100</f>
        <v>0</v>
      </c>
      <c r="AK386" s="583">
        <f>VLOOKUP($H386,Nutrition_tables!$A:$AF,24,FALSE)*$Q386/100</f>
        <v>0</v>
      </c>
      <c r="AL386" s="583">
        <f>VLOOKUP($H386,Nutrition_tables!$A:$AF,25,FALSE)*$Q386/100</f>
        <v>0</v>
      </c>
      <c r="AM386" s="583">
        <f>VLOOKUP($H386,Nutrition_tables!$A:$AF,26,FALSE)*$Q386/100</f>
        <v>0</v>
      </c>
      <c r="AN386" s="583">
        <f>VLOOKUP($H386,Nutrition_tables!$A:$AF,27,FALSE)*$Q386/100</f>
        <v>0</v>
      </c>
      <c r="AO386" s="583">
        <f>VLOOKUP($H386,Nutrition_tables!$A:$AF,28,FALSE)*$Q386/100</f>
        <v>0</v>
      </c>
      <c r="AP386" s="583">
        <f>VLOOKUP($H386,Nutrition_tables!$A:$AF,29,FALSE)*$Q386/100</f>
        <v>0</v>
      </c>
      <c r="AQ386" s="583">
        <f>VLOOKUP($H386,Nutrition_tables!$A:$AF,30,FALSE)*$Q386/100</f>
        <v>0</v>
      </c>
      <c r="AR386" s="583">
        <f>VLOOKUP($H386,Nutrition_tables!$A:$AF,31,FALSE)*$Q386/100</f>
        <v>0</v>
      </c>
      <c r="AS386" s="549">
        <f>VLOOKUP($H386,Nutrition_tables!$A:$AF,32,FALSE)*$Q386/100</f>
        <v>0</v>
      </c>
      <c r="AT386" s="583" t="str">
        <f>IF(H386="Select ingredient:","",IF(G386="Select food category:","",IFERROR(VLOOKUP($H386,Ingredient_prices!$E:$W,17,FALSE)*$Q386/1000,"not bought")))</f>
        <v/>
      </c>
      <c r="AU386" s="583" t="str">
        <f>IF(H386="Select ingredient:","",IF(G386="Select food category:","",IFERROR(VLOOKUP($H386,Ingredient_prices!$E:$W,18,FALSE)*$Q386/1000,"not bought")))</f>
        <v/>
      </c>
      <c r="AV386" s="583">
        <f t="shared" ref="AV386:AV397" si="873">W386*($Q386-$R386)/($Q386+0.00001)</f>
        <v>0</v>
      </c>
      <c r="AW386" s="583">
        <f t="shared" ref="AW386:AW397" si="874">X386*($Q386-$R386)/($Q386+0.00001)</f>
        <v>0</v>
      </c>
      <c r="AX386" s="583">
        <f t="shared" ref="AX386:AX397" si="875">Y386*($Q386-$R386)/($Q386+0.00001)</f>
        <v>0</v>
      </c>
      <c r="AY386" s="583">
        <f t="shared" ref="AY386:AY397" si="876">Z386*($Q386-$R386)/($Q386+0.00001)</f>
        <v>0</v>
      </c>
      <c r="AZ386" s="583">
        <f t="shared" ref="AZ386:AZ397" si="877">AA386*($Q386-$R386)/($Q386+0.00001)</f>
        <v>0</v>
      </c>
      <c r="BA386" s="583">
        <f t="shared" ref="BA386:BA397" si="878">AB386*($Q386-$R386)/($Q386+0.00001)</f>
        <v>0</v>
      </c>
      <c r="BB386" s="583">
        <f t="shared" ref="BB386:BB397" si="879">AC386*($Q386-$R386)/($Q386+0.00001)</f>
        <v>0</v>
      </c>
      <c r="BC386" s="583">
        <f t="shared" ref="BC386:BC397" si="880">AD386*($Q386-$R386)/($Q386+0.00001)</f>
        <v>0</v>
      </c>
      <c r="BD386" s="583">
        <f t="shared" ref="BD386:BD397" si="881">AE386*($Q386-$R386)/($Q386+0.00001)</f>
        <v>0</v>
      </c>
      <c r="BE386" s="583">
        <f t="shared" ref="BE386:BE397" si="882">AF386*($Q386-$R386)/($Q386+0.00001)</f>
        <v>0</v>
      </c>
      <c r="BF386" s="583">
        <f t="shared" ref="BF386:BF397" si="883">AG386*($Q386-$R386)/($Q386+0.00001)</f>
        <v>0</v>
      </c>
      <c r="BG386" s="583">
        <f t="shared" ref="BG386:BG397" si="884">AH386*($Q386-$R386)/($Q386+0.00001)</f>
        <v>0</v>
      </c>
      <c r="BH386" s="583">
        <f t="shared" ref="BH386:BH397" si="885">AI386*($Q386-$R386)/($Q386+0.00001)</f>
        <v>0</v>
      </c>
      <c r="BI386" s="583">
        <f t="shared" ref="BI386:BI397" si="886">AJ386*($Q386-$R386)/($Q386+0.00001)</f>
        <v>0</v>
      </c>
      <c r="BJ386" s="583">
        <f t="shared" ref="BJ386:BJ397" si="887">AK386*($Q386-$R386)/($Q386+0.00001)</f>
        <v>0</v>
      </c>
      <c r="BK386" s="583">
        <f t="shared" ref="BK386:BK397" si="888">AL386*($Q386-$R386)/($Q386+0.00001)</f>
        <v>0</v>
      </c>
      <c r="BL386" s="583">
        <f t="shared" ref="BL386:BL397" si="889">AM386*($Q386-$R386)/($Q386+0.00001)</f>
        <v>0</v>
      </c>
      <c r="BM386" s="583">
        <f t="shared" ref="BM386:BM397" si="890">AN386*($Q386-$R386)/($Q386+0.00001)</f>
        <v>0</v>
      </c>
      <c r="BN386" s="583">
        <f t="shared" ref="BN386:BN397" si="891">AO386*($Q386-$R386)/($Q386+0.00001)</f>
        <v>0</v>
      </c>
      <c r="BO386" s="583">
        <f t="shared" ref="BO386:BO397" si="892">AP386*($Q386-$R386)/($Q386+0.00001)</f>
        <v>0</v>
      </c>
      <c r="BP386" s="583">
        <f t="shared" ref="BP386:BP397" si="893">AQ386*($Q386-$R386)/($Q386+0.00001)</f>
        <v>0</v>
      </c>
      <c r="BQ386" s="583">
        <f t="shared" ref="BQ386:BQ397" si="894">AR386*($Q386-$R386)/($Q386+0.00001)</f>
        <v>0</v>
      </c>
      <c r="BR386" s="583">
        <f t="shared" ref="BR386:BR397" si="895">AS386*($Q386-$R386)/($Q386+0.00001)</f>
        <v>0</v>
      </c>
    </row>
    <row r="387" spans="1:70" s="229" customFormat="1" ht="15" customHeight="1">
      <c r="A387" s="643"/>
      <c r="D387" s="85"/>
      <c r="E387" s="576" t="str">
        <f>IF(E$386&gt;0,E$386,"")</f>
        <v/>
      </c>
      <c r="F387" s="707"/>
      <c r="G387" s="406" t="s">
        <v>3054</v>
      </c>
      <c r="H387" s="1262" t="s">
        <v>3055</v>
      </c>
      <c r="I387" s="85">
        <v>0</v>
      </c>
      <c r="J387" s="682">
        <v>1</v>
      </c>
      <c r="K387" s="579" t="str">
        <f t="shared" si="870"/>
        <v/>
      </c>
      <c r="L387" s="580" t="str">
        <f>IF(H387="Select ingredient:","",IF(G387="","",_xlfn.IFNA(VLOOKUP($H387,Ingredient_prices!$E:$U,16,FALSE),0)))</f>
        <v/>
      </c>
      <c r="M387" s="848"/>
      <c r="N387" s="848"/>
      <c r="O387" s="648"/>
      <c r="P387" s="659"/>
      <c r="Q387" s="583">
        <f t="shared" si="871"/>
        <v>0</v>
      </c>
      <c r="R387" s="583">
        <f>VLOOKUP($H387,'CO2_emission+%_food_waste'!$A:$K,6,FALSE)*$Q387/100</f>
        <v>0</v>
      </c>
      <c r="S387" s="583">
        <f t="shared" si="872"/>
        <v>0</v>
      </c>
      <c r="T387" s="583" t="str">
        <f>IF(H387="Select ingredient:","",IF(G387="Select food category:","",_xlfn.IFNA(VLOOKUP($H387,Ingredient_prices!$E:$U,16,FALSE)*$Q387/1000,"not bought")))</f>
        <v/>
      </c>
      <c r="U387" s="583" t="str">
        <f>IF(G387="Select food category:","",_xlfn.IFNA(VLOOKUP($H387,Ingredient_prices!$E:$U,16,FALSE)*$R387/1000,"not bought"))</f>
        <v/>
      </c>
      <c r="V387" s="549">
        <f>VLOOKUP($H387,'CO2_emission+%_food_waste'!$A:$K,4,FALSE)*$Q387</f>
        <v>0</v>
      </c>
      <c r="W387" s="583">
        <f>VLOOKUP($H387,Nutrition_tables!$A:$N,10,FALSE)*$Q387/100</f>
        <v>0</v>
      </c>
      <c r="X387" s="583">
        <f>VLOOKUP($H387,Nutrition_tables!$A:$N,11,FALSE)*$Q387/100</f>
        <v>0</v>
      </c>
      <c r="Y387" s="583">
        <f>VLOOKUP($H387,Nutrition_tables!$A:$N,12,FALSE)*$Q387/100</f>
        <v>0</v>
      </c>
      <c r="Z387" s="583">
        <f>VLOOKUP($H387,Nutrition_tables!$A:$N,14,FALSE)*$Q387/100</f>
        <v>0</v>
      </c>
      <c r="AA387" s="583">
        <f>VLOOKUP($H387,Nutrition_tables!$A:$AF,13,FALSE)*$Q387/100</f>
        <v>0</v>
      </c>
      <c r="AB387" s="549">
        <f>VLOOKUP($H387,Nutrition_tables!$A:$AF,15,FALSE)*$Q387/100</f>
        <v>0</v>
      </c>
      <c r="AC387" s="583">
        <f>VLOOKUP($H387,Nutrition_tables!$A:$AF,16,FALSE)*$Q387/100</f>
        <v>0</v>
      </c>
      <c r="AD387" s="583">
        <f>VLOOKUP($H387,Nutrition_tables!$A:$AF,17,FALSE)*$Q387/100</f>
        <v>0</v>
      </c>
      <c r="AE387" s="583">
        <f>VLOOKUP($H387,Nutrition_tables!$A:$AF,18,FALSE)*$Q387/100</f>
        <v>0</v>
      </c>
      <c r="AF387" s="583">
        <f>VLOOKUP($H387,Nutrition_tables!$A:$AF,19,FALSE)*$Q387/100</f>
        <v>0</v>
      </c>
      <c r="AG387" s="583">
        <f>VLOOKUP($H387,Nutrition_tables!$A:$AF,20,FALSE)*$Q387/100</f>
        <v>0</v>
      </c>
      <c r="AH387" s="583">
        <f>VLOOKUP($H387,Nutrition_tables!$A:$AF,21,FALSE)*$Q387/100</f>
        <v>0</v>
      </c>
      <c r="AI387" s="583">
        <f>VLOOKUP($H387,Nutrition_tables!$A:$AF,22,FALSE)*$Q387/100</f>
        <v>0</v>
      </c>
      <c r="AJ387" s="549">
        <f>VLOOKUP($H387,Nutrition_tables!$A:$AF,23,FALSE)*$Q387/100</f>
        <v>0</v>
      </c>
      <c r="AK387" s="583">
        <f>VLOOKUP($H387,Nutrition_tables!$A:$AF,24,FALSE)*$Q387/100</f>
        <v>0</v>
      </c>
      <c r="AL387" s="583">
        <f>VLOOKUP($H387,Nutrition_tables!$A:$AF,25,FALSE)*$Q387/100</f>
        <v>0</v>
      </c>
      <c r="AM387" s="583">
        <f>VLOOKUP($H387,Nutrition_tables!$A:$AF,26,FALSE)*$Q387/100</f>
        <v>0</v>
      </c>
      <c r="AN387" s="583">
        <f>VLOOKUP($H387,Nutrition_tables!$A:$AF,27,FALSE)*$Q387/100</f>
        <v>0</v>
      </c>
      <c r="AO387" s="583">
        <f>VLOOKUP($H387,Nutrition_tables!$A:$AF,28,FALSE)*$Q387/100</f>
        <v>0</v>
      </c>
      <c r="AP387" s="583">
        <f>VLOOKUP($H387,Nutrition_tables!$A:$AF,29,FALSE)*$Q387/100</f>
        <v>0</v>
      </c>
      <c r="AQ387" s="583">
        <f>VLOOKUP($H387,Nutrition_tables!$A:$AF,30,FALSE)*$Q387/100</f>
        <v>0</v>
      </c>
      <c r="AR387" s="583">
        <f>VLOOKUP($H387,Nutrition_tables!$A:$AF,31,FALSE)*$Q387/100</f>
        <v>0</v>
      </c>
      <c r="AS387" s="549">
        <f>VLOOKUP($H387,Nutrition_tables!$A:$AF,32,FALSE)*$Q387/100</f>
        <v>0</v>
      </c>
      <c r="AT387" s="583" t="str">
        <f>IF(H387="Select ingredient:","",IF(G387="Select food category:","",IFERROR(VLOOKUP($H387,Ingredient_prices!$E:$W,17,FALSE)*$Q387/1000,"not bought")))</f>
        <v/>
      </c>
      <c r="AU387" s="583" t="str">
        <f>IF(H387="Select ingredient:","",IF(G387="Select food category:","",IFERROR(VLOOKUP($H387,Ingredient_prices!$E:$W,18,FALSE)*$Q387/1000,"not bought")))</f>
        <v/>
      </c>
      <c r="AV387" s="583">
        <f t="shared" si="873"/>
        <v>0</v>
      </c>
      <c r="AW387" s="583">
        <f t="shared" si="874"/>
        <v>0</v>
      </c>
      <c r="AX387" s="583">
        <f t="shared" si="875"/>
        <v>0</v>
      </c>
      <c r="AY387" s="583">
        <f t="shared" si="876"/>
        <v>0</v>
      </c>
      <c r="AZ387" s="583">
        <f t="shared" si="877"/>
        <v>0</v>
      </c>
      <c r="BA387" s="583">
        <f t="shared" si="878"/>
        <v>0</v>
      </c>
      <c r="BB387" s="583">
        <f t="shared" si="879"/>
        <v>0</v>
      </c>
      <c r="BC387" s="583">
        <f t="shared" si="880"/>
        <v>0</v>
      </c>
      <c r="BD387" s="583">
        <f t="shared" si="881"/>
        <v>0</v>
      </c>
      <c r="BE387" s="583">
        <f t="shared" si="882"/>
        <v>0</v>
      </c>
      <c r="BF387" s="583">
        <f t="shared" si="883"/>
        <v>0</v>
      </c>
      <c r="BG387" s="583">
        <f t="shared" si="884"/>
        <v>0</v>
      </c>
      <c r="BH387" s="583">
        <f t="shared" si="885"/>
        <v>0</v>
      </c>
      <c r="BI387" s="583">
        <f t="shared" si="886"/>
        <v>0</v>
      </c>
      <c r="BJ387" s="583">
        <f t="shared" si="887"/>
        <v>0</v>
      </c>
      <c r="BK387" s="583">
        <f t="shared" si="888"/>
        <v>0</v>
      </c>
      <c r="BL387" s="583">
        <f t="shared" si="889"/>
        <v>0</v>
      </c>
      <c r="BM387" s="583">
        <f t="shared" si="890"/>
        <v>0</v>
      </c>
      <c r="BN387" s="583">
        <f t="shared" si="891"/>
        <v>0</v>
      </c>
      <c r="BO387" s="583">
        <f t="shared" si="892"/>
        <v>0</v>
      </c>
      <c r="BP387" s="583">
        <f t="shared" si="893"/>
        <v>0</v>
      </c>
      <c r="BQ387" s="583">
        <f t="shared" si="894"/>
        <v>0</v>
      </c>
      <c r="BR387" s="583">
        <f t="shared" si="895"/>
        <v>0</v>
      </c>
    </row>
    <row r="388" spans="1:70" s="229" customFormat="1" ht="15" customHeight="1">
      <c r="A388" s="643"/>
      <c r="D388" s="85"/>
      <c r="E388" s="576" t="str">
        <f t="shared" ref="E388:E397" si="896">IF(E$386&gt;0,E$386,"")</f>
        <v/>
      </c>
      <c r="F388" s="707"/>
      <c r="G388" s="406" t="s">
        <v>3054</v>
      </c>
      <c r="H388" s="1262" t="s">
        <v>3055</v>
      </c>
      <c r="I388" s="85">
        <v>0</v>
      </c>
      <c r="J388" s="682">
        <v>1</v>
      </c>
      <c r="K388" s="579" t="str">
        <f t="shared" si="870"/>
        <v/>
      </c>
      <c r="L388" s="580" t="str">
        <f>IF(H388="Select ingredient:","",IF(G388="","",_xlfn.IFNA(VLOOKUP($H388,Ingredient_prices!$E:$U,16,FALSE),0)))</f>
        <v/>
      </c>
      <c r="M388" s="848"/>
      <c r="N388" s="848"/>
      <c r="O388" s="648"/>
      <c r="P388" s="659"/>
      <c r="Q388" s="583">
        <f t="shared" si="871"/>
        <v>0</v>
      </c>
      <c r="R388" s="583">
        <f>VLOOKUP($H388,'CO2_emission+%_food_waste'!$A:$K,6,FALSE)*$Q388/100</f>
        <v>0</v>
      </c>
      <c r="S388" s="583">
        <f t="shared" si="872"/>
        <v>0</v>
      </c>
      <c r="T388" s="583" t="str">
        <f>IF(H388="Select ingredient:","",IF(G388="Select food category:","",_xlfn.IFNA(VLOOKUP($H388,Ingredient_prices!$E:$U,16,FALSE)*$Q388/1000,"not bought")))</f>
        <v/>
      </c>
      <c r="U388" s="583" t="str">
        <f>IF(G388="Select food category:","",_xlfn.IFNA(VLOOKUP($H388,Ingredient_prices!$E:$U,16,FALSE)*$R388/1000,"not bought"))</f>
        <v/>
      </c>
      <c r="V388" s="549">
        <f>VLOOKUP($H388,'CO2_emission+%_food_waste'!$A:$K,4,FALSE)*$Q388</f>
        <v>0</v>
      </c>
      <c r="W388" s="583">
        <f>VLOOKUP($H388,Nutrition_tables!$A:$N,10,FALSE)*$Q388/100</f>
        <v>0</v>
      </c>
      <c r="X388" s="583">
        <f>VLOOKUP($H388,Nutrition_tables!$A:$N,11,FALSE)*$Q388/100</f>
        <v>0</v>
      </c>
      <c r="Y388" s="583">
        <f>VLOOKUP($H388,Nutrition_tables!$A:$N,12,FALSE)*$Q388/100</f>
        <v>0</v>
      </c>
      <c r="Z388" s="583">
        <f>VLOOKUP($H388,Nutrition_tables!$A:$N,14,FALSE)*$Q388/100</f>
        <v>0</v>
      </c>
      <c r="AA388" s="583">
        <f>VLOOKUP($H388,Nutrition_tables!$A:$AF,13,FALSE)*$Q388/100</f>
        <v>0</v>
      </c>
      <c r="AB388" s="549">
        <f>VLOOKUP($H388,Nutrition_tables!$A:$AF,15,FALSE)*$Q388/100</f>
        <v>0</v>
      </c>
      <c r="AC388" s="583">
        <f>VLOOKUP($H388,Nutrition_tables!$A:$AF,16,FALSE)*$Q388/100</f>
        <v>0</v>
      </c>
      <c r="AD388" s="583">
        <f>VLOOKUP($H388,Nutrition_tables!$A:$AF,17,FALSE)*$Q388/100</f>
        <v>0</v>
      </c>
      <c r="AE388" s="583">
        <f>VLOOKUP($H388,Nutrition_tables!$A:$AF,18,FALSE)*$Q388/100</f>
        <v>0</v>
      </c>
      <c r="AF388" s="583">
        <f>VLOOKUP($H388,Nutrition_tables!$A:$AF,19,FALSE)*$Q388/100</f>
        <v>0</v>
      </c>
      <c r="AG388" s="583">
        <f>VLOOKUP($H388,Nutrition_tables!$A:$AF,20,FALSE)*$Q388/100</f>
        <v>0</v>
      </c>
      <c r="AH388" s="583">
        <f>VLOOKUP($H388,Nutrition_tables!$A:$AF,21,FALSE)*$Q388/100</f>
        <v>0</v>
      </c>
      <c r="AI388" s="583">
        <f>VLOOKUP($H388,Nutrition_tables!$A:$AF,22,FALSE)*$Q388/100</f>
        <v>0</v>
      </c>
      <c r="AJ388" s="549">
        <f>VLOOKUP($H388,Nutrition_tables!$A:$AF,23,FALSE)*$Q388/100</f>
        <v>0</v>
      </c>
      <c r="AK388" s="583">
        <f>VLOOKUP($H388,Nutrition_tables!$A:$AF,24,FALSE)*$Q388/100</f>
        <v>0</v>
      </c>
      <c r="AL388" s="583">
        <f>VLOOKUP($H388,Nutrition_tables!$A:$AF,25,FALSE)*$Q388/100</f>
        <v>0</v>
      </c>
      <c r="AM388" s="583">
        <f>VLOOKUP($H388,Nutrition_tables!$A:$AF,26,FALSE)*$Q388/100</f>
        <v>0</v>
      </c>
      <c r="AN388" s="583">
        <f>VLOOKUP($H388,Nutrition_tables!$A:$AF,27,FALSE)*$Q388/100</f>
        <v>0</v>
      </c>
      <c r="AO388" s="583">
        <f>VLOOKUP($H388,Nutrition_tables!$A:$AF,28,FALSE)*$Q388/100</f>
        <v>0</v>
      </c>
      <c r="AP388" s="583">
        <f>VLOOKUP($H388,Nutrition_tables!$A:$AF,29,FALSE)*$Q388/100</f>
        <v>0</v>
      </c>
      <c r="AQ388" s="583">
        <f>VLOOKUP($H388,Nutrition_tables!$A:$AF,30,FALSE)*$Q388/100</f>
        <v>0</v>
      </c>
      <c r="AR388" s="583">
        <f>VLOOKUP($H388,Nutrition_tables!$A:$AF,31,FALSE)*$Q388/100</f>
        <v>0</v>
      </c>
      <c r="AS388" s="549">
        <f>VLOOKUP($H388,Nutrition_tables!$A:$AF,32,FALSE)*$Q388/100</f>
        <v>0</v>
      </c>
      <c r="AT388" s="583" t="str">
        <f>IF(H388="Select ingredient:","",IF(G388="Select food category:","",IFERROR(VLOOKUP($H388,Ingredient_prices!$E:$W,17,FALSE)*$Q388/1000,"not bought")))</f>
        <v/>
      </c>
      <c r="AU388" s="583" t="str">
        <f>IF(H388="Select ingredient:","",IF(G388="Select food category:","",IFERROR(VLOOKUP($H388,Ingredient_prices!$E:$W,18,FALSE)*$Q388/1000,"not bought")))</f>
        <v/>
      </c>
      <c r="AV388" s="583">
        <f t="shared" si="873"/>
        <v>0</v>
      </c>
      <c r="AW388" s="583">
        <f t="shared" si="874"/>
        <v>0</v>
      </c>
      <c r="AX388" s="583">
        <f t="shared" si="875"/>
        <v>0</v>
      </c>
      <c r="AY388" s="583">
        <f t="shared" si="876"/>
        <v>0</v>
      </c>
      <c r="AZ388" s="583">
        <f t="shared" si="877"/>
        <v>0</v>
      </c>
      <c r="BA388" s="583">
        <f t="shared" si="878"/>
        <v>0</v>
      </c>
      <c r="BB388" s="583">
        <f t="shared" si="879"/>
        <v>0</v>
      </c>
      <c r="BC388" s="583">
        <f t="shared" si="880"/>
        <v>0</v>
      </c>
      <c r="BD388" s="583">
        <f t="shared" si="881"/>
        <v>0</v>
      </c>
      <c r="BE388" s="583">
        <f t="shared" si="882"/>
        <v>0</v>
      </c>
      <c r="BF388" s="583">
        <f t="shared" si="883"/>
        <v>0</v>
      </c>
      <c r="BG388" s="583">
        <f t="shared" si="884"/>
        <v>0</v>
      </c>
      <c r="BH388" s="583">
        <f t="shared" si="885"/>
        <v>0</v>
      </c>
      <c r="BI388" s="583">
        <f t="shared" si="886"/>
        <v>0</v>
      </c>
      <c r="BJ388" s="583">
        <f t="shared" si="887"/>
        <v>0</v>
      </c>
      <c r="BK388" s="583">
        <f t="shared" si="888"/>
        <v>0</v>
      </c>
      <c r="BL388" s="583">
        <f t="shared" si="889"/>
        <v>0</v>
      </c>
      <c r="BM388" s="583">
        <f t="shared" si="890"/>
        <v>0</v>
      </c>
      <c r="BN388" s="583">
        <f t="shared" si="891"/>
        <v>0</v>
      </c>
      <c r="BO388" s="583">
        <f t="shared" si="892"/>
        <v>0</v>
      </c>
      <c r="BP388" s="583">
        <f t="shared" si="893"/>
        <v>0</v>
      </c>
      <c r="BQ388" s="583">
        <f t="shared" si="894"/>
        <v>0</v>
      </c>
      <c r="BR388" s="583">
        <f t="shared" si="895"/>
        <v>0</v>
      </c>
    </row>
    <row r="389" spans="1:70" s="229" customFormat="1" ht="15" customHeight="1">
      <c r="A389" s="643"/>
      <c r="D389" s="85"/>
      <c r="E389" s="576" t="str">
        <f t="shared" si="896"/>
        <v/>
      </c>
      <c r="F389" s="707"/>
      <c r="G389" s="406" t="s">
        <v>3054</v>
      </c>
      <c r="H389" s="1262" t="s">
        <v>3055</v>
      </c>
      <c r="I389" s="85">
        <v>0</v>
      </c>
      <c r="J389" s="682">
        <v>1</v>
      </c>
      <c r="K389" s="579" t="str">
        <f t="shared" si="870"/>
        <v/>
      </c>
      <c r="L389" s="580" t="str">
        <f>IF(H389="Select ingredient:","",IF(G389="","",_xlfn.IFNA(VLOOKUP($H389,Ingredient_prices!$E:$U,16,FALSE),0)))</f>
        <v/>
      </c>
      <c r="M389" s="848"/>
      <c r="N389" s="848"/>
      <c r="O389" s="648"/>
      <c r="P389" s="659"/>
      <c r="Q389" s="583">
        <f t="shared" si="871"/>
        <v>0</v>
      </c>
      <c r="R389" s="583">
        <f>VLOOKUP($H389,'CO2_emission+%_food_waste'!$A:$K,6,FALSE)*$Q389/100</f>
        <v>0</v>
      </c>
      <c r="S389" s="583">
        <f t="shared" si="872"/>
        <v>0</v>
      </c>
      <c r="T389" s="583" t="str">
        <f>IF(H389="Select ingredient:","",IF(G389="Select food category:","",_xlfn.IFNA(VLOOKUP($H389,Ingredient_prices!$E:$U,16,FALSE)*$Q389/1000,"not bought")))</f>
        <v/>
      </c>
      <c r="U389" s="583" t="str">
        <f>IF(G389="Select food category:","",_xlfn.IFNA(VLOOKUP($H389,Ingredient_prices!$E:$U,16,FALSE)*$R389/1000,"not bought"))</f>
        <v/>
      </c>
      <c r="V389" s="549">
        <f>VLOOKUP($H389,'CO2_emission+%_food_waste'!$A:$K,4,FALSE)*$Q389</f>
        <v>0</v>
      </c>
      <c r="W389" s="583">
        <f>VLOOKUP($H389,Nutrition_tables!$A:$N,10,FALSE)*$Q389/100</f>
        <v>0</v>
      </c>
      <c r="X389" s="583">
        <f>VLOOKUP($H389,Nutrition_tables!$A:$N,11,FALSE)*$Q389/100</f>
        <v>0</v>
      </c>
      <c r="Y389" s="583">
        <f>VLOOKUP($H389,Nutrition_tables!$A:$N,12,FALSE)*$Q389/100</f>
        <v>0</v>
      </c>
      <c r="Z389" s="583">
        <f>VLOOKUP($H389,Nutrition_tables!$A:$N,14,FALSE)*$Q389/100</f>
        <v>0</v>
      </c>
      <c r="AA389" s="583">
        <f>VLOOKUP($H389,Nutrition_tables!$A:$AF,13,FALSE)*$Q389/100</f>
        <v>0</v>
      </c>
      <c r="AB389" s="549">
        <f>VLOOKUP($H389,Nutrition_tables!$A:$AF,15,FALSE)*$Q389/100</f>
        <v>0</v>
      </c>
      <c r="AC389" s="583">
        <f>VLOOKUP($H389,Nutrition_tables!$A:$AF,16,FALSE)*$Q389/100</f>
        <v>0</v>
      </c>
      <c r="AD389" s="583">
        <f>VLOOKUP($H389,Nutrition_tables!$A:$AF,17,FALSE)*$Q389/100</f>
        <v>0</v>
      </c>
      <c r="AE389" s="583">
        <f>VLOOKUP($H389,Nutrition_tables!$A:$AF,18,FALSE)*$Q389/100</f>
        <v>0</v>
      </c>
      <c r="AF389" s="583">
        <f>VLOOKUP($H389,Nutrition_tables!$A:$AF,19,FALSE)*$Q389/100</f>
        <v>0</v>
      </c>
      <c r="AG389" s="583">
        <f>VLOOKUP($H389,Nutrition_tables!$A:$AF,20,FALSE)*$Q389/100</f>
        <v>0</v>
      </c>
      <c r="AH389" s="583">
        <f>VLOOKUP($H389,Nutrition_tables!$A:$AF,21,FALSE)*$Q389/100</f>
        <v>0</v>
      </c>
      <c r="AI389" s="583">
        <f>VLOOKUP($H389,Nutrition_tables!$A:$AF,22,FALSE)*$Q389/100</f>
        <v>0</v>
      </c>
      <c r="AJ389" s="549">
        <f>VLOOKUP($H389,Nutrition_tables!$A:$AF,23,FALSE)*$Q389/100</f>
        <v>0</v>
      </c>
      <c r="AK389" s="583">
        <f>VLOOKUP($H389,Nutrition_tables!$A:$AF,24,FALSE)*$Q389/100</f>
        <v>0</v>
      </c>
      <c r="AL389" s="583">
        <f>VLOOKUP($H389,Nutrition_tables!$A:$AF,25,FALSE)*$Q389/100</f>
        <v>0</v>
      </c>
      <c r="AM389" s="583">
        <f>VLOOKUP($H389,Nutrition_tables!$A:$AF,26,FALSE)*$Q389/100</f>
        <v>0</v>
      </c>
      <c r="AN389" s="583">
        <f>VLOOKUP($H389,Nutrition_tables!$A:$AF,27,FALSE)*$Q389/100</f>
        <v>0</v>
      </c>
      <c r="AO389" s="583">
        <f>VLOOKUP($H389,Nutrition_tables!$A:$AF,28,FALSE)*$Q389/100</f>
        <v>0</v>
      </c>
      <c r="AP389" s="583">
        <f>VLOOKUP($H389,Nutrition_tables!$A:$AF,29,FALSE)*$Q389/100</f>
        <v>0</v>
      </c>
      <c r="AQ389" s="583">
        <f>VLOOKUP($H389,Nutrition_tables!$A:$AF,30,FALSE)*$Q389/100</f>
        <v>0</v>
      </c>
      <c r="AR389" s="583">
        <f>VLOOKUP($H389,Nutrition_tables!$A:$AF,31,FALSE)*$Q389/100</f>
        <v>0</v>
      </c>
      <c r="AS389" s="549">
        <f>VLOOKUP($H389,Nutrition_tables!$A:$AF,32,FALSE)*$Q389/100</f>
        <v>0</v>
      </c>
      <c r="AT389" s="583" t="str">
        <f>IF(H389="Select ingredient:","",IF(G389="Select food category:","",IFERROR(VLOOKUP($H389,Ingredient_prices!$E:$W,17,FALSE)*$Q389/1000,"not bought")))</f>
        <v/>
      </c>
      <c r="AU389" s="583" t="str">
        <f>IF(H389="Select ingredient:","",IF(G389="Select food category:","",IFERROR(VLOOKUP($H389,Ingredient_prices!$E:$W,18,FALSE)*$Q389/1000,"not bought")))</f>
        <v/>
      </c>
      <c r="AV389" s="583">
        <f t="shared" si="873"/>
        <v>0</v>
      </c>
      <c r="AW389" s="583">
        <f t="shared" si="874"/>
        <v>0</v>
      </c>
      <c r="AX389" s="583">
        <f t="shared" si="875"/>
        <v>0</v>
      </c>
      <c r="AY389" s="583">
        <f t="shared" si="876"/>
        <v>0</v>
      </c>
      <c r="AZ389" s="583">
        <f t="shared" si="877"/>
        <v>0</v>
      </c>
      <c r="BA389" s="583">
        <f t="shared" si="878"/>
        <v>0</v>
      </c>
      <c r="BB389" s="583">
        <f t="shared" si="879"/>
        <v>0</v>
      </c>
      <c r="BC389" s="583">
        <f t="shared" si="880"/>
        <v>0</v>
      </c>
      <c r="BD389" s="583">
        <f t="shared" si="881"/>
        <v>0</v>
      </c>
      <c r="BE389" s="583">
        <f t="shared" si="882"/>
        <v>0</v>
      </c>
      <c r="BF389" s="583">
        <f t="shared" si="883"/>
        <v>0</v>
      </c>
      <c r="BG389" s="583">
        <f t="shared" si="884"/>
        <v>0</v>
      </c>
      <c r="BH389" s="583">
        <f t="shared" si="885"/>
        <v>0</v>
      </c>
      <c r="BI389" s="583">
        <f t="shared" si="886"/>
        <v>0</v>
      </c>
      <c r="BJ389" s="583">
        <f t="shared" si="887"/>
        <v>0</v>
      </c>
      <c r="BK389" s="583">
        <f t="shared" si="888"/>
        <v>0</v>
      </c>
      <c r="BL389" s="583">
        <f t="shared" si="889"/>
        <v>0</v>
      </c>
      <c r="BM389" s="583">
        <f t="shared" si="890"/>
        <v>0</v>
      </c>
      <c r="BN389" s="583">
        <f t="shared" si="891"/>
        <v>0</v>
      </c>
      <c r="BO389" s="583">
        <f t="shared" si="892"/>
        <v>0</v>
      </c>
      <c r="BP389" s="583">
        <f t="shared" si="893"/>
        <v>0</v>
      </c>
      <c r="BQ389" s="583">
        <f t="shared" si="894"/>
        <v>0</v>
      </c>
      <c r="BR389" s="583">
        <f t="shared" si="895"/>
        <v>0</v>
      </c>
    </row>
    <row r="390" spans="1:70" s="229" customFormat="1" ht="15" customHeight="1">
      <c r="A390" s="643"/>
      <c r="D390" s="85"/>
      <c r="E390" s="576" t="str">
        <f t="shared" si="896"/>
        <v/>
      </c>
      <c r="F390" s="707"/>
      <c r="G390" s="406" t="s">
        <v>3054</v>
      </c>
      <c r="H390" s="1262" t="s">
        <v>3055</v>
      </c>
      <c r="I390" s="85">
        <v>0</v>
      </c>
      <c r="J390" s="682">
        <v>1</v>
      </c>
      <c r="K390" s="579" t="str">
        <f t="shared" si="870"/>
        <v/>
      </c>
      <c r="L390" s="580" t="str">
        <f>IF(H390="Select ingredient:","",IF(G390="","",_xlfn.IFNA(VLOOKUP($H390,Ingredient_prices!$E:$U,16,FALSE),0)))</f>
        <v/>
      </c>
      <c r="M390" s="848"/>
      <c r="N390" s="848"/>
      <c r="O390" s="648"/>
      <c r="P390" s="659"/>
      <c r="Q390" s="583">
        <f t="shared" si="871"/>
        <v>0</v>
      </c>
      <c r="R390" s="583">
        <f>VLOOKUP($H390,'CO2_emission+%_food_waste'!$A:$K,6,FALSE)*$Q390/100</f>
        <v>0</v>
      </c>
      <c r="S390" s="583">
        <f t="shared" si="872"/>
        <v>0</v>
      </c>
      <c r="T390" s="583" t="str">
        <f>IF(H390="Select ingredient:","",IF(G390="Select food category:","",_xlfn.IFNA(VLOOKUP($H390,Ingredient_prices!$E:$U,16,FALSE)*$Q390/1000,"not bought")))</f>
        <v/>
      </c>
      <c r="U390" s="583" t="str">
        <f>IF(G390="Select food category:","",_xlfn.IFNA(VLOOKUP($H390,Ingredient_prices!$E:$U,16,FALSE)*$R390/1000,"not bought"))</f>
        <v/>
      </c>
      <c r="V390" s="549">
        <f>VLOOKUP($H390,'CO2_emission+%_food_waste'!$A:$K,4,FALSE)*$Q390</f>
        <v>0</v>
      </c>
      <c r="W390" s="583">
        <f>VLOOKUP($H390,Nutrition_tables!$A:$N,10,FALSE)*$Q390/100</f>
        <v>0</v>
      </c>
      <c r="X390" s="583">
        <f>VLOOKUP($H390,Nutrition_tables!$A:$N,11,FALSE)*$Q390/100</f>
        <v>0</v>
      </c>
      <c r="Y390" s="583">
        <f>VLOOKUP($H390,Nutrition_tables!$A:$N,12,FALSE)*$Q390/100</f>
        <v>0</v>
      </c>
      <c r="Z390" s="583">
        <f>VLOOKUP($H390,Nutrition_tables!$A:$N,14,FALSE)*$Q390/100</f>
        <v>0</v>
      </c>
      <c r="AA390" s="583">
        <f>VLOOKUP($H390,Nutrition_tables!$A:$AF,13,FALSE)*$Q390/100</f>
        <v>0</v>
      </c>
      <c r="AB390" s="549">
        <f>VLOOKUP($H390,Nutrition_tables!$A:$AF,15,FALSE)*$Q390/100</f>
        <v>0</v>
      </c>
      <c r="AC390" s="583">
        <f>VLOOKUP($H390,Nutrition_tables!$A:$AF,16,FALSE)*$Q390/100</f>
        <v>0</v>
      </c>
      <c r="AD390" s="583">
        <f>VLOOKUP($H390,Nutrition_tables!$A:$AF,17,FALSE)*$Q390/100</f>
        <v>0</v>
      </c>
      <c r="AE390" s="583">
        <f>VLOOKUP($H390,Nutrition_tables!$A:$AF,18,FALSE)*$Q390/100</f>
        <v>0</v>
      </c>
      <c r="AF390" s="583">
        <f>VLOOKUP($H390,Nutrition_tables!$A:$AF,19,FALSE)*$Q390/100</f>
        <v>0</v>
      </c>
      <c r="AG390" s="583">
        <f>VLOOKUP($H390,Nutrition_tables!$A:$AF,20,FALSE)*$Q390/100</f>
        <v>0</v>
      </c>
      <c r="AH390" s="583">
        <f>VLOOKUP($H390,Nutrition_tables!$A:$AF,21,FALSE)*$Q390/100</f>
        <v>0</v>
      </c>
      <c r="AI390" s="583">
        <f>VLOOKUP($H390,Nutrition_tables!$A:$AF,22,FALSE)*$Q390/100</f>
        <v>0</v>
      </c>
      <c r="AJ390" s="549">
        <f>VLOOKUP($H390,Nutrition_tables!$A:$AF,23,FALSE)*$Q390/100</f>
        <v>0</v>
      </c>
      <c r="AK390" s="583">
        <f>VLOOKUP($H390,Nutrition_tables!$A:$AF,24,FALSE)*$Q390/100</f>
        <v>0</v>
      </c>
      <c r="AL390" s="583">
        <f>VLOOKUP($H390,Nutrition_tables!$A:$AF,25,FALSE)*$Q390/100</f>
        <v>0</v>
      </c>
      <c r="AM390" s="583">
        <f>VLOOKUP($H390,Nutrition_tables!$A:$AF,26,FALSE)*$Q390/100</f>
        <v>0</v>
      </c>
      <c r="AN390" s="583">
        <f>VLOOKUP($H390,Nutrition_tables!$A:$AF,27,FALSE)*$Q390/100</f>
        <v>0</v>
      </c>
      <c r="AO390" s="583">
        <f>VLOOKUP($H390,Nutrition_tables!$A:$AF,28,FALSE)*$Q390/100</f>
        <v>0</v>
      </c>
      <c r="AP390" s="583">
        <f>VLOOKUP($H390,Nutrition_tables!$A:$AF,29,FALSE)*$Q390/100</f>
        <v>0</v>
      </c>
      <c r="AQ390" s="583">
        <f>VLOOKUP($H390,Nutrition_tables!$A:$AF,30,FALSE)*$Q390/100</f>
        <v>0</v>
      </c>
      <c r="AR390" s="583">
        <f>VLOOKUP($H390,Nutrition_tables!$A:$AF,31,FALSE)*$Q390/100</f>
        <v>0</v>
      </c>
      <c r="AS390" s="549">
        <f>VLOOKUP($H390,Nutrition_tables!$A:$AF,32,FALSE)*$Q390/100</f>
        <v>0</v>
      </c>
      <c r="AT390" s="583" t="str">
        <f>IF(H390="Select ingredient:","",IF(G390="Select food category:","",IFERROR(VLOOKUP($H390,Ingredient_prices!$E:$W,17,FALSE)*$Q390/1000,"not bought")))</f>
        <v/>
      </c>
      <c r="AU390" s="583" t="str">
        <f>IF(H390="Select ingredient:","",IF(G390="Select food category:","",IFERROR(VLOOKUP($H390,Ingredient_prices!$E:$W,18,FALSE)*$Q390/1000,"not bought")))</f>
        <v/>
      </c>
      <c r="AV390" s="583">
        <f t="shared" si="873"/>
        <v>0</v>
      </c>
      <c r="AW390" s="583">
        <f t="shared" si="874"/>
        <v>0</v>
      </c>
      <c r="AX390" s="583">
        <f t="shared" si="875"/>
        <v>0</v>
      </c>
      <c r="AY390" s="583">
        <f t="shared" si="876"/>
        <v>0</v>
      </c>
      <c r="AZ390" s="583">
        <f t="shared" si="877"/>
        <v>0</v>
      </c>
      <c r="BA390" s="583">
        <f t="shared" si="878"/>
        <v>0</v>
      </c>
      <c r="BB390" s="583">
        <f t="shared" si="879"/>
        <v>0</v>
      </c>
      <c r="BC390" s="583">
        <f t="shared" si="880"/>
        <v>0</v>
      </c>
      <c r="BD390" s="583">
        <f t="shared" si="881"/>
        <v>0</v>
      </c>
      <c r="BE390" s="583">
        <f t="shared" si="882"/>
        <v>0</v>
      </c>
      <c r="BF390" s="583">
        <f t="shared" si="883"/>
        <v>0</v>
      </c>
      <c r="BG390" s="583">
        <f t="shared" si="884"/>
        <v>0</v>
      </c>
      <c r="BH390" s="583">
        <f t="shared" si="885"/>
        <v>0</v>
      </c>
      <c r="BI390" s="583">
        <f t="shared" si="886"/>
        <v>0</v>
      </c>
      <c r="BJ390" s="583">
        <f t="shared" si="887"/>
        <v>0</v>
      </c>
      <c r="BK390" s="583">
        <f t="shared" si="888"/>
        <v>0</v>
      </c>
      <c r="BL390" s="583">
        <f t="shared" si="889"/>
        <v>0</v>
      </c>
      <c r="BM390" s="583">
        <f t="shared" si="890"/>
        <v>0</v>
      </c>
      <c r="BN390" s="583">
        <f t="shared" si="891"/>
        <v>0</v>
      </c>
      <c r="BO390" s="583">
        <f t="shared" si="892"/>
        <v>0</v>
      </c>
      <c r="BP390" s="583">
        <f t="shared" si="893"/>
        <v>0</v>
      </c>
      <c r="BQ390" s="583">
        <f t="shared" si="894"/>
        <v>0</v>
      </c>
      <c r="BR390" s="583">
        <f t="shared" si="895"/>
        <v>0</v>
      </c>
    </row>
    <row r="391" spans="1:70" s="229" customFormat="1" ht="15" customHeight="1">
      <c r="A391" s="643"/>
      <c r="D391" s="85"/>
      <c r="E391" s="576" t="str">
        <f t="shared" si="896"/>
        <v/>
      </c>
      <c r="F391" s="707"/>
      <c r="G391" s="406" t="s">
        <v>3054</v>
      </c>
      <c r="H391" s="1262" t="s">
        <v>3055</v>
      </c>
      <c r="I391" s="85">
        <v>0</v>
      </c>
      <c r="J391" s="682">
        <v>1</v>
      </c>
      <c r="K391" s="579" t="str">
        <f t="shared" si="870"/>
        <v/>
      </c>
      <c r="L391" s="580" t="str">
        <f>IF(H391="Select ingredient:","",IF(G391="","",_xlfn.IFNA(VLOOKUP($H391,Ingredient_prices!$E:$U,16,FALSE),0)))</f>
        <v/>
      </c>
      <c r="M391" s="848"/>
      <c r="N391" s="848"/>
      <c r="O391" s="648"/>
      <c r="P391" s="659"/>
      <c r="Q391" s="583">
        <f t="shared" si="871"/>
        <v>0</v>
      </c>
      <c r="R391" s="583">
        <f>VLOOKUP($H391,'CO2_emission+%_food_waste'!$A:$K,6,FALSE)*$Q391/100</f>
        <v>0</v>
      </c>
      <c r="S391" s="583">
        <f t="shared" si="872"/>
        <v>0</v>
      </c>
      <c r="T391" s="583" t="str">
        <f>IF(H391="Select ingredient:","",IF(G391="Select food category:","",_xlfn.IFNA(VLOOKUP($H391,Ingredient_prices!$E:$U,16,FALSE)*$Q391/1000,"not bought")))</f>
        <v/>
      </c>
      <c r="U391" s="583" t="str">
        <f>IF(G391="Select food category:","",_xlfn.IFNA(VLOOKUP($H391,Ingredient_prices!$E:$U,16,FALSE)*$R391/1000,"not bought"))</f>
        <v/>
      </c>
      <c r="V391" s="549">
        <f>VLOOKUP($H391,'CO2_emission+%_food_waste'!$A:$K,4,FALSE)*$Q391</f>
        <v>0</v>
      </c>
      <c r="W391" s="583">
        <f>VLOOKUP($H391,Nutrition_tables!$A:$N,10,FALSE)*$Q391/100</f>
        <v>0</v>
      </c>
      <c r="X391" s="583">
        <f>VLOOKUP($H391,Nutrition_tables!$A:$N,11,FALSE)*$Q391/100</f>
        <v>0</v>
      </c>
      <c r="Y391" s="583">
        <f>VLOOKUP($H391,Nutrition_tables!$A:$N,12,FALSE)*$Q391/100</f>
        <v>0</v>
      </c>
      <c r="Z391" s="583">
        <f>VLOOKUP($H391,Nutrition_tables!$A:$N,14,FALSE)*$Q391/100</f>
        <v>0</v>
      </c>
      <c r="AA391" s="583">
        <f>VLOOKUP($H391,Nutrition_tables!$A:$AF,13,FALSE)*$Q391/100</f>
        <v>0</v>
      </c>
      <c r="AB391" s="549">
        <f>VLOOKUP($H391,Nutrition_tables!$A:$AF,15,FALSE)*$Q391/100</f>
        <v>0</v>
      </c>
      <c r="AC391" s="583">
        <f>VLOOKUP($H391,Nutrition_tables!$A:$AF,16,FALSE)*$Q391/100</f>
        <v>0</v>
      </c>
      <c r="AD391" s="583">
        <f>VLOOKUP($H391,Nutrition_tables!$A:$AF,17,FALSE)*$Q391/100</f>
        <v>0</v>
      </c>
      <c r="AE391" s="583">
        <f>VLOOKUP($H391,Nutrition_tables!$A:$AF,18,FALSE)*$Q391/100</f>
        <v>0</v>
      </c>
      <c r="AF391" s="583">
        <f>VLOOKUP($H391,Nutrition_tables!$A:$AF,19,FALSE)*$Q391/100</f>
        <v>0</v>
      </c>
      <c r="AG391" s="583">
        <f>VLOOKUP($H391,Nutrition_tables!$A:$AF,20,FALSE)*$Q391/100</f>
        <v>0</v>
      </c>
      <c r="AH391" s="583">
        <f>VLOOKUP($H391,Nutrition_tables!$A:$AF,21,FALSE)*$Q391/100</f>
        <v>0</v>
      </c>
      <c r="AI391" s="583">
        <f>VLOOKUP($H391,Nutrition_tables!$A:$AF,22,FALSE)*$Q391/100</f>
        <v>0</v>
      </c>
      <c r="AJ391" s="549">
        <f>VLOOKUP($H391,Nutrition_tables!$A:$AF,23,FALSE)*$Q391/100</f>
        <v>0</v>
      </c>
      <c r="AK391" s="583">
        <f>VLOOKUP($H391,Nutrition_tables!$A:$AF,24,FALSE)*$Q391/100</f>
        <v>0</v>
      </c>
      <c r="AL391" s="583">
        <f>VLOOKUP($H391,Nutrition_tables!$A:$AF,25,FALSE)*$Q391/100</f>
        <v>0</v>
      </c>
      <c r="AM391" s="583">
        <f>VLOOKUP($H391,Nutrition_tables!$A:$AF,26,FALSE)*$Q391/100</f>
        <v>0</v>
      </c>
      <c r="AN391" s="583">
        <f>VLOOKUP($H391,Nutrition_tables!$A:$AF,27,FALSE)*$Q391/100</f>
        <v>0</v>
      </c>
      <c r="AO391" s="583">
        <f>VLOOKUP($H391,Nutrition_tables!$A:$AF,28,FALSE)*$Q391/100</f>
        <v>0</v>
      </c>
      <c r="AP391" s="583">
        <f>VLOOKUP($H391,Nutrition_tables!$A:$AF,29,FALSE)*$Q391/100</f>
        <v>0</v>
      </c>
      <c r="AQ391" s="583">
        <f>VLOOKUP($H391,Nutrition_tables!$A:$AF,30,FALSE)*$Q391/100</f>
        <v>0</v>
      </c>
      <c r="AR391" s="583">
        <f>VLOOKUP($H391,Nutrition_tables!$A:$AF,31,FALSE)*$Q391/100</f>
        <v>0</v>
      </c>
      <c r="AS391" s="549">
        <f>VLOOKUP($H391,Nutrition_tables!$A:$AF,32,FALSE)*$Q391/100</f>
        <v>0</v>
      </c>
      <c r="AT391" s="583" t="str">
        <f>IF(H391="Select ingredient:","",IF(G391="Select food category:","",IFERROR(VLOOKUP($H391,Ingredient_prices!$E:$W,17,FALSE)*$Q391/1000,"not bought")))</f>
        <v/>
      </c>
      <c r="AU391" s="583" t="str">
        <f>IF(H391="Select ingredient:","",IF(G391="Select food category:","",IFERROR(VLOOKUP($H391,Ingredient_prices!$E:$W,18,FALSE)*$Q391/1000,"not bought")))</f>
        <v/>
      </c>
      <c r="AV391" s="583">
        <f t="shared" si="873"/>
        <v>0</v>
      </c>
      <c r="AW391" s="583">
        <f t="shared" si="874"/>
        <v>0</v>
      </c>
      <c r="AX391" s="583">
        <f t="shared" si="875"/>
        <v>0</v>
      </c>
      <c r="AY391" s="583">
        <f t="shared" si="876"/>
        <v>0</v>
      </c>
      <c r="AZ391" s="583">
        <f t="shared" si="877"/>
        <v>0</v>
      </c>
      <c r="BA391" s="583">
        <f t="shared" si="878"/>
        <v>0</v>
      </c>
      <c r="BB391" s="583">
        <f t="shared" si="879"/>
        <v>0</v>
      </c>
      <c r="BC391" s="583">
        <f t="shared" si="880"/>
        <v>0</v>
      </c>
      <c r="BD391" s="583">
        <f t="shared" si="881"/>
        <v>0</v>
      </c>
      <c r="BE391" s="583">
        <f t="shared" si="882"/>
        <v>0</v>
      </c>
      <c r="BF391" s="583">
        <f t="shared" si="883"/>
        <v>0</v>
      </c>
      <c r="BG391" s="583">
        <f t="shared" si="884"/>
        <v>0</v>
      </c>
      <c r="BH391" s="583">
        <f t="shared" si="885"/>
        <v>0</v>
      </c>
      <c r="BI391" s="583">
        <f t="shared" si="886"/>
        <v>0</v>
      </c>
      <c r="BJ391" s="583">
        <f t="shared" si="887"/>
        <v>0</v>
      </c>
      <c r="BK391" s="583">
        <f t="shared" si="888"/>
        <v>0</v>
      </c>
      <c r="BL391" s="583">
        <f t="shared" si="889"/>
        <v>0</v>
      </c>
      <c r="BM391" s="583">
        <f t="shared" si="890"/>
        <v>0</v>
      </c>
      <c r="BN391" s="583">
        <f t="shared" si="891"/>
        <v>0</v>
      </c>
      <c r="BO391" s="583">
        <f t="shared" si="892"/>
        <v>0</v>
      </c>
      <c r="BP391" s="583">
        <f t="shared" si="893"/>
        <v>0</v>
      </c>
      <c r="BQ391" s="583">
        <f t="shared" si="894"/>
        <v>0</v>
      </c>
      <c r="BR391" s="583">
        <f t="shared" si="895"/>
        <v>0</v>
      </c>
    </row>
    <row r="392" spans="1:70" s="229" customFormat="1" ht="15" customHeight="1">
      <c r="A392" s="643"/>
      <c r="D392" s="85"/>
      <c r="E392" s="576" t="str">
        <f t="shared" si="896"/>
        <v/>
      </c>
      <c r="F392" s="707"/>
      <c r="G392" s="406" t="s">
        <v>3054</v>
      </c>
      <c r="H392" s="1262" t="s">
        <v>3055</v>
      </c>
      <c r="I392" s="85">
        <v>0</v>
      </c>
      <c r="J392" s="682">
        <v>1</v>
      </c>
      <c r="K392" s="579" t="str">
        <f t="shared" si="870"/>
        <v/>
      </c>
      <c r="L392" s="580" t="str">
        <f>IF(H392="Select ingredient:","",IF(G392="","",_xlfn.IFNA(VLOOKUP($H392,Ingredient_prices!$E:$U,16,FALSE),0)))</f>
        <v/>
      </c>
      <c r="M392" s="848"/>
      <c r="N392" s="848"/>
      <c r="O392" s="648"/>
      <c r="P392" s="659"/>
      <c r="Q392" s="583">
        <f t="shared" si="871"/>
        <v>0</v>
      </c>
      <c r="R392" s="583">
        <f>VLOOKUP($H392,'CO2_emission+%_food_waste'!$A:$K,6,FALSE)*$Q392/100</f>
        <v>0</v>
      </c>
      <c r="S392" s="583">
        <f t="shared" si="872"/>
        <v>0</v>
      </c>
      <c r="T392" s="583" t="str">
        <f>IF(H392="Select ingredient:","",IF(G392="Select food category:","",_xlfn.IFNA(VLOOKUP($H392,Ingredient_prices!$E:$U,16,FALSE)*$Q392/1000,"not bought")))</f>
        <v/>
      </c>
      <c r="U392" s="583" t="str">
        <f>IF(G392="Select food category:","",_xlfn.IFNA(VLOOKUP($H392,Ingredient_prices!$E:$U,16,FALSE)*$R392/1000,"not bought"))</f>
        <v/>
      </c>
      <c r="V392" s="549">
        <f>VLOOKUP($H392,'CO2_emission+%_food_waste'!$A:$K,4,FALSE)*$Q392</f>
        <v>0</v>
      </c>
      <c r="W392" s="583">
        <f>VLOOKUP($H392,Nutrition_tables!$A:$N,10,FALSE)*$Q392/100</f>
        <v>0</v>
      </c>
      <c r="X392" s="583">
        <f>VLOOKUP($H392,Nutrition_tables!$A:$N,11,FALSE)*$Q392/100</f>
        <v>0</v>
      </c>
      <c r="Y392" s="583">
        <f>VLOOKUP($H392,Nutrition_tables!$A:$N,12,FALSE)*$Q392/100</f>
        <v>0</v>
      </c>
      <c r="Z392" s="583">
        <f>VLOOKUP($H392,Nutrition_tables!$A:$N,14,FALSE)*$Q392/100</f>
        <v>0</v>
      </c>
      <c r="AA392" s="583">
        <f>VLOOKUP($H392,Nutrition_tables!$A:$AF,13,FALSE)*$Q392/100</f>
        <v>0</v>
      </c>
      <c r="AB392" s="549">
        <f>VLOOKUP($H392,Nutrition_tables!$A:$AF,15,FALSE)*$Q392/100</f>
        <v>0</v>
      </c>
      <c r="AC392" s="583">
        <f>VLOOKUP($H392,Nutrition_tables!$A:$AF,16,FALSE)*$Q392/100</f>
        <v>0</v>
      </c>
      <c r="AD392" s="583">
        <f>VLOOKUP($H392,Nutrition_tables!$A:$AF,17,FALSE)*$Q392/100</f>
        <v>0</v>
      </c>
      <c r="AE392" s="583">
        <f>VLOOKUP($H392,Nutrition_tables!$A:$AF,18,FALSE)*$Q392/100</f>
        <v>0</v>
      </c>
      <c r="AF392" s="583">
        <f>VLOOKUP($H392,Nutrition_tables!$A:$AF,19,FALSE)*$Q392/100</f>
        <v>0</v>
      </c>
      <c r="AG392" s="583">
        <f>VLOOKUP($H392,Nutrition_tables!$A:$AF,20,FALSE)*$Q392/100</f>
        <v>0</v>
      </c>
      <c r="AH392" s="583">
        <f>VLOOKUP($H392,Nutrition_tables!$A:$AF,21,FALSE)*$Q392/100</f>
        <v>0</v>
      </c>
      <c r="AI392" s="583">
        <f>VLOOKUP($H392,Nutrition_tables!$A:$AF,22,FALSE)*$Q392/100</f>
        <v>0</v>
      </c>
      <c r="AJ392" s="549">
        <f>VLOOKUP($H392,Nutrition_tables!$A:$AF,23,FALSE)*$Q392/100</f>
        <v>0</v>
      </c>
      <c r="AK392" s="583">
        <f>VLOOKUP($H392,Nutrition_tables!$A:$AF,24,FALSE)*$Q392/100</f>
        <v>0</v>
      </c>
      <c r="AL392" s="583">
        <f>VLOOKUP($H392,Nutrition_tables!$A:$AF,25,FALSE)*$Q392/100</f>
        <v>0</v>
      </c>
      <c r="AM392" s="583">
        <f>VLOOKUP($H392,Nutrition_tables!$A:$AF,26,FALSE)*$Q392/100</f>
        <v>0</v>
      </c>
      <c r="AN392" s="583">
        <f>VLOOKUP($H392,Nutrition_tables!$A:$AF,27,FALSE)*$Q392/100</f>
        <v>0</v>
      </c>
      <c r="AO392" s="583">
        <f>VLOOKUP($H392,Nutrition_tables!$A:$AF,28,FALSE)*$Q392/100</f>
        <v>0</v>
      </c>
      <c r="AP392" s="583">
        <f>VLOOKUP($H392,Nutrition_tables!$A:$AF,29,FALSE)*$Q392/100</f>
        <v>0</v>
      </c>
      <c r="AQ392" s="583">
        <f>VLOOKUP($H392,Nutrition_tables!$A:$AF,30,FALSE)*$Q392/100</f>
        <v>0</v>
      </c>
      <c r="AR392" s="583">
        <f>VLOOKUP($H392,Nutrition_tables!$A:$AF,31,FALSE)*$Q392/100</f>
        <v>0</v>
      </c>
      <c r="AS392" s="549">
        <f>VLOOKUP($H392,Nutrition_tables!$A:$AF,32,FALSE)*$Q392/100</f>
        <v>0</v>
      </c>
      <c r="AT392" s="583" t="str">
        <f>IF(H392="Select ingredient:","",IF(G392="Select food category:","",IFERROR(VLOOKUP($H392,Ingredient_prices!$E:$W,17,FALSE)*$Q392/1000,"not bought")))</f>
        <v/>
      </c>
      <c r="AU392" s="583" t="str">
        <f>IF(H392="Select ingredient:","",IF(G392="Select food category:","",IFERROR(VLOOKUP($H392,Ingredient_prices!$E:$W,18,FALSE)*$Q392/1000,"not bought")))</f>
        <v/>
      </c>
      <c r="AV392" s="583">
        <f t="shared" si="873"/>
        <v>0</v>
      </c>
      <c r="AW392" s="583">
        <f t="shared" si="874"/>
        <v>0</v>
      </c>
      <c r="AX392" s="583">
        <f t="shared" si="875"/>
        <v>0</v>
      </c>
      <c r="AY392" s="583">
        <f t="shared" si="876"/>
        <v>0</v>
      </c>
      <c r="AZ392" s="583">
        <f t="shared" si="877"/>
        <v>0</v>
      </c>
      <c r="BA392" s="583">
        <f t="shared" si="878"/>
        <v>0</v>
      </c>
      <c r="BB392" s="583">
        <f t="shared" si="879"/>
        <v>0</v>
      </c>
      <c r="BC392" s="583">
        <f t="shared" si="880"/>
        <v>0</v>
      </c>
      <c r="BD392" s="583">
        <f t="shared" si="881"/>
        <v>0</v>
      </c>
      <c r="BE392" s="583">
        <f t="shared" si="882"/>
        <v>0</v>
      </c>
      <c r="BF392" s="583">
        <f t="shared" si="883"/>
        <v>0</v>
      </c>
      <c r="BG392" s="583">
        <f t="shared" si="884"/>
        <v>0</v>
      </c>
      <c r="BH392" s="583">
        <f t="shared" si="885"/>
        <v>0</v>
      </c>
      <c r="BI392" s="583">
        <f t="shared" si="886"/>
        <v>0</v>
      </c>
      <c r="BJ392" s="583">
        <f t="shared" si="887"/>
        <v>0</v>
      </c>
      <c r="BK392" s="583">
        <f t="shared" si="888"/>
        <v>0</v>
      </c>
      <c r="BL392" s="583">
        <f t="shared" si="889"/>
        <v>0</v>
      </c>
      <c r="BM392" s="583">
        <f t="shared" si="890"/>
        <v>0</v>
      </c>
      <c r="BN392" s="583">
        <f t="shared" si="891"/>
        <v>0</v>
      </c>
      <c r="BO392" s="583">
        <f t="shared" si="892"/>
        <v>0</v>
      </c>
      <c r="BP392" s="583">
        <f t="shared" si="893"/>
        <v>0</v>
      </c>
      <c r="BQ392" s="583">
        <f t="shared" si="894"/>
        <v>0</v>
      </c>
      <c r="BR392" s="583">
        <f t="shared" si="895"/>
        <v>0</v>
      </c>
    </row>
    <row r="393" spans="1:70" s="229" customFormat="1" ht="15" customHeight="1">
      <c r="A393" s="643"/>
      <c r="D393" s="85"/>
      <c r="E393" s="576" t="str">
        <f t="shared" si="896"/>
        <v/>
      </c>
      <c r="F393" s="707"/>
      <c r="G393" s="406" t="s">
        <v>3054</v>
      </c>
      <c r="H393" s="1262" t="s">
        <v>3055</v>
      </c>
      <c r="I393" s="85">
        <v>0</v>
      </c>
      <c r="J393" s="682">
        <v>1</v>
      </c>
      <c r="K393" s="579" t="str">
        <f t="shared" si="870"/>
        <v/>
      </c>
      <c r="L393" s="580" t="str">
        <f>IF(H393="Select ingredient:","",IF(G393="","",_xlfn.IFNA(VLOOKUP($H393,Ingredient_prices!$E:$U,16,FALSE),0)))</f>
        <v/>
      </c>
      <c r="M393" s="848"/>
      <c r="N393" s="848"/>
      <c r="O393" s="648"/>
      <c r="P393" s="659"/>
      <c r="Q393" s="583">
        <f t="shared" si="871"/>
        <v>0</v>
      </c>
      <c r="R393" s="583">
        <f>VLOOKUP($H393,'CO2_emission+%_food_waste'!$A:$K,6,FALSE)*$Q393/100</f>
        <v>0</v>
      </c>
      <c r="S393" s="583">
        <f t="shared" si="872"/>
        <v>0</v>
      </c>
      <c r="T393" s="583" t="str">
        <f>IF(H393="Select ingredient:","",IF(G393="Select food category:","",_xlfn.IFNA(VLOOKUP($H393,Ingredient_prices!$E:$U,16,FALSE)*$Q393/1000,"not bought")))</f>
        <v/>
      </c>
      <c r="U393" s="583" t="str">
        <f>IF(G393="Select food category:","",_xlfn.IFNA(VLOOKUP($H393,Ingredient_prices!$E:$U,16,FALSE)*$R393/1000,"not bought"))</f>
        <v/>
      </c>
      <c r="V393" s="549">
        <f>VLOOKUP($H393,'CO2_emission+%_food_waste'!$A:$K,4,FALSE)*$Q393</f>
        <v>0</v>
      </c>
      <c r="W393" s="583">
        <f>VLOOKUP($H393,Nutrition_tables!$A:$N,10,FALSE)*$Q393/100</f>
        <v>0</v>
      </c>
      <c r="X393" s="583">
        <f>VLOOKUP($H393,Nutrition_tables!$A:$N,11,FALSE)*$Q393/100</f>
        <v>0</v>
      </c>
      <c r="Y393" s="583">
        <f>VLOOKUP($H393,Nutrition_tables!$A:$N,12,FALSE)*$Q393/100</f>
        <v>0</v>
      </c>
      <c r="Z393" s="583">
        <f>VLOOKUP($H393,Nutrition_tables!$A:$N,14,FALSE)*$Q393/100</f>
        <v>0</v>
      </c>
      <c r="AA393" s="583">
        <f>VLOOKUP($H393,Nutrition_tables!$A:$AF,13,FALSE)*$Q393/100</f>
        <v>0</v>
      </c>
      <c r="AB393" s="549">
        <f>VLOOKUP($H393,Nutrition_tables!$A:$AF,15,FALSE)*$Q393/100</f>
        <v>0</v>
      </c>
      <c r="AC393" s="583">
        <f>VLOOKUP($H393,Nutrition_tables!$A:$AF,16,FALSE)*$Q393/100</f>
        <v>0</v>
      </c>
      <c r="AD393" s="583">
        <f>VLOOKUP($H393,Nutrition_tables!$A:$AF,17,FALSE)*$Q393/100</f>
        <v>0</v>
      </c>
      <c r="AE393" s="583">
        <f>VLOOKUP($H393,Nutrition_tables!$A:$AF,18,FALSE)*$Q393/100</f>
        <v>0</v>
      </c>
      <c r="AF393" s="583">
        <f>VLOOKUP($H393,Nutrition_tables!$A:$AF,19,FALSE)*$Q393/100</f>
        <v>0</v>
      </c>
      <c r="AG393" s="583">
        <f>VLOOKUP($H393,Nutrition_tables!$A:$AF,20,FALSE)*$Q393/100</f>
        <v>0</v>
      </c>
      <c r="AH393" s="583">
        <f>VLOOKUP($H393,Nutrition_tables!$A:$AF,21,FALSE)*$Q393/100</f>
        <v>0</v>
      </c>
      <c r="AI393" s="583">
        <f>VLOOKUP($H393,Nutrition_tables!$A:$AF,22,FALSE)*$Q393/100</f>
        <v>0</v>
      </c>
      <c r="AJ393" s="549">
        <f>VLOOKUP($H393,Nutrition_tables!$A:$AF,23,FALSE)*$Q393/100</f>
        <v>0</v>
      </c>
      <c r="AK393" s="583">
        <f>VLOOKUP($H393,Nutrition_tables!$A:$AF,24,FALSE)*$Q393/100</f>
        <v>0</v>
      </c>
      <c r="AL393" s="583">
        <f>VLOOKUP($H393,Nutrition_tables!$A:$AF,25,FALSE)*$Q393/100</f>
        <v>0</v>
      </c>
      <c r="AM393" s="583">
        <f>VLOOKUP($H393,Nutrition_tables!$A:$AF,26,FALSE)*$Q393/100</f>
        <v>0</v>
      </c>
      <c r="AN393" s="583">
        <f>VLOOKUP($H393,Nutrition_tables!$A:$AF,27,FALSE)*$Q393/100</f>
        <v>0</v>
      </c>
      <c r="AO393" s="583">
        <f>VLOOKUP($H393,Nutrition_tables!$A:$AF,28,FALSE)*$Q393/100</f>
        <v>0</v>
      </c>
      <c r="AP393" s="583">
        <f>VLOOKUP($H393,Nutrition_tables!$A:$AF,29,FALSE)*$Q393/100</f>
        <v>0</v>
      </c>
      <c r="AQ393" s="583">
        <f>VLOOKUP($H393,Nutrition_tables!$A:$AF,30,FALSE)*$Q393/100</f>
        <v>0</v>
      </c>
      <c r="AR393" s="583">
        <f>VLOOKUP($H393,Nutrition_tables!$A:$AF,31,FALSE)*$Q393/100</f>
        <v>0</v>
      </c>
      <c r="AS393" s="549">
        <f>VLOOKUP($H393,Nutrition_tables!$A:$AF,32,FALSE)*$Q393/100</f>
        <v>0</v>
      </c>
      <c r="AT393" s="583" t="str">
        <f>IF(H393="Select ingredient:","",IF(G393="Select food category:","",IFERROR(VLOOKUP($H393,Ingredient_prices!$E:$W,17,FALSE)*$Q393/1000,"not bought")))</f>
        <v/>
      </c>
      <c r="AU393" s="583" t="str">
        <f>IF(H393="Select ingredient:","",IF(G393="Select food category:","",IFERROR(VLOOKUP($H393,Ingredient_prices!$E:$W,18,FALSE)*$Q393/1000,"not bought")))</f>
        <v/>
      </c>
      <c r="AV393" s="583">
        <f t="shared" si="873"/>
        <v>0</v>
      </c>
      <c r="AW393" s="583">
        <f t="shared" si="874"/>
        <v>0</v>
      </c>
      <c r="AX393" s="583">
        <f t="shared" si="875"/>
        <v>0</v>
      </c>
      <c r="AY393" s="583">
        <f t="shared" si="876"/>
        <v>0</v>
      </c>
      <c r="AZ393" s="583">
        <f t="shared" si="877"/>
        <v>0</v>
      </c>
      <c r="BA393" s="583">
        <f t="shared" si="878"/>
        <v>0</v>
      </c>
      <c r="BB393" s="583">
        <f t="shared" si="879"/>
        <v>0</v>
      </c>
      <c r="BC393" s="583">
        <f t="shared" si="880"/>
        <v>0</v>
      </c>
      <c r="BD393" s="583">
        <f t="shared" si="881"/>
        <v>0</v>
      </c>
      <c r="BE393" s="583">
        <f t="shared" si="882"/>
        <v>0</v>
      </c>
      <c r="BF393" s="583">
        <f t="shared" si="883"/>
        <v>0</v>
      </c>
      <c r="BG393" s="583">
        <f t="shared" si="884"/>
        <v>0</v>
      </c>
      <c r="BH393" s="583">
        <f t="shared" si="885"/>
        <v>0</v>
      </c>
      <c r="BI393" s="583">
        <f t="shared" si="886"/>
        <v>0</v>
      </c>
      <c r="BJ393" s="583">
        <f t="shared" si="887"/>
        <v>0</v>
      </c>
      <c r="BK393" s="583">
        <f t="shared" si="888"/>
        <v>0</v>
      </c>
      <c r="BL393" s="583">
        <f t="shared" si="889"/>
        <v>0</v>
      </c>
      <c r="BM393" s="583">
        <f t="shared" si="890"/>
        <v>0</v>
      </c>
      <c r="BN393" s="583">
        <f t="shared" si="891"/>
        <v>0</v>
      </c>
      <c r="BO393" s="583">
        <f t="shared" si="892"/>
        <v>0</v>
      </c>
      <c r="BP393" s="583">
        <f t="shared" si="893"/>
        <v>0</v>
      </c>
      <c r="BQ393" s="583">
        <f t="shared" si="894"/>
        <v>0</v>
      </c>
      <c r="BR393" s="583">
        <f t="shared" si="895"/>
        <v>0</v>
      </c>
    </row>
    <row r="394" spans="1:70" s="229" customFormat="1" ht="15" customHeight="1">
      <c r="A394" s="643"/>
      <c r="D394" s="85"/>
      <c r="E394" s="576" t="str">
        <f t="shared" si="896"/>
        <v/>
      </c>
      <c r="F394" s="707"/>
      <c r="G394" s="406" t="s">
        <v>3054</v>
      </c>
      <c r="H394" s="1262" t="s">
        <v>3055</v>
      </c>
      <c r="I394" s="85">
        <v>0</v>
      </c>
      <c r="J394" s="682">
        <v>1</v>
      </c>
      <c r="K394" s="579" t="str">
        <f t="shared" si="870"/>
        <v/>
      </c>
      <c r="L394" s="580" t="str">
        <f>IF(H394="Select ingredient:","",IF(G394="","",_xlfn.IFNA(VLOOKUP($H394,Ingredient_prices!$E:$U,16,FALSE),0)))</f>
        <v/>
      </c>
      <c r="M394" s="848"/>
      <c r="N394" s="848"/>
      <c r="O394" s="648"/>
      <c r="P394" s="659"/>
      <c r="Q394" s="583">
        <f t="shared" si="871"/>
        <v>0</v>
      </c>
      <c r="R394" s="583">
        <f>VLOOKUP($H394,'CO2_emission+%_food_waste'!$A:$K,6,FALSE)*$Q394/100</f>
        <v>0</v>
      </c>
      <c r="S394" s="583">
        <f t="shared" si="872"/>
        <v>0</v>
      </c>
      <c r="T394" s="583" t="str">
        <f>IF(H394="Select ingredient:","",IF(G394="Select food category:","",_xlfn.IFNA(VLOOKUP($H394,Ingredient_prices!$E:$U,16,FALSE)*$Q394/1000,"not bought")))</f>
        <v/>
      </c>
      <c r="U394" s="583" t="str">
        <f>IF(G394="Select food category:","",_xlfn.IFNA(VLOOKUP($H394,Ingredient_prices!$E:$U,16,FALSE)*$R394/1000,"not bought"))</f>
        <v/>
      </c>
      <c r="V394" s="549">
        <f>VLOOKUP($H394,'CO2_emission+%_food_waste'!$A:$K,4,FALSE)*$Q394</f>
        <v>0</v>
      </c>
      <c r="W394" s="583">
        <f>VLOOKUP($H394,Nutrition_tables!$A:$N,10,FALSE)*$Q394/100</f>
        <v>0</v>
      </c>
      <c r="X394" s="583">
        <f>VLOOKUP($H394,Nutrition_tables!$A:$N,11,FALSE)*$Q394/100</f>
        <v>0</v>
      </c>
      <c r="Y394" s="583">
        <f>VLOOKUP($H394,Nutrition_tables!$A:$N,12,FALSE)*$Q394/100</f>
        <v>0</v>
      </c>
      <c r="Z394" s="583">
        <f>VLOOKUP($H394,Nutrition_tables!$A:$N,14,FALSE)*$Q394/100</f>
        <v>0</v>
      </c>
      <c r="AA394" s="583">
        <f>VLOOKUP($H394,Nutrition_tables!$A:$AF,13,FALSE)*$Q394/100</f>
        <v>0</v>
      </c>
      <c r="AB394" s="549">
        <f>VLOOKUP($H394,Nutrition_tables!$A:$AF,15,FALSE)*$Q394/100</f>
        <v>0</v>
      </c>
      <c r="AC394" s="583">
        <f>VLOOKUP($H394,Nutrition_tables!$A:$AF,16,FALSE)*$Q394/100</f>
        <v>0</v>
      </c>
      <c r="AD394" s="583">
        <f>VLOOKUP($H394,Nutrition_tables!$A:$AF,17,FALSE)*$Q394/100</f>
        <v>0</v>
      </c>
      <c r="AE394" s="583">
        <f>VLOOKUP($H394,Nutrition_tables!$A:$AF,18,FALSE)*$Q394/100</f>
        <v>0</v>
      </c>
      <c r="AF394" s="583">
        <f>VLOOKUP($H394,Nutrition_tables!$A:$AF,19,FALSE)*$Q394/100</f>
        <v>0</v>
      </c>
      <c r="AG394" s="583">
        <f>VLOOKUP($H394,Nutrition_tables!$A:$AF,20,FALSE)*$Q394/100</f>
        <v>0</v>
      </c>
      <c r="AH394" s="583">
        <f>VLOOKUP($H394,Nutrition_tables!$A:$AF,21,FALSE)*$Q394/100</f>
        <v>0</v>
      </c>
      <c r="AI394" s="583">
        <f>VLOOKUP($H394,Nutrition_tables!$A:$AF,22,FALSE)*$Q394/100</f>
        <v>0</v>
      </c>
      <c r="AJ394" s="549">
        <f>VLOOKUP($H394,Nutrition_tables!$A:$AF,23,FALSE)*$Q394/100</f>
        <v>0</v>
      </c>
      <c r="AK394" s="583">
        <f>VLOOKUP($H394,Nutrition_tables!$A:$AF,24,FALSE)*$Q394/100</f>
        <v>0</v>
      </c>
      <c r="AL394" s="583">
        <f>VLOOKUP($H394,Nutrition_tables!$A:$AF,25,FALSE)*$Q394/100</f>
        <v>0</v>
      </c>
      <c r="AM394" s="583">
        <f>VLOOKUP($H394,Nutrition_tables!$A:$AF,26,FALSE)*$Q394/100</f>
        <v>0</v>
      </c>
      <c r="AN394" s="583">
        <f>VLOOKUP($H394,Nutrition_tables!$A:$AF,27,FALSE)*$Q394/100</f>
        <v>0</v>
      </c>
      <c r="AO394" s="583">
        <f>VLOOKUP($H394,Nutrition_tables!$A:$AF,28,FALSE)*$Q394/100</f>
        <v>0</v>
      </c>
      <c r="AP394" s="583">
        <f>VLOOKUP($H394,Nutrition_tables!$A:$AF,29,FALSE)*$Q394/100</f>
        <v>0</v>
      </c>
      <c r="AQ394" s="583">
        <f>VLOOKUP($H394,Nutrition_tables!$A:$AF,30,FALSE)*$Q394/100</f>
        <v>0</v>
      </c>
      <c r="AR394" s="583">
        <f>VLOOKUP($H394,Nutrition_tables!$A:$AF,31,FALSE)*$Q394/100</f>
        <v>0</v>
      </c>
      <c r="AS394" s="549">
        <f>VLOOKUP($H394,Nutrition_tables!$A:$AF,32,FALSE)*$Q394/100</f>
        <v>0</v>
      </c>
      <c r="AT394" s="583" t="str">
        <f>IF(H394="Select ingredient:","",IF(G394="Select food category:","",IFERROR(VLOOKUP($H394,Ingredient_prices!$E:$W,17,FALSE)*$Q394/1000,"not bought")))</f>
        <v/>
      </c>
      <c r="AU394" s="583" t="str">
        <f>IF(H394="Select ingredient:","",IF(G394="Select food category:","",IFERROR(VLOOKUP($H394,Ingredient_prices!$E:$W,18,FALSE)*$Q394/1000,"not bought")))</f>
        <v/>
      </c>
      <c r="AV394" s="583">
        <f t="shared" si="873"/>
        <v>0</v>
      </c>
      <c r="AW394" s="583">
        <f t="shared" si="874"/>
        <v>0</v>
      </c>
      <c r="AX394" s="583">
        <f t="shared" si="875"/>
        <v>0</v>
      </c>
      <c r="AY394" s="583">
        <f t="shared" si="876"/>
        <v>0</v>
      </c>
      <c r="AZ394" s="583">
        <f t="shared" si="877"/>
        <v>0</v>
      </c>
      <c r="BA394" s="583">
        <f t="shared" si="878"/>
        <v>0</v>
      </c>
      <c r="BB394" s="583">
        <f t="shared" si="879"/>
        <v>0</v>
      </c>
      <c r="BC394" s="583">
        <f t="shared" si="880"/>
        <v>0</v>
      </c>
      <c r="BD394" s="583">
        <f t="shared" si="881"/>
        <v>0</v>
      </c>
      <c r="BE394" s="583">
        <f t="shared" si="882"/>
        <v>0</v>
      </c>
      <c r="BF394" s="583">
        <f t="shared" si="883"/>
        <v>0</v>
      </c>
      <c r="BG394" s="583">
        <f t="shared" si="884"/>
        <v>0</v>
      </c>
      <c r="BH394" s="583">
        <f t="shared" si="885"/>
        <v>0</v>
      </c>
      <c r="BI394" s="583">
        <f t="shared" si="886"/>
        <v>0</v>
      </c>
      <c r="BJ394" s="583">
        <f t="shared" si="887"/>
        <v>0</v>
      </c>
      <c r="BK394" s="583">
        <f t="shared" si="888"/>
        <v>0</v>
      </c>
      <c r="BL394" s="583">
        <f t="shared" si="889"/>
        <v>0</v>
      </c>
      <c r="BM394" s="583">
        <f t="shared" si="890"/>
        <v>0</v>
      </c>
      <c r="BN394" s="583">
        <f t="shared" si="891"/>
        <v>0</v>
      </c>
      <c r="BO394" s="583">
        <f t="shared" si="892"/>
        <v>0</v>
      </c>
      <c r="BP394" s="583">
        <f t="shared" si="893"/>
        <v>0</v>
      </c>
      <c r="BQ394" s="583">
        <f t="shared" si="894"/>
        <v>0</v>
      </c>
      <c r="BR394" s="583">
        <f t="shared" si="895"/>
        <v>0</v>
      </c>
    </row>
    <row r="395" spans="1:70" s="229" customFormat="1" ht="15" customHeight="1">
      <c r="A395" s="643"/>
      <c r="D395" s="85"/>
      <c r="E395" s="576" t="str">
        <f t="shared" si="896"/>
        <v/>
      </c>
      <c r="F395" s="707"/>
      <c r="G395" s="406" t="s">
        <v>3054</v>
      </c>
      <c r="H395" s="1262" t="s">
        <v>3055</v>
      </c>
      <c r="I395" s="85">
        <v>0</v>
      </c>
      <c r="J395" s="682">
        <v>1</v>
      </c>
      <c r="K395" s="579" t="str">
        <f t="shared" si="870"/>
        <v/>
      </c>
      <c r="L395" s="580" t="str">
        <f>IF(H395="Select ingredient:","",IF(G395="","",_xlfn.IFNA(VLOOKUP($H395,Ingredient_prices!$E:$U,16,FALSE),0)))</f>
        <v/>
      </c>
      <c r="M395" s="848"/>
      <c r="N395" s="848"/>
      <c r="O395" s="648"/>
      <c r="P395" s="659"/>
      <c r="Q395" s="583">
        <f t="shared" si="871"/>
        <v>0</v>
      </c>
      <c r="R395" s="583">
        <f>VLOOKUP($H395,'CO2_emission+%_food_waste'!$A:$K,6,FALSE)*$Q395/100</f>
        <v>0</v>
      </c>
      <c r="S395" s="583">
        <f t="shared" si="872"/>
        <v>0</v>
      </c>
      <c r="T395" s="583" t="str">
        <f>IF(H395="Select ingredient:","",IF(G395="Select food category:","",_xlfn.IFNA(VLOOKUP($H395,Ingredient_prices!$E:$U,16,FALSE)*$Q395/1000,"not bought")))</f>
        <v/>
      </c>
      <c r="U395" s="583" t="str">
        <f>IF(G395="Select food category:","",_xlfn.IFNA(VLOOKUP($H395,Ingredient_prices!$E:$U,16,FALSE)*$R395/1000,"not bought"))</f>
        <v/>
      </c>
      <c r="V395" s="549">
        <f>VLOOKUP($H395,'CO2_emission+%_food_waste'!$A:$K,4,FALSE)*$Q395</f>
        <v>0</v>
      </c>
      <c r="W395" s="583">
        <f>VLOOKUP($H395,Nutrition_tables!$A:$N,10,FALSE)*$Q395/100</f>
        <v>0</v>
      </c>
      <c r="X395" s="583">
        <f>VLOOKUP($H395,Nutrition_tables!$A:$N,11,FALSE)*$Q395/100</f>
        <v>0</v>
      </c>
      <c r="Y395" s="583">
        <f>VLOOKUP($H395,Nutrition_tables!$A:$N,12,FALSE)*$Q395/100</f>
        <v>0</v>
      </c>
      <c r="Z395" s="583">
        <f>VLOOKUP($H395,Nutrition_tables!$A:$N,14,FALSE)*$Q395/100</f>
        <v>0</v>
      </c>
      <c r="AA395" s="583">
        <f>VLOOKUP($H395,Nutrition_tables!$A:$AF,13,FALSE)*$Q395/100</f>
        <v>0</v>
      </c>
      <c r="AB395" s="549">
        <f>VLOOKUP($H395,Nutrition_tables!$A:$AF,15,FALSE)*$Q395/100</f>
        <v>0</v>
      </c>
      <c r="AC395" s="583">
        <f>VLOOKUP($H395,Nutrition_tables!$A:$AF,16,FALSE)*$Q395/100</f>
        <v>0</v>
      </c>
      <c r="AD395" s="583">
        <f>VLOOKUP($H395,Nutrition_tables!$A:$AF,17,FALSE)*$Q395/100</f>
        <v>0</v>
      </c>
      <c r="AE395" s="583">
        <f>VLOOKUP($H395,Nutrition_tables!$A:$AF,18,FALSE)*$Q395/100</f>
        <v>0</v>
      </c>
      <c r="AF395" s="583">
        <f>VLOOKUP($H395,Nutrition_tables!$A:$AF,19,FALSE)*$Q395/100</f>
        <v>0</v>
      </c>
      <c r="AG395" s="583">
        <f>VLOOKUP($H395,Nutrition_tables!$A:$AF,20,FALSE)*$Q395/100</f>
        <v>0</v>
      </c>
      <c r="AH395" s="583">
        <f>VLOOKUP($H395,Nutrition_tables!$A:$AF,21,FALSE)*$Q395/100</f>
        <v>0</v>
      </c>
      <c r="AI395" s="583">
        <f>VLOOKUP($H395,Nutrition_tables!$A:$AF,22,FALSE)*$Q395/100</f>
        <v>0</v>
      </c>
      <c r="AJ395" s="549">
        <f>VLOOKUP($H395,Nutrition_tables!$A:$AF,23,FALSE)*$Q395/100</f>
        <v>0</v>
      </c>
      <c r="AK395" s="583">
        <f>VLOOKUP($H395,Nutrition_tables!$A:$AF,24,FALSE)*$Q395/100</f>
        <v>0</v>
      </c>
      <c r="AL395" s="583">
        <f>VLOOKUP($H395,Nutrition_tables!$A:$AF,25,FALSE)*$Q395/100</f>
        <v>0</v>
      </c>
      <c r="AM395" s="583">
        <f>VLOOKUP($H395,Nutrition_tables!$A:$AF,26,FALSE)*$Q395/100</f>
        <v>0</v>
      </c>
      <c r="AN395" s="583">
        <f>VLOOKUP($H395,Nutrition_tables!$A:$AF,27,FALSE)*$Q395/100</f>
        <v>0</v>
      </c>
      <c r="AO395" s="583">
        <f>VLOOKUP($H395,Nutrition_tables!$A:$AF,28,FALSE)*$Q395/100</f>
        <v>0</v>
      </c>
      <c r="AP395" s="583">
        <f>VLOOKUP($H395,Nutrition_tables!$A:$AF,29,FALSE)*$Q395/100</f>
        <v>0</v>
      </c>
      <c r="AQ395" s="583">
        <f>VLOOKUP($H395,Nutrition_tables!$A:$AF,30,FALSE)*$Q395/100</f>
        <v>0</v>
      </c>
      <c r="AR395" s="583">
        <f>VLOOKUP($H395,Nutrition_tables!$A:$AF,31,FALSE)*$Q395/100</f>
        <v>0</v>
      </c>
      <c r="AS395" s="549">
        <f>VLOOKUP($H395,Nutrition_tables!$A:$AF,32,FALSE)*$Q395/100</f>
        <v>0</v>
      </c>
      <c r="AT395" s="583" t="str">
        <f>IF(H395="Select ingredient:","",IF(G395="Select food category:","",IFERROR(VLOOKUP($H395,Ingredient_prices!$E:$W,17,FALSE)*$Q395/1000,"not bought")))</f>
        <v/>
      </c>
      <c r="AU395" s="583" t="str">
        <f>IF(H395="Select ingredient:","",IF(G395="Select food category:","",IFERROR(VLOOKUP($H395,Ingredient_prices!$E:$W,18,FALSE)*$Q395/1000,"not bought")))</f>
        <v/>
      </c>
      <c r="AV395" s="583">
        <f t="shared" si="873"/>
        <v>0</v>
      </c>
      <c r="AW395" s="583">
        <f t="shared" si="874"/>
        <v>0</v>
      </c>
      <c r="AX395" s="583">
        <f t="shared" si="875"/>
        <v>0</v>
      </c>
      <c r="AY395" s="583">
        <f t="shared" si="876"/>
        <v>0</v>
      </c>
      <c r="AZ395" s="583">
        <f t="shared" si="877"/>
        <v>0</v>
      </c>
      <c r="BA395" s="583">
        <f t="shared" si="878"/>
        <v>0</v>
      </c>
      <c r="BB395" s="583">
        <f t="shared" si="879"/>
        <v>0</v>
      </c>
      <c r="BC395" s="583">
        <f t="shared" si="880"/>
        <v>0</v>
      </c>
      <c r="BD395" s="583">
        <f t="shared" si="881"/>
        <v>0</v>
      </c>
      <c r="BE395" s="583">
        <f t="shared" si="882"/>
        <v>0</v>
      </c>
      <c r="BF395" s="583">
        <f t="shared" si="883"/>
        <v>0</v>
      </c>
      <c r="BG395" s="583">
        <f t="shared" si="884"/>
        <v>0</v>
      </c>
      <c r="BH395" s="583">
        <f t="shared" si="885"/>
        <v>0</v>
      </c>
      <c r="BI395" s="583">
        <f t="shared" si="886"/>
        <v>0</v>
      </c>
      <c r="BJ395" s="583">
        <f t="shared" si="887"/>
        <v>0</v>
      </c>
      <c r="BK395" s="583">
        <f t="shared" si="888"/>
        <v>0</v>
      </c>
      <c r="BL395" s="583">
        <f t="shared" si="889"/>
        <v>0</v>
      </c>
      <c r="BM395" s="583">
        <f t="shared" si="890"/>
        <v>0</v>
      </c>
      <c r="BN395" s="583">
        <f t="shared" si="891"/>
        <v>0</v>
      </c>
      <c r="BO395" s="583">
        <f t="shared" si="892"/>
        <v>0</v>
      </c>
      <c r="BP395" s="583">
        <f t="shared" si="893"/>
        <v>0</v>
      </c>
      <c r="BQ395" s="583">
        <f t="shared" si="894"/>
        <v>0</v>
      </c>
      <c r="BR395" s="583">
        <f t="shared" si="895"/>
        <v>0</v>
      </c>
    </row>
    <row r="396" spans="1:70" s="229" customFormat="1" ht="15" customHeight="1">
      <c r="A396" s="643"/>
      <c r="D396" s="85"/>
      <c r="E396" s="576" t="str">
        <f t="shared" si="896"/>
        <v/>
      </c>
      <c r="F396" s="707"/>
      <c r="G396" s="406" t="s">
        <v>3054</v>
      </c>
      <c r="H396" s="1262" t="s">
        <v>3055</v>
      </c>
      <c r="I396" s="85">
        <v>0</v>
      </c>
      <c r="J396" s="682">
        <v>1</v>
      </c>
      <c r="K396" s="579" t="str">
        <f t="shared" si="870"/>
        <v/>
      </c>
      <c r="L396" s="580" t="str">
        <f>IF(H396="Select ingredient:","",IF(G396="","",_xlfn.IFNA(VLOOKUP($H396,Ingredient_prices!$E:$U,16,FALSE),0)))</f>
        <v/>
      </c>
      <c r="M396" s="848"/>
      <c r="N396" s="848"/>
      <c r="O396" s="648"/>
      <c r="P396" s="659"/>
      <c r="Q396" s="583">
        <f t="shared" si="871"/>
        <v>0</v>
      </c>
      <c r="R396" s="583">
        <f>VLOOKUP($H396,'CO2_emission+%_food_waste'!$A:$K,6,FALSE)*$Q396/100</f>
        <v>0</v>
      </c>
      <c r="S396" s="583">
        <f t="shared" si="872"/>
        <v>0</v>
      </c>
      <c r="T396" s="583" t="str">
        <f>IF(H396="Select ingredient:","",IF(G396="Select food category:","",_xlfn.IFNA(VLOOKUP($H396,Ingredient_prices!$E:$U,16,FALSE)*$Q396/1000,"not bought")))</f>
        <v/>
      </c>
      <c r="U396" s="583" t="str">
        <f>IF(G396="Select food category:","",_xlfn.IFNA(VLOOKUP($H396,Ingredient_prices!$E:$U,16,FALSE)*$R396/1000,"not bought"))</f>
        <v/>
      </c>
      <c r="V396" s="549">
        <f>VLOOKUP($H396,'CO2_emission+%_food_waste'!$A:$K,4,FALSE)*$Q396</f>
        <v>0</v>
      </c>
      <c r="W396" s="583">
        <f>VLOOKUP($H396,Nutrition_tables!$A:$N,10,FALSE)*$Q396/100</f>
        <v>0</v>
      </c>
      <c r="X396" s="583">
        <f>VLOOKUP($H396,Nutrition_tables!$A:$N,11,FALSE)*$Q396/100</f>
        <v>0</v>
      </c>
      <c r="Y396" s="583">
        <f>VLOOKUP($H396,Nutrition_tables!$A:$N,12,FALSE)*$Q396/100</f>
        <v>0</v>
      </c>
      <c r="Z396" s="583">
        <f>VLOOKUP($H396,Nutrition_tables!$A:$N,14,FALSE)*$Q396/100</f>
        <v>0</v>
      </c>
      <c r="AA396" s="583">
        <f>VLOOKUP($H396,Nutrition_tables!$A:$AF,13,FALSE)*$Q396/100</f>
        <v>0</v>
      </c>
      <c r="AB396" s="549">
        <f>VLOOKUP($H396,Nutrition_tables!$A:$AF,15,FALSE)*$Q396/100</f>
        <v>0</v>
      </c>
      <c r="AC396" s="583">
        <f>VLOOKUP($H396,Nutrition_tables!$A:$AF,16,FALSE)*$Q396/100</f>
        <v>0</v>
      </c>
      <c r="AD396" s="583">
        <f>VLOOKUP($H396,Nutrition_tables!$A:$AF,17,FALSE)*$Q396/100</f>
        <v>0</v>
      </c>
      <c r="AE396" s="583">
        <f>VLOOKUP($H396,Nutrition_tables!$A:$AF,18,FALSE)*$Q396/100</f>
        <v>0</v>
      </c>
      <c r="AF396" s="583">
        <f>VLOOKUP($H396,Nutrition_tables!$A:$AF,19,FALSE)*$Q396/100</f>
        <v>0</v>
      </c>
      <c r="AG396" s="583">
        <f>VLOOKUP($H396,Nutrition_tables!$A:$AF,20,FALSE)*$Q396/100</f>
        <v>0</v>
      </c>
      <c r="AH396" s="583">
        <f>VLOOKUP($H396,Nutrition_tables!$A:$AF,21,FALSE)*$Q396/100</f>
        <v>0</v>
      </c>
      <c r="AI396" s="583">
        <f>VLOOKUP($H396,Nutrition_tables!$A:$AF,22,FALSE)*$Q396/100</f>
        <v>0</v>
      </c>
      <c r="AJ396" s="549">
        <f>VLOOKUP($H396,Nutrition_tables!$A:$AF,23,FALSE)*$Q396/100</f>
        <v>0</v>
      </c>
      <c r="AK396" s="583">
        <f>VLOOKUP($H396,Nutrition_tables!$A:$AF,24,FALSE)*$Q396/100</f>
        <v>0</v>
      </c>
      <c r="AL396" s="583">
        <f>VLOOKUP($H396,Nutrition_tables!$A:$AF,25,FALSE)*$Q396/100</f>
        <v>0</v>
      </c>
      <c r="AM396" s="583">
        <f>VLOOKUP($H396,Nutrition_tables!$A:$AF,26,FALSE)*$Q396/100</f>
        <v>0</v>
      </c>
      <c r="AN396" s="583">
        <f>VLOOKUP($H396,Nutrition_tables!$A:$AF,27,FALSE)*$Q396/100</f>
        <v>0</v>
      </c>
      <c r="AO396" s="583">
        <f>VLOOKUP($H396,Nutrition_tables!$A:$AF,28,FALSE)*$Q396/100</f>
        <v>0</v>
      </c>
      <c r="AP396" s="583">
        <f>VLOOKUP($H396,Nutrition_tables!$A:$AF,29,FALSE)*$Q396/100</f>
        <v>0</v>
      </c>
      <c r="AQ396" s="583">
        <f>VLOOKUP($H396,Nutrition_tables!$A:$AF,30,FALSE)*$Q396/100</f>
        <v>0</v>
      </c>
      <c r="AR396" s="583">
        <f>VLOOKUP($H396,Nutrition_tables!$A:$AF,31,FALSE)*$Q396/100</f>
        <v>0</v>
      </c>
      <c r="AS396" s="549">
        <f>VLOOKUP($H396,Nutrition_tables!$A:$AF,32,FALSE)*$Q396/100</f>
        <v>0</v>
      </c>
      <c r="AT396" s="583" t="str">
        <f>IF(H396="Select ingredient:","",IF(G396="Select food category:","",IFERROR(VLOOKUP($H396,Ingredient_prices!$E:$W,17,FALSE)*$Q396/1000,"not bought")))</f>
        <v/>
      </c>
      <c r="AU396" s="583" t="str">
        <f>IF(H396="Select ingredient:","",IF(G396="Select food category:","",IFERROR(VLOOKUP($H396,Ingredient_prices!$E:$W,18,FALSE)*$Q396/1000,"not bought")))</f>
        <v/>
      </c>
      <c r="AV396" s="583">
        <f t="shared" si="873"/>
        <v>0</v>
      </c>
      <c r="AW396" s="583">
        <f t="shared" si="874"/>
        <v>0</v>
      </c>
      <c r="AX396" s="583">
        <f t="shared" si="875"/>
        <v>0</v>
      </c>
      <c r="AY396" s="583">
        <f t="shared" si="876"/>
        <v>0</v>
      </c>
      <c r="AZ396" s="583">
        <f t="shared" si="877"/>
        <v>0</v>
      </c>
      <c r="BA396" s="583">
        <f t="shared" si="878"/>
        <v>0</v>
      </c>
      <c r="BB396" s="583">
        <f t="shared" si="879"/>
        <v>0</v>
      </c>
      <c r="BC396" s="583">
        <f t="shared" si="880"/>
        <v>0</v>
      </c>
      <c r="BD396" s="583">
        <f t="shared" si="881"/>
        <v>0</v>
      </c>
      <c r="BE396" s="583">
        <f t="shared" si="882"/>
        <v>0</v>
      </c>
      <c r="BF396" s="583">
        <f t="shared" si="883"/>
        <v>0</v>
      </c>
      <c r="BG396" s="583">
        <f t="shared" si="884"/>
        <v>0</v>
      </c>
      <c r="BH396" s="583">
        <f t="shared" si="885"/>
        <v>0</v>
      </c>
      <c r="BI396" s="583">
        <f t="shared" si="886"/>
        <v>0</v>
      </c>
      <c r="BJ396" s="583">
        <f t="shared" si="887"/>
        <v>0</v>
      </c>
      <c r="BK396" s="583">
        <f t="shared" si="888"/>
        <v>0</v>
      </c>
      <c r="BL396" s="583">
        <f t="shared" si="889"/>
        <v>0</v>
      </c>
      <c r="BM396" s="583">
        <f t="shared" si="890"/>
        <v>0</v>
      </c>
      <c r="BN396" s="583">
        <f t="shared" si="891"/>
        <v>0</v>
      </c>
      <c r="BO396" s="583">
        <f t="shared" si="892"/>
        <v>0</v>
      </c>
      <c r="BP396" s="583">
        <f t="shared" si="893"/>
        <v>0</v>
      </c>
      <c r="BQ396" s="583">
        <f t="shared" si="894"/>
        <v>0</v>
      </c>
      <c r="BR396" s="583">
        <f t="shared" si="895"/>
        <v>0</v>
      </c>
    </row>
    <row r="397" spans="1:70" s="229" customFormat="1" ht="15" customHeight="1">
      <c r="A397" s="643"/>
      <c r="D397" s="85"/>
      <c r="E397" s="576" t="str">
        <f t="shared" si="896"/>
        <v/>
      </c>
      <c r="F397" s="707"/>
      <c r="G397" s="406" t="s">
        <v>3054</v>
      </c>
      <c r="H397" s="1262" t="s">
        <v>3055</v>
      </c>
      <c r="I397" s="85">
        <v>0</v>
      </c>
      <c r="J397" s="682">
        <v>1</v>
      </c>
      <c r="K397" s="579" t="str">
        <f t="shared" si="870"/>
        <v/>
      </c>
      <c r="L397" s="580" t="str">
        <f>IF(H397="Select ingredient:","",IF(G397="","",_xlfn.IFNA(VLOOKUP($H397,Ingredient_prices!$E:$U,16,FALSE),0)))</f>
        <v/>
      </c>
      <c r="M397" s="848"/>
      <c r="N397" s="848"/>
      <c r="O397" s="648"/>
      <c r="P397" s="659"/>
      <c r="Q397" s="583">
        <f t="shared" si="871"/>
        <v>0</v>
      </c>
      <c r="R397" s="583">
        <f>VLOOKUP($H397,'CO2_emission+%_food_waste'!$A:$K,6,FALSE)*$Q397/100</f>
        <v>0</v>
      </c>
      <c r="S397" s="583">
        <f t="shared" si="872"/>
        <v>0</v>
      </c>
      <c r="T397" s="583" t="str">
        <f>IF(H397="Select ingredient:","",IF(G397="Select food category:","",_xlfn.IFNA(VLOOKUP($H397,Ingredient_prices!$E:$U,16,FALSE)*$Q397/1000,"not bought")))</f>
        <v/>
      </c>
      <c r="U397" s="583" t="str">
        <f>IF(G397="Select food category:","",_xlfn.IFNA(VLOOKUP($H397,Ingredient_prices!$E:$U,16,FALSE)*$R397/1000,"not bought"))</f>
        <v/>
      </c>
      <c r="V397" s="549">
        <f>VLOOKUP($H397,'CO2_emission+%_food_waste'!$A:$K,4,FALSE)*$Q397</f>
        <v>0</v>
      </c>
      <c r="W397" s="583">
        <f>VLOOKUP($H397,Nutrition_tables!$A:$N,10,FALSE)*$Q397/100</f>
        <v>0</v>
      </c>
      <c r="X397" s="583">
        <f>VLOOKUP($H397,Nutrition_tables!$A:$N,11,FALSE)*$Q397/100</f>
        <v>0</v>
      </c>
      <c r="Y397" s="583">
        <f>VLOOKUP($H397,Nutrition_tables!$A:$N,12,FALSE)*$Q397/100</f>
        <v>0</v>
      </c>
      <c r="Z397" s="583">
        <f>VLOOKUP($H397,Nutrition_tables!$A:$N,14,FALSE)*$Q397/100</f>
        <v>0</v>
      </c>
      <c r="AA397" s="583">
        <f>VLOOKUP($H397,Nutrition_tables!$A:$AF,13,FALSE)*$Q397/100</f>
        <v>0</v>
      </c>
      <c r="AB397" s="549">
        <f>VLOOKUP($H397,Nutrition_tables!$A:$AF,15,FALSE)*$Q397/100</f>
        <v>0</v>
      </c>
      <c r="AC397" s="583">
        <f>VLOOKUP($H397,Nutrition_tables!$A:$AF,16,FALSE)*$Q397/100</f>
        <v>0</v>
      </c>
      <c r="AD397" s="583">
        <f>VLOOKUP($H397,Nutrition_tables!$A:$AF,17,FALSE)*$Q397/100</f>
        <v>0</v>
      </c>
      <c r="AE397" s="583">
        <f>VLOOKUP($H397,Nutrition_tables!$A:$AF,18,FALSE)*$Q397/100</f>
        <v>0</v>
      </c>
      <c r="AF397" s="583">
        <f>VLOOKUP($H397,Nutrition_tables!$A:$AF,19,FALSE)*$Q397/100</f>
        <v>0</v>
      </c>
      <c r="AG397" s="583">
        <f>VLOOKUP($H397,Nutrition_tables!$A:$AF,20,FALSE)*$Q397/100</f>
        <v>0</v>
      </c>
      <c r="AH397" s="583">
        <f>VLOOKUP($H397,Nutrition_tables!$A:$AF,21,FALSE)*$Q397/100</f>
        <v>0</v>
      </c>
      <c r="AI397" s="583">
        <f>VLOOKUP($H397,Nutrition_tables!$A:$AF,22,FALSE)*$Q397/100</f>
        <v>0</v>
      </c>
      <c r="AJ397" s="549">
        <f>VLOOKUP($H397,Nutrition_tables!$A:$AF,23,FALSE)*$Q397/100</f>
        <v>0</v>
      </c>
      <c r="AK397" s="583">
        <f>VLOOKUP($H397,Nutrition_tables!$A:$AF,24,FALSE)*$Q397/100</f>
        <v>0</v>
      </c>
      <c r="AL397" s="583">
        <f>VLOOKUP($H397,Nutrition_tables!$A:$AF,25,FALSE)*$Q397/100</f>
        <v>0</v>
      </c>
      <c r="AM397" s="583">
        <f>VLOOKUP($H397,Nutrition_tables!$A:$AF,26,FALSE)*$Q397/100</f>
        <v>0</v>
      </c>
      <c r="AN397" s="583">
        <f>VLOOKUP($H397,Nutrition_tables!$A:$AF,27,FALSE)*$Q397/100</f>
        <v>0</v>
      </c>
      <c r="AO397" s="583">
        <f>VLOOKUP($H397,Nutrition_tables!$A:$AF,28,FALSE)*$Q397/100</f>
        <v>0</v>
      </c>
      <c r="AP397" s="583">
        <f>VLOOKUP($H397,Nutrition_tables!$A:$AF,29,FALSE)*$Q397/100</f>
        <v>0</v>
      </c>
      <c r="AQ397" s="583">
        <f>VLOOKUP($H397,Nutrition_tables!$A:$AF,30,FALSE)*$Q397/100</f>
        <v>0</v>
      </c>
      <c r="AR397" s="583">
        <f>VLOOKUP($H397,Nutrition_tables!$A:$AF,31,FALSE)*$Q397/100</f>
        <v>0</v>
      </c>
      <c r="AS397" s="549">
        <f>VLOOKUP($H397,Nutrition_tables!$A:$AF,32,FALSE)*$Q397/100</f>
        <v>0</v>
      </c>
      <c r="AT397" s="583" t="str">
        <f>IF(H397="Select ingredient:","",IF(G397="Select food category:","",IFERROR(VLOOKUP($H397,Ingredient_prices!$E:$W,17,FALSE)*$Q397/1000,"not bought")))</f>
        <v/>
      </c>
      <c r="AU397" s="583" t="str">
        <f>IF(H397="Select ingredient:","",IF(G397="Select food category:","",IFERROR(VLOOKUP($H397,Ingredient_prices!$E:$W,18,FALSE)*$Q397/1000,"not bought")))</f>
        <v/>
      </c>
      <c r="AV397" s="583">
        <f t="shared" si="873"/>
        <v>0</v>
      </c>
      <c r="AW397" s="583">
        <f t="shared" si="874"/>
        <v>0</v>
      </c>
      <c r="AX397" s="583">
        <f t="shared" si="875"/>
        <v>0</v>
      </c>
      <c r="AY397" s="583">
        <f t="shared" si="876"/>
        <v>0</v>
      </c>
      <c r="AZ397" s="583">
        <f t="shared" si="877"/>
        <v>0</v>
      </c>
      <c r="BA397" s="583">
        <f t="shared" si="878"/>
        <v>0</v>
      </c>
      <c r="BB397" s="583">
        <f t="shared" si="879"/>
        <v>0</v>
      </c>
      <c r="BC397" s="583">
        <f t="shared" si="880"/>
        <v>0</v>
      </c>
      <c r="BD397" s="583">
        <f t="shared" si="881"/>
        <v>0</v>
      </c>
      <c r="BE397" s="583">
        <f t="shared" si="882"/>
        <v>0</v>
      </c>
      <c r="BF397" s="583">
        <f t="shared" si="883"/>
        <v>0</v>
      </c>
      <c r="BG397" s="583">
        <f t="shared" si="884"/>
        <v>0</v>
      </c>
      <c r="BH397" s="583">
        <f t="shared" si="885"/>
        <v>0</v>
      </c>
      <c r="BI397" s="583">
        <f t="shared" si="886"/>
        <v>0</v>
      </c>
      <c r="BJ397" s="583">
        <f t="shared" si="887"/>
        <v>0</v>
      </c>
      <c r="BK397" s="583">
        <f t="shared" si="888"/>
        <v>0</v>
      </c>
      <c r="BL397" s="583">
        <f t="shared" si="889"/>
        <v>0</v>
      </c>
      <c r="BM397" s="583">
        <f t="shared" si="890"/>
        <v>0</v>
      </c>
      <c r="BN397" s="583">
        <f t="shared" si="891"/>
        <v>0</v>
      </c>
      <c r="BO397" s="583">
        <f t="shared" si="892"/>
        <v>0</v>
      </c>
      <c r="BP397" s="583">
        <f t="shared" si="893"/>
        <v>0</v>
      </c>
      <c r="BQ397" s="583">
        <f t="shared" si="894"/>
        <v>0</v>
      </c>
      <c r="BR397" s="583">
        <f t="shared" si="895"/>
        <v>0</v>
      </c>
    </row>
    <row r="398" spans="1:70" s="603" customFormat="1" ht="56">
      <c r="A398" s="643"/>
      <c r="B398" s="593"/>
      <c r="C398" s="522"/>
      <c r="D398" s="141"/>
      <c r="E398" s="594"/>
      <c r="F398" s="708"/>
      <c r="G398" s="522"/>
      <c r="H398" s="522"/>
      <c r="I398" s="86"/>
      <c r="J398" s="87"/>
      <c r="K398" s="595"/>
      <c r="L398" s="596"/>
      <c r="M398" s="849"/>
      <c r="N398" s="849"/>
      <c r="O398" s="648"/>
      <c r="P398" s="654"/>
      <c r="Q398" s="599" t="s">
        <v>384</v>
      </c>
      <c r="R398" s="600" t="s">
        <v>455</v>
      </c>
      <c r="S398" s="600" t="s">
        <v>2087</v>
      </c>
      <c r="T398" s="600" t="s">
        <v>456</v>
      </c>
      <c r="U398" s="600" t="s">
        <v>535</v>
      </c>
      <c r="V398" s="601" t="s">
        <v>457</v>
      </c>
      <c r="W398" s="600" t="s">
        <v>75</v>
      </c>
      <c r="X398" s="600" t="s">
        <v>385</v>
      </c>
      <c r="Y398" s="600" t="s">
        <v>386</v>
      </c>
      <c r="Z398" s="600" t="s">
        <v>387</v>
      </c>
      <c r="AA398" s="600" t="s">
        <v>388</v>
      </c>
      <c r="AB398" s="601" t="s">
        <v>389</v>
      </c>
      <c r="AC398" s="602" t="s">
        <v>390</v>
      </c>
      <c r="AD398" s="600" t="s">
        <v>391</v>
      </c>
      <c r="AE398" s="600" t="s">
        <v>392</v>
      </c>
      <c r="AF398" s="600" t="s">
        <v>393</v>
      </c>
      <c r="AG398" s="600" t="s">
        <v>394</v>
      </c>
      <c r="AH398" s="600" t="s">
        <v>395</v>
      </c>
      <c r="AI398" s="600" t="s">
        <v>396</v>
      </c>
      <c r="AJ398" s="601" t="s">
        <v>397</v>
      </c>
      <c r="AK398" s="602" t="s">
        <v>398</v>
      </c>
      <c r="AL398" s="600" t="s">
        <v>399</v>
      </c>
      <c r="AM398" s="600" t="s">
        <v>400</v>
      </c>
      <c r="AN398" s="600" t="s">
        <v>401</v>
      </c>
      <c r="AO398" s="600" t="s">
        <v>402</v>
      </c>
      <c r="AP398" s="600" t="s">
        <v>406</v>
      </c>
      <c r="AQ398" s="600" t="s">
        <v>405</v>
      </c>
      <c r="AR398" s="600" t="s">
        <v>403</v>
      </c>
      <c r="AS398" s="601" t="s">
        <v>404</v>
      </c>
      <c r="AT398" s="593"/>
      <c r="AU398" s="593"/>
    </row>
    <row r="399" spans="1:70" s="229" customFormat="1">
      <c r="A399" s="643"/>
      <c r="B399" s="593"/>
      <c r="C399" s="522"/>
      <c r="D399" s="141"/>
      <c r="E399" s="522"/>
      <c r="F399" s="714"/>
      <c r="G399" s="522"/>
      <c r="H399" s="522"/>
      <c r="I399" s="86"/>
      <c r="J399" s="87"/>
      <c r="K399" s="595"/>
      <c r="L399" s="596"/>
      <c r="M399" s="849"/>
      <c r="N399" s="849"/>
      <c r="O399" s="648"/>
      <c r="P399" s="655" t="s">
        <v>383</v>
      </c>
      <c r="Q399" s="583">
        <f t="shared" ref="Q399:AU399" si="897">SUM(Q386:Q397)</f>
        <v>0</v>
      </c>
      <c r="R399" s="583">
        <f t="shared" si="897"/>
        <v>0</v>
      </c>
      <c r="S399" s="583">
        <f>SUM(S386:S397)</f>
        <v>0</v>
      </c>
      <c r="T399" s="583">
        <f t="shared" si="897"/>
        <v>0</v>
      </c>
      <c r="U399" s="583">
        <f t="shared" si="897"/>
        <v>0</v>
      </c>
      <c r="V399" s="549">
        <f t="shared" si="897"/>
        <v>0</v>
      </c>
      <c r="W399" s="583">
        <f t="shared" si="897"/>
        <v>0</v>
      </c>
      <c r="X399" s="583">
        <f t="shared" si="897"/>
        <v>0</v>
      </c>
      <c r="Y399" s="583">
        <f t="shared" si="897"/>
        <v>0</v>
      </c>
      <c r="Z399" s="583">
        <f t="shared" si="897"/>
        <v>0</v>
      </c>
      <c r="AA399" s="583">
        <f t="shared" si="897"/>
        <v>0</v>
      </c>
      <c r="AB399" s="549">
        <f t="shared" si="897"/>
        <v>0</v>
      </c>
      <c r="AC399" s="583">
        <f t="shared" si="897"/>
        <v>0</v>
      </c>
      <c r="AD399" s="583">
        <f t="shared" si="897"/>
        <v>0</v>
      </c>
      <c r="AE399" s="583">
        <f t="shared" si="897"/>
        <v>0</v>
      </c>
      <c r="AF399" s="583">
        <f t="shared" si="897"/>
        <v>0</v>
      </c>
      <c r="AG399" s="583">
        <f t="shared" si="897"/>
        <v>0</v>
      </c>
      <c r="AH399" s="583">
        <f t="shared" si="897"/>
        <v>0</v>
      </c>
      <c r="AI399" s="583">
        <f t="shared" si="897"/>
        <v>0</v>
      </c>
      <c r="AJ399" s="549">
        <f t="shared" si="897"/>
        <v>0</v>
      </c>
      <c r="AK399" s="583">
        <f t="shared" si="897"/>
        <v>0</v>
      </c>
      <c r="AL399" s="583">
        <f t="shared" si="897"/>
        <v>0</v>
      </c>
      <c r="AM399" s="583">
        <f t="shared" si="897"/>
        <v>0</v>
      </c>
      <c r="AN399" s="583">
        <f t="shared" si="897"/>
        <v>0</v>
      </c>
      <c r="AO399" s="583">
        <f t="shared" si="897"/>
        <v>0</v>
      </c>
      <c r="AP399" s="583">
        <f t="shared" si="897"/>
        <v>0</v>
      </c>
      <c r="AQ399" s="583">
        <f t="shared" si="897"/>
        <v>0</v>
      </c>
      <c r="AR399" s="583">
        <f t="shared" si="897"/>
        <v>0</v>
      </c>
      <c r="AS399" s="549">
        <f t="shared" si="897"/>
        <v>0</v>
      </c>
      <c r="AT399" s="5">
        <f t="shared" si="897"/>
        <v>0</v>
      </c>
      <c r="AU399" s="5">
        <f t="shared" si="897"/>
        <v>0</v>
      </c>
      <c r="AV399" s="545">
        <f t="shared" ref="AV399:BR399" si="898">SUM(AV386:AV397)</f>
        <v>0</v>
      </c>
      <c r="AW399" s="545">
        <f t="shared" si="898"/>
        <v>0</v>
      </c>
      <c r="AX399" s="545">
        <f t="shared" si="898"/>
        <v>0</v>
      </c>
      <c r="AY399" s="545">
        <f t="shared" si="898"/>
        <v>0</v>
      </c>
      <c r="AZ399" s="545">
        <f t="shared" si="898"/>
        <v>0</v>
      </c>
      <c r="BA399" s="545">
        <f t="shared" si="898"/>
        <v>0</v>
      </c>
      <c r="BB399" s="545">
        <f t="shared" si="898"/>
        <v>0</v>
      </c>
      <c r="BC399" s="545">
        <f t="shared" si="898"/>
        <v>0</v>
      </c>
      <c r="BD399" s="545">
        <f t="shared" si="898"/>
        <v>0</v>
      </c>
      <c r="BE399" s="545">
        <f t="shared" si="898"/>
        <v>0</v>
      </c>
      <c r="BF399" s="545">
        <f t="shared" si="898"/>
        <v>0</v>
      </c>
      <c r="BG399" s="545">
        <f t="shared" si="898"/>
        <v>0</v>
      </c>
      <c r="BH399" s="545">
        <f t="shared" si="898"/>
        <v>0</v>
      </c>
      <c r="BI399" s="545">
        <f t="shared" si="898"/>
        <v>0</v>
      </c>
      <c r="BJ399" s="545">
        <f t="shared" si="898"/>
        <v>0</v>
      </c>
      <c r="BK399" s="545">
        <f t="shared" si="898"/>
        <v>0</v>
      </c>
      <c r="BL399" s="545">
        <f t="shared" si="898"/>
        <v>0</v>
      </c>
      <c r="BM399" s="545">
        <f t="shared" si="898"/>
        <v>0</v>
      </c>
      <c r="BN399" s="545">
        <f t="shared" si="898"/>
        <v>0</v>
      </c>
      <c r="BO399" s="545">
        <f t="shared" si="898"/>
        <v>0</v>
      </c>
      <c r="BP399" s="545">
        <f t="shared" si="898"/>
        <v>0</v>
      </c>
      <c r="BQ399" s="545">
        <f t="shared" si="898"/>
        <v>0</v>
      </c>
      <c r="BR399" s="545">
        <f t="shared" si="898"/>
        <v>0</v>
      </c>
    </row>
    <row r="400" spans="1:70" s="229" customFormat="1">
      <c r="A400" s="643"/>
      <c r="B400" s="593"/>
      <c r="C400" s="522"/>
      <c r="D400" s="141"/>
      <c r="E400" s="522"/>
      <c r="F400" s="714"/>
      <c r="G400" s="522"/>
      <c r="H400" s="522"/>
      <c r="I400" s="86"/>
      <c r="J400" s="87"/>
      <c r="K400" s="595"/>
      <c r="L400" s="596"/>
      <c r="M400" s="849"/>
      <c r="N400" s="849"/>
      <c r="O400" s="648"/>
      <c r="P400" s="655" t="s">
        <v>539</v>
      </c>
      <c r="V400" s="527" t="s">
        <v>588</v>
      </c>
      <c r="W400" s="229">
        <v>185.5</v>
      </c>
      <c r="X400" s="229">
        <v>23.200000000000003</v>
      </c>
      <c r="Y400" s="229">
        <v>5.8000000000000007</v>
      </c>
      <c r="Z400" s="229">
        <v>6.2</v>
      </c>
      <c r="AA400" s="229">
        <v>1.9000000000000001</v>
      </c>
      <c r="AB400" s="526">
        <v>2</v>
      </c>
      <c r="AC400" s="229">
        <v>138</v>
      </c>
      <c r="AD400" s="229">
        <v>180</v>
      </c>
      <c r="AE400" s="229">
        <v>90</v>
      </c>
      <c r="AF400" s="229">
        <v>17</v>
      </c>
      <c r="AG400" s="229">
        <v>80</v>
      </c>
      <c r="AH400" s="229">
        <v>1</v>
      </c>
      <c r="AI400" s="229">
        <v>0.70000000000000007</v>
      </c>
      <c r="AJ400" s="526">
        <v>0.125</v>
      </c>
      <c r="AK400" s="229">
        <v>80</v>
      </c>
      <c r="AL400" s="229">
        <v>0.1</v>
      </c>
      <c r="AM400" s="229">
        <v>0.11000000000000001</v>
      </c>
      <c r="AN400" s="229">
        <v>1.2000000000000002</v>
      </c>
      <c r="AO400" s="229">
        <v>6.9999999999999993E-2</v>
      </c>
      <c r="AP400" s="229">
        <v>30</v>
      </c>
      <c r="AQ400" s="229">
        <v>0.18000000000000002</v>
      </c>
      <c r="AR400" s="229">
        <v>8</v>
      </c>
      <c r="AS400" s="526">
        <v>0.5</v>
      </c>
      <c r="AV400" s="229">
        <v>185.5</v>
      </c>
      <c r="AW400" s="229">
        <v>23.200000000000003</v>
      </c>
      <c r="AX400" s="229">
        <v>5.8000000000000007</v>
      </c>
      <c r="AY400" s="229">
        <v>6.2</v>
      </c>
      <c r="AZ400" s="229">
        <v>1.9000000000000001</v>
      </c>
      <c r="BA400" s="526">
        <v>2</v>
      </c>
      <c r="BB400" s="229">
        <v>138</v>
      </c>
      <c r="BC400" s="229">
        <v>180</v>
      </c>
      <c r="BD400" s="229">
        <v>90</v>
      </c>
      <c r="BE400" s="229">
        <v>17</v>
      </c>
      <c r="BF400" s="229">
        <v>80</v>
      </c>
      <c r="BG400" s="229">
        <v>1</v>
      </c>
      <c r="BH400" s="229">
        <v>0.70000000000000007</v>
      </c>
      <c r="BI400" s="526">
        <v>0.125</v>
      </c>
      <c r="BJ400" s="229">
        <v>80</v>
      </c>
      <c r="BK400" s="229">
        <v>0.1</v>
      </c>
      <c r="BL400" s="229">
        <v>0.11000000000000001</v>
      </c>
      <c r="BM400" s="229">
        <v>1.2000000000000002</v>
      </c>
      <c r="BN400" s="229">
        <v>6.9999999999999993E-2</v>
      </c>
      <c r="BO400" s="229">
        <v>30</v>
      </c>
      <c r="BP400" s="229">
        <v>0.18000000000000002</v>
      </c>
      <c r="BQ400" s="229">
        <v>8</v>
      </c>
      <c r="BR400" s="526">
        <v>0.5</v>
      </c>
    </row>
    <row r="401" spans="1:70" s="229" customFormat="1">
      <c r="A401" s="643"/>
      <c r="B401" s="593"/>
      <c r="C401" s="522"/>
      <c r="D401" s="141"/>
      <c r="E401" s="522"/>
      <c r="F401" s="714"/>
      <c r="G401" s="522"/>
      <c r="H401" s="522"/>
      <c r="I401" s="86"/>
      <c r="J401" s="87"/>
      <c r="K401" s="595"/>
      <c r="L401" s="596"/>
      <c r="M401" s="849"/>
      <c r="N401" s="849"/>
      <c r="O401" s="648"/>
      <c r="P401" s="655" t="s">
        <v>407</v>
      </c>
      <c r="V401" s="526"/>
      <c r="W401" s="514">
        <f t="shared" ref="W401:AS401" si="899">100*W399/W400</f>
        <v>0</v>
      </c>
      <c r="X401" s="514">
        <f t="shared" si="899"/>
        <v>0</v>
      </c>
      <c r="Y401" s="514">
        <f t="shared" si="899"/>
        <v>0</v>
      </c>
      <c r="Z401" s="514">
        <f t="shared" si="899"/>
        <v>0</v>
      </c>
      <c r="AA401" s="514">
        <f t="shared" si="899"/>
        <v>0</v>
      </c>
      <c r="AB401" s="506">
        <f t="shared" si="899"/>
        <v>0</v>
      </c>
      <c r="AC401" s="514">
        <f t="shared" si="899"/>
        <v>0</v>
      </c>
      <c r="AD401" s="514">
        <f t="shared" si="899"/>
        <v>0</v>
      </c>
      <c r="AE401" s="514">
        <f t="shared" si="899"/>
        <v>0</v>
      </c>
      <c r="AF401" s="514">
        <f t="shared" si="899"/>
        <v>0</v>
      </c>
      <c r="AG401" s="514">
        <f t="shared" si="899"/>
        <v>0</v>
      </c>
      <c r="AH401" s="514">
        <f t="shared" si="899"/>
        <v>0</v>
      </c>
      <c r="AI401" s="514">
        <f t="shared" si="899"/>
        <v>0</v>
      </c>
      <c r="AJ401" s="506">
        <f t="shared" si="899"/>
        <v>0</v>
      </c>
      <c r="AK401" s="514">
        <f t="shared" si="899"/>
        <v>0</v>
      </c>
      <c r="AL401" s="514">
        <f t="shared" si="899"/>
        <v>0</v>
      </c>
      <c r="AM401" s="514">
        <f t="shared" si="899"/>
        <v>0</v>
      </c>
      <c r="AN401" s="514">
        <f t="shared" si="899"/>
        <v>0</v>
      </c>
      <c r="AO401" s="514">
        <f t="shared" si="899"/>
        <v>0</v>
      </c>
      <c r="AP401" s="514">
        <f t="shared" si="899"/>
        <v>0</v>
      </c>
      <c r="AQ401" s="514">
        <f t="shared" si="899"/>
        <v>0</v>
      </c>
      <c r="AR401" s="514">
        <f t="shared" si="899"/>
        <v>0</v>
      </c>
      <c r="AS401" s="506">
        <f t="shared" si="899"/>
        <v>0</v>
      </c>
      <c r="AV401" s="505">
        <f t="shared" ref="AV401:BR401" si="900">100*AV399/AV400</f>
        <v>0</v>
      </c>
      <c r="AW401" s="505">
        <f t="shared" si="900"/>
        <v>0</v>
      </c>
      <c r="AX401" s="505">
        <f t="shared" si="900"/>
        <v>0</v>
      </c>
      <c r="AY401" s="505">
        <f t="shared" si="900"/>
        <v>0</v>
      </c>
      <c r="AZ401" s="505">
        <f t="shared" si="900"/>
        <v>0</v>
      </c>
      <c r="BA401" s="505">
        <f t="shared" si="900"/>
        <v>0</v>
      </c>
      <c r="BB401" s="505">
        <f t="shared" si="900"/>
        <v>0</v>
      </c>
      <c r="BC401" s="505">
        <f t="shared" si="900"/>
        <v>0</v>
      </c>
      <c r="BD401" s="505">
        <f t="shared" si="900"/>
        <v>0</v>
      </c>
      <c r="BE401" s="505">
        <f t="shared" si="900"/>
        <v>0</v>
      </c>
      <c r="BF401" s="505">
        <f t="shared" si="900"/>
        <v>0</v>
      </c>
      <c r="BG401" s="505">
        <f t="shared" si="900"/>
        <v>0</v>
      </c>
      <c r="BH401" s="505">
        <f t="shared" si="900"/>
        <v>0</v>
      </c>
      <c r="BI401" s="505">
        <f t="shared" si="900"/>
        <v>0</v>
      </c>
      <c r="BJ401" s="505">
        <f t="shared" si="900"/>
        <v>0</v>
      </c>
      <c r="BK401" s="505">
        <f t="shared" si="900"/>
        <v>0</v>
      </c>
      <c r="BL401" s="505">
        <f t="shared" si="900"/>
        <v>0</v>
      </c>
      <c r="BM401" s="505">
        <f t="shared" si="900"/>
        <v>0</v>
      </c>
      <c r="BN401" s="505">
        <f t="shared" si="900"/>
        <v>0</v>
      </c>
      <c r="BO401" s="505">
        <f t="shared" si="900"/>
        <v>0</v>
      </c>
      <c r="BP401" s="505">
        <f t="shared" si="900"/>
        <v>0</v>
      </c>
      <c r="BQ401" s="505">
        <f t="shared" si="900"/>
        <v>0</v>
      </c>
      <c r="BR401" s="505">
        <f t="shared" si="900"/>
        <v>0</v>
      </c>
    </row>
    <row r="402" spans="1:70" s="229" customFormat="1">
      <c r="A402" s="643"/>
      <c r="B402" s="593"/>
      <c r="C402" s="522"/>
      <c r="D402" s="141"/>
      <c r="E402" s="522"/>
      <c r="F402" s="714"/>
      <c r="G402" s="522"/>
      <c r="H402" s="522"/>
      <c r="I402" s="86"/>
      <c r="J402" s="87"/>
      <c r="K402" s="595"/>
      <c r="L402" s="596"/>
      <c r="M402" s="849"/>
      <c r="N402" s="849"/>
      <c r="O402" s="648"/>
      <c r="P402" s="655" t="s">
        <v>548</v>
      </c>
      <c r="V402" s="526"/>
      <c r="W402" s="583">
        <f>AV399</f>
        <v>0</v>
      </c>
      <c r="X402" s="583">
        <f t="shared" ref="X402" si="901">AW399</f>
        <v>0</v>
      </c>
      <c r="Y402" s="583">
        <f t="shared" ref="Y402" si="902">AX399</f>
        <v>0</v>
      </c>
      <c r="Z402" s="583">
        <f t="shared" ref="Z402" si="903">AY399</f>
        <v>0</v>
      </c>
      <c r="AA402" s="583">
        <f t="shared" ref="AA402" si="904">AZ399</f>
        <v>0</v>
      </c>
      <c r="AB402" s="549">
        <f t="shared" ref="AB402" si="905">BA399</f>
        <v>0</v>
      </c>
      <c r="AC402" s="583">
        <f t="shared" ref="AC402" si="906">BB399</f>
        <v>0</v>
      </c>
      <c r="AD402" s="583">
        <f t="shared" ref="AD402" si="907">BC399</f>
        <v>0</v>
      </c>
      <c r="AE402" s="583">
        <f>BD399</f>
        <v>0</v>
      </c>
      <c r="AF402" s="583">
        <f t="shared" ref="AF402" si="908">BE399</f>
        <v>0</v>
      </c>
      <c r="AG402" s="583">
        <f t="shared" ref="AG402" si="909">BF399</f>
        <v>0</v>
      </c>
      <c r="AH402" s="583">
        <f t="shared" ref="AH402" si="910">BG399</f>
        <v>0</v>
      </c>
      <c r="AI402" s="583">
        <f t="shared" ref="AI402" si="911">BH399</f>
        <v>0</v>
      </c>
      <c r="AJ402" s="549">
        <f t="shared" ref="AJ402" si="912">BI399</f>
        <v>0</v>
      </c>
      <c r="AK402" s="583">
        <f t="shared" ref="AK402" si="913">BJ399</f>
        <v>0</v>
      </c>
      <c r="AL402" s="583">
        <f t="shared" ref="AL402" si="914">BK399</f>
        <v>0</v>
      </c>
      <c r="AM402" s="583">
        <f t="shared" ref="AM402" si="915">BL399</f>
        <v>0</v>
      </c>
      <c r="AN402" s="583">
        <f>BM399</f>
        <v>0</v>
      </c>
      <c r="AO402" s="583">
        <f t="shared" ref="AO402" si="916">BN399</f>
        <v>0</v>
      </c>
      <c r="AP402" s="583">
        <f t="shared" ref="AP402" si="917">BO399</f>
        <v>0</v>
      </c>
      <c r="AQ402" s="583">
        <f t="shared" ref="AQ402" si="918">BP399</f>
        <v>0</v>
      </c>
      <c r="AR402" s="583">
        <f t="shared" ref="AR402" si="919">BQ399</f>
        <v>0</v>
      </c>
      <c r="AS402" s="549">
        <f>BR399</f>
        <v>0</v>
      </c>
    </row>
    <row r="403" spans="1:70" s="229" customFormat="1" ht="15" thickBot="1">
      <c r="A403" s="643"/>
      <c r="B403" s="593"/>
      <c r="C403" s="522"/>
      <c r="D403" s="141"/>
      <c r="E403" s="522"/>
      <c r="F403" s="714"/>
      <c r="G403" s="522"/>
      <c r="H403" s="522"/>
      <c r="I403" s="86"/>
      <c r="J403" s="87"/>
      <c r="K403" s="595"/>
      <c r="L403" s="596"/>
      <c r="M403" s="849"/>
      <c r="N403" s="849"/>
      <c r="O403" s="648"/>
      <c r="P403" s="660" t="s">
        <v>546</v>
      </c>
      <c r="Q403" s="546"/>
      <c r="R403" s="546"/>
      <c r="S403" s="546"/>
      <c r="T403" s="546"/>
      <c r="U403" s="546"/>
      <c r="V403" s="529"/>
      <c r="W403" s="502">
        <f t="shared" ref="W403:AS403" si="920">AV401</f>
        <v>0</v>
      </c>
      <c r="X403" s="502">
        <f t="shared" si="920"/>
        <v>0</v>
      </c>
      <c r="Y403" s="502">
        <f t="shared" si="920"/>
        <v>0</v>
      </c>
      <c r="Z403" s="502">
        <f t="shared" si="920"/>
        <v>0</v>
      </c>
      <c r="AA403" s="502">
        <f t="shared" si="920"/>
        <v>0</v>
      </c>
      <c r="AB403" s="503">
        <f t="shared" si="920"/>
        <v>0</v>
      </c>
      <c r="AC403" s="502">
        <f t="shared" si="920"/>
        <v>0</v>
      </c>
      <c r="AD403" s="502">
        <f t="shared" si="920"/>
        <v>0</v>
      </c>
      <c r="AE403" s="502">
        <f t="shared" si="920"/>
        <v>0</v>
      </c>
      <c r="AF403" s="502">
        <f t="shared" si="920"/>
        <v>0</v>
      </c>
      <c r="AG403" s="502">
        <f t="shared" si="920"/>
        <v>0</v>
      </c>
      <c r="AH403" s="502">
        <f t="shared" si="920"/>
        <v>0</v>
      </c>
      <c r="AI403" s="502">
        <f t="shared" si="920"/>
        <v>0</v>
      </c>
      <c r="AJ403" s="503">
        <f t="shared" si="920"/>
        <v>0</v>
      </c>
      <c r="AK403" s="502">
        <f t="shared" si="920"/>
        <v>0</v>
      </c>
      <c r="AL403" s="502">
        <f t="shared" si="920"/>
        <v>0</v>
      </c>
      <c r="AM403" s="502">
        <f t="shared" si="920"/>
        <v>0</v>
      </c>
      <c r="AN403" s="502">
        <f t="shared" si="920"/>
        <v>0</v>
      </c>
      <c r="AO403" s="502">
        <f t="shared" si="920"/>
        <v>0</v>
      </c>
      <c r="AP403" s="502">
        <f t="shared" si="920"/>
        <v>0</v>
      </c>
      <c r="AQ403" s="502">
        <f t="shared" si="920"/>
        <v>0</v>
      </c>
      <c r="AR403" s="502">
        <f t="shared" si="920"/>
        <v>0</v>
      </c>
      <c r="AS403" s="503">
        <f t="shared" si="920"/>
        <v>0</v>
      </c>
      <c r="AT403" s="1296"/>
      <c r="AU403" s="1296"/>
      <c r="AV403" s="514"/>
      <c r="AW403" s="514"/>
      <c r="AX403" s="514"/>
      <c r="AY403" s="514"/>
      <c r="AZ403" s="514"/>
      <c r="BA403" s="505"/>
      <c r="BB403" s="514"/>
      <c r="BC403" s="514"/>
      <c r="BD403" s="514"/>
      <c r="BE403" s="514"/>
      <c r="BF403" s="514"/>
      <c r="BG403" s="514"/>
      <c r="BH403" s="514"/>
      <c r="BI403" s="505"/>
      <c r="BJ403" s="514"/>
      <c r="BK403" s="514"/>
      <c r="BL403" s="514"/>
      <c r="BM403" s="514"/>
      <c r="BN403" s="514"/>
      <c r="BO403" s="514"/>
      <c r="BP403" s="514"/>
      <c r="BQ403" s="514"/>
      <c r="BR403" s="505"/>
    </row>
    <row r="404" spans="1:70" s="229" customFormat="1">
      <c r="A404" s="643"/>
      <c r="B404" s="593"/>
      <c r="C404" s="522"/>
      <c r="D404" s="141"/>
      <c r="E404" s="522"/>
      <c r="F404" s="714"/>
      <c r="G404" s="522"/>
      <c r="H404" s="522"/>
      <c r="I404" s="86"/>
      <c r="J404" s="87"/>
      <c r="K404" s="595"/>
      <c r="L404" s="596"/>
      <c r="M404" s="849"/>
      <c r="N404" s="849"/>
      <c r="O404" s="648"/>
      <c r="P404" s="655" t="s">
        <v>550</v>
      </c>
      <c r="Q404" s="514">
        <f>Q329+Q348+Q380+Q399</f>
        <v>797.2</v>
      </c>
      <c r="R404" s="514">
        <f t="shared" ref="R404" si="921">R329+R348+R380+R399</f>
        <v>203.861975</v>
      </c>
      <c r="S404" s="514"/>
      <c r="T404" s="514">
        <f>T329+T348+T380+T399</f>
        <v>102.76217515151515</v>
      </c>
      <c r="U404" s="514">
        <f>U329+U348+U380+U399</f>
        <v>22.712554029696967</v>
      </c>
      <c r="V404" s="514">
        <f>V329+V348+V380+V399</f>
        <v>1481.4959999999996</v>
      </c>
      <c r="W404" s="514">
        <f>W329+W348+W380+W399</f>
        <v>1250.7879333267433</v>
      </c>
      <c r="X404" s="514">
        <f>X329+X348+X380+X399</f>
        <v>171.33068029214178</v>
      </c>
      <c r="Y404" s="514">
        <f t="shared" ref="Y404:AU404" si="922">Y329+Y348+Y380+Y399</f>
        <v>28.713934830768473</v>
      </c>
      <c r="Z404" s="514">
        <f t="shared" si="922"/>
        <v>47.213814725271646</v>
      </c>
      <c r="AA404" s="514">
        <f t="shared" si="922"/>
        <v>12.557341979971588</v>
      </c>
      <c r="AB404" s="506">
        <f t="shared" si="922"/>
        <v>10.06272517505624</v>
      </c>
      <c r="AC404" s="514">
        <f t="shared" si="922"/>
        <v>829.08268308391609</v>
      </c>
      <c r="AD404" s="514">
        <f t="shared" si="922"/>
        <v>1588.6218999999999</v>
      </c>
      <c r="AE404" s="514">
        <f t="shared" si="922"/>
        <v>220.28989999999999</v>
      </c>
      <c r="AF404" s="514">
        <f t="shared" si="922"/>
        <v>152.56773216783216</v>
      </c>
      <c r="AG404" s="514">
        <f t="shared" si="922"/>
        <v>433.11589999999995</v>
      </c>
      <c r="AH404" s="514">
        <f t="shared" si="922"/>
        <v>5.1512094104442046</v>
      </c>
      <c r="AI404" s="514">
        <f t="shared" si="922"/>
        <v>6.6360320601847853</v>
      </c>
      <c r="AJ404" s="506">
        <f t="shared" si="922"/>
        <v>1.1575435292248999</v>
      </c>
      <c r="AK404" s="514">
        <f t="shared" si="922"/>
        <v>419.64990000000006</v>
      </c>
      <c r="AL404" s="514">
        <f t="shared" si="922"/>
        <v>0.77277267066016908</v>
      </c>
      <c r="AM404" s="514">
        <f t="shared" si="922"/>
        <v>0.52885644301223611</v>
      </c>
      <c r="AN404" s="514">
        <f t="shared" si="922"/>
        <v>9.0487033616642876</v>
      </c>
      <c r="AO404" s="514">
        <f t="shared" si="922"/>
        <v>1.4045844829807304</v>
      </c>
      <c r="AP404" s="514">
        <f t="shared" si="922"/>
        <v>97.374235664335671</v>
      </c>
      <c r="AQ404" s="514">
        <f t="shared" si="922"/>
        <v>1.0983648878427381</v>
      </c>
      <c r="AR404" s="514">
        <f t="shared" si="922"/>
        <v>41.379900000000006</v>
      </c>
      <c r="AS404" s="506">
        <f t="shared" si="922"/>
        <v>1.3873472080545772</v>
      </c>
      <c r="AT404" s="514">
        <f t="shared" si="922"/>
        <v>90.027175151515152</v>
      </c>
      <c r="AU404" s="514">
        <f t="shared" si="922"/>
        <v>102.76217515151515</v>
      </c>
      <c r="AV404" s="514"/>
      <c r="AW404" s="514"/>
      <c r="AX404" s="514"/>
      <c r="AY404" s="514"/>
      <c r="AZ404" s="514"/>
      <c r="BA404" s="505"/>
      <c r="BB404" s="514"/>
      <c r="BC404" s="514"/>
      <c r="BD404" s="514"/>
      <c r="BE404" s="514"/>
      <c r="BF404" s="514"/>
      <c r="BG404" s="514"/>
      <c r="BH404" s="514"/>
      <c r="BI404" s="505"/>
      <c r="BJ404" s="514"/>
      <c r="BK404" s="514"/>
      <c r="BL404" s="514"/>
      <c r="BM404" s="514"/>
      <c r="BN404" s="514"/>
      <c r="BO404" s="514"/>
      <c r="BP404" s="514"/>
      <c r="BQ404" s="514"/>
      <c r="BR404" s="505"/>
    </row>
    <row r="405" spans="1:70" s="229" customFormat="1">
      <c r="A405" s="643"/>
      <c r="B405" s="593"/>
      <c r="C405" s="522"/>
      <c r="D405" s="141"/>
      <c r="E405" s="522"/>
      <c r="F405" s="714"/>
      <c r="G405" s="522"/>
      <c r="H405" s="522"/>
      <c r="I405" s="86"/>
      <c r="J405" s="87"/>
      <c r="K405" s="595"/>
      <c r="L405" s="596"/>
      <c r="M405" s="849"/>
      <c r="N405" s="849"/>
      <c r="O405" s="648"/>
      <c r="P405" s="661" t="s">
        <v>549</v>
      </c>
      <c r="V405" s="526"/>
      <c r="W405" s="514">
        <f>W332+W351+W383+W402</f>
        <v>933.15150802055496</v>
      </c>
      <c r="X405" s="514">
        <f>X332+X351+X383+X402</f>
        <v>128.32685156759646</v>
      </c>
      <c r="Y405" s="514">
        <f t="shared" ref="Y405:AS405" si="923">Y332+Y351+Y383+Y402</f>
        <v>21.229378577007644</v>
      </c>
      <c r="Z405" s="514">
        <f t="shared" si="923"/>
        <v>35.351161456528054</v>
      </c>
      <c r="AA405" s="514">
        <f t="shared" si="923"/>
        <v>8.8941242200075425</v>
      </c>
      <c r="AB405" s="506">
        <f t="shared" si="923"/>
        <v>7.7223597721843964</v>
      </c>
      <c r="AC405" s="514">
        <f t="shared" si="923"/>
        <v>552.46938739393829</v>
      </c>
      <c r="AD405" s="514">
        <f t="shared" si="923"/>
        <v>1169.3020655838336</v>
      </c>
      <c r="AE405" s="514">
        <f t="shared" si="923"/>
        <v>162.2241151186021</v>
      </c>
      <c r="AF405" s="514">
        <f t="shared" si="923"/>
        <v>110.78966781228824</v>
      </c>
      <c r="AG405" s="514">
        <f t="shared" si="923"/>
        <v>332.25197233238754</v>
      </c>
      <c r="AH405" s="514">
        <f t="shared" si="923"/>
        <v>3.7543133900145564</v>
      </c>
      <c r="AI405" s="514">
        <f t="shared" si="923"/>
        <v>4.5796868045752213</v>
      </c>
      <c r="AJ405" s="506">
        <f t="shared" si="923"/>
        <v>0.82665149237044599</v>
      </c>
      <c r="AK405" s="514">
        <f t="shared" si="923"/>
        <v>326.85748772686179</v>
      </c>
      <c r="AL405" s="514">
        <f t="shared" si="923"/>
        <v>0.54987138476810804</v>
      </c>
      <c r="AM405" s="514">
        <f t="shared" si="923"/>
        <v>0.40690685157009909</v>
      </c>
      <c r="AN405" s="514">
        <f t="shared" si="923"/>
        <v>6.3874010057267707</v>
      </c>
      <c r="AO405" s="514">
        <f t="shared" si="923"/>
        <v>1.0658685175420892</v>
      </c>
      <c r="AP405" s="514">
        <f t="shared" si="923"/>
        <v>70.103324745896799</v>
      </c>
      <c r="AQ405" s="514">
        <f t="shared" si="923"/>
        <v>0.90733042099530903</v>
      </c>
      <c r="AR405" s="514">
        <f t="shared" si="923"/>
        <v>30.476167126718842</v>
      </c>
      <c r="AS405" s="506">
        <f t="shared" si="923"/>
        <v>1.1466191734913049</v>
      </c>
      <c r="AV405" s="514"/>
      <c r="AW405" s="514"/>
      <c r="AX405" s="514"/>
      <c r="AY405" s="514"/>
      <c r="AZ405" s="514"/>
      <c r="BA405" s="505"/>
      <c r="BB405" s="514"/>
      <c r="BC405" s="514"/>
      <c r="BD405" s="514"/>
      <c r="BE405" s="514"/>
      <c r="BF405" s="514"/>
      <c r="BG405" s="514"/>
      <c r="BH405" s="514"/>
      <c r="BI405" s="505"/>
      <c r="BJ405" s="514"/>
      <c r="BK405" s="514"/>
      <c r="BL405" s="514"/>
      <c r="BM405" s="514"/>
      <c r="BN405" s="514"/>
      <c r="BO405" s="514"/>
      <c r="BP405" s="514"/>
      <c r="BQ405" s="514"/>
      <c r="BR405" s="505"/>
    </row>
    <row r="406" spans="1:70" s="229" customFormat="1" ht="15" thickBot="1">
      <c r="A406" s="504"/>
      <c r="B406" s="504"/>
      <c r="C406" s="504"/>
      <c r="D406" s="689"/>
      <c r="E406" s="662"/>
      <c r="F406" s="715"/>
      <c r="G406" s="663" t="s">
        <v>3054</v>
      </c>
      <c r="H406" s="664"/>
      <c r="I406" s="105"/>
      <c r="J406" s="105"/>
      <c r="K406" s="504"/>
      <c r="L406" s="665"/>
      <c r="M406" s="665"/>
      <c r="N406" s="665"/>
      <c r="O406" s="666"/>
      <c r="P406" s="504"/>
      <c r="Q406" s="504"/>
      <c r="R406" s="504"/>
      <c r="S406" s="504"/>
      <c r="T406" s="504"/>
      <c r="U406" s="667"/>
      <c r="V406" s="668"/>
      <c r="W406" s="504"/>
      <c r="X406" s="504"/>
      <c r="Y406" s="504"/>
      <c r="Z406" s="504"/>
      <c r="AA406" s="669">
        <f>COUNTIF(AA407:AA426,"&lt;0")</f>
        <v>0</v>
      </c>
      <c r="AB406" s="669">
        <f t="shared" ref="AB406:AS406" si="924">COUNTIF(AB407:AB426,"&lt;0")</f>
        <v>0</v>
      </c>
      <c r="AC406" s="669">
        <f t="shared" si="924"/>
        <v>0</v>
      </c>
      <c r="AD406" s="669">
        <f t="shared" si="924"/>
        <v>0</v>
      </c>
      <c r="AE406" s="669">
        <f t="shared" si="924"/>
        <v>0</v>
      </c>
      <c r="AF406" s="669">
        <f t="shared" si="924"/>
        <v>0</v>
      </c>
      <c r="AG406" s="669">
        <f t="shared" si="924"/>
        <v>0</v>
      </c>
      <c r="AH406" s="669">
        <f t="shared" si="924"/>
        <v>0</v>
      </c>
      <c r="AI406" s="669">
        <f t="shared" si="924"/>
        <v>0</v>
      </c>
      <c r="AJ406" s="669">
        <f t="shared" si="924"/>
        <v>0</v>
      </c>
      <c r="AK406" s="669">
        <f t="shared" si="924"/>
        <v>0</v>
      </c>
      <c r="AL406" s="669">
        <f t="shared" si="924"/>
        <v>0</v>
      </c>
      <c r="AM406" s="669">
        <f t="shared" si="924"/>
        <v>0</v>
      </c>
      <c r="AN406" s="669">
        <f t="shared" si="924"/>
        <v>0</v>
      </c>
      <c r="AO406" s="669">
        <f t="shared" si="924"/>
        <v>0</v>
      </c>
      <c r="AP406" s="669">
        <f t="shared" si="924"/>
        <v>0</v>
      </c>
      <c r="AQ406" s="669">
        <f t="shared" si="924"/>
        <v>0</v>
      </c>
      <c r="AR406" s="669">
        <f t="shared" si="924"/>
        <v>0</v>
      </c>
      <c r="AS406" s="669">
        <f t="shared" si="924"/>
        <v>0</v>
      </c>
      <c r="AT406" s="1300"/>
      <c r="AU406" s="1300"/>
    </row>
    <row r="407" spans="1:70" s="229" customFormat="1" ht="15" customHeight="1" thickBot="1">
      <c r="A407" s="504"/>
      <c r="B407" s="575" t="s">
        <v>3068</v>
      </c>
      <c r="C407" s="229" t="s">
        <v>67</v>
      </c>
      <c r="D407" s="576"/>
      <c r="E407" s="577">
        <v>100</v>
      </c>
      <c r="F407" s="707"/>
      <c r="G407" s="406" t="s">
        <v>3054</v>
      </c>
      <c r="H407" s="1262" t="s">
        <v>3055</v>
      </c>
      <c r="I407" s="85">
        <v>0</v>
      </c>
      <c r="J407" s="682">
        <v>1</v>
      </c>
      <c r="K407" s="579" t="str">
        <f t="shared" ref="K407:K426" si="925">IF(I407&gt;0,1.1*Q407*E407/1000,"")</f>
        <v/>
      </c>
      <c r="L407" s="580" t="str">
        <f>IF(H407="Select ingredient:","",IF(G407="","",_xlfn.IFNA(VLOOKUP($H407,Ingredient_prices!$E:$U,16,FALSE),0)))</f>
        <v/>
      </c>
      <c r="M407" s="850"/>
      <c r="N407" s="1228">
        <f>$W428</f>
        <v>0</v>
      </c>
      <c r="O407" s="666"/>
      <c r="P407" s="670"/>
      <c r="Q407" s="583">
        <f t="shared" ref="Q407:Q426" si="926">I407/J407</f>
        <v>0</v>
      </c>
      <c r="R407" s="583">
        <f>VLOOKUP($H407,'CO2_emission+%_food_waste'!$A:$K,6,FALSE)*$Q407/100</f>
        <v>0</v>
      </c>
      <c r="S407" s="583">
        <f>Q407-R407</f>
        <v>0</v>
      </c>
      <c r="T407" s="583" t="str">
        <f>IF(H407="Select ingredient:","",IF(G407="Select food category:","",_xlfn.IFNA(VLOOKUP($H407,Ingredient_prices!$E:$U,16,FALSE)*$Q407/1000,"not bought")))</f>
        <v/>
      </c>
      <c r="U407" s="583" t="str">
        <f>IF(G407="Select food category:","",_xlfn.IFNA(VLOOKUP($H407,Ingredient_prices!$E:$U,16,FALSE)*$R407/1000,"not bought"))</f>
        <v/>
      </c>
      <c r="V407" s="549">
        <f>VLOOKUP($H407,'CO2_emission+%_food_waste'!$A:$K,4,FALSE)*$Q407</f>
        <v>0</v>
      </c>
      <c r="W407" s="583">
        <f>VLOOKUP($H407,Nutrition_tables!$A:$N,10,FALSE)*$Q407/100</f>
        <v>0</v>
      </c>
      <c r="X407" s="583">
        <f>VLOOKUP($H407,Nutrition_tables!$A:$N,11,FALSE)*$Q407/100</f>
        <v>0</v>
      </c>
      <c r="Y407" s="583">
        <f>VLOOKUP($H407,Nutrition_tables!$A:$N,12,FALSE)*$Q407/100</f>
        <v>0</v>
      </c>
      <c r="Z407" s="583">
        <f>VLOOKUP($H407,Nutrition_tables!$A:$N,14,FALSE)*$Q407/100</f>
        <v>0</v>
      </c>
      <c r="AA407" s="583">
        <f>VLOOKUP($H407,Nutrition_tables!$A:$AF,13,FALSE)*$Q407/100</f>
        <v>0</v>
      </c>
      <c r="AB407" s="549">
        <f>VLOOKUP($H407,Nutrition_tables!$A:$AF,15,FALSE)*$Q407/100</f>
        <v>0</v>
      </c>
      <c r="AC407" s="583">
        <f>VLOOKUP($H407,Nutrition_tables!$A:$AF,16,FALSE)*$Q407/100</f>
        <v>0</v>
      </c>
      <c r="AD407" s="583">
        <f>VLOOKUP($H407,Nutrition_tables!$A:$AF,17,FALSE)*$Q407/100</f>
        <v>0</v>
      </c>
      <c r="AE407" s="583">
        <f>VLOOKUP($H407,Nutrition_tables!$A:$AF,18,FALSE)*$Q407/100</f>
        <v>0</v>
      </c>
      <c r="AF407" s="583">
        <f>VLOOKUP($H407,Nutrition_tables!$A:$AF,19,FALSE)*$Q407/100</f>
        <v>0</v>
      </c>
      <c r="AG407" s="583">
        <f>VLOOKUP($H407,Nutrition_tables!$A:$AF,20,FALSE)*$Q407/100</f>
        <v>0</v>
      </c>
      <c r="AH407" s="583">
        <f>VLOOKUP($H407,Nutrition_tables!$A:$AF,21,FALSE)*$Q407/100</f>
        <v>0</v>
      </c>
      <c r="AI407" s="583">
        <f>VLOOKUP($H407,Nutrition_tables!$A:$AF,22,FALSE)*$Q407/100</f>
        <v>0</v>
      </c>
      <c r="AJ407" s="549">
        <f>VLOOKUP($H407,Nutrition_tables!$A:$AF,23,FALSE)*$Q407/100</f>
        <v>0</v>
      </c>
      <c r="AK407" s="583">
        <f>VLOOKUP($H407,Nutrition_tables!$A:$AF,24,FALSE)*$Q407/100</f>
        <v>0</v>
      </c>
      <c r="AL407" s="583">
        <f>VLOOKUP($H407,Nutrition_tables!$A:$AF,25,FALSE)*$Q407/100</f>
        <v>0</v>
      </c>
      <c r="AM407" s="583">
        <f>VLOOKUP($H407,Nutrition_tables!$A:$AF,26,FALSE)*$Q407/100</f>
        <v>0</v>
      </c>
      <c r="AN407" s="583">
        <f>VLOOKUP($H407,Nutrition_tables!$A:$AF,27,FALSE)*$Q407/100</f>
        <v>0</v>
      </c>
      <c r="AO407" s="583">
        <f>VLOOKUP($H407,Nutrition_tables!$A:$AF,28,FALSE)*$Q407/100</f>
        <v>0</v>
      </c>
      <c r="AP407" s="583">
        <f>VLOOKUP($H407,Nutrition_tables!$A:$AF,29,FALSE)*$Q407/100</f>
        <v>0</v>
      </c>
      <c r="AQ407" s="583">
        <f>VLOOKUP($H407,Nutrition_tables!$A:$AF,30,FALSE)*$Q407/100</f>
        <v>0</v>
      </c>
      <c r="AR407" s="583">
        <f>VLOOKUP($H407,Nutrition_tables!$A:$AF,31,FALSE)*$Q407/100</f>
        <v>0</v>
      </c>
      <c r="AS407" s="549">
        <f>VLOOKUP($H407,Nutrition_tables!$A:$AF,32,FALSE)*$Q407/100</f>
        <v>0</v>
      </c>
      <c r="AT407" s="583" t="str">
        <f>IF(H407="Select ingredient:","",IF(G407="Select food category:","",IFERROR(VLOOKUP($H407,Ingredient_prices!$E:$W,17,FALSE)*$Q407/1000,"not bought")))</f>
        <v/>
      </c>
      <c r="AU407" s="583" t="str">
        <f>IF(H407="Select ingredient:","",IF(G407="Select food category:","",IFERROR(VLOOKUP($H407,Ingredient_prices!$E:$W,18,FALSE)*$Q407/1000,"not bought")))</f>
        <v/>
      </c>
      <c r="AV407" s="583">
        <f t="shared" ref="AV407:AV426" si="927">W407*($Q407-$R407)/($Q407+0.00001)</f>
        <v>0</v>
      </c>
      <c r="AW407" s="583">
        <f t="shared" ref="AW407:AW426" si="928">X407*($Q407-$R407)/($Q407+0.00001)</f>
        <v>0</v>
      </c>
      <c r="AX407" s="583">
        <f t="shared" ref="AX407:AX426" si="929">Y407*($Q407-$R407)/($Q407+0.00001)</f>
        <v>0</v>
      </c>
      <c r="AY407" s="583">
        <f t="shared" ref="AY407:AY426" si="930">Z407*($Q407-$R407)/($Q407+0.00001)</f>
        <v>0</v>
      </c>
      <c r="AZ407" s="583">
        <f t="shared" ref="AZ407:AZ426" si="931">AA407*($Q407-$R407)/($Q407+0.00001)</f>
        <v>0</v>
      </c>
      <c r="BA407" s="583">
        <f t="shared" ref="BA407:BA426" si="932">AB407*($Q407-$R407)/($Q407+0.00001)</f>
        <v>0</v>
      </c>
      <c r="BB407" s="583">
        <f t="shared" ref="BB407:BB426" si="933">AC407*($Q407-$R407)/($Q407+0.00001)</f>
        <v>0</v>
      </c>
      <c r="BC407" s="583">
        <f t="shared" ref="BC407:BC426" si="934">AD407*($Q407-$R407)/($Q407+0.00001)</f>
        <v>0</v>
      </c>
      <c r="BD407" s="583">
        <f t="shared" ref="BD407:BD426" si="935">AE407*($Q407-$R407)/($Q407+0.00001)</f>
        <v>0</v>
      </c>
      <c r="BE407" s="583">
        <f t="shared" ref="BE407:BE426" si="936">AF407*($Q407-$R407)/($Q407+0.00001)</f>
        <v>0</v>
      </c>
      <c r="BF407" s="583">
        <f t="shared" ref="BF407:BF426" si="937">AG407*($Q407-$R407)/($Q407+0.00001)</f>
        <v>0</v>
      </c>
      <c r="BG407" s="583">
        <f t="shared" ref="BG407:BG426" si="938">AH407*($Q407-$R407)/($Q407+0.00001)</f>
        <v>0</v>
      </c>
      <c r="BH407" s="583">
        <f t="shared" ref="BH407:BH426" si="939">AI407*($Q407-$R407)/($Q407+0.00001)</f>
        <v>0</v>
      </c>
      <c r="BI407" s="583">
        <f t="shared" ref="BI407:BI426" si="940">AJ407*($Q407-$R407)/($Q407+0.00001)</f>
        <v>0</v>
      </c>
      <c r="BJ407" s="583">
        <f t="shared" ref="BJ407:BJ426" si="941">AK407*($Q407-$R407)/($Q407+0.00001)</f>
        <v>0</v>
      </c>
      <c r="BK407" s="583">
        <f t="shared" ref="BK407:BK426" si="942">AL407*($Q407-$R407)/($Q407+0.00001)</f>
        <v>0</v>
      </c>
      <c r="BL407" s="583">
        <f t="shared" ref="BL407:BL426" si="943">AM407*($Q407-$R407)/($Q407+0.00001)</f>
        <v>0</v>
      </c>
      <c r="BM407" s="583">
        <f t="shared" ref="BM407:BM426" si="944">AN407*($Q407-$R407)/($Q407+0.00001)</f>
        <v>0</v>
      </c>
      <c r="BN407" s="583">
        <f t="shared" ref="BN407:BN426" si="945">AO407*($Q407-$R407)/($Q407+0.00001)</f>
        <v>0</v>
      </c>
      <c r="BO407" s="583">
        <f t="shared" ref="BO407:BO426" si="946">AP407*($Q407-$R407)/($Q407+0.00001)</f>
        <v>0</v>
      </c>
      <c r="BP407" s="583">
        <f t="shared" ref="BP407:BP426" si="947">AQ407*($Q407-$R407)/($Q407+0.00001)</f>
        <v>0</v>
      </c>
      <c r="BQ407" s="583">
        <f t="shared" ref="BQ407:BQ426" si="948">AR407*($Q407-$R407)/($Q407+0.00001)</f>
        <v>0</v>
      </c>
      <c r="BR407" s="583">
        <f t="shared" ref="BR407:BR426" si="949">AS407*($Q407-$R407)/($Q407+0.00001)</f>
        <v>0</v>
      </c>
    </row>
    <row r="408" spans="1:70" s="229" customFormat="1" ht="15" customHeight="1">
      <c r="A408" s="504"/>
      <c r="E408" s="576">
        <f>IF(E$407&gt;0,E$407,"")</f>
        <v>100</v>
      </c>
      <c r="F408" s="707"/>
      <c r="G408" s="406" t="s">
        <v>3054</v>
      </c>
      <c r="H408" s="1262" t="s">
        <v>3055</v>
      </c>
      <c r="I408" s="85">
        <v>0</v>
      </c>
      <c r="J408" s="682">
        <v>1</v>
      </c>
      <c r="K408" s="579" t="str">
        <f t="shared" si="925"/>
        <v/>
      </c>
      <c r="L408" s="580" t="str">
        <f>IF(H408="Select ingredient:","",IF(G408="","",_xlfn.IFNA(VLOOKUP($H408,Ingredient_prices!$E:$U,16,FALSE),0)))</f>
        <v/>
      </c>
      <c r="M408" s="850"/>
      <c r="N408" s="850"/>
      <c r="O408" s="666"/>
      <c r="P408" s="670"/>
      <c r="Q408" s="583">
        <f t="shared" si="926"/>
        <v>0</v>
      </c>
      <c r="R408" s="583">
        <f>VLOOKUP($H408,'CO2_emission+%_food_waste'!$A:$K,6,FALSE)*$Q408/100</f>
        <v>0</v>
      </c>
      <c r="S408" s="583">
        <f t="shared" ref="S408:S426" si="950">Q408-R408</f>
        <v>0</v>
      </c>
      <c r="T408" s="583" t="str">
        <f>IF(H408="Select ingredient:","",IF(G408="Select food category:","",_xlfn.IFNA(VLOOKUP($H408,Ingredient_prices!$E:$U,16,FALSE)*$Q408/1000,"not bought")))</f>
        <v/>
      </c>
      <c r="U408" s="583" t="str">
        <f>IF(G408="Select food category:","",_xlfn.IFNA(VLOOKUP($H408,Ingredient_prices!$E:$U,16,FALSE)*$R408/1000,"not bought"))</f>
        <v/>
      </c>
      <c r="V408" s="549">
        <f>VLOOKUP($H408,'CO2_emission+%_food_waste'!$A:$K,4,FALSE)*$Q408</f>
        <v>0</v>
      </c>
      <c r="W408" s="583">
        <f>VLOOKUP($H408,Nutrition_tables!$A:$N,10,FALSE)*$Q408/100</f>
        <v>0</v>
      </c>
      <c r="X408" s="583">
        <f>VLOOKUP($H408,Nutrition_tables!$A:$N,11,FALSE)*$Q408/100</f>
        <v>0</v>
      </c>
      <c r="Y408" s="583">
        <f>VLOOKUP($H408,Nutrition_tables!$A:$N,12,FALSE)*$Q408/100</f>
        <v>0</v>
      </c>
      <c r="Z408" s="583">
        <f>VLOOKUP($H408,Nutrition_tables!$A:$N,14,FALSE)*$Q408/100</f>
        <v>0</v>
      </c>
      <c r="AA408" s="583">
        <f>VLOOKUP($H408,Nutrition_tables!$A:$AF,13,FALSE)*$Q408/100</f>
        <v>0</v>
      </c>
      <c r="AB408" s="549">
        <f>VLOOKUP($H408,Nutrition_tables!$A:$AF,15,FALSE)*$Q408/100</f>
        <v>0</v>
      </c>
      <c r="AC408" s="583">
        <f>VLOOKUP($H408,Nutrition_tables!$A:$AF,16,FALSE)*$Q408/100</f>
        <v>0</v>
      </c>
      <c r="AD408" s="583">
        <f>VLOOKUP($H408,Nutrition_tables!$A:$AF,17,FALSE)*$Q408/100</f>
        <v>0</v>
      </c>
      <c r="AE408" s="583">
        <f>VLOOKUP($H408,Nutrition_tables!$A:$AF,18,FALSE)*$Q408/100</f>
        <v>0</v>
      </c>
      <c r="AF408" s="583">
        <f>VLOOKUP($H408,Nutrition_tables!$A:$AF,19,FALSE)*$Q408/100</f>
        <v>0</v>
      </c>
      <c r="AG408" s="583">
        <f>VLOOKUP($H408,Nutrition_tables!$A:$AF,20,FALSE)*$Q408/100</f>
        <v>0</v>
      </c>
      <c r="AH408" s="583">
        <f>VLOOKUP($H408,Nutrition_tables!$A:$AF,21,FALSE)*$Q408/100</f>
        <v>0</v>
      </c>
      <c r="AI408" s="583">
        <f>VLOOKUP($H408,Nutrition_tables!$A:$AF,22,FALSE)*$Q408/100</f>
        <v>0</v>
      </c>
      <c r="AJ408" s="549">
        <f>VLOOKUP($H408,Nutrition_tables!$A:$AF,23,FALSE)*$Q408/100</f>
        <v>0</v>
      </c>
      <c r="AK408" s="583">
        <f>VLOOKUP($H408,Nutrition_tables!$A:$AF,24,FALSE)*$Q408/100</f>
        <v>0</v>
      </c>
      <c r="AL408" s="583">
        <f>VLOOKUP($H408,Nutrition_tables!$A:$AF,25,FALSE)*$Q408/100</f>
        <v>0</v>
      </c>
      <c r="AM408" s="583">
        <f>VLOOKUP($H408,Nutrition_tables!$A:$AF,26,FALSE)*$Q408/100</f>
        <v>0</v>
      </c>
      <c r="AN408" s="583">
        <f>VLOOKUP($H408,Nutrition_tables!$A:$AF,27,FALSE)*$Q408/100</f>
        <v>0</v>
      </c>
      <c r="AO408" s="583">
        <f>VLOOKUP($H408,Nutrition_tables!$A:$AF,28,FALSE)*$Q408/100</f>
        <v>0</v>
      </c>
      <c r="AP408" s="583">
        <f>VLOOKUP($H408,Nutrition_tables!$A:$AF,29,FALSE)*$Q408/100</f>
        <v>0</v>
      </c>
      <c r="AQ408" s="583">
        <f>VLOOKUP($H408,Nutrition_tables!$A:$AF,30,FALSE)*$Q408/100</f>
        <v>0</v>
      </c>
      <c r="AR408" s="583">
        <f>VLOOKUP($H408,Nutrition_tables!$A:$AF,31,FALSE)*$Q408/100</f>
        <v>0</v>
      </c>
      <c r="AS408" s="549">
        <f>VLOOKUP($H408,Nutrition_tables!$A:$AF,32,FALSE)*$Q408/100</f>
        <v>0</v>
      </c>
      <c r="AT408" s="583" t="str">
        <f>IF(H408="Select ingredient:","",IF(G408="Select food category:","",IFERROR(VLOOKUP($H408,Ingredient_prices!$E:$W,17,FALSE)*$Q408/1000,"not bought")))</f>
        <v/>
      </c>
      <c r="AU408" s="583" t="str">
        <f>IF(H408="Select ingredient:","",IF(G408="Select food category:","",IFERROR(VLOOKUP($H408,Ingredient_prices!$E:$W,18,FALSE)*$Q408/1000,"not bought")))</f>
        <v/>
      </c>
      <c r="AV408" s="583">
        <f t="shared" si="927"/>
        <v>0</v>
      </c>
      <c r="AW408" s="583">
        <f t="shared" si="928"/>
        <v>0</v>
      </c>
      <c r="AX408" s="583">
        <f t="shared" si="929"/>
        <v>0</v>
      </c>
      <c r="AY408" s="583">
        <f t="shared" si="930"/>
        <v>0</v>
      </c>
      <c r="AZ408" s="583">
        <f t="shared" si="931"/>
        <v>0</v>
      </c>
      <c r="BA408" s="583">
        <f t="shared" si="932"/>
        <v>0</v>
      </c>
      <c r="BB408" s="583">
        <f t="shared" si="933"/>
        <v>0</v>
      </c>
      <c r="BC408" s="583">
        <f t="shared" si="934"/>
        <v>0</v>
      </c>
      <c r="BD408" s="583">
        <f t="shared" si="935"/>
        <v>0</v>
      </c>
      <c r="BE408" s="583">
        <f t="shared" si="936"/>
        <v>0</v>
      </c>
      <c r="BF408" s="583">
        <f t="shared" si="937"/>
        <v>0</v>
      </c>
      <c r="BG408" s="583">
        <f t="shared" si="938"/>
        <v>0</v>
      </c>
      <c r="BH408" s="583">
        <f t="shared" si="939"/>
        <v>0</v>
      </c>
      <c r="BI408" s="583">
        <f t="shared" si="940"/>
        <v>0</v>
      </c>
      <c r="BJ408" s="583">
        <f t="shared" si="941"/>
        <v>0</v>
      </c>
      <c r="BK408" s="583">
        <f t="shared" si="942"/>
        <v>0</v>
      </c>
      <c r="BL408" s="583">
        <f t="shared" si="943"/>
        <v>0</v>
      </c>
      <c r="BM408" s="583">
        <f t="shared" si="944"/>
        <v>0</v>
      </c>
      <c r="BN408" s="583">
        <f t="shared" si="945"/>
        <v>0</v>
      </c>
      <c r="BO408" s="583">
        <f t="shared" si="946"/>
        <v>0</v>
      </c>
      <c r="BP408" s="583">
        <f t="shared" si="947"/>
        <v>0</v>
      </c>
      <c r="BQ408" s="583">
        <f t="shared" si="948"/>
        <v>0</v>
      </c>
      <c r="BR408" s="583">
        <f t="shared" si="949"/>
        <v>0</v>
      </c>
    </row>
    <row r="409" spans="1:70" s="229" customFormat="1" ht="15" customHeight="1">
      <c r="A409" s="504"/>
      <c r="D409" s="406"/>
      <c r="E409" s="576">
        <f t="shared" ref="E409:E426" si="951">IF(E$407&gt;0,E$407,"")</f>
        <v>100</v>
      </c>
      <c r="F409" s="707"/>
      <c r="G409" s="406" t="s">
        <v>3054</v>
      </c>
      <c r="H409" s="1262" t="s">
        <v>3055</v>
      </c>
      <c r="I409" s="85">
        <v>0</v>
      </c>
      <c r="J409" s="682">
        <v>1</v>
      </c>
      <c r="K409" s="579" t="str">
        <f t="shared" si="925"/>
        <v/>
      </c>
      <c r="L409" s="580" t="str">
        <f>IF(H409="Select ingredient:","",IF(G409="","",_xlfn.IFNA(VLOOKUP($H409,Ingredient_prices!$E:$U,16,FALSE),0)))</f>
        <v/>
      </c>
      <c r="M409" s="850"/>
      <c r="N409" s="850"/>
      <c r="O409" s="666"/>
      <c r="P409" s="670"/>
      <c r="Q409" s="583">
        <f t="shared" si="926"/>
        <v>0</v>
      </c>
      <c r="R409" s="583">
        <f>VLOOKUP($H409,'CO2_emission+%_food_waste'!$A:$K,6,FALSE)*$Q409/100</f>
        <v>0</v>
      </c>
      <c r="S409" s="583">
        <f t="shared" si="950"/>
        <v>0</v>
      </c>
      <c r="T409" s="583" t="str">
        <f>IF(H409="Select ingredient:","",IF(G409="Select food category:","",_xlfn.IFNA(VLOOKUP($H409,Ingredient_prices!$E:$U,16,FALSE)*$Q409/1000,"not bought")))</f>
        <v/>
      </c>
      <c r="U409" s="583" t="str">
        <f>IF(G409="Select food category:","",_xlfn.IFNA(VLOOKUP($H409,Ingredient_prices!$E:$U,16,FALSE)*$R409/1000,"not bought"))</f>
        <v/>
      </c>
      <c r="V409" s="549">
        <f>VLOOKUP($H409,'CO2_emission+%_food_waste'!$A:$K,4,FALSE)*$Q409</f>
        <v>0</v>
      </c>
      <c r="W409" s="583">
        <f>VLOOKUP($H409,Nutrition_tables!$A:$N,10,FALSE)*$Q409/100</f>
        <v>0</v>
      </c>
      <c r="X409" s="583">
        <f>VLOOKUP($H409,Nutrition_tables!$A:$N,11,FALSE)*$Q409/100</f>
        <v>0</v>
      </c>
      <c r="Y409" s="583">
        <f>VLOOKUP($H409,Nutrition_tables!$A:$N,12,FALSE)*$Q409/100</f>
        <v>0</v>
      </c>
      <c r="Z409" s="583">
        <f>VLOOKUP($H409,Nutrition_tables!$A:$N,14,FALSE)*$Q409/100</f>
        <v>0</v>
      </c>
      <c r="AA409" s="583">
        <f>VLOOKUP($H409,Nutrition_tables!$A:$AF,13,FALSE)*$Q409/100</f>
        <v>0</v>
      </c>
      <c r="AB409" s="549">
        <f>VLOOKUP($H409,Nutrition_tables!$A:$AF,15,FALSE)*$Q409/100</f>
        <v>0</v>
      </c>
      <c r="AC409" s="583">
        <f>VLOOKUP($H409,Nutrition_tables!$A:$AF,16,FALSE)*$Q409/100</f>
        <v>0</v>
      </c>
      <c r="AD409" s="583">
        <f>VLOOKUP($H409,Nutrition_tables!$A:$AF,17,FALSE)*$Q409/100</f>
        <v>0</v>
      </c>
      <c r="AE409" s="583">
        <f>VLOOKUP($H409,Nutrition_tables!$A:$AF,18,FALSE)*$Q409/100</f>
        <v>0</v>
      </c>
      <c r="AF409" s="583">
        <f>VLOOKUP($H409,Nutrition_tables!$A:$AF,19,FALSE)*$Q409/100</f>
        <v>0</v>
      </c>
      <c r="AG409" s="583">
        <f>VLOOKUP($H409,Nutrition_tables!$A:$AF,20,FALSE)*$Q409/100</f>
        <v>0</v>
      </c>
      <c r="AH409" s="583">
        <f>VLOOKUP($H409,Nutrition_tables!$A:$AF,21,FALSE)*$Q409/100</f>
        <v>0</v>
      </c>
      <c r="AI409" s="583">
        <f>VLOOKUP($H409,Nutrition_tables!$A:$AF,22,FALSE)*$Q409/100</f>
        <v>0</v>
      </c>
      <c r="AJ409" s="549">
        <f>VLOOKUP($H409,Nutrition_tables!$A:$AF,23,FALSE)*$Q409/100</f>
        <v>0</v>
      </c>
      <c r="AK409" s="583">
        <f>VLOOKUP($H409,Nutrition_tables!$A:$AF,24,FALSE)*$Q409/100</f>
        <v>0</v>
      </c>
      <c r="AL409" s="583">
        <f>VLOOKUP($H409,Nutrition_tables!$A:$AF,25,FALSE)*$Q409/100</f>
        <v>0</v>
      </c>
      <c r="AM409" s="583">
        <f>VLOOKUP($H409,Nutrition_tables!$A:$AF,26,FALSE)*$Q409/100</f>
        <v>0</v>
      </c>
      <c r="AN409" s="583">
        <f>VLOOKUP($H409,Nutrition_tables!$A:$AF,27,FALSE)*$Q409/100</f>
        <v>0</v>
      </c>
      <c r="AO409" s="583">
        <f>VLOOKUP($H409,Nutrition_tables!$A:$AF,28,FALSE)*$Q409/100</f>
        <v>0</v>
      </c>
      <c r="AP409" s="583">
        <f>VLOOKUP($H409,Nutrition_tables!$A:$AF,29,FALSE)*$Q409/100</f>
        <v>0</v>
      </c>
      <c r="AQ409" s="583">
        <f>VLOOKUP($H409,Nutrition_tables!$A:$AF,30,FALSE)*$Q409/100</f>
        <v>0</v>
      </c>
      <c r="AR409" s="583">
        <f>VLOOKUP($H409,Nutrition_tables!$A:$AF,31,FALSE)*$Q409/100</f>
        <v>0</v>
      </c>
      <c r="AS409" s="549">
        <f>VLOOKUP($H409,Nutrition_tables!$A:$AF,32,FALSE)*$Q409/100</f>
        <v>0</v>
      </c>
      <c r="AT409" s="583" t="str">
        <f>IF(H409="Select ingredient:","",IF(G409="Select food category:","",IFERROR(VLOOKUP($H409,Ingredient_prices!$E:$W,17,FALSE)*$Q409/1000,"not bought")))</f>
        <v/>
      </c>
      <c r="AU409" s="583" t="str">
        <f>IF(H409="Select ingredient:","",IF(G409="Select food category:","",IFERROR(VLOOKUP($H409,Ingredient_prices!$E:$W,18,FALSE)*$Q409/1000,"not bought")))</f>
        <v/>
      </c>
      <c r="AV409" s="583">
        <f t="shared" si="927"/>
        <v>0</v>
      </c>
      <c r="AW409" s="583">
        <f t="shared" si="928"/>
        <v>0</v>
      </c>
      <c r="AX409" s="583">
        <f t="shared" si="929"/>
        <v>0</v>
      </c>
      <c r="AY409" s="583">
        <f t="shared" si="930"/>
        <v>0</v>
      </c>
      <c r="AZ409" s="583">
        <f t="shared" si="931"/>
        <v>0</v>
      </c>
      <c r="BA409" s="583">
        <f t="shared" si="932"/>
        <v>0</v>
      </c>
      <c r="BB409" s="583">
        <f t="shared" si="933"/>
        <v>0</v>
      </c>
      <c r="BC409" s="583">
        <f t="shared" si="934"/>
        <v>0</v>
      </c>
      <c r="BD409" s="583">
        <f t="shared" si="935"/>
        <v>0</v>
      </c>
      <c r="BE409" s="583">
        <f t="shared" si="936"/>
        <v>0</v>
      </c>
      <c r="BF409" s="583">
        <f t="shared" si="937"/>
        <v>0</v>
      </c>
      <c r="BG409" s="583">
        <f t="shared" si="938"/>
        <v>0</v>
      </c>
      <c r="BH409" s="583">
        <f t="shared" si="939"/>
        <v>0</v>
      </c>
      <c r="BI409" s="583">
        <f t="shared" si="940"/>
        <v>0</v>
      </c>
      <c r="BJ409" s="583">
        <f t="shared" si="941"/>
        <v>0</v>
      </c>
      <c r="BK409" s="583">
        <f t="shared" si="942"/>
        <v>0</v>
      </c>
      <c r="BL409" s="583">
        <f t="shared" si="943"/>
        <v>0</v>
      </c>
      <c r="BM409" s="583">
        <f t="shared" si="944"/>
        <v>0</v>
      </c>
      <c r="BN409" s="583">
        <f t="shared" si="945"/>
        <v>0</v>
      </c>
      <c r="BO409" s="583">
        <f t="shared" si="946"/>
        <v>0</v>
      </c>
      <c r="BP409" s="583">
        <f t="shared" si="947"/>
        <v>0</v>
      </c>
      <c r="BQ409" s="583">
        <f t="shared" si="948"/>
        <v>0</v>
      </c>
      <c r="BR409" s="583">
        <f t="shared" si="949"/>
        <v>0</v>
      </c>
    </row>
    <row r="410" spans="1:70" s="229" customFormat="1" ht="15" customHeight="1">
      <c r="A410" s="504"/>
      <c r="D410" s="85"/>
      <c r="E410" s="576">
        <f t="shared" si="951"/>
        <v>100</v>
      </c>
      <c r="F410" s="707"/>
      <c r="G410" s="406" t="s">
        <v>3054</v>
      </c>
      <c r="H410" s="1262" t="s">
        <v>3055</v>
      </c>
      <c r="I410" s="85">
        <v>0</v>
      </c>
      <c r="J410" s="682">
        <v>1</v>
      </c>
      <c r="K410" s="579" t="str">
        <f t="shared" si="925"/>
        <v/>
      </c>
      <c r="L410" s="580" t="str">
        <f>IF(H410="Select ingredient:","",IF(G410="","",_xlfn.IFNA(VLOOKUP($H410,Ingredient_prices!$E:$U,16,FALSE),0)))</f>
        <v/>
      </c>
      <c r="M410" s="850"/>
      <c r="N410" s="850"/>
      <c r="O410" s="666"/>
      <c r="P410" s="670"/>
      <c r="Q410" s="583">
        <f t="shared" si="926"/>
        <v>0</v>
      </c>
      <c r="R410" s="583">
        <f>VLOOKUP($H410,'CO2_emission+%_food_waste'!$A:$K,6,FALSE)*$Q410/100</f>
        <v>0</v>
      </c>
      <c r="S410" s="583">
        <f t="shared" si="950"/>
        <v>0</v>
      </c>
      <c r="T410" s="583" t="str">
        <f>IF(H410="Select ingredient:","",IF(G410="Select food category:","",_xlfn.IFNA(VLOOKUP($H410,Ingredient_prices!$E:$U,16,FALSE)*$Q410/1000,"not bought")))</f>
        <v/>
      </c>
      <c r="U410" s="583" t="str">
        <f>IF(G410="Select food category:","",_xlfn.IFNA(VLOOKUP($H410,Ingredient_prices!$E:$U,16,FALSE)*$R410/1000,"not bought"))</f>
        <v/>
      </c>
      <c r="V410" s="549">
        <f>VLOOKUP($H410,'CO2_emission+%_food_waste'!$A:$K,4,FALSE)*$Q410</f>
        <v>0</v>
      </c>
      <c r="W410" s="583">
        <f>VLOOKUP($H410,Nutrition_tables!$A:$N,10,FALSE)*$Q410/100</f>
        <v>0</v>
      </c>
      <c r="X410" s="583">
        <f>VLOOKUP($H410,Nutrition_tables!$A:$N,11,FALSE)*$Q410/100</f>
        <v>0</v>
      </c>
      <c r="Y410" s="583">
        <f>VLOOKUP($H410,Nutrition_tables!$A:$N,12,FALSE)*$Q410/100</f>
        <v>0</v>
      </c>
      <c r="Z410" s="583">
        <f>VLOOKUP($H410,Nutrition_tables!$A:$N,14,FALSE)*$Q410/100</f>
        <v>0</v>
      </c>
      <c r="AA410" s="583">
        <f>VLOOKUP($H410,Nutrition_tables!$A:$AF,13,FALSE)*$Q410/100</f>
        <v>0</v>
      </c>
      <c r="AB410" s="549">
        <f>VLOOKUP($H410,Nutrition_tables!$A:$AF,15,FALSE)*$Q410/100</f>
        <v>0</v>
      </c>
      <c r="AC410" s="583">
        <f>VLOOKUP($H410,Nutrition_tables!$A:$AF,16,FALSE)*$Q410/100</f>
        <v>0</v>
      </c>
      <c r="AD410" s="583">
        <f>VLOOKUP($H410,Nutrition_tables!$A:$AF,17,FALSE)*$Q410/100</f>
        <v>0</v>
      </c>
      <c r="AE410" s="583">
        <f>VLOOKUP($H410,Nutrition_tables!$A:$AF,18,FALSE)*$Q410/100</f>
        <v>0</v>
      </c>
      <c r="AF410" s="583">
        <f>VLOOKUP($H410,Nutrition_tables!$A:$AF,19,FALSE)*$Q410/100</f>
        <v>0</v>
      </c>
      <c r="AG410" s="583">
        <f>VLOOKUP($H410,Nutrition_tables!$A:$AF,20,FALSE)*$Q410/100</f>
        <v>0</v>
      </c>
      <c r="AH410" s="583">
        <f>VLOOKUP($H410,Nutrition_tables!$A:$AF,21,FALSE)*$Q410/100</f>
        <v>0</v>
      </c>
      <c r="AI410" s="583">
        <f>VLOOKUP($H410,Nutrition_tables!$A:$AF,22,FALSE)*$Q410/100</f>
        <v>0</v>
      </c>
      <c r="AJ410" s="549">
        <f>VLOOKUP($H410,Nutrition_tables!$A:$AF,23,FALSE)*$Q410/100</f>
        <v>0</v>
      </c>
      <c r="AK410" s="583">
        <f>VLOOKUP($H410,Nutrition_tables!$A:$AF,24,FALSE)*$Q410/100</f>
        <v>0</v>
      </c>
      <c r="AL410" s="583">
        <f>VLOOKUP($H410,Nutrition_tables!$A:$AF,25,FALSE)*$Q410/100</f>
        <v>0</v>
      </c>
      <c r="AM410" s="583">
        <f>VLOOKUP($H410,Nutrition_tables!$A:$AF,26,FALSE)*$Q410/100</f>
        <v>0</v>
      </c>
      <c r="AN410" s="583">
        <f>VLOOKUP($H410,Nutrition_tables!$A:$AF,27,FALSE)*$Q410/100</f>
        <v>0</v>
      </c>
      <c r="AO410" s="583">
        <f>VLOOKUP($H410,Nutrition_tables!$A:$AF,28,FALSE)*$Q410/100</f>
        <v>0</v>
      </c>
      <c r="AP410" s="583">
        <f>VLOOKUP($H410,Nutrition_tables!$A:$AF,29,FALSE)*$Q410/100</f>
        <v>0</v>
      </c>
      <c r="AQ410" s="583">
        <f>VLOOKUP($H410,Nutrition_tables!$A:$AF,30,FALSE)*$Q410/100</f>
        <v>0</v>
      </c>
      <c r="AR410" s="583">
        <f>VLOOKUP($H410,Nutrition_tables!$A:$AF,31,FALSE)*$Q410/100</f>
        <v>0</v>
      </c>
      <c r="AS410" s="549">
        <f>VLOOKUP($H410,Nutrition_tables!$A:$AF,32,FALSE)*$Q410/100</f>
        <v>0</v>
      </c>
      <c r="AT410" s="583" t="str">
        <f>IF(H410="Select ingredient:","",IF(G410="Select food category:","",IFERROR(VLOOKUP($H410,Ingredient_prices!$E:$W,17,FALSE)*$Q410/1000,"not bought")))</f>
        <v/>
      </c>
      <c r="AU410" s="583" t="str">
        <f>IF(H410="Select ingredient:","",IF(G410="Select food category:","",IFERROR(VLOOKUP($H410,Ingredient_prices!$E:$W,18,FALSE)*$Q410/1000,"not bought")))</f>
        <v/>
      </c>
      <c r="AV410" s="583">
        <f t="shared" si="927"/>
        <v>0</v>
      </c>
      <c r="AW410" s="583">
        <f t="shared" si="928"/>
        <v>0</v>
      </c>
      <c r="AX410" s="583">
        <f t="shared" si="929"/>
        <v>0</v>
      </c>
      <c r="AY410" s="583">
        <f t="shared" si="930"/>
        <v>0</v>
      </c>
      <c r="AZ410" s="583">
        <f t="shared" si="931"/>
        <v>0</v>
      </c>
      <c r="BA410" s="583">
        <f t="shared" si="932"/>
        <v>0</v>
      </c>
      <c r="BB410" s="583">
        <f t="shared" si="933"/>
        <v>0</v>
      </c>
      <c r="BC410" s="583">
        <f t="shared" si="934"/>
        <v>0</v>
      </c>
      <c r="BD410" s="583">
        <f t="shared" si="935"/>
        <v>0</v>
      </c>
      <c r="BE410" s="583">
        <f t="shared" si="936"/>
        <v>0</v>
      </c>
      <c r="BF410" s="583">
        <f t="shared" si="937"/>
        <v>0</v>
      </c>
      <c r="BG410" s="583">
        <f t="shared" si="938"/>
        <v>0</v>
      </c>
      <c r="BH410" s="583">
        <f t="shared" si="939"/>
        <v>0</v>
      </c>
      <c r="BI410" s="583">
        <f t="shared" si="940"/>
        <v>0</v>
      </c>
      <c r="BJ410" s="583">
        <f t="shared" si="941"/>
        <v>0</v>
      </c>
      <c r="BK410" s="583">
        <f t="shared" si="942"/>
        <v>0</v>
      </c>
      <c r="BL410" s="583">
        <f t="shared" si="943"/>
        <v>0</v>
      </c>
      <c r="BM410" s="583">
        <f t="shared" si="944"/>
        <v>0</v>
      </c>
      <c r="BN410" s="583">
        <f t="shared" si="945"/>
        <v>0</v>
      </c>
      <c r="BO410" s="583">
        <f t="shared" si="946"/>
        <v>0</v>
      </c>
      <c r="BP410" s="583">
        <f t="shared" si="947"/>
        <v>0</v>
      </c>
      <c r="BQ410" s="583">
        <f t="shared" si="948"/>
        <v>0</v>
      </c>
      <c r="BR410" s="583">
        <f t="shared" si="949"/>
        <v>0</v>
      </c>
    </row>
    <row r="411" spans="1:70" s="229" customFormat="1" ht="15" customHeight="1">
      <c r="A411" s="504"/>
      <c r="D411" s="85"/>
      <c r="E411" s="576">
        <f t="shared" si="951"/>
        <v>100</v>
      </c>
      <c r="F411" s="707"/>
      <c r="G411" s="406" t="s">
        <v>3054</v>
      </c>
      <c r="H411" s="1262" t="s">
        <v>3055</v>
      </c>
      <c r="I411" s="85">
        <v>0</v>
      </c>
      <c r="J411" s="682">
        <v>1</v>
      </c>
      <c r="K411" s="579" t="str">
        <f t="shared" si="925"/>
        <v/>
      </c>
      <c r="L411" s="580" t="str">
        <f>IF(H411="Select ingredient:","",IF(G411="","",_xlfn.IFNA(VLOOKUP($H411,Ingredient_prices!$E:$U,16,FALSE),0)))</f>
        <v/>
      </c>
      <c r="M411" s="850"/>
      <c r="N411" s="850"/>
      <c r="O411" s="666"/>
      <c r="P411" s="670"/>
      <c r="Q411" s="583">
        <f t="shared" si="926"/>
        <v>0</v>
      </c>
      <c r="R411" s="583">
        <f>VLOOKUP($H411,'CO2_emission+%_food_waste'!$A:$K,6,FALSE)*$Q411/100</f>
        <v>0</v>
      </c>
      <c r="S411" s="583">
        <f t="shared" si="950"/>
        <v>0</v>
      </c>
      <c r="T411" s="583" t="str">
        <f>IF(H411="Select ingredient:","",IF(G411="Select food category:","",_xlfn.IFNA(VLOOKUP($H411,Ingredient_prices!$E:$U,16,FALSE)*$Q411/1000,"not bought")))</f>
        <v/>
      </c>
      <c r="U411" s="583" t="str">
        <f>IF(G411="Select food category:","",_xlfn.IFNA(VLOOKUP($H411,Ingredient_prices!$E:$U,16,FALSE)*$R411/1000,"not bought"))</f>
        <v/>
      </c>
      <c r="V411" s="549">
        <f>VLOOKUP($H411,'CO2_emission+%_food_waste'!$A:$K,4,FALSE)*$Q411</f>
        <v>0</v>
      </c>
      <c r="W411" s="583">
        <f>VLOOKUP($H411,Nutrition_tables!$A:$N,10,FALSE)*$Q411/100</f>
        <v>0</v>
      </c>
      <c r="X411" s="583">
        <f>VLOOKUP($H411,Nutrition_tables!$A:$N,11,FALSE)*$Q411/100</f>
        <v>0</v>
      </c>
      <c r="Y411" s="583">
        <f>VLOOKUP($H411,Nutrition_tables!$A:$N,12,FALSE)*$Q411/100</f>
        <v>0</v>
      </c>
      <c r="Z411" s="583">
        <f>VLOOKUP($H411,Nutrition_tables!$A:$N,14,FALSE)*$Q411/100</f>
        <v>0</v>
      </c>
      <c r="AA411" s="583">
        <f>VLOOKUP($H411,Nutrition_tables!$A:$AF,13,FALSE)*$Q411/100</f>
        <v>0</v>
      </c>
      <c r="AB411" s="549">
        <f>VLOOKUP($H411,Nutrition_tables!$A:$AF,15,FALSE)*$Q411/100</f>
        <v>0</v>
      </c>
      <c r="AC411" s="583">
        <f>VLOOKUP($H411,Nutrition_tables!$A:$AF,16,FALSE)*$Q411/100</f>
        <v>0</v>
      </c>
      <c r="AD411" s="583">
        <f>VLOOKUP($H411,Nutrition_tables!$A:$AF,17,FALSE)*$Q411/100</f>
        <v>0</v>
      </c>
      <c r="AE411" s="583">
        <f>VLOOKUP($H411,Nutrition_tables!$A:$AF,18,FALSE)*$Q411/100</f>
        <v>0</v>
      </c>
      <c r="AF411" s="583">
        <f>VLOOKUP($H411,Nutrition_tables!$A:$AF,19,FALSE)*$Q411/100</f>
        <v>0</v>
      </c>
      <c r="AG411" s="583">
        <f>VLOOKUP($H411,Nutrition_tables!$A:$AF,20,FALSE)*$Q411/100</f>
        <v>0</v>
      </c>
      <c r="AH411" s="583">
        <f>VLOOKUP($H411,Nutrition_tables!$A:$AF,21,FALSE)*$Q411/100</f>
        <v>0</v>
      </c>
      <c r="AI411" s="583">
        <f>VLOOKUP($H411,Nutrition_tables!$A:$AF,22,FALSE)*$Q411/100</f>
        <v>0</v>
      </c>
      <c r="AJ411" s="549">
        <f>VLOOKUP($H411,Nutrition_tables!$A:$AF,23,FALSE)*$Q411/100</f>
        <v>0</v>
      </c>
      <c r="AK411" s="583">
        <f>VLOOKUP($H411,Nutrition_tables!$A:$AF,24,FALSE)*$Q411/100</f>
        <v>0</v>
      </c>
      <c r="AL411" s="583">
        <f>VLOOKUP($H411,Nutrition_tables!$A:$AF,25,FALSE)*$Q411/100</f>
        <v>0</v>
      </c>
      <c r="AM411" s="583">
        <f>VLOOKUP($H411,Nutrition_tables!$A:$AF,26,FALSE)*$Q411/100</f>
        <v>0</v>
      </c>
      <c r="AN411" s="583">
        <f>VLOOKUP($H411,Nutrition_tables!$A:$AF,27,FALSE)*$Q411/100</f>
        <v>0</v>
      </c>
      <c r="AO411" s="583">
        <f>VLOOKUP($H411,Nutrition_tables!$A:$AF,28,FALSE)*$Q411/100</f>
        <v>0</v>
      </c>
      <c r="AP411" s="583">
        <f>VLOOKUP($H411,Nutrition_tables!$A:$AF,29,FALSE)*$Q411/100</f>
        <v>0</v>
      </c>
      <c r="AQ411" s="583">
        <f>VLOOKUP($H411,Nutrition_tables!$A:$AF,30,FALSE)*$Q411/100</f>
        <v>0</v>
      </c>
      <c r="AR411" s="583">
        <f>VLOOKUP($H411,Nutrition_tables!$A:$AF,31,FALSE)*$Q411/100</f>
        <v>0</v>
      </c>
      <c r="AS411" s="549">
        <f>VLOOKUP($H411,Nutrition_tables!$A:$AF,32,FALSE)*$Q411/100</f>
        <v>0</v>
      </c>
      <c r="AT411" s="583" t="str">
        <f>IF(H411="Select ingredient:","",IF(G411="Select food category:","",IFERROR(VLOOKUP($H411,Ingredient_prices!$E:$W,17,FALSE)*$Q411/1000,"not bought")))</f>
        <v/>
      </c>
      <c r="AU411" s="583" t="str">
        <f>IF(H411="Select ingredient:","",IF(G411="Select food category:","",IFERROR(VLOOKUP($H411,Ingredient_prices!$E:$W,18,FALSE)*$Q411/1000,"not bought")))</f>
        <v/>
      </c>
      <c r="AV411" s="583">
        <f t="shared" si="927"/>
        <v>0</v>
      </c>
      <c r="AW411" s="583">
        <f t="shared" si="928"/>
        <v>0</v>
      </c>
      <c r="AX411" s="583">
        <f t="shared" si="929"/>
        <v>0</v>
      </c>
      <c r="AY411" s="583">
        <f t="shared" si="930"/>
        <v>0</v>
      </c>
      <c r="AZ411" s="583">
        <f t="shared" si="931"/>
        <v>0</v>
      </c>
      <c r="BA411" s="583">
        <f t="shared" si="932"/>
        <v>0</v>
      </c>
      <c r="BB411" s="583">
        <f t="shared" si="933"/>
        <v>0</v>
      </c>
      <c r="BC411" s="583">
        <f t="shared" si="934"/>
        <v>0</v>
      </c>
      <c r="BD411" s="583">
        <f t="shared" si="935"/>
        <v>0</v>
      </c>
      <c r="BE411" s="583">
        <f t="shared" si="936"/>
        <v>0</v>
      </c>
      <c r="BF411" s="583">
        <f t="shared" si="937"/>
        <v>0</v>
      </c>
      <c r="BG411" s="583">
        <f t="shared" si="938"/>
        <v>0</v>
      </c>
      <c r="BH411" s="583">
        <f t="shared" si="939"/>
        <v>0</v>
      </c>
      <c r="BI411" s="583">
        <f t="shared" si="940"/>
        <v>0</v>
      </c>
      <c r="BJ411" s="583">
        <f t="shared" si="941"/>
        <v>0</v>
      </c>
      <c r="BK411" s="583">
        <f t="shared" si="942"/>
        <v>0</v>
      </c>
      <c r="BL411" s="583">
        <f t="shared" si="943"/>
        <v>0</v>
      </c>
      <c r="BM411" s="583">
        <f t="shared" si="944"/>
        <v>0</v>
      </c>
      <c r="BN411" s="583">
        <f t="shared" si="945"/>
        <v>0</v>
      </c>
      <c r="BO411" s="583">
        <f t="shared" si="946"/>
        <v>0</v>
      </c>
      <c r="BP411" s="583">
        <f t="shared" si="947"/>
        <v>0</v>
      </c>
      <c r="BQ411" s="583">
        <f t="shared" si="948"/>
        <v>0</v>
      </c>
      <c r="BR411" s="583">
        <f t="shared" si="949"/>
        <v>0</v>
      </c>
    </row>
    <row r="412" spans="1:70" s="229" customFormat="1" ht="15" customHeight="1">
      <c r="A412" s="504"/>
      <c r="D412" s="85"/>
      <c r="E412" s="576">
        <f t="shared" si="951"/>
        <v>100</v>
      </c>
      <c r="F412" s="707"/>
      <c r="G412" s="406" t="s">
        <v>3054</v>
      </c>
      <c r="H412" s="1262" t="s">
        <v>3055</v>
      </c>
      <c r="I412" s="85">
        <v>0</v>
      </c>
      <c r="J412" s="682">
        <v>1</v>
      </c>
      <c r="K412" s="579" t="str">
        <f t="shared" si="925"/>
        <v/>
      </c>
      <c r="L412" s="580" t="str">
        <f>IF(H412="Select ingredient:","",IF(G412="","",_xlfn.IFNA(VLOOKUP($H412,Ingredient_prices!$E:$U,16,FALSE),0)))</f>
        <v/>
      </c>
      <c r="M412" s="850"/>
      <c r="N412" s="850"/>
      <c r="O412" s="666"/>
      <c r="P412" s="670"/>
      <c r="Q412" s="583">
        <f t="shared" si="926"/>
        <v>0</v>
      </c>
      <c r="R412" s="583">
        <f>VLOOKUP($H412,'CO2_emission+%_food_waste'!$A:$K,6,FALSE)*$Q412/100</f>
        <v>0</v>
      </c>
      <c r="S412" s="583">
        <f t="shared" si="950"/>
        <v>0</v>
      </c>
      <c r="T412" s="583" t="str">
        <f>IF(H412="Select ingredient:","",IF(G412="Select food category:","",_xlfn.IFNA(VLOOKUP($H412,Ingredient_prices!$E:$U,16,FALSE)*$Q412/1000,"not bought")))</f>
        <v/>
      </c>
      <c r="U412" s="583" t="str">
        <f>IF(G412="Select food category:","",_xlfn.IFNA(VLOOKUP($H412,Ingredient_prices!$E:$U,16,FALSE)*$R412/1000,"not bought"))</f>
        <v/>
      </c>
      <c r="V412" s="549">
        <f>VLOOKUP($H412,'CO2_emission+%_food_waste'!$A:$K,4,FALSE)*$Q412</f>
        <v>0</v>
      </c>
      <c r="W412" s="583">
        <f>VLOOKUP($H412,Nutrition_tables!$A:$N,10,FALSE)*$Q412/100</f>
        <v>0</v>
      </c>
      <c r="X412" s="583">
        <f>VLOOKUP($H412,Nutrition_tables!$A:$N,11,FALSE)*$Q412/100</f>
        <v>0</v>
      </c>
      <c r="Y412" s="583">
        <f>VLOOKUP($H412,Nutrition_tables!$A:$N,12,FALSE)*$Q412/100</f>
        <v>0</v>
      </c>
      <c r="Z412" s="583">
        <f>VLOOKUP($H412,Nutrition_tables!$A:$N,14,FALSE)*$Q412/100</f>
        <v>0</v>
      </c>
      <c r="AA412" s="583">
        <f>VLOOKUP($H412,Nutrition_tables!$A:$AF,13,FALSE)*$Q412/100</f>
        <v>0</v>
      </c>
      <c r="AB412" s="549">
        <f>VLOOKUP($H412,Nutrition_tables!$A:$AF,15,FALSE)*$Q412/100</f>
        <v>0</v>
      </c>
      <c r="AC412" s="583">
        <f>VLOOKUP($H412,Nutrition_tables!$A:$AF,16,FALSE)*$Q412/100</f>
        <v>0</v>
      </c>
      <c r="AD412" s="583">
        <f>VLOOKUP($H412,Nutrition_tables!$A:$AF,17,FALSE)*$Q412/100</f>
        <v>0</v>
      </c>
      <c r="AE412" s="583">
        <f>VLOOKUP($H412,Nutrition_tables!$A:$AF,18,FALSE)*$Q412/100</f>
        <v>0</v>
      </c>
      <c r="AF412" s="583">
        <f>VLOOKUP($H412,Nutrition_tables!$A:$AF,19,FALSE)*$Q412/100</f>
        <v>0</v>
      </c>
      <c r="AG412" s="583">
        <f>VLOOKUP($H412,Nutrition_tables!$A:$AF,20,FALSE)*$Q412/100</f>
        <v>0</v>
      </c>
      <c r="AH412" s="583">
        <f>VLOOKUP($H412,Nutrition_tables!$A:$AF,21,FALSE)*$Q412/100</f>
        <v>0</v>
      </c>
      <c r="AI412" s="583">
        <f>VLOOKUP($H412,Nutrition_tables!$A:$AF,22,FALSE)*$Q412/100</f>
        <v>0</v>
      </c>
      <c r="AJ412" s="549">
        <f>VLOOKUP($H412,Nutrition_tables!$A:$AF,23,FALSE)*$Q412/100</f>
        <v>0</v>
      </c>
      <c r="AK412" s="583">
        <f>VLOOKUP($H412,Nutrition_tables!$A:$AF,24,FALSE)*$Q412/100</f>
        <v>0</v>
      </c>
      <c r="AL412" s="583">
        <f>VLOOKUP($H412,Nutrition_tables!$A:$AF,25,FALSE)*$Q412/100</f>
        <v>0</v>
      </c>
      <c r="AM412" s="583">
        <f>VLOOKUP($H412,Nutrition_tables!$A:$AF,26,FALSE)*$Q412/100</f>
        <v>0</v>
      </c>
      <c r="AN412" s="583">
        <f>VLOOKUP($H412,Nutrition_tables!$A:$AF,27,FALSE)*$Q412/100</f>
        <v>0</v>
      </c>
      <c r="AO412" s="583">
        <f>VLOOKUP($H412,Nutrition_tables!$A:$AF,28,FALSE)*$Q412/100</f>
        <v>0</v>
      </c>
      <c r="AP412" s="583">
        <f>VLOOKUP($H412,Nutrition_tables!$A:$AF,29,FALSE)*$Q412/100</f>
        <v>0</v>
      </c>
      <c r="AQ412" s="583">
        <f>VLOOKUP($H412,Nutrition_tables!$A:$AF,30,FALSE)*$Q412/100</f>
        <v>0</v>
      </c>
      <c r="AR412" s="583">
        <f>VLOOKUP($H412,Nutrition_tables!$A:$AF,31,FALSE)*$Q412/100</f>
        <v>0</v>
      </c>
      <c r="AS412" s="549">
        <f>VLOOKUP($H412,Nutrition_tables!$A:$AF,32,FALSE)*$Q412/100</f>
        <v>0</v>
      </c>
      <c r="AT412" s="583" t="str">
        <f>IF(H412="Select ingredient:","",IF(G412="Select food category:","",IFERROR(VLOOKUP($H412,Ingredient_prices!$E:$W,17,FALSE)*$Q412/1000,"not bought")))</f>
        <v/>
      </c>
      <c r="AU412" s="583" t="str">
        <f>IF(H412="Select ingredient:","",IF(G412="Select food category:","",IFERROR(VLOOKUP($H412,Ingredient_prices!$E:$W,18,FALSE)*$Q412/1000,"not bought")))</f>
        <v/>
      </c>
      <c r="AV412" s="583">
        <f t="shared" si="927"/>
        <v>0</v>
      </c>
      <c r="AW412" s="583">
        <f t="shared" si="928"/>
        <v>0</v>
      </c>
      <c r="AX412" s="583">
        <f t="shared" si="929"/>
        <v>0</v>
      </c>
      <c r="AY412" s="583">
        <f t="shared" si="930"/>
        <v>0</v>
      </c>
      <c r="AZ412" s="583">
        <f t="shared" si="931"/>
        <v>0</v>
      </c>
      <c r="BA412" s="583">
        <f t="shared" si="932"/>
        <v>0</v>
      </c>
      <c r="BB412" s="583">
        <f t="shared" si="933"/>
        <v>0</v>
      </c>
      <c r="BC412" s="583">
        <f t="shared" si="934"/>
        <v>0</v>
      </c>
      <c r="BD412" s="583">
        <f t="shared" si="935"/>
        <v>0</v>
      </c>
      <c r="BE412" s="583">
        <f t="shared" si="936"/>
        <v>0</v>
      </c>
      <c r="BF412" s="583">
        <f t="shared" si="937"/>
        <v>0</v>
      </c>
      <c r="BG412" s="583">
        <f t="shared" si="938"/>
        <v>0</v>
      </c>
      <c r="BH412" s="583">
        <f t="shared" si="939"/>
        <v>0</v>
      </c>
      <c r="BI412" s="583">
        <f t="shared" si="940"/>
        <v>0</v>
      </c>
      <c r="BJ412" s="583">
        <f t="shared" si="941"/>
        <v>0</v>
      </c>
      <c r="BK412" s="583">
        <f t="shared" si="942"/>
        <v>0</v>
      </c>
      <c r="BL412" s="583">
        <f t="shared" si="943"/>
        <v>0</v>
      </c>
      <c r="BM412" s="583">
        <f t="shared" si="944"/>
        <v>0</v>
      </c>
      <c r="BN412" s="583">
        <f t="shared" si="945"/>
        <v>0</v>
      </c>
      <c r="BO412" s="583">
        <f t="shared" si="946"/>
        <v>0</v>
      </c>
      <c r="BP412" s="583">
        <f t="shared" si="947"/>
        <v>0</v>
      </c>
      <c r="BQ412" s="583">
        <f t="shared" si="948"/>
        <v>0</v>
      </c>
      <c r="BR412" s="583">
        <f t="shared" si="949"/>
        <v>0</v>
      </c>
    </row>
    <row r="413" spans="1:70" s="229" customFormat="1" ht="15" customHeight="1">
      <c r="A413" s="504"/>
      <c r="D413" s="85"/>
      <c r="E413" s="576">
        <f t="shared" si="951"/>
        <v>100</v>
      </c>
      <c r="F413" s="707"/>
      <c r="G413" s="406" t="s">
        <v>3054</v>
      </c>
      <c r="H413" s="1262" t="s">
        <v>3055</v>
      </c>
      <c r="I413" s="85">
        <v>0</v>
      </c>
      <c r="J413" s="682">
        <v>1</v>
      </c>
      <c r="K413" s="579" t="str">
        <f t="shared" si="925"/>
        <v/>
      </c>
      <c r="L413" s="580" t="str">
        <f>IF(H413="Select ingredient:","",IF(G413="","",_xlfn.IFNA(VLOOKUP($H413,Ingredient_prices!$E:$U,16,FALSE),0)))</f>
        <v/>
      </c>
      <c r="M413" s="850"/>
      <c r="N413" s="850"/>
      <c r="O413" s="666"/>
      <c r="P413" s="670"/>
      <c r="Q413" s="583">
        <f t="shared" si="926"/>
        <v>0</v>
      </c>
      <c r="R413" s="583">
        <f>VLOOKUP($H413,'CO2_emission+%_food_waste'!$A:$K,6,FALSE)*$Q413/100</f>
        <v>0</v>
      </c>
      <c r="S413" s="583">
        <f t="shared" si="950"/>
        <v>0</v>
      </c>
      <c r="T413" s="583" t="str">
        <f>IF(H413="Select ingredient:","",IF(G413="Select food category:","",_xlfn.IFNA(VLOOKUP($H413,Ingredient_prices!$E:$U,16,FALSE)*$Q413/1000,"not bought")))</f>
        <v/>
      </c>
      <c r="U413" s="583" t="str">
        <f>IF(G413="Select food category:","",_xlfn.IFNA(VLOOKUP($H413,Ingredient_prices!$E:$U,16,FALSE)*$R413/1000,"not bought"))</f>
        <v/>
      </c>
      <c r="V413" s="549">
        <f>VLOOKUP($H413,'CO2_emission+%_food_waste'!$A:$K,4,FALSE)*$Q413</f>
        <v>0</v>
      </c>
      <c r="W413" s="583">
        <f>VLOOKUP($H413,Nutrition_tables!$A:$N,10,FALSE)*$Q413/100</f>
        <v>0</v>
      </c>
      <c r="X413" s="583">
        <f>VLOOKUP($H413,Nutrition_tables!$A:$N,11,FALSE)*$Q413/100</f>
        <v>0</v>
      </c>
      <c r="Y413" s="583">
        <f>VLOOKUP($H413,Nutrition_tables!$A:$N,12,FALSE)*$Q413/100</f>
        <v>0</v>
      </c>
      <c r="Z413" s="583">
        <f>VLOOKUP($H413,Nutrition_tables!$A:$N,14,FALSE)*$Q413/100</f>
        <v>0</v>
      </c>
      <c r="AA413" s="583">
        <f>VLOOKUP($H413,Nutrition_tables!$A:$AF,13,FALSE)*$Q413/100</f>
        <v>0</v>
      </c>
      <c r="AB413" s="549">
        <f>VLOOKUP($H413,Nutrition_tables!$A:$AF,15,FALSE)*$Q413/100</f>
        <v>0</v>
      </c>
      <c r="AC413" s="583">
        <f>VLOOKUP($H413,Nutrition_tables!$A:$AF,16,FALSE)*$Q413/100</f>
        <v>0</v>
      </c>
      <c r="AD413" s="583">
        <f>VLOOKUP($H413,Nutrition_tables!$A:$AF,17,FALSE)*$Q413/100</f>
        <v>0</v>
      </c>
      <c r="AE413" s="583">
        <f>VLOOKUP($H413,Nutrition_tables!$A:$AF,18,FALSE)*$Q413/100</f>
        <v>0</v>
      </c>
      <c r="AF413" s="583">
        <f>VLOOKUP($H413,Nutrition_tables!$A:$AF,19,FALSE)*$Q413/100</f>
        <v>0</v>
      </c>
      <c r="AG413" s="583">
        <f>VLOOKUP($H413,Nutrition_tables!$A:$AF,20,FALSE)*$Q413/100</f>
        <v>0</v>
      </c>
      <c r="AH413" s="583">
        <f>VLOOKUP($H413,Nutrition_tables!$A:$AF,21,FALSE)*$Q413/100</f>
        <v>0</v>
      </c>
      <c r="AI413" s="583">
        <f>VLOOKUP($H413,Nutrition_tables!$A:$AF,22,FALSE)*$Q413/100</f>
        <v>0</v>
      </c>
      <c r="AJ413" s="549">
        <f>VLOOKUP($H413,Nutrition_tables!$A:$AF,23,FALSE)*$Q413/100</f>
        <v>0</v>
      </c>
      <c r="AK413" s="583">
        <f>VLOOKUP($H413,Nutrition_tables!$A:$AF,24,FALSE)*$Q413/100</f>
        <v>0</v>
      </c>
      <c r="AL413" s="583">
        <f>VLOOKUP($H413,Nutrition_tables!$A:$AF,25,FALSE)*$Q413/100</f>
        <v>0</v>
      </c>
      <c r="AM413" s="583">
        <f>VLOOKUP($H413,Nutrition_tables!$A:$AF,26,FALSE)*$Q413/100</f>
        <v>0</v>
      </c>
      <c r="AN413" s="583">
        <f>VLOOKUP($H413,Nutrition_tables!$A:$AF,27,FALSE)*$Q413/100</f>
        <v>0</v>
      </c>
      <c r="AO413" s="583">
        <f>VLOOKUP($H413,Nutrition_tables!$A:$AF,28,FALSE)*$Q413/100</f>
        <v>0</v>
      </c>
      <c r="AP413" s="583">
        <f>VLOOKUP($H413,Nutrition_tables!$A:$AF,29,FALSE)*$Q413/100</f>
        <v>0</v>
      </c>
      <c r="AQ413" s="583">
        <f>VLOOKUP($H413,Nutrition_tables!$A:$AF,30,FALSE)*$Q413/100</f>
        <v>0</v>
      </c>
      <c r="AR413" s="583">
        <f>VLOOKUP($H413,Nutrition_tables!$A:$AF,31,FALSE)*$Q413/100</f>
        <v>0</v>
      </c>
      <c r="AS413" s="549">
        <f>VLOOKUP($H413,Nutrition_tables!$A:$AF,32,FALSE)*$Q413/100</f>
        <v>0</v>
      </c>
      <c r="AT413" s="583" t="str">
        <f>IF(H413="Select ingredient:","",IF(G413="Select food category:","",IFERROR(VLOOKUP($H413,Ingredient_prices!$E:$W,17,FALSE)*$Q413/1000,"not bought")))</f>
        <v/>
      </c>
      <c r="AU413" s="583" t="str">
        <f>IF(H413="Select ingredient:","",IF(G413="Select food category:","",IFERROR(VLOOKUP($H413,Ingredient_prices!$E:$W,18,FALSE)*$Q413/1000,"not bought")))</f>
        <v/>
      </c>
      <c r="AV413" s="583">
        <f t="shared" si="927"/>
        <v>0</v>
      </c>
      <c r="AW413" s="583">
        <f t="shared" si="928"/>
        <v>0</v>
      </c>
      <c r="AX413" s="583">
        <f t="shared" si="929"/>
        <v>0</v>
      </c>
      <c r="AY413" s="583">
        <f t="shared" si="930"/>
        <v>0</v>
      </c>
      <c r="AZ413" s="583">
        <f t="shared" si="931"/>
        <v>0</v>
      </c>
      <c r="BA413" s="583">
        <f t="shared" si="932"/>
        <v>0</v>
      </c>
      <c r="BB413" s="583">
        <f t="shared" si="933"/>
        <v>0</v>
      </c>
      <c r="BC413" s="583">
        <f t="shared" si="934"/>
        <v>0</v>
      </c>
      <c r="BD413" s="583">
        <f t="shared" si="935"/>
        <v>0</v>
      </c>
      <c r="BE413" s="583">
        <f t="shared" si="936"/>
        <v>0</v>
      </c>
      <c r="BF413" s="583">
        <f t="shared" si="937"/>
        <v>0</v>
      </c>
      <c r="BG413" s="583">
        <f t="shared" si="938"/>
        <v>0</v>
      </c>
      <c r="BH413" s="583">
        <f t="shared" si="939"/>
        <v>0</v>
      </c>
      <c r="BI413" s="583">
        <f t="shared" si="940"/>
        <v>0</v>
      </c>
      <c r="BJ413" s="583">
        <f t="shared" si="941"/>
        <v>0</v>
      </c>
      <c r="BK413" s="583">
        <f t="shared" si="942"/>
        <v>0</v>
      </c>
      <c r="BL413" s="583">
        <f t="shared" si="943"/>
        <v>0</v>
      </c>
      <c r="BM413" s="583">
        <f t="shared" si="944"/>
        <v>0</v>
      </c>
      <c r="BN413" s="583">
        <f t="shared" si="945"/>
        <v>0</v>
      </c>
      <c r="BO413" s="583">
        <f t="shared" si="946"/>
        <v>0</v>
      </c>
      <c r="BP413" s="583">
        <f t="shared" si="947"/>
        <v>0</v>
      </c>
      <c r="BQ413" s="583">
        <f t="shared" si="948"/>
        <v>0</v>
      </c>
      <c r="BR413" s="583">
        <f t="shared" si="949"/>
        <v>0</v>
      </c>
    </row>
    <row r="414" spans="1:70" s="229" customFormat="1" ht="15" customHeight="1">
      <c r="A414" s="504"/>
      <c r="D414" s="85"/>
      <c r="E414" s="576">
        <f t="shared" si="951"/>
        <v>100</v>
      </c>
      <c r="F414" s="707"/>
      <c r="G414" s="406" t="s">
        <v>3054</v>
      </c>
      <c r="H414" s="1262" t="s">
        <v>3055</v>
      </c>
      <c r="I414" s="85">
        <v>0</v>
      </c>
      <c r="J414" s="682">
        <v>1</v>
      </c>
      <c r="K414" s="579" t="str">
        <f t="shared" si="925"/>
        <v/>
      </c>
      <c r="L414" s="580" t="str">
        <f>IF(H414="Select ingredient:","",IF(G414="","",_xlfn.IFNA(VLOOKUP($H414,Ingredient_prices!$E:$U,16,FALSE),0)))</f>
        <v/>
      </c>
      <c r="M414" s="850"/>
      <c r="N414" s="850"/>
      <c r="O414" s="666"/>
      <c r="P414" s="670"/>
      <c r="Q414" s="583">
        <f t="shared" si="926"/>
        <v>0</v>
      </c>
      <c r="R414" s="583">
        <f>VLOOKUP($H414,'CO2_emission+%_food_waste'!$A:$K,6,FALSE)*$Q414/100</f>
        <v>0</v>
      </c>
      <c r="S414" s="583">
        <f t="shared" si="950"/>
        <v>0</v>
      </c>
      <c r="T414" s="583" t="str">
        <f>IF(H414="Select ingredient:","",IF(G414="Select food category:","",_xlfn.IFNA(VLOOKUP($H414,Ingredient_prices!$E:$U,16,FALSE)*$Q414/1000,"not bought")))</f>
        <v/>
      </c>
      <c r="U414" s="583" t="str">
        <f>IF(G414="Select food category:","",_xlfn.IFNA(VLOOKUP($H414,Ingredient_prices!$E:$U,16,FALSE)*$R414/1000,"not bought"))</f>
        <v/>
      </c>
      <c r="V414" s="549">
        <f>VLOOKUP($H414,'CO2_emission+%_food_waste'!$A:$K,4,FALSE)*$Q414</f>
        <v>0</v>
      </c>
      <c r="W414" s="583">
        <f>VLOOKUP($H414,Nutrition_tables!$A:$N,10,FALSE)*$Q414/100</f>
        <v>0</v>
      </c>
      <c r="X414" s="583">
        <f>VLOOKUP($H414,Nutrition_tables!$A:$N,11,FALSE)*$Q414/100</f>
        <v>0</v>
      </c>
      <c r="Y414" s="583">
        <f>VLOOKUP($H414,Nutrition_tables!$A:$N,12,FALSE)*$Q414/100</f>
        <v>0</v>
      </c>
      <c r="Z414" s="583">
        <f>VLOOKUP($H414,Nutrition_tables!$A:$N,14,FALSE)*$Q414/100</f>
        <v>0</v>
      </c>
      <c r="AA414" s="583">
        <f>VLOOKUP($H414,Nutrition_tables!$A:$AF,13,FALSE)*$Q414/100</f>
        <v>0</v>
      </c>
      <c r="AB414" s="549">
        <f>VLOOKUP($H414,Nutrition_tables!$A:$AF,15,FALSE)*$Q414/100</f>
        <v>0</v>
      </c>
      <c r="AC414" s="583">
        <f>VLOOKUP($H414,Nutrition_tables!$A:$AF,16,FALSE)*$Q414/100</f>
        <v>0</v>
      </c>
      <c r="AD414" s="583">
        <f>VLOOKUP($H414,Nutrition_tables!$A:$AF,17,FALSE)*$Q414/100</f>
        <v>0</v>
      </c>
      <c r="AE414" s="583">
        <f>VLOOKUP($H414,Nutrition_tables!$A:$AF,18,FALSE)*$Q414/100</f>
        <v>0</v>
      </c>
      <c r="AF414" s="583">
        <f>VLOOKUP($H414,Nutrition_tables!$A:$AF,19,FALSE)*$Q414/100</f>
        <v>0</v>
      </c>
      <c r="AG414" s="583">
        <f>VLOOKUP($H414,Nutrition_tables!$A:$AF,20,FALSE)*$Q414/100</f>
        <v>0</v>
      </c>
      <c r="AH414" s="583">
        <f>VLOOKUP($H414,Nutrition_tables!$A:$AF,21,FALSE)*$Q414/100</f>
        <v>0</v>
      </c>
      <c r="AI414" s="583">
        <f>VLOOKUP($H414,Nutrition_tables!$A:$AF,22,FALSE)*$Q414/100</f>
        <v>0</v>
      </c>
      <c r="AJ414" s="549">
        <f>VLOOKUP($H414,Nutrition_tables!$A:$AF,23,FALSE)*$Q414/100</f>
        <v>0</v>
      </c>
      <c r="AK414" s="583">
        <f>VLOOKUP($H414,Nutrition_tables!$A:$AF,24,FALSE)*$Q414/100</f>
        <v>0</v>
      </c>
      <c r="AL414" s="583">
        <f>VLOOKUP($H414,Nutrition_tables!$A:$AF,25,FALSE)*$Q414/100</f>
        <v>0</v>
      </c>
      <c r="AM414" s="583">
        <f>VLOOKUP($H414,Nutrition_tables!$A:$AF,26,FALSE)*$Q414/100</f>
        <v>0</v>
      </c>
      <c r="AN414" s="583">
        <f>VLOOKUP($H414,Nutrition_tables!$A:$AF,27,FALSE)*$Q414/100</f>
        <v>0</v>
      </c>
      <c r="AO414" s="583">
        <f>VLOOKUP($H414,Nutrition_tables!$A:$AF,28,FALSE)*$Q414/100</f>
        <v>0</v>
      </c>
      <c r="AP414" s="583">
        <f>VLOOKUP($H414,Nutrition_tables!$A:$AF,29,FALSE)*$Q414/100</f>
        <v>0</v>
      </c>
      <c r="AQ414" s="583">
        <f>VLOOKUP($H414,Nutrition_tables!$A:$AF,30,FALSE)*$Q414/100</f>
        <v>0</v>
      </c>
      <c r="AR414" s="583">
        <f>VLOOKUP($H414,Nutrition_tables!$A:$AF,31,FALSE)*$Q414/100</f>
        <v>0</v>
      </c>
      <c r="AS414" s="549">
        <f>VLOOKUP($H414,Nutrition_tables!$A:$AF,32,FALSE)*$Q414/100</f>
        <v>0</v>
      </c>
      <c r="AT414" s="583" t="str">
        <f>IF(H414="Select ingredient:","",IF(G414="Select food category:","",IFERROR(VLOOKUP($H414,Ingredient_prices!$E:$W,17,FALSE)*$Q414/1000,"not bought")))</f>
        <v/>
      </c>
      <c r="AU414" s="583" t="str">
        <f>IF(H414="Select ingredient:","",IF(G414="Select food category:","",IFERROR(VLOOKUP($H414,Ingredient_prices!$E:$W,18,FALSE)*$Q414/1000,"not bought")))</f>
        <v/>
      </c>
      <c r="AV414" s="583">
        <f t="shared" si="927"/>
        <v>0</v>
      </c>
      <c r="AW414" s="583">
        <f t="shared" si="928"/>
        <v>0</v>
      </c>
      <c r="AX414" s="583">
        <f t="shared" si="929"/>
        <v>0</v>
      </c>
      <c r="AY414" s="583">
        <f t="shared" si="930"/>
        <v>0</v>
      </c>
      <c r="AZ414" s="583">
        <f t="shared" si="931"/>
        <v>0</v>
      </c>
      <c r="BA414" s="583">
        <f t="shared" si="932"/>
        <v>0</v>
      </c>
      <c r="BB414" s="583">
        <f t="shared" si="933"/>
        <v>0</v>
      </c>
      <c r="BC414" s="583">
        <f t="shared" si="934"/>
        <v>0</v>
      </c>
      <c r="BD414" s="583">
        <f t="shared" si="935"/>
        <v>0</v>
      </c>
      <c r="BE414" s="583">
        <f t="shared" si="936"/>
        <v>0</v>
      </c>
      <c r="BF414" s="583">
        <f t="shared" si="937"/>
        <v>0</v>
      </c>
      <c r="BG414" s="583">
        <f t="shared" si="938"/>
        <v>0</v>
      </c>
      <c r="BH414" s="583">
        <f t="shared" si="939"/>
        <v>0</v>
      </c>
      <c r="BI414" s="583">
        <f t="shared" si="940"/>
        <v>0</v>
      </c>
      <c r="BJ414" s="583">
        <f t="shared" si="941"/>
        <v>0</v>
      </c>
      <c r="BK414" s="583">
        <f t="shared" si="942"/>
        <v>0</v>
      </c>
      <c r="BL414" s="583">
        <f t="shared" si="943"/>
        <v>0</v>
      </c>
      <c r="BM414" s="583">
        <f t="shared" si="944"/>
        <v>0</v>
      </c>
      <c r="BN414" s="583">
        <f t="shared" si="945"/>
        <v>0</v>
      </c>
      <c r="BO414" s="583">
        <f t="shared" si="946"/>
        <v>0</v>
      </c>
      <c r="BP414" s="583">
        <f t="shared" si="947"/>
        <v>0</v>
      </c>
      <c r="BQ414" s="583">
        <f t="shared" si="948"/>
        <v>0</v>
      </c>
      <c r="BR414" s="583">
        <f t="shared" si="949"/>
        <v>0</v>
      </c>
    </row>
    <row r="415" spans="1:70" s="229" customFormat="1" ht="15" customHeight="1">
      <c r="A415" s="504"/>
      <c r="D415" s="85"/>
      <c r="E415" s="576">
        <f t="shared" si="951"/>
        <v>100</v>
      </c>
      <c r="F415" s="707"/>
      <c r="G415" s="406" t="s">
        <v>3054</v>
      </c>
      <c r="H415" s="1262" t="s">
        <v>3055</v>
      </c>
      <c r="I415" s="85">
        <v>0</v>
      </c>
      <c r="J415" s="682">
        <v>1</v>
      </c>
      <c r="K415" s="579" t="str">
        <f t="shared" si="925"/>
        <v/>
      </c>
      <c r="L415" s="580" t="str">
        <f>IF(H415="Select ingredient:","",IF(G415="","",_xlfn.IFNA(VLOOKUP($H415,Ingredient_prices!$E:$U,16,FALSE),0)))</f>
        <v/>
      </c>
      <c r="M415" s="850"/>
      <c r="N415" s="850"/>
      <c r="O415" s="666"/>
      <c r="P415" s="670"/>
      <c r="Q415" s="583">
        <f t="shared" si="926"/>
        <v>0</v>
      </c>
      <c r="R415" s="583">
        <f>VLOOKUP($H415,'CO2_emission+%_food_waste'!$A:$K,6,FALSE)*$Q415/100</f>
        <v>0</v>
      </c>
      <c r="S415" s="583">
        <f t="shared" si="950"/>
        <v>0</v>
      </c>
      <c r="T415" s="583" t="str">
        <f>IF(H415="Select ingredient:","",IF(G415="Select food category:","",_xlfn.IFNA(VLOOKUP($H415,Ingredient_prices!$E:$U,16,FALSE)*$Q415/1000,"not bought")))</f>
        <v/>
      </c>
      <c r="U415" s="583" t="str">
        <f>IF(G415="Select food category:","",_xlfn.IFNA(VLOOKUP($H415,Ingredient_prices!$E:$U,16,FALSE)*$R415/1000,"not bought"))</f>
        <v/>
      </c>
      <c r="V415" s="549">
        <f>VLOOKUP($H415,'CO2_emission+%_food_waste'!$A:$K,4,FALSE)*$Q415</f>
        <v>0</v>
      </c>
      <c r="W415" s="583">
        <f>VLOOKUP($H415,Nutrition_tables!$A:$N,10,FALSE)*$Q415/100</f>
        <v>0</v>
      </c>
      <c r="X415" s="583">
        <f>VLOOKUP($H415,Nutrition_tables!$A:$N,11,FALSE)*$Q415/100</f>
        <v>0</v>
      </c>
      <c r="Y415" s="583">
        <f>VLOOKUP($H415,Nutrition_tables!$A:$N,12,FALSE)*$Q415/100</f>
        <v>0</v>
      </c>
      <c r="Z415" s="583">
        <f>VLOOKUP($H415,Nutrition_tables!$A:$N,14,FALSE)*$Q415/100</f>
        <v>0</v>
      </c>
      <c r="AA415" s="583">
        <f>VLOOKUP($H415,Nutrition_tables!$A:$AF,13,FALSE)*$Q415/100</f>
        <v>0</v>
      </c>
      <c r="AB415" s="549">
        <f>VLOOKUP($H415,Nutrition_tables!$A:$AF,15,FALSE)*$Q415/100</f>
        <v>0</v>
      </c>
      <c r="AC415" s="583">
        <f>VLOOKUP($H415,Nutrition_tables!$A:$AF,16,FALSE)*$Q415/100</f>
        <v>0</v>
      </c>
      <c r="AD415" s="583">
        <f>VLOOKUP($H415,Nutrition_tables!$A:$AF,17,FALSE)*$Q415/100</f>
        <v>0</v>
      </c>
      <c r="AE415" s="583">
        <f>VLOOKUP($H415,Nutrition_tables!$A:$AF,18,FALSE)*$Q415/100</f>
        <v>0</v>
      </c>
      <c r="AF415" s="583">
        <f>VLOOKUP($H415,Nutrition_tables!$A:$AF,19,FALSE)*$Q415/100</f>
        <v>0</v>
      </c>
      <c r="AG415" s="583">
        <f>VLOOKUP($H415,Nutrition_tables!$A:$AF,20,FALSE)*$Q415/100</f>
        <v>0</v>
      </c>
      <c r="AH415" s="583">
        <f>VLOOKUP($H415,Nutrition_tables!$A:$AF,21,FALSE)*$Q415/100</f>
        <v>0</v>
      </c>
      <c r="AI415" s="583">
        <f>VLOOKUP($H415,Nutrition_tables!$A:$AF,22,FALSE)*$Q415/100</f>
        <v>0</v>
      </c>
      <c r="AJ415" s="549">
        <f>VLOOKUP($H415,Nutrition_tables!$A:$AF,23,FALSE)*$Q415/100</f>
        <v>0</v>
      </c>
      <c r="AK415" s="583">
        <f>VLOOKUP($H415,Nutrition_tables!$A:$AF,24,FALSE)*$Q415/100</f>
        <v>0</v>
      </c>
      <c r="AL415" s="583">
        <f>VLOOKUP($H415,Nutrition_tables!$A:$AF,25,FALSE)*$Q415/100</f>
        <v>0</v>
      </c>
      <c r="AM415" s="583">
        <f>VLOOKUP($H415,Nutrition_tables!$A:$AF,26,FALSE)*$Q415/100</f>
        <v>0</v>
      </c>
      <c r="AN415" s="583">
        <f>VLOOKUP($H415,Nutrition_tables!$A:$AF,27,FALSE)*$Q415/100</f>
        <v>0</v>
      </c>
      <c r="AO415" s="583">
        <f>VLOOKUP($H415,Nutrition_tables!$A:$AF,28,FALSE)*$Q415/100</f>
        <v>0</v>
      </c>
      <c r="AP415" s="583">
        <f>VLOOKUP($H415,Nutrition_tables!$A:$AF,29,FALSE)*$Q415/100</f>
        <v>0</v>
      </c>
      <c r="AQ415" s="583">
        <f>VLOOKUP($H415,Nutrition_tables!$A:$AF,30,FALSE)*$Q415/100</f>
        <v>0</v>
      </c>
      <c r="AR415" s="583">
        <f>VLOOKUP($H415,Nutrition_tables!$A:$AF,31,FALSE)*$Q415/100</f>
        <v>0</v>
      </c>
      <c r="AS415" s="549">
        <f>VLOOKUP($H415,Nutrition_tables!$A:$AF,32,FALSE)*$Q415/100</f>
        <v>0</v>
      </c>
      <c r="AT415" s="583" t="str">
        <f>IF(H415="Select ingredient:","",IF(G415="Select food category:","",IFERROR(VLOOKUP($H415,Ingredient_prices!$E:$W,17,FALSE)*$Q415/1000,"not bought")))</f>
        <v/>
      </c>
      <c r="AU415" s="583" t="str">
        <f>IF(H415="Select ingredient:","",IF(G415="Select food category:","",IFERROR(VLOOKUP($H415,Ingredient_prices!$E:$W,18,FALSE)*$Q415/1000,"not bought")))</f>
        <v/>
      </c>
      <c r="AV415" s="583">
        <f t="shared" si="927"/>
        <v>0</v>
      </c>
      <c r="AW415" s="583">
        <f t="shared" si="928"/>
        <v>0</v>
      </c>
      <c r="AX415" s="583">
        <f t="shared" si="929"/>
        <v>0</v>
      </c>
      <c r="AY415" s="583">
        <f t="shared" si="930"/>
        <v>0</v>
      </c>
      <c r="AZ415" s="583">
        <f t="shared" si="931"/>
        <v>0</v>
      </c>
      <c r="BA415" s="583">
        <f t="shared" si="932"/>
        <v>0</v>
      </c>
      <c r="BB415" s="583">
        <f t="shared" si="933"/>
        <v>0</v>
      </c>
      <c r="BC415" s="583">
        <f t="shared" si="934"/>
        <v>0</v>
      </c>
      <c r="BD415" s="583">
        <f t="shared" si="935"/>
        <v>0</v>
      </c>
      <c r="BE415" s="583">
        <f t="shared" si="936"/>
        <v>0</v>
      </c>
      <c r="BF415" s="583">
        <f t="shared" si="937"/>
        <v>0</v>
      </c>
      <c r="BG415" s="583">
        <f t="shared" si="938"/>
        <v>0</v>
      </c>
      <c r="BH415" s="583">
        <f t="shared" si="939"/>
        <v>0</v>
      </c>
      <c r="BI415" s="583">
        <f t="shared" si="940"/>
        <v>0</v>
      </c>
      <c r="BJ415" s="583">
        <f t="shared" si="941"/>
        <v>0</v>
      </c>
      <c r="BK415" s="583">
        <f t="shared" si="942"/>
        <v>0</v>
      </c>
      <c r="BL415" s="583">
        <f t="shared" si="943"/>
        <v>0</v>
      </c>
      <c r="BM415" s="583">
        <f t="shared" si="944"/>
        <v>0</v>
      </c>
      <c r="BN415" s="583">
        <f t="shared" si="945"/>
        <v>0</v>
      </c>
      <c r="BO415" s="583">
        <f t="shared" si="946"/>
        <v>0</v>
      </c>
      <c r="BP415" s="583">
        <f t="shared" si="947"/>
        <v>0</v>
      </c>
      <c r="BQ415" s="583">
        <f t="shared" si="948"/>
        <v>0</v>
      </c>
      <c r="BR415" s="583">
        <f t="shared" si="949"/>
        <v>0</v>
      </c>
    </row>
    <row r="416" spans="1:70" s="229" customFormat="1" ht="15" customHeight="1">
      <c r="A416" s="504"/>
      <c r="D416" s="85"/>
      <c r="E416" s="576">
        <f t="shared" si="951"/>
        <v>100</v>
      </c>
      <c r="F416" s="707"/>
      <c r="G416" s="406" t="s">
        <v>3054</v>
      </c>
      <c r="H416" s="1262" t="s">
        <v>3055</v>
      </c>
      <c r="I416" s="85">
        <v>0</v>
      </c>
      <c r="J416" s="682">
        <v>1</v>
      </c>
      <c r="K416" s="579" t="str">
        <f t="shared" si="925"/>
        <v/>
      </c>
      <c r="L416" s="580" t="str">
        <f>IF(H416="Select ingredient:","",IF(G416="","",_xlfn.IFNA(VLOOKUP($H416,Ingredient_prices!$E:$U,16,FALSE),0)))</f>
        <v/>
      </c>
      <c r="M416" s="850"/>
      <c r="N416" s="850"/>
      <c r="O416" s="666"/>
      <c r="P416" s="670"/>
      <c r="Q416" s="583">
        <f t="shared" si="926"/>
        <v>0</v>
      </c>
      <c r="R416" s="583">
        <f>VLOOKUP($H416,'CO2_emission+%_food_waste'!$A:$K,6,FALSE)*$Q416/100</f>
        <v>0</v>
      </c>
      <c r="S416" s="583">
        <f t="shared" si="950"/>
        <v>0</v>
      </c>
      <c r="T416" s="583" t="str">
        <f>IF(H416="Select ingredient:","",IF(G416="Select food category:","",_xlfn.IFNA(VLOOKUP($H416,Ingredient_prices!$E:$U,16,FALSE)*$Q416/1000,"not bought")))</f>
        <v/>
      </c>
      <c r="U416" s="583" t="str">
        <f>IF(G416="Select food category:","",_xlfn.IFNA(VLOOKUP($H416,Ingredient_prices!$E:$U,16,FALSE)*$R416/1000,"not bought"))</f>
        <v/>
      </c>
      <c r="V416" s="549">
        <f>VLOOKUP($H416,'CO2_emission+%_food_waste'!$A:$K,4,FALSE)*$Q416</f>
        <v>0</v>
      </c>
      <c r="W416" s="583">
        <f>VLOOKUP($H416,Nutrition_tables!$A:$N,10,FALSE)*$Q416/100</f>
        <v>0</v>
      </c>
      <c r="X416" s="583">
        <f>VLOOKUP($H416,Nutrition_tables!$A:$N,11,FALSE)*$Q416/100</f>
        <v>0</v>
      </c>
      <c r="Y416" s="583">
        <f>VLOOKUP($H416,Nutrition_tables!$A:$N,12,FALSE)*$Q416/100</f>
        <v>0</v>
      </c>
      <c r="Z416" s="583">
        <f>VLOOKUP($H416,Nutrition_tables!$A:$N,14,FALSE)*$Q416/100</f>
        <v>0</v>
      </c>
      <c r="AA416" s="583">
        <f>VLOOKUP($H416,Nutrition_tables!$A:$AF,13,FALSE)*$Q416/100</f>
        <v>0</v>
      </c>
      <c r="AB416" s="549">
        <f>VLOOKUP($H416,Nutrition_tables!$A:$AF,15,FALSE)*$Q416/100</f>
        <v>0</v>
      </c>
      <c r="AC416" s="583">
        <f>VLOOKUP($H416,Nutrition_tables!$A:$AF,16,FALSE)*$Q416/100</f>
        <v>0</v>
      </c>
      <c r="AD416" s="583">
        <f>VLOOKUP($H416,Nutrition_tables!$A:$AF,17,FALSE)*$Q416/100</f>
        <v>0</v>
      </c>
      <c r="AE416" s="583">
        <f>VLOOKUP($H416,Nutrition_tables!$A:$AF,18,FALSE)*$Q416/100</f>
        <v>0</v>
      </c>
      <c r="AF416" s="583">
        <f>VLOOKUP($H416,Nutrition_tables!$A:$AF,19,FALSE)*$Q416/100</f>
        <v>0</v>
      </c>
      <c r="AG416" s="583">
        <f>VLOOKUP($H416,Nutrition_tables!$A:$AF,20,FALSE)*$Q416/100</f>
        <v>0</v>
      </c>
      <c r="AH416" s="583">
        <f>VLOOKUP($H416,Nutrition_tables!$A:$AF,21,FALSE)*$Q416/100</f>
        <v>0</v>
      </c>
      <c r="AI416" s="583">
        <f>VLOOKUP($H416,Nutrition_tables!$A:$AF,22,FALSE)*$Q416/100</f>
        <v>0</v>
      </c>
      <c r="AJ416" s="549">
        <f>VLOOKUP($H416,Nutrition_tables!$A:$AF,23,FALSE)*$Q416/100</f>
        <v>0</v>
      </c>
      <c r="AK416" s="583">
        <f>VLOOKUP($H416,Nutrition_tables!$A:$AF,24,FALSE)*$Q416/100</f>
        <v>0</v>
      </c>
      <c r="AL416" s="583">
        <f>VLOOKUP($H416,Nutrition_tables!$A:$AF,25,FALSE)*$Q416/100</f>
        <v>0</v>
      </c>
      <c r="AM416" s="583">
        <f>VLOOKUP($H416,Nutrition_tables!$A:$AF,26,FALSE)*$Q416/100</f>
        <v>0</v>
      </c>
      <c r="AN416" s="583">
        <f>VLOOKUP($H416,Nutrition_tables!$A:$AF,27,FALSE)*$Q416/100</f>
        <v>0</v>
      </c>
      <c r="AO416" s="583">
        <f>VLOOKUP($H416,Nutrition_tables!$A:$AF,28,FALSE)*$Q416/100</f>
        <v>0</v>
      </c>
      <c r="AP416" s="583">
        <f>VLOOKUP($H416,Nutrition_tables!$A:$AF,29,FALSE)*$Q416/100</f>
        <v>0</v>
      </c>
      <c r="AQ416" s="583">
        <f>VLOOKUP($H416,Nutrition_tables!$A:$AF,30,FALSE)*$Q416/100</f>
        <v>0</v>
      </c>
      <c r="AR416" s="583">
        <f>VLOOKUP($H416,Nutrition_tables!$A:$AF,31,FALSE)*$Q416/100</f>
        <v>0</v>
      </c>
      <c r="AS416" s="549">
        <f>VLOOKUP($H416,Nutrition_tables!$A:$AF,32,FALSE)*$Q416/100</f>
        <v>0</v>
      </c>
      <c r="AT416" s="583" t="str">
        <f>IF(H416="Select ingredient:","",IF(G416="Select food category:","",IFERROR(VLOOKUP($H416,Ingredient_prices!$E:$W,17,FALSE)*$Q416/1000,"not bought")))</f>
        <v/>
      </c>
      <c r="AU416" s="583" t="str">
        <f>IF(H416="Select ingredient:","",IF(G416="Select food category:","",IFERROR(VLOOKUP($H416,Ingredient_prices!$E:$W,18,FALSE)*$Q416/1000,"not bought")))</f>
        <v/>
      </c>
      <c r="AV416" s="583">
        <f t="shared" si="927"/>
        <v>0</v>
      </c>
      <c r="AW416" s="583">
        <f t="shared" si="928"/>
        <v>0</v>
      </c>
      <c r="AX416" s="583">
        <f t="shared" si="929"/>
        <v>0</v>
      </c>
      <c r="AY416" s="583">
        <f t="shared" si="930"/>
        <v>0</v>
      </c>
      <c r="AZ416" s="583">
        <f t="shared" si="931"/>
        <v>0</v>
      </c>
      <c r="BA416" s="583">
        <f t="shared" si="932"/>
        <v>0</v>
      </c>
      <c r="BB416" s="583">
        <f t="shared" si="933"/>
        <v>0</v>
      </c>
      <c r="BC416" s="583">
        <f t="shared" si="934"/>
        <v>0</v>
      </c>
      <c r="BD416" s="583">
        <f t="shared" si="935"/>
        <v>0</v>
      </c>
      <c r="BE416" s="583">
        <f t="shared" si="936"/>
        <v>0</v>
      </c>
      <c r="BF416" s="583">
        <f t="shared" si="937"/>
        <v>0</v>
      </c>
      <c r="BG416" s="583">
        <f t="shared" si="938"/>
        <v>0</v>
      </c>
      <c r="BH416" s="583">
        <f t="shared" si="939"/>
        <v>0</v>
      </c>
      <c r="BI416" s="583">
        <f t="shared" si="940"/>
        <v>0</v>
      </c>
      <c r="BJ416" s="583">
        <f t="shared" si="941"/>
        <v>0</v>
      </c>
      <c r="BK416" s="583">
        <f t="shared" si="942"/>
        <v>0</v>
      </c>
      <c r="BL416" s="583">
        <f t="shared" si="943"/>
        <v>0</v>
      </c>
      <c r="BM416" s="583">
        <f t="shared" si="944"/>
        <v>0</v>
      </c>
      <c r="BN416" s="583">
        <f t="shared" si="945"/>
        <v>0</v>
      </c>
      <c r="BO416" s="583">
        <f t="shared" si="946"/>
        <v>0</v>
      </c>
      <c r="BP416" s="583">
        <f t="shared" si="947"/>
        <v>0</v>
      </c>
      <c r="BQ416" s="583">
        <f t="shared" si="948"/>
        <v>0</v>
      </c>
      <c r="BR416" s="583">
        <f t="shared" si="949"/>
        <v>0</v>
      </c>
    </row>
    <row r="417" spans="1:70" s="229" customFormat="1" ht="15" customHeight="1">
      <c r="A417" s="504"/>
      <c r="D417" s="85"/>
      <c r="E417" s="576">
        <f t="shared" si="951"/>
        <v>100</v>
      </c>
      <c r="F417" s="707"/>
      <c r="G417" s="406" t="s">
        <v>3054</v>
      </c>
      <c r="H417" s="1262" t="s">
        <v>3055</v>
      </c>
      <c r="I417" s="85">
        <v>0</v>
      </c>
      <c r="J417" s="682">
        <v>1</v>
      </c>
      <c r="K417" s="579" t="str">
        <f t="shared" si="925"/>
        <v/>
      </c>
      <c r="L417" s="580" t="str">
        <f>IF(H417="Select ingredient:","",IF(G417="","",_xlfn.IFNA(VLOOKUP($H417,Ingredient_prices!$E:$U,16,FALSE),0)))</f>
        <v/>
      </c>
      <c r="M417" s="850"/>
      <c r="N417" s="850"/>
      <c r="O417" s="666"/>
      <c r="P417" s="670"/>
      <c r="Q417" s="583">
        <f t="shared" si="926"/>
        <v>0</v>
      </c>
      <c r="R417" s="583">
        <f>VLOOKUP($H417,'CO2_emission+%_food_waste'!$A:$K,6,FALSE)*$Q417/100</f>
        <v>0</v>
      </c>
      <c r="S417" s="583">
        <f t="shared" si="950"/>
        <v>0</v>
      </c>
      <c r="T417" s="583" t="str">
        <f>IF(H417="Select ingredient:","",IF(G417="Select food category:","",_xlfn.IFNA(VLOOKUP($H417,Ingredient_prices!$E:$U,16,FALSE)*$Q417/1000,"not bought")))</f>
        <v/>
      </c>
      <c r="U417" s="583" t="str">
        <f>IF(G417="Select food category:","",_xlfn.IFNA(VLOOKUP($H417,Ingredient_prices!$E:$U,16,FALSE)*$R417/1000,"not bought"))</f>
        <v/>
      </c>
      <c r="V417" s="549">
        <f>VLOOKUP($H417,'CO2_emission+%_food_waste'!$A:$K,4,FALSE)*$Q417</f>
        <v>0</v>
      </c>
      <c r="W417" s="583">
        <f>VLOOKUP($H417,Nutrition_tables!$A:$N,10,FALSE)*$Q417/100</f>
        <v>0</v>
      </c>
      <c r="X417" s="583">
        <f>VLOOKUP($H417,Nutrition_tables!$A:$N,11,FALSE)*$Q417/100</f>
        <v>0</v>
      </c>
      <c r="Y417" s="583">
        <f>VLOOKUP($H417,Nutrition_tables!$A:$N,12,FALSE)*$Q417/100</f>
        <v>0</v>
      </c>
      <c r="Z417" s="583">
        <f>VLOOKUP($H417,Nutrition_tables!$A:$N,14,FALSE)*$Q417/100</f>
        <v>0</v>
      </c>
      <c r="AA417" s="583">
        <f>VLOOKUP($H417,Nutrition_tables!$A:$AF,13,FALSE)*$Q417/100</f>
        <v>0</v>
      </c>
      <c r="AB417" s="549">
        <f>VLOOKUP($H417,Nutrition_tables!$A:$AF,15,FALSE)*$Q417/100</f>
        <v>0</v>
      </c>
      <c r="AC417" s="583">
        <f>VLOOKUP($H417,Nutrition_tables!$A:$AF,16,FALSE)*$Q417/100</f>
        <v>0</v>
      </c>
      <c r="AD417" s="583">
        <f>VLOOKUP($H417,Nutrition_tables!$A:$AF,17,FALSE)*$Q417/100</f>
        <v>0</v>
      </c>
      <c r="AE417" s="583">
        <f>VLOOKUP($H417,Nutrition_tables!$A:$AF,18,FALSE)*$Q417/100</f>
        <v>0</v>
      </c>
      <c r="AF417" s="583">
        <f>VLOOKUP($H417,Nutrition_tables!$A:$AF,19,FALSE)*$Q417/100</f>
        <v>0</v>
      </c>
      <c r="AG417" s="583">
        <f>VLOOKUP($H417,Nutrition_tables!$A:$AF,20,FALSE)*$Q417/100</f>
        <v>0</v>
      </c>
      <c r="AH417" s="583">
        <f>VLOOKUP($H417,Nutrition_tables!$A:$AF,21,FALSE)*$Q417/100</f>
        <v>0</v>
      </c>
      <c r="AI417" s="583">
        <f>VLOOKUP($H417,Nutrition_tables!$A:$AF,22,FALSE)*$Q417/100</f>
        <v>0</v>
      </c>
      <c r="AJ417" s="549">
        <f>VLOOKUP($H417,Nutrition_tables!$A:$AF,23,FALSE)*$Q417/100</f>
        <v>0</v>
      </c>
      <c r="AK417" s="583">
        <f>VLOOKUP($H417,Nutrition_tables!$A:$AF,24,FALSE)*$Q417/100</f>
        <v>0</v>
      </c>
      <c r="AL417" s="583">
        <f>VLOOKUP($H417,Nutrition_tables!$A:$AF,25,FALSE)*$Q417/100</f>
        <v>0</v>
      </c>
      <c r="AM417" s="583">
        <f>VLOOKUP($H417,Nutrition_tables!$A:$AF,26,FALSE)*$Q417/100</f>
        <v>0</v>
      </c>
      <c r="AN417" s="583">
        <f>VLOOKUP($H417,Nutrition_tables!$A:$AF,27,FALSE)*$Q417/100</f>
        <v>0</v>
      </c>
      <c r="AO417" s="583">
        <f>VLOOKUP($H417,Nutrition_tables!$A:$AF,28,FALSE)*$Q417/100</f>
        <v>0</v>
      </c>
      <c r="AP417" s="583">
        <f>VLOOKUP($H417,Nutrition_tables!$A:$AF,29,FALSE)*$Q417/100</f>
        <v>0</v>
      </c>
      <c r="AQ417" s="583">
        <f>VLOOKUP($H417,Nutrition_tables!$A:$AF,30,FALSE)*$Q417/100</f>
        <v>0</v>
      </c>
      <c r="AR417" s="583">
        <f>VLOOKUP($H417,Nutrition_tables!$A:$AF,31,FALSE)*$Q417/100</f>
        <v>0</v>
      </c>
      <c r="AS417" s="549">
        <f>VLOOKUP($H417,Nutrition_tables!$A:$AF,32,FALSE)*$Q417/100</f>
        <v>0</v>
      </c>
      <c r="AT417" s="583" t="str">
        <f>IF(H417="Select ingredient:","",IF(G417="Select food category:","",IFERROR(VLOOKUP($H417,Ingredient_prices!$E:$W,17,FALSE)*$Q417/1000,"not bought")))</f>
        <v/>
      </c>
      <c r="AU417" s="583" t="str">
        <f>IF(H417="Select ingredient:","",IF(G417="Select food category:","",IFERROR(VLOOKUP($H417,Ingredient_prices!$E:$W,18,FALSE)*$Q417/1000,"not bought")))</f>
        <v/>
      </c>
      <c r="AV417" s="583">
        <f t="shared" si="927"/>
        <v>0</v>
      </c>
      <c r="AW417" s="583">
        <f t="shared" si="928"/>
        <v>0</v>
      </c>
      <c r="AX417" s="583">
        <f t="shared" si="929"/>
        <v>0</v>
      </c>
      <c r="AY417" s="583">
        <f t="shared" si="930"/>
        <v>0</v>
      </c>
      <c r="AZ417" s="583">
        <f t="shared" si="931"/>
        <v>0</v>
      </c>
      <c r="BA417" s="583">
        <f t="shared" si="932"/>
        <v>0</v>
      </c>
      <c r="BB417" s="583">
        <f t="shared" si="933"/>
        <v>0</v>
      </c>
      <c r="BC417" s="583">
        <f t="shared" si="934"/>
        <v>0</v>
      </c>
      <c r="BD417" s="583">
        <f t="shared" si="935"/>
        <v>0</v>
      </c>
      <c r="BE417" s="583">
        <f t="shared" si="936"/>
        <v>0</v>
      </c>
      <c r="BF417" s="583">
        <f t="shared" si="937"/>
        <v>0</v>
      </c>
      <c r="BG417" s="583">
        <f t="shared" si="938"/>
        <v>0</v>
      </c>
      <c r="BH417" s="583">
        <f t="shared" si="939"/>
        <v>0</v>
      </c>
      <c r="BI417" s="583">
        <f t="shared" si="940"/>
        <v>0</v>
      </c>
      <c r="BJ417" s="583">
        <f t="shared" si="941"/>
        <v>0</v>
      </c>
      <c r="BK417" s="583">
        <f t="shared" si="942"/>
        <v>0</v>
      </c>
      <c r="BL417" s="583">
        <f t="shared" si="943"/>
        <v>0</v>
      </c>
      <c r="BM417" s="583">
        <f t="shared" si="944"/>
        <v>0</v>
      </c>
      <c r="BN417" s="583">
        <f t="shared" si="945"/>
        <v>0</v>
      </c>
      <c r="BO417" s="583">
        <f t="shared" si="946"/>
        <v>0</v>
      </c>
      <c r="BP417" s="583">
        <f t="shared" si="947"/>
        <v>0</v>
      </c>
      <c r="BQ417" s="583">
        <f t="shared" si="948"/>
        <v>0</v>
      </c>
      <c r="BR417" s="583">
        <f t="shared" si="949"/>
        <v>0</v>
      </c>
    </row>
    <row r="418" spans="1:70" s="229" customFormat="1" ht="15" customHeight="1">
      <c r="A418" s="504"/>
      <c r="D418" s="85"/>
      <c r="E418" s="576">
        <f t="shared" si="951"/>
        <v>100</v>
      </c>
      <c r="F418" s="707"/>
      <c r="G418" s="406" t="s">
        <v>3054</v>
      </c>
      <c r="H418" s="1262" t="s">
        <v>3055</v>
      </c>
      <c r="I418" s="85">
        <v>0</v>
      </c>
      <c r="J418" s="682">
        <v>1</v>
      </c>
      <c r="K418" s="579" t="str">
        <f t="shared" si="925"/>
        <v/>
      </c>
      <c r="L418" s="580" t="str">
        <f>IF(H418="Select ingredient:","",IF(G418="","",_xlfn.IFNA(VLOOKUP($H418,Ingredient_prices!$E:$U,16,FALSE),0)))</f>
        <v/>
      </c>
      <c r="M418" s="850"/>
      <c r="N418" s="850"/>
      <c r="O418" s="666"/>
      <c r="P418" s="670"/>
      <c r="Q418" s="583">
        <f t="shared" si="926"/>
        <v>0</v>
      </c>
      <c r="R418" s="583">
        <f>VLOOKUP($H418,'CO2_emission+%_food_waste'!$A:$K,6,FALSE)*$Q418/100</f>
        <v>0</v>
      </c>
      <c r="S418" s="583">
        <f t="shared" si="950"/>
        <v>0</v>
      </c>
      <c r="T418" s="583" t="str">
        <f>IF(H418="Select ingredient:","",IF(G418="Select food category:","",_xlfn.IFNA(VLOOKUP($H418,Ingredient_prices!$E:$U,16,FALSE)*$Q418/1000,"not bought")))</f>
        <v/>
      </c>
      <c r="U418" s="583" t="str">
        <f>IF(G418="Select food category:","",_xlfn.IFNA(VLOOKUP($H418,Ingredient_prices!$E:$U,16,FALSE)*$R418/1000,"not bought"))</f>
        <v/>
      </c>
      <c r="V418" s="549">
        <f>VLOOKUP($H418,'CO2_emission+%_food_waste'!$A:$K,4,FALSE)*$Q418</f>
        <v>0</v>
      </c>
      <c r="W418" s="583">
        <f>VLOOKUP($H418,Nutrition_tables!$A:$N,10,FALSE)*$Q418/100</f>
        <v>0</v>
      </c>
      <c r="X418" s="583">
        <f>VLOOKUP($H418,Nutrition_tables!$A:$N,11,FALSE)*$Q418/100</f>
        <v>0</v>
      </c>
      <c r="Y418" s="583">
        <f>VLOOKUP($H418,Nutrition_tables!$A:$N,12,FALSE)*$Q418/100</f>
        <v>0</v>
      </c>
      <c r="Z418" s="583">
        <f>VLOOKUP($H418,Nutrition_tables!$A:$N,14,FALSE)*$Q418/100</f>
        <v>0</v>
      </c>
      <c r="AA418" s="583">
        <f>VLOOKUP($H418,Nutrition_tables!$A:$AF,13,FALSE)*$Q418/100</f>
        <v>0</v>
      </c>
      <c r="AB418" s="549">
        <f>VLOOKUP($H418,Nutrition_tables!$A:$AF,15,FALSE)*$Q418/100</f>
        <v>0</v>
      </c>
      <c r="AC418" s="583">
        <f>VLOOKUP($H418,Nutrition_tables!$A:$AF,16,FALSE)*$Q418/100</f>
        <v>0</v>
      </c>
      <c r="AD418" s="583">
        <f>VLOOKUP($H418,Nutrition_tables!$A:$AF,17,FALSE)*$Q418/100</f>
        <v>0</v>
      </c>
      <c r="AE418" s="583">
        <f>VLOOKUP($H418,Nutrition_tables!$A:$AF,18,FALSE)*$Q418/100</f>
        <v>0</v>
      </c>
      <c r="AF418" s="583">
        <f>VLOOKUP($H418,Nutrition_tables!$A:$AF,19,FALSE)*$Q418/100</f>
        <v>0</v>
      </c>
      <c r="AG418" s="583">
        <f>VLOOKUP($H418,Nutrition_tables!$A:$AF,20,FALSE)*$Q418/100</f>
        <v>0</v>
      </c>
      <c r="AH418" s="583">
        <f>VLOOKUP($H418,Nutrition_tables!$A:$AF,21,FALSE)*$Q418/100</f>
        <v>0</v>
      </c>
      <c r="AI418" s="583">
        <f>VLOOKUP($H418,Nutrition_tables!$A:$AF,22,FALSE)*$Q418/100</f>
        <v>0</v>
      </c>
      <c r="AJ418" s="549">
        <f>VLOOKUP($H418,Nutrition_tables!$A:$AF,23,FALSE)*$Q418/100</f>
        <v>0</v>
      </c>
      <c r="AK418" s="583">
        <f>VLOOKUP($H418,Nutrition_tables!$A:$AF,24,FALSE)*$Q418/100</f>
        <v>0</v>
      </c>
      <c r="AL418" s="583">
        <f>VLOOKUP($H418,Nutrition_tables!$A:$AF,25,FALSE)*$Q418/100</f>
        <v>0</v>
      </c>
      <c r="AM418" s="583">
        <f>VLOOKUP($H418,Nutrition_tables!$A:$AF,26,FALSE)*$Q418/100</f>
        <v>0</v>
      </c>
      <c r="AN418" s="583">
        <f>VLOOKUP($H418,Nutrition_tables!$A:$AF,27,FALSE)*$Q418/100</f>
        <v>0</v>
      </c>
      <c r="AO418" s="583">
        <f>VLOOKUP($H418,Nutrition_tables!$A:$AF,28,FALSE)*$Q418/100</f>
        <v>0</v>
      </c>
      <c r="AP418" s="583">
        <f>VLOOKUP($H418,Nutrition_tables!$A:$AF,29,FALSE)*$Q418/100</f>
        <v>0</v>
      </c>
      <c r="AQ418" s="583">
        <f>VLOOKUP($H418,Nutrition_tables!$A:$AF,30,FALSE)*$Q418/100</f>
        <v>0</v>
      </c>
      <c r="AR418" s="583">
        <f>VLOOKUP($H418,Nutrition_tables!$A:$AF,31,FALSE)*$Q418/100</f>
        <v>0</v>
      </c>
      <c r="AS418" s="549">
        <f>VLOOKUP($H418,Nutrition_tables!$A:$AF,32,FALSE)*$Q418/100</f>
        <v>0</v>
      </c>
      <c r="AT418" s="583" t="str">
        <f>IF(H418="Select ingredient:","",IF(G418="Select food category:","",IFERROR(VLOOKUP($H418,Ingredient_prices!$E:$W,17,FALSE)*$Q418/1000,"not bought")))</f>
        <v/>
      </c>
      <c r="AU418" s="583" t="str">
        <f>IF(H418="Select ingredient:","",IF(G418="Select food category:","",IFERROR(VLOOKUP($H418,Ingredient_prices!$E:$W,18,FALSE)*$Q418/1000,"not bought")))</f>
        <v/>
      </c>
      <c r="AV418" s="583">
        <f t="shared" si="927"/>
        <v>0</v>
      </c>
      <c r="AW418" s="583">
        <f t="shared" si="928"/>
        <v>0</v>
      </c>
      <c r="AX418" s="583">
        <f t="shared" si="929"/>
        <v>0</v>
      </c>
      <c r="AY418" s="583">
        <f t="shared" si="930"/>
        <v>0</v>
      </c>
      <c r="AZ418" s="583">
        <f t="shared" si="931"/>
        <v>0</v>
      </c>
      <c r="BA418" s="583">
        <f t="shared" si="932"/>
        <v>0</v>
      </c>
      <c r="BB418" s="583">
        <f t="shared" si="933"/>
        <v>0</v>
      </c>
      <c r="BC418" s="583">
        <f t="shared" si="934"/>
        <v>0</v>
      </c>
      <c r="BD418" s="583">
        <f t="shared" si="935"/>
        <v>0</v>
      </c>
      <c r="BE418" s="583">
        <f t="shared" si="936"/>
        <v>0</v>
      </c>
      <c r="BF418" s="583">
        <f t="shared" si="937"/>
        <v>0</v>
      </c>
      <c r="BG418" s="583">
        <f t="shared" si="938"/>
        <v>0</v>
      </c>
      <c r="BH418" s="583">
        <f t="shared" si="939"/>
        <v>0</v>
      </c>
      <c r="BI418" s="583">
        <f t="shared" si="940"/>
        <v>0</v>
      </c>
      <c r="BJ418" s="583">
        <f t="shared" si="941"/>
        <v>0</v>
      </c>
      <c r="BK418" s="583">
        <f t="shared" si="942"/>
        <v>0</v>
      </c>
      <c r="BL418" s="583">
        <f t="shared" si="943"/>
        <v>0</v>
      </c>
      <c r="BM418" s="583">
        <f t="shared" si="944"/>
        <v>0</v>
      </c>
      <c r="BN418" s="583">
        <f t="shared" si="945"/>
        <v>0</v>
      </c>
      <c r="BO418" s="583">
        <f t="shared" si="946"/>
        <v>0</v>
      </c>
      <c r="BP418" s="583">
        <f t="shared" si="947"/>
        <v>0</v>
      </c>
      <c r="BQ418" s="583">
        <f t="shared" si="948"/>
        <v>0</v>
      </c>
      <c r="BR418" s="583">
        <f t="shared" si="949"/>
        <v>0</v>
      </c>
    </row>
    <row r="419" spans="1:70" s="229" customFormat="1" ht="15" customHeight="1">
      <c r="A419" s="504"/>
      <c r="D419" s="85"/>
      <c r="E419" s="576">
        <f t="shared" si="951"/>
        <v>100</v>
      </c>
      <c r="F419" s="707"/>
      <c r="G419" s="406" t="s">
        <v>3054</v>
      </c>
      <c r="H419" s="1262" t="s">
        <v>3055</v>
      </c>
      <c r="I419" s="85">
        <v>0</v>
      </c>
      <c r="J419" s="682">
        <v>1</v>
      </c>
      <c r="K419" s="579" t="str">
        <f t="shared" si="925"/>
        <v/>
      </c>
      <c r="L419" s="580" t="str">
        <f>IF(H419="Select ingredient:","",IF(G419="","",_xlfn.IFNA(VLOOKUP($H419,Ingredient_prices!$E:$U,16,FALSE),0)))</f>
        <v/>
      </c>
      <c r="M419" s="850"/>
      <c r="N419" s="850"/>
      <c r="O419" s="666"/>
      <c r="P419" s="670"/>
      <c r="Q419" s="583">
        <f t="shared" si="926"/>
        <v>0</v>
      </c>
      <c r="R419" s="583">
        <f>VLOOKUP($H419,'CO2_emission+%_food_waste'!$A:$K,6,FALSE)*$Q419/100</f>
        <v>0</v>
      </c>
      <c r="S419" s="583">
        <f t="shared" si="950"/>
        <v>0</v>
      </c>
      <c r="T419" s="583" t="str">
        <f>IF(H419="Select ingredient:","",IF(G419="Select food category:","",_xlfn.IFNA(VLOOKUP($H419,Ingredient_prices!$E:$U,16,FALSE)*$Q419/1000,"not bought")))</f>
        <v/>
      </c>
      <c r="U419" s="583" t="str">
        <f>IF(G419="Select food category:","",_xlfn.IFNA(VLOOKUP($H419,Ingredient_prices!$E:$U,16,FALSE)*$R419/1000,"not bought"))</f>
        <v/>
      </c>
      <c r="V419" s="549">
        <f>VLOOKUP($H419,'CO2_emission+%_food_waste'!$A:$K,4,FALSE)*$Q419</f>
        <v>0</v>
      </c>
      <c r="W419" s="583">
        <f>VLOOKUP($H419,Nutrition_tables!$A:$N,10,FALSE)*$Q419/100</f>
        <v>0</v>
      </c>
      <c r="X419" s="583">
        <f>VLOOKUP($H419,Nutrition_tables!$A:$N,11,FALSE)*$Q419/100</f>
        <v>0</v>
      </c>
      <c r="Y419" s="583">
        <f>VLOOKUP($H419,Nutrition_tables!$A:$N,12,FALSE)*$Q419/100</f>
        <v>0</v>
      </c>
      <c r="Z419" s="583">
        <f>VLOOKUP($H419,Nutrition_tables!$A:$N,14,FALSE)*$Q419/100</f>
        <v>0</v>
      </c>
      <c r="AA419" s="583">
        <f>VLOOKUP($H419,Nutrition_tables!$A:$AF,13,FALSE)*$Q419/100</f>
        <v>0</v>
      </c>
      <c r="AB419" s="549">
        <f>VLOOKUP($H419,Nutrition_tables!$A:$AF,15,FALSE)*$Q419/100</f>
        <v>0</v>
      </c>
      <c r="AC419" s="583">
        <f>VLOOKUP($H419,Nutrition_tables!$A:$AF,16,FALSE)*$Q419/100</f>
        <v>0</v>
      </c>
      <c r="AD419" s="583">
        <f>VLOOKUP($H419,Nutrition_tables!$A:$AF,17,FALSE)*$Q419/100</f>
        <v>0</v>
      </c>
      <c r="AE419" s="583">
        <f>VLOOKUP($H419,Nutrition_tables!$A:$AF,18,FALSE)*$Q419/100</f>
        <v>0</v>
      </c>
      <c r="AF419" s="583">
        <f>VLOOKUP($H419,Nutrition_tables!$A:$AF,19,FALSE)*$Q419/100</f>
        <v>0</v>
      </c>
      <c r="AG419" s="583">
        <f>VLOOKUP($H419,Nutrition_tables!$A:$AF,20,FALSE)*$Q419/100</f>
        <v>0</v>
      </c>
      <c r="AH419" s="583">
        <f>VLOOKUP($H419,Nutrition_tables!$A:$AF,21,FALSE)*$Q419/100</f>
        <v>0</v>
      </c>
      <c r="AI419" s="583">
        <f>VLOOKUP($H419,Nutrition_tables!$A:$AF,22,FALSE)*$Q419/100</f>
        <v>0</v>
      </c>
      <c r="AJ419" s="549">
        <f>VLOOKUP($H419,Nutrition_tables!$A:$AF,23,FALSE)*$Q419/100</f>
        <v>0</v>
      </c>
      <c r="AK419" s="583">
        <f>VLOOKUP($H419,Nutrition_tables!$A:$AF,24,FALSE)*$Q419/100</f>
        <v>0</v>
      </c>
      <c r="AL419" s="583">
        <f>VLOOKUP($H419,Nutrition_tables!$A:$AF,25,FALSE)*$Q419/100</f>
        <v>0</v>
      </c>
      <c r="AM419" s="583">
        <f>VLOOKUP($H419,Nutrition_tables!$A:$AF,26,FALSE)*$Q419/100</f>
        <v>0</v>
      </c>
      <c r="AN419" s="583">
        <f>VLOOKUP($H419,Nutrition_tables!$A:$AF,27,FALSE)*$Q419/100</f>
        <v>0</v>
      </c>
      <c r="AO419" s="583">
        <f>VLOOKUP($H419,Nutrition_tables!$A:$AF,28,FALSE)*$Q419/100</f>
        <v>0</v>
      </c>
      <c r="AP419" s="583">
        <f>VLOOKUP($H419,Nutrition_tables!$A:$AF,29,FALSE)*$Q419/100</f>
        <v>0</v>
      </c>
      <c r="AQ419" s="583">
        <f>VLOOKUP($H419,Nutrition_tables!$A:$AF,30,FALSE)*$Q419/100</f>
        <v>0</v>
      </c>
      <c r="AR419" s="583">
        <f>VLOOKUP($H419,Nutrition_tables!$A:$AF,31,FALSE)*$Q419/100</f>
        <v>0</v>
      </c>
      <c r="AS419" s="549">
        <f>VLOOKUP($H419,Nutrition_tables!$A:$AF,32,FALSE)*$Q419/100</f>
        <v>0</v>
      </c>
      <c r="AT419" s="583" t="str">
        <f>IF(H419="Select ingredient:","",IF(G419="Select food category:","",IFERROR(VLOOKUP($H419,Ingredient_prices!$E:$W,17,FALSE)*$Q419/1000,"not bought")))</f>
        <v/>
      </c>
      <c r="AU419" s="583" t="str">
        <f>IF(H419="Select ingredient:","",IF(G419="Select food category:","",IFERROR(VLOOKUP($H419,Ingredient_prices!$E:$W,18,FALSE)*$Q419/1000,"not bought")))</f>
        <v/>
      </c>
      <c r="AV419" s="583">
        <f t="shared" si="927"/>
        <v>0</v>
      </c>
      <c r="AW419" s="583">
        <f t="shared" si="928"/>
        <v>0</v>
      </c>
      <c r="AX419" s="583">
        <f t="shared" si="929"/>
        <v>0</v>
      </c>
      <c r="AY419" s="583">
        <f t="shared" si="930"/>
        <v>0</v>
      </c>
      <c r="AZ419" s="583">
        <f t="shared" si="931"/>
        <v>0</v>
      </c>
      <c r="BA419" s="583">
        <f t="shared" si="932"/>
        <v>0</v>
      </c>
      <c r="BB419" s="583">
        <f t="shared" si="933"/>
        <v>0</v>
      </c>
      <c r="BC419" s="583">
        <f t="shared" si="934"/>
        <v>0</v>
      </c>
      <c r="BD419" s="583">
        <f t="shared" si="935"/>
        <v>0</v>
      </c>
      <c r="BE419" s="583">
        <f t="shared" si="936"/>
        <v>0</v>
      </c>
      <c r="BF419" s="583">
        <f t="shared" si="937"/>
        <v>0</v>
      </c>
      <c r="BG419" s="583">
        <f t="shared" si="938"/>
        <v>0</v>
      </c>
      <c r="BH419" s="583">
        <f t="shared" si="939"/>
        <v>0</v>
      </c>
      <c r="BI419" s="583">
        <f t="shared" si="940"/>
        <v>0</v>
      </c>
      <c r="BJ419" s="583">
        <f t="shared" si="941"/>
        <v>0</v>
      </c>
      <c r="BK419" s="583">
        <f t="shared" si="942"/>
        <v>0</v>
      </c>
      <c r="BL419" s="583">
        <f t="shared" si="943"/>
        <v>0</v>
      </c>
      <c r="BM419" s="583">
        <f t="shared" si="944"/>
        <v>0</v>
      </c>
      <c r="BN419" s="583">
        <f t="shared" si="945"/>
        <v>0</v>
      </c>
      <c r="BO419" s="583">
        <f t="shared" si="946"/>
        <v>0</v>
      </c>
      <c r="BP419" s="583">
        <f t="shared" si="947"/>
        <v>0</v>
      </c>
      <c r="BQ419" s="583">
        <f t="shared" si="948"/>
        <v>0</v>
      </c>
      <c r="BR419" s="583">
        <f t="shared" si="949"/>
        <v>0</v>
      </c>
    </row>
    <row r="420" spans="1:70" s="229" customFormat="1" ht="15" customHeight="1">
      <c r="A420" s="504"/>
      <c r="D420" s="85"/>
      <c r="E420" s="576">
        <f t="shared" si="951"/>
        <v>100</v>
      </c>
      <c r="F420" s="707"/>
      <c r="G420" s="406" t="s">
        <v>3054</v>
      </c>
      <c r="H420" s="1262" t="s">
        <v>3055</v>
      </c>
      <c r="I420" s="85">
        <v>0</v>
      </c>
      <c r="J420" s="682">
        <v>1</v>
      </c>
      <c r="K420" s="579" t="str">
        <f t="shared" si="925"/>
        <v/>
      </c>
      <c r="L420" s="580" t="str">
        <f>IF(H420="Select ingredient:","",IF(G420="","",_xlfn.IFNA(VLOOKUP($H420,Ingredient_prices!$E:$U,16,FALSE),0)))</f>
        <v/>
      </c>
      <c r="M420" s="850"/>
      <c r="N420" s="850"/>
      <c r="O420" s="666"/>
      <c r="P420" s="670"/>
      <c r="Q420" s="583">
        <f t="shared" si="926"/>
        <v>0</v>
      </c>
      <c r="R420" s="583">
        <f>VLOOKUP($H420,'CO2_emission+%_food_waste'!$A:$K,6,FALSE)*$Q420/100</f>
        <v>0</v>
      </c>
      <c r="S420" s="583">
        <f t="shared" si="950"/>
        <v>0</v>
      </c>
      <c r="T420" s="583" t="str">
        <f>IF(H420="Select ingredient:","",IF(G420="Select food category:","",_xlfn.IFNA(VLOOKUP($H420,Ingredient_prices!$E:$U,16,FALSE)*$Q420/1000,"not bought")))</f>
        <v/>
      </c>
      <c r="U420" s="583" t="str">
        <f>IF(G420="Select food category:","",_xlfn.IFNA(VLOOKUP($H420,Ingredient_prices!$E:$U,16,FALSE)*$R420/1000,"not bought"))</f>
        <v/>
      </c>
      <c r="V420" s="549">
        <f>VLOOKUP($H420,'CO2_emission+%_food_waste'!$A:$K,4,FALSE)*$Q420</f>
        <v>0</v>
      </c>
      <c r="W420" s="583">
        <f>VLOOKUP($H420,Nutrition_tables!$A:$N,10,FALSE)*$Q420/100</f>
        <v>0</v>
      </c>
      <c r="X420" s="583">
        <f>VLOOKUP($H420,Nutrition_tables!$A:$N,11,FALSE)*$Q420/100</f>
        <v>0</v>
      </c>
      <c r="Y420" s="583">
        <f>VLOOKUP($H420,Nutrition_tables!$A:$N,12,FALSE)*$Q420/100</f>
        <v>0</v>
      </c>
      <c r="Z420" s="583">
        <f>VLOOKUP($H420,Nutrition_tables!$A:$N,14,FALSE)*$Q420/100</f>
        <v>0</v>
      </c>
      <c r="AA420" s="583">
        <f>VLOOKUP($H420,Nutrition_tables!$A:$AF,13,FALSE)*$Q420/100</f>
        <v>0</v>
      </c>
      <c r="AB420" s="549">
        <f>VLOOKUP($H420,Nutrition_tables!$A:$AF,15,FALSE)*$Q420/100</f>
        <v>0</v>
      </c>
      <c r="AC420" s="583">
        <f>VLOOKUP($H420,Nutrition_tables!$A:$AF,16,FALSE)*$Q420/100</f>
        <v>0</v>
      </c>
      <c r="AD420" s="583">
        <f>VLOOKUP($H420,Nutrition_tables!$A:$AF,17,FALSE)*$Q420/100</f>
        <v>0</v>
      </c>
      <c r="AE420" s="583">
        <f>VLOOKUP($H420,Nutrition_tables!$A:$AF,18,FALSE)*$Q420/100</f>
        <v>0</v>
      </c>
      <c r="AF420" s="583">
        <f>VLOOKUP($H420,Nutrition_tables!$A:$AF,19,FALSE)*$Q420/100</f>
        <v>0</v>
      </c>
      <c r="AG420" s="583">
        <f>VLOOKUP($H420,Nutrition_tables!$A:$AF,20,FALSE)*$Q420/100</f>
        <v>0</v>
      </c>
      <c r="AH420" s="583">
        <f>VLOOKUP($H420,Nutrition_tables!$A:$AF,21,FALSE)*$Q420/100</f>
        <v>0</v>
      </c>
      <c r="AI420" s="583">
        <f>VLOOKUP($H420,Nutrition_tables!$A:$AF,22,FALSE)*$Q420/100</f>
        <v>0</v>
      </c>
      <c r="AJ420" s="549">
        <f>VLOOKUP($H420,Nutrition_tables!$A:$AF,23,FALSE)*$Q420/100</f>
        <v>0</v>
      </c>
      <c r="AK420" s="583">
        <f>VLOOKUP($H420,Nutrition_tables!$A:$AF,24,FALSE)*$Q420/100</f>
        <v>0</v>
      </c>
      <c r="AL420" s="583">
        <f>VLOOKUP($H420,Nutrition_tables!$A:$AF,25,FALSE)*$Q420/100</f>
        <v>0</v>
      </c>
      <c r="AM420" s="583">
        <f>VLOOKUP($H420,Nutrition_tables!$A:$AF,26,FALSE)*$Q420/100</f>
        <v>0</v>
      </c>
      <c r="AN420" s="583">
        <f>VLOOKUP($H420,Nutrition_tables!$A:$AF,27,FALSE)*$Q420/100</f>
        <v>0</v>
      </c>
      <c r="AO420" s="583">
        <f>VLOOKUP($H420,Nutrition_tables!$A:$AF,28,FALSE)*$Q420/100</f>
        <v>0</v>
      </c>
      <c r="AP420" s="583">
        <f>VLOOKUP($H420,Nutrition_tables!$A:$AF,29,FALSE)*$Q420/100</f>
        <v>0</v>
      </c>
      <c r="AQ420" s="583">
        <f>VLOOKUP($H420,Nutrition_tables!$A:$AF,30,FALSE)*$Q420/100</f>
        <v>0</v>
      </c>
      <c r="AR420" s="583">
        <f>VLOOKUP($H420,Nutrition_tables!$A:$AF,31,FALSE)*$Q420/100</f>
        <v>0</v>
      </c>
      <c r="AS420" s="549">
        <f>VLOOKUP($H420,Nutrition_tables!$A:$AF,32,FALSE)*$Q420/100</f>
        <v>0</v>
      </c>
      <c r="AT420" s="583" t="str">
        <f>IF(H420="Select ingredient:","",IF(G420="Select food category:","",IFERROR(VLOOKUP($H420,Ingredient_prices!$E:$W,17,FALSE)*$Q420/1000,"not bought")))</f>
        <v/>
      </c>
      <c r="AU420" s="583" t="str">
        <f>IF(H420="Select ingredient:","",IF(G420="Select food category:","",IFERROR(VLOOKUP($H420,Ingredient_prices!$E:$W,18,FALSE)*$Q420/1000,"not bought")))</f>
        <v/>
      </c>
      <c r="AV420" s="583">
        <f t="shared" si="927"/>
        <v>0</v>
      </c>
      <c r="AW420" s="583">
        <f t="shared" si="928"/>
        <v>0</v>
      </c>
      <c r="AX420" s="583">
        <f t="shared" si="929"/>
        <v>0</v>
      </c>
      <c r="AY420" s="583">
        <f t="shared" si="930"/>
        <v>0</v>
      </c>
      <c r="AZ420" s="583">
        <f t="shared" si="931"/>
        <v>0</v>
      </c>
      <c r="BA420" s="583">
        <f t="shared" si="932"/>
        <v>0</v>
      </c>
      <c r="BB420" s="583">
        <f t="shared" si="933"/>
        <v>0</v>
      </c>
      <c r="BC420" s="583">
        <f t="shared" si="934"/>
        <v>0</v>
      </c>
      <c r="BD420" s="583">
        <f t="shared" si="935"/>
        <v>0</v>
      </c>
      <c r="BE420" s="583">
        <f t="shared" si="936"/>
        <v>0</v>
      </c>
      <c r="BF420" s="583">
        <f t="shared" si="937"/>
        <v>0</v>
      </c>
      <c r="BG420" s="583">
        <f t="shared" si="938"/>
        <v>0</v>
      </c>
      <c r="BH420" s="583">
        <f t="shared" si="939"/>
        <v>0</v>
      </c>
      <c r="BI420" s="583">
        <f t="shared" si="940"/>
        <v>0</v>
      </c>
      <c r="BJ420" s="583">
        <f t="shared" si="941"/>
        <v>0</v>
      </c>
      <c r="BK420" s="583">
        <f t="shared" si="942"/>
        <v>0</v>
      </c>
      <c r="BL420" s="583">
        <f t="shared" si="943"/>
        <v>0</v>
      </c>
      <c r="BM420" s="583">
        <f t="shared" si="944"/>
        <v>0</v>
      </c>
      <c r="BN420" s="583">
        <f t="shared" si="945"/>
        <v>0</v>
      </c>
      <c r="BO420" s="583">
        <f t="shared" si="946"/>
        <v>0</v>
      </c>
      <c r="BP420" s="583">
        <f t="shared" si="947"/>
        <v>0</v>
      </c>
      <c r="BQ420" s="583">
        <f t="shared" si="948"/>
        <v>0</v>
      </c>
      <c r="BR420" s="583">
        <f t="shared" si="949"/>
        <v>0</v>
      </c>
    </row>
    <row r="421" spans="1:70" s="229" customFormat="1" ht="15" customHeight="1">
      <c r="A421" s="504"/>
      <c r="D421" s="85"/>
      <c r="E421" s="576">
        <f t="shared" si="951"/>
        <v>100</v>
      </c>
      <c r="F421" s="707"/>
      <c r="G421" s="406" t="s">
        <v>3054</v>
      </c>
      <c r="H421" s="1262" t="s">
        <v>3055</v>
      </c>
      <c r="I421" s="85">
        <v>0</v>
      </c>
      <c r="J421" s="682">
        <v>1</v>
      </c>
      <c r="K421" s="579" t="str">
        <f t="shared" si="925"/>
        <v/>
      </c>
      <c r="L421" s="580" t="str">
        <f>IF(H421="Select ingredient:","",IF(G421="","",_xlfn.IFNA(VLOOKUP($H421,Ingredient_prices!$E:$U,16,FALSE),0)))</f>
        <v/>
      </c>
      <c r="M421" s="850"/>
      <c r="N421" s="850"/>
      <c r="O421" s="666"/>
      <c r="P421" s="670"/>
      <c r="Q421" s="583">
        <f t="shared" si="926"/>
        <v>0</v>
      </c>
      <c r="R421" s="583">
        <f>VLOOKUP($H421,'CO2_emission+%_food_waste'!$A:$K,6,FALSE)*$Q421/100</f>
        <v>0</v>
      </c>
      <c r="S421" s="583">
        <f t="shared" si="950"/>
        <v>0</v>
      </c>
      <c r="T421" s="583" t="str">
        <f>IF(H421="Select ingredient:","",IF(G421="Select food category:","",_xlfn.IFNA(VLOOKUP($H421,Ingredient_prices!$E:$U,16,FALSE)*$Q421/1000,"not bought")))</f>
        <v/>
      </c>
      <c r="U421" s="583" t="str">
        <f>IF(G421="Select food category:","",_xlfn.IFNA(VLOOKUP($H421,Ingredient_prices!$E:$U,16,FALSE)*$R421/1000,"not bought"))</f>
        <v/>
      </c>
      <c r="V421" s="549">
        <f>VLOOKUP($H421,'CO2_emission+%_food_waste'!$A:$K,4,FALSE)*$Q421</f>
        <v>0</v>
      </c>
      <c r="W421" s="583">
        <f>VLOOKUP($H421,Nutrition_tables!$A:$N,10,FALSE)*$Q421/100</f>
        <v>0</v>
      </c>
      <c r="X421" s="583">
        <f>VLOOKUP($H421,Nutrition_tables!$A:$N,11,FALSE)*$Q421/100</f>
        <v>0</v>
      </c>
      <c r="Y421" s="583">
        <f>VLOOKUP($H421,Nutrition_tables!$A:$N,12,FALSE)*$Q421/100</f>
        <v>0</v>
      </c>
      <c r="Z421" s="583">
        <f>VLOOKUP($H421,Nutrition_tables!$A:$N,14,FALSE)*$Q421/100</f>
        <v>0</v>
      </c>
      <c r="AA421" s="583">
        <f>VLOOKUP($H421,Nutrition_tables!$A:$AF,13,FALSE)*$Q421/100</f>
        <v>0</v>
      </c>
      <c r="AB421" s="549">
        <f>VLOOKUP($H421,Nutrition_tables!$A:$AF,15,FALSE)*$Q421/100</f>
        <v>0</v>
      </c>
      <c r="AC421" s="583">
        <f>VLOOKUP($H421,Nutrition_tables!$A:$AF,16,FALSE)*$Q421/100</f>
        <v>0</v>
      </c>
      <c r="AD421" s="583">
        <f>VLOOKUP($H421,Nutrition_tables!$A:$AF,17,FALSE)*$Q421/100</f>
        <v>0</v>
      </c>
      <c r="AE421" s="583">
        <f>VLOOKUP($H421,Nutrition_tables!$A:$AF,18,FALSE)*$Q421/100</f>
        <v>0</v>
      </c>
      <c r="AF421" s="583">
        <f>VLOOKUP($H421,Nutrition_tables!$A:$AF,19,FALSE)*$Q421/100</f>
        <v>0</v>
      </c>
      <c r="AG421" s="583">
        <f>VLOOKUP($H421,Nutrition_tables!$A:$AF,20,FALSE)*$Q421/100</f>
        <v>0</v>
      </c>
      <c r="AH421" s="583">
        <f>VLOOKUP($H421,Nutrition_tables!$A:$AF,21,FALSE)*$Q421/100</f>
        <v>0</v>
      </c>
      <c r="AI421" s="583">
        <f>VLOOKUP($H421,Nutrition_tables!$A:$AF,22,FALSE)*$Q421/100</f>
        <v>0</v>
      </c>
      <c r="AJ421" s="549">
        <f>VLOOKUP($H421,Nutrition_tables!$A:$AF,23,FALSE)*$Q421/100</f>
        <v>0</v>
      </c>
      <c r="AK421" s="583">
        <f>VLOOKUP($H421,Nutrition_tables!$A:$AF,24,FALSE)*$Q421/100</f>
        <v>0</v>
      </c>
      <c r="AL421" s="583">
        <f>VLOOKUP($H421,Nutrition_tables!$A:$AF,25,FALSE)*$Q421/100</f>
        <v>0</v>
      </c>
      <c r="AM421" s="583">
        <f>VLOOKUP($H421,Nutrition_tables!$A:$AF,26,FALSE)*$Q421/100</f>
        <v>0</v>
      </c>
      <c r="AN421" s="583">
        <f>VLOOKUP($H421,Nutrition_tables!$A:$AF,27,FALSE)*$Q421/100</f>
        <v>0</v>
      </c>
      <c r="AO421" s="583">
        <f>VLOOKUP($H421,Nutrition_tables!$A:$AF,28,FALSE)*$Q421/100</f>
        <v>0</v>
      </c>
      <c r="AP421" s="583">
        <f>VLOOKUP($H421,Nutrition_tables!$A:$AF,29,FALSE)*$Q421/100</f>
        <v>0</v>
      </c>
      <c r="AQ421" s="583">
        <f>VLOOKUP($H421,Nutrition_tables!$A:$AF,30,FALSE)*$Q421/100</f>
        <v>0</v>
      </c>
      <c r="AR421" s="583">
        <f>VLOOKUP($H421,Nutrition_tables!$A:$AF,31,FALSE)*$Q421/100</f>
        <v>0</v>
      </c>
      <c r="AS421" s="549">
        <f>VLOOKUP($H421,Nutrition_tables!$A:$AF,32,FALSE)*$Q421/100</f>
        <v>0</v>
      </c>
      <c r="AT421" s="583" t="str">
        <f>IF(H421="Select ingredient:","",IF(G421="Select food category:","",IFERROR(VLOOKUP($H421,Ingredient_prices!$E:$W,17,FALSE)*$Q421/1000,"not bought")))</f>
        <v/>
      </c>
      <c r="AU421" s="583" t="str">
        <f>IF(H421="Select ingredient:","",IF(G421="Select food category:","",IFERROR(VLOOKUP($H421,Ingredient_prices!$E:$W,18,FALSE)*$Q421/1000,"not bought")))</f>
        <v/>
      </c>
      <c r="AV421" s="583">
        <f t="shared" si="927"/>
        <v>0</v>
      </c>
      <c r="AW421" s="583">
        <f t="shared" si="928"/>
        <v>0</v>
      </c>
      <c r="AX421" s="583">
        <f t="shared" si="929"/>
        <v>0</v>
      </c>
      <c r="AY421" s="583">
        <f t="shared" si="930"/>
        <v>0</v>
      </c>
      <c r="AZ421" s="583">
        <f t="shared" si="931"/>
        <v>0</v>
      </c>
      <c r="BA421" s="583">
        <f t="shared" si="932"/>
        <v>0</v>
      </c>
      <c r="BB421" s="583">
        <f t="shared" si="933"/>
        <v>0</v>
      </c>
      <c r="BC421" s="583">
        <f t="shared" si="934"/>
        <v>0</v>
      </c>
      <c r="BD421" s="583">
        <f t="shared" si="935"/>
        <v>0</v>
      </c>
      <c r="BE421" s="583">
        <f t="shared" si="936"/>
        <v>0</v>
      </c>
      <c r="BF421" s="583">
        <f t="shared" si="937"/>
        <v>0</v>
      </c>
      <c r="BG421" s="583">
        <f t="shared" si="938"/>
        <v>0</v>
      </c>
      <c r="BH421" s="583">
        <f t="shared" si="939"/>
        <v>0</v>
      </c>
      <c r="BI421" s="583">
        <f t="shared" si="940"/>
        <v>0</v>
      </c>
      <c r="BJ421" s="583">
        <f t="shared" si="941"/>
        <v>0</v>
      </c>
      <c r="BK421" s="583">
        <f t="shared" si="942"/>
        <v>0</v>
      </c>
      <c r="BL421" s="583">
        <f t="shared" si="943"/>
        <v>0</v>
      </c>
      <c r="BM421" s="583">
        <f t="shared" si="944"/>
        <v>0</v>
      </c>
      <c r="BN421" s="583">
        <f t="shared" si="945"/>
        <v>0</v>
      </c>
      <c r="BO421" s="583">
        <f t="shared" si="946"/>
        <v>0</v>
      </c>
      <c r="BP421" s="583">
        <f t="shared" si="947"/>
        <v>0</v>
      </c>
      <c r="BQ421" s="583">
        <f t="shared" si="948"/>
        <v>0</v>
      </c>
      <c r="BR421" s="583">
        <f t="shared" si="949"/>
        <v>0</v>
      </c>
    </row>
    <row r="422" spans="1:70" s="229" customFormat="1" ht="15" customHeight="1">
      <c r="A422" s="504"/>
      <c r="D422" s="85"/>
      <c r="E422" s="576">
        <f t="shared" si="951"/>
        <v>100</v>
      </c>
      <c r="F422" s="707"/>
      <c r="G422" s="406" t="s">
        <v>3054</v>
      </c>
      <c r="H422" s="1262" t="s">
        <v>3055</v>
      </c>
      <c r="I422" s="85">
        <v>0</v>
      </c>
      <c r="J422" s="682">
        <v>1</v>
      </c>
      <c r="K422" s="579" t="str">
        <f t="shared" si="925"/>
        <v/>
      </c>
      <c r="L422" s="580" t="str">
        <f>IF(H422="Select ingredient:","",IF(G422="","",_xlfn.IFNA(VLOOKUP($H422,Ingredient_prices!$E:$U,16,FALSE),0)))</f>
        <v/>
      </c>
      <c r="M422" s="850"/>
      <c r="N422" s="850"/>
      <c r="O422" s="666"/>
      <c r="P422" s="670"/>
      <c r="Q422" s="583">
        <f t="shared" si="926"/>
        <v>0</v>
      </c>
      <c r="R422" s="583">
        <f>VLOOKUP($H422,'CO2_emission+%_food_waste'!$A:$K,6,FALSE)*$Q422/100</f>
        <v>0</v>
      </c>
      <c r="S422" s="583">
        <f t="shared" si="950"/>
        <v>0</v>
      </c>
      <c r="T422" s="583" t="str">
        <f>IF(H422="Select ingredient:","",IF(G422="Select food category:","",_xlfn.IFNA(VLOOKUP($H422,Ingredient_prices!$E:$U,16,FALSE)*$Q422/1000,"not bought")))</f>
        <v/>
      </c>
      <c r="U422" s="583" t="str">
        <f>IF(G422="Select food category:","",_xlfn.IFNA(VLOOKUP($H422,Ingredient_prices!$E:$U,16,FALSE)*$R422/1000,"not bought"))</f>
        <v/>
      </c>
      <c r="V422" s="549">
        <f>VLOOKUP($H422,'CO2_emission+%_food_waste'!$A:$K,4,FALSE)*$Q422</f>
        <v>0</v>
      </c>
      <c r="W422" s="583">
        <f>VLOOKUP($H422,Nutrition_tables!$A:$N,10,FALSE)*$Q422/100</f>
        <v>0</v>
      </c>
      <c r="X422" s="583">
        <f>VLOOKUP($H422,Nutrition_tables!$A:$N,11,FALSE)*$Q422/100</f>
        <v>0</v>
      </c>
      <c r="Y422" s="583">
        <f>VLOOKUP($H422,Nutrition_tables!$A:$N,12,FALSE)*$Q422/100</f>
        <v>0</v>
      </c>
      <c r="Z422" s="583">
        <f>VLOOKUP($H422,Nutrition_tables!$A:$N,14,FALSE)*$Q422/100</f>
        <v>0</v>
      </c>
      <c r="AA422" s="583">
        <f>VLOOKUP($H422,Nutrition_tables!$A:$AF,13,FALSE)*$Q422/100</f>
        <v>0</v>
      </c>
      <c r="AB422" s="549">
        <f>VLOOKUP($H422,Nutrition_tables!$A:$AF,15,FALSE)*$Q422/100</f>
        <v>0</v>
      </c>
      <c r="AC422" s="583">
        <f>VLOOKUP($H422,Nutrition_tables!$A:$AF,16,FALSE)*$Q422/100</f>
        <v>0</v>
      </c>
      <c r="AD422" s="583">
        <f>VLOOKUP($H422,Nutrition_tables!$A:$AF,17,FALSE)*$Q422/100</f>
        <v>0</v>
      </c>
      <c r="AE422" s="583">
        <f>VLOOKUP($H422,Nutrition_tables!$A:$AF,18,FALSE)*$Q422/100</f>
        <v>0</v>
      </c>
      <c r="AF422" s="583">
        <f>VLOOKUP($H422,Nutrition_tables!$A:$AF,19,FALSE)*$Q422/100</f>
        <v>0</v>
      </c>
      <c r="AG422" s="583">
        <f>VLOOKUP($H422,Nutrition_tables!$A:$AF,20,FALSE)*$Q422/100</f>
        <v>0</v>
      </c>
      <c r="AH422" s="583">
        <f>VLOOKUP($H422,Nutrition_tables!$A:$AF,21,FALSE)*$Q422/100</f>
        <v>0</v>
      </c>
      <c r="AI422" s="583">
        <f>VLOOKUP($H422,Nutrition_tables!$A:$AF,22,FALSE)*$Q422/100</f>
        <v>0</v>
      </c>
      <c r="AJ422" s="549">
        <f>VLOOKUP($H422,Nutrition_tables!$A:$AF,23,FALSE)*$Q422/100</f>
        <v>0</v>
      </c>
      <c r="AK422" s="583">
        <f>VLOOKUP($H422,Nutrition_tables!$A:$AF,24,FALSE)*$Q422/100</f>
        <v>0</v>
      </c>
      <c r="AL422" s="583">
        <f>VLOOKUP($H422,Nutrition_tables!$A:$AF,25,FALSE)*$Q422/100</f>
        <v>0</v>
      </c>
      <c r="AM422" s="583">
        <f>VLOOKUP($H422,Nutrition_tables!$A:$AF,26,FALSE)*$Q422/100</f>
        <v>0</v>
      </c>
      <c r="AN422" s="583">
        <f>VLOOKUP($H422,Nutrition_tables!$A:$AF,27,FALSE)*$Q422/100</f>
        <v>0</v>
      </c>
      <c r="AO422" s="583">
        <f>VLOOKUP($H422,Nutrition_tables!$A:$AF,28,FALSE)*$Q422/100</f>
        <v>0</v>
      </c>
      <c r="AP422" s="583">
        <f>VLOOKUP($H422,Nutrition_tables!$A:$AF,29,FALSE)*$Q422/100</f>
        <v>0</v>
      </c>
      <c r="AQ422" s="583">
        <f>VLOOKUP($H422,Nutrition_tables!$A:$AF,30,FALSE)*$Q422/100</f>
        <v>0</v>
      </c>
      <c r="AR422" s="583">
        <f>VLOOKUP($H422,Nutrition_tables!$A:$AF,31,FALSE)*$Q422/100</f>
        <v>0</v>
      </c>
      <c r="AS422" s="549">
        <f>VLOOKUP($H422,Nutrition_tables!$A:$AF,32,FALSE)*$Q422/100</f>
        <v>0</v>
      </c>
      <c r="AT422" s="583" t="str">
        <f>IF(H422="Select ingredient:","",IF(G422="Select food category:","",IFERROR(VLOOKUP($H422,Ingredient_prices!$E:$W,17,FALSE)*$Q422/1000,"not bought")))</f>
        <v/>
      </c>
      <c r="AU422" s="583" t="str">
        <f>IF(H422="Select ingredient:","",IF(G422="Select food category:","",IFERROR(VLOOKUP($H422,Ingredient_prices!$E:$W,18,FALSE)*$Q422/1000,"not bought")))</f>
        <v/>
      </c>
      <c r="AV422" s="583">
        <f t="shared" si="927"/>
        <v>0</v>
      </c>
      <c r="AW422" s="583">
        <f t="shared" si="928"/>
        <v>0</v>
      </c>
      <c r="AX422" s="583">
        <f t="shared" si="929"/>
        <v>0</v>
      </c>
      <c r="AY422" s="583">
        <f t="shared" si="930"/>
        <v>0</v>
      </c>
      <c r="AZ422" s="583">
        <f t="shared" si="931"/>
        <v>0</v>
      </c>
      <c r="BA422" s="583">
        <f t="shared" si="932"/>
        <v>0</v>
      </c>
      <c r="BB422" s="583">
        <f t="shared" si="933"/>
        <v>0</v>
      </c>
      <c r="BC422" s="583">
        <f t="shared" si="934"/>
        <v>0</v>
      </c>
      <c r="BD422" s="583">
        <f t="shared" si="935"/>
        <v>0</v>
      </c>
      <c r="BE422" s="583">
        <f t="shared" si="936"/>
        <v>0</v>
      </c>
      <c r="BF422" s="583">
        <f t="shared" si="937"/>
        <v>0</v>
      </c>
      <c r="BG422" s="583">
        <f t="shared" si="938"/>
        <v>0</v>
      </c>
      <c r="BH422" s="583">
        <f t="shared" si="939"/>
        <v>0</v>
      </c>
      <c r="BI422" s="583">
        <f t="shared" si="940"/>
        <v>0</v>
      </c>
      <c r="BJ422" s="583">
        <f t="shared" si="941"/>
        <v>0</v>
      </c>
      <c r="BK422" s="583">
        <f t="shared" si="942"/>
        <v>0</v>
      </c>
      <c r="BL422" s="583">
        <f t="shared" si="943"/>
        <v>0</v>
      </c>
      <c r="BM422" s="583">
        <f t="shared" si="944"/>
        <v>0</v>
      </c>
      <c r="BN422" s="583">
        <f t="shared" si="945"/>
        <v>0</v>
      </c>
      <c r="BO422" s="583">
        <f t="shared" si="946"/>
        <v>0</v>
      </c>
      <c r="BP422" s="583">
        <f t="shared" si="947"/>
        <v>0</v>
      </c>
      <c r="BQ422" s="583">
        <f t="shared" si="948"/>
        <v>0</v>
      </c>
      <c r="BR422" s="583">
        <f t="shared" si="949"/>
        <v>0</v>
      </c>
    </row>
    <row r="423" spans="1:70" s="229" customFormat="1" ht="15" customHeight="1">
      <c r="A423" s="504"/>
      <c r="D423" s="85"/>
      <c r="E423" s="576">
        <f t="shared" si="951"/>
        <v>100</v>
      </c>
      <c r="F423" s="707"/>
      <c r="G423" s="406" t="s">
        <v>3054</v>
      </c>
      <c r="H423" s="1262" t="s">
        <v>3055</v>
      </c>
      <c r="I423" s="85">
        <v>0</v>
      </c>
      <c r="J423" s="682">
        <v>1</v>
      </c>
      <c r="K423" s="579" t="str">
        <f t="shared" si="925"/>
        <v/>
      </c>
      <c r="L423" s="580" t="str">
        <f>IF(H423="Select ingredient:","",IF(G423="","",_xlfn.IFNA(VLOOKUP($H423,Ingredient_prices!$E:$U,16,FALSE),0)))</f>
        <v/>
      </c>
      <c r="M423" s="850"/>
      <c r="N423" s="850"/>
      <c r="O423" s="666"/>
      <c r="P423" s="670"/>
      <c r="Q423" s="583">
        <f t="shared" si="926"/>
        <v>0</v>
      </c>
      <c r="R423" s="583">
        <f>VLOOKUP($H423,'CO2_emission+%_food_waste'!$A:$K,6,FALSE)*$Q423/100</f>
        <v>0</v>
      </c>
      <c r="S423" s="583">
        <f t="shared" si="950"/>
        <v>0</v>
      </c>
      <c r="T423" s="583" t="str">
        <f>IF(H423="Select ingredient:","",IF(G423="Select food category:","",_xlfn.IFNA(VLOOKUP($H423,Ingredient_prices!$E:$U,16,FALSE)*$Q423/1000,"not bought")))</f>
        <v/>
      </c>
      <c r="U423" s="583" t="str">
        <f>IF(G423="Select food category:","",_xlfn.IFNA(VLOOKUP($H423,Ingredient_prices!$E:$U,16,FALSE)*$R423/1000,"not bought"))</f>
        <v/>
      </c>
      <c r="V423" s="549">
        <f>VLOOKUP($H423,'CO2_emission+%_food_waste'!$A:$K,4,FALSE)*$Q423</f>
        <v>0</v>
      </c>
      <c r="W423" s="583">
        <f>VLOOKUP($H423,Nutrition_tables!$A:$N,10,FALSE)*$Q423/100</f>
        <v>0</v>
      </c>
      <c r="X423" s="583">
        <f>VLOOKUP($H423,Nutrition_tables!$A:$N,11,FALSE)*$Q423/100</f>
        <v>0</v>
      </c>
      <c r="Y423" s="583">
        <f>VLOOKUP($H423,Nutrition_tables!$A:$N,12,FALSE)*$Q423/100</f>
        <v>0</v>
      </c>
      <c r="Z423" s="583">
        <f>VLOOKUP($H423,Nutrition_tables!$A:$N,14,FALSE)*$Q423/100</f>
        <v>0</v>
      </c>
      <c r="AA423" s="583">
        <f>VLOOKUP($H423,Nutrition_tables!$A:$AF,13,FALSE)*$Q423/100</f>
        <v>0</v>
      </c>
      <c r="AB423" s="549">
        <f>VLOOKUP($H423,Nutrition_tables!$A:$AF,15,FALSE)*$Q423/100</f>
        <v>0</v>
      </c>
      <c r="AC423" s="583">
        <f>VLOOKUP($H423,Nutrition_tables!$A:$AF,16,FALSE)*$Q423/100</f>
        <v>0</v>
      </c>
      <c r="AD423" s="583">
        <f>VLOOKUP($H423,Nutrition_tables!$A:$AF,17,FALSE)*$Q423/100</f>
        <v>0</v>
      </c>
      <c r="AE423" s="583">
        <f>VLOOKUP($H423,Nutrition_tables!$A:$AF,18,FALSE)*$Q423/100</f>
        <v>0</v>
      </c>
      <c r="AF423" s="583">
        <f>VLOOKUP($H423,Nutrition_tables!$A:$AF,19,FALSE)*$Q423/100</f>
        <v>0</v>
      </c>
      <c r="AG423" s="583">
        <f>VLOOKUP($H423,Nutrition_tables!$A:$AF,20,FALSE)*$Q423/100</f>
        <v>0</v>
      </c>
      <c r="AH423" s="583">
        <f>VLOOKUP($H423,Nutrition_tables!$A:$AF,21,FALSE)*$Q423/100</f>
        <v>0</v>
      </c>
      <c r="AI423" s="583">
        <f>VLOOKUP($H423,Nutrition_tables!$A:$AF,22,FALSE)*$Q423/100</f>
        <v>0</v>
      </c>
      <c r="AJ423" s="549">
        <f>VLOOKUP($H423,Nutrition_tables!$A:$AF,23,FALSE)*$Q423/100</f>
        <v>0</v>
      </c>
      <c r="AK423" s="583">
        <f>VLOOKUP($H423,Nutrition_tables!$A:$AF,24,FALSE)*$Q423/100</f>
        <v>0</v>
      </c>
      <c r="AL423" s="583">
        <f>VLOOKUP($H423,Nutrition_tables!$A:$AF,25,FALSE)*$Q423/100</f>
        <v>0</v>
      </c>
      <c r="AM423" s="583">
        <f>VLOOKUP($H423,Nutrition_tables!$A:$AF,26,FALSE)*$Q423/100</f>
        <v>0</v>
      </c>
      <c r="AN423" s="583">
        <f>VLOOKUP($H423,Nutrition_tables!$A:$AF,27,FALSE)*$Q423/100</f>
        <v>0</v>
      </c>
      <c r="AO423" s="583">
        <f>VLOOKUP($H423,Nutrition_tables!$A:$AF,28,FALSE)*$Q423/100</f>
        <v>0</v>
      </c>
      <c r="AP423" s="583">
        <f>VLOOKUP($H423,Nutrition_tables!$A:$AF,29,FALSE)*$Q423/100</f>
        <v>0</v>
      </c>
      <c r="AQ423" s="583">
        <f>VLOOKUP($H423,Nutrition_tables!$A:$AF,30,FALSE)*$Q423/100</f>
        <v>0</v>
      </c>
      <c r="AR423" s="583">
        <f>VLOOKUP($H423,Nutrition_tables!$A:$AF,31,FALSE)*$Q423/100</f>
        <v>0</v>
      </c>
      <c r="AS423" s="549">
        <f>VLOOKUP($H423,Nutrition_tables!$A:$AF,32,FALSE)*$Q423/100</f>
        <v>0</v>
      </c>
      <c r="AT423" s="583" t="str">
        <f>IF(H423="Select ingredient:","",IF(G423="Select food category:","",IFERROR(VLOOKUP($H423,Ingredient_prices!$E:$W,17,FALSE)*$Q423/1000,"not bought")))</f>
        <v/>
      </c>
      <c r="AU423" s="583" t="str">
        <f>IF(H423="Select ingredient:","",IF(G423="Select food category:","",IFERROR(VLOOKUP($H423,Ingredient_prices!$E:$W,18,FALSE)*$Q423/1000,"not bought")))</f>
        <v/>
      </c>
      <c r="AV423" s="583">
        <f t="shared" si="927"/>
        <v>0</v>
      </c>
      <c r="AW423" s="583">
        <f t="shared" si="928"/>
        <v>0</v>
      </c>
      <c r="AX423" s="583">
        <f t="shared" si="929"/>
        <v>0</v>
      </c>
      <c r="AY423" s="583">
        <f t="shared" si="930"/>
        <v>0</v>
      </c>
      <c r="AZ423" s="583">
        <f t="shared" si="931"/>
        <v>0</v>
      </c>
      <c r="BA423" s="583">
        <f t="shared" si="932"/>
        <v>0</v>
      </c>
      <c r="BB423" s="583">
        <f t="shared" si="933"/>
        <v>0</v>
      </c>
      <c r="BC423" s="583">
        <f t="shared" si="934"/>
        <v>0</v>
      </c>
      <c r="BD423" s="583">
        <f t="shared" si="935"/>
        <v>0</v>
      </c>
      <c r="BE423" s="583">
        <f t="shared" si="936"/>
        <v>0</v>
      </c>
      <c r="BF423" s="583">
        <f t="shared" si="937"/>
        <v>0</v>
      </c>
      <c r="BG423" s="583">
        <f t="shared" si="938"/>
        <v>0</v>
      </c>
      <c r="BH423" s="583">
        <f t="shared" si="939"/>
        <v>0</v>
      </c>
      <c r="BI423" s="583">
        <f t="shared" si="940"/>
        <v>0</v>
      </c>
      <c r="BJ423" s="583">
        <f t="shared" si="941"/>
        <v>0</v>
      </c>
      <c r="BK423" s="583">
        <f t="shared" si="942"/>
        <v>0</v>
      </c>
      <c r="BL423" s="583">
        <f t="shared" si="943"/>
        <v>0</v>
      </c>
      <c r="BM423" s="583">
        <f t="shared" si="944"/>
        <v>0</v>
      </c>
      <c r="BN423" s="583">
        <f t="shared" si="945"/>
        <v>0</v>
      </c>
      <c r="BO423" s="583">
        <f t="shared" si="946"/>
        <v>0</v>
      </c>
      <c r="BP423" s="583">
        <f t="shared" si="947"/>
        <v>0</v>
      </c>
      <c r="BQ423" s="583">
        <f t="shared" si="948"/>
        <v>0</v>
      </c>
      <c r="BR423" s="583">
        <f t="shared" si="949"/>
        <v>0</v>
      </c>
    </row>
    <row r="424" spans="1:70" s="229" customFormat="1" ht="15" customHeight="1">
      <c r="A424" s="504"/>
      <c r="D424" s="85"/>
      <c r="E424" s="576">
        <f t="shared" si="951"/>
        <v>100</v>
      </c>
      <c r="F424" s="707"/>
      <c r="G424" s="406" t="s">
        <v>3054</v>
      </c>
      <c r="H424" s="1262" t="s">
        <v>3055</v>
      </c>
      <c r="I424" s="85">
        <v>0</v>
      </c>
      <c r="J424" s="682">
        <v>1</v>
      </c>
      <c r="K424" s="579" t="str">
        <f t="shared" si="925"/>
        <v/>
      </c>
      <c r="L424" s="580" t="str">
        <f>IF(H424="Select ingredient:","",IF(G424="","",_xlfn.IFNA(VLOOKUP($H424,Ingredient_prices!$E:$U,16,FALSE),0)))</f>
        <v/>
      </c>
      <c r="M424" s="850"/>
      <c r="N424" s="850"/>
      <c r="O424" s="666"/>
      <c r="P424" s="670"/>
      <c r="Q424" s="583">
        <f t="shared" si="926"/>
        <v>0</v>
      </c>
      <c r="R424" s="583">
        <f>VLOOKUP($H424,'CO2_emission+%_food_waste'!$A:$K,6,FALSE)*$Q424/100</f>
        <v>0</v>
      </c>
      <c r="S424" s="583">
        <f t="shared" si="950"/>
        <v>0</v>
      </c>
      <c r="T424" s="583" t="str">
        <f>IF(H424="Select ingredient:","",IF(G424="Select food category:","",_xlfn.IFNA(VLOOKUP($H424,Ingredient_prices!$E:$U,16,FALSE)*$Q424/1000,"not bought")))</f>
        <v/>
      </c>
      <c r="U424" s="583" t="str">
        <f>IF(G424="Select food category:","",_xlfn.IFNA(VLOOKUP($H424,Ingredient_prices!$E:$U,16,FALSE)*$R424/1000,"not bought"))</f>
        <v/>
      </c>
      <c r="V424" s="549">
        <f>VLOOKUP($H424,'CO2_emission+%_food_waste'!$A:$K,4,FALSE)*$Q424</f>
        <v>0</v>
      </c>
      <c r="W424" s="583">
        <f>VLOOKUP($H424,Nutrition_tables!$A:$N,10,FALSE)*$Q424/100</f>
        <v>0</v>
      </c>
      <c r="X424" s="583">
        <f>VLOOKUP($H424,Nutrition_tables!$A:$N,11,FALSE)*$Q424/100</f>
        <v>0</v>
      </c>
      <c r="Y424" s="583">
        <f>VLOOKUP($H424,Nutrition_tables!$A:$N,12,FALSE)*$Q424/100</f>
        <v>0</v>
      </c>
      <c r="Z424" s="583">
        <f>VLOOKUP($H424,Nutrition_tables!$A:$N,14,FALSE)*$Q424/100</f>
        <v>0</v>
      </c>
      <c r="AA424" s="583">
        <f>VLOOKUP($H424,Nutrition_tables!$A:$AF,13,FALSE)*$Q424/100</f>
        <v>0</v>
      </c>
      <c r="AB424" s="549">
        <f>VLOOKUP($H424,Nutrition_tables!$A:$AF,15,FALSE)*$Q424/100</f>
        <v>0</v>
      </c>
      <c r="AC424" s="583">
        <f>VLOOKUP($H424,Nutrition_tables!$A:$AF,16,FALSE)*$Q424/100</f>
        <v>0</v>
      </c>
      <c r="AD424" s="583">
        <f>VLOOKUP($H424,Nutrition_tables!$A:$AF,17,FALSE)*$Q424/100</f>
        <v>0</v>
      </c>
      <c r="AE424" s="583">
        <f>VLOOKUP($H424,Nutrition_tables!$A:$AF,18,FALSE)*$Q424/100</f>
        <v>0</v>
      </c>
      <c r="AF424" s="583">
        <f>VLOOKUP($H424,Nutrition_tables!$A:$AF,19,FALSE)*$Q424/100</f>
        <v>0</v>
      </c>
      <c r="AG424" s="583">
        <f>VLOOKUP($H424,Nutrition_tables!$A:$AF,20,FALSE)*$Q424/100</f>
        <v>0</v>
      </c>
      <c r="AH424" s="583">
        <f>VLOOKUP($H424,Nutrition_tables!$A:$AF,21,FALSE)*$Q424/100</f>
        <v>0</v>
      </c>
      <c r="AI424" s="583">
        <f>VLOOKUP($H424,Nutrition_tables!$A:$AF,22,FALSE)*$Q424/100</f>
        <v>0</v>
      </c>
      <c r="AJ424" s="549">
        <f>VLOOKUP($H424,Nutrition_tables!$A:$AF,23,FALSE)*$Q424/100</f>
        <v>0</v>
      </c>
      <c r="AK424" s="583">
        <f>VLOOKUP($H424,Nutrition_tables!$A:$AF,24,FALSE)*$Q424/100</f>
        <v>0</v>
      </c>
      <c r="AL424" s="583">
        <f>VLOOKUP($H424,Nutrition_tables!$A:$AF,25,FALSE)*$Q424/100</f>
        <v>0</v>
      </c>
      <c r="AM424" s="583">
        <f>VLOOKUP($H424,Nutrition_tables!$A:$AF,26,FALSE)*$Q424/100</f>
        <v>0</v>
      </c>
      <c r="AN424" s="583">
        <f>VLOOKUP($H424,Nutrition_tables!$A:$AF,27,FALSE)*$Q424/100</f>
        <v>0</v>
      </c>
      <c r="AO424" s="583">
        <f>VLOOKUP($H424,Nutrition_tables!$A:$AF,28,FALSE)*$Q424/100</f>
        <v>0</v>
      </c>
      <c r="AP424" s="583">
        <f>VLOOKUP($H424,Nutrition_tables!$A:$AF,29,FALSE)*$Q424/100</f>
        <v>0</v>
      </c>
      <c r="AQ424" s="583">
        <f>VLOOKUP($H424,Nutrition_tables!$A:$AF,30,FALSE)*$Q424/100</f>
        <v>0</v>
      </c>
      <c r="AR424" s="583">
        <f>VLOOKUP($H424,Nutrition_tables!$A:$AF,31,FALSE)*$Q424/100</f>
        <v>0</v>
      </c>
      <c r="AS424" s="549">
        <f>VLOOKUP($H424,Nutrition_tables!$A:$AF,32,FALSE)*$Q424/100</f>
        <v>0</v>
      </c>
      <c r="AT424" s="583" t="str">
        <f>IF(H424="Select ingredient:","",IF(G424="Select food category:","",IFERROR(VLOOKUP($H424,Ingredient_prices!$E:$W,17,FALSE)*$Q424/1000,"not bought")))</f>
        <v/>
      </c>
      <c r="AU424" s="583" t="str">
        <f>IF(H424="Select ingredient:","",IF(G424="Select food category:","",IFERROR(VLOOKUP($H424,Ingredient_prices!$E:$W,18,FALSE)*$Q424/1000,"not bought")))</f>
        <v/>
      </c>
      <c r="AV424" s="583">
        <f t="shared" si="927"/>
        <v>0</v>
      </c>
      <c r="AW424" s="583">
        <f t="shared" si="928"/>
        <v>0</v>
      </c>
      <c r="AX424" s="583">
        <f t="shared" si="929"/>
        <v>0</v>
      </c>
      <c r="AY424" s="583">
        <f t="shared" si="930"/>
        <v>0</v>
      </c>
      <c r="AZ424" s="583">
        <f t="shared" si="931"/>
        <v>0</v>
      </c>
      <c r="BA424" s="583">
        <f t="shared" si="932"/>
        <v>0</v>
      </c>
      <c r="BB424" s="583">
        <f t="shared" si="933"/>
        <v>0</v>
      </c>
      <c r="BC424" s="583">
        <f t="shared" si="934"/>
        <v>0</v>
      </c>
      <c r="BD424" s="583">
        <f t="shared" si="935"/>
        <v>0</v>
      </c>
      <c r="BE424" s="583">
        <f t="shared" si="936"/>
        <v>0</v>
      </c>
      <c r="BF424" s="583">
        <f t="shared" si="937"/>
        <v>0</v>
      </c>
      <c r="BG424" s="583">
        <f t="shared" si="938"/>
        <v>0</v>
      </c>
      <c r="BH424" s="583">
        <f t="shared" si="939"/>
        <v>0</v>
      </c>
      <c r="BI424" s="583">
        <f t="shared" si="940"/>
        <v>0</v>
      </c>
      <c r="BJ424" s="583">
        <f t="shared" si="941"/>
        <v>0</v>
      </c>
      <c r="BK424" s="583">
        <f t="shared" si="942"/>
        <v>0</v>
      </c>
      <c r="BL424" s="583">
        <f t="shared" si="943"/>
        <v>0</v>
      </c>
      <c r="BM424" s="583">
        <f t="shared" si="944"/>
        <v>0</v>
      </c>
      <c r="BN424" s="583">
        <f t="shared" si="945"/>
        <v>0</v>
      </c>
      <c r="BO424" s="583">
        <f t="shared" si="946"/>
        <v>0</v>
      </c>
      <c r="BP424" s="583">
        <f t="shared" si="947"/>
        <v>0</v>
      </c>
      <c r="BQ424" s="583">
        <f t="shared" si="948"/>
        <v>0</v>
      </c>
      <c r="BR424" s="583">
        <f t="shared" si="949"/>
        <v>0</v>
      </c>
    </row>
    <row r="425" spans="1:70" s="229" customFormat="1" ht="15" customHeight="1">
      <c r="A425" s="504"/>
      <c r="D425" s="85"/>
      <c r="E425" s="576">
        <f t="shared" si="951"/>
        <v>100</v>
      </c>
      <c r="F425" s="707"/>
      <c r="G425" s="406" t="s">
        <v>3054</v>
      </c>
      <c r="H425" s="1262" t="s">
        <v>3055</v>
      </c>
      <c r="I425" s="85">
        <v>0</v>
      </c>
      <c r="J425" s="682">
        <v>1</v>
      </c>
      <c r="K425" s="579" t="str">
        <f t="shared" si="925"/>
        <v/>
      </c>
      <c r="L425" s="580" t="str">
        <f>IF(H425="Select ingredient:","",IF(G425="","",_xlfn.IFNA(VLOOKUP($H425,Ingredient_prices!$E:$U,16,FALSE),0)))</f>
        <v/>
      </c>
      <c r="M425" s="850"/>
      <c r="N425" s="850"/>
      <c r="O425" s="666"/>
      <c r="P425" s="670"/>
      <c r="Q425" s="583">
        <f t="shared" si="926"/>
        <v>0</v>
      </c>
      <c r="R425" s="583">
        <f>VLOOKUP($H425,'CO2_emission+%_food_waste'!$A:$K,6,FALSE)*$Q425/100</f>
        <v>0</v>
      </c>
      <c r="S425" s="583">
        <f t="shared" si="950"/>
        <v>0</v>
      </c>
      <c r="T425" s="583" t="str">
        <f>IF(H425="Select ingredient:","",IF(G425="Select food category:","",_xlfn.IFNA(VLOOKUP($H425,Ingredient_prices!$E:$U,16,FALSE)*$Q425/1000,"not bought")))</f>
        <v/>
      </c>
      <c r="U425" s="583" t="str">
        <f>IF(G425="Select food category:","",_xlfn.IFNA(VLOOKUP($H425,Ingredient_prices!$E:$U,16,FALSE)*$R425/1000,"not bought"))</f>
        <v/>
      </c>
      <c r="V425" s="549">
        <f>VLOOKUP($H425,'CO2_emission+%_food_waste'!$A:$K,4,FALSE)*$Q425</f>
        <v>0</v>
      </c>
      <c r="W425" s="583">
        <f>VLOOKUP($H425,Nutrition_tables!$A:$N,10,FALSE)*$Q425/100</f>
        <v>0</v>
      </c>
      <c r="X425" s="583">
        <f>VLOOKUP($H425,Nutrition_tables!$A:$N,11,FALSE)*$Q425/100</f>
        <v>0</v>
      </c>
      <c r="Y425" s="583">
        <f>VLOOKUP($H425,Nutrition_tables!$A:$N,12,FALSE)*$Q425/100</f>
        <v>0</v>
      </c>
      <c r="Z425" s="583">
        <f>VLOOKUP($H425,Nutrition_tables!$A:$N,14,FALSE)*$Q425/100</f>
        <v>0</v>
      </c>
      <c r="AA425" s="583">
        <f>VLOOKUP($H425,Nutrition_tables!$A:$AF,13,FALSE)*$Q425/100</f>
        <v>0</v>
      </c>
      <c r="AB425" s="549">
        <f>VLOOKUP($H425,Nutrition_tables!$A:$AF,15,FALSE)*$Q425/100</f>
        <v>0</v>
      </c>
      <c r="AC425" s="583">
        <f>VLOOKUP($H425,Nutrition_tables!$A:$AF,16,FALSE)*$Q425/100</f>
        <v>0</v>
      </c>
      <c r="AD425" s="583">
        <f>VLOOKUP($H425,Nutrition_tables!$A:$AF,17,FALSE)*$Q425/100</f>
        <v>0</v>
      </c>
      <c r="AE425" s="583">
        <f>VLOOKUP($H425,Nutrition_tables!$A:$AF,18,FALSE)*$Q425/100</f>
        <v>0</v>
      </c>
      <c r="AF425" s="583">
        <f>VLOOKUP($H425,Nutrition_tables!$A:$AF,19,FALSE)*$Q425/100</f>
        <v>0</v>
      </c>
      <c r="AG425" s="583">
        <f>VLOOKUP($H425,Nutrition_tables!$A:$AF,20,FALSE)*$Q425/100</f>
        <v>0</v>
      </c>
      <c r="AH425" s="583">
        <f>VLOOKUP($H425,Nutrition_tables!$A:$AF,21,FALSE)*$Q425/100</f>
        <v>0</v>
      </c>
      <c r="AI425" s="583">
        <f>VLOOKUP($H425,Nutrition_tables!$A:$AF,22,FALSE)*$Q425/100</f>
        <v>0</v>
      </c>
      <c r="AJ425" s="549">
        <f>VLOOKUP($H425,Nutrition_tables!$A:$AF,23,FALSE)*$Q425/100</f>
        <v>0</v>
      </c>
      <c r="AK425" s="583">
        <f>VLOOKUP($H425,Nutrition_tables!$A:$AF,24,FALSE)*$Q425/100</f>
        <v>0</v>
      </c>
      <c r="AL425" s="583">
        <f>VLOOKUP($H425,Nutrition_tables!$A:$AF,25,FALSE)*$Q425/100</f>
        <v>0</v>
      </c>
      <c r="AM425" s="583">
        <f>VLOOKUP($H425,Nutrition_tables!$A:$AF,26,FALSE)*$Q425/100</f>
        <v>0</v>
      </c>
      <c r="AN425" s="583">
        <f>VLOOKUP($H425,Nutrition_tables!$A:$AF,27,FALSE)*$Q425/100</f>
        <v>0</v>
      </c>
      <c r="AO425" s="583">
        <f>VLOOKUP($H425,Nutrition_tables!$A:$AF,28,FALSE)*$Q425/100</f>
        <v>0</v>
      </c>
      <c r="AP425" s="583">
        <f>VLOOKUP($H425,Nutrition_tables!$A:$AF,29,FALSE)*$Q425/100</f>
        <v>0</v>
      </c>
      <c r="AQ425" s="583">
        <f>VLOOKUP($H425,Nutrition_tables!$A:$AF,30,FALSE)*$Q425/100</f>
        <v>0</v>
      </c>
      <c r="AR425" s="583">
        <f>VLOOKUP($H425,Nutrition_tables!$A:$AF,31,FALSE)*$Q425/100</f>
        <v>0</v>
      </c>
      <c r="AS425" s="549">
        <f>VLOOKUP($H425,Nutrition_tables!$A:$AF,32,FALSE)*$Q425/100</f>
        <v>0</v>
      </c>
      <c r="AT425" s="583" t="str">
        <f>IF(H425="Select ingredient:","",IF(G425="Select food category:","",IFERROR(VLOOKUP($H425,Ingredient_prices!$E:$W,17,FALSE)*$Q425/1000,"not bought")))</f>
        <v/>
      </c>
      <c r="AU425" s="583" t="str">
        <f>IF(H425="Select ingredient:","",IF(G425="Select food category:","",IFERROR(VLOOKUP($H425,Ingredient_prices!$E:$W,18,FALSE)*$Q425/1000,"not bought")))</f>
        <v/>
      </c>
      <c r="AV425" s="583">
        <f t="shared" si="927"/>
        <v>0</v>
      </c>
      <c r="AW425" s="583">
        <f t="shared" si="928"/>
        <v>0</v>
      </c>
      <c r="AX425" s="583">
        <f t="shared" si="929"/>
        <v>0</v>
      </c>
      <c r="AY425" s="583">
        <f t="shared" si="930"/>
        <v>0</v>
      </c>
      <c r="AZ425" s="583">
        <f t="shared" si="931"/>
        <v>0</v>
      </c>
      <c r="BA425" s="583">
        <f t="shared" si="932"/>
        <v>0</v>
      </c>
      <c r="BB425" s="583">
        <f t="shared" si="933"/>
        <v>0</v>
      </c>
      <c r="BC425" s="583">
        <f t="shared" si="934"/>
        <v>0</v>
      </c>
      <c r="BD425" s="583">
        <f t="shared" si="935"/>
        <v>0</v>
      </c>
      <c r="BE425" s="583">
        <f t="shared" si="936"/>
        <v>0</v>
      </c>
      <c r="BF425" s="583">
        <f t="shared" si="937"/>
        <v>0</v>
      </c>
      <c r="BG425" s="583">
        <f t="shared" si="938"/>
        <v>0</v>
      </c>
      <c r="BH425" s="583">
        <f t="shared" si="939"/>
        <v>0</v>
      </c>
      <c r="BI425" s="583">
        <f t="shared" si="940"/>
        <v>0</v>
      </c>
      <c r="BJ425" s="583">
        <f t="shared" si="941"/>
        <v>0</v>
      </c>
      <c r="BK425" s="583">
        <f t="shared" si="942"/>
        <v>0</v>
      </c>
      <c r="BL425" s="583">
        <f t="shared" si="943"/>
        <v>0</v>
      </c>
      <c r="BM425" s="583">
        <f t="shared" si="944"/>
        <v>0</v>
      </c>
      <c r="BN425" s="583">
        <f t="shared" si="945"/>
        <v>0</v>
      </c>
      <c r="BO425" s="583">
        <f t="shared" si="946"/>
        <v>0</v>
      </c>
      <c r="BP425" s="583">
        <f t="shared" si="947"/>
        <v>0</v>
      </c>
      <c r="BQ425" s="583">
        <f t="shared" si="948"/>
        <v>0</v>
      </c>
      <c r="BR425" s="583">
        <f t="shared" si="949"/>
        <v>0</v>
      </c>
    </row>
    <row r="426" spans="1:70" s="229" customFormat="1" ht="15" customHeight="1">
      <c r="A426" s="504"/>
      <c r="D426" s="85"/>
      <c r="E426" s="576">
        <f t="shared" si="951"/>
        <v>100</v>
      </c>
      <c r="F426" s="707"/>
      <c r="G426" s="406" t="s">
        <v>3054</v>
      </c>
      <c r="H426" s="1262" t="s">
        <v>3055</v>
      </c>
      <c r="I426" s="85">
        <v>0</v>
      </c>
      <c r="J426" s="682">
        <v>1</v>
      </c>
      <c r="K426" s="579" t="str">
        <f t="shared" si="925"/>
        <v/>
      </c>
      <c r="L426" s="580" t="str">
        <f>IF(H426="Select ingredient:","",IF(G426="","",_xlfn.IFNA(VLOOKUP($H426,Ingredient_prices!$E:$U,16,FALSE),0)))</f>
        <v/>
      </c>
      <c r="M426" s="850"/>
      <c r="N426" s="850"/>
      <c r="O426" s="666"/>
      <c r="P426" s="670"/>
      <c r="Q426" s="583">
        <f t="shared" si="926"/>
        <v>0</v>
      </c>
      <c r="R426" s="583">
        <f>VLOOKUP($H426,'CO2_emission+%_food_waste'!$A:$K,6,FALSE)*$Q426/100</f>
        <v>0</v>
      </c>
      <c r="S426" s="583">
        <f t="shared" si="950"/>
        <v>0</v>
      </c>
      <c r="T426" s="583" t="str">
        <f>IF(H426="Select ingredient:","",IF(G426="Select food category:","",_xlfn.IFNA(VLOOKUP($H426,Ingredient_prices!$E:$U,16,FALSE)*$Q426/1000,"not bought")))</f>
        <v/>
      </c>
      <c r="U426" s="583" t="str">
        <f>IF(G426="Select food category:","",_xlfn.IFNA(VLOOKUP($H426,Ingredient_prices!$E:$U,16,FALSE)*$R426/1000,"not bought"))</f>
        <v/>
      </c>
      <c r="V426" s="549">
        <f>VLOOKUP($H426,'CO2_emission+%_food_waste'!$A:$K,4,FALSE)*$Q426</f>
        <v>0</v>
      </c>
      <c r="W426" s="583">
        <f>VLOOKUP($H426,Nutrition_tables!$A:$N,10,FALSE)*$Q426/100</f>
        <v>0</v>
      </c>
      <c r="X426" s="583">
        <f>VLOOKUP($H426,Nutrition_tables!$A:$N,11,FALSE)*$Q426/100</f>
        <v>0</v>
      </c>
      <c r="Y426" s="583">
        <f>VLOOKUP($H426,Nutrition_tables!$A:$N,12,FALSE)*$Q426/100</f>
        <v>0</v>
      </c>
      <c r="Z426" s="583">
        <f>VLOOKUP($H426,Nutrition_tables!$A:$N,14,FALSE)*$Q426/100</f>
        <v>0</v>
      </c>
      <c r="AA426" s="583">
        <f>VLOOKUP($H426,Nutrition_tables!$A:$AF,13,FALSE)*$Q426/100</f>
        <v>0</v>
      </c>
      <c r="AB426" s="549">
        <f>VLOOKUP($H426,Nutrition_tables!$A:$AF,15,FALSE)*$Q426/100</f>
        <v>0</v>
      </c>
      <c r="AC426" s="583">
        <f>VLOOKUP($H426,Nutrition_tables!$A:$AF,16,FALSE)*$Q426/100</f>
        <v>0</v>
      </c>
      <c r="AD426" s="583">
        <f>VLOOKUP($H426,Nutrition_tables!$A:$AF,17,FALSE)*$Q426/100</f>
        <v>0</v>
      </c>
      <c r="AE426" s="583">
        <f>VLOOKUP($H426,Nutrition_tables!$A:$AF,18,FALSE)*$Q426/100</f>
        <v>0</v>
      </c>
      <c r="AF426" s="583">
        <f>VLOOKUP($H426,Nutrition_tables!$A:$AF,19,FALSE)*$Q426/100</f>
        <v>0</v>
      </c>
      <c r="AG426" s="583">
        <f>VLOOKUP($H426,Nutrition_tables!$A:$AF,20,FALSE)*$Q426/100</f>
        <v>0</v>
      </c>
      <c r="AH426" s="583">
        <f>VLOOKUP($H426,Nutrition_tables!$A:$AF,21,FALSE)*$Q426/100</f>
        <v>0</v>
      </c>
      <c r="AI426" s="583">
        <f>VLOOKUP($H426,Nutrition_tables!$A:$AF,22,FALSE)*$Q426/100</f>
        <v>0</v>
      </c>
      <c r="AJ426" s="549">
        <f>VLOOKUP($H426,Nutrition_tables!$A:$AF,23,FALSE)*$Q426/100</f>
        <v>0</v>
      </c>
      <c r="AK426" s="583">
        <f>VLOOKUP($H426,Nutrition_tables!$A:$AF,24,FALSE)*$Q426/100</f>
        <v>0</v>
      </c>
      <c r="AL426" s="583">
        <f>VLOOKUP($H426,Nutrition_tables!$A:$AF,25,FALSE)*$Q426/100</f>
        <v>0</v>
      </c>
      <c r="AM426" s="583">
        <f>VLOOKUP($H426,Nutrition_tables!$A:$AF,26,FALSE)*$Q426/100</f>
        <v>0</v>
      </c>
      <c r="AN426" s="583">
        <f>VLOOKUP($H426,Nutrition_tables!$A:$AF,27,FALSE)*$Q426/100</f>
        <v>0</v>
      </c>
      <c r="AO426" s="583">
        <f>VLOOKUP($H426,Nutrition_tables!$A:$AF,28,FALSE)*$Q426/100</f>
        <v>0</v>
      </c>
      <c r="AP426" s="583">
        <f>VLOOKUP($H426,Nutrition_tables!$A:$AF,29,FALSE)*$Q426/100</f>
        <v>0</v>
      </c>
      <c r="AQ426" s="583">
        <f>VLOOKUP($H426,Nutrition_tables!$A:$AF,30,FALSE)*$Q426/100</f>
        <v>0</v>
      </c>
      <c r="AR426" s="583">
        <f>VLOOKUP($H426,Nutrition_tables!$A:$AF,31,FALSE)*$Q426/100</f>
        <v>0</v>
      </c>
      <c r="AS426" s="549">
        <f>VLOOKUP($H426,Nutrition_tables!$A:$AF,32,FALSE)*$Q426/100</f>
        <v>0</v>
      </c>
      <c r="AT426" s="583" t="str">
        <f>IF(H426="Select ingredient:","",IF(G426="Select food category:","",IFERROR(VLOOKUP($H426,Ingredient_prices!$E:$W,17,FALSE)*$Q426/1000,"not bought")))</f>
        <v/>
      </c>
      <c r="AU426" s="583" t="str">
        <f>IF(H426="Select ingredient:","",IF(G426="Select food category:","",IFERROR(VLOOKUP($H426,Ingredient_prices!$E:$W,18,FALSE)*$Q426/1000,"not bought")))</f>
        <v/>
      </c>
      <c r="AV426" s="583">
        <f t="shared" si="927"/>
        <v>0</v>
      </c>
      <c r="AW426" s="583">
        <f t="shared" si="928"/>
        <v>0</v>
      </c>
      <c r="AX426" s="583">
        <f t="shared" si="929"/>
        <v>0</v>
      </c>
      <c r="AY426" s="583">
        <f t="shared" si="930"/>
        <v>0</v>
      </c>
      <c r="AZ426" s="583">
        <f t="shared" si="931"/>
        <v>0</v>
      </c>
      <c r="BA426" s="583">
        <f t="shared" si="932"/>
        <v>0</v>
      </c>
      <c r="BB426" s="583">
        <f t="shared" si="933"/>
        <v>0</v>
      </c>
      <c r="BC426" s="583">
        <f t="shared" si="934"/>
        <v>0</v>
      </c>
      <c r="BD426" s="583">
        <f t="shared" si="935"/>
        <v>0</v>
      </c>
      <c r="BE426" s="583">
        <f t="shared" si="936"/>
        <v>0</v>
      </c>
      <c r="BF426" s="583">
        <f t="shared" si="937"/>
        <v>0</v>
      </c>
      <c r="BG426" s="583">
        <f t="shared" si="938"/>
        <v>0</v>
      </c>
      <c r="BH426" s="583">
        <f t="shared" si="939"/>
        <v>0</v>
      </c>
      <c r="BI426" s="583">
        <f t="shared" si="940"/>
        <v>0</v>
      </c>
      <c r="BJ426" s="583">
        <f t="shared" si="941"/>
        <v>0</v>
      </c>
      <c r="BK426" s="583">
        <f t="shared" si="942"/>
        <v>0</v>
      </c>
      <c r="BL426" s="583">
        <f t="shared" si="943"/>
        <v>0</v>
      </c>
      <c r="BM426" s="583">
        <f t="shared" si="944"/>
        <v>0</v>
      </c>
      <c r="BN426" s="583">
        <f t="shared" si="945"/>
        <v>0</v>
      </c>
      <c r="BO426" s="583">
        <f t="shared" si="946"/>
        <v>0</v>
      </c>
      <c r="BP426" s="583">
        <f t="shared" si="947"/>
        <v>0</v>
      </c>
      <c r="BQ426" s="583">
        <f t="shared" si="948"/>
        <v>0</v>
      </c>
      <c r="BR426" s="583">
        <f t="shared" si="949"/>
        <v>0</v>
      </c>
    </row>
    <row r="427" spans="1:70" s="603" customFormat="1" ht="56">
      <c r="A427" s="504"/>
      <c r="B427" s="593"/>
      <c r="C427" s="522"/>
      <c r="D427" s="141"/>
      <c r="E427" s="594"/>
      <c r="F427" s="716"/>
      <c r="G427" s="522"/>
      <c r="H427" s="522"/>
      <c r="I427" s="86"/>
      <c r="J427" s="87"/>
      <c r="K427" s="595"/>
      <c r="L427" s="596"/>
      <c r="M427" s="851"/>
      <c r="N427" s="851"/>
      <c r="O427" s="666"/>
      <c r="P427" s="671"/>
      <c r="Q427" s="599" t="s">
        <v>384</v>
      </c>
      <c r="R427" s="600" t="s">
        <v>455</v>
      </c>
      <c r="S427" s="600" t="s">
        <v>2087</v>
      </c>
      <c r="T427" s="600" t="s">
        <v>456</v>
      </c>
      <c r="U427" s="600" t="s">
        <v>535</v>
      </c>
      <c r="V427" s="601" t="s">
        <v>457</v>
      </c>
      <c r="W427" s="600" t="s">
        <v>75</v>
      </c>
      <c r="X427" s="600" t="s">
        <v>385</v>
      </c>
      <c r="Y427" s="600" t="s">
        <v>386</v>
      </c>
      <c r="Z427" s="600" t="s">
        <v>387</v>
      </c>
      <c r="AA427" s="600" t="s">
        <v>388</v>
      </c>
      <c r="AB427" s="601" t="s">
        <v>389</v>
      </c>
      <c r="AC427" s="602" t="s">
        <v>390</v>
      </c>
      <c r="AD427" s="600" t="s">
        <v>391</v>
      </c>
      <c r="AE427" s="600" t="s">
        <v>392</v>
      </c>
      <c r="AF427" s="600" t="s">
        <v>393</v>
      </c>
      <c r="AG427" s="600" t="s">
        <v>394</v>
      </c>
      <c r="AH427" s="600" t="s">
        <v>395</v>
      </c>
      <c r="AI427" s="600" t="s">
        <v>396</v>
      </c>
      <c r="AJ427" s="601" t="s">
        <v>397</v>
      </c>
      <c r="AK427" s="602" t="s">
        <v>398</v>
      </c>
      <c r="AL427" s="600" t="s">
        <v>399</v>
      </c>
      <c r="AM427" s="600" t="s">
        <v>400</v>
      </c>
      <c r="AN427" s="600" t="s">
        <v>401</v>
      </c>
      <c r="AO427" s="600" t="s">
        <v>402</v>
      </c>
      <c r="AP427" s="600" t="s">
        <v>406</v>
      </c>
      <c r="AQ427" s="600" t="s">
        <v>405</v>
      </c>
      <c r="AR427" s="600" t="s">
        <v>403</v>
      </c>
      <c r="AS427" s="601" t="s">
        <v>404</v>
      </c>
      <c r="AT427" s="593"/>
      <c r="AU427" s="593"/>
    </row>
    <row r="428" spans="1:70" s="229" customFormat="1">
      <c r="A428" s="504"/>
      <c r="B428" s="522"/>
      <c r="C428" s="522"/>
      <c r="D428" s="141"/>
      <c r="E428" s="594"/>
      <c r="F428" s="716"/>
      <c r="G428" s="522"/>
      <c r="H428" s="594"/>
      <c r="I428" s="86"/>
      <c r="J428" s="87"/>
      <c r="K428" s="595"/>
      <c r="L428" s="596"/>
      <c r="M428" s="851"/>
      <c r="N428" s="851"/>
      <c r="O428" s="666"/>
      <c r="P428" s="672" t="s">
        <v>383</v>
      </c>
      <c r="Q428" s="583">
        <f>SUM(Q407:Q426)</f>
        <v>0</v>
      </c>
      <c r="R428" s="583">
        <f t="shared" ref="R428:V428" si="952">SUM(R407:R426)</f>
        <v>0</v>
      </c>
      <c r="S428" s="583">
        <f>SUM(S407:S426)</f>
        <v>0</v>
      </c>
      <c r="T428" s="583">
        <f t="shared" si="952"/>
        <v>0</v>
      </c>
      <c r="U428" s="583">
        <f t="shared" si="952"/>
        <v>0</v>
      </c>
      <c r="V428" s="549">
        <f t="shared" si="952"/>
        <v>0</v>
      </c>
      <c r="W428" s="583">
        <f t="shared" ref="W428:AU428" si="953">SUM(W407:W426)</f>
        <v>0</v>
      </c>
      <c r="X428" s="583">
        <f t="shared" si="953"/>
        <v>0</v>
      </c>
      <c r="Y428" s="583">
        <f t="shared" si="953"/>
        <v>0</v>
      </c>
      <c r="Z428" s="583">
        <f t="shared" si="953"/>
        <v>0</v>
      </c>
      <c r="AA428" s="583">
        <f t="shared" si="953"/>
        <v>0</v>
      </c>
      <c r="AB428" s="549">
        <f t="shared" si="953"/>
        <v>0</v>
      </c>
      <c r="AC428" s="583">
        <f t="shared" si="953"/>
        <v>0</v>
      </c>
      <c r="AD428" s="583">
        <f t="shared" si="953"/>
        <v>0</v>
      </c>
      <c r="AE428" s="583">
        <f t="shared" si="953"/>
        <v>0</v>
      </c>
      <c r="AF428" s="583">
        <f t="shared" si="953"/>
        <v>0</v>
      </c>
      <c r="AG428" s="583">
        <f t="shared" si="953"/>
        <v>0</v>
      </c>
      <c r="AH428" s="583">
        <f t="shared" si="953"/>
        <v>0</v>
      </c>
      <c r="AI428" s="583">
        <f t="shared" si="953"/>
        <v>0</v>
      </c>
      <c r="AJ428" s="549">
        <f t="shared" si="953"/>
        <v>0</v>
      </c>
      <c r="AK428" s="583">
        <f t="shared" si="953"/>
        <v>0</v>
      </c>
      <c r="AL428" s="583">
        <f t="shared" si="953"/>
        <v>0</v>
      </c>
      <c r="AM428" s="583">
        <f t="shared" si="953"/>
        <v>0</v>
      </c>
      <c r="AN428" s="583">
        <f t="shared" si="953"/>
        <v>0</v>
      </c>
      <c r="AO428" s="583">
        <f t="shared" si="953"/>
        <v>0</v>
      </c>
      <c r="AP428" s="583">
        <f t="shared" si="953"/>
        <v>0</v>
      </c>
      <c r="AQ428" s="583">
        <f t="shared" si="953"/>
        <v>0</v>
      </c>
      <c r="AR428" s="583">
        <f t="shared" si="953"/>
        <v>0</v>
      </c>
      <c r="AS428" s="549">
        <f t="shared" si="953"/>
        <v>0</v>
      </c>
      <c r="AT428" s="583">
        <f t="shared" si="953"/>
        <v>0</v>
      </c>
      <c r="AU428" s="583">
        <f t="shared" si="953"/>
        <v>0</v>
      </c>
      <c r="AV428" s="583">
        <f>SUM(AV407:AV426)</f>
        <v>0</v>
      </c>
      <c r="AW428" s="583">
        <f t="shared" ref="AW428:BR428" si="954">SUM(AW407:AW426)</f>
        <v>0</v>
      </c>
      <c r="AX428" s="583">
        <f t="shared" si="954"/>
        <v>0</v>
      </c>
      <c r="AY428" s="583">
        <f t="shared" si="954"/>
        <v>0</v>
      </c>
      <c r="AZ428" s="583">
        <f t="shared" si="954"/>
        <v>0</v>
      </c>
      <c r="BA428" s="583">
        <f t="shared" si="954"/>
        <v>0</v>
      </c>
      <c r="BB428" s="583">
        <f t="shared" si="954"/>
        <v>0</v>
      </c>
      <c r="BC428" s="583">
        <f t="shared" si="954"/>
        <v>0</v>
      </c>
      <c r="BD428" s="583">
        <f t="shared" si="954"/>
        <v>0</v>
      </c>
      <c r="BE428" s="583">
        <f t="shared" si="954"/>
        <v>0</v>
      </c>
      <c r="BF428" s="583">
        <f t="shared" si="954"/>
        <v>0</v>
      </c>
      <c r="BG428" s="583">
        <f t="shared" si="954"/>
        <v>0</v>
      </c>
      <c r="BH428" s="583">
        <f t="shared" si="954"/>
        <v>0</v>
      </c>
      <c r="BI428" s="583">
        <f t="shared" si="954"/>
        <v>0</v>
      </c>
      <c r="BJ428" s="583">
        <f t="shared" si="954"/>
        <v>0</v>
      </c>
      <c r="BK428" s="583">
        <f t="shared" si="954"/>
        <v>0</v>
      </c>
      <c r="BL428" s="583">
        <f t="shared" si="954"/>
        <v>0</v>
      </c>
      <c r="BM428" s="583">
        <f t="shared" si="954"/>
        <v>0</v>
      </c>
      <c r="BN428" s="583">
        <f t="shared" si="954"/>
        <v>0</v>
      </c>
      <c r="BO428" s="583">
        <f t="shared" si="954"/>
        <v>0</v>
      </c>
      <c r="BP428" s="583">
        <f t="shared" si="954"/>
        <v>0</v>
      </c>
      <c r="BQ428" s="583">
        <f t="shared" si="954"/>
        <v>0</v>
      </c>
      <c r="BR428" s="583">
        <f t="shared" si="954"/>
        <v>0</v>
      </c>
    </row>
    <row r="429" spans="1:70" s="229" customFormat="1">
      <c r="A429" s="504"/>
      <c r="B429" s="522"/>
      <c r="C429" s="522"/>
      <c r="D429" s="141"/>
      <c r="E429" s="594"/>
      <c r="F429" s="716"/>
      <c r="G429" s="522"/>
      <c r="H429" s="594"/>
      <c r="I429" s="86"/>
      <c r="J429" s="87"/>
      <c r="K429" s="595"/>
      <c r="L429" s="596"/>
      <c r="M429" s="851"/>
      <c r="N429" s="851"/>
      <c r="O429" s="666"/>
      <c r="P429" s="672" t="s">
        <v>538</v>
      </c>
      <c r="V429" s="527" t="s">
        <v>588</v>
      </c>
      <c r="W429" s="229">
        <v>649.25</v>
      </c>
      <c r="X429" s="229">
        <v>81.199999999999989</v>
      </c>
      <c r="Y429" s="229">
        <v>20.299999999999997</v>
      </c>
      <c r="Z429" s="229">
        <v>21.7</v>
      </c>
      <c r="AA429" s="229">
        <v>6.6499999999999995</v>
      </c>
      <c r="AB429" s="526">
        <v>7</v>
      </c>
      <c r="AC429" s="229">
        <v>482.99999999999994</v>
      </c>
      <c r="AD429" s="229">
        <v>630</v>
      </c>
      <c r="AE429" s="229">
        <v>315</v>
      </c>
      <c r="AF429" s="229">
        <v>59.499999999999993</v>
      </c>
      <c r="AG429" s="229">
        <v>280</v>
      </c>
      <c r="AH429" s="229">
        <v>3.5</v>
      </c>
      <c r="AI429" s="229">
        <v>2.4499999999999997</v>
      </c>
      <c r="AJ429" s="526">
        <v>0.4375</v>
      </c>
      <c r="AK429" s="229">
        <v>280</v>
      </c>
      <c r="AL429" s="229">
        <v>0.35</v>
      </c>
      <c r="AM429" s="229">
        <v>0.38500000000000001</v>
      </c>
      <c r="AN429" s="229">
        <v>4.1999999999999993</v>
      </c>
      <c r="AO429" s="229">
        <v>0.24499999999999997</v>
      </c>
      <c r="AP429" s="229">
        <v>105</v>
      </c>
      <c r="AQ429" s="229">
        <v>0.63</v>
      </c>
      <c r="AR429" s="229">
        <v>28</v>
      </c>
      <c r="AS429" s="526">
        <v>1.75</v>
      </c>
      <c r="AV429" s="229">
        <v>649.25</v>
      </c>
      <c r="AW429" s="229">
        <v>81.199999999999989</v>
      </c>
      <c r="AX429" s="229">
        <v>20.299999999999997</v>
      </c>
      <c r="AY429" s="229">
        <v>21.7</v>
      </c>
      <c r="AZ429" s="229">
        <v>6.6499999999999995</v>
      </c>
      <c r="BA429" s="526">
        <v>7</v>
      </c>
      <c r="BB429" s="229">
        <v>482.99999999999994</v>
      </c>
      <c r="BC429" s="229">
        <v>630</v>
      </c>
      <c r="BD429" s="229">
        <v>315</v>
      </c>
      <c r="BE429" s="229">
        <v>59.499999999999993</v>
      </c>
      <c r="BF429" s="229">
        <v>280</v>
      </c>
      <c r="BG429" s="229">
        <v>3.5</v>
      </c>
      <c r="BH429" s="229">
        <v>2.4499999999999997</v>
      </c>
      <c r="BI429" s="526">
        <v>0.4375</v>
      </c>
      <c r="BJ429" s="229">
        <v>280</v>
      </c>
      <c r="BK429" s="229">
        <v>0.35</v>
      </c>
      <c r="BL429" s="229">
        <v>0.38500000000000001</v>
      </c>
      <c r="BM429" s="229">
        <v>4.1999999999999993</v>
      </c>
      <c r="BN429" s="229">
        <v>0.24499999999999997</v>
      </c>
      <c r="BO429" s="229">
        <v>105</v>
      </c>
      <c r="BP429" s="229">
        <v>0.63</v>
      </c>
      <c r="BQ429" s="229">
        <v>28</v>
      </c>
      <c r="BR429" s="526">
        <v>1.75</v>
      </c>
    </row>
    <row r="430" spans="1:70" s="229" customFormat="1">
      <c r="A430" s="504"/>
      <c r="B430" s="522"/>
      <c r="C430" s="522"/>
      <c r="D430" s="141"/>
      <c r="E430" s="594"/>
      <c r="F430" s="716"/>
      <c r="G430" s="522"/>
      <c r="H430" s="594"/>
      <c r="I430" s="86"/>
      <c r="J430" s="87"/>
      <c r="K430" s="595"/>
      <c r="L430" s="596"/>
      <c r="M430" s="851"/>
      <c r="N430" s="851"/>
      <c r="O430" s="666"/>
      <c r="P430" s="672" t="s">
        <v>407</v>
      </c>
      <c r="V430" s="526"/>
      <c r="W430" s="514">
        <f t="shared" ref="W430:AS430" si="955">100*W428/W429</f>
        <v>0</v>
      </c>
      <c r="X430" s="514">
        <f t="shared" si="955"/>
        <v>0</v>
      </c>
      <c r="Y430" s="514">
        <f t="shared" si="955"/>
        <v>0</v>
      </c>
      <c r="Z430" s="514">
        <f t="shared" si="955"/>
        <v>0</v>
      </c>
      <c r="AA430" s="514">
        <f t="shared" si="955"/>
        <v>0</v>
      </c>
      <c r="AB430" s="506">
        <f t="shared" si="955"/>
        <v>0</v>
      </c>
      <c r="AC430" s="514">
        <f t="shared" si="955"/>
        <v>0</v>
      </c>
      <c r="AD430" s="514">
        <f t="shared" si="955"/>
        <v>0</v>
      </c>
      <c r="AE430" s="514">
        <f t="shared" si="955"/>
        <v>0</v>
      </c>
      <c r="AF430" s="514">
        <f t="shared" si="955"/>
        <v>0</v>
      </c>
      <c r="AG430" s="514">
        <f t="shared" si="955"/>
        <v>0</v>
      </c>
      <c r="AH430" s="514">
        <f t="shared" si="955"/>
        <v>0</v>
      </c>
      <c r="AI430" s="514">
        <f t="shared" si="955"/>
        <v>0</v>
      </c>
      <c r="AJ430" s="506">
        <f t="shared" si="955"/>
        <v>0</v>
      </c>
      <c r="AK430" s="514">
        <f t="shared" si="955"/>
        <v>0</v>
      </c>
      <c r="AL430" s="514">
        <f t="shared" si="955"/>
        <v>0</v>
      </c>
      <c r="AM430" s="514">
        <f t="shared" si="955"/>
        <v>0</v>
      </c>
      <c r="AN430" s="514">
        <f t="shared" si="955"/>
        <v>0</v>
      </c>
      <c r="AO430" s="514">
        <f t="shared" si="955"/>
        <v>0</v>
      </c>
      <c r="AP430" s="514">
        <f t="shared" si="955"/>
        <v>0</v>
      </c>
      <c r="AQ430" s="514">
        <f t="shared" si="955"/>
        <v>0</v>
      </c>
      <c r="AR430" s="514">
        <f t="shared" si="955"/>
        <v>0</v>
      </c>
      <c r="AS430" s="506">
        <f t="shared" si="955"/>
        <v>0</v>
      </c>
      <c r="AV430" s="514">
        <f t="shared" ref="AV430:BR430" si="956">100*AV428/AV429</f>
        <v>0</v>
      </c>
      <c r="AW430" s="514">
        <f t="shared" si="956"/>
        <v>0</v>
      </c>
      <c r="AX430" s="514">
        <f t="shared" si="956"/>
        <v>0</v>
      </c>
      <c r="AY430" s="514">
        <f t="shared" si="956"/>
        <v>0</v>
      </c>
      <c r="AZ430" s="514">
        <f t="shared" si="956"/>
        <v>0</v>
      </c>
      <c r="BA430" s="506">
        <f t="shared" si="956"/>
        <v>0</v>
      </c>
      <c r="BB430" s="514">
        <f t="shared" si="956"/>
        <v>0</v>
      </c>
      <c r="BC430" s="514">
        <f t="shared" si="956"/>
        <v>0</v>
      </c>
      <c r="BD430" s="514">
        <f t="shared" si="956"/>
        <v>0</v>
      </c>
      <c r="BE430" s="514">
        <f t="shared" si="956"/>
        <v>0</v>
      </c>
      <c r="BF430" s="514">
        <f t="shared" si="956"/>
        <v>0</v>
      </c>
      <c r="BG430" s="514">
        <f t="shared" si="956"/>
        <v>0</v>
      </c>
      <c r="BH430" s="514">
        <f t="shared" si="956"/>
        <v>0</v>
      </c>
      <c r="BI430" s="506">
        <f t="shared" si="956"/>
        <v>0</v>
      </c>
      <c r="BJ430" s="514">
        <f t="shared" si="956"/>
        <v>0</v>
      </c>
      <c r="BK430" s="514">
        <f t="shared" si="956"/>
        <v>0</v>
      </c>
      <c r="BL430" s="514">
        <f t="shared" si="956"/>
        <v>0</v>
      </c>
      <c r="BM430" s="514">
        <f t="shared" si="956"/>
        <v>0</v>
      </c>
      <c r="BN430" s="514">
        <f t="shared" si="956"/>
        <v>0</v>
      </c>
      <c r="BO430" s="514">
        <f t="shared" si="956"/>
        <v>0</v>
      </c>
      <c r="BP430" s="514">
        <f t="shared" si="956"/>
        <v>0</v>
      </c>
      <c r="BQ430" s="514">
        <f t="shared" si="956"/>
        <v>0</v>
      </c>
      <c r="BR430" s="506">
        <f t="shared" si="956"/>
        <v>0</v>
      </c>
    </row>
    <row r="431" spans="1:70" s="229" customFormat="1">
      <c r="A431" s="504"/>
      <c r="B431" s="522"/>
      <c r="C431" s="522"/>
      <c r="D431" s="141"/>
      <c r="E431" s="594"/>
      <c r="F431" s="716"/>
      <c r="G431" s="522"/>
      <c r="H431" s="594"/>
      <c r="I431" s="86"/>
      <c r="J431" s="87"/>
      <c r="K431" s="595"/>
      <c r="L431" s="596"/>
      <c r="M431" s="851"/>
      <c r="N431" s="851"/>
      <c r="O431" s="666"/>
      <c r="P431" s="672" t="s">
        <v>548</v>
      </c>
      <c r="V431" s="526"/>
      <c r="W431" s="583">
        <f>AV428</f>
        <v>0</v>
      </c>
      <c r="X431" s="583">
        <f t="shared" ref="X431" si="957">AW428</f>
        <v>0</v>
      </c>
      <c r="Y431" s="583">
        <f t="shared" ref="Y431" si="958">AX428</f>
        <v>0</v>
      </c>
      <c r="Z431" s="583">
        <f t="shared" ref="Z431" si="959">AY428</f>
        <v>0</v>
      </c>
      <c r="AA431" s="583">
        <f t="shared" ref="AA431" si="960">AZ428</f>
        <v>0</v>
      </c>
      <c r="AB431" s="549">
        <f t="shared" ref="AB431" si="961">BA428</f>
        <v>0</v>
      </c>
      <c r="AC431" s="583">
        <f t="shared" ref="AC431" si="962">BB428</f>
        <v>0</v>
      </c>
      <c r="AD431" s="583">
        <f t="shared" ref="AD431" si="963">BC428</f>
        <v>0</v>
      </c>
      <c r="AE431" s="583">
        <f t="shared" ref="AE431" si="964">BD428</f>
        <v>0</v>
      </c>
      <c r="AF431" s="583">
        <f t="shared" ref="AF431" si="965">BE428</f>
        <v>0</v>
      </c>
      <c r="AG431" s="583">
        <f t="shared" ref="AG431" si="966">BF428</f>
        <v>0</v>
      </c>
      <c r="AH431" s="583">
        <f t="shared" ref="AH431" si="967">BG428</f>
        <v>0</v>
      </c>
      <c r="AI431" s="583">
        <f t="shared" ref="AI431" si="968">BH428</f>
        <v>0</v>
      </c>
      <c r="AJ431" s="549">
        <f t="shared" ref="AJ431" si="969">BI428</f>
        <v>0</v>
      </c>
      <c r="AK431" s="583">
        <f t="shared" ref="AK431" si="970">BJ428</f>
        <v>0</v>
      </c>
      <c r="AL431" s="583">
        <f t="shared" ref="AL431" si="971">BK428</f>
        <v>0</v>
      </c>
      <c r="AM431" s="583">
        <f t="shared" ref="AM431" si="972">BL428</f>
        <v>0</v>
      </c>
      <c r="AN431" s="583">
        <f>BM428</f>
        <v>0</v>
      </c>
      <c r="AO431" s="583">
        <f t="shared" ref="AO431" si="973">BN428</f>
        <v>0</v>
      </c>
      <c r="AP431" s="583">
        <f t="shared" ref="AP431" si="974">BO428</f>
        <v>0</v>
      </c>
      <c r="AQ431" s="583">
        <f t="shared" ref="AQ431" si="975">BP428</f>
        <v>0</v>
      </c>
      <c r="AR431" s="583">
        <f t="shared" ref="AR431" si="976">BQ428</f>
        <v>0</v>
      </c>
      <c r="AS431" s="549">
        <f>BR428</f>
        <v>0</v>
      </c>
    </row>
    <row r="432" spans="1:70" s="229" customFormat="1">
      <c r="A432" s="504"/>
      <c r="B432" s="522"/>
      <c r="C432" s="522"/>
      <c r="D432" s="141"/>
      <c r="E432" s="594"/>
      <c r="F432" s="716"/>
      <c r="G432" s="522"/>
      <c r="H432" s="594"/>
      <c r="I432" s="86"/>
      <c r="J432" s="87"/>
      <c r="K432" s="595"/>
      <c r="L432" s="596"/>
      <c r="M432" s="851"/>
      <c r="N432" s="851"/>
      <c r="O432" s="666"/>
      <c r="P432" s="672" t="s">
        <v>543</v>
      </c>
      <c r="V432" s="526"/>
      <c r="W432" s="514">
        <f t="shared" ref="W432:AS432" si="977">AV430</f>
        <v>0</v>
      </c>
      <c r="X432" s="514">
        <f t="shared" si="977"/>
        <v>0</v>
      </c>
      <c r="Y432" s="514">
        <f t="shared" si="977"/>
        <v>0</v>
      </c>
      <c r="Z432" s="514">
        <f t="shared" si="977"/>
        <v>0</v>
      </c>
      <c r="AA432" s="514">
        <f t="shared" si="977"/>
        <v>0</v>
      </c>
      <c r="AB432" s="506">
        <f t="shared" si="977"/>
        <v>0</v>
      </c>
      <c r="AC432" s="514">
        <f t="shared" si="977"/>
        <v>0</v>
      </c>
      <c r="AD432" s="514">
        <f t="shared" si="977"/>
        <v>0</v>
      </c>
      <c r="AE432" s="514">
        <f t="shared" si="977"/>
        <v>0</v>
      </c>
      <c r="AF432" s="514">
        <f t="shared" si="977"/>
        <v>0</v>
      </c>
      <c r="AG432" s="514">
        <f t="shared" si="977"/>
        <v>0</v>
      </c>
      <c r="AH432" s="514">
        <f t="shared" si="977"/>
        <v>0</v>
      </c>
      <c r="AI432" s="514">
        <f t="shared" si="977"/>
        <v>0</v>
      </c>
      <c r="AJ432" s="506">
        <f t="shared" si="977"/>
        <v>0</v>
      </c>
      <c r="AK432" s="514">
        <f t="shared" si="977"/>
        <v>0</v>
      </c>
      <c r="AL432" s="514">
        <f t="shared" si="977"/>
        <v>0</v>
      </c>
      <c r="AM432" s="514">
        <f t="shared" si="977"/>
        <v>0</v>
      </c>
      <c r="AN432" s="514">
        <f t="shared" si="977"/>
        <v>0</v>
      </c>
      <c r="AO432" s="514">
        <f t="shared" si="977"/>
        <v>0</v>
      </c>
      <c r="AP432" s="514">
        <f t="shared" si="977"/>
        <v>0</v>
      </c>
      <c r="AQ432" s="514">
        <f t="shared" si="977"/>
        <v>0</v>
      </c>
      <c r="AR432" s="514">
        <f t="shared" si="977"/>
        <v>0</v>
      </c>
      <c r="AS432" s="506">
        <f t="shared" si="977"/>
        <v>0</v>
      </c>
      <c r="AV432" s="514"/>
      <c r="AW432" s="514"/>
      <c r="AX432" s="514"/>
      <c r="AY432" s="514"/>
      <c r="AZ432" s="514"/>
      <c r="BA432" s="505"/>
      <c r="BB432" s="514"/>
      <c r="BC432" s="514"/>
      <c r="BD432" s="514"/>
      <c r="BE432" s="514"/>
      <c r="BF432" s="514"/>
      <c r="BG432" s="514"/>
      <c r="BH432" s="514"/>
      <c r="BI432" s="505"/>
      <c r="BJ432" s="514"/>
      <c r="BK432" s="514"/>
      <c r="BL432" s="514"/>
      <c r="BM432" s="514"/>
      <c r="BN432" s="514"/>
      <c r="BO432" s="514"/>
      <c r="BP432" s="514"/>
      <c r="BQ432" s="514"/>
      <c r="BR432" s="505"/>
    </row>
    <row r="433" spans="1:70" s="229" customFormat="1" ht="15" thickBot="1">
      <c r="A433" s="504"/>
      <c r="B433" s="504"/>
      <c r="C433" s="504"/>
      <c r="D433" s="689"/>
      <c r="E433" s="662"/>
      <c r="F433" s="717"/>
      <c r="G433" s="663" t="s">
        <v>3054</v>
      </c>
      <c r="H433" s="673"/>
      <c r="I433" s="105"/>
      <c r="J433" s="105"/>
      <c r="K433" s="504"/>
      <c r="L433" s="665"/>
      <c r="M433" s="852"/>
      <c r="N433" s="852"/>
      <c r="O433" s="666"/>
      <c r="P433" s="504"/>
      <c r="Q433" s="504"/>
      <c r="R433" s="504"/>
      <c r="S433" s="504"/>
      <c r="T433" s="504"/>
      <c r="U433" s="667"/>
      <c r="V433" s="668"/>
      <c r="W433" s="504"/>
      <c r="X433" s="504"/>
      <c r="Y433" s="504"/>
      <c r="Z433" s="504"/>
      <c r="AA433" s="669">
        <f>COUNTIF(AA434:AA445,"&lt;0")</f>
        <v>1</v>
      </c>
      <c r="AB433" s="669">
        <f t="shared" ref="AB433:AS433" si="978">COUNTIF(AB434:AB445,"&lt;0")</f>
        <v>1</v>
      </c>
      <c r="AC433" s="669">
        <f t="shared" si="978"/>
        <v>1</v>
      </c>
      <c r="AD433" s="669">
        <f t="shared" si="978"/>
        <v>1</v>
      </c>
      <c r="AE433" s="669">
        <f t="shared" si="978"/>
        <v>1</v>
      </c>
      <c r="AF433" s="669">
        <f t="shared" si="978"/>
        <v>1</v>
      </c>
      <c r="AG433" s="669">
        <f t="shared" si="978"/>
        <v>1</v>
      </c>
      <c r="AH433" s="669">
        <f t="shared" si="978"/>
        <v>1</v>
      </c>
      <c r="AI433" s="669">
        <f t="shared" si="978"/>
        <v>1</v>
      </c>
      <c r="AJ433" s="669">
        <f t="shared" si="978"/>
        <v>1</v>
      </c>
      <c r="AK433" s="669">
        <f t="shared" si="978"/>
        <v>1</v>
      </c>
      <c r="AL433" s="669">
        <f t="shared" si="978"/>
        <v>1</v>
      </c>
      <c r="AM433" s="669">
        <f t="shared" si="978"/>
        <v>1</v>
      </c>
      <c r="AN433" s="669">
        <f t="shared" si="978"/>
        <v>1</v>
      </c>
      <c r="AO433" s="669">
        <f t="shared" si="978"/>
        <v>1</v>
      </c>
      <c r="AP433" s="669">
        <f t="shared" si="978"/>
        <v>1</v>
      </c>
      <c r="AQ433" s="669">
        <f t="shared" si="978"/>
        <v>1</v>
      </c>
      <c r="AR433" s="669">
        <f t="shared" si="978"/>
        <v>1</v>
      </c>
      <c r="AS433" s="669">
        <f t="shared" si="978"/>
        <v>1</v>
      </c>
      <c r="AT433" s="1300"/>
      <c r="AU433" s="1300"/>
    </row>
    <row r="434" spans="1:70" s="229" customFormat="1" ht="15" customHeight="1" thickBot="1">
      <c r="A434" s="504"/>
      <c r="B434" s="575" t="s">
        <v>3068</v>
      </c>
      <c r="C434" s="229" t="s">
        <v>1362</v>
      </c>
      <c r="D434" s="85" t="s">
        <v>2740</v>
      </c>
      <c r="E434" s="577">
        <v>100</v>
      </c>
      <c r="F434" s="85" t="s">
        <v>3910</v>
      </c>
      <c r="G434" s="406" t="s">
        <v>3085</v>
      </c>
      <c r="H434" s="578" t="s">
        <v>3451</v>
      </c>
      <c r="I434" s="85">
        <v>100</v>
      </c>
      <c r="J434" s="682">
        <v>1</v>
      </c>
      <c r="K434" s="579">
        <f t="shared" ref="K434:K445" si="979">IF(I434&gt;0,1.1*Q434*E434/1000,"")</f>
        <v>11.000000000000002</v>
      </c>
      <c r="L434" s="580">
        <f>IF(H434="Select ingredient:","",IF(G434="","",_xlfn.IFNA(VLOOKUP($H434,Ingredient_prices!$E:$U,16,FALSE),0)))</f>
        <v>81.400000000000006</v>
      </c>
      <c r="M434" s="850"/>
      <c r="N434" s="1228">
        <f>$W447</f>
        <v>349</v>
      </c>
      <c r="O434" s="666"/>
      <c r="P434" s="670"/>
      <c r="Q434" s="583">
        <f t="shared" ref="Q434:Q445" si="980">I434/J434</f>
        <v>100</v>
      </c>
      <c r="R434" s="583">
        <f>VLOOKUP($H434,'CO2_emission+%_food_waste'!$A:$K,6,FALSE)*$Q434/100</f>
        <v>4.5</v>
      </c>
      <c r="S434" s="583">
        <f t="shared" ref="S434:S445" si="981">Q434-R434</f>
        <v>95.5</v>
      </c>
      <c r="T434" s="583">
        <f>IF(H434="Select ingredient:","",IF(G434="Select food category:","",_xlfn.IFNA(VLOOKUP($H434,Ingredient_prices!$E:$U,16,FALSE)*$Q434/1000,"not bought")))</f>
        <v>8.14</v>
      </c>
      <c r="U434" s="583">
        <f>IF(G434="Select food category:","",_xlfn.IFNA(VLOOKUP($H434,Ingredient_prices!$E:$U,16,FALSE)*$R434/1000,"not bought"))</f>
        <v>0.36630000000000001</v>
      </c>
      <c r="V434" s="549">
        <f>VLOOKUP($H434,'CO2_emission+%_food_waste'!$A:$K,4,FALSE)*$Q434</f>
        <v>202.99999999999997</v>
      </c>
      <c r="W434" s="583">
        <f>VLOOKUP($H434,Nutrition_tables!$A:$N,10,FALSE)*$Q434/100</f>
        <v>62</v>
      </c>
      <c r="X434" s="583">
        <f>VLOOKUP($H434,Nutrition_tables!$A:$N,11,FALSE)*$Q434/100</f>
        <v>4.5</v>
      </c>
      <c r="Y434" s="583">
        <f>VLOOKUP($H434,Nutrition_tables!$A:$N,12,FALSE)*$Q434/100</f>
        <v>3.2</v>
      </c>
      <c r="Z434" s="583">
        <f>VLOOKUP($H434,Nutrition_tables!$A:$N,14,FALSE)*$Q434/100</f>
        <v>3.2</v>
      </c>
      <c r="AA434" s="583">
        <f>VLOOKUP($H434,Nutrition_tables!$A:$AF,13,FALSE)*$Q434/100</f>
        <v>0</v>
      </c>
      <c r="AB434" s="549">
        <f>VLOOKUP($H434,Nutrition_tables!$A:$AF,15,FALSE)*$Q434/100</f>
        <v>2.1</v>
      </c>
      <c r="AC434" s="583">
        <f>VLOOKUP($H434,Nutrition_tables!$A:$AF,16,FALSE)*$Q434/100</f>
        <v>46</v>
      </c>
      <c r="AD434" s="583">
        <f>VLOOKUP($H434,Nutrition_tables!$A:$AF,17,FALSE)*$Q434/100</f>
        <v>155</v>
      </c>
      <c r="AE434" s="583">
        <f>VLOOKUP($H434,Nutrition_tables!$A:$AF,18,FALSE)*$Q434/100</f>
        <v>120</v>
      </c>
      <c r="AF434" s="583">
        <f>VLOOKUP($H434,Nutrition_tables!$A:$AF,19,FALSE)*$Q434/100</f>
        <v>11</v>
      </c>
      <c r="AG434" s="583">
        <f>VLOOKUP($H434,Nutrition_tables!$A:$AF,20,FALSE)*$Q434/100</f>
        <v>95</v>
      </c>
      <c r="AH434" s="583">
        <f>VLOOKUP($H434,Nutrition_tables!$A:$AF,21,FALSE)*$Q434/100</f>
        <v>0.1</v>
      </c>
      <c r="AI434" s="583">
        <f>VLOOKUP($H434,Nutrition_tables!$A:$AF,22,FALSE)*$Q434/100</f>
        <v>0.59</v>
      </c>
      <c r="AJ434" s="549">
        <f>VLOOKUP($H434,Nutrition_tables!$A:$AF,23,FALSE)*$Q434/100</f>
        <v>8.9999999999999993E-3</v>
      </c>
      <c r="AK434" s="583">
        <f>VLOOKUP($H434,Nutrition_tables!$A:$AF,24,FALSE)*$Q434/100</f>
        <v>30</v>
      </c>
      <c r="AL434" s="583">
        <f>VLOOKUP($H434,Nutrition_tables!$A:$AF,25,FALSE)*$Q434/100</f>
        <v>0.03</v>
      </c>
      <c r="AM434" s="583">
        <f>VLOOKUP($H434,Nutrition_tables!$A:$AF,26,FALSE)*$Q434/100</f>
        <v>0.14000000000000001</v>
      </c>
      <c r="AN434" s="583">
        <f>VLOOKUP($H434,Nutrition_tables!$A:$AF,27,FALSE)*$Q434/100</f>
        <v>0.1</v>
      </c>
      <c r="AO434" s="583">
        <f>VLOOKUP($H434,Nutrition_tables!$A:$AF,28,FALSE)*$Q434/100</f>
        <v>3.5000000000000003E-2</v>
      </c>
      <c r="AP434" s="583">
        <f>VLOOKUP($H434,Nutrition_tables!$A:$AF,29,FALSE)*$Q434/100</f>
        <v>8</v>
      </c>
      <c r="AQ434" s="583">
        <f>VLOOKUP($H434,Nutrition_tables!$A:$AF,30,FALSE)*$Q434/100</f>
        <v>0.3</v>
      </c>
      <c r="AR434" s="583">
        <f>VLOOKUP($H434,Nutrition_tables!$A:$AF,31,FALSE)*$Q434/100</f>
        <v>0.5</v>
      </c>
      <c r="AS434" s="549">
        <f>VLOOKUP($H434,Nutrition_tables!$A:$AF,32,FALSE)*$Q434/100</f>
        <v>0.06</v>
      </c>
      <c r="AT434" s="583">
        <f>IF(H434="Select ingredient:","",IF(G434="Select food category:","",IFERROR(VLOOKUP($H434,Ingredient_prices!$E:$W,17,FALSE)*$Q434/1000,"not bought")))</f>
        <v>8.14</v>
      </c>
      <c r="AU434" s="583">
        <f>IF(H434="Select ingredient:","",IF(G434="Select food category:","",IFERROR(VLOOKUP($H434,Ingredient_prices!$E:$W,18,FALSE)*$Q434/1000,"not bought")))</f>
        <v>8.14</v>
      </c>
      <c r="AV434" s="583">
        <f t="shared" ref="AV434:AV445" si="982">W434*($Q434-$R434)/($Q434+0.00001)</f>
        <v>59.209994079000587</v>
      </c>
      <c r="AW434" s="583">
        <f t="shared" ref="AW434:AW445" si="983">X434*($Q434-$R434)/($Q434+0.00001)</f>
        <v>4.2974995702500429</v>
      </c>
      <c r="AX434" s="583">
        <f t="shared" ref="AX434:AX445" si="984">Y434*($Q434-$R434)/($Q434+0.00001)</f>
        <v>3.0559996944000307</v>
      </c>
      <c r="AY434" s="583">
        <f t="shared" ref="AY434:AY445" si="985">Z434*($Q434-$R434)/($Q434+0.00001)</f>
        <v>3.0559996944000307</v>
      </c>
      <c r="AZ434" s="583">
        <f t="shared" ref="AZ434:AZ445" si="986">AA434*($Q434-$R434)/($Q434+0.00001)</f>
        <v>0</v>
      </c>
      <c r="BA434" s="583">
        <f t="shared" ref="BA434:BA445" si="987">AB434*($Q434-$R434)/($Q434+0.00001)</f>
        <v>2.0054997994500203</v>
      </c>
      <c r="BB434" s="583">
        <f t="shared" ref="BB434:BB445" si="988">AC434*($Q434-$R434)/($Q434+0.00001)</f>
        <v>43.929995607000436</v>
      </c>
      <c r="BC434" s="583">
        <f t="shared" ref="BC434:BC445" si="989">AD434*($Q434-$R434)/($Q434+0.00001)</f>
        <v>148.02498519750148</v>
      </c>
      <c r="BD434" s="583">
        <f t="shared" ref="BD434:BD445" si="990">AE434*($Q434-$R434)/($Q434+0.00001)</f>
        <v>114.59998854000115</v>
      </c>
      <c r="BE434" s="583">
        <f t="shared" ref="BE434:BE445" si="991">AF434*($Q434-$R434)/($Q434+0.00001)</f>
        <v>10.504998949500104</v>
      </c>
      <c r="BF434" s="583">
        <f t="shared" ref="BF434:BF445" si="992">AG434*($Q434-$R434)/($Q434+0.00001)</f>
        <v>90.724990927500897</v>
      </c>
      <c r="BG434" s="583">
        <f t="shared" ref="BG434:BG445" si="993">AH434*($Q434-$R434)/($Q434+0.00001)</f>
        <v>9.549999045000096E-2</v>
      </c>
      <c r="BH434" s="583">
        <f t="shared" ref="BH434:BH445" si="994">AI434*($Q434-$R434)/($Q434+0.00001)</f>
        <v>0.56344994365500556</v>
      </c>
      <c r="BI434" s="583">
        <f t="shared" ref="BI434:BI445" si="995">AJ434*($Q434-$R434)/($Q434+0.00001)</f>
        <v>8.5949991405000845E-3</v>
      </c>
      <c r="BJ434" s="583">
        <f t="shared" ref="BJ434:BJ445" si="996">AK434*($Q434-$R434)/($Q434+0.00001)</f>
        <v>28.649997135000287</v>
      </c>
      <c r="BK434" s="583">
        <f t="shared" ref="BK434:BK445" si="997">AL434*($Q434-$R434)/($Q434+0.00001)</f>
        <v>2.8649997135000282E-2</v>
      </c>
      <c r="BL434" s="583">
        <f t="shared" ref="BL434:BL445" si="998">AM434*($Q434-$R434)/($Q434+0.00001)</f>
        <v>0.13369998663000135</v>
      </c>
      <c r="BM434" s="583">
        <f t="shared" ref="BM434:BM445" si="999">AN434*($Q434-$R434)/($Q434+0.00001)</f>
        <v>9.549999045000096E-2</v>
      </c>
      <c r="BN434" s="583">
        <f t="shared" ref="BN434:BN445" si="1000">AO434*($Q434-$R434)/($Q434+0.00001)</f>
        <v>3.3424996657500337E-2</v>
      </c>
      <c r="BO434" s="583">
        <f t="shared" ref="BO434:BO445" si="1001">AP434*($Q434-$R434)/($Q434+0.00001)</f>
        <v>7.6399992360000759</v>
      </c>
      <c r="BP434" s="583">
        <f t="shared" ref="BP434:BP445" si="1002">AQ434*($Q434-$R434)/($Q434+0.00001)</f>
        <v>0.28649997135000282</v>
      </c>
      <c r="BQ434" s="583">
        <f t="shared" ref="BQ434:BQ445" si="1003">AR434*($Q434-$R434)/($Q434+0.00001)</f>
        <v>0.47749995225000474</v>
      </c>
      <c r="BR434" s="583">
        <f t="shared" ref="BR434:BR445" si="1004">AS434*($Q434-$R434)/($Q434+0.00001)</f>
        <v>5.7299994270000564E-2</v>
      </c>
    </row>
    <row r="435" spans="1:70" s="229" customFormat="1" ht="15" customHeight="1">
      <c r="A435" s="504"/>
      <c r="D435" s="85" t="s">
        <v>2744</v>
      </c>
      <c r="E435" s="576">
        <f>IF(E$434&gt;0,E$434,"")</f>
        <v>100</v>
      </c>
      <c r="F435" s="85"/>
      <c r="G435" s="406" t="s">
        <v>3079</v>
      </c>
      <c r="H435" s="578" t="s">
        <v>3372</v>
      </c>
      <c r="I435" s="85">
        <v>70</v>
      </c>
      <c r="J435" s="682">
        <v>1</v>
      </c>
      <c r="K435" s="579">
        <f t="shared" si="979"/>
        <v>7.7</v>
      </c>
      <c r="L435" s="580">
        <f>IF(H435="Select ingredient:","",IF(G435="","",_xlfn.IFNA(VLOOKUP($H435,Ingredient_prices!$E:$U,16,FALSE),0)))</f>
        <v>150.79166666666666</v>
      </c>
      <c r="M435" s="850"/>
      <c r="N435" s="850"/>
      <c r="O435" s="666"/>
      <c r="P435" s="670"/>
      <c r="Q435" s="583">
        <f t="shared" si="980"/>
        <v>70</v>
      </c>
      <c r="R435" s="583">
        <f>VLOOKUP($H435,'CO2_emission+%_food_waste'!$A:$K,6,FALSE)*$Q435/100</f>
        <v>-7.0000000000000007E-5</v>
      </c>
      <c r="S435" s="583">
        <f t="shared" si="981"/>
        <v>70.000069999999994</v>
      </c>
      <c r="T435" s="583">
        <f>IF(H435="Select ingredient:","",IF(G435="Select food category:","",_xlfn.IFNA(VLOOKUP($H435,Ingredient_prices!$E:$U,16,FALSE)*$Q435/1000,"not bought")))</f>
        <v>10.555416666666666</v>
      </c>
      <c r="U435" s="583">
        <f>IF(G435="Select food category:","",_xlfn.IFNA(VLOOKUP($H435,Ingredient_prices!$E:$U,16,FALSE)*$R435/1000,"not bought"))</f>
        <v>-1.0555416666666667E-5</v>
      </c>
      <c r="V435" s="549">
        <f>VLOOKUP($H435,'CO2_emission+%_food_waste'!$A:$K,4,FALSE)*$Q435</f>
        <v>113.4</v>
      </c>
      <c r="W435" s="583">
        <f>VLOOKUP($H435,Nutrition_tables!$A:$N,10,FALSE)*$Q435/100</f>
        <v>287</v>
      </c>
      <c r="X435" s="583">
        <f>VLOOKUP($H435,Nutrition_tables!$A:$N,11,FALSE)*$Q435/100</f>
        <v>24.5</v>
      </c>
      <c r="Y435" s="583">
        <f>VLOOKUP($H435,Nutrition_tables!$A:$N,12,FALSE)*$Q435/100</f>
        <v>3.5</v>
      </c>
      <c r="Z435" s="583">
        <f>VLOOKUP($H435,Nutrition_tables!$A:$N,14,FALSE)*$Q435/100</f>
        <v>17.5</v>
      </c>
      <c r="AA435" s="583">
        <f>VLOOKUP($H435,Nutrition_tables!$A:$AF,13,FALSE)*$Q435/100</f>
        <v>-2.8000000000000004E-3</v>
      </c>
      <c r="AB435" s="549">
        <f>VLOOKUP($H435,Nutrition_tables!$A:$AF,15,FALSE)*$Q435/100</f>
        <v>-2.8000000000000004E-3</v>
      </c>
      <c r="AC435" s="583">
        <f>VLOOKUP($H435,Nutrition_tables!$A:$AF,16,FALSE)*$Q435/100</f>
        <v>-2.8000000000000004E-3</v>
      </c>
      <c r="AD435" s="583">
        <f>VLOOKUP($H435,Nutrition_tables!$A:$AF,17,FALSE)*$Q435/100</f>
        <v>-2.8000000000000004E-3</v>
      </c>
      <c r="AE435" s="583">
        <f>VLOOKUP($H435,Nutrition_tables!$A:$AF,18,FALSE)*$Q435/100</f>
        <v>-2.8000000000000004E-3</v>
      </c>
      <c r="AF435" s="583">
        <f>VLOOKUP($H435,Nutrition_tables!$A:$AF,19,FALSE)*$Q435/100</f>
        <v>-2.8000000000000004E-3</v>
      </c>
      <c r="AG435" s="583">
        <f>VLOOKUP($H435,Nutrition_tables!$A:$AF,20,FALSE)*$Q435/100</f>
        <v>-2.8000000000000004E-3</v>
      </c>
      <c r="AH435" s="583">
        <f>VLOOKUP($H435,Nutrition_tables!$A:$AF,21,FALSE)*$Q435/100</f>
        <v>-2.8000000000000004E-3</v>
      </c>
      <c r="AI435" s="583">
        <f>VLOOKUP($H435,Nutrition_tables!$A:$AF,22,FALSE)*$Q435/100</f>
        <v>-2.8000000000000004E-3</v>
      </c>
      <c r="AJ435" s="549">
        <f>VLOOKUP($H435,Nutrition_tables!$A:$AF,23,FALSE)*$Q435/100</f>
        <v>-2.8000000000000003E-4</v>
      </c>
      <c r="AK435" s="583">
        <f>VLOOKUP($H435,Nutrition_tables!$A:$AF,24,FALSE)*$Q435/100</f>
        <v>-2.8000000000000004E-3</v>
      </c>
      <c r="AL435" s="583">
        <f>VLOOKUP($H435,Nutrition_tables!$A:$AF,25,FALSE)*$Q435/100</f>
        <v>-2.8000000000000004E-3</v>
      </c>
      <c r="AM435" s="583">
        <f>VLOOKUP($H435,Nutrition_tables!$A:$AF,26,FALSE)*$Q435/100</f>
        <v>-2.8000000000000004E-3</v>
      </c>
      <c r="AN435" s="583">
        <f>VLOOKUP($H435,Nutrition_tables!$A:$AF,27,FALSE)*$Q435/100</f>
        <v>-2.8000000000000004E-3</v>
      </c>
      <c r="AO435" s="583">
        <f>VLOOKUP($H435,Nutrition_tables!$A:$AF,28,FALSE)*$Q435/100</f>
        <v>-2.8000000000000004E-3</v>
      </c>
      <c r="AP435" s="583">
        <f>VLOOKUP($H435,Nutrition_tables!$A:$AF,29,FALSE)*$Q435/100</f>
        <v>-2.8000000000000004E-3</v>
      </c>
      <c r="AQ435" s="583">
        <f>VLOOKUP($H435,Nutrition_tables!$A:$AF,30,FALSE)*$Q435/100</f>
        <v>-2.8000000000000003E-4</v>
      </c>
      <c r="AR435" s="583">
        <f>VLOOKUP($H435,Nutrition_tables!$A:$AF,31,FALSE)*$Q435/100</f>
        <v>-2.8000000000000004E-3</v>
      </c>
      <c r="AS435" s="549">
        <f>VLOOKUP($H435,Nutrition_tables!$A:$AF,32,FALSE)*$Q435/100</f>
        <v>-2.8000000000000003E-4</v>
      </c>
      <c r="AT435" s="583">
        <f>IF(H435="Select ingredient:","",IF(G435="Select food category:","",IFERROR(VLOOKUP($H435,Ingredient_prices!$E:$W,17,FALSE)*$Q435/1000,"not bought")))</f>
        <v>10.555416666666666</v>
      </c>
      <c r="AU435" s="583">
        <f>IF(H435="Select ingredient:","",IF(G435="Select food category:","",IFERROR(VLOOKUP($H435,Ingredient_prices!$E:$W,18,FALSE)*$Q435/1000,"not bought")))</f>
        <v>10.555416666666666</v>
      </c>
      <c r="AV435" s="583">
        <f t="shared" si="982"/>
        <v>287.00024599996482</v>
      </c>
      <c r="AW435" s="583">
        <f t="shared" si="983"/>
        <v>24.500020999996998</v>
      </c>
      <c r="AX435" s="583">
        <f t="shared" si="984"/>
        <v>3.500002999999571</v>
      </c>
      <c r="AY435" s="583">
        <f t="shared" si="985"/>
        <v>17.500014999997855</v>
      </c>
      <c r="AZ435" s="583">
        <f t="shared" si="986"/>
        <v>-2.8000023999996573E-3</v>
      </c>
      <c r="BA435" s="583">
        <f t="shared" si="987"/>
        <v>-2.8000023999996573E-3</v>
      </c>
      <c r="BB435" s="583">
        <f t="shared" si="988"/>
        <v>-2.8000023999996573E-3</v>
      </c>
      <c r="BC435" s="583">
        <f t="shared" si="989"/>
        <v>-2.8000023999996573E-3</v>
      </c>
      <c r="BD435" s="583">
        <f t="shared" si="990"/>
        <v>-2.8000023999996573E-3</v>
      </c>
      <c r="BE435" s="583">
        <f t="shared" si="991"/>
        <v>-2.8000023999996573E-3</v>
      </c>
      <c r="BF435" s="583">
        <f t="shared" si="992"/>
        <v>-2.8000023999996573E-3</v>
      </c>
      <c r="BG435" s="583">
        <f t="shared" si="993"/>
        <v>-2.8000023999996573E-3</v>
      </c>
      <c r="BH435" s="583">
        <f t="shared" si="994"/>
        <v>-2.8000023999996573E-3</v>
      </c>
      <c r="BI435" s="583">
        <f t="shared" si="995"/>
        <v>-2.8000023999996573E-4</v>
      </c>
      <c r="BJ435" s="583">
        <f t="shared" si="996"/>
        <v>-2.8000023999996573E-3</v>
      </c>
      <c r="BK435" s="583">
        <f t="shared" si="997"/>
        <v>-2.8000023999996573E-3</v>
      </c>
      <c r="BL435" s="583">
        <f t="shared" si="998"/>
        <v>-2.8000023999996573E-3</v>
      </c>
      <c r="BM435" s="583">
        <f t="shared" si="999"/>
        <v>-2.8000023999996573E-3</v>
      </c>
      <c r="BN435" s="583">
        <f t="shared" si="1000"/>
        <v>-2.8000023999996573E-3</v>
      </c>
      <c r="BO435" s="583">
        <f t="shared" si="1001"/>
        <v>-2.8000023999996573E-3</v>
      </c>
      <c r="BP435" s="583">
        <f t="shared" si="1002"/>
        <v>-2.8000023999996573E-4</v>
      </c>
      <c r="BQ435" s="583">
        <f t="shared" si="1003"/>
        <v>-2.8000023999996573E-3</v>
      </c>
      <c r="BR435" s="583">
        <f t="shared" si="1004"/>
        <v>-2.8000023999996573E-4</v>
      </c>
    </row>
    <row r="436" spans="1:70" s="229" customFormat="1" ht="15" customHeight="1">
      <c r="A436" s="504"/>
      <c r="D436" s="406"/>
      <c r="E436" s="576">
        <f t="shared" ref="E436:E445" si="1005">IF(E$434&gt;0,E$434,"")</f>
        <v>100</v>
      </c>
      <c r="F436" s="707"/>
      <c r="G436" s="406" t="s">
        <v>3054</v>
      </c>
      <c r="H436" s="1262" t="s">
        <v>3055</v>
      </c>
      <c r="I436" s="85">
        <v>0</v>
      </c>
      <c r="J436" s="682">
        <v>1</v>
      </c>
      <c r="K436" s="579" t="str">
        <f t="shared" si="979"/>
        <v/>
      </c>
      <c r="L436" s="580" t="str">
        <f>IF(H436="Select ingredient:","",IF(G436="","",_xlfn.IFNA(VLOOKUP($H436,Ingredient_prices!$E:$U,16,FALSE),0)))</f>
        <v/>
      </c>
      <c r="M436" s="850"/>
      <c r="N436" s="850"/>
      <c r="O436" s="666"/>
      <c r="P436" s="670"/>
      <c r="Q436" s="583">
        <f t="shared" si="980"/>
        <v>0</v>
      </c>
      <c r="R436" s="583">
        <f>VLOOKUP($H436,'CO2_emission+%_food_waste'!$A:$K,6,FALSE)*$Q436/100</f>
        <v>0</v>
      </c>
      <c r="S436" s="583">
        <f t="shared" si="981"/>
        <v>0</v>
      </c>
      <c r="T436" s="583" t="str">
        <f>IF(H436="Select ingredient:","",IF(G436="Select food category:","",_xlfn.IFNA(VLOOKUP($H436,Ingredient_prices!$E:$U,16,FALSE)*$Q436/1000,"not bought")))</f>
        <v/>
      </c>
      <c r="U436" s="583" t="str">
        <f>IF(G436="Select food category:","",_xlfn.IFNA(VLOOKUP($H436,Ingredient_prices!$E:$U,16,FALSE)*$R436/1000,"not bought"))</f>
        <v/>
      </c>
      <c r="V436" s="549">
        <f>VLOOKUP($H436,'CO2_emission+%_food_waste'!$A:$K,4,FALSE)*$Q436</f>
        <v>0</v>
      </c>
      <c r="W436" s="583">
        <f>VLOOKUP($H436,Nutrition_tables!$A:$N,10,FALSE)*$Q436/100</f>
        <v>0</v>
      </c>
      <c r="X436" s="583">
        <f>VLOOKUP($H436,Nutrition_tables!$A:$N,11,FALSE)*$Q436/100</f>
        <v>0</v>
      </c>
      <c r="Y436" s="583">
        <f>VLOOKUP($H436,Nutrition_tables!$A:$N,12,FALSE)*$Q436/100</f>
        <v>0</v>
      </c>
      <c r="Z436" s="583">
        <f>VLOOKUP($H436,Nutrition_tables!$A:$N,14,FALSE)*$Q436/100</f>
        <v>0</v>
      </c>
      <c r="AA436" s="583">
        <f>VLOOKUP($H436,Nutrition_tables!$A:$AF,13,FALSE)*$Q436/100</f>
        <v>0</v>
      </c>
      <c r="AB436" s="549">
        <f>VLOOKUP($H436,Nutrition_tables!$A:$AF,15,FALSE)*$Q436/100</f>
        <v>0</v>
      </c>
      <c r="AC436" s="583">
        <f>VLOOKUP($H436,Nutrition_tables!$A:$AF,16,FALSE)*$Q436/100</f>
        <v>0</v>
      </c>
      <c r="AD436" s="583">
        <f>VLOOKUP($H436,Nutrition_tables!$A:$AF,17,FALSE)*$Q436/100</f>
        <v>0</v>
      </c>
      <c r="AE436" s="583">
        <f>VLOOKUP($H436,Nutrition_tables!$A:$AF,18,FALSE)*$Q436/100</f>
        <v>0</v>
      </c>
      <c r="AF436" s="583">
        <f>VLOOKUP($H436,Nutrition_tables!$A:$AF,19,FALSE)*$Q436/100</f>
        <v>0</v>
      </c>
      <c r="AG436" s="583">
        <f>VLOOKUP($H436,Nutrition_tables!$A:$AF,20,FALSE)*$Q436/100</f>
        <v>0</v>
      </c>
      <c r="AH436" s="583">
        <f>VLOOKUP($H436,Nutrition_tables!$A:$AF,21,FALSE)*$Q436/100</f>
        <v>0</v>
      </c>
      <c r="AI436" s="583">
        <f>VLOOKUP($H436,Nutrition_tables!$A:$AF,22,FALSE)*$Q436/100</f>
        <v>0</v>
      </c>
      <c r="AJ436" s="549">
        <f>VLOOKUP($H436,Nutrition_tables!$A:$AF,23,FALSE)*$Q436/100</f>
        <v>0</v>
      </c>
      <c r="AK436" s="583">
        <f>VLOOKUP($H436,Nutrition_tables!$A:$AF,24,FALSE)*$Q436/100</f>
        <v>0</v>
      </c>
      <c r="AL436" s="583">
        <f>VLOOKUP($H436,Nutrition_tables!$A:$AF,25,FALSE)*$Q436/100</f>
        <v>0</v>
      </c>
      <c r="AM436" s="583">
        <f>VLOOKUP($H436,Nutrition_tables!$A:$AF,26,FALSE)*$Q436/100</f>
        <v>0</v>
      </c>
      <c r="AN436" s="583">
        <f>VLOOKUP($H436,Nutrition_tables!$A:$AF,27,FALSE)*$Q436/100</f>
        <v>0</v>
      </c>
      <c r="AO436" s="583">
        <f>VLOOKUP($H436,Nutrition_tables!$A:$AF,28,FALSE)*$Q436/100</f>
        <v>0</v>
      </c>
      <c r="AP436" s="583">
        <f>VLOOKUP($H436,Nutrition_tables!$A:$AF,29,FALSE)*$Q436/100</f>
        <v>0</v>
      </c>
      <c r="AQ436" s="583">
        <f>VLOOKUP($H436,Nutrition_tables!$A:$AF,30,FALSE)*$Q436/100</f>
        <v>0</v>
      </c>
      <c r="AR436" s="583">
        <f>VLOOKUP($H436,Nutrition_tables!$A:$AF,31,FALSE)*$Q436/100</f>
        <v>0</v>
      </c>
      <c r="AS436" s="549">
        <f>VLOOKUP($H436,Nutrition_tables!$A:$AF,32,FALSE)*$Q436/100</f>
        <v>0</v>
      </c>
      <c r="AT436" s="583" t="str">
        <f>IF(H436="Select ingredient:","",IF(G436="Select food category:","",IFERROR(VLOOKUP($H436,Ingredient_prices!$E:$W,17,FALSE)*$Q436/1000,"not bought")))</f>
        <v/>
      </c>
      <c r="AU436" s="583" t="str">
        <f>IF(H436="Select ingredient:","",IF(G436="Select food category:","",IFERROR(VLOOKUP($H436,Ingredient_prices!$E:$W,18,FALSE)*$Q436/1000,"not bought")))</f>
        <v/>
      </c>
      <c r="AV436" s="583">
        <f t="shared" si="982"/>
        <v>0</v>
      </c>
      <c r="AW436" s="583">
        <f t="shared" si="983"/>
        <v>0</v>
      </c>
      <c r="AX436" s="583">
        <f t="shared" si="984"/>
        <v>0</v>
      </c>
      <c r="AY436" s="583">
        <f t="shared" si="985"/>
        <v>0</v>
      </c>
      <c r="AZ436" s="583">
        <f t="shared" si="986"/>
        <v>0</v>
      </c>
      <c r="BA436" s="583">
        <f t="shared" si="987"/>
        <v>0</v>
      </c>
      <c r="BB436" s="583">
        <f t="shared" si="988"/>
        <v>0</v>
      </c>
      <c r="BC436" s="583">
        <f t="shared" si="989"/>
        <v>0</v>
      </c>
      <c r="BD436" s="583">
        <f t="shared" si="990"/>
        <v>0</v>
      </c>
      <c r="BE436" s="583">
        <f t="shared" si="991"/>
        <v>0</v>
      </c>
      <c r="BF436" s="583">
        <f t="shared" si="992"/>
        <v>0</v>
      </c>
      <c r="BG436" s="583">
        <f t="shared" si="993"/>
        <v>0</v>
      </c>
      <c r="BH436" s="583">
        <f t="shared" si="994"/>
        <v>0</v>
      </c>
      <c r="BI436" s="583">
        <f t="shared" si="995"/>
        <v>0</v>
      </c>
      <c r="BJ436" s="583">
        <f t="shared" si="996"/>
        <v>0</v>
      </c>
      <c r="BK436" s="583">
        <f t="shared" si="997"/>
        <v>0</v>
      </c>
      <c r="BL436" s="583">
        <f t="shared" si="998"/>
        <v>0</v>
      </c>
      <c r="BM436" s="583">
        <f t="shared" si="999"/>
        <v>0</v>
      </c>
      <c r="BN436" s="583">
        <f t="shared" si="1000"/>
        <v>0</v>
      </c>
      <c r="BO436" s="583">
        <f t="shared" si="1001"/>
        <v>0</v>
      </c>
      <c r="BP436" s="583">
        <f t="shared" si="1002"/>
        <v>0</v>
      </c>
      <c r="BQ436" s="583">
        <f t="shared" si="1003"/>
        <v>0</v>
      </c>
      <c r="BR436" s="583">
        <f t="shared" si="1004"/>
        <v>0</v>
      </c>
    </row>
    <row r="437" spans="1:70" s="229" customFormat="1" ht="15" customHeight="1">
      <c r="A437" s="504"/>
      <c r="D437" s="85"/>
      <c r="E437" s="576">
        <f t="shared" si="1005"/>
        <v>100</v>
      </c>
      <c r="F437" s="707"/>
      <c r="G437" s="406" t="s">
        <v>3054</v>
      </c>
      <c r="H437" s="1262" t="s">
        <v>3055</v>
      </c>
      <c r="I437" s="85">
        <v>0</v>
      </c>
      <c r="J437" s="682">
        <v>1</v>
      </c>
      <c r="K437" s="579" t="str">
        <f t="shared" si="979"/>
        <v/>
      </c>
      <c r="L437" s="580" t="str">
        <f>IF(H437="Select ingredient:","",IF(G437="","",_xlfn.IFNA(VLOOKUP($H437,Ingredient_prices!$E:$U,16,FALSE),0)))</f>
        <v/>
      </c>
      <c r="M437" s="850"/>
      <c r="N437" s="850"/>
      <c r="O437" s="666"/>
      <c r="P437" s="670"/>
      <c r="Q437" s="583">
        <f t="shared" si="980"/>
        <v>0</v>
      </c>
      <c r="R437" s="583">
        <f>VLOOKUP($H437,'CO2_emission+%_food_waste'!$A:$K,6,FALSE)*$Q437/100</f>
        <v>0</v>
      </c>
      <c r="S437" s="583">
        <f t="shared" si="981"/>
        <v>0</v>
      </c>
      <c r="T437" s="583" t="str">
        <f>IF(H437="Select ingredient:","",IF(G437="Select food category:","",_xlfn.IFNA(VLOOKUP($H437,Ingredient_prices!$E:$U,16,FALSE)*$Q437/1000,"not bought")))</f>
        <v/>
      </c>
      <c r="U437" s="583" t="str">
        <f>IF(G437="Select food category:","",_xlfn.IFNA(VLOOKUP($H437,Ingredient_prices!$E:$U,16,FALSE)*$R437/1000,"not bought"))</f>
        <v/>
      </c>
      <c r="V437" s="549">
        <f>VLOOKUP($H437,'CO2_emission+%_food_waste'!$A:$K,4,FALSE)*$Q437</f>
        <v>0</v>
      </c>
      <c r="W437" s="583">
        <f>VLOOKUP($H437,Nutrition_tables!$A:$N,10,FALSE)*$Q437/100</f>
        <v>0</v>
      </c>
      <c r="X437" s="583">
        <f>VLOOKUP($H437,Nutrition_tables!$A:$N,11,FALSE)*$Q437/100</f>
        <v>0</v>
      </c>
      <c r="Y437" s="583">
        <f>VLOOKUP($H437,Nutrition_tables!$A:$N,12,FALSE)*$Q437/100</f>
        <v>0</v>
      </c>
      <c r="Z437" s="583">
        <f>VLOOKUP($H437,Nutrition_tables!$A:$N,14,FALSE)*$Q437/100</f>
        <v>0</v>
      </c>
      <c r="AA437" s="583">
        <f>VLOOKUP($H437,Nutrition_tables!$A:$AF,13,FALSE)*$Q437/100</f>
        <v>0</v>
      </c>
      <c r="AB437" s="549">
        <f>VLOOKUP($H437,Nutrition_tables!$A:$AF,15,FALSE)*$Q437/100</f>
        <v>0</v>
      </c>
      <c r="AC437" s="583">
        <f>VLOOKUP($H437,Nutrition_tables!$A:$AF,16,FALSE)*$Q437/100</f>
        <v>0</v>
      </c>
      <c r="AD437" s="583">
        <f>VLOOKUP($H437,Nutrition_tables!$A:$AF,17,FALSE)*$Q437/100</f>
        <v>0</v>
      </c>
      <c r="AE437" s="583">
        <f>VLOOKUP($H437,Nutrition_tables!$A:$AF,18,FALSE)*$Q437/100</f>
        <v>0</v>
      </c>
      <c r="AF437" s="583">
        <f>VLOOKUP($H437,Nutrition_tables!$A:$AF,19,FALSE)*$Q437/100</f>
        <v>0</v>
      </c>
      <c r="AG437" s="583">
        <f>VLOOKUP($H437,Nutrition_tables!$A:$AF,20,FALSE)*$Q437/100</f>
        <v>0</v>
      </c>
      <c r="AH437" s="583">
        <f>VLOOKUP($H437,Nutrition_tables!$A:$AF,21,FALSE)*$Q437/100</f>
        <v>0</v>
      </c>
      <c r="AI437" s="583">
        <f>VLOOKUP($H437,Nutrition_tables!$A:$AF,22,FALSE)*$Q437/100</f>
        <v>0</v>
      </c>
      <c r="AJ437" s="549">
        <f>VLOOKUP($H437,Nutrition_tables!$A:$AF,23,FALSE)*$Q437/100</f>
        <v>0</v>
      </c>
      <c r="AK437" s="583">
        <f>VLOOKUP($H437,Nutrition_tables!$A:$AF,24,FALSE)*$Q437/100</f>
        <v>0</v>
      </c>
      <c r="AL437" s="583">
        <f>VLOOKUP($H437,Nutrition_tables!$A:$AF,25,FALSE)*$Q437/100</f>
        <v>0</v>
      </c>
      <c r="AM437" s="583">
        <f>VLOOKUP($H437,Nutrition_tables!$A:$AF,26,FALSE)*$Q437/100</f>
        <v>0</v>
      </c>
      <c r="AN437" s="583">
        <f>VLOOKUP($H437,Nutrition_tables!$A:$AF,27,FALSE)*$Q437/100</f>
        <v>0</v>
      </c>
      <c r="AO437" s="583">
        <f>VLOOKUP($H437,Nutrition_tables!$A:$AF,28,FALSE)*$Q437/100</f>
        <v>0</v>
      </c>
      <c r="AP437" s="583">
        <f>VLOOKUP($H437,Nutrition_tables!$A:$AF,29,FALSE)*$Q437/100</f>
        <v>0</v>
      </c>
      <c r="AQ437" s="583">
        <f>VLOOKUP($H437,Nutrition_tables!$A:$AF,30,FALSE)*$Q437/100</f>
        <v>0</v>
      </c>
      <c r="AR437" s="583">
        <f>VLOOKUP($H437,Nutrition_tables!$A:$AF,31,FALSE)*$Q437/100</f>
        <v>0</v>
      </c>
      <c r="AS437" s="549">
        <f>VLOOKUP($H437,Nutrition_tables!$A:$AF,32,FALSE)*$Q437/100</f>
        <v>0</v>
      </c>
      <c r="AT437" s="583" t="str">
        <f>IF(H437="Select ingredient:","",IF(G437="Select food category:","",IFERROR(VLOOKUP($H437,Ingredient_prices!$E:$W,17,FALSE)*$Q437/1000,"not bought")))</f>
        <v/>
      </c>
      <c r="AU437" s="583" t="str">
        <f>IF(H437="Select ingredient:","",IF(G437="Select food category:","",IFERROR(VLOOKUP($H437,Ingredient_prices!$E:$W,18,FALSE)*$Q437/1000,"not bought")))</f>
        <v/>
      </c>
      <c r="AV437" s="583">
        <f t="shared" si="982"/>
        <v>0</v>
      </c>
      <c r="AW437" s="583">
        <f t="shared" si="983"/>
        <v>0</v>
      </c>
      <c r="AX437" s="583">
        <f t="shared" si="984"/>
        <v>0</v>
      </c>
      <c r="AY437" s="583">
        <f t="shared" si="985"/>
        <v>0</v>
      </c>
      <c r="AZ437" s="583">
        <f t="shared" si="986"/>
        <v>0</v>
      </c>
      <c r="BA437" s="583">
        <f t="shared" si="987"/>
        <v>0</v>
      </c>
      <c r="BB437" s="583">
        <f t="shared" si="988"/>
        <v>0</v>
      </c>
      <c r="BC437" s="583">
        <f t="shared" si="989"/>
        <v>0</v>
      </c>
      <c r="BD437" s="583">
        <f t="shared" si="990"/>
        <v>0</v>
      </c>
      <c r="BE437" s="583">
        <f t="shared" si="991"/>
        <v>0</v>
      </c>
      <c r="BF437" s="583">
        <f t="shared" si="992"/>
        <v>0</v>
      </c>
      <c r="BG437" s="583">
        <f t="shared" si="993"/>
        <v>0</v>
      </c>
      <c r="BH437" s="583">
        <f t="shared" si="994"/>
        <v>0</v>
      </c>
      <c r="BI437" s="583">
        <f t="shared" si="995"/>
        <v>0</v>
      </c>
      <c r="BJ437" s="583">
        <f t="shared" si="996"/>
        <v>0</v>
      </c>
      <c r="BK437" s="583">
        <f t="shared" si="997"/>
        <v>0</v>
      </c>
      <c r="BL437" s="583">
        <f t="shared" si="998"/>
        <v>0</v>
      </c>
      <c r="BM437" s="583">
        <f t="shared" si="999"/>
        <v>0</v>
      </c>
      <c r="BN437" s="583">
        <f t="shared" si="1000"/>
        <v>0</v>
      </c>
      <c r="BO437" s="583">
        <f t="shared" si="1001"/>
        <v>0</v>
      </c>
      <c r="BP437" s="583">
        <f t="shared" si="1002"/>
        <v>0</v>
      </c>
      <c r="BQ437" s="583">
        <f t="shared" si="1003"/>
        <v>0</v>
      </c>
      <c r="BR437" s="583">
        <f t="shared" si="1004"/>
        <v>0</v>
      </c>
    </row>
    <row r="438" spans="1:70" s="229" customFormat="1" ht="15" customHeight="1">
      <c r="A438" s="504"/>
      <c r="D438" s="85"/>
      <c r="E438" s="576">
        <f t="shared" si="1005"/>
        <v>100</v>
      </c>
      <c r="F438" s="707"/>
      <c r="G438" s="406" t="s">
        <v>3054</v>
      </c>
      <c r="H438" s="1262" t="s">
        <v>3055</v>
      </c>
      <c r="I438" s="85">
        <v>0</v>
      </c>
      <c r="J438" s="682">
        <v>1</v>
      </c>
      <c r="K438" s="579" t="str">
        <f t="shared" si="979"/>
        <v/>
      </c>
      <c r="L438" s="580" t="str">
        <f>IF(H438="Select ingredient:","",IF(G438="","",_xlfn.IFNA(VLOOKUP($H438,Ingredient_prices!$E:$U,16,FALSE),0)))</f>
        <v/>
      </c>
      <c r="M438" s="850"/>
      <c r="N438" s="850"/>
      <c r="O438" s="666"/>
      <c r="P438" s="670"/>
      <c r="Q438" s="583">
        <f t="shared" si="980"/>
        <v>0</v>
      </c>
      <c r="R438" s="583">
        <f>VLOOKUP($H438,'CO2_emission+%_food_waste'!$A:$K,6,FALSE)*$Q438/100</f>
        <v>0</v>
      </c>
      <c r="S438" s="583">
        <f t="shared" si="981"/>
        <v>0</v>
      </c>
      <c r="T438" s="583" t="str">
        <f>IF(H438="Select ingredient:","",IF(G438="Select food category:","",_xlfn.IFNA(VLOOKUP($H438,Ingredient_prices!$E:$U,16,FALSE)*$Q438/1000,"not bought")))</f>
        <v/>
      </c>
      <c r="U438" s="583" t="str">
        <f>IF(G438="Select food category:","",_xlfn.IFNA(VLOOKUP($H438,Ingredient_prices!$E:$U,16,FALSE)*$R438/1000,"not bought"))</f>
        <v/>
      </c>
      <c r="V438" s="549">
        <f>VLOOKUP($H438,'CO2_emission+%_food_waste'!$A:$K,4,FALSE)*$Q438</f>
        <v>0</v>
      </c>
      <c r="W438" s="583">
        <f>VLOOKUP($H438,Nutrition_tables!$A:$N,10,FALSE)*$Q438/100</f>
        <v>0</v>
      </c>
      <c r="X438" s="583">
        <f>VLOOKUP($H438,Nutrition_tables!$A:$N,11,FALSE)*$Q438/100</f>
        <v>0</v>
      </c>
      <c r="Y438" s="583">
        <f>VLOOKUP($H438,Nutrition_tables!$A:$N,12,FALSE)*$Q438/100</f>
        <v>0</v>
      </c>
      <c r="Z438" s="583">
        <f>VLOOKUP($H438,Nutrition_tables!$A:$N,14,FALSE)*$Q438/100</f>
        <v>0</v>
      </c>
      <c r="AA438" s="583">
        <f>VLOOKUP($H438,Nutrition_tables!$A:$AF,13,FALSE)*$Q438/100</f>
        <v>0</v>
      </c>
      <c r="AB438" s="549">
        <f>VLOOKUP($H438,Nutrition_tables!$A:$AF,15,FALSE)*$Q438/100</f>
        <v>0</v>
      </c>
      <c r="AC438" s="583">
        <f>VLOOKUP($H438,Nutrition_tables!$A:$AF,16,FALSE)*$Q438/100</f>
        <v>0</v>
      </c>
      <c r="AD438" s="583">
        <f>VLOOKUP($H438,Nutrition_tables!$A:$AF,17,FALSE)*$Q438/100</f>
        <v>0</v>
      </c>
      <c r="AE438" s="583">
        <f>VLOOKUP($H438,Nutrition_tables!$A:$AF,18,FALSE)*$Q438/100</f>
        <v>0</v>
      </c>
      <c r="AF438" s="583">
        <f>VLOOKUP($H438,Nutrition_tables!$A:$AF,19,FALSE)*$Q438/100</f>
        <v>0</v>
      </c>
      <c r="AG438" s="583">
        <f>VLOOKUP($H438,Nutrition_tables!$A:$AF,20,FALSE)*$Q438/100</f>
        <v>0</v>
      </c>
      <c r="AH438" s="583">
        <f>VLOOKUP($H438,Nutrition_tables!$A:$AF,21,FALSE)*$Q438/100</f>
        <v>0</v>
      </c>
      <c r="AI438" s="583">
        <f>VLOOKUP($H438,Nutrition_tables!$A:$AF,22,FALSE)*$Q438/100</f>
        <v>0</v>
      </c>
      <c r="AJ438" s="549">
        <f>VLOOKUP($H438,Nutrition_tables!$A:$AF,23,FALSE)*$Q438/100</f>
        <v>0</v>
      </c>
      <c r="AK438" s="583">
        <f>VLOOKUP($H438,Nutrition_tables!$A:$AF,24,FALSE)*$Q438/100</f>
        <v>0</v>
      </c>
      <c r="AL438" s="583">
        <f>VLOOKUP($H438,Nutrition_tables!$A:$AF,25,FALSE)*$Q438/100</f>
        <v>0</v>
      </c>
      <c r="AM438" s="583">
        <f>VLOOKUP($H438,Nutrition_tables!$A:$AF,26,FALSE)*$Q438/100</f>
        <v>0</v>
      </c>
      <c r="AN438" s="583">
        <f>VLOOKUP($H438,Nutrition_tables!$A:$AF,27,FALSE)*$Q438/100</f>
        <v>0</v>
      </c>
      <c r="AO438" s="583">
        <f>VLOOKUP($H438,Nutrition_tables!$A:$AF,28,FALSE)*$Q438/100</f>
        <v>0</v>
      </c>
      <c r="AP438" s="583">
        <f>VLOOKUP($H438,Nutrition_tables!$A:$AF,29,FALSE)*$Q438/100</f>
        <v>0</v>
      </c>
      <c r="AQ438" s="583">
        <f>VLOOKUP($H438,Nutrition_tables!$A:$AF,30,FALSE)*$Q438/100</f>
        <v>0</v>
      </c>
      <c r="AR438" s="583">
        <f>VLOOKUP($H438,Nutrition_tables!$A:$AF,31,FALSE)*$Q438/100</f>
        <v>0</v>
      </c>
      <c r="AS438" s="549">
        <f>VLOOKUP($H438,Nutrition_tables!$A:$AF,32,FALSE)*$Q438/100</f>
        <v>0</v>
      </c>
      <c r="AT438" s="583" t="str">
        <f>IF(H438="Select ingredient:","",IF(G438="Select food category:","",IFERROR(VLOOKUP($H438,Ingredient_prices!$E:$W,17,FALSE)*$Q438/1000,"not bought")))</f>
        <v/>
      </c>
      <c r="AU438" s="583" t="str">
        <f>IF(H438="Select ingredient:","",IF(G438="Select food category:","",IFERROR(VLOOKUP($H438,Ingredient_prices!$E:$W,18,FALSE)*$Q438/1000,"not bought")))</f>
        <v/>
      </c>
      <c r="AV438" s="583">
        <f t="shared" si="982"/>
        <v>0</v>
      </c>
      <c r="AW438" s="583">
        <f t="shared" si="983"/>
        <v>0</v>
      </c>
      <c r="AX438" s="583">
        <f t="shared" si="984"/>
        <v>0</v>
      </c>
      <c r="AY438" s="583">
        <f t="shared" si="985"/>
        <v>0</v>
      </c>
      <c r="AZ438" s="583">
        <f t="shared" si="986"/>
        <v>0</v>
      </c>
      <c r="BA438" s="583">
        <f t="shared" si="987"/>
        <v>0</v>
      </c>
      <c r="BB438" s="583">
        <f t="shared" si="988"/>
        <v>0</v>
      </c>
      <c r="BC438" s="583">
        <f t="shared" si="989"/>
        <v>0</v>
      </c>
      <c r="BD438" s="583">
        <f t="shared" si="990"/>
        <v>0</v>
      </c>
      <c r="BE438" s="583">
        <f t="shared" si="991"/>
        <v>0</v>
      </c>
      <c r="BF438" s="583">
        <f t="shared" si="992"/>
        <v>0</v>
      </c>
      <c r="BG438" s="583">
        <f t="shared" si="993"/>
        <v>0</v>
      </c>
      <c r="BH438" s="583">
        <f t="shared" si="994"/>
        <v>0</v>
      </c>
      <c r="BI438" s="583">
        <f t="shared" si="995"/>
        <v>0</v>
      </c>
      <c r="BJ438" s="583">
        <f t="shared" si="996"/>
        <v>0</v>
      </c>
      <c r="BK438" s="583">
        <f t="shared" si="997"/>
        <v>0</v>
      </c>
      <c r="BL438" s="583">
        <f t="shared" si="998"/>
        <v>0</v>
      </c>
      <c r="BM438" s="583">
        <f t="shared" si="999"/>
        <v>0</v>
      </c>
      <c r="BN438" s="583">
        <f t="shared" si="1000"/>
        <v>0</v>
      </c>
      <c r="BO438" s="583">
        <f t="shared" si="1001"/>
        <v>0</v>
      </c>
      <c r="BP438" s="583">
        <f t="shared" si="1002"/>
        <v>0</v>
      </c>
      <c r="BQ438" s="583">
        <f t="shared" si="1003"/>
        <v>0</v>
      </c>
      <c r="BR438" s="583">
        <f t="shared" si="1004"/>
        <v>0</v>
      </c>
    </row>
    <row r="439" spans="1:70" s="229" customFormat="1" ht="15" customHeight="1">
      <c r="A439" s="504"/>
      <c r="D439" s="85"/>
      <c r="E439" s="576">
        <f t="shared" si="1005"/>
        <v>100</v>
      </c>
      <c r="F439" s="85"/>
      <c r="G439" s="406" t="s">
        <v>3054</v>
      </c>
      <c r="H439" s="1262" t="s">
        <v>3055</v>
      </c>
      <c r="I439" s="85">
        <v>0</v>
      </c>
      <c r="J439" s="682">
        <v>1</v>
      </c>
      <c r="K439" s="579" t="str">
        <f t="shared" si="979"/>
        <v/>
      </c>
      <c r="L439" s="580" t="str">
        <f>IF(H439="Select ingredient:","",IF(G439="","",_xlfn.IFNA(VLOOKUP($H439,Ingredient_prices!$E:$U,16,FALSE),0)))</f>
        <v/>
      </c>
      <c r="M439" s="850"/>
      <c r="N439" s="850"/>
      <c r="O439" s="666"/>
      <c r="P439" s="670"/>
      <c r="Q439" s="583">
        <f t="shared" si="980"/>
        <v>0</v>
      </c>
      <c r="R439" s="583">
        <f>VLOOKUP($H439,'CO2_emission+%_food_waste'!$A:$K,6,FALSE)*$Q439/100</f>
        <v>0</v>
      </c>
      <c r="S439" s="583">
        <f t="shared" si="981"/>
        <v>0</v>
      </c>
      <c r="T439" s="583" t="str">
        <f>IF(H439="Select ingredient:","",IF(G439="Select food category:","",_xlfn.IFNA(VLOOKUP($H439,Ingredient_prices!$E:$U,16,FALSE)*$Q439/1000,"not bought")))</f>
        <v/>
      </c>
      <c r="U439" s="583" t="str">
        <f>IF(G439="Select food category:","",_xlfn.IFNA(VLOOKUP($H439,Ingredient_prices!$E:$U,16,FALSE)*$R439/1000,"not bought"))</f>
        <v/>
      </c>
      <c r="V439" s="549">
        <f>VLOOKUP($H439,'CO2_emission+%_food_waste'!$A:$K,4,FALSE)*$Q439</f>
        <v>0</v>
      </c>
      <c r="W439" s="583">
        <f>VLOOKUP($H439,Nutrition_tables!$A:$N,10,FALSE)*$Q439/100</f>
        <v>0</v>
      </c>
      <c r="X439" s="583">
        <f>VLOOKUP($H439,Nutrition_tables!$A:$N,11,FALSE)*$Q439/100</f>
        <v>0</v>
      </c>
      <c r="Y439" s="583">
        <f>VLOOKUP($H439,Nutrition_tables!$A:$N,12,FALSE)*$Q439/100</f>
        <v>0</v>
      </c>
      <c r="Z439" s="583">
        <f>VLOOKUP($H439,Nutrition_tables!$A:$N,14,FALSE)*$Q439/100</f>
        <v>0</v>
      </c>
      <c r="AA439" s="583">
        <f>VLOOKUP($H439,Nutrition_tables!$A:$AF,13,FALSE)*$Q439/100</f>
        <v>0</v>
      </c>
      <c r="AB439" s="549">
        <f>VLOOKUP($H439,Nutrition_tables!$A:$AF,15,FALSE)*$Q439/100</f>
        <v>0</v>
      </c>
      <c r="AC439" s="583">
        <f>VLOOKUP($H439,Nutrition_tables!$A:$AF,16,FALSE)*$Q439/100</f>
        <v>0</v>
      </c>
      <c r="AD439" s="583">
        <f>VLOOKUP($H439,Nutrition_tables!$A:$AF,17,FALSE)*$Q439/100</f>
        <v>0</v>
      </c>
      <c r="AE439" s="583">
        <f>VLOOKUP($H439,Nutrition_tables!$A:$AF,18,FALSE)*$Q439/100</f>
        <v>0</v>
      </c>
      <c r="AF439" s="583">
        <f>VLOOKUP($H439,Nutrition_tables!$A:$AF,19,FALSE)*$Q439/100</f>
        <v>0</v>
      </c>
      <c r="AG439" s="583">
        <f>VLOOKUP($H439,Nutrition_tables!$A:$AF,20,FALSE)*$Q439/100</f>
        <v>0</v>
      </c>
      <c r="AH439" s="583">
        <f>VLOOKUP($H439,Nutrition_tables!$A:$AF,21,FALSE)*$Q439/100</f>
        <v>0</v>
      </c>
      <c r="AI439" s="583">
        <f>VLOOKUP($H439,Nutrition_tables!$A:$AF,22,FALSE)*$Q439/100</f>
        <v>0</v>
      </c>
      <c r="AJ439" s="549">
        <f>VLOOKUP($H439,Nutrition_tables!$A:$AF,23,FALSE)*$Q439/100</f>
        <v>0</v>
      </c>
      <c r="AK439" s="583">
        <f>VLOOKUP($H439,Nutrition_tables!$A:$AF,24,FALSE)*$Q439/100</f>
        <v>0</v>
      </c>
      <c r="AL439" s="583">
        <f>VLOOKUP($H439,Nutrition_tables!$A:$AF,25,FALSE)*$Q439/100</f>
        <v>0</v>
      </c>
      <c r="AM439" s="583">
        <f>VLOOKUP($H439,Nutrition_tables!$A:$AF,26,FALSE)*$Q439/100</f>
        <v>0</v>
      </c>
      <c r="AN439" s="583">
        <f>VLOOKUP($H439,Nutrition_tables!$A:$AF,27,FALSE)*$Q439/100</f>
        <v>0</v>
      </c>
      <c r="AO439" s="583">
        <f>VLOOKUP($H439,Nutrition_tables!$A:$AF,28,FALSE)*$Q439/100</f>
        <v>0</v>
      </c>
      <c r="AP439" s="583">
        <f>VLOOKUP($H439,Nutrition_tables!$A:$AF,29,FALSE)*$Q439/100</f>
        <v>0</v>
      </c>
      <c r="AQ439" s="583">
        <f>VLOOKUP($H439,Nutrition_tables!$A:$AF,30,FALSE)*$Q439/100</f>
        <v>0</v>
      </c>
      <c r="AR439" s="583">
        <f>VLOOKUP($H439,Nutrition_tables!$A:$AF,31,FALSE)*$Q439/100</f>
        <v>0</v>
      </c>
      <c r="AS439" s="549">
        <f>VLOOKUP($H439,Nutrition_tables!$A:$AF,32,FALSE)*$Q439/100</f>
        <v>0</v>
      </c>
      <c r="AT439" s="583" t="str">
        <f>IF(H439="Select ingredient:","",IF(G439="Select food category:","",IFERROR(VLOOKUP($H439,Ingredient_prices!$E:$W,17,FALSE)*$Q439/1000,"not bought")))</f>
        <v/>
      </c>
      <c r="AU439" s="583" t="str">
        <f>IF(H439="Select ingredient:","",IF(G439="Select food category:","",IFERROR(VLOOKUP($H439,Ingredient_prices!$E:$W,18,FALSE)*$Q439/1000,"not bought")))</f>
        <v/>
      </c>
      <c r="AV439" s="583">
        <f t="shared" si="982"/>
        <v>0</v>
      </c>
      <c r="AW439" s="583">
        <f t="shared" si="983"/>
        <v>0</v>
      </c>
      <c r="AX439" s="583">
        <f t="shared" si="984"/>
        <v>0</v>
      </c>
      <c r="AY439" s="583">
        <f t="shared" si="985"/>
        <v>0</v>
      </c>
      <c r="AZ439" s="583">
        <f t="shared" si="986"/>
        <v>0</v>
      </c>
      <c r="BA439" s="583">
        <f t="shared" si="987"/>
        <v>0</v>
      </c>
      <c r="BB439" s="583">
        <f t="shared" si="988"/>
        <v>0</v>
      </c>
      <c r="BC439" s="583">
        <f t="shared" si="989"/>
        <v>0</v>
      </c>
      <c r="BD439" s="583">
        <f t="shared" si="990"/>
        <v>0</v>
      </c>
      <c r="BE439" s="583">
        <f t="shared" si="991"/>
        <v>0</v>
      </c>
      <c r="BF439" s="583">
        <f t="shared" si="992"/>
        <v>0</v>
      </c>
      <c r="BG439" s="583">
        <f t="shared" si="993"/>
        <v>0</v>
      </c>
      <c r="BH439" s="583">
        <f t="shared" si="994"/>
        <v>0</v>
      </c>
      <c r="BI439" s="583">
        <f t="shared" si="995"/>
        <v>0</v>
      </c>
      <c r="BJ439" s="583">
        <f t="shared" si="996"/>
        <v>0</v>
      </c>
      <c r="BK439" s="583">
        <f t="shared" si="997"/>
        <v>0</v>
      </c>
      <c r="BL439" s="583">
        <f t="shared" si="998"/>
        <v>0</v>
      </c>
      <c r="BM439" s="583">
        <f t="shared" si="999"/>
        <v>0</v>
      </c>
      <c r="BN439" s="583">
        <f t="shared" si="1000"/>
        <v>0</v>
      </c>
      <c r="BO439" s="583">
        <f t="shared" si="1001"/>
        <v>0</v>
      </c>
      <c r="BP439" s="583">
        <f t="shared" si="1002"/>
        <v>0</v>
      </c>
      <c r="BQ439" s="583">
        <f t="shared" si="1003"/>
        <v>0</v>
      </c>
      <c r="BR439" s="583">
        <f t="shared" si="1004"/>
        <v>0</v>
      </c>
    </row>
    <row r="440" spans="1:70" s="229" customFormat="1" ht="15" customHeight="1">
      <c r="A440" s="504"/>
      <c r="D440" s="85"/>
      <c r="E440" s="576">
        <f t="shared" si="1005"/>
        <v>100</v>
      </c>
      <c r="G440" s="406" t="s">
        <v>3054</v>
      </c>
      <c r="H440" s="1262" t="s">
        <v>3055</v>
      </c>
      <c r="I440" s="85">
        <v>0</v>
      </c>
      <c r="J440" s="682">
        <v>1</v>
      </c>
      <c r="K440" s="579" t="str">
        <f t="shared" si="979"/>
        <v/>
      </c>
      <c r="L440" s="580" t="str">
        <f>IF(H440="Select ingredient:","",IF(G440="","",_xlfn.IFNA(VLOOKUP($H440,Ingredient_prices!$E:$U,16,FALSE),0)))</f>
        <v/>
      </c>
      <c r="M440" s="850"/>
      <c r="N440" s="850"/>
      <c r="O440" s="666"/>
      <c r="P440" s="670"/>
      <c r="Q440" s="583">
        <f t="shared" si="980"/>
        <v>0</v>
      </c>
      <c r="R440" s="583">
        <f>VLOOKUP($H440,'CO2_emission+%_food_waste'!$A:$K,6,FALSE)*$Q440/100</f>
        <v>0</v>
      </c>
      <c r="S440" s="583">
        <f t="shared" si="981"/>
        <v>0</v>
      </c>
      <c r="T440" s="583" t="str">
        <f>IF(H440="Select ingredient:","",IF(G440="Select food category:","",_xlfn.IFNA(VLOOKUP($H440,Ingredient_prices!$E:$U,16,FALSE)*$Q440/1000,"not bought")))</f>
        <v/>
      </c>
      <c r="U440" s="583" t="str">
        <f>IF(G440="Select food category:","",_xlfn.IFNA(VLOOKUP($H440,Ingredient_prices!$E:$U,16,FALSE)*$R440/1000,"not bought"))</f>
        <v/>
      </c>
      <c r="V440" s="549">
        <f>VLOOKUP($H440,'CO2_emission+%_food_waste'!$A:$K,4,FALSE)*$Q440</f>
        <v>0</v>
      </c>
      <c r="W440" s="583">
        <f>VLOOKUP($H440,Nutrition_tables!$A:$N,10,FALSE)*$Q440/100</f>
        <v>0</v>
      </c>
      <c r="X440" s="583">
        <f>VLOOKUP($H440,Nutrition_tables!$A:$N,11,FALSE)*$Q440/100</f>
        <v>0</v>
      </c>
      <c r="Y440" s="583">
        <f>VLOOKUP($H440,Nutrition_tables!$A:$N,12,FALSE)*$Q440/100</f>
        <v>0</v>
      </c>
      <c r="Z440" s="583">
        <f>VLOOKUP($H440,Nutrition_tables!$A:$N,14,FALSE)*$Q440/100</f>
        <v>0</v>
      </c>
      <c r="AA440" s="583">
        <f>VLOOKUP($H440,Nutrition_tables!$A:$AF,13,FALSE)*$Q440/100</f>
        <v>0</v>
      </c>
      <c r="AB440" s="549">
        <f>VLOOKUP($H440,Nutrition_tables!$A:$AF,15,FALSE)*$Q440/100</f>
        <v>0</v>
      </c>
      <c r="AC440" s="583">
        <f>VLOOKUP($H440,Nutrition_tables!$A:$AF,16,FALSE)*$Q440/100</f>
        <v>0</v>
      </c>
      <c r="AD440" s="583">
        <f>VLOOKUP($H440,Nutrition_tables!$A:$AF,17,FALSE)*$Q440/100</f>
        <v>0</v>
      </c>
      <c r="AE440" s="583">
        <f>VLOOKUP($H440,Nutrition_tables!$A:$AF,18,FALSE)*$Q440/100</f>
        <v>0</v>
      </c>
      <c r="AF440" s="583">
        <f>VLOOKUP($H440,Nutrition_tables!$A:$AF,19,FALSE)*$Q440/100</f>
        <v>0</v>
      </c>
      <c r="AG440" s="583">
        <f>VLOOKUP($H440,Nutrition_tables!$A:$AF,20,FALSE)*$Q440/100</f>
        <v>0</v>
      </c>
      <c r="AH440" s="583">
        <f>VLOOKUP($H440,Nutrition_tables!$A:$AF,21,FALSE)*$Q440/100</f>
        <v>0</v>
      </c>
      <c r="AI440" s="583">
        <f>VLOOKUP($H440,Nutrition_tables!$A:$AF,22,FALSE)*$Q440/100</f>
        <v>0</v>
      </c>
      <c r="AJ440" s="549">
        <f>VLOOKUP($H440,Nutrition_tables!$A:$AF,23,FALSE)*$Q440/100</f>
        <v>0</v>
      </c>
      <c r="AK440" s="583">
        <f>VLOOKUP($H440,Nutrition_tables!$A:$AF,24,FALSE)*$Q440/100</f>
        <v>0</v>
      </c>
      <c r="AL440" s="583">
        <f>VLOOKUP($H440,Nutrition_tables!$A:$AF,25,FALSE)*$Q440/100</f>
        <v>0</v>
      </c>
      <c r="AM440" s="583">
        <f>VLOOKUP($H440,Nutrition_tables!$A:$AF,26,FALSE)*$Q440/100</f>
        <v>0</v>
      </c>
      <c r="AN440" s="583">
        <f>VLOOKUP($H440,Nutrition_tables!$A:$AF,27,FALSE)*$Q440/100</f>
        <v>0</v>
      </c>
      <c r="AO440" s="583">
        <f>VLOOKUP($H440,Nutrition_tables!$A:$AF,28,FALSE)*$Q440/100</f>
        <v>0</v>
      </c>
      <c r="AP440" s="583">
        <f>VLOOKUP($H440,Nutrition_tables!$A:$AF,29,FALSE)*$Q440/100</f>
        <v>0</v>
      </c>
      <c r="AQ440" s="583">
        <f>VLOOKUP($H440,Nutrition_tables!$A:$AF,30,FALSE)*$Q440/100</f>
        <v>0</v>
      </c>
      <c r="AR440" s="583">
        <f>VLOOKUP($H440,Nutrition_tables!$A:$AF,31,FALSE)*$Q440/100</f>
        <v>0</v>
      </c>
      <c r="AS440" s="549">
        <f>VLOOKUP($H440,Nutrition_tables!$A:$AF,32,FALSE)*$Q440/100</f>
        <v>0</v>
      </c>
      <c r="AT440" s="583" t="str">
        <f>IF(H440="Select ingredient:","",IF(G440="Select food category:","",IFERROR(VLOOKUP($H440,Ingredient_prices!$E:$W,17,FALSE)*$Q440/1000,"not bought")))</f>
        <v/>
      </c>
      <c r="AU440" s="583" t="str">
        <f>IF(H440="Select ingredient:","",IF(G440="Select food category:","",IFERROR(VLOOKUP($H440,Ingredient_prices!$E:$W,18,FALSE)*$Q440/1000,"not bought")))</f>
        <v/>
      </c>
      <c r="AV440" s="583">
        <f t="shared" si="982"/>
        <v>0</v>
      </c>
      <c r="AW440" s="583">
        <f t="shared" si="983"/>
        <v>0</v>
      </c>
      <c r="AX440" s="583">
        <f t="shared" si="984"/>
        <v>0</v>
      </c>
      <c r="AY440" s="583">
        <f t="shared" si="985"/>
        <v>0</v>
      </c>
      <c r="AZ440" s="583">
        <f t="shared" si="986"/>
        <v>0</v>
      </c>
      <c r="BA440" s="583">
        <f t="shared" si="987"/>
        <v>0</v>
      </c>
      <c r="BB440" s="583">
        <f t="shared" si="988"/>
        <v>0</v>
      </c>
      <c r="BC440" s="583">
        <f t="shared" si="989"/>
        <v>0</v>
      </c>
      <c r="BD440" s="583">
        <f t="shared" si="990"/>
        <v>0</v>
      </c>
      <c r="BE440" s="583">
        <f t="shared" si="991"/>
        <v>0</v>
      </c>
      <c r="BF440" s="583">
        <f t="shared" si="992"/>
        <v>0</v>
      </c>
      <c r="BG440" s="583">
        <f t="shared" si="993"/>
        <v>0</v>
      </c>
      <c r="BH440" s="583">
        <f t="shared" si="994"/>
        <v>0</v>
      </c>
      <c r="BI440" s="583">
        <f t="shared" si="995"/>
        <v>0</v>
      </c>
      <c r="BJ440" s="583">
        <f t="shared" si="996"/>
        <v>0</v>
      </c>
      <c r="BK440" s="583">
        <f t="shared" si="997"/>
        <v>0</v>
      </c>
      <c r="BL440" s="583">
        <f t="shared" si="998"/>
        <v>0</v>
      </c>
      <c r="BM440" s="583">
        <f t="shared" si="999"/>
        <v>0</v>
      </c>
      <c r="BN440" s="583">
        <f t="shared" si="1000"/>
        <v>0</v>
      </c>
      <c r="BO440" s="583">
        <f t="shared" si="1001"/>
        <v>0</v>
      </c>
      <c r="BP440" s="583">
        <f t="shared" si="1002"/>
        <v>0</v>
      </c>
      <c r="BQ440" s="583">
        <f t="shared" si="1003"/>
        <v>0</v>
      </c>
      <c r="BR440" s="583">
        <f t="shared" si="1004"/>
        <v>0</v>
      </c>
    </row>
    <row r="441" spans="1:70" s="229" customFormat="1" ht="15" customHeight="1">
      <c r="A441" s="504"/>
      <c r="D441" s="85"/>
      <c r="E441" s="576">
        <f t="shared" si="1005"/>
        <v>100</v>
      </c>
      <c r="G441" s="406" t="s">
        <v>3054</v>
      </c>
      <c r="H441" s="1262" t="s">
        <v>3055</v>
      </c>
      <c r="I441" s="85">
        <v>0</v>
      </c>
      <c r="J441" s="682">
        <v>1</v>
      </c>
      <c r="K441" s="579" t="str">
        <f t="shared" si="979"/>
        <v/>
      </c>
      <c r="L441" s="580" t="str">
        <f>IF(H441="Select ingredient:","",IF(G441="","",_xlfn.IFNA(VLOOKUP($H441,Ingredient_prices!$E:$U,16,FALSE),0)))</f>
        <v/>
      </c>
      <c r="M441" s="850"/>
      <c r="N441" s="850"/>
      <c r="O441" s="666"/>
      <c r="P441" s="670"/>
      <c r="Q441" s="583">
        <f t="shared" si="980"/>
        <v>0</v>
      </c>
      <c r="R441" s="583">
        <f>VLOOKUP($H441,'CO2_emission+%_food_waste'!$A:$K,6,FALSE)*$Q441/100</f>
        <v>0</v>
      </c>
      <c r="S441" s="583">
        <f t="shared" si="981"/>
        <v>0</v>
      </c>
      <c r="T441" s="583" t="str">
        <f>IF(H441="Select ingredient:","",IF(G441="Select food category:","",_xlfn.IFNA(VLOOKUP($H441,Ingredient_prices!$E:$U,16,FALSE)*$Q441/1000,"not bought")))</f>
        <v/>
      </c>
      <c r="U441" s="583" t="str">
        <f>IF(G441="Select food category:","",_xlfn.IFNA(VLOOKUP($H441,Ingredient_prices!$E:$U,16,FALSE)*$R441/1000,"not bought"))</f>
        <v/>
      </c>
      <c r="V441" s="549">
        <f>VLOOKUP($H441,'CO2_emission+%_food_waste'!$A:$K,4,FALSE)*$Q441</f>
        <v>0</v>
      </c>
      <c r="W441" s="583">
        <f>VLOOKUP($H441,Nutrition_tables!$A:$N,10,FALSE)*$Q441/100</f>
        <v>0</v>
      </c>
      <c r="X441" s="583">
        <f>VLOOKUP($H441,Nutrition_tables!$A:$N,11,FALSE)*$Q441/100</f>
        <v>0</v>
      </c>
      <c r="Y441" s="583">
        <f>VLOOKUP($H441,Nutrition_tables!$A:$N,12,FALSE)*$Q441/100</f>
        <v>0</v>
      </c>
      <c r="Z441" s="583">
        <f>VLOOKUP($H441,Nutrition_tables!$A:$N,14,FALSE)*$Q441/100</f>
        <v>0</v>
      </c>
      <c r="AA441" s="583">
        <f>VLOOKUP($H441,Nutrition_tables!$A:$AF,13,FALSE)*$Q441/100</f>
        <v>0</v>
      </c>
      <c r="AB441" s="549">
        <f>VLOOKUP($H441,Nutrition_tables!$A:$AF,15,FALSE)*$Q441/100</f>
        <v>0</v>
      </c>
      <c r="AC441" s="583">
        <f>VLOOKUP($H441,Nutrition_tables!$A:$AF,16,FALSE)*$Q441/100</f>
        <v>0</v>
      </c>
      <c r="AD441" s="583">
        <f>VLOOKUP($H441,Nutrition_tables!$A:$AF,17,FALSE)*$Q441/100</f>
        <v>0</v>
      </c>
      <c r="AE441" s="583">
        <f>VLOOKUP($H441,Nutrition_tables!$A:$AF,18,FALSE)*$Q441/100</f>
        <v>0</v>
      </c>
      <c r="AF441" s="583">
        <f>VLOOKUP($H441,Nutrition_tables!$A:$AF,19,FALSE)*$Q441/100</f>
        <v>0</v>
      </c>
      <c r="AG441" s="583">
        <f>VLOOKUP($H441,Nutrition_tables!$A:$AF,20,FALSE)*$Q441/100</f>
        <v>0</v>
      </c>
      <c r="AH441" s="583">
        <f>VLOOKUP($H441,Nutrition_tables!$A:$AF,21,FALSE)*$Q441/100</f>
        <v>0</v>
      </c>
      <c r="AI441" s="583">
        <f>VLOOKUP($H441,Nutrition_tables!$A:$AF,22,FALSE)*$Q441/100</f>
        <v>0</v>
      </c>
      <c r="AJ441" s="549">
        <f>VLOOKUP($H441,Nutrition_tables!$A:$AF,23,FALSE)*$Q441/100</f>
        <v>0</v>
      </c>
      <c r="AK441" s="583">
        <f>VLOOKUP($H441,Nutrition_tables!$A:$AF,24,FALSE)*$Q441/100</f>
        <v>0</v>
      </c>
      <c r="AL441" s="583">
        <f>VLOOKUP($H441,Nutrition_tables!$A:$AF,25,FALSE)*$Q441/100</f>
        <v>0</v>
      </c>
      <c r="AM441" s="583">
        <f>VLOOKUP($H441,Nutrition_tables!$A:$AF,26,FALSE)*$Q441/100</f>
        <v>0</v>
      </c>
      <c r="AN441" s="583">
        <f>VLOOKUP($H441,Nutrition_tables!$A:$AF,27,FALSE)*$Q441/100</f>
        <v>0</v>
      </c>
      <c r="AO441" s="583">
        <f>VLOOKUP($H441,Nutrition_tables!$A:$AF,28,FALSE)*$Q441/100</f>
        <v>0</v>
      </c>
      <c r="AP441" s="583">
        <f>VLOOKUP($H441,Nutrition_tables!$A:$AF,29,FALSE)*$Q441/100</f>
        <v>0</v>
      </c>
      <c r="AQ441" s="583">
        <f>VLOOKUP($H441,Nutrition_tables!$A:$AF,30,FALSE)*$Q441/100</f>
        <v>0</v>
      </c>
      <c r="AR441" s="583">
        <f>VLOOKUP($H441,Nutrition_tables!$A:$AF,31,FALSE)*$Q441/100</f>
        <v>0</v>
      </c>
      <c r="AS441" s="549">
        <f>VLOOKUP($H441,Nutrition_tables!$A:$AF,32,FALSE)*$Q441/100</f>
        <v>0</v>
      </c>
      <c r="AT441" s="583" t="str">
        <f>IF(H441="Select ingredient:","",IF(G441="Select food category:","",IFERROR(VLOOKUP($H441,Ingredient_prices!$E:$W,17,FALSE)*$Q441/1000,"not bought")))</f>
        <v/>
      </c>
      <c r="AU441" s="583" t="str">
        <f>IF(H441="Select ingredient:","",IF(G441="Select food category:","",IFERROR(VLOOKUP($H441,Ingredient_prices!$E:$W,18,FALSE)*$Q441/1000,"not bought")))</f>
        <v/>
      </c>
      <c r="AV441" s="583">
        <f t="shared" si="982"/>
        <v>0</v>
      </c>
      <c r="AW441" s="583">
        <f t="shared" si="983"/>
        <v>0</v>
      </c>
      <c r="AX441" s="583">
        <f t="shared" si="984"/>
        <v>0</v>
      </c>
      <c r="AY441" s="583">
        <f t="shared" si="985"/>
        <v>0</v>
      </c>
      <c r="AZ441" s="583">
        <f t="shared" si="986"/>
        <v>0</v>
      </c>
      <c r="BA441" s="583">
        <f t="shared" si="987"/>
        <v>0</v>
      </c>
      <c r="BB441" s="583">
        <f t="shared" si="988"/>
        <v>0</v>
      </c>
      <c r="BC441" s="583">
        <f t="shared" si="989"/>
        <v>0</v>
      </c>
      <c r="BD441" s="583">
        <f t="shared" si="990"/>
        <v>0</v>
      </c>
      <c r="BE441" s="583">
        <f t="shared" si="991"/>
        <v>0</v>
      </c>
      <c r="BF441" s="583">
        <f t="shared" si="992"/>
        <v>0</v>
      </c>
      <c r="BG441" s="583">
        <f t="shared" si="993"/>
        <v>0</v>
      </c>
      <c r="BH441" s="583">
        <f t="shared" si="994"/>
        <v>0</v>
      </c>
      <c r="BI441" s="583">
        <f t="shared" si="995"/>
        <v>0</v>
      </c>
      <c r="BJ441" s="583">
        <f t="shared" si="996"/>
        <v>0</v>
      </c>
      <c r="BK441" s="583">
        <f t="shared" si="997"/>
        <v>0</v>
      </c>
      <c r="BL441" s="583">
        <f t="shared" si="998"/>
        <v>0</v>
      </c>
      <c r="BM441" s="583">
        <f t="shared" si="999"/>
        <v>0</v>
      </c>
      <c r="BN441" s="583">
        <f t="shared" si="1000"/>
        <v>0</v>
      </c>
      <c r="BO441" s="583">
        <f t="shared" si="1001"/>
        <v>0</v>
      </c>
      <c r="BP441" s="583">
        <f t="shared" si="1002"/>
        <v>0</v>
      </c>
      <c r="BQ441" s="583">
        <f t="shared" si="1003"/>
        <v>0</v>
      </c>
      <c r="BR441" s="583">
        <f t="shared" si="1004"/>
        <v>0</v>
      </c>
    </row>
    <row r="442" spans="1:70" s="229" customFormat="1" ht="15" customHeight="1">
      <c r="A442" s="504"/>
      <c r="D442" s="85"/>
      <c r="E442" s="576">
        <f t="shared" si="1005"/>
        <v>100</v>
      </c>
      <c r="G442" s="406" t="s">
        <v>3054</v>
      </c>
      <c r="H442" s="1262" t="s">
        <v>3055</v>
      </c>
      <c r="I442" s="85">
        <v>0</v>
      </c>
      <c r="J442" s="682">
        <v>1</v>
      </c>
      <c r="K442" s="579" t="str">
        <f t="shared" si="979"/>
        <v/>
      </c>
      <c r="L442" s="580" t="str">
        <f>IF(H442="Select ingredient:","",IF(G442="","",_xlfn.IFNA(VLOOKUP($H442,Ingredient_prices!$E:$U,16,FALSE),0)))</f>
        <v/>
      </c>
      <c r="M442" s="850"/>
      <c r="N442" s="850"/>
      <c r="O442" s="666"/>
      <c r="P442" s="670"/>
      <c r="Q442" s="583">
        <f t="shared" si="980"/>
        <v>0</v>
      </c>
      <c r="R442" s="583">
        <f>VLOOKUP($H442,'CO2_emission+%_food_waste'!$A:$K,6,FALSE)*$Q442/100</f>
        <v>0</v>
      </c>
      <c r="S442" s="583">
        <f t="shared" si="981"/>
        <v>0</v>
      </c>
      <c r="T442" s="583" t="str">
        <f>IF(H442="Select ingredient:","",IF(G442="Select food category:","",_xlfn.IFNA(VLOOKUP($H442,Ingredient_prices!$E:$U,16,FALSE)*$Q442/1000,"not bought")))</f>
        <v/>
      </c>
      <c r="U442" s="583" t="str">
        <f>IF(G442="Select food category:","",_xlfn.IFNA(VLOOKUP($H442,Ingredient_prices!$E:$U,16,FALSE)*$R442/1000,"not bought"))</f>
        <v/>
      </c>
      <c r="V442" s="549">
        <f>VLOOKUP($H442,'CO2_emission+%_food_waste'!$A:$K,4,FALSE)*$Q442</f>
        <v>0</v>
      </c>
      <c r="W442" s="583">
        <f>VLOOKUP($H442,Nutrition_tables!$A:$N,10,FALSE)*$Q442/100</f>
        <v>0</v>
      </c>
      <c r="X442" s="583">
        <f>VLOOKUP($H442,Nutrition_tables!$A:$N,11,FALSE)*$Q442/100</f>
        <v>0</v>
      </c>
      <c r="Y442" s="583">
        <f>VLOOKUP($H442,Nutrition_tables!$A:$N,12,FALSE)*$Q442/100</f>
        <v>0</v>
      </c>
      <c r="Z442" s="583">
        <f>VLOOKUP($H442,Nutrition_tables!$A:$N,14,FALSE)*$Q442/100</f>
        <v>0</v>
      </c>
      <c r="AA442" s="583">
        <f>VLOOKUP($H442,Nutrition_tables!$A:$AF,13,FALSE)*$Q442/100</f>
        <v>0</v>
      </c>
      <c r="AB442" s="549">
        <f>VLOOKUP($H442,Nutrition_tables!$A:$AF,15,FALSE)*$Q442/100</f>
        <v>0</v>
      </c>
      <c r="AC442" s="583">
        <f>VLOOKUP($H442,Nutrition_tables!$A:$AF,16,FALSE)*$Q442/100</f>
        <v>0</v>
      </c>
      <c r="AD442" s="583">
        <f>VLOOKUP($H442,Nutrition_tables!$A:$AF,17,FALSE)*$Q442/100</f>
        <v>0</v>
      </c>
      <c r="AE442" s="583">
        <f>VLOOKUP($H442,Nutrition_tables!$A:$AF,18,FALSE)*$Q442/100</f>
        <v>0</v>
      </c>
      <c r="AF442" s="583">
        <f>VLOOKUP($H442,Nutrition_tables!$A:$AF,19,FALSE)*$Q442/100</f>
        <v>0</v>
      </c>
      <c r="AG442" s="583">
        <f>VLOOKUP($H442,Nutrition_tables!$A:$AF,20,FALSE)*$Q442/100</f>
        <v>0</v>
      </c>
      <c r="AH442" s="583">
        <f>VLOOKUP($H442,Nutrition_tables!$A:$AF,21,FALSE)*$Q442/100</f>
        <v>0</v>
      </c>
      <c r="AI442" s="583">
        <f>VLOOKUP($H442,Nutrition_tables!$A:$AF,22,FALSE)*$Q442/100</f>
        <v>0</v>
      </c>
      <c r="AJ442" s="549">
        <f>VLOOKUP($H442,Nutrition_tables!$A:$AF,23,FALSE)*$Q442/100</f>
        <v>0</v>
      </c>
      <c r="AK442" s="583">
        <f>VLOOKUP($H442,Nutrition_tables!$A:$AF,24,FALSE)*$Q442/100</f>
        <v>0</v>
      </c>
      <c r="AL442" s="583">
        <f>VLOOKUP($H442,Nutrition_tables!$A:$AF,25,FALSE)*$Q442/100</f>
        <v>0</v>
      </c>
      <c r="AM442" s="583">
        <f>VLOOKUP($H442,Nutrition_tables!$A:$AF,26,FALSE)*$Q442/100</f>
        <v>0</v>
      </c>
      <c r="AN442" s="583">
        <f>VLOOKUP($H442,Nutrition_tables!$A:$AF,27,FALSE)*$Q442/100</f>
        <v>0</v>
      </c>
      <c r="AO442" s="583">
        <f>VLOOKUP($H442,Nutrition_tables!$A:$AF,28,FALSE)*$Q442/100</f>
        <v>0</v>
      </c>
      <c r="AP442" s="583">
        <f>VLOOKUP($H442,Nutrition_tables!$A:$AF,29,FALSE)*$Q442/100</f>
        <v>0</v>
      </c>
      <c r="AQ442" s="583">
        <f>VLOOKUP($H442,Nutrition_tables!$A:$AF,30,FALSE)*$Q442/100</f>
        <v>0</v>
      </c>
      <c r="AR442" s="583">
        <f>VLOOKUP($H442,Nutrition_tables!$A:$AF,31,FALSE)*$Q442/100</f>
        <v>0</v>
      </c>
      <c r="AS442" s="549">
        <f>VLOOKUP($H442,Nutrition_tables!$A:$AF,32,FALSE)*$Q442/100</f>
        <v>0</v>
      </c>
      <c r="AT442" s="583" t="str">
        <f>IF(H442="Select ingredient:","",IF(G442="Select food category:","",IFERROR(VLOOKUP($H442,Ingredient_prices!$E:$W,17,FALSE)*$Q442/1000,"not bought")))</f>
        <v/>
      </c>
      <c r="AU442" s="583" t="str">
        <f>IF(H442="Select ingredient:","",IF(G442="Select food category:","",IFERROR(VLOOKUP($H442,Ingredient_prices!$E:$W,18,FALSE)*$Q442/1000,"not bought")))</f>
        <v/>
      </c>
      <c r="AV442" s="583">
        <f t="shared" si="982"/>
        <v>0</v>
      </c>
      <c r="AW442" s="583">
        <f t="shared" si="983"/>
        <v>0</v>
      </c>
      <c r="AX442" s="583">
        <f t="shared" si="984"/>
        <v>0</v>
      </c>
      <c r="AY442" s="583">
        <f t="shared" si="985"/>
        <v>0</v>
      </c>
      <c r="AZ442" s="583">
        <f t="shared" si="986"/>
        <v>0</v>
      </c>
      <c r="BA442" s="583">
        <f t="shared" si="987"/>
        <v>0</v>
      </c>
      <c r="BB442" s="583">
        <f t="shared" si="988"/>
        <v>0</v>
      </c>
      <c r="BC442" s="583">
        <f t="shared" si="989"/>
        <v>0</v>
      </c>
      <c r="BD442" s="583">
        <f t="shared" si="990"/>
        <v>0</v>
      </c>
      <c r="BE442" s="583">
        <f t="shared" si="991"/>
        <v>0</v>
      </c>
      <c r="BF442" s="583">
        <f t="shared" si="992"/>
        <v>0</v>
      </c>
      <c r="BG442" s="583">
        <f t="shared" si="993"/>
        <v>0</v>
      </c>
      <c r="BH442" s="583">
        <f t="shared" si="994"/>
        <v>0</v>
      </c>
      <c r="BI442" s="583">
        <f t="shared" si="995"/>
        <v>0</v>
      </c>
      <c r="BJ442" s="583">
        <f t="shared" si="996"/>
        <v>0</v>
      </c>
      <c r="BK442" s="583">
        <f t="shared" si="997"/>
        <v>0</v>
      </c>
      <c r="BL442" s="583">
        <f t="shared" si="998"/>
        <v>0</v>
      </c>
      <c r="BM442" s="583">
        <f t="shared" si="999"/>
        <v>0</v>
      </c>
      <c r="BN442" s="583">
        <f t="shared" si="1000"/>
        <v>0</v>
      </c>
      <c r="BO442" s="583">
        <f t="shared" si="1001"/>
        <v>0</v>
      </c>
      <c r="BP442" s="583">
        <f t="shared" si="1002"/>
        <v>0</v>
      </c>
      <c r="BQ442" s="583">
        <f t="shared" si="1003"/>
        <v>0</v>
      </c>
      <c r="BR442" s="583">
        <f t="shared" si="1004"/>
        <v>0</v>
      </c>
    </row>
    <row r="443" spans="1:70" s="229" customFormat="1" ht="15" customHeight="1">
      <c r="A443" s="504"/>
      <c r="D443" s="85"/>
      <c r="E443" s="576">
        <f t="shared" si="1005"/>
        <v>100</v>
      </c>
      <c r="F443" s="710"/>
      <c r="G443" s="406" t="s">
        <v>3054</v>
      </c>
      <c r="H443" s="1262" t="s">
        <v>3055</v>
      </c>
      <c r="I443" s="85">
        <v>0</v>
      </c>
      <c r="J443" s="682">
        <v>1</v>
      </c>
      <c r="K443" s="579" t="str">
        <f t="shared" si="979"/>
        <v/>
      </c>
      <c r="L443" s="580" t="str">
        <f>IF(H443="Select ingredient:","",IF(G443="","",_xlfn.IFNA(VLOOKUP($H443,Ingredient_prices!$E:$U,16,FALSE),0)))</f>
        <v/>
      </c>
      <c r="M443" s="850"/>
      <c r="N443" s="850"/>
      <c r="O443" s="666"/>
      <c r="P443" s="670"/>
      <c r="Q443" s="583">
        <f t="shared" si="980"/>
        <v>0</v>
      </c>
      <c r="R443" s="583">
        <f>VLOOKUP($H443,'CO2_emission+%_food_waste'!$A:$K,6,FALSE)*$Q443/100</f>
        <v>0</v>
      </c>
      <c r="S443" s="583">
        <f t="shared" si="981"/>
        <v>0</v>
      </c>
      <c r="T443" s="583" t="str">
        <f>IF(H443="Select ingredient:","",IF(G443="Select food category:","",_xlfn.IFNA(VLOOKUP($H443,Ingredient_prices!$E:$U,16,FALSE)*$Q443/1000,"not bought")))</f>
        <v/>
      </c>
      <c r="U443" s="583" t="str">
        <f>IF(G443="Select food category:","",_xlfn.IFNA(VLOOKUP($H443,Ingredient_prices!$E:$U,16,FALSE)*$R443/1000,"not bought"))</f>
        <v/>
      </c>
      <c r="V443" s="549">
        <f>VLOOKUP($H443,'CO2_emission+%_food_waste'!$A:$K,4,FALSE)*$Q443</f>
        <v>0</v>
      </c>
      <c r="W443" s="583">
        <f>VLOOKUP($H443,Nutrition_tables!$A:$N,10,FALSE)*$Q443/100</f>
        <v>0</v>
      </c>
      <c r="X443" s="583">
        <f>VLOOKUP($H443,Nutrition_tables!$A:$N,11,FALSE)*$Q443/100</f>
        <v>0</v>
      </c>
      <c r="Y443" s="583">
        <f>VLOOKUP($H443,Nutrition_tables!$A:$N,12,FALSE)*$Q443/100</f>
        <v>0</v>
      </c>
      <c r="Z443" s="583">
        <f>VLOOKUP($H443,Nutrition_tables!$A:$N,14,FALSE)*$Q443/100</f>
        <v>0</v>
      </c>
      <c r="AA443" s="583">
        <f>VLOOKUP($H443,Nutrition_tables!$A:$AF,13,FALSE)*$Q443/100</f>
        <v>0</v>
      </c>
      <c r="AB443" s="549">
        <f>VLOOKUP($H443,Nutrition_tables!$A:$AF,15,FALSE)*$Q443/100</f>
        <v>0</v>
      </c>
      <c r="AC443" s="583">
        <f>VLOOKUP($H443,Nutrition_tables!$A:$AF,16,FALSE)*$Q443/100</f>
        <v>0</v>
      </c>
      <c r="AD443" s="583">
        <f>VLOOKUP($H443,Nutrition_tables!$A:$AF,17,FALSE)*$Q443/100</f>
        <v>0</v>
      </c>
      <c r="AE443" s="583">
        <f>VLOOKUP($H443,Nutrition_tables!$A:$AF,18,FALSE)*$Q443/100</f>
        <v>0</v>
      </c>
      <c r="AF443" s="583">
        <f>VLOOKUP($H443,Nutrition_tables!$A:$AF,19,FALSE)*$Q443/100</f>
        <v>0</v>
      </c>
      <c r="AG443" s="583">
        <f>VLOOKUP($H443,Nutrition_tables!$A:$AF,20,FALSE)*$Q443/100</f>
        <v>0</v>
      </c>
      <c r="AH443" s="583">
        <f>VLOOKUP($H443,Nutrition_tables!$A:$AF,21,FALSE)*$Q443/100</f>
        <v>0</v>
      </c>
      <c r="AI443" s="583">
        <f>VLOOKUP($H443,Nutrition_tables!$A:$AF,22,FALSE)*$Q443/100</f>
        <v>0</v>
      </c>
      <c r="AJ443" s="549">
        <f>VLOOKUP($H443,Nutrition_tables!$A:$AF,23,FALSE)*$Q443/100</f>
        <v>0</v>
      </c>
      <c r="AK443" s="583">
        <f>VLOOKUP($H443,Nutrition_tables!$A:$AF,24,FALSE)*$Q443/100</f>
        <v>0</v>
      </c>
      <c r="AL443" s="583">
        <f>VLOOKUP($H443,Nutrition_tables!$A:$AF,25,FALSE)*$Q443/100</f>
        <v>0</v>
      </c>
      <c r="AM443" s="583">
        <f>VLOOKUP($H443,Nutrition_tables!$A:$AF,26,FALSE)*$Q443/100</f>
        <v>0</v>
      </c>
      <c r="AN443" s="583">
        <f>VLOOKUP($H443,Nutrition_tables!$A:$AF,27,FALSE)*$Q443/100</f>
        <v>0</v>
      </c>
      <c r="AO443" s="583">
        <f>VLOOKUP($H443,Nutrition_tables!$A:$AF,28,FALSE)*$Q443/100</f>
        <v>0</v>
      </c>
      <c r="AP443" s="583">
        <f>VLOOKUP($H443,Nutrition_tables!$A:$AF,29,FALSE)*$Q443/100</f>
        <v>0</v>
      </c>
      <c r="AQ443" s="583">
        <f>VLOOKUP($H443,Nutrition_tables!$A:$AF,30,FALSE)*$Q443/100</f>
        <v>0</v>
      </c>
      <c r="AR443" s="583">
        <f>VLOOKUP($H443,Nutrition_tables!$A:$AF,31,FALSE)*$Q443/100</f>
        <v>0</v>
      </c>
      <c r="AS443" s="549">
        <f>VLOOKUP($H443,Nutrition_tables!$A:$AF,32,FALSE)*$Q443/100</f>
        <v>0</v>
      </c>
      <c r="AT443" s="583" t="str">
        <f>IF(H443="Select ingredient:","",IF(G443="Select food category:","",IFERROR(VLOOKUP($H443,Ingredient_prices!$E:$W,17,FALSE)*$Q443/1000,"not bought")))</f>
        <v/>
      </c>
      <c r="AU443" s="583" t="str">
        <f>IF(H443="Select ingredient:","",IF(G443="Select food category:","",IFERROR(VLOOKUP($H443,Ingredient_prices!$E:$W,18,FALSE)*$Q443/1000,"not bought")))</f>
        <v/>
      </c>
      <c r="AV443" s="583">
        <f t="shared" si="982"/>
        <v>0</v>
      </c>
      <c r="AW443" s="583">
        <f t="shared" si="983"/>
        <v>0</v>
      </c>
      <c r="AX443" s="583">
        <f t="shared" si="984"/>
        <v>0</v>
      </c>
      <c r="AY443" s="583">
        <f t="shared" si="985"/>
        <v>0</v>
      </c>
      <c r="AZ443" s="583">
        <f t="shared" si="986"/>
        <v>0</v>
      </c>
      <c r="BA443" s="583">
        <f t="shared" si="987"/>
        <v>0</v>
      </c>
      <c r="BB443" s="583">
        <f t="shared" si="988"/>
        <v>0</v>
      </c>
      <c r="BC443" s="583">
        <f t="shared" si="989"/>
        <v>0</v>
      </c>
      <c r="BD443" s="583">
        <f t="shared" si="990"/>
        <v>0</v>
      </c>
      <c r="BE443" s="583">
        <f t="shared" si="991"/>
        <v>0</v>
      </c>
      <c r="BF443" s="583">
        <f t="shared" si="992"/>
        <v>0</v>
      </c>
      <c r="BG443" s="583">
        <f t="shared" si="993"/>
        <v>0</v>
      </c>
      <c r="BH443" s="583">
        <f t="shared" si="994"/>
        <v>0</v>
      </c>
      <c r="BI443" s="583">
        <f t="shared" si="995"/>
        <v>0</v>
      </c>
      <c r="BJ443" s="583">
        <f t="shared" si="996"/>
        <v>0</v>
      </c>
      <c r="BK443" s="583">
        <f t="shared" si="997"/>
        <v>0</v>
      </c>
      <c r="BL443" s="583">
        <f t="shared" si="998"/>
        <v>0</v>
      </c>
      <c r="BM443" s="583">
        <f t="shared" si="999"/>
        <v>0</v>
      </c>
      <c r="BN443" s="583">
        <f t="shared" si="1000"/>
        <v>0</v>
      </c>
      <c r="BO443" s="583">
        <f t="shared" si="1001"/>
        <v>0</v>
      </c>
      <c r="BP443" s="583">
        <f t="shared" si="1002"/>
        <v>0</v>
      </c>
      <c r="BQ443" s="583">
        <f t="shared" si="1003"/>
        <v>0</v>
      </c>
      <c r="BR443" s="583">
        <f t="shared" si="1004"/>
        <v>0</v>
      </c>
    </row>
    <row r="444" spans="1:70" s="229" customFormat="1" ht="15" customHeight="1">
      <c r="A444" s="504"/>
      <c r="D444" s="85"/>
      <c r="E444" s="576">
        <f t="shared" si="1005"/>
        <v>100</v>
      </c>
      <c r="F444" s="710"/>
      <c r="G444" s="406" t="s">
        <v>3054</v>
      </c>
      <c r="H444" s="1262" t="s">
        <v>3055</v>
      </c>
      <c r="I444" s="85">
        <v>0</v>
      </c>
      <c r="J444" s="682">
        <v>1</v>
      </c>
      <c r="K444" s="579" t="str">
        <f t="shared" si="979"/>
        <v/>
      </c>
      <c r="L444" s="580" t="str">
        <f>IF(H444="Select ingredient:","",IF(G444="","",_xlfn.IFNA(VLOOKUP($H444,Ingredient_prices!$E:$U,16,FALSE),0)))</f>
        <v/>
      </c>
      <c r="M444" s="850"/>
      <c r="N444" s="850"/>
      <c r="O444" s="666"/>
      <c r="P444" s="670"/>
      <c r="Q444" s="583">
        <f t="shared" si="980"/>
        <v>0</v>
      </c>
      <c r="R444" s="583">
        <f>VLOOKUP($H444,'CO2_emission+%_food_waste'!$A:$K,6,FALSE)*$Q444/100</f>
        <v>0</v>
      </c>
      <c r="S444" s="583">
        <f t="shared" si="981"/>
        <v>0</v>
      </c>
      <c r="T444" s="583" t="str">
        <f>IF(H444="Select ingredient:","",IF(G444="Select food category:","",_xlfn.IFNA(VLOOKUP($H444,Ingredient_prices!$E:$U,16,FALSE)*$Q444/1000,"not bought")))</f>
        <v/>
      </c>
      <c r="U444" s="583" t="str">
        <f>IF(G444="Select food category:","",_xlfn.IFNA(VLOOKUP($H444,Ingredient_prices!$E:$U,16,FALSE)*$R444/1000,"not bought"))</f>
        <v/>
      </c>
      <c r="V444" s="549">
        <f>VLOOKUP($H444,'CO2_emission+%_food_waste'!$A:$K,4,FALSE)*$Q444</f>
        <v>0</v>
      </c>
      <c r="W444" s="583">
        <f>VLOOKUP($H444,Nutrition_tables!$A:$N,10,FALSE)*$Q444/100</f>
        <v>0</v>
      </c>
      <c r="X444" s="583">
        <f>VLOOKUP($H444,Nutrition_tables!$A:$N,11,FALSE)*$Q444/100</f>
        <v>0</v>
      </c>
      <c r="Y444" s="583">
        <f>VLOOKUP($H444,Nutrition_tables!$A:$N,12,FALSE)*$Q444/100</f>
        <v>0</v>
      </c>
      <c r="Z444" s="583">
        <f>VLOOKUP($H444,Nutrition_tables!$A:$N,14,FALSE)*$Q444/100</f>
        <v>0</v>
      </c>
      <c r="AA444" s="583">
        <f>VLOOKUP($H444,Nutrition_tables!$A:$AF,13,FALSE)*$Q444/100</f>
        <v>0</v>
      </c>
      <c r="AB444" s="549">
        <f>VLOOKUP($H444,Nutrition_tables!$A:$AF,15,FALSE)*$Q444/100</f>
        <v>0</v>
      </c>
      <c r="AC444" s="583">
        <f>VLOOKUP($H444,Nutrition_tables!$A:$AF,16,FALSE)*$Q444/100</f>
        <v>0</v>
      </c>
      <c r="AD444" s="583">
        <f>VLOOKUP($H444,Nutrition_tables!$A:$AF,17,FALSE)*$Q444/100</f>
        <v>0</v>
      </c>
      <c r="AE444" s="583">
        <f>VLOOKUP($H444,Nutrition_tables!$A:$AF,18,FALSE)*$Q444/100</f>
        <v>0</v>
      </c>
      <c r="AF444" s="583">
        <f>VLOOKUP($H444,Nutrition_tables!$A:$AF,19,FALSE)*$Q444/100</f>
        <v>0</v>
      </c>
      <c r="AG444" s="583">
        <f>VLOOKUP($H444,Nutrition_tables!$A:$AF,20,FALSE)*$Q444/100</f>
        <v>0</v>
      </c>
      <c r="AH444" s="583">
        <f>VLOOKUP($H444,Nutrition_tables!$A:$AF,21,FALSE)*$Q444/100</f>
        <v>0</v>
      </c>
      <c r="AI444" s="583">
        <f>VLOOKUP($H444,Nutrition_tables!$A:$AF,22,FALSE)*$Q444/100</f>
        <v>0</v>
      </c>
      <c r="AJ444" s="549">
        <f>VLOOKUP($H444,Nutrition_tables!$A:$AF,23,FALSE)*$Q444/100</f>
        <v>0</v>
      </c>
      <c r="AK444" s="583">
        <f>VLOOKUP($H444,Nutrition_tables!$A:$AF,24,FALSE)*$Q444/100</f>
        <v>0</v>
      </c>
      <c r="AL444" s="583">
        <f>VLOOKUP($H444,Nutrition_tables!$A:$AF,25,FALSE)*$Q444/100</f>
        <v>0</v>
      </c>
      <c r="AM444" s="583">
        <f>VLOOKUP($H444,Nutrition_tables!$A:$AF,26,FALSE)*$Q444/100</f>
        <v>0</v>
      </c>
      <c r="AN444" s="583">
        <f>VLOOKUP($H444,Nutrition_tables!$A:$AF,27,FALSE)*$Q444/100</f>
        <v>0</v>
      </c>
      <c r="AO444" s="583">
        <f>VLOOKUP($H444,Nutrition_tables!$A:$AF,28,FALSE)*$Q444/100</f>
        <v>0</v>
      </c>
      <c r="AP444" s="583">
        <f>VLOOKUP($H444,Nutrition_tables!$A:$AF,29,FALSE)*$Q444/100</f>
        <v>0</v>
      </c>
      <c r="AQ444" s="583">
        <f>VLOOKUP($H444,Nutrition_tables!$A:$AF,30,FALSE)*$Q444/100</f>
        <v>0</v>
      </c>
      <c r="AR444" s="583">
        <f>VLOOKUP($H444,Nutrition_tables!$A:$AF,31,FALSE)*$Q444/100</f>
        <v>0</v>
      </c>
      <c r="AS444" s="549">
        <f>VLOOKUP($H444,Nutrition_tables!$A:$AF,32,FALSE)*$Q444/100</f>
        <v>0</v>
      </c>
      <c r="AT444" s="583" t="str">
        <f>IF(H444="Select ingredient:","",IF(G444="Select food category:","",IFERROR(VLOOKUP($H444,Ingredient_prices!$E:$W,17,FALSE)*$Q444/1000,"not bought")))</f>
        <v/>
      </c>
      <c r="AU444" s="583" t="str">
        <f>IF(H444="Select ingredient:","",IF(G444="Select food category:","",IFERROR(VLOOKUP($H444,Ingredient_prices!$E:$W,18,FALSE)*$Q444/1000,"not bought")))</f>
        <v/>
      </c>
      <c r="AV444" s="583">
        <f t="shared" si="982"/>
        <v>0</v>
      </c>
      <c r="AW444" s="583">
        <f t="shared" si="983"/>
        <v>0</v>
      </c>
      <c r="AX444" s="583">
        <f t="shared" si="984"/>
        <v>0</v>
      </c>
      <c r="AY444" s="583">
        <f t="shared" si="985"/>
        <v>0</v>
      </c>
      <c r="AZ444" s="583">
        <f t="shared" si="986"/>
        <v>0</v>
      </c>
      <c r="BA444" s="583">
        <f t="shared" si="987"/>
        <v>0</v>
      </c>
      <c r="BB444" s="583">
        <f t="shared" si="988"/>
        <v>0</v>
      </c>
      <c r="BC444" s="583">
        <f t="shared" si="989"/>
        <v>0</v>
      </c>
      <c r="BD444" s="583">
        <f t="shared" si="990"/>
        <v>0</v>
      </c>
      <c r="BE444" s="583">
        <f t="shared" si="991"/>
        <v>0</v>
      </c>
      <c r="BF444" s="583">
        <f t="shared" si="992"/>
        <v>0</v>
      </c>
      <c r="BG444" s="583">
        <f t="shared" si="993"/>
        <v>0</v>
      </c>
      <c r="BH444" s="583">
        <f t="shared" si="994"/>
        <v>0</v>
      </c>
      <c r="BI444" s="583">
        <f t="shared" si="995"/>
        <v>0</v>
      </c>
      <c r="BJ444" s="583">
        <f t="shared" si="996"/>
        <v>0</v>
      </c>
      <c r="BK444" s="583">
        <f t="shared" si="997"/>
        <v>0</v>
      </c>
      <c r="BL444" s="583">
        <f t="shared" si="998"/>
        <v>0</v>
      </c>
      <c r="BM444" s="583">
        <f t="shared" si="999"/>
        <v>0</v>
      </c>
      <c r="BN444" s="583">
        <f t="shared" si="1000"/>
        <v>0</v>
      </c>
      <c r="BO444" s="583">
        <f t="shared" si="1001"/>
        <v>0</v>
      </c>
      <c r="BP444" s="583">
        <f t="shared" si="1002"/>
        <v>0</v>
      </c>
      <c r="BQ444" s="583">
        <f t="shared" si="1003"/>
        <v>0</v>
      </c>
      <c r="BR444" s="583">
        <f t="shared" si="1004"/>
        <v>0</v>
      </c>
    </row>
    <row r="445" spans="1:70" s="229" customFormat="1" ht="15" customHeight="1">
      <c r="A445" s="504"/>
      <c r="D445" s="85"/>
      <c r="E445" s="576">
        <f t="shared" si="1005"/>
        <v>100</v>
      </c>
      <c r="F445" s="710"/>
      <c r="G445" s="406" t="s">
        <v>3054</v>
      </c>
      <c r="H445" s="1262" t="s">
        <v>3055</v>
      </c>
      <c r="I445" s="85">
        <v>0</v>
      </c>
      <c r="J445" s="682">
        <v>1</v>
      </c>
      <c r="K445" s="579" t="str">
        <f t="shared" si="979"/>
        <v/>
      </c>
      <c r="L445" s="580" t="str">
        <f>IF(H445="Select ingredient:","",IF(G445="","",_xlfn.IFNA(VLOOKUP($H445,Ingredient_prices!$E:$U,16,FALSE),0)))</f>
        <v/>
      </c>
      <c r="M445" s="850"/>
      <c r="N445" s="850"/>
      <c r="O445" s="666"/>
      <c r="P445" s="670"/>
      <c r="Q445" s="583">
        <f t="shared" si="980"/>
        <v>0</v>
      </c>
      <c r="R445" s="583">
        <f>VLOOKUP($H445,'CO2_emission+%_food_waste'!$A:$K,6,FALSE)*$Q445/100</f>
        <v>0</v>
      </c>
      <c r="S445" s="583">
        <f t="shared" si="981"/>
        <v>0</v>
      </c>
      <c r="T445" s="583" t="str">
        <f>IF(H445="Select ingredient:","",IF(G445="Select food category:","",_xlfn.IFNA(VLOOKUP($H445,Ingredient_prices!$E:$U,16,FALSE)*$Q445/1000,"not bought")))</f>
        <v/>
      </c>
      <c r="U445" s="583" t="str">
        <f>IF(G445="Select food category:","",_xlfn.IFNA(VLOOKUP($H445,Ingredient_prices!$E:$U,16,FALSE)*$R445/1000,"not bought"))</f>
        <v/>
      </c>
      <c r="V445" s="549">
        <f>VLOOKUP($H445,'CO2_emission+%_food_waste'!$A:$K,4,FALSE)*$Q445</f>
        <v>0</v>
      </c>
      <c r="W445" s="583">
        <f>VLOOKUP($H445,Nutrition_tables!$A:$N,10,FALSE)*$Q445/100</f>
        <v>0</v>
      </c>
      <c r="X445" s="583">
        <f>VLOOKUP($H445,Nutrition_tables!$A:$N,11,FALSE)*$Q445/100</f>
        <v>0</v>
      </c>
      <c r="Y445" s="583">
        <f>VLOOKUP($H445,Nutrition_tables!$A:$N,12,FALSE)*$Q445/100</f>
        <v>0</v>
      </c>
      <c r="Z445" s="583">
        <f>VLOOKUP($H445,Nutrition_tables!$A:$N,14,FALSE)*$Q445/100</f>
        <v>0</v>
      </c>
      <c r="AA445" s="583">
        <f>VLOOKUP($H445,Nutrition_tables!$A:$AF,13,FALSE)*$Q445/100</f>
        <v>0</v>
      </c>
      <c r="AB445" s="549">
        <f>VLOOKUP($H445,Nutrition_tables!$A:$AF,15,FALSE)*$Q445/100</f>
        <v>0</v>
      </c>
      <c r="AC445" s="583">
        <f>VLOOKUP($H445,Nutrition_tables!$A:$AF,16,FALSE)*$Q445/100</f>
        <v>0</v>
      </c>
      <c r="AD445" s="583">
        <f>VLOOKUP($H445,Nutrition_tables!$A:$AF,17,FALSE)*$Q445/100</f>
        <v>0</v>
      </c>
      <c r="AE445" s="583">
        <f>VLOOKUP($H445,Nutrition_tables!$A:$AF,18,FALSE)*$Q445/100</f>
        <v>0</v>
      </c>
      <c r="AF445" s="583">
        <f>VLOOKUP($H445,Nutrition_tables!$A:$AF,19,FALSE)*$Q445/100</f>
        <v>0</v>
      </c>
      <c r="AG445" s="583">
        <f>VLOOKUP($H445,Nutrition_tables!$A:$AF,20,FALSE)*$Q445/100</f>
        <v>0</v>
      </c>
      <c r="AH445" s="583">
        <f>VLOOKUP($H445,Nutrition_tables!$A:$AF,21,FALSE)*$Q445/100</f>
        <v>0</v>
      </c>
      <c r="AI445" s="583">
        <f>VLOOKUP($H445,Nutrition_tables!$A:$AF,22,FALSE)*$Q445/100</f>
        <v>0</v>
      </c>
      <c r="AJ445" s="549">
        <f>VLOOKUP($H445,Nutrition_tables!$A:$AF,23,FALSE)*$Q445/100</f>
        <v>0</v>
      </c>
      <c r="AK445" s="583">
        <f>VLOOKUP($H445,Nutrition_tables!$A:$AF,24,FALSE)*$Q445/100</f>
        <v>0</v>
      </c>
      <c r="AL445" s="583">
        <f>VLOOKUP($H445,Nutrition_tables!$A:$AF,25,FALSE)*$Q445/100</f>
        <v>0</v>
      </c>
      <c r="AM445" s="583">
        <f>VLOOKUP($H445,Nutrition_tables!$A:$AF,26,FALSE)*$Q445/100</f>
        <v>0</v>
      </c>
      <c r="AN445" s="583">
        <f>VLOOKUP($H445,Nutrition_tables!$A:$AF,27,FALSE)*$Q445/100</f>
        <v>0</v>
      </c>
      <c r="AO445" s="583">
        <f>VLOOKUP($H445,Nutrition_tables!$A:$AF,28,FALSE)*$Q445/100</f>
        <v>0</v>
      </c>
      <c r="AP445" s="583">
        <f>VLOOKUP($H445,Nutrition_tables!$A:$AF,29,FALSE)*$Q445/100</f>
        <v>0</v>
      </c>
      <c r="AQ445" s="583">
        <f>VLOOKUP($H445,Nutrition_tables!$A:$AF,30,FALSE)*$Q445/100</f>
        <v>0</v>
      </c>
      <c r="AR445" s="583">
        <f>VLOOKUP($H445,Nutrition_tables!$A:$AF,31,FALSE)*$Q445/100</f>
        <v>0</v>
      </c>
      <c r="AS445" s="549">
        <f>VLOOKUP($H445,Nutrition_tables!$A:$AF,32,FALSE)*$Q445/100</f>
        <v>0</v>
      </c>
      <c r="AT445" s="583" t="str">
        <f>IF(H445="Select ingredient:","",IF(G445="Select food category:","",IFERROR(VLOOKUP($H445,Ingredient_prices!$E:$W,17,FALSE)*$Q445/1000,"not bought")))</f>
        <v/>
      </c>
      <c r="AU445" s="583" t="str">
        <f>IF(H445="Select ingredient:","",IF(G445="Select food category:","",IFERROR(VLOOKUP($H445,Ingredient_prices!$E:$W,18,FALSE)*$Q445/1000,"not bought")))</f>
        <v/>
      </c>
      <c r="AV445" s="583">
        <f t="shared" si="982"/>
        <v>0</v>
      </c>
      <c r="AW445" s="583">
        <f t="shared" si="983"/>
        <v>0</v>
      </c>
      <c r="AX445" s="583">
        <f t="shared" si="984"/>
        <v>0</v>
      </c>
      <c r="AY445" s="583">
        <f t="shared" si="985"/>
        <v>0</v>
      </c>
      <c r="AZ445" s="583">
        <f t="shared" si="986"/>
        <v>0</v>
      </c>
      <c r="BA445" s="583">
        <f t="shared" si="987"/>
        <v>0</v>
      </c>
      <c r="BB445" s="583">
        <f t="shared" si="988"/>
        <v>0</v>
      </c>
      <c r="BC445" s="583">
        <f t="shared" si="989"/>
        <v>0</v>
      </c>
      <c r="BD445" s="583">
        <f t="shared" si="990"/>
        <v>0</v>
      </c>
      <c r="BE445" s="583">
        <f t="shared" si="991"/>
        <v>0</v>
      </c>
      <c r="BF445" s="583">
        <f t="shared" si="992"/>
        <v>0</v>
      </c>
      <c r="BG445" s="583">
        <f t="shared" si="993"/>
        <v>0</v>
      </c>
      <c r="BH445" s="583">
        <f t="shared" si="994"/>
        <v>0</v>
      </c>
      <c r="BI445" s="583">
        <f t="shared" si="995"/>
        <v>0</v>
      </c>
      <c r="BJ445" s="583">
        <f t="shared" si="996"/>
        <v>0</v>
      </c>
      <c r="BK445" s="583">
        <f t="shared" si="997"/>
        <v>0</v>
      </c>
      <c r="BL445" s="583">
        <f t="shared" si="998"/>
        <v>0</v>
      </c>
      <c r="BM445" s="583">
        <f t="shared" si="999"/>
        <v>0</v>
      </c>
      <c r="BN445" s="583">
        <f t="shared" si="1000"/>
        <v>0</v>
      </c>
      <c r="BO445" s="583">
        <f t="shared" si="1001"/>
        <v>0</v>
      </c>
      <c r="BP445" s="583">
        <f t="shared" si="1002"/>
        <v>0</v>
      </c>
      <c r="BQ445" s="583">
        <f t="shared" si="1003"/>
        <v>0</v>
      </c>
      <c r="BR445" s="583">
        <f t="shared" si="1004"/>
        <v>0</v>
      </c>
    </row>
    <row r="446" spans="1:70" s="603" customFormat="1" ht="56">
      <c r="A446" s="504"/>
      <c r="B446" s="593"/>
      <c r="C446" s="522"/>
      <c r="D446" s="141"/>
      <c r="E446" s="594"/>
      <c r="F446" s="708"/>
      <c r="G446" s="522"/>
      <c r="H446" s="522"/>
      <c r="I446" s="86"/>
      <c r="J446" s="87"/>
      <c r="K446" s="595"/>
      <c r="L446" s="596"/>
      <c r="M446" s="851"/>
      <c r="N446" s="851"/>
      <c r="O446" s="666"/>
      <c r="P446" s="671"/>
      <c r="Q446" s="599" t="s">
        <v>384</v>
      </c>
      <c r="R446" s="600" t="s">
        <v>455</v>
      </c>
      <c r="S446" s="600" t="s">
        <v>2087</v>
      </c>
      <c r="T446" s="600" t="s">
        <v>456</v>
      </c>
      <c r="U446" s="600" t="s">
        <v>535</v>
      </c>
      <c r="V446" s="601" t="s">
        <v>457</v>
      </c>
      <c r="W446" s="600" t="s">
        <v>75</v>
      </c>
      <c r="X446" s="600" t="s">
        <v>385</v>
      </c>
      <c r="Y446" s="600" t="s">
        <v>386</v>
      </c>
      <c r="Z446" s="600" t="s">
        <v>387</v>
      </c>
      <c r="AA446" s="600" t="s">
        <v>388</v>
      </c>
      <c r="AB446" s="601" t="s">
        <v>389</v>
      </c>
      <c r="AC446" s="602" t="s">
        <v>390</v>
      </c>
      <c r="AD446" s="600" t="s">
        <v>391</v>
      </c>
      <c r="AE446" s="600" t="s">
        <v>392</v>
      </c>
      <c r="AF446" s="600" t="s">
        <v>393</v>
      </c>
      <c r="AG446" s="600" t="s">
        <v>394</v>
      </c>
      <c r="AH446" s="600" t="s">
        <v>395</v>
      </c>
      <c r="AI446" s="600" t="s">
        <v>396</v>
      </c>
      <c r="AJ446" s="601" t="s">
        <v>397</v>
      </c>
      <c r="AK446" s="602" t="s">
        <v>398</v>
      </c>
      <c r="AL446" s="600" t="s">
        <v>399</v>
      </c>
      <c r="AM446" s="600" t="s">
        <v>400</v>
      </c>
      <c r="AN446" s="600" t="s">
        <v>401</v>
      </c>
      <c r="AO446" s="600" t="s">
        <v>402</v>
      </c>
      <c r="AP446" s="600" t="s">
        <v>406</v>
      </c>
      <c r="AQ446" s="600" t="s">
        <v>405</v>
      </c>
      <c r="AR446" s="600" t="s">
        <v>403</v>
      </c>
      <c r="AS446" s="601" t="s">
        <v>404</v>
      </c>
      <c r="AT446" s="593"/>
      <c r="AU446" s="593"/>
    </row>
    <row r="447" spans="1:70" s="229" customFormat="1">
      <c r="A447" s="504"/>
      <c r="B447" s="522"/>
      <c r="C447" s="522"/>
      <c r="D447" s="141"/>
      <c r="E447" s="594"/>
      <c r="F447" s="708"/>
      <c r="G447" s="522"/>
      <c r="H447" s="522"/>
      <c r="I447" s="86"/>
      <c r="J447" s="87"/>
      <c r="K447" s="595"/>
      <c r="L447" s="596"/>
      <c r="M447" s="851"/>
      <c r="N447" s="851"/>
      <c r="O447" s="666"/>
      <c r="P447" s="672" t="s">
        <v>383</v>
      </c>
      <c r="Q447" s="583">
        <f t="shared" ref="Q447:AU447" si="1006">SUM(Q434:Q445)</f>
        <v>170</v>
      </c>
      <c r="R447" s="583">
        <f t="shared" si="1006"/>
        <v>4.49993</v>
      </c>
      <c r="S447" s="583">
        <f>SUM(S434:S445)</f>
        <v>165.50006999999999</v>
      </c>
      <c r="T447" s="583">
        <f t="shared" si="1006"/>
        <v>18.695416666666667</v>
      </c>
      <c r="U447" s="583">
        <f t="shared" si="1006"/>
        <v>0.36628944458333335</v>
      </c>
      <c r="V447" s="549">
        <f t="shared" si="1006"/>
        <v>316.39999999999998</v>
      </c>
      <c r="W447" s="583">
        <f t="shared" si="1006"/>
        <v>349</v>
      </c>
      <c r="X447" s="583">
        <f t="shared" si="1006"/>
        <v>29</v>
      </c>
      <c r="Y447" s="583">
        <f t="shared" si="1006"/>
        <v>6.7</v>
      </c>
      <c r="Z447" s="583">
        <f t="shared" si="1006"/>
        <v>20.7</v>
      </c>
      <c r="AA447" s="583">
        <f t="shared" si="1006"/>
        <v>-2.8000000000000004E-3</v>
      </c>
      <c r="AB447" s="549">
        <f t="shared" si="1006"/>
        <v>2.0972</v>
      </c>
      <c r="AC447" s="583">
        <f t="shared" si="1006"/>
        <v>45.997199999999999</v>
      </c>
      <c r="AD447" s="583">
        <f t="shared" si="1006"/>
        <v>154.99719999999999</v>
      </c>
      <c r="AE447" s="583">
        <f t="shared" si="1006"/>
        <v>119.99720000000001</v>
      </c>
      <c r="AF447" s="583">
        <f t="shared" si="1006"/>
        <v>10.997199999999999</v>
      </c>
      <c r="AG447" s="583">
        <f t="shared" si="1006"/>
        <v>94.997200000000007</v>
      </c>
      <c r="AH447" s="583">
        <f t="shared" si="1006"/>
        <v>9.7200000000000009E-2</v>
      </c>
      <c r="AI447" s="583">
        <f t="shared" si="1006"/>
        <v>0.58719999999999994</v>
      </c>
      <c r="AJ447" s="549">
        <f t="shared" si="1006"/>
        <v>8.7199999999999986E-3</v>
      </c>
      <c r="AK447" s="583">
        <f t="shared" si="1006"/>
        <v>29.997199999999999</v>
      </c>
      <c r="AL447" s="583">
        <f t="shared" si="1006"/>
        <v>2.7199999999999998E-2</v>
      </c>
      <c r="AM447" s="583">
        <f t="shared" si="1006"/>
        <v>0.13720000000000002</v>
      </c>
      <c r="AN447" s="583">
        <f t="shared" si="1006"/>
        <v>9.7200000000000009E-2</v>
      </c>
      <c r="AO447" s="583">
        <f t="shared" si="1006"/>
        <v>3.2200000000000006E-2</v>
      </c>
      <c r="AP447" s="583">
        <f t="shared" si="1006"/>
        <v>7.9972000000000003</v>
      </c>
      <c r="AQ447" s="583">
        <f t="shared" si="1006"/>
        <v>0.29971999999999999</v>
      </c>
      <c r="AR447" s="583">
        <f t="shared" si="1006"/>
        <v>0.49719999999999998</v>
      </c>
      <c r="AS447" s="549">
        <f t="shared" si="1006"/>
        <v>5.9719999999999995E-2</v>
      </c>
      <c r="AT447" s="583">
        <f t="shared" si="1006"/>
        <v>18.695416666666667</v>
      </c>
      <c r="AU447" s="583">
        <f t="shared" si="1006"/>
        <v>18.695416666666667</v>
      </c>
      <c r="AV447" s="545">
        <f t="shared" ref="AV447:BR447" si="1007">SUM(AV434:AV445)</f>
        <v>346.2102400789654</v>
      </c>
      <c r="AW447" s="545">
        <f t="shared" si="1007"/>
        <v>28.797520570247041</v>
      </c>
      <c r="AX447" s="545">
        <f t="shared" si="1007"/>
        <v>6.5560026943996021</v>
      </c>
      <c r="AY447" s="545">
        <f t="shared" si="1007"/>
        <v>20.556014694397888</v>
      </c>
      <c r="AZ447" s="545">
        <f t="shared" si="1007"/>
        <v>-2.8000023999996573E-3</v>
      </c>
      <c r="BA447" s="545">
        <f t="shared" si="1007"/>
        <v>2.0026997970500209</v>
      </c>
      <c r="BB447" s="545">
        <f t="shared" si="1007"/>
        <v>43.927195604600435</v>
      </c>
      <c r="BC447" s="545">
        <f t="shared" si="1007"/>
        <v>148.02218519510149</v>
      </c>
      <c r="BD447" s="545">
        <f t="shared" si="1007"/>
        <v>114.59718853760116</v>
      </c>
      <c r="BE447" s="545">
        <f t="shared" si="1007"/>
        <v>10.502198947100105</v>
      </c>
      <c r="BF447" s="545">
        <f t="shared" si="1007"/>
        <v>90.722190925100904</v>
      </c>
      <c r="BG447" s="545">
        <f t="shared" si="1007"/>
        <v>9.2699988050001306E-2</v>
      </c>
      <c r="BH447" s="545">
        <f t="shared" si="1007"/>
        <v>0.56064994125500589</v>
      </c>
      <c r="BI447" s="545">
        <f t="shared" si="1007"/>
        <v>8.3149989005001194E-3</v>
      </c>
      <c r="BJ447" s="545">
        <f t="shared" si="1007"/>
        <v>28.647197132600287</v>
      </c>
      <c r="BK447" s="545">
        <f t="shared" si="1007"/>
        <v>2.5849994735000624E-2</v>
      </c>
      <c r="BL447" s="545">
        <f t="shared" si="1007"/>
        <v>0.13089998423000168</v>
      </c>
      <c r="BM447" s="545">
        <f t="shared" si="1007"/>
        <v>9.2699988050001306E-2</v>
      </c>
      <c r="BN447" s="545">
        <f t="shared" si="1007"/>
        <v>3.062499425750068E-2</v>
      </c>
      <c r="BO447" s="545">
        <f t="shared" si="1007"/>
        <v>7.637199233600076</v>
      </c>
      <c r="BP447" s="545">
        <f t="shared" si="1007"/>
        <v>0.28621997111000286</v>
      </c>
      <c r="BQ447" s="545">
        <f t="shared" si="1007"/>
        <v>0.47469994985000508</v>
      </c>
      <c r="BR447" s="545">
        <f t="shared" si="1007"/>
        <v>5.7019994030000597E-2</v>
      </c>
    </row>
    <row r="448" spans="1:70" s="229" customFormat="1">
      <c r="A448" s="504"/>
      <c r="B448" s="522"/>
      <c r="C448" s="522"/>
      <c r="D448" s="141"/>
      <c r="E448" s="594"/>
      <c r="F448" s="708"/>
      <c r="G448" s="522"/>
      <c r="H448" s="522"/>
      <c r="I448" s="86"/>
      <c r="J448" s="87"/>
      <c r="K448" s="595"/>
      <c r="L448" s="596"/>
      <c r="M448" s="851"/>
      <c r="N448" s="851"/>
      <c r="O448" s="666"/>
      <c r="P448" s="672" t="s">
        <v>537</v>
      </c>
      <c r="V448" s="527" t="s">
        <v>588</v>
      </c>
      <c r="W448" s="229">
        <v>185.5</v>
      </c>
      <c r="X448" s="229">
        <v>23.200000000000003</v>
      </c>
      <c r="Y448" s="229">
        <v>5.8000000000000007</v>
      </c>
      <c r="Z448" s="229">
        <v>6.2</v>
      </c>
      <c r="AA448" s="229">
        <v>1.9000000000000001</v>
      </c>
      <c r="AB448" s="526">
        <v>2</v>
      </c>
      <c r="AC448" s="229">
        <v>138</v>
      </c>
      <c r="AD448" s="229">
        <v>180</v>
      </c>
      <c r="AE448" s="229">
        <v>90</v>
      </c>
      <c r="AF448" s="229">
        <v>17</v>
      </c>
      <c r="AG448" s="229">
        <v>80</v>
      </c>
      <c r="AH448" s="229">
        <v>1</v>
      </c>
      <c r="AI448" s="229">
        <v>0.70000000000000007</v>
      </c>
      <c r="AJ448" s="526">
        <v>0.125</v>
      </c>
      <c r="AK448" s="229">
        <v>80</v>
      </c>
      <c r="AL448" s="229">
        <v>0.1</v>
      </c>
      <c r="AM448" s="229">
        <v>0.11000000000000001</v>
      </c>
      <c r="AN448" s="229">
        <v>1.2000000000000002</v>
      </c>
      <c r="AO448" s="229">
        <v>6.9999999999999993E-2</v>
      </c>
      <c r="AP448" s="229">
        <v>30</v>
      </c>
      <c r="AQ448" s="229">
        <v>0.18000000000000002</v>
      </c>
      <c r="AR448" s="229">
        <v>8</v>
      </c>
      <c r="AS448" s="526">
        <v>0.5</v>
      </c>
      <c r="AV448" s="229">
        <v>185.5</v>
      </c>
      <c r="AW448" s="229">
        <v>23.200000000000003</v>
      </c>
      <c r="AX448" s="229">
        <v>5.8000000000000007</v>
      </c>
      <c r="AY448" s="229">
        <v>6.2</v>
      </c>
      <c r="AZ448" s="229">
        <v>1.9000000000000001</v>
      </c>
      <c r="BA448" s="526">
        <v>2</v>
      </c>
      <c r="BB448" s="229">
        <v>138</v>
      </c>
      <c r="BC448" s="229">
        <v>180</v>
      </c>
      <c r="BD448" s="229">
        <v>90</v>
      </c>
      <c r="BE448" s="229">
        <v>17</v>
      </c>
      <c r="BF448" s="229">
        <v>80</v>
      </c>
      <c r="BG448" s="229">
        <v>1</v>
      </c>
      <c r="BH448" s="229">
        <v>0.70000000000000007</v>
      </c>
      <c r="BI448" s="526">
        <v>0.125</v>
      </c>
      <c r="BJ448" s="229">
        <v>80</v>
      </c>
      <c r="BK448" s="229">
        <v>0.1</v>
      </c>
      <c r="BL448" s="229">
        <v>0.11000000000000001</v>
      </c>
      <c r="BM448" s="229">
        <v>1.2000000000000002</v>
      </c>
      <c r="BN448" s="229">
        <v>6.9999999999999993E-2</v>
      </c>
      <c r="BO448" s="229">
        <v>30</v>
      </c>
      <c r="BP448" s="229">
        <v>0.18000000000000002</v>
      </c>
      <c r="BQ448" s="229">
        <v>8</v>
      </c>
      <c r="BR448" s="526">
        <v>0.5</v>
      </c>
    </row>
    <row r="449" spans="1:70" s="229" customFormat="1">
      <c r="A449" s="504"/>
      <c r="B449" s="522"/>
      <c r="C449" s="522"/>
      <c r="D449" s="141"/>
      <c r="E449" s="594"/>
      <c r="F449" s="708"/>
      <c r="G449" s="522"/>
      <c r="H449" s="522"/>
      <c r="I449" s="86"/>
      <c r="J449" s="87"/>
      <c r="K449" s="595"/>
      <c r="L449" s="596"/>
      <c r="M449" s="851"/>
      <c r="N449" s="851"/>
      <c r="O449" s="666"/>
      <c r="P449" s="672" t="s">
        <v>407</v>
      </c>
      <c r="V449" s="526"/>
      <c r="W449" s="514">
        <f t="shared" ref="W449:AS449" si="1008">100*W447/W448</f>
        <v>188.14016172506737</v>
      </c>
      <c r="X449" s="514">
        <f t="shared" si="1008"/>
        <v>124.99999999999999</v>
      </c>
      <c r="Y449" s="514">
        <f t="shared" si="1008"/>
        <v>115.51724137931033</v>
      </c>
      <c r="Z449" s="514">
        <f t="shared" si="1008"/>
        <v>333.87096774193549</v>
      </c>
      <c r="AA449" s="514">
        <f t="shared" si="1008"/>
        <v>-0.14736842105263159</v>
      </c>
      <c r="AB449" s="506">
        <f t="shared" si="1008"/>
        <v>104.86</v>
      </c>
      <c r="AC449" s="514">
        <f t="shared" si="1008"/>
        <v>33.331304347826091</v>
      </c>
      <c r="AD449" s="514">
        <f t="shared" si="1008"/>
        <v>86.109555555555545</v>
      </c>
      <c r="AE449" s="514">
        <f t="shared" si="1008"/>
        <v>133.33022222222223</v>
      </c>
      <c r="AF449" s="514">
        <f t="shared" si="1008"/>
        <v>64.689411764705881</v>
      </c>
      <c r="AG449" s="514">
        <f t="shared" si="1008"/>
        <v>118.74650000000001</v>
      </c>
      <c r="AH449" s="514">
        <f t="shared" si="1008"/>
        <v>9.7200000000000006</v>
      </c>
      <c r="AI449" s="514">
        <f t="shared" si="1008"/>
        <v>83.885714285714272</v>
      </c>
      <c r="AJ449" s="506">
        <f t="shared" si="1008"/>
        <v>6.9759999999999991</v>
      </c>
      <c r="AK449" s="514">
        <f t="shared" si="1008"/>
        <v>37.496499999999997</v>
      </c>
      <c r="AL449" s="514">
        <f t="shared" si="1008"/>
        <v>27.199999999999996</v>
      </c>
      <c r="AM449" s="514">
        <f t="shared" si="1008"/>
        <v>124.72727272727273</v>
      </c>
      <c r="AN449" s="514">
        <f t="shared" si="1008"/>
        <v>8.1</v>
      </c>
      <c r="AO449" s="514">
        <f t="shared" si="1008"/>
        <v>46.000000000000014</v>
      </c>
      <c r="AP449" s="514">
        <f t="shared" si="1008"/>
        <v>26.657333333333334</v>
      </c>
      <c r="AQ449" s="514">
        <f t="shared" si="1008"/>
        <v>166.51111111111109</v>
      </c>
      <c r="AR449" s="514">
        <f t="shared" si="1008"/>
        <v>6.2149999999999999</v>
      </c>
      <c r="AS449" s="506">
        <f t="shared" si="1008"/>
        <v>11.943999999999999</v>
      </c>
      <c r="AV449" s="505">
        <f t="shared" ref="AV449:BR449" si="1009">100*AV447/AV448</f>
        <v>186.63624802100563</v>
      </c>
      <c r="AW449" s="505">
        <f t="shared" si="1009"/>
        <v>124.12724383727172</v>
      </c>
      <c r="AX449" s="505">
        <f t="shared" si="1009"/>
        <v>113.03452921378623</v>
      </c>
      <c r="AY449" s="505">
        <f t="shared" si="1009"/>
        <v>331.54862410319168</v>
      </c>
      <c r="AZ449" s="505">
        <f t="shared" si="1009"/>
        <v>-0.14736854736840299</v>
      </c>
      <c r="BA449" s="505">
        <f t="shared" si="1009"/>
        <v>100.13498985250105</v>
      </c>
      <c r="BB449" s="505">
        <f t="shared" si="1009"/>
        <v>31.831301162753942</v>
      </c>
      <c r="BC449" s="505">
        <f t="shared" si="1009"/>
        <v>82.234547330611932</v>
      </c>
      <c r="BD449" s="505">
        <f t="shared" si="1009"/>
        <v>127.33020948622351</v>
      </c>
      <c r="BE449" s="505">
        <f t="shared" si="1009"/>
        <v>61.777640865294735</v>
      </c>
      <c r="BF449" s="505">
        <f t="shared" si="1009"/>
        <v>113.40273865637614</v>
      </c>
      <c r="BG449" s="505">
        <f t="shared" si="1009"/>
        <v>9.2699988050001298</v>
      </c>
      <c r="BH449" s="505">
        <f t="shared" si="1009"/>
        <v>80.09284875071512</v>
      </c>
      <c r="BI449" s="505">
        <f t="shared" si="1009"/>
        <v>6.6519991204000952</v>
      </c>
      <c r="BJ449" s="505">
        <f t="shared" si="1009"/>
        <v>35.808996415750357</v>
      </c>
      <c r="BK449" s="505">
        <f t="shared" si="1009"/>
        <v>25.849994735000625</v>
      </c>
      <c r="BL449" s="505">
        <f t="shared" si="1009"/>
        <v>118.99998566363787</v>
      </c>
      <c r="BM449" s="505">
        <f t="shared" si="1009"/>
        <v>7.724999004166774</v>
      </c>
      <c r="BN449" s="505">
        <f t="shared" si="1009"/>
        <v>43.749991796429548</v>
      </c>
      <c r="BO449" s="505">
        <f t="shared" si="1009"/>
        <v>25.457330778666918</v>
      </c>
      <c r="BP449" s="505">
        <f t="shared" si="1009"/>
        <v>159.01109506111268</v>
      </c>
      <c r="BQ449" s="505">
        <f t="shared" si="1009"/>
        <v>5.9337493731250639</v>
      </c>
      <c r="BR449" s="505">
        <f t="shared" si="1009"/>
        <v>11.40399880600012</v>
      </c>
    </row>
    <row r="450" spans="1:70" s="229" customFormat="1">
      <c r="A450" s="504"/>
      <c r="B450" s="522"/>
      <c r="C450" s="522"/>
      <c r="D450" s="141"/>
      <c r="E450" s="594"/>
      <c r="F450" s="708"/>
      <c r="G450" s="522"/>
      <c r="H450" s="522"/>
      <c r="I450" s="86"/>
      <c r="J450" s="87"/>
      <c r="K450" s="595"/>
      <c r="L450" s="596"/>
      <c r="M450" s="851"/>
      <c r="N450" s="851"/>
      <c r="O450" s="666"/>
      <c r="P450" s="672" t="s">
        <v>548</v>
      </c>
      <c r="V450" s="526"/>
      <c r="W450" s="583">
        <f>AV447</f>
        <v>346.2102400789654</v>
      </c>
      <c r="X450" s="583">
        <f t="shared" ref="X450" si="1010">AW447</f>
        <v>28.797520570247041</v>
      </c>
      <c r="Y450" s="583">
        <f t="shared" ref="Y450" si="1011">AX447</f>
        <v>6.5560026943996021</v>
      </c>
      <c r="Z450" s="583">
        <f t="shared" ref="Z450" si="1012">AY447</f>
        <v>20.556014694397888</v>
      </c>
      <c r="AA450" s="583">
        <f t="shared" ref="AA450" si="1013">AZ447</f>
        <v>-2.8000023999996573E-3</v>
      </c>
      <c r="AB450" s="549">
        <f t="shared" ref="AB450" si="1014">BA447</f>
        <v>2.0026997970500209</v>
      </c>
      <c r="AC450" s="583">
        <f t="shared" ref="AC450" si="1015">BB447</f>
        <v>43.927195604600435</v>
      </c>
      <c r="AD450" s="583">
        <f t="shared" ref="AD450" si="1016">BC447</f>
        <v>148.02218519510149</v>
      </c>
      <c r="AE450" s="583">
        <f t="shared" ref="AE450" si="1017">BD447</f>
        <v>114.59718853760116</v>
      </c>
      <c r="AF450" s="583">
        <f t="shared" ref="AF450" si="1018">BE447</f>
        <v>10.502198947100105</v>
      </c>
      <c r="AG450" s="583">
        <f t="shared" ref="AG450" si="1019">BF447</f>
        <v>90.722190925100904</v>
      </c>
      <c r="AH450" s="583">
        <f t="shared" ref="AH450" si="1020">BG447</f>
        <v>9.2699988050001306E-2</v>
      </c>
      <c r="AI450" s="583">
        <f>BH447</f>
        <v>0.56064994125500589</v>
      </c>
      <c r="AJ450" s="549">
        <f t="shared" ref="AJ450" si="1021">BI447</f>
        <v>8.3149989005001194E-3</v>
      </c>
      <c r="AK450" s="583">
        <f t="shared" ref="AK450" si="1022">BJ447</f>
        <v>28.647197132600287</v>
      </c>
      <c r="AL450" s="583">
        <f t="shared" ref="AL450" si="1023">BK447</f>
        <v>2.5849994735000624E-2</v>
      </c>
      <c r="AM450" s="583">
        <f t="shared" ref="AM450" si="1024">BL447</f>
        <v>0.13089998423000168</v>
      </c>
      <c r="AN450" s="583">
        <f>BM447</f>
        <v>9.2699988050001306E-2</v>
      </c>
      <c r="AO450" s="583">
        <f t="shared" ref="AO450" si="1025">BN447</f>
        <v>3.062499425750068E-2</v>
      </c>
      <c r="AP450" s="583">
        <f t="shared" ref="AP450" si="1026">BO447</f>
        <v>7.637199233600076</v>
      </c>
      <c r="AQ450" s="583">
        <f t="shared" ref="AQ450" si="1027">BP447</f>
        <v>0.28621997111000286</v>
      </c>
      <c r="AR450" s="583">
        <f t="shared" ref="AR450" si="1028">BQ447</f>
        <v>0.47469994985000508</v>
      </c>
      <c r="AS450" s="549">
        <f>BR447</f>
        <v>5.7019994030000597E-2</v>
      </c>
    </row>
    <row r="451" spans="1:70" s="229" customFormat="1">
      <c r="A451" s="504"/>
      <c r="B451" s="522"/>
      <c r="C451" s="522"/>
      <c r="D451" s="141"/>
      <c r="E451" s="594"/>
      <c r="F451" s="708"/>
      <c r="G451" s="522"/>
      <c r="H451" s="522"/>
      <c r="I451" s="86"/>
      <c r="J451" s="87"/>
      <c r="K451" s="595"/>
      <c r="L451" s="596"/>
      <c r="M451" s="851"/>
      <c r="N451" s="851"/>
      <c r="O451" s="666"/>
      <c r="P451" s="672" t="s">
        <v>543</v>
      </c>
      <c r="V451" s="526"/>
      <c r="W451" s="514">
        <f t="shared" ref="W451:AS451" si="1029">AV449</f>
        <v>186.63624802100563</v>
      </c>
      <c r="X451" s="514">
        <f t="shared" si="1029"/>
        <v>124.12724383727172</v>
      </c>
      <c r="Y451" s="514">
        <f t="shared" si="1029"/>
        <v>113.03452921378623</v>
      </c>
      <c r="Z451" s="514">
        <f t="shared" si="1029"/>
        <v>331.54862410319168</v>
      </c>
      <c r="AA451" s="514">
        <f t="shared" si="1029"/>
        <v>-0.14736854736840299</v>
      </c>
      <c r="AB451" s="506">
        <f t="shared" si="1029"/>
        <v>100.13498985250105</v>
      </c>
      <c r="AC451" s="514">
        <f t="shared" si="1029"/>
        <v>31.831301162753942</v>
      </c>
      <c r="AD451" s="514">
        <f t="shared" si="1029"/>
        <v>82.234547330611932</v>
      </c>
      <c r="AE451" s="514">
        <f t="shared" si="1029"/>
        <v>127.33020948622351</v>
      </c>
      <c r="AF451" s="514">
        <f t="shared" si="1029"/>
        <v>61.777640865294735</v>
      </c>
      <c r="AG451" s="514">
        <f t="shared" si="1029"/>
        <v>113.40273865637614</v>
      </c>
      <c r="AH451" s="514">
        <f t="shared" si="1029"/>
        <v>9.2699988050001298</v>
      </c>
      <c r="AI451" s="514">
        <f t="shared" si="1029"/>
        <v>80.09284875071512</v>
      </c>
      <c r="AJ451" s="506">
        <f t="shared" si="1029"/>
        <v>6.6519991204000952</v>
      </c>
      <c r="AK451" s="514">
        <f t="shared" si="1029"/>
        <v>35.808996415750357</v>
      </c>
      <c r="AL451" s="514">
        <f t="shared" si="1029"/>
        <v>25.849994735000625</v>
      </c>
      <c r="AM451" s="514">
        <f t="shared" si="1029"/>
        <v>118.99998566363787</v>
      </c>
      <c r="AN451" s="514">
        <f t="shared" si="1029"/>
        <v>7.724999004166774</v>
      </c>
      <c r="AO451" s="514">
        <f t="shared" si="1029"/>
        <v>43.749991796429548</v>
      </c>
      <c r="AP451" s="514">
        <f t="shared" si="1029"/>
        <v>25.457330778666918</v>
      </c>
      <c r="AQ451" s="514">
        <f t="shared" si="1029"/>
        <v>159.01109506111268</v>
      </c>
      <c r="AR451" s="514">
        <f t="shared" si="1029"/>
        <v>5.9337493731250639</v>
      </c>
      <c r="AS451" s="506">
        <f t="shared" si="1029"/>
        <v>11.40399880600012</v>
      </c>
      <c r="AV451" s="514"/>
      <c r="AW451" s="514"/>
      <c r="AX451" s="514"/>
      <c r="AY451" s="514"/>
      <c r="AZ451" s="514"/>
      <c r="BA451" s="505"/>
      <c r="BB451" s="514"/>
      <c r="BC451" s="514"/>
      <c r="BD451" s="514"/>
      <c r="BE451" s="514"/>
      <c r="BF451" s="514"/>
      <c r="BG451" s="514"/>
      <c r="BH451" s="514"/>
      <c r="BI451" s="505"/>
      <c r="BJ451" s="514"/>
      <c r="BK451" s="514"/>
      <c r="BL451" s="514"/>
      <c r="BM451" s="514"/>
      <c r="BN451" s="514"/>
      <c r="BO451" s="514"/>
      <c r="BP451" s="514"/>
      <c r="BQ451" s="514"/>
      <c r="BR451" s="505"/>
    </row>
    <row r="452" spans="1:70" s="229" customFormat="1" ht="15" thickBot="1">
      <c r="A452" s="504"/>
      <c r="B452" s="504"/>
      <c r="C452" s="504"/>
      <c r="D452" s="689"/>
      <c r="E452" s="662"/>
      <c r="F452" s="715"/>
      <c r="G452" s="663" t="s">
        <v>3054</v>
      </c>
      <c r="H452" s="673"/>
      <c r="I452" s="105"/>
      <c r="J452" s="105"/>
      <c r="K452" s="504"/>
      <c r="L452" s="665"/>
      <c r="M452" s="852"/>
      <c r="N452" s="852"/>
      <c r="O452" s="666"/>
      <c r="P452" s="504"/>
      <c r="Q452" s="504"/>
      <c r="R452" s="504"/>
      <c r="S452" s="504"/>
      <c r="T452" s="504"/>
      <c r="U452" s="667"/>
      <c r="V452" s="668"/>
      <c r="W452" s="504"/>
      <c r="X452" s="504"/>
      <c r="Y452" s="504"/>
      <c r="Z452" s="504"/>
      <c r="AA452" s="669">
        <f>COUNTIF(AA453:AA477,"&lt;0")</f>
        <v>1</v>
      </c>
      <c r="AB452" s="669">
        <f t="shared" ref="AB452:AS452" si="1030">COUNTIF(AB453:AB477,"&lt;0")</f>
        <v>1</v>
      </c>
      <c r="AC452" s="669">
        <f t="shared" si="1030"/>
        <v>0</v>
      </c>
      <c r="AD452" s="669">
        <f t="shared" si="1030"/>
        <v>0</v>
      </c>
      <c r="AE452" s="669">
        <f t="shared" si="1030"/>
        <v>0</v>
      </c>
      <c r="AF452" s="669">
        <f t="shared" si="1030"/>
        <v>1</v>
      </c>
      <c r="AG452" s="669">
        <f t="shared" si="1030"/>
        <v>1</v>
      </c>
      <c r="AH452" s="669">
        <f t="shared" si="1030"/>
        <v>0</v>
      </c>
      <c r="AI452" s="669">
        <f t="shared" si="1030"/>
        <v>1</v>
      </c>
      <c r="AJ452" s="669">
        <f t="shared" si="1030"/>
        <v>1</v>
      </c>
      <c r="AK452" s="669">
        <f t="shared" si="1030"/>
        <v>1</v>
      </c>
      <c r="AL452" s="669">
        <f t="shared" si="1030"/>
        <v>1</v>
      </c>
      <c r="AM452" s="669">
        <f t="shared" si="1030"/>
        <v>1</v>
      </c>
      <c r="AN452" s="669">
        <f t="shared" si="1030"/>
        <v>1</v>
      </c>
      <c r="AO452" s="669">
        <f t="shared" si="1030"/>
        <v>1</v>
      </c>
      <c r="AP452" s="669">
        <f t="shared" si="1030"/>
        <v>1</v>
      </c>
      <c r="AQ452" s="669">
        <f t="shared" si="1030"/>
        <v>2</v>
      </c>
      <c r="AR452" s="669">
        <f t="shared" si="1030"/>
        <v>0</v>
      </c>
      <c r="AS452" s="669">
        <f t="shared" si="1030"/>
        <v>2</v>
      </c>
      <c r="AT452" s="1300"/>
      <c r="AU452" s="1300"/>
    </row>
    <row r="453" spans="1:70" s="229" customFormat="1" ht="15" customHeight="1" thickBot="1">
      <c r="A453" s="504"/>
      <c r="B453" s="575" t="s">
        <v>3068</v>
      </c>
      <c r="C453" s="229" t="s">
        <v>69</v>
      </c>
      <c r="D453" s="576"/>
      <c r="E453" s="577">
        <v>100</v>
      </c>
      <c r="F453" s="707" t="s">
        <v>3895</v>
      </c>
      <c r="G453" s="406" t="s">
        <v>3140</v>
      </c>
      <c r="H453" s="578" t="s">
        <v>3121</v>
      </c>
      <c r="I453" s="85">
        <v>70</v>
      </c>
      <c r="J453" s="682">
        <v>1</v>
      </c>
      <c r="K453" s="579">
        <f t="shared" ref="K453:K477" si="1031">IF(I453&gt;0,1.1*Q453*E453/1000,"")</f>
        <v>7.7</v>
      </c>
      <c r="L453" s="580">
        <f>IF(H453="Select ingredient:","",IF(G453="","",_xlfn.IFNA(VLOOKUP($H453,Ingredient_prices!$E:$U,16,FALSE),0)))</f>
        <v>88</v>
      </c>
      <c r="M453" s="850"/>
      <c r="N453" s="1228">
        <f>$W479</f>
        <v>791.60430668997674</v>
      </c>
      <c r="O453" s="666"/>
      <c r="P453" s="670"/>
      <c r="Q453" s="583">
        <f t="shared" ref="Q453:Q477" si="1032">I453/J453</f>
        <v>70</v>
      </c>
      <c r="R453" s="583">
        <f>VLOOKUP($H453,'CO2_emission+%_food_waste'!$A:$K,6,FALSE)*$Q453/100</f>
        <v>32.991000000000007</v>
      </c>
      <c r="S453" s="583">
        <f t="shared" ref="S453:S477" si="1033">Q453-R453</f>
        <v>37.008999999999993</v>
      </c>
      <c r="T453" s="583">
        <f>IF(H453="Select ingredient:","",IF(G453="Select food category:","",_xlfn.IFNA(VLOOKUP($H453,Ingredient_prices!$E:$U,16,FALSE)*$Q453/1000,"not bought")))</f>
        <v>6.16</v>
      </c>
      <c r="U453" s="583">
        <f>IF(G453="Select food category:","",_xlfn.IFNA(VLOOKUP($H453,Ingredient_prices!$E:$U,16,FALSE)*$R453/1000,"not bought"))</f>
        <v>2.9032080000000007</v>
      </c>
      <c r="V453" s="549">
        <f>VLOOKUP($H453,'CO2_emission+%_food_waste'!$A:$K,4,FALSE)*$Q453</f>
        <v>140</v>
      </c>
      <c r="W453" s="583">
        <f>VLOOKUP($H453,Nutrition_tables!$A:$N,10,FALSE)*$Q453/100</f>
        <v>23.401</v>
      </c>
      <c r="X453" s="583">
        <f>VLOOKUP($H453,Nutrition_tables!$A:$N,11,FALSE)*$Q453/100</f>
        <v>5.1100000000000003</v>
      </c>
      <c r="Y453" s="583">
        <f>VLOOKUP($H453,Nutrition_tables!$A:$N,12,FALSE)*$Q453/100</f>
        <v>1.47</v>
      </c>
      <c r="Z453" s="583">
        <f>VLOOKUP($H453,Nutrition_tables!$A:$N,14,FALSE)*$Q453/100</f>
        <v>0.21</v>
      </c>
      <c r="AA453" s="583">
        <f>VLOOKUP($H453,Nutrition_tables!$A:$AF,13,FALSE)*$Q453/100</f>
        <v>2.2400000000000002</v>
      </c>
      <c r="AB453" s="549">
        <f>VLOOKUP($H453,Nutrition_tables!$A:$AF,15,FALSE)*$Q453/100</f>
        <v>6.2300000000000001E-2</v>
      </c>
      <c r="AC453" s="583">
        <f>VLOOKUP($H453,Nutrition_tables!$A:$AF,16,FALSE)*$Q453/100</f>
        <v>2.1</v>
      </c>
      <c r="AD453" s="583">
        <f>VLOOKUP($H453,Nutrition_tables!$A:$AF,17,FALSE)*$Q453/100</f>
        <v>130.19999999999999</v>
      </c>
      <c r="AE453" s="583">
        <f>VLOOKUP($H453,Nutrition_tables!$A:$AF,18,FALSE)*$Q453/100</f>
        <v>36.75</v>
      </c>
      <c r="AF453" s="583">
        <f>VLOOKUP($H453,Nutrition_tables!$A:$AF,19,FALSE)*$Q453/100</f>
        <v>15.4</v>
      </c>
      <c r="AG453" s="583">
        <f>VLOOKUP($H453,Nutrition_tables!$A:$AF,20,FALSE)*$Q453/100</f>
        <v>34.65</v>
      </c>
      <c r="AH453" s="583">
        <f>VLOOKUP($H453,Nutrition_tables!$A:$AF,21,FALSE)*$Q453/100</f>
        <v>0.7</v>
      </c>
      <c r="AI453" s="583">
        <f>VLOOKUP($H453,Nutrition_tables!$A:$AF,22,FALSE)*$Q453/100</f>
        <v>0.245</v>
      </c>
      <c r="AJ453" s="549">
        <f>VLOOKUP($H453,Nutrition_tables!$A:$AF,23,FALSE)*$Q453/100</f>
        <v>5.3200000000000004E-2</v>
      </c>
      <c r="AK453" s="583">
        <f>VLOOKUP($H453,Nutrition_tables!$A:$AF,24,FALSE)*$Q453/100</f>
        <v>17.64</v>
      </c>
      <c r="AL453" s="583">
        <f>VLOOKUP($H453,Nutrition_tables!$A:$AF,25,FALSE)*$Q453/100</f>
        <v>6.93E-2</v>
      </c>
      <c r="AM453" s="583">
        <f>VLOOKUP($H453,Nutrition_tables!$A:$AF,26,FALSE)*$Q453/100</f>
        <v>6.4399999999999999E-2</v>
      </c>
      <c r="AN453" s="583">
        <f>VLOOKUP($H453,Nutrition_tables!$A:$AF,27,FALSE)*$Q453/100</f>
        <v>0.3493</v>
      </c>
      <c r="AO453" s="583">
        <f>VLOOKUP($H453,Nutrition_tables!$A:$AF,28,FALSE)*$Q453/100</f>
        <v>6.3700000000000007E-2</v>
      </c>
      <c r="AP453" s="583">
        <f>VLOOKUP($H453,Nutrition_tables!$A:$AF,29,FALSE)*$Q453/100</f>
        <v>44.8</v>
      </c>
      <c r="AQ453" s="583">
        <f>VLOOKUP($H453,Nutrition_tables!$A:$AF,30,FALSE)*$Q453/100</f>
        <v>-2.8000000000000003E-4</v>
      </c>
      <c r="AR453" s="583">
        <f>VLOOKUP($H453,Nutrition_tables!$A:$AF,31,FALSE)*$Q453/100</f>
        <v>16.59</v>
      </c>
      <c r="AS453" s="549">
        <f>VLOOKUP($H453,Nutrition_tables!$A:$AF,32,FALSE)*$Q453/100</f>
        <v>-2.8000000000000003E-4</v>
      </c>
      <c r="AT453" s="583">
        <f>IF(H453="Select ingredient:","",IF(G453="Select food category:","",IFERROR(VLOOKUP($H453,Ingredient_prices!$E:$W,17,FALSE)*$Q453/1000,"not bought")))</f>
        <v>6.16</v>
      </c>
      <c r="AU453" s="583">
        <f>IF(H453="Select ingredient:","",IF(G453="Select food category:","",IFERROR(VLOOKUP($H453,Ingredient_prices!$E:$W,18,FALSE)*$Q453/1000,"not bought")))</f>
        <v>6.16</v>
      </c>
      <c r="AV453" s="583">
        <f t="shared" ref="AV453:AV477" si="1034">W453*($Q453-$R453)/($Q453+0.00001)</f>
        <v>12.37210693255615</v>
      </c>
      <c r="AW453" s="583">
        <f t="shared" ref="AW453:AW477" si="1035">X453*($Q453-$R453)/($Q453+0.00001)</f>
        <v>2.7016566140490546</v>
      </c>
      <c r="AX453" s="583">
        <f t="shared" ref="AX453:AX477" si="1036">Y453*($Q453-$R453)/($Q453+0.00001)</f>
        <v>0.77718888897301563</v>
      </c>
      <c r="AY453" s="583">
        <f t="shared" ref="AY453:AY477" si="1037">Z453*($Q453-$R453)/($Q453+0.00001)</f>
        <v>0.11102698413900224</v>
      </c>
      <c r="AZ453" s="583">
        <f t="shared" ref="AZ453:AZ477" si="1038">AA453*($Q453-$R453)/($Q453+0.00001)</f>
        <v>1.1842878308160241</v>
      </c>
      <c r="BA453" s="583">
        <f t="shared" ref="BA453:BA477" si="1039">AB453*($Q453-$R453)/($Q453+0.00001)</f>
        <v>3.2938005294570666E-2</v>
      </c>
      <c r="BB453" s="583">
        <f t="shared" ref="BB453:BB477" si="1040">AC453*($Q453-$R453)/($Q453+0.00001)</f>
        <v>1.1102698413900225</v>
      </c>
      <c r="BC453" s="583">
        <f t="shared" ref="BC453:BC477" si="1041">AD453*($Q453-$R453)/($Q453+0.00001)</f>
        <v>68.836730166181383</v>
      </c>
      <c r="BD453" s="583">
        <f t="shared" ref="BD453:BD477" si="1042">AE453*($Q453-$R453)/($Q453+0.00001)</f>
        <v>19.429722224325392</v>
      </c>
      <c r="BE453" s="583">
        <f t="shared" ref="BE453:BE477" si="1043">AF453*($Q453-$R453)/($Q453+0.00001)</f>
        <v>8.1419788368601651</v>
      </c>
      <c r="BF453" s="583">
        <f t="shared" ref="BF453:BF477" si="1044">AG453*($Q453-$R453)/($Q453+0.00001)</f>
        <v>18.319452382935371</v>
      </c>
      <c r="BG453" s="583">
        <f t="shared" ref="BG453:BG477" si="1045">AH453*($Q453-$R453)/($Q453+0.00001)</f>
        <v>0.37008994713000748</v>
      </c>
      <c r="BH453" s="583">
        <f t="shared" ref="BH453:BH477" si="1046">AI453*($Q453-$R453)/($Q453+0.00001)</f>
        <v>0.12953148149550262</v>
      </c>
      <c r="BI453" s="583">
        <f t="shared" ref="BI453:BI477" si="1047">AJ453*($Q453-$R453)/($Q453+0.00001)</f>
        <v>2.8126835981880569E-2</v>
      </c>
      <c r="BJ453" s="583">
        <f t="shared" ref="BJ453:BJ477" si="1048">AK453*($Q453-$R453)/($Q453+0.00001)</f>
        <v>9.3262666676761885</v>
      </c>
      <c r="BK453" s="583">
        <f t="shared" ref="BK453:BK477" si="1049">AL453*($Q453-$R453)/($Q453+0.00001)</f>
        <v>3.6638904765870742E-2</v>
      </c>
      <c r="BL453" s="583">
        <f t="shared" ref="BL453:BL477" si="1050">AM453*($Q453-$R453)/($Q453+0.00001)</f>
        <v>3.404827513596069E-2</v>
      </c>
      <c r="BM453" s="583">
        <f t="shared" ref="BM453:BM477" si="1051">AN453*($Q453-$R453)/($Q453+0.00001)</f>
        <v>0.18467488361787374</v>
      </c>
      <c r="BN453" s="583">
        <f t="shared" ref="BN453:BN477" si="1052">AO453*($Q453-$R453)/($Q453+0.00001)</f>
        <v>3.367818518883068E-2</v>
      </c>
      <c r="BO453" s="583">
        <f t="shared" ref="BO453:BO477" si="1053">AP453*($Q453-$R453)/($Q453+0.00001)</f>
        <v>23.685756616320479</v>
      </c>
      <c r="BP453" s="583">
        <f t="shared" ref="BP453:BP477" si="1054">AQ453*($Q453-$R453)/($Q453+0.00001)</f>
        <v>-1.4803597885200301E-4</v>
      </c>
      <c r="BQ453" s="583">
        <f t="shared" ref="BQ453:BQ477" si="1055">AR453*($Q453-$R453)/($Q453+0.00001)</f>
        <v>8.771131746981176</v>
      </c>
      <c r="BR453" s="583">
        <f t="shared" ref="BR453:BR477" si="1056">AS453*($Q453-$R453)/($Q453+0.00001)</f>
        <v>-1.4803597885200301E-4</v>
      </c>
    </row>
    <row r="454" spans="1:70" s="229" customFormat="1" ht="15" customHeight="1">
      <c r="A454" s="504"/>
      <c r="E454" s="576">
        <f>IF(E$453&gt;0,E$453,"")</f>
        <v>100</v>
      </c>
      <c r="F454" s="707" t="s">
        <v>3896</v>
      </c>
      <c r="G454" s="406" t="s">
        <v>3140</v>
      </c>
      <c r="H454" s="578" t="s">
        <v>3124</v>
      </c>
      <c r="I454" s="85">
        <v>50</v>
      </c>
      <c r="J454" s="682">
        <v>1</v>
      </c>
      <c r="K454" s="579">
        <f t="shared" si="1031"/>
        <v>5.5000000000000009</v>
      </c>
      <c r="L454" s="580">
        <f>IF(H454="Select ingredient:","",IF(G454="","",_xlfn.IFNA(VLOOKUP($H454,Ingredient_prices!$E:$U,16,FALSE),0)))</f>
        <v>135</v>
      </c>
      <c r="M454" s="850"/>
      <c r="N454" s="850"/>
      <c r="O454" s="666"/>
      <c r="P454" s="670"/>
      <c r="Q454" s="583">
        <f t="shared" si="1032"/>
        <v>50</v>
      </c>
      <c r="R454" s="583">
        <f>VLOOKUP($H454,'CO2_emission+%_food_waste'!$A:$K,6,FALSE)*$Q454/100</f>
        <v>14.55</v>
      </c>
      <c r="S454" s="583">
        <f t="shared" si="1033"/>
        <v>35.450000000000003</v>
      </c>
      <c r="T454" s="583">
        <f>IF(H454="Select ingredient:","",IF(G454="Select food category:","",_xlfn.IFNA(VLOOKUP($H454,Ingredient_prices!$E:$U,16,FALSE)*$Q454/1000,"not bought")))</f>
        <v>6.75</v>
      </c>
      <c r="U454" s="583">
        <f>IF(G454="Select food category:","",_xlfn.IFNA(VLOOKUP($H454,Ingredient_prices!$E:$U,16,FALSE)*$R454/1000,"not bought"))</f>
        <v>1.9642500000000001</v>
      </c>
      <c r="V454" s="549">
        <f>VLOOKUP($H454,'CO2_emission+%_food_waste'!$A:$K,4,FALSE)*$Q454</f>
        <v>25.5</v>
      </c>
      <c r="W454" s="583">
        <f>VLOOKUP($H454,Nutrition_tables!$A:$N,10,FALSE)*$Q454/100</f>
        <v>43.5</v>
      </c>
      <c r="X454" s="583">
        <f>VLOOKUP($H454,Nutrition_tables!$A:$N,11,FALSE)*$Q454/100</f>
        <v>10.065005366559335</v>
      </c>
      <c r="Y454" s="583">
        <f>VLOOKUP($H454,Nutrition_tables!$A:$N,12,FALSE)*$Q454/100</f>
        <v>0.93499463344066458</v>
      </c>
      <c r="Z454" s="583">
        <f>VLOOKUP($H454,Nutrition_tables!$A:$N,14,FALSE)*$Q454/100</f>
        <v>5.0002333286667602E-2</v>
      </c>
      <c r="AA454" s="583">
        <f>VLOOKUP($H454,Nutrition_tables!$A:$AF,13,FALSE)*$Q454/100</f>
        <v>0.65000699986000265</v>
      </c>
      <c r="AB454" s="549">
        <f>VLOOKUP($H454,Nutrition_tables!$A:$AF,15,FALSE)*$Q454/100</f>
        <v>1.500303327266788E-2</v>
      </c>
      <c r="AC454" s="583">
        <f>VLOOKUP($H454,Nutrition_tables!$A:$AF,16,FALSE)*$Q454/100</f>
        <v>2</v>
      </c>
      <c r="AD454" s="583">
        <f>VLOOKUP($H454,Nutrition_tables!$A:$AF,17,FALSE)*$Q454/100</f>
        <v>189.50000000000003</v>
      </c>
      <c r="AE454" s="583">
        <f>VLOOKUP($H454,Nutrition_tables!$A:$AF,18,FALSE)*$Q454/100</f>
        <v>2.4999999999999996</v>
      </c>
      <c r="AF454" s="583">
        <f>VLOOKUP($H454,Nutrition_tables!$A:$AF,19,FALSE)*$Q454/100</f>
        <v>11</v>
      </c>
      <c r="AG454" s="583">
        <f>VLOOKUP($H454,Nutrition_tables!$A:$AF,20,FALSE)*$Q454/100</f>
        <v>22</v>
      </c>
      <c r="AH454" s="583">
        <f>VLOOKUP($H454,Nutrition_tables!$A:$AF,21,FALSE)*$Q454/100</f>
        <v>0.15500023332866678</v>
      </c>
      <c r="AI454" s="583">
        <f>VLOOKUP($H454,Nutrition_tables!$A:$AF,22,FALSE)*$Q454/100</f>
        <v>0.15000699986000282</v>
      </c>
      <c r="AJ454" s="549">
        <f>VLOOKUP($H454,Nutrition_tables!$A:$AF,23,FALSE)*$Q454/100</f>
        <v>0.13688155000000002</v>
      </c>
      <c r="AK454" s="583">
        <f>VLOOKUP($H454,Nutrition_tables!$A:$AF,24,FALSE)*$Q454/100</f>
        <v>0.5</v>
      </c>
      <c r="AL454" s="583">
        <f>VLOOKUP($H454,Nutrition_tables!$A:$AF,25,FALSE)*$Q454/100</f>
        <v>5.9988800223995525E-2</v>
      </c>
      <c r="AM454" s="583">
        <f>VLOOKUP($H454,Nutrition_tables!$A:$AF,26,FALSE)*$Q454/100</f>
        <v>1.0009799804003921E-2</v>
      </c>
      <c r="AN454" s="583">
        <f>VLOOKUP($H454,Nutrition_tables!$A:$AF,27,FALSE)*$Q454/100</f>
        <v>0.72000559988800239</v>
      </c>
      <c r="AO454" s="583">
        <f>VLOOKUP($H454,Nutrition_tables!$A:$AF,28,FALSE)*$Q454/100</f>
        <v>0.15000699986000282</v>
      </c>
      <c r="AP454" s="583">
        <f>VLOOKUP($H454,Nutrition_tables!$A:$AF,29,FALSE)*$Q454/100</f>
        <v>4.9999999999999991</v>
      </c>
      <c r="AQ454" s="583">
        <f>VLOOKUP($H454,Nutrition_tables!$A:$AF,30,FALSE)*$Q454/100</f>
        <v>0</v>
      </c>
      <c r="AR454" s="583">
        <f>VLOOKUP($H454,Nutrition_tables!$A:$AF,31,FALSE)*$Q454/100</f>
        <v>6.5</v>
      </c>
      <c r="AS454" s="549">
        <f>VLOOKUP($H454,Nutrition_tables!$A:$AF,32,FALSE)*$Q454/100</f>
        <v>0</v>
      </c>
      <c r="AT454" s="583">
        <f>IF(H454="Select ingredient:","",IF(G454="Select food category:","",IFERROR(VLOOKUP($H454,Ingredient_prices!$E:$W,17,FALSE)*$Q454/1000,"not bought")))</f>
        <v>3.3</v>
      </c>
      <c r="AU454" s="583">
        <f>IF(H454="Select ingredient:","",IF(G454="Select food category:","",IFERROR(VLOOKUP($H454,Ingredient_prices!$E:$W,18,FALSE)*$Q454/1000,"not bought")))</f>
        <v>6.75</v>
      </c>
      <c r="AV454" s="583">
        <f t="shared" si="1034"/>
        <v>30.841493831701232</v>
      </c>
      <c r="AW454" s="583">
        <f t="shared" si="1035"/>
        <v>7.1360873776730926</v>
      </c>
      <c r="AX454" s="583">
        <f t="shared" si="1036"/>
        <v>0.66291106252721865</v>
      </c>
      <c r="AY454" s="583">
        <f t="shared" si="1037"/>
        <v>3.5451647209917891E-2</v>
      </c>
      <c r="AZ454" s="583">
        <f t="shared" si="1038"/>
        <v>0.46085487072976772</v>
      </c>
      <c r="BA454" s="583">
        <f t="shared" si="1039"/>
        <v>1.0637148462891833E-2</v>
      </c>
      <c r="BB454" s="583">
        <f t="shared" si="1040"/>
        <v>1.4179997164000568</v>
      </c>
      <c r="BC454" s="583">
        <f t="shared" si="1041"/>
        <v>134.3554731289054</v>
      </c>
      <c r="BD454" s="583">
        <f t="shared" si="1042"/>
        <v>1.7724996455000706</v>
      </c>
      <c r="BE454" s="583">
        <f t="shared" si="1043"/>
        <v>7.7989984402003127</v>
      </c>
      <c r="BF454" s="583">
        <f t="shared" si="1044"/>
        <v>15.597996880400625</v>
      </c>
      <c r="BG454" s="583">
        <f t="shared" si="1045"/>
        <v>0.10989514345099605</v>
      </c>
      <c r="BH454" s="583">
        <f t="shared" si="1046"/>
        <v>0.10635494162975367</v>
      </c>
      <c r="BI454" s="583">
        <f t="shared" si="1047"/>
        <v>9.7048999540200118E-2</v>
      </c>
      <c r="BJ454" s="583">
        <f t="shared" si="1048"/>
        <v>0.35449992910001421</v>
      </c>
      <c r="BK454" s="583">
        <f t="shared" si="1049"/>
        <v>4.2532050852402657E-2</v>
      </c>
      <c r="BL454" s="583">
        <f t="shared" si="1050"/>
        <v>7.0969466416494513E-3</v>
      </c>
      <c r="BM454" s="583">
        <f t="shared" si="1051"/>
        <v>0.51048386822382008</v>
      </c>
      <c r="BN454" s="583">
        <f t="shared" si="1052"/>
        <v>0.10635494162975367</v>
      </c>
      <c r="BO454" s="583">
        <f t="shared" si="1053"/>
        <v>3.5449992910001411</v>
      </c>
      <c r="BP454" s="583">
        <f t="shared" si="1054"/>
        <v>0</v>
      </c>
      <c r="BQ454" s="583">
        <f t="shared" si="1055"/>
        <v>4.6084990783001842</v>
      </c>
      <c r="BR454" s="583">
        <f t="shared" si="1056"/>
        <v>0</v>
      </c>
    </row>
    <row r="455" spans="1:70" s="229" customFormat="1" ht="15" customHeight="1">
      <c r="A455" s="504"/>
      <c r="E455" s="576">
        <f t="shared" ref="E455:E477" si="1057">IF(E$453&gt;0,E$453,"")</f>
        <v>100</v>
      </c>
      <c r="G455" s="406" t="s">
        <v>3076</v>
      </c>
      <c r="H455" s="578" t="s">
        <v>3301</v>
      </c>
      <c r="I455" s="85">
        <v>0.4</v>
      </c>
      <c r="J455" s="682">
        <v>1</v>
      </c>
      <c r="K455" s="579">
        <f t="shared" si="1031"/>
        <v>4.4000000000000004E-2</v>
      </c>
      <c r="L455" s="580">
        <f>IF(H455="Select ingredient:","",IF(G455="","",_xlfn.IFNA(VLOOKUP($H455,Ingredient_prices!$E:$U,16,FALSE),0)))</f>
        <v>369.6</v>
      </c>
      <c r="M455" s="850"/>
      <c r="N455" s="850"/>
      <c r="O455" s="666"/>
      <c r="P455" s="670"/>
      <c r="Q455" s="583">
        <f t="shared" si="1032"/>
        <v>0.4</v>
      </c>
      <c r="R455" s="583">
        <f>VLOOKUP($H455,'CO2_emission+%_food_waste'!$A:$K,6,FALSE)*$Q455/100</f>
        <v>0.12560000000000002</v>
      </c>
      <c r="S455" s="583">
        <f t="shared" si="1033"/>
        <v>0.27439999999999998</v>
      </c>
      <c r="T455" s="583">
        <f>IF(H455="Select ingredient:","",IF(G455="Select food category:","",_xlfn.IFNA(VLOOKUP($H455,Ingredient_prices!$E:$U,16,FALSE)*$Q455/1000,"not bought")))</f>
        <v>0.14784</v>
      </c>
      <c r="U455" s="583">
        <f>IF(G455="Select food category:","",_xlfn.IFNA(VLOOKUP($H455,Ingredient_prices!$E:$U,16,FALSE)*$R455/1000,"not bought"))</f>
        <v>4.6421760000000006E-2</v>
      </c>
      <c r="V455" s="549">
        <f>VLOOKUP($H455,'CO2_emission+%_food_waste'!$A:$K,4,FALSE)*$Q455</f>
        <v>0.34800000000000003</v>
      </c>
      <c r="W455" s="583">
        <f>VLOOKUP($H455,Nutrition_tables!$A:$N,10,FALSE)*$Q455/100</f>
        <v>0.54800000000000004</v>
      </c>
      <c r="X455" s="583">
        <f>VLOOKUP($H455,Nutrition_tables!$A:$N,11,FALSE)*$Q455/100</f>
        <v>9.8000000000000004E-2</v>
      </c>
      <c r="Y455" s="583">
        <f>VLOOKUP($H455,Nutrition_tables!$A:$N,12,FALSE)*$Q455/100</f>
        <v>3.4000000000000002E-2</v>
      </c>
      <c r="Z455" s="583">
        <f>VLOOKUP($H455,Nutrition_tables!$A:$N,14,FALSE)*$Q455/100</f>
        <v>2.3999999999999998E-3</v>
      </c>
      <c r="AA455" s="583">
        <f>VLOOKUP($H455,Nutrition_tables!$A:$AF,13,FALSE)*$Q455/100</f>
        <v>-1.5999999999999999E-5</v>
      </c>
      <c r="AB455" s="549">
        <f>VLOOKUP($H455,Nutrition_tables!$A:$AF,15,FALSE)*$Q455/100</f>
        <v>-1.5999999999999999E-5</v>
      </c>
      <c r="AC455" s="583">
        <f>VLOOKUP($H455,Nutrition_tables!$A:$AF,16,FALSE)*$Q455/100</f>
        <v>51.04</v>
      </c>
      <c r="AD455" s="583">
        <f>VLOOKUP($H455,Nutrition_tables!$A:$AF,17,FALSE)*$Q455/100</f>
        <v>4</v>
      </c>
      <c r="AE455" s="583">
        <f>VLOOKUP($H455,Nutrition_tables!$A:$AF,18,FALSE)*$Q455/100</f>
        <v>0</v>
      </c>
      <c r="AF455" s="583">
        <f>VLOOKUP($H455,Nutrition_tables!$A:$AF,19,FALSE)*$Q455/100</f>
        <v>-1.5999999999999999E-5</v>
      </c>
      <c r="AG455" s="583">
        <f>VLOOKUP($H455,Nutrition_tables!$A:$AF,20,FALSE)*$Q455/100</f>
        <v>-1.5999999999999999E-5</v>
      </c>
      <c r="AH455" s="583">
        <f>VLOOKUP($H455,Nutrition_tables!$A:$AF,21,FALSE)*$Q455/100</f>
        <v>2.8800000000000003E-2</v>
      </c>
      <c r="AI455" s="583">
        <f>VLOOKUP($H455,Nutrition_tables!$A:$AF,22,FALSE)*$Q455/100</f>
        <v>-1.5999999999999999E-5</v>
      </c>
      <c r="AJ455" s="549">
        <f>VLOOKUP($H455,Nutrition_tables!$A:$AF,23,FALSE)*$Q455/100</f>
        <v>-1.6000000000000001E-6</v>
      </c>
      <c r="AK455" s="583">
        <f>VLOOKUP($H455,Nutrition_tables!$A:$AF,24,FALSE)*$Q455/100</f>
        <v>-1.5999999999999999E-5</v>
      </c>
      <c r="AL455" s="583">
        <f>VLOOKUP($H455,Nutrition_tables!$A:$AF,25,FALSE)*$Q455/100</f>
        <v>-1.5999999999999999E-5</v>
      </c>
      <c r="AM455" s="583">
        <f>VLOOKUP($H455,Nutrition_tables!$A:$AF,26,FALSE)*$Q455/100</f>
        <v>-1.5999999999999999E-5</v>
      </c>
      <c r="AN455" s="583">
        <f>VLOOKUP($H455,Nutrition_tables!$A:$AF,27,FALSE)*$Q455/100</f>
        <v>-1.5999999999999999E-5</v>
      </c>
      <c r="AO455" s="583">
        <f>VLOOKUP($H455,Nutrition_tables!$A:$AF,28,FALSE)*$Q455/100</f>
        <v>-1.5999999999999999E-5</v>
      </c>
      <c r="AP455" s="583">
        <f>VLOOKUP($H455,Nutrition_tables!$A:$AF,29,FALSE)*$Q455/100</f>
        <v>-1.5999999999999999E-5</v>
      </c>
      <c r="AQ455" s="583">
        <f>VLOOKUP($H455,Nutrition_tables!$A:$AF,30,FALSE)*$Q455/100</f>
        <v>-1.6000000000000001E-6</v>
      </c>
      <c r="AR455" s="583">
        <f>VLOOKUP($H455,Nutrition_tables!$A:$AF,31,FALSE)*$Q455/100</f>
        <v>0</v>
      </c>
      <c r="AS455" s="549">
        <f>VLOOKUP($H455,Nutrition_tables!$A:$AF,32,FALSE)*$Q455/100</f>
        <v>-1.6000000000000001E-6</v>
      </c>
      <c r="AT455" s="583">
        <f>IF(H455="Select ingredient:","",IF(G455="Select food category:","",IFERROR(VLOOKUP($H455,Ingredient_prices!$E:$W,17,FALSE)*$Q455/1000,"not bought")))</f>
        <v>0.14784</v>
      </c>
      <c r="AU455" s="583">
        <f>IF(H455="Select ingredient:","",IF(G455="Select food category:","",IFERROR(VLOOKUP($H455,Ingredient_prices!$E:$W,18,FALSE)*$Q455/1000,"not bought")))</f>
        <v>0.14784</v>
      </c>
      <c r="AV455" s="583">
        <f t="shared" si="1034"/>
        <v>0.37591860203494915</v>
      </c>
      <c r="AW455" s="583">
        <f t="shared" si="1035"/>
        <v>6.722631934201645E-2</v>
      </c>
      <c r="AX455" s="583">
        <f t="shared" si="1036"/>
        <v>2.3323416914577136E-2</v>
      </c>
      <c r="AY455" s="583">
        <f t="shared" si="1037"/>
        <v>1.6463588410289738E-3</v>
      </c>
      <c r="AZ455" s="583">
        <f t="shared" si="1038"/>
        <v>-1.0975725606859827E-5</v>
      </c>
      <c r="BA455" s="583">
        <f t="shared" si="1039"/>
        <v>-1.0975725606859827E-5</v>
      </c>
      <c r="BB455" s="583">
        <f t="shared" si="1040"/>
        <v>35.012564685882843</v>
      </c>
      <c r="BC455" s="583">
        <f t="shared" si="1041"/>
        <v>2.7439314017149568</v>
      </c>
      <c r="BD455" s="583">
        <f t="shared" si="1042"/>
        <v>0</v>
      </c>
      <c r="BE455" s="583">
        <f t="shared" si="1043"/>
        <v>-1.0975725606859827E-5</v>
      </c>
      <c r="BF455" s="583">
        <f t="shared" si="1044"/>
        <v>-1.0975725606859827E-5</v>
      </c>
      <c r="BG455" s="583">
        <f t="shared" si="1045"/>
        <v>1.975630609234769E-2</v>
      </c>
      <c r="BH455" s="583">
        <f t="shared" si="1046"/>
        <v>-1.0975725606859827E-5</v>
      </c>
      <c r="BI455" s="583">
        <f t="shared" si="1047"/>
        <v>-1.0975725606859828E-6</v>
      </c>
      <c r="BJ455" s="583">
        <f t="shared" si="1048"/>
        <v>-1.0975725606859827E-5</v>
      </c>
      <c r="BK455" s="583">
        <f t="shared" si="1049"/>
        <v>-1.0975725606859827E-5</v>
      </c>
      <c r="BL455" s="583">
        <f t="shared" si="1050"/>
        <v>-1.0975725606859827E-5</v>
      </c>
      <c r="BM455" s="583">
        <f t="shared" si="1051"/>
        <v>-1.0975725606859827E-5</v>
      </c>
      <c r="BN455" s="583">
        <f t="shared" si="1052"/>
        <v>-1.0975725606859827E-5</v>
      </c>
      <c r="BO455" s="583">
        <f t="shared" si="1053"/>
        <v>-1.0975725606859827E-5</v>
      </c>
      <c r="BP455" s="583">
        <f t="shared" si="1054"/>
        <v>-1.0975725606859828E-6</v>
      </c>
      <c r="BQ455" s="583">
        <f t="shared" si="1055"/>
        <v>0</v>
      </c>
      <c r="BR455" s="583">
        <f t="shared" si="1056"/>
        <v>-1.0975725606859828E-6</v>
      </c>
    </row>
    <row r="456" spans="1:70" s="229" customFormat="1" ht="15" customHeight="1">
      <c r="A456" s="504"/>
      <c r="D456" s="85"/>
      <c r="E456" s="576">
        <f t="shared" si="1057"/>
        <v>100</v>
      </c>
      <c r="F456" s="248"/>
      <c r="G456" s="406" t="s">
        <v>3076</v>
      </c>
      <c r="H456" s="578" t="s">
        <v>3304</v>
      </c>
      <c r="I456" s="85">
        <v>0.06</v>
      </c>
      <c r="J456" s="682">
        <v>1</v>
      </c>
      <c r="K456" s="579">
        <f t="shared" si="1031"/>
        <v>6.6000000000000008E-3</v>
      </c>
      <c r="L456" s="580">
        <f>IF(H456="Select ingredient:","",IF(G456="","",_xlfn.IFNA(VLOOKUP($H456,Ingredient_prices!$E:$U,16,FALSE),0)))</f>
        <v>8400</v>
      </c>
      <c r="M456" s="850"/>
      <c r="N456" s="850"/>
      <c r="O456" s="666"/>
      <c r="P456" s="670"/>
      <c r="Q456" s="583">
        <f t="shared" si="1032"/>
        <v>0.06</v>
      </c>
      <c r="R456" s="583">
        <f>VLOOKUP($H456,'CO2_emission+%_food_waste'!$A:$K,6,FALSE)*$Q456/100</f>
        <v>1.44E-2</v>
      </c>
      <c r="S456" s="583">
        <f t="shared" si="1033"/>
        <v>4.5600000000000002E-2</v>
      </c>
      <c r="T456" s="583">
        <f>IF(H456="Select ingredient:","",IF(G456="Select food category:","",_xlfn.IFNA(VLOOKUP($H456,Ingredient_prices!$E:$U,16,FALSE)*$Q456/1000,"not bought")))</f>
        <v>0.504</v>
      </c>
      <c r="U456" s="583">
        <f>IF(G456="Select food category:","",_xlfn.IFNA(VLOOKUP($H456,Ingredient_prices!$E:$U,16,FALSE)*$R456/1000,"not bought"))</f>
        <v>0.12096</v>
      </c>
      <c r="V456" s="549">
        <f>VLOOKUP($H456,'CO2_emission+%_food_waste'!$A:$K,4,FALSE)*$Q456</f>
        <v>5.2199999999999996E-2</v>
      </c>
      <c r="W456" s="583">
        <f>VLOOKUP($H456,Nutrition_tables!$A:$N,10,FALSE)*$Q456/100</f>
        <v>0.15179999999999999</v>
      </c>
      <c r="X456" s="583">
        <f>VLOOKUP($H456,Nutrition_tables!$A:$N,11,FALSE)*$Q456/100</f>
        <v>3.3491999999999994E-2</v>
      </c>
      <c r="Y456" s="583">
        <f>VLOOKUP($H456,Nutrition_tables!$A:$N,12,FALSE)*$Q456/100</f>
        <v>1.1976000000000001E-2</v>
      </c>
      <c r="Z456" s="583">
        <f>VLOOKUP($H456,Nutrition_tables!$A:$N,14,FALSE)*$Q456/100</f>
        <v>2.6159999999999998E-3</v>
      </c>
      <c r="AA456" s="583">
        <f>VLOOKUP($H456,Nutrition_tables!$A:$AF,13,FALSE)*$Q456/100</f>
        <v>8.1599999999999989E-3</v>
      </c>
      <c r="AB456" s="549">
        <f>VLOOKUP($H456,Nutrition_tables!$A:$AF,15,FALSE)*$Q456/100</f>
        <v>1.404E-4</v>
      </c>
      <c r="AC456" s="583">
        <f>VLOOKUP($H456,Nutrition_tables!$A:$AF,16,FALSE)*$Q456/100</f>
        <v>0.12480000000000001</v>
      </c>
      <c r="AD456" s="583">
        <f>VLOOKUP($H456,Nutrition_tables!$A:$AF,17,FALSE)*$Q456/100</f>
        <v>1.9847999999999999</v>
      </c>
      <c r="AE456" s="583">
        <f>VLOOKUP($H456,Nutrition_tables!$A:$AF,18,FALSE)*$Q456/100</f>
        <v>1.0704</v>
      </c>
      <c r="AF456" s="583">
        <f>VLOOKUP($H456,Nutrition_tables!$A:$AF,19,FALSE)*$Q456/100</f>
        <v>0.27060000000000001</v>
      </c>
      <c r="AG456" s="583">
        <f>VLOOKUP($H456,Nutrition_tables!$A:$AF,20,FALSE)*$Q456/100</f>
        <v>0.32579999999999998</v>
      </c>
      <c r="AH456" s="583">
        <f>VLOOKUP($H456,Nutrition_tables!$A:$AF,21,FALSE)*$Q456/100</f>
        <v>2.9268000000000002E-2</v>
      </c>
      <c r="AI456" s="583">
        <f>VLOOKUP($H456,Nutrition_tables!$A:$AF,22,FALSE)*$Q456/100</f>
        <v>1.98E-3</v>
      </c>
      <c r="AJ456" s="549">
        <f>VLOOKUP($H456,Nutrition_tables!$A:$AF,23,FALSE)*$Q456/100</f>
        <v>2.9399999999999999E-4</v>
      </c>
      <c r="AK456" s="583">
        <f>VLOOKUP($H456,Nutrition_tables!$A:$AF,24,FALSE)*$Q456/100</f>
        <v>0.17579999999999998</v>
      </c>
      <c r="AL456" s="583">
        <f>VLOOKUP($H456,Nutrition_tables!$A:$AF,25,FALSE)*$Q456/100</f>
        <v>2.5079999999999997E-4</v>
      </c>
      <c r="AM456" s="583">
        <f>VLOOKUP($H456,Nutrition_tables!$A:$AF,26,FALSE)*$Q456/100</f>
        <v>1.7039999999999997E-4</v>
      </c>
      <c r="AN456" s="583">
        <f>VLOOKUP($H456,Nutrition_tables!$A:$AF,27,FALSE)*$Q456/100</f>
        <v>1.6841999999999998E-3</v>
      </c>
      <c r="AO456" s="583">
        <f>VLOOKUP($H456,Nutrition_tables!$A:$AF,28,FALSE)*$Q456/100</f>
        <v>1.026E-3</v>
      </c>
      <c r="AP456" s="583">
        <f>VLOOKUP($H456,Nutrition_tables!$A:$AF,29,FALSE)*$Q456/100</f>
        <v>2.5500000000000002E-3</v>
      </c>
      <c r="AQ456" s="583">
        <f>VLOOKUP($H456,Nutrition_tables!$A:$AF,30,FALSE)*$Q456/100</f>
        <v>0</v>
      </c>
      <c r="AR456" s="583">
        <f>VLOOKUP($H456,Nutrition_tables!$A:$AF,31,FALSE)*$Q456/100</f>
        <v>0.03</v>
      </c>
      <c r="AS456" s="549">
        <f>VLOOKUP($H456,Nutrition_tables!$A:$AF,32,FALSE)*$Q456/100</f>
        <v>0</v>
      </c>
      <c r="AT456" s="583">
        <f>IF(H456="Select ingredient:","",IF(G456="Select food category:","",IFERROR(VLOOKUP($H456,Ingredient_prices!$E:$W,17,FALSE)*$Q456/1000,"not bought")))</f>
        <v>0.504</v>
      </c>
      <c r="AU456" s="583">
        <f>IF(H456="Select ingredient:","",IF(G456="Select food category:","",IFERROR(VLOOKUP($H456,Ingredient_prices!$E:$W,18,FALSE)*$Q456/1000,"not bought")))</f>
        <v>0.504</v>
      </c>
      <c r="AV456" s="583">
        <f>W456*($Q456-$R456)/($Q456+0.00001)</f>
        <v>0.11534877520413264</v>
      </c>
      <c r="AW456" s="583">
        <f t="shared" si="1035"/>
        <v>2.5449678386935504E-2</v>
      </c>
      <c r="AX456" s="583">
        <f t="shared" si="1036"/>
        <v>9.1002432927845371E-3</v>
      </c>
      <c r="AY456" s="583">
        <f t="shared" si="1037"/>
        <v>1.9878286952174635E-3</v>
      </c>
      <c r="AZ456" s="583">
        <f t="shared" si="1038"/>
        <v>6.2005665722379604E-3</v>
      </c>
      <c r="BA456" s="583">
        <f t="shared" si="1039"/>
        <v>1.0668621896350607E-4</v>
      </c>
      <c r="BB456" s="583">
        <f t="shared" si="1040"/>
        <v>9.4832194634227637E-2</v>
      </c>
      <c r="BC456" s="583">
        <f t="shared" si="1041"/>
        <v>1.5081966338943509</v>
      </c>
      <c r="BD456" s="583">
        <f t="shared" si="1042"/>
        <v>0.81336843859356778</v>
      </c>
      <c r="BE456" s="583">
        <f t="shared" si="1043"/>
        <v>0.20562172971171472</v>
      </c>
      <c r="BF456" s="583">
        <f t="shared" si="1044"/>
        <v>0.24756673887685385</v>
      </c>
      <c r="BG456" s="583">
        <f t="shared" si="1045"/>
        <v>2.2239973337777039E-2</v>
      </c>
      <c r="BH456" s="583">
        <f t="shared" si="1046"/>
        <v>1.5045492417930344E-3</v>
      </c>
      <c r="BI456" s="583">
        <f t="shared" si="1047"/>
        <v>2.2340276620563237E-4</v>
      </c>
      <c r="BJ456" s="583">
        <f t="shared" si="1048"/>
        <v>0.13358573571071486</v>
      </c>
      <c r="BK456" s="583">
        <f t="shared" si="1049"/>
        <v>1.9057623729378434E-4</v>
      </c>
      <c r="BL456" s="583">
        <f t="shared" si="1050"/>
        <v>1.2948241959673384E-4</v>
      </c>
      <c r="BM456" s="583">
        <f t="shared" si="1051"/>
        <v>1.2797787035494083E-3</v>
      </c>
      <c r="BN456" s="583">
        <f t="shared" si="1052"/>
        <v>7.7963006165639062E-4</v>
      </c>
      <c r="BO456" s="583">
        <f t="shared" si="1053"/>
        <v>1.9376770538243628E-3</v>
      </c>
      <c r="BP456" s="583">
        <f t="shared" si="1054"/>
        <v>0</v>
      </c>
      <c r="BQ456" s="583">
        <f t="shared" si="1055"/>
        <v>2.2796200633227796E-2</v>
      </c>
      <c r="BR456" s="583">
        <f t="shared" si="1056"/>
        <v>0</v>
      </c>
    </row>
    <row r="457" spans="1:70" s="229" customFormat="1" ht="15" customHeight="1">
      <c r="A457" s="504"/>
      <c r="D457" s="85"/>
      <c r="E457" s="576">
        <f t="shared" si="1057"/>
        <v>100</v>
      </c>
      <c r="F457" s="248"/>
      <c r="G457" s="406" t="s">
        <v>3076</v>
      </c>
      <c r="H457" s="578" t="s">
        <v>3299</v>
      </c>
      <c r="I457" s="85">
        <v>0.09</v>
      </c>
      <c r="J457" s="682">
        <v>1</v>
      </c>
      <c r="K457" s="579">
        <f t="shared" si="1031"/>
        <v>9.9000000000000008E-3</v>
      </c>
      <c r="L457" s="580">
        <f>IF(H457="Select ingredient:","",IF(G457="","",_xlfn.IFNA(VLOOKUP($H457,Ingredient_prices!$E:$U,16,FALSE),0)))</f>
        <v>8400</v>
      </c>
      <c r="M457" s="850"/>
      <c r="N457" s="850"/>
      <c r="O457" s="666"/>
      <c r="P457" s="670"/>
      <c r="Q457" s="583">
        <f t="shared" si="1032"/>
        <v>0.09</v>
      </c>
      <c r="R457" s="583">
        <f>VLOOKUP($H457,'CO2_emission+%_food_waste'!$A:$K,6,FALSE)*$Q457/100</f>
        <v>2.0250000000000001E-2</v>
      </c>
      <c r="S457" s="583">
        <f t="shared" si="1033"/>
        <v>6.9749999999999993E-2</v>
      </c>
      <c r="T457" s="583">
        <f>IF(H457="Select ingredient:","",IF(G457="Select food category:","",_xlfn.IFNA(VLOOKUP($H457,Ingredient_prices!$E:$U,16,FALSE)*$Q457/1000,"not bought")))</f>
        <v>0.75600000000000001</v>
      </c>
      <c r="U457" s="583">
        <f>IF(G457="Select food category:","",_xlfn.IFNA(VLOOKUP($H457,Ingredient_prices!$E:$U,16,FALSE)*$R457/1000,"not bought"))</f>
        <v>0.1701</v>
      </c>
      <c r="V457" s="549">
        <f>VLOOKUP($H457,'CO2_emission+%_food_waste'!$A:$K,4,FALSE)*$Q457</f>
        <v>7.8299999999999995E-2</v>
      </c>
      <c r="W457" s="583">
        <f>VLOOKUP($H457,Nutrition_tables!$A:$N,10,FALSE)*$Q457/100</f>
        <v>0.26279999999999998</v>
      </c>
      <c r="X457" s="583">
        <f>VLOOKUP($H457,Nutrition_tables!$A:$N,11,FALSE)*$Q457/100</f>
        <v>4.5899999999999996E-2</v>
      </c>
      <c r="Y457" s="583">
        <f>VLOOKUP($H457,Nutrition_tables!$A:$N,12,FALSE)*$Q457/100</f>
        <v>2.4299999999999999E-2</v>
      </c>
      <c r="Z457" s="583">
        <f>VLOOKUP($H457,Nutrition_tables!$A:$N,14,FALSE)*$Q457/100</f>
        <v>4.9499999999999995E-3</v>
      </c>
      <c r="AA457" s="583">
        <f>VLOOKUP($H457,Nutrition_tables!$A:$AF,13,FALSE)*$Q457/100</f>
        <v>2.4299999999999999E-2</v>
      </c>
      <c r="AB457" s="549">
        <f>VLOOKUP($H457,Nutrition_tables!$A:$AF,15,FALSE)*$Q457/100</f>
        <v>1.2600000000000001E-3</v>
      </c>
      <c r="AC457" s="583">
        <f>VLOOKUP($H457,Nutrition_tables!$A:$AF,16,FALSE)*$Q457/100</f>
        <v>0.40679999999999999</v>
      </c>
      <c r="AD457" s="583">
        <f>VLOOKUP($H457,Nutrition_tables!$A:$AF,17,FALSE)*$Q457/100</f>
        <v>2.4146999999999998</v>
      </c>
      <c r="AE457" s="583">
        <f>VLOOKUP($H457,Nutrition_tables!$A:$AF,18,FALSE)*$Q457/100</f>
        <v>1.026</v>
      </c>
      <c r="AF457" s="583">
        <f>VLOOKUP($H457,Nutrition_tables!$A:$AF,19,FALSE)*$Q457/100</f>
        <v>0.36</v>
      </c>
      <c r="AG457" s="583">
        <f>VLOOKUP($H457,Nutrition_tables!$A:$AF,20,FALSE)*$Q457/100</f>
        <v>0.39240000000000003</v>
      </c>
      <c r="AH457" s="583">
        <f>VLOOKUP($H457,Nutrition_tables!$A:$AF,21,FALSE)*$Q457/100</f>
        <v>1.9799999999999998E-2</v>
      </c>
      <c r="AI457" s="583">
        <f>VLOOKUP($H457,Nutrition_tables!$A:$AF,22,FALSE)*$Q457/100</f>
        <v>4.8599999999999997E-3</v>
      </c>
      <c r="AJ457" s="549">
        <f>VLOOKUP($H457,Nutrition_tables!$A:$AF,23,FALSE)*$Q457/100</f>
        <v>7.1999999999999994E-4</v>
      </c>
      <c r="AK457" s="583">
        <f>VLOOKUP($H457,Nutrition_tables!$A:$AF,24,FALSE)*$Q457/100</f>
        <v>8.7300000000000003E-2</v>
      </c>
      <c r="AL457" s="583">
        <f>VLOOKUP($H457,Nutrition_tables!$A:$AF,25,FALSE)*$Q457/100</f>
        <v>1.7999999999999998E-4</v>
      </c>
      <c r="AM457" s="583">
        <f>VLOOKUP($H457,Nutrition_tables!$A:$AF,26,FALSE)*$Q457/100</f>
        <v>2.16E-3</v>
      </c>
      <c r="AN457" s="583">
        <f>VLOOKUP($H457,Nutrition_tables!$A:$AF,27,FALSE)*$Q457/100</f>
        <v>8.9099999999999995E-3</v>
      </c>
      <c r="AO457" s="583">
        <f>VLOOKUP($H457,Nutrition_tables!$A:$AF,28,FALSE)*$Q457/100</f>
        <v>8.1000000000000006E-4</v>
      </c>
      <c r="AP457" s="583">
        <f>VLOOKUP($H457,Nutrition_tables!$A:$AF,29,FALSE)*$Q457/100</f>
        <v>0.16200000000000001</v>
      </c>
      <c r="AQ457" s="583">
        <f>VLOOKUP($H457,Nutrition_tables!$A:$AF,30,FALSE)*$Q457/100</f>
        <v>0</v>
      </c>
      <c r="AR457" s="583">
        <f>VLOOKUP($H457,Nutrition_tables!$A:$AF,31,FALSE)*$Q457/100</f>
        <v>0.1125</v>
      </c>
      <c r="AS457" s="549">
        <f>VLOOKUP($H457,Nutrition_tables!$A:$AF,32,FALSE)*$Q457/100</f>
        <v>0</v>
      </c>
      <c r="AT457" s="583">
        <f>IF(H457="Select ingredient:","",IF(G457="Select food category:","",IFERROR(VLOOKUP($H457,Ingredient_prices!$E:$W,17,FALSE)*$Q457/1000,"not bought")))</f>
        <v>0.75600000000000001</v>
      </c>
      <c r="AU457" s="583">
        <f>IF(H457="Select ingredient:","",IF(G457="Select food category:","",IFERROR(VLOOKUP($H457,Ingredient_prices!$E:$W,18,FALSE)*$Q457/1000,"not bought")))</f>
        <v>0.75600000000000001</v>
      </c>
      <c r="AV457" s="583">
        <f t="shared" si="1034"/>
        <v>0.20364737251416509</v>
      </c>
      <c r="AW457" s="583">
        <f t="shared" si="1035"/>
        <v>3.5568547939117873E-2</v>
      </c>
      <c r="AX457" s="583">
        <f t="shared" si="1036"/>
        <v>1.8830407732474169E-2</v>
      </c>
      <c r="AY457" s="583">
        <f t="shared" si="1037"/>
        <v>3.8358237973558488E-3</v>
      </c>
      <c r="AZ457" s="583">
        <f t="shared" si="1038"/>
        <v>1.8830407732474169E-2</v>
      </c>
      <c r="BA457" s="583">
        <f t="shared" si="1039"/>
        <v>9.7639151205421615E-4</v>
      </c>
      <c r="BB457" s="583">
        <f t="shared" si="1040"/>
        <v>0.31523497389178978</v>
      </c>
      <c r="BC457" s="583">
        <f t="shared" si="1041"/>
        <v>1.871184590601044</v>
      </c>
      <c r="BD457" s="583">
        <f t="shared" si="1042"/>
        <v>0.79506165981557597</v>
      </c>
      <c r="BE457" s="583">
        <f t="shared" si="1043"/>
        <v>0.27896900344406178</v>
      </c>
      <c r="BF457" s="583">
        <f t="shared" si="1044"/>
        <v>0.30407621375402732</v>
      </c>
      <c r="BG457" s="583">
        <f t="shared" si="1045"/>
        <v>1.5343295189423395E-2</v>
      </c>
      <c r="BH457" s="583">
        <f t="shared" si="1046"/>
        <v>3.7660815464948334E-3</v>
      </c>
      <c r="BI457" s="583">
        <f t="shared" si="1047"/>
        <v>5.5793800688812344E-4</v>
      </c>
      <c r="BJ457" s="583">
        <f t="shared" si="1048"/>
        <v>6.7649983335184974E-2</v>
      </c>
      <c r="BK457" s="583">
        <f t="shared" si="1049"/>
        <v>1.3948450172203086E-4</v>
      </c>
      <c r="BL457" s="583">
        <f t="shared" si="1050"/>
        <v>1.6738140206643706E-3</v>
      </c>
      <c r="BM457" s="583">
        <f t="shared" si="1051"/>
        <v>6.9044828352405286E-3</v>
      </c>
      <c r="BN457" s="583">
        <f t="shared" si="1052"/>
        <v>6.2768025774913902E-4</v>
      </c>
      <c r="BO457" s="583">
        <f t="shared" si="1053"/>
        <v>0.1255360515498278</v>
      </c>
      <c r="BP457" s="583">
        <f t="shared" si="1054"/>
        <v>0</v>
      </c>
      <c r="BQ457" s="583">
        <f t="shared" si="1055"/>
        <v>8.7177813576269303E-2</v>
      </c>
      <c r="BR457" s="583">
        <f t="shared" si="1056"/>
        <v>0</v>
      </c>
    </row>
    <row r="458" spans="1:70" s="229" customFormat="1" ht="15" customHeight="1">
      <c r="A458" s="504"/>
      <c r="D458" s="85"/>
      <c r="E458" s="576">
        <f t="shared" si="1057"/>
        <v>100</v>
      </c>
      <c r="F458" s="248"/>
      <c r="G458" s="406" t="s">
        <v>3076</v>
      </c>
      <c r="H458" s="578" t="s">
        <v>495</v>
      </c>
      <c r="I458" s="85">
        <v>0.3</v>
      </c>
      <c r="J458" s="682">
        <v>1</v>
      </c>
      <c r="K458" s="579">
        <f t="shared" si="1031"/>
        <v>3.3000000000000002E-2</v>
      </c>
      <c r="L458" s="580">
        <f>IF(H458="Select ingredient:","",IF(G458="","",_xlfn.IFNA(VLOOKUP($H458,Ingredient_prices!$E:$U,16,FALSE),0)))</f>
        <v>33.6</v>
      </c>
      <c r="M458" s="850"/>
      <c r="N458" s="850"/>
      <c r="O458" s="666"/>
      <c r="P458" s="670"/>
      <c r="Q458" s="583">
        <f t="shared" si="1032"/>
        <v>0.3</v>
      </c>
      <c r="R458" s="583">
        <f>VLOOKUP($H458,'CO2_emission+%_food_waste'!$A:$K,6,FALSE)*$Q458/100</f>
        <v>9.2999999999999985E-2</v>
      </c>
      <c r="S458" s="583">
        <f t="shared" si="1033"/>
        <v>0.20700000000000002</v>
      </c>
      <c r="T458" s="583">
        <f>IF(H458="Select ingredient:","",IF(G458="Select food category:","",_xlfn.IFNA(VLOOKUP($H458,Ingredient_prices!$E:$U,16,FALSE)*$Q458/1000,"not bought")))</f>
        <v>1.008E-2</v>
      </c>
      <c r="U458" s="583">
        <f>IF(G458="Select food category:","",_xlfn.IFNA(VLOOKUP($H458,Ingredient_prices!$E:$U,16,FALSE)*$R458/1000,"not bought"))</f>
        <v>3.1247999999999996E-3</v>
      </c>
      <c r="V458" s="549">
        <f>VLOOKUP($H458,'CO2_emission+%_food_waste'!$A:$K,4,FALSE)*$Q458</f>
        <v>5.3999999999999999E-2</v>
      </c>
      <c r="W458" s="583">
        <f>VLOOKUP($H458,Nutrition_tables!$A:$N,10,FALSE)*$Q458/100</f>
        <v>0</v>
      </c>
      <c r="X458" s="583">
        <f>VLOOKUP($H458,Nutrition_tables!$A:$N,11,FALSE)*$Q458/100</f>
        <v>0</v>
      </c>
      <c r="Y458" s="583">
        <f>VLOOKUP($H458,Nutrition_tables!$A:$N,12,FALSE)*$Q458/100</f>
        <v>0</v>
      </c>
      <c r="Z458" s="583">
        <f>VLOOKUP($H458,Nutrition_tables!$A:$N,14,FALSE)*$Q458/100</f>
        <v>0</v>
      </c>
      <c r="AA458" s="583">
        <f>VLOOKUP($H458,Nutrition_tables!$A:$AF,13,FALSE)*$Q458/100</f>
        <v>0</v>
      </c>
      <c r="AB458" s="549">
        <f>VLOOKUP($H458,Nutrition_tables!$A:$AF,15,FALSE)*$Q458/100</f>
        <v>0</v>
      </c>
      <c r="AC458" s="583">
        <f>VLOOKUP($H458,Nutrition_tables!$A:$AF,16,FALSE)*$Q458/100</f>
        <v>116.55</v>
      </c>
      <c r="AD458" s="583">
        <f>VLOOKUP($H458,Nutrition_tables!$A:$AF,17,FALSE)*$Q458/100</f>
        <v>0.34799999999999998</v>
      </c>
      <c r="AE458" s="583">
        <f>VLOOKUP($H458,Nutrition_tables!$A:$AF,18,FALSE)*$Q458/100</f>
        <v>5.7000000000000002E-2</v>
      </c>
      <c r="AF458" s="583">
        <f>VLOOKUP($H458,Nutrition_tables!$A:$AF,19,FALSE)*$Q458/100</f>
        <v>0.79500000000000004</v>
      </c>
      <c r="AG458" s="583">
        <f>VLOOKUP($H458,Nutrition_tables!$A:$AF,20,FALSE)*$Q458/100</f>
        <v>2.4E-2</v>
      </c>
      <c r="AH458" s="583">
        <f>VLOOKUP($H458,Nutrition_tables!$A:$AF,21,FALSE)*$Q458/100</f>
        <v>6.0000000000000002E-5</v>
      </c>
      <c r="AI458" s="583">
        <f>VLOOKUP($H458,Nutrition_tables!$A:$AF,22,FALSE)*$Q458/100</f>
        <v>2.9999999999999997E-4</v>
      </c>
      <c r="AJ458" s="549">
        <f>VLOOKUP($H458,Nutrition_tables!$A:$AF,23,FALSE)*$Q458/100</f>
        <v>8.9999999999999992E-5</v>
      </c>
      <c r="AK458" s="583">
        <f>VLOOKUP($H458,Nutrition_tables!$A:$AF,24,FALSE)*$Q458/100</f>
        <v>0</v>
      </c>
      <c r="AL458" s="583">
        <f>VLOOKUP($H458,Nutrition_tables!$A:$AF,25,FALSE)*$Q458/100</f>
        <v>0</v>
      </c>
      <c r="AM458" s="583">
        <f>VLOOKUP($H458,Nutrition_tables!$A:$AF,26,FALSE)*$Q458/100</f>
        <v>0</v>
      </c>
      <c r="AN458" s="583">
        <f>VLOOKUP($H458,Nutrition_tables!$A:$AF,27,FALSE)*$Q458/100</f>
        <v>0</v>
      </c>
      <c r="AO458" s="583">
        <f>VLOOKUP($H458,Nutrition_tables!$A:$AF,28,FALSE)*$Q458/100</f>
        <v>0</v>
      </c>
      <c r="AP458" s="583">
        <f>VLOOKUP($H458,Nutrition_tables!$A:$AF,29,FALSE)*$Q458/100</f>
        <v>0</v>
      </c>
      <c r="AQ458" s="583">
        <f>VLOOKUP($H458,Nutrition_tables!$A:$AF,30,FALSE)*$Q458/100</f>
        <v>0</v>
      </c>
      <c r="AR458" s="583">
        <f>VLOOKUP($H458,Nutrition_tables!$A:$AF,31,FALSE)*$Q458/100</f>
        <v>0</v>
      </c>
      <c r="AS458" s="549">
        <f>VLOOKUP($H458,Nutrition_tables!$A:$AF,32,FALSE)*$Q458/100</f>
        <v>0</v>
      </c>
      <c r="AT458" s="583">
        <f>IF(H458="Select ingredient:","",IF(G458="Select food category:","",IFERROR(VLOOKUP($H458,Ingredient_prices!$E:$W,17,FALSE)*$Q458/1000,"not bought")))</f>
        <v>1.008E-2</v>
      </c>
      <c r="AU458" s="583">
        <f>IF(H458="Select ingredient:","",IF(G458="Select food category:","",IFERROR(VLOOKUP($H458,Ingredient_prices!$E:$W,18,FALSE)*$Q458/1000,"not bought")))</f>
        <v>1.008E-2</v>
      </c>
      <c r="AV458" s="583">
        <f t="shared" si="1034"/>
        <v>0</v>
      </c>
      <c r="AW458" s="583">
        <f t="shared" si="1035"/>
        <v>0</v>
      </c>
      <c r="AX458" s="583">
        <f t="shared" si="1036"/>
        <v>0</v>
      </c>
      <c r="AY458" s="583">
        <f t="shared" si="1037"/>
        <v>0</v>
      </c>
      <c r="AZ458" s="583">
        <f t="shared" si="1038"/>
        <v>0</v>
      </c>
      <c r="BA458" s="583">
        <f t="shared" si="1039"/>
        <v>0</v>
      </c>
      <c r="BB458" s="583">
        <f t="shared" si="1040"/>
        <v>80.416819439352025</v>
      </c>
      <c r="BC458" s="583">
        <f t="shared" si="1041"/>
        <v>0.24011199626679111</v>
      </c>
      <c r="BD458" s="583">
        <f t="shared" si="1042"/>
        <v>3.9328689043698552E-2</v>
      </c>
      <c r="BE458" s="583">
        <f t="shared" si="1043"/>
        <v>0.54853171560947978</v>
      </c>
      <c r="BF458" s="583">
        <f t="shared" si="1044"/>
        <v>1.6559448018399387E-2</v>
      </c>
      <c r="BG458" s="583">
        <f t="shared" si="1045"/>
        <v>4.1398620045998472E-5</v>
      </c>
      <c r="BH458" s="583">
        <f t="shared" si="1046"/>
        <v>2.0699310022999234E-4</v>
      </c>
      <c r="BI458" s="583">
        <f t="shared" si="1047"/>
        <v>6.2097930068997701E-5</v>
      </c>
      <c r="BJ458" s="583">
        <f t="shared" si="1048"/>
        <v>0</v>
      </c>
      <c r="BK458" s="583">
        <f t="shared" si="1049"/>
        <v>0</v>
      </c>
      <c r="BL458" s="583">
        <f t="shared" si="1050"/>
        <v>0</v>
      </c>
      <c r="BM458" s="583">
        <f t="shared" si="1051"/>
        <v>0</v>
      </c>
      <c r="BN458" s="583">
        <f t="shared" si="1052"/>
        <v>0</v>
      </c>
      <c r="BO458" s="583">
        <f t="shared" si="1053"/>
        <v>0</v>
      </c>
      <c r="BP458" s="583">
        <f t="shared" si="1054"/>
        <v>0</v>
      </c>
      <c r="BQ458" s="583">
        <f t="shared" si="1055"/>
        <v>0</v>
      </c>
      <c r="BR458" s="583">
        <f t="shared" si="1056"/>
        <v>0</v>
      </c>
    </row>
    <row r="459" spans="1:70" s="229" customFormat="1" ht="15" customHeight="1">
      <c r="A459" s="504"/>
      <c r="D459" s="85"/>
      <c r="E459" s="576">
        <f t="shared" si="1057"/>
        <v>100</v>
      </c>
      <c r="F459" s="248"/>
      <c r="G459" s="406" t="s">
        <v>3141</v>
      </c>
      <c r="H459" s="578" t="s">
        <v>3245</v>
      </c>
      <c r="I459" s="85">
        <v>10</v>
      </c>
      <c r="J459" s="682">
        <v>1</v>
      </c>
      <c r="K459" s="579">
        <f t="shared" si="1031"/>
        <v>1.1000000000000001</v>
      </c>
      <c r="L459" s="580">
        <f>IF(H459="Select ingredient:","",IF(G459="","",_xlfn.IFNA(VLOOKUP($H459,Ingredient_prices!$E:$U,16,FALSE),0)))</f>
        <v>43.12</v>
      </c>
      <c r="M459" s="850"/>
      <c r="N459" s="850"/>
      <c r="O459" s="666"/>
      <c r="P459" s="670"/>
      <c r="Q459" s="583">
        <f t="shared" si="1032"/>
        <v>10</v>
      </c>
      <c r="R459" s="583">
        <f>VLOOKUP($H459,'CO2_emission+%_food_waste'!$A:$K,6,FALSE)*$Q459/100</f>
        <v>2.17</v>
      </c>
      <c r="S459" s="583">
        <f t="shared" si="1033"/>
        <v>7.83</v>
      </c>
      <c r="T459" s="583">
        <f>IF(H459="Select ingredient:","",IF(G459="Select food category:","",_xlfn.IFNA(VLOOKUP($H459,Ingredient_prices!$E:$U,16,FALSE)*$Q459/1000,"not bought")))</f>
        <v>0.43119999999999997</v>
      </c>
      <c r="U459" s="583">
        <f>IF(G459="Select food category:","",_xlfn.IFNA(VLOOKUP($H459,Ingredient_prices!$E:$U,16,FALSE)*$R459/1000,"not bought"))</f>
        <v>9.3570399999999998E-2</v>
      </c>
      <c r="V459" s="549">
        <f>VLOOKUP($H459,'CO2_emission+%_food_waste'!$A:$K,4,FALSE)*$Q459</f>
        <v>16.200000000000003</v>
      </c>
      <c r="W459" s="583">
        <f>VLOOKUP($H459,Nutrition_tables!$A:$N,10,FALSE)*$Q459/100</f>
        <v>35.58997668997668</v>
      </c>
      <c r="X459" s="583">
        <f>VLOOKUP($H459,Nutrition_tables!$A:$N,11,FALSE)*$Q459/100</f>
        <v>7.7899766899766902</v>
      </c>
      <c r="Y459" s="583">
        <f>VLOOKUP($H459,Nutrition_tables!$A:$N,12,FALSE)*$Q459/100</f>
        <v>0.95</v>
      </c>
      <c r="Z459" s="583">
        <f>VLOOKUP($H459,Nutrition_tables!$A:$N,14,FALSE)*$Q459/100</f>
        <v>0.11002331002331001</v>
      </c>
      <c r="AA459" s="583">
        <f>VLOOKUP($H459,Nutrition_tables!$A:$AF,13,FALSE)*$Q459/100</f>
        <v>0.25011655011655015</v>
      </c>
      <c r="AB459" s="549">
        <f>VLOOKUP($H459,Nutrition_tables!$A:$AF,15,FALSE)*$Q459/100</f>
        <v>1.6083916083916083E-2</v>
      </c>
      <c r="AC459" s="583">
        <f>VLOOKUP($H459,Nutrition_tables!$A:$AF,16,FALSE)*$Q459/100</f>
        <v>0.28997668997668996</v>
      </c>
      <c r="AD459" s="583">
        <f>VLOOKUP($H459,Nutrition_tables!$A:$AF,17,FALSE)*$Q459/100</f>
        <v>15.8</v>
      </c>
      <c r="AE459" s="583">
        <f>VLOOKUP($H459,Nutrition_tables!$A:$AF,18,FALSE)*$Q459/100</f>
        <v>2.4</v>
      </c>
      <c r="AF459" s="583">
        <f>VLOOKUP($H459,Nutrition_tables!$A:$AF,19,FALSE)*$Q459/100</f>
        <v>2.4799533799533804</v>
      </c>
      <c r="AG459" s="583">
        <f>VLOOKUP($H459,Nutrition_tables!$A:$AF,20,FALSE)*$Q459/100</f>
        <v>10.599999999999998</v>
      </c>
      <c r="AH459" s="583">
        <f>VLOOKUP($H459,Nutrition_tables!$A:$AF,21,FALSE)*$Q459/100</f>
        <v>8.9044289044289043E-2</v>
      </c>
      <c r="AI459" s="583">
        <f>VLOOKUP($H459,Nutrition_tables!$A:$AF,22,FALSE)*$Q459/100</f>
        <v>6.9930069930069921E-2</v>
      </c>
      <c r="AJ459" s="549">
        <f>VLOOKUP($H459,Nutrition_tables!$A:$AF,23,FALSE)*$Q459/100</f>
        <v>5.011655011655012E-2</v>
      </c>
      <c r="AK459" s="583">
        <f>VLOOKUP($H459,Nutrition_tables!$A:$AF,24,FALSE)*$Q459/100</f>
        <v>0</v>
      </c>
      <c r="AL459" s="583">
        <f>VLOOKUP($H459,Nutrition_tables!$A:$AF,25,FALSE)*$Q459/100</f>
        <v>1.491841491841492E-2</v>
      </c>
      <c r="AM459" s="583">
        <f>VLOOKUP($H459,Nutrition_tables!$A:$AF,26,FALSE)*$Q459/100</f>
        <v>3.9627039627039623E-3</v>
      </c>
      <c r="AN459" s="583">
        <f>VLOOKUP($H459,Nutrition_tables!$A:$AF,27,FALSE)*$Q459/100</f>
        <v>0.13100233100233102</v>
      </c>
      <c r="AO459" s="583">
        <f>VLOOKUP($H459,Nutrition_tables!$A:$AF,28,FALSE)*$Q459/100</f>
        <v>6.9930069930069913E-3</v>
      </c>
      <c r="AP459" s="583">
        <f>VLOOKUP($H459,Nutrition_tables!$A:$AF,29,FALSE)*$Q459/100</f>
        <v>1.6400932400932402</v>
      </c>
      <c r="AQ459" s="583">
        <f>VLOOKUP($H459,Nutrition_tables!$A:$AF,30,FALSE)*$Q459/100</f>
        <v>9.0909090909090887E-3</v>
      </c>
      <c r="AR459" s="583">
        <f>VLOOKUP($H459,Nutrition_tables!$A:$AF,31,FALSE)*$Q459/100</f>
        <v>0</v>
      </c>
      <c r="AS459" s="549">
        <f>VLOOKUP($H459,Nutrition_tables!$A:$AF,32,FALSE)*$Q459/100</f>
        <v>0</v>
      </c>
      <c r="AT459" s="583">
        <f>IF(H459="Select ingredient:","",IF(G459="Select food category:","",IFERROR(VLOOKUP($H459,Ingredient_prices!$E:$W,17,FALSE)*$Q459/1000,"not bought")))</f>
        <v>0.43119999999999997</v>
      </c>
      <c r="AU459" s="583">
        <f>IF(H459="Select ingredient:","",IF(G459="Select food category:","",IFERROR(VLOOKUP($H459,Ingredient_prices!$E:$W,18,FALSE)*$Q459/1000,"not bought")))</f>
        <v>0.43119999999999997</v>
      </c>
      <c r="AV459" s="583">
        <f t="shared" si="1034"/>
        <v>27.86692388132786</v>
      </c>
      <c r="AW459" s="583">
        <f t="shared" si="1035"/>
        <v>6.0995456487061004</v>
      </c>
      <c r="AX459" s="583">
        <f t="shared" si="1036"/>
        <v>0.74384925615074382</v>
      </c>
      <c r="AY459" s="583">
        <f t="shared" si="1037"/>
        <v>8.6148165600086146E-2</v>
      </c>
      <c r="AZ459" s="583">
        <f t="shared" si="1038"/>
        <v>0.19584106290019587</v>
      </c>
      <c r="BA459" s="583">
        <f t="shared" si="1039"/>
        <v>1.2593693700012593E-2</v>
      </c>
      <c r="BB459" s="583">
        <f t="shared" si="1040"/>
        <v>0.22705152120022704</v>
      </c>
      <c r="BC459" s="583">
        <f t="shared" si="1041"/>
        <v>12.371387628612373</v>
      </c>
      <c r="BD459" s="583">
        <f t="shared" si="1042"/>
        <v>1.8791981208018791</v>
      </c>
      <c r="BE459" s="583">
        <f t="shared" si="1043"/>
        <v>1.9418015547019423</v>
      </c>
      <c r="BF459" s="583">
        <f t="shared" si="1044"/>
        <v>8.2997917002082993</v>
      </c>
      <c r="BG459" s="583">
        <f t="shared" si="1045"/>
        <v>6.9721608600069734E-2</v>
      </c>
      <c r="BH459" s="583">
        <f t="shared" si="1046"/>
        <v>5.475519000005475E-2</v>
      </c>
      <c r="BI459" s="583">
        <f t="shared" si="1047"/>
        <v>3.9241219500039247E-2</v>
      </c>
      <c r="BJ459" s="583">
        <f t="shared" si="1048"/>
        <v>0</v>
      </c>
      <c r="BK459" s="583">
        <f t="shared" si="1049"/>
        <v>1.1681107200011682E-2</v>
      </c>
      <c r="BL459" s="583">
        <f t="shared" si="1050"/>
        <v>3.1027941000031025E-3</v>
      </c>
      <c r="BM459" s="583">
        <f t="shared" si="1051"/>
        <v>0.1025747226001026</v>
      </c>
      <c r="BN459" s="583">
        <f t="shared" si="1052"/>
        <v>5.4755190000054747E-3</v>
      </c>
      <c r="BO459" s="583">
        <f t="shared" si="1053"/>
        <v>1.2841917228012842</v>
      </c>
      <c r="BP459" s="583">
        <f t="shared" si="1054"/>
        <v>7.1181747000071171E-3</v>
      </c>
      <c r="BQ459" s="583">
        <f t="shared" si="1055"/>
        <v>0</v>
      </c>
      <c r="BR459" s="583">
        <f t="shared" si="1056"/>
        <v>0</v>
      </c>
    </row>
    <row r="460" spans="1:70" s="229" customFormat="1" ht="15" customHeight="1">
      <c r="A460" s="504"/>
      <c r="E460" s="576">
        <f t="shared" si="1057"/>
        <v>100</v>
      </c>
      <c r="F460" s="248"/>
      <c r="G460" s="406" t="s">
        <v>3075</v>
      </c>
      <c r="H460" s="578" t="s">
        <v>3239</v>
      </c>
      <c r="I460" s="85">
        <v>10</v>
      </c>
      <c r="J460" s="682">
        <v>1</v>
      </c>
      <c r="K460" s="579">
        <f t="shared" si="1031"/>
        <v>1.1000000000000001</v>
      </c>
      <c r="L460" s="580">
        <f>IF(H460="Select ingredient:","",IF(G460="","",_xlfn.IFNA(VLOOKUP($H460,Ingredient_prices!$E:$U,16,FALSE),0)))</f>
        <v>121</v>
      </c>
      <c r="M460" s="850"/>
      <c r="N460" s="850"/>
      <c r="O460" s="666"/>
      <c r="P460" s="670"/>
      <c r="Q460" s="583">
        <f t="shared" si="1032"/>
        <v>10</v>
      </c>
      <c r="R460" s="583">
        <f>VLOOKUP($H460,'CO2_emission+%_food_waste'!$A:$K,6,FALSE)*$Q460/100</f>
        <v>2.78</v>
      </c>
      <c r="S460" s="583">
        <f t="shared" si="1033"/>
        <v>7.2200000000000006</v>
      </c>
      <c r="T460" s="583">
        <f>IF(H460="Select ingredient:","",IF(G460="Select food category:","",_xlfn.IFNA(VLOOKUP($H460,Ingredient_prices!$E:$U,16,FALSE)*$Q460/1000,"not bought")))</f>
        <v>1.21</v>
      </c>
      <c r="U460" s="583">
        <f>IF(G460="Select food category:","",_xlfn.IFNA(VLOOKUP($H460,Ingredient_prices!$E:$U,16,FALSE)*$R460/1000,"not bought"))</f>
        <v>0.33638000000000001</v>
      </c>
      <c r="V460" s="549">
        <f>VLOOKUP($H460,'CO2_emission+%_food_waste'!$A:$K,4,FALSE)*$Q460</f>
        <v>47.300000000000004</v>
      </c>
      <c r="W460" s="583">
        <f>VLOOKUP($H460,Nutrition_tables!$A:$N,10,FALSE)*$Q460/100</f>
        <v>88.432100000000005</v>
      </c>
      <c r="X460" s="583">
        <f>VLOOKUP($H460,Nutrition_tables!$A:$N,11,FALSE)*$Q460/100</f>
        <v>0.01</v>
      </c>
      <c r="Y460" s="583">
        <f>VLOOKUP($H460,Nutrition_tables!$A:$N,12,FALSE)*$Q460/100</f>
        <v>0.01</v>
      </c>
      <c r="Z460" s="583">
        <f>VLOOKUP($H460,Nutrition_tables!$A:$N,14,FALSE)*$Q460/100</f>
        <v>9.9499999999999993</v>
      </c>
      <c r="AA460" s="583">
        <f>VLOOKUP($H460,Nutrition_tables!$A:$AF,13,FALSE)*$Q460/100</f>
        <v>0</v>
      </c>
      <c r="AB460" s="549">
        <f>VLOOKUP($H460,Nutrition_tables!$A:$AF,15,FALSE)*$Q460/100</f>
        <v>0.67900000000000005</v>
      </c>
      <c r="AC460" s="583">
        <f>VLOOKUP($H460,Nutrition_tables!$A:$AF,16,FALSE)*$Q460/100</f>
        <v>0.01</v>
      </c>
      <c r="AD460" s="583">
        <f>VLOOKUP($H460,Nutrition_tables!$A:$AF,17,FALSE)*$Q460/100</f>
        <v>0</v>
      </c>
      <c r="AE460" s="583">
        <f>VLOOKUP($H460,Nutrition_tables!$A:$AF,18,FALSE)*$Q460/100</f>
        <v>0.02</v>
      </c>
      <c r="AF460" s="583">
        <f>VLOOKUP($H460,Nutrition_tables!$A:$AF,19,FALSE)*$Q460/100</f>
        <v>0.1</v>
      </c>
      <c r="AG460" s="583">
        <f>VLOOKUP($H460,Nutrition_tables!$A:$AF,20,FALSE)*$Q460/100</f>
        <v>0</v>
      </c>
      <c r="AH460" s="583">
        <f>VLOOKUP($H460,Nutrition_tables!$A:$AF,21,FALSE)*$Q460/100</f>
        <v>0.01</v>
      </c>
      <c r="AI460" s="583">
        <f>VLOOKUP($H460,Nutrition_tables!$A:$AF,22,FALSE)*$Q460/100</f>
        <v>0</v>
      </c>
      <c r="AJ460" s="549">
        <f>VLOOKUP($H460,Nutrition_tables!$A:$AF,23,FALSE)*$Q460/100</f>
        <v>0</v>
      </c>
      <c r="AK460" s="583">
        <f>VLOOKUP($H460,Nutrition_tables!$A:$AF,24,FALSE)*$Q460/100</f>
        <v>0</v>
      </c>
      <c r="AL460" s="583">
        <f>VLOOKUP($H460,Nutrition_tables!$A:$AF,25,FALSE)*$Q460/100</f>
        <v>0</v>
      </c>
      <c r="AM460" s="583">
        <f>VLOOKUP($H460,Nutrition_tables!$A:$AF,26,FALSE)*$Q460/100</f>
        <v>0</v>
      </c>
      <c r="AN460" s="583">
        <f>VLOOKUP($H460,Nutrition_tables!$A:$AF,27,FALSE)*$Q460/100</f>
        <v>0</v>
      </c>
      <c r="AO460" s="583">
        <f>VLOOKUP($H460,Nutrition_tables!$A:$AF,28,FALSE)*$Q460/100</f>
        <v>0</v>
      </c>
      <c r="AP460" s="583">
        <f>VLOOKUP($H460,Nutrition_tables!$A:$AF,29,FALSE)*$Q460/100</f>
        <v>0</v>
      </c>
      <c r="AQ460" s="583">
        <f>VLOOKUP($H460,Nutrition_tables!$A:$AF,30,FALSE)*$Q460/100</f>
        <v>0</v>
      </c>
      <c r="AR460" s="583">
        <f>VLOOKUP($H460,Nutrition_tables!$A:$AF,31,FALSE)*$Q460/100</f>
        <v>0</v>
      </c>
      <c r="AS460" s="549">
        <f>VLOOKUP($H460,Nutrition_tables!$A:$AF,32,FALSE)*$Q460/100</f>
        <v>0</v>
      </c>
      <c r="AT460" s="583">
        <f>IF(H460="Select ingredient:","",IF(G460="Select food category:","",IFERROR(VLOOKUP($H460,Ingredient_prices!$E:$W,17,FALSE)*$Q460/1000,"not bought")))</f>
        <v>1.21</v>
      </c>
      <c r="AU460" s="583">
        <f>IF(H460="Select ingredient:","",IF(G460="Select food category:","",IFERROR(VLOOKUP($H460,Ingredient_prices!$E:$W,18,FALSE)*$Q460/1000,"not bought")))</f>
        <v>1.21</v>
      </c>
      <c r="AV460" s="583">
        <f t="shared" si="1034"/>
        <v>63.847912352087654</v>
      </c>
      <c r="AW460" s="583">
        <f t="shared" si="1035"/>
        <v>7.2199927800072217E-3</v>
      </c>
      <c r="AX460" s="583">
        <f t="shared" si="1036"/>
        <v>7.2199927800072217E-3</v>
      </c>
      <c r="AY460" s="583">
        <f t="shared" si="1037"/>
        <v>7.1838928161071838</v>
      </c>
      <c r="AZ460" s="583">
        <f t="shared" si="1038"/>
        <v>0</v>
      </c>
      <c r="BA460" s="583">
        <f t="shared" si="1039"/>
        <v>0.49023750976249036</v>
      </c>
      <c r="BB460" s="583">
        <f t="shared" si="1040"/>
        <v>7.2199927800072217E-3</v>
      </c>
      <c r="BC460" s="583">
        <f t="shared" si="1041"/>
        <v>0</v>
      </c>
      <c r="BD460" s="583">
        <f t="shared" si="1042"/>
        <v>1.4439985560014443E-2</v>
      </c>
      <c r="BE460" s="583">
        <f t="shared" si="1043"/>
        <v>7.2199927800072214E-2</v>
      </c>
      <c r="BF460" s="583">
        <f t="shared" si="1044"/>
        <v>0</v>
      </c>
      <c r="BG460" s="583">
        <f t="shared" si="1045"/>
        <v>7.2199927800072217E-3</v>
      </c>
      <c r="BH460" s="583">
        <f t="shared" si="1046"/>
        <v>0</v>
      </c>
      <c r="BI460" s="583">
        <f t="shared" si="1047"/>
        <v>0</v>
      </c>
      <c r="BJ460" s="583">
        <f t="shared" si="1048"/>
        <v>0</v>
      </c>
      <c r="BK460" s="583">
        <f t="shared" si="1049"/>
        <v>0</v>
      </c>
      <c r="BL460" s="583">
        <f t="shared" si="1050"/>
        <v>0</v>
      </c>
      <c r="BM460" s="583">
        <f t="shared" si="1051"/>
        <v>0</v>
      </c>
      <c r="BN460" s="583">
        <f t="shared" si="1052"/>
        <v>0</v>
      </c>
      <c r="BO460" s="583">
        <f t="shared" si="1053"/>
        <v>0</v>
      </c>
      <c r="BP460" s="583">
        <f t="shared" si="1054"/>
        <v>0</v>
      </c>
      <c r="BQ460" s="583">
        <f t="shared" si="1055"/>
        <v>0</v>
      </c>
      <c r="BR460" s="583">
        <f t="shared" si="1056"/>
        <v>0</v>
      </c>
    </row>
    <row r="461" spans="1:70" s="229" customFormat="1" ht="15" customHeight="1">
      <c r="A461" s="504"/>
      <c r="E461" s="576">
        <f t="shared" si="1057"/>
        <v>100</v>
      </c>
      <c r="F461" s="248"/>
      <c r="G461" s="406" t="s">
        <v>3075</v>
      </c>
      <c r="H461" s="578" t="s">
        <v>3242</v>
      </c>
      <c r="I461" s="85">
        <v>3</v>
      </c>
      <c r="J461" s="682">
        <v>1</v>
      </c>
      <c r="K461" s="579">
        <f t="shared" si="1031"/>
        <v>0.33</v>
      </c>
      <c r="L461" s="580">
        <f>IF(H461="Select ingredient:","",IF(G461="","",_xlfn.IFNA(VLOOKUP($H461,Ingredient_prices!$E:$U,16,FALSE),0)))</f>
        <v>345.6</v>
      </c>
      <c r="M461" s="850"/>
      <c r="N461" s="850"/>
      <c r="O461" s="666"/>
      <c r="P461" s="670"/>
      <c r="Q461" s="583">
        <f t="shared" si="1032"/>
        <v>3</v>
      </c>
      <c r="R461" s="583">
        <f>VLOOKUP($H461,'CO2_emission+%_food_waste'!$A:$K,6,FALSE)*$Q461/100</f>
        <v>0.44400000000000006</v>
      </c>
      <c r="S461" s="583">
        <f t="shared" si="1033"/>
        <v>2.556</v>
      </c>
      <c r="T461" s="583">
        <f>IF(H461="Select ingredient:","",IF(G461="Select food category:","",_xlfn.IFNA(VLOOKUP($H461,Ingredient_prices!$E:$U,16,FALSE)*$Q461/1000,"not bought")))</f>
        <v>1.0368000000000002</v>
      </c>
      <c r="U461" s="583">
        <f>IF(G461="Select food category:","",_xlfn.IFNA(VLOOKUP($H461,Ingredient_prices!$E:$U,16,FALSE)*$R461/1000,"not bought"))</f>
        <v>0.15344640000000004</v>
      </c>
      <c r="V461" s="549">
        <f>VLOOKUP($H461,'CO2_emission+%_food_waste'!$A:$K,4,FALSE)*$Q461</f>
        <v>14.190000000000001</v>
      </c>
      <c r="W461" s="583">
        <f>VLOOKUP($H461,Nutrition_tables!$A:$N,10,FALSE)*$Q461/100</f>
        <v>16.41</v>
      </c>
      <c r="X461" s="583">
        <f>VLOOKUP($H461,Nutrition_tables!$A:$N,11,FALSE)*$Q461/100</f>
        <v>1.6200000000000003E-2</v>
      </c>
      <c r="Y461" s="583">
        <f>VLOOKUP($H461,Nutrition_tables!$A:$N,12,FALSE)*$Q461/100</f>
        <v>1.5300000000000001E-2</v>
      </c>
      <c r="Z461" s="583">
        <f>VLOOKUP($H461,Nutrition_tables!$A:$N,14,FALSE)*$Q461/100</f>
        <v>1.8</v>
      </c>
      <c r="AA461" s="583">
        <f>VLOOKUP($H461,Nutrition_tables!$A:$AF,13,FALSE)*$Q461/100</f>
        <v>0</v>
      </c>
      <c r="AB461" s="549">
        <f>VLOOKUP($H461,Nutrition_tables!$A:$AF,15,FALSE)*$Q461/100</f>
        <v>0.59699999999999998</v>
      </c>
      <c r="AC461" s="583">
        <f>VLOOKUP($H461,Nutrition_tables!$A:$AF,16,FALSE)*$Q461/100</f>
        <v>20.22</v>
      </c>
      <c r="AD461" s="583">
        <f>VLOOKUP($H461,Nutrition_tables!$A:$AF,17,FALSE)*$Q461/100</f>
        <v>0.9</v>
      </c>
      <c r="AE461" s="583">
        <f>VLOOKUP($H461,Nutrition_tables!$A:$AF,18,FALSE)*$Q461/100</f>
        <v>0.63</v>
      </c>
      <c r="AF461" s="583">
        <f>VLOOKUP($H461,Nutrition_tables!$A:$AF,19,FALSE)*$Q461/100</f>
        <v>0.06</v>
      </c>
      <c r="AG461" s="583">
        <f>VLOOKUP($H461,Nutrition_tables!$A:$AF,20,FALSE)*$Q461/100</f>
        <v>0.48</v>
      </c>
      <c r="AH461" s="583">
        <f>VLOOKUP($H461,Nutrition_tables!$A:$AF,21,FALSE)*$Q461/100</f>
        <v>0</v>
      </c>
      <c r="AI461" s="583">
        <f>VLOOKUP($H461,Nutrition_tables!$A:$AF,22,FALSE)*$Q461/100</f>
        <v>0</v>
      </c>
      <c r="AJ461" s="549">
        <f>VLOOKUP($H461,Nutrition_tables!$A:$AF,23,FALSE)*$Q461/100</f>
        <v>0</v>
      </c>
      <c r="AK461" s="583">
        <f>VLOOKUP($H461,Nutrition_tables!$A:$AF,24,FALSE)*$Q461/100</f>
        <v>49.5</v>
      </c>
      <c r="AL461" s="583">
        <f>VLOOKUP($H461,Nutrition_tables!$A:$AF,25,FALSE)*$Q461/100</f>
        <v>2.1000000000000001E-4</v>
      </c>
      <c r="AM461" s="583">
        <f>VLOOKUP($H461,Nutrition_tables!$A:$AF,26,FALSE)*$Q461/100</f>
        <v>7.7999999999999999E-4</v>
      </c>
      <c r="AN461" s="583">
        <f>VLOOKUP($H461,Nutrition_tables!$A:$AF,27,FALSE)*$Q461/100</f>
        <v>4.8000000000000001E-4</v>
      </c>
      <c r="AO461" s="583">
        <f>VLOOKUP($H461,Nutrition_tables!$A:$AF,28,FALSE)*$Q461/100</f>
        <v>0.1125</v>
      </c>
      <c r="AP461" s="583">
        <f>VLOOKUP($H461,Nutrition_tables!$A:$AF,29,FALSE)*$Q461/100</f>
        <v>0.03</v>
      </c>
      <c r="AQ461" s="583">
        <f>VLOOKUP($H461,Nutrition_tables!$A:$AF,30,FALSE)*$Q461/100</f>
        <v>0</v>
      </c>
      <c r="AR461" s="583">
        <f>VLOOKUP($H461,Nutrition_tables!$A:$AF,31,FALSE)*$Q461/100</f>
        <v>3.0000000000000005E-3</v>
      </c>
      <c r="AS461" s="549">
        <f>VLOOKUP($H461,Nutrition_tables!$A:$AF,32,FALSE)*$Q461/100</f>
        <v>0.22500000000000001</v>
      </c>
      <c r="AT461" s="583">
        <f>IF(H461="Select ingredient:","",IF(G461="Select food category:","",IFERROR(VLOOKUP($H461,Ingredient_prices!$E:$W,17,FALSE)*$Q461/1000,"not bought")))</f>
        <v>1.0368000000000002</v>
      </c>
      <c r="AU461" s="583">
        <f>IF(H461="Select ingredient:","",IF(G461="Select food category:","",IFERROR(VLOOKUP($H461,Ingredient_prices!$E:$W,18,FALSE)*$Q461/1000,"not bought")))</f>
        <v>1.0368000000000002</v>
      </c>
      <c r="AV461" s="583">
        <f t="shared" si="1034"/>
        <v>13.981273395755348</v>
      </c>
      <c r="AW461" s="583">
        <f t="shared" si="1035"/>
        <v>1.3802353992153361E-2</v>
      </c>
      <c r="AX461" s="583">
        <f t="shared" si="1036"/>
        <v>1.3035556548144841E-2</v>
      </c>
      <c r="AY461" s="583">
        <f t="shared" si="1037"/>
        <v>1.53359488801704</v>
      </c>
      <c r="AZ461" s="583">
        <f t="shared" si="1038"/>
        <v>0</v>
      </c>
      <c r="BA461" s="583">
        <f t="shared" si="1039"/>
        <v>0.50864230452565162</v>
      </c>
      <c r="BB461" s="583">
        <f t="shared" si="1040"/>
        <v>17.227382575391413</v>
      </c>
      <c r="BC461" s="583">
        <f t="shared" si="1041"/>
        <v>0.76679744400852001</v>
      </c>
      <c r="BD461" s="583">
        <f t="shared" si="1042"/>
        <v>0.53675821080596398</v>
      </c>
      <c r="BE461" s="583">
        <f t="shared" si="1043"/>
        <v>5.1119829600567997E-2</v>
      </c>
      <c r="BF461" s="583">
        <f t="shared" si="1044"/>
        <v>0.40895863680454397</v>
      </c>
      <c r="BG461" s="583">
        <f t="shared" si="1045"/>
        <v>0</v>
      </c>
      <c r="BH461" s="583">
        <f t="shared" si="1046"/>
        <v>0</v>
      </c>
      <c r="BI461" s="583">
        <f t="shared" si="1047"/>
        <v>0</v>
      </c>
      <c r="BJ461" s="583">
        <f t="shared" si="1048"/>
        <v>42.173859420468602</v>
      </c>
      <c r="BK461" s="583">
        <f t="shared" si="1049"/>
        <v>1.78919403601988E-4</v>
      </c>
      <c r="BL461" s="583">
        <f t="shared" si="1050"/>
        <v>6.6455778480738388E-4</v>
      </c>
      <c r="BM461" s="583">
        <f t="shared" si="1051"/>
        <v>4.08958636804544E-4</v>
      </c>
      <c r="BN461" s="583">
        <f t="shared" si="1052"/>
        <v>9.5849680501065002E-2</v>
      </c>
      <c r="BO461" s="583">
        <f t="shared" si="1053"/>
        <v>2.5559914800283998E-2</v>
      </c>
      <c r="BP461" s="583">
        <f t="shared" si="1054"/>
        <v>0</v>
      </c>
      <c r="BQ461" s="583">
        <f t="shared" si="1055"/>
        <v>2.5559914800284004E-3</v>
      </c>
      <c r="BR461" s="583">
        <f t="shared" si="1056"/>
        <v>0.19169936100213</v>
      </c>
    </row>
    <row r="462" spans="1:70" s="229" customFormat="1" ht="15" customHeight="1">
      <c r="A462" s="504"/>
      <c r="E462" s="576">
        <f t="shared" si="1057"/>
        <v>100</v>
      </c>
      <c r="F462" s="248"/>
      <c r="G462" s="406" t="s">
        <v>3085</v>
      </c>
      <c r="H462" s="578" t="s">
        <v>3454</v>
      </c>
      <c r="I462" s="85">
        <v>70</v>
      </c>
      <c r="J462" s="682">
        <v>1</v>
      </c>
      <c r="K462" s="579">
        <f t="shared" si="1031"/>
        <v>7.7</v>
      </c>
      <c r="L462" s="580">
        <f>IF(H462="Select ingredient:","",IF(G462="","",_xlfn.IFNA(VLOOKUP($H462,Ingredient_prices!$E:$U,16,FALSE),0)))</f>
        <v>202.28571428571428</v>
      </c>
      <c r="M462" s="850"/>
      <c r="N462" s="850"/>
      <c r="O462" s="666"/>
      <c r="P462" s="670"/>
      <c r="Q462" s="583">
        <f t="shared" si="1032"/>
        <v>70</v>
      </c>
      <c r="R462" s="583">
        <f>VLOOKUP($H462,'CO2_emission+%_food_waste'!$A:$K,6,FALSE)*$Q462/100</f>
        <v>5.53</v>
      </c>
      <c r="S462" s="583">
        <f t="shared" si="1033"/>
        <v>64.47</v>
      </c>
      <c r="T462" s="583">
        <f>IF(H462="Select ingredient:","",IF(G462="Select food category:","",_xlfn.IFNA(VLOOKUP($H462,Ingredient_prices!$E:$U,16,FALSE)*$Q462/1000,"not bought")))</f>
        <v>14.16</v>
      </c>
      <c r="U462" s="583">
        <f>IF(G462="Select food category:","",_xlfn.IFNA(VLOOKUP($H462,Ingredient_prices!$E:$U,16,FALSE)*$R462/1000,"not bought"))</f>
        <v>1.1186400000000001</v>
      </c>
      <c r="V462" s="549">
        <f>VLOOKUP($H462,'CO2_emission+%_food_waste'!$A:$K,4,FALSE)*$Q462</f>
        <v>385</v>
      </c>
      <c r="W462" s="583">
        <f>VLOOKUP($H462,Nutrition_tables!$A:$N,10,FALSE)*$Q462/100</f>
        <v>142.80000000000001</v>
      </c>
      <c r="X462" s="583">
        <f>VLOOKUP($H462,Nutrition_tables!$A:$N,11,FALSE)*$Q462/100</f>
        <v>2.38</v>
      </c>
      <c r="Y462" s="583">
        <f>VLOOKUP($H462,Nutrition_tables!$A:$N,12,FALSE)*$Q462/100</f>
        <v>1.96</v>
      </c>
      <c r="Z462" s="583">
        <f>VLOOKUP($H462,Nutrition_tables!$A:$N,14,FALSE)*$Q462/100</f>
        <v>14.000933333333332</v>
      </c>
      <c r="AA462" s="583">
        <f>VLOOKUP($H462,Nutrition_tables!$A:$AF,13,FALSE)*$Q462/100</f>
        <v>0</v>
      </c>
      <c r="AB462" s="549">
        <f>VLOOKUP($H462,Nutrition_tables!$A:$AF,15,FALSE)*$Q462/100</f>
        <v>8.4937999999999985</v>
      </c>
      <c r="AC462" s="583">
        <f>VLOOKUP($H462,Nutrition_tables!$A:$AF,16,FALSE)*$Q462/100</f>
        <v>28</v>
      </c>
      <c r="AD462" s="583">
        <f>VLOOKUP($H462,Nutrition_tables!$A:$AF,17,FALSE)*$Q462/100</f>
        <v>91</v>
      </c>
      <c r="AE462" s="583">
        <f>VLOOKUP($H462,Nutrition_tables!$A:$AF,18,FALSE)*$Q462/100</f>
        <v>70</v>
      </c>
      <c r="AF462" s="583">
        <f>VLOOKUP($H462,Nutrition_tables!$A:$AF,19,FALSE)*$Q462/100</f>
        <v>7.7</v>
      </c>
      <c r="AG462" s="583">
        <f>VLOOKUP($H462,Nutrition_tables!$A:$AF,20,FALSE)*$Q462/100</f>
        <v>56</v>
      </c>
      <c r="AH462" s="583">
        <f>VLOOKUP($H462,Nutrition_tables!$A:$AF,21,FALSE)*$Q462/100</f>
        <v>7.0000000000000007E-2</v>
      </c>
      <c r="AI462" s="583">
        <f>VLOOKUP($H462,Nutrition_tables!$A:$AF,22,FALSE)*$Q462/100</f>
        <v>0.28000000000000003</v>
      </c>
      <c r="AJ462" s="549">
        <f>VLOOKUP($H462,Nutrition_tables!$A:$AF,23,FALSE)*$Q462/100</f>
        <v>1.6333333333333332E-2</v>
      </c>
      <c r="AK462" s="583">
        <f>VLOOKUP($H462,Nutrition_tables!$A:$AF,24,FALSE)*$Q462/100</f>
        <v>168</v>
      </c>
      <c r="AL462" s="583">
        <f>VLOOKUP($H462,Nutrition_tables!$A:$AF,25,FALSE)*$Q462/100</f>
        <v>2.8000000000000004E-2</v>
      </c>
      <c r="AM462" s="583">
        <f>VLOOKUP($H462,Nutrition_tables!$A:$AF,26,FALSE)*$Q462/100</f>
        <v>0.11899999999999998</v>
      </c>
      <c r="AN462" s="583">
        <f>VLOOKUP($H462,Nutrition_tables!$A:$AF,27,FALSE)*$Q462/100</f>
        <v>0.49</v>
      </c>
      <c r="AO462" s="583">
        <f>VLOOKUP($H462,Nutrition_tables!$A:$AF,28,FALSE)*$Q462/100</f>
        <v>2.8000000000000004E-2</v>
      </c>
      <c r="AP462" s="583">
        <f>VLOOKUP($H462,Nutrition_tables!$A:$AF,29,FALSE)*$Q462/100</f>
        <v>7.7</v>
      </c>
      <c r="AQ462" s="583">
        <f>VLOOKUP($H462,Nutrition_tables!$A:$AF,30,FALSE)*$Q462/100</f>
        <v>0.21</v>
      </c>
      <c r="AR462" s="583">
        <f>VLOOKUP($H462,Nutrition_tables!$A:$AF,31,FALSE)*$Q462/100</f>
        <v>0.7</v>
      </c>
      <c r="AS462" s="549">
        <f>VLOOKUP($H462,Nutrition_tables!$A:$AF,32,FALSE)*$Q462/100</f>
        <v>0.28000000000000003</v>
      </c>
      <c r="AT462" s="583">
        <f>IF(H462="Select ingredient:","",IF(G462="Select food category:","",IFERROR(VLOOKUP($H462,Ingredient_prices!$E:$W,17,FALSE)*$Q462/1000,"not bought")))</f>
        <v>14.16</v>
      </c>
      <c r="AU462" s="583">
        <f>IF(H462="Select ingredient:","",IF(G462="Select food category:","",IFERROR(VLOOKUP($H462,Ingredient_prices!$E:$W,18,FALSE)*$Q462/1000,"not bought")))</f>
        <v>14.16</v>
      </c>
      <c r="AV462" s="583">
        <f t="shared" si="1034"/>
        <v>131.51878121160269</v>
      </c>
      <c r="AW462" s="583">
        <f t="shared" si="1035"/>
        <v>2.1919796868600443</v>
      </c>
      <c r="AX462" s="583">
        <f t="shared" si="1036"/>
        <v>1.8051597421200367</v>
      </c>
      <c r="AY462" s="583">
        <f t="shared" si="1037"/>
        <v>12.89485775787746</v>
      </c>
      <c r="AZ462" s="583">
        <f t="shared" si="1038"/>
        <v>0</v>
      </c>
      <c r="BA462" s="583">
        <f t="shared" si="1039"/>
        <v>7.8227886824587571</v>
      </c>
      <c r="BB462" s="583">
        <f t="shared" si="1040"/>
        <v>25.787996316000523</v>
      </c>
      <c r="BC462" s="583">
        <f t="shared" si="1041"/>
        <v>83.810988027001699</v>
      </c>
      <c r="BD462" s="583">
        <f t="shared" si="1042"/>
        <v>64.469990790001305</v>
      </c>
      <c r="BE462" s="583">
        <f t="shared" si="1043"/>
        <v>7.0916989869001439</v>
      </c>
      <c r="BF462" s="583">
        <f t="shared" si="1044"/>
        <v>51.575992632001046</v>
      </c>
      <c r="BG462" s="583">
        <f t="shared" si="1045"/>
        <v>6.4469990790001319E-2</v>
      </c>
      <c r="BH462" s="583">
        <f t="shared" si="1046"/>
        <v>0.25787996316000528</v>
      </c>
      <c r="BI462" s="583">
        <f t="shared" si="1047"/>
        <v>1.5042997851000304E-2</v>
      </c>
      <c r="BJ462" s="583">
        <f t="shared" si="1048"/>
        <v>154.72797789600313</v>
      </c>
      <c r="BK462" s="583">
        <f t="shared" si="1049"/>
        <v>2.5787996316000528E-2</v>
      </c>
      <c r="BL462" s="583">
        <f t="shared" si="1050"/>
        <v>0.10959898434300222</v>
      </c>
      <c r="BM462" s="583">
        <f t="shared" si="1051"/>
        <v>0.45128993553000918</v>
      </c>
      <c r="BN462" s="583">
        <f t="shared" si="1052"/>
        <v>2.5787996316000528E-2</v>
      </c>
      <c r="BO462" s="583">
        <f t="shared" si="1053"/>
        <v>7.0916989869001439</v>
      </c>
      <c r="BP462" s="583">
        <f t="shared" si="1054"/>
        <v>0.19340997237000393</v>
      </c>
      <c r="BQ462" s="583">
        <f t="shared" si="1055"/>
        <v>0.64469990790001308</v>
      </c>
      <c r="BR462" s="583">
        <f t="shared" si="1056"/>
        <v>0.25787996316000528</v>
      </c>
    </row>
    <row r="463" spans="1:70" s="229" customFormat="1" ht="15" customHeight="1">
      <c r="A463" s="504"/>
      <c r="E463" s="576">
        <f t="shared" si="1057"/>
        <v>100</v>
      </c>
      <c r="F463" s="248"/>
      <c r="G463" s="406" t="s">
        <v>3140</v>
      </c>
      <c r="H463" s="578" t="s">
        <v>3115</v>
      </c>
      <c r="I463" s="85">
        <v>8</v>
      </c>
      <c r="J463" s="682">
        <v>1</v>
      </c>
      <c r="K463" s="579">
        <f t="shared" si="1031"/>
        <v>0.88000000000000012</v>
      </c>
      <c r="L463" s="580">
        <f>IF(H463="Select ingredient:","",IF(G463="","",_xlfn.IFNA(VLOOKUP($H463,Ingredient_prices!$E:$U,16,FALSE),0)))</f>
        <v>110</v>
      </c>
      <c r="M463" s="850"/>
      <c r="N463" s="850"/>
      <c r="O463" s="666"/>
      <c r="P463" s="670"/>
      <c r="Q463" s="583">
        <f t="shared" si="1032"/>
        <v>8</v>
      </c>
      <c r="R463" s="583">
        <f>VLOOKUP($H463,'CO2_emission+%_food_waste'!$A:$K,6,FALSE)*$Q463/100</f>
        <v>2.4024000000000001</v>
      </c>
      <c r="S463" s="583">
        <f t="shared" si="1033"/>
        <v>5.5975999999999999</v>
      </c>
      <c r="T463" s="583">
        <f>IF(H463="Select ingredient:","",IF(G463="Select food category:","",_xlfn.IFNA(VLOOKUP($H463,Ingredient_prices!$E:$U,16,FALSE)*$Q463/1000,"not bought")))</f>
        <v>0.88</v>
      </c>
      <c r="U463" s="583">
        <f>IF(G463="Select food category:","",_xlfn.IFNA(VLOOKUP($H463,Ingredient_prices!$E:$U,16,FALSE)*$R463/1000,"not bought"))</f>
        <v>0.264264</v>
      </c>
      <c r="V463" s="549">
        <f>VLOOKUP($H463,'CO2_emission+%_food_waste'!$A:$K,4,FALSE)*$Q463</f>
        <v>3.68</v>
      </c>
      <c r="W463" s="583">
        <f>VLOOKUP($H463,Nutrition_tables!$A:$N,10,FALSE)*$Q463/100</f>
        <v>2.544</v>
      </c>
      <c r="X463" s="583">
        <f>VLOOKUP($H463,Nutrition_tables!$A:$N,11,FALSE)*$Q463/100</f>
        <v>0.52800000000000002</v>
      </c>
      <c r="Y463" s="583">
        <f>VLOOKUP($H463,Nutrition_tables!$A:$N,12,FALSE)*$Q463/100</f>
        <v>6.720000000000001E-2</v>
      </c>
      <c r="Z463" s="583">
        <f>VLOOKUP($H463,Nutrition_tables!$A:$N,14,FALSE)*$Q463/100</f>
        <v>2.1600000000000001E-2</v>
      </c>
      <c r="AA463" s="583">
        <f>VLOOKUP($H463,Nutrition_tables!$A:$AF,13,FALSE)*$Q463/100</f>
        <v>0.1736</v>
      </c>
      <c r="AB463" s="549">
        <f>VLOOKUP($H463,Nutrition_tables!$A:$AF,15,FALSE)*$Q463/100</f>
        <v>3.2000000000000002E-3</v>
      </c>
      <c r="AC463" s="583">
        <f>VLOOKUP($H463,Nutrition_tables!$A:$AF,16,FALSE)*$Q463/100</f>
        <v>3.008</v>
      </c>
      <c r="AD463" s="583">
        <f>VLOOKUP($H463,Nutrition_tables!$A:$AF,17,FALSE)*$Q463/100</f>
        <v>25.2</v>
      </c>
      <c r="AE463" s="583">
        <f>VLOOKUP($H463,Nutrition_tables!$A:$AF,18,FALSE)*$Q463/100</f>
        <v>2.552</v>
      </c>
      <c r="AF463" s="583">
        <f>VLOOKUP($H463,Nutrition_tables!$A:$AF,19,FALSE)*$Q463/100</f>
        <v>0.94400000000000006</v>
      </c>
      <c r="AG463" s="583">
        <f>VLOOKUP($H463,Nutrition_tables!$A:$AF,20,FALSE)*$Q463/100</f>
        <v>1.3119999999999998</v>
      </c>
      <c r="AH463" s="583">
        <f>VLOOKUP($H463,Nutrition_tables!$A:$AF,21,FALSE)*$Q463/100</f>
        <v>1.6800000000000002E-2</v>
      </c>
      <c r="AI463" s="583">
        <f>VLOOKUP($H463,Nutrition_tables!$A:$AF,22,FALSE)*$Q463/100</f>
        <v>1.7599999999999998E-2</v>
      </c>
      <c r="AJ463" s="549">
        <f>VLOOKUP($H463,Nutrition_tables!$A:$AF,23,FALSE)*$Q463/100</f>
        <v>3.5999999999999997E-4</v>
      </c>
      <c r="AK463" s="583">
        <f>VLOOKUP($H463,Nutrition_tables!$A:$AF,24,FALSE)*$Q463/100</f>
        <v>68.16</v>
      </c>
      <c r="AL463" s="583">
        <f>VLOOKUP($H463,Nutrition_tables!$A:$AF,25,FALSE)*$Q463/100</f>
        <v>4.0000000000000001E-3</v>
      </c>
      <c r="AM463" s="583">
        <f>VLOOKUP($H463,Nutrition_tables!$A:$AF,26,FALSE)*$Q463/100</f>
        <v>3.2000000000000002E-3</v>
      </c>
      <c r="AN463" s="583">
        <f>VLOOKUP($H463,Nutrition_tables!$A:$AF,27,FALSE)*$Q463/100</f>
        <v>7.8400000000000011E-2</v>
      </c>
      <c r="AO463" s="583">
        <f>VLOOKUP($H463,Nutrition_tables!$A:$AF,28,FALSE)*$Q463/100</f>
        <v>9.5999999999999992E-3</v>
      </c>
      <c r="AP463" s="583">
        <f>VLOOKUP($H463,Nutrition_tables!$A:$AF,29,FALSE)*$Q463/100</f>
        <v>3.7119999999999993</v>
      </c>
      <c r="AQ463" s="583">
        <f>VLOOKUP($H463,Nutrition_tables!$A:$AF,30,FALSE)*$Q463/100</f>
        <v>0</v>
      </c>
      <c r="AR463" s="583">
        <f>VLOOKUP($H463,Nutrition_tables!$A:$AF,31,FALSE)*$Q463/100</f>
        <v>0.43520000000000003</v>
      </c>
      <c r="AS463" s="549">
        <f>VLOOKUP($H463,Nutrition_tables!$A:$AF,32,FALSE)*$Q463/100</f>
        <v>0</v>
      </c>
      <c r="AT463" s="583">
        <f>IF(H463="Select ingredient:","",IF(G463="Select food category:","",IFERROR(VLOOKUP($H463,Ingredient_prices!$E:$W,17,FALSE)*$Q463/1000,"not bought")))</f>
        <v>0.308</v>
      </c>
      <c r="AU463" s="583">
        <f>IF(H463="Select ingredient:","",IF(G463="Select food category:","",IFERROR(VLOOKUP($H463,Ingredient_prices!$E:$W,18,FALSE)*$Q463/1000,"not bought")))</f>
        <v>0.88</v>
      </c>
      <c r="AV463" s="583">
        <f t="shared" si="1034"/>
        <v>1.7800345749567814</v>
      </c>
      <c r="AW463" s="583">
        <f t="shared" si="1035"/>
        <v>0.36944113819857732</v>
      </c>
      <c r="AX463" s="583">
        <f t="shared" si="1036"/>
        <v>4.7019781225273477E-2</v>
      </c>
      <c r="AY463" s="583">
        <f t="shared" si="1037"/>
        <v>1.5113501108123616E-2</v>
      </c>
      <c r="AZ463" s="583">
        <f t="shared" si="1038"/>
        <v>0.1214677681652898</v>
      </c>
      <c r="BA463" s="583">
        <f t="shared" si="1039"/>
        <v>2.2390372012034985E-3</v>
      </c>
      <c r="BB463" s="583">
        <f t="shared" si="1040"/>
        <v>2.1046949691312888</v>
      </c>
      <c r="BC463" s="583">
        <f t="shared" si="1041"/>
        <v>17.63241795947755</v>
      </c>
      <c r="BD463" s="583">
        <f t="shared" si="1042"/>
        <v>1.7856321679597902</v>
      </c>
      <c r="BE463" s="583">
        <f t="shared" si="1043"/>
        <v>0.66051597435503207</v>
      </c>
      <c r="BF463" s="583">
        <f t="shared" si="1044"/>
        <v>0.91800525249343434</v>
      </c>
      <c r="BG463" s="583">
        <f t="shared" si="1045"/>
        <v>1.1754945306318369E-2</v>
      </c>
      <c r="BH463" s="583">
        <f t="shared" si="1046"/>
        <v>1.231470460661924E-2</v>
      </c>
      <c r="BI463" s="583">
        <f t="shared" si="1047"/>
        <v>2.5189168513539359E-4</v>
      </c>
      <c r="BJ463" s="583">
        <f t="shared" si="1048"/>
        <v>47.691492385634511</v>
      </c>
      <c r="BK463" s="583">
        <f t="shared" si="1049"/>
        <v>2.7987965015043733E-3</v>
      </c>
      <c r="BL463" s="583">
        <f t="shared" si="1050"/>
        <v>2.2390372012034985E-3</v>
      </c>
      <c r="BM463" s="583">
        <f t="shared" si="1051"/>
        <v>5.4856411429485719E-2</v>
      </c>
      <c r="BN463" s="583">
        <f t="shared" si="1052"/>
        <v>6.7171116036104954E-3</v>
      </c>
      <c r="BO463" s="583">
        <f t="shared" si="1053"/>
        <v>2.5972831533960576</v>
      </c>
      <c r="BP463" s="583">
        <f t="shared" si="1054"/>
        <v>0</v>
      </c>
      <c r="BQ463" s="583">
        <f t="shared" si="1055"/>
        <v>0.30450905936367584</v>
      </c>
      <c r="BR463" s="583">
        <f t="shared" si="1056"/>
        <v>0</v>
      </c>
    </row>
    <row r="464" spans="1:70" s="229" customFormat="1" ht="15" customHeight="1">
      <c r="A464" s="504"/>
      <c r="E464" s="576">
        <f t="shared" si="1057"/>
        <v>100</v>
      </c>
      <c r="F464" s="248"/>
      <c r="G464" s="406" t="s">
        <v>3072</v>
      </c>
      <c r="H464" s="578" t="s">
        <v>3208</v>
      </c>
      <c r="I464" s="85">
        <v>30</v>
      </c>
      <c r="J464" s="682">
        <v>1</v>
      </c>
      <c r="K464" s="579">
        <f t="shared" si="1031"/>
        <v>3.3</v>
      </c>
      <c r="L464" s="580">
        <f>IF(H464="Select ingredient:","",IF(G464="","",_xlfn.IFNA(VLOOKUP($H464,Ingredient_prices!$E:$U,16,FALSE),0)))</f>
        <v>183.33333333333334</v>
      </c>
      <c r="M464" s="850"/>
      <c r="N464" s="850"/>
      <c r="O464" s="666"/>
      <c r="P464" s="670"/>
      <c r="Q464" s="583">
        <f t="shared" si="1032"/>
        <v>30</v>
      </c>
      <c r="R464" s="583">
        <f>VLOOKUP($H464,'CO2_emission+%_food_waste'!$A:$K,6,FALSE)*$Q464/100</f>
        <v>3.18</v>
      </c>
      <c r="S464" s="583">
        <f t="shared" si="1033"/>
        <v>26.82</v>
      </c>
      <c r="T464" s="583">
        <f>IF(H464="Select ingredient:","",IF(G464="Select food category:","",_xlfn.IFNA(VLOOKUP($H464,Ingredient_prices!$E:$U,16,FALSE)*$Q464/1000,"not bought")))</f>
        <v>5.5</v>
      </c>
      <c r="U464" s="583">
        <f>IF(G464="Select food category:","",_xlfn.IFNA(VLOOKUP($H464,Ingredient_prices!$E:$U,16,FALSE)*$R464/1000,"not bought"))</f>
        <v>0.58300000000000007</v>
      </c>
      <c r="V464" s="549">
        <f>VLOOKUP($H464,'CO2_emission+%_food_waste'!$A:$K,4,FALSE)*$Q464</f>
        <v>91.2</v>
      </c>
      <c r="W464" s="583">
        <f>VLOOKUP($H464,Nutrition_tables!$A:$N,10,FALSE)*$Q464/100</f>
        <v>42.599999999999994</v>
      </c>
      <c r="X464" s="583">
        <f>VLOOKUP($H464,Nutrition_tables!$A:$N,11,FALSE)*$Q464/100</f>
        <v>0.24005602240896354</v>
      </c>
      <c r="Y464" s="583">
        <f>VLOOKUP($H464,Nutrition_tables!$A:$N,12,FALSE)*$Q464/100</f>
        <v>3.7801120448179266</v>
      </c>
      <c r="Z464" s="583">
        <f>VLOOKUP($H464,Nutrition_tables!$A:$N,14,FALSE)*$Q464/100</f>
        <v>2.970028011204481</v>
      </c>
      <c r="AA464" s="583">
        <f>VLOOKUP($H464,Nutrition_tables!$A:$AF,13,FALSE)*$Q464/100</f>
        <v>0</v>
      </c>
      <c r="AB464" s="549">
        <f>VLOOKUP($H464,Nutrition_tables!$A:$AF,15,FALSE)*$Q464/100</f>
        <v>0.78011204481792717</v>
      </c>
      <c r="AC464" s="583">
        <f>VLOOKUP($H464,Nutrition_tables!$A:$AF,16,FALSE)*$Q464/100</f>
        <v>42</v>
      </c>
      <c r="AD464" s="583">
        <f>VLOOKUP($H464,Nutrition_tables!$A:$AF,17,FALSE)*$Q464/100</f>
        <v>38.999999999999993</v>
      </c>
      <c r="AE464" s="583">
        <f>VLOOKUP($H464,Nutrition_tables!$A:$AF,18,FALSE)*$Q464/100</f>
        <v>11.999999999999998</v>
      </c>
      <c r="AF464" s="583">
        <f>VLOOKUP($H464,Nutrition_tables!$A:$AF,19,FALSE)*$Q464/100</f>
        <v>3.9</v>
      </c>
      <c r="AG464" s="583">
        <f>VLOOKUP($H464,Nutrition_tables!$A:$AF,20,FALSE)*$Q464/100</f>
        <v>62.999999999999993</v>
      </c>
      <c r="AH464" s="583">
        <f>VLOOKUP($H464,Nutrition_tables!$A:$AF,21,FALSE)*$Q464/100</f>
        <v>0.6</v>
      </c>
      <c r="AI464" s="583">
        <f>VLOOKUP($H464,Nutrition_tables!$A:$AF,22,FALSE)*$Q464/100</f>
        <v>0.41988795518207284</v>
      </c>
      <c r="AJ464" s="549">
        <f>VLOOKUP($H464,Nutrition_tables!$A:$AF,23,FALSE)*$Q464/100</f>
        <v>2.100840336134454E-2</v>
      </c>
      <c r="AK464" s="583">
        <f>VLOOKUP($H464,Nutrition_tables!$A:$AF,24,FALSE)*$Q464/100</f>
        <v>58.199999999999989</v>
      </c>
      <c r="AL464" s="583">
        <f>VLOOKUP($H464,Nutrition_tables!$A:$AF,25,FALSE)*$Q464/100</f>
        <v>2.100840336134454E-2</v>
      </c>
      <c r="AM464" s="583">
        <f>VLOOKUP($H464,Nutrition_tables!$A:$AF,26,FALSE)*$Q464/100</f>
        <v>0.13501400560224089</v>
      </c>
      <c r="AN464" s="583">
        <f>VLOOKUP($H464,Nutrition_tables!$A:$AF,27,FALSE)*$Q464/100</f>
        <v>1.5126050420168067E-2</v>
      </c>
      <c r="AO464" s="583">
        <f>VLOOKUP($H464,Nutrition_tables!$A:$AF,28,FALSE)*$Q464/100</f>
        <v>3.6134453781512602E-2</v>
      </c>
      <c r="AP464" s="583">
        <f>VLOOKUP($H464,Nutrition_tables!$A:$AF,29,FALSE)*$Q464/100</f>
        <v>6.2999999999999989</v>
      </c>
      <c r="AQ464" s="583">
        <f>VLOOKUP($H464,Nutrition_tables!$A:$AF,30,FALSE)*$Q464/100</f>
        <v>0.6</v>
      </c>
      <c r="AR464" s="583">
        <f>VLOOKUP($H464,Nutrition_tables!$A:$AF,31,FALSE)*$Q464/100</f>
        <v>0</v>
      </c>
      <c r="AS464" s="549">
        <f>VLOOKUP($H464,Nutrition_tables!$A:$AF,32,FALSE)*$Q464/100</f>
        <v>0.52492997198879554</v>
      </c>
      <c r="AT464" s="583">
        <f>IF(H464="Select ingredient:","",IF(G464="Select food category:","",IFERROR(VLOOKUP($H464,Ingredient_prices!$E:$W,17,FALSE)*$Q464/1000,"not bought")))</f>
        <v>5.5</v>
      </c>
      <c r="AU464" s="583">
        <f>IF(H464="Select ingredient:","",IF(G464="Select food category:","",IFERROR(VLOOKUP($H464,Ingredient_prices!$E:$W,18,FALSE)*$Q464/1000,"not bought")))</f>
        <v>5.5</v>
      </c>
      <c r="AV464" s="583">
        <f t="shared" si="1034"/>
        <v>38.084387305204231</v>
      </c>
      <c r="AW464" s="583">
        <f t="shared" si="1035"/>
        <v>0.21461001249694256</v>
      </c>
      <c r="AX464" s="583">
        <f t="shared" si="1036"/>
        <v>3.3794190415942125</v>
      </c>
      <c r="AY464" s="583">
        <f t="shared" si="1037"/>
        <v>2.6552041569487539</v>
      </c>
      <c r="AZ464" s="583">
        <f t="shared" si="1038"/>
        <v>0</v>
      </c>
      <c r="BA464" s="583">
        <f t="shared" si="1039"/>
        <v>0.69741993559391513</v>
      </c>
      <c r="BB464" s="583">
        <f t="shared" si="1040"/>
        <v>37.547987484004175</v>
      </c>
      <c r="BC464" s="583">
        <f t="shared" si="1041"/>
        <v>34.86598837800387</v>
      </c>
      <c r="BD464" s="583">
        <f t="shared" si="1042"/>
        <v>10.727996424001191</v>
      </c>
      <c r="BE464" s="583">
        <f t="shared" si="1043"/>
        <v>3.4865988378003876</v>
      </c>
      <c r="BF464" s="583">
        <f t="shared" si="1044"/>
        <v>56.321981226006251</v>
      </c>
      <c r="BG464" s="583">
        <f t="shared" si="1045"/>
        <v>0.53639982120005958</v>
      </c>
      <c r="BH464" s="583">
        <f t="shared" si="1046"/>
        <v>0.37537970680620419</v>
      </c>
      <c r="BI464" s="583">
        <f t="shared" si="1047"/>
        <v>1.8781506344539903E-2</v>
      </c>
      <c r="BJ464" s="583">
        <f t="shared" si="1048"/>
        <v>52.030782656405776</v>
      </c>
      <c r="BK464" s="583">
        <f t="shared" si="1049"/>
        <v>1.8781506344539903E-2</v>
      </c>
      <c r="BL464" s="583">
        <f t="shared" si="1050"/>
        <v>0.1207024807742431</v>
      </c>
      <c r="BM464" s="583">
        <f t="shared" si="1051"/>
        <v>1.3522684568068731E-2</v>
      </c>
      <c r="BN464" s="583">
        <f t="shared" si="1052"/>
        <v>3.2304190912608631E-2</v>
      </c>
      <c r="BO464" s="583">
        <f t="shared" si="1053"/>
        <v>5.6321981226006255</v>
      </c>
      <c r="BP464" s="583">
        <f t="shared" si="1054"/>
        <v>0.53639982120005958</v>
      </c>
      <c r="BQ464" s="583">
        <f t="shared" si="1055"/>
        <v>0</v>
      </c>
      <c r="BR464" s="583">
        <f t="shared" si="1056"/>
        <v>0.46928723852890369</v>
      </c>
    </row>
    <row r="465" spans="1:70" s="229" customFormat="1" ht="15" customHeight="1">
      <c r="A465" s="504"/>
      <c r="E465" s="576">
        <f t="shared" si="1057"/>
        <v>100</v>
      </c>
      <c r="F465" s="248"/>
      <c r="G465" s="406" t="s">
        <v>3140</v>
      </c>
      <c r="H465" s="578" t="s">
        <v>518</v>
      </c>
      <c r="I465" s="85">
        <v>20</v>
      </c>
      <c r="J465" s="682">
        <v>1</v>
      </c>
      <c r="K465" s="579">
        <f t="shared" si="1031"/>
        <v>2.2000000000000002</v>
      </c>
      <c r="L465" s="580">
        <f>IF(H465="Select ingredient:","",IF(G465="","",_xlfn.IFNA(VLOOKUP($H465,Ingredient_prices!$E:$U,16,FALSE),0)))</f>
        <v>246</v>
      </c>
      <c r="M465" s="850"/>
      <c r="N465" s="850"/>
      <c r="O465" s="666"/>
      <c r="P465" s="670"/>
      <c r="Q465" s="583">
        <f t="shared" si="1032"/>
        <v>20</v>
      </c>
      <c r="R465" s="583">
        <f>VLOOKUP($H465,'CO2_emission+%_food_waste'!$A:$K,6,FALSE)*$Q465/100</f>
        <v>5.82</v>
      </c>
      <c r="S465" s="583">
        <f t="shared" si="1033"/>
        <v>14.18</v>
      </c>
      <c r="T465" s="583">
        <f>IF(H465="Select ingredient:","",IF(G465="Select food category:","",_xlfn.IFNA(VLOOKUP($H465,Ingredient_prices!$E:$U,16,FALSE)*$Q465/1000,"not bought")))</f>
        <v>4.92</v>
      </c>
      <c r="U465" s="583">
        <f>IF(G465="Select food category:","",_xlfn.IFNA(VLOOKUP($H465,Ingredient_prices!$E:$U,16,FALSE)*$R465/1000,"not bought"))</f>
        <v>1.4317200000000001</v>
      </c>
      <c r="V465" s="549">
        <f>VLOOKUP($H465,'CO2_emission+%_food_waste'!$A:$K,4,FALSE)*$Q465</f>
        <v>21.200000000000003</v>
      </c>
      <c r="W465" s="583">
        <f>VLOOKUP($H465,Nutrition_tables!$A:$N,10,FALSE)*$Q465/100</f>
        <v>67.999999999999986</v>
      </c>
      <c r="X465" s="583">
        <f>VLOOKUP($H465,Nutrition_tables!$A:$N,11,FALSE)*$Q465/100</f>
        <v>12.02</v>
      </c>
      <c r="Y465" s="583">
        <f>VLOOKUP($H465,Nutrition_tables!$A:$N,12,FALSE)*$Q465/100</f>
        <v>4.8800000000000008</v>
      </c>
      <c r="Z465" s="583">
        <f>VLOOKUP($H465,Nutrition_tables!$A:$N,14,FALSE)*$Q465/100</f>
        <v>0.3</v>
      </c>
      <c r="AA465" s="583">
        <f>VLOOKUP($H465,Nutrition_tables!$A:$AF,13,FALSE)*$Q465/100</f>
        <v>3.6</v>
      </c>
      <c r="AB465" s="549">
        <f>VLOOKUP($H465,Nutrition_tables!$A:$AF,15,FALSE)*$Q465/100</f>
        <v>0.06</v>
      </c>
      <c r="AC465" s="583">
        <f>VLOOKUP($H465,Nutrition_tables!$A:$AF,16,FALSE)*$Q465/100</f>
        <v>20.200000000000003</v>
      </c>
      <c r="AD465" s="583">
        <f>VLOOKUP($H465,Nutrition_tables!$A:$AF,17,FALSE)*$Q465/100</f>
        <v>188</v>
      </c>
      <c r="AE465" s="583">
        <f>VLOOKUP($H465,Nutrition_tables!$A:$AF,18,FALSE)*$Q465/100</f>
        <v>14.020000000000003</v>
      </c>
      <c r="AF465" s="583">
        <f>VLOOKUP($H465,Nutrition_tables!$A:$AF,19,FALSE)*$Q465/100</f>
        <v>22</v>
      </c>
      <c r="AG465" s="583">
        <f>VLOOKUP($H465,Nutrition_tables!$A:$AF,20,FALSE)*$Q465/100</f>
        <v>70</v>
      </c>
      <c r="AH465" s="583">
        <f>VLOOKUP($H465,Nutrition_tables!$A:$AF,21,FALSE)*$Q465/100</f>
        <v>2.2200000000000002</v>
      </c>
      <c r="AI465" s="583">
        <f>VLOOKUP($H465,Nutrition_tables!$A:$AF,22,FALSE)*$Q465/100</f>
        <v>0.78</v>
      </c>
      <c r="AJ465" s="549">
        <f>VLOOKUP($H465,Nutrition_tables!$A:$AF,23,FALSE)*$Q465/100</f>
        <v>0.20399999999999999</v>
      </c>
      <c r="AK465" s="583">
        <f>VLOOKUP($H465,Nutrition_tables!$A:$AF,24,FALSE)*$Q465/100</f>
        <v>6</v>
      </c>
      <c r="AL465" s="583">
        <f>VLOOKUP($H465,Nutrition_tables!$A:$AF,25,FALSE)*$Q465/100</f>
        <v>8.199999999999999E-2</v>
      </c>
      <c r="AM465" s="583">
        <f>VLOOKUP($H465,Nutrition_tables!$A:$AF,26,FALSE)*$Q465/100</f>
        <v>5.4000000000000006E-2</v>
      </c>
      <c r="AN465" s="583">
        <f>VLOOKUP($H465,Nutrition_tables!$A:$AF,27,FALSE)*$Q465/100</f>
        <v>1.1000000000000001</v>
      </c>
      <c r="AO465" s="583">
        <f>VLOOKUP($H465,Nutrition_tables!$A:$AF,28,FALSE)*$Q465/100</f>
        <v>7.0000000000000007E-2</v>
      </c>
      <c r="AP465" s="583">
        <f>VLOOKUP($H465,Nutrition_tables!$A:$AF,29,FALSE)*$Q465/100</f>
        <v>22</v>
      </c>
      <c r="AQ465" s="583">
        <f>VLOOKUP($H465,Nutrition_tables!$A:$AF,30,FALSE)*$Q465/100</f>
        <v>0</v>
      </c>
      <c r="AR465" s="583">
        <f>VLOOKUP($H465,Nutrition_tables!$A:$AF,31,FALSE)*$Q465/100</f>
        <v>0.9</v>
      </c>
      <c r="AS465" s="549">
        <f>VLOOKUP($H465,Nutrition_tables!$A:$AF,32,FALSE)*$Q465/100</f>
        <v>0</v>
      </c>
      <c r="AT465" s="583">
        <f>IF(H465="Select ingredient:","",IF(G465="Select food category:","",IFERROR(VLOOKUP($H465,Ingredient_prices!$E:$W,17,FALSE)*$Q465/1000,"not bought")))</f>
        <v>4.92</v>
      </c>
      <c r="AU465" s="583">
        <f>IF(H465="Select ingredient:","",IF(G465="Select food category:","",IFERROR(VLOOKUP($H465,Ingredient_prices!$E:$W,18,FALSE)*$Q465/1000,"not bought")))</f>
        <v>4.92</v>
      </c>
      <c r="AV465" s="583">
        <f t="shared" si="1034"/>
        <v>48.211975894012042</v>
      </c>
      <c r="AW465" s="583">
        <f t="shared" si="1035"/>
        <v>8.5221757389121304</v>
      </c>
      <c r="AX465" s="583">
        <f t="shared" si="1036"/>
        <v>3.4599182700408653</v>
      </c>
      <c r="AY465" s="583">
        <f t="shared" si="1037"/>
        <v>0.21269989365005315</v>
      </c>
      <c r="AZ465" s="583">
        <f t="shared" si="1038"/>
        <v>2.5523987238006383</v>
      </c>
      <c r="BA465" s="583">
        <f t="shared" si="1039"/>
        <v>4.2539978730010634E-2</v>
      </c>
      <c r="BB465" s="583">
        <f t="shared" si="1040"/>
        <v>14.321792839103583</v>
      </c>
      <c r="BC465" s="583">
        <f t="shared" si="1041"/>
        <v>133.29193335403335</v>
      </c>
      <c r="BD465" s="583">
        <f t="shared" si="1042"/>
        <v>9.9401750299124867</v>
      </c>
      <c r="BE465" s="583">
        <f t="shared" si="1043"/>
        <v>15.597992201003899</v>
      </c>
      <c r="BF465" s="583">
        <f t="shared" si="1044"/>
        <v>49.629975185012412</v>
      </c>
      <c r="BG465" s="583">
        <f t="shared" si="1045"/>
        <v>1.5739792130103936</v>
      </c>
      <c r="BH465" s="583">
        <f t="shared" si="1046"/>
        <v>0.55301972349013828</v>
      </c>
      <c r="BI465" s="583">
        <f t="shared" si="1047"/>
        <v>0.14463592768203615</v>
      </c>
      <c r="BJ465" s="583">
        <f t="shared" si="1048"/>
        <v>4.2539978730010635</v>
      </c>
      <c r="BK465" s="583">
        <f t="shared" si="1049"/>
        <v>5.8137970931014527E-2</v>
      </c>
      <c r="BL465" s="583">
        <f t="shared" si="1050"/>
        <v>3.8285980857009579E-2</v>
      </c>
      <c r="BM465" s="583">
        <f t="shared" si="1051"/>
        <v>0.77989961005019504</v>
      </c>
      <c r="BN465" s="583">
        <f t="shared" si="1052"/>
        <v>4.9629975185012408E-2</v>
      </c>
      <c r="BO465" s="583">
        <f t="shared" si="1053"/>
        <v>15.597992201003899</v>
      </c>
      <c r="BP465" s="583">
        <f t="shared" si="1054"/>
        <v>0</v>
      </c>
      <c r="BQ465" s="583">
        <f t="shared" si="1055"/>
        <v>0.63809968095015956</v>
      </c>
      <c r="BR465" s="583">
        <f t="shared" si="1056"/>
        <v>0</v>
      </c>
    </row>
    <row r="466" spans="1:70" s="229" customFormat="1" ht="15" customHeight="1">
      <c r="A466" s="504"/>
      <c r="E466" s="576">
        <f t="shared" si="1057"/>
        <v>100</v>
      </c>
      <c r="F466" s="248"/>
      <c r="G466" s="406" t="s">
        <v>3073</v>
      </c>
      <c r="H466" s="578" t="s">
        <v>3444</v>
      </c>
      <c r="I466" s="85">
        <v>20</v>
      </c>
      <c r="J466" s="682">
        <v>1</v>
      </c>
      <c r="K466" s="579">
        <f t="shared" si="1031"/>
        <v>2.2000000000000002</v>
      </c>
      <c r="L466" s="580">
        <f>IF(H466="Select ingredient:","",IF(G466="","",_xlfn.IFNA(VLOOKUP($H466,Ingredient_prices!$E:$U,16,FALSE),0)))</f>
        <v>440</v>
      </c>
      <c r="M466" s="850"/>
      <c r="N466" s="850"/>
      <c r="O466" s="666"/>
      <c r="P466" s="670"/>
      <c r="Q466" s="583">
        <f t="shared" si="1032"/>
        <v>20</v>
      </c>
      <c r="R466" s="583">
        <f>VLOOKUP($H466,'CO2_emission+%_food_waste'!$A:$K,6,FALSE)*$Q466/100</f>
        <v>4.4400000000000004</v>
      </c>
      <c r="S466" s="583">
        <f t="shared" si="1033"/>
        <v>15.559999999999999</v>
      </c>
      <c r="T466" s="583">
        <f>IF(H466="Select ingredient:","",IF(G466="Select food category:","",_xlfn.IFNA(VLOOKUP($H466,Ingredient_prices!$E:$U,16,FALSE)*$Q466/1000,"not bought")))</f>
        <v>8.8000000000000007</v>
      </c>
      <c r="U466" s="583">
        <f>IF(G466="Select food category:","",_xlfn.IFNA(VLOOKUP($H466,Ingredient_prices!$E:$U,16,FALSE)*$R466/1000,"not bought"))</f>
        <v>1.9536000000000002</v>
      </c>
      <c r="V466" s="549">
        <f>VLOOKUP($H466,'CO2_emission+%_food_waste'!$A:$K,4,FALSE)*$Q466</f>
        <v>65.400000000000006</v>
      </c>
      <c r="W466" s="583">
        <f>VLOOKUP($H466,Nutrition_tables!$A:$N,10,FALSE)*$Q466/100</f>
        <v>20.8</v>
      </c>
      <c r="X466" s="583">
        <f>VLOOKUP($H466,Nutrition_tables!$A:$N,11,FALSE)*$Q466/100</f>
        <v>0</v>
      </c>
      <c r="Y466" s="583">
        <f>VLOOKUP($H466,Nutrition_tables!$A:$N,12,FALSE)*$Q466/100</f>
        <v>4.5599999999999996</v>
      </c>
      <c r="Z466" s="583">
        <f>VLOOKUP($H466,Nutrition_tables!$A:$N,14,FALSE)*$Q466/100</f>
        <v>0.3</v>
      </c>
      <c r="AA466" s="583">
        <f>VLOOKUP($H466,Nutrition_tables!$A:$AF,13,FALSE)*$Q466/100</f>
        <v>0</v>
      </c>
      <c r="AB466" s="549">
        <f>VLOOKUP($H466,Nutrition_tables!$A:$AF,15,FALSE)*$Q466/100</f>
        <v>5.779999999999999E-2</v>
      </c>
      <c r="AC466" s="583">
        <f>VLOOKUP($H466,Nutrition_tables!$A:$AF,16,FALSE)*$Q466/100</f>
        <v>6.76</v>
      </c>
      <c r="AD466" s="583">
        <f>VLOOKUP($H466,Nutrition_tables!$A:$AF,17,FALSE)*$Q466/100</f>
        <v>78.400000000000006</v>
      </c>
      <c r="AE466" s="583">
        <f>VLOOKUP($H466,Nutrition_tables!$A:$AF,18,FALSE)*$Q466/100</f>
        <v>1.24</v>
      </c>
      <c r="AF466" s="583">
        <f>VLOOKUP($H466,Nutrition_tables!$A:$AF,19,FALSE)*$Q466/100</f>
        <v>6.02</v>
      </c>
      <c r="AG466" s="583">
        <f>VLOOKUP($H466,Nutrition_tables!$A:$AF,20,FALSE)*$Q466/100</f>
        <v>48.6</v>
      </c>
      <c r="AH466" s="583">
        <f>VLOOKUP($H466,Nutrition_tables!$A:$AF,21,FALSE)*$Q466/100</f>
        <v>0.128</v>
      </c>
      <c r="AI466" s="583">
        <f>VLOOKUP($H466,Nutrition_tables!$A:$AF,22,FALSE)*$Q466/100</f>
        <v>0.2</v>
      </c>
      <c r="AJ466" s="549">
        <f>VLOOKUP($H466,Nutrition_tables!$A:$AF,23,FALSE)*$Q466/100</f>
        <v>0.02</v>
      </c>
      <c r="AK466" s="583">
        <f>VLOOKUP($H466,Nutrition_tables!$A:$AF,24,FALSE)*$Q466/100</f>
        <v>1.4</v>
      </c>
      <c r="AL466" s="583">
        <f>VLOOKUP($H466,Nutrition_tables!$A:$AF,25,FALSE)*$Q466/100</f>
        <v>3.7999999999999999E-2</v>
      </c>
      <c r="AM466" s="583">
        <f>VLOOKUP($H466,Nutrition_tables!$A:$AF,26,FALSE)*$Q466/100</f>
        <v>2.8000000000000004E-2</v>
      </c>
      <c r="AN466" s="583">
        <f>VLOOKUP($H466,Nutrition_tables!$A:$AF,27,FALSE)*$Q466/100</f>
        <v>3.18</v>
      </c>
      <c r="AO466" s="583">
        <f>VLOOKUP($H466,Nutrition_tables!$A:$AF,28,FALSE)*$Q466/100</f>
        <v>0.16399999999999998</v>
      </c>
      <c r="AP466" s="583">
        <f>VLOOKUP($H466,Nutrition_tables!$A:$AF,29,FALSE)*$Q466/100</f>
        <v>4.5999999999999996</v>
      </c>
      <c r="AQ466" s="583">
        <f>VLOOKUP($H466,Nutrition_tables!$A:$AF,30,FALSE)*$Q466/100</f>
        <v>5.6000000000000008E-2</v>
      </c>
      <c r="AR466" s="583">
        <f>VLOOKUP($H466,Nutrition_tables!$A:$AF,31,FALSE)*$Q466/100</f>
        <v>0</v>
      </c>
      <c r="AS466" s="549">
        <f>VLOOKUP($H466,Nutrition_tables!$A:$AF,32,FALSE)*$Q466/100</f>
        <v>0.3</v>
      </c>
      <c r="AT466" s="583">
        <f>IF(H466="Select ingredient:","",IF(G466="Select food category:","",IFERROR(VLOOKUP($H466,Ingredient_prices!$E:$W,17,FALSE)*$Q466/1000,"not bought")))</f>
        <v>8.8000000000000007</v>
      </c>
      <c r="AU466" s="583">
        <f>IF(H466="Select ingredient:","",IF(G466="Select food category:","",IFERROR(VLOOKUP($H466,Ingredient_prices!$E:$W,18,FALSE)*$Q466/1000,"not bought")))</f>
        <v>8.8000000000000007</v>
      </c>
      <c r="AV466" s="583">
        <f t="shared" si="1034"/>
        <v>16.182391908804043</v>
      </c>
      <c r="AW466" s="583">
        <f t="shared" si="1035"/>
        <v>0</v>
      </c>
      <c r="AX466" s="583">
        <f t="shared" si="1036"/>
        <v>3.5476782261608868</v>
      </c>
      <c r="AY466" s="583">
        <f t="shared" si="1037"/>
        <v>0.23339988330005831</v>
      </c>
      <c r="AZ466" s="583">
        <f t="shared" si="1038"/>
        <v>0</v>
      </c>
      <c r="BA466" s="583">
        <f t="shared" si="1039"/>
        <v>4.4968377515811231E-2</v>
      </c>
      <c r="BB466" s="583">
        <f t="shared" si="1040"/>
        <v>5.2592773703613149</v>
      </c>
      <c r="BC466" s="583">
        <f t="shared" si="1041"/>
        <v>60.995169502415251</v>
      </c>
      <c r="BD466" s="583">
        <f t="shared" si="1042"/>
        <v>0.96471951764024122</v>
      </c>
      <c r="BE466" s="583">
        <f t="shared" si="1043"/>
        <v>4.6835576582211704</v>
      </c>
      <c r="BF466" s="583">
        <f t="shared" si="1044"/>
        <v>37.810781094609453</v>
      </c>
      <c r="BG466" s="583">
        <f t="shared" si="1045"/>
        <v>9.9583950208024893E-2</v>
      </c>
      <c r="BH466" s="583">
        <f t="shared" si="1046"/>
        <v>0.1555999222000389</v>
      </c>
      <c r="BI466" s="583">
        <f t="shared" si="1047"/>
        <v>1.5559992220003888E-2</v>
      </c>
      <c r="BJ466" s="583">
        <f t="shared" si="1048"/>
        <v>1.0891994554002722</v>
      </c>
      <c r="BK466" s="583">
        <f t="shared" si="1049"/>
        <v>2.9563985218007387E-2</v>
      </c>
      <c r="BL466" s="583">
        <f t="shared" si="1050"/>
        <v>2.1783989108005448E-2</v>
      </c>
      <c r="BM466" s="583">
        <f t="shared" si="1051"/>
        <v>2.4740387629806184</v>
      </c>
      <c r="BN466" s="583">
        <f t="shared" si="1052"/>
        <v>0.12759193620403186</v>
      </c>
      <c r="BO466" s="583">
        <f t="shared" si="1053"/>
        <v>3.5787982106008944</v>
      </c>
      <c r="BP466" s="583">
        <f t="shared" si="1054"/>
        <v>4.3567978216010897E-2</v>
      </c>
      <c r="BQ466" s="583">
        <f t="shared" si="1055"/>
        <v>0</v>
      </c>
      <c r="BR466" s="583">
        <f t="shared" si="1056"/>
        <v>0.23339988330005831</v>
      </c>
    </row>
    <row r="467" spans="1:70" s="229" customFormat="1" ht="15" customHeight="1">
      <c r="A467" s="504"/>
      <c r="D467" s="85"/>
      <c r="E467" s="576">
        <f t="shared" si="1057"/>
        <v>100</v>
      </c>
      <c r="F467" s="707"/>
      <c r="G467" s="406" t="s">
        <v>3054</v>
      </c>
      <c r="H467" s="1262" t="s">
        <v>3055</v>
      </c>
      <c r="I467" s="85">
        <v>0</v>
      </c>
      <c r="J467" s="682">
        <v>1</v>
      </c>
      <c r="K467" s="579" t="str">
        <f t="shared" si="1031"/>
        <v/>
      </c>
      <c r="L467" s="580" t="str">
        <f>IF(H467="Select ingredient:","",IF(G467="","",_xlfn.IFNA(VLOOKUP($H467,Ingredient_prices!$E:$U,16,FALSE),0)))</f>
        <v/>
      </c>
      <c r="M467" s="850"/>
      <c r="N467" s="850"/>
      <c r="O467" s="666"/>
      <c r="P467" s="670"/>
      <c r="Q467" s="583">
        <f t="shared" si="1032"/>
        <v>0</v>
      </c>
      <c r="R467" s="583">
        <f>VLOOKUP($H467,'CO2_emission+%_food_waste'!$A:$K,6,FALSE)*$Q467/100</f>
        <v>0</v>
      </c>
      <c r="S467" s="583">
        <f t="shared" si="1033"/>
        <v>0</v>
      </c>
      <c r="T467" s="583" t="str">
        <f>IF(H467="Select ingredient:","",IF(G467="Select food category:","",_xlfn.IFNA(VLOOKUP($H467,Ingredient_prices!$E:$U,16,FALSE)*$Q467/1000,"not bought")))</f>
        <v/>
      </c>
      <c r="U467" s="583" t="str">
        <f>IF(G467="Select food category:","",_xlfn.IFNA(VLOOKUP($H467,Ingredient_prices!$E:$U,16,FALSE)*$R467/1000,"not bought"))</f>
        <v/>
      </c>
      <c r="V467" s="549">
        <f>VLOOKUP($H467,'CO2_emission+%_food_waste'!$A:$K,4,FALSE)*$Q467</f>
        <v>0</v>
      </c>
      <c r="W467" s="583">
        <f>VLOOKUP($H467,Nutrition_tables!$A:$N,10,FALSE)*$Q467/100</f>
        <v>0</v>
      </c>
      <c r="X467" s="583">
        <f>VLOOKUP($H467,Nutrition_tables!$A:$N,11,FALSE)*$Q467/100</f>
        <v>0</v>
      </c>
      <c r="Y467" s="583">
        <f>VLOOKUP($H467,Nutrition_tables!$A:$N,12,FALSE)*$Q467/100</f>
        <v>0</v>
      </c>
      <c r="Z467" s="583">
        <f>VLOOKUP($H467,Nutrition_tables!$A:$N,14,FALSE)*$Q467/100</f>
        <v>0</v>
      </c>
      <c r="AA467" s="583">
        <f>VLOOKUP($H467,Nutrition_tables!$A:$AF,13,FALSE)*$Q467/100</f>
        <v>0</v>
      </c>
      <c r="AB467" s="549">
        <f>VLOOKUP($H467,Nutrition_tables!$A:$AF,15,FALSE)*$Q467/100</f>
        <v>0</v>
      </c>
      <c r="AC467" s="583">
        <f>VLOOKUP($H467,Nutrition_tables!$A:$AF,16,FALSE)*$Q467/100</f>
        <v>0</v>
      </c>
      <c r="AD467" s="583">
        <f>VLOOKUP($H467,Nutrition_tables!$A:$AF,17,FALSE)*$Q467/100</f>
        <v>0</v>
      </c>
      <c r="AE467" s="583">
        <f>VLOOKUP($H467,Nutrition_tables!$A:$AF,18,FALSE)*$Q467/100</f>
        <v>0</v>
      </c>
      <c r="AF467" s="583">
        <f>VLOOKUP($H467,Nutrition_tables!$A:$AF,19,FALSE)*$Q467/100</f>
        <v>0</v>
      </c>
      <c r="AG467" s="583">
        <f>VLOOKUP($H467,Nutrition_tables!$A:$AF,20,FALSE)*$Q467/100</f>
        <v>0</v>
      </c>
      <c r="AH467" s="583">
        <f>VLOOKUP($H467,Nutrition_tables!$A:$AF,21,FALSE)*$Q467/100</f>
        <v>0</v>
      </c>
      <c r="AI467" s="583">
        <f>VLOOKUP($H467,Nutrition_tables!$A:$AF,22,FALSE)*$Q467/100</f>
        <v>0</v>
      </c>
      <c r="AJ467" s="549">
        <f>VLOOKUP($H467,Nutrition_tables!$A:$AF,23,FALSE)*$Q467/100</f>
        <v>0</v>
      </c>
      <c r="AK467" s="583">
        <f>VLOOKUP($H467,Nutrition_tables!$A:$AF,24,FALSE)*$Q467/100</f>
        <v>0</v>
      </c>
      <c r="AL467" s="583">
        <f>VLOOKUP($H467,Nutrition_tables!$A:$AF,25,FALSE)*$Q467/100</f>
        <v>0</v>
      </c>
      <c r="AM467" s="583">
        <f>VLOOKUP($H467,Nutrition_tables!$A:$AF,26,FALSE)*$Q467/100</f>
        <v>0</v>
      </c>
      <c r="AN467" s="583">
        <f>VLOOKUP($H467,Nutrition_tables!$A:$AF,27,FALSE)*$Q467/100</f>
        <v>0</v>
      </c>
      <c r="AO467" s="583">
        <f>VLOOKUP($H467,Nutrition_tables!$A:$AF,28,FALSE)*$Q467/100</f>
        <v>0</v>
      </c>
      <c r="AP467" s="583">
        <f>VLOOKUP($H467,Nutrition_tables!$A:$AF,29,FALSE)*$Q467/100</f>
        <v>0</v>
      </c>
      <c r="AQ467" s="583">
        <f>VLOOKUP($H467,Nutrition_tables!$A:$AF,30,FALSE)*$Q467/100</f>
        <v>0</v>
      </c>
      <c r="AR467" s="583">
        <f>VLOOKUP($H467,Nutrition_tables!$A:$AF,31,FALSE)*$Q467/100</f>
        <v>0</v>
      </c>
      <c r="AS467" s="549">
        <f>VLOOKUP($H467,Nutrition_tables!$A:$AF,32,FALSE)*$Q467/100</f>
        <v>0</v>
      </c>
      <c r="AT467" s="583" t="str">
        <f>IF(H467="Select ingredient:","",IF(G467="Select food category:","",IFERROR(VLOOKUP($H467,Ingredient_prices!$E:$W,17,FALSE)*$Q467/1000,"not bought")))</f>
        <v/>
      </c>
      <c r="AU467" s="583" t="str">
        <f>IF(H467="Select ingredient:","",IF(G467="Select food category:","",IFERROR(VLOOKUP($H467,Ingredient_prices!$E:$W,18,FALSE)*$Q467/1000,"not bought")))</f>
        <v/>
      </c>
      <c r="AV467" s="583">
        <f t="shared" si="1034"/>
        <v>0</v>
      </c>
      <c r="AW467" s="583">
        <f t="shared" si="1035"/>
        <v>0</v>
      </c>
      <c r="AX467" s="583">
        <f t="shared" si="1036"/>
        <v>0</v>
      </c>
      <c r="AY467" s="583">
        <f t="shared" si="1037"/>
        <v>0</v>
      </c>
      <c r="AZ467" s="583">
        <f t="shared" si="1038"/>
        <v>0</v>
      </c>
      <c r="BA467" s="583">
        <f t="shared" si="1039"/>
        <v>0</v>
      </c>
      <c r="BB467" s="583">
        <f t="shared" si="1040"/>
        <v>0</v>
      </c>
      <c r="BC467" s="583">
        <f t="shared" si="1041"/>
        <v>0</v>
      </c>
      <c r="BD467" s="583">
        <f t="shared" si="1042"/>
        <v>0</v>
      </c>
      <c r="BE467" s="583">
        <f t="shared" si="1043"/>
        <v>0</v>
      </c>
      <c r="BF467" s="583">
        <f t="shared" si="1044"/>
        <v>0</v>
      </c>
      <c r="BG467" s="583">
        <f t="shared" si="1045"/>
        <v>0</v>
      </c>
      <c r="BH467" s="583">
        <f t="shared" si="1046"/>
        <v>0</v>
      </c>
      <c r="BI467" s="583">
        <f t="shared" si="1047"/>
        <v>0</v>
      </c>
      <c r="BJ467" s="583">
        <f t="shared" si="1048"/>
        <v>0</v>
      </c>
      <c r="BK467" s="583">
        <f t="shared" si="1049"/>
        <v>0</v>
      </c>
      <c r="BL467" s="583">
        <f t="shared" si="1050"/>
        <v>0</v>
      </c>
      <c r="BM467" s="583">
        <f t="shared" si="1051"/>
        <v>0</v>
      </c>
      <c r="BN467" s="583">
        <f t="shared" si="1052"/>
        <v>0</v>
      </c>
      <c r="BO467" s="583">
        <f t="shared" si="1053"/>
        <v>0</v>
      </c>
      <c r="BP467" s="583">
        <f t="shared" si="1054"/>
        <v>0</v>
      </c>
      <c r="BQ467" s="583">
        <f t="shared" si="1055"/>
        <v>0</v>
      </c>
      <c r="BR467" s="583">
        <f t="shared" si="1056"/>
        <v>0</v>
      </c>
    </row>
    <row r="468" spans="1:70" s="229" customFormat="1" ht="15" customHeight="1">
      <c r="A468" s="504"/>
      <c r="D468" s="85"/>
      <c r="E468" s="576">
        <f t="shared" si="1057"/>
        <v>100</v>
      </c>
      <c r="F468" s="707" t="s">
        <v>3897</v>
      </c>
      <c r="G468" s="406" t="s">
        <v>3140</v>
      </c>
      <c r="H468" s="578" t="s">
        <v>3105</v>
      </c>
      <c r="I468" s="85">
        <v>60</v>
      </c>
      <c r="J468" s="682">
        <v>1</v>
      </c>
      <c r="K468" s="579">
        <f t="shared" si="1031"/>
        <v>6.6</v>
      </c>
      <c r="L468" s="580">
        <f>IF(H468="Select ingredient:","",IF(G468="","",_xlfn.IFNA(VLOOKUP($H468,Ingredient_prices!$E:$U,16,FALSE),0)))</f>
        <v>90</v>
      </c>
      <c r="M468" s="850"/>
      <c r="N468" s="850"/>
      <c r="O468" s="666"/>
      <c r="P468" s="670"/>
      <c r="Q468" s="583">
        <f t="shared" si="1032"/>
        <v>60</v>
      </c>
      <c r="R468" s="583">
        <f>VLOOKUP($H468,'CO2_emission+%_food_waste'!$A:$K,6,FALSE)*$Q468/100</f>
        <v>17.100000000000001</v>
      </c>
      <c r="S468" s="583">
        <f t="shared" si="1033"/>
        <v>42.9</v>
      </c>
      <c r="T468" s="583">
        <f>IF(H468="Select ingredient:","",IF(G468="Select food category:","",_xlfn.IFNA(VLOOKUP($H468,Ingredient_prices!$E:$U,16,FALSE)*$Q468/1000,"not bought")))</f>
        <v>5.4</v>
      </c>
      <c r="U468" s="583">
        <f>IF(G468="Select food category:","",_xlfn.IFNA(VLOOKUP($H468,Ingredient_prices!$E:$U,16,FALSE)*$R468/1000,"not bought"))</f>
        <v>1.5390000000000001</v>
      </c>
      <c r="V468" s="549">
        <f>VLOOKUP($H468,'CO2_emission+%_food_waste'!$A:$K,4,FALSE)*$Q468</f>
        <v>28.799999999999997</v>
      </c>
      <c r="W468" s="583">
        <f>VLOOKUP($H468,Nutrition_tables!$A:$N,10,FALSE)*$Q468/100</f>
        <v>14.4</v>
      </c>
      <c r="X468" s="583">
        <f>VLOOKUP($H468,Nutrition_tables!$A:$N,11,FALSE)*$Q468/100</f>
        <v>2.4599999999999995</v>
      </c>
      <c r="Y468" s="583">
        <f>VLOOKUP($H468,Nutrition_tables!$A:$N,12,FALSE)*$Q468/100</f>
        <v>0.72</v>
      </c>
      <c r="Z468" s="583">
        <f>VLOOKUP($H468,Nutrition_tables!$A:$N,14,FALSE)*$Q468/100</f>
        <v>0.12</v>
      </c>
      <c r="AA468" s="583">
        <f>VLOOKUP($H468,Nutrition_tables!$A:$AF,13,FALSE)*$Q468/100</f>
        <v>1.5</v>
      </c>
      <c r="AB468" s="549">
        <f>VLOOKUP($H468,Nutrition_tables!$A:$AF,15,FALSE)*$Q468/100</f>
        <v>0.06</v>
      </c>
      <c r="AC468" s="583">
        <f>VLOOKUP($H468,Nutrition_tables!$A:$AF,16,FALSE)*$Q468/100</f>
        <v>3</v>
      </c>
      <c r="AD468" s="583">
        <f>VLOOKUP($H468,Nutrition_tables!$A:$AF,17,FALSE)*$Q468/100</f>
        <v>192</v>
      </c>
      <c r="AE468" s="583">
        <f>VLOOKUP($H468,Nutrition_tables!$A:$AF,18,FALSE)*$Q468/100</f>
        <v>25.2</v>
      </c>
      <c r="AF468" s="583">
        <f>VLOOKUP($H468,Nutrition_tables!$A:$AF,19,FALSE)*$Q468/100</f>
        <v>8.4</v>
      </c>
      <c r="AG468" s="583">
        <f>VLOOKUP($H468,Nutrition_tables!$A:$AF,20,FALSE)*$Q468/100</f>
        <v>24</v>
      </c>
      <c r="AH468" s="583">
        <f>VLOOKUP($H468,Nutrition_tables!$A:$AF,21,FALSE)*$Q468/100</f>
        <v>0.24</v>
      </c>
      <c r="AI468" s="583">
        <f>VLOOKUP($H468,Nutrition_tables!$A:$AF,22,FALSE)*$Q468/100</f>
        <v>0.12</v>
      </c>
      <c r="AJ468" s="549">
        <f>VLOOKUP($H468,Nutrition_tables!$A:$AF,23,FALSE)*$Q468/100</f>
        <v>2.3E-2</v>
      </c>
      <c r="AK468" s="583">
        <f>VLOOKUP($H468,Nutrition_tables!$A:$AF,24,FALSE)*$Q468/100</f>
        <v>3.3</v>
      </c>
      <c r="AL468" s="583">
        <f>VLOOKUP($H468,Nutrition_tables!$A:$AF,25,FALSE)*$Q468/100</f>
        <v>4.2000000000000003E-2</v>
      </c>
      <c r="AM468" s="583">
        <f>VLOOKUP($H468,Nutrition_tables!$A:$AF,26,FALSE)*$Q468/100</f>
        <v>0.03</v>
      </c>
      <c r="AN468" s="583">
        <f>VLOOKUP($H468,Nutrition_tables!$A:$AF,27,FALSE)*$Q468/100</f>
        <v>0.48</v>
      </c>
      <c r="AO468" s="583">
        <f>VLOOKUP($H468,Nutrition_tables!$A:$AF,28,FALSE)*$Q468/100</f>
        <v>2.2799999999999997E-2</v>
      </c>
      <c r="AP468" s="583">
        <f>VLOOKUP($H468,Nutrition_tables!$A:$AF,29,FALSE)*$Q468/100</f>
        <v>17.940000000000001</v>
      </c>
      <c r="AQ468" s="583">
        <f>VLOOKUP($H468,Nutrition_tables!$A:$AF,30,FALSE)*$Q468/100</f>
        <v>0</v>
      </c>
      <c r="AR468" s="583">
        <f>VLOOKUP($H468,Nutrition_tables!$A:$AF,31,FALSE)*$Q468/100</f>
        <v>22.44</v>
      </c>
      <c r="AS468" s="549">
        <f>VLOOKUP($H468,Nutrition_tables!$A:$AF,32,FALSE)*$Q468/100</f>
        <v>0</v>
      </c>
      <c r="AT468" s="583">
        <f>IF(H468="Select ingredient:","",IF(G468="Select food category:","",IFERROR(VLOOKUP($H468,Ingredient_prices!$E:$W,17,FALSE)*$Q468/1000,"not bought")))</f>
        <v>3.96</v>
      </c>
      <c r="AU468" s="583">
        <f>IF(H468="Select ingredient:","",IF(G468="Select food category:","",IFERROR(VLOOKUP($H468,Ingredient_prices!$E:$W,18,FALSE)*$Q468/1000,"not bought")))</f>
        <v>5.4</v>
      </c>
      <c r="AV468" s="583">
        <f t="shared" si="1034"/>
        <v>10.295998284000285</v>
      </c>
      <c r="AW468" s="583">
        <f t="shared" si="1035"/>
        <v>1.7588997068500485</v>
      </c>
      <c r="AX468" s="583">
        <f t="shared" si="1036"/>
        <v>0.51479991420001425</v>
      </c>
      <c r="AY468" s="583">
        <f t="shared" si="1037"/>
        <v>8.5799985700002371E-2</v>
      </c>
      <c r="AZ468" s="583">
        <f t="shared" si="1038"/>
        <v>1.0724998212500296</v>
      </c>
      <c r="BA468" s="583">
        <f t="shared" si="1039"/>
        <v>4.2899992850001185E-2</v>
      </c>
      <c r="BB468" s="583">
        <f t="shared" si="1040"/>
        <v>2.1449996425000593</v>
      </c>
      <c r="BC468" s="583">
        <f t="shared" si="1041"/>
        <v>137.27997712000379</v>
      </c>
      <c r="BD468" s="583">
        <f t="shared" si="1042"/>
        <v>18.017996997000498</v>
      </c>
      <c r="BE468" s="583">
        <f t="shared" si="1043"/>
        <v>6.005998999000167</v>
      </c>
      <c r="BF468" s="583">
        <f t="shared" si="1044"/>
        <v>17.159997140000474</v>
      </c>
      <c r="BG468" s="583">
        <f t="shared" si="1045"/>
        <v>0.17159997140000474</v>
      </c>
      <c r="BH468" s="583">
        <f t="shared" si="1046"/>
        <v>8.5799985700002371E-2</v>
      </c>
      <c r="BI468" s="583">
        <f t="shared" si="1047"/>
        <v>1.6444997259167121E-2</v>
      </c>
      <c r="BJ468" s="583">
        <f t="shared" si="1048"/>
        <v>2.3594996067500653</v>
      </c>
      <c r="BK468" s="583">
        <f t="shared" si="1049"/>
        <v>3.0029994995000833E-2</v>
      </c>
      <c r="BL468" s="583">
        <f t="shared" si="1050"/>
        <v>2.1449996425000593E-2</v>
      </c>
      <c r="BM468" s="583">
        <f t="shared" si="1051"/>
        <v>0.34319994280000948</v>
      </c>
      <c r="BN468" s="583">
        <f t="shared" si="1052"/>
        <v>1.6301997283000452E-2</v>
      </c>
      <c r="BO468" s="583">
        <f t="shared" si="1053"/>
        <v>12.827097862150355</v>
      </c>
      <c r="BP468" s="583">
        <f t="shared" si="1054"/>
        <v>0</v>
      </c>
      <c r="BQ468" s="583">
        <f t="shared" si="1055"/>
        <v>16.044597325900444</v>
      </c>
      <c r="BR468" s="583">
        <f t="shared" si="1056"/>
        <v>0</v>
      </c>
    </row>
    <row r="469" spans="1:70" s="229" customFormat="1" ht="15" customHeight="1">
      <c r="A469" s="504"/>
      <c r="D469" s="85"/>
      <c r="E469" s="576">
        <f t="shared" si="1057"/>
        <v>100</v>
      </c>
      <c r="F469" s="707"/>
      <c r="G469" s="406" t="s">
        <v>3075</v>
      </c>
      <c r="H469" s="578" t="s">
        <v>3239</v>
      </c>
      <c r="I469" s="85">
        <v>3</v>
      </c>
      <c r="J469" s="682">
        <v>1</v>
      </c>
      <c r="K469" s="579">
        <f t="shared" si="1031"/>
        <v>0.33</v>
      </c>
      <c r="L469" s="580">
        <f>IF(H469="Select ingredient:","",IF(G469="","",_xlfn.IFNA(VLOOKUP($H469,Ingredient_prices!$E:$U,16,FALSE),0)))</f>
        <v>121</v>
      </c>
      <c r="M469" s="850"/>
      <c r="N469" s="850"/>
      <c r="O469" s="666"/>
      <c r="P469" s="670"/>
      <c r="Q469" s="583">
        <f t="shared" si="1032"/>
        <v>3</v>
      </c>
      <c r="R469" s="583">
        <f>VLOOKUP($H469,'CO2_emission+%_food_waste'!$A:$K,6,FALSE)*$Q469/100</f>
        <v>0.83400000000000007</v>
      </c>
      <c r="S469" s="583">
        <f t="shared" si="1033"/>
        <v>2.1659999999999999</v>
      </c>
      <c r="T469" s="583">
        <f>IF(H469="Select ingredient:","",IF(G469="Select food category:","",_xlfn.IFNA(VLOOKUP($H469,Ingredient_prices!$E:$U,16,FALSE)*$Q469/1000,"not bought")))</f>
        <v>0.36299999999999999</v>
      </c>
      <c r="U469" s="583">
        <f>IF(G469="Select food category:","",_xlfn.IFNA(VLOOKUP($H469,Ingredient_prices!$E:$U,16,FALSE)*$R469/1000,"not bought"))</f>
        <v>0.10091400000000002</v>
      </c>
      <c r="V469" s="549">
        <f>VLOOKUP($H469,'CO2_emission+%_food_waste'!$A:$K,4,FALSE)*$Q469</f>
        <v>14.190000000000001</v>
      </c>
      <c r="W469" s="583">
        <f>VLOOKUP($H469,Nutrition_tables!$A:$N,10,FALSE)*$Q469/100</f>
        <v>26.529630000000008</v>
      </c>
      <c r="X469" s="583">
        <f>VLOOKUP($H469,Nutrition_tables!$A:$N,11,FALSE)*$Q469/100</f>
        <v>3.0000000000000005E-3</v>
      </c>
      <c r="Y469" s="583">
        <f>VLOOKUP($H469,Nutrition_tables!$A:$N,12,FALSE)*$Q469/100</f>
        <v>3.0000000000000005E-3</v>
      </c>
      <c r="Z469" s="583">
        <f>VLOOKUP($H469,Nutrition_tables!$A:$N,14,FALSE)*$Q469/100</f>
        <v>2.9849999999999994</v>
      </c>
      <c r="AA469" s="583">
        <f>VLOOKUP($H469,Nutrition_tables!$A:$AF,13,FALSE)*$Q469/100</f>
        <v>0</v>
      </c>
      <c r="AB469" s="549">
        <f>VLOOKUP($H469,Nutrition_tables!$A:$AF,15,FALSE)*$Q469/100</f>
        <v>0.20370000000000005</v>
      </c>
      <c r="AC469" s="583">
        <f>VLOOKUP($H469,Nutrition_tables!$A:$AF,16,FALSE)*$Q469/100</f>
        <v>3.0000000000000005E-3</v>
      </c>
      <c r="AD469" s="583">
        <f>VLOOKUP($H469,Nutrition_tables!$A:$AF,17,FALSE)*$Q469/100</f>
        <v>0</v>
      </c>
      <c r="AE469" s="583">
        <f>VLOOKUP($H469,Nutrition_tables!$A:$AF,18,FALSE)*$Q469/100</f>
        <v>6.000000000000001E-3</v>
      </c>
      <c r="AF469" s="583">
        <f>VLOOKUP($H469,Nutrition_tables!$A:$AF,19,FALSE)*$Q469/100</f>
        <v>0.03</v>
      </c>
      <c r="AG469" s="583">
        <f>VLOOKUP($H469,Nutrition_tables!$A:$AF,20,FALSE)*$Q469/100</f>
        <v>0</v>
      </c>
      <c r="AH469" s="583">
        <f>VLOOKUP($H469,Nutrition_tables!$A:$AF,21,FALSE)*$Q469/100</f>
        <v>3.0000000000000005E-3</v>
      </c>
      <c r="AI469" s="583">
        <f>VLOOKUP($H469,Nutrition_tables!$A:$AF,22,FALSE)*$Q469/100</f>
        <v>0</v>
      </c>
      <c r="AJ469" s="549">
        <f>VLOOKUP($H469,Nutrition_tables!$A:$AF,23,FALSE)*$Q469/100</f>
        <v>0</v>
      </c>
      <c r="AK469" s="583">
        <f>VLOOKUP($H469,Nutrition_tables!$A:$AF,24,FALSE)*$Q469/100</f>
        <v>0</v>
      </c>
      <c r="AL469" s="583">
        <f>VLOOKUP($H469,Nutrition_tables!$A:$AF,25,FALSE)*$Q469/100</f>
        <v>0</v>
      </c>
      <c r="AM469" s="583">
        <f>VLOOKUP($H469,Nutrition_tables!$A:$AF,26,FALSE)*$Q469/100</f>
        <v>0</v>
      </c>
      <c r="AN469" s="583">
        <f>VLOOKUP($H469,Nutrition_tables!$A:$AF,27,FALSE)*$Q469/100</f>
        <v>0</v>
      </c>
      <c r="AO469" s="583">
        <f>VLOOKUP($H469,Nutrition_tables!$A:$AF,28,FALSE)*$Q469/100</f>
        <v>0</v>
      </c>
      <c r="AP469" s="583">
        <f>VLOOKUP($H469,Nutrition_tables!$A:$AF,29,FALSE)*$Q469/100</f>
        <v>0</v>
      </c>
      <c r="AQ469" s="583">
        <f>VLOOKUP($H469,Nutrition_tables!$A:$AF,30,FALSE)*$Q469/100</f>
        <v>0</v>
      </c>
      <c r="AR469" s="583">
        <f>VLOOKUP($H469,Nutrition_tables!$A:$AF,31,FALSE)*$Q469/100</f>
        <v>0</v>
      </c>
      <c r="AS469" s="549">
        <f>VLOOKUP($H469,Nutrition_tables!$A:$AF,32,FALSE)*$Q469/100</f>
        <v>0</v>
      </c>
      <c r="AT469" s="583">
        <f>IF(H469="Select ingredient:","",IF(G469="Select food category:","",IFERROR(VLOOKUP($H469,Ingredient_prices!$E:$W,17,FALSE)*$Q469/1000,"not bought")))</f>
        <v>0.36299999999999999</v>
      </c>
      <c r="AU469" s="583">
        <f>IF(H469="Select ingredient:","",IF(G469="Select food category:","",IFERROR(VLOOKUP($H469,Ingredient_prices!$E:$W,18,FALSE)*$Q469/1000,"not bought")))</f>
        <v>0.36299999999999999</v>
      </c>
      <c r="AV469" s="583">
        <f t="shared" si="1034"/>
        <v>19.15432901223663</v>
      </c>
      <c r="AW469" s="583">
        <f t="shared" si="1035"/>
        <v>2.1659927800240669E-3</v>
      </c>
      <c r="AX469" s="583">
        <f t="shared" si="1036"/>
        <v>2.1659927800240669E-3</v>
      </c>
      <c r="AY469" s="583">
        <f t="shared" si="1037"/>
        <v>2.1551628161239456</v>
      </c>
      <c r="AZ469" s="583">
        <f t="shared" si="1038"/>
        <v>0</v>
      </c>
      <c r="BA469" s="583">
        <f t="shared" si="1039"/>
        <v>0.14707090976363416</v>
      </c>
      <c r="BB469" s="583">
        <f t="shared" si="1040"/>
        <v>2.1659927800240669E-3</v>
      </c>
      <c r="BC469" s="583">
        <f t="shared" si="1041"/>
        <v>0</v>
      </c>
      <c r="BD469" s="583">
        <f t="shared" si="1042"/>
        <v>4.3319855600481337E-3</v>
      </c>
      <c r="BE469" s="583">
        <f t="shared" si="1043"/>
        <v>2.1659927800240664E-2</v>
      </c>
      <c r="BF469" s="583">
        <f t="shared" si="1044"/>
        <v>0</v>
      </c>
      <c r="BG469" s="583">
        <f t="shared" si="1045"/>
        <v>2.1659927800240669E-3</v>
      </c>
      <c r="BH469" s="583">
        <f t="shared" si="1046"/>
        <v>0</v>
      </c>
      <c r="BI469" s="583">
        <f t="shared" si="1047"/>
        <v>0</v>
      </c>
      <c r="BJ469" s="583">
        <f t="shared" si="1048"/>
        <v>0</v>
      </c>
      <c r="BK469" s="583">
        <f t="shared" si="1049"/>
        <v>0</v>
      </c>
      <c r="BL469" s="583">
        <f t="shared" si="1050"/>
        <v>0</v>
      </c>
      <c r="BM469" s="583">
        <f t="shared" si="1051"/>
        <v>0</v>
      </c>
      <c r="BN469" s="583">
        <f t="shared" si="1052"/>
        <v>0</v>
      </c>
      <c r="BO469" s="583">
        <f t="shared" si="1053"/>
        <v>0</v>
      </c>
      <c r="BP469" s="583">
        <f t="shared" si="1054"/>
        <v>0</v>
      </c>
      <c r="BQ469" s="583">
        <f t="shared" si="1055"/>
        <v>0</v>
      </c>
      <c r="BR469" s="583">
        <f t="shared" si="1056"/>
        <v>0</v>
      </c>
    </row>
    <row r="470" spans="1:70" s="229" customFormat="1" ht="15" customHeight="1">
      <c r="A470" s="504"/>
      <c r="D470" s="85"/>
      <c r="E470" s="576">
        <f t="shared" si="1057"/>
        <v>100</v>
      </c>
      <c r="F470" s="707"/>
      <c r="G470" s="406" t="s">
        <v>3142</v>
      </c>
      <c r="H470" s="578" t="s">
        <v>498</v>
      </c>
      <c r="I470" s="85">
        <v>3</v>
      </c>
      <c r="J470" s="682">
        <v>1</v>
      </c>
      <c r="K470" s="579">
        <f t="shared" si="1031"/>
        <v>0.33</v>
      </c>
      <c r="L470" s="580">
        <f>IF(H470="Select ingredient:","",IF(G470="","",_xlfn.IFNA(VLOOKUP($H470,Ingredient_prices!$E:$U,16,FALSE),0)))</f>
        <v>45.6</v>
      </c>
      <c r="M470" s="850"/>
      <c r="N470" s="850"/>
      <c r="O470" s="666"/>
      <c r="P470" s="670"/>
      <c r="Q470" s="583">
        <f t="shared" si="1032"/>
        <v>3</v>
      </c>
      <c r="R470" s="583">
        <f>VLOOKUP($H470,'CO2_emission+%_food_waste'!$A:$K,6,FALSE)*$Q470/100</f>
        <v>0.92400000000000004</v>
      </c>
      <c r="S470" s="583">
        <f t="shared" si="1033"/>
        <v>2.0760000000000001</v>
      </c>
      <c r="T470" s="583">
        <f>IF(H470="Select ingredient:","",IF(G470="Select food category:","",_xlfn.IFNA(VLOOKUP($H470,Ingredient_prices!$E:$U,16,FALSE)*$Q470/1000,"not bought")))</f>
        <v>0.1368</v>
      </c>
      <c r="U470" s="583">
        <f>IF(G470="Select food category:","",_xlfn.IFNA(VLOOKUP($H470,Ingredient_prices!$E:$U,16,FALSE)*$R470/1000,"not bought"))</f>
        <v>4.2134400000000009E-2</v>
      </c>
      <c r="V470" s="549">
        <f>VLOOKUP($H470,'CO2_emission+%_food_waste'!$A:$K,4,FALSE)*$Q470</f>
        <v>4.8000000000000007</v>
      </c>
      <c r="W470" s="583">
        <f>VLOOKUP($H470,Nutrition_tables!$A:$N,10,FALSE)*$Q470/100</f>
        <v>0.96</v>
      </c>
      <c r="X470" s="583">
        <f>VLOOKUP($H470,Nutrition_tables!$A:$N,11,FALSE)*$Q470/100</f>
        <v>0.28799999999999992</v>
      </c>
      <c r="Y470" s="583">
        <f>VLOOKUP($H470,Nutrition_tables!$A:$N,12,FALSE)*$Q470/100</f>
        <v>8.9999999999999998E-4</v>
      </c>
      <c r="Z470" s="583">
        <f>VLOOKUP($H470,Nutrition_tables!$A:$N,14,FALSE)*$Q470/100</f>
        <v>0</v>
      </c>
      <c r="AA470" s="583">
        <f>VLOOKUP($H470,Nutrition_tables!$A:$AF,13,FALSE)*$Q470/100</f>
        <v>0</v>
      </c>
      <c r="AB470" s="549">
        <f>VLOOKUP($H470,Nutrition_tables!$A:$AF,15,FALSE)*$Q470/100</f>
        <v>0</v>
      </c>
      <c r="AC470" s="583">
        <f>VLOOKUP($H470,Nutrition_tables!$A:$AF,16,FALSE)*$Q470/100</f>
        <v>0.6</v>
      </c>
      <c r="AD470" s="583">
        <f>VLOOKUP($H470,Nutrition_tables!$A:$AF,17,FALSE)*$Q470/100</f>
        <v>2.6699999999999995</v>
      </c>
      <c r="AE470" s="583">
        <f>VLOOKUP($H470,Nutrition_tables!$A:$AF,18,FALSE)*$Q470/100</f>
        <v>0.44999999999999996</v>
      </c>
      <c r="AF470" s="583">
        <f>VLOOKUP($H470,Nutrition_tables!$A:$AF,19,FALSE)*$Q470/100</f>
        <v>0.66</v>
      </c>
      <c r="AG470" s="583">
        <f>VLOOKUP($H470,Nutrition_tables!$A:$AF,20,FALSE)*$Q470/100</f>
        <v>0.96</v>
      </c>
      <c r="AH470" s="583">
        <f>VLOOKUP($H470,Nutrition_tables!$A:$AF,21,FALSE)*$Q470/100</f>
        <v>1.4999999999999999E-2</v>
      </c>
      <c r="AI470" s="583">
        <f>VLOOKUP($H470,Nutrition_tables!$A:$AF,22,FALSE)*$Q470/100</f>
        <v>1.8900000000000001E-4</v>
      </c>
      <c r="AJ470" s="549">
        <f>VLOOKUP($H470,Nutrition_tables!$A:$AF,23,FALSE)*$Q470/100</f>
        <v>0</v>
      </c>
      <c r="AK470" s="583">
        <f>VLOOKUP($H470,Nutrition_tables!$A:$AF,24,FALSE)*$Q470/100</f>
        <v>0</v>
      </c>
      <c r="AL470" s="583">
        <f>VLOOKUP($H470,Nutrition_tables!$A:$AF,25,FALSE)*$Q470/100</f>
        <v>0</v>
      </c>
      <c r="AM470" s="583">
        <f>VLOOKUP($H470,Nutrition_tables!$A:$AF,26,FALSE)*$Q470/100</f>
        <v>0</v>
      </c>
      <c r="AN470" s="583">
        <f>VLOOKUP($H470,Nutrition_tables!$A:$AF,27,FALSE)*$Q470/100</f>
        <v>0</v>
      </c>
      <c r="AO470" s="583">
        <f>VLOOKUP($H470,Nutrition_tables!$A:$AF,28,FALSE)*$Q470/100</f>
        <v>0</v>
      </c>
      <c r="AP470" s="583">
        <f>VLOOKUP($H470,Nutrition_tables!$A:$AF,29,FALSE)*$Q470/100</f>
        <v>0</v>
      </c>
      <c r="AQ470" s="583">
        <f>VLOOKUP($H470,Nutrition_tables!$A:$AF,30,FALSE)*$Q470/100</f>
        <v>0</v>
      </c>
      <c r="AR470" s="583">
        <f>VLOOKUP($H470,Nutrition_tables!$A:$AF,31,FALSE)*$Q470/100</f>
        <v>0</v>
      </c>
      <c r="AS470" s="549">
        <f>VLOOKUP($H470,Nutrition_tables!$A:$AF,32,FALSE)*$Q470/100</f>
        <v>0</v>
      </c>
      <c r="AT470" s="583">
        <f>IF(H470="Select ingredient:","",IF(G470="Select food category:","",IFERROR(VLOOKUP($H470,Ingredient_prices!$E:$W,17,FALSE)*$Q470/1000,"not bought")))</f>
        <v>0.1368</v>
      </c>
      <c r="AU470" s="583">
        <f>IF(H470="Select ingredient:","",IF(G470="Select food category:","",IFERROR(VLOOKUP($H470,Ingredient_prices!$E:$W,18,FALSE)*$Q470/1000,"not bought")))</f>
        <v>0.1368</v>
      </c>
      <c r="AV470" s="583">
        <f t="shared" si="1034"/>
        <v>0.66431778560738131</v>
      </c>
      <c r="AW470" s="583">
        <f t="shared" si="1035"/>
        <v>0.19929533568221433</v>
      </c>
      <c r="AX470" s="583">
        <f t="shared" si="1036"/>
        <v>6.2279792400692004E-4</v>
      </c>
      <c r="AY470" s="583">
        <f t="shared" si="1037"/>
        <v>0</v>
      </c>
      <c r="AZ470" s="583">
        <f t="shared" si="1038"/>
        <v>0</v>
      </c>
      <c r="BA470" s="583">
        <f t="shared" si="1039"/>
        <v>0</v>
      </c>
      <c r="BB470" s="583">
        <f t="shared" si="1040"/>
        <v>0.41519861600461333</v>
      </c>
      <c r="BC470" s="583">
        <f t="shared" si="1041"/>
        <v>1.8476338412205289</v>
      </c>
      <c r="BD470" s="583">
        <f t="shared" si="1042"/>
        <v>0.31139896200345996</v>
      </c>
      <c r="BE470" s="583">
        <f t="shared" si="1043"/>
        <v>0.45671847760507467</v>
      </c>
      <c r="BF470" s="583">
        <f t="shared" si="1044"/>
        <v>0.66431778560738131</v>
      </c>
      <c r="BG470" s="583">
        <f t="shared" si="1045"/>
        <v>1.0379965400115333E-2</v>
      </c>
      <c r="BH470" s="583">
        <f t="shared" si="1046"/>
        <v>1.3078756404145321E-4</v>
      </c>
      <c r="BI470" s="583">
        <f t="shared" si="1047"/>
        <v>0</v>
      </c>
      <c r="BJ470" s="583">
        <f t="shared" si="1048"/>
        <v>0</v>
      </c>
      <c r="BK470" s="583">
        <f t="shared" si="1049"/>
        <v>0</v>
      </c>
      <c r="BL470" s="583">
        <f t="shared" si="1050"/>
        <v>0</v>
      </c>
      <c r="BM470" s="583">
        <f t="shared" si="1051"/>
        <v>0</v>
      </c>
      <c r="BN470" s="583">
        <f t="shared" si="1052"/>
        <v>0</v>
      </c>
      <c r="BO470" s="583">
        <f t="shared" si="1053"/>
        <v>0</v>
      </c>
      <c r="BP470" s="583">
        <f t="shared" si="1054"/>
        <v>0</v>
      </c>
      <c r="BQ470" s="583">
        <f t="shared" si="1055"/>
        <v>0</v>
      </c>
      <c r="BR470" s="583">
        <f t="shared" si="1056"/>
        <v>0</v>
      </c>
    </row>
    <row r="471" spans="1:70" s="229" customFormat="1" ht="15" customHeight="1">
      <c r="A471" s="504"/>
      <c r="D471" s="85"/>
      <c r="E471" s="576">
        <f t="shared" si="1057"/>
        <v>100</v>
      </c>
      <c r="F471" s="707"/>
      <c r="G471" s="406" t="s">
        <v>3076</v>
      </c>
      <c r="H471" s="578" t="s">
        <v>495</v>
      </c>
      <c r="I471" s="85">
        <v>0.1</v>
      </c>
      <c r="J471" s="682">
        <v>1</v>
      </c>
      <c r="K471" s="579">
        <f t="shared" si="1031"/>
        <v>1.1000000000000001E-2</v>
      </c>
      <c r="L471" s="580">
        <f>IF(H471="Select ingredient:","",IF(G471="","",_xlfn.IFNA(VLOOKUP($H471,Ingredient_prices!$E:$U,16,FALSE),0)))</f>
        <v>33.6</v>
      </c>
      <c r="M471" s="850"/>
      <c r="N471" s="850"/>
      <c r="O471" s="666"/>
      <c r="P471" s="670"/>
      <c r="Q471" s="583">
        <f t="shared" si="1032"/>
        <v>0.1</v>
      </c>
      <c r="R471" s="583">
        <f>VLOOKUP($H471,'CO2_emission+%_food_waste'!$A:$K,6,FALSE)*$Q471/100</f>
        <v>3.1E-2</v>
      </c>
      <c r="S471" s="583">
        <f t="shared" si="1033"/>
        <v>6.9000000000000006E-2</v>
      </c>
      <c r="T471" s="583">
        <f>IF(H471="Select ingredient:","",IF(G471="Select food category:","",_xlfn.IFNA(VLOOKUP($H471,Ingredient_prices!$E:$U,16,FALSE)*$Q471/1000,"not bought")))</f>
        <v>3.3600000000000001E-3</v>
      </c>
      <c r="U471" s="583">
        <f>IF(G471="Select food category:","",_xlfn.IFNA(VLOOKUP($H471,Ingredient_prices!$E:$U,16,FALSE)*$R471/1000,"not bought"))</f>
        <v>1.0416000000000002E-3</v>
      </c>
      <c r="V471" s="549">
        <f>VLOOKUP($H471,'CO2_emission+%_food_waste'!$A:$K,4,FALSE)*$Q471</f>
        <v>1.7999999999999999E-2</v>
      </c>
      <c r="W471" s="583">
        <f>VLOOKUP($H471,Nutrition_tables!$A:$N,10,FALSE)*$Q471/100</f>
        <v>0</v>
      </c>
      <c r="X471" s="583">
        <f>VLOOKUP($H471,Nutrition_tables!$A:$N,11,FALSE)*$Q471/100</f>
        <v>0</v>
      </c>
      <c r="Y471" s="583">
        <f>VLOOKUP($H471,Nutrition_tables!$A:$N,12,FALSE)*$Q471/100</f>
        <v>0</v>
      </c>
      <c r="Z471" s="583">
        <f>VLOOKUP($H471,Nutrition_tables!$A:$N,14,FALSE)*$Q471/100</f>
        <v>0</v>
      </c>
      <c r="AA471" s="583">
        <f>VLOOKUP($H471,Nutrition_tables!$A:$AF,13,FALSE)*$Q471/100</f>
        <v>0</v>
      </c>
      <c r="AB471" s="549">
        <f>VLOOKUP($H471,Nutrition_tables!$A:$AF,15,FALSE)*$Q471/100</f>
        <v>0</v>
      </c>
      <c r="AC471" s="583">
        <f>VLOOKUP($H471,Nutrition_tables!$A:$AF,16,FALSE)*$Q471/100</f>
        <v>38.85</v>
      </c>
      <c r="AD471" s="583">
        <f>VLOOKUP($H471,Nutrition_tables!$A:$AF,17,FALSE)*$Q471/100</f>
        <v>0.11599999999999999</v>
      </c>
      <c r="AE471" s="583">
        <f>VLOOKUP($H471,Nutrition_tables!$A:$AF,18,FALSE)*$Q471/100</f>
        <v>1.9000000000000003E-2</v>
      </c>
      <c r="AF471" s="583">
        <f>VLOOKUP($H471,Nutrition_tables!$A:$AF,19,FALSE)*$Q471/100</f>
        <v>0.26500000000000001</v>
      </c>
      <c r="AG471" s="583">
        <f>VLOOKUP($H471,Nutrition_tables!$A:$AF,20,FALSE)*$Q471/100</f>
        <v>8.0000000000000002E-3</v>
      </c>
      <c r="AH471" s="583">
        <f>VLOOKUP($H471,Nutrition_tables!$A:$AF,21,FALSE)*$Q471/100</f>
        <v>2.0000000000000002E-5</v>
      </c>
      <c r="AI471" s="583">
        <f>VLOOKUP($H471,Nutrition_tables!$A:$AF,22,FALSE)*$Q471/100</f>
        <v>1.0000000000000002E-4</v>
      </c>
      <c r="AJ471" s="549">
        <f>VLOOKUP($H471,Nutrition_tables!$A:$AF,23,FALSE)*$Q471/100</f>
        <v>3.0000000000000001E-5</v>
      </c>
      <c r="AK471" s="583">
        <f>VLOOKUP($H471,Nutrition_tables!$A:$AF,24,FALSE)*$Q471/100</f>
        <v>0</v>
      </c>
      <c r="AL471" s="583">
        <f>VLOOKUP($H471,Nutrition_tables!$A:$AF,25,FALSE)*$Q471/100</f>
        <v>0</v>
      </c>
      <c r="AM471" s="583">
        <f>VLOOKUP($H471,Nutrition_tables!$A:$AF,26,FALSE)*$Q471/100</f>
        <v>0</v>
      </c>
      <c r="AN471" s="583">
        <f>VLOOKUP($H471,Nutrition_tables!$A:$AF,27,FALSE)*$Q471/100</f>
        <v>0</v>
      </c>
      <c r="AO471" s="583">
        <f>VLOOKUP($H471,Nutrition_tables!$A:$AF,28,FALSE)*$Q471/100</f>
        <v>0</v>
      </c>
      <c r="AP471" s="583">
        <f>VLOOKUP($H471,Nutrition_tables!$A:$AF,29,FALSE)*$Q471/100</f>
        <v>0</v>
      </c>
      <c r="AQ471" s="583">
        <f>VLOOKUP($H471,Nutrition_tables!$A:$AF,30,FALSE)*$Q471/100</f>
        <v>0</v>
      </c>
      <c r="AR471" s="583">
        <f>VLOOKUP($H471,Nutrition_tables!$A:$AF,31,FALSE)*$Q471/100</f>
        <v>0</v>
      </c>
      <c r="AS471" s="549">
        <f>VLOOKUP($H471,Nutrition_tables!$A:$AF,32,FALSE)*$Q471/100</f>
        <v>0</v>
      </c>
      <c r="AT471" s="583">
        <f>IF(H471="Select ingredient:","",IF(G471="Select food category:","",IFERROR(VLOOKUP($H471,Ingredient_prices!$E:$W,17,FALSE)*$Q471/1000,"not bought")))</f>
        <v>3.3600000000000001E-3</v>
      </c>
      <c r="AU471" s="583">
        <f>IF(H471="Select ingredient:","",IF(G471="Select food category:","",IFERROR(VLOOKUP($H471,Ingredient_prices!$E:$W,18,FALSE)*$Q471/1000,"not bought")))</f>
        <v>3.3600000000000001E-3</v>
      </c>
      <c r="AV471" s="583">
        <f t="shared" si="1034"/>
        <v>0</v>
      </c>
      <c r="AW471" s="583">
        <f t="shared" si="1035"/>
        <v>0</v>
      </c>
      <c r="AX471" s="583">
        <f t="shared" si="1036"/>
        <v>0</v>
      </c>
      <c r="AY471" s="583">
        <f t="shared" si="1037"/>
        <v>0</v>
      </c>
      <c r="AZ471" s="583">
        <f t="shared" si="1038"/>
        <v>0</v>
      </c>
      <c r="BA471" s="583">
        <f t="shared" si="1039"/>
        <v>0</v>
      </c>
      <c r="BB471" s="583">
        <f t="shared" si="1040"/>
        <v>26.803819618038201</v>
      </c>
      <c r="BC471" s="583">
        <f t="shared" si="1041"/>
        <v>8.0031996800319971E-2</v>
      </c>
      <c r="BD471" s="583">
        <f t="shared" si="1042"/>
        <v>1.3108689131086895E-2</v>
      </c>
      <c r="BE471" s="583">
        <f t="shared" si="1043"/>
        <v>0.1828317168283172</v>
      </c>
      <c r="BF471" s="583">
        <f t="shared" si="1044"/>
        <v>5.5194480551944815E-3</v>
      </c>
      <c r="BG471" s="583">
        <f t="shared" si="1045"/>
        <v>1.3798620137986202E-5</v>
      </c>
      <c r="BH471" s="583">
        <f t="shared" si="1046"/>
        <v>6.8993100689931024E-5</v>
      </c>
      <c r="BI471" s="583">
        <f t="shared" si="1047"/>
        <v>2.0697930206979303E-5</v>
      </c>
      <c r="BJ471" s="583">
        <f t="shared" si="1048"/>
        <v>0</v>
      </c>
      <c r="BK471" s="583">
        <f t="shared" si="1049"/>
        <v>0</v>
      </c>
      <c r="BL471" s="583">
        <f t="shared" si="1050"/>
        <v>0</v>
      </c>
      <c r="BM471" s="583">
        <f t="shared" si="1051"/>
        <v>0</v>
      </c>
      <c r="BN471" s="583">
        <f t="shared" si="1052"/>
        <v>0</v>
      </c>
      <c r="BO471" s="583">
        <f t="shared" si="1053"/>
        <v>0</v>
      </c>
      <c r="BP471" s="583">
        <f t="shared" si="1054"/>
        <v>0</v>
      </c>
      <c r="BQ471" s="583">
        <f t="shared" si="1055"/>
        <v>0</v>
      </c>
      <c r="BR471" s="583">
        <f t="shared" si="1056"/>
        <v>0</v>
      </c>
    </row>
    <row r="472" spans="1:70" s="229" customFormat="1" ht="15" customHeight="1">
      <c r="A472" s="504"/>
      <c r="D472" s="85"/>
      <c r="E472" s="576">
        <f t="shared" si="1057"/>
        <v>100</v>
      </c>
      <c r="F472" s="707"/>
      <c r="G472" s="406" t="s">
        <v>3054</v>
      </c>
      <c r="H472" s="1262" t="s">
        <v>3055</v>
      </c>
      <c r="I472" s="85">
        <v>0</v>
      </c>
      <c r="J472" s="682">
        <v>1</v>
      </c>
      <c r="K472" s="579" t="str">
        <f t="shared" si="1031"/>
        <v/>
      </c>
      <c r="L472" s="580" t="str">
        <f>IF(H472="Select ingredient:","",IF(G472="","",_xlfn.IFNA(VLOOKUP($H472,Ingredient_prices!$E:$U,16,FALSE),0)))</f>
        <v/>
      </c>
      <c r="M472" s="850"/>
      <c r="N472" s="850"/>
      <c r="O472" s="666"/>
      <c r="P472" s="670"/>
      <c r="Q472" s="583">
        <f t="shared" si="1032"/>
        <v>0</v>
      </c>
      <c r="R472" s="583">
        <f>VLOOKUP($H472,'CO2_emission+%_food_waste'!$A:$K,6,FALSE)*$Q472/100</f>
        <v>0</v>
      </c>
      <c r="S472" s="583">
        <f t="shared" si="1033"/>
        <v>0</v>
      </c>
      <c r="T472" s="583" t="str">
        <f>IF(H472="Select ingredient:","",IF(G472="Select food category:","",_xlfn.IFNA(VLOOKUP($H472,Ingredient_prices!$E:$U,16,FALSE)*$Q472/1000,"not bought")))</f>
        <v/>
      </c>
      <c r="U472" s="583" t="str">
        <f>IF(G472="Select food category:","",_xlfn.IFNA(VLOOKUP($H472,Ingredient_prices!$E:$U,16,FALSE)*$R472/1000,"not bought"))</f>
        <v/>
      </c>
      <c r="V472" s="549">
        <f>VLOOKUP($H472,'CO2_emission+%_food_waste'!$A:$K,4,FALSE)*$Q472</f>
        <v>0</v>
      </c>
      <c r="W472" s="583">
        <f>VLOOKUP($H472,Nutrition_tables!$A:$N,10,FALSE)*$Q472/100</f>
        <v>0</v>
      </c>
      <c r="X472" s="583">
        <f>VLOOKUP($H472,Nutrition_tables!$A:$N,11,FALSE)*$Q472/100</f>
        <v>0</v>
      </c>
      <c r="Y472" s="583">
        <f>VLOOKUP($H472,Nutrition_tables!$A:$N,12,FALSE)*$Q472/100</f>
        <v>0</v>
      </c>
      <c r="Z472" s="583">
        <f>VLOOKUP($H472,Nutrition_tables!$A:$N,14,FALSE)*$Q472/100</f>
        <v>0</v>
      </c>
      <c r="AA472" s="583">
        <f>VLOOKUP($H472,Nutrition_tables!$A:$AF,13,FALSE)*$Q472/100</f>
        <v>0</v>
      </c>
      <c r="AB472" s="549">
        <f>VLOOKUP($H472,Nutrition_tables!$A:$AF,15,FALSE)*$Q472/100</f>
        <v>0</v>
      </c>
      <c r="AC472" s="583">
        <f>VLOOKUP($H472,Nutrition_tables!$A:$AF,16,FALSE)*$Q472/100</f>
        <v>0</v>
      </c>
      <c r="AD472" s="583">
        <f>VLOOKUP($H472,Nutrition_tables!$A:$AF,17,FALSE)*$Q472/100</f>
        <v>0</v>
      </c>
      <c r="AE472" s="583">
        <f>VLOOKUP($H472,Nutrition_tables!$A:$AF,18,FALSE)*$Q472/100</f>
        <v>0</v>
      </c>
      <c r="AF472" s="583">
        <f>VLOOKUP($H472,Nutrition_tables!$A:$AF,19,FALSE)*$Q472/100</f>
        <v>0</v>
      </c>
      <c r="AG472" s="583">
        <f>VLOOKUP($H472,Nutrition_tables!$A:$AF,20,FALSE)*$Q472/100</f>
        <v>0</v>
      </c>
      <c r="AH472" s="583">
        <f>VLOOKUP($H472,Nutrition_tables!$A:$AF,21,FALSE)*$Q472/100</f>
        <v>0</v>
      </c>
      <c r="AI472" s="583">
        <f>VLOOKUP($H472,Nutrition_tables!$A:$AF,22,FALSE)*$Q472/100</f>
        <v>0</v>
      </c>
      <c r="AJ472" s="549">
        <f>VLOOKUP($H472,Nutrition_tables!$A:$AF,23,FALSE)*$Q472/100</f>
        <v>0</v>
      </c>
      <c r="AK472" s="583">
        <f>VLOOKUP($H472,Nutrition_tables!$A:$AF,24,FALSE)*$Q472/100</f>
        <v>0</v>
      </c>
      <c r="AL472" s="583">
        <f>VLOOKUP($H472,Nutrition_tables!$A:$AF,25,FALSE)*$Q472/100</f>
        <v>0</v>
      </c>
      <c r="AM472" s="583">
        <f>VLOOKUP($H472,Nutrition_tables!$A:$AF,26,FALSE)*$Q472/100</f>
        <v>0</v>
      </c>
      <c r="AN472" s="583">
        <f>VLOOKUP($H472,Nutrition_tables!$A:$AF,27,FALSE)*$Q472/100</f>
        <v>0</v>
      </c>
      <c r="AO472" s="583">
        <f>VLOOKUP($H472,Nutrition_tables!$A:$AF,28,FALSE)*$Q472/100</f>
        <v>0</v>
      </c>
      <c r="AP472" s="583">
        <f>VLOOKUP($H472,Nutrition_tables!$A:$AF,29,FALSE)*$Q472/100</f>
        <v>0</v>
      </c>
      <c r="AQ472" s="583">
        <f>VLOOKUP($H472,Nutrition_tables!$A:$AF,30,FALSE)*$Q472/100</f>
        <v>0</v>
      </c>
      <c r="AR472" s="583">
        <f>VLOOKUP($H472,Nutrition_tables!$A:$AF,31,FALSE)*$Q472/100</f>
        <v>0</v>
      </c>
      <c r="AS472" s="549">
        <f>VLOOKUP($H472,Nutrition_tables!$A:$AF,32,FALSE)*$Q472/100</f>
        <v>0</v>
      </c>
      <c r="AT472" s="583" t="str">
        <f>IF(H472="Select ingredient:","",IF(G472="Select food category:","",IFERROR(VLOOKUP($H472,Ingredient_prices!$E:$W,17,FALSE)*$Q472/1000,"not bought")))</f>
        <v/>
      </c>
      <c r="AU472" s="583" t="str">
        <f>IF(H472="Select ingredient:","",IF(G472="Select food category:","",IFERROR(VLOOKUP($H472,Ingredient_prices!$E:$W,18,FALSE)*$Q472/1000,"not bought")))</f>
        <v/>
      </c>
      <c r="AV472" s="583">
        <f t="shared" si="1034"/>
        <v>0</v>
      </c>
      <c r="AW472" s="583">
        <f t="shared" si="1035"/>
        <v>0</v>
      </c>
      <c r="AX472" s="583">
        <f t="shared" si="1036"/>
        <v>0</v>
      </c>
      <c r="AY472" s="583">
        <f t="shared" si="1037"/>
        <v>0</v>
      </c>
      <c r="AZ472" s="583">
        <f t="shared" si="1038"/>
        <v>0</v>
      </c>
      <c r="BA472" s="583">
        <f t="shared" si="1039"/>
        <v>0</v>
      </c>
      <c r="BB472" s="583">
        <f t="shared" si="1040"/>
        <v>0</v>
      </c>
      <c r="BC472" s="583">
        <f t="shared" si="1041"/>
        <v>0</v>
      </c>
      <c r="BD472" s="583">
        <f t="shared" si="1042"/>
        <v>0</v>
      </c>
      <c r="BE472" s="583">
        <f t="shared" si="1043"/>
        <v>0</v>
      </c>
      <c r="BF472" s="583">
        <f t="shared" si="1044"/>
        <v>0</v>
      </c>
      <c r="BG472" s="583">
        <f t="shared" si="1045"/>
        <v>0</v>
      </c>
      <c r="BH472" s="583">
        <f t="shared" si="1046"/>
        <v>0</v>
      </c>
      <c r="BI472" s="583">
        <f t="shared" si="1047"/>
        <v>0</v>
      </c>
      <c r="BJ472" s="583">
        <f t="shared" si="1048"/>
        <v>0</v>
      </c>
      <c r="BK472" s="583">
        <f t="shared" si="1049"/>
        <v>0</v>
      </c>
      <c r="BL472" s="583">
        <f t="shared" si="1050"/>
        <v>0</v>
      </c>
      <c r="BM472" s="583">
        <f t="shared" si="1051"/>
        <v>0</v>
      </c>
      <c r="BN472" s="583">
        <f t="shared" si="1052"/>
        <v>0</v>
      </c>
      <c r="BO472" s="583">
        <f t="shared" si="1053"/>
        <v>0</v>
      </c>
      <c r="BP472" s="583">
        <f t="shared" si="1054"/>
        <v>0</v>
      </c>
      <c r="BQ472" s="583">
        <f t="shared" si="1055"/>
        <v>0</v>
      </c>
      <c r="BR472" s="583">
        <f t="shared" si="1056"/>
        <v>0</v>
      </c>
    </row>
    <row r="473" spans="1:70" s="229" customFormat="1" ht="15" customHeight="1">
      <c r="A473" s="504"/>
      <c r="D473" s="85"/>
      <c r="E473" s="576">
        <f t="shared" si="1057"/>
        <v>100</v>
      </c>
      <c r="F473" s="707" t="s">
        <v>21</v>
      </c>
      <c r="G473" s="406" t="s">
        <v>3079</v>
      </c>
      <c r="H473" s="578" t="s">
        <v>3365</v>
      </c>
      <c r="I473" s="85">
        <v>75</v>
      </c>
      <c r="J473" s="682">
        <v>1</v>
      </c>
      <c r="K473" s="579">
        <f t="shared" si="1031"/>
        <v>8.25</v>
      </c>
      <c r="L473" s="580">
        <f>IF(H473="Select ingredient:","",IF(G473="","",_xlfn.IFNA(VLOOKUP($H473,Ingredient_prices!$E:$U,16,FALSE),0)))</f>
        <v>70.400000000000006</v>
      </c>
      <c r="M473" s="850"/>
      <c r="N473" s="850"/>
      <c r="O473" s="666"/>
      <c r="P473" s="670"/>
      <c r="Q473" s="583">
        <f t="shared" si="1032"/>
        <v>75</v>
      </c>
      <c r="R473" s="583">
        <f>VLOOKUP($H473,'CO2_emission+%_food_waste'!$A:$K,6,FALSE)*$Q473/100</f>
        <v>29.55</v>
      </c>
      <c r="S473" s="583">
        <f t="shared" si="1033"/>
        <v>45.45</v>
      </c>
      <c r="T473" s="583">
        <f>IF(H473="Select ingredient:","",IF(G473="Select food category:","",_xlfn.IFNA(VLOOKUP($H473,Ingredient_prices!$E:$U,16,FALSE)*$Q473/1000,"not bought")))</f>
        <v>5.28</v>
      </c>
      <c r="U473" s="583">
        <f>IF(G473="Select food category:","",_xlfn.IFNA(VLOOKUP($H473,Ingredient_prices!$E:$U,16,FALSE)*$R473/1000,"not bought"))</f>
        <v>2.0803199999999999</v>
      </c>
      <c r="V473" s="549">
        <f>VLOOKUP($H473,'CO2_emission+%_food_waste'!$A:$K,4,FALSE)*$Q473</f>
        <v>121.50000000000001</v>
      </c>
      <c r="W473" s="583">
        <f>VLOOKUP($H473,Nutrition_tables!$A:$N,10,FALSE)*$Q473/100</f>
        <v>197.17500000000001</v>
      </c>
      <c r="X473" s="583">
        <f>VLOOKUP($H473,Nutrition_tables!$A:$N,11,FALSE)*$Q473/100</f>
        <v>38.1</v>
      </c>
      <c r="Y473" s="583">
        <f>VLOOKUP($H473,Nutrition_tables!$A:$N,12,FALSE)*$Q473/100</f>
        <v>5.0999999999999996</v>
      </c>
      <c r="Z473" s="583">
        <f>VLOOKUP($H473,Nutrition_tables!$A:$N,14,FALSE)*$Q473/100</f>
        <v>0.375</v>
      </c>
      <c r="AA473" s="583">
        <f>VLOOKUP($H473,Nutrition_tables!$A:$AF,13,FALSE)*$Q473/100</f>
        <v>3.2250000000000001</v>
      </c>
      <c r="AB473" s="549">
        <f>VLOOKUP($H473,Nutrition_tables!$A:$AF,15,FALSE)*$Q473/100</f>
        <v>7.4999999999999997E-2</v>
      </c>
      <c r="AC473" s="583">
        <f>VLOOKUP($H473,Nutrition_tables!$A:$AF,16,FALSE)*$Q473/100</f>
        <v>382.5</v>
      </c>
      <c r="AD473" s="583">
        <f>VLOOKUP($H473,Nutrition_tables!$A:$AF,17,FALSE)*$Q473/100</f>
        <v>86.25</v>
      </c>
      <c r="AE473" s="583">
        <f>VLOOKUP($H473,Nutrition_tables!$A:$AF,18,FALSE)*$Q473/100</f>
        <v>72.75</v>
      </c>
      <c r="AF473" s="583">
        <f>VLOOKUP($H473,Nutrition_tables!$A:$AF,19,FALSE)*$Q473/100</f>
        <v>18</v>
      </c>
      <c r="AG473" s="583">
        <f>VLOOKUP($H473,Nutrition_tables!$A:$AF,20,FALSE)*$Q473/100</f>
        <v>0</v>
      </c>
      <c r="AH473" s="583">
        <f>VLOOKUP($H473,Nutrition_tables!$A:$AF,21,FALSE)*$Q473/100</f>
        <v>1.125</v>
      </c>
      <c r="AI473" s="583">
        <f>VLOOKUP($H473,Nutrition_tables!$A:$AF,22,FALSE)*$Q473/100</f>
        <v>2.85</v>
      </c>
      <c r="AJ473" s="549">
        <f>VLOOKUP($H473,Nutrition_tables!$A:$AF,23,FALSE)*$Q473/100</f>
        <v>0.23850000000000002</v>
      </c>
      <c r="AK473" s="583">
        <f>VLOOKUP($H473,Nutrition_tables!$A:$AF,24,FALSE)*$Q473/100</f>
        <v>0</v>
      </c>
      <c r="AL473" s="583">
        <f>VLOOKUP($H473,Nutrition_tables!$A:$AF,25,FALSE)*$Q473/100</f>
        <v>0.15</v>
      </c>
      <c r="AM473" s="583">
        <f>VLOOKUP($H473,Nutrition_tables!$A:$AF,26,FALSE)*$Q473/100</f>
        <v>0.06</v>
      </c>
      <c r="AN473" s="583">
        <f>VLOOKUP($H473,Nutrition_tables!$A:$AF,27,FALSE)*$Q473/100</f>
        <v>2.1074999999999999</v>
      </c>
      <c r="AO473" s="583">
        <f>VLOOKUP($H473,Nutrition_tables!$A:$AF,28,FALSE)*$Q473/100</f>
        <v>4.2000000000000003E-2</v>
      </c>
      <c r="AP473" s="583">
        <f>VLOOKUP($H473,Nutrition_tables!$A:$AF,29,FALSE)*$Q473/100</f>
        <v>20.25</v>
      </c>
      <c r="AQ473" s="583">
        <f>VLOOKUP($H473,Nutrition_tables!$A:$AF,30,FALSE)*$Q473/100</f>
        <v>0</v>
      </c>
      <c r="AR473" s="583">
        <f>VLOOKUP($H473,Nutrition_tables!$A:$AF,31,FALSE)*$Q473/100</f>
        <v>7.4999999999999997E-2</v>
      </c>
      <c r="AS473" s="549">
        <f>VLOOKUP($H473,Nutrition_tables!$A:$AF,32,FALSE)*$Q473/100</f>
        <v>8.2500000000000004E-2</v>
      </c>
      <c r="AT473" s="583">
        <f>IF(H473="Select ingredient:","",IF(G473="Select food category:","",IFERROR(VLOOKUP($H473,Ingredient_prices!$E:$W,17,FALSE)*$Q473/1000,"not bought")))</f>
        <v>5.28</v>
      </c>
      <c r="AU473" s="583">
        <f>IF(H473="Select ingredient:","",IF(G473="Select food category:","",IFERROR(VLOOKUP($H473,Ingredient_prices!$E:$W,18,FALSE)*$Q473/1000,"not bought")))</f>
        <v>5.28</v>
      </c>
      <c r="AV473" s="583">
        <f t="shared" si="1034"/>
        <v>119.48803406826212</v>
      </c>
      <c r="AW473" s="583">
        <f t="shared" si="1035"/>
        <v>23.088596921520413</v>
      </c>
      <c r="AX473" s="583">
        <f t="shared" si="1036"/>
        <v>3.0905995879200545</v>
      </c>
      <c r="AY473" s="583">
        <f t="shared" si="1037"/>
        <v>0.22724996970000408</v>
      </c>
      <c r="AZ473" s="583">
        <f t="shared" si="1038"/>
        <v>1.9543497394200349</v>
      </c>
      <c r="BA473" s="583">
        <f t="shared" si="1039"/>
        <v>4.5449993940000807E-2</v>
      </c>
      <c r="BB473" s="583">
        <f t="shared" si="1040"/>
        <v>231.7949690940041</v>
      </c>
      <c r="BC473" s="583">
        <f t="shared" si="1041"/>
        <v>52.267493031000932</v>
      </c>
      <c r="BD473" s="583">
        <f t="shared" si="1042"/>
        <v>44.086494121800783</v>
      </c>
      <c r="BE473" s="583">
        <f t="shared" si="1043"/>
        <v>10.907998545600194</v>
      </c>
      <c r="BF473" s="583">
        <f t="shared" si="1044"/>
        <v>0</v>
      </c>
      <c r="BG473" s="583">
        <f t="shared" si="1045"/>
        <v>0.6817499091000121</v>
      </c>
      <c r="BH473" s="583">
        <f t="shared" si="1046"/>
        <v>1.7270997697200305</v>
      </c>
      <c r="BI473" s="583">
        <f t="shared" si="1047"/>
        <v>0.14453098072920259</v>
      </c>
      <c r="BJ473" s="583">
        <f t="shared" si="1048"/>
        <v>0</v>
      </c>
      <c r="BK473" s="583">
        <f t="shared" si="1049"/>
        <v>9.0899987880001615E-2</v>
      </c>
      <c r="BL473" s="583">
        <f t="shared" si="1050"/>
        <v>3.635999515200064E-2</v>
      </c>
      <c r="BM473" s="583">
        <f t="shared" si="1051"/>
        <v>1.2771448297140227</v>
      </c>
      <c r="BN473" s="583">
        <f t="shared" si="1052"/>
        <v>2.5451996606400455E-2</v>
      </c>
      <c r="BO473" s="583">
        <f t="shared" si="1053"/>
        <v>12.271498363800218</v>
      </c>
      <c r="BP473" s="583">
        <f t="shared" si="1054"/>
        <v>0</v>
      </c>
      <c r="BQ473" s="583">
        <f t="shared" si="1055"/>
        <v>4.5449993940000807E-2</v>
      </c>
      <c r="BR473" s="583">
        <f t="shared" si="1056"/>
        <v>4.9994993334000891E-2</v>
      </c>
    </row>
    <row r="474" spans="1:70" s="229" customFormat="1" ht="15" customHeight="1">
      <c r="A474" s="504"/>
      <c r="D474" s="85"/>
      <c r="E474" s="576">
        <f t="shared" si="1057"/>
        <v>100</v>
      </c>
      <c r="F474" s="707" t="s">
        <v>1748</v>
      </c>
      <c r="G474" s="406" t="s">
        <v>3077</v>
      </c>
      <c r="H474" s="578" t="s">
        <v>3308</v>
      </c>
      <c r="I474" s="85">
        <v>150</v>
      </c>
      <c r="J474" s="682">
        <v>1</v>
      </c>
      <c r="K474" s="579">
        <f t="shared" si="1031"/>
        <v>16.5</v>
      </c>
      <c r="L474" s="580">
        <f>IF(H474="Select ingredient:","",IF(G474="","",_xlfn.IFNA(VLOOKUP($H474,Ingredient_prices!$E:$U,16,FALSE),0)))</f>
        <v>49.5</v>
      </c>
      <c r="M474" s="850"/>
      <c r="N474" s="850"/>
      <c r="O474" s="666"/>
      <c r="P474" s="670"/>
      <c r="Q474" s="583">
        <f t="shared" si="1032"/>
        <v>150</v>
      </c>
      <c r="R474" s="583">
        <f>VLOOKUP($H474,'CO2_emission+%_food_waste'!$A:$K,6,FALSE)*$Q474/100</f>
        <v>32.49</v>
      </c>
      <c r="S474" s="583">
        <f t="shared" si="1033"/>
        <v>117.50999999999999</v>
      </c>
      <c r="T474" s="583">
        <f>IF(H474="Select ingredient:","",IF(G474="Select food category:","",_xlfn.IFNA(VLOOKUP($H474,Ingredient_prices!$E:$U,16,FALSE)*$Q474/1000,"not bought")))</f>
        <v>7.4249999999999998</v>
      </c>
      <c r="U474" s="583">
        <f>IF(G474="Select food category:","",_xlfn.IFNA(VLOOKUP($H474,Ingredient_prices!$E:$U,16,FALSE)*$R474/1000,"not bought"))</f>
        <v>1.6082550000000002</v>
      </c>
      <c r="V474" s="549">
        <f>VLOOKUP($H474,'CO2_emission+%_food_waste'!$A:$K,4,FALSE)*$Q474</f>
        <v>64.5</v>
      </c>
      <c r="W474" s="583">
        <f>VLOOKUP($H474,Nutrition_tables!$A:$N,10,FALSE)*$Q474/100</f>
        <v>67.5</v>
      </c>
      <c r="X474" s="583">
        <f>VLOOKUP($H474,Nutrition_tables!$A:$N,11,FALSE)*$Q474/100</f>
        <v>15</v>
      </c>
      <c r="Y474" s="583">
        <f>VLOOKUP($H474,Nutrition_tables!$A:$N,12,FALSE)*$Q474/100</f>
        <v>0.3</v>
      </c>
      <c r="Z474" s="583">
        <f>VLOOKUP($H474,Nutrition_tables!$A:$N,14,FALSE)*$Q474/100</f>
        <v>0.45</v>
      </c>
      <c r="AA474" s="583">
        <f>VLOOKUP($H474,Nutrition_tables!$A:$AF,13,FALSE)*$Q474/100</f>
        <v>3.6</v>
      </c>
      <c r="AB474" s="549">
        <f>VLOOKUP($H474,Nutrition_tables!$A:$AF,15,FALSE)*$Q474/100</f>
        <v>0.10500000000000002</v>
      </c>
      <c r="AC474" s="583">
        <f>VLOOKUP($H474,Nutrition_tables!$A:$AF,16,FALSE)*$Q474/100</f>
        <v>3</v>
      </c>
      <c r="AD474" s="583">
        <f>VLOOKUP($H474,Nutrition_tables!$A:$AF,17,FALSE)*$Q474/100</f>
        <v>180</v>
      </c>
      <c r="AE474" s="583">
        <f>VLOOKUP($H474,Nutrition_tables!$A:$AF,18,FALSE)*$Q474/100</f>
        <v>9</v>
      </c>
      <c r="AF474" s="583">
        <f>VLOOKUP($H474,Nutrition_tables!$A:$AF,19,FALSE)*$Q474/100</f>
        <v>12.975</v>
      </c>
      <c r="AG474" s="583">
        <f>VLOOKUP($H474,Nutrition_tables!$A:$AF,20,FALSE)*$Q474/100</f>
        <v>18</v>
      </c>
      <c r="AH474" s="583">
        <f>VLOOKUP($H474,Nutrition_tables!$A:$AF,21,FALSE)*$Q474/100</f>
        <v>0.45</v>
      </c>
      <c r="AI474" s="583">
        <f>VLOOKUP($H474,Nutrition_tables!$A:$AF,22,FALSE)*$Q474/100</f>
        <v>0.15</v>
      </c>
      <c r="AJ474" s="549">
        <f>VLOOKUP($H474,Nutrition_tables!$A:$AF,23,FALSE)*$Q474/100</f>
        <v>5.4495000000000002E-2</v>
      </c>
      <c r="AK474" s="583">
        <f>VLOOKUP($H474,Nutrition_tables!$A:$AF,24,FALSE)*$Q474/100</f>
        <v>4.5</v>
      </c>
      <c r="AL474" s="583">
        <f>VLOOKUP($H474,Nutrition_tables!$A:$AF,25,FALSE)*$Q474/100</f>
        <v>0.03</v>
      </c>
      <c r="AM474" s="583">
        <f>VLOOKUP($H474,Nutrition_tables!$A:$AF,26,FALSE)*$Q474/100</f>
        <v>0.03</v>
      </c>
      <c r="AN474" s="583">
        <f>VLOOKUP($H474,Nutrition_tables!$A:$AF,27,FALSE)*$Q474/100</f>
        <v>0.45</v>
      </c>
      <c r="AO474" s="583">
        <f>VLOOKUP($H474,Nutrition_tables!$A:$AF,28,FALSE)*$Q474/100</f>
        <v>0.16500000000000001</v>
      </c>
      <c r="AP474" s="583">
        <f>VLOOKUP($H474,Nutrition_tables!$A:$AF,29,FALSE)*$Q474/100</f>
        <v>1.5</v>
      </c>
      <c r="AQ474" s="583">
        <f>VLOOKUP($H474,Nutrition_tables!$A:$AF,30,FALSE)*$Q474/100</f>
        <v>0</v>
      </c>
      <c r="AR474" s="583">
        <f>VLOOKUP($H474,Nutrition_tables!$A:$AF,31,FALSE)*$Q474/100</f>
        <v>15</v>
      </c>
      <c r="AS474" s="549">
        <f>VLOOKUP($H474,Nutrition_tables!$A:$AF,32,FALSE)*$Q474/100</f>
        <v>0</v>
      </c>
      <c r="AT474" s="583">
        <f>IF(H474="Select ingredient:","",IF(G474="Select food category:","",IFERROR(VLOOKUP($H474,Ingredient_prices!$E:$W,17,FALSE)*$Q474/1000,"not bought")))</f>
        <v>7.4249999999999998</v>
      </c>
      <c r="AU474" s="583">
        <f>IF(H474="Select ingredient:","",IF(G474="Select food category:","",IFERROR(VLOOKUP($H474,Ingredient_prices!$E:$W,18,FALSE)*$Q474/1000,"not bought")))</f>
        <v>7.4249999999999998</v>
      </c>
      <c r="AV474" s="583">
        <f t="shared" si="1034"/>
        <v>52.879496474700233</v>
      </c>
      <c r="AW474" s="583">
        <f t="shared" si="1035"/>
        <v>11.750999216600052</v>
      </c>
      <c r="AX474" s="583">
        <f t="shared" si="1036"/>
        <v>0.235019984332001</v>
      </c>
      <c r="AY474" s="583">
        <f t="shared" si="1037"/>
        <v>0.35252997649800155</v>
      </c>
      <c r="AZ474" s="583">
        <f t="shared" si="1038"/>
        <v>2.8202398119840124</v>
      </c>
      <c r="BA474" s="583">
        <f t="shared" si="1039"/>
        <v>8.2256994516200374E-2</v>
      </c>
      <c r="BB474" s="583">
        <f t="shared" si="1040"/>
        <v>2.3501998433200102</v>
      </c>
      <c r="BC474" s="583">
        <f t="shared" si="1041"/>
        <v>141.01199059920063</v>
      </c>
      <c r="BD474" s="583">
        <f t="shared" si="1042"/>
        <v>7.0505995299600306</v>
      </c>
      <c r="BE474" s="583">
        <f t="shared" si="1043"/>
        <v>10.164614322359045</v>
      </c>
      <c r="BF474" s="583">
        <f t="shared" si="1044"/>
        <v>14.101199059920061</v>
      </c>
      <c r="BG474" s="583">
        <f t="shared" si="1045"/>
        <v>0.35252997649800155</v>
      </c>
      <c r="BH474" s="583">
        <f t="shared" si="1046"/>
        <v>0.1175099921660005</v>
      </c>
      <c r="BI474" s="583">
        <f t="shared" si="1047"/>
        <v>4.2691380153907985E-2</v>
      </c>
      <c r="BJ474" s="583">
        <f t="shared" si="1048"/>
        <v>3.5252997649800153</v>
      </c>
      <c r="BK474" s="583">
        <f t="shared" si="1049"/>
        <v>2.35019984332001E-2</v>
      </c>
      <c r="BL474" s="583">
        <f t="shared" si="1050"/>
        <v>2.35019984332001E-2</v>
      </c>
      <c r="BM474" s="583">
        <f t="shared" si="1051"/>
        <v>0.35252997649800155</v>
      </c>
      <c r="BN474" s="583">
        <f t="shared" si="1052"/>
        <v>0.12926099138260058</v>
      </c>
      <c r="BO474" s="583">
        <f t="shared" si="1053"/>
        <v>1.1750999216600051</v>
      </c>
      <c r="BP474" s="583">
        <f t="shared" si="1054"/>
        <v>0</v>
      </c>
      <c r="BQ474" s="583">
        <f t="shared" si="1055"/>
        <v>11.750999216600052</v>
      </c>
      <c r="BR474" s="583">
        <f t="shared" si="1056"/>
        <v>0</v>
      </c>
    </row>
    <row r="475" spans="1:70" s="229" customFormat="1" ht="15" customHeight="1">
      <c r="A475" s="504"/>
      <c r="D475" s="85"/>
      <c r="E475" s="576">
        <f t="shared" si="1057"/>
        <v>100</v>
      </c>
      <c r="F475" s="707"/>
      <c r="G475" s="406" t="s">
        <v>3054</v>
      </c>
      <c r="H475" s="1262" t="s">
        <v>3055</v>
      </c>
      <c r="I475" s="85">
        <v>0</v>
      </c>
      <c r="J475" s="682">
        <v>1</v>
      </c>
      <c r="K475" s="579" t="str">
        <f t="shared" si="1031"/>
        <v/>
      </c>
      <c r="L475" s="580" t="str">
        <f>IF(H475="Select ingredient:","",IF(G475="","",_xlfn.IFNA(VLOOKUP($H475,Ingredient_prices!$E:$U,16,FALSE),0)))</f>
        <v/>
      </c>
      <c r="M475" s="850"/>
      <c r="N475" s="850"/>
      <c r="O475" s="666"/>
      <c r="P475" s="670"/>
      <c r="Q475" s="583">
        <f t="shared" si="1032"/>
        <v>0</v>
      </c>
      <c r="R475" s="583">
        <f>VLOOKUP($H475,'CO2_emission+%_food_waste'!$A:$K,6,FALSE)*$Q475/100</f>
        <v>0</v>
      </c>
      <c r="S475" s="583">
        <f t="shared" si="1033"/>
        <v>0</v>
      </c>
      <c r="T475" s="583" t="str">
        <f>IF(H475="Select ingredient:","",IF(G475="Select food category:","",_xlfn.IFNA(VLOOKUP($H475,Ingredient_prices!$E:$U,16,FALSE)*$Q475/1000,"not bought")))</f>
        <v/>
      </c>
      <c r="U475" s="583" t="str">
        <f>IF(G475="Select food category:","",_xlfn.IFNA(VLOOKUP($H475,Ingredient_prices!$E:$U,16,FALSE)*$R475/1000,"not bought"))</f>
        <v/>
      </c>
      <c r="V475" s="549">
        <f>VLOOKUP($H475,'CO2_emission+%_food_waste'!$A:$K,4,FALSE)*$Q475</f>
        <v>0</v>
      </c>
      <c r="W475" s="583">
        <f>VLOOKUP($H475,Nutrition_tables!$A:$N,10,FALSE)*$Q475/100</f>
        <v>0</v>
      </c>
      <c r="X475" s="583">
        <f>VLOOKUP($H475,Nutrition_tables!$A:$N,11,FALSE)*$Q475/100</f>
        <v>0</v>
      </c>
      <c r="Y475" s="583">
        <f>VLOOKUP($H475,Nutrition_tables!$A:$N,12,FALSE)*$Q475/100</f>
        <v>0</v>
      </c>
      <c r="Z475" s="583">
        <f>VLOOKUP($H475,Nutrition_tables!$A:$N,14,FALSE)*$Q475/100</f>
        <v>0</v>
      </c>
      <c r="AA475" s="583">
        <f>VLOOKUP($H475,Nutrition_tables!$A:$AF,13,FALSE)*$Q475/100</f>
        <v>0</v>
      </c>
      <c r="AB475" s="549">
        <f>VLOOKUP($H475,Nutrition_tables!$A:$AF,15,FALSE)*$Q475/100</f>
        <v>0</v>
      </c>
      <c r="AC475" s="583">
        <f>VLOOKUP($H475,Nutrition_tables!$A:$AF,16,FALSE)*$Q475/100</f>
        <v>0</v>
      </c>
      <c r="AD475" s="583">
        <f>VLOOKUP($H475,Nutrition_tables!$A:$AF,17,FALSE)*$Q475/100</f>
        <v>0</v>
      </c>
      <c r="AE475" s="583">
        <f>VLOOKUP($H475,Nutrition_tables!$A:$AF,18,FALSE)*$Q475/100</f>
        <v>0</v>
      </c>
      <c r="AF475" s="583">
        <f>VLOOKUP($H475,Nutrition_tables!$A:$AF,19,FALSE)*$Q475/100</f>
        <v>0</v>
      </c>
      <c r="AG475" s="583">
        <f>VLOOKUP($H475,Nutrition_tables!$A:$AF,20,FALSE)*$Q475/100</f>
        <v>0</v>
      </c>
      <c r="AH475" s="583">
        <f>VLOOKUP($H475,Nutrition_tables!$A:$AF,21,FALSE)*$Q475/100</f>
        <v>0</v>
      </c>
      <c r="AI475" s="583">
        <f>VLOOKUP($H475,Nutrition_tables!$A:$AF,22,FALSE)*$Q475/100</f>
        <v>0</v>
      </c>
      <c r="AJ475" s="549">
        <f>VLOOKUP($H475,Nutrition_tables!$A:$AF,23,FALSE)*$Q475/100</f>
        <v>0</v>
      </c>
      <c r="AK475" s="583">
        <f>VLOOKUP($H475,Nutrition_tables!$A:$AF,24,FALSE)*$Q475/100</f>
        <v>0</v>
      </c>
      <c r="AL475" s="583">
        <f>VLOOKUP($H475,Nutrition_tables!$A:$AF,25,FALSE)*$Q475/100</f>
        <v>0</v>
      </c>
      <c r="AM475" s="583">
        <f>VLOOKUP($H475,Nutrition_tables!$A:$AF,26,FALSE)*$Q475/100</f>
        <v>0</v>
      </c>
      <c r="AN475" s="583">
        <f>VLOOKUP($H475,Nutrition_tables!$A:$AF,27,FALSE)*$Q475/100</f>
        <v>0</v>
      </c>
      <c r="AO475" s="583">
        <f>VLOOKUP($H475,Nutrition_tables!$A:$AF,28,FALSE)*$Q475/100</f>
        <v>0</v>
      </c>
      <c r="AP475" s="583">
        <f>VLOOKUP($H475,Nutrition_tables!$A:$AF,29,FALSE)*$Q475/100</f>
        <v>0</v>
      </c>
      <c r="AQ475" s="583">
        <f>VLOOKUP($H475,Nutrition_tables!$A:$AF,30,FALSE)*$Q475/100</f>
        <v>0</v>
      </c>
      <c r="AR475" s="583">
        <f>VLOOKUP($H475,Nutrition_tables!$A:$AF,31,FALSE)*$Q475/100</f>
        <v>0</v>
      </c>
      <c r="AS475" s="549">
        <f>VLOOKUP($H475,Nutrition_tables!$A:$AF,32,FALSE)*$Q475/100</f>
        <v>0</v>
      </c>
      <c r="AT475" s="583" t="str">
        <f>IF(H475="Select ingredient:","",IF(G475="Select food category:","",IFERROR(VLOOKUP($H475,Ingredient_prices!$E:$W,17,FALSE)*$Q475/1000,"not bought")))</f>
        <v/>
      </c>
      <c r="AU475" s="583" t="str">
        <f>IF(H475="Select ingredient:","",IF(G475="Select food category:","",IFERROR(VLOOKUP($H475,Ingredient_prices!$E:$W,18,FALSE)*$Q475/1000,"not bought")))</f>
        <v/>
      </c>
      <c r="AV475" s="583">
        <f t="shared" si="1034"/>
        <v>0</v>
      </c>
      <c r="AW475" s="583">
        <f t="shared" si="1035"/>
        <v>0</v>
      </c>
      <c r="AX475" s="583">
        <f t="shared" si="1036"/>
        <v>0</v>
      </c>
      <c r="AY475" s="583">
        <f t="shared" si="1037"/>
        <v>0</v>
      </c>
      <c r="AZ475" s="583">
        <f t="shared" si="1038"/>
        <v>0</v>
      </c>
      <c r="BA475" s="583">
        <f t="shared" si="1039"/>
        <v>0</v>
      </c>
      <c r="BB475" s="583">
        <f t="shared" si="1040"/>
        <v>0</v>
      </c>
      <c r="BC475" s="583">
        <f t="shared" si="1041"/>
        <v>0</v>
      </c>
      <c r="BD475" s="583">
        <f t="shared" si="1042"/>
        <v>0</v>
      </c>
      <c r="BE475" s="583">
        <f t="shared" si="1043"/>
        <v>0</v>
      </c>
      <c r="BF475" s="583">
        <f t="shared" si="1044"/>
        <v>0</v>
      </c>
      <c r="BG475" s="583">
        <f t="shared" si="1045"/>
        <v>0</v>
      </c>
      <c r="BH475" s="583">
        <f t="shared" si="1046"/>
        <v>0</v>
      </c>
      <c r="BI475" s="583">
        <f t="shared" si="1047"/>
        <v>0</v>
      </c>
      <c r="BJ475" s="583">
        <f t="shared" si="1048"/>
        <v>0</v>
      </c>
      <c r="BK475" s="583">
        <f t="shared" si="1049"/>
        <v>0</v>
      </c>
      <c r="BL475" s="583">
        <f t="shared" si="1050"/>
        <v>0</v>
      </c>
      <c r="BM475" s="583">
        <f t="shared" si="1051"/>
        <v>0</v>
      </c>
      <c r="BN475" s="583">
        <f t="shared" si="1052"/>
        <v>0</v>
      </c>
      <c r="BO475" s="583">
        <f t="shared" si="1053"/>
        <v>0</v>
      </c>
      <c r="BP475" s="583">
        <f t="shared" si="1054"/>
        <v>0</v>
      </c>
      <c r="BQ475" s="583">
        <f t="shared" si="1055"/>
        <v>0</v>
      </c>
      <c r="BR475" s="583">
        <f t="shared" si="1056"/>
        <v>0</v>
      </c>
    </row>
    <row r="476" spans="1:70" s="229" customFormat="1" ht="15" customHeight="1">
      <c r="A476" s="504"/>
      <c r="D476" s="85"/>
      <c r="E476" s="576">
        <f t="shared" si="1057"/>
        <v>100</v>
      </c>
      <c r="F476" s="707"/>
      <c r="G476" s="406" t="s">
        <v>3054</v>
      </c>
      <c r="H476" s="1262" t="s">
        <v>3055</v>
      </c>
      <c r="I476" s="85">
        <v>0</v>
      </c>
      <c r="J476" s="682">
        <v>1</v>
      </c>
      <c r="K476" s="579" t="str">
        <f t="shared" si="1031"/>
        <v/>
      </c>
      <c r="L476" s="580" t="str">
        <f>IF(H476="Select ingredient:","",IF(G476="","",_xlfn.IFNA(VLOOKUP($H476,Ingredient_prices!$E:$U,16,FALSE),0)))</f>
        <v/>
      </c>
      <c r="M476" s="850"/>
      <c r="N476" s="850"/>
      <c r="O476" s="666"/>
      <c r="P476" s="670"/>
      <c r="Q476" s="583">
        <f t="shared" si="1032"/>
        <v>0</v>
      </c>
      <c r="R476" s="583">
        <f>VLOOKUP($H476,'CO2_emission+%_food_waste'!$A:$K,6,FALSE)*$Q476/100</f>
        <v>0</v>
      </c>
      <c r="S476" s="583">
        <f t="shared" si="1033"/>
        <v>0</v>
      </c>
      <c r="T476" s="583" t="str">
        <f>IF(H476="Select ingredient:","",IF(G476="Select food category:","",_xlfn.IFNA(VLOOKUP($H476,Ingredient_prices!$E:$U,16,FALSE)*$Q476/1000,"not bought")))</f>
        <v/>
      </c>
      <c r="U476" s="583" t="str">
        <f>IF(G476="Select food category:","",_xlfn.IFNA(VLOOKUP($H476,Ingredient_prices!$E:$U,16,FALSE)*$R476/1000,"not bought"))</f>
        <v/>
      </c>
      <c r="V476" s="549">
        <f>VLOOKUP($H476,'CO2_emission+%_food_waste'!$A:$K,4,FALSE)*$Q476</f>
        <v>0</v>
      </c>
      <c r="W476" s="583">
        <f>VLOOKUP($H476,Nutrition_tables!$A:$N,10,FALSE)*$Q476/100</f>
        <v>0</v>
      </c>
      <c r="X476" s="583">
        <f>VLOOKUP($H476,Nutrition_tables!$A:$N,11,FALSE)*$Q476/100</f>
        <v>0</v>
      </c>
      <c r="Y476" s="583">
        <f>VLOOKUP($H476,Nutrition_tables!$A:$N,12,FALSE)*$Q476/100</f>
        <v>0</v>
      </c>
      <c r="Z476" s="583">
        <f>VLOOKUP($H476,Nutrition_tables!$A:$N,14,FALSE)*$Q476/100</f>
        <v>0</v>
      </c>
      <c r="AA476" s="583">
        <f>VLOOKUP($H476,Nutrition_tables!$A:$AF,13,FALSE)*$Q476/100</f>
        <v>0</v>
      </c>
      <c r="AB476" s="549">
        <f>VLOOKUP($H476,Nutrition_tables!$A:$AF,15,FALSE)*$Q476/100</f>
        <v>0</v>
      </c>
      <c r="AC476" s="583">
        <f>VLOOKUP($H476,Nutrition_tables!$A:$AF,16,FALSE)*$Q476/100</f>
        <v>0</v>
      </c>
      <c r="AD476" s="583">
        <f>VLOOKUP($H476,Nutrition_tables!$A:$AF,17,FALSE)*$Q476/100</f>
        <v>0</v>
      </c>
      <c r="AE476" s="583">
        <f>VLOOKUP($H476,Nutrition_tables!$A:$AF,18,FALSE)*$Q476/100</f>
        <v>0</v>
      </c>
      <c r="AF476" s="583">
        <f>VLOOKUP($H476,Nutrition_tables!$A:$AF,19,FALSE)*$Q476/100</f>
        <v>0</v>
      </c>
      <c r="AG476" s="583">
        <f>VLOOKUP($H476,Nutrition_tables!$A:$AF,20,FALSE)*$Q476/100</f>
        <v>0</v>
      </c>
      <c r="AH476" s="583">
        <f>VLOOKUP($H476,Nutrition_tables!$A:$AF,21,FALSE)*$Q476/100</f>
        <v>0</v>
      </c>
      <c r="AI476" s="583">
        <f>VLOOKUP($H476,Nutrition_tables!$A:$AF,22,FALSE)*$Q476/100</f>
        <v>0</v>
      </c>
      <c r="AJ476" s="549">
        <f>VLOOKUP($H476,Nutrition_tables!$A:$AF,23,FALSE)*$Q476/100</f>
        <v>0</v>
      </c>
      <c r="AK476" s="583">
        <f>VLOOKUP($H476,Nutrition_tables!$A:$AF,24,FALSE)*$Q476/100</f>
        <v>0</v>
      </c>
      <c r="AL476" s="583">
        <f>VLOOKUP($H476,Nutrition_tables!$A:$AF,25,FALSE)*$Q476/100</f>
        <v>0</v>
      </c>
      <c r="AM476" s="583">
        <f>VLOOKUP($H476,Nutrition_tables!$A:$AF,26,FALSE)*$Q476/100</f>
        <v>0</v>
      </c>
      <c r="AN476" s="583">
        <f>VLOOKUP($H476,Nutrition_tables!$A:$AF,27,FALSE)*$Q476/100</f>
        <v>0</v>
      </c>
      <c r="AO476" s="583">
        <f>VLOOKUP($H476,Nutrition_tables!$A:$AF,28,FALSE)*$Q476/100</f>
        <v>0</v>
      </c>
      <c r="AP476" s="583">
        <f>VLOOKUP($H476,Nutrition_tables!$A:$AF,29,FALSE)*$Q476/100</f>
        <v>0</v>
      </c>
      <c r="AQ476" s="583">
        <f>VLOOKUP($H476,Nutrition_tables!$A:$AF,30,FALSE)*$Q476/100</f>
        <v>0</v>
      </c>
      <c r="AR476" s="583">
        <f>VLOOKUP($H476,Nutrition_tables!$A:$AF,31,FALSE)*$Q476/100</f>
        <v>0</v>
      </c>
      <c r="AS476" s="549">
        <f>VLOOKUP($H476,Nutrition_tables!$A:$AF,32,FALSE)*$Q476/100</f>
        <v>0</v>
      </c>
      <c r="AT476" s="583" t="str">
        <f>IF(H476="Select ingredient:","",IF(G476="Select food category:","",IFERROR(VLOOKUP($H476,Ingredient_prices!$E:$W,17,FALSE)*$Q476/1000,"not bought")))</f>
        <v/>
      </c>
      <c r="AU476" s="583" t="str">
        <f>IF(H476="Select ingredient:","",IF(G476="Select food category:","",IFERROR(VLOOKUP($H476,Ingredient_prices!$E:$W,18,FALSE)*$Q476/1000,"not bought")))</f>
        <v/>
      </c>
      <c r="AV476" s="583">
        <f t="shared" si="1034"/>
        <v>0</v>
      </c>
      <c r="AW476" s="583">
        <f t="shared" si="1035"/>
        <v>0</v>
      </c>
      <c r="AX476" s="583">
        <f t="shared" si="1036"/>
        <v>0</v>
      </c>
      <c r="AY476" s="583">
        <f t="shared" si="1037"/>
        <v>0</v>
      </c>
      <c r="AZ476" s="583">
        <f t="shared" si="1038"/>
        <v>0</v>
      </c>
      <c r="BA476" s="583">
        <f t="shared" si="1039"/>
        <v>0</v>
      </c>
      <c r="BB476" s="583">
        <f t="shared" si="1040"/>
        <v>0</v>
      </c>
      <c r="BC476" s="583">
        <f t="shared" si="1041"/>
        <v>0</v>
      </c>
      <c r="BD476" s="583">
        <f t="shared" si="1042"/>
        <v>0</v>
      </c>
      <c r="BE476" s="583">
        <f t="shared" si="1043"/>
        <v>0</v>
      </c>
      <c r="BF476" s="583">
        <f t="shared" si="1044"/>
        <v>0</v>
      </c>
      <c r="BG476" s="583">
        <f t="shared" si="1045"/>
        <v>0</v>
      </c>
      <c r="BH476" s="583">
        <f t="shared" si="1046"/>
        <v>0</v>
      </c>
      <c r="BI476" s="583">
        <f t="shared" si="1047"/>
        <v>0</v>
      </c>
      <c r="BJ476" s="583">
        <f t="shared" si="1048"/>
        <v>0</v>
      </c>
      <c r="BK476" s="583">
        <f t="shared" si="1049"/>
        <v>0</v>
      </c>
      <c r="BL476" s="583">
        <f t="shared" si="1050"/>
        <v>0</v>
      </c>
      <c r="BM476" s="583">
        <f t="shared" si="1051"/>
        <v>0</v>
      </c>
      <c r="BN476" s="583">
        <f t="shared" si="1052"/>
        <v>0</v>
      </c>
      <c r="BO476" s="583">
        <f t="shared" si="1053"/>
        <v>0</v>
      </c>
      <c r="BP476" s="583">
        <f t="shared" si="1054"/>
        <v>0</v>
      </c>
      <c r="BQ476" s="583">
        <f t="shared" si="1055"/>
        <v>0</v>
      </c>
      <c r="BR476" s="583">
        <f t="shared" si="1056"/>
        <v>0</v>
      </c>
    </row>
    <row r="477" spans="1:70" s="229" customFormat="1" ht="15" customHeight="1">
      <c r="A477" s="504"/>
      <c r="D477" s="85"/>
      <c r="E477" s="576">
        <f t="shared" si="1057"/>
        <v>100</v>
      </c>
      <c r="F477" s="707"/>
      <c r="G477" s="406" t="s">
        <v>3054</v>
      </c>
      <c r="H477" s="1262" t="s">
        <v>3055</v>
      </c>
      <c r="I477" s="85">
        <v>0</v>
      </c>
      <c r="J477" s="682">
        <v>1</v>
      </c>
      <c r="K477" s="579" t="str">
        <f t="shared" si="1031"/>
        <v/>
      </c>
      <c r="L477" s="580" t="str">
        <f>IF(H477="Select ingredient:","",IF(G477="","",_xlfn.IFNA(VLOOKUP($H477,Ingredient_prices!$E:$U,16,FALSE),0)))</f>
        <v/>
      </c>
      <c r="M477" s="850"/>
      <c r="N477" s="850"/>
      <c r="O477" s="666"/>
      <c r="P477" s="670"/>
      <c r="Q477" s="583">
        <f t="shared" si="1032"/>
        <v>0</v>
      </c>
      <c r="R477" s="583">
        <f>VLOOKUP($H477,'CO2_emission+%_food_waste'!$A:$K,6,FALSE)*$Q477/100</f>
        <v>0</v>
      </c>
      <c r="S477" s="583">
        <f t="shared" si="1033"/>
        <v>0</v>
      </c>
      <c r="T477" s="583" t="str">
        <f>IF(H477="Select ingredient:","",IF(G477="Select food category:","",_xlfn.IFNA(VLOOKUP($H477,Ingredient_prices!$E:$U,16,FALSE)*$Q477/1000,"not bought")))</f>
        <v/>
      </c>
      <c r="U477" s="583" t="str">
        <f>IF(G477="Select food category:","",_xlfn.IFNA(VLOOKUP($H477,Ingredient_prices!$E:$U,16,FALSE)*$R477/1000,"not bought"))</f>
        <v/>
      </c>
      <c r="V477" s="549">
        <f>VLOOKUP($H477,'CO2_emission+%_food_waste'!$A:$K,4,FALSE)*$Q477</f>
        <v>0</v>
      </c>
      <c r="W477" s="583">
        <f>VLOOKUP($H477,Nutrition_tables!$A:$N,10,FALSE)*$Q477/100</f>
        <v>0</v>
      </c>
      <c r="X477" s="583">
        <f>VLOOKUP($H477,Nutrition_tables!$A:$N,11,FALSE)*$Q477/100</f>
        <v>0</v>
      </c>
      <c r="Y477" s="583">
        <f>VLOOKUP($H477,Nutrition_tables!$A:$N,12,FALSE)*$Q477/100</f>
        <v>0</v>
      </c>
      <c r="Z477" s="583">
        <f>VLOOKUP($H477,Nutrition_tables!$A:$N,14,FALSE)*$Q477/100</f>
        <v>0</v>
      </c>
      <c r="AA477" s="583">
        <f>VLOOKUP($H477,Nutrition_tables!$A:$AF,13,FALSE)*$Q477/100</f>
        <v>0</v>
      </c>
      <c r="AB477" s="549">
        <f>VLOOKUP($H477,Nutrition_tables!$A:$AF,15,FALSE)*$Q477/100</f>
        <v>0</v>
      </c>
      <c r="AC477" s="583">
        <f>VLOOKUP($H477,Nutrition_tables!$A:$AF,16,FALSE)*$Q477/100</f>
        <v>0</v>
      </c>
      <c r="AD477" s="583">
        <f>VLOOKUP($H477,Nutrition_tables!$A:$AF,17,FALSE)*$Q477/100</f>
        <v>0</v>
      </c>
      <c r="AE477" s="583">
        <f>VLOOKUP($H477,Nutrition_tables!$A:$AF,18,FALSE)*$Q477/100</f>
        <v>0</v>
      </c>
      <c r="AF477" s="583">
        <f>VLOOKUP($H477,Nutrition_tables!$A:$AF,19,FALSE)*$Q477/100</f>
        <v>0</v>
      </c>
      <c r="AG477" s="583">
        <f>VLOOKUP($H477,Nutrition_tables!$A:$AF,20,FALSE)*$Q477/100</f>
        <v>0</v>
      </c>
      <c r="AH477" s="583">
        <f>VLOOKUP($H477,Nutrition_tables!$A:$AF,21,FALSE)*$Q477/100</f>
        <v>0</v>
      </c>
      <c r="AI477" s="583">
        <f>VLOOKUP($H477,Nutrition_tables!$A:$AF,22,FALSE)*$Q477/100</f>
        <v>0</v>
      </c>
      <c r="AJ477" s="549">
        <f>VLOOKUP($H477,Nutrition_tables!$A:$AF,23,FALSE)*$Q477/100</f>
        <v>0</v>
      </c>
      <c r="AK477" s="583">
        <f>VLOOKUP($H477,Nutrition_tables!$A:$AF,24,FALSE)*$Q477/100</f>
        <v>0</v>
      </c>
      <c r="AL477" s="583">
        <f>VLOOKUP($H477,Nutrition_tables!$A:$AF,25,FALSE)*$Q477/100</f>
        <v>0</v>
      </c>
      <c r="AM477" s="583">
        <f>VLOOKUP($H477,Nutrition_tables!$A:$AF,26,FALSE)*$Q477/100</f>
        <v>0</v>
      </c>
      <c r="AN477" s="583">
        <f>VLOOKUP($H477,Nutrition_tables!$A:$AF,27,FALSE)*$Q477/100</f>
        <v>0</v>
      </c>
      <c r="AO477" s="583">
        <f>VLOOKUP($H477,Nutrition_tables!$A:$AF,28,FALSE)*$Q477/100</f>
        <v>0</v>
      </c>
      <c r="AP477" s="583">
        <f>VLOOKUP($H477,Nutrition_tables!$A:$AF,29,FALSE)*$Q477/100</f>
        <v>0</v>
      </c>
      <c r="AQ477" s="583">
        <f>VLOOKUP($H477,Nutrition_tables!$A:$AF,30,FALSE)*$Q477/100</f>
        <v>0</v>
      </c>
      <c r="AR477" s="583">
        <f>VLOOKUP($H477,Nutrition_tables!$A:$AF,31,FALSE)*$Q477/100</f>
        <v>0</v>
      </c>
      <c r="AS477" s="549">
        <f>VLOOKUP($H477,Nutrition_tables!$A:$AF,32,FALSE)*$Q477/100</f>
        <v>0</v>
      </c>
      <c r="AT477" s="583" t="str">
        <f>IF(H477="Select ingredient:","",IF(G477="Select food category:","",IFERROR(VLOOKUP($H477,Ingredient_prices!$E:$W,17,FALSE)*$Q477/1000,"not bought")))</f>
        <v/>
      </c>
      <c r="AU477" s="583" t="str">
        <f>IF(H477="Select ingredient:","",IF(G477="Select food category:","",IFERROR(VLOOKUP($H477,Ingredient_prices!$E:$W,18,FALSE)*$Q477/1000,"not bought")))</f>
        <v/>
      </c>
      <c r="AV477" s="583">
        <f t="shared" si="1034"/>
        <v>0</v>
      </c>
      <c r="AW477" s="583">
        <f t="shared" si="1035"/>
        <v>0</v>
      </c>
      <c r="AX477" s="583">
        <f t="shared" si="1036"/>
        <v>0</v>
      </c>
      <c r="AY477" s="583">
        <f t="shared" si="1037"/>
        <v>0</v>
      </c>
      <c r="AZ477" s="583">
        <f t="shared" si="1038"/>
        <v>0</v>
      </c>
      <c r="BA477" s="583">
        <f t="shared" si="1039"/>
        <v>0</v>
      </c>
      <c r="BB477" s="583">
        <f t="shared" si="1040"/>
        <v>0</v>
      </c>
      <c r="BC477" s="583">
        <f t="shared" si="1041"/>
        <v>0</v>
      </c>
      <c r="BD477" s="583">
        <f t="shared" si="1042"/>
        <v>0</v>
      </c>
      <c r="BE477" s="583">
        <f t="shared" si="1043"/>
        <v>0</v>
      </c>
      <c r="BF477" s="583">
        <f t="shared" si="1044"/>
        <v>0</v>
      </c>
      <c r="BG477" s="583">
        <f t="shared" si="1045"/>
        <v>0</v>
      </c>
      <c r="BH477" s="583">
        <f t="shared" si="1046"/>
        <v>0</v>
      </c>
      <c r="BI477" s="583">
        <f t="shared" si="1047"/>
        <v>0</v>
      </c>
      <c r="BJ477" s="583">
        <f t="shared" si="1048"/>
        <v>0</v>
      </c>
      <c r="BK477" s="583">
        <f t="shared" si="1049"/>
        <v>0</v>
      </c>
      <c r="BL477" s="583">
        <f t="shared" si="1050"/>
        <v>0</v>
      </c>
      <c r="BM477" s="583">
        <f t="shared" si="1051"/>
        <v>0</v>
      </c>
      <c r="BN477" s="583">
        <f t="shared" si="1052"/>
        <v>0</v>
      </c>
      <c r="BO477" s="583">
        <f t="shared" si="1053"/>
        <v>0</v>
      </c>
      <c r="BP477" s="583">
        <f t="shared" si="1054"/>
        <v>0</v>
      </c>
      <c r="BQ477" s="583">
        <f t="shared" si="1055"/>
        <v>0</v>
      </c>
      <c r="BR477" s="583">
        <f t="shared" si="1056"/>
        <v>0</v>
      </c>
    </row>
    <row r="478" spans="1:70" s="603" customFormat="1" ht="56">
      <c r="A478" s="504"/>
      <c r="B478" s="593"/>
      <c r="C478" s="522"/>
      <c r="D478" s="141"/>
      <c r="E478" s="594"/>
      <c r="F478" s="708"/>
      <c r="G478" s="522"/>
      <c r="H478" s="522"/>
      <c r="I478" s="86"/>
      <c r="J478" s="87"/>
      <c r="K478" s="595"/>
      <c r="L478" s="596"/>
      <c r="M478" s="851"/>
      <c r="N478" s="851"/>
      <c r="O478" s="666"/>
      <c r="P478" s="671"/>
      <c r="Q478" s="599" t="s">
        <v>384</v>
      </c>
      <c r="R478" s="600" t="s">
        <v>455</v>
      </c>
      <c r="S478" s="600" t="s">
        <v>2087</v>
      </c>
      <c r="T478" s="600" t="s">
        <v>456</v>
      </c>
      <c r="U478" s="600" t="s">
        <v>535</v>
      </c>
      <c r="V478" s="601" t="s">
        <v>457</v>
      </c>
      <c r="W478" s="600" t="s">
        <v>75</v>
      </c>
      <c r="X478" s="600" t="s">
        <v>385</v>
      </c>
      <c r="Y478" s="600" t="s">
        <v>386</v>
      </c>
      <c r="Z478" s="600" t="s">
        <v>387</v>
      </c>
      <c r="AA478" s="600" t="s">
        <v>388</v>
      </c>
      <c r="AB478" s="601" t="s">
        <v>389</v>
      </c>
      <c r="AC478" s="602" t="s">
        <v>390</v>
      </c>
      <c r="AD478" s="600" t="s">
        <v>391</v>
      </c>
      <c r="AE478" s="600" t="s">
        <v>392</v>
      </c>
      <c r="AF478" s="600" t="s">
        <v>393</v>
      </c>
      <c r="AG478" s="600" t="s">
        <v>394</v>
      </c>
      <c r="AH478" s="600" t="s">
        <v>395</v>
      </c>
      <c r="AI478" s="600" t="s">
        <v>396</v>
      </c>
      <c r="AJ478" s="601" t="s">
        <v>397</v>
      </c>
      <c r="AK478" s="602" t="s">
        <v>398</v>
      </c>
      <c r="AL478" s="600" t="s">
        <v>399</v>
      </c>
      <c r="AM478" s="600" t="s">
        <v>400</v>
      </c>
      <c r="AN478" s="600" t="s">
        <v>401</v>
      </c>
      <c r="AO478" s="600" t="s">
        <v>402</v>
      </c>
      <c r="AP478" s="600" t="s">
        <v>406</v>
      </c>
      <c r="AQ478" s="600" t="s">
        <v>405</v>
      </c>
      <c r="AR478" s="600" t="s">
        <v>403</v>
      </c>
      <c r="AS478" s="601" t="s">
        <v>404</v>
      </c>
      <c r="AT478" s="593"/>
      <c r="AU478" s="593"/>
    </row>
    <row r="479" spans="1:70" s="229" customFormat="1">
      <c r="A479" s="504"/>
      <c r="B479" s="522"/>
      <c r="C479" s="522"/>
      <c r="D479" s="141"/>
      <c r="E479" s="594"/>
      <c r="F479" s="708"/>
      <c r="G479" s="522"/>
      <c r="H479" s="594"/>
      <c r="I479" s="86"/>
      <c r="J479" s="87"/>
      <c r="K479" s="595"/>
      <c r="L479" s="596"/>
      <c r="M479" s="851"/>
      <c r="N479" s="851"/>
      <c r="O479" s="666"/>
      <c r="P479" s="672" t="s">
        <v>383</v>
      </c>
      <c r="Q479" s="583">
        <f t="shared" ref="Q479:V479" si="1058">SUM(Q453:Q477)</f>
        <v>582.95000000000005</v>
      </c>
      <c r="R479" s="583">
        <f t="shared" si="1058"/>
        <v>155.48965000000001</v>
      </c>
      <c r="S479" s="583">
        <f>SUM(S453:S477)</f>
        <v>427.46035000000001</v>
      </c>
      <c r="T479" s="583">
        <f t="shared" si="1058"/>
        <v>69.874080000000006</v>
      </c>
      <c r="U479" s="583">
        <f t="shared" si="1058"/>
        <v>16.514350360000002</v>
      </c>
      <c r="V479" s="549">
        <f t="shared" si="1058"/>
        <v>1044.0105000000001</v>
      </c>
      <c r="W479" s="583">
        <f>SUM(W453:W477)</f>
        <v>791.60430668997674</v>
      </c>
      <c r="X479" s="583">
        <f t="shared" ref="X479:AS479" si="1059">SUM(X453:X477)</f>
        <v>94.187630078944991</v>
      </c>
      <c r="Y479" s="583">
        <f t="shared" si="1059"/>
        <v>24.82178267825859</v>
      </c>
      <c r="Z479" s="583">
        <f t="shared" si="1059"/>
        <v>33.652552987847798</v>
      </c>
      <c r="AA479" s="583">
        <f t="shared" si="1059"/>
        <v>15.271167549976553</v>
      </c>
      <c r="AB479" s="549">
        <f t="shared" si="1059"/>
        <v>11.209383394174511</v>
      </c>
      <c r="AC479" s="583">
        <f t="shared" si="1059"/>
        <v>720.66257668997673</v>
      </c>
      <c r="AD479" s="583">
        <f t="shared" si="1059"/>
        <v>1227.7835</v>
      </c>
      <c r="AE479" s="583">
        <f t="shared" si="1059"/>
        <v>251.69040000000001</v>
      </c>
      <c r="AF479" s="583">
        <f t="shared" si="1059"/>
        <v>111.35953737995338</v>
      </c>
      <c r="AG479" s="583">
        <f t="shared" si="1059"/>
        <v>350.35218399999997</v>
      </c>
      <c r="AH479" s="583">
        <f t="shared" si="1059"/>
        <v>5.8997925223729561</v>
      </c>
      <c r="AI479" s="583">
        <f t="shared" si="1059"/>
        <v>5.2898380249721466</v>
      </c>
      <c r="AJ479" s="549">
        <f t="shared" si="1059"/>
        <v>0.81902723681122802</v>
      </c>
      <c r="AK479" s="583">
        <f t="shared" si="1059"/>
        <v>377.46308399999998</v>
      </c>
      <c r="AL479" s="583">
        <f t="shared" si="1059"/>
        <v>0.53984041850375497</v>
      </c>
      <c r="AM479" s="583">
        <f t="shared" si="1059"/>
        <v>0.54068090936894886</v>
      </c>
      <c r="AN479" s="583">
        <f t="shared" si="1059"/>
        <v>9.1123921813105007</v>
      </c>
      <c r="AO479" s="583">
        <f t="shared" si="1059"/>
        <v>0.87255446063452247</v>
      </c>
      <c r="AP479" s="583">
        <f t="shared" si="1059"/>
        <v>135.63662724009322</v>
      </c>
      <c r="AQ479" s="583">
        <f t="shared" si="1059"/>
        <v>0.87480930909090915</v>
      </c>
      <c r="AR479" s="583">
        <f t="shared" si="1059"/>
        <v>62.785700000000006</v>
      </c>
      <c r="AS479" s="549">
        <f t="shared" si="1059"/>
        <v>1.4121483719887957</v>
      </c>
      <c r="AT479" s="583">
        <f t="shared" ref="AT479:AU479" si="1060">SUM(AT453:AT477)</f>
        <v>64.412080000000003</v>
      </c>
      <c r="AU479" s="583">
        <f t="shared" si="1060"/>
        <v>69.874080000000006</v>
      </c>
      <c r="AV479" s="583">
        <f>SUM(AV453:AV477)</f>
        <v>587.86437166256792</v>
      </c>
      <c r="AW479" s="583">
        <f t="shared" ref="AW479:BR479" si="1061">SUM(AW453:AW477)</f>
        <v>64.184720282768936</v>
      </c>
      <c r="AX479" s="583">
        <f t="shared" si="1061"/>
        <v>18.337862163216343</v>
      </c>
      <c r="AY479" s="583">
        <f t="shared" si="1061"/>
        <v>27.78960245331324</v>
      </c>
      <c r="AZ479" s="583">
        <f t="shared" si="1061"/>
        <v>10.386959627645098</v>
      </c>
      <c r="BA479" s="583">
        <f t="shared" si="1061"/>
        <v>9.9837546663205625</v>
      </c>
      <c r="BB479" s="583">
        <f t="shared" si="1061"/>
        <v>484.36247672617048</v>
      </c>
      <c r="BC479" s="583">
        <f t="shared" si="1061"/>
        <v>885.77743679934281</v>
      </c>
      <c r="BD479" s="583">
        <f t="shared" si="1061"/>
        <v>182.65282118941707</v>
      </c>
      <c r="BE479" s="583">
        <f t="shared" si="1061"/>
        <v>78.299395709676375</v>
      </c>
      <c r="BF479" s="583">
        <f t="shared" si="1061"/>
        <v>271.38215984897823</v>
      </c>
      <c r="BG479" s="583">
        <f t="shared" si="1061"/>
        <v>4.1189351995137677</v>
      </c>
      <c r="BH479" s="583">
        <f t="shared" si="1061"/>
        <v>3.5809118098019925</v>
      </c>
      <c r="BI479" s="583">
        <f t="shared" si="1061"/>
        <v>0.56321976800792228</v>
      </c>
      <c r="BJ479" s="583">
        <f t="shared" si="1061"/>
        <v>317.73410039873994</v>
      </c>
      <c r="BK479" s="583">
        <f t="shared" si="1061"/>
        <v>0.37085230385456525</v>
      </c>
      <c r="BL479" s="583">
        <f t="shared" si="1061"/>
        <v>0.42062735667074003</v>
      </c>
      <c r="BM479" s="583">
        <f t="shared" si="1061"/>
        <v>6.5527978724621949</v>
      </c>
      <c r="BN479" s="583">
        <f t="shared" si="1061"/>
        <v>0.65580085640671881</v>
      </c>
      <c r="BO479" s="583">
        <f t="shared" si="1061"/>
        <v>89.439637119912433</v>
      </c>
      <c r="BP479" s="583">
        <f t="shared" si="1061"/>
        <v>0.78034681293466879</v>
      </c>
      <c r="BQ479" s="583">
        <f t="shared" si="1061"/>
        <v>42.920516015625232</v>
      </c>
      <c r="BR479" s="583">
        <f t="shared" si="1061"/>
        <v>1.2021123057736856</v>
      </c>
    </row>
    <row r="480" spans="1:70" s="229" customFormat="1">
      <c r="A480" s="504"/>
      <c r="B480" s="522"/>
      <c r="C480" s="522"/>
      <c r="D480" s="141"/>
      <c r="E480" s="594"/>
      <c r="F480" s="708"/>
      <c r="G480" s="522"/>
      <c r="H480" s="594"/>
      <c r="I480" s="86"/>
      <c r="J480" s="87"/>
      <c r="K480" s="595"/>
      <c r="L480" s="596"/>
      <c r="M480" s="851"/>
      <c r="N480" s="851"/>
      <c r="O480" s="666"/>
      <c r="P480" s="672" t="s">
        <v>545</v>
      </c>
      <c r="V480" s="527" t="s">
        <v>588</v>
      </c>
      <c r="W480" s="229">
        <v>556.5</v>
      </c>
      <c r="X480" s="229">
        <v>69.599999999999994</v>
      </c>
      <c r="Y480" s="229">
        <v>17.399999999999999</v>
      </c>
      <c r="Z480" s="229">
        <v>18.599999999999998</v>
      </c>
      <c r="AA480" s="229">
        <v>5.7</v>
      </c>
      <c r="AB480" s="526">
        <v>6</v>
      </c>
      <c r="AC480" s="229">
        <v>414</v>
      </c>
      <c r="AD480" s="229">
        <v>540</v>
      </c>
      <c r="AE480" s="229">
        <v>270</v>
      </c>
      <c r="AF480" s="229">
        <v>51</v>
      </c>
      <c r="AG480" s="229">
        <v>240</v>
      </c>
      <c r="AH480" s="229">
        <v>3</v>
      </c>
      <c r="AI480" s="229">
        <v>2.1</v>
      </c>
      <c r="AJ480" s="526">
        <v>0.375</v>
      </c>
      <c r="AK480" s="229">
        <v>240</v>
      </c>
      <c r="AL480" s="229">
        <v>0.3</v>
      </c>
      <c r="AM480" s="229">
        <v>0.33</v>
      </c>
      <c r="AN480" s="229">
        <v>3.5999999999999996</v>
      </c>
      <c r="AO480" s="229">
        <v>0.21</v>
      </c>
      <c r="AP480" s="229">
        <v>90</v>
      </c>
      <c r="AQ480" s="229">
        <v>0.54</v>
      </c>
      <c r="AR480" s="229">
        <v>24</v>
      </c>
      <c r="AS480" s="526">
        <v>1.5</v>
      </c>
      <c r="AV480" s="229">
        <v>556.5</v>
      </c>
      <c r="AW480" s="229">
        <v>69.599999999999994</v>
      </c>
      <c r="AX480" s="229">
        <v>17.399999999999999</v>
      </c>
      <c r="AY480" s="229">
        <v>18.599999999999998</v>
      </c>
      <c r="AZ480" s="229">
        <v>5.7</v>
      </c>
      <c r="BA480" s="526">
        <v>6</v>
      </c>
      <c r="BB480" s="229">
        <v>414</v>
      </c>
      <c r="BC480" s="229">
        <v>540</v>
      </c>
      <c r="BD480" s="229">
        <v>270</v>
      </c>
      <c r="BE480" s="229">
        <v>51</v>
      </c>
      <c r="BF480" s="229">
        <v>240</v>
      </c>
      <c r="BG480" s="229">
        <v>3</v>
      </c>
      <c r="BH480" s="229">
        <v>2.1</v>
      </c>
      <c r="BI480" s="526">
        <v>0.375</v>
      </c>
      <c r="BJ480" s="229">
        <v>240</v>
      </c>
      <c r="BK480" s="229">
        <v>0.3</v>
      </c>
      <c r="BL480" s="229">
        <v>0.33</v>
      </c>
      <c r="BM480" s="229">
        <v>3.5999999999999996</v>
      </c>
      <c r="BN480" s="229">
        <v>0.21</v>
      </c>
      <c r="BO480" s="229">
        <v>90</v>
      </c>
      <c r="BP480" s="229">
        <v>0.54</v>
      </c>
      <c r="BQ480" s="229">
        <v>24</v>
      </c>
      <c r="BR480" s="526">
        <v>1.5</v>
      </c>
    </row>
    <row r="481" spans="1:70" s="229" customFormat="1">
      <c r="A481" s="504"/>
      <c r="B481" s="522"/>
      <c r="C481" s="522"/>
      <c r="D481" s="141"/>
      <c r="E481" s="594"/>
      <c r="F481" s="708"/>
      <c r="G481" s="522"/>
      <c r="H481" s="594"/>
      <c r="I481" s="86"/>
      <c r="J481" s="87"/>
      <c r="K481" s="595"/>
      <c r="L481" s="596"/>
      <c r="M481" s="851"/>
      <c r="N481" s="851"/>
      <c r="O481" s="666"/>
      <c r="P481" s="672" t="s">
        <v>407</v>
      </c>
      <c r="V481" s="526"/>
      <c r="W481" s="514">
        <f t="shared" ref="W481:AS481" si="1062">100*W479/W480</f>
        <v>142.24695538004974</v>
      </c>
      <c r="X481" s="514">
        <f t="shared" si="1062"/>
        <v>135.32705471112786</v>
      </c>
      <c r="Y481" s="514">
        <f t="shared" si="1062"/>
        <v>142.65392343826778</v>
      </c>
      <c r="Z481" s="514">
        <f t="shared" si="1062"/>
        <v>180.92770423574086</v>
      </c>
      <c r="AA481" s="514">
        <f t="shared" si="1062"/>
        <v>267.91522017502723</v>
      </c>
      <c r="AB481" s="506">
        <f t="shared" si="1062"/>
        <v>186.82305656957519</v>
      </c>
      <c r="AC481" s="514">
        <f t="shared" si="1062"/>
        <v>174.07308615699921</v>
      </c>
      <c r="AD481" s="514">
        <f t="shared" si="1062"/>
        <v>227.36731481481482</v>
      </c>
      <c r="AE481" s="514">
        <f t="shared" si="1062"/>
        <v>93.218666666666664</v>
      </c>
      <c r="AF481" s="514">
        <f t="shared" si="1062"/>
        <v>218.35203407833995</v>
      </c>
      <c r="AG481" s="514">
        <f t="shared" si="1062"/>
        <v>145.98007666666666</v>
      </c>
      <c r="AH481" s="514">
        <f t="shared" si="1062"/>
        <v>196.65975074576522</v>
      </c>
      <c r="AI481" s="514">
        <f t="shared" si="1062"/>
        <v>251.89704880819747</v>
      </c>
      <c r="AJ481" s="506">
        <f t="shared" si="1062"/>
        <v>218.40726314966082</v>
      </c>
      <c r="AK481" s="514">
        <f t="shared" si="1062"/>
        <v>157.27628499999997</v>
      </c>
      <c r="AL481" s="514">
        <f t="shared" si="1062"/>
        <v>179.94680616791834</v>
      </c>
      <c r="AM481" s="514">
        <f t="shared" si="1062"/>
        <v>163.84269980877235</v>
      </c>
      <c r="AN481" s="514">
        <f t="shared" si="1062"/>
        <v>253.12200503640281</v>
      </c>
      <c r="AO481" s="514">
        <f t="shared" si="1062"/>
        <v>415.50212411167735</v>
      </c>
      <c r="AP481" s="514">
        <f t="shared" si="1062"/>
        <v>150.70736360010358</v>
      </c>
      <c r="AQ481" s="514">
        <f t="shared" si="1062"/>
        <v>162.00172390572391</v>
      </c>
      <c r="AR481" s="514">
        <f t="shared" si="1062"/>
        <v>261.60708333333338</v>
      </c>
      <c r="AS481" s="506">
        <f t="shared" si="1062"/>
        <v>94.143224799253048</v>
      </c>
      <c r="AV481" s="514">
        <f t="shared" ref="AV481:BR481" si="1063">100*AV479/AV480</f>
        <v>105.63600568958992</v>
      </c>
      <c r="AW481" s="514">
        <f t="shared" si="1063"/>
        <v>92.219425693633539</v>
      </c>
      <c r="AX481" s="514">
        <f t="shared" si="1063"/>
        <v>105.39001243227784</v>
      </c>
      <c r="AY481" s="514">
        <f t="shared" si="1063"/>
        <v>149.40646480275939</v>
      </c>
      <c r="AZ481" s="514">
        <f t="shared" si="1063"/>
        <v>182.22736188851047</v>
      </c>
      <c r="BA481" s="506">
        <f t="shared" si="1063"/>
        <v>166.39591110534272</v>
      </c>
      <c r="BB481" s="514">
        <f t="shared" si="1063"/>
        <v>116.99576732516195</v>
      </c>
      <c r="BC481" s="514">
        <f t="shared" si="1063"/>
        <v>164.03285866654497</v>
      </c>
      <c r="BD481" s="514">
        <f t="shared" si="1063"/>
        <v>67.649193033117442</v>
      </c>
      <c r="BE481" s="514">
        <f t="shared" si="1063"/>
        <v>153.52822688171838</v>
      </c>
      <c r="BF481" s="514">
        <f t="shared" si="1063"/>
        <v>113.07589993707425</v>
      </c>
      <c r="BG481" s="514">
        <f t="shared" si="1063"/>
        <v>137.29783998379227</v>
      </c>
      <c r="BH481" s="514">
        <f t="shared" si="1063"/>
        <v>170.51960999057104</v>
      </c>
      <c r="BI481" s="506">
        <f t="shared" si="1063"/>
        <v>150.19193813544595</v>
      </c>
      <c r="BJ481" s="514">
        <f t="shared" si="1063"/>
        <v>132.38920849947496</v>
      </c>
      <c r="BK481" s="514">
        <f t="shared" si="1063"/>
        <v>123.61743461818843</v>
      </c>
      <c r="BL481" s="514">
        <f t="shared" si="1063"/>
        <v>127.46283535476969</v>
      </c>
      <c r="BM481" s="514">
        <f t="shared" si="1063"/>
        <v>182.02216312394987</v>
      </c>
      <c r="BN481" s="514">
        <f t="shared" si="1063"/>
        <v>312.28612209843754</v>
      </c>
      <c r="BO481" s="514">
        <f t="shared" si="1063"/>
        <v>99.377374577680484</v>
      </c>
      <c r="BP481" s="514">
        <f t="shared" si="1063"/>
        <v>144.5086690619757</v>
      </c>
      <c r="BQ481" s="514">
        <f t="shared" si="1063"/>
        <v>178.83548339843847</v>
      </c>
      <c r="BR481" s="506">
        <f t="shared" si="1063"/>
        <v>80.140820384912374</v>
      </c>
    </row>
    <row r="482" spans="1:70" s="229" customFormat="1">
      <c r="A482" s="504"/>
      <c r="B482" s="522"/>
      <c r="C482" s="522"/>
      <c r="D482" s="141"/>
      <c r="E482" s="594"/>
      <c r="F482" s="708"/>
      <c r="G482" s="522"/>
      <c r="H482" s="594"/>
      <c r="I482" s="86"/>
      <c r="J482" s="87"/>
      <c r="K482" s="595"/>
      <c r="L482" s="596"/>
      <c r="M482" s="851"/>
      <c r="N482" s="851"/>
      <c r="O482" s="666"/>
      <c r="P482" s="672" t="s">
        <v>548</v>
      </c>
      <c r="V482" s="526"/>
      <c r="W482" s="583">
        <f>AV479</f>
        <v>587.86437166256792</v>
      </c>
      <c r="X482" s="583">
        <f t="shared" ref="X482" si="1064">AW479</f>
        <v>64.184720282768936</v>
      </c>
      <c r="Y482" s="583">
        <f t="shared" ref="Y482" si="1065">AX479</f>
        <v>18.337862163216343</v>
      </c>
      <c r="Z482" s="583">
        <f t="shared" ref="Z482" si="1066">AY479</f>
        <v>27.78960245331324</v>
      </c>
      <c r="AA482" s="583">
        <f t="shared" ref="AA482" si="1067">AZ479</f>
        <v>10.386959627645098</v>
      </c>
      <c r="AB482" s="549">
        <f t="shared" ref="AB482" si="1068">BA479</f>
        <v>9.9837546663205625</v>
      </c>
      <c r="AC482" s="583">
        <f t="shared" ref="AC482" si="1069">BB479</f>
        <v>484.36247672617048</v>
      </c>
      <c r="AD482" s="583">
        <f t="shared" ref="AD482" si="1070">BC479</f>
        <v>885.77743679934281</v>
      </c>
      <c r="AE482" s="583">
        <f>BD479</f>
        <v>182.65282118941707</v>
      </c>
      <c r="AF482" s="583">
        <f t="shared" ref="AF482" si="1071">BE479</f>
        <v>78.299395709676375</v>
      </c>
      <c r="AG482" s="583">
        <f t="shared" ref="AG482" si="1072">BF479</f>
        <v>271.38215984897823</v>
      </c>
      <c r="AH482" s="583">
        <f t="shared" ref="AH482" si="1073">BG479</f>
        <v>4.1189351995137677</v>
      </c>
      <c r="AI482" s="583">
        <f t="shared" ref="AI482" si="1074">BH479</f>
        <v>3.5809118098019925</v>
      </c>
      <c r="AJ482" s="549">
        <f t="shared" ref="AJ482" si="1075">BI479</f>
        <v>0.56321976800792228</v>
      </c>
      <c r="AK482" s="583">
        <f t="shared" ref="AK482" si="1076">BJ479</f>
        <v>317.73410039873994</v>
      </c>
      <c r="AL482" s="583">
        <f t="shared" ref="AL482" si="1077">BK479</f>
        <v>0.37085230385456525</v>
      </c>
      <c r="AM482" s="583">
        <f t="shared" ref="AM482" si="1078">BL479</f>
        <v>0.42062735667074003</v>
      </c>
      <c r="AN482" s="583">
        <f>BM479</f>
        <v>6.5527978724621949</v>
      </c>
      <c r="AO482" s="583">
        <f t="shared" ref="AO482" si="1079">BN479</f>
        <v>0.65580085640671881</v>
      </c>
      <c r="AP482" s="583">
        <f t="shared" ref="AP482" si="1080">BO479</f>
        <v>89.439637119912433</v>
      </c>
      <c r="AQ482" s="583">
        <f t="shared" ref="AQ482" si="1081">BP479</f>
        <v>0.78034681293466879</v>
      </c>
      <c r="AR482" s="583">
        <f t="shared" ref="AR482" si="1082">BQ479</f>
        <v>42.920516015625232</v>
      </c>
      <c r="AS482" s="549">
        <f>BR479</f>
        <v>1.2021123057736856</v>
      </c>
    </row>
    <row r="483" spans="1:70" s="229" customFormat="1">
      <c r="A483" s="504"/>
      <c r="B483" s="522"/>
      <c r="C483" s="522"/>
      <c r="D483" s="141"/>
      <c r="E483" s="594"/>
      <c r="F483" s="708"/>
      <c r="G483" s="522"/>
      <c r="H483" s="594"/>
      <c r="I483" s="86"/>
      <c r="J483" s="87"/>
      <c r="K483" s="595"/>
      <c r="L483" s="596"/>
      <c r="M483" s="851"/>
      <c r="N483" s="851"/>
      <c r="O483" s="666"/>
      <c r="P483" s="672" t="s">
        <v>543</v>
      </c>
      <c r="V483" s="526"/>
      <c r="W483" s="514">
        <f t="shared" ref="W483:AS483" si="1083">AV481</f>
        <v>105.63600568958992</v>
      </c>
      <c r="X483" s="514">
        <f t="shared" si="1083"/>
        <v>92.219425693633539</v>
      </c>
      <c r="Y483" s="514">
        <f t="shared" si="1083"/>
        <v>105.39001243227784</v>
      </c>
      <c r="Z483" s="514">
        <f t="shared" si="1083"/>
        <v>149.40646480275939</v>
      </c>
      <c r="AA483" s="514">
        <f t="shared" si="1083"/>
        <v>182.22736188851047</v>
      </c>
      <c r="AB483" s="506">
        <f t="shared" si="1083"/>
        <v>166.39591110534272</v>
      </c>
      <c r="AC483" s="514">
        <f t="shared" si="1083"/>
        <v>116.99576732516195</v>
      </c>
      <c r="AD483" s="514">
        <f t="shared" si="1083"/>
        <v>164.03285866654497</v>
      </c>
      <c r="AE483" s="514">
        <f t="shared" si="1083"/>
        <v>67.649193033117442</v>
      </c>
      <c r="AF483" s="514">
        <f t="shared" si="1083"/>
        <v>153.52822688171838</v>
      </c>
      <c r="AG483" s="514">
        <f t="shared" si="1083"/>
        <v>113.07589993707425</v>
      </c>
      <c r="AH483" s="514">
        <f t="shared" si="1083"/>
        <v>137.29783998379227</v>
      </c>
      <c r="AI483" s="514">
        <f t="shared" si="1083"/>
        <v>170.51960999057104</v>
      </c>
      <c r="AJ483" s="506">
        <f t="shared" si="1083"/>
        <v>150.19193813544595</v>
      </c>
      <c r="AK483" s="514">
        <f t="shared" si="1083"/>
        <v>132.38920849947496</v>
      </c>
      <c r="AL483" s="514">
        <f t="shared" si="1083"/>
        <v>123.61743461818843</v>
      </c>
      <c r="AM483" s="514">
        <f t="shared" si="1083"/>
        <v>127.46283535476969</v>
      </c>
      <c r="AN483" s="514">
        <f t="shared" si="1083"/>
        <v>182.02216312394987</v>
      </c>
      <c r="AO483" s="514">
        <f t="shared" si="1083"/>
        <v>312.28612209843754</v>
      </c>
      <c r="AP483" s="514">
        <f t="shared" si="1083"/>
        <v>99.377374577680484</v>
      </c>
      <c r="AQ483" s="514">
        <f t="shared" si="1083"/>
        <v>144.5086690619757</v>
      </c>
      <c r="AR483" s="514">
        <f t="shared" si="1083"/>
        <v>178.83548339843847</v>
      </c>
      <c r="AS483" s="506">
        <f t="shared" si="1083"/>
        <v>80.140820384912374</v>
      </c>
      <c r="AV483" s="514"/>
      <c r="AW483" s="514"/>
      <c r="AX483" s="514"/>
      <c r="AY483" s="514"/>
      <c r="AZ483" s="514"/>
      <c r="BA483" s="505"/>
      <c r="BB483" s="514"/>
      <c r="BC483" s="514"/>
      <c r="BD483" s="514"/>
      <c r="BE483" s="514"/>
      <c r="BF483" s="514"/>
      <c r="BG483" s="514"/>
      <c r="BH483" s="514"/>
      <c r="BI483" s="505"/>
      <c r="BJ483" s="514"/>
      <c r="BK483" s="514"/>
      <c r="BL483" s="514"/>
      <c r="BM483" s="514"/>
      <c r="BN483" s="514"/>
      <c r="BO483" s="514"/>
      <c r="BP483" s="514"/>
      <c r="BQ483" s="514"/>
      <c r="BR483" s="505"/>
    </row>
    <row r="484" spans="1:70" s="229" customFormat="1" ht="15" thickBot="1">
      <c r="A484" s="504"/>
      <c r="B484" s="504"/>
      <c r="C484" s="504"/>
      <c r="D484" s="689"/>
      <c r="E484" s="662"/>
      <c r="F484" s="715"/>
      <c r="G484" s="663" t="s">
        <v>3054</v>
      </c>
      <c r="H484" s="673"/>
      <c r="I484" s="105"/>
      <c r="J484" s="105"/>
      <c r="K484" s="504"/>
      <c r="L484" s="665"/>
      <c r="M484" s="852"/>
      <c r="N484" s="852"/>
      <c r="O484" s="666"/>
      <c r="P484" s="504"/>
      <c r="Q484" s="504"/>
      <c r="R484" s="504"/>
      <c r="S484" s="504"/>
      <c r="T484" s="504"/>
      <c r="U484" s="667"/>
      <c r="V484" s="668"/>
      <c r="W484" s="504"/>
      <c r="X484" s="504"/>
      <c r="Y484" s="504"/>
      <c r="Z484" s="504"/>
      <c r="AA484" s="669">
        <f>COUNTIF(AA485:AA496,"&lt;0")</f>
        <v>0</v>
      </c>
      <c r="AB484" s="669">
        <f t="shared" ref="AB484:AN484" si="1084">COUNTIF(AB485:AB496,"&lt;0")</f>
        <v>0</v>
      </c>
      <c r="AC484" s="669">
        <f t="shared" si="1084"/>
        <v>0</v>
      </c>
      <c r="AD484" s="669">
        <f t="shared" si="1084"/>
        <v>0</v>
      </c>
      <c r="AE484" s="669">
        <f t="shared" si="1084"/>
        <v>0</v>
      </c>
      <c r="AF484" s="669">
        <f t="shared" si="1084"/>
        <v>0</v>
      </c>
      <c r="AG484" s="669">
        <f t="shared" si="1084"/>
        <v>0</v>
      </c>
      <c r="AH484" s="669">
        <f t="shared" si="1084"/>
        <v>0</v>
      </c>
      <c r="AI484" s="669">
        <f t="shared" si="1084"/>
        <v>0</v>
      </c>
      <c r="AJ484" s="669">
        <f t="shared" si="1084"/>
        <v>0</v>
      </c>
      <c r="AK484" s="669">
        <f t="shared" si="1084"/>
        <v>0</v>
      </c>
      <c r="AL484" s="669">
        <f t="shared" si="1084"/>
        <v>0</v>
      </c>
      <c r="AM484" s="669">
        <f t="shared" si="1084"/>
        <v>0</v>
      </c>
      <c r="AN484" s="669">
        <f t="shared" si="1084"/>
        <v>0</v>
      </c>
      <c r="AO484" s="669">
        <f>COUNTIF(AO485:AO496,"&lt;0")</f>
        <v>0</v>
      </c>
      <c r="AP484" s="669">
        <f t="shared" ref="AP484:AS484" si="1085">COUNTIF(AP485:AP496,"&lt;0")</f>
        <v>0</v>
      </c>
      <c r="AQ484" s="669">
        <f t="shared" si="1085"/>
        <v>0</v>
      </c>
      <c r="AR484" s="669">
        <f t="shared" si="1085"/>
        <v>0</v>
      </c>
      <c r="AS484" s="669">
        <f t="shared" si="1085"/>
        <v>0</v>
      </c>
      <c r="AT484" s="1300"/>
      <c r="AU484" s="1300"/>
    </row>
    <row r="485" spans="1:70" s="229" customFormat="1" ht="15" customHeight="1" thickBot="1">
      <c r="A485" s="504"/>
      <c r="B485" s="575" t="s">
        <v>3068</v>
      </c>
      <c r="C485" s="229" t="s">
        <v>1364</v>
      </c>
      <c r="D485" s="85"/>
      <c r="E485" s="577">
        <v>0</v>
      </c>
      <c r="F485" s="707"/>
      <c r="G485" s="406" t="s">
        <v>3085</v>
      </c>
      <c r="H485" s="1262" t="s">
        <v>3457</v>
      </c>
      <c r="I485" s="85">
        <v>0</v>
      </c>
      <c r="J485" s="682">
        <v>1</v>
      </c>
      <c r="K485" s="579" t="str">
        <f t="shared" ref="K485:K496" si="1086">IF(I485&gt;0,1.1*Q485*E485/1000,"")</f>
        <v/>
      </c>
      <c r="L485" s="580">
        <f>IF(H485="Select ingredient:","",IF(G485="","",_xlfn.IFNA(VLOOKUP($H485,Ingredient_prices!$E:$U,16,FALSE),0)))</f>
        <v>146.4</v>
      </c>
      <c r="M485" s="850"/>
      <c r="N485" s="1228">
        <f>$W498</f>
        <v>0</v>
      </c>
      <c r="O485" s="666"/>
      <c r="P485" s="674"/>
      <c r="Q485" s="583">
        <f t="shared" ref="Q485:Q496" si="1087">I485/J485</f>
        <v>0</v>
      </c>
      <c r="R485" s="583">
        <f>VLOOKUP($H485,'CO2_emission+%_food_waste'!$A:$K,6,FALSE)*$Q485/100</f>
        <v>0</v>
      </c>
      <c r="S485" s="583">
        <f t="shared" ref="S485:S496" si="1088">Q485-R485</f>
        <v>0</v>
      </c>
      <c r="T485" s="583">
        <f>IF(H485="Select ingredient:","",IF(G485="Select food category:","",_xlfn.IFNA(VLOOKUP($H485,Ingredient_prices!$E:$U,16,FALSE)*$Q485/1000,"not bought")))</f>
        <v>0</v>
      </c>
      <c r="U485" s="583">
        <f>IF(G485="Select food category:","",_xlfn.IFNA(VLOOKUP($H485,Ingredient_prices!$E:$U,16,FALSE)*$R485/1000,"not bought"))</f>
        <v>0</v>
      </c>
      <c r="V485" s="549">
        <f>VLOOKUP($H485,'CO2_emission+%_food_waste'!$A:$K,4,FALSE)*$Q485</f>
        <v>0</v>
      </c>
      <c r="W485" s="583">
        <f>VLOOKUP($H485,Nutrition_tables!$A:$N,10,FALSE)*$Q485/100</f>
        <v>0</v>
      </c>
      <c r="X485" s="583">
        <f>VLOOKUP($H485,Nutrition_tables!$A:$N,11,FALSE)*$Q485/100</f>
        <v>0</v>
      </c>
      <c r="Y485" s="583">
        <f>VLOOKUP($H485,Nutrition_tables!$A:$N,12,FALSE)*$Q485/100</f>
        <v>0</v>
      </c>
      <c r="Z485" s="583">
        <f>VLOOKUP($H485,Nutrition_tables!$A:$N,14,FALSE)*$Q485/100</f>
        <v>0</v>
      </c>
      <c r="AA485" s="583">
        <f>VLOOKUP($H485,Nutrition_tables!$A:$AF,13,FALSE)*$Q485/100</f>
        <v>0</v>
      </c>
      <c r="AB485" s="549">
        <f>VLOOKUP($H485,Nutrition_tables!$A:$AF,15,FALSE)*$Q485/100</f>
        <v>0</v>
      </c>
      <c r="AC485" s="583">
        <f>VLOOKUP($H485,Nutrition_tables!$A:$AF,16,FALSE)*$Q485/100</f>
        <v>0</v>
      </c>
      <c r="AD485" s="583">
        <f>VLOOKUP($H485,Nutrition_tables!$A:$AF,17,FALSE)*$Q485/100</f>
        <v>0</v>
      </c>
      <c r="AE485" s="583">
        <f>VLOOKUP($H485,Nutrition_tables!$A:$AF,18,FALSE)*$Q485/100</f>
        <v>0</v>
      </c>
      <c r="AF485" s="583">
        <f>VLOOKUP($H485,Nutrition_tables!$A:$AF,19,FALSE)*$Q485/100</f>
        <v>0</v>
      </c>
      <c r="AG485" s="583">
        <f>VLOOKUP($H485,Nutrition_tables!$A:$AF,20,FALSE)*$Q485/100</f>
        <v>0</v>
      </c>
      <c r="AH485" s="583">
        <f>VLOOKUP($H485,Nutrition_tables!$A:$AF,21,FALSE)*$Q485/100</f>
        <v>0</v>
      </c>
      <c r="AI485" s="583">
        <f>VLOOKUP($H485,Nutrition_tables!$A:$AF,22,FALSE)*$Q485/100</f>
        <v>0</v>
      </c>
      <c r="AJ485" s="549">
        <f>VLOOKUP($H485,Nutrition_tables!$A:$AF,23,FALSE)*$Q485/100</f>
        <v>0</v>
      </c>
      <c r="AK485" s="583">
        <f>VLOOKUP($H485,Nutrition_tables!$A:$AF,24,FALSE)*$Q485/100</f>
        <v>0</v>
      </c>
      <c r="AL485" s="583">
        <f>VLOOKUP($H485,Nutrition_tables!$A:$AF,25,FALSE)*$Q485/100</f>
        <v>0</v>
      </c>
      <c r="AM485" s="583">
        <f>VLOOKUP($H485,Nutrition_tables!$A:$AF,26,FALSE)*$Q485/100</f>
        <v>0</v>
      </c>
      <c r="AN485" s="583">
        <f>VLOOKUP($H485,Nutrition_tables!$A:$AF,27,FALSE)*$Q485/100</f>
        <v>0</v>
      </c>
      <c r="AO485" s="583">
        <f>VLOOKUP($H485,Nutrition_tables!$A:$AF,28,FALSE)*$Q485/100</f>
        <v>0</v>
      </c>
      <c r="AP485" s="583">
        <f>VLOOKUP($H485,Nutrition_tables!$A:$AF,29,FALSE)*$Q485/100</f>
        <v>0</v>
      </c>
      <c r="AQ485" s="583">
        <f>VLOOKUP($H485,Nutrition_tables!$A:$AF,30,FALSE)*$Q485/100</f>
        <v>0</v>
      </c>
      <c r="AR485" s="583">
        <f>VLOOKUP($H485,Nutrition_tables!$A:$AF,31,FALSE)*$Q485/100</f>
        <v>0</v>
      </c>
      <c r="AS485" s="549">
        <f>VLOOKUP($H485,Nutrition_tables!$A:$AF,32,FALSE)*$Q485/100</f>
        <v>0</v>
      </c>
      <c r="AT485" s="583">
        <f>IF(H485="Select ingredient:","",IF(G485="Select food category:","",IFERROR(VLOOKUP($H485,Ingredient_prices!$E:$W,17,FALSE)*$Q485/1000,"not bought")))</f>
        <v>0</v>
      </c>
      <c r="AU485" s="583">
        <f>IF(H485="Select ingredient:","",IF(G485="Select food category:","",IFERROR(VLOOKUP($H485,Ingredient_prices!$E:$W,18,FALSE)*$Q485/1000,"not bought")))</f>
        <v>0</v>
      </c>
      <c r="AV485" s="583">
        <f t="shared" ref="AV485:AV496" si="1089">W485*($Q485-$R485)/($Q485+0.00001)</f>
        <v>0</v>
      </c>
      <c r="AW485" s="583">
        <f t="shared" ref="AW485:AW496" si="1090">X485*($Q485-$R485)/($Q485+0.00001)</f>
        <v>0</v>
      </c>
      <c r="AX485" s="583">
        <f t="shared" ref="AX485:AX496" si="1091">Y485*($Q485-$R485)/($Q485+0.00001)</f>
        <v>0</v>
      </c>
      <c r="AY485" s="583">
        <f t="shared" ref="AY485:AY496" si="1092">Z485*($Q485-$R485)/($Q485+0.00001)</f>
        <v>0</v>
      </c>
      <c r="AZ485" s="583">
        <f t="shared" ref="AZ485:AZ496" si="1093">AA485*($Q485-$R485)/($Q485+0.00001)</f>
        <v>0</v>
      </c>
      <c r="BA485" s="583">
        <f t="shared" ref="BA485:BA496" si="1094">AB485*($Q485-$R485)/($Q485+0.00001)</f>
        <v>0</v>
      </c>
      <c r="BB485" s="583">
        <f t="shared" ref="BB485:BB496" si="1095">AC485*($Q485-$R485)/($Q485+0.00001)</f>
        <v>0</v>
      </c>
      <c r="BC485" s="583">
        <f t="shared" ref="BC485:BC496" si="1096">AD485*($Q485-$R485)/($Q485+0.00001)</f>
        <v>0</v>
      </c>
      <c r="BD485" s="583">
        <f t="shared" ref="BD485:BD496" si="1097">AE485*($Q485-$R485)/($Q485+0.00001)</f>
        <v>0</v>
      </c>
      <c r="BE485" s="583">
        <f t="shared" ref="BE485:BE496" si="1098">AF485*($Q485-$R485)/($Q485+0.00001)</f>
        <v>0</v>
      </c>
      <c r="BF485" s="583">
        <f t="shared" ref="BF485:BF496" si="1099">AG485*($Q485-$R485)/($Q485+0.00001)</f>
        <v>0</v>
      </c>
      <c r="BG485" s="583">
        <f t="shared" ref="BG485:BG496" si="1100">AH485*($Q485-$R485)/($Q485+0.00001)</f>
        <v>0</v>
      </c>
      <c r="BH485" s="583">
        <f t="shared" ref="BH485:BH496" si="1101">AI485*($Q485-$R485)/($Q485+0.00001)</f>
        <v>0</v>
      </c>
      <c r="BI485" s="583">
        <f t="shared" ref="BI485:BI496" si="1102">AJ485*($Q485-$R485)/($Q485+0.00001)</f>
        <v>0</v>
      </c>
      <c r="BJ485" s="583">
        <f t="shared" ref="BJ485:BJ496" si="1103">AK485*($Q485-$R485)/($Q485+0.00001)</f>
        <v>0</v>
      </c>
      <c r="BK485" s="583">
        <f t="shared" ref="BK485:BK496" si="1104">AL485*($Q485-$R485)/($Q485+0.00001)</f>
        <v>0</v>
      </c>
      <c r="BL485" s="583">
        <f t="shared" ref="BL485:BL496" si="1105">AM485*($Q485-$R485)/($Q485+0.00001)</f>
        <v>0</v>
      </c>
      <c r="BM485" s="583">
        <f t="shared" ref="BM485:BM496" si="1106">AN485*($Q485-$R485)/($Q485+0.00001)</f>
        <v>0</v>
      </c>
      <c r="BN485" s="583">
        <f t="shared" ref="BN485:BN496" si="1107">AO485*($Q485-$R485)/($Q485+0.00001)</f>
        <v>0</v>
      </c>
      <c r="BO485" s="583">
        <f t="shared" ref="BO485:BO496" si="1108">AP485*($Q485-$R485)/($Q485+0.00001)</f>
        <v>0</v>
      </c>
      <c r="BP485" s="583">
        <f t="shared" ref="BP485:BP496" si="1109">AQ485*($Q485-$R485)/($Q485+0.00001)</f>
        <v>0</v>
      </c>
      <c r="BQ485" s="583">
        <f t="shared" ref="BQ485:BQ496" si="1110">AR485*($Q485-$R485)/($Q485+0.00001)</f>
        <v>0</v>
      </c>
      <c r="BR485" s="583">
        <f t="shared" ref="BR485:BR496" si="1111">AS485*($Q485-$R485)/($Q485+0.00001)</f>
        <v>0</v>
      </c>
    </row>
    <row r="486" spans="1:70" s="229" customFormat="1" ht="15" customHeight="1">
      <c r="A486" s="504"/>
      <c r="D486" s="406"/>
      <c r="E486" s="576" t="str">
        <f>IF(E$485&gt;0,E$485,"")</f>
        <v/>
      </c>
      <c r="F486" s="707"/>
      <c r="G486" s="406" t="s">
        <v>3054</v>
      </c>
      <c r="H486" s="1262" t="s">
        <v>3055</v>
      </c>
      <c r="I486" s="85">
        <v>0</v>
      </c>
      <c r="J486" s="682">
        <v>1</v>
      </c>
      <c r="K486" s="579" t="str">
        <f t="shared" si="1086"/>
        <v/>
      </c>
      <c r="L486" s="580" t="str">
        <f>IF(H486="Select ingredient:","",IF(G486="","",_xlfn.IFNA(VLOOKUP($H486,Ingredient_prices!$E:$U,16,FALSE),0)))</f>
        <v/>
      </c>
      <c r="M486" s="850"/>
      <c r="N486" s="850"/>
      <c r="O486" s="666"/>
      <c r="P486" s="674"/>
      <c r="Q486" s="583">
        <f t="shared" si="1087"/>
        <v>0</v>
      </c>
      <c r="R486" s="583">
        <f>VLOOKUP($H486,'CO2_emission+%_food_waste'!$A:$K,6,FALSE)*$Q486/100</f>
        <v>0</v>
      </c>
      <c r="S486" s="583">
        <f t="shared" si="1088"/>
        <v>0</v>
      </c>
      <c r="T486" s="583" t="str">
        <f>IF(H486="Select ingredient:","",IF(G486="Select food category:","",_xlfn.IFNA(VLOOKUP($H486,Ingredient_prices!$E:$U,16,FALSE)*$Q486/1000,"not bought")))</f>
        <v/>
      </c>
      <c r="U486" s="583" t="str">
        <f>IF(G486="Select food category:","",_xlfn.IFNA(VLOOKUP($H486,Ingredient_prices!$E:$U,16,FALSE)*$R486/1000,"not bought"))</f>
        <v/>
      </c>
      <c r="V486" s="549">
        <f>VLOOKUP($H486,'CO2_emission+%_food_waste'!$A:$K,4,FALSE)*$Q486</f>
        <v>0</v>
      </c>
      <c r="W486" s="583">
        <f>VLOOKUP($H486,Nutrition_tables!$A:$N,10,FALSE)*$Q486/100</f>
        <v>0</v>
      </c>
      <c r="X486" s="583">
        <f>VLOOKUP($H486,Nutrition_tables!$A:$N,11,FALSE)*$Q486/100</f>
        <v>0</v>
      </c>
      <c r="Y486" s="583">
        <f>VLOOKUP($H486,Nutrition_tables!$A:$N,12,FALSE)*$Q486/100</f>
        <v>0</v>
      </c>
      <c r="Z486" s="583">
        <f>VLOOKUP($H486,Nutrition_tables!$A:$N,14,FALSE)*$Q486/100</f>
        <v>0</v>
      </c>
      <c r="AA486" s="583">
        <f>VLOOKUP($H486,Nutrition_tables!$A:$AF,13,FALSE)*$Q486/100</f>
        <v>0</v>
      </c>
      <c r="AB486" s="549">
        <f>VLOOKUP($H486,Nutrition_tables!$A:$AF,15,FALSE)*$Q486/100</f>
        <v>0</v>
      </c>
      <c r="AC486" s="583">
        <f>VLOOKUP($H486,Nutrition_tables!$A:$AF,16,FALSE)*$Q486/100</f>
        <v>0</v>
      </c>
      <c r="AD486" s="583">
        <f>VLOOKUP($H486,Nutrition_tables!$A:$AF,17,FALSE)*$Q486/100</f>
        <v>0</v>
      </c>
      <c r="AE486" s="583">
        <f>VLOOKUP($H486,Nutrition_tables!$A:$AF,18,FALSE)*$Q486/100</f>
        <v>0</v>
      </c>
      <c r="AF486" s="583">
        <f>VLOOKUP($H486,Nutrition_tables!$A:$AF,19,FALSE)*$Q486/100</f>
        <v>0</v>
      </c>
      <c r="AG486" s="583">
        <f>VLOOKUP($H486,Nutrition_tables!$A:$AF,20,FALSE)*$Q486/100</f>
        <v>0</v>
      </c>
      <c r="AH486" s="583">
        <f>VLOOKUP($H486,Nutrition_tables!$A:$AF,21,FALSE)*$Q486/100</f>
        <v>0</v>
      </c>
      <c r="AI486" s="583">
        <f>VLOOKUP($H486,Nutrition_tables!$A:$AF,22,FALSE)*$Q486/100</f>
        <v>0</v>
      </c>
      <c r="AJ486" s="549">
        <f>VLOOKUP($H486,Nutrition_tables!$A:$AF,23,FALSE)*$Q486/100</f>
        <v>0</v>
      </c>
      <c r="AK486" s="583">
        <f>VLOOKUP($H486,Nutrition_tables!$A:$AF,24,FALSE)*$Q486/100</f>
        <v>0</v>
      </c>
      <c r="AL486" s="583">
        <f>VLOOKUP($H486,Nutrition_tables!$A:$AF,25,FALSE)*$Q486/100</f>
        <v>0</v>
      </c>
      <c r="AM486" s="583">
        <f>VLOOKUP($H486,Nutrition_tables!$A:$AF,26,FALSE)*$Q486/100</f>
        <v>0</v>
      </c>
      <c r="AN486" s="583">
        <f>VLOOKUP($H486,Nutrition_tables!$A:$AF,27,FALSE)*$Q486/100</f>
        <v>0</v>
      </c>
      <c r="AO486" s="583">
        <f>VLOOKUP($H486,Nutrition_tables!$A:$AF,28,FALSE)*$Q486/100</f>
        <v>0</v>
      </c>
      <c r="AP486" s="583">
        <f>VLOOKUP($H486,Nutrition_tables!$A:$AF,29,FALSE)*$Q486/100</f>
        <v>0</v>
      </c>
      <c r="AQ486" s="583">
        <f>VLOOKUP($H486,Nutrition_tables!$A:$AF,30,FALSE)*$Q486/100</f>
        <v>0</v>
      </c>
      <c r="AR486" s="583">
        <f>VLOOKUP($H486,Nutrition_tables!$A:$AF,31,FALSE)*$Q486/100</f>
        <v>0</v>
      </c>
      <c r="AS486" s="549">
        <f>VLOOKUP($H486,Nutrition_tables!$A:$AF,32,FALSE)*$Q486/100</f>
        <v>0</v>
      </c>
      <c r="AT486" s="583" t="str">
        <f>IF(H486="Select ingredient:","",IF(G486="Select food category:","",IFERROR(VLOOKUP($H486,Ingredient_prices!$E:$W,17,FALSE)*$Q486/1000,"not bought")))</f>
        <v/>
      </c>
      <c r="AU486" s="583" t="str">
        <f>IF(H486="Select ingredient:","",IF(G486="Select food category:","",IFERROR(VLOOKUP($H486,Ingredient_prices!$E:$W,18,FALSE)*$Q486/1000,"not bought")))</f>
        <v/>
      </c>
      <c r="AV486" s="583">
        <f t="shared" si="1089"/>
        <v>0</v>
      </c>
      <c r="AW486" s="583">
        <f t="shared" si="1090"/>
        <v>0</v>
      </c>
      <c r="AX486" s="583">
        <f t="shared" si="1091"/>
        <v>0</v>
      </c>
      <c r="AY486" s="583">
        <f t="shared" si="1092"/>
        <v>0</v>
      </c>
      <c r="AZ486" s="583">
        <f t="shared" si="1093"/>
        <v>0</v>
      </c>
      <c r="BA486" s="583">
        <f t="shared" si="1094"/>
        <v>0</v>
      </c>
      <c r="BB486" s="583">
        <f t="shared" si="1095"/>
        <v>0</v>
      </c>
      <c r="BC486" s="583">
        <f t="shared" si="1096"/>
        <v>0</v>
      </c>
      <c r="BD486" s="583">
        <f t="shared" si="1097"/>
        <v>0</v>
      </c>
      <c r="BE486" s="583">
        <f t="shared" si="1098"/>
        <v>0</v>
      </c>
      <c r="BF486" s="583">
        <f t="shared" si="1099"/>
        <v>0</v>
      </c>
      <c r="BG486" s="583">
        <f t="shared" si="1100"/>
        <v>0</v>
      </c>
      <c r="BH486" s="583">
        <f t="shared" si="1101"/>
        <v>0</v>
      </c>
      <c r="BI486" s="583">
        <f t="shared" si="1102"/>
        <v>0</v>
      </c>
      <c r="BJ486" s="583">
        <f t="shared" si="1103"/>
        <v>0</v>
      </c>
      <c r="BK486" s="583">
        <f t="shared" si="1104"/>
        <v>0</v>
      </c>
      <c r="BL486" s="583">
        <f t="shared" si="1105"/>
        <v>0</v>
      </c>
      <c r="BM486" s="583">
        <f t="shared" si="1106"/>
        <v>0</v>
      </c>
      <c r="BN486" s="583">
        <f t="shared" si="1107"/>
        <v>0</v>
      </c>
      <c r="BO486" s="583">
        <f t="shared" si="1108"/>
        <v>0</v>
      </c>
      <c r="BP486" s="583">
        <f t="shared" si="1109"/>
        <v>0</v>
      </c>
      <c r="BQ486" s="583">
        <f t="shared" si="1110"/>
        <v>0</v>
      </c>
      <c r="BR486" s="583">
        <f t="shared" si="1111"/>
        <v>0</v>
      </c>
    </row>
    <row r="487" spans="1:70" s="229" customFormat="1" ht="15" customHeight="1">
      <c r="A487" s="504"/>
      <c r="D487" s="85"/>
      <c r="E487" s="576" t="str">
        <f t="shared" ref="E487:E496" si="1112">IF(E$485&gt;0,E$485,"")</f>
        <v/>
      </c>
      <c r="F487" s="707"/>
      <c r="G487" s="406" t="s">
        <v>3054</v>
      </c>
      <c r="H487" s="1262" t="s">
        <v>3055</v>
      </c>
      <c r="I487" s="85">
        <v>0</v>
      </c>
      <c r="J487" s="682">
        <v>1</v>
      </c>
      <c r="K487" s="579" t="str">
        <f t="shared" si="1086"/>
        <v/>
      </c>
      <c r="L487" s="580" t="str">
        <f>IF(H487="Select ingredient:","",IF(G487="","",_xlfn.IFNA(VLOOKUP($H487,Ingredient_prices!$E:$U,16,FALSE),0)))</f>
        <v/>
      </c>
      <c r="M487" s="850"/>
      <c r="N487" s="850"/>
      <c r="O487" s="666"/>
      <c r="P487" s="674"/>
      <c r="Q487" s="583">
        <f t="shared" si="1087"/>
        <v>0</v>
      </c>
      <c r="R487" s="583">
        <f>VLOOKUP($H487,'CO2_emission+%_food_waste'!$A:$K,6,FALSE)*$Q487/100</f>
        <v>0</v>
      </c>
      <c r="S487" s="583">
        <f t="shared" si="1088"/>
        <v>0</v>
      </c>
      <c r="T487" s="583" t="str">
        <f>IF(H487="Select ingredient:","",IF(G487="Select food category:","",_xlfn.IFNA(VLOOKUP($H487,Ingredient_prices!$E:$U,16,FALSE)*$Q487/1000,"not bought")))</f>
        <v/>
      </c>
      <c r="U487" s="583" t="str">
        <f>IF(G487="Select food category:","",_xlfn.IFNA(VLOOKUP($H487,Ingredient_prices!$E:$U,16,FALSE)*$R487/1000,"not bought"))</f>
        <v/>
      </c>
      <c r="V487" s="549">
        <f>VLOOKUP($H487,'CO2_emission+%_food_waste'!$A:$K,4,FALSE)*$Q487</f>
        <v>0</v>
      </c>
      <c r="W487" s="583">
        <f>VLOOKUP($H487,Nutrition_tables!$A:$N,10,FALSE)*$Q487/100</f>
        <v>0</v>
      </c>
      <c r="X487" s="583">
        <f>VLOOKUP($H487,Nutrition_tables!$A:$N,11,FALSE)*$Q487/100</f>
        <v>0</v>
      </c>
      <c r="Y487" s="583">
        <f>VLOOKUP($H487,Nutrition_tables!$A:$N,12,FALSE)*$Q487/100</f>
        <v>0</v>
      </c>
      <c r="Z487" s="583">
        <f>VLOOKUP($H487,Nutrition_tables!$A:$N,14,FALSE)*$Q487/100</f>
        <v>0</v>
      </c>
      <c r="AA487" s="583">
        <f>VLOOKUP($H487,Nutrition_tables!$A:$AF,13,FALSE)*$Q487/100</f>
        <v>0</v>
      </c>
      <c r="AB487" s="549">
        <f>VLOOKUP($H487,Nutrition_tables!$A:$AF,15,FALSE)*$Q487/100</f>
        <v>0</v>
      </c>
      <c r="AC487" s="583">
        <f>VLOOKUP($H487,Nutrition_tables!$A:$AF,16,FALSE)*$Q487/100</f>
        <v>0</v>
      </c>
      <c r="AD487" s="583">
        <f>VLOOKUP($H487,Nutrition_tables!$A:$AF,17,FALSE)*$Q487/100</f>
        <v>0</v>
      </c>
      <c r="AE487" s="583">
        <f>VLOOKUP($H487,Nutrition_tables!$A:$AF,18,FALSE)*$Q487/100</f>
        <v>0</v>
      </c>
      <c r="AF487" s="583">
        <f>VLOOKUP($H487,Nutrition_tables!$A:$AF,19,FALSE)*$Q487/100</f>
        <v>0</v>
      </c>
      <c r="AG487" s="583">
        <f>VLOOKUP($H487,Nutrition_tables!$A:$AF,20,FALSE)*$Q487/100</f>
        <v>0</v>
      </c>
      <c r="AH487" s="583">
        <f>VLOOKUP($H487,Nutrition_tables!$A:$AF,21,FALSE)*$Q487/100</f>
        <v>0</v>
      </c>
      <c r="AI487" s="583">
        <f>VLOOKUP($H487,Nutrition_tables!$A:$AF,22,FALSE)*$Q487/100</f>
        <v>0</v>
      </c>
      <c r="AJ487" s="549">
        <f>VLOOKUP($H487,Nutrition_tables!$A:$AF,23,FALSE)*$Q487/100</f>
        <v>0</v>
      </c>
      <c r="AK487" s="583">
        <f>VLOOKUP($H487,Nutrition_tables!$A:$AF,24,FALSE)*$Q487/100</f>
        <v>0</v>
      </c>
      <c r="AL487" s="583">
        <f>VLOOKUP($H487,Nutrition_tables!$A:$AF,25,FALSE)*$Q487/100</f>
        <v>0</v>
      </c>
      <c r="AM487" s="583">
        <f>VLOOKUP($H487,Nutrition_tables!$A:$AF,26,FALSE)*$Q487/100</f>
        <v>0</v>
      </c>
      <c r="AN487" s="583">
        <f>VLOOKUP($H487,Nutrition_tables!$A:$AF,27,FALSE)*$Q487/100</f>
        <v>0</v>
      </c>
      <c r="AO487" s="583">
        <f>VLOOKUP($H487,Nutrition_tables!$A:$AF,28,FALSE)*$Q487/100</f>
        <v>0</v>
      </c>
      <c r="AP487" s="583">
        <f>VLOOKUP($H487,Nutrition_tables!$A:$AF,29,FALSE)*$Q487/100</f>
        <v>0</v>
      </c>
      <c r="AQ487" s="583">
        <f>VLOOKUP($H487,Nutrition_tables!$A:$AF,30,FALSE)*$Q487/100</f>
        <v>0</v>
      </c>
      <c r="AR487" s="583">
        <f>VLOOKUP($H487,Nutrition_tables!$A:$AF,31,FALSE)*$Q487/100</f>
        <v>0</v>
      </c>
      <c r="AS487" s="549">
        <f>VLOOKUP($H487,Nutrition_tables!$A:$AF,32,FALSE)*$Q487/100</f>
        <v>0</v>
      </c>
      <c r="AT487" s="583" t="str">
        <f>IF(H487="Select ingredient:","",IF(G487="Select food category:","",IFERROR(VLOOKUP($H487,Ingredient_prices!$E:$W,17,FALSE)*$Q487/1000,"not bought")))</f>
        <v/>
      </c>
      <c r="AU487" s="583" t="str">
        <f>IF(H487="Select ingredient:","",IF(G487="Select food category:","",IFERROR(VLOOKUP($H487,Ingredient_prices!$E:$W,18,FALSE)*$Q487/1000,"not bought")))</f>
        <v/>
      </c>
      <c r="AV487" s="583">
        <f t="shared" si="1089"/>
        <v>0</v>
      </c>
      <c r="AW487" s="583">
        <f t="shared" si="1090"/>
        <v>0</v>
      </c>
      <c r="AX487" s="583">
        <f t="shared" si="1091"/>
        <v>0</v>
      </c>
      <c r="AY487" s="583">
        <f t="shared" si="1092"/>
        <v>0</v>
      </c>
      <c r="AZ487" s="583">
        <f t="shared" si="1093"/>
        <v>0</v>
      </c>
      <c r="BA487" s="583">
        <f t="shared" si="1094"/>
        <v>0</v>
      </c>
      <c r="BB487" s="583">
        <f t="shared" si="1095"/>
        <v>0</v>
      </c>
      <c r="BC487" s="583">
        <f t="shared" si="1096"/>
        <v>0</v>
      </c>
      <c r="BD487" s="583">
        <f t="shared" si="1097"/>
        <v>0</v>
      </c>
      <c r="BE487" s="583">
        <f t="shared" si="1098"/>
        <v>0</v>
      </c>
      <c r="BF487" s="583">
        <f t="shared" si="1099"/>
        <v>0</v>
      </c>
      <c r="BG487" s="583">
        <f t="shared" si="1100"/>
        <v>0</v>
      </c>
      <c r="BH487" s="583">
        <f t="shared" si="1101"/>
        <v>0</v>
      </c>
      <c r="BI487" s="583">
        <f t="shared" si="1102"/>
        <v>0</v>
      </c>
      <c r="BJ487" s="583">
        <f t="shared" si="1103"/>
        <v>0</v>
      </c>
      <c r="BK487" s="583">
        <f t="shared" si="1104"/>
        <v>0</v>
      </c>
      <c r="BL487" s="583">
        <f t="shared" si="1105"/>
        <v>0</v>
      </c>
      <c r="BM487" s="583">
        <f t="shared" si="1106"/>
        <v>0</v>
      </c>
      <c r="BN487" s="583">
        <f t="shared" si="1107"/>
        <v>0</v>
      </c>
      <c r="BO487" s="583">
        <f t="shared" si="1108"/>
        <v>0</v>
      </c>
      <c r="BP487" s="583">
        <f t="shared" si="1109"/>
        <v>0</v>
      </c>
      <c r="BQ487" s="583">
        <f t="shared" si="1110"/>
        <v>0</v>
      </c>
      <c r="BR487" s="583">
        <f t="shared" si="1111"/>
        <v>0</v>
      </c>
    </row>
    <row r="488" spans="1:70" s="229" customFormat="1" ht="15" customHeight="1">
      <c r="A488" s="504"/>
      <c r="D488" s="85"/>
      <c r="E488" s="576" t="str">
        <f t="shared" si="1112"/>
        <v/>
      </c>
      <c r="F488" s="707"/>
      <c r="G488" s="406" t="s">
        <v>3054</v>
      </c>
      <c r="H488" s="1262" t="s">
        <v>3055</v>
      </c>
      <c r="I488" s="85">
        <v>0</v>
      </c>
      <c r="J488" s="682">
        <v>1</v>
      </c>
      <c r="K488" s="579" t="str">
        <f t="shared" si="1086"/>
        <v/>
      </c>
      <c r="L488" s="580" t="str">
        <f>IF(H488="Select ingredient:","",IF(G488="","",_xlfn.IFNA(VLOOKUP($H488,Ingredient_prices!$E:$U,16,FALSE),0)))</f>
        <v/>
      </c>
      <c r="M488" s="850"/>
      <c r="N488" s="850"/>
      <c r="O488" s="666"/>
      <c r="P488" s="674"/>
      <c r="Q488" s="583">
        <f t="shared" si="1087"/>
        <v>0</v>
      </c>
      <c r="R488" s="583">
        <f>VLOOKUP($H488,'CO2_emission+%_food_waste'!$A:$K,6,FALSE)*$Q488/100</f>
        <v>0</v>
      </c>
      <c r="S488" s="583">
        <f t="shared" si="1088"/>
        <v>0</v>
      </c>
      <c r="T488" s="583" t="str">
        <f>IF(H488="Select ingredient:","",IF(G488="Select food category:","",_xlfn.IFNA(VLOOKUP($H488,Ingredient_prices!$E:$U,16,FALSE)*$Q488/1000,"not bought")))</f>
        <v/>
      </c>
      <c r="U488" s="583" t="str">
        <f>IF(G488="Select food category:","",_xlfn.IFNA(VLOOKUP($H488,Ingredient_prices!$E:$U,16,FALSE)*$R488/1000,"not bought"))</f>
        <v/>
      </c>
      <c r="V488" s="549">
        <f>VLOOKUP($H488,'CO2_emission+%_food_waste'!$A:$K,4,FALSE)*$Q488</f>
        <v>0</v>
      </c>
      <c r="W488" s="583">
        <f>VLOOKUP($H488,Nutrition_tables!$A:$N,10,FALSE)*$Q488/100</f>
        <v>0</v>
      </c>
      <c r="X488" s="583">
        <f>VLOOKUP($H488,Nutrition_tables!$A:$N,11,FALSE)*$Q488/100</f>
        <v>0</v>
      </c>
      <c r="Y488" s="583">
        <f>VLOOKUP($H488,Nutrition_tables!$A:$N,12,FALSE)*$Q488/100</f>
        <v>0</v>
      </c>
      <c r="Z488" s="583">
        <f>VLOOKUP($H488,Nutrition_tables!$A:$N,14,FALSE)*$Q488/100</f>
        <v>0</v>
      </c>
      <c r="AA488" s="583">
        <f>VLOOKUP($H488,Nutrition_tables!$A:$AF,13,FALSE)*$Q488/100</f>
        <v>0</v>
      </c>
      <c r="AB488" s="549">
        <f>VLOOKUP($H488,Nutrition_tables!$A:$AF,15,FALSE)*$Q488/100</f>
        <v>0</v>
      </c>
      <c r="AC488" s="583">
        <f>VLOOKUP($H488,Nutrition_tables!$A:$AF,16,FALSE)*$Q488/100</f>
        <v>0</v>
      </c>
      <c r="AD488" s="583">
        <f>VLOOKUP($H488,Nutrition_tables!$A:$AF,17,FALSE)*$Q488/100</f>
        <v>0</v>
      </c>
      <c r="AE488" s="583">
        <f>VLOOKUP($H488,Nutrition_tables!$A:$AF,18,FALSE)*$Q488/100</f>
        <v>0</v>
      </c>
      <c r="AF488" s="583">
        <f>VLOOKUP($H488,Nutrition_tables!$A:$AF,19,FALSE)*$Q488/100</f>
        <v>0</v>
      </c>
      <c r="AG488" s="583">
        <f>VLOOKUP($H488,Nutrition_tables!$A:$AF,20,FALSE)*$Q488/100</f>
        <v>0</v>
      </c>
      <c r="AH488" s="583">
        <f>VLOOKUP($H488,Nutrition_tables!$A:$AF,21,FALSE)*$Q488/100</f>
        <v>0</v>
      </c>
      <c r="AI488" s="583">
        <f>VLOOKUP($H488,Nutrition_tables!$A:$AF,22,FALSE)*$Q488/100</f>
        <v>0</v>
      </c>
      <c r="AJ488" s="549">
        <f>VLOOKUP($H488,Nutrition_tables!$A:$AF,23,FALSE)*$Q488/100</f>
        <v>0</v>
      </c>
      <c r="AK488" s="583">
        <f>VLOOKUP($H488,Nutrition_tables!$A:$AF,24,FALSE)*$Q488/100</f>
        <v>0</v>
      </c>
      <c r="AL488" s="583">
        <f>VLOOKUP($H488,Nutrition_tables!$A:$AF,25,FALSE)*$Q488/100</f>
        <v>0</v>
      </c>
      <c r="AM488" s="583">
        <f>VLOOKUP($H488,Nutrition_tables!$A:$AF,26,FALSE)*$Q488/100</f>
        <v>0</v>
      </c>
      <c r="AN488" s="583">
        <f>VLOOKUP($H488,Nutrition_tables!$A:$AF,27,FALSE)*$Q488/100</f>
        <v>0</v>
      </c>
      <c r="AO488" s="583">
        <f>VLOOKUP($H488,Nutrition_tables!$A:$AF,28,FALSE)*$Q488/100</f>
        <v>0</v>
      </c>
      <c r="AP488" s="583">
        <f>VLOOKUP($H488,Nutrition_tables!$A:$AF,29,FALSE)*$Q488/100</f>
        <v>0</v>
      </c>
      <c r="AQ488" s="583">
        <f>VLOOKUP($H488,Nutrition_tables!$A:$AF,30,FALSE)*$Q488/100</f>
        <v>0</v>
      </c>
      <c r="AR488" s="583">
        <f>VLOOKUP($H488,Nutrition_tables!$A:$AF,31,FALSE)*$Q488/100</f>
        <v>0</v>
      </c>
      <c r="AS488" s="549">
        <f>VLOOKUP($H488,Nutrition_tables!$A:$AF,32,FALSE)*$Q488/100</f>
        <v>0</v>
      </c>
      <c r="AT488" s="583" t="str">
        <f>IF(H488="Select ingredient:","",IF(G488="Select food category:","",IFERROR(VLOOKUP($H488,Ingredient_prices!$E:$W,17,FALSE)*$Q488/1000,"not bought")))</f>
        <v/>
      </c>
      <c r="AU488" s="583" t="str">
        <f>IF(H488="Select ingredient:","",IF(G488="Select food category:","",IFERROR(VLOOKUP($H488,Ingredient_prices!$E:$W,18,FALSE)*$Q488/1000,"not bought")))</f>
        <v/>
      </c>
      <c r="AV488" s="583">
        <f t="shared" si="1089"/>
        <v>0</v>
      </c>
      <c r="AW488" s="583">
        <f t="shared" si="1090"/>
        <v>0</v>
      </c>
      <c r="AX488" s="583">
        <f t="shared" si="1091"/>
        <v>0</v>
      </c>
      <c r="AY488" s="583">
        <f t="shared" si="1092"/>
        <v>0</v>
      </c>
      <c r="AZ488" s="583">
        <f t="shared" si="1093"/>
        <v>0</v>
      </c>
      <c r="BA488" s="583">
        <f t="shared" si="1094"/>
        <v>0</v>
      </c>
      <c r="BB488" s="583">
        <f t="shared" si="1095"/>
        <v>0</v>
      </c>
      <c r="BC488" s="583">
        <f t="shared" si="1096"/>
        <v>0</v>
      </c>
      <c r="BD488" s="583">
        <f t="shared" si="1097"/>
        <v>0</v>
      </c>
      <c r="BE488" s="583">
        <f t="shared" si="1098"/>
        <v>0</v>
      </c>
      <c r="BF488" s="583">
        <f t="shared" si="1099"/>
        <v>0</v>
      </c>
      <c r="BG488" s="583">
        <f t="shared" si="1100"/>
        <v>0</v>
      </c>
      <c r="BH488" s="583">
        <f t="shared" si="1101"/>
        <v>0</v>
      </c>
      <c r="BI488" s="583">
        <f t="shared" si="1102"/>
        <v>0</v>
      </c>
      <c r="BJ488" s="583">
        <f t="shared" si="1103"/>
        <v>0</v>
      </c>
      <c r="BK488" s="583">
        <f t="shared" si="1104"/>
        <v>0</v>
      </c>
      <c r="BL488" s="583">
        <f t="shared" si="1105"/>
        <v>0</v>
      </c>
      <c r="BM488" s="583">
        <f t="shared" si="1106"/>
        <v>0</v>
      </c>
      <c r="BN488" s="583">
        <f t="shared" si="1107"/>
        <v>0</v>
      </c>
      <c r="BO488" s="583">
        <f t="shared" si="1108"/>
        <v>0</v>
      </c>
      <c r="BP488" s="583">
        <f t="shared" si="1109"/>
        <v>0</v>
      </c>
      <c r="BQ488" s="583">
        <f t="shared" si="1110"/>
        <v>0</v>
      </c>
      <c r="BR488" s="583">
        <f t="shared" si="1111"/>
        <v>0</v>
      </c>
    </row>
    <row r="489" spans="1:70" s="229" customFormat="1" ht="15" customHeight="1">
      <c r="A489" s="504"/>
      <c r="D489" s="85"/>
      <c r="E489" s="576" t="str">
        <f t="shared" si="1112"/>
        <v/>
      </c>
      <c r="F489" s="707"/>
      <c r="G489" s="406" t="s">
        <v>3054</v>
      </c>
      <c r="H489" s="1262" t="s">
        <v>3055</v>
      </c>
      <c r="I489" s="85">
        <v>0</v>
      </c>
      <c r="J489" s="682">
        <v>1</v>
      </c>
      <c r="K489" s="579" t="str">
        <f t="shared" si="1086"/>
        <v/>
      </c>
      <c r="L489" s="580" t="str">
        <f>IF(H489="Select ingredient:","",IF(G489="","",_xlfn.IFNA(VLOOKUP($H489,Ingredient_prices!$E:$U,16,FALSE),0)))</f>
        <v/>
      </c>
      <c r="M489" s="850"/>
      <c r="N489" s="850"/>
      <c r="O489" s="666"/>
      <c r="P489" s="674"/>
      <c r="Q489" s="583">
        <f t="shared" si="1087"/>
        <v>0</v>
      </c>
      <c r="R489" s="583">
        <f>VLOOKUP($H489,'CO2_emission+%_food_waste'!$A:$K,6,FALSE)*$Q489/100</f>
        <v>0</v>
      </c>
      <c r="S489" s="583">
        <f t="shared" si="1088"/>
        <v>0</v>
      </c>
      <c r="T489" s="583" t="str">
        <f>IF(H489="Select ingredient:","",IF(G489="Select food category:","",_xlfn.IFNA(VLOOKUP($H489,Ingredient_prices!$E:$U,16,FALSE)*$Q489/1000,"not bought")))</f>
        <v/>
      </c>
      <c r="U489" s="583" t="str">
        <f>IF(G489="Select food category:","",_xlfn.IFNA(VLOOKUP($H489,Ingredient_prices!$E:$U,16,FALSE)*$R489/1000,"not bought"))</f>
        <v/>
      </c>
      <c r="V489" s="549">
        <f>VLOOKUP($H489,'CO2_emission+%_food_waste'!$A:$K,4,FALSE)*$Q489</f>
        <v>0</v>
      </c>
      <c r="W489" s="583">
        <f>VLOOKUP($H489,Nutrition_tables!$A:$N,10,FALSE)*$Q489/100</f>
        <v>0</v>
      </c>
      <c r="X489" s="583">
        <f>VLOOKUP($H489,Nutrition_tables!$A:$N,11,FALSE)*$Q489/100</f>
        <v>0</v>
      </c>
      <c r="Y489" s="583">
        <f>VLOOKUP($H489,Nutrition_tables!$A:$N,12,FALSE)*$Q489/100</f>
        <v>0</v>
      </c>
      <c r="Z489" s="583">
        <f>VLOOKUP($H489,Nutrition_tables!$A:$N,14,FALSE)*$Q489/100</f>
        <v>0</v>
      </c>
      <c r="AA489" s="583">
        <f>VLOOKUP($H489,Nutrition_tables!$A:$AF,13,FALSE)*$Q489/100</f>
        <v>0</v>
      </c>
      <c r="AB489" s="549">
        <f>VLOOKUP($H489,Nutrition_tables!$A:$AF,15,FALSE)*$Q489/100</f>
        <v>0</v>
      </c>
      <c r="AC489" s="583">
        <f>VLOOKUP($H489,Nutrition_tables!$A:$AF,16,FALSE)*$Q489/100</f>
        <v>0</v>
      </c>
      <c r="AD489" s="583">
        <f>VLOOKUP($H489,Nutrition_tables!$A:$AF,17,FALSE)*$Q489/100</f>
        <v>0</v>
      </c>
      <c r="AE489" s="583">
        <f>VLOOKUP($H489,Nutrition_tables!$A:$AF,18,FALSE)*$Q489/100</f>
        <v>0</v>
      </c>
      <c r="AF489" s="583">
        <f>VLOOKUP($H489,Nutrition_tables!$A:$AF,19,FALSE)*$Q489/100</f>
        <v>0</v>
      </c>
      <c r="AG489" s="583">
        <f>VLOOKUP($H489,Nutrition_tables!$A:$AF,20,FALSE)*$Q489/100</f>
        <v>0</v>
      </c>
      <c r="AH489" s="583">
        <f>VLOOKUP($H489,Nutrition_tables!$A:$AF,21,FALSE)*$Q489/100</f>
        <v>0</v>
      </c>
      <c r="AI489" s="583">
        <f>VLOOKUP($H489,Nutrition_tables!$A:$AF,22,FALSE)*$Q489/100</f>
        <v>0</v>
      </c>
      <c r="AJ489" s="549">
        <f>VLOOKUP($H489,Nutrition_tables!$A:$AF,23,FALSE)*$Q489/100</f>
        <v>0</v>
      </c>
      <c r="AK489" s="583">
        <f>VLOOKUP($H489,Nutrition_tables!$A:$AF,24,FALSE)*$Q489/100</f>
        <v>0</v>
      </c>
      <c r="AL489" s="583">
        <f>VLOOKUP($H489,Nutrition_tables!$A:$AF,25,FALSE)*$Q489/100</f>
        <v>0</v>
      </c>
      <c r="AM489" s="583">
        <f>VLOOKUP($H489,Nutrition_tables!$A:$AF,26,FALSE)*$Q489/100</f>
        <v>0</v>
      </c>
      <c r="AN489" s="583">
        <f>VLOOKUP($H489,Nutrition_tables!$A:$AF,27,FALSE)*$Q489/100</f>
        <v>0</v>
      </c>
      <c r="AO489" s="583">
        <f>VLOOKUP($H489,Nutrition_tables!$A:$AF,28,FALSE)*$Q489/100</f>
        <v>0</v>
      </c>
      <c r="AP489" s="583">
        <f>VLOOKUP($H489,Nutrition_tables!$A:$AF,29,FALSE)*$Q489/100</f>
        <v>0</v>
      </c>
      <c r="AQ489" s="583">
        <f>VLOOKUP($H489,Nutrition_tables!$A:$AF,30,FALSE)*$Q489/100</f>
        <v>0</v>
      </c>
      <c r="AR489" s="583">
        <f>VLOOKUP($H489,Nutrition_tables!$A:$AF,31,FALSE)*$Q489/100</f>
        <v>0</v>
      </c>
      <c r="AS489" s="549">
        <f>VLOOKUP($H489,Nutrition_tables!$A:$AF,32,FALSE)*$Q489/100</f>
        <v>0</v>
      </c>
      <c r="AT489" s="583" t="str">
        <f>IF(H489="Select ingredient:","",IF(G489="Select food category:","",IFERROR(VLOOKUP($H489,Ingredient_prices!$E:$W,17,FALSE)*$Q489/1000,"not bought")))</f>
        <v/>
      </c>
      <c r="AU489" s="583" t="str">
        <f>IF(H489="Select ingredient:","",IF(G489="Select food category:","",IFERROR(VLOOKUP($H489,Ingredient_prices!$E:$W,18,FALSE)*$Q489/1000,"not bought")))</f>
        <v/>
      </c>
      <c r="AV489" s="583">
        <f t="shared" si="1089"/>
        <v>0</v>
      </c>
      <c r="AW489" s="583">
        <f t="shared" si="1090"/>
        <v>0</v>
      </c>
      <c r="AX489" s="583">
        <f t="shared" si="1091"/>
        <v>0</v>
      </c>
      <c r="AY489" s="583">
        <f t="shared" si="1092"/>
        <v>0</v>
      </c>
      <c r="AZ489" s="583">
        <f t="shared" si="1093"/>
        <v>0</v>
      </c>
      <c r="BA489" s="583">
        <f t="shared" si="1094"/>
        <v>0</v>
      </c>
      <c r="BB489" s="583">
        <f t="shared" si="1095"/>
        <v>0</v>
      </c>
      <c r="BC489" s="583">
        <f t="shared" si="1096"/>
        <v>0</v>
      </c>
      <c r="BD489" s="583">
        <f t="shared" si="1097"/>
        <v>0</v>
      </c>
      <c r="BE489" s="583">
        <f t="shared" si="1098"/>
        <v>0</v>
      </c>
      <c r="BF489" s="583">
        <f t="shared" si="1099"/>
        <v>0</v>
      </c>
      <c r="BG489" s="583">
        <f t="shared" si="1100"/>
        <v>0</v>
      </c>
      <c r="BH489" s="583">
        <f t="shared" si="1101"/>
        <v>0</v>
      </c>
      <c r="BI489" s="583">
        <f t="shared" si="1102"/>
        <v>0</v>
      </c>
      <c r="BJ489" s="583">
        <f t="shared" si="1103"/>
        <v>0</v>
      </c>
      <c r="BK489" s="583">
        <f t="shared" si="1104"/>
        <v>0</v>
      </c>
      <c r="BL489" s="583">
        <f t="shared" si="1105"/>
        <v>0</v>
      </c>
      <c r="BM489" s="583">
        <f t="shared" si="1106"/>
        <v>0</v>
      </c>
      <c r="BN489" s="583">
        <f t="shared" si="1107"/>
        <v>0</v>
      </c>
      <c r="BO489" s="583">
        <f t="shared" si="1108"/>
        <v>0</v>
      </c>
      <c r="BP489" s="583">
        <f t="shared" si="1109"/>
        <v>0</v>
      </c>
      <c r="BQ489" s="583">
        <f t="shared" si="1110"/>
        <v>0</v>
      </c>
      <c r="BR489" s="583">
        <f t="shared" si="1111"/>
        <v>0</v>
      </c>
    </row>
    <row r="490" spans="1:70" s="229" customFormat="1" ht="15" customHeight="1">
      <c r="A490" s="504"/>
      <c r="D490" s="85"/>
      <c r="E490" s="576" t="str">
        <f t="shared" si="1112"/>
        <v/>
      </c>
      <c r="F490" s="707"/>
      <c r="G490" s="406" t="s">
        <v>3054</v>
      </c>
      <c r="H490" s="1262" t="s">
        <v>3055</v>
      </c>
      <c r="I490" s="85">
        <v>0</v>
      </c>
      <c r="J490" s="682">
        <v>1</v>
      </c>
      <c r="K490" s="579" t="str">
        <f t="shared" si="1086"/>
        <v/>
      </c>
      <c r="L490" s="580" t="str">
        <f>IF(H490="Select ingredient:","",IF(G490="","",_xlfn.IFNA(VLOOKUP($H490,Ingredient_prices!$E:$U,16,FALSE),0)))</f>
        <v/>
      </c>
      <c r="M490" s="850"/>
      <c r="N490" s="850"/>
      <c r="O490" s="666"/>
      <c r="P490" s="674"/>
      <c r="Q490" s="583">
        <f t="shared" si="1087"/>
        <v>0</v>
      </c>
      <c r="R490" s="583">
        <f>VLOOKUP($H490,'CO2_emission+%_food_waste'!$A:$K,6,FALSE)*$Q490/100</f>
        <v>0</v>
      </c>
      <c r="S490" s="583">
        <f t="shared" si="1088"/>
        <v>0</v>
      </c>
      <c r="T490" s="583" t="str">
        <f>IF(H490="Select ingredient:","",IF(G490="Select food category:","",_xlfn.IFNA(VLOOKUP($H490,Ingredient_prices!$E:$U,16,FALSE)*$Q490/1000,"not bought")))</f>
        <v/>
      </c>
      <c r="U490" s="583" t="str">
        <f>IF(G490="Select food category:","",_xlfn.IFNA(VLOOKUP($H490,Ingredient_prices!$E:$U,16,FALSE)*$R490/1000,"not bought"))</f>
        <v/>
      </c>
      <c r="V490" s="549">
        <f>VLOOKUP($H490,'CO2_emission+%_food_waste'!$A:$K,4,FALSE)*$Q490</f>
        <v>0</v>
      </c>
      <c r="W490" s="583">
        <f>VLOOKUP($H490,Nutrition_tables!$A:$N,10,FALSE)*$Q490/100</f>
        <v>0</v>
      </c>
      <c r="X490" s="583">
        <f>VLOOKUP($H490,Nutrition_tables!$A:$N,11,FALSE)*$Q490/100</f>
        <v>0</v>
      </c>
      <c r="Y490" s="583">
        <f>VLOOKUP($H490,Nutrition_tables!$A:$N,12,FALSE)*$Q490/100</f>
        <v>0</v>
      </c>
      <c r="Z490" s="583">
        <f>VLOOKUP($H490,Nutrition_tables!$A:$N,14,FALSE)*$Q490/100</f>
        <v>0</v>
      </c>
      <c r="AA490" s="583">
        <f>VLOOKUP($H490,Nutrition_tables!$A:$AF,13,FALSE)*$Q490/100</f>
        <v>0</v>
      </c>
      <c r="AB490" s="549">
        <f>VLOOKUP($H490,Nutrition_tables!$A:$AF,15,FALSE)*$Q490/100</f>
        <v>0</v>
      </c>
      <c r="AC490" s="583">
        <f>VLOOKUP($H490,Nutrition_tables!$A:$AF,16,FALSE)*$Q490/100</f>
        <v>0</v>
      </c>
      <c r="AD490" s="583">
        <f>VLOOKUP($H490,Nutrition_tables!$A:$AF,17,FALSE)*$Q490/100</f>
        <v>0</v>
      </c>
      <c r="AE490" s="583">
        <f>VLOOKUP($H490,Nutrition_tables!$A:$AF,18,FALSE)*$Q490/100</f>
        <v>0</v>
      </c>
      <c r="AF490" s="583">
        <f>VLOOKUP($H490,Nutrition_tables!$A:$AF,19,FALSE)*$Q490/100</f>
        <v>0</v>
      </c>
      <c r="AG490" s="583">
        <f>VLOOKUP($H490,Nutrition_tables!$A:$AF,20,FALSE)*$Q490/100</f>
        <v>0</v>
      </c>
      <c r="AH490" s="583">
        <f>VLOOKUP($H490,Nutrition_tables!$A:$AF,21,FALSE)*$Q490/100</f>
        <v>0</v>
      </c>
      <c r="AI490" s="583">
        <f>VLOOKUP($H490,Nutrition_tables!$A:$AF,22,FALSE)*$Q490/100</f>
        <v>0</v>
      </c>
      <c r="AJ490" s="549">
        <f>VLOOKUP($H490,Nutrition_tables!$A:$AF,23,FALSE)*$Q490/100</f>
        <v>0</v>
      </c>
      <c r="AK490" s="583">
        <f>VLOOKUP($H490,Nutrition_tables!$A:$AF,24,FALSE)*$Q490/100</f>
        <v>0</v>
      </c>
      <c r="AL490" s="583">
        <f>VLOOKUP($H490,Nutrition_tables!$A:$AF,25,FALSE)*$Q490/100</f>
        <v>0</v>
      </c>
      <c r="AM490" s="583">
        <f>VLOOKUP($H490,Nutrition_tables!$A:$AF,26,FALSE)*$Q490/100</f>
        <v>0</v>
      </c>
      <c r="AN490" s="583">
        <f>VLOOKUP($H490,Nutrition_tables!$A:$AF,27,FALSE)*$Q490/100</f>
        <v>0</v>
      </c>
      <c r="AO490" s="583">
        <f>VLOOKUP($H490,Nutrition_tables!$A:$AF,28,FALSE)*$Q490/100</f>
        <v>0</v>
      </c>
      <c r="AP490" s="583">
        <f>VLOOKUP($H490,Nutrition_tables!$A:$AF,29,FALSE)*$Q490/100</f>
        <v>0</v>
      </c>
      <c r="AQ490" s="583">
        <f>VLOOKUP($H490,Nutrition_tables!$A:$AF,30,FALSE)*$Q490/100</f>
        <v>0</v>
      </c>
      <c r="AR490" s="583">
        <f>VLOOKUP($H490,Nutrition_tables!$A:$AF,31,FALSE)*$Q490/100</f>
        <v>0</v>
      </c>
      <c r="AS490" s="549">
        <f>VLOOKUP($H490,Nutrition_tables!$A:$AF,32,FALSE)*$Q490/100</f>
        <v>0</v>
      </c>
      <c r="AT490" s="583" t="str">
        <f>IF(H490="Select ingredient:","",IF(G490="Select food category:","",IFERROR(VLOOKUP($H490,Ingredient_prices!$E:$W,17,FALSE)*$Q490/1000,"not bought")))</f>
        <v/>
      </c>
      <c r="AU490" s="583" t="str">
        <f>IF(H490="Select ingredient:","",IF(G490="Select food category:","",IFERROR(VLOOKUP($H490,Ingredient_prices!$E:$W,18,FALSE)*$Q490/1000,"not bought")))</f>
        <v/>
      </c>
      <c r="AV490" s="583">
        <f t="shared" si="1089"/>
        <v>0</v>
      </c>
      <c r="AW490" s="583">
        <f t="shared" si="1090"/>
        <v>0</v>
      </c>
      <c r="AX490" s="583">
        <f t="shared" si="1091"/>
        <v>0</v>
      </c>
      <c r="AY490" s="583">
        <f t="shared" si="1092"/>
        <v>0</v>
      </c>
      <c r="AZ490" s="583">
        <f t="shared" si="1093"/>
        <v>0</v>
      </c>
      <c r="BA490" s="583">
        <f t="shared" si="1094"/>
        <v>0</v>
      </c>
      <c r="BB490" s="583">
        <f t="shared" si="1095"/>
        <v>0</v>
      </c>
      <c r="BC490" s="583">
        <f t="shared" si="1096"/>
        <v>0</v>
      </c>
      <c r="BD490" s="583">
        <f t="shared" si="1097"/>
        <v>0</v>
      </c>
      <c r="BE490" s="583">
        <f t="shared" si="1098"/>
        <v>0</v>
      </c>
      <c r="BF490" s="583">
        <f t="shared" si="1099"/>
        <v>0</v>
      </c>
      <c r="BG490" s="583">
        <f t="shared" si="1100"/>
        <v>0</v>
      </c>
      <c r="BH490" s="583">
        <f t="shared" si="1101"/>
        <v>0</v>
      </c>
      <c r="BI490" s="583">
        <f t="shared" si="1102"/>
        <v>0</v>
      </c>
      <c r="BJ490" s="583">
        <f t="shared" si="1103"/>
        <v>0</v>
      </c>
      <c r="BK490" s="583">
        <f t="shared" si="1104"/>
        <v>0</v>
      </c>
      <c r="BL490" s="583">
        <f t="shared" si="1105"/>
        <v>0</v>
      </c>
      <c r="BM490" s="583">
        <f t="shared" si="1106"/>
        <v>0</v>
      </c>
      <c r="BN490" s="583">
        <f t="shared" si="1107"/>
        <v>0</v>
      </c>
      <c r="BO490" s="583">
        <f t="shared" si="1108"/>
        <v>0</v>
      </c>
      <c r="BP490" s="583">
        <f t="shared" si="1109"/>
        <v>0</v>
      </c>
      <c r="BQ490" s="583">
        <f t="shared" si="1110"/>
        <v>0</v>
      </c>
      <c r="BR490" s="583">
        <f t="shared" si="1111"/>
        <v>0</v>
      </c>
    </row>
    <row r="491" spans="1:70" s="229" customFormat="1" ht="15" customHeight="1">
      <c r="A491" s="504"/>
      <c r="D491" s="85"/>
      <c r="E491" s="576" t="str">
        <f t="shared" si="1112"/>
        <v/>
      </c>
      <c r="F491" s="707"/>
      <c r="G491" s="406" t="s">
        <v>3054</v>
      </c>
      <c r="H491" s="1262" t="s">
        <v>3055</v>
      </c>
      <c r="I491" s="85">
        <v>0</v>
      </c>
      <c r="J491" s="682">
        <v>1</v>
      </c>
      <c r="K491" s="579" t="str">
        <f t="shared" si="1086"/>
        <v/>
      </c>
      <c r="L491" s="580" t="str">
        <f>IF(H491="Select ingredient:","",IF(G491="","",_xlfn.IFNA(VLOOKUP($H491,Ingredient_prices!$E:$U,16,FALSE),0)))</f>
        <v/>
      </c>
      <c r="M491" s="850"/>
      <c r="N491" s="850"/>
      <c r="O491" s="666"/>
      <c r="P491" s="674"/>
      <c r="Q491" s="583">
        <f t="shared" si="1087"/>
        <v>0</v>
      </c>
      <c r="R491" s="583">
        <f>VLOOKUP($H491,'CO2_emission+%_food_waste'!$A:$K,6,FALSE)*$Q491/100</f>
        <v>0</v>
      </c>
      <c r="S491" s="583">
        <f t="shared" si="1088"/>
        <v>0</v>
      </c>
      <c r="T491" s="583" t="str">
        <f>IF(H491="Select ingredient:","",IF(G491="Select food category:","",_xlfn.IFNA(VLOOKUP($H491,Ingredient_prices!$E:$U,16,FALSE)*$Q491/1000,"not bought")))</f>
        <v/>
      </c>
      <c r="U491" s="583" t="str">
        <f>IF(G491="Select food category:","",_xlfn.IFNA(VLOOKUP($H491,Ingredient_prices!$E:$U,16,FALSE)*$R491/1000,"not bought"))</f>
        <v/>
      </c>
      <c r="V491" s="549">
        <f>VLOOKUP($H491,'CO2_emission+%_food_waste'!$A:$K,4,FALSE)*$Q491</f>
        <v>0</v>
      </c>
      <c r="W491" s="583">
        <f>VLOOKUP($H491,Nutrition_tables!$A:$N,10,FALSE)*$Q491/100</f>
        <v>0</v>
      </c>
      <c r="X491" s="583">
        <f>VLOOKUP($H491,Nutrition_tables!$A:$N,11,FALSE)*$Q491/100</f>
        <v>0</v>
      </c>
      <c r="Y491" s="583">
        <f>VLOOKUP($H491,Nutrition_tables!$A:$N,12,FALSE)*$Q491/100</f>
        <v>0</v>
      </c>
      <c r="Z491" s="583">
        <f>VLOOKUP($H491,Nutrition_tables!$A:$N,14,FALSE)*$Q491/100</f>
        <v>0</v>
      </c>
      <c r="AA491" s="583">
        <f>VLOOKUP($H491,Nutrition_tables!$A:$AF,13,FALSE)*$Q491/100</f>
        <v>0</v>
      </c>
      <c r="AB491" s="549">
        <f>VLOOKUP($H491,Nutrition_tables!$A:$AF,15,FALSE)*$Q491/100</f>
        <v>0</v>
      </c>
      <c r="AC491" s="583">
        <f>VLOOKUP($H491,Nutrition_tables!$A:$AF,16,FALSE)*$Q491/100</f>
        <v>0</v>
      </c>
      <c r="AD491" s="583">
        <f>VLOOKUP($H491,Nutrition_tables!$A:$AF,17,FALSE)*$Q491/100</f>
        <v>0</v>
      </c>
      <c r="AE491" s="583">
        <f>VLOOKUP($H491,Nutrition_tables!$A:$AF,18,FALSE)*$Q491/100</f>
        <v>0</v>
      </c>
      <c r="AF491" s="583">
        <f>VLOOKUP($H491,Nutrition_tables!$A:$AF,19,FALSE)*$Q491/100</f>
        <v>0</v>
      </c>
      <c r="AG491" s="583">
        <f>VLOOKUP($H491,Nutrition_tables!$A:$AF,20,FALSE)*$Q491/100</f>
        <v>0</v>
      </c>
      <c r="AH491" s="583">
        <f>VLOOKUP($H491,Nutrition_tables!$A:$AF,21,FALSE)*$Q491/100</f>
        <v>0</v>
      </c>
      <c r="AI491" s="583">
        <f>VLOOKUP($H491,Nutrition_tables!$A:$AF,22,FALSE)*$Q491/100</f>
        <v>0</v>
      </c>
      <c r="AJ491" s="549">
        <f>VLOOKUP($H491,Nutrition_tables!$A:$AF,23,FALSE)*$Q491/100</f>
        <v>0</v>
      </c>
      <c r="AK491" s="583">
        <f>VLOOKUP($H491,Nutrition_tables!$A:$AF,24,FALSE)*$Q491/100</f>
        <v>0</v>
      </c>
      <c r="AL491" s="583">
        <f>VLOOKUP($H491,Nutrition_tables!$A:$AF,25,FALSE)*$Q491/100</f>
        <v>0</v>
      </c>
      <c r="AM491" s="583">
        <f>VLOOKUP($H491,Nutrition_tables!$A:$AF,26,FALSE)*$Q491/100</f>
        <v>0</v>
      </c>
      <c r="AN491" s="583">
        <f>VLOOKUP($H491,Nutrition_tables!$A:$AF,27,FALSE)*$Q491/100</f>
        <v>0</v>
      </c>
      <c r="AO491" s="583">
        <f>VLOOKUP($H491,Nutrition_tables!$A:$AF,28,FALSE)*$Q491/100</f>
        <v>0</v>
      </c>
      <c r="AP491" s="583">
        <f>VLOOKUP($H491,Nutrition_tables!$A:$AF,29,FALSE)*$Q491/100</f>
        <v>0</v>
      </c>
      <c r="AQ491" s="583">
        <f>VLOOKUP($H491,Nutrition_tables!$A:$AF,30,FALSE)*$Q491/100</f>
        <v>0</v>
      </c>
      <c r="AR491" s="583">
        <f>VLOOKUP($H491,Nutrition_tables!$A:$AF,31,FALSE)*$Q491/100</f>
        <v>0</v>
      </c>
      <c r="AS491" s="549">
        <f>VLOOKUP($H491,Nutrition_tables!$A:$AF,32,FALSE)*$Q491/100</f>
        <v>0</v>
      </c>
      <c r="AT491" s="583" t="str">
        <f>IF(H491="Select ingredient:","",IF(G491="Select food category:","",IFERROR(VLOOKUP($H491,Ingredient_prices!$E:$W,17,FALSE)*$Q491/1000,"not bought")))</f>
        <v/>
      </c>
      <c r="AU491" s="583" t="str">
        <f>IF(H491="Select ingredient:","",IF(G491="Select food category:","",IFERROR(VLOOKUP($H491,Ingredient_prices!$E:$W,18,FALSE)*$Q491/1000,"not bought")))</f>
        <v/>
      </c>
      <c r="AV491" s="583">
        <f t="shared" si="1089"/>
        <v>0</v>
      </c>
      <c r="AW491" s="583">
        <f t="shared" si="1090"/>
        <v>0</v>
      </c>
      <c r="AX491" s="583">
        <f t="shared" si="1091"/>
        <v>0</v>
      </c>
      <c r="AY491" s="583">
        <f t="shared" si="1092"/>
        <v>0</v>
      </c>
      <c r="AZ491" s="583">
        <f t="shared" si="1093"/>
        <v>0</v>
      </c>
      <c r="BA491" s="583">
        <f t="shared" si="1094"/>
        <v>0</v>
      </c>
      <c r="BB491" s="583">
        <f t="shared" si="1095"/>
        <v>0</v>
      </c>
      <c r="BC491" s="583">
        <f t="shared" si="1096"/>
        <v>0</v>
      </c>
      <c r="BD491" s="583">
        <f t="shared" si="1097"/>
        <v>0</v>
      </c>
      <c r="BE491" s="583">
        <f t="shared" si="1098"/>
        <v>0</v>
      </c>
      <c r="BF491" s="583">
        <f t="shared" si="1099"/>
        <v>0</v>
      </c>
      <c r="BG491" s="583">
        <f t="shared" si="1100"/>
        <v>0</v>
      </c>
      <c r="BH491" s="583">
        <f t="shared" si="1101"/>
        <v>0</v>
      </c>
      <c r="BI491" s="583">
        <f t="shared" si="1102"/>
        <v>0</v>
      </c>
      <c r="BJ491" s="583">
        <f t="shared" si="1103"/>
        <v>0</v>
      </c>
      <c r="BK491" s="583">
        <f t="shared" si="1104"/>
        <v>0</v>
      </c>
      <c r="BL491" s="583">
        <f t="shared" si="1105"/>
        <v>0</v>
      </c>
      <c r="BM491" s="583">
        <f t="shared" si="1106"/>
        <v>0</v>
      </c>
      <c r="BN491" s="583">
        <f t="shared" si="1107"/>
        <v>0</v>
      </c>
      <c r="BO491" s="583">
        <f t="shared" si="1108"/>
        <v>0</v>
      </c>
      <c r="BP491" s="583">
        <f t="shared" si="1109"/>
        <v>0</v>
      </c>
      <c r="BQ491" s="583">
        <f t="shared" si="1110"/>
        <v>0</v>
      </c>
      <c r="BR491" s="583">
        <f t="shared" si="1111"/>
        <v>0</v>
      </c>
    </row>
    <row r="492" spans="1:70" s="229" customFormat="1" ht="15" customHeight="1">
      <c r="A492" s="504"/>
      <c r="D492" s="85"/>
      <c r="E492" s="576" t="str">
        <f t="shared" si="1112"/>
        <v/>
      </c>
      <c r="F492" s="707"/>
      <c r="G492" s="406" t="s">
        <v>3054</v>
      </c>
      <c r="H492" s="1262" t="s">
        <v>3055</v>
      </c>
      <c r="I492" s="85">
        <v>0</v>
      </c>
      <c r="J492" s="682">
        <v>1</v>
      </c>
      <c r="K492" s="579" t="str">
        <f t="shared" si="1086"/>
        <v/>
      </c>
      <c r="L492" s="580" t="str">
        <f>IF(H492="Select ingredient:","",IF(G492="","",_xlfn.IFNA(VLOOKUP($H492,Ingredient_prices!$E:$U,16,FALSE),0)))</f>
        <v/>
      </c>
      <c r="M492" s="850"/>
      <c r="N492" s="850"/>
      <c r="O492" s="666"/>
      <c r="P492" s="674"/>
      <c r="Q492" s="583">
        <f t="shared" si="1087"/>
        <v>0</v>
      </c>
      <c r="R492" s="583">
        <f>VLOOKUP($H492,'CO2_emission+%_food_waste'!$A:$K,6,FALSE)*$Q492/100</f>
        <v>0</v>
      </c>
      <c r="S492" s="583">
        <f t="shared" si="1088"/>
        <v>0</v>
      </c>
      <c r="T492" s="583" t="str">
        <f>IF(H492="Select ingredient:","",IF(G492="Select food category:","",_xlfn.IFNA(VLOOKUP($H492,Ingredient_prices!$E:$U,16,FALSE)*$Q492/1000,"not bought")))</f>
        <v/>
      </c>
      <c r="U492" s="583" t="str">
        <f>IF(G492="Select food category:","",_xlfn.IFNA(VLOOKUP($H492,Ingredient_prices!$E:$U,16,FALSE)*$R492/1000,"not bought"))</f>
        <v/>
      </c>
      <c r="V492" s="549">
        <f>VLOOKUP($H492,'CO2_emission+%_food_waste'!$A:$K,4,FALSE)*$Q492</f>
        <v>0</v>
      </c>
      <c r="W492" s="583">
        <f>VLOOKUP($H492,Nutrition_tables!$A:$N,10,FALSE)*$Q492/100</f>
        <v>0</v>
      </c>
      <c r="X492" s="583">
        <f>VLOOKUP($H492,Nutrition_tables!$A:$N,11,FALSE)*$Q492/100</f>
        <v>0</v>
      </c>
      <c r="Y492" s="583">
        <f>VLOOKUP($H492,Nutrition_tables!$A:$N,12,FALSE)*$Q492/100</f>
        <v>0</v>
      </c>
      <c r="Z492" s="583">
        <f>VLOOKUP($H492,Nutrition_tables!$A:$N,14,FALSE)*$Q492/100</f>
        <v>0</v>
      </c>
      <c r="AA492" s="583">
        <f>VLOOKUP($H492,Nutrition_tables!$A:$AF,13,FALSE)*$Q492/100</f>
        <v>0</v>
      </c>
      <c r="AB492" s="549">
        <f>VLOOKUP($H492,Nutrition_tables!$A:$AF,15,FALSE)*$Q492/100</f>
        <v>0</v>
      </c>
      <c r="AC492" s="583">
        <f>VLOOKUP($H492,Nutrition_tables!$A:$AF,16,FALSE)*$Q492/100</f>
        <v>0</v>
      </c>
      <c r="AD492" s="583">
        <f>VLOOKUP($H492,Nutrition_tables!$A:$AF,17,FALSE)*$Q492/100</f>
        <v>0</v>
      </c>
      <c r="AE492" s="583">
        <f>VLOOKUP($H492,Nutrition_tables!$A:$AF,18,FALSE)*$Q492/100</f>
        <v>0</v>
      </c>
      <c r="AF492" s="583">
        <f>VLOOKUP($H492,Nutrition_tables!$A:$AF,19,FALSE)*$Q492/100</f>
        <v>0</v>
      </c>
      <c r="AG492" s="583">
        <f>VLOOKUP($H492,Nutrition_tables!$A:$AF,20,FALSE)*$Q492/100</f>
        <v>0</v>
      </c>
      <c r="AH492" s="583">
        <f>VLOOKUP($H492,Nutrition_tables!$A:$AF,21,FALSE)*$Q492/100</f>
        <v>0</v>
      </c>
      <c r="AI492" s="583">
        <f>VLOOKUP($H492,Nutrition_tables!$A:$AF,22,FALSE)*$Q492/100</f>
        <v>0</v>
      </c>
      <c r="AJ492" s="549">
        <f>VLOOKUP($H492,Nutrition_tables!$A:$AF,23,FALSE)*$Q492/100</f>
        <v>0</v>
      </c>
      <c r="AK492" s="583">
        <f>VLOOKUP($H492,Nutrition_tables!$A:$AF,24,FALSE)*$Q492/100</f>
        <v>0</v>
      </c>
      <c r="AL492" s="583">
        <f>VLOOKUP($H492,Nutrition_tables!$A:$AF,25,FALSE)*$Q492/100</f>
        <v>0</v>
      </c>
      <c r="AM492" s="583">
        <f>VLOOKUP($H492,Nutrition_tables!$A:$AF,26,FALSE)*$Q492/100</f>
        <v>0</v>
      </c>
      <c r="AN492" s="583">
        <f>VLOOKUP($H492,Nutrition_tables!$A:$AF,27,FALSE)*$Q492/100</f>
        <v>0</v>
      </c>
      <c r="AO492" s="583">
        <f>VLOOKUP($H492,Nutrition_tables!$A:$AF,28,FALSE)*$Q492/100</f>
        <v>0</v>
      </c>
      <c r="AP492" s="583">
        <f>VLOOKUP($H492,Nutrition_tables!$A:$AF,29,FALSE)*$Q492/100</f>
        <v>0</v>
      </c>
      <c r="AQ492" s="583">
        <f>VLOOKUP($H492,Nutrition_tables!$A:$AF,30,FALSE)*$Q492/100</f>
        <v>0</v>
      </c>
      <c r="AR492" s="583">
        <f>VLOOKUP($H492,Nutrition_tables!$A:$AF,31,FALSE)*$Q492/100</f>
        <v>0</v>
      </c>
      <c r="AS492" s="549">
        <f>VLOOKUP($H492,Nutrition_tables!$A:$AF,32,FALSE)*$Q492/100</f>
        <v>0</v>
      </c>
      <c r="AT492" s="583" t="str">
        <f>IF(H492="Select ingredient:","",IF(G492="Select food category:","",IFERROR(VLOOKUP($H492,Ingredient_prices!$E:$W,17,FALSE)*$Q492/1000,"not bought")))</f>
        <v/>
      </c>
      <c r="AU492" s="583" t="str">
        <f>IF(H492="Select ingredient:","",IF(G492="Select food category:","",IFERROR(VLOOKUP($H492,Ingredient_prices!$E:$W,18,FALSE)*$Q492/1000,"not bought")))</f>
        <v/>
      </c>
      <c r="AV492" s="583">
        <f t="shared" si="1089"/>
        <v>0</v>
      </c>
      <c r="AW492" s="583">
        <f t="shared" si="1090"/>
        <v>0</v>
      </c>
      <c r="AX492" s="583">
        <f t="shared" si="1091"/>
        <v>0</v>
      </c>
      <c r="AY492" s="583">
        <f t="shared" si="1092"/>
        <v>0</v>
      </c>
      <c r="AZ492" s="583">
        <f t="shared" si="1093"/>
        <v>0</v>
      </c>
      <c r="BA492" s="583">
        <f t="shared" si="1094"/>
        <v>0</v>
      </c>
      <c r="BB492" s="583">
        <f t="shared" si="1095"/>
        <v>0</v>
      </c>
      <c r="BC492" s="583">
        <f t="shared" si="1096"/>
        <v>0</v>
      </c>
      <c r="BD492" s="583">
        <f t="shared" si="1097"/>
        <v>0</v>
      </c>
      <c r="BE492" s="583">
        <f t="shared" si="1098"/>
        <v>0</v>
      </c>
      <c r="BF492" s="583">
        <f t="shared" si="1099"/>
        <v>0</v>
      </c>
      <c r="BG492" s="583">
        <f t="shared" si="1100"/>
        <v>0</v>
      </c>
      <c r="BH492" s="583">
        <f t="shared" si="1101"/>
        <v>0</v>
      </c>
      <c r="BI492" s="583">
        <f t="shared" si="1102"/>
        <v>0</v>
      </c>
      <c r="BJ492" s="583">
        <f t="shared" si="1103"/>
        <v>0</v>
      </c>
      <c r="BK492" s="583">
        <f t="shared" si="1104"/>
        <v>0</v>
      </c>
      <c r="BL492" s="583">
        <f t="shared" si="1105"/>
        <v>0</v>
      </c>
      <c r="BM492" s="583">
        <f t="shared" si="1106"/>
        <v>0</v>
      </c>
      <c r="BN492" s="583">
        <f t="shared" si="1107"/>
        <v>0</v>
      </c>
      <c r="BO492" s="583">
        <f t="shared" si="1108"/>
        <v>0</v>
      </c>
      <c r="BP492" s="583">
        <f t="shared" si="1109"/>
        <v>0</v>
      </c>
      <c r="BQ492" s="583">
        <f t="shared" si="1110"/>
        <v>0</v>
      </c>
      <c r="BR492" s="583">
        <f t="shared" si="1111"/>
        <v>0</v>
      </c>
    </row>
    <row r="493" spans="1:70" s="229" customFormat="1" ht="15" customHeight="1">
      <c r="A493" s="504"/>
      <c r="D493" s="85"/>
      <c r="E493" s="576" t="str">
        <f t="shared" si="1112"/>
        <v/>
      </c>
      <c r="F493" s="707"/>
      <c r="G493" s="406" t="s">
        <v>3054</v>
      </c>
      <c r="H493" s="1262" t="s">
        <v>3055</v>
      </c>
      <c r="I493" s="85">
        <v>0</v>
      </c>
      <c r="J493" s="682">
        <v>1</v>
      </c>
      <c r="K493" s="579" t="str">
        <f t="shared" si="1086"/>
        <v/>
      </c>
      <c r="L493" s="580" t="str">
        <f>IF(H493="Select ingredient:","",IF(G493="","",_xlfn.IFNA(VLOOKUP($H493,Ingredient_prices!$E:$U,16,FALSE),0)))</f>
        <v/>
      </c>
      <c r="M493" s="850"/>
      <c r="N493" s="850"/>
      <c r="O493" s="666"/>
      <c r="P493" s="674"/>
      <c r="Q493" s="583">
        <f t="shared" si="1087"/>
        <v>0</v>
      </c>
      <c r="R493" s="583">
        <f>VLOOKUP($H493,'CO2_emission+%_food_waste'!$A:$K,6,FALSE)*$Q493/100</f>
        <v>0</v>
      </c>
      <c r="S493" s="583">
        <f t="shared" si="1088"/>
        <v>0</v>
      </c>
      <c r="T493" s="583" t="str">
        <f>IF(H493="Select ingredient:","",IF(G493="Select food category:","",_xlfn.IFNA(VLOOKUP($H493,Ingredient_prices!$E:$U,16,FALSE)*$Q493/1000,"not bought")))</f>
        <v/>
      </c>
      <c r="U493" s="583" t="str">
        <f>IF(G493="Select food category:","",_xlfn.IFNA(VLOOKUP($H493,Ingredient_prices!$E:$U,16,FALSE)*$R493/1000,"not bought"))</f>
        <v/>
      </c>
      <c r="V493" s="549">
        <f>VLOOKUP($H493,'CO2_emission+%_food_waste'!$A:$K,4,FALSE)*$Q493</f>
        <v>0</v>
      </c>
      <c r="W493" s="583">
        <f>VLOOKUP($H493,Nutrition_tables!$A:$N,10,FALSE)*$Q493/100</f>
        <v>0</v>
      </c>
      <c r="X493" s="583">
        <f>VLOOKUP($H493,Nutrition_tables!$A:$N,11,FALSE)*$Q493/100</f>
        <v>0</v>
      </c>
      <c r="Y493" s="583">
        <f>VLOOKUP($H493,Nutrition_tables!$A:$N,12,FALSE)*$Q493/100</f>
        <v>0</v>
      </c>
      <c r="Z493" s="583">
        <f>VLOOKUP($H493,Nutrition_tables!$A:$N,14,FALSE)*$Q493/100</f>
        <v>0</v>
      </c>
      <c r="AA493" s="583">
        <f>VLOOKUP($H493,Nutrition_tables!$A:$AF,13,FALSE)*$Q493/100</f>
        <v>0</v>
      </c>
      <c r="AB493" s="549">
        <f>VLOOKUP($H493,Nutrition_tables!$A:$AF,15,FALSE)*$Q493/100</f>
        <v>0</v>
      </c>
      <c r="AC493" s="583">
        <f>VLOOKUP($H493,Nutrition_tables!$A:$AF,16,FALSE)*$Q493/100</f>
        <v>0</v>
      </c>
      <c r="AD493" s="583">
        <f>VLOOKUP($H493,Nutrition_tables!$A:$AF,17,FALSE)*$Q493/100</f>
        <v>0</v>
      </c>
      <c r="AE493" s="583">
        <f>VLOOKUP($H493,Nutrition_tables!$A:$AF,18,FALSE)*$Q493/100</f>
        <v>0</v>
      </c>
      <c r="AF493" s="583">
        <f>VLOOKUP($H493,Nutrition_tables!$A:$AF,19,FALSE)*$Q493/100</f>
        <v>0</v>
      </c>
      <c r="AG493" s="583">
        <f>VLOOKUP($H493,Nutrition_tables!$A:$AF,20,FALSE)*$Q493/100</f>
        <v>0</v>
      </c>
      <c r="AH493" s="583">
        <f>VLOOKUP($H493,Nutrition_tables!$A:$AF,21,FALSE)*$Q493/100</f>
        <v>0</v>
      </c>
      <c r="AI493" s="583">
        <f>VLOOKUP($H493,Nutrition_tables!$A:$AF,22,FALSE)*$Q493/100</f>
        <v>0</v>
      </c>
      <c r="AJ493" s="549">
        <f>VLOOKUP($H493,Nutrition_tables!$A:$AF,23,FALSE)*$Q493/100</f>
        <v>0</v>
      </c>
      <c r="AK493" s="583">
        <f>VLOOKUP($H493,Nutrition_tables!$A:$AF,24,FALSE)*$Q493/100</f>
        <v>0</v>
      </c>
      <c r="AL493" s="583">
        <f>VLOOKUP($H493,Nutrition_tables!$A:$AF,25,FALSE)*$Q493/100</f>
        <v>0</v>
      </c>
      <c r="AM493" s="583">
        <f>VLOOKUP($H493,Nutrition_tables!$A:$AF,26,FALSE)*$Q493/100</f>
        <v>0</v>
      </c>
      <c r="AN493" s="583">
        <f>VLOOKUP($H493,Nutrition_tables!$A:$AF,27,FALSE)*$Q493/100</f>
        <v>0</v>
      </c>
      <c r="AO493" s="583">
        <f>VLOOKUP($H493,Nutrition_tables!$A:$AF,28,FALSE)*$Q493/100</f>
        <v>0</v>
      </c>
      <c r="AP493" s="583">
        <f>VLOOKUP($H493,Nutrition_tables!$A:$AF,29,FALSE)*$Q493/100</f>
        <v>0</v>
      </c>
      <c r="AQ493" s="583">
        <f>VLOOKUP($H493,Nutrition_tables!$A:$AF,30,FALSE)*$Q493/100</f>
        <v>0</v>
      </c>
      <c r="AR493" s="583">
        <f>VLOOKUP($H493,Nutrition_tables!$A:$AF,31,FALSE)*$Q493/100</f>
        <v>0</v>
      </c>
      <c r="AS493" s="549">
        <f>VLOOKUP($H493,Nutrition_tables!$A:$AF,32,FALSE)*$Q493/100</f>
        <v>0</v>
      </c>
      <c r="AT493" s="583" t="str">
        <f>IF(H493="Select ingredient:","",IF(G493="Select food category:","",IFERROR(VLOOKUP($H493,Ingredient_prices!$E:$W,17,FALSE)*$Q493/1000,"not bought")))</f>
        <v/>
      </c>
      <c r="AU493" s="583" t="str">
        <f>IF(H493="Select ingredient:","",IF(G493="Select food category:","",IFERROR(VLOOKUP($H493,Ingredient_prices!$E:$W,18,FALSE)*$Q493/1000,"not bought")))</f>
        <v/>
      </c>
      <c r="AV493" s="583">
        <f t="shared" si="1089"/>
        <v>0</v>
      </c>
      <c r="AW493" s="583">
        <f t="shared" si="1090"/>
        <v>0</v>
      </c>
      <c r="AX493" s="583">
        <f t="shared" si="1091"/>
        <v>0</v>
      </c>
      <c r="AY493" s="583">
        <f t="shared" si="1092"/>
        <v>0</v>
      </c>
      <c r="AZ493" s="583">
        <f t="shared" si="1093"/>
        <v>0</v>
      </c>
      <c r="BA493" s="583">
        <f t="shared" si="1094"/>
        <v>0</v>
      </c>
      <c r="BB493" s="583">
        <f t="shared" si="1095"/>
        <v>0</v>
      </c>
      <c r="BC493" s="583">
        <f t="shared" si="1096"/>
        <v>0</v>
      </c>
      <c r="BD493" s="583">
        <f t="shared" si="1097"/>
        <v>0</v>
      </c>
      <c r="BE493" s="583">
        <f t="shared" si="1098"/>
        <v>0</v>
      </c>
      <c r="BF493" s="583">
        <f t="shared" si="1099"/>
        <v>0</v>
      </c>
      <c r="BG493" s="583">
        <f t="shared" si="1100"/>
        <v>0</v>
      </c>
      <c r="BH493" s="583">
        <f t="shared" si="1101"/>
        <v>0</v>
      </c>
      <c r="BI493" s="583">
        <f t="shared" si="1102"/>
        <v>0</v>
      </c>
      <c r="BJ493" s="583">
        <f t="shared" si="1103"/>
        <v>0</v>
      </c>
      <c r="BK493" s="583">
        <f t="shared" si="1104"/>
        <v>0</v>
      </c>
      <c r="BL493" s="583">
        <f t="shared" si="1105"/>
        <v>0</v>
      </c>
      <c r="BM493" s="583">
        <f t="shared" si="1106"/>
        <v>0</v>
      </c>
      <c r="BN493" s="583">
        <f t="shared" si="1107"/>
        <v>0</v>
      </c>
      <c r="BO493" s="583">
        <f t="shared" si="1108"/>
        <v>0</v>
      </c>
      <c r="BP493" s="583">
        <f t="shared" si="1109"/>
        <v>0</v>
      </c>
      <c r="BQ493" s="583">
        <f t="shared" si="1110"/>
        <v>0</v>
      </c>
      <c r="BR493" s="583">
        <f t="shared" si="1111"/>
        <v>0</v>
      </c>
    </row>
    <row r="494" spans="1:70" s="229" customFormat="1" ht="15" customHeight="1">
      <c r="A494" s="504"/>
      <c r="D494" s="85"/>
      <c r="E494" s="576" t="str">
        <f t="shared" si="1112"/>
        <v/>
      </c>
      <c r="F494" s="707"/>
      <c r="G494" s="406" t="s">
        <v>3054</v>
      </c>
      <c r="H494" s="1262" t="s">
        <v>3055</v>
      </c>
      <c r="I494" s="85">
        <v>0</v>
      </c>
      <c r="J494" s="682">
        <v>1</v>
      </c>
      <c r="K494" s="579" t="str">
        <f t="shared" si="1086"/>
        <v/>
      </c>
      <c r="L494" s="580" t="str">
        <f>IF(H494="Select ingredient:","",IF(G494="","",_xlfn.IFNA(VLOOKUP($H494,Ingredient_prices!$E:$U,16,FALSE),0)))</f>
        <v/>
      </c>
      <c r="M494" s="850"/>
      <c r="N494" s="850"/>
      <c r="O494" s="666"/>
      <c r="P494" s="674"/>
      <c r="Q494" s="583">
        <f t="shared" si="1087"/>
        <v>0</v>
      </c>
      <c r="R494" s="583">
        <f>VLOOKUP($H494,'CO2_emission+%_food_waste'!$A:$K,6,FALSE)*$Q494/100</f>
        <v>0</v>
      </c>
      <c r="S494" s="583">
        <f t="shared" si="1088"/>
        <v>0</v>
      </c>
      <c r="T494" s="583" t="str">
        <f>IF(H494="Select ingredient:","",IF(G494="Select food category:","",_xlfn.IFNA(VLOOKUP($H494,Ingredient_prices!$E:$U,16,FALSE)*$Q494/1000,"not bought")))</f>
        <v/>
      </c>
      <c r="U494" s="583" t="str">
        <f>IF(G494="Select food category:","",_xlfn.IFNA(VLOOKUP($H494,Ingredient_prices!$E:$U,16,FALSE)*$R494/1000,"not bought"))</f>
        <v/>
      </c>
      <c r="V494" s="549">
        <f>VLOOKUP($H494,'CO2_emission+%_food_waste'!$A:$K,4,FALSE)*$Q494</f>
        <v>0</v>
      </c>
      <c r="W494" s="583">
        <f>VLOOKUP($H494,Nutrition_tables!$A:$N,10,FALSE)*$Q494/100</f>
        <v>0</v>
      </c>
      <c r="X494" s="583">
        <f>VLOOKUP($H494,Nutrition_tables!$A:$N,11,FALSE)*$Q494/100</f>
        <v>0</v>
      </c>
      <c r="Y494" s="583">
        <f>VLOOKUP($H494,Nutrition_tables!$A:$N,12,FALSE)*$Q494/100</f>
        <v>0</v>
      </c>
      <c r="Z494" s="583">
        <f>VLOOKUP($H494,Nutrition_tables!$A:$N,14,FALSE)*$Q494/100</f>
        <v>0</v>
      </c>
      <c r="AA494" s="583">
        <f>VLOOKUP($H494,Nutrition_tables!$A:$AF,13,FALSE)*$Q494/100</f>
        <v>0</v>
      </c>
      <c r="AB494" s="549">
        <f>VLOOKUP($H494,Nutrition_tables!$A:$AF,15,FALSE)*$Q494/100</f>
        <v>0</v>
      </c>
      <c r="AC494" s="583">
        <f>VLOOKUP($H494,Nutrition_tables!$A:$AF,16,FALSE)*$Q494/100</f>
        <v>0</v>
      </c>
      <c r="AD494" s="583">
        <f>VLOOKUP($H494,Nutrition_tables!$A:$AF,17,FALSE)*$Q494/100</f>
        <v>0</v>
      </c>
      <c r="AE494" s="583">
        <f>VLOOKUP($H494,Nutrition_tables!$A:$AF,18,FALSE)*$Q494/100</f>
        <v>0</v>
      </c>
      <c r="AF494" s="583">
        <f>VLOOKUP($H494,Nutrition_tables!$A:$AF,19,FALSE)*$Q494/100</f>
        <v>0</v>
      </c>
      <c r="AG494" s="583">
        <f>VLOOKUP($H494,Nutrition_tables!$A:$AF,20,FALSE)*$Q494/100</f>
        <v>0</v>
      </c>
      <c r="AH494" s="583">
        <f>VLOOKUP($H494,Nutrition_tables!$A:$AF,21,FALSE)*$Q494/100</f>
        <v>0</v>
      </c>
      <c r="AI494" s="583">
        <f>VLOOKUP($H494,Nutrition_tables!$A:$AF,22,FALSE)*$Q494/100</f>
        <v>0</v>
      </c>
      <c r="AJ494" s="549">
        <f>VLOOKUP($H494,Nutrition_tables!$A:$AF,23,FALSE)*$Q494/100</f>
        <v>0</v>
      </c>
      <c r="AK494" s="583">
        <f>VLOOKUP($H494,Nutrition_tables!$A:$AF,24,FALSE)*$Q494/100</f>
        <v>0</v>
      </c>
      <c r="AL494" s="583">
        <f>VLOOKUP($H494,Nutrition_tables!$A:$AF,25,FALSE)*$Q494/100</f>
        <v>0</v>
      </c>
      <c r="AM494" s="583">
        <f>VLOOKUP($H494,Nutrition_tables!$A:$AF,26,FALSE)*$Q494/100</f>
        <v>0</v>
      </c>
      <c r="AN494" s="583">
        <f>VLOOKUP($H494,Nutrition_tables!$A:$AF,27,FALSE)*$Q494/100</f>
        <v>0</v>
      </c>
      <c r="AO494" s="583">
        <f>VLOOKUP($H494,Nutrition_tables!$A:$AF,28,FALSE)*$Q494/100</f>
        <v>0</v>
      </c>
      <c r="AP494" s="583">
        <f>VLOOKUP($H494,Nutrition_tables!$A:$AF,29,FALSE)*$Q494/100</f>
        <v>0</v>
      </c>
      <c r="AQ494" s="583">
        <f>VLOOKUP($H494,Nutrition_tables!$A:$AF,30,FALSE)*$Q494/100</f>
        <v>0</v>
      </c>
      <c r="AR494" s="583">
        <f>VLOOKUP($H494,Nutrition_tables!$A:$AF,31,FALSE)*$Q494/100</f>
        <v>0</v>
      </c>
      <c r="AS494" s="549">
        <f>VLOOKUP($H494,Nutrition_tables!$A:$AF,32,FALSE)*$Q494/100</f>
        <v>0</v>
      </c>
      <c r="AT494" s="583" t="str">
        <f>IF(H494="Select ingredient:","",IF(G494="Select food category:","",IFERROR(VLOOKUP($H494,Ingredient_prices!$E:$W,17,FALSE)*$Q494/1000,"not bought")))</f>
        <v/>
      </c>
      <c r="AU494" s="583" t="str">
        <f>IF(H494="Select ingredient:","",IF(G494="Select food category:","",IFERROR(VLOOKUP($H494,Ingredient_prices!$E:$W,18,FALSE)*$Q494/1000,"not bought")))</f>
        <v/>
      </c>
      <c r="AV494" s="583">
        <f t="shared" si="1089"/>
        <v>0</v>
      </c>
      <c r="AW494" s="583">
        <f t="shared" si="1090"/>
        <v>0</v>
      </c>
      <c r="AX494" s="583">
        <f t="shared" si="1091"/>
        <v>0</v>
      </c>
      <c r="AY494" s="583">
        <f t="shared" si="1092"/>
        <v>0</v>
      </c>
      <c r="AZ494" s="583">
        <f t="shared" si="1093"/>
        <v>0</v>
      </c>
      <c r="BA494" s="583">
        <f t="shared" si="1094"/>
        <v>0</v>
      </c>
      <c r="BB494" s="583">
        <f t="shared" si="1095"/>
        <v>0</v>
      </c>
      <c r="BC494" s="583">
        <f t="shared" si="1096"/>
        <v>0</v>
      </c>
      <c r="BD494" s="583">
        <f t="shared" si="1097"/>
        <v>0</v>
      </c>
      <c r="BE494" s="583">
        <f t="shared" si="1098"/>
        <v>0</v>
      </c>
      <c r="BF494" s="583">
        <f t="shared" si="1099"/>
        <v>0</v>
      </c>
      <c r="BG494" s="583">
        <f t="shared" si="1100"/>
        <v>0</v>
      </c>
      <c r="BH494" s="583">
        <f t="shared" si="1101"/>
        <v>0</v>
      </c>
      <c r="BI494" s="583">
        <f t="shared" si="1102"/>
        <v>0</v>
      </c>
      <c r="BJ494" s="583">
        <f t="shared" si="1103"/>
        <v>0</v>
      </c>
      <c r="BK494" s="583">
        <f t="shared" si="1104"/>
        <v>0</v>
      </c>
      <c r="BL494" s="583">
        <f t="shared" si="1105"/>
        <v>0</v>
      </c>
      <c r="BM494" s="583">
        <f t="shared" si="1106"/>
        <v>0</v>
      </c>
      <c r="BN494" s="583">
        <f t="shared" si="1107"/>
        <v>0</v>
      </c>
      <c r="BO494" s="583">
        <f t="shared" si="1108"/>
        <v>0</v>
      </c>
      <c r="BP494" s="583">
        <f t="shared" si="1109"/>
        <v>0</v>
      </c>
      <c r="BQ494" s="583">
        <f t="shared" si="1110"/>
        <v>0</v>
      </c>
      <c r="BR494" s="583">
        <f t="shared" si="1111"/>
        <v>0</v>
      </c>
    </row>
    <row r="495" spans="1:70" s="229" customFormat="1" ht="15" customHeight="1">
      <c r="A495" s="504"/>
      <c r="D495" s="85"/>
      <c r="E495" s="576" t="str">
        <f t="shared" si="1112"/>
        <v/>
      </c>
      <c r="F495" s="707"/>
      <c r="G495" s="406" t="s">
        <v>3054</v>
      </c>
      <c r="H495" s="1262" t="s">
        <v>3055</v>
      </c>
      <c r="I495" s="85">
        <v>0</v>
      </c>
      <c r="J495" s="682">
        <v>1</v>
      </c>
      <c r="K495" s="579" t="str">
        <f t="shared" si="1086"/>
        <v/>
      </c>
      <c r="L495" s="580" t="str">
        <f>IF(H495="Select ingredient:","",IF(G495="","",_xlfn.IFNA(VLOOKUP($H495,Ingredient_prices!$E:$U,16,FALSE),0)))</f>
        <v/>
      </c>
      <c r="M495" s="850"/>
      <c r="N495" s="850"/>
      <c r="O495" s="666"/>
      <c r="P495" s="674"/>
      <c r="Q495" s="583">
        <f t="shared" si="1087"/>
        <v>0</v>
      </c>
      <c r="R495" s="583">
        <f>VLOOKUP($H495,'CO2_emission+%_food_waste'!$A:$K,6,FALSE)*$Q495/100</f>
        <v>0</v>
      </c>
      <c r="S495" s="583">
        <f t="shared" si="1088"/>
        <v>0</v>
      </c>
      <c r="T495" s="583" t="str">
        <f>IF(H495="Select ingredient:","",IF(G495="Select food category:","",_xlfn.IFNA(VLOOKUP($H495,Ingredient_prices!$E:$U,16,FALSE)*$Q495/1000,"not bought")))</f>
        <v/>
      </c>
      <c r="U495" s="583" t="str">
        <f>IF(G495="Select food category:","",_xlfn.IFNA(VLOOKUP($H495,Ingredient_prices!$E:$U,16,FALSE)*$R495/1000,"not bought"))</f>
        <v/>
      </c>
      <c r="V495" s="549">
        <f>VLOOKUP($H495,'CO2_emission+%_food_waste'!$A:$K,4,FALSE)*$Q495</f>
        <v>0</v>
      </c>
      <c r="W495" s="583">
        <f>VLOOKUP($H495,Nutrition_tables!$A:$N,10,FALSE)*$Q495/100</f>
        <v>0</v>
      </c>
      <c r="X495" s="583">
        <f>VLOOKUP($H495,Nutrition_tables!$A:$N,11,FALSE)*$Q495/100</f>
        <v>0</v>
      </c>
      <c r="Y495" s="583">
        <f>VLOOKUP($H495,Nutrition_tables!$A:$N,12,FALSE)*$Q495/100</f>
        <v>0</v>
      </c>
      <c r="Z495" s="583">
        <f>VLOOKUP($H495,Nutrition_tables!$A:$N,14,FALSE)*$Q495/100</f>
        <v>0</v>
      </c>
      <c r="AA495" s="583">
        <f>VLOOKUP($H495,Nutrition_tables!$A:$AF,13,FALSE)*$Q495/100</f>
        <v>0</v>
      </c>
      <c r="AB495" s="549">
        <f>VLOOKUP($H495,Nutrition_tables!$A:$AF,15,FALSE)*$Q495/100</f>
        <v>0</v>
      </c>
      <c r="AC495" s="583">
        <f>VLOOKUP($H495,Nutrition_tables!$A:$AF,16,FALSE)*$Q495/100</f>
        <v>0</v>
      </c>
      <c r="AD495" s="583">
        <f>VLOOKUP($H495,Nutrition_tables!$A:$AF,17,FALSE)*$Q495/100</f>
        <v>0</v>
      </c>
      <c r="AE495" s="583">
        <f>VLOOKUP($H495,Nutrition_tables!$A:$AF,18,FALSE)*$Q495/100</f>
        <v>0</v>
      </c>
      <c r="AF495" s="583">
        <f>VLOOKUP($H495,Nutrition_tables!$A:$AF,19,FALSE)*$Q495/100</f>
        <v>0</v>
      </c>
      <c r="AG495" s="583">
        <f>VLOOKUP($H495,Nutrition_tables!$A:$AF,20,FALSE)*$Q495/100</f>
        <v>0</v>
      </c>
      <c r="AH495" s="583">
        <f>VLOOKUP($H495,Nutrition_tables!$A:$AF,21,FALSE)*$Q495/100</f>
        <v>0</v>
      </c>
      <c r="AI495" s="583">
        <f>VLOOKUP($H495,Nutrition_tables!$A:$AF,22,FALSE)*$Q495/100</f>
        <v>0</v>
      </c>
      <c r="AJ495" s="549">
        <f>VLOOKUP($H495,Nutrition_tables!$A:$AF,23,FALSE)*$Q495/100</f>
        <v>0</v>
      </c>
      <c r="AK495" s="583">
        <f>VLOOKUP($H495,Nutrition_tables!$A:$AF,24,FALSE)*$Q495/100</f>
        <v>0</v>
      </c>
      <c r="AL495" s="583">
        <f>VLOOKUP($H495,Nutrition_tables!$A:$AF,25,FALSE)*$Q495/100</f>
        <v>0</v>
      </c>
      <c r="AM495" s="583">
        <f>VLOOKUP($H495,Nutrition_tables!$A:$AF,26,FALSE)*$Q495/100</f>
        <v>0</v>
      </c>
      <c r="AN495" s="583">
        <f>VLOOKUP($H495,Nutrition_tables!$A:$AF,27,FALSE)*$Q495/100</f>
        <v>0</v>
      </c>
      <c r="AO495" s="583">
        <f>VLOOKUP($H495,Nutrition_tables!$A:$AF,28,FALSE)*$Q495/100</f>
        <v>0</v>
      </c>
      <c r="AP495" s="583">
        <f>VLOOKUP($H495,Nutrition_tables!$A:$AF,29,FALSE)*$Q495/100</f>
        <v>0</v>
      </c>
      <c r="AQ495" s="583">
        <f>VLOOKUP($H495,Nutrition_tables!$A:$AF,30,FALSE)*$Q495/100</f>
        <v>0</v>
      </c>
      <c r="AR495" s="583">
        <f>VLOOKUP($H495,Nutrition_tables!$A:$AF,31,FALSE)*$Q495/100</f>
        <v>0</v>
      </c>
      <c r="AS495" s="549">
        <f>VLOOKUP($H495,Nutrition_tables!$A:$AF,32,FALSE)*$Q495/100</f>
        <v>0</v>
      </c>
      <c r="AT495" s="583" t="str">
        <f>IF(H495="Select ingredient:","",IF(G495="Select food category:","",IFERROR(VLOOKUP($H495,Ingredient_prices!$E:$W,17,FALSE)*$Q495/1000,"not bought")))</f>
        <v/>
      </c>
      <c r="AU495" s="583" t="str">
        <f>IF(H495="Select ingredient:","",IF(G495="Select food category:","",IFERROR(VLOOKUP($H495,Ingredient_prices!$E:$W,18,FALSE)*$Q495/1000,"not bought")))</f>
        <v/>
      </c>
      <c r="AV495" s="583">
        <f t="shared" si="1089"/>
        <v>0</v>
      </c>
      <c r="AW495" s="583">
        <f t="shared" si="1090"/>
        <v>0</v>
      </c>
      <c r="AX495" s="583">
        <f t="shared" si="1091"/>
        <v>0</v>
      </c>
      <c r="AY495" s="583">
        <f t="shared" si="1092"/>
        <v>0</v>
      </c>
      <c r="AZ495" s="583">
        <f t="shared" si="1093"/>
        <v>0</v>
      </c>
      <c r="BA495" s="583">
        <f t="shared" si="1094"/>
        <v>0</v>
      </c>
      <c r="BB495" s="583">
        <f t="shared" si="1095"/>
        <v>0</v>
      </c>
      <c r="BC495" s="583">
        <f t="shared" si="1096"/>
        <v>0</v>
      </c>
      <c r="BD495" s="583">
        <f t="shared" si="1097"/>
        <v>0</v>
      </c>
      <c r="BE495" s="583">
        <f t="shared" si="1098"/>
        <v>0</v>
      </c>
      <c r="BF495" s="583">
        <f t="shared" si="1099"/>
        <v>0</v>
      </c>
      <c r="BG495" s="583">
        <f t="shared" si="1100"/>
        <v>0</v>
      </c>
      <c r="BH495" s="583">
        <f t="shared" si="1101"/>
        <v>0</v>
      </c>
      <c r="BI495" s="583">
        <f t="shared" si="1102"/>
        <v>0</v>
      </c>
      <c r="BJ495" s="583">
        <f t="shared" si="1103"/>
        <v>0</v>
      </c>
      <c r="BK495" s="583">
        <f t="shared" si="1104"/>
        <v>0</v>
      </c>
      <c r="BL495" s="583">
        <f t="shared" si="1105"/>
        <v>0</v>
      </c>
      <c r="BM495" s="583">
        <f t="shared" si="1106"/>
        <v>0</v>
      </c>
      <c r="BN495" s="583">
        <f t="shared" si="1107"/>
        <v>0</v>
      </c>
      <c r="BO495" s="583">
        <f t="shared" si="1108"/>
        <v>0</v>
      </c>
      <c r="BP495" s="583">
        <f t="shared" si="1109"/>
        <v>0</v>
      </c>
      <c r="BQ495" s="583">
        <f t="shared" si="1110"/>
        <v>0</v>
      </c>
      <c r="BR495" s="583">
        <f t="shared" si="1111"/>
        <v>0</v>
      </c>
    </row>
    <row r="496" spans="1:70" s="229" customFormat="1" ht="15" customHeight="1">
      <c r="A496" s="504"/>
      <c r="D496" s="85"/>
      <c r="E496" s="576" t="str">
        <f t="shared" si="1112"/>
        <v/>
      </c>
      <c r="F496" s="707"/>
      <c r="G496" s="406" t="s">
        <v>3054</v>
      </c>
      <c r="H496" s="1262" t="s">
        <v>3055</v>
      </c>
      <c r="I496" s="85">
        <v>0</v>
      </c>
      <c r="J496" s="682">
        <v>1</v>
      </c>
      <c r="K496" s="579" t="str">
        <f t="shared" si="1086"/>
        <v/>
      </c>
      <c r="L496" s="580" t="str">
        <f>IF(H496="Select ingredient:","",IF(G496="","",_xlfn.IFNA(VLOOKUP($H496,Ingredient_prices!$E:$U,16,FALSE),0)))</f>
        <v/>
      </c>
      <c r="M496" s="850"/>
      <c r="N496" s="850"/>
      <c r="O496" s="666"/>
      <c r="P496" s="674"/>
      <c r="Q496" s="583">
        <f t="shared" si="1087"/>
        <v>0</v>
      </c>
      <c r="R496" s="583">
        <f>VLOOKUP($H496,'CO2_emission+%_food_waste'!$A:$K,6,FALSE)*$Q496/100</f>
        <v>0</v>
      </c>
      <c r="S496" s="583">
        <f t="shared" si="1088"/>
        <v>0</v>
      </c>
      <c r="T496" s="583" t="str">
        <f>IF(H496="Select ingredient:","",IF(G496="Select food category:","",_xlfn.IFNA(VLOOKUP($H496,Ingredient_prices!$E:$U,16,FALSE)*$Q496/1000,"not bought")))</f>
        <v/>
      </c>
      <c r="U496" s="583" t="str">
        <f>IF(G496="Select food category:","",_xlfn.IFNA(VLOOKUP($H496,Ingredient_prices!$E:$U,16,FALSE)*$R496/1000,"not bought"))</f>
        <v/>
      </c>
      <c r="V496" s="549">
        <f>VLOOKUP($H496,'CO2_emission+%_food_waste'!$A:$K,4,FALSE)*$Q496</f>
        <v>0</v>
      </c>
      <c r="W496" s="583">
        <f>VLOOKUP($H496,Nutrition_tables!$A:$N,10,FALSE)*$Q496/100</f>
        <v>0</v>
      </c>
      <c r="X496" s="583">
        <f>VLOOKUP($H496,Nutrition_tables!$A:$N,11,FALSE)*$Q496/100</f>
        <v>0</v>
      </c>
      <c r="Y496" s="583">
        <f>VLOOKUP($H496,Nutrition_tables!$A:$N,12,FALSE)*$Q496/100</f>
        <v>0</v>
      </c>
      <c r="Z496" s="583">
        <f>VLOOKUP($H496,Nutrition_tables!$A:$N,14,FALSE)*$Q496/100</f>
        <v>0</v>
      </c>
      <c r="AA496" s="583">
        <f>VLOOKUP($H496,Nutrition_tables!$A:$AF,13,FALSE)*$Q496/100</f>
        <v>0</v>
      </c>
      <c r="AB496" s="549">
        <f>VLOOKUP($H496,Nutrition_tables!$A:$AF,15,FALSE)*$Q496/100</f>
        <v>0</v>
      </c>
      <c r="AC496" s="583">
        <f>VLOOKUP($H496,Nutrition_tables!$A:$AF,16,FALSE)*$Q496/100</f>
        <v>0</v>
      </c>
      <c r="AD496" s="583">
        <f>VLOOKUP($H496,Nutrition_tables!$A:$AF,17,FALSE)*$Q496/100</f>
        <v>0</v>
      </c>
      <c r="AE496" s="583">
        <f>VLOOKUP($H496,Nutrition_tables!$A:$AF,18,FALSE)*$Q496/100</f>
        <v>0</v>
      </c>
      <c r="AF496" s="583">
        <f>VLOOKUP($H496,Nutrition_tables!$A:$AF,19,FALSE)*$Q496/100</f>
        <v>0</v>
      </c>
      <c r="AG496" s="583">
        <f>VLOOKUP($H496,Nutrition_tables!$A:$AF,20,FALSE)*$Q496/100</f>
        <v>0</v>
      </c>
      <c r="AH496" s="583">
        <f>VLOOKUP($H496,Nutrition_tables!$A:$AF,21,FALSE)*$Q496/100</f>
        <v>0</v>
      </c>
      <c r="AI496" s="583">
        <f>VLOOKUP($H496,Nutrition_tables!$A:$AF,22,FALSE)*$Q496/100</f>
        <v>0</v>
      </c>
      <c r="AJ496" s="549">
        <f>VLOOKUP($H496,Nutrition_tables!$A:$AF,23,FALSE)*$Q496/100</f>
        <v>0</v>
      </c>
      <c r="AK496" s="583">
        <f>VLOOKUP($H496,Nutrition_tables!$A:$AF,24,FALSE)*$Q496/100</f>
        <v>0</v>
      </c>
      <c r="AL496" s="583">
        <f>VLOOKUP($H496,Nutrition_tables!$A:$AF,25,FALSE)*$Q496/100</f>
        <v>0</v>
      </c>
      <c r="AM496" s="583">
        <f>VLOOKUP($H496,Nutrition_tables!$A:$AF,26,FALSE)*$Q496/100</f>
        <v>0</v>
      </c>
      <c r="AN496" s="583">
        <f>VLOOKUP($H496,Nutrition_tables!$A:$AF,27,FALSE)*$Q496/100</f>
        <v>0</v>
      </c>
      <c r="AO496" s="583">
        <f>VLOOKUP($H496,Nutrition_tables!$A:$AF,28,FALSE)*$Q496/100</f>
        <v>0</v>
      </c>
      <c r="AP496" s="583">
        <f>VLOOKUP($H496,Nutrition_tables!$A:$AF,29,FALSE)*$Q496/100</f>
        <v>0</v>
      </c>
      <c r="AQ496" s="583">
        <f>VLOOKUP($H496,Nutrition_tables!$A:$AF,30,FALSE)*$Q496/100</f>
        <v>0</v>
      </c>
      <c r="AR496" s="583">
        <f>VLOOKUP($H496,Nutrition_tables!$A:$AF,31,FALSE)*$Q496/100</f>
        <v>0</v>
      </c>
      <c r="AS496" s="549">
        <f>VLOOKUP($H496,Nutrition_tables!$A:$AF,32,FALSE)*$Q496/100</f>
        <v>0</v>
      </c>
      <c r="AT496" s="583" t="str">
        <f>IF(H496="Select ingredient:","",IF(G496="Select food category:","",IFERROR(VLOOKUP($H496,Ingredient_prices!$E:$W,17,FALSE)*$Q496/1000,"not bought")))</f>
        <v/>
      </c>
      <c r="AU496" s="583" t="str">
        <f>IF(H496="Select ingredient:","",IF(G496="Select food category:","",IFERROR(VLOOKUP($H496,Ingredient_prices!$E:$W,18,FALSE)*$Q496/1000,"not bought")))</f>
        <v/>
      </c>
      <c r="AV496" s="583">
        <f t="shared" si="1089"/>
        <v>0</v>
      </c>
      <c r="AW496" s="583">
        <f t="shared" si="1090"/>
        <v>0</v>
      </c>
      <c r="AX496" s="583">
        <f t="shared" si="1091"/>
        <v>0</v>
      </c>
      <c r="AY496" s="583">
        <f t="shared" si="1092"/>
        <v>0</v>
      </c>
      <c r="AZ496" s="583">
        <f t="shared" si="1093"/>
        <v>0</v>
      </c>
      <c r="BA496" s="583">
        <f t="shared" si="1094"/>
        <v>0</v>
      </c>
      <c r="BB496" s="583">
        <f t="shared" si="1095"/>
        <v>0</v>
      </c>
      <c r="BC496" s="583">
        <f t="shared" si="1096"/>
        <v>0</v>
      </c>
      <c r="BD496" s="583">
        <f t="shared" si="1097"/>
        <v>0</v>
      </c>
      <c r="BE496" s="583">
        <f t="shared" si="1098"/>
        <v>0</v>
      </c>
      <c r="BF496" s="583">
        <f t="shared" si="1099"/>
        <v>0</v>
      </c>
      <c r="BG496" s="583">
        <f t="shared" si="1100"/>
        <v>0</v>
      </c>
      <c r="BH496" s="583">
        <f t="shared" si="1101"/>
        <v>0</v>
      </c>
      <c r="BI496" s="583">
        <f t="shared" si="1102"/>
        <v>0</v>
      </c>
      <c r="BJ496" s="583">
        <f t="shared" si="1103"/>
        <v>0</v>
      </c>
      <c r="BK496" s="583">
        <f t="shared" si="1104"/>
        <v>0</v>
      </c>
      <c r="BL496" s="583">
        <f t="shared" si="1105"/>
        <v>0</v>
      </c>
      <c r="BM496" s="583">
        <f t="shared" si="1106"/>
        <v>0</v>
      </c>
      <c r="BN496" s="583">
        <f t="shared" si="1107"/>
        <v>0</v>
      </c>
      <c r="BO496" s="583">
        <f t="shared" si="1108"/>
        <v>0</v>
      </c>
      <c r="BP496" s="583">
        <f t="shared" si="1109"/>
        <v>0</v>
      </c>
      <c r="BQ496" s="583">
        <f t="shared" si="1110"/>
        <v>0</v>
      </c>
      <c r="BR496" s="583">
        <f t="shared" si="1111"/>
        <v>0</v>
      </c>
    </row>
    <row r="497" spans="1:70" s="83" customFormat="1" ht="56">
      <c r="A497" s="105"/>
      <c r="B497" s="86"/>
      <c r="C497" s="92"/>
      <c r="D497" s="141"/>
      <c r="E497" s="141"/>
      <c r="F497" s="716"/>
      <c r="G497" s="92"/>
      <c r="H497" s="92"/>
      <c r="I497" s="86"/>
      <c r="J497" s="87"/>
      <c r="K497" s="87"/>
      <c r="L497" s="416"/>
      <c r="M497" s="853"/>
      <c r="N497" s="853"/>
      <c r="O497" s="415"/>
      <c r="P497" s="382"/>
      <c r="Q497" s="88" t="s">
        <v>384</v>
      </c>
      <c r="R497" s="89" t="s">
        <v>455</v>
      </c>
      <c r="S497" s="89" t="s">
        <v>2087</v>
      </c>
      <c r="T497" s="89" t="s">
        <v>456</v>
      </c>
      <c r="U497" s="89" t="s">
        <v>535</v>
      </c>
      <c r="V497" s="117" t="s">
        <v>457</v>
      </c>
      <c r="W497" s="89" t="s">
        <v>75</v>
      </c>
      <c r="X497" s="89" t="s">
        <v>385</v>
      </c>
      <c r="Y497" s="89" t="s">
        <v>386</v>
      </c>
      <c r="Z497" s="89" t="s">
        <v>387</v>
      </c>
      <c r="AA497" s="89" t="s">
        <v>388</v>
      </c>
      <c r="AB497" s="117" t="s">
        <v>389</v>
      </c>
      <c r="AC497" s="113" t="s">
        <v>390</v>
      </c>
      <c r="AD497" s="89" t="s">
        <v>391</v>
      </c>
      <c r="AE497" s="89" t="s">
        <v>392</v>
      </c>
      <c r="AF497" s="89" t="s">
        <v>393</v>
      </c>
      <c r="AG497" s="89" t="s">
        <v>394</v>
      </c>
      <c r="AH497" s="89" t="s">
        <v>395</v>
      </c>
      <c r="AI497" s="89" t="s">
        <v>396</v>
      </c>
      <c r="AJ497" s="117" t="s">
        <v>397</v>
      </c>
      <c r="AK497" s="113" t="s">
        <v>398</v>
      </c>
      <c r="AL497" s="89" t="s">
        <v>399</v>
      </c>
      <c r="AM497" s="89" t="s">
        <v>400</v>
      </c>
      <c r="AN497" s="89" t="s">
        <v>401</v>
      </c>
      <c r="AO497" s="89" t="s">
        <v>402</v>
      </c>
      <c r="AP497" s="89" t="s">
        <v>406</v>
      </c>
      <c r="AQ497" s="89" t="s">
        <v>405</v>
      </c>
      <c r="AR497" s="89" t="s">
        <v>403</v>
      </c>
      <c r="AS497" s="117" t="s">
        <v>404</v>
      </c>
      <c r="AT497" s="86"/>
      <c r="AU497" s="86"/>
    </row>
    <row r="498" spans="1:70">
      <c r="A498" s="105"/>
      <c r="B498" s="92"/>
      <c r="C498" s="92"/>
      <c r="D498" s="92"/>
      <c r="E498" s="141"/>
      <c r="F498" s="716"/>
      <c r="G498" s="90"/>
      <c r="H498" s="90"/>
      <c r="I498" s="92"/>
      <c r="J498" s="92"/>
      <c r="K498" s="87"/>
      <c r="L498" s="417"/>
      <c r="M498" s="854"/>
      <c r="N498" s="854"/>
      <c r="O498" s="415"/>
      <c r="P498" s="387" t="s">
        <v>383</v>
      </c>
      <c r="Q498" s="5">
        <f t="shared" ref="Q498:AU498" si="1113">SUM(Q485:Q496)</f>
        <v>0</v>
      </c>
      <c r="R498" s="5">
        <f t="shared" si="1113"/>
        <v>0</v>
      </c>
      <c r="S498" s="5">
        <f>SUM(S485:S496)</f>
        <v>0</v>
      </c>
      <c r="T498" s="5">
        <f t="shared" si="1113"/>
        <v>0</v>
      </c>
      <c r="U498" s="5">
        <f t="shared" si="1113"/>
        <v>0</v>
      </c>
      <c r="V498" s="116">
        <f t="shared" si="1113"/>
        <v>0</v>
      </c>
      <c r="W498" s="5">
        <f t="shared" si="1113"/>
        <v>0</v>
      </c>
      <c r="X498" s="5">
        <f t="shared" si="1113"/>
        <v>0</v>
      </c>
      <c r="Y498" s="5">
        <f t="shared" si="1113"/>
        <v>0</v>
      </c>
      <c r="Z498" s="5">
        <f t="shared" si="1113"/>
        <v>0</v>
      </c>
      <c r="AA498" s="5">
        <f t="shared" si="1113"/>
        <v>0</v>
      </c>
      <c r="AB498" s="116">
        <f t="shared" si="1113"/>
        <v>0</v>
      </c>
      <c r="AC498" s="5">
        <f t="shared" si="1113"/>
        <v>0</v>
      </c>
      <c r="AD498" s="5">
        <f t="shared" si="1113"/>
        <v>0</v>
      </c>
      <c r="AE498" s="5">
        <f t="shared" si="1113"/>
        <v>0</v>
      </c>
      <c r="AF498" s="5">
        <f t="shared" si="1113"/>
        <v>0</v>
      </c>
      <c r="AG498" s="5">
        <f t="shared" si="1113"/>
        <v>0</v>
      </c>
      <c r="AH498" s="5">
        <f t="shared" si="1113"/>
        <v>0</v>
      </c>
      <c r="AI498" s="5">
        <f t="shared" si="1113"/>
        <v>0</v>
      </c>
      <c r="AJ498" s="116">
        <f t="shared" si="1113"/>
        <v>0</v>
      </c>
      <c r="AK498" s="5">
        <f t="shared" si="1113"/>
        <v>0</v>
      </c>
      <c r="AL498" s="5">
        <f t="shared" si="1113"/>
        <v>0</v>
      </c>
      <c r="AM498" s="5">
        <f t="shared" si="1113"/>
        <v>0</v>
      </c>
      <c r="AN498" s="5">
        <f t="shared" si="1113"/>
        <v>0</v>
      </c>
      <c r="AO498" s="5">
        <f t="shared" si="1113"/>
        <v>0</v>
      </c>
      <c r="AP498" s="5">
        <f t="shared" si="1113"/>
        <v>0</v>
      </c>
      <c r="AQ498" s="5">
        <f t="shared" si="1113"/>
        <v>0</v>
      </c>
      <c r="AR498" s="5">
        <f t="shared" si="1113"/>
        <v>0</v>
      </c>
      <c r="AS498" s="116">
        <f t="shared" si="1113"/>
        <v>0</v>
      </c>
      <c r="AT498" s="5">
        <f t="shared" si="1113"/>
        <v>0</v>
      </c>
      <c r="AU498" s="5">
        <f t="shared" si="1113"/>
        <v>0</v>
      </c>
      <c r="AV498" s="97">
        <f t="shared" ref="AV498:BR498" si="1114">SUM(AV485:AV496)</f>
        <v>0</v>
      </c>
      <c r="AW498" s="97">
        <f t="shared" si="1114"/>
        <v>0</v>
      </c>
      <c r="AX498" s="97">
        <f t="shared" si="1114"/>
        <v>0</v>
      </c>
      <c r="AY498" s="97">
        <f t="shared" si="1114"/>
        <v>0</v>
      </c>
      <c r="AZ498" s="97">
        <f t="shared" si="1114"/>
        <v>0</v>
      </c>
      <c r="BA498" s="97">
        <f t="shared" si="1114"/>
        <v>0</v>
      </c>
      <c r="BB498" s="97">
        <f t="shared" si="1114"/>
        <v>0</v>
      </c>
      <c r="BC498" s="97">
        <f t="shared" si="1114"/>
        <v>0</v>
      </c>
      <c r="BD498" s="97">
        <f t="shared" si="1114"/>
        <v>0</v>
      </c>
      <c r="BE498" s="97">
        <f t="shared" si="1114"/>
        <v>0</v>
      </c>
      <c r="BF498" s="97">
        <f t="shared" si="1114"/>
        <v>0</v>
      </c>
      <c r="BG498" s="97">
        <f t="shared" si="1114"/>
        <v>0</v>
      </c>
      <c r="BH498" s="97">
        <f t="shared" si="1114"/>
        <v>0</v>
      </c>
      <c r="BI498" s="97">
        <f t="shared" si="1114"/>
        <v>0</v>
      </c>
      <c r="BJ498" s="97">
        <f t="shared" si="1114"/>
        <v>0</v>
      </c>
      <c r="BK498" s="97">
        <f t="shared" si="1114"/>
        <v>0</v>
      </c>
      <c r="BL498" s="97">
        <f t="shared" si="1114"/>
        <v>0</v>
      </c>
      <c r="BM498" s="97">
        <f t="shared" si="1114"/>
        <v>0</v>
      </c>
      <c r="BN498" s="97">
        <f t="shared" si="1114"/>
        <v>0</v>
      </c>
      <c r="BO498" s="97">
        <f t="shared" si="1114"/>
        <v>0</v>
      </c>
      <c r="BP498" s="97">
        <f t="shared" si="1114"/>
        <v>0</v>
      </c>
      <c r="BQ498" s="97">
        <f t="shared" si="1114"/>
        <v>0</v>
      </c>
      <c r="BR498" s="97">
        <f t="shared" si="1114"/>
        <v>0</v>
      </c>
    </row>
    <row r="499" spans="1:70">
      <c r="A499" s="105"/>
      <c r="B499" s="92"/>
      <c r="C499" s="92"/>
      <c r="D499" s="92"/>
      <c r="E499" s="141"/>
      <c r="F499" s="716"/>
      <c r="G499" s="91"/>
      <c r="H499" s="91"/>
      <c r="I499" s="92"/>
      <c r="J499" s="92"/>
      <c r="K499" s="87"/>
      <c r="L499" s="417"/>
      <c r="M499" s="854"/>
      <c r="N499" s="854"/>
      <c r="O499" s="415"/>
      <c r="P499" s="387" t="s">
        <v>539</v>
      </c>
      <c r="V499" s="203" t="s">
        <v>588</v>
      </c>
      <c r="W499">
        <v>185.5</v>
      </c>
      <c r="X499">
        <v>23.200000000000003</v>
      </c>
      <c r="Y499">
        <v>5.8000000000000007</v>
      </c>
      <c r="Z499">
        <v>6.2</v>
      </c>
      <c r="AA499">
        <v>1.9000000000000001</v>
      </c>
      <c r="AB499" s="66">
        <v>2</v>
      </c>
      <c r="AC499">
        <v>138</v>
      </c>
      <c r="AD499">
        <v>180</v>
      </c>
      <c r="AE499">
        <v>90</v>
      </c>
      <c r="AF499">
        <v>17</v>
      </c>
      <c r="AG499">
        <v>80</v>
      </c>
      <c r="AH499">
        <v>1</v>
      </c>
      <c r="AI499">
        <v>0.70000000000000007</v>
      </c>
      <c r="AJ499" s="66">
        <v>0.125</v>
      </c>
      <c r="AK499">
        <v>80</v>
      </c>
      <c r="AL499">
        <v>0.1</v>
      </c>
      <c r="AM499">
        <v>0.11000000000000001</v>
      </c>
      <c r="AN499">
        <v>1.2000000000000002</v>
      </c>
      <c r="AO499">
        <v>6.9999999999999993E-2</v>
      </c>
      <c r="AP499">
        <v>30</v>
      </c>
      <c r="AQ499">
        <v>0.18000000000000002</v>
      </c>
      <c r="AR499">
        <v>8</v>
      </c>
      <c r="AS499" s="66">
        <v>0.5</v>
      </c>
      <c r="AV499">
        <v>185.5</v>
      </c>
      <c r="AW499">
        <v>23.200000000000003</v>
      </c>
      <c r="AX499">
        <v>5.8000000000000007</v>
      </c>
      <c r="AY499">
        <v>6.2</v>
      </c>
      <c r="AZ499">
        <v>1.9000000000000001</v>
      </c>
      <c r="BA499" s="66">
        <v>2</v>
      </c>
      <c r="BB499">
        <v>138</v>
      </c>
      <c r="BC499">
        <v>180</v>
      </c>
      <c r="BD499">
        <v>90</v>
      </c>
      <c r="BE499">
        <v>17</v>
      </c>
      <c r="BF499">
        <v>80</v>
      </c>
      <c r="BG499">
        <v>1</v>
      </c>
      <c r="BH499">
        <v>0.70000000000000007</v>
      </c>
      <c r="BI499" s="66">
        <v>0.125</v>
      </c>
      <c r="BJ499">
        <v>80</v>
      </c>
      <c r="BK499">
        <v>0.1</v>
      </c>
      <c r="BL499">
        <v>0.11000000000000001</v>
      </c>
      <c r="BM499">
        <v>1.2000000000000002</v>
      </c>
      <c r="BN499">
        <v>6.9999999999999993E-2</v>
      </c>
      <c r="BO499">
        <v>30</v>
      </c>
      <c r="BP499">
        <v>0.18000000000000002</v>
      </c>
      <c r="BQ499">
        <v>8</v>
      </c>
      <c r="BR499" s="66">
        <v>0.5</v>
      </c>
    </row>
    <row r="500" spans="1:70">
      <c r="A500" s="105"/>
      <c r="B500" s="92"/>
      <c r="C500" s="92"/>
      <c r="D500" s="92"/>
      <c r="E500" s="141"/>
      <c r="F500" s="716"/>
      <c r="G500" s="91"/>
      <c r="H500" s="91"/>
      <c r="I500" s="92"/>
      <c r="J500" s="92"/>
      <c r="K500" s="87"/>
      <c r="L500" s="417"/>
      <c r="M500" s="854"/>
      <c r="N500" s="854"/>
      <c r="O500" s="415"/>
      <c r="P500" s="387" t="s">
        <v>407</v>
      </c>
      <c r="W500" s="22">
        <f t="shared" ref="W500:AS500" si="1115">100*W498/W499</f>
        <v>0</v>
      </c>
      <c r="X500" s="22">
        <f t="shared" si="1115"/>
        <v>0</v>
      </c>
      <c r="Y500" s="22">
        <f t="shared" si="1115"/>
        <v>0</v>
      </c>
      <c r="Z500" s="22">
        <f t="shared" si="1115"/>
        <v>0</v>
      </c>
      <c r="AA500" s="22">
        <f t="shared" si="1115"/>
        <v>0</v>
      </c>
      <c r="AB500" s="118">
        <f t="shared" si="1115"/>
        <v>0</v>
      </c>
      <c r="AC500" s="22">
        <f t="shared" si="1115"/>
        <v>0</v>
      </c>
      <c r="AD500" s="22">
        <f t="shared" si="1115"/>
        <v>0</v>
      </c>
      <c r="AE500" s="22">
        <f t="shared" si="1115"/>
        <v>0</v>
      </c>
      <c r="AF500" s="22">
        <f t="shared" si="1115"/>
        <v>0</v>
      </c>
      <c r="AG500" s="22">
        <f t="shared" si="1115"/>
        <v>0</v>
      </c>
      <c r="AH500" s="22">
        <f t="shared" si="1115"/>
        <v>0</v>
      </c>
      <c r="AI500" s="22">
        <f t="shared" si="1115"/>
        <v>0</v>
      </c>
      <c r="AJ500" s="118">
        <f t="shared" si="1115"/>
        <v>0</v>
      </c>
      <c r="AK500" s="22">
        <f t="shared" si="1115"/>
        <v>0</v>
      </c>
      <c r="AL500" s="22">
        <f t="shared" si="1115"/>
        <v>0</v>
      </c>
      <c r="AM500" s="22">
        <f t="shared" si="1115"/>
        <v>0</v>
      </c>
      <c r="AN500" s="22">
        <f t="shared" si="1115"/>
        <v>0</v>
      </c>
      <c r="AO500" s="22">
        <f t="shared" si="1115"/>
        <v>0</v>
      </c>
      <c r="AP500" s="22">
        <f t="shared" si="1115"/>
        <v>0</v>
      </c>
      <c r="AQ500" s="22">
        <f t="shared" si="1115"/>
        <v>0</v>
      </c>
      <c r="AR500" s="22">
        <f t="shared" si="1115"/>
        <v>0</v>
      </c>
      <c r="AS500" s="118">
        <f t="shared" si="1115"/>
        <v>0</v>
      </c>
      <c r="AV500" s="119">
        <f t="shared" ref="AV500:BR500" si="1116">100*AV498/AV499</f>
        <v>0</v>
      </c>
      <c r="AW500" s="119">
        <f t="shared" si="1116"/>
        <v>0</v>
      </c>
      <c r="AX500" s="119">
        <f t="shared" si="1116"/>
        <v>0</v>
      </c>
      <c r="AY500" s="119">
        <f t="shared" si="1116"/>
        <v>0</v>
      </c>
      <c r="AZ500" s="119">
        <f t="shared" si="1116"/>
        <v>0</v>
      </c>
      <c r="BA500" s="119">
        <f t="shared" si="1116"/>
        <v>0</v>
      </c>
      <c r="BB500" s="119">
        <f t="shared" si="1116"/>
        <v>0</v>
      </c>
      <c r="BC500" s="119">
        <f t="shared" si="1116"/>
        <v>0</v>
      </c>
      <c r="BD500" s="119">
        <f t="shared" si="1116"/>
        <v>0</v>
      </c>
      <c r="BE500" s="119">
        <f t="shared" si="1116"/>
        <v>0</v>
      </c>
      <c r="BF500" s="119">
        <f t="shared" si="1116"/>
        <v>0</v>
      </c>
      <c r="BG500" s="119">
        <f t="shared" si="1116"/>
        <v>0</v>
      </c>
      <c r="BH500" s="119">
        <f t="shared" si="1116"/>
        <v>0</v>
      </c>
      <c r="BI500" s="119">
        <f t="shared" si="1116"/>
        <v>0</v>
      </c>
      <c r="BJ500" s="119">
        <f t="shared" si="1116"/>
        <v>0</v>
      </c>
      <c r="BK500" s="119">
        <f t="shared" si="1116"/>
        <v>0</v>
      </c>
      <c r="BL500" s="119">
        <f t="shared" si="1116"/>
        <v>0</v>
      </c>
      <c r="BM500" s="119">
        <f t="shared" si="1116"/>
        <v>0</v>
      </c>
      <c r="BN500" s="119">
        <f t="shared" si="1116"/>
        <v>0</v>
      </c>
      <c r="BO500" s="119">
        <f t="shared" si="1116"/>
        <v>0</v>
      </c>
      <c r="BP500" s="119">
        <f t="shared" si="1116"/>
        <v>0</v>
      </c>
      <c r="BQ500" s="119">
        <f t="shared" si="1116"/>
        <v>0</v>
      </c>
      <c r="BR500" s="119">
        <f t="shared" si="1116"/>
        <v>0</v>
      </c>
    </row>
    <row r="501" spans="1:70">
      <c r="A501" s="105"/>
      <c r="B501" s="92"/>
      <c r="C501" s="92"/>
      <c r="D501" s="92"/>
      <c r="E501" s="141"/>
      <c r="F501" s="716"/>
      <c r="G501" s="92"/>
      <c r="H501" s="91"/>
      <c r="I501" s="92"/>
      <c r="J501" s="92"/>
      <c r="K501" s="87"/>
      <c r="L501" s="417"/>
      <c r="M501" s="854"/>
      <c r="N501" s="854"/>
      <c r="O501" s="415"/>
      <c r="P501" s="387" t="s">
        <v>548</v>
      </c>
      <c r="W501" s="5">
        <f>AV498</f>
        <v>0</v>
      </c>
      <c r="X501" s="5">
        <f t="shared" ref="X501" si="1117">AW498</f>
        <v>0</v>
      </c>
      <c r="Y501" s="5">
        <f t="shared" ref="Y501" si="1118">AX498</f>
        <v>0</v>
      </c>
      <c r="Z501" s="5">
        <f t="shared" ref="Z501" si="1119">AY498</f>
        <v>0</v>
      </c>
      <c r="AA501" s="5">
        <f t="shared" ref="AA501" si="1120">AZ498</f>
        <v>0</v>
      </c>
      <c r="AB501" s="116">
        <f t="shared" ref="AB501" si="1121">BA498</f>
        <v>0</v>
      </c>
      <c r="AC501" s="5">
        <f t="shared" ref="AC501" si="1122">BB498</f>
        <v>0</v>
      </c>
      <c r="AD501" s="5">
        <f t="shared" ref="AD501" si="1123">BC498</f>
        <v>0</v>
      </c>
      <c r="AE501" s="5">
        <f>BD498</f>
        <v>0</v>
      </c>
      <c r="AF501" s="5">
        <f t="shared" ref="AF501" si="1124">BE498</f>
        <v>0</v>
      </c>
      <c r="AG501" s="5">
        <f t="shared" ref="AG501" si="1125">BF498</f>
        <v>0</v>
      </c>
      <c r="AH501" s="5">
        <f t="shared" ref="AH501" si="1126">BG498</f>
        <v>0</v>
      </c>
      <c r="AI501" s="5">
        <f t="shared" ref="AI501" si="1127">BH498</f>
        <v>0</v>
      </c>
      <c r="AJ501" s="116">
        <f t="shared" ref="AJ501" si="1128">BI498</f>
        <v>0</v>
      </c>
      <c r="AK501" s="5">
        <f t="shared" ref="AK501" si="1129">BJ498</f>
        <v>0</v>
      </c>
      <c r="AL501" s="5">
        <f t="shared" ref="AL501" si="1130">BK498</f>
        <v>0</v>
      </c>
      <c r="AM501" s="5">
        <f t="shared" ref="AM501" si="1131">BL498</f>
        <v>0</v>
      </c>
      <c r="AN501" s="5">
        <f>BM498</f>
        <v>0</v>
      </c>
      <c r="AO501" s="5">
        <f t="shared" ref="AO501" si="1132">BN498</f>
        <v>0</v>
      </c>
      <c r="AP501" s="5">
        <f t="shared" ref="AP501" si="1133">BO498</f>
        <v>0</v>
      </c>
      <c r="AQ501" s="5">
        <f t="shared" ref="AQ501" si="1134">BP498</f>
        <v>0</v>
      </c>
      <c r="AR501" s="5">
        <f t="shared" ref="AR501" si="1135">BQ498</f>
        <v>0</v>
      </c>
      <c r="AS501" s="116">
        <f>BR498</f>
        <v>0</v>
      </c>
    </row>
    <row r="502" spans="1:70" ht="15" thickBot="1">
      <c r="A502" s="105"/>
      <c r="B502" s="92"/>
      <c r="C502" s="92"/>
      <c r="D502" s="92"/>
      <c r="E502" s="384"/>
      <c r="F502" s="718"/>
      <c r="G502" s="385"/>
      <c r="H502" s="386"/>
      <c r="I502" s="92"/>
      <c r="J502" s="92"/>
      <c r="K502" s="87"/>
      <c r="L502" s="417"/>
      <c r="M502" s="854"/>
      <c r="N502" s="854"/>
      <c r="O502" s="415"/>
      <c r="P502" s="388" t="s">
        <v>546</v>
      </c>
      <c r="Q502" s="134"/>
      <c r="R502" s="134"/>
      <c r="S502" s="134"/>
      <c r="T502" s="134"/>
      <c r="U502" s="134"/>
      <c r="V502" s="138"/>
      <c r="W502" s="139">
        <f t="shared" ref="W502:AS502" si="1136">AV500</f>
        <v>0</v>
      </c>
      <c r="X502" s="139">
        <f t="shared" si="1136"/>
        <v>0</v>
      </c>
      <c r="Y502" s="139">
        <f t="shared" si="1136"/>
        <v>0</v>
      </c>
      <c r="Z502" s="139">
        <f t="shared" si="1136"/>
        <v>0</v>
      </c>
      <c r="AA502" s="139">
        <f t="shared" si="1136"/>
        <v>0</v>
      </c>
      <c r="AB502" s="140">
        <f t="shared" si="1136"/>
        <v>0</v>
      </c>
      <c r="AC502" s="139">
        <f t="shared" si="1136"/>
        <v>0</v>
      </c>
      <c r="AD502" s="139">
        <f t="shared" si="1136"/>
        <v>0</v>
      </c>
      <c r="AE502" s="139">
        <f t="shared" si="1136"/>
        <v>0</v>
      </c>
      <c r="AF502" s="139">
        <f t="shared" si="1136"/>
        <v>0</v>
      </c>
      <c r="AG502" s="139">
        <f t="shared" si="1136"/>
        <v>0</v>
      </c>
      <c r="AH502" s="139">
        <f t="shared" si="1136"/>
        <v>0</v>
      </c>
      <c r="AI502" s="139">
        <f t="shared" si="1136"/>
        <v>0</v>
      </c>
      <c r="AJ502" s="140">
        <f t="shared" si="1136"/>
        <v>0</v>
      </c>
      <c r="AK502" s="139">
        <f t="shared" si="1136"/>
        <v>0</v>
      </c>
      <c r="AL502" s="139">
        <f t="shared" si="1136"/>
        <v>0</v>
      </c>
      <c r="AM502" s="139">
        <f t="shared" si="1136"/>
        <v>0</v>
      </c>
      <c r="AN502" s="139">
        <f t="shared" si="1136"/>
        <v>0</v>
      </c>
      <c r="AO502" s="139">
        <f t="shared" si="1136"/>
        <v>0</v>
      </c>
      <c r="AP502" s="139">
        <f t="shared" si="1136"/>
        <v>0</v>
      </c>
      <c r="AQ502" s="139">
        <f t="shared" si="1136"/>
        <v>0</v>
      </c>
      <c r="AR502" s="139">
        <f t="shared" si="1136"/>
        <v>0</v>
      </c>
      <c r="AS502" s="140">
        <f t="shared" si="1136"/>
        <v>0</v>
      </c>
      <c r="AT502" s="1301"/>
      <c r="AU502" s="134"/>
      <c r="AV502" s="22"/>
      <c r="AW502" s="22"/>
      <c r="AX502" s="22"/>
      <c r="AY502" s="22"/>
      <c r="AZ502" s="22"/>
      <c r="BA502" s="119"/>
      <c r="BB502" s="22"/>
      <c r="BC502" s="22"/>
      <c r="BD502" s="22"/>
      <c r="BE502" s="22"/>
      <c r="BF502" s="22"/>
      <c r="BG502" s="22"/>
      <c r="BH502" s="22"/>
      <c r="BI502" s="119"/>
      <c r="BJ502" s="22"/>
      <c r="BK502" s="22"/>
      <c r="BL502" s="22"/>
      <c r="BM502" s="22"/>
      <c r="BN502" s="22"/>
      <c r="BO502" s="22"/>
      <c r="BP502" s="22"/>
      <c r="BQ502" s="22"/>
      <c r="BR502" s="119"/>
    </row>
    <row r="503" spans="1:70">
      <c r="A503" s="105"/>
      <c r="B503" s="92"/>
      <c r="C503" s="92"/>
      <c r="D503" s="92"/>
      <c r="E503" s="141"/>
      <c r="F503" s="716"/>
      <c r="G503" s="91"/>
      <c r="H503" s="91"/>
      <c r="I503" s="92"/>
      <c r="J503" s="92"/>
      <c r="K503" s="87"/>
      <c r="L503" s="417"/>
      <c r="M503" s="854"/>
      <c r="N503" s="854"/>
      <c r="O503" s="415"/>
      <c r="P503" s="387" t="s">
        <v>550</v>
      </c>
      <c r="Q503" s="22">
        <f t="shared" ref="Q503:S503" si="1137">Q428+Q447+Q479+Q498</f>
        <v>752.95</v>
      </c>
      <c r="R503" s="22">
        <f t="shared" si="1137"/>
        <v>159.98958000000002</v>
      </c>
      <c r="S503" s="22">
        <f t="shared" si="1137"/>
        <v>592.96042</v>
      </c>
      <c r="T503" s="22">
        <f>T428+T447+T479+T498</f>
        <v>88.56949666666668</v>
      </c>
      <c r="U503" s="22">
        <f>U428+U447+U479+U498</f>
        <v>16.880639804583335</v>
      </c>
      <c r="V503" s="22">
        <f>V428+V447+V479+V498</f>
        <v>1360.4105</v>
      </c>
      <c r="W503" s="22">
        <f>W428+W447+W479+W498</f>
        <v>1140.6043066899767</v>
      </c>
      <c r="X503" s="22">
        <f>X428+X447+X479+X498</f>
        <v>123.18763007894499</v>
      </c>
      <c r="Y503" s="22">
        <f t="shared" ref="Y503:AU503" si="1138">Y428+Y447+Y479+Y498</f>
        <v>31.521782678258589</v>
      </c>
      <c r="Z503" s="22">
        <f t="shared" si="1138"/>
        <v>54.352552987847801</v>
      </c>
      <c r="AA503" s="22">
        <f t="shared" si="1138"/>
        <v>15.268367549976553</v>
      </c>
      <c r="AB503" s="118">
        <f t="shared" si="1138"/>
        <v>13.30658339417451</v>
      </c>
      <c r="AC503" s="22">
        <f t="shared" si="1138"/>
        <v>766.65977668997675</v>
      </c>
      <c r="AD503" s="22">
        <f>AD428+AD447+AD479+AD498</f>
        <v>1382.7807</v>
      </c>
      <c r="AE503" s="22">
        <f t="shared" si="1138"/>
        <v>371.68760000000003</v>
      </c>
      <c r="AF503" s="22">
        <f t="shared" si="1138"/>
        <v>122.35673737995339</v>
      </c>
      <c r="AG503" s="22">
        <f t="shared" si="1138"/>
        <v>445.34938399999999</v>
      </c>
      <c r="AH503" s="22">
        <f t="shared" si="1138"/>
        <v>5.9969925223729561</v>
      </c>
      <c r="AI503" s="22">
        <f t="shared" si="1138"/>
        <v>5.8770380249721468</v>
      </c>
      <c r="AJ503" s="118">
        <f t="shared" si="1138"/>
        <v>0.82774723681122797</v>
      </c>
      <c r="AK503" s="22">
        <f t="shared" si="1138"/>
        <v>407.460284</v>
      </c>
      <c r="AL503" s="22">
        <f t="shared" si="1138"/>
        <v>0.56704041850375497</v>
      </c>
      <c r="AM503" s="22">
        <f t="shared" si="1138"/>
        <v>0.67788090936894885</v>
      </c>
      <c r="AN503" s="22">
        <f t="shared" si="1138"/>
        <v>9.2095921813105015</v>
      </c>
      <c r="AO503" s="22">
        <f t="shared" si="1138"/>
        <v>0.90475446063452247</v>
      </c>
      <c r="AP503" s="22">
        <f t="shared" si="1138"/>
        <v>143.63382724009321</v>
      </c>
      <c r="AQ503" s="22">
        <f t="shared" si="1138"/>
        <v>1.174529309090909</v>
      </c>
      <c r="AR503" s="22">
        <f t="shared" si="1138"/>
        <v>63.282900000000005</v>
      </c>
      <c r="AS503" s="118">
        <f t="shared" si="1138"/>
        <v>1.4718683719887957</v>
      </c>
      <c r="AT503" s="22">
        <f t="shared" si="1138"/>
        <v>83.107496666666663</v>
      </c>
      <c r="AU503" s="22">
        <f t="shared" si="1138"/>
        <v>88.56949666666668</v>
      </c>
      <c r="AV503" s="22"/>
      <c r="AW503" s="22"/>
      <c r="AX503" s="22"/>
      <c r="AY503" s="22"/>
      <c r="AZ503" s="22"/>
      <c r="BA503" s="119"/>
      <c r="BB503" s="22"/>
      <c r="BC503" s="22"/>
      <c r="BD503" s="22"/>
      <c r="BE503" s="22"/>
      <c r="BF503" s="22"/>
      <c r="BG503" s="22"/>
      <c r="BH503" s="22"/>
      <c r="BI503" s="119"/>
      <c r="BJ503" s="22"/>
      <c r="BK503" s="22"/>
      <c r="BL503" s="22"/>
      <c r="BM503" s="22"/>
      <c r="BN503" s="22"/>
      <c r="BO503" s="22"/>
      <c r="BP503" s="22"/>
      <c r="BQ503" s="22"/>
      <c r="BR503" s="119"/>
    </row>
    <row r="504" spans="1:70" ht="15" thickBot="1">
      <c r="A504" s="441"/>
      <c r="B504" s="265"/>
      <c r="C504" s="265"/>
      <c r="D504" s="384"/>
      <c r="E504" s="384"/>
      <c r="F504" s="718"/>
      <c r="G504" s="385"/>
      <c r="H504" s="385"/>
      <c r="I504" s="265"/>
      <c r="J504" s="265"/>
      <c r="K504" s="1362"/>
      <c r="L504" s="417"/>
      <c r="M504" s="854"/>
      <c r="N504" s="854"/>
      <c r="O504" s="415"/>
      <c r="P504" s="388" t="s">
        <v>549</v>
      </c>
      <c r="W504" s="22">
        <f>W431+W450+W482+W501</f>
        <v>934.07461174153332</v>
      </c>
      <c r="X504" s="22">
        <f>X431+X450+X482+X501</f>
        <v>92.982240853015981</v>
      </c>
      <c r="Y504" s="22">
        <f t="shared" ref="Y504:AS504" si="1139">Y431+Y450+Y482+Y501</f>
        <v>24.893864857615945</v>
      </c>
      <c r="Z504" s="22">
        <f t="shared" si="1139"/>
        <v>48.345617147711124</v>
      </c>
      <c r="AA504" s="22">
        <f t="shared" si="1139"/>
        <v>10.384159625245099</v>
      </c>
      <c r="AB504" s="118">
        <f t="shared" si="1139"/>
        <v>11.986454463370583</v>
      </c>
      <c r="AC504" s="22">
        <f t="shared" si="1139"/>
        <v>528.28967233077094</v>
      </c>
      <c r="AD504" s="22">
        <f t="shared" si="1139"/>
        <v>1033.7996219944444</v>
      </c>
      <c r="AE504" s="22">
        <f t="shared" si="1139"/>
        <v>297.25000972701821</v>
      </c>
      <c r="AF504" s="22">
        <f t="shared" si="1139"/>
        <v>88.801594656776473</v>
      </c>
      <c r="AG504" s="22">
        <f t="shared" si="1139"/>
        <v>362.10435077407914</v>
      </c>
      <c r="AH504" s="22">
        <f t="shared" si="1139"/>
        <v>4.2116351875637692</v>
      </c>
      <c r="AI504" s="22">
        <f t="shared" si="1139"/>
        <v>4.1415617510569982</v>
      </c>
      <c r="AJ504" s="139">
        <f t="shared" si="1139"/>
        <v>0.57153476690842242</v>
      </c>
      <c r="AK504" s="22">
        <f t="shared" si="1139"/>
        <v>346.38129753134024</v>
      </c>
      <c r="AL504" s="22">
        <f t="shared" si="1139"/>
        <v>0.39670229858956585</v>
      </c>
      <c r="AM504" s="22">
        <f t="shared" si="1139"/>
        <v>0.55152734090074174</v>
      </c>
      <c r="AN504" s="22">
        <f t="shared" si="1139"/>
        <v>6.6454978605121964</v>
      </c>
      <c r="AO504" s="22">
        <f t="shared" si="1139"/>
        <v>0.68642585066421946</v>
      </c>
      <c r="AP504" s="22">
        <f t="shared" si="1139"/>
        <v>97.076836353512505</v>
      </c>
      <c r="AQ504" s="22">
        <f t="shared" si="1139"/>
        <v>1.0665667840446718</v>
      </c>
      <c r="AR504" s="22">
        <f t="shared" si="1139"/>
        <v>43.395215965475238</v>
      </c>
      <c r="AS504" s="118">
        <f t="shared" si="1139"/>
        <v>1.2591322998036862</v>
      </c>
      <c r="AV504" s="22"/>
      <c r="AW504" s="22"/>
      <c r="AX504" s="22"/>
      <c r="AY504" s="22"/>
      <c r="AZ504" s="22"/>
      <c r="BA504" s="119"/>
      <c r="BB504" s="22"/>
      <c r="BC504" s="22"/>
      <c r="BD504" s="22"/>
      <c r="BE504" s="22"/>
      <c r="BF504" s="22"/>
      <c r="BG504" s="22"/>
      <c r="BH504" s="22"/>
      <c r="BI504" s="119"/>
      <c r="BJ504" s="22"/>
      <c r="BK504" s="22"/>
      <c r="BL504" s="22"/>
      <c r="BM504" s="22"/>
      <c r="BN504" s="22"/>
      <c r="BO504" s="22"/>
      <c r="BP504" s="22"/>
      <c r="BQ504" s="22"/>
      <c r="BR504" s="119"/>
    </row>
    <row r="505" spans="1:70" s="749" customFormat="1" ht="300" customHeight="1" thickBot="1">
      <c r="A505" s="267"/>
      <c r="B505" s="267"/>
      <c r="C505" s="267"/>
      <c r="D505" s="1364"/>
      <c r="E505" s="1364"/>
      <c r="F505" s="1365"/>
      <c r="G505" s="1366"/>
      <c r="H505" s="1366"/>
      <c r="I505" s="267"/>
      <c r="J505" s="267"/>
      <c r="K505" s="1367"/>
      <c r="L505" s="1368"/>
      <c r="M505" s="854"/>
      <c r="N505" s="854"/>
      <c r="O505" s="415"/>
      <c r="P505" s="1363"/>
      <c r="V505" s="66"/>
      <c r="W505" s="22"/>
      <c r="X505" s="22"/>
      <c r="Y505" s="22"/>
      <c r="Z505" s="22"/>
      <c r="AA505" s="22"/>
      <c r="AB505" s="118"/>
      <c r="AC505" s="22"/>
      <c r="AD505" s="22"/>
      <c r="AE505" s="22"/>
      <c r="AF505" s="22"/>
      <c r="AG505" s="22"/>
      <c r="AH505" s="22"/>
      <c r="AI505" s="22"/>
      <c r="AJ505" s="119"/>
      <c r="AK505" s="22"/>
      <c r="AL505" s="22"/>
      <c r="AM505" s="22"/>
      <c r="AN505" s="22"/>
      <c r="AO505" s="22"/>
      <c r="AP505" s="22"/>
      <c r="AQ505" s="22"/>
      <c r="AR505" s="22"/>
      <c r="AS505" s="118"/>
      <c r="AV505" s="22"/>
      <c r="AW505" s="22"/>
      <c r="AX505" s="22"/>
      <c r="AY505" s="22"/>
      <c r="AZ505" s="22"/>
      <c r="BA505" s="119"/>
      <c r="BB505" s="22"/>
      <c r="BC505" s="22"/>
      <c r="BD505" s="22"/>
      <c r="BE505" s="22"/>
      <c r="BF505" s="22"/>
      <c r="BG505" s="22"/>
      <c r="BH505" s="22"/>
      <c r="BI505" s="119"/>
      <c r="BJ505" s="22"/>
      <c r="BK505" s="22"/>
      <c r="BL505" s="22"/>
      <c r="BM505" s="22"/>
      <c r="BN505" s="22"/>
      <c r="BO505" s="22"/>
      <c r="BP505" s="22"/>
      <c r="BQ505" s="22"/>
      <c r="BR505" s="119"/>
    </row>
    <row r="506" spans="1:70" s="106" customFormat="1" ht="44" customHeight="1" thickBot="1">
      <c r="A506" s="438"/>
      <c r="B506" s="185"/>
      <c r="C506" s="185"/>
      <c r="D506" s="186"/>
      <c r="E506" s="186"/>
      <c r="F506" s="719"/>
      <c r="G506" s="1414" t="s">
        <v>67</v>
      </c>
      <c r="H506" s="1414"/>
      <c r="I506" s="187" t="s">
        <v>562</v>
      </c>
      <c r="J506" s="187" t="s">
        <v>563</v>
      </c>
      <c r="K506" s="187"/>
      <c r="L506" s="418"/>
      <c r="M506" s="418"/>
      <c r="N506" s="418"/>
      <c r="O506" s="418"/>
      <c r="P506" s="187"/>
      <c r="Q506" s="188" t="s">
        <v>384</v>
      </c>
      <c r="R506" s="189" t="s">
        <v>455</v>
      </c>
      <c r="S506" s="189"/>
      <c r="T506" s="189" t="s">
        <v>456</v>
      </c>
      <c r="U506" s="189" t="s">
        <v>535</v>
      </c>
      <c r="V506" s="190" t="s">
        <v>457</v>
      </c>
      <c r="W506" s="189" t="s">
        <v>75</v>
      </c>
      <c r="X506" s="189" t="s">
        <v>385</v>
      </c>
      <c r="Y506" s="189" t="s">
        <v>386</v>
      </c>
      <c r="Z506" s="189" t="s">
        <v>387</v>
      </c>
      <c r="AA506" s="189" t="s">
        <v>388</v>
      </c>
      <c r="AB506" s="211" t="s">
        <v>389</v>
      </c>
      <c r="AC506" s="189" t="s">
        <v>390</v>
      </c>
      <c r="AD506" s="189" t="s">
        <v>391</v>
      </c>
      <c r="AE506" s="189" t="s">
        <v>392</v>
      </c>
      <c r="AF506" s="189" t="s">
        <v>393</v>
      </c>
      <c r="AG506" s="189" t="s">
        <v>394</v>
      </c>
      <c r="AH506" s="189" t="s">
        <v>395</v>
      </c>
      <c r="AI506" s="189" t="s">
        <v>396</v>
      </c>
      <c r="AJ506" s="209" t="s">
        <v>397</v>
      </c>
      <c r="AK506" s="189" t="s">
        <v>398</v>
      </c>
      <c r="AL506" s="189" t="s">
        <v>399</v>
      </c>
      <c r="AM506" s="189" t="s">
        <v>400</v>
      </c>
      <c r="AN506" s="189" t="s">
        <v>401</v>
      </c>
      <c r="AO506" s="189" t="s">
        <v>402</v>
      </c>
      <c r="AP506" s="189" t="s">
        <v>406</v>
      </c>
      <c r="AQ506" s="189" t="s">
        <v>405</v>
      </c>
      <c r="AR506" s="189" t="s">
        <v>403</v>
      </c>
      <c r="AS506" s="190" t="s">
        <v>404</v>
      </c>
      <c r="AT506" s="189" t="s">
        <v>456</v>
      </c>
      <c r="AU506" s="189" t="s">
        <v>456</v>
      </c>
    </row>
    <row r="507" spans="1:70" ht="15">
      <c r="A507" s="438"/>
      <c r="B507" s="1413" t="s">
        <v>3911</v>
      </c>
      <c r="C507" s="1413"/>
      <c r="D507" s="1413"/>
      <c r="E507" s="1413"/>
      <c r="F507" s="1413"/>
      <c r="G507" s="122" t="s">
        <v>67</v>
      </c>
      <c r="H507" s="123" t="s">
        <v>3064</v>
      </c>
      <c r="I507" s="5">
        <f>100*R507/(Q507+0.00001)</f>
        <v>0</v>
      </c>
      <c r="J507" s="5">
        <f>100*U507/(T507+0.00001)</f>
        <v>0</v>
      </c>
      <c r="K507" s="5"/>
      <c r="L507" s="337"/>
      <c r="M507" s="337"/>
      <c r="N507" s="337"/>
      <c r="O507" s="337"/>
      <c r="P507" s="5"/>
      <c r="Q507" s="5">
        <f>Q32</f>
        <v>0</v>
      </c>
      <c r="R507" s="5">
        <f t="shared" ref="R507:V507" si="1140">R32</f>
        <v>0</v>
      </c>
      <c r="S507" s="5">
        <f t="shared" ref="S507:S511" si="1141">Q507-R507</f>
        <v>0</v>
      </c>
      <c r="T507" s="5">
        <f t="shared" si="1140"/>
        <v>0</v>
      </c>
      <c r="U507" s="5">
        <f t="shared" si="1140"/>
        <v>0</v>
      </c>
      <c r="V507" s="116">
        <f t="shared" si="1140"/>
        <v>0</v>
      </c>
      <c r="W507" s="5">
        <f>W32</f>
        <v>0</v>
      </c>
      <c r="X507" s="5">
        <f t="shared" ref="X507:Z507" si="1142">X32</f>
        <v>0</v>
      </c>
      <c r="Y507" s="5">
        <f t="shared" si="1142"/>
        <v>0</v>
      </c>
      <c r="Z507" s="5">
        <f t="shared" si="1142"/>
        <v>0</v>
      </c>
      <c r="AA507" s="5">
        <f>AA32</f>
        <v>0</v>
      </c>
      <c r="AB507" s="212">
        <f t="shared" ref="AB507:AG507" si="1143">AB32</f>
        <v>0</v>
      </c>
      <c r="AC507" s="5">
        <f t="shared" si="1143"/>
        <v>0</v>
      </c>
      <c r="AD507" s="5">
        <f t="shared" si="1143"/>
        <v>0</v>
      </c>
      <c r="AE507" s="5">
        <f t="shared" si="1143"/>
        <v>0</v>
      </c>
      <c r="AF507" s="5">
        <f t="shared" si="1143"/>
        <v>0</v>
      </c>
      <c r="AG507" s="5">
        <f t="shared" si="1143"/>
        <v>0</v>
      </c>
      <c r="AH507" s="5">
        <f t="shared" ref="AH507:AJ507" si="1144">AH32</f>
        <v>0</v>
      </c>
      <c r="AI507" s="5">
        <f t="shared" si="1144"/>
        <v>0</v>
      </c>
      <c r="AJ507" s="116">
        <f t="shared" si="1144"/>
        <v>0</v>
      </c>
      <c r="AK507" s="5">
        <f>AK32</f>
        <v>0</v>
      </c>
      <c r="AL507" s="5">
        <f t="shared" ref="AL507:AN507" si="1145">AL32</f>
        <v>0</v>
      </c>
      <c r="AM507" s="5">
        <f t="shared" si="1145"/>
        <v>0</v>
      </c>
      <c r="AN507" s="5">
        <f t="shared" si="1145"/>
        <v>0</v>
      </c>
      <c r="AO507" s="5">
        <f>AO32</f>
        <v>0</v>
      </c>
      <c r="AP507" s="5">
        <f t="shared" ref="AP507:AU507" si="1146">AP32</f>
        <v>0</v>
      </c>
      <c r="AQ507" s="5">
        <f t="shared" si="1146"/>
        <v>0</v>
      </c>
      <c r="AR507" s="5">
        <f t="shared" si="1146"/>
        <v>0</v>
      </c>
      <c r="AS507" s="116">
        <f t="shared" si="1146"/>
        <v>0</v>
      </c>
      <c r="AT507" s="5">
        <f t="shared" si="1146"/>
        <v>0</v>
      </c>
      <c r="AU507" s="5">
        <f t="shared" si="1146"/>
        <v>0</v>
      </c>
    </row>
    <row r="508" spans="1:70" ht="15">
      <c r="A508" s="438"/>
      <c r="B508" s="1413"/>
      <c r="C508" s="1413"/>
      <c r="D508" s="1413"/>
      <c r="E508" s="1413"/>
      <c r="F508" s="1413"/>
      <c r="G508" s="124" t="s">
        <v>67</v>
      </c>
      <c r="H508" s="125" t="s">
        <v>3065</v>
      </c>
      <c r="I508" s="5">
        <f t="shared" ref="I508:I511" si="1147">100*R508/(Q508+0.00001)</f>
        <v>0</v>
      </c>
      <c r="J508" s="5">
        <f t="shared" ref="J508:J511" si="1148">100*U508/(T508+0.00001)</f>
        <v>0</v>
      </c>
      <c r="K508" s="5"/>
      <c r="L508" s="337"/>
      <c r="M508" s="337"/>
      <c r="N508" s="337"/>
      <c r="O508" s="337"/>
      <c r="P508" s="5"/>
      <c r="Q508" s="5">
        <f>Q131</f>
        <v>0</v>
      </c>
      <c r="R508" s="5">
        <f t="shared" ref="R508:U508" si="1149">R131</f>
        <v>0</v>
      </c>
      <c r="S508" s="5">
        <f t="shared" si="1141"/>
        <v>0</v>
      </c>
      <c r="T508" s="5">
        <f t="shared" si="1149"/>
        <v>0</v>
      </c>
      <c r="U508" s="5">
        <f t="shared" si="1149"/>
        <v>0</v>
      </c>
      <c r="V508" s="116">
        <f>V131</f>
        <v>0</v>
      </c>
      <c r="W508" s="5">
        <f>W131</f>
        <v>0</v>
      </c>
      <c r="X508" s="5">
        <f t="shared" ref="X508:Z508" si="1150">X131</f>
        <v>0</v>
      </c>
      <c r="Y508" s="5">
        <f t="shared" si="1150"/>
        <v>0</v>
      </c>
      <c r="Z508" s="5">
        <f t="shared" si="1150"/>
        <v>0</v>
      </c>
      <c r="AA508" s="5">
        <f>AA131</f>
        <v>0</v>
      </c>
      <c r="AB508" s="116">
        <f t="shared" ref="AB508:AG508" si="1151">AB131</f>
        <v>0</v>
      </c>
      <c r="AC508" s="5">
        <f t="shared" si="1151"/>
        <v>0</v>
      </c>
      <c r="AD508" s="5">
        <f t="shared" si="1151"/>
        <v>0</v>
      </c>
      <c r="AE508" s="5">
        <f t="shared" si="1151"/>
        <v>0</v>
      </c>
      <c r="AF508" s="5">
        <f t="shared" si="1151"/>
        <v>0</v>
      </c>
      <c r="AG508" s="5">
        <f t="shared" si="1151"/>
        <v>0</v>
      </c>
      <c r="AH508" s="5">
        <f t="shared" ref="AH508:AJ508" si="1152">AH131</f>
        <v>0</v>
      </c>
      <c r="AI508" s="5">
        <f t="shared" si="1152"/>
        <v>0</v>
      </c>
      <c r="AJ508" s="116">
        <f t="shared" si="1152"/>
        <v>0</v>
      </c>
      <c r="AK508" s="5">
        <f>AK131</f>
        <v>0</v>
      </c>
      <c r="AL508" s="5">
        <f t="shared" ref="AL508:AN508" si="1153">AL131</f>
        <v>0</v>
      </c>
      <c r="AM508" s="5">
        <f t="shared" si="1153"/>
        <v>0</v>
      </c>
      <c r="AN508" s="5">
        <f t="shared" si="1153"/>
        <v>0</v>
      </c>
      <c r="AO508" s="5">
        <f>AO131</f>
        <v>0</v>
      </c>
      <c r="AP508" s="5">
        <f t="shared" ref="AP508:AU508" si="1154">AP131</f>
        <v>0</v>
      </c>
      <c r="AQ508" s="5">
        <f t="shared" si="1154"/>
        <v>0</v>
      </c>
      <c r="AR508" s="5">
        <f t="shared" si="1154"/>
        <v>0</v>
      </c>
      <c r="AS508" s="116">
        <f t="shared" si="1154"/>
        <v>0</v>
      </c>
      <c r="AT508" s="5">
        <f t="shared" si="1154"/>
        <v>0</v>
      </c>
      <c r="AU508" s="5">
        <f t="shared" si="1154"/>
        <v>0</v>
      </c>
    </row>
    <row r="509" spans="1:70" ht="15">
      <c r="A509" s="438"/>
      <c r="B509" s="1413"/>
      <c r="C509" s="1413"/>
      <c r="D509" s="1413"/>
      <c r="E509" s="1413"/>
      <c r="F509" s="1413"/>
      <c r="G509" s="126" t="s">
        <v>67</v>
      </c>
      <c r="H509" s="127" t="s">
        <v>3066</v>
      </c>
      <c r="I509" s="5">
        <f t="shared" si="1147"/>
        <v>28.499997150000283</v>
      </c>
      <c r="J509" s="5">
        <f t="shared" si="1148"/>
        <v>28.499968333368521</v>
      </c>
      <c r="K509" s="5"/>
      <c r="L509" s="337"/>
      <c r="M509" s="337"/>
      <c r="N509" s="337"/>
      <c r="O509" s="337"/>
      <c r="P509" s="5"/>
      <c r="Q509" s="5">
        <f>Q230</f>
        <v>100</v>
      </c>
      <c r="R509" s="5">
        <f t="shared" ref="R509:V509" si="1155">R230</f>
        <v>28.5</v>
      </c>
      <c r="S509" s="5">
        <f t="shared" si="1141"/>
        <v>71.5</v>
      </c>
      <c r="T509" s="5">
        <f t="shared" si="1155"/>
        <v>9</v>
      </c>
      <c r="U509" s="5">
        <f t="shared" si="1155"/>
        <v>2.5649999999999999</v>
      </c>
      <c r="V509" s="116">
        <f t="shared" si="1155"/>
        <v>48</v>
      </c>
      <c r="W509" s="5">
        <f>W230</f>
        <v>24</v>
      </c>
      <c r="X509" s="5">
        <f t="shared" ref="X509:Z509" si="1156">X230</f>
        <v>4.0999999999999996</v>
      </c>
      <c r="Y509" s="5">
        <f t="shared" si="1156"/>
        <v>1.2</v>
      </c>
      <c r="Z509" s="5">
        <f t="shared" si="1156"/>
        <v>0.2</v>
      </c>
      <c r="AA509" s="5">
        <f>AA230</f>
        <v>2.5</v>
      </c>
      <c r="AB509" s="116">
        <f t="shared" ref="AB509:AG509" si="1157">AB230</f>
        <v>0.1</v>
      </c>
      <c r="AC509" s="5">
        <f t="shared" si="1157"/>
        <v>5</v>
      </c>
      <c r="AD509" s="5">
        <f t="shared" si="1157"/>
        <v>320</v>
      </c>
      <c r="AE509" s="5">
        <f t="shared" si="1157"/>
        <v>42</v>
      </c>
      <c r="AF509" s="5">
        <f t="shared" si="1157"/>
        <v>14</v>
      </c>
      <c r="AG509" s="5">
        <f t="shared" si="1157"/>
        <v>40</v>
      </c>
      <c r="AH509" s="5">
        <f t="shared" ref="AH509:AJ509" si="1158">AH230</f>
        <v>0.4</v>
      </c>
      <c r="AI509" s="5">
        <f t="shared" si="1158"/>
        <v>0.2</v>
      </c>
      <c r="AJ509" s="116">
        <f t="shared" si="1158"/>
        <v>3.833333333333333E-2</v>
      </c>
      <c r="AK509" s="5">
        <f>AK230</f>
        <v>5.5</v>
      </c>
      <c r="AL509" s="5">
        <f t="shared" ref="AL509:AN509" si="1159">AL230</f>
        <v>7.0000000000000007E-2</v>
      </c>
      <c r="AM509" s="5">
        <f t="shared" si="1159"/>
        <v>0.05</v>
      </c>
      <c r="AN509" s="5">
        <f t="shared" si="1159"/>
        <v>0.8</v>
      </c>
      <c r="AO509" s="5">
        <f>AO230</f>
        <v>3.7999999999999999E-2</v>
      </c>
      <c r="AP509" s="5">
        <f t="shared" ref="AP509:AU509" si="1160">AP230</f>
        <v>29.9</v>
      </c>
      <c r="AQ509" s="5">
        <f t="shared" si="1160"/>
        <v>0</v>
      </c>
      <c r="AR509" s="5">
        <f t="shared" si="1160"/>
        <v>37.4</v>
      </c>
      <c r="AS509" s="116">
        <f t="shared" si="1160"/>
        <v>0</v>
      </c>
      <c r="AT509" s="5">
        <f t="shared" si="1160"/>
        <v>6.6</v>
      </c>
      <c r="AU509" s="5">
        <f t="shared" si="1160"/>
        <v>9</v>
      </c>
    </row>
    <row r="510" spans="1:70" ht="15">
      <c r="A510" s="438"/>
      <c r="B510" s="1413"/>
      <c r="C510" s="1413"/>
      <c r="D510" s="1413"/>
      <c r="E510" s="1413"/>
      <c r="F510" s="1413"/>
      <c r="G510" s="128" t="s">
        <v>67</v>
      </c>
      <c r="H510" s="129" t="s">
        <v>3067</v>
      </c>
      <c r="I510" s="5">
        <f t="shared" si="1147"/>
        <v>0</v>
      </c>
      <c r="J510" s="5">
        <f t="shared" si="1148"/>
        <v>0</v>
      </c>
      <c r="K510" s="5"/>
      <c r="L510" s="337"/>
      <c r="M510" s="337"/>
      <c r="N510" s="337"/>
      <c r="O510" s="337"/>
      <c r="P510" s="5"/>
      <c r="Q510" s="5">
        <f>Q329</f>
        <v>0</v>
      </c>
      <c r="R510" s="5">
        <f t="shared" ref="R510:V510" si="1161">R329</f>
        <v>0</v>
      </c>
      <c r="S510" s="5">
        <f t="shared" si="1141"/>
        <v>0</v>
      </c>
      <c r="T510" s="5">
        <f t="shared" si="1161"/>
        <v>0</v>
      </c>
      <c r="U510" s="5">
        <f t="shared" si="1161"/>
        <v>0</v>
      </c>
      <c r="V510" s="116">
        <f t="shared" si="1161"/>
        <v>0</v>
      </c>
      <c r="W510" s="5">
        <f>W329</f>
        <v>0</v>
      </c>
      <c r="X510" s="5">
        <f t="shared" ref="X510:Z510" si="1162">X329</f>
        <v>0</v>
      </c>
      <c r="Y510" s="5">
        <f t="shared" si="1162"/>
        <v>0</v>
      </c>
      <c r="Z510" s="5">
        <f t="shared" si="1162"/>
        <v>0</v>
      </c>
      <c r="AA510" s="5">
        <f>AA329</f>
        <v>0</v>
      </c>
      <c r="AB510" s="116">
        <f t="shared" ref="AB510:AG510" si="1163">AB329</f>
        <v>0</v>
      </c>
      <c r="AC510" s="5">
        <f t="shared" si="1163"/>
        <v>0</v>
      </c>
      <c r="AD510" s="5">
        <f t="shared" si="1163"/>
        <v>0</v>
      </c>
      <c r="AE510" s="5">
        <f t="shared" si="1163"/>
        <v>0</v>
      </c>
      <c r="AF510" s="5">
        <f t="shared" si="1163"/>
        <v>0</v>
      </c>
      <c r="AG510" s="5">
        <f t="shared" si="1163"/>
        <v>0</v>
      </c>
      <c r="AH510" s="5">
        <f t="shared" ref="AH510:AJ510" si="1164">AH329</f>
        <v>0</v>
      </c>
      <c r="AI510" s="5">
        <f t="shared" si="1164"/>
        <v>0</v>
      </c>
      <c r="AJ510" s="116">
        <f t="shared" si="1164"/>
        <v>0</v>
      </c>
      <c r="AK510" s="5">
        <f>AK329</f>
        <v>0</v>
      </c>
      <c r="AL510" s="5">
        <f t="shared" ref="AL510:AN510" si="1165">AL329</f>
        <v>0</v>
      </c>
      <c r="AM510" s="5">
        <f t="shared" si="1165"/>
        <v>0</v>
      </c>
      <c r="AN510" s="5">
        <f t="shared" si="1165"/>
        <v>0</v>
      </c>
      <c r="AO510" s="5">
        <f>AO329</f>
        <v>0</v>
      </c>
      <c r="AP510" s="5">
        <f t="shared" ref="AP510:AU510" si="1166">AP329</f>
        <v>0</v>
      </c>
      <c r="AQ510" s="5">
        <f t="shared" si="1166"/>
        <v>0</v>
      </c>
      <c r="AR510" s="5">
        <f t="shared" si="1166"/>
        <v>0</v>
      </c>
      <c r="AS510" s="116">
        <f t="shared" si="1166"/>
        <v>0</v>
      </c>
      <c r="AT510" s="5">
        <f t="shared" si="1166"/>
        <v>0</v>
      </c>
      <c r="AU510" s="5">
        <f t="shared" si="1166"/>
        <v>0</v>
      </c>
    </row>
    <row r="511" spans="1:70" ht="15">
      <c r="A511" s="438"/>
      <c r="B511" s="1413"/>
      <c r="C511" s="1413"/>
      <c r="D511" s="1413"/>
      <c r="E511" s="1413"/>
      <c r="F511" s="1413"/>
      <c r="G511" s="130" t="s">
        <v>67</v>
      </c>
      <c r="H511" s="131" t="s">
        <v>3068</v>
      </c>
      <c r="I511" s="132">
        <f t="shared" si="1147"/>
        <v>0</v>
      </c>
      <c r="J511" s="132">
        <f t="shared" si="1148"/>
        <v>0</v>
      </c>
      <c r="K511" s="132"/>
      <c r="L511" s="419"/>
      <c r="M511" s="419"/>
      <c r="N511" s="419"/>
      <c r="O511" s="419"/>
      <c r="P511" s="132"/>
      <c r="Q511" s="132">
        <f>Q428</f>
        <v>0</v>
      </c>
      <c r="R511" s="132">
        <f t="shared" ref="R511:V511" si="1167">R428</f>
        <v>0</v>
      </c>
      <c r="S511" s="132">
        <f t="shared" si="1141"/>
        <v>0</v>
      </c>
      <c r="T511" s="132">
        <f t="shared" si="1167"/>
        <v>0</v>
      </c>
      <c r="U511" s="132">
        <f t="shared" si="1167"/>
        <v>0</v>
      </c>
      <c r="V511" s="133">
        <f t="shared" si="1167"/>
        <v>0</v>
      </c>
      <c r="W511" s="132">
        <f>W428</f>
        <v>0</v>
      </c>
      <c r="X511" s="132">
        <f t="shared" ref="X511:Z511" si="1168">X428</f>
        <v>0</v>
      </c>
      <c r="Y511" s="132">
        <f t="shared" si="1168"/>
        <v>0</v>
      </c>
      <c r="Z511" s="132">
        <f t="shared" si="1168"/>
        <v>0</v>
      </c>
      <c r="AA511" s="132">
        <f>AA428</f>
        <v>0</v>
      </c>
      <c r="AB511" s="133">
        <f t="shared" ref="AB511:AG511" si="1169">AB428</f>
        <v>0</v>
      </c>
      <c r="AC511" s="132">
        <f t="shared" si="1169"/>
        <v>0</v>
      </c>
      <c r="AD511" s="132">
        <f t="shared" si="1169"/>
        <v>0</v>
      </c>
      <c r="AE511" s="132">
        <f t="shared" si="1169"/>
        <v>0</v>
      </c>
      <c r="AF511" s="132">
        <f t="shared" si="1169"/>
        <v>0</v>
      </c>
      <c r="AG511" s="132">
        <f t="shared" si="1169"/>
        <v>0</v>
      </c>
      <c r="AH511" s="132">
        <f t="shared" ref="AH511:AJ511" si="1170">AH428</f>
        <v>0</v>
      </c>
      <c r="AI511" s="132">
        <f t="shared" si="1170"/>
        <v>0</v>
      </c>
      <c r="AJ511" s="133">
        <f t="shared" si="1170"/>
        <v>0</v>
      </c>
      <c r="AK511" s="132">
        <f>AK428</f>
        <v>0</v>
      </c>
      <c r="AL511" s="132">
        <f t="shared" ref="AL511:AN511" si="1171">AL428</f>
        <v>0</v>
      </c>
      <c r="AM511" s="132">
        <f t="shared" si="1171"/>
        <v>0</v>
      </c>
      <c r="AN511" s="132">
        <f t="shared" si="1171"/>
        <v>0</v>
      </c>
      <c r="AO511" s="132">
        <f>AO428</f>
        <v>0</v>
      </c>
      <c r="AP511" s="132">
        <f t="shared" ref="AP511:AU511" si="1172">AP428</f>
        <v>0</v>
      </c>
      <c r="AQ511" s="132">
        <f t="shared" si="1172"/>
        <v>0</v>
      </c>
      <c r="AR511" s="132">
        <f t="shared" si="1172"/>
        <v>0</v>
      </c>
      <c r="AS511" s="133">
        <f t="shared" si="1172"/>
        <v>0</v>
      </c>
      <c r="AT511" s="132">
        <f t="shared" si="1172"/>
        <v>0</v>
      </c>
      <c r="AU511" s="132">
        <f t="shared" si="1172"/>
        <v>0</v>
      </c>
    </row>
    <row r="512" spans="1:70" ht="15">
      <c r="A512" s="438"/>
      <c r="B512" s="1413"/>
      <c r="C512" s="1413"/>
      <c r="D512" s="1413"/>
      <c r="E512" s="1413"/>
      <c r="F512" s="1413"/>
      <c r="G512" s="84" t="s">
        <v>67</v>
      </c>
      <c r="H512" s="174" t="s">
        <v>551</v>
      </c>
      <c r="I512" s="175">
        <f t="shared" ref="I512:J512" si="1173">SUM(I507:I511)/(COUNTIF(I507:I511,"&gt;0.00")+0.00001)</f>
        <v>28.499712152878754</v>
      </c>
      <c r="J512" s="175">
        <f t="shared" si="1173"/>
        <v>28.499683336535153</v>
      </c>
      <c r="K512" s="175"/>
      <c r="L512" s="420"/>
      <c r="M512" s="420"/>
      <c r="N512" s="420"/>
      <c r="O512" s="420"/>
      <c r="P512" s="175"/>
      <c r="Q512" s="146">
        <f>SUM(Q507:Q511)/(IF($E$11&gt;0, 1,0)+IF($E$110&gt;0,1,0)+IF($E$209&gt;0,1,0)+IF($E$308&gt;0,1,0)+IF($E$407&gt;0,1)+0.00001)</f>
        <v>24.999937500156253</v>
      </c>
      <c r="R512" s="146">
        <f t="shared" ref="R512:AU512" si="1174">SUM(R507:R511)/(IF($E$11&gt;0, 1,0)+IF($E$110&gt;0,1,0)+IF($E$209&gt;0,1,0)+IF($E$308&gt;0,1,0)+IF($E$407&gt;0,1)+0.00001)</f>
        <v>7.1249821875445321</v>
      </c>
      <c r="S512" s="146">
        <f t="shared" si="1174"/>
        <v>17.874955312611721</v>
      </c>
      <c r="T512" s="146">
        <f t="shared" si="1174"/>
        <v>2.2499943750140625</v>
      </c>
      <c r="U512" s="146">
        <f t="shared" si="1174"/>
        <v>0.64124839687900781</v>
      </c>
      <c r="V512" s="146">
        <f t="shared" si="1174"/>
        <v>11.999970000075001</v>
      </c>
      <c r="W512" s="146">
        <f t="shared" si="1174"/>
        <v>5.9999850000375003</v>
      </c>
      <c r="X512" s="146">
        <f t="shared" si="1174"/>
        <v>1.0249974375064062</v>
      </c>
      <c r="Y512" s="146">
        <f t="shared" si="1174"/>
        <v>0.299999250001875</v>
      </c>
      <c r="Z512" s="146">
        <f t="shared" si="1174"/>
        <v>4.9999875000312506E-2</v>
      </c>
      <c r="AA512" s="146">
        <f t="shared" si="1174"/>
        <v>0.62499843750390627</v>
      </c>
      <c r="AB512" s="146">
        <f t="shared" si="1174"/>
        <v>2.4999937500156253E-2</v>
      </c>
      <c r="AC512" s="146">
        <f t="shared" si="1174"/>
        <v>1.2499968750078125</v>
      </c>
      <c r="AD512" s="146">
        <f t="shared" si="1174"/>
        <v>79.999800000500002</v>
      </c>
      <c r="AE512" s="146">
        <f t="shared" si="1174"/>
        <v>10.499973750065626</v>
      </c>
      <c r="AF512" s="146">
        <f t="shared" si="1174"/>
        <v>3.4999912500218753</v>
      </c>
      <c r="AG512" s="146">
        <f t="shared" si="1174"/>
        <v>9.9999750000625003</v>
      </c>
      <c r="AH512" s="146">
        <f t="shared" si="1174"/>
        <v>9.9999750000625012E-2</v>
      </c>
      <c r="AI512" s="146">
        <f t="shared" si="1174"/>
        <v>4.9999875000312506E-2</v>
      </c>
      <c r="AJ512" s="146">
        <f t="shared" si="1174"/>
        <v>9.5833093750598963E-3</v>
      </c>
      <c r="AK512" s="146">
        <f t="shared" si="1174"/>
        <v>1.3749965625085938</v>
      </c>
      <c r="AL512" s="146">
        <f t="shared" si="1174"/>
        <v>1.7499956250109378E-2</v>
      </c>
      <c r="AM512" s="146">
        <f t="shared" si="1174"/>
        <v>1.2499968750078127E-2</v>
      </c>
      <c r="AN512" s="146">
        <f t="shared" si="1174"/>
        <v>0.19999950000125002</v>
      </c>
      <c r="AO512" s="146">
        <f t="shared" si="1174"/>
        <v>9.4999762500593762E-3</v>
      </c>
      <c r="AP512" s="146">
        <f t="shared" si="1174"/>
        <v>7.4749813125467188</v>
      </c>
      <c r="AQ512" s="146">
        <f t="shared" si="1174"/>
        <v>0</v>
      </c>
      <c r="AR512" s="146">
        <f t="shared" si="1174"/>
        <v>9.3499766250584386</v>
      </c>
      <c r="AS512" s="146">
        <f t="shared" si="1174"/>
        <v>0</v>
      </c>
      <c r="AT512" s="146">
        <f t="shared" si="1174"/>
        <v>1.6499958750103125</v>
      </c>
      <c r="AU512" s="146">
        <f t="shared" si="1174"/>
        <v>2.2499943750140625</v>
      </c>
    </row>
    <row r="513" spans="1:70" ht="15">
      <c r="A513" s="438"/>
      <c r="B513" s="1413"/>
      <c r="C513" s="1413"/>
      <c r="D513" s="1413"/>
      <c r="E513" s="1413"/>
      <c r="F513" s="1413"/>
      <c r="G513" s="84" t="s">
        <v>67</v>
      </c>
      <c r="H513" s="174"/>
      <c r="Q513" s="1419" t="s">
        <v>552</v>
      </c>
      <c r="R513" s="1419"/>
      <c r="S513" s="1419"/>
      <c r="T513" s="1419"/>
      <c r="U513" s="1419"/>
      <c r="V513" s="1420"/>
      <c r="W513" s="146">
        <f>(W35+W134+W233+W332+W431)/(COUNTIF(W507:W511,"&gt;0.00")+0.00001)</f>
        <v>17.159826685733311</v>
      </c>
      <c r="X513" s="146">
        <f t="shared" ref="X513:AC513" si="1175">(X35+X134+X233+X332+X431)/(COUNTIF(X507:X511,"&gt;0.00")+0.00001)</f>
        <v>2.9314703921461072</v>
      </c>
      <c r="Y513" s="146">
        <f t="shared" si="1175"/>
        <v>0.85799133428666563</v>
      </c>
      <c r="Z513" s="146">
        <f t="shared" si="1175"/>
        <v>0.14299855571444428</v>
      </c>
      <c r="AA513" s="146">
        <f t="shared" si="1175"/>
        <v>1.7874819464305534</v>
      </c>
      <c r="AB513" s="137">
        <f t="shared" si="1175"/>
        <v>7.149927785722214E-2</v>
      </c>
      <c r="AC513" s="146">
        <f t="shared" si="1175"/>
        <v>3.5749638928611067</v>
      </c>
      <c r="AD513" s="146">
        <f t="shared" ref="AD513:AJ513" si="1176">(AD35+AD134+AD233+AD332+AD431)/(COUNTIF(AD507:AD511,"&gt;0.00")+0.00001)</f>
        <v>228.79768914311083</v>
      </c>
      <c r="AE513" s="146">
        <f t="shared" si="1176"/>
        <v>30.029696700033298</v>
      </c>
      <c r="AF513" s="146">
        <f t="shared" si="1176"/>
        <v>10.009898900011098</v>
      </c>
      <c r="AG513" s="146">
        <f t="shared" si="1176"/>
        <v>28.599711142888854</v>
      </c>
      <c r="AH513" s="146">
        <f t="shared" si="1176"/>
        <v>0.28599711142888856</v>
      </c>
      <c r="AI513" s="146">
        <f t="shared" si="1176"/>
        <v>0.14299855571444428</v>
      </c>
      <c r="AJ513" s="137">
        <f t="shared" si="1176"/>
        <v>2.7408056511935151E-2</v>
      </c>
      <c r="AK513" s="146">
        <f>(AK35+AK134+AK233+AK332+AK431)/(COUNTIF(AK507:AK511,"&gt;0.00")+0.00001)</f>
        <v>3.9324602821472174</v>
      </c>
      <c r="AL513" s="146">
        <f t="shared" ref="AL513:AS513" si="1177">(AL35+AL134+AL233+AL332+AL431)/(COUNTIF(AL507:AL511,"&gt;0.00")+0.00001)</f>
        <v>5.0049494500055504E-2</v>
      </c>
      <c r="AM513" s="146">
        <f t="shared" si="1177"/>
        <v>3.574963892861107E-2</v>
      </c>
      <c r="AN513" s="146">
        <f t="shared" si="1177"/>
        <v>0.57199422285777712</v>
      </c>
      <c r="AO513" s="146">
        <f t="shared" si="1177"/>
        <v>2.716972558574441E-2</v>
      </c>
      <c r="AP513" s="146">
        <f t="shared" si="1177"/>
        <v>21.378284079309417</v>
      </c>
      <c r="AQ513" s="146">
        <f t="shared" si="1177"/>
        <v>0</v>
      </c>
      <c r="AR513" s="146">
        <f t="shared" si="1177"/>
        <v>26.74072991860108</v>
      </c>
      <c r="AS513" s="137">
        <f t="shared" si="1177"/>
        <v>0</v>
      </c>
      <c r="AT513" s="176"/>
      <c r="AU513" s="176"/>
    </row>
    <row r="514" spans="1:70" s="106" customFormat="1" ht="15">
      <c r="A514" s="438"/>
      <c r="B514" s="1413"/>
      <c r="C514" s="1413"/>
      <c r="D514" s="1413"/>
      <c r="E514" s="1413"/>
      <c r="F514" s="1413"/>
      <c r="G514" s="84" t="s">
        <v>67</v>
      </c>
      <c r="H514" s="176"/>
      <c r="I514" s="177"/>
      <c r="J514" s="177"/>
      <c r="K514" s="177"/>
      <c r="L514" s="422"/>
      <c r="M514" s="422"/>
      <c r="N514" s="422"/>
      <c r="O514" s="422"/>
      <c r="P514" s="177"/>
      <c r="Q514" s="1419" t="s">
        <v>546</v>
      </c>
      <c r="R514" s="1419"/>
      <c r="S514" s="1419"/>
      <c r="T514" s="1419"/>
      <c r="U514" s="1419"/>
      <c r="V514" s="1420"/>
      <c r="W514" s="146">
        <f>100*W513/W429</f>
        <v>2.6430229781645451</v>
      </c>
      <c r="X514" s="146">
        <f t="shared" ref="X514:AC514" si="1178">100*X513/X429</f>
        <v>3.6101852120025959</v>
      </c>
      <c r="Y514" s="146">
        <f t="shared" si="1178"/>
        <v>4.2265582969786495</v>
      </c>
      <c r="Z514" s="146">
        <f t="shared" si="1178"/>
        <v>0.65897951942140232</v>
      </c>
      <c r="AA514" s="146">
        <f t="shared" si="1178"/>
        <v>26.879427765872986</v>
      </c>
      <c r="AB514" s="137">
        <f t="shared" si="1178"/>
        <v>1.0214182551031734</v>
      </c>
      <c r="AC514" s="146">
        <f t="shared" si="1178"/>
        <v>0.74015815587186484</v>
      </c>
      <c r="AD514" s="146">
        <f t="shared" ref="AD514" si="1179">100*AD513/AD429</f>
        <v>36.317093514779501</v>
      </c>
      <c r="AE514" s="146">
        <f t="shared" ref="AE514" si="1180">100*AE513/AE429</f>
        <v>9.5332370476296191</v>
      </c>
      <c r="AF514" s="146">
        <f t="shared" ref="AF514" si="1181">100*AF513/AF429</f>
        <v>16.823359495816973</v>
      </c>
      <c r="AG514" s="146">
        <f>100*AG513/AG429</f>
        <v>10.214182551031733</v>
      </c>
      <c r="AH514" s="146">
        <f t="shared" ref="AH514:AI514" si="1182">100*AH513/AH429</f>
        <v>8.1713460408253873</v>
      </c>
      <c r="AI514" s="146">
        <f t="shared" si="1182"/>
        <v>5.8366757434467065</v>
      </c>
      <c r="AJ514" s="137">
        <f t="shared" ref="AJ514" si="1183">100*AJ513/AJ429</f>
        <v>6.2646986312994626</v>
      </c>
      <c r="AK514" s="146">
        <f>100*AK513/AK429</f>
        <v>1.4044501007668633</v>
      </c>
      <c r="AL514" s="146">
        <f t="shared" ref="AL514" si="1184">100*AL513/AL429</f>
        <v>14.29985557144443</v>
      </c>
      <c r="AM514" s="146">
        <f t="shared" ref="AM514" si="1185">100*AM513/AM429</f>
        <v>9.2856205009379398</v>
      </c>
      <c r="AN514" s="146">
        <f t="shared" ref="AN514" si="1186">100*AN513/AN429</f>
        <v>13.618910068042315</v>
      </c>
      <c r="AO514" s="146">
        <f t="shared" ref="AO514" si="1187">100*AO513/AO429</f>
        <v>11.089683912548741</v>
      </c>
      <c r="AP514" s="146">
        <f t="shared" ref="AP514" si="1188">100*AP513/AP429</f>
        <v>20.360270551723254</v>
      </c>
      <c r="AQ514" s="146">
        <f t="shared" ref="AQ514" si="1189">100*AQ513/AQ429</f>
        <v>0</v>
      </c>
      <c r="AR514" s="146">
        <f t="shared" ref="AR514" si="1190">100*AR513/AR429</f>
        <v>95.502606852146712</v>
      </c>
      <c r="AS514" s="137">
        <f t="shared" ref="AS514" si="1191">100*AS513/AS429</f>
        <v>0</v>
      </c>
      <c r="AT514" s="176"/>
      <c r="AU514" s="176"/>
    </row>
    <row r="515" spans="1:70" ht="15" thickBot="1">
      <c r="A515" s="440"/>
      <c r="B515" s="169"/>
      <c r="C515" s="169"/>
      <c r="D515" s="170"/>
      <c r="E515" s="170"/>
      <c r="F515" s="720"/>
      <c r="G515" s="171"/>
      <c r="H515" s="171"/>
      <c r="I515" s="169"/>
      <c r="J515" s="169"/>
      <c r="K515" s="169"/>
      <c r="L515" s="423"/>
      <c r="M515" s="423"/>
      <c r="N515" s="423"/>
      <c r="O515" s="423"/>
      <c r="P515" s="169"/>
      <c r="Q515" s="169"/>
      <c r="R515" s="169"/>
      <c r="S515" s="169"/>
      <c r="T515" s="169"/>
      <c r="U515" s="169"/>
      <c r="V515" s="169"/>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204"/>
      <c r="AT515" s="169"/>
      <c r="AU515" s="169"/>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row>
    <row r="516" spans="1:70" ht="56">
      <c r="A516" s="152"/>
      <c r="B516" s="152"/>
      <c r="C516" s="152"/>
      <c r="D516" s="153"/>
      <c r="E516" s="153"/>
      <c r="F516" s="721"/>
      <c r="G516" s="1415" t="s">
        <v>1362</v>
      </c>
      <c r="H516" s="1415"/>
      <c r="I516" s="191" t="s">
        <v>562</v>
      </c>
      <c r="J516" s="191" t="s">
        <v>563</v>
      </c>
      <c r="K516" s="191"/>
      <c r="L516" s="424"/>
      <c r="M516" s="424"/>
      <c r="N516" s="424"/>
      <c r="O516" s="424"/>
      <c r="P516" s="191"/>
      <c r="Q516" s="192" t="s">
        <v>384</v>
      </c>
      <c r="R516" s="193" t="s">
        <v>455</v>
      </c>
      <c r="S516" s="193"/>
      <c r="T516" s="193" t="s">
        <v>456</v>
      </c>
      <c r="U516" s="193" t="s">
        <v>535</v>
      </c>
      <c r="V516" s="194" t="s">
        <v>457</v>
      </c>
      <c r="W516" s="193" t="s">
        <v>75</v>
      </c>
      <c r="X516" s="193" t="s">
        <v>385</v>
      </c>
      <c r="Y516" s="193" t="s">
        <v>386</v>
      </c>
      <c r="Z516" s="193" t="s">
        <v>387</v>
      </c>
      <c r="AA516" s="193" t="s">
        <v>388</v>
      </c>
      <c r="AB516" s="194" t="s">
        <v>389</v>
      </c>
      <c r="AC516" s="193" t="s">
        <v>390</v>
      </c>
      <c r="AD516" s="193" t="s">
        <v>391</v>
      </c>
      <c r="AE516" s="193" t="s">
        <v>392</v>
      </c>
      <c r="AF516" s="193" t="s">
        <v>393</v>
      </c>
      <c r="AG516" s="193" t="s">
        <v>394</v>
      </c>
      <c r="AH516" s="193" t="s">
        <v>395</v>
      </c>
      <c r="AI516" s="193" t="s">
        <v>396</v>
      </c>
      <c r="AJ516" s="210" t="s">
        <v>397</v>
      </c>
      <c r="AK516" s="193" t="s">
        <v>398</v>
      </c>
      <c r="AL516" s="193" t="s">
        <v>399</v>
      </c>
      <c r="AM516" s="193" t="s">
        <v>400</v>
      </c>
      <c r="AN516" s="193" t="s">
        <v>401</v>
      </c>
      <c r="AO516" s="193" t="s">
        <v>402</v>
      </c>
      <c r="AP516" s="193" t="s">
        <v>406</v>
      </c>
      <c r="AQ516" s="193" t="s">
        <v>405</v>
      </c>
      <c r="AR516" s="193" t="s">
        <v>403</v>
      </c>
      <c r="AS516" s="194" t="s">
        <v>404</v>
      </c>
      <c r="AT516" s="193" t="s">
        <v>456</v>
      </c>
      <c r="AU516" s="193" t="s">
        <v>456</v>
      </c>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row>
    <row r="517" spans="1:70" ht="15">
      <c r="A517" s="152"/>
      <c r="B517" s="1413" t="s">
        <v>3912</v>
      </c>
      <c r="C517" s="1413"/>
      <c r="D517" s="1413"/>
      <c r="E517" s="1413"/>
      <c r="F517" s="1413"/>
      <c r="G517" s="122" t="s">
        <v>1362</v>
      </c>
      <c r="H517" s="123" t="s">
        <v>3064</v>
      </c>
      <c r="I517" s="5">
        <f>100*R517/(Q517+0.00001)</f>
        <v>21.466665712592636</v>
      </c>
      <c r="J517" s="5">
        <f>100*U517/(T517+0.00001)</f>
        <v>28.601864974608169</v>
      </c>
      <c r="K517" s="5"/>
      <c r="L517" s="337"/>
      <c r="M517" s="337"/>
      <c r="N517" s="337"/>
      <c r="O517" s="337"/>
      <c r="P517" s="5"/>
      <c r="Q517" s="5">
        <f>Q51</f>
        <v>225</v>
      </c>
      <c r="R517" s="5">
        <f t="shared" ref="R517:V517" si="1192">R51</f>
        <v>48.3</v>
      </c>
      <c r="S517" s="5">
        <f t="shared" ref="S517:S521" si="1193">Q517-R517</f>
        <v>176.7</v>
      </c>
      <c r="T517" s="5">
        <f t="shared" si="1192"/>
        <v>47.47195</v>
      </c>
      <c r="U517" s="5">
        <f t="shared" si="1192"/>
        <v>13.577865900000001</v>
      </c>
      <c r="V517" s="116">
        <f t="shared" si="1192"/>
        <v>480.5</v>
      </c>
      <c r="W517" s="5">
        <f t="shared" ref="W517:Z517" si="1194">W51</f>
        <v>376.33749999999998</v>
      </c>
      <c r="X517" s="5">
        <f t="shared" si="1194"/>
        <v>41.480124999999994</v>
      </c>
      <c r="Y517" s="5">
        <f t="shared" si="1194"/>
        <v>15.035625</v>
      </c>
      <c r="Z517" s="5">
        <f t="shared" si="1194"/>
        <v>16.687875000000002</v>
      </c>
      <c r="AA517" s="5">
        <f t="shared" ref="AA517:AJ517" si="1195">AA51</f>
        <v>4.6556249999999997</v>
      </c>
      <c r="AB517" s="116">
        <f t="shared" si="1195"/>
        <v>6.7454999999999998</v>
      </c>
      <c r="AC517" s="5">
        <f t="shared" si="1195"/>
        <v>845.875</v>
      </c>
      <c r="AD517" s="5">
        <f t="shared" si="1195"/>
        <v>319.14999999999998</v>
      </c>
      <c r="AE517" s="5">
        <f t="shared" si="1195"/>
        <v>192.4</v>
      </c>
      <c r="AF517" s="5">
        <f t="shared" si="1195"/>
        <v>30.578624999999999</v>
      </c>
      <c r="AG517" s="5">
        <f t="shared" si="1195"/>
        <v>251.375</v>
      </c>
      <c r="AH517" s="5">
        <f t="shared" si="1195"/>
        <v>2.2230000000000003</v>
      </c>
      <c r="AI517" s="5">
        <f t="shared" si="1195"/>
        <v>3.1444999999999999</v>
      </c>
      <c r="AJ517" s="116">
        <f t="shared" si="1195"/>
        <v>0.25575000000000003</v>
      </c>
      <c r="AK517" s="5">
        <f t="shared" ref="AK517:AU517" si="1196">AK51</f>
        <v>30.375</v>
      </c>
      <c r="AL517" s="5">
        <f t="shared" si="1196"/>
        <v>0.20749999999999999</v>
      </c>
      <c r="AM517" s="5">
        <f t="shared" si="1196"/>
        <v>0.28125</v>
      </c>
      <c r="AN517" s="5">
        <f t="shared" si="1196"/>
        <v>3.2636250000000002</v>
      </c>
      <c r="AO517" s="5">
        <f t="shared" si="1196"/>
        <v>0.16070000000000001</v>
      </c>
      <c r="AP517" s="5">
        <f t="shared" si="1196"/>
        <v>32.674999999999997</v>
      </c>
      <c r="AQ517" s="5">
        <f t="shared" si="1196"/>
        <v>0.38474999999999998</v>
      </c>
      <c r="AR517" s="5">
        <f t="shared" si="1196"/>
        <v>0.57499999999999996</v>
      </c>
      <c r="AS517" s="116">
        <f t="shared" si="1196"/>
        <v>0.22125</v>
      </c>
      <c r="AT517" s="5">
        <f t="shared" si="1196"/>
        <v>47.47195</v>
      </c>
      <c r="AU517" s="5">
        <f t="shared" si="1196"/>
        <v>47.47195</v>
      </c>
    </row>
    <row r="518" spans="1:70" ht="15">
      <c r="A518" s="152"/>
      <c r="B518" s="1413"/>
      <c r="C518" s="1413"/>
      <c r="D518" s="1413"/>
      <c r="E518" s="1413"/>
      <c r="F518" s="1413"/>
      <c r="G518" s="124" t="s">
        <v>1362</v>
      </c>
      <c r="H518" s="125" t="s">
        <v>3065</v>
      </c>
      <c r="I518" s="5">
        <f>100*R518/(Q518+0.00001)</f>
        <v>9.3362900603372694</v>
      </c>
      <c r="J518" s="5">
        <f t="shared" ref="J518:J521" si="1197">100*U518/(T518+0.00001)</f>
        <v>1.6634544016936477</v>
      </c>
      <c r="K518" s="5"/>
      <c r="L518" s="337"/>
      <c r="M518" s="337"/>
      <c r="N518" s="337"/>
      <c r="O518" s="337"/>
      <c r="P518" s="5"/>
      <c r="Q518" s="5">
        <f>Q150</f>
        <v>110</v>
      </c>
      <c r="R518" s="5">
        <f t="shared" ref="R518:V518" si="1198">R150</f>
        <v>10.269920000000001</v>
      </c>
      <c r="S518" s="5">
        <f t="shared" si="1193"/>
        <v>99.730080000000001</v>
      </c>
      <c r="T518" s="5">
        <f t="shared" si="1198"/>
        <v>50.807657142857138</v>
      </c>
      <c r="U518" s="5">
        <f t="shared" si="1198"/>
        <v>0.84516237548571427</v>
      </c>
      <c r="V518" s="116">
        <f t="shared" si="1198"/>
        <v>250</v>
      </c>
      <c r="W518" s="5">
        <f t="shared" ref="W518:Z518" si="1199">W150</f>
        <v>218.8</v>
      </c>
      <c r="X518" s="5">
        <f t="shared" si="1199"/>
        <v>34.392000000000003</v>
      </c>
      <c r="Y518" s="5">
        <f t="shared" si="1199"/>
        <v>10.466000000000001</v>
      </c>
      <c r="Z518" s="5">
        <f t="shared" si="1199"/>
        <v>4.2367333333333335</v>
      </c>
      <c r="AA518" s="5">
        <f t="shared" ref="AA518:AJ518" si="1200">AA150</f>
        <v>0.23679999999999998</v>
      </c>
      <c r="AB518" s="116">
        <f t="shared" si="1200"/>
        <v>1.2165999999999999</v>
      </c>
      <c r="AC518" s="5">
        <f t="shared" si="1200"/>
        <v>35.9968</v>
      </c>
      <c r="AD518" s="5">
        <f t="shared" si="1200"/>
        <v>25.9968</v>
      </c>
      <c r="AE518" s="5">
        <f t="shared" si="1200"/>
        <v>12.396800000000001</v>
      </c>
      <c r="AF518" s="5">
        <f t="shared" si="1200"/>
        <v>2.0968</v>
      </c>
      <c r="AG518" s="5">
        <f t="shared" si="1200"/>
        <v>10.5968</v>
      </c>
      <c r="AH518" s="5">
        <f t="shared" si="1200"/>
        <v>4.8399999999999999E-2</v>
      </c>
      <c r="AI518" s="5">
        <f t="shared" si="1200"/>
        <v>0.06</v>
      </c>
      <c r="AJ518" s="116">
        <f t="shared" si="1200"/>
        <v>8.0133333333333341E-3</v>
      </c>
      <c r="AK518" s="5">
        <f t="shared" ref="AK518:AU518" si="1201">AK150</f>
        <v>29.996799999999997</v>
      </c>
      <c r="AL518" s="5">
        <f t="shared" si="1201"/>
        <v>1.5200000000000001E-3</v>
      </c>
      <c r="AM518" s="5">
        <f t="shared" si="1201"/>
        <v>1.6199999999999999E-2</v>
      </c>
      <c r="AN518" s="5">
        <f t="shared" si="1201"/>
        <v>6.6800000000000012E-2</v>
      </c>
      <c r="AO518" s="5">
        <f t="shared" si="1201"/>
        <v>2.6000000000000003E-3</v>
      </c>
      <c r="AP518" s="5">
        <f t="shared" si="1201"/>
        <v>2.0968</v>
      </c>
      <c r="AQ518" s="5">
        <f t="shared" si="1201"/>
        <v>2.9679999999999998E-2</v>
      </c>
      <c r="AR518" s="5">
        <f t="shared" si="1201"/>
        <v>0.67879999999999996</v>
      </c>
      <c r="AS518" s="116">
        <f t="shared" si="1201"/>
        <v>1.21976</v>
      </c>
      <c r="AT518" s="5">
        <f t="shared" si="1201"/>
        <v>50.807657142857138</v>
      </c>
      <c r="AU518" s="5">
        <f t="shared" si="1201"/>
        <v>50.807657142857138</v>
      </c>
    </row>
    <row r="519" spans="1:70" ht="15">
      <c r="A519" s="152"/>
      <c r="B519" s="1413"/>
      <c r="C519" s="1413"/>
      <c r="D519" s="1413"/>
      <c r="E519" s="1413"/>
      <c r="F519" s="1413"/>
      <c r="G519" s="126" t="s">
        <v>1362</v>
      </c>
      <c r="H519" s="127" t="s">
        <v>3066</v>
      </c>
      <c r="I519" s="5">
        <f t="shared" ref="I519:I521" si="1202">100*R519/(Q519+0.00001)</f>
        <v>2.2499498875025057</v>
      </c>
      <c r="J519" s="5">
        <f t="shared" si="1197"/>
        <v>0.93388278075400788</v>
      </c>
      <c r="K519" s="5"/>
      <c r="L519" s="337"/>
      <c r="M519" s="337"/>
      <c r="N519" s="337"/>
      <c r="O519" s="337"/>
      <c r="P519" s="5"/>
      <c r="Q519" s="5">
        <f>Q249</f>
        <v>200</v>
      </c>
      <c r="R519" s="5">
        <f t="shared" ref="R519:V519" si="1203">R249</f>
        <v>4.4999000000000002</v>
      </c>
      <c r="S519" s="5">
        <f t="shared" si="1193"/>
        <v>195.5001</v>
      </c>
      <c r="T519" s="5">
        <f t="shared" si="1203"/>
        <v>39.22</v>
      </c>
      <c r="U519" s="5">
        <f t="shared" si="1203"/>
        <v>0.36626892</v>
      </c>
      <c r="V519" s="116">
        <f t="shared" si="1203"/>
        <v>323</v>
      </c>
      <c r="W519" s="5">
        <f t="shared" ref="W519:Z519" si="1204">W249</f>
        <v>424</v>
      </c>
      <c r="X519" s="5">
        <f t="shared" si="1204"/>
        <v>28.9</v>
      </c>
      <c r="Y519" s="5">
        <f t="shared" si="1204"/>
        <v>12.57</v>
      </c>
      <c r="Z519" s="5">
        <f t="shared" si="1204"/>
        <v>28.3</v>
      </c>
      <c r="AA519" s="5">
        <f t="shared" ref="AA519:AJ519" si="1205">AA249</f>
        <v>-4.0000000000000001E-3</v>
      </c>
      <c r="AB519" s="116">
        <f t="shared" si="1205"/>
        <v>2.0960000000000001</v>
      </c>
      <c r="AC519" s="5">
        <f t="shared" si="1205"/>
        <v>45.996000000000002</v>
      </c>
      <c r="AD519" s="5">
        <f t="shared" si="1205"/>
        <v>154.99600000000001</v>
      </c>
      <c r="AE519" s="5">
        <f t="shared" si="1205"/>
        <v>119.996</v>
      </c>
      <c r="AF519" s="5">
        <f t="shared" si="1205"/>
        <v>10.996</v>
      </c>
      <c r="AG519" s="5">
        <f t="shared" si="1205"/>
        <v>94.995999999999995</v>
      </c>
      <c r="AH519" s="5">
        <f t="shared" si="1205"/>
        <v>9.6000000000000002E-2</v>
      </c>
      <c r="AI519" s="5">
        <f t="shared" si="1205"/>
        <v>0.58599999999999997</v>
      </c>
      <c r="AJ519" s="116">
        <f t="shared" si="1205"/>
        <v>8.6E-3</v>
      </c>
      <c r="AK519" s="5">
        <f t="shared" ref="AK519:AU519" si="1206">AK249</f>
        <v>29.995999999999999</v>
      </c>
      <c r="AL519" s="5">
        <f t="shared" si="1206"/>
        <v>2.5999999999999999E-2</v>
      </c>
      <c r="AM519" s="5">
        <f t="shared" si="1206"/>
        <v>0.13600000000000001</v>
      </c>
      <c r="AN519" s="5">
        <f t="shared" si="1206"/>
        <v>9.6000000000000002E-2</v>
      </c>
      <c r="AO519" s="5">
        <f t="shared" si="1206"/>
        <v>3.1000000000000003E-2</v>
      </c>
      <c r="AP519" s="5">
        <f t="shared" si="1206"/>
        <v>7.9960000000000004</v>
      </c>
      <c r="AQ519" s="5">
        <f t="shared" si="1206"/>
        <v>0.29959999999999998</v>
      </c>
      <c r="AR519" s="5">
        <f t="shared" si="1206"/>
        <v>0.496</v>
      </c>
      <c r="AS519" s="116">
        <f t="shared" si="1206"/>
        <v>5.96E-2</v>
      </c>
      <c r="AT519" s="5">
        <f t="shared" si="1206"/>
        <v>39.22</v>
      </c>
      <c r="AU519" s="5">
        <f t="shared" si="1206"/>
        <v>39.22</v>
      </c>
    </row>
    <row r="520" spans="1:70" ht="15">
      <c r="A520" s="152"/>
      <c r="B520" s="1413"/>
      <c r="C520" s="1413"/>
      <c r="D520" s="1413"/>
      <c r="E520" s="1413"/>
      <c r="F520" s="1413"/>
      <c r="G520" s="128" t="s">
        <v>1362</v>
      </c>
      <c r="H520" s="129" t="s">
        <v>3067</v>
      </c>
      <c r="I520" s="5">
        <f t="shared" si="1202"/>
        <v>10.370120807630499</v>
      </c>
      <c r="J520" s="5">
        <f t="shared" si="1197"/>
        <v>4.6526350877349776</v>
      </c>
      <c r="K520" s="5"/>
      <c r="L520" s="337"/>
      <c r="M520" s="337"/>
      <c r="N520" s="337"/>
      <c r="O520" s="337"/>
      <c r="P520" s="5"/>
      <c r="Q520" s="5">
        <f>Q348</f>
        <v>144</v>
      </c>
      <c r="R520" s="5">
        <f t="shared" ref="R520:V520" si="1207">R348</f>
        <v>14.932975000000001</v>
      </c>
      <c r="S520" s="5">
        <f t="shared" si="1193"/>
        <v>129.067025</v>
      </c>
      <c r="T520" s="5">
        <f t="shared" si="1207"/>
        <v>26.109873333333333</v>
      </c>
      <c r="U520" s="5">
        <f t="shared" si="1207"/>
        <v>1.2147975933333335</v>
      </c>
      <c r="V520" s="116">
        <f t="shared" si="1207"/>
        <v>255.12</v>
      </c>
      <c r="W520" s="5">
        <f t="shared" ref="W520:Z520" si="1208">W348</f>
        <v>395.01614498175491</v>
      </c>
      <c r="X520" s="5">
        <f t="shared" si="1208"/>
        <v>53.55250274616413</v>
      </c>
      <c r="Y520" s="5">
        <f t="shared" si="1208"/>
        <v>4.9483173482726421</v>
      </c>
      <c r="Z520" s="5">
        <f t="shared" si="1208"/>
        <v>17.859681598140419</v>
      </c>
      <c r="AA520" s="5">
        <f t="shared" ref="AA520:AJ520" si="1209">AA348</f>
        <v>1.1432613053613054</v>
      </c>
      <c r="AB520" s="116">
        <f t="shared" si="1209"/>
        <v>1.7533574881327827</v>
      </c>
      <c r="AC520" s="5">
        <f t="shared" si="1209"/>
        <v>23.227694738927738</v>
      </c>
      <c r="AD520" s="5">
        <f>AD348</f>
        <v>114.83989999999999</v>
      </c>
      <c r="AE520" s="5">
        <f t="shared" si="1209"/>
        <v>32.741900000000001</v>
      </c>
      <c r="AF520" s="5">
        <f t="shared" si="1209"/>
        <v>12.747755477855478</v>
      </c>
      <c r="AG520" s="5">
        <f t="shared" si="1209"/>
        <v>73.659899999999979</v>
      </c>
      <c r="AH520" s="5">
        <f t="shared" si="1209"/>
        <v>0.71809130583435687</v>
      </c>
      <c r="AI520" s="5">
        <f t="shared" si="1209"/>
        <v>0.47963346823065833</v>
      </c>
      <c r="AJ520" s="116">
        <f t="shared" si="1209"/>
        <v>0.19100409248595232</v>
      </c>
      <c r="AK520" s="5">
        <f t="shared" ref="AK520:AU520" si="1210">AK348</f>
        <v>35.009899999999995</v>
      </c>
      <c r="AL520" s="5">
        <f t="shared" si="1210"/>
        <v>6.0249887367534422E-2</v>
      </c>
      <c r="AM520" s="5">
        <f t="shared" si="1210"/>
        <v>8.2513523818462581E-2</v>
      </c>
      <c r="AN520" s="5">
        <f t="shared" si="1210"/>
        <v>0.4367092429139488</v>
      </c>
      <c r="AO520" s="5">
        <f t="shared" si="1210"/>
        <v>5.0723139605492545E-2</v>
      </c>
      <c r="AP520" s="5">
        <f t="shared" si="1210"/>
        <v>8.694189044289045</v>
      </c>
      <c r="AQ520" s="5">
        <f t="shared" si="1210"/>
        <v>0.27598981818181817</v>
      </c>
      <c r="AR520" s="5">
        <f t="shared" si="1210"/>
        <v>1.5519000000000003</v>
      </c>
      <c r="AS520" s="116">
        <f t="shared" si="1210"/>
        <v>0.18438465732959852</v>
      </c>
      <c r="AT520" s="5">
        <f t="shared" si="1210"/>
        <v>26.109873333333333</v>
      </c>
      <c r="AU520" s="5">
        <f t="shared" si="1210"/>
        <v>26.109873333333333</v>
      </c>
    </row>
    <row r="521" spans="1:70" ht="15">
      <c r="A521" s="152"/>
      <c r="B521" s="1413"/>
      <c r="C521" s="1413"/>
      <c r="D521" s="1413"/>
      <c r="E521" s="1413"/>
      <c r="F521" s="1413"/>
      <c r="G521" s="130" t="s">
        <v>1362</v>
      </c>
      <c r="H521" s="131" t="s">
        <v>3068</v>
      </c>
      <c r="I521" s="132">
        <f t="shared" si="1202"/>
        <v>2.647017491351912</v>
      </c>
      <c r="J521" s="132">
        <f t="shared" si="1197"/>
        <v>1.959246243020575</v>
      </c>
      <c r="K521" s="132"/>
      <c r="L521" s="419"/>
      <c r="M521" s="419"/>
      <c r="N521" s="419"/>
      <c r="O521" s="419"/>
      <c r="P521" s="132"/>
      <c r="Q521" s="132">
        <f>Q447</f>
        <v>170</v>
      </c>
      <c r="R521" s="132">
        <f t="shared" ref="R521:V521" si="1211">R447</f>
        <v>4.49993</v>
      </c>
      <c r="S521" s="132">
        <f t="shared" si="1193"/>
        <v>165.50006999999999</v>
      </c>
      <c r="T521" s="132">
        <f t="shared" si="1211"/>
        <v>18.695416666666667</v>
      </c>
      <c r="U521" s="132">
        <f t="shared" si="1211"/>
        <v>0.36628944458333335</v>
      </c>
      <c r="V521" s="133">
        <f t="shared" si="1211"/>
        <v>316.39999999999998</v>
      </c>
      <c r="W521" s="132">
        <f t="shared" ref="W521:Z521" si="1212">W447</f>
        <v>349</v>
      </c>
      <c r="X521" s="132">
        <f t="shared" si="1212"/>
        <v>29</v>
      </c>
      <c r="Y521" s="132">
        <f t="shared" si="1212"/>
        <v>6.7</v>
      </c>
      <c r="Z521" s="132">
        <f t="shared" si="1212"/>
        <v>20.7</v>
      </c>
      <c r="AA521" s="132">
        <f t="shared" ref="AA521:AJ521" si="1213">AA447</f>
        <v>-2.8000000000000004E-3</v>
      </c>
      <c r="AB521" s="133">
        <f t="shared" si="1213"/>
        <v>2.0972</v>
      </c>
      <c r="AC521" s="132">
        <f t="shared" si="1213"/>
        <v>45.997199999999999</v>
      </c>
      <c r="AD521" s="132">
        <f t="shared" si="1213"/>
        <v>154.99719999999999</v>
      </c>
      <c r="AE521" s="132">
        <f t="shared" si="1213"/>
        <v>119.99720000000001</v>
      </c>
      <c r="AF521" s="132">
        <f t="shared" si="1213"/>
        <v>10.997199999999999</v>
      </c>
      <c r="AG521" s="132">
        <f t="shared" si="1213"/>
        <v>94.997200000000007</v>
      </c>
      <c r="AH521" s="132">
        <f t="shared" si="1213"/>
        <v>9.7200000000000009E-2</v>
      </c>
      <c r="AI521" s="132">
        <f t="shared" si="1213"/>
        <v>0.58719999999999994</v>
      </c>
      <c r="AJ521" s="133">
        <f t="shared" si="1213"/>
        <v>8.7199999999999986E-3</v>
      </c>
      <c r="AK521" s="132">
        <f t="shared" ref="AK521:AU521" si="1214">AK447</f>
        <v>29.997199999999999</v>
      </c>
      <c r="AL521" s="132">
        <f t="shared" si="1214"/>
        <v>2.7199999999999998E-2</v>
      </c>
      <c r="AM521" s="132">
        <f t="shared" si="1214"/>
        <v>0.13720000000000002</v>
      </c>
      <c r="AN521" s="132">
        <f t="shared" si="1214"/>
        <v>9.7200000000000009E-2</v>
      </c>
      <c r="AO521" s="132">
        <f t="shared" si="1214"/>
        <v>3.2200000000000006E-2</v>
      </c>
      <c r="AP521" s="132">
        <f t="shared" si="1214"/>
        <v>7.9972000000000003</v>
      </c>
      <c r="AQ521" s="132">
        <f t="shared" si="1214"/>
        <v>0.29971999999999999</v>
      </c>
      <c r="AR521" s="132">
        <f t="shared" si="1214"/>
        <v>0.49719999999999998</v>
      </c>
      <c r="AS521" s="133">
        <f t="shared" si="1214"/>
        <v>5.9719999999999995E-2</v>
      </c>
      <c r="AT521" s="132">
        <f t="shared" si="1214"/>
        <v>18.695416666666667</v>
      </c>
      <c r="AU521" s="132">
        <f t="shared" si="1214"/>
        <v>18.695416666666667</v>
      </c>
    </row>
    <row r="522" spans="1:70" ht="15">
      <c r="A522" s="152"/>
      <c r="B522" s="1413"/>
      <c r="C522" s="1413"/>
      <c r="D522" s="1413"/>
      <c r="E522" s="1413"/>
      <c r="F522" s="1413"/>
      <c r="G522" s="84" t="s">
        <v>1362</v>
      </c>
      <c r="H522" s="174" t="s">
        <v>551</v>
      </c>
      <c r="I522" s="175">
        <f t="shared" ref="I522:J522" si="1215">SUM(I517:I521)/(COUNTIF(I517:I521,"&gt;0.00")+0.00001)</f>
        <v>9.2139903639022371</v>
      </c>
      <c r="J522" s="175">
        <f t="shared" si="1215"/>
        <v>7.562201573159129</v>
      </c>
      <c r="K522" s="175"/>
      <c r="L522" s="420"/>
      <c r="M522" s="420"/>
      <c r="N522" s="420"/>
      <c r="O522" s="420"/>
      <c r="P522" s="175"/>
      <c r="Q522" s="146">
        <f>SUM(Q517:Q521)/(IF($E$38&gt;0, 1,0)+IF($E$137&gt;0,1,0)+IF($E$236&gt;0,1,0)+IF($E$335&gt;0,1,0)+IF($E$434&gt;0,1)+0.00001)</f>
        <v>169.79966040067922</v>
      </c>
      <c r="R522" s="146">
        <f t="shared" ref="R522:AU522" si="1216">SUM(R517:R521)/(IF($E$38&gt;0, 1,0)+IF($E$137&gt;0,1,0)+IF($E$236&gt;0,1,0)+IF($E$335&gt;0,1,0)+IF($E$434&gt;0,1)+0.00001)</f>
        <v>16.500511998976002</v>
      </c>
      <c r="S522" s="146">
        <f t="shared" si="1216"/>
        <v>153.29914840170321</v>
      </c>
      <c r="T522" s="146">
        <f t="shared" si="1216"/>
        <v>36.460906506758413</v>
      </c>
      <c r="U522" s="146">
        <f t="shared" si="1216"/>
        <v>3.2740702985398791</v>
      </c>
      <c r="V522" s="146">
        <f t="shared" si="1216"/>
        <v>325.00334999330005</v>
      </c>
      <c r="W522" s="146">
        <f t="shared" si="1216"/>
        <v>352.63002373630354</v>
      </c>
      <c r="X522" s="146">
        <f t="shared" si="1216"/>
        <v>37.464850619531589</v>
      </c>
      <c r="Y522" s="146">
        <f t="shared" si="1216"/>
        <v>9.9439685817173658</v>
      </c>
      <c r="Z522" s="146">
        <f>SUM(Z517:Z521)/(IF($E$38&gt;0, 1,0)+IF($E$137&gt;0,1,0)+IF($E$236&gt;0,1,0)+IF($E$335&gt;0,1,0)+IF($E$434&gt;0,1)+0.00001)</f>
        <v>17.556822872649008</v>
      </c>
      <c r="AA522" s="146">
        <f t="shared" si="1216"/>
        <v>1.205774849522562</v>
      </c>
      <c r="AB522" s="146">
        <f t="shared" si="1216"/>
        <v>2.7817259341746881</v>
      </c>
      <c r="AC522" s="146">
        <f t="shared" si="1216"/>
        <v>199.41814011150535</v>
      </c>
      <c r="AD522" s="146">
        <f t="shared" si="1216"/>
        <v>153.99567200865599</v>
      </c>
      <c r="AE522" s="146">
        <f t="shared" si="1216"/>
        <v>95.506188987622039</v>
      </c>
      <c r="AF522" s="146">
        <f t="shared" si="1216"/>
        <v>13.48324912907284</v>
      </c>
      <c r="AG522" s="146">
        <f t="shared" si="1216"/>
        <v>105.12476975046049</v>
      </c>
      <c r="AH522" s="146">
        <f t="shared" si="1216"/>
        <v>0.63653698809289527</v>
      </c>
      <c r="AI522" s="146">
        <f t="shared" si="1216"/>
        <v>0.9714647507166303</v>
      </c>
      <c r="AJ522" s="146">
        <f t="shared" si="1216"/>
        <v>9.4417296329264488E-2</v>
      </c>
      <c r="AK522" s="146">
        <f>SUM(AK517:AK521)/(IF($E$38&gt;0, 1,0)+IF($E$137&gt;0,1,0)+IF($E$236&gt;0,1,0)+IF($E$335&gt;0,1,0)+IF($E$434&gt;0,1)+0.00001)</f>
        <v>31.074917850164297</v>
      </c>
      <c r="AL522" s="146">
        <f t="shared" si="1216"/>
        <v>6.4493848485809913E-2</v>
      </c>
      <c r="AM522" s="146">
        <f t="shared" si="1216"/>
        <v>0.13063244349880551</v>
      </c>
      <c r="AN522" s="146">
        <f t="shared" si="1216"/>
        <v>0.792065264452261</v>
      </c>
      <c r="AO522" s="146">
        <f t="shared" si="1216"/>
        <v>5.5444517032064454E-2</v>
      </c>
      <c r="AP522" s="146">
        <f t="shared" si="1216"/>
        <v>11.89181402522976</v>
      </c>
      <c r="AQ522" s="146">
        <f t="shared" si="1216"/>
        <v>0.25794744774146816</v>
      </c>
      <c r="AR522" s="146">
        <f t="shared" si="1216"/>
        <v>0.75977848044303919</v>
      </c>
      <c r="AS522" s="146">
        <f t="shared" si="1216"/>
        <v>0.34894223358145254</v>
      </c>
      <c r="AT522" s="146">
        <f t="shared" si="1216"/>
        <v>36.460906506758413</v>
      </c>
      <c r="AU522" s="146">
        <f t="shared" si="1216"/>
        <v>36.460906506758413</v>
      </c>
    </row>
    <row r="523" spans="1:70" ht="15">
      <c r="A523" s="152"/>
      <c r="B523" s="1413"/>
      <c r="C523" s="1413"/>
      <c r="D523" s="1413"/>
      <c r="E523" s="1413"/>
      <c r="F523" s="1413"/>
      <c r="G523" s="84" t="s">
        <v>1362</v>
      </c>
      <c r="H523" s="174"/>
      <c r="Q523" s="1419" t="s">
        <v>552</v>
      </c>
      <c r="R523" s="1419"/>
      <c r="S523" s="1419"/>
      <c r="T523" s="1419"/>
      <c r="U523" s="1419"/>
      <c r="V523" s="1420"/>
      <c r="W523" s="137">
        <f t="shared" ref="W523:AS523" si="1217">(W54+W153+W252+W351+W450)/(COUNTIF($Q$517:$Q$521,"&gt;0.00")+0.00001)</f>
        <v>313.82092752926286</v>
      </c>
      <c r="X523" s="137">
        <f t="shared" si="1217"/>
        <v>33.185369670653216</v>
      </c>
      <c r="Y523" s="137">
        <f t="shared" si="1217"/>
        <v>8.8679599521146528</v>
      </c>
      <c r="Z523" s="137">
        <f t="shared" si="1217"/>
        <v>15.609523669308345</v>
      </c>
      <c r="AA523" s="137">
        <f t="shared" si="1217"/>
        <v>0.81230554111658992</v>
      </c>
      <c r="AB523" s="137">
        <f>(AB54+AB153+AB252+AB351+AB450)/(COUNTIF($Q$517:$Q$521,"&gt;0.00")+0.00001)</f>
        <v>2.324169989585283</v>
      </c>
      <c r="AC523" s="137">
        <f t="shared" si="1217"/>
        <v>139.14877612367329</v>
      </c>
      <c r="AD523" s="137">
        <f t="shared" si="1217"/>
        <v>133.92500308489991</v>
      </c>
      <c r="AE523" s="137">
        <f t="shared" si="1217"/>
        <v>86.181152581678006</v>
      </c>
      <c r="AF523" s="137">
        <f t="shared" si="1217"/>
        <v>11.328629738256586</v>
      </c>
      <c r="AG523" s="137">
        <f t="shared" si="1217"/>
        <v>89.327029217677847</v>
      </c>
      <c r="AH523" s="137">
        <f t="shared" si="1217"/>
        <v>0.46227060687009985</v>
      </c>
      <c r="AI523" s="137">
        <f t="shared" si="1217"/>
        <v>0.75767139315398024</v>
      </c>
      <c r="AJ523" s="137">
        <f t="shared" si="1217"/>
        <v>6.8967927128608095E-2</v>
      </c>
      <c r="AK523" s="137">
        <f t="shared" si="1217"/>
        <v>28.835280884255226</v>
      </c>
      <c r="AL523" s="137">
        <f t="shared" si="1217"/>
        <v>4.8705629230178904E-2</v>
      </c>
      <c r="AM523" s="137">
        <f t="shared" si="1217"/>
        <v>0.11474924566808506</v>
      </c>
      <c r="AN523" s="137">
        <f t="shared" si="1217"/>
        <v>0.5503272402693703</v>
      </c>
      <c r="AO523" s="137">
        <f t="shared" si="1217"/>
        <v>4.4199428168227681E-2</v>
      </c>
      <c r="AP523" s="137">
        <f t="shared" si="1217"/>
        <v>9.5065587008345585</v>
      </c>
      <c r="AQ523" s="137">
        <f t="shared" si="1217"/>
        <v>0.23781222907634572</v>
      </c>
      <c r="AR523" s="137">
        <f t="shared" si="1217"/>
        <v>0.68337481504926856</v>
      </c>
      <c r="AS523" s="137">
        <f t="shared" si="1217"/>
        <v>0.33167668407066908</v>
      </c>
      <c r="AT523" s="176"/>
      <c r="AU523" s="176"/>
    </row>
    <row r="524" spans="1:70" s="106" customFormat="1" ht="15">
      <c r="A524" s="152"/>
      <c r="B524" s="1413"/>
      <c r="C524" s="1413"/>
      <c r="D524" s="1413"/>
      <c r="E524" s="1413"/>
      <c r="F524" s="1413"/>
      <c r="G524" s="84" t="s">
        <v>1362</v>
      </c>
      <c r="H524" s="176"/>
      <c r="I524" s="177"/>
      <c r="J524" s="177"/>
      <c r="K524" s="177"/>
      <c r="L524" s="422"/>
      <c r="M524" s="422"/>
      <c r="N524" s="422"/>
      <c r="O524" s="422"/>
      <c r="P524" s="177"/>
      <c r="Q524" s="1419" t="s">
        <v>546</v>
      </c>
      <c r="R524" s="1419"/>
      <c r="S524" s="1419"/>
      <c r="T524" s="1419"/>
      <c r="U524" s="1419"/>
      <c r="V524" s="1420"/>
      <c r="W524" s="146">
        <f>100*W523/W499</f>
        <v>169.17570217210934</v>
      </c>
      <c r="X524" s="146">
        <f t="shared" ref="X524:AE524" si="1218">100*X523/X499</f>
        <v>143.04038651143625</v>
      </c>
      <c r="Y524" s="146">
        <f t="shared" si="1218"/>
        <v>152.89586124335608</v>
      </c>
      <c r="Z524" s="146">
        <f>100*Z523/Z499</f>
        <v>251.76651079529589</v>
      </c>
      <c r="AA524" s="146">
        <f t="shared" si="1218"/>
        <v>42.752923216662623</v>
      </c>
      <c r="AB524" s="137">
        <f t="shared" si="1218"/>
        <v>116.20849947926415</v>
      </c>
      <c r="AC524" s="146">
        <f t="shared" si="1218"/>
        <v>100.83244646642991</v>
      </c>
      <c r="AD524" s="146">
        <f t="shared" si="1218"/>
        <v>74.402779491611057</v>
      </c>
      <c r="AE524" s="146">
        <f t="shared" si="1218"/>
        <v>95.756836201864445</v>
      </c>
      <c r="AF524" s="146">
        <f>100*AF523/AF499</f>
        <v>66.638998460332857</v>
      </c>
      <c r="AG524" s="146">
        <f t="shared" ref="AG524" si="1219">100*AG523/AG499</f>
        <v>111.6587865220973</v>
      </c>
      <c r="AH524" s="146">
        <f t="shared" ref="AH524" si="1220">100*AH523/AH499</f>
        <v>46.227060687009988</v>
      </c>
      <c r="AI524" s="146">
        <f t="shared" ref="AI524" si="1221">100*AI523/AI499</f>
        <v>108.23877045056859</v>
      </c>
      <c r="AJ524" s="137">
        <f t="shared" ref="AJ524" si="1222">100*AJ523/AJ499</f>
        <v>55.174341702886473</v>
      </c>
      <c r="AK524" s="146">
        <f t="shared" ref="AK524" si="1223">100*AK523/AK499</f>
        <v>36.044101105319029</v>
      </c>
      <c r="AL524" s="146">
        <f t="shared" ref="AL524" si="1224">100*AL523/AL499</f>
        <v>48.7056292301789</v>
      </c>
      <c r="AM524" s="146">
        <f t="shared" ref="AM524" si="1225">100*AM523/AM499</f>
        <v>104.3174960618955</v>
      </c>
      <c r="AN524" s="146">
        <f t="shared" ref="AN524" si="1226">100*AN523/AN499</f>
        <v>45.860603355780853</v>
      </c>
      <c r="AO524" s="146">
        <f>100*AO523/AO499</f>
        <v>63.142040240325265</v>
      </c>
      <c r="AP524" s="146">
        <f t="shared" ref="AP524" si="1227">100*AP523/AP499</f>
        <v>31.688529002781863</v>
      </c>
      <c r="AQ524" s="146">
        <f t="shared" ref="AQ524" si="1228">100*AQ523/AQ499</f>
        <v>132.11790504241426</v>
      </c>
      <c r="AR524" s="146">
        <f t="shared" ref="AR524" si="1229">100*AR523/AR499</f>
        <v>8.542185188115857</v>
      </c>
      <c r="AS524" s="137">
        <f t="shared" ref="AS524" si="1230">100*AS523/AS499</f>
        <v>66.335336814133811</v>
      </c>
      <c r="AT524" s="176"/>
      <c r="AU524" s="176"/>
    </row>
    <row r="525" spans="1:70" ht="15" thickBot="1">
      <c r="A525" s="165"/>
      <c r="B525" s="165"/>
      <c r="C525" s="165"/>
      <c r="D525" s="166"/>
      <c r="E525" s="166"/>
      <c r="F525" s="722"/>
      <c r="G525" s="167"/>
      <c r="H525" s="167"/>
      <c r="I525" s="165"/>
      <c r="J525" s="165"/>
      <c r="K525" s="165"/>
      <c r="L525" s="425"/>
      <c r="M525" s="425"/>
      <c r="N525" s="425"/>
      <c r="O525" s="425"/>
      <c r="P525" s="165"/>
      <c r="Q525" s="165"/>
      <c r="R525" s="165"/>
      <c r="S525" s="165"/>
      <c r="T525" s="165"/>
      <c r="U525" s="165"/>
      <c r="V525" s="165"/>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205"/>
      <c r="AT525" s="165"/>
      <c r="AU525" s="165"/>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row>
    <row r="526" spans="1:70" ht="56">
      <c r="A526" s="154"/>
      <c r="B526" s="154"/>
      <c r="C526" s="154"/>
      <c r="D526" s="155"/>
      <c r="E526" s="155"/>
      <c r="F526" s="723"/>
      <c r="G526" s="1416" t="s">
        <v>69</v>
      </c>
      <c r="H526" s="1416"/>
      <c r="I526" s="195" t="s">
        <v>562</v>
      </c>
      <c r="J526" s="195" t="s">
        <v>563</v>
      </c>
      <c r="K526" s="195"/>
      <c r="L526" s="426"/>
      <c r="M526" s="426"/>
      <c r="N526" s="426"/>
      <c r="O526" s="426"/>
      <c r="P526" s="195"/>
      <c r="Q526" s="196" t="s">
        <v>384</v>
      </c>
      <c r="R526" s="197" t="s">
        <v>455</v>
      </c>
      <c r="S526" s="197"/>
      <c r="T526" s="197" t="s">
        <v>456</v>
      </c>
      <c r="U526" s="197" t="s">
        <v>535</v>
      </c>
      <c r="V526" s="198" t="s">
        <v>457</v>
      </c>
      <c r="W526" s="197" t="s">
        <v>75</v>
      </c>
      <c r="X526" s="197" t="s">
        <v>385</v>
      </c>
      <c r="Y526" s="197" t="s">
        <v>386</v>
      </c>
      <c r="Z526" s="197" t="s">
        <v>387</v>
      </c>
      <c r="AA526" s="197" t="s">
        <v>388</v>
      </c>
      <c r="AB526" s="198" t="s">
        <v>389</v>
      </c>
      <c r="AC526" s="197" t="s">
        <v>390</v>
      </c>
      <c r="AD526" s="197" t="s">
        <v>391</v>
      </c>
      <c r="AE526" s="197" t="s">
        <v>392</v>
      </c>
      <c r="AF526" s="197" t="s">
        <v>393</v>
      </c>
      <c r="AG526" s="197" t="s">
        <v>394</v>
      </c>
      <c r="AH526" s="197" t="s">
        <v>395</v>
      </c>
      <c r="AI526" s="197" t="s">
        <v>396</v>
      </c>
      <c r="AJ526" s="208" t="s">
        <v>397</v>
      </c>
      <c r="AK526" s="197" t="s">
        <v>398</v>
      </c>
      <c r="AL526" s="197" t="s">
        <v>399</v>
      </c>
      <c r="AM526" s="197" t="s">
        <v>400</v>
      </c>
      <c r="AN526" s="197" t="s">
        <v>401</v>
      </c>
      <c r="AO526" s="197" t="s">
        <v>402</v>
      </c>
      <c r="AP526" s="197" t="s">
        <v>406</v>
      </c>
      <c r="AQ526" s="197" t="s">
        <v>405</v>
      </c>
      <c r="AR526" s="197" t="s">
        <v>403</v>
      </c>
      <c r="AS526" s="198" t="s">
        <v>404</v>
      </c>
      <c r="AT526" s="197" t="s">
        <v>456</v>
      </c>
      <c r="AU526" s="197" t="s">
        <v>456</v>
      </c>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row>
    <row r="527" spans="1:70" ht="15">
      <c r="A527" s="154"/>
      <c r="B527" s="1413" t="s">
        <v>3913</v>
      </c>
      <c r="C527" s="1413"/>
      <c r="D527" s="1413"/>
      <c r="E527" s="1413"/>
      <c r="F527" s="1413"/>
      <c r="G527" s="122" t="s">
        <v>69</v>
      </c>
      <c r="H527" s="123" t="s">
        <v>3064</v>
      </c>
      <c r="I527" s="5">
        <f t="shared" ref="I527:I531" si="1231">100*R527/(Q527+0.00001)</f>
        <v>25.677731913328305</v>
      </c>
      <c r="J527" s="5">
        <f t="shared" ref="J527:J531" si="1232">100*U527/(T527+0.00001)</f>
        <v>24.983277179289566</v>
      </c>
      <c r="K527" s="5"/>
      <c r="L527" s="337"/>
      <c r="M527" s="337"/>
      <c r="N527" s="337"/>
      <c r="O527" s="337"/>
      <c r="P527" s="5"/>
      <c r="Q527" s="5">
        <f>Q83</f>
        <v>659.7</v>
      </c>
      <c r="R527" s="5">
        <f t="shared" ref="R527:W527" si="1233">R83</f>
        <v>169.39600000000002</v>
      </c>
      <c r="S527" s="5">
        <f t="shared" ref="S527:S531" si="1234">Q527-R527</f>
        <v>490.30400000000003</v>
      </c>
      <c r="T527" s="5">
        <f t="shared" si="1233"/>
        <v>79.421399999999991</v>
      </c>
      <c r="U527" s="5">
        <f>U83</f>
        <v>19.842071000000001</v>
      </c>
      <c r="V527" s="116">
        <f>V83</f>
        <v>782.44399999999996</v>
      </c>
      <c r="W527" s="5">
        <f t="shared" si="1233"/>
        <v>792.38532503496504</v>
      </c>
      <c r="X527" s="5">
        <f t="shared" ref="X527:AF527" si="1235">X83</f>
        <v>114.70703393711639</v>
      </c>
      <c r="Y527" s="5">
        <f t="shared" si="1235"/>
        <v>29.973665831742192</v>
      </c>
      <c r="Z527" s="5">
        <f t="shared" si="1235"/>
        <v>21.587068576127447</v>
      </c>
      <c r="AA527" s="5">
        <f t="shared" si="1235"/>
        <v>16.885191624838832</v>
      </c>
      <c r="AB527" s="116">
        <f t="shared" si="1235"/>
        <v>2.5699851987982045</v>
      </c>
      <c r="AC527" s="5">
        <f t="shared" si="1235"/>
        <v>708.40496503496502</v>
      </c>
      <c r="AD527" s="5">
        <f t="shared" si="1235"/>
        <v>1665.6660000000002</v>
      </c>
      <c r="AE527" s="5">
        <f t="shared" si="1235"/>
        <v>182.077</v>
      </c>
      <c r="AF527" s="5">
        <f t="shared" si="1235"/>
        <v>155.11993006993006</v>
      </c>
      <c r="AG527" s="5">
        <f t="shared" ref="AG527:AU527" si="1236">AG83</f>
        <v>430.09199999999998</v>
      </c>
      <c r="AH527" s="5">
        <f t="shared" si="1236"/>
        <v>6.6526669935552354</v>
      </c>
      <c r="AI527" s="5">
        <f t="shared" si="1236"/>
        <v>5.986288859741185</v>
      </c>
      <c r="AJ527" s="116">
        <f t="shared" si="1236"/>
        <v>1.1087606152028362</v>
      </c>
      <c r="AK527" s="5">
        <f t="shared" si="1236"/>
        <v>462.09399999999999</v>
      </c>
      <c r="AL527" s="5">
        <f t="shared" si="1236"/>
        <v>0.7397991462765563</v>
      </c>
      <c r="AM527" s="5">
        <f t="shared" si="1236"/>
        <v>0.50752158107590617</v>
      </c>
      <c r="AN527" s="5">
        <f t="shared" si="1236"/>
        <v>14.55838298665487</v>
      </c>
      <c r="AO527" s="5">
        <f t="shared" si="1236"/>
        <v>1.1605607639350299</v>
      </c>
      <c r="AP527" s="5">
        <f t="shared" si="1236"/>
        <v>133.81013986013986</v>
      </c>
      <c r="AQ527" s="5">
        <f t="shared" si="1236"/>
        <v>0.72535636363636369</v>
      </c>
      <c r="AR527" s="5">
        <f t="shared" si="1236"/>
        <v>69.936999999999998</v>
      </c>
      <c r="AS527" s="116">
        <f t="shared" si="1236"/>
        <v>1.2071499719887955</v>
      </c>
      <c r="AT527" s="5">
        <f t="shared" si="1236"/>
        <v>66.811400000000006</v>
      </c>
      <c r="AU527" s="5">
        <f t="shared" si="1236"/>
        <v>79.421399999999991</v>
      </c>
    </row>
    <row r="528" spans="1:70" ht="15">
      <c r="A528" s="154"/>
      <c r="B528" s="1413"/>
      <c r="C528" s="1413"/>
      <c r="D528" s="1413"/>
      <c r="E528" s="1413"/>
      <c r="F528" s="1413"/>
      <c r="G528" s="124" t="s">
        <v>69</v>
      </c>
      <c r="H528" s="125" t="s">
        <v>3065</v>
      </c>
      <c r="I528" s="5">
        <f t="shared" si="1231"/>
        <v>24.560445405440849</v>
      </c>
      <c r="J528" s="5">
        <f t="shared" si="1232"/>
        <v>23.018469170732473</v>
      </c>
      <c r="K528" s="5"/>
      <c r="L528" s="337"/>
      <c r="M528" s="337"/>
      <c r="N528" s="337"/>
      <c r="O528" s="337"/>
      <c r="P528" s="5"/>
      <c r="Q528" s="5">
        <f>Q182</f>
        <v>484.4</v>
      </c>
      <c r="R528" s="5">
        <f t="shared" ref="R528:W528" si="1237">R182</f>
        <v>118.9708</v>
      </c>
      <c r="S528" s="5">
        <f t="shared" si="1234"/>
        <v>365.42919999999998</v>
      </c>
      <c r="T528" s="5">
        <f t="shared" si="1237"/>
        <v>74.440985454545455</v>
      </c>
      <c r="U528" s="5">
        <f>U182</f>
        <v>17.135177589090908</v>
      </c>
      <c r="V528" s="116">
        <f t="shared" si="1237"/>
        <v>1004.2299999999999</v>
      </c>
      <c r="W528" s="5">
        <f t="shared" si="1237"/>
        <v>820.75130503496507</v>
      </c>
      <c r="X528" s="5">
        <f t="shared" ref="X528:AF528" si="1238">X182</f>
        <v>123.13508935859991</v>
      </c>
      <c r="Y528" s="5">
        <f t="shared" si="1238"/>
        <v>24.975551040731528</v>
      </c>
      <c r="Z528" s="5">
        <f t="shared" si="1238"/>
        <v>23.18519642632701</v>
      </c>
      <c r="AA528" s="5">
        <f t="shared" si="1238"/>
        <v>12.791166825174825</v>
      </c>
      <c r="AB528" s="116">
        <f t="shared" si="1238"/>
        <v>3.3124797332996683</v>
      </c>
      <c r="AC528" s="5">
        <f t="shared" si="1238"/>
        <v>823.16896503496491</v>
      </c>
      <c r="AD528" s="5">
        <f t="shared" si="1238"/>
        <v>1153.5419999999999</v>
      </c>
      <c r="AE528" s="5">
        <f t="shared" si="1238"/>
        <v>129.52599999999998</v>
      </c>
      <c r="AF528" s="5">
        <f t="shared" si="1238"/>
        <v>101.34492206993008</v>
      </c>
      <c r="AG528" s="5">
        <f t="shared" ref="AG528:AU528" si="1239">AG182</f>
        <v>295.81599199999994</v>
      </c>
      <c r="AH528" s="5">
        <f t="shared" si="1239"/>
        <v>4.9542292006417403</v>
      </c>
      <c r="AI528" s="5">
        <f t="shared" si="1239"/>
        <v>5.1572156905500321</v>
      </c>
      <c r="AJ528" s="116">
        <f t="shared" si="1239"/>
        <v>0.6467070082209333</v>
      </c>
      <c r="AK528" s="5">
        <f t="shared" si="1239"/>
        <v>356.80999199999997</v>
      </c>
      <c r="AL528" s="5">
        <f t="shared" si="1239"/>
        <v>0.91004576654457114</v>
      </c>
      <c r="AM528" s="5">
        <f t="shared" si="1239"/>
        <v>0.5979255781837749</v>
      </c>
      <c r="AN528" s="5">
        <f t="shared" si="1239"/>
        <v>8.4953118096206879</v>
      </c>
      <c r="AO528" s="5">
        <f t="shared" si="1239"/>
        <v>0.70583043012041013</v>
      </c>
      <c r="AP528" s="5">
        <f t="shared" si="1239"/>
        <v>117.00013186013987</v>
      </c>
      <c r="AQ528" s="5">
        <f t="shared" si="1239"/>
        <v>1.0177955636363636</v>
      </c>
      <c r="AR528" s="5">
        <f t="shared" si="1239"/>
        <v>28.997</v>
      </c>
      <c r="AS528" s="116">
        <f t="shared" si="1239"/>
        <v>0.88938917198879552</v>
      </c>
      <c r="AT528" s="5">
        <f t="shared" si="1239"/>
        <v>70.130985454545467</v>
      </c>
      <c r="AU528" s="5">
        <f t="shared" si="1239"/>
        <v>74.440985454545455</v>
      </c>
    </row>
    <row r="529" spans="1:70" ht="15">
      <c r="A529" s="154"/>
      <c r="B529" s="1413"/>
      <c r="C529" s="1413"/>
      <c r="D529" s="1413"/>
      <c r="E529" s="1413"/>
      <c r="F529" s="1413"/>
      <c r="G529" s="126" t="s">
        <v>69</v>
      </c>
      <c r="H529" s="127" t="s">
        <v>3066</v>
      </c>
      <c r="I529" s="5">
        <f t="shared" si="1231"/>
        <v>29.985911846618748</v>
      </c>
      <c r="J529" s="5">
        <f t="shared" si="1232"/>
        <v>34.959470427607101</v>
      </c>
      <c r="K529" s="5"/>
      <c r="L529" s="337"/>
      <c r="M529" s="337"/>
      <c r="N529" s="337"/>
      <c r="O529" s="337"/>
      <c r="P529" s="5"/>
      <c r="Q529" s="5">
        <f>Q281</f>
        <v>468.5</v>
      </c>
      <c r="R529" s="5">
        <f t="shared" ref="R529:W529" si="1240">R281</f>
        <v>140.48400000000001</v>
      </c>
      <c r="S529" s="5">
        <f t="shared" si="1234"/>
        <v>328.01599999999996</v>
      </c>
      <c r="T529" s="5">
        <f t="shared" si="1240"/>
        <v>71.817285714285703</v>
      </c>
      <c r="U529" s="5">
        <f t="shared" si="1240"/>
        <v>25.106946257142855</v>
      </c>
      <c r="V529" s="116">
        <f t="shared" si="1240"/>
        <v>966.2299999999999</v>
      </c>
      <c r="W529" s="5">
        <f t="shared" si="1240"/>
        <v>905.94827668997664</v>
      </c>
      <c r="X529" s="5">
        <f t="shared" ref="X529:AF529" si="1241">X281</f>
        <v>115.07297668997668</v>
      </c>
      <c r="Y529" s="5">
        <f t="shared" si="1241"/>
        <v>37.924333333333337</v>
      </c>
      <c r="Z529" s="5">
        <f t="shared" si="1241"/>
        <v>31.72128997668997</v>
      </c>
      <c r="AA529" s="5">
        <f t="shared" si="1241"/>
        <v>22.949116550116553</v>
      </c>
      <c r="AB529" s="116">
        <f t="shared" si="1241"/>
        <v>8.2165839160839145</v>
      </c>
      <c r="AC529" s="5">
        <f t="shared" si="1241"/>
        <v>731.93997668997667</v>
      </c>
      <c r="AD529" s="5">
        <f t="shared" si="1241"/>
        <v>1402.8600000000001</v>
      </c>
      <c r="AE529" s="5">
        <f t="shared" si="1241"/>
        <v>189.43300000000002</v>
      </c>
      <c r="AF529" s="5">
        <f t="shared" si="1241"/>
        <v>143.36995337995339</v>
      </c>
      <c r="AG529" s="5">
        <f t="shared" ref="AG529:AU529" si="1242">AG281</f>
        <v>431.16000000000008</v>
      </c>
      <c r="AH529" s="5">
        <f t="shared" si="1242"/>
        <v>11.565144289044287</v>
      </c>
      <c r="AI529" s="5">
        <f t="shared" si="1242"/>
        <v>8.1352300699300688</v>
      </c>
      <c r="AJ529" s="116">
        <f t="shared" si="1242"/>
        <v>1.2592482167832169</v>
      </c>
      <c r="AK529" s="5">
        <f t="shared" si="1242"/>
        <v>332.52969999999999</v>
      </c>
      <c r="AL529" s="5">
        <f t="shared" si="1242"/>
        <v>0.79091841491841497</v>
      </c>
      <c r="AM529" s="5">
        <f t="shared" si="1242"/>
        <v>0.54126270396270404</v>
      </c>
      <c r="AN529" s="5">
        <f t="shared" si="1242"/>
        <v>8.6324773310023311</v>
      </c>
      <c r="AO529" s="5">
        <f t="shared" si="1242"/>
        <v>0.90608300699300703</v>
      </c>
      <c r="AP529" s="5">
        <f t="shared" si="1242"/>
        <v>151.98009324009323</v>
      </c>
      <c r="AQ529" s="5">
        <f t="shared" si="1242"/>
        <v>0.2940109090909091</v>
      </c>
      <c r="AR529" s="5">
        <f t="shared" si="1242"/>
        <v>34.533299999999997</v>
      </c>
      <c r="AS529" s="116">
        <f t="shared" si="1242"/>
        <v>1.2624200000000001</v>
      </c>
      <c r="AT529" s="5">
        <f t="shared" si="1242"/>
        <v>65.685284285714289</v>
      </c>
      <c r="AU529" s="5">
        <f t="shared" si="1242"/>
        <v>71.817285714285703</v>
      </c>
    </row>
    <row r="530" spans="1:70" ht="15">
      <c r="A530" s="154"/>
      <c r="B530" s="1413"/>
      <c r="C530" s="1413"/>
      <c r="D530" s="1413"/>
      <c r="E530" s="1413"/>
      <c r="F530" s="1413"/>
      <c r="G530" s="128" t="s">
        <v>69</v>
      </c>
      <c r="H530" s="129" t="s">
        <v>3067</v>
      </c>
      <c r="I530" s="5">
        <f t="shared" si="1231"/>
        <v>28.923606415743933</v>
      </c>
      <c r="J530" s="5">
        <f t="shared" si="1232"/>
        <v>28.045803089874184</v>
      </c>
      <c r="K530" s="5"/>
      <c r="L530" s="337"/>
      <c r="M530" s="337"/>
      <c r="N530" s="337"/>
      <c r="O530" s="337"/>
      <c r="P530" s="5"/>
      <c r="Q530" s="5">
        <f>Q380</f>
        <v>653.20000000000005</v>
      </c>
      <c r="R530" s="5">
        <f t="shared" ref="R530:W530" si="1243">R380</f>
        <v>188.929</v>
      </c>
      <c r="S530" s="5">
        <f t="shared" si="1234"/>
        <v>464.27100000000007</v>
      </c>
      <c r="T530" s="5">
        <f t="shared" si="1243"/>
        <v>76.652301818181826</v>
      </c>
      <c r="U530" s="5">
        <f t="shared" si="1243"/>
        <v>21.497756436363634</v>
      </c>
      <c r="V530" s="116">
        <f t="shared" si="1243"/>
        <v>1226.3759999999997</v>
      </c>
      <c r="W530" s="5">
        <f t="shared" si="1243"/>
        <v>855.77178834498841</v>
      </c>
      <c r="X530" s="5">
        <f t="shared" ref="X530:AF530" si="1244">X380</f>
        <v>117.77817754597766</v>
      </c>
      <c r="Y530" s="5">
        <f t="shared" si="1244"/>
        <v>23.765617482495831</v>
      </c>
      <c r="Z530" s="5">
        <f t="shared" si="1244"/>
        <v>29.354133127131231</v>
      </c>
      <c r="AA530" s="5">
        <f t="shared" si="1244"/>
        <v>11.414080674610283</v>
      </c>
      <c r="AB530" s="116">
        <f t="shared" si="1244"/>
        <v>8.3093676869234567</v>
      </c>
      <c r="AC530" s="5">
        <f t="shared" si="1244"/>
        <v>805.85498834498833</v>
      </c>
      <c r="AD530" s="5">
        <f t="shared" si="1244"/>
        <v>1473.7819999999999</v>
      </c>
      <c r="AE530" s="5">
        <f t="shared" si="1244"/>
        <v>187.548</v>
      </c>
      <c r="AF530" s="5">
        <f t="shared" si="1244"/>
        <v>139.8199766899767</v>
      </c>
      <c r="AG530" s="5">
        <f t="shared" ref="AG530:AU530" si="1245">AG380</f>
        <v>359.45599999999996</v>
      </c>
      <c r="AH530" s="5">
        <f t="shared" si="1245"/>
        <v>4.4331181046098473</v>
      </c>
      <c r="AI530" s="5">
        <f t="shared" si="1245"/>
        <v>6.1563985919541269</v>
      </c>
      <c r="AJ530" s="116">
        <f t="shared" si="1245"/>
        <v>0.96653943673894749</v>
      </c>
      <c r="AK530" s="5">
        <f t="shared" si="1245"/>
        <v>384.64000000000004</v>
      </c>
      <c r="AL530" s="5">
        <f t="shared" si="1245"/>
        <v>0.71252278329263463</v>
      </c>
      <c r="AM530" s="5">
        <f t="shared" si="1245"/>
        <v>0.4463429191937735</v>
      </c>
      <c r="AN530" s="5">
        <f t="shared" si="1245"/>
        <v>8.6119941187503386</v>
      </c>
      <c r="AO530" s="5">
        <f t="shared" si="1245"/>
        <v>1.3538613433752378</v>
      </c>
      <c r="AP530" s="5">
        <f t="shared" si="1245"/>
        <v>88.680046620046625</v>
      </c>
      <c r="AQ530" s="5">
        <f t="shared" si="1245"/>
        <v>0.82237506966091989</v>
      </c>
      <c r="AR530" s="5">
        <f t="shared" si="1245"/>
        <v>39.828000000000003</v>
      </c>
      <c r="AS530" s="116">
        <f t="shared" si="1245"/>
        <v>1.2029625507249786</v>
      </c>
      <c r="AT530" s="5">
        <f t="shared" si="1245"/>
        <v>63.917301818181819</v>
      </c>
      <c r="AU530" s="5">
        <f t="shared" si="1245"/>
        <v>76.652301818181826</v>
      </c>
    </row>
    <row r="531" spans="1:70" ht="15">
      <c r="A531" s="154"/>
      <c r="B531" s="1413"/>
      <c r="C531" s="1413"/>
      <c r="D531" s="1413"/>
      <c r="E531" s="1413"/>
      <c r="F531" s="1413"/>
      <c r="G531" s="130" t="s">
        <v>69</v>
      </c>
      <c r="H531" s="131" t="s">
        <v>3068</v>
      </c>
      <c r="I531" s="132">
        <f t="shared" si="1231"/>
        <v>26.672896017275995</v>
      </c>
      <c r="J531" s="132">
        <f t="shared" si="1232"/>
        <v>23.634440691821531</v>
      </c>
      <c r="K531" s="132"/>
      <c r="L531" s="419"/>
      <c r="M531" s="419"/>
      <c r="N531" s="419"/>
      <c r="O531" s="419"/>
      <c r="P531" s="132"/>
      <c r="Q531" s="132">
        <f>Q479</f>
        <v>582.95000000000005</v>
      </c>
      <c r="R531" s="132">
        <f t="shared" ref="R531:W531" si="1246">R479</f>
        <v>155.48965000000001</v>
      </c>
      <c r="S531" s="132">
        <f t="shared" si="1234"/>
        <v>427.46035000000006</v>
      </c>
      <c r="T531" s="132">
        <f t="shared" si="1246"/>
        <v>69.874080000000006</v>
      </c>
      <c r="U531" s="132">
        <f t="shared" si="1246"/>
        <v>16.514350360000002</v>
      </c>
      <c r="V531" s="133">
        <f t="shared" si="1246"/>
        <v>1044.0105000000001</v>
      </c>
      <c r="W531" s="132">
        <f t="shared" si="1246"/>
        <v>791.60430668997674</v>
      </c>
      <c r="X531" s="132">
        <f t="shared" ref="X531:AF531" si="1247">X479</f>
        <v>94.187630078944991</v>
      </c>
      <c r="Y531" s="132">
        <f t="shared" si="1247"/>
        <v>24.82178267825859</v>
      </c>
      <c r="Z531" s="132">
        <f t="shared" si="1247"/>
        <v>33.652552987847798</v>
      </c>
      <c r="AA531" s="132">
        <f t="shared" si="1247"/>
        <v>15.271167549976553</v>
      </c>
      <c r="AB531" s="133">
        <f t="shared" si="1247"/>
        <v>11.209383394174511</v>
      </c>
      <c r="AC531" s="132">
        <f t="shared" si="1247"/>
        <v>720.66257668997673</v>
      </c>
      <c r="AD531" s="132">
        <f t="shared" si="1247"/>
        <v>1227.7835</v>
      </c>
      <c r="AE531" s="132">
        <f t="shared" si="1247"/>
        <v>251.69040000000001</v>
      </c>
      <c r="AF531" s="132">
        <f t="shared" si="1247"/>
        <v>111.35953737995338</v>
      </c>
      <c r="AG531" s="132">
        <f t="shared" ref="AG531:AU531" si="1248">AG479</f>
        <v>350.35218399999997</v>
      </c>
      <c r="AH531" s="132">
        <f t="shared" si="1248"/>
        <v>5.8997925223729561</v>
      </c>
      <c r="AI531" s="132">
        <f t="shared" si="1248"/>
        <v>5.2898380249721466</v>
      </c>
      <c r="AJ531" s="133">
        <f t="shared" si="1248"/>
        <v>0.81902723681122802</v>
      </c>
      <c r="AK531" s="132">
        <f t="shared" si="1248"/>
        <v>377.46308399999998</v>
      </c>
      <c r="AL531" s="132">
        <f t="shared" si="1248"/>
        <v>0.53984041850375497</v>
      </c>
      <c r="AM531" s="132">
        <f t="shared" si="1248"/>
        <v>0.54068090936894886</v>
      </c>
      <c r="AN531" s="132">
        <f t="shared" si="1248"/>
        <v>9.1123921813105007</v>
      </c>
      <c r="AO531" s="132">
        <f t="shared" si="1248"/>
        <v>0.87255446063452247</v>
      </c>
      <c r="AP531" s="132">
        <f t="shared" si="1248"/>
        <v>135.63662724009322</v>
      </c>
      <c r="AQ531" s="132">
        <f t="shared" si="1248"/>
        <v>0.87480930909090915</v>
      </c>
      <c r="AR531" s="132">
        <f t="shared" si="1248"/>
        <v>62.785700000000006</v>
      </c>
      <c r="AS531" s="133">
        <f t="shared" si="1248"/>
        <v>1.4121483719887957</v>
      </c>
      <c r="AT531" s="132">
        <f t="shared" si="1248"/>
        <v>64.412080000000003</v>
      </c>
      <c r="AU531" s="132">
        <f t="shared" si="1248"/>
        <v>69.874080000000006</v>
      </c>
    </row>
    <row r="532" spans="1:70" ht="15">
      <c r="A532" s="154"/>
      <c r="B532" s="1413"/>
      <c r="C532" s="1413"/>
      <c r="D532" s="1413"/>
      <c r="E532" s="1413"/>
      <c r="F532" s="1413"/>
      <c r="G532" s="84" t="s">
        <v>69</v>
      </c>
      <c r="H532" s="174" t="s">
        <v>551</v>
      </c>
      <c r="I532" s="175">
        <f t="shared" ref="I532" si="1249">SUM(I527:I531)/(COUNTIF(I527:I531,"&gt;0.00")+0.00001)</f>
        <v>27.164063991553586</v>
      </c>
      <c r="J532" s="175">
        <f>SUM(J527:J531)/(COUNTIF(J527:J531,"&gt;0.00")+0.00001)</f>
        <v>26.928238255388461</v>
      </c>
      <c r="K532" s="175"/>
      <c r="L532" s="420"/>
      <c r="M532" s="420"/>
      <c r="N532" s="420"/>
      <c r="O532" s="420"/>
      <c r="P532" s="175"/>
      <c r="Q532" s="146">
        <f>SUM(Q527:Q531)/(IF($E$57&gt;0, 1,0)+IF($E$156&gt;0,1,0)+IF($E$255&gt;0,1,0)+IF($E$354&gt;0,1,0)+IF($E$453&gt;0,1)+0.00001)</f>
        <v>569.74886050227906</v>
      </c>
      <c r="R532" s="146">
        <f t="shared" ref="R532:AU532" si="1250">SUM(R527:R531)/(IF($E$57&gt;0, 1,0)+IF($E$156&gt;0,1,0)+IF($E$255&gt;0,1,0)+IF($E$354&gt;0,1,0)+IF($E$453&gt;0,1)+0.00001)</f>
        <v>154.65358069283863</v>
      </c>
      <c r="S532" s="146">
        <f t="shared" si="1250"/>
        <v>415.09527980944046</v>
      </c>
      <c r="T532" s="146">
        <f t="shared" si="1250"/>
        <v>74.441061715279176</v>
      </c>
      <c r="U532" s="146">
        <f t="shared" si="1250"/>
        <v>20.019220290078898</v>
      </c>
      <c r="V532" s="146">
        <f t="shared" si="1250"/>
        <v>1004.6560906878187</v>
      </c>
      <c r="W532" s="146">
        <f t="shared" si="1250"/>
        <v>833.29053377790683</v>
      </c>
      <c r="X532" s="146">
        <f t="shared" si="1250"/>
        <v>112.97595557021199</v>
      </c>
      <c r="Y532" s="146">
        <f t="shared" si="1250"/>
        <v>28.292133489045316</v>
      </c>
      <c r="Z532" s="146">
        <f t="shared" si="1250"/>
        <v>27.899992418839854</v>
      </c>
      <c r="AA532" s="146">
        <f t="shared" si="1250"/>
        <v>15.862112920717568</v>
      </c>
      <c r="AB532" s="146">
        <f t="shared" si="1250"/>
        <v>6.7235465387628741</v>
      </c>
      <c r="AC532" s="146">
        <f t="shared" si="1250"/>
        <v>758.00477834941762</v>
      </c>
      <c r="AD532" s="146">
        <f t="shared" si="1250"/>
        <v>1384.7239305521389</v>
      </c>
      <c r="AE532" s="146">
        <f t="shared" si="1250"/>
        <v>188.05450389099224</v>
      </c>
      <c r="AF532" s="146">
        <f t="shared" si="1250"/>
        <v>130.20260351274169</v>
      </c>
      <c r="AG532" s="146">
        <f t="shared" si="1250"/>
        <v>373.37448845102307</v>
      </c>
      <c r="AH532" s="146">
        <f t="shared" si="1250"/>
        <v>6.7009768200911726</v>
      </c>
      <c r="AI532" s="146">
        <f t="shared" si="1250"/>
        <v>6.1449819574655971</v>
      </c>
      <c r="AJ532" s="146">
        <f t="shared" si="1250"/>
        <v>0.96005458264226706</v>
      </c>
      <c r="AK532" s="146">
        <f t="shared" si="1250"/>
        <v>382.70658978682047</v>
      </c>
      <c r="AL532" s="146">
        <f t="shared" si="1250"/>
        <v>0.73862382865952925</v>
      </c>
      <c r="AM532" s="146">
        <f t="shared" si="1250"/>
        <v>0.52674568486565188</v>
      </c>
      <c r="AN532" s="146">
        <f t="shared" si="1250"/>
        <v>9.8820919212839033</v>
      </c>
      <c r="AO532" s="146">
        <f t="shared" si="1250"/>
        <v>0.99977600145963863</v>
      </c>
      <c r="AP532" s="146">
        <f t="shared" si="1250"/>
        <v>125.42115692178872</v>
      </c>
      <c r="AQ532" s="146">
        <f t="shared" si="1250"/>
        <v>0.74686794928719458</v>
      </c>
      <c r="AR532" s="146">
        <f t="shared" si="1250"/>
        <v>47.216105567788873</v>
      </c>
      <c r="AS532" s="146">
        <f t="shared" si="1250"/>
        <v>1.1948116237150257</v>
      </c>
      <c r="AT532" s="146">
        <f t="shared" si="1250"/>
        <v>66.191277929132468</v>
      </c>
      <c r="AU532" s="146">
        <f t="shared" si="1250"/>
        <v>74.441061715279176</v>
      </c>
    </row>
    <row r="533" spans="1:70" ht="15">
      <c r="A533" s="154"/>
      <c r="B533" s="1413"/>
      <c r="C533" s="1413"/>
      <c r="D533" s="1413"/>
      <c r="E533" s="1413"/>
      <c r="F533" s="1413"/>
      <c r="G533" s="84" t="s">
        <v>69</v>
      </c>
      <c r="H533" s="174"/>
      <c r="Q533" s="1419" t="s">
        <v>552</v>
      </c>
      <c r="R533" s="1419"/>
      <c r="S533" s="1419"/>
      <c r="T533" s="1419"/>
      <c r="U533" s="1419"/>
      <c r="V533" s="1420"/>
      <c r="W533" s="146">
        <f>(W86+W185+W284+W383+W482)/(COUNTIF(W527:W531,"&gt;0.00")+0.00001)</f>
        <v>593.34811972836928</v>
      </c>
      <c r="X533" s="146">
        <f t="shared" ref="X533:AE533" si="1251">(X86+X185+X284+X383+X482)/(COUNTIF(X527:X531,"&gt;0.00")+0.00001)</f>
        <v>79.153308416382799</v>
      </c>
      <c r="Y533" s="146">
        <f t="shared" si="1251"/>
        <v>20.159933986652987</v>
      </c>
      <c r="Z533" s="146">
        <f t="shared" si="1251"/>
        <v>20.632879228711897</v>
      </c>
      <c r="AA533" s="146">
        <f t="shared" si="1251"/>
        <v>11.223835933218707</v>
      </c>
      <c r="AB533" s="137">
        <f t="shared" si="1251"/>
        <v>5.2184296626289699</v>
      </c>
      <c r="AC533" s="146">
        <f t="shared" si="1251"/>
        <v>505.44183879351232</v>
      </c>
      <c r="AD533" s="146">
        <f t="shared" si="1251"/>
        <v>1007.2441037054396</v>
      </c>
      <c r="AE533" s="146">
        <f t="shared" si="1251"/>
        <v>132.17902328323089</v>
      </c>
      <c r="AF533" s="146">
        <f>(AF86+AF185+AF284+AF383+AF482)/(COUNTIF(AF527:AF531,"&gt;0.00")+0.00001)</f>
        <v>93.467331021542208</v>
      </c>
      <c r="AG533" s="146">
        <f t="shared" ref="AG533:AL533" si="1252">(AG86+AG185+AG284+AG383+AG482)/(COUNTIF(AG527:AG531,"&gt;0.00")+0.00001)</f>
        <v>280.13263377917593</v>
      </c>
      <c r="AH533" s="146">
        <f t="shared" si="1252"/>
        <v>4.76244899675625</v>
      </c>
      <c r="AI533" s="146">
        <f t="shared" si="1252"/>
        <v>4.1074739471742578</v>
      </c>
      <c r="AJ533" s="137">
        <f t="shared" si="1252"/>
        <v>0.67005075132819925</v>
      </c>
      <c r="AK533" s="146">
        <f t="shared" si="1252"/>
        <v>295.92301741409199</v>
      </c>
      <c r="AL533" s="146">
        <f t="shared" si="1252"/>
        <v>0.51846520453247957</v>
      </c>
      <c r="AM533" s="146">
        <f>(AM86+AM185+AM284+AM383+AM482)/(COUNTIF(AM527:AM531,"&gt;0.00")+0.00001)</f>
        <v>0.39293298732164378</v>
      </c>
      <c r="AN533" s="146">
        <f t="shared" ref="AN533:AR533" si="1253">(AN86+AN185+AN284+AN383+AN482)/(COUNTIF(AN527:AN531,"&gt;0.00")+0.00001)</f>
        <v>7.0749926680483126</v>
      </c>
      <c r="AO533" s="146">
        <f t="shared" si="1253"/>
        <v>0.73301297667326215</v>
      </c>
      <c r="AP533" s="146">
        <f t="shared" si="1253"/>
        <v>88.721917621882</v>
      </c>
      <c r="AQ533" s="146">
        <f t="shared" si="1253"/>
        <v>0.6206190217128168</v>
      </c>
      <c r="AR533" s="146">
        <f t="shared" si="1253"/>
        <v>34.282479783404995</v>
      </c>
      <c r="AS533" s="137">
        <f>(AS86+AS185+AS284+AS383+AS482)/(COUNTIF(AS527:AS531,"&gt;0.00")+0.00001)</f>
        <v>0.9076124026931417</v>
      </c>
      <c r="AT533" s="176"/>
      <c r="AU533" s="176"/>
    </row>
    <row r="534" spans="1:70" s="106" customFormat="1" ht="15">
      <c r="A534" s="154"/>
      <c r="B534" s="1413"/>
      <c r="C534" s="1413"/>
      <c r="D534" s="1413"/>
      <c r="E534" s="1413"/>
      <c r="F534" s="1413"/>
      <c r="G534" s="84" t="s">
        <v>69</v>
      </c>
      <c r="H534" s="176"/>
      <c r="I534" s="177"/>
      <c r="J534" s="177"/>
      <c r="K534" s="177"/>
      <c r="L534" s="422"/>
      <c r="M534" s="422"/>
      <c r="N534" s="422"/>
      <c r="O534" s="422"/>
      <c r="P534" s="177"/>
      <c r="Q534" s="1419" t="s">
        <v>546</v>
      </c>
      <c r="R534" s="1419"/>
      <c r="S534" s="1419"/>
      <c r="T534" s="1419"/>
      <c r="U534" s="1419"/>
      <c r="V534" s="1420"/>
      <c r="W534" s="146">
        <f>100*W533/W480</f>
        <v>106.6214051623305</v>
      </c>
      <c r="X534" s="146">
        <f t="shared" ref="X534:AE534" si="1254">100*X533/X480</f>
        <v>113.72601783963046</v>
      </c>
      <c r="Y534" s="146">
        <f t="shared" si="1254"/>
        <v>115.86168957846544</v>
      </c>
      <c r="Z534" s="146">
        <f t="shared" si="1254"/>
        <v>110.92945821888117</v>
      </c>
      <c r="AA534" s="146">
        <f t="shared" si="1254"/>
        <v>196.90940233717029</v>
      </c>
      <c r="AB534" s="137">
        <f t="shared" si="1254"/>
        <v>86.973827710482837</v>
      </c>
      <c r="AC534" s="146">
        <f t="shared" si="1254"/>
        <v>122.08740067476143</v>
      </c>
      <c r="AD534" s="146">
        <f t="shared" si="1254"/>
        <v>186.52668587137768</v>
      </c>
      <c r="AE534" s="146">
        <f t="shared" si="1254"/>
        <v>48.955193808604037</v>
      </c>
      <c r="AF534" s="146">
        <f>100*AF533/AF480</f>
        <v>183.26927651282787</v>
      </c>
      <c r="AG534" s="146">
        <f t="shared" ref="AG534" si="1255">100*AG533/AG480</f>
        <v>116.72193074132331</v>
      </c>
      <c r="AH534" s="146">
        <f t="shared" ref="AH534" si="1256">100*AH533/AH480</f>
        <v>158.74829989187501</v>
      </c>
      <c r="AI534" s="146">
        <f t="shared" ref="AI534" si="1257">100*AI533/AI480</f>
        <v>195.59399748448845</v>
      </c>
      <c r="AJ534" s="137">
        <f t="shared" ref="AJ534" si="1258">100*AJ533/AJ480</f>
        <v>178.68020035418647</v>
      </c>
      <c r="AK534" s="146">
        <f t="shared" ref="AK534" si="1259">100*AK533/AK480</f>
        <v>123.30125725587166</v>
      </c>
      <c r="AL534" s="146">
        <f t="shared" ref="AL534" si="1260">100*AL533/AL480</f>
        <v>172.82173484415986</v>
      </c>
      <c r="AM534" s="146">
        <f>100*AM533/AM480</f>
        <v>119.07060221867994</v>
      </c>
      <c r="AN534" s="146">
        <f t="shared" ref="AN534" si="1261">100*AN533/AN480</f>
        <v>196.52757411245312</v>
      </c>
      <c r="AO534" s="146">
        <f t="shared" ref="AO534" si="1262">100*AO533/AO480</f>
        <v>349.05379841583908</v>
      </c>
      <c r="AP534" s="146">
        <f t="shared" ref="AP534" si="1263">100*AP533/AP480</f>
        <v>98.579908468757779</v>
      </c>
      <c r="AQ534" s="146">
        <f t="shared" ref="AQ534" si="1264">100*AQ533/AQ480</f>
        <v>114.92944846533643</v>
      </c>
      <c r="AR534" s="146">
        <f t="shared" ref="AR534" si="1265">100*AR533/AR480</f>
        <v>142.84366576418748</v>
      </c>
      <c r="AS534" s="137">
        <f>100*AS533/AS480</f>
        <v>60.507493512876117</v>
      </c>
      <c r="AT534" s="176"/>
      <c r="AU534" s="176"/>
    </row>
    <row r="535" spans="1:70" ht="15" thickBot="1">
      <c r="A535" s="161"/>
      <c r="B535" s="161"/>
      <c r="C535" s="161"/>
      <c r="D535" s="162"/>
      <c r="E535" s="162"/>
      <c r="F535" s="724"/>
      <c r="G535" s="163"/>
      <c r="H535" s="163"/>
      <c r="I535" s="161"/>
      <c r="J535" s="161"/>
      <c r="K535" s="161"/>
      <c r="L535" s="427"/>
      <c r="M535" s="427"/>
      <c r="N535" s="427"/>
      <c r="O535" s="427"/>
      <c r="P535" s="161"/>
      <c r="Q535" s="161"/>
      <c r="R535" s="161"/>
      <c r="S535" s="161"/>
      <c r="T535" s="161"/>
      <c r="U535" s="161"/>
      <c r="V535" s="161"/>
      <c r="W535" s="164"/>
      <c r="X535" s="164"/>
      <c r="Y535" s="164"/>
      <c r="Z535" s="164"/>
      <c r="AA535" s="164"/>
      <c r="AB535" s="164"/>
      <c r="AC535" s="164"/>
      <c r="AD535" s="164"/>
      <c r="AE535" s="164"/>
      <c r="AF535" s="164"/>
      <c r="AG535" s="164"/>
      <c r="AH535" s="164"/>
      <c r="AI535" s="164"/>
      <c r="AJ535" s="164"/>
      <c r="AK535" s="164"/>
      <c r="AL535" s="164"/>
      <c r="AM535" s="164"/>
      <c r="AN535" s="164"/>
      <c r="AO535" s="164"/>
      <c r="AP535" s="164"/>
      <c r="AQ535" s="164"/>
      <c r="AR535" s="164"/>
      <c r="AS535" s="206"/>
      <c r="AT535" s="161"/>
      <c r="AU535" s="161"/>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row>
    <row r="536" spans="1:70" ht="56">
      <c r="A536" s="156"/>
      <c r="B536" s="156"/>
      <c r="C536" s="156"/>
      <c r="D536" s="111"/>
      <c r="E536" s="111"/>
      <c r="F536" s="725"/>
      <c r="G536" s="1417" t="s">
        <v>1364</v>
      </c>
      <c r="H536" s="1417"/>
      <c r="I536" s="199" t="s">
        <v>562</v>
      </c>
      <c r="J536" s="199" t="s">
        <v>563</v>
      </c>
      <c r="K536" s="199"/>
      <c r="L536" s="428"/>
      <c r="M536" s="428"/>
      <c r="N536" s="428"/>
      <c r="O536" s="428"/>
      <c r="P536" s="199"/>
      <c r="Q536" s="200" t="s">
        <v>384</v>
      </c>
      <c r="R536" s="201" t="s">
        <v>455</v>
      </c>
      <c r="S536" s="201"/>
      <c r="T536" s="201" t="s">
        <v>456</v>
      </c>
      <c r="U536" s="201" t="s">
        <v>535</v>
      </c>
      <c r="V536" s="213" t="s">
        <v>457</v>
      </c>
      <c r="W536" s="201" t="s">
        <v>75</v>
      </c>
      <c r="X536" s="201" t="s">
        <v>385</v>
      </c>
      <c r="Y536" s="201" t="s">
        <v>386</v>
      </c>
      <c r="Z536" s="201" t="s">
        <v>387</v>
      </c>
      <c r="AA536" s="201" t="s">
        <v>388</v>
      </c>
      <c r="AB536" s="213" t="s">
        <v>389</v>
      </c>
      <c r="AC536" s="201" t="s">
        <v>390</v>
      </c>
      <c r="AD536" s="201" t="s">
        <v>391</v>
      </c>
      <c r="AE536" s="201" t="s">
        <v>392</v>
      </c>
      <c r="AF536" s="201" t="s">
        <v>393</v>
      </c>
      <c r="AG536" s="201" t="s">
        <v>394</v>
      </c>
      <c r="AH536" s="201" t="s">
        <v>395</v>
      </c>
      <c r="AI536" s="201" t="s">
        <v>396</v>
      </c>
      <c r="AJ536" s="213" t="s">
        <v>397</v>
      </c>
      <c r="AK536" s="201" t="s">
        <v>398</v>
      </c>
      <c r="AL536" s="201" t="s">
        <v>399</v>
      </c>
      <c r="AM536" s="201" t="s">
        <v>400</v>
      </c>
      <c r="AN536" s="201" t="s">
        <v>401</v>
      </c>
      <c r="AO536" s="201" t="s">
        <v>402</v>
      </c>
      <c r="AP536" s="201" t="s">
        <v>406</v>
      </c>
      <c r="AQ536" s="201" t="s">
        <v>405</v>
      </c>
      <c r="AR536" s="201" t="s">
        <v>403</v>
      </c>
      <c r="AS536" s="202" t="s">
        <v>404</v>
      </c>
      <c r="AT536" s="201" t="s">
        <v>456</v>
      </c>
      <c r="AU536" s="201" t="s">
        <v>456</v>
      </c>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row>
    <row r="537" spans="1:70" ht="15">
      <c r="A537" s="156"/>
      <c r="B537" s="1413" t="s">
        <v>3914</v>
      </c>
      <c r="C537" s="1413"/>
      <c r="D537" s="1413"/>
      <c r="E537" s="1413"/>
      <c r="F537" s="1413"/>
      <c r="G537" s="122" t="s">
        <v>1364</v>
      </c>
      <c r="H537" s="123" t="s">
        <v>3064</v>
      </c>
      <c r="I537" s="5">
        <f t="shared" ref="I537:I540" si="1266">100*R537/(Q537+0.00001)</f>
        <v>0</v>
      </c>
      <c r="J537" s="5">
        <f t="shared" ref="J537:J541" si="1267">100*U537/(T537+0.00001)</f>
        <v>0</v>
      </c>
      <c r="K537" s="5"/>
      <c r="L537" s="337"/>
      <c r="M537" s="337"/>
      <c r="N537" s="337"/>
      <c r="O537" s="337"/>
      <c r="P537" s="5"/>
      <c r="Q537" s="5">
        <f>Q102</f>
        <v>0</v>
      </c>
      <c r="R537" s="5">
        <f t="shared" ref="R537:Y537" si="1268">R102</f>
        <v>0</v>
      </c>
      <c r="S537" s="5">
        <f t="shared" ref="S537:S541" si="1269">Q537-R537</f>
        <v>0</v>
      </c>
      <c r="T537" s="5">
        <f t="shared" si="1268"/>
        <v>0</v>
      </c>
      <c r="U537" s="5">
        <f t="shared" si="1268"/>
        <v>0</v>
      </c>
      <c r="V537" s="116">
        <f t="shared" si="1268"/>
        <v>0</v>
      </c>
      <c r="W537" s="5">
        <f t="shared" si="1268"/>
        <v>0</v>
      </c>
      <c r="X537" s="5">
        <f t="shared" si="1268"/>
        <v>0</v>
      </c>
      <c r="Y537" s="5">
        <f t="shared" si="1268"/>
        <v>0</v>
      </c>
      <c r="Z537" s="5">
        <f t="shared" ref="Z537:AF537" si="1270">Z102</f>
        <v>0</v>
      </c>
      <c r="AA537" s="5">
        <f t="shared" si="1270"/>
        <v>0</v>
      </c>
      <c r="AB537" s="116">
        <f t="shared" si="1270"/>
        <v>0</v>
      </c>
      <c r="AC537" s="5">
        <f t="shared" si="1270"/>
        <v>0</v>
      </c>
      <c r="AD537" s="5">
        <f t="shared" si="1270"/>
        <v>0</v>
      </c>
      <c r="AE537" s="5">
        <f t="shared" si="1270"/>
        <v>0</v>
      </c>
      <c r="AF537" s="5">
        <f t="shared" si="1270"/>
        <v>0</v>
      </c>
      <c r="AG537" s="5">
        <f>AG102</f>
        <v>0</v>
      </c>
      <c r="AH537" s="5">
        <f t="shared" ref="AH537:AP537" si="1271">AH102</f>
        <v>0</v>
      </c>
      <c r="AI537" s="5">
        <f t="shared" si="1271"/>
        <v>0</v>
      </c>
      <c r="AJ537" s="116">
        <f t="shared" si="1271"/>
        <v>0</v>
      </c>
      <c r="AK537" s="5">
        <f t="shared" si="1271"/>
        <v>0</v>
      </c>
      <c r="AL537" s="5">
        <f t="shared" si="1271"/>
        <v>0</v>
      </c>
      <c r="AM537" s="5">
        <f t="shared" si="1271"/>
        <v>0</v>
      </c>
      <c r="AN537" s="5">
        <f t="shared" si="1271"/>
        <v>0</v>
      </c>
      <c r="AO537" s="5">
        <f t="shared" si="1271"/>
        <v>0</v>
      </c>
      <c r="AP537" s="5">
        <f t="shared" si="1271"/>
        <v>0</v>
      </c>
      <c r="AQ537" s="5">
        <f>AQ102</f>
        <v>0</v>
      </c>
      <c r="AR537" s="5">
        <f t="shared" ref="AR537:AU537" si="1272">AR102</f>
        <v>0</v>
      </c>
      <c r="AS537" s="116">
        <f t="shared" si="1272"/>
        <v>0</v>
      </c>
      <c r="AT537" s="5">
        <f t="shared" si="1272"/>
        <v>0</v>
      </c>
      <c r="AU537" s="5">
        <f t="shared" si="1272"/>
        <v>0</v>
      </c>
    </row>
    <row r="538" spans="1:70" ht="15">
      <c r="A538" s="156"/>
      <c r="B538" s="1413"/>
      <c r="C538" s="1413"/>
      <c r="D538" s="1413"/>
      <c r="E538" s="1413"/>
      <c r="F538" s="1413"/>
      <c r="G538" s="124" t="s">
        <v>1364</v>
      </c>
      <c r="H538" s="125" t="s">
        <v>3065</v>
      </c>
      <c r="I538" s="5">
        <f t="shared" si="1266"/>
        <v>0</v>
      </c>
      <c r="J538" s="5">
        <f t="shared" si="1267"/>
        <v>0</v>
      </c>
      <c r="K538" s="5"/>
      <c r="L538" s="337"/>
      <c r="M538" s="337"/>
      <c r="N538" s="337"/>
      <c r="O538" s="337"/>
      <c r="P538" s="5"/>
      <c r="Q538" s="5">
        <f>Q201</f>
        <v>0</v>
      </c>
      <c r="R538" s="5">
        <f t="shared" ref="R538:Y538" si="1273">R201</f>
        <v>0</v>
      </c>
      <c r="S538" s="5">
        <f t="shared" si="1269"/>
        <v>0</v>
      </c>
      <c r="T538" s="5">
        <f t="shared" si="1273"/>
        <v>0</v>
      </c>
      <c r="U538" s="5">
        <f t="shared" si="1273"/>
        <v>0</v>
      </c>
      <c r="V538" s="116">
        <f t="shared" si="1273"/>
        <v>0</v>
      </c>
      <c r="W538" s="5">
        <f t="shared" si="1273"/>
        <v>0</v>
      </c>
      <c r="X538" s="5">
        <f t="shared" si="1273"/>
        <v>0</v>
      </c>
      <c r="Y538" s="5">
        <f t="shared" si="1273"/>
        <v>0</v>
      </c>
      <c r="Z538" s="5">
        <f t="shared" ref="Z538:AF538" si="1274">Z201</f>
        <v>0</v>
      </c>
      <c r="AA538" s="5">
        <f t="shared" si="1274"/>
        <v>0</v>
      </c>
      <c r="AB538" s="116">
        <f t="shared" si="1274"/>
        <v>0</v>
      </c>
      <c r="AC538" s="5">
        <f t="shared" si="1274"/>
        <v>0</v>
      </c>
      <c r="AD538" s="5">
        <f t="shared" si="1274"/>
        <v>0</v>
      </c>
      <c r="AE538" s="5">
        <f t="shared" si="1274"/>
        <v>0</v>
      </c>
      <c r="AF538" s="5">
        <f t="shared" si="1274"/>
        <v>0</v>
      </c>
      <c r="AG538" s="5">
        <f>AG201</f>
        <v>0</v>
      </c>
      <c r="AH538" s="5">
        <f t="shared" ref="AH538:AP538" si="1275">AH201</f>
        <v>0</v>
      </c>
      <c r="AI538" s="5">
        <f t="shared" si="1275"/>
        <v>0</v>
      </c>
      <c r="AJ538" s="116">
        <f t="shared" si="1275"/>
        <v>0</v>
      </c>
      <c r="AK538" s="5">
        <f t="shared" si="1275"/>
        <v>0</v>
      </c>
      <c r="AL538" s="5">
        <f t="shared" si="1275"/>
        <v>0</v>
      </c>
      <c r="AM538" s="5">
        <f t="shared" si="1275"/>
        <v>0</v>
      </c>
      <c r="AN538" s="5">
        <f t="shared" si="1275"/>
        <v>0</v>
      </c>
      <c r="AO538" s="5">
        <f t="shared" si="1275"/>
        <v>0</v>
      </c>
      <c r="AP538" s="5">
        <f t="shared" si="1275"/>
        <v>0</v>
      </c>
      <c r="AQ538" s="5">
        <f>AQ201</f>
        <v>0</v>
      </c>
      <c r="AR538" s="5">
        <f t="shared" ref="AR538:AU538" si="1276">AR201</f>
        <v>0</v>
      </c>
      <c r="AS538" s="116">
        <f t="shared" si="1276"/>
        <v>0</v>
      </c>
      <c r="AT538" s="5">
        <f t="shared" si="1276"/>
        <v>0</v>
      </c>
      <c r="AU538" s="5">
        <f t="shared" si="1276"/>
        <v>0</v>
      </c>
    </row>
    <row r="539" spans="1:70" ht="15">
      <c r="A539" s="156"/>
      <c r="B539" s="1413"/>
      <c r="C539" s="1413"/>
      <c r="D539" s="1413"/>
      <c r="E539" s="1413"/>
      <c r="F539" s="1413"/>
      <c r="G539" s="126" t="s">
        <v>1364</v>
      </c>
      <c r="H539" s="127" t="s">
        <v>3066</v>
      </c>
      <c r="I539" s="5">
        <f t="shared" si="1266"/>
        <v>0</v>
      </c>
      <c r="J539" s="5">
        <f t="shared" si="1267"/>
        <v>0</v>
      </c>
      <c r="K539" s="5"/>
      <c r="L539" s="337"/>
      <c r="M539" s="337"/>
      <c r="N539" s="337"/>
      <c r="O539" s="337"/>
      <c r="P539" s="5"/>
      <c r="Q539" s="5">
        <f>Q300</f>
        <v>0</v>
      </c>
      <c r="R539" s="5">
        <f t="shared" ref="R539:Y539" si="1277">R300</f>
        <v>0</v>
      </c>
      <c r="S539" s="5">
        <f t="shared" si="1269"/>
        <v>0</v>
      </c>
      <c r="T539" s="5">
        <f t="shared" si="1277"/>
        <v>0</v>
      </c>
      <c r="U539" s="5">
        <f t="shared" si="1277"/>
        <v>0</v>
      </c>
      <c r="V539" s="116">
        <f t="shared" si="1277"/>
        <v>0</v>
      </c>
      <c r="W539" s="5">
        <f t="shared" si="1277"/>
        <v>0</v>
      </c>
      <c r="X539" s="5">
        <f t="shared" si="1277"/>
        <v>0</v>
      </c>
      <c r="Y539" s="5">
        <f t="shared" si="1277"/>
        <v>0</v>
      </c>
      <c r="Z539" s="5">
        <f t="shared" ref="Z539:AF539" si="1278">Z300</f>
        <v>0</v>
      </c>
      <c r="AA539" s="5">
        <f t="shared" si="1278"/>
        <v>0</v>
      </c>
      <c r="AB539" s="116">
        <f t="shared" si="1278"/>
        <v>0</v>
      </c>
      <c r="AC539" s="5">
        <f t="shared" si="1278"/>
        <v>0</v>
      </c>
      <c r="AD539" s="5">
        <f t="shared" si="1278"/>
        <v>0</v>
      </c>
      <c r="AE539" s="5">
        <f t="shared" si="1278"/>
        <v>0</v>
      </c>
      <c r="AF539" s="5">
        <f t="shared" si="1278"/>
        <v>0</v>
      </c>
      <c r="AG539" s="5">
        <f>AG300</f>
        <v>0</v>
      </c>
      <c r="AH539" s="5">
        <f t="shared" ref="AH539:AP539" si="1279">AH300</f>
        <v>0</v>
      </c>
      <c r="AI539" s="5">
        <f t="shared" si="1279"/>
        <v>0</v>
      </c>
      <c r="AJ539" s="116">
        <f t="shared" si="1279"/>
        <v>0</v>
      </c>
      <c r="AK539" s="5">
        <f t="shared" si="1279"/>
        <v>0</v>
      </c>
      <c r="AL539" s="5">
        <f t="shared" si="1279"/>
        <v>0</v>
      </c>
      <c r="AM539" s="5">
        <f t="shared" si="1279"/>
        <v>0</v>
      </c>
      <c r="AN539" s="5">
        <f t="shared" si="1279"/>
        <v>0</v>
      </c>
      <c r="AO539" s="5">
        <f t="shared" si="1279"/>
        <v>0</v>
      </c>
      <c r="AP539" s="5">
        <f t="shared" si="1279"/>
        <v>0</v>
      </c>
      <c r="AQ539" s="5">
        <f>AQ300</f>
        <v>0</v>
      </c>
      <c r="AR539" s="5">
        <f t="shared" ref="AR539:AU539" si="1280">AR300</f>
        <v>0</v>
      </c>
      <c r="AS539" s="116">
        <f t="shared" si="1280"/>
        <v>0</v>
      </c>
      <c r="AT539" s="5">
        <f t="shared" si="1280"/>
        <v>0</v>
      </c>
      <c r="AU539" s="5">
        <f t="shared" si="1280"/>
        <v>0</v>
      </c>
    </row>
    <row r="540" spans="1:70" ht="15">
      <c r="A540" s="156"/>
      <c r="B540" s="1413"/>
      <c r="C540" s="1413"/>
      <c r="D540" s="1413"/>
      <c r="E540" s="1413"/>
      <c r="F540" s="1413"/>
      <c r="G540" s="128" t="s">
        <v>1364</v>
      </c>
      <c r="H540" s="129" t="s">
        <v>3067</v>
      </c>
      <c r="I540" s="5">
        <f t="shared" si="1266"/>
        <v>0</v>
      </c>
      <c r="J540" s="5">
        <f t="shared" si="1267"/>
        <v>0</v>
      </c>
      <c r="K540" s="5"/>
      <c r="L540" s="337"/>
      <c r="M540" s="337"/>
      <c r="N540" s="337"/>
      <c r="O540" s="337"/>
      <c r="P540" s="5"/>
      <c r="Q540" s="5">
        <f>Q399</f>
        <v>0</v>
      </c>
      <c r="R540" s="5">
        <f t="shared" ref="R540:Y540" si="1281">R399</f>
        <v>0</v>
      </c>
      <c r="S540" s="5">
        <f t="shared" si="1269"/>
        <v>0</v>
      </c>
      <c r="T540" s="5">
        <f t="shared" si="1281"/>
        <v>0</v>
      </c>
      <c r="U540" s="5">
        <f t="shared" si="1281"/>
        <v>0</v>
      </c>
      <c r="V540" s="116">
        <f t="shared" si="1281"/>
        <v>0</v>
      </c>
      <c r="W540" s="5">
        <f t="shared" si="1281"/>
        <v>0</v>
      </c>
      <c r="X540" s="5">
        <f t="shared" si="1281"/>
        <v>0</v>
      </c>
      <c r="Y540" s="5">
        <f t="shared" si="1281"/>
        <v>0</v>
      </c>
      <c r="Z540" s="5">
        <f t="shared" ref="Z540:AF540" si="1282">Z399</f>
        <v>0</v>
      </c>
      <c r="AA540" s="5">
        <f t="shared" si="1282"/>
        <v>0</v>
      </c>
      <c r="AB540" s="116">
        <f t="shared" si="1282"/>
        <v>0</v>
      </c>
      <c r="AC540" s="5">
        <f t="shared" si="1282"/>
        <v>0</v>
      </c>
      <c r="AD540" s="5">
        <f t="shared" si="1282"/>
        <v>0</v>
      </c>
      <c r="AE540" s="5">
        <f t="shared" si="1282"/>
        <v>0</v>
      </c>
      <c r="AF540" s="5">
        <f t="shared" si="1282"/>
        <v>0</v>
      </c>
      <c r="AG540" s="5">
        <f>AG399</f>
        <v>0</v>
      </c>
      <c r="AH540" s="5">
        <f t="shared" ref="AH540:AP540" si="1283">AH399</f>
        <v>0</v>
      </c>
      <c r="AI540" s="5">
        <f t="shared" si="1283"/>
        <v>0</v>
      </c>
      <c r="AJ540" s="116">
        <f t="shared" si="1283"/>
        <v>0</v>
      </c>
      <c r="AK540" s="5">
        <f t="shared" si="1283"/>
        <v>0</v>
      </c>
      <c r="AL540" s="5">
        <f t="shared" si="1283"/>
        <v>0</v>
      </c>
      <c r="AM540" s="5">
        <f t="shared" si="1283"/>
        <v>0</v>
      </c>
      <c r="AN540" s="5">
        <f t="shared" si="1283"/>
        <v>0</v>
      </c>
      <c r="AO540" s="5">
        <f t="shared" si="1283"/>
        <v>0</v>
      </c>
      <c r="AP540" s="5">
        <f t="shared" si="1283"/>
        <v>0</v>
      </c>
      <c r="AQ540" s="5">
        <f>AQ399</f>
        <v>0</v>
      </c>
      <c r="AR540" s="5">
        <f t="shared" ref="AR540:AU540" si="1284">AR399</f>
        <v>0</v>
      </c>
      <c r="AS540" s="116">
        <f t="shared" si="1284"/>
        <v>0</v>
      </c>
      <c r="AT540" s="5">
        <f t="shared" si="1284"/>
        <v>0</v>
      </c>
      <c r="AU540" s="5">
        <f t="shared" si="1284"/>
        <v>0</v>
      </c>
    </row>
    <row r="541" spans="1:70" ht="15">
      <c r="A541" s="156"/>
      <c r="B541" s="1413"/>
      <c r="C541" s="1413"/>
      <c r="D541" s="1413"/>
      <c r="E541" s="1413"/>
      <c r="F541" s="1413"/>
      <c r="G541" s="130" t="s">
        <v>1364</v>
      </c>
      <c r="H541" s="131" t="s">
        <v>3068</v>
      </c>
      <c r="I541" s="132">
        <f>100*R541/(Q541+0.00001)</f>
        <v>0</v>
      </c>
      <c r="J541" s="132">
        <f t="shared" si="1267"/>
        <v>0</v>
      </c>
      <c r="K541" s="132"/>
      <c r="L541" s="419"/>
      <c r="M541" s="419"/>
      <c r="N541" s="419"/>
      <c r="O541" s="419"/>
      <c r="P541" s="132"/>
      <c r="Q541" s="132">
        <f>Q498</f>
        <v>0</v>
      </c>
      <c r="R541" s="132">
        <f t="shared" ref="R541:Y541" si="1285">R498</f>
        <v>0</v>
      </c>
      <c r="S541" s="132">
        <f t="shared" si="1269"/>
        <v>0</v>
      </c>
      <c r="T541" s="132">
        <f t="shared" si="1285"/>
        <v>0</v>
      </c>
      <c r="U541" s="132">
        <f t="shared" si="1285"/>
        <v>0</v>
      </c>
      <c r="V541" s="133">
        <f t="shared" si="1285"/>
        <v>0</v>
      </c>
      <c r="W541" s="132">
        <f t="shared" si="1285"/>
        <v>0</v>
      </c>
      <c r="X541" s="132">
        <f t="shared" si="1285"/>
        <v>0</v>
      </c>
      <c r="Y541" s="132">
        <f t="shared" si="1285"/>
        <v>0</v>
      </c>
      <c r="Z541" s="132">
        <f t="shared" ref="Z541:AF541" si="1286">Z498</f>
        <v>0</v>
      </c>
      <c r="AA541" s="132">
        <f t="shared" si="1286"/>
        <v>0</v>
      </c>
      <c r="AB541" s="133">
        <f t="shared" si="1286"/>
        <v>0</v>
      </c>
      <c r="AC541" s="132">
        <f t="shared" si="1286"/>
        <v>0</v>
      </c>
      <c r="AD541" s="132">
        <f t="shared" si="1286"/>
        <v>0</v>
      </c>
      <c r="AE541" s="132">
        <f t="shared" si="1286"/>
        <v>0</v>
      </c>
      <c r="AF541" s="132">
        <f t="shared" si="1286"/>
        <v>0</v>
      </c>
      <c r="AG541" s="132">
        <f>AG498</f>
        <v>0</v>
      </c>
      <c r="AH541" s="132">
        <f t="shared" ref="AH541:AP541" si="1287">AH498</f>
        <v>0</v>
      </c>
      <c r="AI541" s="132">
        <f t="shared" si="1287"/>
        <v>0</v>
      </c>
      <c r="AJ541" s="133">
        <f t="shared" si="1287"/>
        <v>0</v>
      </c>
      <c r="AK541" s="132">
        <f t="shared" si="1287"/>
        <v>0</v>
      </c>
      <c r="AL541" s="132">
        <f t="shared" si="1287"/>
        <v>0</v>
      </c>
      <c r="AM541" s="132">
        <f t="shared" si="1287"/>
        <v>0</v>
      </c>
      <c r="AN541" s="132">
        <f t="shared" si="1287"/>
        <v>0</v>
      </c>
      <c r="AO541" s="132">
        <f t="shared" si="1287"/>
        <v>0</v>
      </c>
      <c r="AP541" s="132">
        <f t="shared" si="1287"/>
        <v>0</v>
      </c>
      <c r="AQ541" s="132">
        <f>AQ498</f>
        <v>0</v>
      </c>
      <c r="AR541" s="132">
        <f t="shared" ref="AR541:AU541" si="1288">AR498</f>
        <v>0</v>
      </c>
      <c r="AS541" s="133">
        <f t="shared" si="1288"/>
        <v>0</v>
      </c>
      <c r="AT541" s="132">
        <f t="shared" si="1288"/>
        <v>0</v>
      </c>
      <c r="AU541" s="132">
        <f t="shared" si="1288"/>
        <v>0</v>
      </c>
    </row>
    <row r="542" spans="1:70" ht="15">
      <c r="A542" s="156"/>
      <c r="B542" s="1413"/>
      <c r="C542" s="1413"/>
      <c r="D542" s="1413"/>
      <c r="E542" s="1413"/>
      <c r="F542" s="1413"/>
      <c r="G542" s="84" t="s">
        <v>1364</v>
      </c>
      <c r="H542" s="174" t="s">
        <v>551</v>
      </c>
      <c r="I542" s="175">
        <f t="shared" ref="I542:J542" si="1289">SUM(I537:I541)/(COUNTIF(I537:I541,"&gt;0.00")+0.00001)</f>
        <v>0</v>
      </c>
      <c r="J542" s="175">
        <f t="shared" si="1289"/>
        <v>0</v>
      </c>
      <c r="K542" s="175"/>
      <c r="L542" s="420"/>
      <c r="M542" s="420"/>
      <c r="N542" s="420"/>
      <c r="O542" s="420"/>
      <c r="P542" s="175"/>
      <c r="Q542" s="146">
        <f>SUM(Q537:Q541)/(IF($E$89&gt;0, 1,0)+IF($E$188&gt;0,1,0)+IF($E$287&gt;0,1,0)+IF($E$386&gt;0,1,0)+IF($E$485&gt;0,1)+0.00001)</f>
        <v>0</v>
      </c>
      <c r="R542" s="146">
        <f t="shared" ref="R542:AU542" si="1290">SUM(R537:R541)/(IF($E$89&gt;0, 1,0)+IF($E$188&gt;0,1,0)+IF($E$287&gt;0,1,0)+IF($E$386&gt;0,1,0)+IF($E$485&gt;0,1)+0.00001)</f>
        <v>0</v>
      </c>
      <c r="S542" s="146">
        <f t="shared" si="1290"/>
        <v>0</v>
      </c>
      <c r="T542" s="146">
        <f t="shared" si="1290"/>
        <v>0</v>
      </c>
      <c r="U542" s="146">
        <f t="shared" si="1290"/>
        <v>0</v>
      </c>
      <c r="V542" s="146">
        <f t="shared" si="1290"/>
        <v>0</v>
      </c>
      <c r="W542" s="146">
        <f t="shared" si="1290"/>
        <v>0</v>
      </c>
      <c r="X542" s="146">
        <f t="shared" si="1290"/>
        <v>0</v>
      </c>
      <c r="Y542" s="146">
        <f t="shared" si="1290"/>
        <v>0</v>
      </c>
      <c r="Z542" s="146">
        <f t="shared" si="1290"/>
        <v>0</v>
      </c>
      <c r="AA542" s="146">
        <f t="shared" si="1290"/>
        <v>0</v>
      </c>
      <c r="AB542" s="146">
        <f t="shared" si="1290"/>
        <v>0</v>
      </c>
      <c r="AC542" s="146">
        <f t="shared" si="1290"/>
        <v>0</v>
      </c>
      <c r="AD542" s="146">
        <f t="shared" si="1290"/>
        <v>0</v>
      </c>
      <c r="AE542" s="146">
        <f t="shared" si="1290"/>
        <v>0</v>
      </c>
      <c r="AF542" s="146">
        <f t="shared" si="1290"/>
        <v>0</v>
      </c>
      <c r="AG542" s="146">
        <f t="shared" si="1290"/>
        <v>0</v>
      </c>
      <c r="AH542" s="146">
        <f t="shared" si="1290"/>
        <v>0</v>
      </c>
      <c r="AI542" s="146">
        <f t="shared" si="1290"/>
        <v>0</v>
      </c>
      <c r="AJ542" s="146">
        <f t="shared" si="1290"/>
        <v>0</v>
      </c>
      <c r="AK542" s="146">
        <f t="shared" si="1290"/>
        <v>0</v>
      </c>
      <c r="AL542" s="146">
        <f t="shared" si="1290"/>
        <v>0</v>
      </c>
      <c r="AM542" s="146">
        <f t="shared" si="1290"/>
        <v>0</v>
      </c>
      <c r="AN542" s="146">
        <f t="shared" si="1290"/>
        <v>0</v>
      </c>
      <c r="AO542" s="146">
        <f t="shared" si="1290"/>
        <v>0</v>
      </c>
      <c r="AP542" s="146">
        <f t="shared" si="1290"/>
        <v>0</v>
      </c>
      <c r="AQ542" s="146">
        <f t="shared" si="1290"/>
        <v>0</v>
      </c>
      <c r="AR542" s="146">
        <f t="shared" si="1290"/>
        <v>0</v>
      </c>
      <c r="AS542" s="146">
        <f t="shared" si="1290"/>
        <v>0</v>
      </c>
      <c r="AT542" s="146">
        <f t="shared" si="1290"/>
        <v>0</v>
      </c>
      <c r="AU542" s="146">
        <f t="shared" si="1290"/>
        <v>0</v>
      </c>
    </row>
    <row r="543" spans="1:70" ht="15">
      <c r="A543" s="156"/>
      <c r="B543" s="1413"/>
      <c r="C543" s="1413"/>
      <c r="D543" s="1413"/>
      <c r="E543" s="1413"/>
      <c r="F543" s="1413"/>
      <c r="G543" s="84" t="s">
        <v>1364</v>
      </c>
      <c r="H543" s="174"/>
      <c r="Q543" s="1419" t="s">
        <v>552</v>
      </c>
      <c r="R543" s="1419"/>
      <c r="S543" s="1419"/>
      <c r="T543" s="1419"/>
      <c r="U543" s="1419"/>
      <c r="V543" s="1420"/>
      <c r="W543" s="146">
        <f>(W105+W204+W303+W402+W501)/(COUNTIF(W537:W541,"&gt;0.00")+0.00001)</f>
        <v>0</v>
      </c>
      <c r="X543" s="146">
        <f t="shared" ref="X543:AS543" si="1291">(X105+X204+X303+X402+X501)/(COUNTIF(X537:X541,"&gt;0.00")+0.00001)</f>
        <v>0</v>
      </c>
      <c r="Y543" s="146">
        <f t="shared" si="1291"/>
        <v>0</v>
      </c>
      <c r="Z543" s="146">
        <f t="shared" si="1291"/>
        <v>0</v>
      </c>
      <c r="AA543" s="146">
        <f t="shared" si="1291"/>
        <v>0</v>
      </c>
      <c r="AB543" s="137">
        <f t="shared" si="1291"/>
        <v>0</v>
      </c>
      <c r="AC543" s="146">
        <f t="shared" si="1291"/>
        <v>0</v>
      </c>
      <c r="AD543" s="146">
        <f t="shared" si="1291"/>
        <v>0</v>
      </c>
      <c r="AE543" s="146">
        <f t="shared" si="1291"/>
        <v>0</v>
      </c>
      <c r="AF543" s="146">
        <f t="shared" si="1291"/>
        <v>0</v>
      </c>
      <c r="AG543" s="146">
        <f t="shared" si="1291"/>
        <v>0</v>
      </c>
      <c r="AH543" s="146">
        <f t="shared" si="1291"/>
        <v>0</v>
      </c>
      <c r="AI543" s="146">
        <f t="shared" si="1291"/>
        <v>0</v>
      </c>
      <c r="AJ543" s="137">
        <f t="shared" si="1291"/>
        <v>0</v>
      </c>
      <c r="AK543" s="146">
        <f t="shared" si="1291"/>
        <v>0</v>
      </c>
      <c r="AL543" s="146">
        <f t="shared" si="1291"/>
        <v>0</v>
      </c>
      <c r="AM543" s="146">
        <f t="shared" si="1291"/>
        <v>0</v>
      </c>
      <c r="AN543" s="146">
        <f t="shared" si="1291"/>
        <v>0</v>
      </c>
      <c r="AO543" s="146">
        <f t="shared" si="1291"/>
        <v>0</v>
      </c>
      <c r="AP543" s="146">
        <f t="shared" si="1291"/>
        <v>0</v>
      </c>
      <c r="AQ543" s="146">
        <f t="shared" si="1291"/>
        <v>0</v>
      </c>
      <c r="AR543" s="146">
        <f t="shared" si="1291"/>
        <v>0</v>
      </c>
      <c r="AS543" s="137">
        <f t="shared" si="1291"/>
        <v>0</v>
      </c>
      <c r="AT543" s="176"/>
      <c r="AU543" s="176"/>
    </row>
    <row r="544" spans="1:70" s="106" customFormat="1" ht="15">
      <c r="A544" s="156"/>
      <c r="B544" s="1413"/>
      <c r="C544" s="1413"/>
      <c r="D544" s="1413"/>
      <c r="E544" s="1413"/>
      <c r="F544" s="1413"/>
      <c r="G544" s="84" t="s">
        <v>1364</v>
      </c>
      <c r="H544" s="176"/>
      <c r="I544"/>
      <c r="J544"/>
      <c r="K544"/>
      <c r="L544" s="421"/>
      <c r="M544" s="421"/>
      <c r="N544" s="421"/>
      <c r="O544" s="421"/>
      <c r="P544" s="380"/>
      <c r="Q544" s="1419" t="s">
        <v>546</v>
      </c>
      <c r="R544" s="1419"/>
      <c r="S544" s="1419"/>
      <c r="T544" s="1419"/>
      <c r="U544" s="1419"/>
      <c r="V544" s="1420"/>
      <c r="W544" s="146">
        <f>100*W543/W499</f>
        <v>0</v>
      </c>
      <c r="X544" s="146">
        <f t="shared" ref="X544:AS544" si="1292">100*X543/X499</f>
        <v>0</v>
      </c>
      <c r="Y544" s="146">
        <f t="shared" si="1292"/>
        <v>0</v>
      </c>
      <c r="Z544" s="146">
        <f t="shared" si="1292"/>
        <v>0</v>
      </c>
      <c r="AA544" s="146">
        <f t="shared" si="1292"/>
        <v>0</v>
      </c>
      <c r="AB544" s="137">
        <f t="shared" si="1292"/>
        <v>0</v>
      </c>
      <c r="AC544" s="146">
        <f t="shared" si="1292"/>
        <v>0</v>
      </c>
      <c r="AD544" s="146">
        <f t="shared" si="1292"/>
        <v>0</v>
      </c>
      <c r="AE544" s="146">
        <f t="shared" si="1292"/>
        <v>0</v>
      </c>
      <c r="AF544" s="146">
        <f t="shared" si="1292"/>
        <v>0</v>
      </c>
      <c r="AG544" s="146">
        <f t="shared" si="1292"/>
        <v>0</v>
      </c>
      <c r="AH544" s="146">
        <f t="shared" si="1292"/>
        <v>0</v>
      </c>
      <c r="AI544" s="146">
        <f t="shared" si="1292"/>
        <v>0</v>
      </c>
      <c r="AJ544" s="137">
        <f t="shared" si="1292"/>
        <v>0</v>
      </c>
      <c r="AK544" s="146">
        <f t="shared" si="1292"/>
        <v>0</v>
      </c>
      <c r="AL544" s="146">
        <f t="shared" si="1292"/>
        <v>0</v>
      </c>
      <c r="AM544" s="146">
        <f t="shared" si="1292"/>
        <v>0</v>
      </c>
      <c r="AN544" s="146">
        <f t="shared" si="1292"/>
        <v>0</v>
      </c>
      <c r="AO544" s="146">
        <f t="shared" si="1292"/>
        <v>0</v>
      </c>
      <c r="AP544" s="146">
        <f t="shared" si="1292"/>
        <v>0</v>
      </c>
      <c r="AQ544" s="146">
        <f t="shared" si="1292"/>
        <v>0</v>
      </c>
      <c r="AR544" s="146">
        <f t="shared" si="1292"/>
        <v>0</v>
      </c>
      <c r="AS544" s="137">
        <f t="shared" si="1292"/>
        <v>0</v>
      </c>
      <c r="AT544" s="176"/>
      <c r="AU544" s="176"/>
    </row>
    <row r="545" spans="1:70" ht="15" thickBot="1">
      <c r="A545" s="157"/>
      <c r="B545" s="157"/>
      <c r="C545" s="157"/>
      <c r="D545" s="158"/>
      <c r="E545" s="158"/>
      <c r="F545" s="726"/>
      <c r="G545" s="159"/>
      <c r="H545" s="159"/>
      <c r="I545" s="214"/>
      <c r="J545" s="214"/>
      <c r="K545" s="214"/>
      <c r="L545" s="429"/>
      <c r="M545" s="429"/>
      <c r="N545" s="429"/>
      <c r="O545" s="429"/>
      <c r="P545" s="214"/>
      <c r="Q545" s="157"/>
      <c r="R545" s="157"/>
      <c r="S545" s="157"/>
      <c r="T545" s="157"/>
      <c r="U545" s="157"/>
      <c r="V545" s="157"/>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207"/>
      <c r="AT545" s="157"/>
      <c r="AU545" s="157"/>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row>
    <row r="546" spans="1:70" s="106" customFormat="1" ht="44" customHeight="1">
      <c r="A546" s="216"/>
      <c r="B546" s="216"/>
      <c r="C546" s="216"/>
      <c r="D546" s="217"/>
      <c r="E546" s="217"/>
      <c r="F546" s="727"/>
      <c r="G546" s="1418" t="s">
        <v>3778</v>
      </c>
      <c r="H546" s="1418"/>
      <c r="I546" s="259" t="s">
        <v>562</v>
      </c>
      <c r="J546" s="392" t="s">
        <v>563</v>
      </c>
      <c r="K546" s="281"/>
      <c r="L546" s="430"/>
      <c r="M546" s="430"/>
      <c r="N546" s="430"/>
      <c r="O546" s="430"/>
      <c r="P546" s="281"/>
      <c r="Q546" s="218" t="s">
        <v>384</v>
      </c>
      <c r="R546" s="219" t="s">
        <v>455</v>
      </c>
      <c r="S546" s="219"/>
      <c r="T546" s="219" t="s">
        <v>456</v>
      </c>
      <c r="U546" s="219" t="s">
        <v>535</v>
      </c>
      <c r="V546" s="220" t="s">
        <v>457</v>
      </c>
      <c r="W546" s="219" t="s">
        <v>75</v>
      </c>
      <c r="X546" s="219" t="s">
        <v>385</v>
      </c>
      <c r="Y546" s="219" t="s">
        <v>386</v>
      </c>
      <c r="Z546" s="219" t="s">
        <v>387</v>
      </c>
      <c r="AA546" s="219" t="s">
        <v>388</v>
      </c>
      <c r="AB546" s="221" t="s">
        <v>389</v>
      </c>
      <c r="AC546" s="219" t="s">
        <v>390</v>
      </c>
      <c r="AD546" s="219" t="s">
        <v>391</v>
      </c>
      <c r="AE546" s="219" t="s">
        <v>392</v>
      </c>
      <c r="AF546" s="219" t="s">
        <v>393</v>
      </c>
      <c r="AG546" s="219" t="s">
        <v>394</v>
      </c>
      <c r="AH546" s="219" t="s">
        <v>395</v>
      </c>
      <c r="AI546" s="219" t="s">
        <v>396</v>
      </c>
      <c r="AJ546" s="222" t="s">
        <v>397</v>
      </c>
      <c r="AK546" s="219" t="s">
        <v>398</v>
      </c>
      <c r="AL546" s="219" t="s">
        <v>399</v>
      </c>
      <c r="AM546" s="219" t="s">
        <v>400</v>
      </c>
      <c r="AN546" s="219" t="s">
        <v>401</v>
      </c>
      <c r="AO546" s="219" t="s">
        <v>402</v>
      </c>
      <c r="AP546" s="219" t="s">
        <v>406</v>
      </c>
      <c r="AQ546" s="219" t="s">
        <v>405</v>
      </c>
      <c r="AR546" s="219" t="s">
        <v>403</v>
      </c>
      <c r="AS546" s="220" t="s">
        <v>404</v>
      </c>
      <c r="AT546" s="219" t="s">
        <v>456</v>
      </c>
      <c r="AU546" s="219" t="s">
        <v>456</v>
      </c>
    </row>
    <row r="547" spans="1:70" ht="15">
      <c r="A547" s="216"/>
      <c r="B547" s="1413" t="s">
        <v>3915</v>
      </c>
      <c r="C547" s="1413"/>
      <c r="D547" s="1413"/>
      <c r="E547" s="1413"/>
      <c r="F547" s="1413"/>
      <c r="G547" s="122" t="s">
        <v>3778</v>
      </c>
      <c r="H547" s="123" t="s">
        <v>3064</v>
      </c>
      <c r="I547" s="256">
        <f>100*R547/(Q547+0.00001)</f>
        <v>24.60675907531639</v>
      </c>
      <c r="J547" s="97">
        <f>100*U547/(T547+0.00001)</f>
        <v>26.337025751386836</v>
      </c>
      <c r="K547" s="97"/>
      <c r="L547" s="98"/>
      <c r="M547" s="98"/>
      <c r="N547" s="98"/>
      <c r="O547" s="98"/>
      <c r="P547" s="97"/>
      <c r="Q547" s="5">
        <f>Q507+Q517+Q527+Q537</f>
        <v>884.7</v>
      </c>
      <c r="R547" s="5">
        <f t="shared" ref="Q547:W548" si="1293">R507+R517+R527+R537</f>
        <v>217.69600000000003</v>
      </c>
      <c r="S547" s="5">
        <f t="shared" ref="S547:S551" si="1294">Q547-R547</f>
        <v>667.00400000000002</v>
      </c>
      <c r="T547" s="5">
        <f t="shared" si="1293"/>
        <v>126.89335</v>
      </c>
      <c r="U547" s="5">
        <f>U507+U517+U527+U537</f>
        <v>33.419936900000003</v>
      </c>
      <c r="V547" s="5">
        <f>V507+V517+V527+V537</f>
        <v>1262.944</v>
      </c>
      <c r="W547" s="5">
        <f t="shared" si="1293"/>
        <v>1168.7228250349649</v>
      </c>
      <c r="X547" s="5">
        <f t="shared" ref="X547:AU551" si="1295">X507+X517+X527+X537</f>
        <v>156.18715893711638</v>
      </c>
      <c r="Y547" s="5">
        <f t="shared" si="1295"/>
        <v>45.009290831742192</v>
      </c>
      <c r="Z547" s="5">
        <f t="shared" si="1295"/>
        <v>38.274943576127448</v>
      </c>
      <c r="AA547" s="5">
        <f t="shared" si="1295"/>
        <v>21.540816624838833</v>
      </c>
      <c r="AB547" s="228">
        <f t="shared" si="1295"/>
        <v>9.3154851987982035</v>
      </c>
      <c r="AC547" s="5">
        <f t="shared" si="1295"/>
        <v>1554.279965034965</v>
      </c>
      <c r="AD547" s="5">
        <f t="shared" si="1295"/>
        <v>1984.8160000000003</v>
      </c>
      <c r="AE547" s="5">
        <f t="shared" si="1295"/>
        <v>374.47699999999998</v>
      </c>
      <c r="AF547" s="5">
        <f t="shared" si="1295"/>
        <v>185.69855506993005</v>
      </c>
      <c r="AG547" s="5">
        <f t="shared" si="1295"/>
        <v>681.46699999999998</v>
      </c>
      <c r="AH547" s="5">
        <f t="shared" si="1295"/>
        <v>8.8756669935552353</v>
      </c>
      <c r="AI547" s="5">
        <f t="shared" si="1295"/>
        <v>9.1307888597411839</v>
      </c>
      <c r="AJ547" s="228">
        <f t="shared" si="1295"/>
        <v>1.3645106152028363</v>
      </c>
      <c r="AK547" s="5">
        <f t="shared" si="1295"/>
        <v>492.46899999999999</v>
      </c>
      <c r="AL547" s="5">
        <f t="shared" si="1295"/>
        <v>0.94729914627655631</v>
      </c>
      <c r="AM547" s="5">
        <f t="shared" si="1295"/>
        <v>0.78877158107590617</v>
      </c>
      <c r="AN547" s="5">
        <f t="shared" si="1295"/>
        <v>17.822007986654871</v>
      </c>
      <c r="AO547" s="5">
        <f t="shared" si="1295"/>
        <v>1.32126076393503</v>
      </c>
      <c r="AP547" s="5">
        <f t="shared" si="1295"/>
        <v>166.48513986013984</v>
      </c>
      <c r="AQ547" s="5">
        <f t="shared" si="1295"/>
        <v>1.1101063636363637</v>
      </c>
      <c r="AR547" s="5">
        <f t="shared" si="1295"/>
        <v>70.512</v>
      </c>
      <c r="AS547" s="228">
        <f t="shared" si="1295"/>
        <v>1.4283999719887954</v>
      </c>
      <c r="AT547" s="5">
        <f t="shared" si="1295"/>
        <v>114.28335000000001</v>
      </c>
      <c r="AU547" s="5">
        <f t="shared" si="1295"/>
        <v>126.89335</v>
      </c>
    </row>
    <row r="548" spans="1:70" ht="15">
      <c r="A548" s="216"/>
      <c r="B548" s="1413"/>
      <c r="C548" s="1413"/>
      <c r="D548" s="1413"/>
      <c r="E548" s="1413"/>
      <c r="F548" s="1413"/>
      <c r="G548" s="124" t="s">
        <v>3778</v>
      </c>
      <c r="H548" s="125" t="s">
        <v>3065</v>
      </c>
      <c r="I548" s="256">
        <f>100*R548/(Q548+0.00001)</f>
        <v>21.743054815897466</v>
      </c>
      <c r="J548" s="97">
        <f t="shared" ref="J548:J551" si="1296">100*U548/(T548+0.00001)</f>
        <v>14.355715284516759</v>
      </c>
      <c r="K548" s="97"/>
      <c r="L548" s="98"/>
      <c r="M548" s="98"/>
      <c r="N548" s="98"/>
      <c r="O548" s="98"/>
      <c r="P548" s="97"/>
      <c r="Q548" s="5">
        <f t="shared" si="1293"/>
        <v>594.4</v>
      </c>
      <c r="R548" s="5">
        <f t="shared" si="1293"/>
        <v>129.24072000000001</v>
      </c>
      <c r="S548" s="5">
        <f t="shared" si="1294"/>
        <v>465.15927999999997</v>
      </c>
      <c r="T548" s="5">
        <f t="shared" si="1293"/>
        <v>125.24864259740259</v>
      </c>
      <c r="U548" s="5">
        <f t="shared" si="1293"/>
        <v>17.980339964576622</v>
      </c>
      <c r="V548" s="5">
        <f t="shared" si="1293"/>
        <v>1254.23</v>
      </c>
      <c r="W548" s="5">
        <f t="shared" si="1293"/>
        <v>1039.551305034965</v>
      </c>
      <c r="X548" s="5">
        <f t="shared" ref="X548:AS548" si="1297">X508+X518+X528+X538</f>
        <v>157.52708935859991</v>
      </c>
      <c r="Y548" s="5">
        <f t="shared" si="1297"/>
        <v>35.441551040731525</v>
      </c>
      <c r="Z548" s="5">
        <f t="shared" si="1297"/>
        <v>27.421929759660344</v>
      </c>
      <c r="AA548" s="5">
        <f t="shared" si="1297"/>
        <v>13.027966825174826</v>
      </c>
      <c r="AB548" s="116">
        <f t="shared" si="1297"/>
        <v>4.5290797332996684</v>
      </c>
      <c r="AC548" s="5">
        <f t="shared" si="1297"/>
        <v>859.16576503496492</v>
      </c>
      <c r="AD548" s="5">
        <f t="shared" si="1297"/>
        <v>1179.5387999999998</v>
      </c>
      <c r="AE548" s="5">
        <f t="shared" si="1297"/>
        <v>141.9228</v>
      </c>
      <c r="AF548" s="5">
        <f t="shared" si="1297"/>
        <v>103.44172206993008</v>
      </c>
      <c r="AG548" s="5">
        <f t="shared" si="1297"/>
        <v>306.41279199999991</v>
      </c>
      <c r="AH548" s="5">
        <f t="shared" si="1297"/>
        <v>5.0026292006417403</v>
      </c>
      <c r="AI548" s="5">
        <f t="shared" si="1297"/>
        <v>5.2172156905500318</v>
      </c>
      <c r="AJ548" s="116">
        <f t="shared" si="1297"/>
        <v>0.65472034155426662</v>
      </c>
      <c r="AK548" s="5">
        <f t="shared" si="1297"/>
        <v>386.80679199999997</v>
      </c>
      <c r="AL548" s="5">
        <f t="shared" si="1297"/>
        <v>0.91156576654457111</v>
      </c>
      <c r="AM548" s="5">
        <f t="shared" si="1297"/>
        <v>0.61412557818377489</v>
      </c>
      <c r="AN548" s="5">
        <f t="shared" si="1297"/>
        <v>8.5621118096206885</v>
      </c>
      <c r="AO548" s="5">
        <f t="shared" si="1297"/>
        <v>0.70843043012041018</v>
      </c>
      <c r="AP548" s="5">
        <f t="shared" si="1297"/>
        <v>119.09693186013988</v>
      </c>
      <c r="AQ548" s="5">
        <f t="shared" si="1297"/>
        <v>1.0474755636363635</v>
      </c>
      <c r="AR548" s="5">
        <f t="shared" si="1297"/>
        <v>29.675799999999999</v>
      </c>
      <c r="AS548" s="116">
        <f t="shared" si="1297"/>
        <v>2.1091491719887956</v>
      </c>
      <c r="AT548" s="5">
        <f t="shared" si="1295"/>
        <v>120.93864259740261</v>
      </c>
      <c r="AU548" s="5">
        <f t="shared" si="1295"/>
        <v>125.24864259740259</v>
      </c>
    </row>
    <row r="549" spans="1:70" ht="15">
      <c r="A549" s="216"/>
      <c r="B549" s="1413"/>
      <c r="C549" s="1413"/>
      <c r="D549" s="1413"/>
      <c r="E549" s="1413"/>
      <c r="F549" s="1413"/>
      <c r="G549" s="126" t="s">
        <v>3778</v>
      </c>
      <c r="H549" s="127" t="s">
        <v>3066</v>
      </c>
      <c r="I549" s="256">
        <f t="shared" ref="I549:I551" si="1298">100*R549/(Q549+0.00001)</f>
        <v>22.574352341257615</v>
      </c>
      <c r="J549" s="97">
        <f t="shared" si="1296"/>
        <v>23.357919728448209</v>
      </c>
      <c r="K549" s="97"/>
      <c r="L549" s="98"/>
      <c r="M549" s="98"/>
      <c r="N549" s="98"/>
      <c r="O549" s="98"/>
      <c r="P549" s="97"/>
      <c r="Q549" s="5">
        <f t="shared" ref="Q549:R550" si="1299">Q509+Q519+Q529+Q539</f>
        <v>768.5</v>
      </c>
      <c r="R549" s="5">
        <f t="shared" si="1299"/>
        <v>173.48390000000001</v>
      </c>
      <c r="S549" s="5">
        <f t="shared" si="1294"/>
        <v>595.01610000000005</v>
      </c>
      <c r="T549" s="5">
        <f t="shared" ref="T549:U549" si="1300">T509+T519+T529+T539</f>
        <v>120.0372857142857</v>
      </c>
      <c r="U549" s="5">
        <f t="shared" si="1300"/>
        <v>28.038215177142856</v>
      </c>
      <c r="V549" s="5">
        <f>V509+V519+V529+V539</f>
        <v>1337.23</v>
      </c>
      <c r="W549" s="5">
        <f>W509+W519+W529+W539</f>
        <v>1353.9482766899766</v>
      </c>
      <c r="X549" s="5">
        <f t="shared" ref="X549:AS549" si="1301">X509+X519+X529+X539</f>
        <v>148.07297668997668</v>
      </c>
      <c r="Y549" s="5">
        <f t="shared" si="1301"/>
        <v>51.694333333333333</v>
      </c>
      <c r="Z549" s="5">
        <f t="shared" si="1301"/>
        <v>60.221289976689974</v>
      </c>
      <c r="AA549" s="5">
        <f t="shared" si="1301"/>
        <v>25.445116550116552</v>
      </c>
      <c r="AB549" s="116">
        <f t="shared" si="1301"/>
        <v>10.412583916083914</v>
      </c>
      <c r="AC549" s="5">
        <f t="shared" si="1301"/>
        <v>782.93597668997666</v>
      </c>
      <c r="AD549" s="5">
        <f t="shared" si="1301"/>
        <v>1877.8560000000002</v>
      </c>
      <c r="AE549" s="5">
        <f t="shared" si="1301"/>
        <v>351.42899999999997</v>
      </c>
      <c r="AF549" s="5">
        <f t="shared" si="1301"/>
        <v>168.3659533799534</v>
      </c>
      <c r="AG549" s="5">
        <f t="shared" si="1301"/>
        <v>566.15600000000006</v>
      </c>
      <c r="AH549" s="5">
        <f t="shared" si="1301"/>
        <v>12.061144289044288</v>
      </c>
      <c r="AI549" s="5">
        <f t="shared" si="1301"/>
        <v>8.9212300699300684</v>
      </c>
      <c r="AJ549" s="116">
        <f t="shared" si="1301"/>
        <v>1.3061815501165501</v>
      </c>
      <c r="AK549" s="5">
        <f t="shared" si="1301"/>
        <v>368.02569999999997</v>
      </c>
      <c r="AL549" s="5">
        <f t="shared" si="1301"/>
        <v>0.88691841491841494</v>
      </c>
      <c r="AM549" s="5">
        <f t="shared" si="1301"/>
        <v>0.72726270396270398</v>
      </c>
      <c r="AN549" s="5">
        <f t="shared" si="1301"/>
        <v>9.5284773310023319</v>
      </c>
      <c r="AO549" s="5">
        <f t="shared" si="1301"/>
        <v>0.97508300699300698</v>
      </c>
      <c r="AP549" s="5">
        <f t="shared" si="1301"/>
        <v>189.87609324009321</v>
      </c>
      <c r="AQ549" s="5">
        <f t="shared" si="1301"/>
        <v>0.59361090909090908</v>
      </c>
      <c r="AR549" s="5">
        <f t="shared" si="1301"/>
        <v>72.429299999999998</v>
      </c>
      <c r="AS549" s="116">
        <f t="shared" si="1301"/>
        <v>1.3220200000000002</v>
      </c>
      <c r="AT549" s="5">
        <f t="shared" si="1295"/>
        <v>111.50528428571428</v>
      </c>
      <c r="AU549" s="5">
        <f t="shared" si="1295"/>
        <v>120.0372857142857</v>
      </c>
    </row>
    <row r="550" spans="1:70" ht="15">
      <c r="A550" s="216"/>
      <c r="B550" s="1413"/>
      <c r="C550" s="1413"/>
      <c r="D550" s="1413"/>
      <c r="E550" s="1413"/>
      <c r="F550" s="1413"/>
      <c r="G550" s="128" t="s">
        <v>3778</v>
      </c>
      <c r="H550" s="129" t="s">
        <v>3067</v>
      </c>
      <c r="I550" s="256">
        <f t="shared" si="1298"/>
        <v>25.57224942834609</v>
      </c>
      <c r="J550" s="97">
        <f t="shared" si="1296"/>
        <v>22.102054365824358</v>
      </c>
      <c r="K550" s="97"/>
      <c r="L550" s="98"/>
      <c r="M550" s="98"/>
      <c r="N550" s="98"/>
      <c r="O550" s="98"/>
      <c r="P550" s="97"/>
      <c r="Q550" s="5">
        <f t="shared" si="1299"/>
        <v>797.2</v>
      </c>
      <c r="R550" s="5">
        <f t="shared" si="1299"/>
        <v>203.861975</v>
      </c>
      <c r="S550" s="5">
        <f t="shared" si="1294"/>
        <v>593.33802500000002</v>
      </c>
      <c r="T550" s="5">
        <f t="shared" ref="T550:U550" si="1302">T510+T520+T530+T540</f>
        <v>102.76217515151515</v>
      </c>
      <c r="U550" s="5">
        <f t="shared" si="1302"/>
        <v>22.712554029696967</v>
      </c>
      <c r="V550" s="5">
        <f t="shared" ref="V550:W550" si="1303">V510+V520+V530+V540</f>
        <v>1481.4959999999996</v>
      </c>
      <c r="W550" s="5">
        <f t="shared" si="1303"/>
        <v>1250.7879333267433</v>
      </c>
      <c r="X550" s="5">
        <f t="shared" ref="X550:AS550" si="1304">X510+X520+X530+X540</f>
        <v>171.33068029214178</v>
      </c>
      <c r="Y550" s="5">
        <f t="shared" si="1304"/>
        <v>28.713934830768473</v>
      </c>
      <c r="Z550" s="5">
        <f t="shared" si="1304"/>
        <v>47.213814725271646</v>
      </c>
      <c r="AA550" s="5">
        <f t="shared" si="1304"/>
        <v>12.557341979971588</v>
      </c>
      <c r="AB550" s="116">
        <f t="shared" si="1304"/>
        <v>10.06272517505624</v>
      </c>
      <c r="AC550" s="5">
        <f t="shared" si="1304"/>
        <v>829.08268308391609</v>
      </c>
      <c r="AD550" s="5">
        <f t="shared" si="1304"/>
        <v>1588.6218999999999</v>
      </c>
      <c r="AE550" s="5">
        <f t="shared" si="1304"/>
        <v>220.28989999999999</v>
      </c>
      <c r="AF550" s="5">
        <f t="shared" si="1304"/>
        <v>152.56773216783216</v>
      </c>
      <c r="AG550" s="5">
        <f t="shared" si="1304"/>
        <v>433.11589999999995</v>
      </c>
      <c r="AH550" s="5">
        <f t="shared" si="1304"/>
        <v>5.1512094104442046</v>
      </c>
      <c r="AI550" s="5">
        <f t="shared" si="1304"/>
        <v>6.6360320601847853</v>
      </c>
      <c r="AJ550" s="116">
        <f t="shared" si="1304"/>
        <v>1.1575435292248999</v>
      </c>
      <c r="AK550" s="5">
        <f t="shared" si="1304"/>
        <v>419.64990000000006</v>
      </c>
      <c r="AL550" s="5">
        <f t="shared" si="1304"/>
        <v>0.77277267066016908</v>
      </c>
      <c r="AM550" s="5">
        <f t="shared" si="1304"/>
        <v>0.52885644301223611</v>
      </c>
      <c r="AN550" s="5">
        <f t="shared" si="1304"/>
        <v>9.0487033616642876</v>
      </c>
      <c r="AO550" s="5">
        <f t="shared" si="1304"/>
        <v>1.4045844829807304</v>
      </c>
      <c r="AP550" s="5">
        <f t="shared" si="1304"/>
        <v>97.374235664335671</v>
      </c>
      <c r="AQ550" s="5">
        <f t="shared" si="1304"/>
        <v>1.0983648878427381</v>
      </c>
      <c r="AR550" s="5">
        <f t="shared" si="1304"/>
        <v>41.379900000000006</v>
      </c>
      <c r="AS550" s="116">
        <f t="shared" si="1304"/>
        <v>1.3873472080545772</v>
      </c>
      <c r="AT550" s="5">
        <f t="shared" si="1295"/>
        <v>90.027175151515152</v>
      </c>
      <c r="AU550" s="5">
        <f t="shared" si="1295"/>
        <v>102.76217515151515</v>
      </c>
    </row>
    <row r="551" spans="1:70" ht="15">
      <c r="A551" s="216"/>
      <c r="B551" s="1413"/>
      <c r="C551" s="1413"/>
      <c r="D551" s="1413"/>
      <c r="E551" s="1413"/>
      <c r="F551" s="1413"/>
      <c r="G551" s="130" t="s">
        <v>3778</v>
      </c>
      <c r="H551" s="131" t="s">
        <v>3068</v>
      </c>
      <c r="I551" s="257">
        <f t="shared" si="1298"/>
        <v>21.248366807246608</v>
      </c>
      <c r="J551" s="132">
        <f t="shared" si="1296"/>
        <v>19.059200440298262</v>
      </c>
      <c r="K551" s="132"/>
      <c r="L551" s="419"/>
      <c r="M551" s="419"/>
      <c r="N551" s="419"/>
      <c r="O551" s="419"/>
      <c r="P551" s="132"/>
      <c r="Q551" s="132">
        <f t="shared" ref="Q551:V551" si="1305">Q511+Q521+Q531+Q541</f>
        <v>752.95</v>
      </c>
      <c r="R551" s="132">
        <f t="shared" si="1305"/>
        <v>159.98958000000002</v>
      </c>
      <c r="S551" s="132">
        <f t="shared" si="1294"/>
        <v>592.96042</v>
      </c>
      <c r="T551" s="132">
        <f t="shared" si="1305"/>
        <v>88.56949666666668</v>
      </c>
      <c r="U551" s="132">
        <f t="shared" si="1305"/>
        <v>16.880639804583335</v>
      </c>
      <c r="V551" s="132">
        <f t="shared" si="1305"/>
        <v>1360.4105</v>
      </c>
      <c r="W551" s="132">
        <f>W511+W521+W531+W541</f>
        <v>1140.6043066899767</v>
      </c>
      <c r="X551" s="132">
        <f t="shared" ref="X551:AS551" si="1306">X511+X521+X531+X541</f>
        <v>123.18763007894499</v>
      </c>
      <c r="Y551" s="132">
        <f t="shared" si="1306"/>
        <v>31.521782678258589</v>
      </c>
      <c r="Z551" s="132">
        <f t="shared" si="1306"/>
        <v>54.352552987847801</v>
      </c>
      <c r="AA551" s="132">
        <f t="shared" si="1306"/>
        <v>15.268367549976553</v>
      </c>
      <c r="AB551" s="133">
        <f t="shared" si="1306"/>
        <v>13.30658339417451</v>
      </c>
      <c r="AC551" s="132">
        <f t="shared" si="1306"/>
        <v>766.65977668997675</v>
      </c>
      <c r="AD551" s="132">
        <f t="shared" si="1306"/>
        <v>1382.7807</v>
      </c>
      <c r="AE551" s="132">
        <f t="shared" si="1306"/>
        <v>371.68760000000003</v>
      </c>
      <c r="AF551" s="132">
        <f t="shared" si="1306"/>
        <v>122.35673737995339</v>
      </c>
      <c r="AG551" s="132">
        <f t="shared" si="1306"/>
        <v>445.34938399999999</v>
      </c>
      <c r="AH551" s="132">
        <f>AH511+AH521+AH531+AH541</f>
        <v>5.9969925223729561</v>
      </c>
      <c r="AI551" s="132">
        <f t="shared" si="1306"/>
        <v>5.8770380249721468</v>
      </c>
      <c r="AJ551" s="133">
        <f t="shared" si="1306"/>
        <v>0.82774723681122797</v>
      </c>
      <c r="AK551" s="132">
        <f t="shared" si="1306"/>
        <v>407.460284</v>
      </c>
      <c r="AL551" s="132">
        <f t="shared" si="1306"/>
        <v>0.56704041850375497</v>
      </c>
      <c r="AM551" s="132">
        <f t="shared" si="1306"/>
        <v>0.67788090936894885</v>
      </c>
      <c r="AN551" s="132">
        <f t="shared" si="1306"/>
        <v>9.2095921813105015</v>
      </c>
      <c r="AO551" s="132">
        <f t="shared" si="1306"/>
        <v>0.90475446063452247</v>
      </c>
      <c r="AP551" s="132">
        <f t="shared" si="1306"/>
        <v>143.63382724009321</v>
      </c>
      <c r="AQ551" s="132">
        <f t="shared" si="1306"/>
        <v>1.174529309090909</v>
      </c>
      <c r="AR551" s="132">
        <f t="shared" si="1306"/>
        <v>63.282900000000005</v>
      </c>
      <c r="AS551" s="133">
        <f t="shared" si="1306"/>
        <v>1.4718683719887957</v>
      </c>
      <c r="AT551" s="132">
        <f t="shared" si="1295"/>
        <v>83.107496666666663</v>
      </c>
      <c r="AU551" s="132">
        <f t="shared" si="1295"/>
        <v>88.56949666666668</v>
      </c>
    </row>
    <row r="552" spans="1:70" ht="17">
      <c r="A552" s="216"/>
      <c r="B552" s="1413"/>
      <c r="C552" s="1413"/>
      <c r="D552" s="1413"/>
      <c r="E552" s="1413"/>
      <c r="F552" s="1413"/>
      <c r="G552" s="84" t="s">
        <v>3778</v>
      </c>
      <c r="H552" s="252" t="s">
        <v>551</v>
      </c>
      <c r="I552" s="262">
        <f t="shared" ref="I552" si="1307">SUM(I547:I551)/(COUNTIF(I547:I551,"&gt;0.00")+0.00001)</f>
        <v>23.148910195792443</v>
      </c>
      <c r="J552" s="393">
        <f>SUM(J547:J551)/(COUNTIF(J547:J551,"&gt;0.00")+0.00001)</f>
        <v>21.042341029412825</v>
      </c>
      <c r="K552" s="282"/>
      <c r="L552" s="431"/>
      <c r="M552" s="431"/>
      <c r="N552" s="431"/>
      <c r="O552" s="431"/>
      <c r="P552" s="282"/>
      <c r="Q552" s="146">
        <f>SUM(Q547:Q551)/(COUNTIF($Q$547:$Q$551,"&gt;0.00")+0.00001)</f>
        <v>759.54848090303824</v>
      </c>
      <c r="R552" s="146">
        <f t="shared" ref="R552:AU552" si="1308">SUM(R547:R551)/(COUNTIF($Q$547:$Q$551,"&gt;0.00")+0.00001)</f>
        <v>176.85408129183747</v>
      </c>
      <c r="S552" s="146">
        <f t="shared" si="1308"/>
        <v>582.69439961120077</v>
      </c>
      <c r="T552" s="146">
        <f t="shared" si="1308"/>
        <v>112.70196462204477</v>
      </c>
      <c r="U552" s="146">
        <f t="shared" si="1308"/>
        <v>23.806289562620837</v>
      </c>
      <c r="V552" s="146">
        <f t="shared" si="1308"/>
        <v>1339.259421481157</v>
      </c>
      <c r="W552" s="146">
        <f t="shared" si="1308"/>
        <v>1190.7205479142297</v>
      </c>
      <c r="X552" s="146">
        <f t="shared" si="1308"/>
        <v>151.26080454974687</v>
      </c>
      <c r="Y552" s="146">
        <f t="shared" si="1308"/>
        <v>38.476101590763641</v>
      </c>
      <c r="Z552" s="146">
        <f t="shared" si="1308"/>
        <v>45.496815211489022</v>
      </c>
      <c r="AA552" s="146">
        <f t="shared" si="1308"/>
        <v>17.567886770242129</v>
      </c>
      <c r="AB552" s="146">
        <f t="shared" si="1308"/>
        <v>9.5252724329376424</v>
      </c>
      <c r="AC552" s="146">
        <f t="shared" si="1308"/>
        <v>958.42291646092701</v>
      </c>
      <c r="AD552" s="146">
        <f t="shared" si="1308"/>
        <v>1602.7194745610511</v>
      </c>
      <c r="AE552" s="146">
        <f t="shared" si="1308"/>
        <v>291.96067607864785</v>
      </c>
      <c r="AF552" s="146">
        <f t="shared" si="1308"/>
        <v>146.48584704182574</v>
      </c>
      <c r="AG552" s="146">
        <f t="shared" si="1308"/>
        <v>486.49924220151564</v>
      </c>
      <c r="AH552" s="146">
        <f t="shared" si="1308"/>
        <v>7.4175136481843884</v>
      </c>
      <c r="AI552" s="146">
        <f t="shared" si="1308"/>
        <v>7.1564466281823877</v>
      </c>
      <c r="AJ552" s="146">
        <f t="shared" si="1308"/>
        <v>1.0621385303048958</v>
      </c>
      <c r="AK552" s="146">
        <f t="shared" si="1308"/>
        <v>414.88150543698907</v>
      </c>
      <c r="AL552" s="146">
        <f t="shared" si="1308"/>
        <v>0.81711764914539498</v>
      </c>
      <c r="AM552" s="146">
        <f t="shared" si="1308"/>
        <v>0.66737810836449729</v>
      </c>
      <c r="AN552" s="146">
        <f t="shared" si="1308"/>
        <v>10.834156865736807</v>
      </c>
      <c r="AO552" s="146">
        <f t="shared" si="1308"/>
        <v>1.0628205032917335</v>
      </c>
      <c r="AP552" s="146">
        <f t="shared" si="1308"/>
        <v>143.2929589870424</v>
      </c>
      <c r="AQ552" s="146">
        <f t="shared" si="1308"/>
        <v>1.0048153970286628</v>
      </c>
      <c r="AR552" s="146">
        <f t="shared" si="1308"/>
        <v>55.455869088261828</v>
      </c>
      <c r="AS552" s="146">
        <f t="shared" si="1308"/>
        <v>1.5437538572964784</v>
      </c>
      <c r="AT552" s="146">
        <f t="shared" si="1308"/>
        <v>103.97218179589616</v>
      </c>
      <c r="AU552" s="146">
        <f t="shared" si="1308"/>
        <v>112.70196462204477</v>
      </c>
    </row>
    <row r="553" spans="1:70" s="749" customFormat="1" ht="17">
      <c r="A553" s="216"/>
      <c r="B553" s="1413"/>
      <c r="C553" s="1413"/>
      <c r="D553" s="1413"/>
      <c r="E553" s="1413"/>
      <c r="F553" s="1413"/>
      <c r="G553" s="84" t="s">
        <v>3778</v>
      </c>
      <c r="H553" s="252" t="s">
        <v>751</v>
      </c>
      <c r="I553" s="253">
        <f>T552</f>
        <v>112.70196462204477</v>
      </c>
      <c r="J553"/>
      <c r="K553" s="282"/>
      <c r="L553" s="431"/>
      <c r="M553" s="431"/>
      <c r="N553" s="431"/>
      <c r="O553" s="431"/>
      <c r="P553" s="282"/>
      <c r="Q553" s="146"/>
      <c r="R553" s="146"/>
      <c r="S553" s="146"/>
      <c r="T553" s="146"/>
      <c r="U553" s="146"/>
      <c r="V553" s="137"/>
      <c r="W553" s="146"/>
      <c r="X553" s="146"/>
      <c r="Y553" s="146"/>
      <c r="Z553" s="146"/>
      <c r="AA553" s="146"/>
      <c r="AB553" s="137"/>
      <c r="AC553" s="146"/>
      <c r="AD553" s="146"/>
      <c r="AE553" s="146"/>
      <c r="AF553" s="146"/>
      <c r="AG553" s="146"/>
      <c r="AH553" s="146"/>
      <c r="AI553" s="146"/>
      <c r="AJ553" s="137"/>
      <c r="AK553" s="146"/>
      <c r="AL553" s="146"/>
      <c r="AM553" s="146"/>
      <c r="AN553" s="146"/>
      <c r="AO553" s="146"/>
      <c r="AP553" s="146"/>
      <c r="AQ553" s="146"/>
      <c r="AR553" s="146"/>
      <c r="AS553" s="137"/>
    </row>
    <row r="554" spans="1:70" ht="16">
      <c r="A554" s="216"/>
      <c r="B554" s="1413"/>
      <c r="C554" s="1413"/>
      <c r="D554" s="1413"/>
      <c r="E554" s="1413"/>
      <c r="F554" s="1413"/>
      <c r="G554" s="84" t="s">
        <v>3778</v>
      </c>
      <c r="H554" s="254" t="s">
        <v>752</v>
      </c>
      <c r="I554" s="255">
        <f>U552</f>
        <v>23.806289562620837</v>
      </c>
      <c r="J554" s="177"/>
      <c r="Q554" s="1419" t="s">
        <v>552</v>
      </c>
      <c r="R554" s="1419"/>
      <c r="S554" s="1419"/>
      <c r="T554" s="1419"/>
      <c r="U554" s="1419"/>
      <c r="V554" s="1420"/>
      <c r="W554" s="146">
        <f>(W513+W523+W533+W543)</f>
        <v>924.32887394336547</v>
      </c>
      <c r="X554" s="146">
        <f>(X513+X523+X533+X543)</f>
        <v>115.27014847918213</v>
      </c>
      <c r="Y554" s="146">
        <f t="shared" ref="Y554:Z554" si="1309">(Y513+Y523+Y533+Y543)</f>
        <v>29.885885273054306</v>
      </c>
      <c r="Z554" s="146">
        <f t="shared" si="1309"/>
        <v>36.385401453734687</v>
      </c>
      <c r="AA554" s="146">
        <f t="shared" ref="AA554:AS554" si="1310">(AA513+AA523+AA533+AA543)</f>
        <v>13.82362342076585</v>
      </c>
      <c r="AB554" s="137">
        <f t="shared" si="1310"/>
        <v>7.6140989300714752</v>
      </c>
      <c r="AC554" s="146">
        <f t="shared" si="1310"/>
        <v>648.16557881004678</v>
      </c>
      <c r="AD554" s="146">
        <f t="shared" si="1310"/>
        <v>1369.9667959334502</v>
      </c>
      <c r="AE554" s="146">
        <f t="shared" si="1310"/>
        <v>248.38987256494221</v>
      </c>
      <c r="AF554" s="146">
        <f t="shared" si="1310"/>
        <v>114.8058596598099</v>
      </c>
      <c r="AG554" s="146">
        <f t="shared" si="1310"/>
        <v>398.05937413974266</v>
      </c>
      <c r="AH554" s="146">
        <f t="shared" si="1310"/>
        <v>5.5107167150552385</v>
      </c>
      <c r="AI554" s="146">
        <f t="shared" si="1310"/>
        <v>5.0081438960426823</v>
      </c>
      <c r="AJ554" s="137">
        <f t="shared" si="1310"/>
        <v>0.76642673496874247</v>
      </c>
      <c r="AK554" s="146">
        <f t="shared" si="1310"/>
        <v>328.69075858049445</v>
      </c>
      <c r="AL554" s="146">
        <f t="shared" si="1310"/>
        <v>0.617220328262714</v>
      </c>
      <c r="AM554" s="146">
        <f t="shared" si="1310"/>
        <v>0.54343187191833997</v>
      </c>
      <c r="AN554" s="146">
        <f t="shared" si="1310"/>
        <v>8.1973141311754603</v>
      </c>
      <c r="AO554" s="146">
        <f t="shared" si="1310"/>
        <v>0.80438213042723428</v>
      </c>
      <c r="AP554" s="146">
        <f t="shared" si="1310"/>
        <v>119.60676040202597</v>
      </c>
      <c r="AQ554" s="146">
        <f t="shared" si="1310"/>
        <v>0.85843125078916249</v>
      </c>
      <c r="AR554" s="146">
        <f t="shared" si="1310"/>
        <v>61.706584517055347</v>
      </c>
      <c r="AS554" s="137">
        <f t="shared" si="1310"/>
        <v>1.2392890867638107</v>
      </c>
    </row>
    <row r="555" spans="1:70" s="106" customFormat="1" ht="16">
      <c r="A555" s="216"/>
      <c r="B555" s="1413"/>
      <c r="C555" s="1413"/>
      <c r="D555" s="1413"/>
      <c r="E555" s="1413"/>
      <c r="F555" s="1413"/>
      <c r="H555" s="254"/>
      <c r="I555" s="255"/>
      <c r="J555" s="177"/>
      <c r="K555" s="177"/>
      <c r="L555" s="422"/>
      <c r="M555" s="422"/>
      <c r="N555" s="422"/>
      <c r="O555" s="422"/>
      <c r="P555" s="177"/>
      <c r="Q555" s="1419" t="s">
        <v>546</v>
      </c>
      <c r="R555" s="1419"/>
      <c r="S555" s="1419"/>
      <c r="T555" s="1419"/>
      <c r="U555" s="1419"/>
      <c r="V555" s="1420"/>
      <c r="W555" s="146">
        <f>100*W554/(IF(W512&gt;0,W429,0)+IF(W522&gt;0,W448,0)+IF(W532&gt;0,W480,0)+IF(W542&gt;0,W499,0))</f>
        <v>66.438733077690244</v>
      </c>
      <c r="X555" s="146">
        <f>100*X554/(IF(X512&gt;0,X429,0)+IF(X522&gt;0,X448,0)+IF(X532&gt;0,X480,0)+IF(X542&gt;0,X499,0))</f>
        <v>66.247211769644906</v>
      </c>
      <c r="Y555" s="146">
        <f t="shared" ref="Y555:AA555" si="1311">100*Y554/(IF(Y512&gt;0,Y429,0)+IF(Y522&gt;0,Y448,0)+IF(Y532&gt;0,Y480,0)+IF(Y542&gt;0,Y499,0))</f>
        <v>68.703184535757018</v>
      </c>
      <c r="Z555" s="146">
        <f>100*Z554/(IF(Z512&gt;0,Z429,0)+IF(Z522&gt;0,Z448,0)+IF(Z532&gt;0,Z480,0)+IF(Z542&gt;0,Z499,0))</f>
        <v>78.248175169321897</v>
      </c>
      <c r="AA555" s="146">
        <f t="shared" si="1311"/>
        <v>97.007883654497192</v>
      </c>
      <c r="AB555" s="137">
        <f>100*AB554/(IF(AB512&gt;0,AB429,0)+IF(AB522&gt;0,AB448,0)+IF(AB532&gt;0,AB480,0)+IF(AB542&gt;0,AB499,0))</f>
        <v>50.760659533809836</v>
      </c>
      <c r="AC555" s="136">
        <f>100*AC554/(IF(AC512&gt;0,AC429,0)+IF(AC522&gt;0,AC448,0)+IF(AC532&gt;0,AC480,0)+IF(AC542&gt;0,AC499,0))</f>
        <v>62.624693604835436</v>
      </c>
      <c r="AD555" s="136">
        <f t="shared" ref="AD555" si="1312">100*AD554/(AD429+AD448+AD480)</f>
        <v>101.4790219209963</v>
      </c>
      <c r="AE555" s="146">
        <f t="shared" ref="AE555:AF555" si="1313">100*AE554/(IF(AE512&gt;0,AE429,0)+IF(AE522&gt;0,AE448,0)+IF(AE532&gt;0,AE480,0)+IF(AE542&gt;0,AE499,0))</f>
        <v>36.798499639250693</v>
      </c>
      <c r="AF555" s="146">
        <f t="shared" si="1313"/>
        <v>90.043811497890118</v>
      </c>
      <c r="AG555" s="146">
        <f t="shared" ref="AG555" si="1314">100*AG554/(IF(AG512&gt;0,AG429,0)+IF(AG522&gt;0,AG448,0)+IF(AG532&gt;0,AG480,0)+IF(AG542&gt;0,AG499,0))</f>
        <v>66.343229023290448</v>
      </c>
      <c r="AH555" s="146">
        <f t="shared" ref="AH555" si="1315">100*AH554/(IF(AH512&gt;0,AH429,0)+IF(AH522&gt;0,AH448,0)+IF(AH532&gt;0,AH480,0)+IF(AH542&gt;0,AH499,0))</f>
        <v>73.476222867403195</v>
      </c>
      <c r="AI555" s="146">
        <f t="shared" ref="AI555" si="1316">100*AI554/(IF(AI512&gt;0,AI429,0)+IF(AI522&gt;0,AI448,0)+IF(AI532&gt;0,AI480,0)+IF(AI542&gt;0,AI499,0))</f>
        <v>95.393217067479668</v>
      </c>
      <c r="AJ555" s="137">
        <f t="shared" ref="AJ555" si="1317">100*AJ554/(IF(AJ512&gt;0,AJ429,0)+IF(AJ522&gt;0,AJ448,0)+IF(AJ532&gt;0,AJ480,0)+IF(AJ542&gt;0,AJ499,0))</f>
        <v>81.752185063332533</v>
      </c>
      <c r="AK555" s="146">
        <f t="shared" ref="AK555" si="1318">100*AK554/(IF(AK512&gt;0,AK429,0)+IF(AK522&gt;0,AK448,0)+IF(AK532&gt;0,AK480,0)+IF(AK542&gt;0,AK499,0))</f>
        <v>54.781793096749077</v>
      </c>
      <c r="AL555" s="146">
        <f t="shared" ref="AL555" si="1319">100*AL554/(IF(AL512&gt;0,AL429,0)+IF(AL522&gt;0,AL448,0)+IF(AL532&gt;0,AL480,0)+IF(AL542&gt;0,AL499,0))</f>
        <v>82.296043768361869</v>
      </c>
      <c r="AM555" s="146">
        <f t="shared" ref="AM555" si="1320">100*AM554/(IF(AM512&gt;0,AM429,0)+IF(AM522&gt;0,AM448,0)+IF(AM532&gt;0,AM480,0)+IF(AM542&gt;0,AM499,0))</f>
        <v>65.87052992949576</v>
      </c>
      <c r="AN555" s="146">
        <f t="shared" ref="AN555" si="1321">100*AN554/(IF(AN512&gt;0,AN429,0)+IF(AN522&gt;0,AN448,0)+IF(AN532&gt;0,AN480,0)+IF(AN542&gt;0,AN499,0))</f>
        <v>91.081268124171785</v>
      </c>
      <c r="AO555" s="146">
        <f t="shared" ref="AO555" si="1322">100*AO554/(IF(AO512&gt;0,AO429,0)+IF(AO522&gt;0,AO448,0)+IF(AO532&gt;0,AO480,0)+IF(AO542&gt;0,AO499,0))</f>
        <v>153.21564389090182</v>
      </c>
      <c r="AP555" s="146">
        <f t="shared" ref="AP555" si="1323">100*AP554/(IF(AP512&gt;0,AP429,0)+IF(AP522&gt;0,AP448,0)+IF(AP532&gt;0,AP480,0)+IF(AP542&gt;0,AP499,0))</f>
        <v>53.158560178678208</v>
      </c>
      <c r="AQ555" s="146">
        <f t="shared" ref="AQ555" si="1324">100*AQ554/(IF(AQ512&gt;0,AQ429,0)+IF(AQ522&gt;0,AQ448,0)+IF(AQ532&gt;0,AQ480,0)+IF(AQ542&gt;0,AQ499,0))</f>
        <v>119.22656260960588</v>
      </c>
      <c r="AR555" s="146">
        <f t="shared" ref="AR555" si="1325">100*AR554/(IF(AR512&gt;0,AR429,0)+IF(AR522&gt;0,AR448,0)+IF(AR532&gt;0,AR480,0)+IF(AR542&gt;0,AR499,0))</f>
        <v>102.84430752842557</v>
      </c>
      <c r="AS555" s="137">
        <f t="shared" ref="AS555" si="1326">100*AS554/(IF(AS512&gt;0,AS429,0)+IF(AS522&gt;0,AS448,0)+IF(AS532&gt;0,AS480,0)+IF(AS542&gt;0,AS499,0))</f>
        <v>61.964454338190535</v>
      </c>
      <c r="AT555" s="492"/>
      <c r="AU555" s="492"/>
    </row>
    <row r="556" spans="1:70" ht="15" thickBot="1">
      <c r="A556" s="216"/>
      <c r="B556" s="223"/>
      <c r="C556" s="223"/>
      <c r="D556" s="224"/>
      <c r="E556" s="224"/>
      <c r="F556" s="728"/>
      <c r="G556" s="225"/>
      <c r="H556" s="225"/>
      <c r="I556" s="223"/>
      <c r="J556" s="223"/>
      <c r="K556" s="223"/>
      <c r="L556" s="432"/>
      <c r="M556" s="432"/>
      <c r="N556" s="432"/>
      <c r="O556" s="432"/>
      <c r="P556" s="223"/>
      <c r="Q556" s="223"/>
      <c r="R556" s="223"/>
      <c r="S556" s="223"/>
      <c r="T556" s="223"/>
      <c r="U556" s="223"/>
      <c r="V556" s="223"/>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7"/>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row>
    <row r="557" spans="1:70" s="749" customFormat="1" ht="15" thickBot="1">
      <c r="A557" s="439"/>
      <c r="B557" s="240"/>
      <c r="C557" s="240"/>
      <c r="D557" s="241"/>
      <c r="E557" s="241"/>
      <c r="F557" s="729" t="s">
        <v>2528</v>
      </c>
      <c r="G557" s="538" t="s">
        <v>544</v>
      </c>
      <c r="H557" s="538" t="s">
        <v>536</v>
      </c>
      <c r="I557" s="240"/>
      <c r="J557" s="240"/>
      <c r="K557" s="240"/>
      <c r="L557" s="433"/>
      <c r="M557" s="433"/>
      <c r="N557" s="433"/>
      <c r="O557" s="433"/>
      <c r="P557" s="240"/>
      <c r="Q557" s="240"/>
      <c r="R557" s="240"/>
      <c r="S557" s="240"/>
      <c r="T557" s="240"/>
      <c r="U557" s="240"/>
      <c r="V557" s="242"/>
      <c r="W557" s="240">
        <v>1674.5</v>
      </c>
      <c r="X557" s="240">
        <v>232</v>
      </c>
      <c r="Y557" s="240">
        <v>58</v>
      </c>
      <c r="Z557" s="240">
        <v>62</v>
      </c>
      <c r="AA557" s="240">
        <v>19</v>
      </c>
      <c r="AB557" s="242">
        <v>20</v>
      </c>
      <c r="AC557" s="240">
        <v>1380</v>
      </c>
      <c r="AD557" s="240">
        <v>1800</v>
      </c>
      <c r="AE557" s="240">
        <v>900</v>
      </c>
      <c r="AF557" s="240">
        <v>170</v>
      </c>
      <c r="AG557" s="240">
        <v>800</v>
      </c>
      <c r="AH557" s="243">
        <v>10</v>
      </c>
      <c r="AI557" s="243">
        <v>7</v>
      </c>
      <c r="AJ557" s="242">
        <v>1.25</v>
      </c>
      <c r="AK557" s="240">
        <v>800</v>
      </c>
      <c r="AL557" s="243">
        <v>1</v>
      </c>
      <c r="AM557" s="243">
        <v>1.1000000000000001</v>
      </c>
      <c r="AN557" s="243">
        <v>12</v>
      </c>
      <c r="AO557" s="243">
        <v>0.7</v>
      </c>
      <c r="AP557" s="243">
        <v>300</v>
      </c>
      <c r="AQ557" s="243">
        <v>1.8</v>
      </c>
      <c r="AR557" s="243">
        <v>80</v>
      </c>
      <c r="AS557" s="244">
        <v>5</v>
      </c>
      <c r="AV557" s="749">
        <v>1855</v>
      </c>
      <c r="AW557" s="749">
        <v>232</v>
      </c>
      <c r="AX557" s="749">
        <v>58</v>
      </c>
      <c r="AY557" s="749">
        <v>62</v>
      </c>
      <c r="AZ557" s="749">
        <v>19</v>
      </c>
      <c r="BA557" s="66">
        <v>20</v>
      </c>
      <c r="BB557" s="749">
        <v>1380</v>
      </c>
      <c r="BC557" s="749">
        <v>3800</v>
      </c>
      <c r="BD557" s="749">
        <v>900</v>
      </c>
      <c r="BE557" s="749">
        <v>170</v>
      </c>
      <c r="BF557" s="749">
        <v>800</v>
      </c>
      <c r="BG557" s="5">
        <v>10</v>
      </c>
      <c r="BH557" s="5">
        <v>7</v>
      </c>
      <c r="BI557" s="66">
        <v>1.25</v>
      </c>
      <c r="BJ557" s="749">
        <v>800</v>
      </c>
      <c r="BK557" s="5">
        <v>1</v>
      </c>
      <c r="BL557" s="5">
        <v>1.1000000000000001</v>
      </c>
      <c r="BM557" s="5">
        <v>12</v>
      </c>
      <c r="BN557" s="5">
        <v>0.7</v>
      </c>
      <c r="BO557" s="5">
        <v>300</v>
      </c>
      <c r="BP557" s="5">
        <v>1.8</v>
      </c>
      <c r="BQ557" s="5">
        <v>80</v>
      </c>
      <c r="BR557" s="116">
        <v>5</v>
      </c>
    </row>
    <row r="558" spans="1:70">
      <c r="A558" s="439"/>
      <c r="B558" s="240"/>
      <c r="C558" s="240"/>
      <c r="D558" s="241"/>
      <c r="E558" s="241"/>
      <c r="F558" s="729"/>
      <c r="G558" s="538" t="s">
        <v>544</v>
      </c>
      <c r="H558" s="538" t="s">
        <v>536</v>
      </c>
      <c r="I558" s="240"/>
      <c r="J558" s="240"/>
      <c r="K558" s="240"/>
      <c r="L558" s="433"/>
      <c r="M558" s="433"/>
      <c r="N558" s="433"/>
      <c r="O558" s="433"/>
      <c r="P558" s="240"/>
      <c r="Q558" s="240"/>
      <c r="R558" s="240"/>
      <c r="S558" s="240"/>
      <c r="T558" s="240"/>
      <c r="U558" s="240"/>
      <c r="V558" s="242"/>
      <c r="W558" s="240">
        <v>1855</v>
      </c>
      <c r="X558" s="240">
        <v>232</v>
      </c>
      <c r="Y558" s="240">
        <v>58</v>
      </c>
      <c r="Z558" s="240">
        <v>62</v>
      </c>
      <c r="AA558" s="240">
        <v>19</v>
      </c>
      <c r="AB558" s="242">
        <v>20</v>
      </c>
      <c r="AC558" s="240">
        <v>1380</v>
      </c>
      <c r="AD558" s="240">
        <v>1800</v>
      </c>
      <c r="AE558" s="240">
        <v>900</v>
      </c>
      <c r="AF558" s="240">
        <v>170</v>
      </c>
      <c r="AG558" s="240">
        <v>800</v>
      </c>
      <c r="AH558" s="243">
        <v>10</v>
      </c>
      <c r="AI558" s="243">
        <v>7</v>
      </c>
      <c r="AJ558" s="242">
        <v>1.25</v>
      </c>
      <c r="AK558" s="240">
        <v>800</v>
      </c>
      <c r="AL558" s="243">
        <v>1</v>
      </c>
      <c r="AM558" s="243">
        <v>1.1000000000000001</v>
      </c>
      <c r="AN558" s="243">
        <v>12</v>
      </c>
      <c r="AO558" s="243">
        <v>0.7</v>
      </c>
      <c r="AP558" s="243">
        <v>300</v>
      </c>
      <c r="AQ558" s="243">
        <v>1.8</v>
      </c>
      <c r="AR558" s="243">
        <v>80</v>
      </c>
      <c r="AS558" s="244">
        <v>5</v>
      </c>
      <c r="AV558">
        <v>1855</v>
      </c>
      <c r="AW558">
        <v>232</v>
      </c>
      <c r="AX558">
        <v>58</v>
      </c>
      <c r="AY558">
        <v>62</v>
      </c>
      <c r="AZ558">
        <v>19</v>
      </c>
      <c r="BA558" s="66">
        <v>20</v>
      </c>
      <c r="BB558">
        <v>1380</v>
      </c>
      <c r="BC558">
        <v>3800</v>
      </c>
      <c r="BD558">
        <v>900</v>
      </c>
      <c r="BE558">
        <v>170</v>
      </c>
      <c r="BF558">
        <v>800</v>
      </c>
      <c r="BG558" s="5">
        <v>10</v>
      </c>
      <c r="BH558" s="5">
        <v>7</v>
      </c>
      <c r="BI558" s="66">
        <v>1.25</v>
      </c>
      <c r="BJ558">
        <v>800</v>
      </c>
      <c r="BK558" s="5">
        <v>1</v>
      </c>
      <c r="BL558" s="5">
        <v>1.1000000000000001</v>
      </c>
      <c r="BM558" s="5">
        <v>12</v>
      </c>
      <c r="BN558" s="5">
        <v>0.7</v>
      </c>
      <c r="BO558" s="5">
        <v>300</v>
      </c>
      <c r="BP558" s="5">
        <v>1.8</v>
      </c>
      <c r="BQ558" s="5">
        <v>80</v>
      </c>
      <c r="BR558" s="116">
        <v>5</v>
      </c>
    </row>
    <row r="559" spans="1:70" s="488" customFormat="1">
      <c r="A559" s="491"/>
      <c r="B559" s="491"/>
      <c r="C559" s="491"/>
      <c r="D559" s="284"/>
      <c r="E559" s="284"/>
      <c r="F559" s="730"/>
      <c r="G559" s="539"/>
      <c r="H559" s="2"/>
      <c r="I559" s="476" t="s">
        <v>2088</v>
      </c>
      <c r="J559" s="476" t="s">
        <v>2089</v>
      </c>
      <c r="K559" s="491"/>
      <c r="L559" s="102"/>
      <c r="M559" s="102"/>
      <c r="N559" s="102"/>
      <c r="O559" s="291" t="s">
        <v>672</v>
      </c>
      <c r="P559" s="100" t="s">
        <v>2092</v>
      </c>
      <c r="Q559" s="66" t="s">
        <v>521</v>
      </c>
      <c r="R559" s="542">
        <f>COUNTIF(Q11:Q30,"&gt;0")+COUNTIF(Q38:Q49,"&gt;0")+COUNTIF(Q57:Q81,"&gt;0")+COUNTIF(Q89:Q100,"&gt;0")</f>
        <v>22</v>
      </c>
      <c r="S559" s="476"/>
      <c r="T559"/>
      <c r="U559" s="491" t="s">
        <v>2090</v>
      </c>
      <c r="V559" s="66" t="s">
        <v>521</v>
      </c>
      <c r="W559" s="491"/>
      <c r="X559" s="491"/>
      <c r="Y559" s="491"/>
      <c r="Z559" s="491"/>
      <c r="AA559" s="290">
        <f>AA10+AA37+AA56+AA88</f>
        <v>0</v>
      </c>
      <c r="AB559" s="290">
        <f t="shared" ref="AB559:AS559" si="1327">AB10+AB37+AB56+AB88</f>
        <v>0</v>
      </c>
      <c r="AC559" s="290">
        <f t="shared" si="1327"/>
        <v>0</v>
      </c>
      <c r="AD559" s="290">
        <f t="shared" si="1327"/>
        <v>0</v>
      </c>
      <c r="AE559" s="290">
        <f t="shared" si="1327"/>
        <v>0</v>
      </c>
      <c r="AF559" s="290">
        <f t="shared" si="1327"/>
        <v>0</v>
      </c>
      <c r="AG559" s="290">
        <f t="shared" si="1327"/>
        <v>0</v>
      </c>
      <c r="AH559" s="290">
        <f t="shared" si="1327"/>
        <v>0</v>
      </c>
      <c r="AI559" s="290">
        <f t="shared" si="1327"/>
        <v>0</v>
      </c>
      <c r="AJ559" s="290">
        <f t="shared" si="1327"/>
        <v>0</v>
      </c>
      <c r="AK559" s="290">
        <f t="shared" si="1327"/>
        <v>0</v>
      </c>
      <c r="AL559" s="290">
        <f t="shared" si="1327"/>
        <v>0</v>
      </c>
      <c r="AM559" s="290">
        <f t="shared" si="1327"/>
        <v>0</v>
      </c>
      <c r="AN559" s="290">
        <f t="shared" si="1327"/>
        <v>0</v>
      </c>
      <c r="AO559" s="290">
        <f t="shared" si="1327"/>
        <v>0</v>
      </c>
      <c r="AP559" s="290">
        <f t="shared" si="1327"/>
        <v>0</v>
      </c>
      <c r="AQ559" s="290">
        <f t="shared" si="1327"/>
        <v>2</v>
      </c>
      <c r="AR559" s="290">
        <f t="shared" si="1327"/>
        <v>0</v>
      </c>
      <c r="AS559" s="290">
        <f t="shared" si="1327"/>
        <v>2</v>
      </c>
      <c r="AT559" s="749"/>
      <c r="AU559" s="749"/>
      <c r="BA559" s="491"/>
      <c r="BG559" s="5"/>
      <c r="BH559" s="5"/>
      <c r="BI559" s="491"/>
      <c r="BK559" s="5"/>
      <c r="BL559" s="5"/>
      <c r="BM559" s="5"/>
      <c r="BN559" s="5"/>
      <c r="BO559" s="5"/>
      <c r="BP559" s="5"/>
      <c r="BQ559" s="5"/>
      <c r="BR559" s="97"/>
    </row>
    <row r="560" spans="1:70" s="488" customFormat="1" ht="15">
      <c r="A560" s="491"/>
      <c r="B560" s="491"/>
      <c r="C560" s="491"/>
      <c r="D560" s="284"/>
      <c r="E560" s="284"/>
      <c r="F560" s="730"/>
      <c r="G560" s="539"/>
      <c r="H560" s="245" t="s">
        <v>767</v>
      </c>
      <c r="I560" s="486">
        <f>SUMIF(G12:G497,"Vegetables_mushrooms_fresh_frozen",Q12:Q497)</f>
        <v>1061</v>
      </c>
      <c r="J560" s="119">
        <f>SUMIF(G12:G497,"Vegetables_mushrooms_fresh_frozen",S12:S497)</f>
        <v>750.37360000000012</v>
      </c>
      <c r="K560" s="491"/>
      <c r="L560" s="102"/>
      <c r="M560" s="102"/>
      <c r="N560" s="102"/>
      <c r="O560" s="247" t="s">
        <v>673</v>
      </c>
      <c r="P560" s="100" t="s">
        <v>2092</v>
      </c>
      <c r="Q560" s="66" t="s">
        <v>526</v>
      </c>
      <c r="R560" s="542">
        <f>COUNTIF(Q110:Q129,"&gt;0")+COUNTIF(Q137:Q148,"&gt;0")+COUNTIF(Q156:Q180,"&gt;0")+COUNTIF(Q188:Q199,"&gt;0")</f>
        <v>21</v>
      </c>
      <c r="S560" s="476"/>
      <c r="T560" s="52"/>
      <c r="U560" s="491" t="s">
        <v>2090</v>
      </c>
      <c r="V560" s="66" t="s">
        <v>526</v>
      </c>
      <c r="W560" s="491"/>
      <c r="X560" s="491"/>
      <c r="Y560" s="491"/>
      <c r="Z560" s="491"/>
      <c r="AA560" s="290">
        <f>AA109+AA136+AA155+AA187</f>
        <v>3</v>
      </c>
      <c r="AB560" s="290">
        <f t="shared" ref="AB560:AS560" si="1328">AB109+AB136+AB155+AB187</f>
        <v>3</v>
      </c>
      <c r="AC560" s="290">
        <f t="shared" si="1328"/>
        <v>2</v>
      </c>
      <c r="AD560" s="290">
        <f t="shared" si="1328"/>
        <v>2</v>
      </c>
      <c r="AE560" s="290">
        <f t="shared" si="1328"/>
        <v>2</v>
      </c>
      <c r="AF560" s="290">
        <f t="shared" si="1328"/>
        <v>3</v>
      </c>
      <c r="AG560" s="290">
        <f t="shared" si="1328"/>
        <v>3</v>
      </c>
      <c r="AH560" s="290">
        <f t="shared" si="1328"/>
        <v>2</v>
      </c>
      <c r="AI560" s="290">
        <f t="shared" si="1328"/>
        <v>3</v>
      </c>
      <c r="AJ560" s="290">
        <f t="shared" si="1328"/>
        <v>3</v>
      </c>
      <c r="AK560" s="290">
        <f t="shared" si="1328"/>
        <v>3</v>
      </c>
      <c r="AL560" s="290">
        <f t="shared" si="1328"/>
        <v>3</v>
      </c>
      <c r="AM560" s="290">
        <f t="shared" si="1328"/>
        <v>3</v>
      </c>
      <c r="AN560" s="290">
        <f t="shared" si="1328"/>
        <v>3</v>
      </c>
      <c r="AO560" s="290">
        <f t="shared" si="1328"/>
        <v>3</v>
      </c>
      <c r="AP560" s="290">
        <f t="shared" si="1328"/>
        <v>3</v>
      </c>
      <c r="AQ560" s="290">
        <f t="shared" si="1328"/>
        <v>4</v>
      </c>
      <c r="AR560" s="290">
        <f t="shared" si="1328"/>
        <v>2</v>
      </c>
      <c r="AS560" s="290">
        <f t="shared" si="1328"/>
        <v>3</v>
      </c>
      <c r="AT560" s="749"/>
      <c r="AU560" s="749"/>
      <c r="BA560" s="491"/>
      <c r="BG560" s="5"/>
      <c r="BH560" s="5"/>
      <c r="BI560" s="491"/>
      <c r="BK560" s="5"/>
      <c r="BL560" s="5"/>
      <c r="BM560" s="5"/>
      <c r="BN560" s="5"/>
      <c r="BO560" s="5"/>
      <c r="BP560" s="5"/>
      <c r="BQ560" s="5"/>
      <c r="BR560" s="97"/>
    </row>
    <row r="561" spans="1:70" s="488" customFormat="1" ht="15">
      <c r="A561" s="491"/>
      <c r="B561" s="491"/>
      <c r="C561" s="491"/>
      <c r="D561" s="284"/>
      <c r="E561" s="284"/>
      <c r="F561" s="730"/>
      <c r="G561" s="539"/>
      <c r="H561" s="245" t="s">
        <v>768</v>
      </c>
      <c r="I561" s="119">
        <f>SUMIF(G12:G497,"Vegetables_processed",Q12:Q497)</f>
        <v>90</v>
      </c>
      <c r="J561" s="119">
        <f>SUMIF(G12:G497,"Vegetables_processed",S12:S497)</f>
        <v>47.34</v>
      </c>
      <c r="K561" s="491"/>
      <c r="L561" s="102"/>
      <c r="M561" s="102"/>
      <c r="N561" s="102"/>
      <c r="O561" s="247" t="s">
        <v>785</v>
      </c>
      <c r="P561" s="100" t="s">
        <v>2092</v>
      </c>
      <c r="Q561" s="66" t="s">
        <v>527</v>
      </c>
      <c r="R561" s="542">
        <f>COUNTIF(Q209:Q228,"&gt;0")+COUNTIF(Q236:Q247,"&gt;0")+COUNTIF(Q255:Q279,"&gt;0")+COUNTIF(Q287:Q298,"&gt;0")</f>
        <v>15</v>
      </c>
      <c r="S561" s="476"/>
      <c r="T561" s="52"/>
      <c r="U561" s="491" t="s">
        <v>2090</v>
      </c>
      <c r="V561" s="66" t="s">
        <v>527</v>
      </c>
      <c r="W561" s="491"/>
      <c r="X561" s="491"/>
      <c r="Y561" s="491"/>
      <c r="Z561" s="491"/>
      <c r="AA561" s="290">
        <f>AA208+AA235+AA254+AA286</f>
        <v>1</v>
      </c>
      <c r="AB561" s="290">
        <f t="shared" ref="AB561:AS561" si="1329">AB208+AB235+AB254+AB286</f>
        <v>1</v>
      </c>
      <c r="AC561" s="290">
        <f t="shared" si="1329"/>
        <v>1</v>
      </c>
      <c r="AD561" s="290">
        <f t="shared" si="1329"/>
        <v>1</v>
      </c>
      <c r="AE561" s="290">
        <f t="shared" si="1329"/>
        <v>1</v>
      </c>
      <c r="AF561" s="290">
        <f t="shared" si="1329"/>
        <v>1</v>
      </c>
      <c r="AG561" s="290">
        <f t="shared" si="1329"/>
        <v>1</v>
      </c>
      <c r="AH561" s="290">
        <f t="shared" si="1329"/>
        <v>1</v>
      </c>
      <c r="AI561" s="290">
        <f t="shared" si="1329"/>
        <v>1</v>
      </c>
      <c r="AJ561" s="290">
        <f t="shared" si="1329"/>
        <v>1</v>
      </c>
      <c r="AK561" s="290">
        <f t="shared" si="1329"/>
        <v>2</v>
      </c>
      <c r="AL561" s="290">
        <f t="shared" si="1329"/>
        <v>1</v>
      </c>
      <c r="AM561" s="290">
        <f t="shared" si="1329"/>
        <v>1</v>
      </c>
      <c r="AN561" s="290">
        <f t="shared" si="1329"/>
        <v>1</v>
      </c>
      <c r="AO561" s="290">
        <f t="shared" si="1329"/>
        <v>1</v>
      </c>
      <c r="AP561" s="290">
        <f t="shared" si="1329"/>
        <v>1</v>
      </c>
      <c r="AQ561" s="290">
        <f t="shared" si="1329"/>
        <v>2</v>
      </c>
      <c r="AR561" s="290">
        <f t="shared" si="1329"/>
        <v>1</v>
      </c>
      <c r="AS561" s="290">
        <f t="shared" si="1329"/>
        <v>2</v>
      </c>
      <c r="AT561" s="749"/>
      <c r="AU561" s="749"/>
      <c r="BA561" s="491"/>
      <c r="BG561" s="5"/>
      <c r="BH561" s="5"/>
      <c r="BI561" s="491"/>
      <c r="BK561" s="5"/>
      <c r="BL561" s="5"/>
      <c r="BM561" s="5"/>
      <c r="BN561" s="5"/>
      <c r="BO561" s="5"/>
      <c r="BP561" s="5"/>
      <c r="BQ561" s="5"/>
      <c r="BR561" s="97"/>
    </row>
    <row r="562" spans="1:70" s="488" customFormat="1" ht="15">
      <c r="A562" s="491"/>
      <c r="B562" s="491"/>
      <c r="C562" s="491"/>
      <c r="D562" s="284"/>
      <c r="E562" s="284"/>
      <c r="F562" s="730"/>
      <c r="G562" s="539"/>
      <c r="H562" s="245" t="s">
        <v>769</v>
      </c>
      <c r="I562" s="119">
        <f>(I560+I561)/5</f>
        <v>230.2</v>
      </c>
      <c r="J562" s="119">
        <f>(J560+J561)/5</f>
        <v>159.54272000000003</v>
      </c>
      <c r="K562" s="491"/>
      <c r="L562" s="102"/>
      <c r="M562" s="102"/>
      <c r="N562" s="102"/>
      <c r="O562" s="247" t="s">
        <v>674</v>
      </c>
      <c r="P562" s="100" t="s">
        <v>2092</v>
      </c>
      <c r="Q562" s="66" t="s">
        <v>528</v>
      </c>
      <c r="R562" s="542">
        <f>COUNTIF(Q308:Q327,"&gt;0")+COUNTIF(Q335:Q346,"&gt;0")+COUNTIF(Q354:Q378,"&gt;0")+COUNTIF(Q386:Q397,"&gt;0")</f>
        <v>23</v>
      </c>
      <c r="S562" s="476"/>
      <c r="T562" s="52"/>
      <c r="U562" s="491" t="s">
        <v>2090</v>
      </c>
      <c r="V562" s="66" t="s">
        <v>528</v>
      </c>
      <c r="W562" s="491"/>
      <c r="X562" s="491"/>
      <c r="Y562" s="491"/>
      <c r="Z562" s="491"/>
      <c r="AA562" s="290">
        <f>AA406+AA433+AA452+AA484</f>
        <v>2</v>
      </c>
      <c r="AB562" s="290">
        <f t="shared" ref="AB562:AS562" si="1330">AB307+AB334+AB353+AB385</f>
        <v>1</v>
      </c>
      <c r="AC562" s="290">
        <f t="shared" si="1330"/>
        <v>1</v>
      </c>
      <c r="AD562" s="290">
        <f t="shared" si="1330"/>
        <v>1</v>
      </c>
      <c r="AE562" s="290">
        <f t="shared" si="1330"/>
        <v>1</v>
      </c>
      <c r="AF562" s="290">
        <f t="shared" si="1330"/>
        <v>1</v>
      </c>
      <c r="AG562" s="290">
        <f t="shared" si="1330"/>
        <v>1</v>
      </c>
      <c r="AH562" s="290">
        <f t="shared" si="1330"/>
        <v>1</v>
      </c>
      <c r="AI562" s="290">
        <f t="shared" si="1330"/>
        <v>1</v>
      </c>
      <c r="AJ562" s="290">
        <f t="shared" si="1330"/>
        <v>1</v>
      </c>
      <c r="AK562" s="290">
        <f t="shared" si="1330"/>
        <v>1</v>
      </c>
      <c r="AL562" s="290">
        <f t="shared" si="1330"/>
        <v>1</v>
      </c>
      <c r="AM562" s="290">
        <f t="shared" si="1330"/>
        <v>1</v>
      </c>
      <c r="AN562" s="290">
        <f t="shared" si="1330"/>
        <v>1</v>
      </c>
      <c r="AO562" s="290">
        <f t="shared" si="1330"/>
        <v>1</v>
      </c>
      <c r="AP562" s="290">
        <f t="shared" si="1330"/>
        <v>1</v>
      </c>
      <c r="AQ562" s="290">
        <f t="shared" si="1330"/>
        <v>3</v>
      </c>
      <c r="AR562" s="290">
        <f t="shared" si="1330"/>
        <v>1</v>
      </c>
      <c r="AS562" s="290">
        <f t="shared" si="1330"/>
        <v>3</v>
      </c>
      <c r="AT562" s="749"/>
      <c r="AU562" s="749"/>
      <c r="BA562" s="491"/>
      <c r="BG562" s="5"/>
      <c r="BH562" s="5"/>
      <c r="BI562" s="491"/>
      <c r="BK562" s="5"/>
      <c r="BL562" s="5"/>
      <c r="BM562" s="5"/>
      <c r="BN562" s="5"/>
      <c r="BO562" s="5"/>
      <c r="BP562" s="5"/>
      <c r="BQ562" s="5"/>
      <c r="BR562" s="97"/>
    </row>
    <row r="563" spans="1:70" s="488" customFormat="1" ht="15">
      <c r="A563" s="491"/>
      <c r="B563" s="491"/>
      <c r="C563" s="491"/>
      <c r="D563" s="284"/>
      <c r="E563" s="284"/>
      <c r="F563" s="730"/>
      <c r="G563" s="539"/>
      <c r="H563" s="245" t="s">
        <v>770</v>
      </c>
      <c r="I563" s="119">
        <f>SUMIF(G12:G497,"Fruits_nuts_dried_fruit",Q12:Q497)</f>
        <v>743</v>
      </c>
      <c r="J563" s="119">
        <f>SUMIF(G12:G497,"Fruits_nuts_dried_fruit",S12:S497)</f>
        <v>587.048</v>
      </c>
      <c r="K563" s="491"/>
      <c r="L563" s="102"/>
      <c r="M563" s="102"/>
      <c r="N563" s="102"/>
      <c r="O563" s="247" t="s">
        <v>750</v>
      </c>
      <c r="P563" s="100" t="s">
        <v>2092</v>
      </c>
      <c r="Q563" s="277" t="s">
        <v>529</v>
      </c>
      <c r="R563" s="542">
        <f>COUNTIF(Q407:Q426,"&gt;0")+COUNTIF(Q434:Q445,"&gt;0")+COUNTIF(Q453:Q477,"&gt;0")+COUNTIF(Q485:Q496,"&gt;0")</f>
        <v>22</v>
      </c>
      <c r="S563" s="476"/>
      <c r="T563" s="52"/>
      <c r="U563" s="492" t="s">
        <v>2090</v>
      </c>
      <c r="V563" s="277" t="s">
        <v>529</v>
      </c>
      <c r="W563" s="492"/>
      <c r="X563" s="492"/>
      <c r="Y563" s="492"/>
      <c r="Z563" s="492"/>
      <c r="AA563" s="540">
        <f>AA406+AA433+AA452+AA484</f>
        <v>2</v>
      </c>
      <c r="AB563" s="540">
        <f t="shared" ref="AB563:AS563" si="1331">AB406+AB433+AB452+AB484</f>
        <v>2</v>
      </c>
      <c r="AC563" s="540">
        <f t="shared" si="1331"/>
        <v>1</v>
      </c>
      <c r="AD563" s="540">
        <f t="shared" si="1331"/>
        <v>1</v>
      </c>
      <c r="AE563" s="540">
        <f t="shared" si="1331"/>
        <v>1</v>
      </c>
      <c r="AF563" s="540">
        <f t="shared" si="1331"/>
        <v>2</v>
      </c>
      <c r="AG563" s="540">
        <f t="shared" si="1331"/>
        <v>2</v>
      </c>
      <c r="AH563" s="540">
        <f t="shared" si="1331"/>
        <v>1</v>
      </c>
      <c r="AI563" s="540">
        <f t="shared" si="1331"/>
        <v>2</v>
      </c>
      <c r="AJ563" s="540">
        <f t="shared" si="1331"/>
        <v>2</v>
      </c>
      <c r="AK563" s="540">
        <f t="shared" si="1331"/>
        <v>2</v>
      </c>
      <c r="AL563" s="540">
        <f t="shared" si="1331"/>
        <v>2</v>
      </c>
      <c r="AM563" s="540">
        <f t="shared" si="1331"/>
        <v>2</v>
      </c>
      <c r="AN563" s="540">
        <f t="shared" si="1331"/>
        <v>2</v>
      </c>
      <c r="AO563" s="540">
        <f t="shared" si="1331"/>
        <v>2</v>
      </c>
      <c r="AP563" s="540">
        <f t="shared" si="1331"/>
        <v>2</v>
      </c>
      <c r="AQ563" s="540">
        <f t="shared" si="1331"/>
        <v>3</v>
      </c>
      <c r="AR563" s="540">
        <f t="shared" si="1331"/>
        <v>1</v>
      </c>
      <c r="AS563" s="540">
        <f t="shared" si="1331"/>
        <v>3</v>
      </c>
      <c r="AT563" s="749"/>
      <c r="AU563" s="749"/>
      <c r="BA563" s="491"/>
      <c r="BG563" s="5"/>
      <c r="BH563" s="5"/>
      <c r="BI563" s="491"/>
      <c r="BK563" s="5"/>
      <c r="BL563" s="5"/>
      <c r="BM563" s="5"/>
      <c r="BN563" s="5"/>
      <c r="BO563" s="5"/>
      <c r="BP563" s="5"/>
      <c r="BQ563" s="5"/>
      <c r="BR563" s="97"/>
    </row>
    <row r="564" spans="1:70" s="488" customFormat="1" ht="15">
      <c r="A564" s="491"/>
      <c r="B564" s="491"/>
      <c r="C564" s="491"/>
      <c r="D564" s="284"/>
      <c r="E564" s="284"/>
      <c r="F564" s="730"/>
      <c r="G564" s="539"/>
      <c r="H564" s="245" t="s">
        <v>771</v>
      </c>
      <c r="I564" s="119">
        <f>I563/5</f>
        <v>148.6</v>
      </c>
      <c r="J564" s="119">
        <f>J563/5</f>
        <v>117.4096</v>
      </c>
      <c r="K564" s="491"/>
      <c r="L564" s="102"/>
      <c r="M564" s="102"/>
      <c r="N564" s="102"/>
      <c r="O564" s="102"/>
      <c r="P564" s="100" t="s">
        <v>2092</v>
      </c>
      <c r="Q564" s="66" t="s">
        <v>522</v>
      </c>
      <c r="R564"/>
      <c r="S564" s="486"/>
      <c r="T564"/>
      <c r="U564" s="491" t="s">
        <v>2090</v>
      </c>
      <c r="V564" s="66" t="s">
        <v>522</v>
      </c>
      <c r="W564" s="491"/>
      <c r="X564" s="491"/>
      <c r="Y564" s="491"/>
      <c r="Z564" s="491"/>
      <c r="AA564" s="290">
        <f>AA10+AA109+AA208+AA307+AA406</f>
        <v>0</v>
      </c>
      <c r="AB564" s="290">
        <f t="shared" ref="AB564:AS564" si="1332">AB10+AB109+AB208+AB307+AB406</f>
        <v>0</v>
      </c>
      <c r="AC564" s="290">
        <f t="shared" si="1332"/>
        <v>0</v>
      </c>
      <c r="AD564" s="290">
        <f t="shared" si="1332"/>
        <v>0</v>
      </c>
      <c r="AE564" s="290">
        <f t="shared" si="1332"/>
        <v>0</v>
      </c>
      <c r="AF564" s="290">
        <f t="shared" si="1332"/>
        <v>0</v>
      </c>
      <c r="AG564" s="290">
        <f t="shared" si="1332"/>
        <v>0</v>
      </c>
      <c r="AH564" s="290">
        <f t="shared" si="1332"/>
        <v>0</v>
      </c>
      <c r="AI564" s="290">
        <f t="shared" si="1332"/>
        <v>0</v>
      </c>
      <c r="AJ564" s="290">
        <f t="shared" si="1332"/>
        <v>0</v>
      </c>
      <c r="AK564" s="290">
        <f t="shared" si="1332"/>
        <v>0</v>
      </c>
      <c r="AL564" s="290">
        <f t="shared" si="1332"/>
        <v>0</v>
      </c>
      <c r="AM564" s="290">
        <f t="shared" si="1332"/>
        <v>0</v>
      </c>
      <c r="AN564" s="290">
        <f t="shared" si="1332"/>
        <v>0</v>
      </c>
      <c r="AO564" s="290">
        <f t="shared" si="1332"/>
        <v>0</v>
      </c>
      <c r="AP564" s="290">
        <f t="shared" si="1332"/>
        <v>0</v>
      </c>
      <c r="AQ564" s="290">
        <f t="shared" si="1332"/>
        <v>0</v>
      </c>
      <c r="AR564" s="290">
        <f t="shared" si="1332"/>
        <v>0</v>
      </c>
      <c r="AS564" s="290">
        <f t="shared" si="1332"/>
        <v>0</v>
      </c>
      <c r="AT564" s="749"/>
      <c r="AU564" s="749"/>
      <c r="BA564" s="491"/>
      <c r="BG564" s="5"/>
      <c r="BH564" s="5"/>
      <c r="BI564" s="491"/>
      <c r="BK564" s="5"/>
      <c r="BL564" s="5"/>
      <c r="BM564" s="5"/>
      <c r="BN564" s="5"/>
      <c r="BO564" s="5"/>
      <c r="BP564" s="5"/>
      <c r="BQ564" s="5"/>
      <c r="BR564" s="97"/>
    </row>
    <row r="565" spans="1:70" s="488" customFormat="1" ht="15">
      <c r="A565" s="491"/>
      <c r="B565" s="491"/>
      <c r="C565" s="491"/>
      <c r="D565" s="284"/>
      <c r="E565" s="284"/>
      <c r="F565" s="730"/>
      <c r="G565" s="539"/>
      <c r="H565" s="245" t="s">
        <v>775</v>
      </c>
      <c r="I565" s="478" t="str">
        <f>IF(OR(SUMIF(H12:H497,"Chocolate milk 1% fat (at least 1 l)",Q12:Q497)&gt;0,SUMIF(H12:H497,"Chocolate milk 1% fat (less than 1 l)",Q12:Q497)&gt;0,SUMIF(H12:H497,"Chocolate milk, whole milk",Q12:Q497)&gt;0,SUMIF(H12:H497,"Fruit yogurt",Q12:Q497)&gt;0,SUMIF(H12:H497,"Fruit yogurt, low-fat",Q12:Q497)&gt;0),"Yes","No")</f>
        <v>No</v>
      </c>
      <c r="J565" s="486"/>
      <c r="K565" s="491"/>
      <c r="L565" s="102"/>
      <c r="M565" s="102"/>
      <c r="N565" s="102"/>
      <c r="O565" s="102"/>
      <c r="P565" s="100" t="s">
        <v>2092</v>
      </c>
      <c r="Q565" s="66" t="s">
        <v>2091</v>
      </c>
      <c r="R565"/>
      <c r="S565" s="486"/>
      <c r="T565"/>
      <c r="U565" s="491" t="s">
        <v>2090</v>
      </c>
      <c r="V565" s="66" t="s">
        <v>2091</v>
      </c>
      <c r="W565" s="491"/>
      <c r="X565" s="491"/>
      <c r="Y565" s="491"/>
      <c r="Z565" s="491"/>
      <c r="AA565" s="290">
        <f>AA37+AA136+AA235+AA334+AA433</f>
        <v>5</v>
      </c>
      <c r="AB565" s="290">
        <f t="shared" ref="AB565:AS565" si="1333">AB37+AB136+AB235+AB334+AB433</f>
        <v>5</v>
      </c>
      <c r="AC565" s="290">
        <f t="shared" si="1333"/>
        <v>5</v>
      </c>
      <c r="AD565" s="290">
        <f t="shared" si="1333"/>
        <v>5</v>
      </c>
      <c r="AE565" s="290">
        <f t="shared" si="1333"/>
        <v>5</v>
      </c>
      <c r="AF565" s="290">
        <f t="shared" si="1333"/>
        <v>5</v>
      </c>
      <c r="AG565" s="290">
        <f t="shared" si="1333"/>
        <v>5</v>
      </c>
      <c r="AH565" s="290">
        <f t="shared" si="1333"/>
        <v>5</v>
      </c>
      <c r="AI565" s="290">
        <f t="shared" si="1333"/>
        <v>5</v>
      </c>
      <c r="AJ565" s="290">
        <f t="shared" si="1333"/>
        <v>5</v>
      </c>
      <c r="AK565" s="290">
        <f t="shared" si="1333"/>
        <v>5</v>
      </c>
      <c r="AL565" s="290">
        <f t="shared" si="1333"/>
        <v>5</v>
      </c>
      <c r="AM565" s="290">
        <f t="shared" si="1333"/>
        <v>5</v>
      </c>
      <c r="AN565" s="290">
        <f t="shared" si="1333"/>
        <v>5</v>
      </c>
      <c r="AO565" s="290">
        <f t="shared" si="1333"/>
        <v>5</v>
      </c>
      <c r="AP565" s="290">
        <f t="shared" si="1333"/>
        <v>5</v>
      </c>
      <c r="AQ565" s="290">
        <f t="shared" si="1333"/>
        <v>6</v>
      </c>
      <c r="AR565" s="290">
        <f t="shared" si="1333"/>
        <v>5</v>
      </c>
      <c r="AS565" s="290">
        <f t="shared" si="1333"/>
        <v>5</v>
      </c>
      <c r="AT565" s="749"/>
      <c r="AU565" s="749"/>
      <c r="BA565" s="491"/>
      <c r="BG565" s="5"/>
      <c r="BH565" s="5"/>
      <c r="BI565" s="491"/>
      <c r="BK565" s="5"/>
      <c r="BL565" s="5"/>
      <c r="BM565" s="5"/>
      <c r="BN565" s="5"/>
      <c r="BO565" s="5"/>
      <c r="BP565" s="5"/>
      <c r="BQ565" s="5"/>
      <c r="BR565" s="97"/>
    </row>
    <row r="566" spans="1:70" s="488" customFormat="1" ht="15">
      <c r="A566" s="491"/>
      <c r="B566" s="491"/>
      <c r="C566" s="491"/>
      <c r="D566" s="284"/>
      <c r="E566" s="284"/>
      <c r="F566" s="730"/>
      <c r="G566" s="539"/>
      <c r="H566" s="245" t="s">
        <v>778</v>
      </c>
      <c r="I566" s="486">
        <f>IF(COUNTIF(G$11:G$100,"Bread_and_pastries"),1,0)+IF(COUNTIF(G$110:G$199,"Bread_and_pastries"),1,0)+IF(COUNTIF(G$209:G$298,"Bread_and_pastries"),1,0)+IF(COUNTIF(G$308:G$397,"Bread_and_pastries"),1,0)+IF(COUNTIF(G$407:G$496,"Bread_and_pastries"),1,0)</f>
        <v>5</v>
      </c>
      <c r="J566" s="486"/>
      <c r="K566" s="491"/>
      <c r="L566" s="102"/>
      <c r="M566" s="102"/>
      <c r="N566" s="102"/>
      <c r="O566" s="102"/>
      <c r="P566" s="100" t="s">
        <v>2092</v>
      </c>
      <c r="Q566" s="66" t="s">
        <v>524</v>
      </c>
      <c r="R566"/>
      <c r="S566" s="486"/>
      <c r="T566"/>
      <c r="U566" s="491" t="s">
        <v>2090</v>
      </c>
      <c r="V566" s="66" t="s">
        <v>524</v>
      </c>
      <c r="W566" s="491"/>
      <c r="X566" s="491"/>
      <c r="Y566" s="491"/>
      <c r="Z566" s="491"/>
      <c r="AA566" s="290">
        <f>AA56+AA155+AA254+AA353+AA452</f>
        <v>2</v>
      </c>
      <c r="AB566" s="290">
        <f t="shared" ref="AB566:AS566" si="1334">AB56+AB155+AB254+AB353+AB452</f>
        <v>2</v>
      </c>
      <c r="AC566" s="290">
        <f t="shared" si="1334"/>
        <v>0</v>
      </c>
      <c r="AD566" s="290">
        <f t="shared" si="1334"/>
        <v>0</v>
      </c>
      <c r="AE566" s="290">
        <f t="shared" si="1334"/>
        <v>0</v>
      </c>
      <c r="AF566" s="290">
        <f t="shared" si="1334"/>
        <v>2</v>
      </c>
      <c r="AG566" s="290">
        <f t="shared" si="1334"/>
        <v>2</v>
      </c>
      <c r="AH566" s="290">
        <f t="shared" si="1334"/>
        <v>0</v>
      </c>
      <c r="AI566" s="290">
        <f t="shared" si="1334"/>
        <v>2</v>
      </c>
      <c r="AJ566" s="290">
        <f t="shared" si="1334"/>
        <v>2</v>
      </c>
      <c r="AK566" s="290">
        <f t="shared" si="1334"/>
        <v>3</v>
      </c>
      <c r="AL566" s="290">
        <f t="shared" si="1334"/>
        <v>2</v>
      </c>
      <c r="AM566" s="290">
        <f t="shared" si="1334"/>
        <v>2</v>
      </c>
      <c r="AN566" s="290">
        <f t="shared" si="1334"/>
        <v>2</v>
      </c>
      <c r="AO566" s="290">
        <f t="shared" si="1334"/>
        <v>2</v>
      </c>
      <c r="AP566" s="290">
        <f t="shared" si="1334"/>
        <v>2</v>
      </c>
      <c r="AQ566" s="290">
        <f t="shared" si="1334"/>
        <v>8</v>
      </c>
      <c r="AR566" s="290">
        <f t="shared" si="1334"/>
        <v>0</v>
      </c>
      <c r="AS566" s="290">
        <f t="shared" si="1334"/>
        <v>8</v>
      </c>
      <c r="AT566" s="749"/>
      <c r="AU566" s="749"/>
      <c r="BA566" s="491"/>
      <c r="BG566" s="5"/>
      <c r="BH566" s="5"/>
      <c r="BI566" s="491"/>
      <c r="BK566" s="5"/>
      <c r="BL566" s="5"/>
      <c r="BM566" s="5"/>
      <c r="BN566" s="5"/>
      <c r="BO566" s="5"/>
      <c r="BP566" s="5"/>
      <c r="BQ566" s="5"/>
      <c r="BR566" s="97"/>
    </row>
    <row r="567" spans="1:70" s="488" customFormat="1" ht="15">
      <c r="A567" s="491"/>
      <c r="B567" s="491"/>
      <c r="C567" s="491"/>
      <c r="D567" s="284"/>
      <c r="E567" s="284"/>
      <c r="F567" s="730"/>
      <c r="G567" s="539"/>
      <c r="H567" s="245" t="s">
        <v>779</v>
      </c>
      <c r="I567" s="486">
        <f>IF(COUNTIF(G12:G101,"Vegetables_mushrooms_fresh_frozen"),1,0)+IF(COUNTIF(G111:G200,"Vegetables_mushrooms_fresh_frozen"),1,0)+IF(COUNTIF(G210:G299,"Vegetables_mushrooms_fresh_frozen"),1,0)+IF(COUNTIF(G309:G398,"Vegetables_mushrooms_fresh_frozen"),1,0)+IF(COUNTIF(G408:G497,"Vegetables_mushrooms_fresh_frozen"),1,0)</f>
        <v>5</v>
      </c>
      <c r="J567" s="486"/>
      <c r="K567" s="491"/>
      <c r="L567" s="102"/>
      <c r="M567" s="102"/>
      <c r="N567" s="102"/>
      <c r="O567" s="102"/>
      <c r="P567" s="100" t="s">
        <v>2092</v>
      </c>
      <c r="Q567" s="277" t="s">
        <v>1426</v>
      </c>
      <c r="R567"/>
      <c r="S567" s="486"/>
      <c r="T567"/>
      <c r="U567" s="492" t="s">
        <v>2090</v>
      </c>
      <c r="V567" s="277" t="s">
        <v>1426</v>
      </c>
      <c r="W567" s="492"/>
      <c r="X567" s="492"/>
      <c r="Y567" s="492"/>
      <c r="Z567" s="492"/>
      <c r="AA567" s="540">
        <f>AA88+AA187+AA286+AA385+AA484</f>
        <v>0</v>
      </c>
      <c r="AB567" s="540">
        <f t="shared" ref="AB567:AS567" si="1335">AB88+AB187+AB286+AB385+AB484</f>
        <v>0</v>
      </c>
      <c r="AC567" s="540">
        <f t="shared" si="1335"/>
        <v>0</v>
      </c>
      <c r="AD567" s="540">
        <f t="shared" si="1335"/>
        <v>0</v>
      </c>
      <c r="AE567" s="540">
        <f t="shared" si="1335"/>
        <v>0</v>
      </c>
      <c r="AF567" s="540">
        <f t="shared" si="1335"/>
        <v>0</v>
      </c>
      <c r="AG567" s="540">
        <f t="shared" si="1335"/>
        <v>0</v>
      </c>
      <c r="AH567" s="540">
        <f t="shared" si="1335"/>
        <v>0</v>
      </c>
      <c r="AI567" s="540">
        <f t="shared" si="1335"/>
        <v>0</v>
      </c>
      <c r="AJ567" s="540">
        <f t="shared" si="1335"/>
        <v>0</v>
      </c>
      <c r="AK567" s="540">
        <f t="shared" si="1335"/>
        <v>0</v>
      </c>
      <c r="AL567" s="540">
        <f t="shared" si="1335"/>
        <v>0</v>
      </c>
      <c r="AM567" s="540">
        <f t="shared" si="1335"/>
        <v>0</v>
      </c>
      <c r="AN567" s="540">
        <f t="shared" si="1335"/>
        <v>0</v>
      </c>
      <c r="AO567" s="540">
        <f t="shared" si="1335"/>
        <v>0</v>
      </c>
      <c r="AP567" s="540">
        <f t="shared" si="1335"/>
        <v>0</v>
      </c>
      <c r="AQ567" s="540">
        <f t="shared" si="1335"/>
        <v>0</v>
      </c>
      <c r="AR567" s="540">
        <f t="shared" si="1335"/>
        <v>0</v>
      </c>
      <c r="AS567" s="540">
        <f t="shared" si="1335"/>
        <v>0</v>
      </c>
      <c r="AT567" s="749"/>
      <c r="AU567" s="749"/>
      <c r="BA567" s="491"/>
      <c r="BG567" s="5"/>
      <c r="BH567" s="5"/>
      <c r="BI567" s="491"/>
      <c r="BK567" s="5"/>
      <c r="BL567" s="5"/>
      <c r="BM567" s="5"/>
      <c r="BN567" s="5"/>
      <c r="BO567" s="5"/>
      <c r="BP567" s="5"/>
      <c r="BQ567" s="5"/>
      <c r="BR567" s="97"/>
    </row>
    <row r="568" spans="1:70" s="488" customFormat="1" ht="15">
      <c r="A568" s="491"/>
      <c r="B568" s="491"/>
      <c r="C568" s="491"/>
      <c r="D568" s="284"/>
      <c r="E568" s="284"/>
      <c r="F568" s="730"/>
      <c r="G568" s="539"/>
      <c r="H568" s="245" t="s">
        <v>776</v>
      </c>
      <c r="I568" s="486">
        <f>IF(COUNTIF(G$11:G$100,"Fruits_nuts_dried_fruit"),1,0)+IF(COUNTIF(G$110:G$199,"Fruits_nuts_dried_fruit"),1,0)+IF(COUNTIF(G$209:G$298,"Fruits_nuts_dried_fruit"),1,0)+IF(COUNTIF(G$308:G$397,"Fruits_nuts_dried_fruit"),1,0)+IF(COUNTIF(G$407:G$496,"Fruits_nuts_dried_fruit"),1,0)</f>
        <v>5</v>
      </c>
      <c r="J568" s="476"/>
      <c r="K568" s="491"/>
      <c r="L568" s="102"/>
      <c r="M568" s="102"/>
      <c r="N568" s="102"/>
      <c r="O568" s="102"/>
      <c r="P568" s="491"/>
      <c r="Q568"/>
      <c r="R568"/>
      <c r="S568" s="476"/>
      <c r="T568"/>
      <c r="W568" s="491"/>
      <c r="X568" s="491"/>
      <c r="Y568" s="491"/>
      <c r="Z568" s="491"/>
      <c r="AA568" s="290"/>
      <c r="AB568" s="290"/>
      <c r="AC568" s="290"/>
      <c r="AD568" s="290"/>
      <c r="AE568" s="290"/>
      <c r="AF568" s="290"/>
      <c r="AG568" s="290"/>
      <c r="AH568" s="52" t="str">
        <f>IF(AH$555&lt;80,VLOOKUP(AH$9,'Recommendation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AI568" s="52" t="str">
        <f>IF(AI$555&lt;80,VLOOKUP(AI$9,'Recommendation texts'!$A:$AV,2,FALSE),"")</f>
        <v/>
      </c>
      <c r="AJ568" s="66" t="str">
        <f>IF(AJ$555&lt;80,VLOOKUP(AJ$9,'Recommendation texts'!$A:$AV,2,FALSE),"")</f>
        <v/>
      </c>
      <c r="AK568" s="52" t="str">
        <f>IF(AK$555&lt;80,VLOOKUP(AK$9,'Recommendation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AL568" s="52" t="str">
        <f>IF(AL$555&lt;80,VLOOKUP(AL$9,'Recommendation texts'!$A:$AV,2,FALSE),"")</f>
        <v/>
      </c>
      <c r="AM568" s="52" t="str">
        <f>IF(AM$555&lt;80,VLOOKUP(AM$9,'Recommendation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AN568" s="52" t="str">
        <f>IF(AN$555&lt;80,VLOOKUP(AN$9,'Recommendation texts'!$A:$AV,2,FALSE),"")</f>
        <v/>
      </c>
      <c r="AO568" s="52" t="str">
        <f>IF(AO$555&lt;80,VLOOKUP(AO$9,'Recommendation texts'!$A:$AV,2,FALSE),"")</f>
        <v/>
      </c>
      <c r="AP568" s="52" t="str">
        <f>IF(AP$555&lt;80,VLOOKUP(AP$9,'Recommendation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AQ568" s="52" t="str">
        <f>IF(AQ$555&lt;80,VLOOKUP(AQ$9,'Recommendation texts'!$A:$AV,2,FALSE),"")</f>
        <v/>
      </c>
      <c r="AR568" s="52" t="str">
        <f>IF(AR$555&lt;80,VLOOKUP(AR$9,'Recommendation texts'!$A:$AV,2,FALSE),"")</f>
        <v/>
      </c>
      <c r="AS568" s="52" t="str">
        <f>IF(AS$555&lt;80,VLOOKUP(AS$9,'Recommendation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AT568" s="749"/>
      <c r="AU568" s="749"/>
      <c r="BA568" s="491"/>
      <c r="BG568" s="5"/>
      <c r="BH568" s="5"/>
      <c r="BI568" s="491"/>
      <c r="BK568" s="5"/>
      <c r="BL568" s="5"/>
      <c r="BM568" s="5"/>
      <c r="BN568" s="5"/>
      <c r="BO568" s="5"/>
      <c r="BP568" s="5"/>
      <c r="BQ568" s="5"/>
      <c r="BR568" s="97"/>
    </row>
    <row r="569" spans="1:70" ht="15">
      <c r="H569" s="245" t="s">
        <v>780</v>
      </c>
      <c r="I569" s="486">
        <f>IF(COUNTIF(G$57:G$81,"Meat_fresh_frozen"),1,0)+IF(COUNTIF(G$156:G$180,"Meat_fresh_frozen"),1,0)+IF(COUNTIF(G$255:G$279,"Meat_fresh_frozen"),1,0)+IF(COUNTIF(G$354:G$378,"Meat_fresh_frozen"),1,0)+IF(COUNTIF(G$453:G$477,"Meat_fresh_frozen"),1,0)+IF(COUNTIF(G$57:G$81,"Meat_processed"),1,0)+IF(COUNTIF(G$156:G$180,"Meat_processed"),1,0)+IF(COUNTIF(G$255:G$279,"Meat_processed"),1,0)+IF(COUNTIF(G$354:G$378,"Meat_processed"),1,0)+IF(COUNTIF(G$453:G$477,"Meat_processed"),1,0)</f>
        <v>5</v>
      </c>
      <c r="J569" s="476"/>
      <c r="W569" s="491"/>
      <c r="X569" s="491"/>
      <c r="Y569" s="491"/>
      <c r="Z569" s="491"/>
      <c r="AA569" s="290"/>
      <c r="AB569" s="290"/>
      <c r="AC569" s="290"/>
      <c r="AD569" s="290"/>
      <c r="AE569" s="290"/>
      <c r="AF569" s="290"/>
      <c r="AG569" s="290"/>
      <c r="AH569" s="52">
        <f>IF(AH$555&lt;80,VLOOKUP(AH$9,'Recommendation texts'!$A:$AV,3,FALSE),"")</f>
        <v>0</v>
      </c>
      <c r="AI569" s="52" t="str">
        <f>IF(AI$555&lt;80,VLOOKUP(AI$9,'Recommendation texts'!$A:$AV,3,FALSE),"")</f>
        <v/>
      </c>
      <c r="AJ569" s="66" t="str">
        <f>IF(AJ$555&lt;80,VLOOKUP(AJ$9,'Recommendation texts'!$A:$AV,3,FALSE),"")</f>
        <v/>
      </c>
      <c r="AK569" s="52">
        <f>IF(AK$555&lt;80,VLOOKUP(AK$9,'Recommendation texts'!$A:$AV,3,FALSE),"")</f>
        <v>0</v>
      </c>
      <c r="AL569" s="52" t="str">
        <f>IF(AL$555&lt;80,VLOOKUP(AL$9,'Recommendation texts'!$A:$AV,3,FALSE),"")</f>
        <v/>
      </c>
      <c r="AM569" s="52">
        <f>IF(AM$555&lt;80,VLOOKUP(AM$9,'Recommendation texts'!$A:$AV,3,FALSE),"")</f>
        <v>0</v>
      </c>
      <c r="AN569" s="52" t="str">
        <f>IF(AN$555&lt;80,VLOOKUP(AN$9,'Recommendation texts'!$A:$AV,3,FALSE),"")</f>
        <v/>
      </c>
      <c r="AO569" s="52" t="str">
        <f>IF(AO$555&lt;80,VLOOKUP(AO$9,'Recommendation texts'!$A:$AV,3,FALSE),"")</f>
        <v/>
      </c>
      <c r="AP569" s="52">
        <f>IF(AP$555&lt;80,VLOOKUP(AP$9,'Recommendation texts'!$A:$AV,3,FALSE),"")</f>
        <v>0</v>
      </c>
      <c r="AQ569" s="52" t="str">
        <f>IF(AQ$555&lt;80,VLOOKUP(AQ$9,'Recommendation texts'!$A:$AV,3,FALSE),"")</f>
        <v/>
      </c>
      <c r="AR569" s="52" t="str">
        <f>IF(AR$555&lt;80,VLOOKUP(AR$9,'Recommendation texts'!$A:$AV,3,FALSE),"")</f>
        <v/>
      </c>
      <c r="AS569" s="52">
        <f>IF(AS$555&lt;80,VLOOKUP(AS$9,'Recommendation texts'!$A:$AV,3,FALSE),"")</f>
        <v>0</v>
      </c>
    </row>
    <row r="570" spans="1:70" ht="15">
      <c r="H570" s="245" t="s">
        <v>777</v>
      </c>
      <c r="I570" s="486">
        <f>IF(COUNTIF(G$11:G$100,"Fish_fresh_frozen"),1,0)+IF(COUNTIF(G$110:G$199,"Fish_fresh_frozen"),1,0)+IF(COUNTIF(G$209:G$298,"Fish_fresh_frozen"),1,0)+IF(COUNTIF(G$308:G$397,"Fish_fresh_frozen"),1,0)+IF(COUNTIF(G$407:G$496,"Fish_fresh_frozen"),1,0)+IF(COUNTIF(G$11:G$100,"Fish_processed_canned"),1,0)+IF(COUNTIF(G$110:G$199,"Fish_processed_canned"),1,0)+IF(COUNTIF(G$209:G$298,"Fish_processed_canned"),1,0)+IF(COUNTIF(G$308:G$397,"Fish_processed_canned"),1,0)+IF(COUNTIF(G$407:G$496,"Fish_processed_canned"),1,0)</f>
        <v>1</v>
      </c>
      <c r="J570" s="476"/>
      <c r="K570" s="52"/>
      <c r="W570" s="491"/>
      <c r="X570" s="491"/>
      <c r="Y570" s="491"/>
      <c r="Z570" s="491"/>
      <c r="AA570" s="290"/>
      <c r="AB570" s="290"/>
      <c r="AC570" s="290"/>
      <c r="AD570" s="290"/>
      <c r="AE570" s="290"/>
      <c r="AF570" s="290"/>
      <c r="AG570" s="290"/>
      <c r="AH570" s="52">
        <f>IF(AH$555&lt;80,VLOOKUP(AH$9,'Recommendation texts'!$A:$AV,4,FALSE),"")</f>
        <v>0</v>
      </c>
      <c r="AI570" s="52" t="str">
        <f>IF(AI$555&lt;80,VLOOKUP(AI$9,'Recommendation texts'!$A:$AV,4,FALSE),"")</f>
        <v/>
      </c>
      <c r="AJ570" s="66" t="str">
        <f>IF(AJ$555&lt;80,VLOOKUP(AJ$9,'Recommendation texts'!$A:$AV,4,FALSE),"")</f>
        <v/>
      </c>
      <c r="AK570" s="52">
        <f>IF(AK$555&lt;80,VLOOKUP(AK$9,'Recommendation texts'!$A:$AV,4,FALSE),"")</f>
        <v>0</v>
      </c>
      <c r="AL570" s="52" t="str">
        <f>IF(AL$555&lt;80,VLOOKUP(AL$9,'Recommendation texts'!$A:$AV,4,FALSE),"")</f>
        <v/>
      </c>
      <c r="AM570" s="52">
        <f>IF(AM$555&lt;80,VLOOKUP(AM$9,'Recommendation texts'!$A:$AV,4,FALSE),"")</f>
        <v>0</v>
      </c>
      <c r="AN570" s="52" t="str">
        <f>IF(AN$555&lt;80,VLOOKUP(AN$9,'Recommendation texts'!$A:$AV,4,FALSE),"")</f>
        <v/>
      </c>
      <c r="AO570" s="52" t="str">
        <f>IF(AO$555&lt;80,VLOOKUP(AO$9,'Recommendation texts'!$A:$AV,4,FALSE),"")</f>
        <v/>
      </c>
      <c r="AP570" s="52">
        <f>IF(AP$555&lt;80,VLOOKUP(AP$9,'Recommendation texts'!$A:$AV,4,FALSE),"")</f>
        <v>0</v>
      </c>
      <c r="AQ570" s="52" t="str">
        <f>IF(AQ$555&lt;80,VLOOKUP(AQ$9,'Recommendation texts'!$A:$AV,4,FALSE),"")</f>
        <v/>
      </c>
      <c r="AR570" s="52" t="str">
        <f>IF(AR$555&lt;80,VLOOKUP(AR$9,'Recommendation texts'!$A:$AV,4,FALSE),"")</f>
        <v/>
      </c>
      <c r="AS570" s="52">
        <f>IF(AS$555&lt;80,VLOOKUP(AS$9,'Recommendation texts'!$A:$AV,4,FALSE),"")</f>
        <v>0</v>
      </c>
    </row>
    <row r="571" spans="1:70">
      <c r="H571" s="477" t="s">
        <v>784</v>
      </c>
      <c r="I571" s="23">
        <f>SUMIF(G11:G496,"Eggs",Q11:Q496)/60</f>
        <v>1.9166666666666667</v>
      </c>
      <c r="J571" s="476"/>
      <c r="K571" s="52"/>
      <c r="W571" s="491"/>
      <c r="X571" s="491"/>
      <c r="Y571" s="491"/>
      <c r="Z571" s="491"/>
      <c r="AA571" s="290"/>
      <c r="AB571" s="290"/>
      <c r="AC571" s="290"/>
      <c r="AD571" s="290"/>
      <c r="AE571" s="290"/>
      <c r="AF571" s="290"/>
      <c r="AG571" s="290"/>
      <c r="AH571" s="52">
        <f>IF(AH$555&lt;80,VLOOKUP(AH$9,'Recommendation texts'!$A:$AV,5,FALSE),"")</f>
        <v>0</v>
      </c>
      <c r="AI571" s="52" t="str">
        <f>IF(AI$555&lt;80,VLOOKUP(AI$9,'Recommendation texts'!$A:$AV,5,FALSE),"")</f>
        <v/>
      </c>
      <c r="AJ571" s="66" t="str">
        <f>IF(AJ$555&lt;80,VLOOKUP(AJ$9,'Recommendation texts'!$A:$AV,5,FALSE),"")</f>
        <v/>
      </c>
      <c r="AK571" s="52">
        <f>IF(AK$555&lt;80,VLOOKUP(AK$9,'Recommendation texts'!$A:$AV,5,FALSE),"")</f>
        <v>0</v>
      </c>
      <c r="AL571" s="52" t="str">
        <f>IF(AL$555&lt;80,VLOOKUP(AL$9,'Recommendation texts'!$A:$AV,5,FALSE),"")</f>
        <v/>
      </c>
      <c r="AM571" s="52">
        <f>IF(AM$555&lt;80,VLOOKUP(AM$9,'Recommendation texts'!$A:$AV,5,FALSE),"")</f>
        <v>0</v>
      </c>
      <c r="AN571" s="52" t="str">
        <f>IF(AN$555&lt;80,VLOOKUP(AN$9,'Recommendation texts'!$A:$AV,5,FALSE),"")</f>
        <v/>
      </c>
      <c r="AO571" s="52" t="str">
        <f>IF(AO$555&lt;80,VLOOKUP(AO$9,'Recommendation texts'!$A:$AV,5,FALSE),"")</f>
        <v/>
      </c>
      <c r="AP571" s="52">
        <f>IF(AP$555&lt;80,VLOOKUP(AP$9,'Recommendation texts'!$A:$AV,5,FALSE),"")</f>
        <v>0</v>
      </c>
      <c r="AQ571" s="52" t="str">
        <f>IF(AQ$555&lt;80,VLOOKUP(AQ$9,'Recommendation texts'!$A:$AV,5,FALSE),"")</f>
        <v/>
      </c>
      <c r="AR571" s="52" t="str">
        <f>IF(AR$555&lt;80,VLOOKUP(AR$9,'Recommendation texts'!$A:$AV,5,FALSE),"")</f>
        <v/>
      </c>
      <c r="AS571" s="52">
        <f>IF(AS$555&lt;80,VLOOKUP(AS$9,'Recommendation texts'!$A:$AV,5,FALSE),"")</f>
        <v>0</v>
      </c>
    </row>
    <row r="572" spans="1:70" ht="15">
      <c r="H572" s="245" t="s">
        <v>782</v>
      </c>
      <c r="I572" s="749">
        <f>IF(COUNTIF(H$11:H$100,"Peas frozen"),1,0)+IF(COUNTIF(H$110:H$199,"Peas frozen"),1,0)+IF(COUNTIF(H$209:H$298,"Peas frozen"),1,0)+IF(COUNTIF(H$308:H$397,"Peas frozen"),1,0)+IF(COUNTIF(H$407:H$496,"Peas frozen"),1,0)+IF(COUNTIF(H$11:H$100,"Beans haricot (yellow)"),1,0)+IF(COUNTIF(H$110:H$199,"Beans haricot (yellow)"),1,0)+IF(COUNTIF(H$209:H$298,"Beans haricot (yellow)"),1,0)+IF(COUNTIF(H$308:H$397,"Beans haricot (yellow)"),1,0)+IF(COUNTIF(H$407:H$496,"Beans haricot (yellow)"),1,0)+IF(COUNTIF(H$11:H$100,"Beans (white)"),1,0)+IF(COUNTIF(H$110:H$199,"Beans (white)"),1,0)+IF(COUNTIF(H$209:H$298,"Beans (white)"),1,0)+IF(COUNTIF(H$308:H$397,"Beans (white)"),1,0)+IF(COUNTIF(H$407:H$496,"Beans (white)"),1,0)+IF(COUNTIF(H$11:H$100,"Beans (coloured)"),1,0)+IF(COUNTIF(H$110:H$199,"Beans (coloured)"),1,0)+IF(COUNTIF(H$209:H$298,"Beans (coloured)"),1,0)+IF(COUNTIF(H$308:H$397,"Beans (coloured)"),1,0)+IF(COUNTIF(H$407:H$496,"Beans (coloured)"),1,0)</f>
        <v>0</v>
      </c>
      <c r="J572" s="476"/>
      <c r="K572" s="52"/>
      <c r="W572" s="491"/>
      <c r="X572" s="491"/>
      <c r="Y572" s="491"/>
      <c r="Z572" s="491"/>
      <c r="AA572" s="290"/>
      <c r="AB572" s="290"/>
      <c r="AC572" s="290"/>
      <c r="AD572" s="290"/>
      <c r="AE572" s="290"/>
      <c r="AF572" s="290"/>
      <c r="AG572" s="290"/>
      <c r="AH572" s="52">
        <f>IF(AH$555&lt;80,VLOOKUP(AH$9,'Recommendation texts'!$A:$AV,6,FALSE),"")</f>
        <v>0</v>
      </c>
      <c r="AI572" s="52" t="str">
        <f>IF(AI$555&lt;80,VLOOKUP(AI$9,'Recommendation texts'!$A:$AV,6,FALSE),"")</f>
        <v/>
      </c>
      <c r="AJ572" s="66" t="str">
        <f>IF(AJ$555&lt;80,VLOOKUP(AJ$9,'Recommendation texts'!$A:$AV,6,FALSE),"")</f>
        <v/>
      </c>
      <c r="AK572" s="52">
        <f>IF(AK$555&lt;80,VLOOKUP(AK$9,'Recommendation texts'!$A:$AV,6,FALSE),"")</f>
        <v>0</v>
      </c>
      <c r="AL572" s="52" t="str">
        <f>IF(AL$555&lt;80,VLOOKUP(AL$9,'Recommendation texts'!$A:$AV,6,FALSE),"")</f>
        <v/>
      </c>
      <c r="AM572" s="52">
        <f>IF(AM$555&lt;80,VLOOKUP(AM$9,'Recommendation texts'!$A:$AV,6,FALSE),"")</f>
        <v>0</v>
      </c>
      <c r="AN572" s="52" t="str">
        <f>IF(AN$555&lt;80,VLOOKUP(AN$9,'Recommendation texts'!$A:$AV,6,FALSE),"")</f>
        <v/>
      </c>
      <c r="AO572" s="52" t="str">
        <f>IF(AO$555&lt;80,VLOOKUP(AO$9,'Recommendation texts'!$A:$AV,6,FALSE),"")</f>
        <v/>
      </c>
      <c r="AP572" s="52">
        <f>IF(AP$555&lt;80,VLOOKUP(AP$9,'Recommendation texts'!$A:$AV,6,FALSE),"")</f>
        <v>0</v>
      </c>
      <c r="AQ572" s="52" t="str">
        <f>IF(AQ$555&lt;80,VLOOKUP(AQ$9,'Recommendation texts'!$A:$AV,6,FALSE),"")</f>
        <v/>
      </c>
      <c r="AR572" s="52" t="str">
        <f>IF(AR$555&lt;80,VLOOKUP(AR$9,'Recommendation texts'!$A:$AV,6,FALSE),"")</f>
        <v/>
      </c>
      <c r="AS572" s="52">
        <f>IF(AS$555&lt;80,VLOOKUP(AS$9,'Recommendation texts'!$A:$AV,6,FALSE),"")</f>
        <v>0</v>
      </c>
    </row>
    <row r="573" spans="1:70" ht="15">
      <c r="H573" s="245" t="s">
        <v>781</v>
      </c>
      <c r="I573" s="486">
        <f>IF(COUNTIF(G$11:G$100,"Dairy_products"),1,0)+IF(COUNTIF(G$110:G$199,"Dairy_products"),1,0)+IF(COUNTIF(G$209:G$298,"Dairy_products"),1,0)+IF(COUNTIF(G$308:G$397,"Dairy_products"),1,0)+IF(COUNTIF(G$407:G$496,"Dairy_products"),1,0)</f>
        <v>5</v>
      </c>
      <c r="J573" s="476"/>
      <c r="K573" s="52"/>
      <c r="W573" s="491"/>
      <c r="X573" s="491"/>
      <c r="Y573" s="491"/>
      <c r="Z573" s="491"/>
      <c r="AA573" s="290"/>
      <c r="AB573" s="290"/>
      <c r="AC573" s="290"/>
      <c r="AD573" s="290"/>
      <c r="AE573" s="290"/>
      <c r="AF573" s="290"/>
      <c r="AG573" s="290"/>
      <c r="AH573" s="52">
        <f>IF(AH$555&lt;80,VLOOKUP(AH$9,'Recommendation texts'!$A:$AV,7,FALSE),"")</f>
        <v>0</v>
      </c>
      <c r="AI573" s="52" t="str">
        <f>IF(AI$555&lt;80,VLOOKUP(AI$9,'Recommendation texts'!$A:$AV,7,FALSE),"")</f>
        <v/>
      </c>
      <c r="AJ573" s="66" t="str">
        <f>IF(AJ$555&lt;80,VLOOKUP(AJ$9,'Recommendation texts'!$A:$AV,7,FALSE),"")</f>
        <v/>
      </c>
      <c r="AK573" s="52">
        <f>IF(AK$555&lt;80,VLOOKUP(AK$9,'Recommendation texts'!$A:$AV,7,FALSE),"")</f>
        <v>0</v>
      </c>
      <c r="AL573" s="52" t="str">
        <f>IF(AL$555&lt;80,VLOOKUP(AL$9,'Recommendation texts'!$A:$AV,7,FALSE),"")</f>
        <v/>
      </c>
      <c r="AM573" s="52">
        <f>IF(AM$555&lt;80,VLOOKUP(AM$9,'Recommendation texts'!$A:$AV,7,FALSE),"")</f>
        <v>0</v>
      </c>
      <c r="AN573" s="52" t="str">
        <f>IF(AN$555&lt;80,VLOOKUP(AN$9,'Recommendation texts'!$A:$AV,7,FALSE),"")</f>
        <v/>
      </c>
      <c r="AO573" s="52" t="str">
        <f>IF(AO$555&lt;80,VLOOKUP(AO$9,'Recommendation texts'!$A:$AV,7,FALSE),"")</f>
        <v/>
      </c>
      <c r="AP573" s="52">
        <f>IF(AP$555&lt;80,VLOOKUP(AP$9,'Recommendation texts'!$A:$AV,7,FALSE),"")</f>
        <v>0</v>
      </c>
      <c r="AQ573" s="52" t="str">
        <f>IF(AQ$555&lt;80,VLOOKUP(AQ$9,'Recommendation texts'!$A:$AV,7,FALSE),"")</f>
        <v/>
      </c>
      <c r="AR573" s="52" t="str">
        <f>IF(AR$555&lt;80,VLOOKUP(AR$9,'Recommendation texts'!$A:$AV,7,FALSE),"")</f>
        <v/>
      </c>
      <c r="AS573" s="52">
        <f>IF(AS$555&lt;80,VLOOKUP(AS$9,'Recommendation texts'!$A:$AV,7,FALSE),"")</f>
        <v>0</v>
      </c>
    </row>
    <row r="574" spans="1:70">
      <c r="H574" s="245"/>
      <c r="K574" s="52"/>
      <c r="W574" s="491"/>
      <c r="X574" s="491"/>
      <c r="Y574" s="491"/>
      <c r="Z574" s="491"/>
      <c r="AA574" s="290"/>
      <c r="AB574" s="290"/>
      <c r="AC574" s="290"/>
      <c r="AD574" s="290"/>
      <c r="AE574" s="290"/>
      <c r="AF574" s="290"/>
      <c r="AG574" s="290"/>
      <c r="AH574" s="52">
        <f>IF(AH$555&lt;80,VLOOKUP(AH$9,'Recommendation texts'!$A:$AV,8,FALSE),"")</f>
        <v>0</v>
      </c>
      <c r="AI574" s="52" t="str">
        <f>IF(AI$555&lt;80,VLOOKUP(AI$9,'Recommendation texts'!$A:$AV,8,FALSE),"")</f>
        <v/>
      </c>
      <c r="AJ574" s="66" t="str">
        <f>IF(AJ$555&lt;80,VLOOKUP(AJ$9,'Recommendation texts'!$A:$AV,8,FALSE),"")</f>
        <v/>
      </c>
      <c r="AK574" s="52">
        <f>IF(AK$555&lt;80,VLOOKUP(AK$9,'Recommendation texts'!$A:$AV,8,FALSE),"")</f>
        <v>0</v>
      </c>
      <c r="AL574" s="52" t="str">
        <f>IF(AL$555&lt;80,VLOOKUP(AL$9,'Recommendation texts'!$A:$AV,8,FALSE),"")</f>
        <v/>
      </c>
      <c r="AM574" s="52">
        <f>IF(AM$555&lt;80,VLOOKUP(AM$9,'Recommendation texts'!$A:$AV,8,FALSE),"")</f>
        <v>0</v>
      </c>
      <c r="AN574" s="52" t="str">
        <f>IF(AN$555&lt;80,VLOOKUP(AN$9,'Recommendation texts'!$A:$AV,8,FALSE),"")</f>
        <v/>
      </c>
      <c r="AO574" s="52" t="str">
        <f>IF(AO$555&lt;80,VLOOKUP(AO$9,'Recommendation texts'!$A:$AV,8,FALSE),"")</f>
        <v/>
      </c>
      <c r="AP574" s="52">
        <f>IF(AP$555&lt;80,VLOOKUP(AP$9,'Recommendation texts'!$A:$AV,8,FALSE),"")</f>
        <v>0</v>
      </c>
      <c r="AQ574" s="52" t="str">
        <f>IF(AQ$555&lt;80,VLOOKUP(AQ$9,'Recommendation texts'!$A:$AV,8,FALSE),"")</f>
        <v/>
      </c>
      <c r="AR574" s="52" t="str">
        <f>IF(AR$555&lt;80,VLOOKUP(AR$9,'Recommendation texts'!$A:$AV,8,FALSE),"")</f>
        <v/>
      </c>
      <c r="AS574" s="52">
        <f>IF(AS$555&lt;80,VLOOKUP(AS$9,'Recommendation texts'!$A:$AV,8,FALSE),"")</f>
        <v>0</v>
      </c>
    </row>
    <row r="575" spans="1:70">
      <c r="H575" s="245"/>
    </row>
    <row r="576" spans="1:70">
      <c r="H576" s="245"/>
    </row>
    <row r="577" spans="8:8">
      <c r="H577" s="245"/>
    </row>
    <row r="578" spans="8:8">
      <c r="H578" s="245"/>
    </row>
    <row r="579" spans="8:8">
      <c r="H579" s="245"/>
    </row>
    <row r="580" spans="8:8">
      <c r="H580" s="245"/>
    </row>
    <row r="581" spans="8:8">
      <c r="H581" s="245"/>
    </row>
    <row r="582" spans="8:8">
      <c r="H582" s="245"/>
    </row>
    <row r="583" spans="8:8">
      <c r="H583" s="245"/>
    </row>
    <row r="584" spans="8:8">
      <c r="H584" s="245"/>
    </row>
  </sheetData>
  <mergeCells count="24">
    <mergeCell ref="Q534:V534"/>
    <mergeCell ref="Q543:V543"/>
    <mergeCell ref="Q544:V544"/>
    <mergeCell ref="Q554:V554"/>
    <mergeCell ref="Q555:V555"/>
    <mergeCell ref="Q513:V513"/>
    <mergeCell ref="Q514:V514"/>
    <mergeCell ref="Q523:V523"/>
    <mergeCell ref="Q524:V524"/>
    <mergeCell ref="Q533:V533"/>
    <mergeCell ref="C6:K7"/>
    <mergeCell ref="H3:K4"/>
    <mergeCell ref="C3:F4"/>
    <mergeCell ref="G3:G4"/>
    <mergeCell ref="B547:F555"/>
    <mergeCell ref="B507:F514"/>
    <mergeCell ref="B517:F524"/>
    <mergeCell ref="B527:F534"/>
    <mergeCell ref="B537:F544"/>
    <mergeCell ref="G506:H506"/>
    <mergeCell ref="G516:H516"/>
    <mergeCell ref="G526:H526"/>
    <mergeCell ref="G536:H536"/>
    <mergeCell ref="G546:H546"/>
  </mergeCells>
  <phoneticPr fontId="113" type="noConversion"/>
  <conditionalFormatting sqref="W104:AA104 AC104:AS104">
    <cfRule type="colorScale" priority="858">
      <colorScale>
        <cfvo type="num" val="0"/>
        <cfvo type="num" val="80"/>
        <color rgb="FFFF0000"/>
        <color theme="0"/>
      </colorScale>
    </cfRule>
  </conditionalFormatting>
  <conditionalFormatting sqref="W53:AA53 AC53:AS53">
    <cfRule type="colorScale" priority="857">
      <colorScale>
        <cfvo type="num" val="0"/>
        <cfvo type="num" val="80"/>
        <color rgb="FFFF0000"/>
        <color theme="0"/>
      </colorScale>
    </cfRule>
  </conditionalFormatting>
  <conditionalFormatting sqref="W34:AA34 AC34:AS34">
    <cfRule type="colorScale" priority="856">
      <colorScale>
        <cfvo type="num" val="0"/>
        <cfvo type="num" val="80"/>
        <color rgb="FFFF0000"/>
        <color theme="0"/>
      </colorScale>
    </cfRule>
  </conditionalFormatting>
  <conditionalFormatting sqref="W133:AA133 AC133:AS133">
    <cfRule type="colorScale" priority="855">
      <colorScale>
        <cfvo type="num" val="0"/>
        <cfvo type="num" val="80"/>
        <color rgb="FFFF0000"/>
        <color theme="0"/>
      </colorScale>
    </cfRule>
  </conditionalFormatting>
  <conditionalFormatting sqref="W232:AA232 AC232:AS232">
    <cfRule type="colorScale" priority="854">
      <colorScale>
        <cfvo type="num" val="0"/>
        <cfvo type="num" val="80"/>
        <color rgb="FFFF0000"/>
        <color theme="0"/>
      </colorScale>
    </cfRule>
  </conditionalFormatting>
  <conditionalFormatting sqref="W331:AA331 AC331:AS331">
    <cfRule type="colorScale" priority="853">
      <colorScale>
        <cfvo type="num" val="0"/>
        <cfvo type="num" val="80"/>
        <color rgb="FFFF0000"/>
        <color theme="0"/>
      </colorScale>
    </cfRule>
  </conditionalFormatting>
  <conditionalFormatting sqref="W430:AA430 AC430:AS430">
    <cfRule type="colorScale" priority="852">
      <colorScale>
        <cfvo type="num" val="0"/>
        <cfvo type="num" val="80"/>
        <color rgb="FFFF0000"/>
        <color theme="0"/>
      </colorScale>
    </cfRule>
  </conditionalFormatting>
  <conditionalFormatting sqref="W152:AA152 AD152:AS152">
    <cfRule type="colorScale" priority="851">
      <colorScale>
        <cfvo type="num" val="0"/>
        <cfvo type="num" val="80"/>
        <color rgb="FFFF0000"/>
        <color theme="0"/>
      </colorScale>
    </cfRule>
  </conditionalFormatting>
  <conditionalFormatting sqref="W251:AA251 AC251:AS251">
    <cfRule type="colorScale" priority="850">
      <colorScale>
        <cfvo type="num" val="0"/>
        <cfvo type="num" val="80"/>
        <color rgb="FFFF0000"/>
        <color theme="0"/>
      </colorScale>
    </cfRule>
  </conditionalFormatting>
  <conditionalFormatting sqref="W350:AA350 AC350:AS350">
    <cfRule type="colorScale" priority="849">
      <colorScale>
        <cfvo type="num" val="0"/>
        <cfvo type="num" val="80"/>
        <color rgb="FFFF0000"/>
        <color theme="0"/>
      </colorScale>
    </cfRule>
  </conditionalFormatting>
  <conditionalFormatting sqref="W449:AA449 AC449:AS449">
    <cfRule type="colorScale" priority="848">
      <colorScale>
        <cfvo type="num" val="0"/>
        <cfvo type="num" val="80"/>
        <color rgb="FFFF0000"/>
        <color theme="0"/>
      </colorScale>
    </cfRule>
  </conditionalFormatting>
  <conditionalFormatting sqref="W184:AA184 AC184:AS184">
    <cfRule type="colorScale" priority="847">
      <colorScale>
        <cfvo type="num" val="0"/>
        <cfvo type="num" val="80"/>
        <color rgb="FFFF0000"/>
        <color theme="0"/>
      </colorScale>
    </cfRule>
  </conditionalFormatting>
  <conditionalFormatting sqref="W283:AA283 AC283:AS283">
    <cfRule type="colorScale" priority="846">
      <colorScale>
        <cfvo type="num" val="0"/>
        <cfvo type="num" val="80"/>
        <color rgb="FFFF0000"/>
        <color theme="0"/>
      </colorScale>
    </cfRule>
  </conditionalFormatting>
  <conditionalFormatting sqref="W382:AA382 AC382:AS382">
    <cfRule type="colorScale" priority="845">
      <colorScale>
        <cfvo type="num" val="0"/>
        <cfvo type="num" val="80"/>
        <color rgb="FFFF0000"/>
        <color theme="0"/>
      </colorScale>
    </cfRule>
  </conditionalFormatting>
  <conditionalFormatting sqref="W481:AA481 AC481:AS481">
    <cfRule type="colorScale" priority="844">
      <colorScale>
        <cfvo type="num" val="0"/>
        <cfvo type="num" val="80"/>
        <color rgb="FFFF0000"/>
        <color theme="0"/>
      </colorScale>
    </cfRule>
  </conditionalFormatting>
  <conditionalFormatting sqref="W203:AA203 AC203:AS203">
    <cfRule type="colorScale" priority="843">
      <colorScale>
        <cfvo type="num" val="0"/>
        <cfvo type="num" val="80"/>
        <color rgb="FFFF0000"/>
        <color theme="0"/>
      </colorScale>
    </cfRule>
  </conditionalFormatting>
  <conditionalFormatting sqref="W302:AA302 AC302:AS302">
    <cfRule type="colorScale" priority="842">
      <colorScale>
        <cfvo type="num" val="0"/>
        <cfvo type="num" val="80"/>
        <color rgb="FFFF0000"/>
        <color theme="0"/>
      </colorScale>
    </cfRule>
  </conditionalFormatting>
  <conditionalFormatting sqref="W401:AA401 AC401:AS401">
    <cfRule type="colorScale" priority="841">
      <colorScale>
        <cfvo type="num" val="0"/>
        <cfvo type="num" val="80"/>
        <color rgb="FFFF0000"/>
        <color theme="0"/>
      </colorScale>
    </cfRule>
  </conditionalFormatting>
  <conditionalFormatting sqref="W500:AA500 AC500:AS500">
    <cfRule type="colorScale" priority="840">
      <colorScale>
        <cfvo type="num" val="0"/>
        <cfvo type="num" val="80"/>
        <color rgb="FFFF0000"/>
        <color theme="0"/>
      </colorScale>
    </cfRule>
  </conditionalFormatting>
  <conditionalFormatting sqref="AB87">
    <cfRule type="colorScale" priority="839">
      <colorScale>
        <cfvo type="num" val="120"/>
        <cfvo type="num" val="200"/>
        <color theme="0"/>
        <color rgb="FFFF0000"/>
      </colorScale>
    </cfRule>
  </conditionalFormatting>
  <conditionalFormatting sqref="AC85:AS85">
    <cfRule type="colorScale" priority="838">
      <colorScale>
        <cfvo type="num" val="0"/>
        <cfvo type="num" val="80"/>
        <color rgb="FFFF0000"/>
        <color theme="0"/>
      </colorScale>
    </cfRule>
  </conditionalFormatting>
  <conditionalFormatting sqref="AB85">
    <cfRule type="colorScale" priority="837">
      <colorScale>
        <cfvo type="num" val="120"/>
        <cfvo type="num" val="200"/>
        <color theme="0"/>
        <color rgb="FFFF0000"/>
      </colorScale>
    </cfRule>
  </conditionalFormatting>
  <conditionalFormatting sqref="AB53">
    <cfRule type="colorScale" priority="835">
      <colorScale>
        <cfvo type="num" val="120"/>
        <cfvo type="num" val="200"/>
        <color theme="0"/>
        <color rgb="FFFF0000"/>
      </colorScale>
    </cfRule>
  </conditionalFormatting>
  <conditionalFormatting sqref="AB34">
    <cfRule type="colorScale" priority="834">
      <colorScale>
        <cfvo type="num" val="120"/>
        <cfvo type="num" val="200"/>
        <color theme="0"/>
        <color rgb="FFFF0000"/>
      </colorScale>
    </cfRule>
  </conditionalFormatting>
  <conditionalFormatting sqref="AB104">
    <cfRule type="colorScale" priority="833">
      <colorScale>
        <cfvo type="num" val="120"/>
        <cfvo type="num" val="200"/>
        <color theme="0"/>
        <color rgb="FFFF0000"/>
      </colorScale>
    </cfRule>
  </conditionalFormatting>
  <conditionalFormatting sqref="AB133">
    <cfRule type="colorScale" priority="832">
      <colorScale>
        <cfvo type="num" val="120"/>
        <cfvo type="num" val="200"/>
        <color theme="0"/>
        <color rgb="FFFF0000"/>
      </colorScale>
    </cfRule>
  </conditionalFormatting>
  <conditionalFormatting sqref="AB152:AC152">
    <cfRule type="colorScale" priority="831">
      <colorScale>
        <cfvo type="num" val="120"/>
        <cfvo type="num" val="200"/>
        <color theme="0"/>
        <color rgb="FFFF0000"/>
      </colorScale>
    </cfRule>
  </conditionalFormatting>
  <conditionalFormatting sqref="AB184">
    <cfRule type="colorScale" priority="830">
      <colorScale>
        <cfvo type="num" val="120"/>
        <cfvo type="num" val="200"/>
        <color theme="0"/>
        <color rgb="FFFF0000"/>
      </colorScale>
    </cfRule>
  </conditionalFormatting>
  <conditionalFormatting sqref="AB203">
    <cfRule type="colorScale" priority="829">
      <colorScale>
        <cfvo type="num" val="120"/>
        <cfvo type="num" val="200"/>
        <color theme="0"/>
        <color rgb="FFFF0000"/>
      </colorScale>
    </cfRule>
  </conditionalFormatting>
  <conditionalFormatting sqref="AB232">
    <cfRule type="colorScale" priority="828">
      <colorScale>
        <cfvo type="num" val="120"/>
        <cfvo type="num" val="200"/>
        <color theme="0"/>
        <color rgb="FFFF0000"/>
      </colorScale>
    </cfRule>
  </conditionalFormatting>
  <conditionalFormatting sqref="AB251">
    <cfRule type="colorScale" priority="827">
      <colorScale>
        <cfvo type="num" val="120"/>
        <cfvo type="num" val="200"/>
        <color theme="0"/>
        <color rgb="FFFF0000"/>
      </colorScale>
    </cfRule>
  </conditionalFormatting>
  <conditionalFormatting sqref="AB283">
    <cfRule type="colorScale" priority="826">
      <colorScale>
        <cfvo type="num" val="120"/>
        <cfvo type="num" val="200"/>
        <color theme="0"/>
        <color rgb="FFFF0000"/>
      </colorScale>
    </cfRule>
  </conditionalFormatting>
  <conditionalFormatting sqref="AB302">
    <cfRule type="colorScale" priority="825">
      <colorScale>
        <cfvo type="num" val="120"/>
        <cfvo type="num" val="200"/>
        <color theme="0"/>
        <color rgb="FFFF0000"/>
      </colorScale>
    </cfRule>
  </conditionalFormatting>
  <conditionalFormatting sqref="AB331">
    <cfRule type="colorScale" priority="824">
      <colorScale>
        <cfvo type="num" val="120"/>
        <cfvo type="num" val="200"/>
        <color theme="0"/>
        <color rgb="FFFF0000"/>
      </colorScale>
    </cfRule>
  </conditionalFormatting>
  <conditionalFormatting sqref="AB350">
    <cfRule type="colorScale" priority="823">
      <colorScale>
        <cfvo type="num" val="120"/>
        <cfvo type="num" val="200"/>
        <color theme="0"/>
        <color rgb="FFFF0000"/>
      </colorScale>
    </cfRule>
  </conditionalFormatting>
  <conditionalFormatting sqref="AB382">
    <cfRule type="colorScale" priority="822">
      <colorScale>
        <cfvo type="num" val="120"/>
        <cfvo type="num" val="200"/>
        <color theme="0"/>
        <color rgb="FFFF0000"/>
      </colorScale>
    </cfRule>
  </conditionalFormatting>
  <conditionalFormatting sqref="AB401">
    <cfRule type="colorScale" priority="821">
      <colorScale>
        <cfvo type="num" val="120"/>
        <cfvo type="num" val="200"/>
        <color theme="0"/>
        <color rgb="FFFF0000"/>
      </colorScale>
    </cfRule>
  </conditionalFormatting>
  <conditionalFormatting sqref="AB430">
    <cfRule type="colorScale" priority="820">
      <colorScale>
        <cfvo type="num" val="120"/>
        <cfvo type="num" val="200"/>
        <color theme="0"/>
        <color rgb="FFFF0000"/>
      </colorScale>
    </cfRule>
  </conditionalFormatting>
  <conditionalFormatting sqref="AB449">
    <cfRule type="colorScale" priority="819">
      <colorScale>
        <cfvo type="num" val="120"/>
        <cfvo type="num" val="200"/>
        <color theme="0"/>
        <color rgb="FFFF0000"/>
      </colorScale>
    </cfRule>
  </conditionalFormatting>
  <conditionalFormatting sqref="AB481">
    <cfRule type="colorScale" priority="818">
      <colorScale>
        <cfvo type="num" val="120"/>
        <cfvo type="num" val="200"/>
        <color theme="0"/>
        <color rgb="FFFF0000"/>
      </colorScale>
    </cfRule>
  </conditionalFormatting>
  <conditionalFormatting sqref="AB500">
    <cfRule type="colorScale" priority="817">
      <colorScale>
        <cfvo type="num" val="120"/>
        <cfvo type="num" val="200"/>
        <color theme="0"/>
        <color rgb="FFFF0000"/>
      </colorScale>
    </cfRule>
  </conditionalFormatting>
  <conditionalFormatting sqref="W85:AA85">
    <cfRule type="colorScale" priority="676">
      <colorScale>
        <cfvo type="num" val="0"/>
        <cfvo type="num" val="80"/>
        <color rgb="FFFF0000"/>
        <color theme="0"/>
      </colorScale>
    </cfRule>
  </conditionalFormatting>
  <conditionalFormatting sqref="W87:AA87">
    <cfRule type="colorScale" priority="675">
      <colorScale>
        <cfvo type="num" val="0"/>
        <cfvo type="num" val="80"/>
        <color rgb="FFFF0000"/>
        <color theme="0"/>
      </colorScale>
    </cfRule>
  </conditionalFormatting>
  <conditionalFormatting sqref="AC87:AS87">
    <cfRule type="colorScale" priority="674">
      <colorScale>
        <cfvo type="num" val="0"/>
        <cfvo type="num" val="80"/>
        <color rgb="FFFF0000"/>
        <color theme="0"/>
      </colorScale>
    </cfRule>
  </conditionalFormatting>
  <conditionalFormatting sqref="AB55">
    <cfRule type="colorScale" priority="673">
      <colorScale>
        <cfvo type="num" val="120"/>
        <cfvo type="num" val="200"/>
        <color theme="0"/>
        <color rgb="FFFF0000"/>
      </colorScale>
    </cfRule>
  </conditionalFormatting>
  <conditionalFormatting sqref="W55:AA55">
    <cfRule type="colorScale" priority="672">
      <colorScale>
        <cfvo type="num" val="0"/>
        <cfvo type="num" val="80"/>
        <color rgb="FFFF0000"/>
        <color theme="0"/>
      </colorScale>
    </cfRule>
  </conditionalFormatting>
  <conditionalFormatting sqref="AC55:AS55">
    <cfRule type="colorScale" priority="671">
      <colorScale>
        <cfvo type="num" val="0"/>
        <cfvo type="num" val="80"/>
        <color rgb="FFFF0000"/>
        <color theme="0"/>
      </colorScale>
    </cfRule>
  </conditionalFormatting>
  <conditionalFormatting sqref="AB36">
    <cfRule type="colorScale" priority="670">
      <colorScale>
        <cfvo type="num" val="120"/>
        <cfvo type="num" val="200"/>
        <color theme="0"/>
        <color rgb="FFFF0000"/>
      </colorScale>
    </cfRule>
  </conditionalFormatting>
  <conditionalFormatting sqref="W36:AA36">
    <cfRule type="colorScale" priority="669">
      <colorScale>
        <cfvo type="num" val="0"/>
        <cfvo type="num" val="80"/>
        <color rgb="FFFF0000"/>
        <color theme="0"/>
      </colorScale>
    </cfRule>
  </conditionalFormatting>
  <conditionalFormatting sqref="AC36:AS36">
    <cfRule type="colorScale" priority="668">
      <colorScale>
        <cfvo type="num" val="0"/>
        <cfvo type="num" val="80"/>
        <color rgb="FFFF0000"/>
        <color theme="0"/>
      </colorScale>
    </cfRule>
  </conditionalFormatting>
  <conditionalFormatting sqref="AB106">
    <cfRule type="colorScale" priority="667">
      <colorScale>
        <cfvo type="num" val="120"/>
        <cfvo type="num" val="200"/>
        <color theme="0"/>
        <color rgb="FFFF0000"/>
      </colorScale>
    </cfRule>
  </conditionalFormatting>
  <conditionalFormatting sqref="W106:AA106">
    <cfRule type="colorScale" priority="666">
      <colorScale>
        <cfvo type="num" val="0"/>
        <cfvo type="num" val="80"/>
        <color rgb="FFFF0000"/>
        <color theme="0"/>
      </colorScale>
    </cfRule>
  </conditionalFormatting>
  <conditionalFormatting sqref="AC106:AS106">
    <cfRule type="colorScale" priority="665">
      <colorScale>
        <cfvo type="num" val="0"/>
        <cfvo type="num" val="80"/>
        <color rgb="FFFF0000"/>
        <color theme="0"/>
      </colorScale>
    </cfRule>
  </conditionalFormatting>
  <conditionalFormatting sqref="AB135">
    <cfRule type="colorScale" priority="664">
      <colorScale>
        <cfvo type="num" val="120"/>
        <cfvo type="num" val="200"/>
        <color theme="0"/>
        <color rgb="FFFF0000"/>
      </colorScale>
    </cfRule>
  </conditionalFormatting>
  <conditionalFormatting sqref="W135:AA135">
    <cfRule type="colorScale" priority="663">
      <colorScale>
        <cfvo type="num" val="0"/>
        <cfvo type="num" val="80"/>
        <color rgb="FFFF0000"/>
        <color theme="0"/>
      </colorScale>
    </cfRule>
  </conditionalFormatting>
  <conditionalFormatting sqref="AC135:AS135">
    <cfRule type="colorScale" priority="662">
      <colorScale>
        <cfvo type="num" val="0"/>
        <cfvo type="num" val="80"/>
        <color rgb="FFFF0000"/>
        <color theme="0"/>
      </colorScale>
    </cfRule>
  </conditionalFormatting>
  <conditionalFormatting sqref="AB154">
    <cfRule type="colorScale" priority="661">
      <colorScale>
        <cfvo type="num" val="120"/>
        <cfvo type="num" val="200"/>
        <color theme="0"/>
        <color rgb="FFFF0000"/>
      </colorScale>
    </cfRule>
  </conditionalFormatting>
  <conditionalFormatting sqref="W154:AA154">
    <cfRule type="colorScale" priority="660">
      <colorScale>
        <cfvo type="num" val="0"/>
        <cfvo type="num" val="80"/>
        <color rgb="FFFF0000"/>
        <color theme="0"/>
      </colorScale>
    </cfRule>
  </conditionalFormatting>
  <conditionalFormatting sqref="AC154:AS154">
    <cfRule type="colorScale" priority="659">
      <colorScale>
        <cfvo type="num" val="0"/>
        <cfvo type="num" val="80"/>
        <color rgb="FFFF0000"/>
        <color theme="0"/>
      </colorScale>
    </cfRule>
  </conditionalFormatting>
  <conditionalFormatting sqref="AB186">
    <cfRule type="colorScale" priority="658">
      <colorScale>
        <cfvo type="num" val="120"/>
        <cfvo type="num" val="200"/>
        <color theme="0"/>
        <color rgb="FFFF0000"/>
      </colorScale>
    </cfRule>
  </conditionalFormatting>
  <conditionalFormatting sqref="W186:AA186">
    <cfRule type="colorScale" priority="657">
      <colorScale>
        <cfvo type="num" val="0"/>
        <cfvo type="num" val="80"/>
        <color rgb="FFFF0000"/>
        <color theme="0"/>
      </colorScale>
    </cfRule>
  </conditionalFormatting>
  <conditionalFormatting sqref="AC186:AS186">
    <cfRule type="colorScale" priority="656">
      <colorScale>
        <cfvo type="num" val="0"/>
        <cfvo type="num" val="80"/>
        <color rgb="FFFF0000"/>
        <color theme="0"/>
      </colorScale>
    </cfRule>
  </conditionalFormatting>
  <conditionalFormatting sqref="AB205">
    <cfRule type="colorScale" priority="655">
      <colorScale>
        <cfvo type="num" val="120"/>
        <cfvo type="num" val="200"/>
        <color theme="0"/>
        <color rgb="FFFF0000"/>
      </colorScale>
    </cfRule>
  </conditionalFormatting>
  <conditionalFormatting sqref="W205:AA205">
    <cfRule type="colorScale" priority="654">
      <colorScale>
        <cfvo type="num" val="0"/>
        <cfvo type="num" val="80"/>
        <color rgb="FFFF0000"/>
        <color theme="0"/>
      </colorScale>
    </cfRule>
  </conditionalFormatting>
  <conditionalFormatting sqref="AC205:AS205">
    <cfRule type="colorScale" priority="653">
      <colorScale>
        <cfvo type="num" val="0"/>
        <cfvo type="num" val="80"/>
        <color rgb="FFFF0000"/>
        <color theme="0"/>
      </colorScale>
    </cfRule>
  </conditionalFormatting>
  <conditionalFormatting sqref="AB234">
    <cfRule type="colorScale" priority="652">
      <colorScale>
        <cfvo type="num" val="120"/>
        <cfvo type="num" val="200"/>
        <color theme="0"/>
        <color rgb="FFFF0000"/>
      </colorScale>
    </cfRule>
  </conditionalFormatting>
  <conditionalFormatting sqref="W234:AA234">
    <cfRule type="colorScale" priority="651">
      <colorScale>
        <cfvo type="num" val="0"/>
        <cfvo type="num" val="80"/>
        <color rgb="FFFF0000"/>
        <color theme="0"/>
      </colorScale>
    </cfRule>
  </conditionalFormatting>
  <conditionalFormatting sqref="AC234:AS234">
    <cfRule type="colorScale" priority="650">
      <colorScale>
        <cfvo type="num" val="0"/>
        <cfvo type="num" val="80"/>
        <color rgb="FFFF0000"/>
        <color theme="0"/>
      </colorScale>
    </cfRule>
  </conditionalFormatting>
  <conditionalFormatting sqref="AB253">
    <cfRule type="colorScale" priority="649">
      <colorScale>
        <cfvo type="num" val="120"/>
        <cfvo type="num" val="200"/>
        <color theme="0"/>
        <color rgb="FFFF0000"/>
      </colorScale>
    </cfRule>
  </conditionalFormatting>
  <conditionalFormatting sqref="W253:AA253">
    <cfRule type="colorScale" priority="648">
      <colorScale>
        <cfvo type="num" val="0"/>
        <cfvo type="num" val="80"/>
        <color rgb="FFFF0000"/>
        <color theme="0"/>
      </colorScale>
    </cfRule>
  </conditionalFormatting>
  <conditionalFormatting sqref="AC253:AS253">
    <cfRule type="colorScale" priority="647">
      <colorScale>
        <cfvo type="num" val="0"/>
        <cfvo type="num" val="80"/>
        <color rgb="FFFF0000"/>
        <color theme="0"/>
      </colorScale>
    </cfRule>
  </conditionalFormatting>
  <conditionalFormatting sqref="AB285">
    <cfRule type="colorScale" priority="646">
      <colorScale>
        <cfvo type="num" val="120"/>
        <cfvo type="num" val="200"/>
        <color theme="0"/>
        <color rgb="FFFF0000"/>
      </colorScale>
    </cfRule>
  </conditionalFormatting>
  <conditionalFormatting sqref="W285:AA285">
    <cfRule type="colorScale" priority="645">
      <colorScale>
        <cfvo type="num" val="0"/>
        <cfvo type="num" val="80"/>
        <color rgb="FFFF0000"/>
        <color theme="0"/>
      </colorScale>
    </cfRule>
  </conditionalFormatting>
  <conditionalFormatting sqref="AC285:AS285">
    <cfRule type="colorScale" priority="644">
      <colorScale>
        <cfvo type="num" val="0"/>
        <cfvo type="num" val="80"/>
        <color rgb="FFFF0000"/>
        <color theme="0"/>
      </colorScale>
    </cfRule>
  </conditionalFormatting>
  <conditionalFormatting sqref="AB304">
    <cfRule type="colorScale" priority="643">
      <colorScale>
        <cfvo type="num" val="120"/>
        <cfvo type="num" val="200"/>
        <color theme="0"/>
        <color rgb="FFFF0000"/>
      </colorScale>
    </cfRule>
  </conditionalFormatting>
  <conditionalFormatting sqref="W304:AA304">
    <cfRule type="colorScale" priority="642">
      <colorScale>
        <cfvo type="num" val="0"/>
        <cfvo type="num" val="80"/>
        <color rgb="FFFF0000"/>
        <color theme="0"/>
      </colorScale>
    </cfRule>
  </conditionalFormatting>
  <conditionalFormatting sqref="AC304:AS304">
    <cfRule type="colorScale" priority="641">
      <colorScale>
        <cfvo type="num" val="0"/>
        <cfvo type="num" val="80"/>
        <color rgb="FFFF0000"/>
        <color theme="0"/>
      </colorScale>
    </cfRule>
  </conditionalFormatting>
  <conditionalFormatting sqref="AB333">
    <cfRule type="colorScale" priority="640">
      <colorScale>
        <cfvo type="num" val="120"/>
        <cfvo type="num" val="200"/>
        <color theme="0"/>
        <color rgb="FFFF0000"/>
      </colorScale>
    </cfRule>
  </conditionalFormatting>
  <conditionalFormatting sqref="W333:AA333">
    <cfRule type="colorScale" priority="639">
      <colorScale>
        <cfvo type="num" val="0"/>
        <cfvo type="num" val="80"/>
        <color rgb="FFFF0000"/>
        <color theme="0"/>
      </colorScale>
    </cfRule>
  </conditionalFormatting>
  <conditionalFormatting sqref="AC333:AS333">
    <cfRule type="colorScale" priority="638">
      <colorScale>
        <cfvo type="num" val="0"/>
        <cfvo type="num" val="80"/>
        <color rgb="FFFF0000"/>
        <color theme="0"/>
      </colorScale>
    </cfRule>
  </conditionalFormatting>
  <conditionalFormatting sqref="AB352">
    <cfRule type="colorScale" priority="637">
      <colorScale>
        <cfvo type="num" val="120"/>
        <cfvo type="num" val="200"/>
        <color theme="0"/>
        <color rgb="FFFF0000"/>
      </colorScale>
    </cfRule>
  </conditionalFormatting>
  <conditionalFormatting sqref="W352:AA352">
    <cfRule type="colorScale" priority="636">
      <colorScale>
        <cfvo type="num" val="0"/>
        <cfvo type="num" val="80"/>
        <color rgb="FFFF0000"/>
        <color theme="0"/>
      </colorScale>
    </cfRule>
  </conditionalFormatting>
  <conditionalFormatting sqref="AC352:AS352">
    <cfRule type="colorScale" priority="635">
      <colorScale>
        <cfvo type="num" val="0"/>
        <cfvo type="num" val="80"/>
        <color rgb="FFFF0000"/>
        <color theme="0"/>
      </colorScale>
    </cfRule>
  </conditionalFormatting>
  <conditionalFormatting sqref="AB384">
    <cfRule type="colorScale" priority="634">
      <colorScale>
        <cfvo type="num" val="120"/>
        <cfvo type="num" val="200"/>
        <color theme="0"/>
        <color rgb="FFFF0000"/>
      </colorScale>
    </cfRule>
  </conditionalFormatting>
  <conditionalFormatting sqref="W384:AA384">
    <cfRule type="colorScale" priority="633">
      <colorScale>
        <cfvo type="num" val="0"/>
        <cfvo type="num" val="80"/>
        <color rgb="FFFF0000"/>
        <color theme="0"/>
      </colorScale>
    </cfRule>
  </conditionalFormatting>
  <conditionalFormatting sqref="AC384:AS384">
    <cfRule type="colorScale" priority="632">
      <colorScale>
        <cfvo type="num" val="0"/>
        <cfvo type="num" val="80"/>
        <color rgb="FFFF0000"/>
        <color theme="0"/>
      </colorScale>
    </cfRule>
  </conditionalFormatting>
  <conditionalFormatting sqref="AB403">
    <cfRule type="colorScale" priority="631">
      <colorScale>
        <cfvo type="num" val="120"/>
        <cfvo type="num" val="200"/>
        <color theme="0"/>
        <color rgb="FFFF0000"/>
      </colorScale>
    </cfRule>
  </conditionalFormatting>
  <conditionalFormatting sqref="W403:AA403">
    <cfRule type="colorScale" priority="630">
      <colorScale>
        <cfvo type="num" val="0"/>
        <cfvo type="num" val="80"/>
        <color rgb="FFFF0000"/>
        <color theme="0"/>
      </colorScale>
    </cfRule>
  </conditionalFormatting>
  <conditionalFormatting sqref="AC403:AS403">
    <cfRule type="colorScale" priority="629">
      <colorScale>
        <cfvo type="num" val="0"/>
        <cfvo type="num" val="80"/>
        <color rgb="FFFF0000"/>
        <color theme="0"/>
      </colorScale>
    </cfRule>
  </conditionalFormatting>
  <conditionalFormatting sqref="AB432">
    <cfRule type="colorScale" priority="628">
      <colorScale>
        <cfvo type="num" val="120"/>
        <cfvo type="num" val="200"/>
        <color theme="0"/>
        <color rgb="FFFF0000"/>
      </colorScale>
    </cfRule>
  </conditionalFormatting>
  <conditionalFormatting sqref="W432:AA432">
    <cfRule type="colorScale" priority="627">
      <colorScale>
        <cfvo type="num" val="0"/>
        <cfvo type="num" val="80"/>
        <color rgb="FFFF0000"/>
        <color theme="0"/>
      </colorScale>
    </cfRule>
  </conditionalFormatting>
  <conditionalFormatting sqref="AC432:AS432">
    <cfRule type="colorScale" priority="626">
      <colorScale>
        <cfvo type="num" val="0"/>
        <cfvo type="num" val="80"/>
        <color rgb="FFFF0000"/>
        <color theme="0"/>
      </colorScale>
    </cfRule>
  </conditionalFormatting>
  <conditionalFormatting sqref="AB451">
    <cfRule type="colorScale" priority="625">
      <colorScale>
        <cfvo type="num" val="120"/>
        <cfvo type="num" val="200"/>
        <color theme="0"/>
        <color rgb="FFFF0000"/>
      </colorScale>
    </cfRule>
  </conditionalFormatting>
  <conditionalFormatting sqref="W451:AA451">
    <cfRule type="colorScale" priority="624">
      <colorScale>
        <cfvo type="num" val="0"/>
        <cfvo type="num" val="80"/>
        <color rgb="FFFF0000"/>
        <color theme="0"/>
      </colorScale>
    </cfRule>
  </conditionalFormatting>
  <conditionalFormatting sqref="AC451:AS451">
    <cfRule type="colorScale" priority="623">
      <colorScale>
        <cfvo type="num" val="0"/>
        <cfvo type="num" val="80"/>
        <color rgb="FFFF0000"/>
        <color theme="0"/>
      </colorScale>
    </cfRule>
  </conditionalFormatting>
  <conditionalFormatting sqref="AB483">
    <cfRule type="colorScale" priority="622">
      <colorScale>
        <cfvo type="num" val="120"/>
        <cfvo type="num" val="200"/>
        <color theme="0"/>
        <color rgb="FFFF0000"/>
      </colorScale>
    </cfRule>
  </conditionalFormatting>
  <conditionalFormatting sqref="W483:AA483">
    <cfRule type="colorScale" priority="621">
      <colorScale>
        <cfvo type="num" val="0"/>
        <cfvo type="num" val="80"/>
        <color rgb="FFFF0000"/>
        <color theme="0"/>
      </colorScale>
    </cfRule>
  </conditionalFormatting>
  <conditionalFormatting sqref="AC483:AS483">
    <cfRule type="colorScale" priority="620">
      <colorScale>
        <cfvo type="num" val="0"/>
        <cfvo type="num" val="80"/>
        <color rgb="FFFF0000"/>
        <color theme="0"/>
      </colorScale>
    </cfRule>
  </conditionalFormatting>
  <conditionalFormatting sqref="AB502">
    <cfRule type="colorScale" priority="619">
      <colorScale>
        <cfvo type="num" val="120"/>
        <cfvo type="num" val="200"/>
        <color theme="0"/>
        <color rgb="FFFF0000"/>
      </colorScale>
    </cfRule>
  </conditionalFormatting>
  <conditionalFormatting sqref="W502:AA502">
    <cfRule type="colorScale" priority="618">
      <colorScale>
        <cfvo type="num" val="0"/>
        <cfvo type="num" val="80"/>
        <color rgb="FFFF0000"/>
        <color theme="0"/>
      </colorScale>
    </cfRule>
  </conditionalFormatting>
  <conditionalFormatting sqref="AC502:AS502">
    <cfRule type="colorScale" priority="617">
      <colorScale>
        <cfvo type="num" val="0"/>
        <cfvo type="num" val="80"/>
        <color rgb="FFFF0000"/>
        <color theme="0"/>
      </colorScale>
    </cfRule>
  </conditionalFormatting>
  <conditionalFormatting sqref="AA57:AS81">
    <cfRule type="colorScale" priority="607">
      <colorScale>
        <cfvo type="num" val="-1E-4"/>
        <cfvo type="num" val="0"/>
        <color rgb="FFFFFF00"/>
        <color theme="0"/>
      </colorScale>
    </cfRule>
  </conditionalFormatting>
  <conditionalFormatting sqref="AA11:AS30">
    <cfRule type="colorScale" priority="606">
      <colorScale>
        <cfvo type="num" val="-1E-4"/>
        <cfvo type="num" val="0"/>
        <color rgb="FFFFFF00"/>
        <color theme="0"/>
      </colorScale>
    </cfRule>
  </conditionalFormatting>
  <conditionalFormatting sqref="AA38:AS49">
    <cfRule type="colorScale" priority="605">
      <colorScale>
        <cfvo type="num" val="-1E-4"/>
        <cfvo type="num" val="0"/>
        <color rgb="FFFFFF00"/>
        <color theme="0"/>
      </colorScale>
    </cfRule>
  </conditionalFormatting>
  <conditionalFormatting sqref="AA89:AS100">
    <cfRule type="colorScale" priority="604">
      <colorScale>
        <cfvo type="num" val="-1E-4"/>
        <cfvo type="num" val="0"/>
        <color rgb="FFFFFF00"/>
        <color theme="0"/>
      </colorScale>
    </cfRule>
  </conditionalFormatting>
  <conditionalFormatting sqref="AA137:AS148">
    <cfRule type="colorScale" priority="603">
      <colorScale>
        <cfvo type="num" val="-1E-4"/>
        <cfvo type="num" val="0"/>
        <color rgb="FFFFFF00"/>
        <color theme="0"/>
      </colorScale>
    </cfRule>
  </conditionalFormatting>
  <conditionalFormatting sqref="AA188:AS199">
    <cfRule type="colorScale" priority="602">
      <colorScale>
        <cfvo type="num" val="-1E-4"/>
        <cfvo type="num" val="0"/>
        <color rgb="FFFFFF00"/>
        <color theme="0"/>
      </colorScale>
    </cfRule>
  </conditionalFormatting>
  <conditionalFormatting sqref="AA236:AS247">
    <cfRule type="colorScale" priority="601">
      <colorScale>
        <cfvo type="num" val="-1E-4"/>
        <cfvo type="num" val="0"/>
        <color rgb="FFFFFF00"/>
        <color theme="0"/>
      </colorScale>
    </cfRule>
  </conditionalFormatting>
  <conditionalFormatting sqref="AA287:AS298">
    <cfRule type="colorScale" priority="600">
      <colorScale>
        <cfvo type="num" val="-1E-4"/>
        <cfvo type="num" val="0"/>
        <color rgb="FFFFFF00"/>
        <color theme="0"/>
      </colorScale>
    </cfRule>
  </conditionalFormatting>
  <conditionalFormatting sqref="AA335:AS346">
    <cfRule type="colorScale" priority="599">
      <colorScale>
        <cfvo type="num" val="-1E-4"/>
        <cfvo type="num" val="0"/>
        <color rgb="FFFFFF00"/>
        <color theme="0"/>
      </colorScale>
    </cfRule>
  </conditionalFormatting>
  <conditionalFormatting sqref="AA386:AS397">
    <cfRule type="colorScale" priority="598">
      <colorScale>
        <cfvo type="num" val="-1E-4"/>
        <cfvo type="num" val="0"/>
        <color rgb="FFFFFF00"/>
        <color theme="0"/>
      </colorScale>
    </cfRule>
  </conditionalFormatting>
  <conditionalFormatting sqref="AA434:AS445">
    <cfRule type="colorScale" priority="597">
      <colorScale>
        <cfvo type="num" val="-1E-4"/>
        <cfvo type="num" val="0"/>
        <color rgb="FFFFFF00"/>
        <color theme="0"/>
      </colorScale>
    </cfRule>
  </conditionalFormatting>
  <conditionalFormatting sqref="AA485:AS496">
    <cfRule type="colorScale" priority="596">
      <colorScale>
        <cfvo type="num" val="-1E-4"/>
        <cfvo type="num" val="0"/>
        <color rgb="FFFFFF00"/>
        <color theme="0"/>
      </colorScale>
    </cfRule>
  </conditionalFormatting>
  <conditionalFormatting sqref="AA110:AS129">
    <cfRule type="colorScale" priority="595">
      <colorScale>
        <cfvo type="num" val="-1E-4"/>
        <cfvo type="num" val="0"/>
        <color rgb="FFFFFF00"/>
        <color theme="0"/>
      </colorScale>
    </cfRule>
  </conditionalFormatting>
  <conditionalFormatting sqref="AA209:AS228">
    <cfRule type="colorScale" priority="594">
      <colorScale>
        <cfvo type="num" val="-1E-4"/>
        <cfvo type="num" val="0"/>
        <color rgb="FFFFFF00"/>
        <color theme="0"/>
      </colorScale>
    </cfRule>
  </conditionalFormatting>
  <conditionalFormatting sqref="AA308:AS327">
    <cfRule type="colorScale" priority="593">
      <colorScale>
        <cfvo type="num" val="-1E-4"/>
        <cfvo type="num" val="0"/>
        <color rgb="FFFFFF00"/>
        <color theme="0"/>
      </colorScale>
    </cfRule>
  </conditionalFormatting>
  <conditionalFormatting sqref="AA407:AS426">
    <cfRule type="colorScale" priority="592">
      <colorScale>
        <cfvo type="num" val="-1E-4"/>
        <cfvo type="num" val="0"/>
        <color rgb="FFFFFF00"/>
        <color theme="0"/>
      </colorScale>
    </cfRule>
  </conditionalFormatting>
  <conditionalFormatting sqref="AA156:AS180">
    <cfRule type="colorScale" priority="591">
      <colorScale>
        <cfvo type="num" val="-1E-4"/>
        <cfvo type="num" val="0"/>
        <color rgb="FFFFFF00"/>
        <color theme="0"/>
      </colorScale>
    </cfRule>
  </conditionalFormatting>
  <conditionalFormatting sqref="AA255:AS279">
    <cfRule type="colorScale" priority="590">
      <colorScale>
        <cfvo type="num" val="-1E-4"/>
        <cfvo type="num" val="0"/>
        <color rgb="FFFFFF00"/>
        <color theme="0"/>
      </colorScale>
    </cfRule>
  </conditionalFormatting>
  <conditionalFormatting sqref="AA354:AS378">
    <cfRule type="colorScale" priority="589">
      <colorScale>
        <cfvo type="num" val="-1E-4"/>
        <cfvo type="num" val="0"/>
        <color rgb="FFFFFF00"/>
        <color theme="0"/>
      </colorScale>
    </cfRule>
  </conditionalFormatting>
  <conditionalFormatting sqref="AA453:AS477">
    <cfRule type="colorScale" priority="588">
      <colorScale>
        <cfvo type="num" val="-1E-4"/>
        <cfvo type="num" val="0"/>
        <color rgb="FFFFFF00"/>
        <color theme="0"/>
      </colorScale>
    </cfRule>
  </conditionalFormatting>
  <conditionalFormatting sqref="R11:R30">
    <cfRule type="colorScale" priority="587">
      <colorScale>
        <cfvo type="num" val="-1.0000000000000001E-5"/>
        <cfvo type="num" val="0"/>
        <color rgb="FFFFFF00"/>
        <color theme="0"/>
      </colorScale>
    </cfRule>
  </conditionalFormatting>
  <conditionalFormatting sqref="R38:R49">
    <cfRule type="colorScale" priority="586">
      <colorScale>
        <cfvo type="num" val="-1.0000000000000001E-5"/>
        <cfvo type="num" val="0"/>
        <color rgb="FFFFFF00"/>
        <color theme="0"/>
      </colorScale>
    </cfRule>
  </conditionalFormatting>
  <conditionalFormatting sqref="R110:R129">
    <cfRule type="colorScale" priority="585">
      <colorScale>
        <cfvo type="num" val="-1.0000000000000001E-5"/>
        <cfvo type="num" val="0"/>
        <color rgb="FFFFFF00"/>
        <color theme="0"/>
      </colorScale>
    </cfRule>
  </conditionalFormatting>
  <conditionalFormatting sqref="R209:R228">
    <cfRule type="colorScale" priority="582">
      <colorScale>
        <cfvo type="num" val="-1.0000000000000001E-5"/>
        <cfvo type="num" val="0"/>
        <color rgb="FFFFFF00"/>
        <color theme="0"/>
      </colorScale>
    </cfRule>
  </conditionalFormatting>
  <conditionalFormatting sqref="R308:R327">
    <cfRule type="colorScale" priority="580">
      <colorScale>
        <cfvo type="num" val="-1.0000000000000001E-5"/>
        <cfvo type="num" val="0"/>
        <color rgb="FFFFFF00"/>
        <color theme="0"/>
      </colorScale>
    </cfRule>
  </conditionalFormatting>
  <conditionalFormatting sqref="R407:R426">
    <cfRule type="colorScale" priority="578">
      <colorScale>
        <cfvo type="num" val="-1.0000000000000001E-5"/>
        <cfvo type="num" val="0"/>
        <color rgb="FFFFFF00"/>
        <color theme="0"/>
      </colorScale>
    </cfRule>
  </conditionalFormatting>
  <conditionalFormatting sqref="R89:R100">
    <cfRule type="colorScale" priority="566">
      <colorScale>
        <cfvo type="num" val="-1.0000000000000001E-5"/>
        <cfvo type="num" val="0"/>
        <color rgb="FFFFFF00"/>
        <color theme="0"/>
      </colorScale>
    </cfRule>
  </conditionalFormatting>
  <conditionalFormatting sqref="R137:R148">
    <cfRule type="colorScale" priority="565">
      <colorScale>
        <cfvo type="num" val="-1.0000000000000001E-5"/>
        <cfvo type="num" val="0"/>
        <color rgb="FFFFFF00"/>
        <color theme="0"/>
      </colorScale>
    </cfRule>
  </conditionalFormatting>
  <conditionalFormatting sqref="R188:R199">
    <cfRule type="colorScale" priority="564">
      <colorScale>
        <cfvo type="num" val="-1.0000000000000001E-5"/>
        <cfvo type="num" val="0"/>
        <color rgb="FFFFFF00"/>
        <color theme="0"/>
      </colorScale>
    </cfRule>
  </conditionalFormatting>
  <conditionalFormatting sqref="R236:R247">
    <cfRule type="colorScale" priority="563">
      <colorScale>
        <cfvo type="num" val="-1.0000000000000001E-5"/>
        <cfvo type="num" val="0"/>
        <color rgb="FFFFFF00"/>
        <color theme="0"/>
      </colorScale>
    </cfRule>
  </conditionalFormatting>
  <conditionalFormatting sqref="R287:R298">
    <cfRule type="colorScale" priority="562">
      <colorScale>
        <cfvo type="num" val="-1.0000000000000001E-5"/>
        <cfvo type="num" val="0"/>
        <color rgb="FFFFFF00"/>
        <color theme="0"/>
      </colorScale>
    </cfRule>
  </conditionalFormatting>
  <conditionalFormatting sqref="R335:R346">
    <cfRule type="colorScale" priority="561">
      <colorScale>
        <cfvo type="num" val="-1.0000000000000001E-5"/>
        <cfvo type="num" val="0"/>
        <color rgb="FFFFFF00"/>
        <color theme="0"/>
      </colorScale>
    </cfRule>
  </conditionalFormatting>
  <conditionalFormatting sqref="R386:R397">
    <cfRule type="colorScale" priority="560">
      <colorScale>
        <cfvo type="num" val="-1.0000000000000001E-5"/>
        <cfvo type="num" val="0"/>
        <color rgb="FFFFFF00"/>
        <color theme="0"/>
      </colorScale>
    </cfRule>
  </conditionalFormatting>
  <conditionalFormatting sqref="R434:R445">
    <cfRule type="colorScale" priority="559">
      <colorScale>
        <cfvo type="num" val="-1.0000000000000001E-5"/>
        <cfvo type="num" val="0"/>
        <color rgb="FFFFFF00"/>
        <color theme="0"/>
      </colorScale>
    </cfRule>
  </conditionalFormatting>
  <conditionalFormatting sqref="R485:R496">
    <cfRule type="colorScale" priority="558">
      <colorScale>
        <cfvo type="num" val="-1.0000000000000001E-5"/>
        <cfvo type="num" val="0"/>
        <color rgb="FFFFFF00"/>
        <color theme="0"/>
      </colorScale>
    </cfRule>
  </conditionalFormatting>
  <conditionalFormatting sqref="R57:R81 V57:V81">
    <cfRule type="colorScale" priority="557">
      <colorScale>
        <cfvo type="num" val="-1.0000000000000001E-5"/>
        <cfvo type="num" val="0"/>
        <color rgb="FFFFFF00"/>
        <color theme="0"/>
      </colorScale>
    </cfRule>
  </conditionalFormatting>
  <conditionalFormatting sqref="R156:R180 V156:V180">
    <cfRule type="colorScale" priority="556">
      <colorScale>
        <cfvo type="num" val="-1.0000000000000001E-5"/>
        <cfvo type="num" val="0"/>
        <color rgb="FFFFFF00"/>
        <color theme="0"/>
      </colorScale>
    </cfRule>
  </conditionalFormatting>
  <conditionalFormatting sqref="R255:R279 V255:V279">
    <cfRule type="colorScale" priority="555">
      <colorScale>
        <cfvo type="num" val="-1.0000000000000001E-5"/>
        <cfvo type="num" val="0"/>
        <color rgb="FFFFFF00"/>
        <color theme="0"/>
      </colorScale>
    </cfRule>
  </conditionalFormatting>
  <conditionalFormatting sqref="R354:R378 V354:V378">
    <cfRule type="colorScale" priority="554">
      <colorScale>
        <cfvo type="num" val="-1.0000000000000001E-5"/>
        <cfvo type="num" val="0"/>
        <color rgb="FFFFFF00"/>
        <color theme="0"/>
      </colorScale>
    </cfRule>
  </conditionalFormatting>
  <conditionalFormatting sqref="R453:R477 V453:V477">
    <cfRule type="colorScale" priority="553">
      <colorScale>
        <cfvo type="num" val="-1.0000000000000001E-5"/>
        <cfvo type="num" val="0"/>
        <color rgb="FFFFFF00"/>
        <color theme="0"/>
      </colorScale>
    </cfRule>
  </conditionalFormatting>
  <conditionalFormatting sqref="W544:AS544">
    <cfRule type="colorScale" priority="455">
      <colorScale>
        <cfvo type="num" val="0"/>
        <cfvo type="num" val="80"/>
        <color rgb="FFFF0000"/>
        <color theme="0"/>
      </colorScale>
    </cfRule>
  </conditionalFormatting>
  <conditionalFormatting sqref="W534:AA534">
    <cfRule type="colorScale" priority="448">
      <colorScale>
        <cfvo type="num" val="0"/>
        <cfvo type="num" val="80"/>
        <color rgb="FFFF0000"/>
        <color theme="0"/>
      </colorScale>
    </cfRule>
  </conditionalFormatting>
  <conditionalFormatting sqref="AD534:AS534">
    <cfRule type="colorScale" priority="447">
      <colorScale>
        <cfvo type="num" val="0"/>
        <cfvo type="num" val="80"/>
        <color rgb="FFFF0000"/>
        <color theme="0"/>
      </colorScale>
    </cfRule>
  </conditionalFormatting>
  <conditionalFormatting sqref="AB534:AC534">
    <cfRule type="colorScale" priority="446">
      <colorScale>
        <cfvo type="num" val="120"/>
        <cfvo type="num" val="200"/>
        <color theme="0"/>
        <color rgb="FFFF0000"/>
      </colorScale>
    </cfRule>
  </conditionalFormatting>
  <conditionalFormatting sqref="AB524:AC524">
    <cfRule type="colorScale" priority="445">
      <colorScale>
        <cfvo type="num" val="120"/>
        <cfvo type="num" val="200"/>
        <color theme="0"/>
        <color rgb="FFFF0000"/>
      </colorScale>
    </cfRule>
  </conditionalFormatting>
  <conditionalFormatting sqref="W524:AA524">
    <cfRule type="colorScale" priority="444">
      <colorScale>
        <cfvo type="num" val="0"/>
        <cfvo type="num" val="80"/>
        <color rgb="FFFF0000"/>
        <color theme="0"/>
      </colorScale>
    </cfRule>
  </conditionalFormatting>
  <conditionalFormatting sqref="AD524:AS524">
    <cfRule type="colorScale" priority="443">
      <colorScale>
        <cfvo type="num" val="0"/>
        <cfvo type="num" val="80"/>
        <color rgb="FFFF0000"/>
        <color theme="0"/>
      </colorScale>
    </cfRule>
  </conditionalFormatting>
  <conditionalFormatting sqref="W514:AA514">
    <cfRule type="colorScale" priority="442">
      <colorScale>
        <cfvo type="num" val="0"/>
        <cfvo type="num" val="80"/>
        <color rgb="FFFF0000"/>
        <color theme="0"/>
      </colorScale>
    </cfRule>
  </conditionalFormatting>
  <conditionalFormatting sqref="AB514:AC514">
    <cfRule type="colorScale" priority="441">
      <colorScale>
        <cfvo type="num" val="120"/>
        <cfvo type="num" val="200"/>
        <color theme="0"/>
        <color rgb="FFFF0000"/>
      </colorScale>
    </cfRule>
  </conditionalFormatting>
  <conditionalFormatting sqref="AD514:AS514">
    <cfRule type="colorScale" priority="440">
      <colorScale>
        <cfvo type="num" val="0"/>
        <cfvo type="num" val="80"/>
        <color rgb="FFFF0000"/>
        <color theme="0"/>
      </colorScale>
    </cfRule>
  </conditionalFormatting>
  <conditionalFormatting sqref="W555:AA555">
    <cfRule type="colorScale" priority="436">
      <colorScale>
        <cfvo type="num" val="0"/>
        <cfvo type="num" val="80"/>
        <color rgb="FFFF0000"/>
        <color theme="0"/>
      </colorScale>
    </cfRule>
  </conditionalFormatting>
  <conditionalFormatting sqref="AB555:AC555">
    <cfRule type="colorScale" priority="435">
      <colorScale>
        <cfvo type="num" val="120"/>
        <cfvo type="num" val="200"/>
        <color theme="0"/>
        <color rgb="FFFF0000"/>
      </colorScale>
    </cfRule>
  </conditionalFormatting>
  <conditionalFormatting sqref="AD555">
    <cfRule type="colorScale" priority="434">
      <colorScale>
        <cfvo type="num" val="0"/>
        <cfvo type="num" val="80"/>
        <color rgb="FFFF0000"/>
        <color theme="0"/>
      </colorScale>
    </cfRule>
  </conditionalFormatting>
  <conditionalFormatting sqref="AF555:AS555">
    <cfRule type="colorScale" priority="431">
      <colorScale>
        <cfvo type="num" val="0"/>
        <cfvo type="num" val="80"/>
        <color rgb="FFFF0000"/>
        <color theme="0"/>
      </colorScale>
    </cfRule>
  </conditionalFormatting>
  <conditionalFormatting sqref="AE555">
    <cfRule type="colorScale" priority="432">
      <colorScale>
        <cfvo type="num" val="0"/>
        <cfvo type="num" val="80"/>
        <color rgb="FFFF0000"/>
        <color theme="0"/>
      </colorScale>
    </cfRule>
  </conditionalFormatting>
  <conditionalFormatting sqref="U11:U30">
    <cfRule type="colorScale" priority="329">
      <colorScale>
        <cfvo type="num" val="-1.0000000000000001E-5"/>
        <cfvo type="num" val="0"/>
        <color rgb="FFFFFF00"/>
        <color theme="0"/>
      </colorScale>
    </cfRule>
  </conditionalFormatting>
  <conditionalFormatting sqref="T11:T30">
    <cfRule type="colorScale" priority="270">
      <colorScale>
        <cfvo type="num" val="-1.0000000000000001E-5"/>
        <cfvo type="num" val="0"/>
        <color rgb="FFFFFF00"/>
        <color theme="0"/>
      </colorScale>
    </cfRule>
  </conditionalFormatting>
  <conditionalFormatting sqref="S11:S30">
    <cfRule type="colorScale" priority="205">
      <colorScale>
        <cfvo type="num" val="-1.0000000000000001E-5"/>
        <cfvo type="num" val="0"/>
        <color rgb="FFFFFF00"/>
        <color theme="0"/>
      </colorScale>
    </cfRule>
  </conditionalFormatting>
  <conditionalFormatting sqref="S110:S129">
    <cfRule type="colorScale" priority="204">
      <colorScale>
        <cfvo type="num" val="-1.0000000000000001E-5"/>
        <cfvo type="num" val="0"/>
        <color rgb="FFFFFF00"/>
        <color theme="0"/>
      </colorScale>
    </cfRule>
  </conditionalFormatting>
  <conditionalFormatting sqref="S209:S228">
    <cfRule type="colorScale" priority="203">
      <colorScale>
        <cfvo type="num" val="-1.0000000000000001E-5"/>
        <cfvo type="num" val="0"/>
        <color rgb="FFFFFF00"/>
        <color theme="0"/>
      </colorScale>
    </cfRule>
  </conditionalFormatting>
  <conditionalFormatting sqref="S308:S327">
    <cfRule type="colorScale" priority="202">
      <colorScale>
        <cfvo type="num" val="-1.0000000000000001E-5"/>
        <cfvo type="num" val="0"/>
        <color rgb="FFFFFF00"/>
        <color theme="0"/>
      </colorScale>
    </cfRule>
  </conditionalFormatting>
  <conditionalFormatting sqref="S407:S426">
    <cfRule type="colorScale" priority="201">
      <colorScale>
        <cfvo type="num" val="-1.0000000000000001E-5"/>
        <cfvo type="num" val="0"/>
        <color rgb="FFFFFF00"/>
        <color theme="0"/>
      </colorScale>
    </cfRule>
  </conditionalFormatting>
  <conditionalFormatting sqref="S38:S49">
    <cfRule type="colorScale" priority="200">
      <colorScale>
        <cfvo type="num" val="-1.0000000000000001E-5"/>
        <cfvo type="num" val="0"/>
        <color rgb="FFFFFF00"/>
        <color theme="0"/>
      </colorScale>
    </cfRule>
  </conditionalFormatting>
  <conditionalFormatting sqref="S137:S148">
    <cfRule type="colorScale" priority="199">
      <colorScale>
        <cfvo type="num" val="-1.0000000000000001E-5"/>
        <cfvo type="num" val="0"/>
        <color rgb="FFFFFF00"/>
        <color theme="0"/>
      </colorScale>
    </cfRule>
  </conditionalFormatting>
  <conditionalFormatting sqref="S236:S247">
    <cfRule type="colorScale" priority="198">
      <colorScale>
        <cfvo type="num" val="-1.0000000000000001E-5"/>
        <cfvo type="num" val="0"/>
        <color rgb="FFFFFF00"/>
        <color theme="0"/>
      </colorScale>
    </cfRule>
  </conditionalFormatting>
  <conditionalFormatting sqref="S335:S346">
    <cfRule type="colorScale" priority="197">
      <colorScale>
        <cfvo type="num" val="-1.0000000000000001E-5"/>
        <cfvo type="num" val="0"/>
        <color rgb="FFFFFF00"/>
        <color theme="0"/>
      </colorScale>
    </cfRule>
  </conditionalFormatting>
  <conditionalFormatting sqref="S434:S445">
    <cfRule type="colorScale" priority="196">
      <colorScale>
        <cfvo type="num" val="-1.0000000000000001E-5"/>
        <cfvo type="num" val="0"/>
        <color rgb="FFFFFF00"/>
        <color theme="0"/>
      </colorScale>
    </cfRule>
  </conditionalFormatting>
  <conditionalFormatting sqref="S57:S81">
    <cfRule type="colorScale" priority="195">
      <colorScale>
        <cfvo type="num" val="-1.0000000000000001E-5"/>
        <cfvo type="num" val="0"/>
        <color rgb="FFFFFF00"/>
        <color theme="0"/>
      </colorScale>
    </cfRule>
  </conditionalFormatting>
  <conditionalFormatting sqref="S156:S180">
    <cfRule type="colorScale" priority="194">
      <colorScale>
        <cfvo type="num" val="-1.0000000000000001E-5"/>
        <cfvo type="num" val="0"/>
        <color rgb="FFFFFF00"/>
        <color theme="0"/>
      </colorScale>
    </cfRule>
  </conditionalFormatting>
  <conditionalFormatting sqref="S255:S279">
    <cfRule type="colorScale" priority="193">
      <colorScale>
        <cfvo type="num" val="-1.0000000000000001E-5"/>
        <cfvo type="num" val="0"/>
        <color rgb="FFFFFF00"/>
        <color theme="0"/>
      </colorScale>
    </cfRule>
  </conditionalFormatting>
  <conditionalFormatting sqref="S354:S378">
    <cfRule type="colorScale" priority="192">
      <colorScale>
        <cfvo type="num" val="-1.0000000000000001E-5"/>
        <cfvo type="num" val="0"/>
        <color rgb="FFFFFF00"/>
        <color theme="0"/>
      </colorScale>
    </cfRule>
  </conditionalFormatting>
  <conditionalFormatting sqref="S453:S477">
    <cfRule type="colorScale" priority="191">
      <colorScale>
        <cfvo type="num" val="-1.0000000000000001E-5"/>
        <cfvo type="num" val="0"/>
        <color rgb="FFFFFF00"/>
        <color theme="0"/>
      </colorScale>
    </cfRule>
  </conditionalFormatting>
  <conditionalFormatting sqref="S89:S100">
    <cfRule type="colorScale" priority="190">
      <colorScale>
        <cfvo type="num" val="-1.0000000000000001E-5"/>
        <cfvo type="num" val="0"/>
        <color rgb="FFFFFF00"/>
        <color theme="0"/>
      </colorScale>
    </cfRule>
  </conditionalFormatting>
  <conditionalFormatting sqref="S188:S199">
    <cfRule type="colorScale" priority="189">
      <colorScale>
        <cfvo type="num" val="-1.0000000000000001E-5"/>
        <cfvo type="num" val="0"/>
        <color rgb="FFFFFF00"/>
        <color theme="0"/>
      </colorScale>
    </cfRule>
  </conditionalFormatting>
  <conditionalFormatting sqref="S287:S298">
    <cfRule type="colorScale" priority="188">
      <colorScale>
        <cfvo type="num" val="-1.0000000000000001E-5"/>
        <cfvo type="num" val="0"/>
        <color rgb="FFFFFF00"/>
        <color theme="0"/>
      </colorScale>
    </cfRule>
  </conditionalFormatting>
  <conditionalFormatting sqref="S386:S397">
    <cfRule type="colorScale" priority="187">
      <colorScale>
        <cfvo type="num" val="-1.0000000000000001E-5"/>
        <cfvo type="num" val="0"/>
        <color rgb="FFFFFF00"/>
        <color theme="0"/>
      </colorScale>
    </cfRule>
  </conditionalFormatting>
  <conditionalFormatting sqref="S485:S496">
    <cfRule type="colorScale" priority="186">
      <colorScale>
        <cfvo type="num" val="-1.0000000000000001E-5"/>
        <cfvo type="num" val="0"/>
        <color rgb="FFFFFF00"/>
        <color theme="0"/>
      </colorScale>
    </cfRule>
  </conditionalFormatting>
  <conditionalFormatting sqref="S507:S511">
    <cfRule type="colorScale" priority="185">
      <colorScale>
        <cfvo type="num" val="-1.0000000000000001E-5"/>
        <cfvo type="num" val="0"/>
        <color rgb="FFFFFF00"/>
        <color theme="0"/>
      </colorScale>
    </cfRule>
  </conditionalFormatting>
  <conditionalFormatting sqref="S517:S521">
    <cfRule type="colorScale" priority="184">
      <colorScale>
        <cfvo type="num" val="-1.0000000000000001E-5"/>
        <cfvo type="num" val="0"/>
        <color rgb="FFFFFF00"/>
        <color theme="0"/>
      </colorScale>
    </cfRule>
  </conditionalFormatting>
  <conditionalFormatting sqref="S527:S531">
    <cfRule type="colorScale" priority="183">
      <colorScale>
        <cfvo type="num" val="-1.0000000000000001E-5"/>
        <cfvo type="num" val="0"/>
        <color rgb="FFFFFF00"/>
        <color theme="0"/>
      </colorScale>
    </cfRule>
  </conditionalFormatting>
  <conditionalFormatting sqref="S537:S541">
    <cfRule type="colorScale" priority="182">
      <colorScale>
        <cfvo type="num" val="-1.0000000000000001E-5"/>
        <cfvo type="num" val="0"/>
        <color rgb="FFFFFF00"/>
        <color theme="0"/>
      </colorScale>
    </cfRule>
  </conditionalFormatting>
  <conditionalFormatting sqref="S547:S551">
    <cfRule type="colorScale" priority="181">
      <colorScale>
        <cfvo type="num" val="-1.0000000000000001E-5"/>
        <cfvo type="num" val="0"/>
        <color rgb="FFFFFF00"/>
        <color theme="0"/>
      </colorScale>
    </cfRule>
  </conditionalFormatting>
  <conditionalFormatting sqref="N11">
    <cfRule type="colorScale" priority="141">
      <colorScale>
        <cfvo type="num" val="0"/>
        <cfvo type="num" val="600"/>
        <color rgb="FFFF0000"/>
        <color theme="0"/>
      </colorScale>
    </cfRule>
  </conditionalFormatting>
  <conditionalFormatting sqref="L11:L30">
    <cfRule type="colorScale" priority="117">
      <colorScale>
        <cfvo type="num" val="0"/>
        <cfvo type="num" val="1E-4"/>
        <color rgb="FFFF0000"/>
        <color theme="0"/>
      </colorScale>
    </cfRule>
  </conditionalFormatting>
  <conditionalFormatting sqref="N110">
    <cfRule type="colorScale" priority="78">
      <colorScale>
        <cfvo type="num" val="0"/>
        <cfvo type="num" val="600"/>
        <color rgb="FFFF0000"/>
        <color theme="0"/>
      </colorScale>
    </cfRule>
  </conditionalFormatting>
  <conditionalFormatting sqref="N209">
    <cfRule type="colorScale" priority="77">
      <colorScale>
        <cfvo type="num" val="0"/>
        <cfvo type="num" val="600"/>
        <color rgb="FFFF0000"/>
        <color theme="0"/>
      </colorScale>
    </cfRule>
  </conditionalFormatting>
  <conditionalFormatting sqref="N308">
    <cfRule type="colorScale" priority="76">
      <colorScale>
        <cfvo type="num" val="0"/>
        <cfvo type="num" val="600"/>
        <color rgb="FFFF0000"/>
        <color theme="0"/>
      </colorScale>
    </cfRule>
  </conditionalFormatting>
  <conditionalFormatting sqref="N407">
    <cfRule type="colorScale" priority="75">
      <colorScale>
        <cfvo type="num" val="0"/>
        <cfvo type="num" val="600"/>
        <color rgb="FFFF0000"/>
        <color theme="0"/>
      </colorScale>
    </cfRule>
  </conditionalFormatting>
  <conditionalFormatting sqref="N38">
    <cfRule type="colorScale" priority="74">
      <colorScale>
        <cfvo type="num" val="0"/>
        <cfvo type="num" val="200"/>
        <color rgb="FFFF0000"/>
        <color theme="0"/>
      </colorScale>
    </cfRule>
  </conditionalFormatting>
  <conditionalFormatting sqref="N137">
    <cfRule type="colorScale" priority="73">
      <colorScale>
        <cfvo type="num" val="0"/>
        <cfvo type="num" val="200"/>
        <color rgb="FFFF0000"/>
        <color theme="0"/>
      </colorScale>
    </cfRule>
  </conditionalFormatting>
  <conditionalFormatting sqref="N236">
    <cfRule type="colorScale" priority="72">
      <colorScale>
        <cfvo type="num" val="0"/>
        <cfvo type="num" val="200"/>
        <color rgb="FFFF0000"/>
        <color theme="0"/>
      </colorScale>
    </cfRule>
  </conditionalFormatting>
  <conditionalFormatting sqref="N335">
    <cfRule type="colorScale" priority="71">
      <colorScale>
        <cfvo type="num" val="0"/>
        <cfvo type="num" val="200"/>
        <color rgb="FFFF0000"/>
        <color theme="0"/>
      </colorScale>
    </cfRule>
  </conditionalFormatting>
  <conditionalFormatting sqref="N434">
    <cfRule type="colorScale" priority="70">
      <colorScale>
        <cfvo type="num" val="0"/>
        <cfvo type="num" val="200"/>
        <color rgb="FFFF0000"/>
        <color theme="0"/>
      </colorScale>
    </cfRule>
  </conditionalFormatting>
  <conditionalFormatting sqref="N57">
    <cfRule type="colorScale" priority="69">
      <colorScale>
        <cfvo type="num" val="0"/>
        <cfvo type="num" val="600"/>
        <color rgb="FFFF0000"/>
        <color theme="0"/>
      </colorScale>
    </cfRule>
  </conditionalFormatting>
  <conditionalFormatting sqref="N156">
    <cfRule type="colorScale" priority="68">
      <colorScale>
        <cfvo type="num" val="0"/>
        <cfvo type="num" val="600"/>
        <color rgb="FFFF0000"/>
        <color theme="0"/>
      </colorScale>
    </cfRule>
  </conditionalFormatting>
  <conditionalFormatting sqref="N255">
    <cfRule type="colorScale" priority="67">
      <colorScale>
        <cfvo type="num" val="0"/>
        <cfvo type="num" val="600"/>
        <color rgb="FFFF0000"/>
        <color theme="0"/>
      </colorScale>
    </cfRule>
  </conditionalFormatting>
  <conditionalFormatting sqref="N354">
    <cfRule type="colorScale" priority="66">
      <colorScale>
        <cfvo type="num" val="0"/>
        <cfvo type="num" val="600"/>
        <color rgb="FFFF0000"/>
        <color theme="0"/>
      </colorScale>
    </cfRule>
  </conditionalFormatting>
  <conditionalFormatting sqref="N453">
    <cfRule type="colorScale" priority="65">
      <colorScale>
        <cfvo type="num" val="0"/>
        <cfvo type="num" val="600"/>
        <color rgb="FFFF0000"/>
        <color theme="0"/>
      </colorScale>
    </cfRule>
  </conditionalFormatting>
  <conditionalFormatting sqref="N89">
    <cfRule type="colorScale" priority="64">
      <colorScale>
        <cfvo type="num" val="0"/>
        <cfvo type="num" val="10"/>
        <cfvo type="num" val="200"/>
        <color theme="0"/>
        <color rgb="FFFF0000"/>
        <color theme="0"/>
      </colorScale>
    </cfRule>
  </conditionalFormatting>
  <conditionalFormatting sqref="N188">
    <cfRule type="colorScale" priority="63">
      <colorScale>
        <cfvo type="num" val="0"/>
        <cfvo type="num" val="10"/>
        <cfvo type="num" val="200"/>
        <color theme="0"/>
        <color rgb="FFFF0000"/>
        <color theme="0"/>
      </colorScale>
    </cfRule>
  </conditionalFormatting>
  <conditionalFormatting sqref="N287">
    <cfRule type="colorScale" priority="62">
      <colorScale>
        <cfvo type="num" val="0"/>
        <cfvo type="num" val="10"/>
        <cfvo type="num" val="200"/>
        <color theme="0"/>
        <color rgb="FFFF0000"/>
        <color theme="0"/>
      </colorScale>
    </cfRule>
  </conditionalFormatting>
  <conditionalFormatting sqref="N386">
    <cfRule type="colorScale" priority="61">
      <colorScale>
        <cfvo type="num" val="0"/>
        <cfvo type="num" val="10"/>
        <cfvo type="num" val="200"/>
        <color theme="0"/>
        <color rgb="FFFF0000"/>
        <color theme="0"/>
      </colorScale>
    </cfRule>
  </conditionalFormatting>
  <conditionalFormatting sqref="N485">
    <cfRule type="colorScale" priority="60">
      <colorScale>
        <cfvo type="num" val="0"/>
        <cfvo type="num" val="10"/>
        <cfvo type="num" val="200"/>
        <color theme="0"/>
        <color rgb="FFFF0000"/>
        <color theme="0"/>
      </colorScale>
    </cfRule>
  </conditionalFormatting>
  <conditionalFormatting sqref="U38:U49">
    <cfRule type="colorScale" priority="59">
      <colorScale>
        <cfvo type="num" val="-1.0000000000000001E-5"/>
        <cfvo type="num" val="0"/>
        <color rgb="FFFFFF00"/>
        <color theme="0"/>
      </colorScale>
    </cfRule>
  </conditionalFormatting>
  <conditionalFormatting sqref="T38:T49">
    <cfRule type="colorScale" priority="58">
      <colorScale>
        <cfvo type="num" val="-1.0000000000000001E-5"/>
        <cfvo type="num" val="0"/>
        <color rgb="FFFFFF00"/>
        <color theme="0"/>
      </colorScale>
    </cfRule>
  </conditionalFormatting>
  <conditionalFormatting sqref="U485:U496">
    <cfRule type="colorScale" priority="2">
      <colorScale>
        <cfvo type="num" val="-1.0000000000000001E-5"/>
        <cfvo type="num" val="0"/>
        <color rgb="FFFFFF00"/>
        <color theme="0"/>
      </colorScale>
    </cfRule>
  </conditionalFormatting>
  <conditionalFormatting sqref="T485:T496">
    <cfRule type="colorScale" priority="1">
      <colorScale>
        <cfvo type="num" val="-1.0000000000000001E-5"/>
        <cfvo type="num" val="0"/>
        <color rgb="FFFFFF00"/>
        <color theme="0"/>
      </colorScale>
    </cfRule>
  </conditionalFormatting>
  <conditionalFormatting sqref="U57:U81">
    <cfRule type="colorScale" priority="55">
      <colorScale>
        <cfvo type="num" val="-1.0000000000000001E-5"/>
        <cfvo type="num" val="0"/>
        <color rgb="FFFFFF00"/>
        <color theme="0"/>
      </colorScale>
    </cfRule>
  </conditionalFormatting>
  <conditionalFormatting sqref="T57:T81">
    <cfRule type="colorScale" priority="54">
      <colorScale>
        <cfvo type="num" val="-1.0000000000000001E-5"/>
        <cfvo type="num" val="0"/>
        <color rgb="FFFFFF00"/>
        <color theme="0"/>
      </colorScale>
    </cfRule>
  </conditionalFormatting>
  <conditionalFormatting sqref="L38:L49">
    <cfRule type="colorScale" priority="53">
      <colorScale>
        <cfvo type="num" val="0"/>
        <cfvo type="num" val="1E-4"/>
        <color rgb="FFFF0000"/>
        <color theme="0"/>
      </colorScale>
    </cfRule>
  </conditionalFormatting>
  <conditionalFormatting sqref="L57:L81">
    <cfRule type="colorScale" priority="52">
      <colorScale>
        <cfvo type="num" val="0"/>
        <cfvo type="num" val="1E-4"/>
        <color rgb="FFFF0000"/>
        <color theme="0"/>
      </colorScale>
    </cfRule>
  </conditionalFormatting>
  <conditionalFormatting sqref="L89:L100">
    <cfRule type="colorScale" priority="51">
      <colorScale>
        <cfvo type="num" val="0"/>
        <cfvo type="num" val="1E-4"/>
        <color rgb="FFFF0000"/>
        <color theme="0"/>
      </colorScale>
    </cfRule>
  </conditionalFormatting>
  <conditionalFormatting sqref="L110:L129">
    <cfRule type="colorScale" priority="50">
      <colorScale>
        <cfvo type="num" val="0"/>
        <cfvo type="num" val="1E-4"/>
        <color rgb="FFFF0000"/>
        <color theme="0"/>
      </colorScale>
    </cfRule>
  </conditionalFormatting>
  <conditionalFormatting sqref="L137:L148">
    <cfRule type="colorScale" priority="49">
      <colorScale>
        <cfvo type="num" val="0"/>
        <cfvo type="num" val="1E-4"/>
        <color rgb="FFFF0000"/>
        <color theme="0"/>
      </colorScale>
    </cfRule>
  </conditionalFormatting>
  <conditionalFormatting sqref="L156:L180">
    <cfRule type="colorScale" priority="48">
      <colorScale>
        <cfvo type="num" val="0"/>
        <cfvo type="num" val="1E-4"/>
        <color rgb="FFFF0000"/>
        <color theme="0"/>
      </colorScale>
    </cfRule>
  </conditionalFormatting>
  <conditionalFormatting sqref="L188:L199">
    <cfRule type="colorScale" priority="47">
      <colorScale>
        <cfvo type="num" val="0"/>
        <cfvo type="num" val="1E-4"/>
        <color rgb="FFFF0000"/>
        <color theme="0"/>
      </colorScale>
    </cfRule>
  </conditionalFormatting>
  <conditionalFormatting sqref="L209:L228">
    <cfRule type="colorScale" priority="46">
      <colorScale>
        <cfvo type="num" val="0"/>
        <cfvo type="num" val="1E-4"/>
        <color rgb="FFFF0000"/>
        <color theme="0"/>
      </colorScale>
    </cfRule>
  </conditionalFormatting>
  <conditionalFormatting sqref="L236:L247">
    <cfRule type="colorScale" priority="45">
      <colorScale>
        <cfvo type="num" val="0"/>
        <cfvo type="num" val="1E-4"/>
        <color rgb="FFFF0000"/>
        <color theme="0"/>
      </colorScale>
    </cfRule>
  </conditionalFormatting>
  <conditionalFormatting sqref="L255:L279">
    <cfRule type="colorScale" priority="44">
      <colorScale>
        <cfvo type="num" val="0"/>
        <cfvo type="num" val="1E-4"/>
        <color rgb="FFFF0000"/>
        <color theme="0"/>
      </colorScale>
    </cfRule>
  </conditionalFormatting>
  <conditionalFormatting sqref="L287:L298">
    <cfRule type="colorScale" priority="43">
      <colorScale>
        <cfvo type="num" val="0"/>
        <cfvo type="num" val="1E-4"/>
        <color rgb="FFFF0000"/>
        <color theme="0"/>
      </colorScale>
    </cfRule>
  </conditionalFormatting>
  <conditionalFormatting sqref="L308:L327">
    <cfRule type="colorScale" priority="42">
      <colorScale>
        <cfvo type="num" val="0"/>
        <cfvo type="num" val="1E-4"/>
        <color rgb="FFFF0000"/>
        <color theme="0"/>
      </colorScale>
    </cfRule>
  </conditionalFormatting>
  <conditionalFormatting sqref="L335:L346">
    <cfRule type="colorScale" priority="41">
      <colorScale>
        <cfvo type="num" val="0"/>
        <cfvo type="num" val="1E-4"/>
        <color rgb="FFFF0000"/>
        <color theme="0"/>
      </colorScale>
    </cfRule>
  </conditionalFormatting>
  <conditionalFormatting sqref="L354:L378">
    <cfRule type="colorScale" priority="40">
      <colorScale>
        <cfvo type="num" val="0"/>
        <cfvo type="num" val="1E-4"/>
        <color rgb="FFFF0000"/>
        <color theme="0"/>
      </colorScale>
    </cfRule>
  </conditionalFormatting>
  <conditionalFormatting sqref="L386:L397">
    <cfRule type="colorScale" priority="39">
      <colorScale>
        <cfvo type="num" val="0"/>
        <cfvo type="num" val="1E-4"/>
        <color rgb="FFFF0000"/>
        <color theme="0"/>
      </colorScale>
    </cfRule>
  </conditionalFormatting>
  <conditionalFormatting sqref="L407:L426">
    <cfRule type="colorScale" priority="38">
      <colorScale>
        <cfvo type="num" val="0"/>
        <cfvo type="num" val="1E-4"/>
        <color rgb="FFFF0000"/>
        <color theme="0"/>
      </colorScale>
    </cfRule>
  </conditionalFormatting>
  <conditionalFormatting sqref="L434:L445">
    <cfRule type="colorScale" priority="37">
      <colorScale>
        <cfvo type="num" val="0"/>
        <cfvo type="num" val="1E-4"/>
        <color rgb="FFFF0000"/>
        <color theme="0"/>
      </colorScale>
    </cfRule>
  </conditionalFormatting>
  <conditionalFormatting sqref="L453:L477">
    <cfRule type="colorScale" priority="36">
      <colorScale>
        <cfvo type="num" val="0"/>
        <cfvo type="num" val="1E-4"/>
        <color rgb="FFFF0000"/>
        <color theme="0"/>
      </colorScale>
    </cfRule>
  </conditionalFormatting>
  <conditionalFormatting sqref="L485:L496">
    <cfRule type="colorScale" priority="35">
      <colorScale>
        <cfvo type="num" val="0"/>
        <cfvo type="num" val="1E-4"/>
        <color rgb="FFFF0000"/>
        <color theme="0"/>
      </colorScale>
    </cfRule>
  </conditionalFormatting>
  <conditionalFormatting sqref="U89:U100">
    <cfRule type="colorScale" priority="34">
      <colorScale>
        <cfvo type="num" val="-1.0000000000000001E-5"/>
        <cfvo type="num" val="0"/>
        <color rgb="FFFFFF00"/>
        <color theme="0"/>
      </colorScale>
    </cfRule>
  </conditionalFormatting>
  <conditionalFormatting sqref="T89:T100">
    <cfRule type="colorScale" priority="33">
      <colorScale>
        <cfvo type="num" val="-1.0000000000000001E-5"/>
        <cfvo type="num" val="0"/>
        <color rgb="FFFFFF00"/>
        <color theme="0"/>
      </colorScale>
    </cfRule>
  </conditionalFormatting>
  <conditionalFormatting sqref="U110:U129">
    <cfRule type="colorScale" priority="32">
      <colorScale>
        <cfvo type="num" val="-1.0000000000000001E-5"/>
        <cfvo type="num" val="0"/>
        <color rgb="FFFFFF00"/>
        <color theme="0"/>
      </colorScale>
    </cfRule>
  </conditionalFormatting>
  <conditionalFormatting sqref="T110:T129">
    <cfRule type="colorScale" priority="31">
      <colorScale>
        <cfvo type="num" val="-1.0000000000000001E-5"/>
        <cfvo type="num" val="0"/>
        <color rgb="FFFFFF00"/>
        <color theme="0"/>
      </colorScale>
    </cfRule>
  </conditionalFormatting>
  <conditionalFormatting sqref="U137:U148">
    <cfRule type="colorScale" priority="30">
      <colorScale>
        <cfvo type="num" val="-1.0000000000000001E-5"/>
        <cfvo type="num" val="0"/>
        <color rgb="FFFFFF00"/>
        <color theme="0"/>
      </colorScale>
    </cfRule>
  </conditionalFormatting>
  <conditionalFormatting sqref="T137:T148">
    <cfRule type="colorScale" priority="29">
      <colorScale>
        <cfvo type="num" val="-1.0000000000000001E-5"/>
        <cfvo type="num" val="0"/>
        <color rgb="FFFFFF00"/>
        <color theme="0"/>
      </colorScale>
    </cfRule>
  </conditionalFormatting>
  <conditionalFormatting sqref="U156:U180">
    <cfRule type="colorScale" priority="28">
      <colorScale>
        <cfvo type="num" val="-1.0000000000000001E-5"/>
        <cfvo type="num" val="0"/>
        <color rgb="FFFFFF00"/>
        <color theme="0"/>
      </colorScale>
    </cfRule>
  </conditionalFormatting>
  <conditionalFormatting sqref="T156:T180">
    <cfRule type="colorScale" priority="27">
      <colorScale>
        <cfvo type="num" val="-1.0000000000000001E-5"/>
        <cfvo type="num" val="0"/>
        <color rgb="FFFFFF00"/>
        <color theme="0"/>
      </colorScale>
    </cfRule>
  </conditionalFormatting>
  <conditionalFormatting sqref="U188:U199">
    <cfRule type="colorScale" priority="26">
      <colorScale>
        <cfvo type="num" val="-1.0000000000000001E-5"/>
        <cfvo type="num" val="0"/>
        <color rgb="FFFFFF00"/>
        <color theme="0"/>
      </colorScale>
    </cfRule>
  </conditionalFormatting>
  <conditionalFormatting sqref="T188:T199">
    <cfRule type="colorScale" priority="25">
      <colorScale>
        <cfvo type="num" val="-1.0000000000000001E-5"/>
        <cfvo type="num" val="0"/>
        <color rgb="FFFFFF00"/>
        <color theme="0"/>
      </colorScale>
    </cfRule>
  </conditionalFormatting>
  <conditionalFormatting sqref="U209:U228">
    <cfRule type="colorScale" priority="24">
      <colorScale>
        <cfvo type="num" val="-1.0000000000000001E-5"/>
        <cfvo type="num" val="0"/>
        <color rgb="FFFFFF00"/>
        <color theme="0"/>
      </colorScale>
    </cfRule>
  </conditionalFormatting>
  <conditionalFormatting sqref="T209:T228">
    <cfRule type="colorScale" priority="23">
      <colorScale>
        <cfvo type="num" val="-1.0000000000000001E-5"/>
        <cfvo type="num" val="0"/>
        <color rgb="FFFFFF00"/>
        <color theme="0"/>
      </colorScale>
    </cfRule>
  </conditionalFormatting>
  <conditionalFormatting sqref="U236:U247">
    <cfRule type="colorScale" priority="22">
      <colorScale>
        <cfvo type="num" val="-1.0000000000000001E-5"/>
        <cfvo type="num" val="0"/>
        <color rgb="FFFFFF00"/>
        <color theme="0"/>
      </colorScale>
    </cfRule>
  </conditionalFormatting>
  <conditionalFormatting sqref="T236:T247">
    <cfRule type="colorScale" priority="21">
      <colorScale>
        <cfvo type="num" val="-1.0000000000000001E-5"/>
        <cfvo type="num" val="0"/>
        <color rgb="FFFFFF00"/>
        <color theme="0"/>
      </colorScale>
    </cfRule>
  </conditionalFormatting>
  <conditionalFormatting sqref="U255:U279">
    <cfRule type="colorScale" priority="20">
      <colorScale>
        <cfvo type="num" val="-1.0000000000000001E-5"/>
        <cfvo type="num" val="0"/>
        <color rgb="FFFFFF00"/>
        <color theme="0"/>
      </colorScale>
    </cfRule>
  </conditionalFormatting>
  <conditionalFormatting sqref="T255:T279">
    <cfRule type="colorScale" priority="19">
      <colorScale>
        <cfvo type="num" val="-1.0000000000000001E-5"/>
        <cfvo type="num" val="0"/>
        <color rgb="FFFFFF00"/>
        <color theme="0"/>
      </colorScale>
    </cfRule>
  </conditionalFormatting>
  <conditionalFormatting sqref="U287:U298">
    <cfRule type="colorScale" priority="18">
      <colorScale>
        <cfvo type="num" val="-1.0000000000000001E-5"/>
        <cfvo type="num" val="0"/>
        <color rgb="FFFFFF00"/>
        <color theme="0"/>
      </colorScale>
    </cfRule>
  </conditionalFormatting>
  <conditionalFormatting sqref="T287:T298">
    <cfRule type="colorScale" priority="17">
      <colorScale>
        <cfvo type="num" val="-1.0000000000000001E-5"/>
        <cfvo type="num" val="0"/>
        <color rgb="FFFFFF00"/>
        <color theme="0"/>
      </colorScale>
    </cfRule>
  </conditionalFormatting>
  <conditionalFormatting sqref="U308:U327">
    <cfRule type="colorScale" priority="16">
      <colorScale>
        <cfvo type="num" val="-1.0000000000000001E-5"/>
        <cfvo type="num" val="0"/>
        <color rgb="FFFFFF00"/>
        <color theme="0"/>
      </colorScale>
    </cfRule>
  </conditionalFormatting>
  <conditionalFormatting sqref="T308:T327">
    <cfRule type="colorScale" priority="15">
      <colorScale>
        <cfvo type="num" val="-1.0000000000000001E-5"/>
        <cfvo type="num" val="0"/>
        <color rgb="FFFFFF00"/>
        <color theme="0"/>
      </colorScale>
    </cfRule>
  </conditionalFormatting>
  <conditionalFormatting sqref="U335:U346">
    <cfRule type="colorScale" priority="14">
      <colorScale>
        <cfvo type="num" val="-1.0000000000000001E-5"/>
        <cfvo type="num" val="0"/>
        <color rgb="FFFFFF00"/>
        <color theme="0"/>
      </colorScale>
    </cfRule>
  </conditionalFormatting>
  <conditionalFormatting sqref="T335:T346">
    <cfRule type="colorScale" priority="13">
      <colorScale>
        <cfvo type="num" val="-1.0000000000000001E-5"/>
        <cfvo type="num" val="0"/>
        <color rgb="FFFFFF00"/>
        <color theme="0"/>
      </colorScale>
    </cfRule>
  </conditionalFormatting>
  <conditionalFormatting sqref="U354:U378">
    <cfRule type="colorScale" priority="12">
      <colorScale>
        <cfvo type="num" val="-1.0000000000000001E-5"/>
        <cfvo type="num" val="0"/>
        <color rgb="FFFFFF00"/>
        <color theme="0"/>
      </colorScale>
    </cfRule>
  </conditionalFormatting>
  <conditionalFormatting sqref="T354:T378">
    <cfRule type="colorScale" priority="11">
      <colorScale>
        <cfvo type="num" val="-1.0000000000000001E-5"/>
        <cfvo type="num" val="0"/>
        <color rgb="FFFFFF00"/>
        <color theme="0"/>
      </colorScale>
    </cfRule>
  </conditionalFormatting>
  <conditionalFormatting sqref="U386:U397">
    <cfRule type="colorScale" priority="10">
      <colorScale>
        <cfvo type="num" val="-1.0000000000000001E-5"/>
        <cfvo type="num" val="0"/>
        <color rgb="FFFFFF00"/>
        <color theme="0"/>
      </colorScale>
    </cfRule>
  </conditionalFormatting>
  <conditionalFormatting sqref="T386:T397">
    <cfRule type="colorScale" priority="9">
      <colorScale>
        <cfvo type="num" val="-1.0000000000000001E-5"/>
        <cfvo type="num" val="0"/>
        <color rgb="FFFFFF00"/>
        <color theme="0"/>
      </colorScale>
    </cfRule>
  </conditionalFormatting>
  <conditionalFormatting sqref="U407:U426">
    <cfRule type="colorScale" priority="8">
      <colorScale>
        <cfvo type="num" val="-1.0000000000000001E-5"/>
        <cfvo type="num" val="0"/>
        <color rgb="FFFFFF00"/>
        <color theme="0"/>
      </colorScale>
    </cfRule>
  </conditionalFormatting>
  <conditionalFormatting sqref="T407:T426">
    <cfRule type="colorScale" priority="7">
      <colorScale>
        <cfvo type="num" val="-1.0000000000000001E-5"/>
        <cfvo type="num" val="0"/>
        <color rgb="FFFFFF00"/>
        <color theme="0"/>
      </colorScale>
    </cfRule>
  </conditionalFormatting>
  <conditionalFormatting sqref="U434:U445">
    <cfRule type="colorScale" priority="6">
      <colorScale>
        <cfvo type="num" val="-1.0000000000000001E-5"/>
        <cfvo type="num" val="0"/>
        <color rgb="FFFFFF00"/>
        <color theme="0"/>
      </colorScale>
    </cfRule>
  </conditionalFormatting>
  <conditionalFormatting sqref="T434:T445">
    <cfRule type="colorScale" priority="5">
      <colorScale>
        <cfvo type="num" val="-1.0000000000000001E-5"/>
        <cfvo type="num" val="0"/>
        <color rgb="FFFFFF00"/>
        <color theme="0"/>
      </colorScale>
    </cfRule>
  </conditionalFormatting>
  <conditionalFormatting sqref="U453:U477">
    <cfRule type="colorScale" priority="4">
      <colorScale>
        <cfvo type="num" val="-1.0000000000000001E-5"/>
        <cfvo type="num" val="0"/>
        <color rgb="FFFFFF00"/>
        <color theme="0"/>
      </colorScale>
    </cfRule>
  </conditionalFormatting>
  <conditionalFormatting sqref="T453:T477">
    <cfRule type="colorScale" priority="3">
      <colorScale>
        <cfvo type="num" val="-1.0000000000000001E-5"/>
        <cfvo type="num" val="0"/>
        <color rgb="FFFFFF00"/>
        <color theme="0"/>
      </colorScale>
    </cfRule>
  </conditionalFormatting>
  <dataValidations count="2">
    <dataValidation type="list" allowBlank="1" showInputMessage="1" showErrorMessage="1" sqref="H485:H496 H287:H298 H57:H81 H209:H228 H307:H327 H407:H426 H354:H378 H434:H445 H137:H148 H156:H180 H38:H49 H453:H477 H386:H397 H110:H129 H89:H100 H188:H199 H255:H279 H236:H247 H335:H346 H11:H30" xr:uid="{B18877F5-9C3A-6D44-8E19-8DE28C64C061}">
      <formula1>INDIRECT($G11)</formula1>
    </dataValidation>
    <dataValidation type="list" allowBlank="1" showInputMessage="1" showErrorMessage="1" sqref="G453:G477 G89:G100 G110:G129 G188:G199 G209:G228 G287:G298 G308:G327 G386:G397 G407:G426 G354:G378 G434:G445 G485:G496 G38:G49 G57:G81 G137:G148 G156:G180 G236:G247 G255:G279 G335:G346 G11:G30" xr:uid="{7EDE9281-47ED-D64F-A231-5FB0594AF167}">
      <formula1>Food_category</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8" r:id="rId3" name="Option Button 4">
              <controlPr defaultSize="0" autoFill="0" autoLine="0" autoPict="0">
                <anchor moveWithCells="1">
                  <from>
                    <xdr:col>6</xdr:col>
                    <xdr:colOff>25400</xdr:colOff>
                    <xdr:row>2</xdr:row>
                    <xdr:rowOff>127000</xdr:rowOff>
                  </from>
                  <to>
                    <xdr:col>6</xdr:col>
                    <xdr:colOff>711200</xdr:colOff>
                    <xdr:row>3</xdr:row>
                    <xdr:rowOff>114300</xdr:rowOff>
                  </to>
                </anchor>
              </controlPr>
            </control>
          </mc:Choice>
        </mc:AlternateContent>
        <mc:AlternateContent xmlns:mc="http://schemas.openxmlformats.org/markup-compatibility/2006">
          <mc:Choice Requires="x14">
            <control shapeId="1030" r:id="rId4" name="Option Button 6">
              <controlPr defaultSize="0" autoFill="0" autoLine="0" autoPict="0">
                <anchor moveWithCells="1">
                  <from>
                    <xdr:col>6</xdr:col>
                    <xdr:colOff>762000</xdr:colOff>
                    <xdr:row>2</xdr:row>
                    <xdr:rowOff>127000</xdr:rowOff>
                  </from>
                  <to>
                    <xdr:col>6</xdr:col>
                    <xdr:colOff>1562100</xdr:colOff>
                    <xdr:row>3</xdr:row>
                    <xdr:rowOff>127000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9C28-4238-CE4F-B0E9-3E295D9D7B01}">
  <sheetPr codeName="Sheet3"/>
  <dimension ref="A1:BS588"/>
  <sheetViews>
    <sheetView topLeftCell="B1" zoomScale="120" zoomScaleNormal="120" workbookViewId="0">
      <pane ySplit="9" topLeftCell="A554" activePane="bottomLeft" state="frozen"/>
      <selection activeCell="E1" sqref="E1"/>
      <selection pane="bottomLeft" activeCell="I570" sqref="I570"/>
    </sheetView>
  </sheetViews>
  <sheetFormatPr baseColWidth="10" defaultRowHeight="14"/>
  <cols>
    <col min="1" max="1" width="10.33203125" style="442" customWidth="1"/>
    <col min="2" max="2" width="11.83203125" customWidth="1"/>
    <col min="3" max="3" width="9.1640625" customWidth="1"/>
    <col min="4" max="4" width="14.33203125" style="85" customWidth="1"/>
    <col min="5" max="5" width="13.1640625" style="85" customWidth="1"/>
    <col min="6" max="6" width="25.1640625" style="85" customWidth="1"/>
    <col min="7" max="7" width="31.33203125" customWidth="1"/>
    <col min="8" max="8" width="46" style="2" customWidth="1"/>
    <col min="9" max="9" width="11.6640625" customWidth="1"/>
    <col min="10" max="10" width="11.83203125" customWidth="1"/>
    <col min="11" max="11" width="11.6640625" customWidth="1"/>
    <col min="12" max="12" width="7.6640625" style="379" customWidth="1"/>
    <col min="13" max="13" width="2.1640625" style="421" customWidth="1"/>
    <col min="14" max="14" width="9.1640625" style="421" customWidth="1"/>
    <col min="15" max="15" width="66.83203125" style="421" customWidth="1"/>
    <col min="16" max="16" width="41.1640625" style="379" customWidth="1"/>
    <col min="17" max="17" width="8.1640625" customWidth="1"/>
    <col min="18" max="18" width="10.33203125" customWidth="1"/>
    <col min="19" max="19" width="10.33203125" style="476" customWidth="1"/>
    <col min="20" max="20" width="11" customWidth="1"/>
    <col min="21" max="21" width="10.33203125" customWidth="1"/>
    <col min="22" max="22" width="10.5" style="66" customWidth="1"/>
    <col min="23" max="23" width="11.6640625" bestFit="1" customWidth="1"/>
    <col min="24" max="24" width="11" bestFit="1" customWidth="1"/>
    <col min="25" max="25" width="12" customWidth="1"/>
    <col min="26" max="27" width="11" bestFit="1" customWidth="1"/>
    <col min="28" max="28" width="10.83203125" style="66"/>
    <col min="36" max="36" width="10.83203125" style="66"/>
    <col min="45" max="45" width="10.83203125" style="66"/>
    <col min="46" max="47" width="10.83203125" style="749" customWidth="1"/>
    <col min="48" max="70" width="10.83203125" customWidth="1"/>
  </cols>
  <sheetData>
    <row r="1" spans="1:71" ht="49" customHeight="1">
      <c r="A1" s="855"/>
      <c r="B1" s="92"/>
      <c r="C1" s="92"/>
      <c r="D1" s="92"/>
      <c r="E1" s="265"/>
      <c r="F1" s="92"/>
      <c r="G1" s="265"/>
      <c r="H1" s="92"/>
      <c r="I1" s="1116" t="str" cm="1">
        <f t="array" ref="I1">IF(B19&gt;300,BeepMe(),"")</f>
        <v/>
      </c>
      <c r="J1" s="832"/>
      <c r="K1" s="92"/>
      <c r="L1" s="92"/>
      <c r="M1" s="831"/>
      <c r="N1" s="831"/>
      <c r="O1" s="831"/>
      <c r="P1" s="92"/>
      <c r="Q1" s="92"/>
      <c r="R1" s="92"/>
      <c r="S1" s="92"/>
      <c r="T1" s="92"/>
      <c r="U1" s="92"/>
      <c r="V1" s="859"/>
      <c r="W1" s="92"/>
      <c r="X1" s="92"/>
      <c r="Y1" s="92"/>
      <c r="Z1" s="92"/>
      <c r="AA1" s="92"/>
      <c r="AB1" s="859"/>
      <c r="AC1" s="92"/>
      <c r="AD1" s="92"/>
      <c r="AE1" s="92"/>
      <c r="AF1" s="92"/>
      <c r="AG1" s="92"/>
      <c r="AH1" s="92"/>
      <c r="AI1" s="92"/>
      <c r="AJ1" s="859"/>
      <c r="AK1" s="92"/>
      <c r="AL1" s="92"/>
      <c r="AM1" s="92"/>
      <c r="AN1" s="92"/>
      <c r="AO1" s="92"/>
      <c r="AP1" s="92"/>
      <c r="AQ1" s="92"/>
      <c r="AR1" s="92"/>
      <c r="AS1" s="859"/>
      <c r="AT1" s="92"/>
      <c r="AU1" s="92"/>
      <c r="AV1" s="120" t="s">
        <v>542</v>
      </c>
    </row>
    <row r="2" spans="1:71" s="749" customFormat="1" ht="7" customHeight="1">
      <c r="A2" s="855"/>
      <c r="B2" s="92"/>
      <c r="C2" s="92"/>
      <c r="D2" s="92"/>
      <c r="E2" s="265"/>
      <c r="F2" s="830"/>
      <c r="G2" s="265"/>
      <c r="H2" s="92"/>
      <c r="I2" s="92"/>
      <c r="J2" s="92"/>
      <c r="K2" s="92"/>
      <c r="L2" s="831"/>
      <c r="M2" s="831"/>
      <c r="N2" s="831"/>
      <c r="O2" s="831"/>
      <c r="P2" s="92"/>
      <c r="Q2" s="92"/>
      <c r="R2" s="92"/>
      <c r="S2" s="92"/>
      <c r="T2" s="92"/>
      <c r="U2" s="92"/>
      <c r="V2" s="859"/>
      <c r="W2" s="92"/>
      <c r="X2" s="92"/>
      <c r="Y2" s="92"/>
      <c r="Z2" s="92"/>
      <c r="AA2" s="92"/>
      <c r="AB2" s="859"/>
      <c r="AC2" s="92"/>
      <c r="AD2" s="92"/>
      <c r="AE2" s="92"/>
      <c r="AF2" s="92"/>
      <c r="AG2" s="92"/>
      <c r="AH2" s="92"/>
      <c r="AI2" s="92"/>
      <c r="AJ2" s="859"/>
      <c r="AK2" s="92"/>
      <c r="AL2" s="92"/>
      <c r="AM2" s="92"/>
      <c r="AN2" s="92"/>
      <c r="AO2" s="92"/>
      <c r="AP2" s="92"/>
      <c r="AQ2" s="92"/>
      <c r="AR2" s="92"/>
      <c r="AS2" s="859"/>
      <c r="AT2" s="92"/>
      <c r="AU2" s="92"/>
    </row>
    <row r="3" spans="1:71" s="229" customFormat="1" ht="20" customHeight="1">
      <c r="A3" s="856"/>
      <c r="B3" s="522"/>
      <c r="C3" s="1411" t="s">
        <v>3052</v>
      </c>
      <c r="D3" s="1411"/>
      <c r="E3" s="1411"/>
      <c r="F3" s="1411"/>
      <c r="G3" s="1412" t="s">
        <v>2529</v>
      </c>
      <c r="H3" s="1410" t="s">
        <v>3053</v>
      </c>
      <c r="I3" s="1410"/>
      <c r="J3" s="1410"/>
      <c r="K3" s="1410"/>
      <c r="L3" s="1117">
        <v>3</v>
      </c>
      <c r="M3" s="832"/>
      <c r="N3" s="832"/>
      <c r="O3" s="857"/>
      <c r="P3" s="522"/>
      <c r="Q3" s="522"/>
      <c r="R3" s="522"/>
      <c r="S3" s="522"/>
      <c r="T3" s="522"/>
      <c r="U3" s="522"/>
      <c r="V3" s="860"/>
      <c r="W3" s="522"/>
      <c r="X3" s="522"/>
      <c r="Y3" s="522"/>
      <c r="Z3" s="522"/>
      <c r="AA3" s="522"/>
      <c r="AB3" s="860"/>
      <c r="AC3" s="522"/>
      <c r="AD3" s="522"/>
      <c r="AE3" s="522"/>
      <c r="AF3" s="522"/>
      <c r="AG3" s="522"/>
      <c r="AH3" s="522"/>
      <c r="AI3" s="522"/>
      <c r="AJ3" s="860"/>
      <c r="AK3" s="522"/>
      <c r="AL3" s="522"/>
      <c r="AM3" s="522"/>
      <c r="AN3" s="522"/>
      <c r="AO3" s="522"/>
      <c r="AP3" s="522"/>
      <c r="AQ3" s="522"/>
      <c r="AR3" s="522"/>
      <c r="AS3" s="860"/>
      <c r="AT3" s="522"/>
      <c r="AU3" s="522"/>
    </row>
    <row r="4" spans="1:71" s="749" customFormat="1" ht="20" customHeight="1">
      <c r="A4" s="855"/>
      <c r="B4" s="92"/>
      <c r="C4" s="1411"/>
      <c r="D4" s="1411"/>
      <c r="E4" s="1411"/>
      <c r="F4" s="1411"/>
      <c r="G4" s="1412"/>
      <c r="H4" s="1410"/>
      <c r="I4" s="1410"/>
      <c r="J4" s="1410"/>
      <c r="K4" s="1410"/>
      <c r="L4" s="831"/>
      <c r="M4" s="831"/>
      <c r="N4" s="831"/>
      <c r="O4" s="831"/>
      <c r="P4" s="92"/>
      <c r="Q4" s="92"/>
      <c r="R4" s="92"/>
      <c r="S4" s="92"/>
      <c r="T4" s="92"/>
      <c r="U4" s="92"/>
      <c r="V4" s="859"/>
      <c r="W4" s="92"/>
      <c r="X4" s="92"/>
      <c r="Y4" s="92"/>
      <c r="Z4" s="92"/>
      <c r="AA4" s="92"/>
      <c r="AB4" s="859"/>
      <c r="AC4" s="92"/>
      <c r="AD4" s="92"/>
      <c r="AE4" s="92"/>
      <c r="AF4" s="92"/>
      <c r="AG4" s="92"/>
      <c r="AH4" s="92"/>
      <c r="AI4" s="92"/>
      <c r="AJ4" s="859"/>
      <c r="AK4" s="92"/>
      <c r="AL4" s="92"/>
      <c r="AM4" s="92"/>
      <c r="AN4" s="92"/>
      <c r="AO4" s="92"/>
      <c r="AP4" s="92"/>
      <c r="AQ4" s="92"/>
      <c r="AR4" s="92"/>
      <c r="AS4" s="859"/>
      <c r="AT4" s="92"/>
      <c r="AU4" s="92"/>
    </row>
    <row r="5" spans="1:71" s="749" customFormat="1" ht="8" customHeight="1">
      <c r="A5" s="855"/>
      <c r="B5" s="92"/>
      <c r="C5" s="833"/>
      <c r="D5" s="833"/>
      <c r="E5" s="833"/>
      <c r="F5" s="833"/>
      <c r="G5" s="834"/>
      <c r="H5" s="835"/>
      <c r="I5" s="835"/>
      <c r="J5" s="835"/>
      <c r="K5" s="835"/>
      <c r="L5" s="831"/>
      <c r="M5" s="831"/>
      <c r="N5" s="831"/>
      <c r="O5" s="831"/>
      <c r="P5" s="92"/>
      <c r="Q5" s="92"/>
      <c r="R5" s="92"/>
      <c r="S5" s="92"/>
      <c r="T5" s="92"/>
      <c r="U5" s="92"/>
      <c r="V5" s="859"/>
      <c r="W5" s="92"/>
      <c r="X5" s="92"/>
      <c r="Y5" s="92"/>
      <c r="Z5" s="92"/>
      <c r="AA5" s="92"/>
      <c r="AB5" s="859"/>
      <c r="AC5" s="92"/>
      <c r="AD5" s="92"/>
      <c r="AE5" s="92"/>
      <c r="AF5" s="92"/>
      <c r="AG5" s="92"/>
      <c r="AH5" s="92"/>
      <c r="AI5" s="92"/>
      <c r="AJ5" s="859"/>
      <c r="AK5" s="92"/>
      <c r="AL5" s="92"/>
      <c r="AM5" s="92"/>
      <c r="AN5" s="92"/>
      <c r="AO5" s="92"/>
      <c r="AP5" s="92"/>
      <c r="AQ5" s="92"/>
      <c r="AR5" s="92"/>
      <c r="AS5" s="859"/>
      <c r="AT5" s="92"/>
      <c r="AU5" s="92"/>
    </row>
    <row r="6" spans="1:71" s="749" customFormat="1" ht="20" customHeight="1">
      <c r="A6" s="855"/>
      <c r="B6" s="92"/>
      <c r="C6" s="1409" t="s">
        <v>3086</v>
      </c>
      <c r="D6" s="1409"/>
      <c r="E6" s="1409"/>
      <c r="F6" s="1409"/>
      <c r="G6" s="1409"/>
      <c r="H6" s="1409"/>
      <c r="I6" s="1409"/>
      <c r="J6" s="1409"/>
      <c r="K6" s="1409"/>
      <c r="L6" s="831"/>
      <c r="M6" s="831"/>
      <c r="N6" s="831"/>
      <c r="O6" s="831"/>
      <c r="P6" s="92"/>
      <c r="Q6" s="92"/>
      <c r="R6" s="92"/>
      <c r="S6" s="92"/>
      <c r="T6" s="92"/>
      <c r="U6" s="92"/>
      <c r="V6" s="859"/>
      <c r="W6" s="92"/>
      <c r="X6" s="92"/>
      <c r="Y6" s="92"/>
      <c r="Z6" s="92"/>
      <c r="AA6" s="92"/>
      <c r="AB6" s="859"/>
      <c r="AC6" s="92"/>
      <c r="AD6" s="92"/>
      <c r="AE6" s="92"/>
      <c r="AF6" s="92"/>
      <c r="AG6" s="92"/>
      <c r="AH6" s="92"/>
      <c r="AI6" s="92"/>
      <c r="AJ6" s="859"/>
      <c r="AK6" s="92"/>
      <c r="AL6" s="92"/>
      <c r="AM6" s="92"/>
      <c r="AN6" s="92"/>
      <c r="AO6" s="92"/>
      <c r="AP6" s="92"/>
      <c r="AQ6" s="92"/>
      <c r="AR6" s="92"/>
      <c r="AS6" s="859"/>
      <c r="AT6" s="92"/>
      <c r="AU6" s="92"/>
    </row>
    <row r="7" spans="1:71" s="749" customFormat="1" ht="20" customHeight="1">
      <c r="A7" s="855"/>
      <c r="B7" s="92"/>
      <c r="C7" s="1409"/>
      <c r="D7" s="1409"/>
      <c r="E7" s="1409"/>
      <c r="F7" s="1409"/>
      <c r="G7" s="1409"/>
      <c r="H7" s="1409"/>
      <c r="I7" s="1409"/>
      <c r="J7" s="1409"/>
      <c r="K7" s="1409"/>
      <c r="L7" s="831"/>
      <c r="M7" s="831"/>
      <c r="N7" s="831"/>
      <c r="O7" s="831"/>
      <c r="P7" s="92"/>
      <c r="Q7" s="92"/>
      <c r="R7" s="92"/>
      <c r="S7" s="92"/>
      <c r="T7" s="92"/>
      <c r="U7" s="92"/>
      <c r="V7" s="859"/>
      <c r="W7" s="92"/>
      <c r="X7" s="92"/>
      <c r="Y7" s="92"/>
      <c r="Z7" s="92"/>
      <c r="AA7" s="92"/>
      <c r="AB7" s="859"/>
      <c r="AC7" s="92"/>
      <c r="AD7" s="92"/>
      <c r="AE7" s="92"/>
      <c r="AF7" s="92"/>
      <c r="AG7" s="92"/>
      <c r="AH7" s="92"/>
      <c r="AI7" s="92"/>
      <c r="AJ7" s="859"/>
      <c r="AK7" s="92"/>
      <c r="AL7" s="92"/>
      <c r="AM7" s="92"/>
      <c r="AN7" s="92"/>
      <c r="AO7" s="92"/>
      <c r="AP7" s="92"/>
      <c r="AQ7" s="92"/>
      <c r="AR7" s="92"/>
      <c r="AS7" s="859"/>
      <c r="AT7" s="92"/>
      <c r="AU7" s="92"/>
    </row>
    <row r="8" spans="1:71" s="749" customFormat="1" ht="8" customHeight="1">
      <c r="A8" s="855"/>
      <c r="B8" s="92"/>
      <c r="C8" s="92"/>
      <c r="D8" s="92"/>
      <c r="E8" s="265"/>
      <c r="F8" s="830"/>
      <c r="G8" s="265"/>
      <c r="H8" s="92"/>
      <c r="I8" s="92"/>
      <c r="J8" s="92"/>
      <c r="K8" s="92"/>
      <c r="L8" s="831"/>
      <c r="M8" s="831"/>
      <c r="N8" s="831"/>
      <c r="O8" s="831"/>
      <c r="P8" s="92"/>
      <c r="Q8" s="92"/>
      <c r="R8" s="92"/>
      <c r="S8" s="92"/>
      <c r="T8" s="92"/>
      <c r="U8" s="92"/>
      <c r="V8" s="859"/>
      <c r="W8" s="92"/>
      <c r="X8" s="92"/>
      <c r="Y8" s="92"/>
      <c r="Z8" s="92"/>
      <c r="AA8" s="92"/>
      <c r="AB8" s="859"/>
      <c r="AC8" s="92"/>
      <c r="AD8" s="92"/>
      <c r="AE8" s="92"/>
      <c r="AF8" s="92"/>
      <c r="AG8" s="92"/>
      <c r="AH8" s="92"/>
      <c r="AI8" s="92"/>
      <c r="AJ8" s="859"/>
      <c r="AK8" s="92"/>
      <c r="AL8" s="92"/>
      <c r="AM8" s="92"/>
      <c r="AN8" s="92"/>
      <c r="AO8" s="92"/>
      <c r="AP8" s="92"/>
      <c r="AQ8" s="92"/>
      <c r="AR8" s="92"/>
      <c r="AS8" s="859"/>
      <c r="AT8" s="92"/>
      <c r="AU8" s="92"/>
    </row>
    <row r="9" spans="1:71" s="749" customFormat="1" ht="59" customHeight="1">
      <c r="A9" s="855"/>
      <c r="B9" s="326" t="s">
        <v>3051</v>
      </c>
      <c r="C9" s="326" t="s">
        <v>66</v>
      </c>
      <c r="D9" s="84" t="s">
        <v>3061</v>
      </c>
      <c r="E9" s="84" t="s">
        <v>3062</v>
      </c>
      <c r="F9" s="705" t="s">
        <v>3063</v>
      </c>
      <c r="G9" s="327" t="s">
        <v>3054</v>
      </c>
      <c r="H9" s="328" t="s">
        <v>3055</v>
      </c>
      <c r="I9" s="84" t="s">
        <v>3056</v>
      </c>
      <c r="J9" s="84" t="s">
        <v>3057</v>
      </c>
      <c r="K9" s="2" t="s">
        <v>3058</v>
      </c>
      <c r="L9" s="413" t="s">
        <v>3059</v>
      </c>
      <c r="M9" s="855"/>
      <c r="N9" s="413" t="s">
        <v>3060</v>
      </c>
      <c r="O9" s="855"/>
      <c r="P9" s="858"/>
      <c r="Q9" s="2" t="s">
        <v>805</v>
      </c>
      <c r="R9" s="2" t="s">
        <v>1729</v>
      </c>
      <c r="S9" s="2" t="s">
        <v>2086</v>
      </c>
      <c r="T9" s="2" t="s">
        <v>1730</v>
      </c>
      <c r="U9" s="2" t="s">
        <v>1731</v>
      </c>
      <c r="V9" s="114" t="s">
        <v>1732</v>
      </c>
      <c r="W9" s="2" t="s">
        <v>75</v>
      </c>
      <c r="X9" s="2" t="s">
        <v>76</v>
      </c>
      <c r="Y9" s="2" t="s">
        <v>77</v>
      </c>
      <c r="Z9" s="2" t="s">
        <v>78</v>
      </c>
      <c r="AA9" s="2" t="s">
        <v>79</v>
      </c>
      <c r="AB9" s="114" t="s">
        <v>263</v>
      </c>
      <c r="AC9" s="112" t="s">
        <v>264</v>
      </c>
      <c r="AD9" s="2" t="s">
        <v>265</v>
      </c>
      <c r="AE9" s="2" t="s">
        <v>266</v>
      </c>
      <c r="AF9" s="2" t="s">
        <v>267</v>
      </c>
      <c r="AG9" s="2" t="s">
        <v>268</v>
      </c>
      <c r="AH9" s="2" t="s">
        <v>269</v>
      </c>
      <c r="AI9" s="2" t="s">
        <v>270</v>
      </c>
      <c r="AJ9" s="114" t="s">
        <v>271</v>
      </c>
      <c r="AK9" s="112" t="s">
        <v>380</v>
      </c>
      <c r="AL9" s="2" t="s">
        <v>273</v>
      </c>
      <c r="AM9" s="2" t="s">
        <v>274</v>
      </c>
      <c r="AN9" s="2" t="s">
        <v>382</v>
      </c>
      <c r="AO9" s="2" t="s">
        <v>276</v>
      </c>
      <c r="AP9" s="2" t="s">
        <v>277</v>
      </c>
      <c r="AQ9" s="2" t="s">
        <v>278</v>
      </c>
      <c r="AR9" s="2" t="s">
        <v>381</v>
      </c>
      <c r="AS9" s="114" t="s">
        <v>280</v>
      </c>
      <c r="AT9" s="2" t="s">
        <v>3973</v>
      </c>
      <c r="AU9" s="2" t="s">
        <v>3974</v>
      </c>
      <c r="AV9" s="2" t="s">
        <v>75</v>
      </c>
      <c r="AW9" s="2" t="s">
        <v>76</v>
      </c>
      <c r="AX9" s="2" t="s">
        <v>77</v>
      </c>
      <c r="AY9" s="2" t="s">
        <v>78</v>
      </c>
      <c r="AZ9" s="2" t="s">
        <v>79</v>
      </c>
      <c r="BA9" s="114" t="s">
        <v>263</v>
      </c>
      <c r="BB9" s="112" t="s">
        <v>264</v>
      </c>
      <c r="BC9" s="2" t="s">
        <v>265</v>
      </c>
      <c r="BD9" s="2" t="s">
        <v>266</v>
      </c>
      <c r="BE9" s="2" t="s">
        <v>267</v>
      </c>
      <c r="BF9" s="2" t="s">
        <v>268</v>
      </c>
      <c r="BG9" s="2" t="s">
        <v>269</v>
      </c>
      <c r="BH9" s="2" t="s">
        <v>270</v>
      </c>
      <c r="BI9" s="114" t="s">
        <v>271</v>
      </c>
      <c r="BJ9" s="112" t="s">
        <v>380</v>
      </c>
      <c r="BK9" s="2" t="s">
        <v>273</v>
      </c>
      <c r="BL9" s="2" t="s">
        <v>274</v>
      </c>
      <c r="BM9" s="2" t="s">
        <v>382</v>
      </c>
      <c r="BN9" s="2" t="s">
        <v>276</v>
      </c>
      <c r="BO9" s="2" t="s">
        <v>277</v>
      </c>
      <c r="BP9" s="2" t="s">
        <v>278</v>
      </c>
      <c r="BQ9" s="2" t="s">
        <v>381</v>
      </c>
      <c r="BR9" s="114" t="s">
        <v>280</v>
      </c>
      <c r="BS9" s="121" t="s">
        <v>547</v>
      </c>
    </row>
    <row r="10" spans="1:71" ht="16" thickBot="1">
      <c r="A10" s="437"/>
      <c r="B10" s="93"/>
      <c r="C10" s="93"/>
      <c r="D10" s="94"/>
      <c r="E10" s="94"/>
      <c r="F10" s="94" t="s">
        <v>454</v>
      </c>
      <c r="G10" s="95"/>
      <c r="H10" s="95"/>
      <c r="I10" s="94"/>
      <c r="J10" s="94"/>
      <c r="K10" s="94"/>
      <c r="L10" s="409"/>
      <c r="M10" s="409"/>
      <c r="N10" s="409"/>
      <c r="O10" s="414"/>
      <c r="P10" s="94"/>
      <c r="Q10" s="95"/>
      <c r="R10" s="95"/>
      <c r="S10" s="95"/>
      <c r="T10" s="95"/>
      <c r="U10" s="147"/>
      <c r="V10" s="115"/>
      <c r="W10" s="95"/>
      <c r="X10" s="95"/>
      <c r="Y10" s="95"/>
      <c r="Z10" s="95"/>
      <c r="AA10" s="487">
        <f>COUNTIF(AA11:AA30,"&lt;0")</f>
        <v>0</v>
      </c>
      <c r="AB10" s="487">
        <f t="shared" ref="AB10" si="0">COUNTIF(AB11:AB30,"&lt;0")</f>
        <v>0</v>
      </c>
      <c r="AC10" s="487">
        <f t="shared" ref="AC10" si="1">COUNTIF(AC11:AC30,"&lt;0")</f>
        <v>0</v>
      </c>
      <c r="AD10" s="487">
        <f t="shared" ref="AD10" si="2">COUNTIF(AD11:AD30,"&lt;0")</f>
        <v>0</v>
      </c>
      <c r="AE10" s="487">
        <f t="shared" ref="AE10" si="3">COUNTIF(AE11:AE30,"&lt;0")</f>
        <v>0</v>
      </c>
      <c r="AF10" s="487">
        <f t="shared" ref="AF10" si="4">COUNTIF(AF11:AF30,"&lt;0")</f>
        <v>0</v>
      </c>
      <c r="AG10" s="487">
        <f t="shared" ref="AG10" si="5">COUNTIF(AG11:AG30,"&lt;0")</f>
        <v>0</v>
      </c>
      <c r="AH10" s="487">
        <f t="shared" ref="AH10" si="6">COUNTIF(AH11:AH30,"&lt;0")</f>
        <v>0</v>
      </c>
      <c r="AI10" s="487">
        <f t="shared" ref="AI10" si="7">COUNTIF(AI11:AI30,"&lt;0")</f>
        <v>0</v>
      </c>
      <c r="AJ10" s="487">
        <f t="shared" ref="AJ10" si="8">COUNTIF(AJ11:AJ30,"&lt;0")</f>
        <v>0</v>
      </c>
      <c r="AK10" s="487">
        <f t="shared" ref="AK10" si="9">COUNTIF(AK11:AK30,"&lt;0")</f>
        <v>0</v>
      </c>
      <c r="AL10" s="487">
        <f t="shared" ref="AL10" si="10">COUNTIF(AL11:AL30,"&lt;0")</f>
        <v>0</v>
      </c>
      <c r="AM10" s="487">
        <f t="shared" ref="AM10" si="11">COUNTIF(AM11:AM30,"&lt;0")</f>
        <v>0</v>
      </c>
      <c r="AN10" s="487">
        <f t="shared" ref="AN10" si="12">COUNTIF(AN11:AN30,"&lt;0")</f>
        <v>0</v>
      </c>
      <c r="AO10" s="487">
        <f t="shared" ref="AO10" si="13">COUNTIF(AO11:AO30,"&lt;0")</f>
        <v>0</v>
      </c>
      <c r="AP10" s="487">
        <f t="shared" ref="AP10" si="14">COUNTIF(AP11:AP30,"&lt;0")</f>
        <v>0</v>
      </c>
      <c r="AQ10" s="487">
        <f t="shared" ref="AQ10" si="15">COUNTIF(AQ11:AQ30,"&lt;0")</f>
        <v>0</v>
      </c>
      <c r="AR10" s="487">
        <f t="shared" ref="AR10" si="16">COUNTIF(AR11:AR30,"&lt;0")</f>
        <v>0</v>
      </c>
      <c r="AS10" s="487">
        <f t="shared" ref="AS10" si="17">COUNTIF(AS11:AS30,"&lt;0")</f>
        <v>0</v>
      </c>
      <c r="AT10" s="93"/>
      <c r="AU10" s="93"/>
    </row>
    <row r="11" spans="1:71" s="229" customFormat="1" ht="15" customHeight="1" thickBot="1">
      <c r="A11" s="590"/>
      <c r="B11" s="575" t="s">
        <v>3064</v>
      </c>
      <c r="C11" s="229" t="s">
        <v>67</v>
      </c>
      <c r="D11" s="576"/>
      <c r="E11" s="691">
        <v>0</v>
      </c>
      <c r="F11" s="707"/>
      <c r="G11" s="406" t="s">
        <v>3054</v>
      </c>
      <c r="H11" s="1262" t="s">
        <v>3055</v>
      </c>
      <c r="I11" s="85">
        <v>0</v>
      </c>
      <c r="J11" s="682">
        <v>1</v>
      </c>
      <c r="K11" s="579" t="str">
        <f t="shared" ref="K11:K30" si="18">IF(I11&gt;0,1.1*Q11*E11/1000,"")</f>
        <v/>
      </c>
      <c r="L11" s="580" t="str">
        <f>IF(H11="Select ingredient:","",IF(G11="","",_xlfn.IFNA(VLOOKUP($H11,Ingredient_prices!$E:$U,16,FALSE),0)))</f>
        <v/>
      </c>
      <c r="M11" s="591"/>
      <c r="N11" s="861">
        <f>$W32</f>
        <v>0</v>
      </c>
      <c r="O11" s="591"/>
      <c r="P11" s="592"/>
      <c r="Q11" s="583">
        <f>I11/J11</f>
        <v>0</v>
      </c>
      <c r="R11" s="583">
        <f>VLOOKUP($H11,'CO2_emission+%_food_waste'!$A:$K,6,FALSE)*$Q11/100</f>
        <v>0</v>
      </c>
      <c r="S11" s="583">
        <f>Q11-R11</f>
        <v>0</v>
      </c>
      <c r="T11" s="583" t="str">
        <f>IF(H11="Select ingredient:","",IF(G11="Select food category:","",_xlfn.IFNA(VLOOKUP($H11,Ingredient_prices!$E:$U,16,FALSE)*$Q11/1000,"not bought")))</f>
        <v/>
      </c>
      <c r="U11" s="583" t="str">
        <f>IF(G11="Select food category:","",_xlfn.IFNA(VLOOKUP($H11,Ingredient_prices!$E:$U,16,FALSE)*$R11/1000,"not bought"))</f>
        <v/>
      </c>
      <c r="V11" s="549">
        <f>VLOOKUP($H11,'CO2_emission+%_food_waste'!$A:$K,4,FALSE)*$Q11</f>
        <v>0</v>
      </c>
      <c r="W11" s="583">
        <f>VLOOKUP($H11,Nutrition_tables!$A:$N,10,FALSE)*$Q11/100</f>
        <v>0</v>
      </c>
      <c r="X11" s="583">
        <f>VLOOKUP($H11,Nutrition_tables!$A:$N,11,FALSE)*$Q11/100</f>
        <v>0</v>
      </c>
      <c r="Y11" s="583">
        <f>VLOOKUP($H11,Nutrition_tables!$A:$N,12,FALSE)*$Q11/100</f>
        <v>0</v>
      </c>
      <c r="Z11" s="583">
        <f>VLOOKUP($H11,Nutrition_tables!$A:$N,14,FALSE)*$Q11/100</f>
        <v>0</v>
      </c>
      <c r="AA11" s="583">
        <f>VLOOKUP($H11,Nutrition_tables!$A:$AF,13,FALSE)*$Q11/100</f>
        <v>0</v>
      </c>
      <c r="AB11" s="549">
        <f>VLOOKUP($H11,Nutrition_tables!$A:$AF,15,FALSE)*$Q11/100</f>
        <v>0</v>
      </c>
      <c r="AC11" s="583">
        <f>VLOOKUP($H11,Nutrition_tables!$A:$AF,16,FALSE)*$Q11/100</f>
        <v>0</v>
      </c>
      <c r="AD11" s="583">
        <f>VLOOKUP($H11,Nutrition_tables!$A:$AF,17,FALSE)*$Q11/100</f>
        <v>0</v>
      </c>
      <c r="AE11" s="583">
        <f>VLOOKUP($H11,Nutrition_tables!$A:$AF,18,FALSE)*$Q11/100</f>
        <v>0</v>
      </c>
      <c r="AF11" s="583">
        <f>VLOOKUP($H11,Nutrition_tables!$A:$AF,19,FALSE)*$Q11/100</f>
        <v>0</v>
      </c>
      <c r="AG11" s="583">
        <f>VLOOKUP($H11,Nutrition_tables!$A:$AF,20,FALSE)*$Q11/100</f>
        <v>0</v>
      </c>
      <c r="AH11" s="583">
        <f>VLOOKUP($H11,Nutrition_tables!$A:$AF,21,FALSE)*$Q11/100</f>
        <v>0</v>
      </c>
      <c r="AI11" s="583">
        <f>VLOOKUP($H11,Nutrition_tables!$A:$AF,22,FALSE)*$Q11/100</f>
        <v>0</v>
      </c>
      <c r="AJ11" s="549">
        <f>VLOOKUP($H11,Nutrition_tables!$A:$AF,23,FALSE)*$Q11/100</f>
        <v>0</v>
      </c>
      <c r="AK11" s="583">
        <f>VLOOKUP($H11,Nutrition_tables!$A:$AF,24,FALSE)*$Q11/100</f>
        <v>0</v>
      </c>
      <c r="AL11" s="583">
        <f>VLOOKUP($H11,Nutrition_tables!$A:$AF,25,FALSE)*$Q11/100</f>
        <v>0</v>
      </c>
      <c r="AM11" s="583">
        <f>VLOOKUP($H11,Nutrition_tables!$A:$AF,26,FALSE)*$Q11/100</f>
        <v>0</v>
      </c>
      <c r="AN11" s="583">
        <f>VLOOKUP($H11,Nutrition_tables!$A:$AF,27,FALSE)*$Q11/100</f>
        <v>0</v>
      </c>
      <c r="AO11" s="583">
        <f>VLOOKUP($H11,Nutrition_tables!$A:$AF,28,FALSE)*$Q11/100</f>
        <v>0</v>
      </c>
      <c r="AP11" s="583">
        <f>VLOOKUP($H11,Nutrition_tables!$A:$AF,29,FALSE)*$Q11/100</f>
        <v>0</v>
      </c>
      <c r="AQ11" s="583">
        <f>VLOOKUP($H11,Nutrition_tables!$A:$AF,30,FALSE)*$Q11/100</f>
        <v>0</v>
      </c>
      <c r="AR11" s="583">
        <f>VLOOKUP($H11,Nutrition_tables!$A:$AF,31,FALSE)*$Q11/100</f>
        <v>0</v>
      </c>
      <c r="AS11" s="549">
        <f>VLOOKUP($H11,Nutrition_tables!$A:$AF,32,FALSE)*$Q11/100</f>
        <v>0</v>
      </c>
      <c r="AT11" s="583" t="str">
        <f>IF(H11="Select ingredient:","",IF(G11="Select food category:","",IFERROR(VLOOKUP($H11,Ingredient_prices!$E:$W,17,FALSE)*$Q11/1000,"not bought")))</f>
        <v/>
      </c>
      <c r="AU11" s="583" t="str">
        <f>IF(H11="Select ingredient:","",IF(G11="Select food category:","",IFERROR(VLOOKUP($H11,Ingredient_prices!$E:$W,18,FALSE)*$Q11/1000,"not bought")))</f>
        <v/>
      </c>
      <c r="AV11" s="583">
        <f t="shared" ref="AV11:AV30" si="19">W11*($Q11-$R11)/($Q11+0.00001)</f>
        <v>0</v>
      </c>
      <c r="AW11" s="583">
        <f t="shared" ref="AW11:AW30" si="20">X11*($Q11-$R11)/($Q11+0.00001)</f>
        <v>0</v>
      </c>
      <c r="AX11" s="583">
        <f t="shared" ref="AX11:AX30" si="21">Y11*($Q11-$R11)/($Q11+0.00001)</f>
        <v>0</v>
      </c>
      <c r="AY11" s="583">
        <f t="shared" ref="AY11:AY30" si="22">Z11*($Q11-$R11)/($Q11+0.00001)</f>
        <v>0</v>
      </c>
      <c r="AZ11" s="583">
        <f t="shared" ref="AZ11:AZ30" si="23">AA11*($Q11-$R11)/($Q11+0.00001)</f>
        <v>0</v>
      </c>
      <c r="BA11" s="583">
        <f t="shared" ref="BA11:BA30" si="24">AB11*($Q11-$R11)/($Q11+0.00001)</f>
        <v>0</v>
      </c>
      <c r="BB11" s="583">
        <f t="shared" ref="BB11:BB30" si="25">AC11*($Q11-$R11)/($Q11+0.00001)</f>
        <v>0</v>
      </c>
      <c r="BC11" s="583">
        <f t="shared" ref="BC11:BC30" si="26">AD11*($Q11-$R11)/($Q11+0.00001)</f>
        <v>0</v>
      </c>
      <c r="BD11" s="583">
        <f t="shared" ref="BD11:BD25" si="27">AE11*($Q11-$R11)/($Q11+0.00001)</f>
        <v>0</v>
      </c>
      <c r="BE11" s="583">
        <f t="shared" ref="BE11:BE25" si="28">AF11*($Q11-$R11)/($Q11+0.00001)</f>
        <v>0</v>
      </c>
      <c r="BF11" s="583">
        <f t="shared" ref="BF11:BF25" si="29">AG11*($Q11-$R11)/($Q11+0.00001)</f>
        <v>0</v>
      </c>
      <c r="BG11" s="583">
        <f t="shared" ref="BG11:BG25" si="30">AH11*($Q11-$R11)/($Q11+0.00001)</f>
        <v>0</v>
      </c>
      <c r="BH11" s="583">
        <f t="shared" ref="BH11:BH25" si="31">AI11*($Q11-$R11)/($Q11+0.00001)</f>
        <v>0</v>
      </c>
      <c r="BI11" s="583">
        <f t="shared" ref="BI11:BI25" si="32">AJ11*($Q11-$R11)/($Q11+0.00001)</f>
        <v>0</v>
      </c>
      <c r="BJ11" s="583">
        <f t="shared" ref="BJ11:BJ25" si="33">AK11*($Q11-$R11)/($Q11+0.00001)</f>
        <v>0</v>
      </c>
      <c r="BK11" s="583">
        <f t="shared" ref="BK11:BK25" si="34">AL11*($Q11-$R11)/($Q11+0.00001)</f>
        <v>0</v>
      </c>
      <c r="BL11" s="583">
        <f t="shared" ref="BL11:BL25" si="35">AM11*($Q11-$R11)/($Q11+0.00001)</f>
        <v>0</v>
      </c>
      <c r="BM11" s="583">
        <f t="shared" ref="BM11:BM25" si="36">AN11*($Q11-$R11)/($Q11+0.00001)</f>
        <v>0</v>
      </c>
      <c r="BN11" s="583">
        <f t="shared" ref="BN11:BN25" si="37">AO11*($Q11-$R11)/($Q11+0.00001)</f>
        <v>0</v>
      </c>
      <c r="BO11" s="583">
        <f t="shared" ref="BO11:BO25" si="38">AP11*($Q11-$R11)/($Q11+0.00001)</f>
        <v>0</v>
      </c>
      <c r="BP11" s="583">
        <f t="shared" ref="BP11:BP25" si="39">AQ11*($Q11-$R11)/($Q11+0.00001)</f>
        <v>0</v>
      </c>
      <c r="BQ11" s="583">
        <f t="shared" ref="BQ11:BQ25" si="40">AR11*($Q11-$R11)/($Q11+0.00001)</f>
        <v>0</v>
      </c>
      <c r="BR11" s="583">
        <f t="shared" ref="BR11:BR25" si="41">AS11*($Q11-$R11)/($Q11+0.00001)</f>
        <v>0</v>
      </c>
    </row>
    <row r="12" spans="1:71" s="229" customFormat="1" ht="15" customHeight="1">
      <c r="A12" s="590"/>
      <c r="E12" s="576" t="str">
        <f>IF(E$11&gt;0,E$11,"")</f>
        <v/>
      </c>
      <c r="F12" s="707"/>
      <c r="G12" s="406" t="s">
        <v>3054</v>
      </c>
      <c r="H12" s="1262" t="s">
        <v>3055</v>
      </c>
      <c r="I12" s="85">
        <v>0</v>
      </c>
      <c r="J12" s="682">
        <v>1</v>
      </c>
      <c r="K12" s="579" t="str">
        <f t="shared" si="18"/>
        <v/>
      </c>
      <c r="L12" s="580" t="str">
        <f>IF(H12="Select ingredient:","",IF(G12="","",_xlfn.IFNA(VLOOKUP($H12,Ingredient_prices!$E:$U,16,FALSE),0)))</f>
        <v/>
      </c>
      <c r="M12" s="591"/>
      <c r="N12" s="591"/>
      <c r="O12" s="591"/>
      <c r="P12" s="592"/>
      <c r="Q12" s="583">
        <f>I12/J12</f>
        <v>0</v>
      </c>
      <c r="R12" s="583">
        <f>VLOOKUP($H12,'CO2_emission+%_food_waste'!$A:$K,6,FALSE)*$Q12/100</f>
        <v>0</v>
      </c>
      <c r="S12" s="583">
        <f t="shared" ref="S12:S30" si="42">Q12-R12</f>
        <v>0</v>
      </c>
      <c r="T12" s="583" t="str">
        <f>IF(H12="Select ingredient:","",IF(G12="Select food category:","",_xlfn.IFNA(VLOOKUP($H12,Ingredient_prices!$E:$U,16,FALSE)*$Q12/1000,"not bought")))</f>
        <v/>
      </c>
      <c r="U12" s="583" t="str">
        <f>IF(G12="Select food category:","",_xlfn.IFNA(VLOOKUP($H12,Ingredient_prices!$E:$U,16,FALSE)*$R12/1000,"not bought"))</f>
        <v/>
      </c>
      <c r="V12" s="549">
        <f>VLOOKUP($H12,'CO2_emission+%_food_waste'!$A:$K,4,FALSE)*$Q12</f>
        <v>0</v>
      </c>
      <c r="W12" s="583">
        <f>VLOOKUP($H12,Nutrition_tables!$A:$N,10,FALSE)*$Q12/100</f>
        <v>0</v>
      </c>
      <c r="X12" s="583">
        <f>VLOOKUP($H12,Nutrition_tables!$A:$N,11,FALSE)*$Q12/100</f>
        <v>0</v>
      </c>
      <c r="Y12" s="583">
        <f>VLOOKUP($H12,Nutrition_tables!$A:$N,12,FALSE)*$Q12/100</f>
        <v>0</v>
      </c>
      <c r="Z12" s="583">
        <f>VLOOKUP($H12,Nutrition_tables!$A:$N,14,FALSE)*$Q12/100</f>
        <v>0</v>
      </c>
      <c r="AA12" s="583">
        <f>VLOOKUP($H12,Nutrition_tables!$A:$AF,13,FALSE)*$Q12/100</f>
        <v>0</v>
      </c>
      <c r="AB12" s="549">
        <f>VLOOKUP($H12,Nutrition_tables!$A:$AF,15,FALSE)*$Q12/100</f>
        <v>0</v>
      </c>
      <c r="AC12" s="583">
        <f>VLOOKUP($H12,Nutrition_tables!$A:$AF,16,FALSE)*$Q12/100</f>
        <v>0</v>
      </c>
      <c r="AD12" s="583">
        <f>VLOOKUP($H12,Nutrition_tables!$A:$AF,17,FALSE)*$Q12/100</f>
        <v>0</v>
      </c>
      <c r="AE12" s="583">
        <f>VLOOKUP($H12,Nutrition_tables!$A:$AF,18,FALSE)*$Q12/100</f>
        <v>0</v>
      </c>
      <c r="AF12" s="583">
        <f>VLOOKUP($H12,Nutrition_tables!$A:$AF,19,FALSE)*$Q12/100</f>
        <v>0</v>
      </c>
      <c r="AG12" s="583">
        <f>VLOOKUP($H12,Nutrition_tables!$A:$AF,20,FALSE)*$Q12/100</f>
        <v>0</v>
      </c>
      <c r="AH12" s="583">
        <f>VLOOKUP($H12,Nutrition_tables!$A:$AF,21,FALSE)*$Q12/100</f>
        <v>0</v>
      </c>
      <c r="AI12" s="583">
        <f>VLOOKUP($H12,Nutrition_tables!$A:$AF,22,FALSE)*$Q12/100</f>
        <v>0</v>
      </c>
      <c r="AJ12" s="549">
        <f>VLOOKUP($H12,Nutrition_tables!$A:$AF,23,FALSE)*$Q12/100</f>
        <v>0</v>
      </c>
      <c r="AK12" s="583">
        <f>VLOOKUP($H12,Nutrition_tables!$A:$AF,24,FALSE)*$Q12/100</f>
        <v>0</v>
      </c>
      <c r="AL12" s="583">
        <f>VLOOKUP($H12,Nutrition_tables!$A:$AF,25,FALSE)*$Q12/100</f>
        <v>0</v>
      </c>
      <c r="AM12" s="583">
        <f>VLOOKUP($H12,Nutrition_tables!$A:$AF,26,FALSE)*$Q12/100</f>
        <v>0</v>
      </c>
      <c r="AN12" s="583">
        <f>VLOOKUP($H12,Nutrition_tables!$A:$AF,27,FALSE)*$Q12/100</f>
        <v>0</v>
      </c>
      <c r="AO12" s="583">
        <f>VLOOKUP($H12,Nutrition_tables!$A:$AF,28,FALSE)*$Q12/100</f>
        <v>0</v>
      </c>
      <c r="AP12" s="583">
        <f>VLOOKUP($H12,Nutrition_tables!$A:$AF,29,FALSE)*$Q12/100</f>
        <v>0</v>
      </c>
      <c r="AQ12" s="583">
        <f>VLOOKUP($H12,Nutrition_tables!$A:$AF,30,FALSE)*$Q12/100</f>
        <v>0</v>
      </c>
      <c r="AR12" s="583">
        <f>VLOOKUP($H12,Nutrition_tables!$A:$AF,31,FALSE)*$Q12/100</f>
        <v>0</v>
      </c>
      <c r="AS12" s="549">
        <f>VLOOKUP($H12,Nutrition_tables!$A:$AF,32,FALSE)*$Q12/100</f>
        <v>0</v>
      </c>
      <c r="AT12" s="583" t="str">
        <f>IF(H12="Select ingredient:","",IF(G12="Select food category:","",IFERROR(VLOOKUP($H12,Ingredient_prices!$E:$W,17,FALSE)*$Q12/1000,"not bought")))</f>
        <v/>
      </c>
      <c r="AU12" s="583" t="str">
        <f>IF(H12="Select ingredient:","",IF(G12="Select food category:","",IFERROR(VLOOKUP($H12,Ingredient_prices!$E:$W,18,FALSE)*$Q12/1000,"not bought")))</f>
        <v/>
      </c>
      <c r="AV12" s="583">
        <f t="shared" si="19"/>
        <v>0</v>
      </c>
      <c r="AW12" s="583">
        <f t="shared" si="20"/>
        <v>0</v>
      </c>
      <c r="AX12" s="583">
        <f t="shared" si="21"/>
        <v>0</v>
      </c>
      <c r="AY12" s="583">
        <f t="shared" si="22"/>
        <v>0</v>
      </c>
      <c r="AZ12" s="583">
        <f t="shared" si="23"/>
        <v>0</v>
      </c>
      <c r="BA12" s="583">
        <f t="shared" si="24"/>
        <v>0</v>
      </c>
      <c r="BB12" s="583">
        <f t="shared" si="25"/>
        <v>0</v>
      </c>
      <c r="BC12" s="583">
        <f t="shared" si="26"/>
        <v>0</v>
      </c>
      <c r="BD12" s="583">
        <f t="shared" si="27"/>
        <v>0</v>
      </c>
      <c r="BE12" s="583">
        <f t="shared" si="28"/>
        <v>0</v>
      </c>
      <c r="BF12" s="583">
        <f t="shared" si="29"/>
        <v>0</v>
      </c>
      <c r="BG12" s="583">
        <f t="shared" si="30"/>
        <v>0</v>
      </c>
      <c r="BH12" s="583">
        <f t="shared" si="31"/>
        <v>0</v>
      </c>
      <c r="BI12" s="583">
        <f t="shared" si="32"/>
        <v>0</v>
      </c>
      <c r="BJ12" s="583">
        <f t="shared" si="33"/>
        <v>0</v>
      </c>
      <c r="BK12" s="583">
        <f t="shared" si="34"/>
        <v>0</v>
      </c>
      <c r="BL12" s="583">
        <f t="shared" si="35"/>
        <v>0</v>
      </c>
      <c r="BM12" s="583">
        <f t="shared" si="36"/>
        <v>0</v>
      </c>
      <c r="BN12" s="583">
        <f t="shared" si="37"/>
        <v>0</v>
      </c>
      <c r="BO12" s="583">
        <f t="shared" si="38"/>
        <v>0</v>
      </c>
      <c r="BP12" s="583">
        <f t="shared" si="39"/>
        <v>0</v>
      </c>
      <c r="BQ12" s="583">
        <f t="shared" si="40"/>
        <v>0</v>
      </c>
      <c r="BR12" s="583">
        <f t="shared" si="41"/>
        <v>0</v>
      </c>
    </row>
    <row r="13" spans="1:71" s="229" customFormat="1" ht="15" customHeight="1">
      <c r="A13" s="590"/>
      <c r="D13" s="85"/>
      <c r="E13" s="576" t="str">
        <f t="shared" ref="E13:E30" si="43">IF(E$11&gt;0,E$11,"")</f>
        <v/>
      </c>
      <c r="F13" s="707"/>
      <c r="G13" s="406" t="s">
        <v>3054</v>
      </c>
      <c r="H13" s="1262" t="s">
        <v>3055</v>
      </c>
      <c r="I13" s="85">
        <v>0</v>
      </c>
      <c r="J13" s="682">
        <v>1</v>
      </c>
      <c r="K13" s="579" t="str">
        <f t="shared" si="18"/>
        <v/>
      </c>
      <c r="L13" s="580" t="str">
        <f>IF(H13="Select ingredient:","",IF(G13="","",_xlfn.IFNA(VLOOKUP($H13,Ingredient_prices!$E:$U,16,FALSE),0)))</f>
        <v/>
      </c>
      <c r="M13" s="591"/>
      <c r="N13" s="591"/>
      <c r="O13" s="591"/>
      <c r="P13" s="592"/>
      <c r="Q13" s="583">
        <f t="shared" ref="Q13:Q49" si="44">I13/J13</f>
        <v>0</v>
      </c>
      <c r="R13" s="583">
        <f>VLOOKUP($H13,'CO2_emission+%_food_waste'!$A:$K,6,FALSE)*$Q13/100</f>
        <v>0</v>
      </c>
      <c r="S13" s="583">
        <f t="shared" si="42"/>
        <v>0</v>
      </c>
      <c r="T13" s="583" t="str">
        <f>IF(H13="Select ingredient:","",IF(G13="Select food category:","",_xlfn.IFNA(VLOOKUP($H13,Ingredient_prices!$E:$U,16,FALSE)*$Q13/1000,"not bought")))</f>
        <v/>
      </c>
      <c r="U13" s="583" t="str">
        <f>IF(G13="Select food category:","",_xlfn.IFNA(VLOOKUP($H13,Ingredient_prices!$E:$U,16,FALSE)*$R13/1000,"not bought"))</f>
        <v/>
      </c>
      <c r="V13" s="549">
        <f>VLOOKUP($H13,'CO2_emission+%_food_waste'!$A:$K,4,FALSE)*$Q13</f>
        <v>0</v>
      </c>
      <c r="W13" s="583">
        <f>VLOOKUP($H13,Nutrition_tables!$A:$N,10,FALSE)*$Q13/100</f>
        <v>0</v>
      </c>
      <c r="X13" s="583">
        <f>VLOOKUP($H13,Nutrition_tables!$A:$N,11,FALSE)*$Q13/100</f>
        <v>0</v>
      </c>
      <c r="Y13" s="583">
        <f>VLOOKUP($H13,Nutrition_tables!$A:$N,12,FALSE)*$Q13/100</f>
        <v>0</v>
      </c>
      <c r="Z13" s="583">
        <f>VLOOKUP($H13,Nutrition_tables!$A:$N,14,FALSE)*$Q13/100</f>
        <v>0</v>
      </c>
      <c r="AA13" s="583">
        <f>VLOOKUP($H13,Nutrition_tables!$A:$AF,13,FALSE)*$Q13/100</f>
        <v>0</v>
      </c>
      <c r="AB13" s="549">
        <f>VLOOKUP($H13,Nutrition_tables!$A:$AF,15,FALSE)*$Q13/100</f>
        <v>0</v>
      </c>
      <c r="AC13" s="583">
        <f>VLOOKUP($H13,Nutrition_tables!$A:$AF,16,FALSE)*$Q13/100</f>
        <v>0</v>
      </c>
      <c r="AD13" s="583">
        <f>VLOOKUP($H13,Nutrition_tables!$A:$AF,17,FALSE)*$Q13/100</f>
        <v>0</v>
      </c>
      <c r="AE13" s="583">
        <f>VLOOKUP($H13,Nutrition_tables!$A:$AF,18,FALSE)*$Q13/100</f>
        <v>0</v>
      </c>
      <c r="AF13" s="583">
        <f>VLOOKUP($H13,Nutrition_tables!$A:$AF,19,FALSE)*$Q13/100</f>
        <v>0</v>
      </c>
      <c r="AG13" s="583">
        <f>VLOOKUP($H13,Nutrition_tables!$A:$AF,20,FALSE)*$Q13/100</f>
        <v>0</v>
      </c>
      <c r="AH13" s="583">
        <f>VLOOKUP($H13,Nutrition_tables!$A:$AF,21,FALSE)*$Q13/100</f>
        <v>0</v>
      </c>
      <c r="AI13" s="583">
        <f>VLOOKUP($H13,Nutrition_tables!$A:$AF,22,FALSE)*$Q13/100</f>
        <v>0</v>
      </c>
      <c r="AJ13" s="549">
        <f>VLOOKUP($H13,Nutrition_tables!$A:$AF,23,FALSE)*$Q13/100</f>
        <v>0</v>
      </c>
      <c r="AK13" s="583">
        <f>VLOOKUP($H13,Nutrition_tables!$A:$AF,24,FALSE)*$Q13/100</f>
        <v>0</v>
      </c>
      <c r="AL13" s="583">
        <f>VLOOKUP($H13,Nutrition_tables!$A:$AF,25,FALSE)*$Q13/100</f>
        <v>0</v>
      </c>
      <c r="AM13" s="583">
        <f>VLOOKUP($H13,Nutrition_tables!$A:$AF,26,FALSE)*$Q13/100</f>
        <v>0</v>
      </c>
      <c r="AN13" s="583">
        <f>VLOOKUP($H13,Nutrition_tables!$A:$AF,27,FALSE)*$Q13/100</f>
        <v>0</v>
      </c>
      <c r="AO13" s="583">
        <f>VLOOKUP($H13,Nutrition_tables!$A:$AF,28,FALSE)*$Q13/100</f>
        <v>0</v>
      </c>
      <c r="AP13" s="583">
        <f>VLOOKUP($H13,Nutrition_tables!$A:$AF,29,FALSE)*$Q13/100</f>
        <v>0</v>
      </c>
      <c r="AQ13" s="583">
        <f>VLOOKUP($H13,Nutrition_tables!$A:$AF,30,FALSE)*$Q13/100</f>
        <v>0</v>
      </c>
      <c r="AR13" s="583">
        <f>VLOOKUP($H13,Nutrition_tables!$A:$AF,31,FALSE)*$Q13/100</f>
        <v>0</v>
      </c>
      <c r="AS13" s="549">
        <f>VLOOKUP($H13,Nutrition_tables!$A:$AF,32,FALSE)*$Q13/100</f>
        <v>0</v>
      </c>
      <c r="AT13" s="583" t="str">
        <f>IF(H13="Select ingredient:","",IF(G13="Select food category:","",IFERROR(VLOOKUP($H13,Ingredient_prices!$E:$W,17,FALSE)*$Q13/1000,"not bought")))</f>
        <v/>
      </c>
      <c r="AU13" s="583" t="str">
        <f>IF(H13="Select ingredient:","",IF(G13="Select food category:","",IFERROR(VLOOKUP($H13,Ingredient_prices!$E:$W,18,FALSE)*$Q13/1000,"not bought")))</f>
        <v/>
      </c>
      <c r="AV13" s="583">
        <f t="shared" si="19"/>
        <v>0</v>
      </c>
      <c r="AW13" s="583">
        <f t="shared" si="20"/>
        <v>0</v>
      </c>
      <c r="AX13" s="583">
        <f t="shared" si="21"/>
        <v>0</v>
      </c>
      <c r="AY13" s="583">
        <f t="shared" si="22"/>
        <v>0</v>
      </c>
      <c r="AZ13" s="583">
        <f t="shared" si="23"/>
        <v>0</v>
      </c>
      <c r="BA13" s="583">
        <f t="shared" si="24"/>
        <v>0</v>
      </c>
      <c r="BB13" s="583">
        <f t="shared" si="25"/>
        <v>0</v>
      </c>
      <c r="BC13" s="583">
        <f t="shared" si="26"/>
        <v>0</v>
      </c>
      <c r="BD13" s="583">
        <f t="shared" si="27"/>
        <v>0</v>
      </c>
      <c r="BE13" s="583">
        <f t="shared" si="28"/>
        <v>0</v>
      </c>
      <c r="BF13" s="583">
        <f t="shared" si="29"/>
        <v>0</v>
      </c>
      <c r="BG13" s="583">
        <f t="shared" si="30"/>
        <v>0</v>
      </c>
      <c r="BH13" s="583">
        <f t="shared" si="31"/>
        <v>0</v>
      </c>
      <c r="BI13" s="583">
        <f t="shared" si="32"/>
        <v>0</v>
      </c>
      <c r="BJ13" s="583">
        <f t="shared" si="33"/>
        <v>0</v>
      </c>
      <c r="BK13" s="583">
        <f t="shared" si="34"/>
        <v>0</v>
      </c>
      <c r="BL13" s="583">
        <f t="shared" si="35"/>
        <v>0</v>
      </c>
      <c r="BM13" s="583">
        <f t="shared" si="36"/>
        <v>0</v>
      </c>
      <c r="BN13" s="583">
        <f t="shared" si="37"/>
        <v>0</v>
      </c>
      <c r="BO13" s="583">
        <f t="shared" si="38"/>
        <v>0</v>
      </c>
      <c r="BP13" s="583">
        <f t="shared" si="39"/>
        <v>0</v>
      </c>
      <c r="BQ13" s="583">
        <f t="shared" si="40"/>
        <v>0</v>
      </c>
      <c r="BR13" s="583">
        <f t="shared" si="41"/>
        <v>0</v>
      </c>
    </row>
    <row r="14" spans="1:71" s="229" customFormat="1" ht="15" customHeight="1">
      <c r="A14" s="590"/>
      <c r="D14" s="85"/>
      <c r="E14" s="576" t="str">
        <f t="shared" si="43"/>
        <v/>
      </c>
      <c r="F14" s="707"/>
      <c r="G14" s="406" t="s">
        <v>3054</v>
      </c>
      <c r="H14" s="1262" t="s">
        <v>3055</v>
      </c>
      <c r="I14" s="85">
        <v>0</v>
      </c>
      <c r="J14" s="682">
        <v>1</v>
      </c>
      <c r="K14" s="579" t="str">
        <f t="shared" si="18"/>
        <v/>
      </c>
      <c r="L14" s="580" t="str">
        <f>IF(H14="Select ingredient:","",IF(G14="","",_xlfn.IFNA(VLOOKUP($H14,Ingredient_prices!$E:$U,16,FALSE),0)))</f>
        <v/>
      </c>
      <c r="M14" s="591"/>
      <c r="N14" s="591"/>
      <c r="O14" s="591"/>
      <c r="P14" s="592"/>
      <c r="Q14" s="583">
        <f t="shared" si="44"/>
        <v>0</v>
      </c>
      <c r="R14" s="583">
        <f>VLOOKUP($H14,'CO2_emission+%_food_waste'!$A:$K,6,FALSE)*$Q14/100</f>
        <v>0</v>
      </c>
      <c r="S14" s="583">
        <f t="shared" si="42"/>
        <v>0</v>
      </c>
      <c r="T14" s="583" t="str">
        <f>IF(H14="Select ingredient:","",IF(G14="Select food category:","",_xlfn.IFNA(VLOOKUP($H14,Ingredient_prices!$E:$U,16,FALSE)*$Q14/1000,"not bought")))</f>
        <v/>
      </c>
      <c r="U14" s="583" t="str">
        <f>IF(G14="Select food category:","",_xlfn.IFNA(VLOOKUP($H14,Ingredient_prices!$E:$U,16,FALSE)*$R14/1000,"not bought"))</f>
        <v/>
      </c>
      <c r="V14" s="549">
        <f>VLOOKUP($H14,'CO2_emission+%_food_waste'!$A:$K,4,FALSE)*$Q14</f>
        <v>0</v>
      </c>
      <c r="W14" s="583">
        <f>VLOOKUP($H14,Nutrition_tables!$A:$N,10,FALSE)*$Q14/100</f>
        <v>0</v>
      </c>
      <c r="X14" s="583">
        <f>VLOOKUP($H14,Nutrition_tables!$A:$N,11,FALSE)*$Q14/100</f>
        <v>0</v>
      </c>
      <c r="Y14" s="583">
        <f>VLOOKUP($H14,Nutrition_tables!$A:$N,12,FALSE)*$Q14/100</f>
        <v>0</v>
      </c>
      <c r="Z14" s="583">
        <f>VLOOKUP($H14,Nutrition_tables!$A:$N,14,FALSE)*$Q14/100</f>
        <v>0</v>
      </c>
      <c r="AA14" s="583">
        <f>VLOOKUP($H14,Nutrition_tables!$A:$AF,13,FALSE)*$Q14/100</f>
        <v>0</v>
      </c>
      <c r="AB14" s="549">
        <f>VLOOKUP($H14,Nutrition_tables!$A:$AF,15,FALSE)*$Q14/100</f>
        <v>0</v>
      </c>
      <c r="AC14" s="583">
        <f>VLOOKUP($H14,Nutrition_tables!$A:$AF,16,FALSE)*$Q14/100</f>
        <v>0</v>
      </c>
      <c r="AD14" s="583">
        <f>VLOOKUP($H14,Nutrition_tables!$A:$AF,17,FALSE)*$Q14/100</f>
        <v>0</v>
      </c>
      <c r="AE14" s="583">
        <f>VLOOKUP($H14,Nutrition_tables!$A:$AF,18,FALSE)*$Q14/100</f>
        <v>0</v>
      </c>
      <c r="AF14" s="583">
        <f>VLOOKUP($H14,Nutrition_tables!$A:$AF,19,FALSE)*$Q14/100</f>
        <v>0</v>
      </c>
      <c r="AG14" s="583">
        <f>VLOOKUP($H14,Nutrition_tables!$A:$AF,20,FALSE)*$Q14/100</f>
        <v>0</v>
      </c>
      <c r="AH14" s="583">
        <f>VLOOKUP($H14,Nutrition_tables!$A:$AF,21,FALSE)*$Q14/100</f>
        <v>0</v>
      </c>
      <c r="AI14" s="583">
        <f>VLOOKUP($H14,Nutrition_tables!$A:$AF,22,FALSE)*$Q14/100</f>
        <v>0</v>
      </c>
      <c r="AJ14" s="549">
        <f>VLOOKUP($H14,Nutrition_tables!$A:$AF,23,FALSE)*$Q14/100</f>
        <v>0</v>
      </c>
      <c r="AK14" s="583">
        <f>VLOOKUP($H14,Nutrition_tables!$A:$AF,24,FALSE)*$Q14/100</f>
        <v>0</v>
      </c>
      <c r="AL14" s="583">
        <f>VLOOKUP($H14,Nutrition_tables!$A:$AF,25,FALSE)*$Q14/100</f>
        <v>0</v>
      </c>
      <c r="AM14" s="583">
        <f>VLOOKUP($H14,Nutrition_tables!$A:$AF,26,FALSE)*$Q14/100</f>
        <v>0</v>
      </c>
      <c r="AN14" s="583">
        <f>VLOOKUP($H14,Nutrition_tables!$A:$AF,27,FALSE)*$Q14/100</f>
        <v>0</v>
      </c>
      <c r="AO14" s="583">
        <f>VLOOKUP($H14,Nutrition_tables!$A:$AF,28,FALSE)*$Q14/100</f>
        <v>0</v>
      </c>
      <c r="AP14" s="583">
        <f>VLOOKUP($H14,Nutrition_tables!$A:$AF,29,FALSE)*$Q14/100</f>
        <v>0</v>
      </c>
      <c r="AQ14" s="583">
        <f>VLOOKUP($H14,Nutrition_tables!$A:$AF,30,FALSE)*$Q14/100</f>
        <v>0</v>
      </c>
      <c r="AR14" s="583">
        <f>VLOOKUP($H14,Nutrition_tables!$A:$AF,31,FALSE)*$Q14/100</f>
        <v>0</v>
      </c>
      <c r="AS14" s="549">
        <f>VLOOKUP($H14,Nutrition_tables!$A:$AF,32,FALSE)*$Q14/100</f>
        <v>0</v>
      </c>
      <c r="AT14" s="583" t="str">
        <f>IF(H14="Select ingredient:","",IF(G14="Select food category:","",IFERROR(VLOOKUP($H14,Ingredient_prices!$E:$W,17,FALSE)*$Q14/1000,"not bought")))</f>
        <v/>
      </c>
      <c r="AU14" s="583" t="str">
        <f>IF(H14="Select ingredient:","",IF(G14="Select food category:","",IFERROR(VLOOKUP($H14,Ingredient_prices!$E:$W,18,FALSE)*$Q14/1000,"not bought")))</f>
        <v/>
      </c>
      <c r="AV14" s="583">
        <f t="shared" si="19"/>
        <v>0</v>
      </c>
      <c r="AW14" s="583">
        <f t="shared" si="20"/>
        <v>0</v>
      </c>
      <c r="AX14" s="583">
        <f t="shared" si="21"/>
        <v>0</v>
      </c>
      <c r="AY14" s="583">
        <f t="shared" si="22"/>
        <v>0</v>
      </c>
      <c r="AZ14" s="583">
        <f t="shared" si="23"/>
        <v>0</v>
      </c>
      <c r="BA14" s="583">
        <f t="shared" si="24"/>
        <v>0</v>
      </c>
      <c r="BB14" s="583">
        <f t="shared" si="25"/>
        <v>0</v>
      </c>
      <c r="BC14" s="583">
        <f t="shared" si="26"/>
        <v>0</v>
      </c>
      <c r="BD14" s="583">
        <f t="shared" si="27"/>
        <v>0</v>
      </c>
      <c r="BE14" s="583">
        <f t="shared" si="28"/>
        <v>0</v>
      </c>
      <c r="BF14" s="583">
        <f t="shared" si="29"/>
        <v>0</v>
      </c>
      <c r="BG14" s="583">
        <f t="shared" si="30"/>
        <v>0</v>
      </c>
      <c r="BH14" s="583">
        <f t="shared" si="31"/>
        <v>0</v>
      </c>
      <c r="BI14" s="583">
        <f t="shared" si="32"/>
        <v>0</v>
      </c>
      <c r="BJ14" s="583">
        <f t="shared" si="33"/>
        <v>0</v>
      </c>
      <c r="BK14" s="583">
        <f t="shared" si="34"/>
        <v>0</v>
      </c>
      <c r="BL14" s="583">
        <f t="shared" si="35"/>
        <v>0</v>
      </c>
      <c r="BM14" s="583">
        <f t="shared" si="36"/>
        <v>0</v>
      </c>
      <c r="BN14" s="583">
        <f t="shared" si="37"/>
        <v>0</v>
      </c>
      <c r="BO14" s="583">
        <f t="shared" si="38"/>
        <v>0</v>
      </c>
      <c r="BP14" s="583">
        <f t="shared" si="39"/>
        <v>0</v>
      </c>
      <c r="BQ14" s="583">
        <f t="shared" si="40"/>
        <v>0</v>
      </c>
      <c r="BR14" s="583">
        <f t="shared" si="41"/>
        <v>0</v>
      </c>
    </row>
    <row r="15" spans="1:71" s="229" customFormat="1" ht="15" customHeight="1">
      <c r="A15" s="590"/>
      <c r="D15" s="85"/>
      <c r="E15" s="576" t="str">
        <f t="shared" si="43"/>
        <v/>
      </c>
      <c r="F15" s="707"/>
      <c r="G15" s="406" t="s">
        <v>3054</v>
      </c>
      <c r="H15" s="1262" t="s">
        <v>3055</v>
      </c>
      <c r="I15" s="85">
        <v>0</v>
      </c>
      <c r="J15" s="682">
        <v>1</v>
      </c>
      <c r="K15" s="579" t="str">
        <f t="shared" si="18"/>
        <v/>
      </c>
      <c r="L15" s="580" t="str">
        <f>IF(H15="Select ingredient:","",IF(G15="","",_xlfn.IFNA(VLOOKUP($H15,Ingredient_prices!$E:$U,16,FALSE),0)))</f>
        <v/>
      </c>
      <c r="M15" s="591"/>
      <c r="N15" s="591"/>
      <c r="O15" s="591"/>
      <c r="P15" s="592"/>
      <c r="Q15" s="583">
        <f t="shared" si="44"/>
        <v>0</v>
      </c>
      <c r="R15" s="583">
        <f>VLOOKUP($H15,'CO2_emission+%_food_waste'!$A:$K,6,FALSE)*$Q15/100</f>
        <v>0</v>
      </c>
      <c r="S15" s="583">
        <f t="shared" si="42"/>
        <v>0</v>
      </c>
      <c r="T15" s="583" t="str">
        <f>IF(H15="Select ingredient:","",IF(G15="Select food category:","",_xlfn.IFNA(VLOOKUP($H15,Ingredient_prices!$E:$U,16,FALSE)*$Q15/1000,"not bought")))</f>
        <v/>
      </c>
      <c r="U15" s="583" t="str">
        <f>IF(G15="Select food category:","",_xlfn.IFNA(VLOOKUP($H15,Ingredient_prices!$E:$U,16,FALSE)*$R15/1000,"not bought"))</f>
        <v/>
      </c>
      <c r="V15" s="549">
        <f>VLOOKUP($H15,'CO2_emission+%_food_waste'!$A:$K,4,FALSE)*$Q15</f>
        <v>0</v>
      </c>
      <c r="W15" s="583">
        <f>VLOOKUP($H15,Nutrition_tables!$A:$N,10,FALSE)*$Q15/100</f>
        <v>0</v>
      </c>
      <c r="X15" s="583">
        <f>VLOOKUP($H15,Nutrition_tables!$A:$N,11,FALSE)*$Q15/100</f>
        <v>0</v>
      </c>
      <c r="Y15" s="583">
        <f>VLOOKUP($H15,Nutrition_tables!$A:$N,12,FALSE)*$Q15/100</f>
        <v>0</v>
      </c>
      <c r="Z15" s="583">
        <f>VLOOKUP($H15,Nutrition_tables!$A:$N,14,FALSE)*$Q15/100</f>
        <v>0</v>
      </c>
      <c r="AA15" s="583">
        <f>VLOOKUP($H15,Nutrition_tables!$A:$AF,13,FALSE)*$Q15/100</f>
        <v>0</v>
      </c>
      <c r="AB15" s="549">
        <f>VLOOKUP($H15,Nutrition_tables!$A:$AF,15,FALSE)*$Q15/100</f>
        <v>0</v>
      </c>
      <c r="AC15" s="583">
        <f>VLOOKUP($H15,Nutrition_tables!$A:$AF,16,FALSE)*$Q15/100</f>
        <v>0</v>
      </c>
      <c r="AD15" s="583">
        <f>VLOOKUP($H15,Nutrition_tables!$A:$AF,17,FALSE)*$Q15/100</f>
        <v>0</v>
      </c>
      <c r="AE15" s="583">
        <f>VLOOKUP($H15,Nutrition_tables!$A:$AF,18,FALSE)*$Q15/100</f>
        <v>0</v>
      </c>
      <c r="AF15" s="583">
        <f>VLOOKUP($H15,Nutrition_tables!$A:$AF,19,FALSE)*$Q15/100</f>
        <v>0</v>
      </c>
      <c r="AG15" s="583">
        <f>VLOOKUP($H15,Nutrition_tables!$A:$AF,20,FALSE)*$Q15/100</f>
        <v>0</v>
      </c>
      <c r="AH15" s="583">
        <f>VLOOKUP($H15,Nutrition_tables!$A:$AF,21,FALSE)*$Q15/100</f>
        <v>0</v>
      </c>
      <c r="AI15" s="583">
        <f>VLOOKUP($H15,Nutrition_tables!$A:$AF,22,FALSE)*$Q15/100</f>
        <v>0</v>
      </c>
      <c r="AJ15" s="549">
        <f>VLOOKUP($H15,Nutrition_tables!$A:$AF,23,FALSE)*$Q15/100</f>
        <v>0</v>
      </c>
      <c r="AK15" s="583">
        <f>VLOOKUP($H15,Nutrition_tables!$A:$AF,24,FALSE)*$Q15/100</f>
        <v>0</v>
      </c>
      <c r="AL15" s="583">
        <f>VLOOKUP($H15,Nutrition_tables!$A:$AF,25,FALSE)*$Q15/100</f>
        <v>0</v>
      </c>
      <c r="AM15" s="583">
        <f>VLOOKUP($H15,Nutrition_tables!$A:$AF,26,FALSE)*$Q15/100</f>
        <v>0</v>
      </c>
      <c r="AN15" s="583">
        <f>VLOOKUP($H15,Nutrition_tables!$A:$AF,27,FALSE)*$Q15/100</f>
        <v>0</v>
      </c>
      <c r="AO15" s="583">
        <f>VLOOKUP($H15,Nutrition_tables!$A:$AF,28,FALSE)*$Q15/100</f>
        <v>0</v>
      </c>
      <c r="AP15" s="583">
        <f>VLOOKUP($H15,Nutrition_tables!$A:$AF,29,FALSE)*$Q15/100</f>
        <v>0</v>
      </c>
      <c r="AQ15" s="583">
        <f>VLOOKUP($H15,Nutrition_tables!$A:$AF,30,FALSE)*$Q15/100</f>
        <v>0</v>
      </c>
      <c r="AR15" s="583">
        <f>VLOOKUP($H15,Nutrition_tables!$A:$AF,31,FALSE)*$Q15/100</f>
        <v>0</v>
      </c>
      <c r="AS15" s="549">
        <f>VLOOKUP($H15,Nutrition_tables!$A:$AF,32,FALSE)*$Q15/100</f>
        <v>0</v>
      </c>
      <c r="AT15" s="583" t="str">
        <f>IF(H15="Select ingredient:","",IF(G15="Select food category:","",IFERROR(VLOOKUP($H15,Ingredient_prices!$E:$W,17,FALSE)*$Q15/1000,"not bought")))</f>
        <v/>
      </c>
      <c r="AU15" s="583" t="str">
        <f>IF(H15="Select ingredient:","",IF(G15="Select food category:","",IFERROR(VLOOKUP($H15,Ingredient_prices!$E:$W,18,FALSE)*$Q15/1000,"not bought")))</f>
        <v/>
      </c>
      <c r="AV15" s="583">
        <f t="shared" si="19"/>
        <v>0</v>
      </c>
      <c r="AW15" s="583">
        <f t="shared" si="20"/>
        <v>0</v>
      </c>
      <c r="AX15" s="583">
        <f t="shared" si="21"/>
        <v>0</v>
      </c>
      <c r="AY15" s="583">
        <f t="shared" si="22"/>
        <v>0</v>
      </c>
      <c r="AZ15" s="583">
        <f t="shared" si="23"/>
        <v>0</v>
      </c>
      <c r="BA15" s="583">
        <f t="shared" si="24"/>
        <v>0</v>
      </c>
      <c r="BB15" s="583">
        <f t="shared" si="25"/>
        <v>0</v>
      </c>
      <c r="BC15" s="583">
        <f t="shared" si="26"/>
        <v>0</v>
      </c>
      <c r="BD15" s="583">
        <f t="shared" si="27"/>
        <v>0</v>
      </c>
      <c r="BE15" s="583">
        <f t="shared" si="28"/>
        <v>0</v>
      </c>
      <c r="BF15" s="583">
        <f t="shared" si="29"/>
        <v>0</v>
      </c>
      <c r="BG15" s="583">
        <f t="shared" si="30"/>
        <v>0</v>
      </c>
      <c r="BH15" s="583">
        <f t="shared" si="31"/>
        <v>0</v>
      </c>
      <c r="BI15" s="583">
        <f t="shared" si="32"/>
        <v>0</v>
      </c>
      <c r="BJ15" s="583">
        <f t="shared" si="33"/>
        <v>0</v>
      </c>
      <c r="BK15" s="583">
        <f t="shared" si="34"/>
        <v>0</v>
      </c>
      <c r="BL15" s="583">
        <f t="shared" si="35"/>
        <v>0</v>
      </c>
      <c r="BM15" s="583">
        <f t="shared" si="36"/>
        <v>0</v>
      </c>
      <c r="BN15" s="583">
        <f t="shared" si="37"/>
        <v>0</v>
      </c>
      <c r="BO15" s="583">
        <f t="shared" si="38"/>
        <v>0</v>
      </c>
      <c r="BP15" s="583">
        <f t="shared" si="39"/>
        <v>0</v>
      </c>
      <c r="BQ15" s="583">
        <f t="shared" si="40"/>
        <v>0</v>
      </c>
      <c r="BR15" s="583">
        <f t="shared" si="41"/>
        <v>0</v>
      </c>
    </row>
    <row r="16" spans="1:71" s="229" customFormat="1" ht="15" customHeight="1">
      <c r="A16" s="590"/>
      <c r="D16" s="85"/>
      <c r="E16" s="576" t="str">
        <f t="shared" si="43"/>
        <v/>
      </c>
      <c r="F16" s="707"/>
      <c r="G16" s="406" t="s">
        <v>3054</v>
      </c>
      <c r="H16" s="1262" t="s">
        <v>3055</v>
      </c>
      <c r="I16" s="85">
        <v>0</v>
      </c>
      <c r="J16" s="682">
        <v>1</v>
      </c>
      <c r="K16" s="579" t="str">
        <f t="shared" si="18"/>
        <v/>
      </c>
      <c r="L16" s="580" t="str">
        <f>IF(H16="Select ingredient:","",IF(G16="","",_xlfn.IFNA(VLOOKUP($H16,Ingredient_prices!$E:$U,16,FALSE),0)))</f>
        <v/>
      </c>
      <c r="M16" s="591"/>
      <c r="N16" s="591"/>
      <c r="O16" s="591"/>
      <c r="P16" s="592"/>
      <c r="Q16" s="583">
        <f t="shared" si="44"/>
        <v>0</v>
      </c>
      <c r="R16" s="583">
        <f>VLOOKUP($H16,'CO2_emission+%_food_waste'!$A:$K,6,FALSE)*$Q16/100</f>
        <v>0</v>
      </c>
      <c r="S16" s="583">
        <f t="shared" si="42"/>
        <v>0</v>
      </c>
      <c r="T16" s="583" t="str">
        <f>IF(H16="Select ingredient:","",IF(G16="Select food category:","",_xlfn.IFNA(VLOOKUP($H16,Ingredient_prices!$E:$U,16,FALSE)*$Q16/1000,"not bought")))</f>
        <v/>
      </c>
      <c r="U16" s="583" t="str">
        <f>IF(G16="Select food category:","",_xlfn.IFNA(VLOOKUP($H16,Ingredient_prices!$E:$U,16,FALSE)*$R16/1000,"not bought"))</f>
        <v/>
      </c>
      <c r="V16" s="549">
        <f>VLOOKUP($H16,'CO2_emission+%_food_waste'!$A:$K,4,FALSE)*$Q16</f>
        <v>0</v>
      </c>
      <c r="W16" s="583">
        <f>VLOOKUP($H16,Nutrition_tables!$A:$N,10,FALSE)*$Q16/100</f>
        <v>0</v>
      </c>
      <c r="X16" s="583">
        <f>VLOOKUP($H16,Nutrition_tables!$A:$N,11,FALSE)*$Q16/100</f>
        <v>0</v>
      </c>
      <c r="Y16" s="583">
        <f>VLOOKUP($H16,Nutrition_tables!$A:$N,12,FALSE)*$Q16/100</f>
        <v>0</v>
      </c>
      <c r="Z16" s="583">
        <f>VLOOKUP($H16,Nutrition_tables!$A:$N,14,FALSE)*$Q16/100</f>
        <v>0</v>
      </c>
      <c r="AA16" s="583">
        <f>VLOOKUP($H16,Nutrition_tables!$A:$AF,13,FALSE)*$Q16/100</f>
        <v>0</v>
      </c>
      <c r="AB16" s="549">
        <f>VLOOKUP($H16,Nutrition_tables!$A:$AF,15,FALSE)*$Q16/100</f>
        <v>0</v>
      </c>
      <c r="AC16" s="583">
        <f>VLOOKUP($H16,Nutrition_tables!$A:$AF,16,FALSE)*$Q16/100</f>
        <v>0</v>
      </c>
      <c r="AD16" s="583">
        <f>VLOOKUP($H16,Nutrition_tables!$A:$AF,17,FALSE)*$Q16/100</f>
        <v>0</v>
      </c>
      <c r="AE16" s="583">
        <f>VLOOKUP($H16,Nutrition_tables!$A:$AF,18,FALSE)*$Q16/100</f>
        <v>0</v>
      </c>
      <c r="AF16" s="583">
        <f>VLOOKUP($H16,Nutrition_tables!$A:$AF,19,FALSE)*$Q16/100</f>
        <v>0</v>
      </c>
      <c r="AG16" s="583">
        <f>VLOOKUP($H16,Nutrition_tables!$A:$AF,20,FALSE)*$Q16/100</f>
        <v>0</v>
      </c>
      <c r="AH16" s="583">
        <f>VLOOKUP($H16,Nutrition_tables!$A:$AF,21,FALSE)*$Q16/100</f>
        <v>0</v>
      </c>
      <c r="AI16" s="583">
        <f>VLOOKUP($H16,Nutrition_tables!$A:$AF,22,FALSE)*$Q16/100</f>
        <v>0</v>
      </c>
      <c r="AJ16" s="549">
        <f>VLOOKUP($H16,Nutrition_tables!$A:$AF,23,FALSE)*$Q16/100</f>
        <v>0</v>
      </c>
      <c r="AK16" s="583">
        <f>VLOOKUP($H16,Nutrition_tables!$A:$AF,24,FALSE)*$Q16/100</f>
        <v>0</v>
      </c>
      <c r="AL16" s="583">
        <f>VLOOKUP($H16,Nutrition_tables!$A:$AF,25,FALSE)*$Q16/100</f>
        <v>0</v>
      </c>
      <c r="AM16" s="583">
        <f>VLOOKUP($H16,Nutrition_tables!$A:$AF,26,FALSE)*$Q16/100</f>
        <v>0</v>
      </c>
      <c r="AN16" s="583">
        <f>VLOOKUP($H16,Nutrition_tables!$A:$AF,27,FALSE)*$Q16/100</f>
        <v>0</v>
      </c>
      <c r="AO16" s="583">
        <f>VLOOKUP($H16,Nutrition_tables!$A:$AF,28,FALSE)*$Q16/100</f>
        <v>0</v>
      </c>
      <c r="AP16" s="583">
        <f>VLOOKUP($H16,Nutrition_tables!$A:$AF,29,FALSE)*$Q16/100</f>
        <v>0</v>
      </c>
      <c r="AQ16" s="583">
        <f>VLOOKUP($H16,Nutrition_tables!$A:$AF,30,FALSE)*$Q16/100</f>
        <v>0</v>
      </c>
      <c r="AR16" s="583">
        <f>VLOOKUP($H16,Nutrition_tables!$A:$AF,31,FALSE)*$Q16/100</f>
        <v>0</v>
      </c>
      <c r="AS16" s="549">
        <f>VLOOKUP($H16,Nutrition_tables!$A:$AF,32,FALSE)*$Q16/100</f>
        <v>0</v>
      </c>
      <c r="AT16" s="583" t="str">
        <f>IF(H16="Select ingredient:","",IF(G16="Select food category:","",IFERROR(VLOOKUP($H16,Ingredient_prices!$E:$W,17,FALSE)*$Q16/1000,"not bought")))</f>
        <v/>
      </c>
      <c r="AU16" s="583" t="str">
        <f>IF(H16="Select ingredient:","",IF(G16="Select food category:","",IFERROR(VLOOKUP($H16,Ingredient_prices!$E:$W,18,FALSE)*$Q16/1000,"not bought")))</f>
        <v/>
      </c>
      <c r="AV16" s="583">
        <f t="shared" si="19"/>
        <v>0</v>
      </c>
      <c r="AW16" s="583">
        <f t="shared" si="20"/>
        <v>0</v>
      </c>
      <c r="AX16" s="583">
        <f t="shared" si="21"/>
        <v>0</v>
      </c>
      <c r="AY16" s="583">
        <f t="shared" si="22"/>
        <v>0</v>
      </c>
      <c r="AZ16" s="583">
        <f t="shared" si="23"/>
        <v>0</v>
      </c>
      <c r="BA16" s="583">
        <f t="shared" si="24"/>
        <v>0</v>
      </c>
      <c r="BB16" s="583">
        <f t="shared" si="25"/>
        <v>0</v>
      </c>
      <c r="BC16" s="583">
        <f t="shared" si="26"/>
        <v>0</v>
      </c>
      <c r="BD16" s="583">
        <f t="shared" si="27"/>
        <v>0</v>
      </c>
      <c r="BE16" s="583">
        <f t="shared" si="28"/>
        <v>0</v>
      </c>
      <c r="BF16" s="583">
        <f t="shared" si="29"/>
        <v>0</v>
      </c>
      <c r="BG16" s="583">
        <f t="shared" si="30"/>
        <v>0</v>
      </c>
      <c r="BH16" s="583">
        <f t="shared" si="31"/>
        <v>0</v>
      </c>
      <c r="BI16" s="583">
        <f t="shared" si="32"/>
        <v>0</v>
      </c>
      <c r="BJ16" s="583">
        <f t="shared" si="33"/>
        <v>0</v>
      </c>
      <c r="BK16" s="583">
        <f t="shared" si="34"/>
        <v>0</v>
      </c>
      <c r="BL16" s="583">
        <f t="shared" si="35"/>
        <v>0</v>
      </c>
      <c r="BM16" s="583">
        <f t="shared" si="36"/>
        <v>0</v>
      </c>
      <c r="BN16" s="583">
        <f t="shared" si="37"/>
        <v>0</v>
      </c>
      <c r="BO16" s="583">
        <f t="shared" si="38"/>
        <v>0</v>
      </c>
      <c r="BP16" s="583">
        <f t="shared" si="39"/>
        <v>0</v>
      </c>
      <c r="BQ16" s="583">
        <f t="shared" si="40"/>
        <v>0</v>
      </c>
      <c r="BR16" s="583">
        <f t="shared" si="41"/>
        <v>0</v>
      </c>
    </row>
    <row r="17" spans="1:70" s="229" customFormat="1" ht="15" customHeight="1">
      <c r="A17" s="590"/>
      <c r="D17" s="85"/>
      <c r="E17" s="576" t="str">
        <f t="shared" si="43"/>
        <v/>
      </c>
      <c r="F17" s="707"/>
      <c r="G17" s="406" t="s">
        <v>3054</v>
      </c>
      <c r="H17" s="1262" t="s">
        <v>3055</v>
      </c>
      <c r="I17" s="85">
        <v>0</v>
      </c>
      <c r="J17" s="682">
        <v>1</v>
      </c>
      <c r="K17" s="579" t="str">
        <f t="shared" si="18"/>
        <v/>
      </c>
      <c r="L17" s="580" t="str">
        <f>IF(H17="Select ingredient:","",IF(G17="","",_xlfn.IFNA(VLOOKUP($H17,Ingredient_prices!$E:$U,16,FALSE),0)))</f>
        <v/>
      </c>
      <c r="M17" s="591"/>
      <c r="N17" s="591"/>
      <c r="O17" s="591"/>
      <c r="P17" s="592"/>
      <c r="Q17" s="583">
        <f t="shared" si="44"/>
        <v>0</v>
      </c>
      <c r="R17" s="583">
        <f>VLOOKUP($H17,'CO2_emission+%_food_waste'!$A:$K,6,FALSE)*$Q17/100</f>
        <v>0</v>
      </c>
      <c r="S17" s="583">
        <f t="shared" si="42"/>
        <v>0</v>
      </c>
      <c r="T17" s="583" t="str">
        <f>IF(H17="Select ingredient:","",IF(G17="Select food category:","",_xlfn.IFNA(VLOOKUP($H17,Ingredient_prices!$E:$U,16,FALSE)*$Q17/1000,"not bought")))</f>
        <v/>
      </c>
      <c r="U17" s="583" t="str">
        <f>IF(G17="Select food category:","",_xlfn.IFNA(VLOOKUP($H17,Ingredient_prices!$E:$U,16,FALSE)*$R17/1000,"not bought"))</f>
        <v/>
      </c>
      <c r="V17" s="549">
        <f>VLOOKUP($H17,'CO2_emission+%_food_waste'!$A:$K,4,FALSE)*$Q17</f>
        <v>0</v>
      </c>
      <c r="W17" s="583">
        <f>VLOOKUP($H17,Nutrition_tables!$A:$N,10,FALSE)*$Q17/100</f>
        <v>0</v>
      </c>
      <c r="X17" s="583">
        <f>VLOOKUP($H17,Nutrition_tables!$A:$N,11,FALSE)*$Q17/100</f>
        <v>0</v>
      </c>
      <c r="Y17" s="583">
        <f>VLOOKUP($H17,Nutrition_tables!$A:$N,12,FALSE)*$Q17/100</f>
        <v>0</v>
      </c>
      <c r="Z17" s="583">
        <f>VLOOKUP($H17,Nutrition_tables!$A:$N,14,FALSE)*$Q17/100</f>
        <v>0</v>
      </c>
      <c r="AA17" s="583">
        <f>VLOOKUP($H17,Nutrition_tables!$A:$AF,13,FALSE)*$Q17/100</f>
        <v>0</v>
      </c>
      <c r="AB17" s="549">
        <f>VLOOKUP($H17,Nutrition_tables!$A:$AF,15,FALSE)*$Q17/100</f>
        <v>0</v>
      </c>
      <c r="AC17" s="583">
        <f>VLOOKUP($H17,Nutrition_tables!$A:$AF,16,FALSE)*$Q17/100</f>
        <v>0</v>
      </c>
      <c r="AD17" s="583">
        <f>VLOOKUP($H17,Nutrition_tables!$A:$AF,17,FALSE)*$Q17/100</f>
        <v>0</v>
      </c>
      <c r="AE17" s="583">
        <f>VLOOKUP($H17,Nutrition_tables!$A:$AF,18,FALSE)*$Q17/100</f>
        <v>0</v>
      </c>
      <c r="AF17" s="583">
        <f>VLOOKUP($H17,Nutrition_tables!$A:$AF,19,FALSE)*$Q17/100</f>
        <v>0</v>
      </c>
      <c r="AG17" s="583">
        <f>VLOOKUP($H17,Nutrition_tables!$A:$AF,20,FALSE)*$Q17/100</f>
        <v>0</v>
      </c>
      <c r="AH17" s="583">
        <f>VLOOKUP($H17,Nutrition_tables!$A:$AF,21,FALSE)*$Q17/100</f>
        <v>0</v>
      </c>
      <c r="AI17" s="583">
        <f>VLOOKUP($H17,Nutrition_tables!$A:$AF,22,FALSE)*$Q17/100</f>
        <v>0</v>
      </c>
      <c r="AJ17" s="549">
        <f>VLOOKUP($H17,Nutrition_tables!$A:$AF,23,FALSE)*$Q17/100</f>
        <v>0</v>
      </c>
      <c r="AK17" s="583">
        <f>VLOOKUP($H17,Nutrition_tables!$A:$AF,24,FALSE)*$Q17/100</f>
        <v>0</v>
      </c>
      <c r="AL17" s="583">
        <f>VLOOKUP($H17,Nutrition_tables!$A:$AF,25,FALSE)*$Q17/100</f>
        <v>0</v>
      </c>
      <c r="AM17" s="583">
        <f>VLOOKUP($H17,Nutrition_tables!$A:$AF,26,FALSE)*$Q17/100</f>
        <v>0</v>
      </c>
      <c r="AN17" s="583">
        <f>VLOOKUP($H17,Nutrition_tables!$A:$AF,27,FALSE)*$Q17/100</f>
        <v>0</v>
      </c>
      <c r="AO17" s="583">
        <f>VLOOKUP($H17,Nutrition_tables!$A:$AF,28,FALSE)*$Q17/100</f>
        <v>0</v>
      </c>
      <c r="AP17" s="583">
        <f>VLOOKUP($H17,Nutrition_tables!$A:$AF,29,FALSE)*$Q17/100</f>
        <v>0</v>
      </c>
      <c r="AQ17" s="583">
        <f>VLOOKUP($H17,Nutrition_tables!$A:$AF,30,FALSE)*$Q17/100</f>
        <v>0</v>
      </c>
      <c r="AR17" s="583">
        <f>VLOOKUP($H17,Nutrition_tables!$A:$AF,31,FALSE)*$Q17/100</f>
        <v>0</v>
      </c>
      <c r="AS17" s="549">
        <f>VLOOKUP($H17,Nutrition_tables!$A:$AF,32,FALSE)*$Q17/100</f>
        <v>0</v>
      </c>
      <c r="AT17" s="583" t="str">
        <f>IF(H17="Select ingredient:","",IF(G17="Select food category:","",IFERROR(VLOOKUP($H17,Ingredient_prices!$E:$W,17,FALSE)*$Q17/1000,"not bought")))</f>
        <v/>
      </c>
      <c r="AU17" s="583" t="str">
        <f>IF(H17="Select ingredient:","",IF(G17="Select food category:","",IFERROR(VLOOKUP($H17,Ingredient_prices!$E:$W,18,FALSE)*$Q17/1000,"not bought")))</f>
        <v/>
      </c>
      <c r="AV17" s="583">
        <f t="shared" si="19"/>
        <v>0</v>
      </c>
      <c r="AW17" s="583">
        <f t="shared" si="20"/>
        <v>0</v>
      </c>
      <c r="AX17" s="583">
        <f t="shared" si="21"/>
        <v>0</v>
      </c>
      <c r="AY17" s="583">
        <f t="shared" si="22"/>
        <v>0</v>
      </c>
      <c r="AZ17" s="583">
        <f t="shared" si="23"/>
        <v>0</v>
      </c>
      <c r="BA17" s="583">
        <f t="shared" si="24"/>
        <v>0</v>
      </c>
      <c r="BB17" s="583">
        <f t="shared" si="25"/>
        <v>0</v>
      </c>
      <c r="BC17" s="583">
        <f t="shared" si="26"/>
        <v>0</v>
      </c>
      <c r="BD17" s="583">
        <f t="shared" si="27"/>
        <v>0</v>
      </c>
      <c r="BE17" s="583">
        <f t="shared" si="28"/>
        <v>0</v>
      </c>
      <c r="BF17" s="583">
        <f t="shared" si="29"/>
        <v>0</v>
      </c>
      <c r="BG17" s="583">
        <f t="shared" si="30"/>
        <v>0</v>
      </c>
      <c r="BH17" s="583">
        <f t="shared" si="31"/>
        <v>0</v>
      </c>
      <c r="BI17" s="583">
        <f t="shared" si="32"/>
        <v>0</v>
      </c>
      <c r="BJ17" s="583">
        <f t="shared" si="33"/>
        <v>0</v>
      </c>
      <c r="BK17" s="583">
        <f t="shared" si="34"/>
        <v>0</v>
      </c>
      <c r="BL17" s="583">
        <f t="shared" si="35"/>
        <v>0</v>
      </c>
      <c r="BM17" s="583">
        <f t="shared" si="36"/>
        <v>0</v>
      </c>
      <c r="BN17" s="583">
        <f t="shared" si="37"/>
        <v>0</v>
      </c>
      <c r="BO17" s="583">
        <f t="shared" si="38"/>
        <v>0</v>
      </c>
      <c r="BP17" s="583">
        <f t="shared" si="39"/>
        <v>0</v>
      </c>
      <c r="BQ17" s="583">
        <f t="shared" si="40"/>
        <v>0</v>
      </c>
      <c r="BR17" s="583">
        <f t="shared" si="41"/>
        <v>0</v>
      </c>
    </row>
    <row r="18" spans="1:70" s="229" customFormat="1" ht="15" customHeight="1">
      <c r="A18" s="590"/>
      <c r="D18" s="85"/>
      <c r="E18" s="576" t="str">
        <f t="shared" si="43"/>
        <v/>
      </c>
      <c r="F18" s="707"/>
      <c r="G18" s="406" t="s">
        <v>3054</v>
      </c>
      <c r="H18" s="1262" t="s">
        <v>3055</v>
      </c>
      <c r="I18" s="85">
        <v>0</v>
      </c>
      <c r="J18" s="682">
        <v>1</v>
      </c>
      <c r="K18" s="579" t="str">
        <f t="shared" si="18"/>
        <v/>
      </c>
      <c r="L18" s="580" t="str">
        <f>IF(H18="Select ingredient:","",IF(G18="","",_xlfn.IFNA(VLOOKUP($H18,Ingredient_prices!$E:$U,16,FALSE),0)))</f>
        <v/>
      </c>
      <c r="M18" s="591"/>
      <c r="N18" s="591"/>
      <c r="O18" s="591"/>
      <c r="P18" s="592"/>
      <c r="Q18" s="583">
        <f t="shared" si="44"/>
        <v>0</v>
      </c>
      <c r="R18" s="583">
        <f>VLOOKUP($H18,'CO2_emission+%_food_waste'!$A:$K,6,FALSE)*$Q18/100</f>
        <v>0</v>
      </c>
      <c r="S18" s="583">
        <f t="shared" si="42"/>
        <v>0</v>
      </c>
      <c r="T18" s="583" t="str">
        <f>IF(H18="Select ingredient:","",IF(G18="Select food category:","",_xlfn.IFNA(VLOOKUP($H18,Ingredient_prices!$E:$U,16,FALSE)*$Q18/1000,"not bought")))</f>
        <v/>
      </c>
      <c r="U18" s="583" t="str">
        <f>IF(G18="Select food category:","",_xlfn.IFNA(VLOOKUP($H18,Ingredient_prices!$E:$U,16,FALSE)*$R18/1000,"not bought"))</f>
        <v/>
      </c>
      <c r="V18" s="549">
        <f>VLOOKUP($H18,'CO2_emission+%_food_waste'!$A:$K,4,FALSE)*$Q18</f>
        <v>0</v>
      </c>
      <c r="W18" s="583">
        <f>VLOOKUP($H18,Nutrition_tables!$A:$N,10,FALSE)*$Q18/100</f>
        <v>0</v>
      </c>
      <c r="X18" s="583">
        <f>VLOOKUP($H18,Nutrition_tables!$A:$N,11,FALSE)*$Q18/100</f>
        <v>0</v>
      </c>
      <c r="Y18" s="583">
        <f>VLOOKUP($H18,Nutrition_tables!$A:$N,12,FALSE)*$Q18/100</f>
        <v>0</v>
      </c>
      <c r="Z18" s="583">
        <f>VLOOKUP($H18,Nutrition_tables!$A:$N,14,FALSE)*$Q18/100</f>
        <v>0</v>
      </c>
      <c r="AA18" s="583">
        <f>VLOOKUP($H18,Nutrition_tables!$A:$AF,13,FALSE)*$Q18/100</f>
        <v>0</v>
      </c>
      <c r="AB18" s="549">
        <f>VLOOKUP($H18,Nutrition_tables!$A:$AF,15,FALSE)*$Q18/100</f>
        <v>0</v>
      </c>
      <c r="AC18" s="583">
        <f>VLOOKUP($H18,Nutrition_tables!$A:$AF,16,FALSE)*$Q18/100</f>
        <v>0</v>
      </c>
      <c r="AD18" s="583">
        <f>VLOOKUP($H18,Nutrition_tables!$A:$AF,17,FALSE)*$Q18/100</f>
        <v>0</v>
      </c>
      <c r="AE18" s="583">
        <f>VLOOKUP($H18,Nutrition_tables!$A:$AF,18,FALSE)*$Q18/100</f>
        <v>0</v>
      </c>
      <c r="AF18" s="583">
        <f>VLOOKUP($H18,Nutrition_tables!$A:$AF,19,FALSE)*$Q18/100</f>
        <v>0</v>
      </c>
      <c r="AG18" s="583">
        <f>VLOOKUP($H18,Nutrition_tables!$A:$AF,20,FALSE)*$Q18/100</f>
        <v>0</v>
      </c>
      <c r="AH18" s="583">
        <f>VLOOKUP($H18,Nutrition_tables!$A:$AF,21,FALSE)*$Q18/100</f>
        <v>0</v>
      </c>
      <c r="AI18" s="583">
        <f>VLOOKUP($H18,Nutrition_tables!$A:$AF,22,FALSE)*$Q18/100</f>
        <v>0</v>
      </c>
      <c r="AJ18" s="549">
        <f>VLOOKUP($H18,Nutrition_tables!$A:$AF,23,FALSE)*$Q18/100</f>
        <v>0</v>
      </c>
      <c r="AK18" s="583">
        <f>VLOOKUP($H18,Nutrition_tables!$A:$AF,24,FALSE)*$Q18/100</f>
        <v>0</v>
      </c>
      <c r="AL18" s="583">
        <f>VLOOKUP($H18,Nutrition_tables!$A:$AF,25,FALSE)*$Q18/100</f>
        <v>0</v>
      </c>
      <c r="AM18" s="583">
        <f>VLOOKUP($H18,Nutrition_tables!$A:$AF,26,FALSE)*$Q18/100</f>
        <v>0</v>
      </c>
      <c r="AN18" s="583">
        <f>VLOOKUP($H18,Nutrition_tables!$A:$AF,27,FALSE)*$Q18/100</f>
        <v>0</v>
      </c>
      <c r="AO18" s="583">
        <f>VLOOKUP($H18,Nutrition_tables!$A:$AF,28,FALSE)*$Q18/100</f>
        <v>0</v>
      </c>
      <c r="AP18" s="583">
        <f>VLOOKUP($H18,Nutrition_tables!$A:$AF,29,FALSE)*$Q18/100</f>
        <v>0</v>
      </c>
      <c r="AQ18" s="583">
        <f>VLOOKUP($H18,Nutrition_tables!$A:$AF,30,FALSE)*$Q18/100</f>
        <v>0</v>
      </c>
      <c r="AR18" s="583">
        <f>VLOOKUP($H18,Nutrition_tables!$A:$AF,31,FALSE)*$Q18/100</f>
        <v>0</v>
      </c>
      <c r="AS18" s="549">
        <f>VLOOKUP($H18,Nutrition_tables!$A:$AF,32,FALSE)*$Q18/100</f>
        <v>0</v>
      </c>
      <c r="AT18" s="583" t="str">
        <f>IF(H18="Select ingredient:","",IF(G18="Select food category:","",IFERROR(VLOOKUP($H18,Ingredient_prices!$E:$W,17,FALSE)*$Q18/1000,"not bought")))</f>
        <v/>
      </c>
      <c r="AU18" s="583" t="str">
        <f>IF(H18="Select ingredient:","",IF(G18="Select food category:","",IFERROR(VLOOKUP($H18,Ingredient_prices!$E:$W,18,FALSE)*$Q18/1000,"not bought")))</f>
        <v/>
      </c>
      <c r="AV18" s="583">
        <f t="shared" si="19"/>
        <v>0</v>
      </c>
      <c r="AW18" s="583">
        <f t="shared" si="20"/>
        <v>0</v>
      </c>
      <c r="AX18" s="583">
        <f t="shared" si="21"/>
        <v>0</v>
      </c>
      <c r="AY18" s="583">
        <f t="shared" si="22"/>
        <v>0</v>
      </c>
      <c r="AZ18" s="583">
        <f t="shared" si="23"/>
        <v>0</v>
      </c>
      <c r="BA18" s="583">
        <f t="shared" si="24"/>
        <v>0</v>
      </c>
      <c r="BB18" s="583">
        <f t="shared" si="25"/>
        <v>0</v>
      </c>
      <c r="BC18" s="583">
        <f t="shared" si="26"/>
        <v>0</v>
      </c>
      <c r="BD18" s="583">
        <f t="shared" si="27"/>
        <v>0</v>
      </c>
      <c r="BE18" s="583">
        <f t="shared" si="28"/>
        <v>0</v>
      </c>
      <c r="BF18" s="583">
        <f t="shared" si="29"/>
        <v>0</v>
      </c>
      <c r="BG18" s="583">
        <f t="shared" si="30"/>
        <v>0</v>
      </c>
      <c r="BH18" s="583">
        <f t="shared" si="31"/>
        <v>0</v>
      </c>
      <c r="BI18" s="583">
        <f t="shared" si="32"/>
        <v>0</v>
      </c>
      <c r="BJ18" s="583">
        <f t="shared" si="33"/>
        <v>0</v>
      </c>
      <c r="BK18" s="583">
        <f t="shared" si="34"/>
        <v>0</v>
      </c>
      <c r="BL18" s="583">
        <f t="shared" si="35"/>
        <v>0</v>
      </c>
      <c r="BM18" s="583">
        <f t="shared" si="36"/>
        <v>0</v>
      </c>
      <c r="BN18" s="583">
        <f t="shared" si="37"/>
        <v>0</v>
      </c>
      <c r="BO18" s="583">
        <f t="shared" si="38"/>
        <v>0</v>
      </c>
      <c r="BP18" s="583">
        <f t="shared" si="39"/>
        <v>0</v>
      </c>
      <c r="BQ18" s="583">
        <f t="shared" si="40"/>
        <v>0</v>
      </c>
      <c r="BR18" s="583">
        <f t="shared" si="41"/>
        <v>0</v>
      </c>
    </row>
    <row r="19" spans="1:70" s="229" customFormat="1" ht="15" customHeight="1">
      <c r="A19" s="590"/>
      <c r="D19" s="85"/>
      <c r="E19" s="576" t="str">
        <f t="shared" si="43"/>
        <v/>
      </c>
      <c r="F19" s="707"/>
      <c r="G19" s="406" t="s">
        <v>3054</v>
      </c>
      <c r="H19" s="1262" t="s">
        <v>3055</v>
      </c>
      <c r="I19" s="85">
        <v>0</v>
      </c>
      <c r="J19" s="682">
        <v>1</v>
      </c>
      <c r="K19" s="579" t="str">
        <f t="shared" si="18"/>
        <v/>
      </c>
      <c r="L19" s="580" t="str">
        <f>IF(H19="Select ingredient:","",IF(G19="","",_xlfn.IFNA(VLOOKUP($H19,Ingredient_prices!$E:$U,16,FALSE),0)))</f>
        <v/>
      </c>
      <c r="M19" s="591"/>
      <c r="N19" s="591"/>
      <c r="O19" s="591"/>
      <c r="P19" s="592"/>
      <c r="Q19" s="583">
        <f t="shared" si="44"/>
        <v>0</v>
      </c>
      <c r="R19" s="583">
        <f>VLOOKUP($H19,'CO2_emission+%_food_waste'!$A:$K,6,FALSE)*$Q19/100</f>
        <v>0</v>
      </c>
      <c r="S19" s="583">
        <f t="shared" si="42"/>
        <v>0</v>
      </c>
      <c r="T19" s="583" t="str">
        <f>IF(H19="Select ingredient:","",IF(G19="Select food category:","",_xlfn.IFNA(VLOOKUP($H19,Ingredient_prices!$E:$U,16,FALSE)*$Q19/1000,"not bought")))</f>
        <v/>
      </c>
      <c r="U19" s="583" t="str">
        <f>IF(G19="Select food category:","",_xlfn.IFNA(VLOOKUP($H19,Ingredient_prices!$E:$U,16,FALSE)*$R19/1000,"not bought"))</f>
        <v/>
      </c>
      <c r="V19" s="549">
        <f>VLOOKUP($H19,'CO2_emission+%_food_waste'!$A:$K,4,FALSE)*$Q19</f>
        <v>0</v>
      </c>
      <c r="W19" s="583">
        <f>VLOOKUP($H19,Nutrition_tables!$A:$N,10,FALSE)*$Q19/100</f>
        <v>0</v>
      </c>
      <c r="X19" s="583">
        <f>VLOOKUP($H19,Nutrition_tables!$A:$N,11,FALSE)*$Q19/100</f>
        <v>0</v>
      </c>
      <c r="Y19" s="583">
        <f>VLOOKUP($H19,Nutrition_tables!$A:$N,12,FALSE)*$Q19/100</f>
        <v>0</v>
      </c>
      <c r="Z19" s="583">
        <f>VLOOKUP($H19,Nutrition_tables!$A:$N,14,FALSE)*$Q19/100</f>
        <v>0</v>
      </c>
      <c r="AA19" s="583">
        <f>VLOOKUP($H19,Nutrition_tables!$A:$AF,13,FALSE)*$Q19/100</f>
        <v>0</v>
      </c>
      <c r="AB19" s="549">
        <f>VLOOKUP($H19,Nutrition_tables!$A:$AF,15,FALSE)*$Q19/100</f>
        <v>0</v>
      </c>
      <c r="AC19" s="583">
        <f>VLOOKUP($H19,Nutrition_tables!$A:$AF,16,FALSE)*$Q19/100</f>
        <v>0</v>
      </c>
      <c r="AD19" s="583">
        <f>VLOOKUP($H19,Nutrition_tables!$A:$AF,17,FALSE)*$Q19/100</f>
        <v>0</v>
      </c>
      <c r="AE19" s="583">
        <f>VLOOKUP($H19,Nutrition_tables!$A:$AF,18,FALSE)*$Q19/100</f>
        <v>0</v>
      </c>
      <c r="AF19" s="583">
        <f>VLOOKUP($H19,Nutrition_tables!$A:$AF,19,FALSE)*$Q19/100</f>
        <v>0</v>
      </c>
      <c r="AG19" s="583">
        <f>VLOOKUP($H19,Nutrition_tables!$A:$AF,20,FALSE)*$Q19/100</f>
        <v>0</v>
      </c>
      <c r="AH19" s="583">
        <f>VLOOKUP($H19,Nutrition_tables!$A:$AF,21,FALSE)*$Q19/100</f>
        <v>0</v>
      </c>
      <c r="AI19" s="583">
        <f>VLOOKUP($H19,Nutrition_tables!$A:$AF,22,FALSE)*$Q19/100</f>
        <v>0</v>
      </c>
      <c r="AJ19" s="549">
        <f>VLOOKUP($H19,Nutrition_tables!$A:$AF,23,FALSE)*$Q19/100</f>
        <v>0</v>
      </c>
      <c r="AK19" s="583">
        <f>VLOOKUP($H19,Nutrition_tables!$A:$AF,24,FALSE)*$Q19/100</f>
        <v>0</v>
      </c>
      <c r="AL19" s="583">
        <f>VLOOKUP($H19,Nutrition_tables!$A:$AF,25,FALSE)*$Q19/100</f>
        <v>0</v>
      </c>
      <c r="AM19" s="583">
        <f>VLOOKUP($H19,Nutrition_tables!$A:$AF,26,FALSE)*$Q19/100</f>
        <v>0</v>
      </c>
      <c r="AN19" s="583">
        <f>VLOOKUP($H19,Nutrition_tables!$A:$AF,27,FALSE)*$Q19/100</f>
        <v>0</v>
      </c>
      <c r="AO19" s="583">
        <f>VLOOKUP($H19,Nutrition_tables!$A:$AF,28,FALSE)*$Q19/100</f>
        <v>0</v>
      </c>
      <c r="AP19" s="583">
        <f>VLOOKUP($H19,Nutrition_tables!$A:$AF,29,FALSE)*$Q19/100</f>
        <v>0</v>
      </c>
      <c r="AQ19" s="583">
        <f>VLOOKUP($H19,Nutrition_tables!$A:$AF,30,FALSE)*$Q19/100</f>
        <v>0</v>
      </c>
      <c r="AR19" s="583">
        <f>VLOOKUP($H19,Nutrition_tables!$A:$AF,31,FALSE)*$Q19/100</f>
        <v>0</v>
      </c>
      <c r="AS19" s="549">
        <f>VLOOKUP($H19,Nutrition_tables!$A:$AF,32,FALSE)*$Q19/100</f>
        <v>0</v>
      </c>
      <c r="AT19" s="583" t="str">
        <f>IF(H19="Select ingredient:","",IF(G19="Select food category:","",IFERROR(VLOOKUP($H19,Ingredient_prices!$E:$W,17,FALSE)*$Q19/1000,"not bought")))</f>
        <v/>
      </c>
      <c r="AU19" s="583" t="str">
        <f>IF(H19="Select ingredient:","",IF(G19="Select food category:","",IFERROR(VLOOKUP($H19,Ingredient_prices!$E:$W,18,FALSE)*$Q19/1000,"not bought")))</f>
        <v/>
      </c>
      <c r="AV19" s="583">
        <f t="shared" si="19"/>
        <v>0</v>
      </c>
      <c r="AW19" s="583">
        <f t="shared" si="20"/>
        <v>0</v>
      </c>
      <c r="AX19" s="583">
        <f t="shared" si="21"/>
        <v>0</v>
      </c>
      <c r="AY19" s="583">
        <f t="shared" si="22"/>
        <v>0</v>
      </c>
      <c r="AZ19" s="583">
        <f t="shared" si="23"/>
        <v>0</v>
      </c>
      <c r="BA19" s="583">
        <f t="shared" si="24"/>
        <v>0</v>
      </c>
      <c r="BB19" s="583">
        <f t="shared" si="25"/>
        <v>0</v>
      </c>
      <c r="BC19" s="583">
        <f t="shared" si="26"/>
        <v>0</v>
      </c>
      <c r="BD19" s="583">
        <f t="shared" si="27"/>
        <v>0</v>
      </c>
      <c r="BE19" s="583">
        <f t="shared" si="28"/>
        <v>0</v>
      </c>
      <c r="BF19" s="583">
        <f t="shared" si="29"/>
        <v>0</v>
      </c>
      <c r="BG19" s="583">
        <f t="shared" si="30"/>
        <v>0</v>
      </c>
      <c r="BH19" s="583">
        <f t="shared" si="31"/>
        <v>0</v>
      </c>
      <c r="BI19" s="583">
        <f t="shared" si="32"/>
        <v>0</v>
      </c>
      <c r="BJ19" s="583">
        <f t="shared" si="33"/>
        <v>0</v>
      </c>
      <c r="BK19" s="583">
        <f t="shared" si="34"/>
        <v>0</v>
      </c>
      <c r="BL19" s="583">
        <f t="shared" si="35"/>
        <v>0</v>
      </c>
      <c r="BM19" s="583">
        <f t="shared" si="36"/>
        <v>0</v>
      </c>
      <c r="BN19" s="583">
        <f t="shared" si="37"/>
        <v>0</v>
      </c>
      <c r="BO19" s="583">
        <f t="shared" si="38"/>
        <v>0</v>
      </c>
      <c r="BP19" s="583">
        <f t="shared" si="39"/>
        <v>0</v>
      </c>
      <c r="BQ19" s="583">
        <f t="shared" si="40"/>
        <v>0</v>
      </c>
      <c r="BR19" s="583">
        <f t="shared" si="41"/>
        <v>0</v>
      </c>
    </row>
    <row r="20" spans="1:70" s="229" customFormat="1" ht="15" customHeight="1">
      <c r="A20" s="590"/>
      <c r="D20" s="85"/>
      <c r="E20" s="576" t="str">
        <f t="shared" si="43"/>
        <v/>
      </c>
      <c r="F20" s="707"/>
      <c r="G20" s="406" t="s">
        <v>3054</v>
      </c>
      <c r="H20" s="1262" t="s">
        <v>3055</v>
      </c>
      <c r="I20" s="85">
        <v>0</v>
      </c>
      <c r="J20" s="682">
        <v>1</v>
      </c>
      <c r="K20" s="579" t="str">
        <f t="shared" si="18"/>
        <v/>
      </c>
      <c r="L20" s="580" t="str">
        <f>IF(H20="Select ingredient:","",IF(G20="","",_xlfn.IFNA(VLOOKUP($H20,Ingredient_prices!$E:$U,16,FALSE),0)))</f>
        <v/>
      </c>
      <c r="M20" s="591"/>
      <c r="N20" s="591"/>
      <c r="O20" s="591"/>
      <c r="P20" s="592"/>
      <c r="Q20" s="583">
        <f t="shared" si="44"/>
        <v>0</v>
      </c>
      <c r="R20" s="583">
        <f>VLOOKUP($H20,'CO2_emission+%_food_waste'!$A:$K,6,FALSE)*$Q20/100</f>
        <v>0</v>
      </c>
      <c r="S20" s="583">
        <f t="shared" si="42"/>
        <v>0</v>
      </c>
      <c r="T20" s="583" t="str">
        <f>IF(H20="Select ingredient:","",IF(G20="Select food category:","",_xlfn.IFNA(VLOOKUP($H20,Ingredient_prices!$E:$U,16,FALSE)*$Q20/1000,"not bought")))</f>
        <v/>
      </c>
      <c r="U20" s="583" t="str">
        <f>IF(G20="Select food category:","",_xlfn.IFNA(VLOOKUP($H20,Ingredient_prices!$E:$U,16,FALSE)*$R20/1000,"not bought"))</f>
        <v/>
      </c>
      <c r="V20" s="549">
        <f>VLOOKUP($H20,'CO2_emission+%_food_waste'!$A:$K,4,FALSE)*$Q20</f>
        <v>0</v>
      </c>
      <c r="W20" s="583">
        <f>VLOOKUP($H20,Nutrition_tables!$A:$N,10,FALSE)*$Q20/100</f>
        <v>0</v>
      </c>
      <c r="X20" s="583">
        <f>VLOOKUP($H20,Nutrition_tables!$A:$N,11,FALSE)*$Q20/100</f>
        <v>0</v>
      </c>
      <c r="Y20" s="583">
        <f>VLOOKUP($H20,Nutrition_tables!$A:$N,12,FALSE)*$Q20/100</f>
        <v>0</v>
      </c>
      <c r="Z20" s="583">
        <f>VLOOKUP($H20,Nutrition_tables!$A:$N,14,FALSE)*$Q20/100</f>
        <v>0</v>
      </c>
      <c r="AA20" s="583">
        <f>VLOOKUP($H20,Nutrition_tables!$A:$AF,13,FALSE)*$Q20/100</f>
        <v>0</v>
      </c>
      <c r="AB20" s="549">
        <f>VLOOKUP($H20,Nutrition_tables!$A:$AF,15,FALSE)*$Q20/100</f>
        <v>0</v>
      </c>
      <c r="AC20" s="583">
        <f>VLOOKUP($H20,Nutrition_tables!$A:$AF,16,FALSE)*$Q20/100</f>
        <v>0</v>
      </c>
      <c r="AD20" s="583">
        <f>VLOOKUP($H20,Nutrition_tables!$A:$AF,17,FALSE)*$Q20/100</f>
        <v>0</v>
      </c>
      <c r="AE20" s="583">
        <f>VLOOKUP($H20,Nutrition_tables!$A:$AF,18,FALSE)*$Q20/100</f>
        <v>0</v>
      </c>
      <c r="AF20" s="583">
        <f>VLOOKUP($H20,Nutrition_tables!$A:$AF,19,FALSE)*$Q20/100</f>
        <v>0</v>
      </c>
      <c r="AG20" s="583">
        <f>VLOOKUP($H20,Nutrition_tables!$A:$AF,20,FALSE)*$Q20/100</f>
        <v>0</v>
      </c>
      <c r="AH20" s="583">
        <f>VLOOKUP($H20,Nutrition_tables!$A:$AF,21,FALSE)*$Q20/100</f>
        <v>0</v>
      </c>
      <c r="AI20" s="583">
        <f>VLOOKUP($H20,Nutrition_tables!$A:$AF,22,FALSE)*$Q20/100</f>
        <v>0</v>
      </c>
      <c r="AJ20" s="549">
        <f>VLOOKUP($H20,Nutrition_tables!$A:$AF,23,FALSE)*$Q20/100</f>
        <v>0</v>
      </c>
      <c r="AK20" s="583">
        <f>VLOOKUP($H20,Nutrition_tables!$A:$AF,24,FALSE)*$Q20/100</f>
        <v>0</v>
      </c>
      <c r="AL20" s="583">
        <f>VLOOKUP($H20,Nutrition_tables!$A:$AF,25,FALSE)*$Q20/100</f>
        <v>0</v>
      </c>
      <c r="AM20" s="583">
        <f>VLOOKUP($H20,Nutrition_tables!$A:$AF,26,FALSE)*$Q20/100</f>
        <v>0</v>
      </c>
      <c r="AN20" s="583">
        <f>VLOOKUP($H20,Nutrition_tables!$A:$AF,27,FALSE)*$Q20/100</f>
        <v>0</v>
      </c>
      <c r="AO20" s="583">
        <f>VLOOKUP($H20,Nutrition_tables!$A:$AF,28,FALSE)*$Q20/100</f>
        <v>0</v>
      </c>
      <c r="AP20" s="583">
        <f>VLOOKUP($H20,Nutrition_tables!$A:$AF,29,FALSE)*$Q20/100</f>
        <v>0</v>
      </c>
      <c r="AQ20" s="583">
        <f>VLOOKUP($H20,Nutrition_tables!$A:$AF,30,FALSE)*$Q20/100</f>
        <v>0</v>
      </c>
      <c r="AR20" s="583">
        <f>VLOOKUP($H20,Nutrition_tables!$A:$AF,31,FALSE)*$Q20/100</f>
        <v>0</v>
      </c>
      <c r="AS20" s="549">
        <f>VLOOKUP($H20,Nutrition_tables!$A:$AF,32,FALSE)*$Q20/100</f>
        <v>0</v>
      </c>
      <c r="AT20" s="583" t="str">
        <f>IF(H20="Select ingredient:","",IF(G20="Select food category:","",IFERROR(VLOOKUP($H20,Ingredient_prices!$E:$W,17,FALSE)*$Q20/1000,"not bought")))</f>
        <v/>
      </c>
      <c r="AU20" s="583" t="str">
        <f>IF(H20="Select ingredient:","",IF(G20="Select food category:","",IFERROR(VLOOKUP($H20,Ingredient_prices!$E:$W,18,FALSE)*$Q20/1000,"not bought")))</f>
        <v/>
      </c>
      <c r="AV20" s="583">
        <f t="shared" si="19"/>
        <v>0</v>
      </c>
      <c r="AW20" s="583">
        <f t="shared" si="20"/>
        <v>0</v>
      </c>
      <c r="AX20" s="583">
        <f t="shared" si="21"/>
        <v>0</v>
      </c>
      <c r="AY20" s="583">
        <f t="shared" si="22"/>
        <v>0</v>
      </c>
      <c r="AZ20" s="583">
        <f t="shared" si="23"/>
        <v>0</v>
      </c>
      <c r="BA20" s="583">
        <f t="shared" si="24"/>
        <v>0</v>
      </c>
      <c r="BB20" s="583">
        <f t="shared" si="25"/>
        <v>0</v>
      </c>
      <c r="BC20" s="583">
        <f t="shared" si="26"/>
        <v>0</v>
      </c>
      <c r="BD20" s="583">
        <f t="shared" si="27"/>
        <v>0</v>
      </c>
      <c r="BE20" s="583">
        <f t="shared" si="28"/>
        <v>0</v>
      </c>
      <c r="BF20" s="583">
        <f t="shared" si="29"/>
        <v>0</v>
      </c>
      <c r="BG20" s="583">
        <f t="shared" si="30"/>
        <v>0</v>
      </c>
      <c r="BH20" s="583">
        <f t="shared" si="31"/>
        <v>0</v>
      </c>
      <c r="BI20" s="583">
        <f t="shared" si="32"/>
        <v>0</v>
      </c>
      <c r="BJ20" s="583">
        <f t="shared" si="33"/>
        <v>0</v>
      </c>
      <c r="BK20" s="583">
        <f t="shared" si="34"/>
        <v>0</v>
      </c>
      <c r="BL20" s="583">
        <f t="shared" si="35"/>
        <v>0</v>
      </c>
      <c r="BM20" s="583">
        <f t="shared" si="36"/>
        <v>0</v>
      </c>
      <c r="BN20" s="583">
        <f t="shared" si="37"/>
        <v>0</v>
      </c>
      <c r="BO20" s="583">
        <f t="shared" si="38"/>
        <v>0</v>
      </c>
      <c r="BP20" s="583">
        <f t="shared" si="39"/>
        <v>0</v>
      </c>
      <c r="BQ20" s="583">
        <f t="shared" si="40"/>
        <v>0</v>
      </c>
      <c r="BR20" s="583">
        <f t="shared" si="41"/>
        <v>0</v>
      </c>
    </row>
    <row r="21" spans="1:70" s="229" customFormat="1" ht="15" customHeight="1">
      <c r="A21" s="590"/>
      <c r="D21" s="85"/>
      <c r="E21" s="576" t="str">
        <f t="shared" si="43"/>
        <v/>
      </c>
      <c r="F21" s="707"/>
      <c r="G21" s="406" t="s">
        <v>3054</v>
      </c>
      <c r="H21" s="1262" t="s">
        <v>3055</v>
      </c>
      <c r="I21" s="85">
        <v>0</v>
      </c>
      <c r="J21" s="682">
        <v>1</v>
      </c>
      <c r="K21" s="579" t="str">
        <f t="shared" si="18"/>
        <v/>
      </c>
      <c r="L21" s="580" t="str">
        <f>IF(H21="Select ingredient:","",IF(G21="","",_xlfn.IFNA(VLOOKUP($H21,Ingredient_prices!$E:$U,16,FALSE),0)))</f>
        <v/>
      </c>
      <c r="M21" s="591"/>
      <c r="N21" s="591"/>
      <c r="O21" s="591"/>
      <c r="P21" s="592"/>
      <c r="Q21" s="583">
        <f t="shared" si="44"/>
        <v>0</v>
      </c>
      <c r="R21" s="583">
        <f>VLOOKUP($H21,'CO2_emission+%_food_waste'!$A:$K,6,FALSE)*$Q21/100</f>
        <v>0</v>
      </c>
      <c r="S21" s="583">
        <f t="shared" si="42"/>
        <v>0</v>
      </c>
      <c r="T21" s="583" t="str">
        <f>IF(H21="Select ingredient:","",IF(G21="Select food category:","",_xlfn.IFNA(VLOOKUP($H21,Ingredient_prices!$E:$U,16,FALSE)*$Q21/1000,"not bought")))</f>
        <v/>
      </c>
      <c r="U21" s="583" t="str">
        <f>IF(G21="Select food category:","",_xlfn.IFNA(VLOOKUP($H21,Ingredient_prices!$E:$U,16,FALSE)*$R21/1000,"not bought"))</f>
        <v/>
      </c>
      <c r="V21" s="549">
        <f>VLOOKUP($H21,'CO2_emission+%_food_waste'!$A:$K,4,FALSE)*$Q21</f>
        <v>0</v>
      </c>
      <c r="W21" s="583">
        <f>VLOOKUP($H21,Nutrition_tables!$A:$N,10,FALSE)*$Q21/100</f>
        <v>0</v>
      </c>
      <c r="X21" s="583">
        <f>VLOOKUP($H21,Nutrition_tables!$A:$N,11,FALSE)*$Q21/100</f>
        <v>0</v>
      </c>
      <c r="Y21" s="583">
        <f>VLOOKUP($H21,Nutrition_tables!$A:$N,12,FALSE)*$Q21/100</f>
        <v>0</v>
      </c>
      <c r="Z21" s="583">
        <f>VLOOKUP($H21,Nutrition_tables!$A:$N,14,FALSE)*$Q21/100</f>
        <v>0</v>
      </c>
      <c r="AA21" s="583">
        <f>VLOOKUP($H21,Nutrition_tables!$A:$AF,13,FALSE)*$Q21/100</f>
        <v>0</v>
      </c>
      <c r="AB21" s="549">
        <f>VLOOKUP($H21,Nutrition_tables!$A:$AF,15,FALSE)*$Q21/100</f>
        <v>0</v>
      </c>
      <c r="AC21" s="583">
        <f>VLOOKUP($H21,Nutrition_tables!$A:$AF,16,FALSE)*$Q21/100</f>
        <v>0</v>
      </c>
      <c r="AD21" s="583">
        <f>VLOOKUP($H21,Nutrition_tables!$A:$AF,17,FALSE)*$Q21/100</f>
        <v>0</v>
      </c>
      <c r="AE21" s="583">
        <f>VLOOKUP($H21,Nutrition_tables!$A:$AF,18,FALSE)*$Q21/100</f>
        <v>0</v>
      </c>
      <c r="AF21" s="583">
        <f>VLOOKUP($H21,Nutrition_tables!$A:$AF,19,FALSE)*$Q21/100</f>
        <v>0</v>
      </c>
      <c r="AG21" s="583">
        <f>VLOOKUP($H21,Nutrition_tables!$A:$AF,20,FALSE)*$Q21/100</f>
        <v>0</v>
      </c>
      <c r="AH21" s="583">
        <f>VLOOKUP($H21,Nutrition_tables!$A:$AF,21,FALSE)*$Q21/100</f>
        <v>0</v>
      </c>
      <c r="AI21" s="583">
        <f>VLOOKUP($H21,Nutrition_tables!$A:$AF,22,FALSE)*$Q21/100</f>
        <v>0</v>
      </c>
      <c r="AJ21" s="549">
        <f>VLOOKUP($H21,Nutrition_tables!$A:$AF,23,FALSE)*$Q21/100</f>
        <v>0</v>
      </c>
      <c r="AK21" s="583">
        <f>VLOOKUP($H21,Nutrition_tables!$A:$AF,24,FALSE)*$Q21/100</f>
        <v>0</v>
      </c>
      <c r="AL21" s="583">
        <f>VLOOKUP($H21,Nutrition_tables!$A:$AF,25,FALSE)*$Q21/100</f>
        <v>0</v>
      </c>
      <c r="AM21" s="583">
        <f>VLOOKUP($H21,Nutrition_tables!$A:$AF,26,FALSE)*$Q21/100</f>
        <v>0</v>
      </c>
      <c r="AN21" s="583">
        <f>VLOOKUP($H21,Nutrition_tables!$A:$AF,27,FALSE)*$Q21/100</f>
        <v>0</v>
      </c>
      <c r="AO21" s="583">
        <f>VLOOKUP($H21,Nutrition_tables!$A:$AF,28,FALSE)*$Q21/100</f>
        <v>0</v>
      </c>
      <c r="AP21" s="583">
        <f>VLOOKUP($H21,Nutrition_tables!$A:$AF,29,FALSE)*$Q21/100</f>
        <v>0</v>
      </c>
      <c r="AQ21" s="583">
        <f>VLOOKUP($H21,Nutrition_tables!$A:$AF,30,FALSE)*$Q21/100</f>
        <v>0</v>
      </c>
      <c r="AR21" s="583">
        <f>VLOOKUP($H21,Nutrition_tables!$A:$AF,31,FALSE)*$Q21/100</f>
        <v>0</v>
      </c>
      <c r="AS21" s="549">
        <f>VLOOKUP($H21,Nutrition_tables!$A:$AF,32,FALSE)*$Q21/100</f>
        <v>0</v>
      </c>
      <c r="AT21" s="583" t="str">
        <f>IF(H21="Select ingredient:","",IF(G21="Select food category:","",IFERROR(VLOOKUP($H21,Ingredient_prices!$E:$W,17,FALSE)*$Q21/1000,"not bought")))</f>
        <v/>
      </c>
      <c r="AU21" s="583" t="str">
        <f>IF(H21="Select ingredient:","",IF(G21="Select food category:","",IFERROR(VLOOKUP($H21,Ingredient_prices!$E:$W,18,FALSE)*$Q21/1000,"not bought")))</f>
        <v/>
      </c>
      <c r="AV21" s="583">
        <f t="shared" si="19"/>
        <v>0</v>
      </c>
      <c r="AW21" s="583">
        <f t="shared" si="20"/>
        <v>0</v>
      </c>
      <c r="AX21" s="583">
        <f t="shared" si="21"/>
        <v>0</v>
      </c>
      <c r="AY21" s="583">
        <f t="shared" si="22"/>
        <v>0</v>
      </c>
      <c r="AZ21" s="583">
        <f t="shared" si="23"/>
        <v>0</v>
      </c>
      <c r="BA21" s="583">
        <f t="shared" si="24"/>
        <v>0</v>
      </c>
      <c r="BB21" s="583">
        <f t="shared" si="25"/>
        <v>0</v>
      </c>
      <c r="BC21" s="583">
        <f t="shared" si="26"/>
        <v>0</v>
      </c>
      <c r="BD21" s="583">
        <f t="shared" si="27"/>
        <v>0</v>
      </c>
      <c r="BE21" s="583">
        <f t="shared" si="28"/>
        <v>0</v>
      </c>
      <c r="BF21" s="583">
        <f t="shared" si="29"/>
        <v>0</v>
      </c>
      <c r="BG21" s="583">
        <f t="shared" si="30"/>
        <v>0</v>
      </c>
      <c r="BH21" s="583">
        <f t="shared" si="31"/>
        <v>0</v>
      </c>
      <c r="BI21" s="583">
        <f t="shared" si="32"/>
        <v>0</v>
      </c>
      <c r="BJ21" s="583">
        <f t="shared" si="33"/>
        <v>0</v>
      </c>
      <c r="BK21" s="583">
        <f t="shared" si="34"/>
        <v>0</v>
      </c>
      <c r="BL21" s="583">
        <f t="shared" si="35"/>
        <v>0</v>
      </c>
      <c r="BM21" s="583">
        <f t="shared" si="36"/>
        <v>0</v>
      </c>
      <c r="BN21" s="583">
        <f t="shared" si="37"/>
        <v>0</v>
      </c>
      <c r="BO21" s="583">
        <f t="shared" si="38"/>
        <v>0</v>
      </c>
      <c r="BP21" s="583">
        <f t="shared" si="39"/>
        <v>0</v>
      </c>
      <c r="BQ21" s="583">
        <f t="shared" si="40"/>
        <v>0</v>
      </c>
      <c r="BR21" s="583">
        <f t="shared" si="41"/>
        <v>0</v>
      </c>
    </row>
    <row r="22" spans="1:70" s="229" customFormat="1" ht="15" customHeight="1">
      <c r="A22" s="590"/>
      <c r="D22" s="85"/>
      <c r="E22" s="576" t="str">
        <f t="shared" si="43"/>
        <v/>
      </c>
      <c r="F22" s="707"/>
      <c r="G22" s="406" t="s">
        <v>3054</v>
      </c>
      <c r="H22" s="1262" t="s">
        <v>3055</v>
      </c>
      <c r="I22" s="85">
        <v>0</v>
      </c>
      <c r="J22" s="682">
        <v>1</v>
      </c>
      <c r="K22" s="579" t="str">
        <f t="shared" si="18"/>
        <v/>
      </c>
      <c r="L22" s="580" t="str">
        <f>IF(H22="Select ingredient:","",IF(G22="","",_xlfn.IFNA(VLOOKUP($H22,Ingredient_prices!$E:$U,16,FALSE),0)))</f>
        <v/>
      </c>
      <c r="M22" s="591"/>
      <c r="N22" s="591"/>
      <c r="O22" s="591"/>
      <c r="P22" s="592"/>
      <c r="Q22" s="583">
        <f t="shared" si="44"/>
        <v>0</v>
      </c>
      <c r="R22" s="583">
        <f>VLOOKUP($H22,'CO2_emission+%_food_waste'!$A:$K,6,FALSE)*$Q22/100</f>
        <v>0</v>
      </c>
      <c r="S22" s="583">
        <f t="shared" si="42"/>
        <v>0</v>
      </c>
      <c r="T22" s="583" t="str">
        <f>IF(H22="Select ingredient:","",IF(G22="Select food category:","",_xlfn.IFNA(VLOOKUP($H22,Ingredient_prices!$E:$U,16,FALSE)*$Q22/1000,"not bought")))</f>
        <v/>
      </c>
      <c r="U22" s="583" t="str">
        <f>IF(G22="Select food category:","",_xlfn.IFNA(VLOOKUP($H22,Ingredient_prices!$E:$U,16,FALSE)*$R22/1000,"not bought"))</f>
        <v/>
      </c>
      <c r="V22" s="549">
        <f>VLOOKUP($H22,'CO2_emission+%_food_waste'!$A:$K,4,FALSE)*$Q22</f>
        <v>0</v>
      </c>
      <c r="W22" s="583">
        <f>VLOOKUP($H22,Nutrition_tables!$A:$N,10,FALSE)*$Q22/100</f>
        <v>0</v>
      </c>
      <c r="X22" s="583">
        <f>VLOOKUP($H22,Nutrition_tables!$A:$N,11,FALSE)*$Q22/100</f>
        <v>0</v>
      </c>
      <c r="Y22" s="583">
        <f>VLOOKUP($H22,Nutrition_tables!$A:$N,12,FALSE)*$Q22/100</f>
        <v>0</v>
      </c>
      <c r="Z22" s="583">
        <f>VLOOKUP($H22,Nutrition_tables!$A:$N,14,FALSE)*$Q22/100</f>
        <v>0</v>
      </c>
      <c r="AA22" s="583">
        <f>VLOOKUP($H22,Nutrition_tables!$A:$AF,13,FALSE)*$Q22/100</f>
        <v>0</v>
      </c>
      <c r="AB22" s="549">
        <f>VLOOKUP($H22,Nutrition_tables!$A:$AF,15,FALSE)*$Q22/100</f>
        <v>0</v>
      </c>
      <c r="AC22" s="583">
        <f>VLOOKUP($H22,Nutrition_tables!$A:$AF,16,FALSE)*$Q22/100</f>
        <v>0</v>
      </c>
      <c r="AD22" s="583">
        <f>VLOOKUP($H22,Nutrition_tables!$A:$AF,17,FALSE)*$Q22/100</f>
        <v>0</v>
      </c>
      <c r="AE22" s="583">
        <f>VLOOKUP($H22,Nutrition_tables!$A:$AF,18,FALSE)*$Q22/100</f>
        <v>0</v>
      </c>
      <c r="AF22" s="583">
        <f>VLOOKUP($H22,Nutrition_tables!$A:$AF,19,FALSE)*$Q22/100</f>
        <v>0</v>
      </c>
      <c r="AG22" s="583">
        <f>VLOOKUP($H22,Nutrition_tables!$A:$AF,20,FALSE)*$Q22/100</f>
        <v>0</v>
      </c>
      <c r="AH22" s="583">
        <f>VLOOKUP($H22,Nutrition_tables!$A:$AF,21,FALSE)*$Q22/100</f>
        <v>0</v>
      </c>
      <c r="AI22" s="583">
        <f>VLOOKUP($H22,Nutrition_tables!$A:$AF,22,FALSE)*$Q22/100</f>
        <v>0</v>
      </c>
      <c r="AJ22" s="549">
        <f>VLOOKUP($H22,Nutrition_tables!$A:$AF,23,FALSE)*$Q22/100</f>
        <v>0</v>
      </c>
      <c r="AK22" s="583">
        <f>VLOOKUP($H22,Nutrition_tables!$A:$AF,24,FALSE)*$Q22/100</f>
        <v>0</v>
      </c>
      <c r="AL22" s="583">
        <f>VLOOKUP($H22,Nutrition_tables!$A:$AF,25,FALSE)*$Q22/100</f>
        <v>0</v>
      </c>
      <c r="AM22" s="583">
        <f>VLOOKUP($H22,Nutrition_tables!$A:$AF,26,FALSE)*$Q22/100</f>
        <v>0</v>
      </c>
      <c r="AN22" s="583">
        <f>VLOOKUP($H22,Nutrition_tables!$A:$AF,27,FALSE)*$Q22/100</f>
        <v>0</v>
      </c>
      <c r="AO22" s="583">
        <f>VLOOKUP($H22,Nutrition_tables!$A:$AF,28,FALSE)*$Q22/100</f>
        <v>0</v>
      </c>
      <c r="AP22" s="583">
        <f>VLOOKUP($H22,Nutrition_tables!$A:$AF,29,FALSE)*$Q22/100</f>
        <v>0</v>
      </c>
      <c r="AQ22" s="583">
        <f>VLOOKUP($H22,Nutrition_tables!$A:$AF,30,FALSE)*$Q22/100</f>
        <v>0</v>
      </c>
      <c r="AR22" s="583">
        <f>VLOOKUP($H22,Nutrition_tables!$A:$AF,31,FALSE)*$Q22/100</f>
        <v>0</v>
      </c>
      <c r="AS22" s="549">
        <f>VLOOKUP($H22,Nutrition_tables!$A:$AF,32,FALSE)*$Q22/100</f>
        <v>0</v>
      </c>
      <c r="AT22" s="583" t="str">
        <f>IF(H22="Select ingredient:","",IF(G22="Select food category:","",IFERROR(VLOOKUP($H22,Ingredient_prices!$E:$W,17,FALSE)*$Q22/1000,"not bought")))</f>
        <v/>
      </c>
      <c r="AU22" s="583" t="str">
        <f>IF(H22="Select ingredient:","",IF(G22="Select food category:","",IFERROR(VLOOKUP($H22,Ingredient_prices!$E:$W,18,FALSE)*$Q22/1000,"not bought")))</f>
        <v/>
      </c>
      <c r="AV22" s="583">
        <f t="shared" si="19"/>
        <v>0</v>
      </c>
      <c r="AW22" s="583">
        <f t="shared" si="20"/>
        <v>0</v>
      </c>
      <c r="AX22" s="583">
        <f t="shared" si="21"/>
        <v>0</v>
      </c>
      <c r="AY22" s="583">
        <f t="shared" si="22"/>
        <v>0</v>
      </c>
      <c r="AZ22" s="583">
        <f t="shared" si="23"/>
        <v>0</v>
      </c>
      <c r="BA22" s="583">
        <f t="shared" si="24"/>
        <v>0</v>
      </c>
      <c r="BB22" s="583">
        <f t="shared" si="25"/>
        <v>0</v>
      </c>
      <c r="BC22" s="583">
        <f t="shared" si="26"/>
        <v>0</v>
      </c>
      <c r="BD22" s="583">
        <f t="shared" si="27"/>
        <v>0</v>
      </c>
      <c r="BE22" s="583">
        <f t="shared" si="28"/>
        <v>0</v>
      </c>
      <c r="BF22" s="583">
        <f t="shared" si="29"/>
        <v>0</v>
      </c>
      <c r="BG22" s="583">
        <f t="shared" si="30"/>
        <v>0</v>
      </c>
      <c r="BH22" s="583">
        <f t="shared" si="31"/>
        <v>0</v>
      </c>
      <c r="BI22" s="583">
        <f t="shared" si="32"/>
        <v>0</v>
      </c>
      <c r="BJ22" s="583">
        <f t="shared" si="33"/>
        <v>0</v>
      </c>
      <c r="BK22" s="583">
        <f t="shared" si="34"/>
        <v>0</v>
      </c>
      <c r="BL22" s="583">
        <f t="shared" si="35"/>
        <v>0</v>
      </c>
      <c r="BM22" s="583">
        <f t="shared" si="36"/>
        <v>0</v>
      </c>
      <c r="BN22" s="583">
        <f t="shared" si="37"/>
        <v>0</v>
      </c>
      <c r="BO22" s="583">
        <f t="shared" si="38"/>
        <v>0</v>
      </c>
      <c r="BP22" s="583">
        <f t="shared" si="39"/>
        <v>0</v>
      </c>
      <c r="BQ22" s="583">
        <f t="shared" si="40"/>
        <v>0</v>
      </c>
      <c r="BR22" s="583">
        <f t="shared" si="41"/>
        <v>0</v>
      </c>
    </row>
    <row r="23" spans="1:70" s="229" customFormat="1" ht="15" customHeight="1">
      <c r="A23" s="590"/>
      <c r="D23" s="85"/>
      <c r="E23" s="576" t="str">
        <f t="shared" si="43"/>
        <v/>
      </c>
      <c r="F23" s="707"/>
      <c r="G23" s="406" t="s">
        <v>3054</v>
      </c>
      <c r="H23" s="1262" t="s">
        <v>3055</v>
      </c>
      <c r="I23" s="85">
        <v>0</v>
      </c>
      <c r="J23" s="682">
        <v>1</v>
      </c>
      <c r="K23" s="579" t="str">
        <f t="shared" si="18"/>
        <v/>
      </c>
      <c r="L23" s="580" t="str">
        <f>IF(H23="Select ingredient:","",IF(G23="","",_xlfn.IFNA(VLOOKUP($H23,Ingredient_prices!$E:$U,16,FALSE),0)))</f>
        <v/>
      </c>
      <c r="M23" s="591"/>
      <c r="N23" s="591"/>
      <c r="O23" s="591"/>
      <c r="P23" s="592"/>
      <c r="Q23" s="583">
        <f t="shared" si="44"/>
        <v>0</v>
      </c>
      <c r="R23" s="583">
        <f>VLOOKUP($H23,'CO2_emission+%_food_waste'!$A:$K,6,FALSE)*$Q23/100</f>
        <v>0</v>
      </c>
      <c r="S23" s="583">
        <f t="shared" si="42"/>
        <v>0</v>
      </c>
      <c r="T23" s="583" t="str">
        <f>IF(H23="Select ingredient:","",IF(G23="Select food category:","",_xlfn.IFNA(VLOOKUP($H23,Ingredient_prices!$E:$U,16,FALSE)*$Q23/1000,"not bought")))</f>
        <v/>
      </c>
      <c r="U23" s="583" t="str">
        <f>IF(G23="Select food category:","",_xlfn.IFNA(VLOOKUP($H23,Ingredient_prices!$E:$U,16,FALSE)*$R23/1000,"not bought"))</f>
        <v/>
      </c>
      <c r="V23" s="549">
        <f>VLOOKUP($H23,'CO2_emission+%_food_waste'!$A:$K,4,FALSE)*$Q23</f>
        <v>0</v>
      </c>
      <c r="W23" s="583">
        <f>VLOOKUP($H23,Nutrition_tables!$A:$N,10,FALSE)*$Q23/100</f>
        <v>0</v>
      </c>
      <c r="X23" s="583">
        <f>VLOOKUP($H23,Nutrition_tables!$A:$N,11,FALSE)*$Q23/100</f>
        <v>0</v>
      </c>
      <c r="Y23" s="583">
        <f>VLOOKUP($H23,Nutrition_tables!$A:$N,12,FALSE)*$Q23/100</f>
        <v>0</v>
      </c>
      <c r="Z23" s="583">
        <f>VLOOKUP($H23,Nutrition_tables!$A:$N,14,FALSE)*$Q23/100</f>
        <v>0</v>
      </c>
      <c r="AA23" s="583">
        <f>VLOOKUP($H23,Nutrition_tables!$A:$AF,13,FALSE)*$Q23/100</f>
        <v>0</v>
      </c>
      <c r="AB23" s="549">
        <f>VLOOKUP($H23,Nutrition_tables!$A:$AF,15,FALSE)*$Q23/100</f>
        <v>0</v>
      </c>
      <c r="AC23" s="583">
        <f>VLOOKUP($H23,Nutrition_tables!$A:$AF,16,FALSE)*$Q23/100</f>
        <v>0</v>
      </c>
      <c r="AD23" s="583">
        <f>VLOOKUP($H23,Nutrition_tables!$A:$AF,17,FALSE)*$Q23/100</f>
        <v>0</v>
      </c>
      <c r="AE23" s="583">
        <f>VLOOKUP($H23,Nutrition_tables!$A:$AF,18,FALSE)*$Q23/100</f>
        <v>0</v>
      </c>
      <c r="AF23" s="583">
        <f>VLOOKUP($H23,Nutrition_tables!$A:$AF,19,FALSE)*$Q23/100</f>
        <v>0</v>
      </c>
      <c r="AG23" s="583">
        <f>VLOOKUP($H23,Nutrition_tables!$A:$AF,20,FALSE)*$Q23/100</f>
        <v>0</v>
      </c>
      <c r="AH23" s="583">
        <f>VLOOKUP($H23,Nutrition_tables!$A:$AF,21,FALSE)*$Q23/100</f>
        <v>0</v>
      </c>
      <c r="AI23" s="583">
        <f>VLOOKUP($H23,Nutrition_tables!$A:$AF,22,FALSE)*$Q23/100</f>
        <v>0</v>
      </c>
      <c r="AJ23" s="549">
        <f>VLOOKUP($H23,Nutrition_tables!$A:$AF,23,FALSE)*$Q23/100</f>
        <v>0</v>
      </c>
      <c r="AK23" s="583">
        <f>VLOOKUP($H23,Nutrition_tables!$A:$AF,24,FALSE)*$Q23/100</f>
        <v>0</v>
      </c>
      <c r="AL23" s="583">
        <f>VLOOKUP($H23,Nutrition_tables!$A:$AF,25,FALSE)*$Q23/100</f>
        <v>0</v>
      </c>
      <c r="AM23" s="583">
        <f>VLOOKUP($H23,Nutrition_tables!$A:$AF,26,FALSE)*$Q23/100</f>
        <v>0</v>
      </c>
      <c r="AN23" s="583">
        <f>VLOOKUP($H23,Nutrition_tables!$A:$AF,27,FALSE)*$Q23/100</f>
        <v>0</v>
      </c>
      <c r="AO23" s="583">
        <f>VLOOKUP($H23,Nutrition_tables!$A:$AF,28,FALSE)*$Q23/100</f>
        <v>0</v>
      </c>
      <c r="AP23" s="583">
        <f>VLOOKUP($H23,Nutrition_tables!$A:$AF,29,FALSE)*$Q23/100</f>
        <v>0</v>
      </c>
      <c r="AQ23" s="583">
        <f>VLOOKUP($H23,Nutrition_tables!$A:$AF,30,FALSE)*$Q23/100</f>
        <v>0</v>
      </c>
      <c r="AR23" s="583">
        <f>VLOOKUP($H23,Nutrition_tables!$A:$AF,31,FALSE)*$Q23/100</f>
        <v>0</v>
      </c>
      <c r="AS23" s="549">
        <f>VLOOKUP($H23,Nutrition_tables!$A:$AF,32,FALSE)*$Q23/100</f>
        <v>0</v>
      </c>
      <c r="AT23" s="583" t="str">
        <f>IF(H23="Select ingredient:","",IF(G23="Select food category:","",IFERROR(VLOOKUP($H23,Ingredient_prices!$E:$W,17,FALSE)*$Q23/1000,"not bought")))</f>
        <v/>
      </c>
      <c r="AU23" s="583" t="str">
        <f>IF(H23="Select ingredient:","",IF(G23="Select food category:","",IFERROR(VLOOKUP($H23,Ingredient_prices!$E:$W,18,FALSE)*$Q23/1000,"not bought")))</f>
        <v/>
      </c>
      <c r="AV23" s="583">
        <f t="shared" si="19"/>
        <v>0</v>
      </c>
      <c r="AW23" s="583">
        <f t="shared" si="20"/>
        <v>0</v>
      </c>
      <c r="AX23" s="583">
        <f t="shared" si="21"/>
        <v>0</v>
      </c>
      <c r="AY23" s="583">
        <f t="shared" si="22"/>
        <v>0</v>
      </c>
      <c r="AZ23" s="583">
        <f t="shared" si="23"/>
        <v>0</v>
      </c>
      <c r="BA23" s="583">
        <f t="shared" si="24"/>
        <v>0</v>
      </c>
      <c r="BB23" s="583">
        <f t="shared" si="25"/>
        <v>0</v>
      </c>
      <c r="BC23" s="583">
        <f t="shared" si="26"/>
        <v>0</v>
      </c>
      <c r="BD23" s="583">
        <f t="shared" si="27"/>
        <v>0</v>
      </c>
      <c r="BE23" s="583">
        <f t="shared" si="28"/>
        <v>0</v>
      </c>
      <c r="BF23" s="583">
        <f t="shared" si="29"/>
        <v>0</v>
      </c>
      <c r="BG23" s="583">
        <f t="shared" si="30"/>
        <v>0</v>
      </c>
      <c r="BH23" s="583">
        <f t="shared" si="31"/>
        <v>0</v>
      </c>
      <c r="BI23" s="583">
        <f t="shared" si="32"/>
        <v>0</v>
      </c>
      <c r="BJ23" s="583">
        <f t="shared" si="33"/>
        <v>0</v>
      </c>
      <c r="BK23" s="583">
        <f t="shared" si="34"/>
        <v>0</v>
      </c>
      <c r="BL23" s="583">
        <f t="shared" si="35"/>
        <v>0</v>
      </c>
      <c r="BM23" s="583">
        <f t="shared" si="36"/>
        <v>0</v>
      </c>
      <c r="BN23" s="583">
        <f t="shared" si="37"/>
        <v>0</v>
      </c>
      <c r="BO23" s="583">
        <f t="shared" si="38"/>
        <v>0</v>
      </c>
      <c r="BP23" s="583">
        <f t="shared" si="39"/>
        <v>0</v>
      </c>
      <c r="BQ23" s="583">
        <f t="shared" si="40"/>
        <v>0</v>
      </c>
      <c r="BR23" s="583">
        <f t="shared" si="41"/>
        <v>0</v>
      </c>
    </row>
    <row r="24" spans="1:70" s="229" customFormat="1" ht="15" customHeight="1">
      <c r="A24" s="590"/>
      <c r="D24" s="85"/>
      <c r="E24" s="576" t="str">
        <f t="shared" si="43"/>
        <v/>
      </c>
      <c r="F24" s="707"/>
      <c r="G24" s="406" t="s">
        <v>3054</v>
      </c>
      <c r="H24" s="1262" t="s">
        <v>3055</v>
      </c>
      <c r="I24" s="85">
        <v>0</v>
      </c>
      <c r="J24" s="682">
        <v>1</v>
      </c>
      <c r="K24" s="579" t="str">
        <f t="shared" si="18"/>
        <v/>
      </c>
      <c r="L24" s="580" t="str">
        <f>IF(H24="Select ingredient:","",IF(G24="","",_xlfn.IFNA(VLOOKUP($H24,Ingredient_prices!$E:$U,16,FALSE),0)))</f>
        <v/>
      </c>
      <c r="M24" s="591"/>
      <c r="N24" s="591"/>
      <c r="O24" s="591"/>
      <c r="P24" s="592"/>
      <c r="Q24" s="583">
        <f t="shared" si="44"/>
        <v>0</v>
      </c>
      <c r="R24" s="583">
        <f>VLOOKUP($H24,'CO2_emission+%_food_waste'!$A:$K,6,FALSE)*$Q24/100</f>
        <v>0</v>
      </c>
      <c r="S24" s="583">
        <f t="shared" si="42"/>
        <v>0</v>
      </c>
      <c r="T24" s="583" t="str">
        <f>IF(H24="Select ingredient:","",IF(G24="Select food category:","",_xlfn.IFNA(VLOOKUP($H24,Ingredient_prices!$E:$U,16,FALSE)*$Q24/1000,"not bought")))</f>
        <v/>
      </c>
      <c r="U24" s="583" t="str">
        <f>IF(G24="Select food category:","",_xlfn.IFNA(VLOOKUP($H24,Ingredient_prices!$E:$U,16,FALSE)*$R24/1000,"not bought"))</f>
        <v/>
      </c>
      <c r="V24" s="549">
        <f>VLOOKUP($H24,'CO2_emission+%_food_waste'!$A:$K,4,FALSE)*$Q24</f>
        <v>0</v>
      </c>
      <c r="W24" s="583">
        <f>VLOOKUP($H24,Nutrition_tables!$A:$N,10,FALSE)*$Q24/100</f>
        <v>0</v>
      </c>
      <c r="X24" s="583">
        <f>VLOOKUP($H24,Nutrition_tables!$A:$N,11,FALSE)*$Q24/100</f>
        <v>0</v>
      </c>
      <c r="Y24" s="583">
        <f>VLOOKUP($H24,Nutrition_tables!$A:$N,12,FALSE)*$Q24/100</f>
        <v>0</v>
      </c>
      <c r="Z24" s="583">
        <f>VLOOKUP($H24,Nutrition_tables!$A:$N,14,FALSE)*$Q24/100</f>
        <v>0</v>
      </c>
      <c r="AA24" s="583">
        <f>VLOOKUP($H24,Nutrition_tables!$A:$AF,13,FALSE)*$Q24/100</f>
        <v>0</v>
      </c>
      <c r="AB24" s="549">
        <f>VLOOKUP($H24,Nutrition_tables!$A:$AF,15,FALSE)*$Q24/100</f>
        <v>0</v>
      </c>
      <c r="AC24" s="583">
        <f>VLOOKUP($H24,Nutrition_tables!$A:$AF,16,FALSE)*$Q24/100</f>
        <v>0</v>
      </c>
      <c r="AD24" s="583">
        <f>VLOOKUP($H24,Nutrition_tables!$A:$AF,17,FALSE)*$Q24/100</f>
        <v>0</v>
      </c>
      <c r="AE24" s="583">
        <f>VLOOKUP($H24,Nutrition_tables!$A:$AF,18,FALSE)*$Q24/100</f>
        <v>0</v>
      </c>
      <c r="AF24" s="583">
        <f>VLOOKUP($H24,Nutrition_tables!$A:$AF,19,FALSE)*$Q24/100</f>
        <v>0</v>
      </c>
      <c r="AG24" s="583">
        <f>VLOOKUP($H24,Nutrition_tables!$A:$AF,20,FALSE)*$Q24/100</f>
        <v>0</v>
      </c>
      <c r="AH24" s="583">
        <f>VLOOKUP($H24,Nutrition_tables!$A:$AF,21,FALSE)*$Q24/100</f>
        <v>0</v>
      </c>
      <c r="AI24" s="583">
        <f>VLOOKUP($H24,Nutrition_tables!$A:$AF,22,FALSE)*$Q24/100</f>
        <v>0</v>
      </c>
      <c r="AJ24" s="549">
        <f>VLOOKUP($H24,Nutrition_tables!$A:$AF,23,FALSE)*$Q24/100</f>
        <v>0</v>
      </c>
      <c r="AK24" s="583">
        <f>VLOOKUP($H24,Nutrition_tables!$A:$AF,24,FALSE)*$Q24/100</f>
        <v>0</v>
      </c>
      <c r="AL24" s="583">
        <f>VLOOKUP($H24,Nutrition_tables!$A:$AF,25,FALSE)*$Q24/100</f>
        <v>0</v>
      </c>
      <c r="AM24" s="583">
        <f>VLOOKUP($H24,Nutrition_tables!$A:$AF,26,FALSE)*$Q24/100</f>
        <v>0</v>
      </c>
      <c r="AN24" s="583">
        <f>VLOOKUP($H24,Nutrition_tables!$A:$AF,27,FALSE)*$Q24/100</f>
        <v>0</v>
      </c>
      <c r="AO24" s="583">
        <f>VLOOKUP($H24,Nutrition_tables!$A:$AF,28,FALSE)*$Q24/100</f>
        <v>0</v>
      </c>
      <c r="AP24" s="583">
        <f>VLOOKUP($H24,Nutrition_tables!$A:$AF,29,FALSE)*$Q24/100</f>
        <v>0</v>
      </c>
      <c r="AQ24" s="583">
        <f>VLOOKUP($H24,Nutrition_tables!$A:$AF,30,FALSE)*$Q24/100</f>
        <v>0</v>
      </c>
      <c r="AR24" s="583">
        <f>VLOOKUP($H24,Nutrition_tables!$A:$AF,31,FALSE)*$Q24/100</f>
        <v>0</v>
      </c>
      <c r="AS24" s="549">
        <f>VLOOKUP($H24,Nutrition_tables!$A:$AF,32,FALSE)*$Q24/100</f>
        <v>0</v>
      </c>
      <c r="AT24" s="583" t="str">
        <f>IF(H24="Select ingredient:","",IF(G24="Select food category:","",IFERROR(VLOOKUP($H24,Ingredient_prices!$E:$W,17,FALSE)*$Q24/1000,"not bought")))</f>
        <v/>
      </c>
      <c r="AU24" s="583" t="str">
        <f>IF(H24="Select ingredient:","",IF(G24="Select food category:","",IFERROR(VLOOKUP($H24,Ingredient_prices!$E:$W,18,FALSE)*$Q24/1000,"not bought")))</f>
        <v/>
      </c>
      <c r="AV24" s="583">
        <f t="shared" si="19"/>
        <v>0</v>
      </c>
      <c r="AW24" s="583">
        <f t="shared" si="20"/>
        <v>0</v>
      </c>
      <c r="AX24" s="583">
        <f t="shared" si="21"/>
        <v>0</v>
      </c>
      <c r="AY24" s="583">
        <f t="shared" si="22"/>
        <v>0</v>
      </c>
      <c r="AZ24" s="583">
        <f t="shared" si="23"/>
        <v>0</v>
      </c>
      <c r="BA24" s="583">
        <f t="shared" si="24"/>
        <v>0</v>
      </c>
      <c r="BB24" s="583">
        <f t="shared" si="25"/>
        <v>0</v>
      </c>
      <c r="BC24" s="583">
        <f t="shared" si="26"/>
        <v>0</v>
      </c>
      <c r="BD24" s="583">
        <f t="shared" si="27"/>
        <v>0</v>
      </c>
      <c r="BE24" s="583">
        <f t="shared" si="28"/>
        <v>0</v>
      </c>
      <c r="BF24" s="583">
        <f t="shared" si="29"/>
        <v>0</v>
      </c>
      <c r="BG24" s="583">
        <f t="shared" si="30"/>
        <v>0</v>
      </c>
      <c r="BH24" s="583">
        <f t="shared" si="31"/>
        <v>0</v>
      </c>
      <c r="BI24" s="583">
        <f t="shared" si="32"/>
        <v>0</v>
      </c>
      <c r="BJ24" s="583">
        <f t="shared" si="33"/>
        <v>0</v>
      </c>
      <c r="BK24" s="583">
        <f t="shared" si="34"/>
        <v>0</v>
      </c>
      <c r="BL24" s="583">
        <f t="shared" si="35"/>
        <v>0</v>
      </c>
      <c r="BM24" s="583">
        <f t="shared" si="36"/>
        <v>0</v>
      </c>
      <c r="BN24" s="583">
        <f t="shared" si="37"/>
        <v>0</v>
      </c>
      <c r="BO24" s="583">
        <f t="shared" si="38"/>
        <v>0</v>
      </c>
      <c r="BP24" s="583">
        <f t="shared" si="39"/>
        <v>0</v>
      </c>
      <c r="BQ24" s="583">
        <f t="shared" si="40"/>
        <v>0</v>
      </c>
      <c r="BR24" s="583">
        <f t="shared" si="41"/>
        <v>0</v>
      </c>
    </row>
    <row r="25" spans="1:70" s="229" customFormat="1" ht="15" customHeight="1">
      <c r="A25" s="590"/>
      <c r="D25" s="85"/>
      <c r="E25" s="576" t="str">
        <f t="shared" si="43"/>
        <v/>
      </c>
      <c r="F25" s="707"/>
      <c r="G25" s="406" t="s">
        <v>3054</v>
      </c>
      <c r="H25" s="1262" t="s">
        <v>3055</v>
      </c>
      <c r="I25" s="85">
        <v>0</v>
      </c>
      <c r="J25" s="682">
        <v>1</v>
      </c>
      <c r="K25" s="579" t="str">
        <f t="shared" si="18"/>
        <v/>
      </c>
      <c r="L25" s="580" t="str">
        <f>IF(H25="Select ingredient:","",IF(G25="","",_xlfn.IFNA(VLOOKUP($H25,Ingredient_prices!$E:$U,16,FALSE),0)))</f>
        <v/>
      </c>
      <c r="M25" s="591"/>
      <c r="N25" s="591"/>
      <c r="O25" s="591"/>
      <c r="P25" s="592"/>
      <c r="Q25" s="583">
        <f t="shared" si="44"/>
        <v>0</v>
      </c>
      <c r="R25" s="583">
        <f>VLOOKUP($H25,'CO2_emission+%_food_waste'!$A:$K,6,FALSE)*$Q25/100</f>
        <v>0</v>
      </c>
      <c r="S25" s="583">
        <f t="shared" si="42"/>
        <v>0</v>
      </c>
      <c r="T25" s="583" t="str">
        <f>IF(H25="Select ingredient:","",IF(G25="Select food category:","",_xlfn.IFNA(VLOOKUP($H25,Ingredient_prices!$E:$U,16,FALSE)*$Q25/1000,"not bought")))</f>
        <v/>
      </c>
      <c r="U25" s="583" t="str">
        <f>IF(G25="Select food category:","",_xlfn.IFNA(VLOOKUP($H25,Ingredient_prices!$E:$U,16,FALSE)*$R25/1000,"not bought"))</f>
        <v/>
      </c>
      <c r="V25" s="549">
        <f>VLOOKUP($H25,'CO2_emission+%_food_waste'!$A:$K,4,FALSE)*$Q25</f>
        <v>0</v>
      </c>
      <c r="W25" s="583">
        <f>VLOOKUP($H25,Nutrition_tables!$A:$N,10,FALSE)*$Q25/100</f>
        <v>0</v>
      </c>
      <c r="X25" s="583">
        <f>VLOOKUP($H25,Nutrition_tables!$A:$N,11,FALSE)*$Q25/100</f>
        <v>0</v>
      </c>
      <c r="Y25" s="583">
        <f>VLOOKUP($H25,Nutrition_tables!$A:$N,12,FALSE)*$Q25/100</f>
        <v>0</v>
      </c>
      <c r="Z25" s="583">
        <f>VLOOKUP($H25,Nutrition_tables!$A:$N,14,FALSE)*$Q25/100</f>
        <v>0</v>
      </c>
      <c r="AA25" s="583">
        <f>VLOOKUP($H25,Nutrition_tables!$A:$AF,13,FALSE)*$Q25/100</f>
        <v>0</v>
      </c>
      <c r="AB25" s="549">
        <f>VLOOKUP($H25,Nutrition_tables!$A:$AF,15,FALSE)*$Q25/100</f>
        <v>0</v>
      </c>
      <c r="AC25" s="583">
        <f>VLOOKUP($H25,Nutrition_tables!$A:$AF,16,FALSE)*$Q25/100</f>
        <v>0</v>
      </c>
      <c r="AD25" s="583">
        <f>VLOOKUP($H25,Nutrition_tables!$A:$AF,17,FALSE)*$Q25/100</f>
        <v>0</v>
      </c>
      <c r="AE25" s="583">
        <f>VLOOKUP($H25,Nutrition_tables!$A:$AF,18,FALSE)*$Q25/100</f>
        <v>0</v>
      </c>
      <c r="AF25" s="583">
        <f>VLOOKUP($H25,Nutrition_tables!$A:$AF,19,FALSE)*$Q25/100</f>
        <v>0</v>
      </c>
      <c r="AG25" s="583">
        <f>VLOOKUP($H25,Nutrition_tables!$A:$AF,20,FALSE)*$Q25/100</f>
        <v>0</v>
      </c>
      <c r="AH25" s="583">
        <f>VLOOKUP($H25,Nutrition_tables!$A:$AF,21,FALSE)*$Q25/100</f>
        <v>0</v>
      </c>
      <c r="AI25" s="583">
        <f>VLOOKUP($H25,Nutrition_tables!$A:$AF,22,FALSE)*$Q25/100</f>
        <v>0</v>
      </c>
      <c r="AJ25" s="549">
        <f>VLOOKUP($H25,Nutrition_tables!$A:$AF,23,FALSE)*$Q25/100</f>
        <v>0</v>
      </c>
      <c r="AK25" s="583">
        <f>VLOOKUP($H25,Nutrition_tables!$A:$AF,24,FALSE)*$Q25/100</f>
        <v>0</v>
      </c>
      <c r="AL25" s="583">
        <f>VLOOKUP($H25,Nutrition_tables!$A:$AF,25,FALSE)*$Q25/100</f>
        <v>0</v>
      </c>
      <c r="AM25" s="583">
        <f>VLOOKUP($H25,Nutrition_tables!$A:$AF,26,FALSE)*$Q25/100</f>
        <v>0</v>
      </c>
      <c r="AN25" s="583">
        <f>VLOOKUP($H25,Nutrition_tables!$A:$AF,27,FALSE)*$Q25/100</f>
        <v>0</v>
      </c>
      <c r="AO25" s="583">
        <f>VLOOKUP($H25,Nutrition_tables!$A:$AF,28,FALSE)*$Q25/100</f>
        <v>0</v>
      </c>
      <c r="AP25" s="583">
        <f>VLOOKUP($H25,Nutrition_tables!$A:$AF,29,FALSE)*$Q25/100</f>
        <v>0</v>
      </c>
      <c r="AQ25" s="583">
        <f>VLOOKUP($H25,Nutrition_tables!$A:$AF,30,FALSE)*$Q25/100</f>
        <v>0</v>
      </c>
      <c r="AR25" s="583">
        <f>VLOOKUP($H25,Nutrition_tables!$A:$AF,31,FALSE)*$Q25/100</f>
        <v>0</v>
      </c>
      <c r="AS25" s="549">
        <f>VLOOKUP($H25,Nutrition_tables!$A:$AF,32,FALSE)*$Q25/100</f>
        <v>0</v>
      </c>
      <c r="AT25" s="583" t="str">
        <f>IF(H25="Select ingredient:","",IF(G25="Select food category:","",IFERROR(VLOOKUP($H25,Ingredient_prices!$E:$W,17,FALSE)*$Q25/1000,"not bought")))</f>
        <v/>
      </c>
      <c r="AU25" s="583" t="str">
        <f>IF(H25="Select ingredient:","",IF(G25="Select food category:","",IFERROR(VLOOKUP($H25,Ingredient_prices!$E:$W,18,FALSE)*$Q25/1000,"not bought")))</f>
        <v/>
      </c>
      <c r="AV25" s="583">
        <f t="shared" si="19"/>
        <v>0</v>
      </c>
      <c r="AW25" s="583">
        <f t="shared" si="20"/>
        <v>0</v>
      </c>
      <c r="AX25" s="583">
        <f t="shared" si="21"/>
        <v>0</v>
      </c>
      <c r="AY25" s="583">
        <f t="shared" si="22"/>
        <v>0</v>
      </c>
      <c r="AZ25" s="583">
        <f t="shared" si="23"/>
        <v>0</v>
      </c>
      <c r="BA25" s="583">
        <f t="shared" si="24"/>
        <v>0</v>
      </c>
      <c r="BB25" s="583">
        <f t="shared" si="25"/>
        <v>0</v>
      </c>
      <c r="BC25" s="583">
        <f t="shared" si="26"/>
        <v>0</v>
      </c>
      <c r="BD25" s="583">
        <f t="shared" si="27"/>
        <v>0</v>
      </c>
      <c r="BE25" s="583">
        <f t="shared" si="28"/>
        <v>0</v>
      </c>
      <c r="BF25" s="583">
        <f t="shared" si="29"/>
        <v>0</v>
      </c>
      <c r="BG25" s="583">
        <f t="shared" si="30"/>
        <v>0</v>
      </c>
      <c r="BH25" s="583">
        <f t="shared" si="31"/>
        <v>0</v>
      </c>
      <c r="BI25" s="583">
        <f t="shared" si="32"/>
        <v>0</v>
      </c>
      <c r="BJ25" s="583">
        <f t="shared" si="33"/>
        <v>0</v>
      </c>
      <c r="BK25" s="583">
        <f t="shared" si="34"/>
        <v>0</v>
      </c>
      <c r="BL25" s="583">
        <f t="shared" si="35"/>
        <v>0</v>
      </c>
      <c r="BM25" s="583">
        <f t="shared" si="36"/>
        <v>0</v>
      </c>
      <c r="BN25" s="583">
        <f t="shared" si="37"/>
        <v>0</v>
      </c>
      <c r="BO25" s="583">
        <f t="shared" si="38"/>
        <v>0</v>
      </c>
      <c r="BP25" s="583">
        <f t="shared" si="39"/>
        <v>0</v>
      </c>
      <c r="BQ25" s="583">
        <f t="shared" si="40"/>
        <v>0</v>
      </c>
      <c r="BR25" s="583">
        <f t="shared" si="41"/>
        <v>0</v>
      </c>
    </row>
    <row r="26" spans="1:70" s="229" customFormat="1" ht="15" customHeight="1">
      <c r="A26" s="590"/>
      <c r="D26" s="85"/>
      <c r="E26" s="576" t="str">
        <f t="shared" si="43"/>
        <v/>
      </c>
      <c r="F26" s="707"/>
      <c r="G26" s="406" t="s">
        <v>3054</v>
      </c>
      <c r="H26" s="1262" t="s">
        <v>3055</v>
      </c>
      <c r="I26" s="85">
        <v>0</v>
      </c>
      <c r="J26" s="682">
        <v>1</v>
      </c>
      <c r="K26" s="579" t="str">
        <f t="shared" si="18"/>
        <v/>
      </c>
      <c r="L26" s="580" t="str">
        <f>IF(H26="Select ingredient:","",IF(G26="","",_xlfn.IFNA(VLOOKUP($H26,Ingredient_prices!$E:$U,16,FALSE),0)))</f>
        <v/>
      </c>
      <c r="M26" s="591"/>
      <c r="N26" s="591"/>
      <c r="O26" s="591"/>
      <c r="P26" s="592"/>
      <c r="Q26" s="583">
        <f t="shared" si="44"/>
        <v>0</v>
      </c>
      <c r="R26" s="583">
        <f>VLOOKUP($H26,'CO2_emission+%_food_waste'!$A:$K,6,FALSE)*$Q26/100</f>
        <v>0</v>
      </c>
      <c r="S26" s="583">
        <f t="shared" si="42"/>
        <v>0</v>
      </c>
      <c r="T26" s="583" t="str">
        <f>IF(H26="Select ingredient:","",IF(G26="Select food category:","",_xlfn.IFNA(VLOOKUP($H26,Ingredient_prices!$E:$U,16,FALSE)*$Q26/1000,"not bought")))</f>
        <v/>
      </c>
      <c r="U26" s="583" t="str">
        <f>IF(G26="Select food category:","",_xlfn.IFNA(VLOOKUP($H26,Ingredient_prices!$E:$U,16,FALSE)*$R26/1000,"not bought"))</f>
        <v/>
      </c>
      <c r="V26" s="549">
        <f>VLOOKUP($H26,'CO2_emission+%_food_waste'!$A:$K,4,FALSE)*$Q26</f>
        <v>0</v>
      </c>
      <c r="W26" s="583">
        <f>VLOOKUP($H26,Nutrition_tables!$A:$N,10,FALSE)*$Q26/100</f>
        <v>0</v>
      </c>
      <c r="X26" s="583">
        <f>VLOOKUP($H26,Nutrition_tables!$A:$N,11,FALSE)*$Q26/100</f>
        <v>0</v>
      </c>
      <c r="Y26" s="583">
        <f>VLOOKUP($H26,Nutrition_tables!$A:$N,12,FALSE)*$Q26/100</f>
        <v>0</v>
      </c>
      <c r="Z26" s="583">
        <f>VLOOKUP($H26,Nutrition_tables!$A:$N,14,FALSE)*$Q26/100</f>
        <v>0</v>
      </c>
      <c r="AA26" s="583">
        <f>VLOOKUP($H26,Nutrition_tables!$A:$AF,13,FALSE)*$Q26/100</f>
        <v>0</v>
      </c>
      <c r="AB26" s="549">
        <f>VLOOKUP($H26,Nutrition_tables!$A:$AF,15,FALSE)*$Q26/100</f>
        <v>0</v>
      </c>
      <c r="AC26" s="583">
        <f>VLOOKUP($H26,Nutrition_tables!$A:$AF,16,FALSE)*$Q26/100</f>
        <v>0</v>
      </c>
      <c r="AD26" s="583">
        <f>VLOOKUP($H26,Nutrition_tables!$A:$AF,17,FALSE)*$Q26/100</f>
        <v>0</v>
      </c>
      <c r="AE26" s="583">
        <f>VLOOKUP($H26,Nutrition_tables!$A:$AF,18,FALSE)*$Q26/100</f>
        <v>0</v>
      </c>
      <c r="AF26" s="583">
        <f>VLOOKUP($H26,Nutrition_tables!$A:$AF,19,FALSE)*$Q26/100</f>
        <v>0</v>
      </c>
      <c r="AG26" s="583">
        <f>VLOOKUP($H26,Nutrition_tables!$A:$AF,20,FALSE)*$Q26/100</f>
        <v>0</v>
      </c>
      <c r="AH26" s="583">
        <f>VLOOKUP($H26,Nutrition_tables!$A:$AF,21,FALSE)*$Q26/100</f>
        <v>0</v>
      </c>
      <c r="AI26" s="583">
        <f>VLOOKUP($H26,Nutrition_tables!$A:$AF,22,FALSE)*$Q26/100</f>
        <v>0</v>
      </c>
      <c r="AJ26" s="549">
        <f>VLOOKUP($H26,Nutrition_tables!$A:$AF,23,FALSE)*$Q26/100</f>
        <v>0</v>
      </c>
      <c r="AK26" s="583">
        <f>VLOOKUP($H26,Nutrition_tables!$A:$AF,24,FALSE)*$Q26/100</f>
        <v>0</v>
      </c>
      <c r="AL26" s="583">
        <f>VLOOKUP($H26,Nutrition_tables!$A:$AF,25,FALSE)*$Q26/100</f>
        <v>0</v>
      </c>
      <c r="AM26" s="583">
        <f>VLOOKUP($H26,Nutrition_tables!$A:$AF,26,FALSE)*$Q26/100</f>
        <v>0</v>
      </c>
      <c r="AN26" s="583">
        <f>VLOOKUP($H26,Nutrition_tables!$A:$AF,27,FALSE)*$Q26/100</f>
        <v>0</v>
      </c>
      <c r="AO26" s="583">
        <f>VLOOKUP($H26,Nutrition_tables!$A:$AF,28,FALSE)*$Q26/100</f>
        <v>0</v>
      </c>
      <c r="AP26" s="583">
        <f>VLOOKUP($H26,Nutrition_tables!$A:$AF,29,FALSE)*$Q26/100</f>
        <v>0</v>
      </c>
      <c r="AQ26" s="583">
        <f>VLOOKUP($H26,Nutrition_tables!$A:$AF,30,FALSE)*$Q26/100</f>
        <v>0</v>
      </c>
      <c r="AR26" s="583">
        <f>VLOOKUP($H26,Nutrition_tables!$A:$AF,31,FALSE)*$Q26/100</f>
        <v>0</v>
      </c>
      <c r="AS26" s="549">
        <f>VLOOKUP($H26,Nutrition_tables!$A:$AF,32,FALSE)*$Q26/100</f>
        <v>0</v>
      </c>
      <c r="AT26" s="583" t="str">
        <f>IF(H26="Select ingredient:","",IF(G26="Select food category:","",IFERROR(VLOOKUP($H26,Ingredient_prices!$E:$W,17,FALSE)*$Q26/1000,"not bought")))</f>
        <v/>
      </c>
      <c r="AU26" s="583" t="str">
        <f>IF(H26="Select ingredient:","",IF(G26="Select food category:","",IFERROR(VLOOKUP($H26,Ingredient_prices!$E:$W,18,FALSE)*$Q26/1000,"not bought")))</f>
        <v/>
      </c>
      <c r="AV26" s="583">
        <f t="shared" si="19"/>
        <v>0</v>
      </c>
      <c r="AW26" s="583">
        <f t="shared" si="20"/>
        <v>0</v>
      </c>
      <c r="AX26" s="583">
        <f t="shared" si="21"/>
        <v>0</v>
      </c>
      <c r="AY26" s="583">
        <f t="shared" si="22"/>
        <v>0</v>
      </c>
      <c r="AZ26" s="583">
        <f t="shared" si="23"/>
        <v>0</v>
      </c>
      <c r="BA26" s="583">
        <f t="shared" si="24"/>
        <v>0</v>
      </c>
      <c r="BB26" s="583">
        <f t="shared" si="25"/>
        <v>0</v>
      </c>
      <c r="BC26" s="583">
        <f t="shared" si="26"/>
        <v>0</v>
      </c>
      <c r="BD26" s="583">
        <f t="shared" ref="BD26:BJ30" si="45">AE26*($Q26-$R26)/($Q26+0.00001)</f>
        <v>0</v>
      </c>
      <c r="BE26" s="583">
        <f t="shared" si="45"/>
        <v>0</v>
      </c>
      <c r="BF26" s="583">
        <f t="shared" si="45"/>
        <v>0</v>
      </c>
      <c r="BG26" s="583">
        <f t="shared" si="45"/>
        <v>0</v>
      </c>
      <c r="BH26" s="583">
        <f t="shared" si="45"/>
        <v>0</v>
      </c>
      <c r="BI26" s="583">
        <f t="shared" si="45"/>
        <v>0</v>
      </c>
      <c r="BJ26" s="583">
        <f t="shared" si="45"/>
        <v>0</v>
      </c>
      <c r="BK26" s="583">
        <f t="shared" ref="BK26:BK30" si="46">AL26*($Q26-$R26)/($Q26+0.00001)</f>
        <v>0</v>
      </c>
      <c r="BL26" s="583">
        <f t="shared" ref="BL26:BR30" si="47">AM26*($Q26-$R26)/($Q26+0.00001)</f>
        <v>0</v>
      </c>
      <c r="BM26" s="583">
        <f t="shared" si="47"/>
        <v>0</v>
      </c>
      <c r="BN26" s="583">
        <f t="shared" si="47"/>
        <v>0</v>
      </c>
      <c r="BO26" s="583">
        <f t="shared" si="47"/>
        <v>0</v>
      </c>
      <c r="BP26" s="583">
        <f t="shared" si="47"/>
        <v>0</v>
      </c>
      <c r="BQ26" s="583">
        <f t="shared" si="47"/>
        <v>0</v>
      </c>
      <c r="BR26" s="583">
        <f t="shared" si="47"/>
        <v>0</v>
      </c>
    </row>
    <row r="27" spans="1:70" s="229" customFormat="1" ht="15" customHeight="1">
      <c r="A27" s="590"/>
      <c r="D27" s="85"/>
      <c r="E27" s="576" t="str">
        <f t="shared" si="43"/>
        <v/>
      </c>
      <c r="F27" s="707"/>
      <c r="G27" s="406" t="s">
        <v>3054</v>
      </c>
      <c r="H27" s="1262" t="s">
        <v>3055</v>
      </c>
      <c r="I27" s="85">
        <v>0</v>
      </c>
      <c r="J27" s="682">
        <v>1</v>
      </c>
      <c r="K27" s="579" t="str">
        <f t="shared" si="18"/>
        <v/>
      </c>
      <c r="L27" s="580" t="str">
        <f>IF(H27="Select ingredient:","",IF(G27="","",_xlfn.IFNA(VLOOKUP($H27,Ingredient_prices!$E:$U,16,FALSE),0)))</f>
        <v/>
      </c>
      <c r="M27" s="591"/>
      <c r="N27" s="591"/>
      <c r="O27" s="591"/>
      <c r="P27" s="592"/>
      <c r="Q27" s="583">
        <f t="shared" si="44"/>
        <v>0</v>
      </c>
      <c r="R27" s="583">
        <f>VLOOKUP($H27,'CO2_emission+%_food_waste'!$A:$K,6,FALSE)*$Q27/100</f>
        <v>0</v>
      </c>
      <c r="S27" s="583">
        <f t="shared" si="42"/>
        <v>0</v>
      </c>
      <c r="T27" s="583" t="str">
        <f>IF(H27="Select ingredient:","",IF(G27="Select food category:","",_xlfn.IFNA(VLOOKUP($H27,Ingredient_prices!$E:$U,16,FALSE)*$Q27/1000,"not bought")))</f>
        <v/>
      </c>
      <c r="U27" s="583" t="str">
        <f>IF(G27="Select food category:","",_xlfn.IFNA(VLOOKUP($H27,Ingredient_prices!$E:$U,16,FALSE)*$R27/1000,"not bought"))</f>
        <v/>
      </c>
      <c r="V27" s="549">
        <f>VLOOKUP($H27,'CO2_emission+%_food_waste'!$A:$K,4,FALSE)*$Q27</f>
        <v>0</v>
      </c>
      <c r="W27" s="583">
        <f>VLOOKUP($H27,Nutrition_tables!$A:$N,10,FALSE)*$Q27/100</f>
        <v>0</v>
      </c>
      <c r="X27" s="583">
        <f>VLOOKUP($H27,Nutrition_tables!$A:$N,11,FALSE)*$Q27/100</f>
        <v>0</v>
      </c>
      <c r="Y27" s="583">
        <f>VLOOKUP($H27,Nutrition_tables!$A:$N,12,FALSE)*$Q27/100</f>
        <v>0</v>
      </c>
      <c r="Z27" s="583">
        <f>VLOOKUP($H27,Nutrition_tables!$A:$N,14,FALSE)*$Q27/100</f>
        <v>0</v>
      </c>
      <c r="AA27" s="583">
        <f>VLOOKUP($H27,Nutrition_tables!$A:$AF,13,FALSE)*$Q27/100</f>
        <v>0</v>
      </c>
      <c r="AB27" s="549">
        <f>VLOOKUP($H27,Nutrition_tables!$A:$AF,15,FALSE)*$Q27/100</f>
        <v>0</v>
      </c>
      <c r="AC27" s="583">
        <f>VLOOKUP($H27,Nutrition_tables!$A:$AF,16,FALSE)*$Q27/100</f>
        <v>0</v>
      </c>
      <c r="AD27" s="583">
        <f>VLOOKUP($H27,Nutrition_tables!$A:$AF,17,FALSE)*$Q27/100</f>
        <v>0</v>
      </c>
      <c r="AE27" s="583">
        <f>VLOOKUP($H27,Nutrition_tables!$A:$AF,18,FALSE)*$Q27/100</f>
        <v>0</v>
      </c>
      <c r="AF27" s="583">
        <f>VLOOKUP($H27,Nutrition_tables!$A:$AF,19,FALSE)*$Q27/100</f>
        <v>0</v>
      </c>
      <c r="AG27" s="583">
        <f>VLOOKUP($H27,Nutrition_tables!$A:$AF,20,FALSE)*$Q27/100</f>
        <v>0</v>
      </c>
      <c r="AH27" s="583">
        <f>VLOOKUP($H27,Nutrition_tables!$A:$AF,21,FALSE)*$Q27/100</f>
        <v>0</v>
      </c>
      <c r="AI27" s="583">
        <f>VLOOKUP($H27,Nutrition_tables!$A:$AF,22,FALSE)*$Q27/100</f>
        <v>0</v>
      </c>
      <c r="AJ27" s="549">
        <f>VLOOKUP($H27,Nutrition_tables!$A:$AF,23,FALSE)*$Q27/100</f>
        <v>0</v>
      </c>
      <c r="AK27" s="583">
        <f>VLOOKUP($H27,Nutrition_tables!$A:$AF,24,FALSE)*$Q27/100</f>
        <v>0</v>
      </c>
      <c r="AL27" s="583">
        <f>VLOOKUP($H27,Nutrition_tables!$A:$AF,25,FALSE)*$Q27/100</f>
        <v>0</v>
      </c>
      <c r="AM27" s="583">
        <f>VLOOKUP($H27,Nutrition_tables!$A:$AF,26,FALSE)*$Q27/100</f>
        <v>0</v>
      </c>
      <c r="AN27" s="583">
        <f>VLOOKUP($H27,Nutrition_tables!$A:$AF,27,FALSE)*$Q27/100</f>
        <v>0</v>
      </c>
      <c r="AO27" s="583">
        <f>VLOOKUP($H27,Nutrition_tables!$A:$AF,28,FALSE)*$Q27/100</f>
        <v>0</v>
      </c>
      <c r="AP27" s="583">
        <f>VLOOKUP($H27,Nutrition_tables!$A:$AF,29,FALSE)*$Q27/100</f>
        <v>0</v>
      </c>
      <c r="AQ27" s="583">
        <f>VLOOKUP($H27,Nutrition_tables!$A:$AF,30,FALSE)*$Q27/100</f>
        <v>0</v>
      </c>
      <c r="AR27" s="583">
        <f>VLOOKUP($H27,Nutrition_tables!$A:$AF,31,FALSE)*$Q27/100</f>
        <v>0</v>
      </c>
      <c r="AS27" s="549">
        <f>VLOOKUP($H27,Nutrition_tables!$A:$AF,32,FALSE)*$Q27/100</f>
        <v>0</v>
      </c>
      <c r="AT27" s="583" t="str">
        <f>IF(H27="Select ingredient:","",IF(G27="Select food category:","",IFERROR(VLOOKUP($H27,Ingredient_prices!$E:$W,17,FALSE)*$Q27/1000,"not bought")))</f>
        <v/>
      </c>
      <c r="AU27" s="583" t="str">
        <f>IF(H27="Select ingredient:","",IF(G27="Select food category:","",IFERROR(VLOOKUP($H27,Ingredient_prices!$E:$W,18,FALSE)*$Q27/1000,"not bought")))</f>
        <v/>
      </c>
      <c r="AV27" s="583">
        <f t="shared" si="19"/>
        <v>0</v>
      </c>
      <c r="AW27" s="583">
        <f t="shared" si="20"/>
        <v>0</v>
      </c>
      <c r="AX27" s="583">
        <f t="shared" si="21"/>
        <v>0</v>
      </c>
      <c r="AY27" s="583">
        <f t="shared" si="22"/>
        <v>0</v>
      </c>
      <c r="AZ27" s="583">
        <f t="shared" si="23"/>
        <v>0</v>
      </c>
      <c r="BA27" s="583">
        <f t="shared" si="24"/>
        <v>0</v>
      </c>
      <c r="BB27" s="583">
        <f t="shared" si="25"/>
        <v>0</v>
      </c>
      <c r="BC27" s="583">
        <f t="shared" si="26"/>
        <v>0</v>
      </c>
      <c r="BD27" s="583">
        <f t="shared" si="45"/>
        <v>0</v>
      </c>
      <c r="BE27" s="583">
        <f t="shared" si="45"/>
        <v>0</v>
      </c>
      <c r="BF27" s="583">
        <f t="shared" si="45"/>
        <v>0</v>
      </c>
      <c r="BG27" s="583">
        <f t="shared" si="45"/>
        <v>0</v>
      </c>
      <c r="BH27" s="583">
        <f t="shared" si="45"/>
        <v>0</v>
      </c>
      <c r="BI27" s="583">
        <f t="shared" si="45"/>
        <v>0</v>
      </c>
      <c r="BJ27" s="583">
        <f t="shared" si="45"/>
        <v>0</v>
      </c>
      <c r="BK27" s="583">
        <f t="shared" si="46"/>
        <v>0</v>
      </c>
      <c r="BL27" s="583">
        <f t="shared" si="47"/>
        <v>0</v>
      </c>
      <c r="BM27" s="583">
        <f t="shared" si="47"/>
        <v>0</v>
      </c>
      <c r="BN27" s="583">
        <f t="shared" si="47"/>
        <v>0</v>
      </c>
      <c r="BO27" s="583">
        <f t="shared" si="47"/>
        <v>0</v>
      </c>
      <c r="BP27" s="583">
        <f t="shared" si="47"/>
        <v>0</v>
      </c>
      <c r="BQ27" s="583">
        <f t="shared" si="47"/>
        <v>0</v>
      </c>
      <c r="BR27" s="583">
        <f t="shared" si="47"/>
        <v>0</v>
      </c>
    </row>
    <row r="28" spans="1:70" s="229" customFormat="1" ht="15" customHeight="1">
      <c r="A28" s="590"/>
      <c r="D28" s="85"/>
      <c r="E28" s="576" t="str">
        <f t="shared" si="43"/>
        <v/>
      </c>
      <c r="F28" s="707"/>
      <c r="G28" s="406" t="s">
        <v>3054</v>
      </c>
      <c r="H28" s="1262" t="s">
        <v>3055</v>
      </c>
      <c r="I28" s="85">
        <v>0</v>
      </c>
      <c r="J28" s="682">
        <v>1</v>
      </c>
      <c r="K28" s="579" t="str">
        <f t="shared" si="18"/>
        <v/>
      </c>
      <c r="L28" s="580" t="str">
        <f>IF(H28="Select ingredient:","",IF(G28="","",_xlfn.IFNA(VLOOKUP($H28,Ingredient_prices!$E:$U,16,FALSE),0)))</f>
        <v/>
      </c>
      <c r="M28" s="591"/>
      <c r="N28" s="591"/>
      <c r="O28" s="591"/>
      <c r="P28" s="592"/>
      <c r="Q28" s="583">
        <f t="shared" si="44"/>
        <v>0</v>
      </c>
      <c r="R28" s="583">
        <f>VLOOKUP($H28,'CO2_emission+%_food_waste'!$A:$K,6,FALSE)*$Q28/100</f>
        <v>0</v>
      </c>
      <c r="S28" s="583">
        <f t="shared" si="42"/>
        <v>0</v>
      </c>
      <c r="T28" s="583" t="str">
        <f>IF(H28="Select ingredient:","",IF(G28="Select food category:","",_xlfn.IFNA(VLOOKUP($H28,Ingredient_prices!$E:$U,16,FALSE)*$Q28/1000,"not bought")))</f>
        <v/>
      </c>
      <c r="U28" s="583" t="str">
        <f>IF(G28="Select food category:","",_xlfn.IFNA(VLOOKUP($H28,Ingredient_prices!$E:$U,16,FALSE)*$R28/1000,"not bought"))</f>
        <v/>
      </c>
      <c r="V28" s="549">
        <f>VLOOKUP($H28,'CO2_emission+%_food_waste'!$A:$K,4,FALSE)*$Q28</f>
        <v>0</v>
      </c>
      <c r="W28" s="583">
        <f>VLOOKUP($H28,Nutrition_tables!$A:$N,10,FALSE)*$Q28/100</f>
        <v>0</v>
      </c>
      <c r="X28" s="583">
        <f>VLOOKUP($H28,Nutrition_tables!$A:$N,11,FALSE)*$Q28/100</f>
        <v>0</v>
      </c>
      <c r="Y28" s="583">
        <f>VLOOKUP($H28,Nutrition_tables!$A:$N,12,FALSE)*$Q28/100</f>
        <v>0</v>
      </c>
      <c r="Z28" s="583">
        <f>VLOOKUP($H28,Nutrition_tables!$A:$N,14,FALSE)*$Q28/100</f>
        <v>0</v>
      </c>
      <c r="AA28" s="583">
        <f>VLOOKUP($H28,Nutrition_tables!$A:$AF,13,FALSE)*$Q28/100</f>
        <v>0</v>
      </c>
      <c r="AB28" s="549">
        <f>VLOOKUP($H28,Nutrition_tables!$A:$AF,15,FALSE)*$Q28/100</f>
        <v>0</v>
      </c>
      <c r="AC28" s="583">
        <f>VLOOKUP($H28,Nutrition_tables!$A:$AF,16,FALSE)*$Q28/100</f>
        <v>0</v>
      </c>
      <c r="AD28" s="583">
        <f>VLOOKUP($H28,Nutrition_tables!$A:$AF,17,FALSE)*$Q28/100</f>
        <v>0</v>
      </c>
      <c r="AE28" s="583">
        <f>VLOOKUP($H28,Nutrition_tables!$A:$AF,18,FALSE)*$Q28/100</f>
        <v>0</v>
      </c>
      <c r="AF28" s="583">
        <f>VLOOKUP($H28,Nutrition_tables!$A:$AF,19,FALSE)*$Q28/100</f>
        <v>0</v>
      </c>
      <c r="AG28" s="583">
        <f>VLOOKUP($H28,Nutrition_tables!$A:$AF,20,FALSE)*$Q28/100</f>
        <v>0</v>
      </c>
      <c r="AH28" s="583">
        <f>VLOOKUP($H28,Nutrition_tables!$A:$AF,21,FALSE)*$Q28/100</f>
        <v>0</v>
      </c>
      <c r="AI28" s="583">
        <f>VLOOKUP($H28,Nutrition_tables!$A:$AF,22,FALSE)*$Q28/100</f>
        <v>0</v>
      </c>
      <c r="AJ28" s="549">
        <f>VLOOKUP($H28,Nutrition_tables!$A:$AF,23,FALSE)*$Q28/100</f>
        <v>0</v>
      </c>
      <c r="AK28" s="583">
        <f>VLOOKUP($H28,Nutrition_tables!$A:$AF,24,FALSE)*$Q28/100</f>
        <v>0</v>
      </c>
      <c r="AL28" s="583">
        <f>VLOOKUP($H28,Nutrition_tables!$A:$AF,25,FALSE)*$Q28/100</f>
        <v>0</v>
      </c>
      <c r="AM28" s="583">
        <f>VLOOKUP($H28,Nutrition_tables!$A:$AF,26,FALSE)*$Q28/100</f>
        <v>0</v>
      </c>
      <c r="AN28" s="583">
        <f>VLOOKUP($H28,Nutrition_tables!$A:$AF,27,FALSE)*$Q28/100</f>
        <v>0</v>
      </c>
      <c r="AO28" s="583">
        <f>VLOOKUP($H28,Nutrition_tables!$A:$AF,28,FALSE)*$Q28/100</f>
        <v>0</v>
      </c>
      <c r="AP28" s="583">
        <f>VLOOKUP($H28,Nutrition_tables!$A:$AF,29,FALSE)*$Q28/100</f>
        <v>0</v>
      </c>
      <c r="AQ28" s="583">
        <f>VLOOKUP($H28,Nutrition_tables!$A:$AF,30,FALSE)*$Q28/100</f>
        <v>0</v>
      </c>
      <c r="AR28" s="583">
        <f>VLOOKUP($H28,Nutrition_tables!$A:$AF,31,FALSE)*$Q28/100</f>
        <v>0</v>
      </c>
      <c r="AS28" s="549">
        <f>VLOOKUP($H28,Nutrition_tables!$A:$AF,32,FALSE)*$Q28/100</f>
        <v>0</v>
      </c>
      <c r="AT28" s="583" t="str">
        <f>IF(H28="Select ingredient:","",IF(G28="Select food category:","",IFERROR(VLOOKUP($H28,Ingredient_prices!$E:$W,17,FALSE)*$Q28/1000,"not bought")))</f>
        <v/>
      </c>
      <c r="AU28" s="583" t="str">
        <f>IF(H28="Select ingredient:","",IF(G28="Select food category:","",IFERROR(VLOOKUP($H28,Ingredient_prices!$E:$W,18,FALSE)*$Q28/1000,"not bought")))</f>
        <v/>
      </c>
      <c r="AV28" s="583">
        <f t="shared" si="19"/>
        <v>0</v>
      </c>
      <c r="AW28" s="583">
        <f t="shared" si="20"/>
        <v>0</v>
      </c>
      <c r="AX28" s="583">
        <f t="shared" si="21"/>
        <v>0</v>
      </c>
      <c r="AY28" s="583">
        <f t="shared" si="22"/>
        <v>0</v>
      </c>
      <c r="AZ28" s="583">
        <f t="shared" si="23"/>
        <v>0</v>
      </c>
      <c r="BA28" s="583">
        <f t="shared" si="24"/>
        <v>0</v>
      </c>
      <c r="BB28" s="583">
        <f t="shared" si="25"/>
        <v>0</v>
      </c>
      <c r="BC28" s="583">
        <f t="shared" si="26"/>
        <v>0</v>
      </c>
      <c r="BD28" s="583">
        <f t="shared" si="45"/>
        <v>0</v>
      </c>
      <c r="BE28" s="583">
        <f t="shared" si="45"/>
        <v>0</v>
      </c>
      <c r="BF28" s="583">
        <f t="shared" si="45"/>
        <v>0</v>
      </c>
      <c r="BG28" s="583">
        <f t="shared" si="45"/>
        <v>0</v>
      </c>
      <c r="BH28" s="583">
        <f t="shared" si="45"/>
        <v>0</v>
      </c>
      <c r="BI28" s="583">
        <f t="shared" si="45"/>
        <v>0</v>
      </c>
      <c r="BJ28" s="583">
        <f t="shared" si="45"/>
        <v>0</v>
      </c>
      <c r="BK28" s="583">
        <f t="shared" si="46"/>
        <v>0</v>
      </c>
      <c r="BL28" s="583">
        <f t="shared" si="47"/>
        <v>0</v>
      </c>
      <c r="BM28" s="583">
        <f t="shared" si="47"/>
        <v>0</v>
      </c>
      <c r="BN28" s="583">
        <f t="shared" si="47"/>
        <v>0</v>
      </c>
      <c r="BO28" s="583">
        <f t="shared" si="47"/>
        <v>0</v>
      </c>
      <c r="BP28" s="583">
        <f t="shared" si="47"/>
        <v>0</v>
      </c>
      <c r="BQ28" s="583">
        <f t="shared" si="47"/>
        <v>0</v>
      </c>
      <c r="BR28" s="583">
        <f t="shared" si="47"/>
        <v>0</v>
      </c>
    </row>
    <row r="29" spans="1:70" s="229" customFormat="1" ht="15" customHeight="1">
      <c r="A29" s="590"/>
      <c r="D29" s="85"/>
      <c r="E29" s="576" t="str">
        <f t="shared" si="43"/>
        <v/>
      </c>
      <c r="F29" s="707"/>
      <c r="G29" s="406" t="s">
        <v>3054</v>
      </c>
      <c r="H29" s="1262" t="s">
        <v>3055</v>
      </c>
      <c r="I29" s="85">
        <v>0</v>
      </c>
      <c r="J29" s="682">
        <v>1</v>
      </c>
      <c r="K29" s="579" t="str">
        <f t="shared" si="18"/>
        <v/>
      </c>
      <c r="L29" s="580" t="str">
        <f>IF(H29="Select ingredient:","",IF(G29="","",_xlfn.IFNA(VLOOKUP($H29,Ingredient_prices!$E:$U,16,FALSE),0)))</f>
        <v/>
      </c>
      <c r="M29" s="591"/>
      <c r="N29" s="591"/>
      <c r="O29" s="591"/>
      <c r="P29" s="592"/>
      <c r="Q29" s="583">
        <f t="shared" si="44"/>
        <v>0</v>
      </c>
      <c r="R29" s="583">
        <f>VLOOKUP($H29,'CO2_emission+%_food_waste'!$A:$K,6,FALSE)*$Q29/100</f>
        <v>0</v>
      </c>
      <c r="S29" s="583">
        <f t="shared" si="42"/>
        <v>0</v>
      </c>
      <c r="T29" s="583" t="str">
        <f>IF(H29="Select ingredient:","",IF(G29="Select food category:","",_xlfn.IFNA(VLOOKUP($H29,Ingredient_prices!$E:$U,16,FALSE)*$Q29/1000,"not bought")))</f>
        <v/>
      </c>
      <c r="U29" s="583" t="str">
        <f>IF(G29="Select food category:","",_xlfn.IFNA(VLOOKUP($H29,Ingredient_prices!$E:$U,16,FALSE)*$R29/1000,"not bought"))</f>
        <v/>
      </c>
      <c r="V29" s="549">
        <f>VLOOKUP($H29,'CO2_emission+%_food_waste'!$A:$K,4,FALSE)*$Q29</f>
        <v>0</v>
      </c>
      <c r="W29" s="583">
        <f>VLOOKUP($H29,Nutrition_tables!$A:$N,10,FALSE)*$Q29/100</f>
        <v>0</v>
      </c>
      <c r="X29" s="583">
        <f>VLOOKUP($H29,Nutrition_tables!$A:$N,11,FALSE)*$Q29/100</f>
        <v>0</v>
      </c>
      <c r="Y29" s="583">
        <f>VLOOKUP($H29,Nutrition_tables!$A:$N,12,FALSE)*$Q29/100</f>
        <v>0</v>
      </c>
      <c r="Z29" s="583">
        <f>VLOOKUP($H29,Nutrition_tables!$A:$N,14,FALSE)*$Q29/100</f>
        <v>0</v>
      </c>
      <c r="AA29" s="583">
        <f>VLOOKUP($H29,Nutrition_tables!$A:$AF,13,FALSE)*$Q29/100</f>
        <v>0</v>
      </c>
      <c r="AB29" s="549">
        <f>VLOOKUP($H29,Nutrition_tables!$A:$AF,15,FALSE)*$Q29/100</f>
        <v>0</v>
      </c>
      <c r="AC29" s="583">
        <f>VLOOKUP($H29,Nutrition_tables!$A:$AF,16,FALSE)*$Q29/100</f>
        <v>0</v>
      </c>
      <c r="AD29" s="583">
        <f>VLOOKUP($H29,Nutrition_tables!$A:$AF,17,FALSE)*$Q29/100</f>
        <v>0</v>
      </c>
      <c r="AE29" s="583">
        <f>VLOOKUP($H29,Nutrition_tables!$A:$AF,18,FALSE)*$Q29/100</f>
        <v>0</v>
      </c>
      <c r="AF29" s="583">
        <f>VLOOKUP($H29,Nutrition_tables!$A:$AF,19,FALSE)*$Q29/100</f>
        <v>0</v>
      </c>
      <c r="AG29" s="583">
        <f>VLOOKUP($H29,Nutrition_tables!$A:$AF,20,FALSE)*$Q29/100</f>
        <v>0</v>
      </c>
      <c r="AH29" s="583">
        <f>VLOOKUP($H29,Nutrition_tables!$A:$AF,21,FALSE)*$Q29/100</f>
        <v>0</v>
      </c>
      <c r="AI29" s="583">
        <f>VLOOKUP($H29,Nutrition_tables!$A:$AF,22,FALSE)*$Q29/100</f>
        <v>0</v>
      </c>
      <c r="AJ29" s="549">
        <f>VLOOKUP($H29,Nutrition_tables!$A:$AF,23,FALSE)*$Q29/100</f>
        <v>0</v>
      </c>
      <c r="AK29" s="583">
        <f>VLOOKUP($H29,Nutrition_tables!$A:$AF,24,FALSE)*$Q29/100</f>
        <v>0</v>
      </c>
      <c r="AL29" s="583">
        <f>VLOOKUP($H29,Nutrition_tables!$A:$AF,25,FALSE)*$Q29/100</f>
        <v>0</v>
      </c>
      <c r="AM29" s="583">
        <f>VLOOKUP($H29,Nutrition_tables!$A:$AF,26,FALSE)*$Q29/100</f>
        <v>0</v>
      </c>
      <c r="AN29" s="583">
        <f>VLOOKUP($H29,Nutrition_tables!$A:$AF,27,FALSE)*$Q29/100</f>
        <v>0</v>
      </c>
      <c r="AO29" s="583">
        <f>VLOOKUP($H29,Nutrition_tables!$A:$AF,28,FALSE)*$Q29/100</f>
        <v>0</v>
      </c>
      <c r="AP29" s="583">
        <f>VLOOKUP($H29,Nutrition_tables!$A:$AF,29,FALSE)*$Q29/100</f>
        <v>0</v>
      </c>
      <c r="AQ29" s="583">
        <f>VLOOKUP($H29,Nutrition_tables!$A:$AF,30,FALSE)*$Q29/100</f>
        <v>0</v>
      </c>
      <c r="AR29" s="583">
        <f>VLOOKUP($H29,Nutrition_tables!$A:$AF,31,FALSE)*$Q29/100</f>
        <v>0</v>
      </c>
      <c r="AS29" s="549">
        <f>VLOOKUP($H29,Nutrition_tables!$A:$AF,32,FALSE)*$Q29/100</f>
        <v>0</v>
      </c>
      <c r="AT29" s="583" t="str">
        <f>IF(H29="Select ingredient:","",IF(G29="Select food category:","",IFERROR(VLOOKUP($H29,Ingredient_prices!$E:$W,17,FALSE)*$Q29/1000,"not bought")))</f>
        <v/>
      </c>
      <c r="AU29" s="583" t="str">
        <f>IF(H29="Select ingredient:","",IF(G29="Select food category:","",IFERROR(VLOOKUP($H29,Ingredient_prices!$E:$W,18,FALSE)*$Q29/1000,"not bought")))</f>
        <v/>
      </c>
      <c r="AV29" s="583">
        <f t="shared" si="19"/>
        <v>0</v>
      </c>
      <c r="AW29" s="583">
        <f t="shared" si="20"/>
        <v>0</v>
      </c>
      <c r="AX29" s="583">
        <f t="shared" si="21"/>
        <v>0</v>
      </c>
      <c r="AY29" s="583">
        <f t="shared" si="22"/>
        <v>0</v>
      </c>
      <c r="AZ29" s="583">
        <f t="shared" si="23"/>
        <v>0</v>
      </c>
      <c r="BA29" s="583">
        <f t="shared" si="24"/>
        <v>0</v>
      </c>
      <c r="BB29" s="583">
        <f t="shared" si="25"/>
        <v>0</v>
      </c>
      <c r="BC29" s="583">
        <f t="shared" si="26"/>
        <v>0</v>
      </c>
      <c r="BD29" s="583">
        <f t="shared" si="45"/>
        <v>0</v>
      </c>
      <c r="BE29" s="583">
        <f t="shared" si="45"/>
        <v>0</v>
      </c>
      <c r="BF29" s="583">
        <f t="shared" si="45"/>
        <v>0</v>
      </c>
      <c r="BG29" s="583">
        <f t="shared" si="45"/>
        <v>0</v>
      </c>
      <c r="BH29" s="583">
        <f t="shared" si="45"/>
        <v>0</v>
      </c>
      <c r="BI29" s="583">
        <f t="shared" si="45"/>
        <v>0</v>
      </c>
      <c r="BJ29" s="583">
        <f t="shared" si="45"/>
        <v>0</v>
      </c>
      <c r="BK29" s="583">
        <f t="shared" si="46"/>
        <v>0</v>
      </c>
      <c r="BL29" s="583">
        <f t="shared" si="47"/>
        <v>0</v>
      </c>
      <c r="BM29" s="583">
        <f t="shared" si="47"/>
        <v>0</v>
      </c>
      <c r="BN29" s="583">
        <f t="shared" si="47"/>
        <v>0</v>
      </c>
      <c r="BO29" s="583">
        <f t="shared" si="47"/>
        <v>0</v>
      </c>
      <c r="BP29" s="583">
        <f t="shared" si="47"/>
        <v>0</v>
      </c>
      <c r="BQ29" s="583">
        <f t="shared" si="47"/>
        <v>0</v>
      </c>
      <c r="BR29" s="583">
        <f t="shared" si="47"/>
        <v>0</v>
      </c>
    </row>
    <row r="30" spans="1:70" s="229" customFormat="1" ht="15" customHeight="1">
      <c r="A30" s="590"/>
      <c r="D30" s="85"/>
      <c r="E30" s="576" t="str">
        <f t="shared" si="43"/>
        <v/>
      </c>
      <c r="F30" s="707"/>
      <c r="G30" s="406" t="s">
        <v>3054</v>
      </c>
      <c r="H30" s="1262" t="s">
        <v>3055</v>
      </c>
      <c r="I30" s="85">
        <v>0</v>
      </c>
      <c r="J30" s="682">
        <v>1</v>
      </c>
      <c r="K30" s="579" t="str">
        <f t="shared" si="18"/>
        <v/>
      </c>
      <c r="L30" s="580" t="str">
        <f>IF(H30="Select ingredient:","",IF(G30="","",_xlfn.IFNA(VLOOKUP($H30,Ingredient_prices!$E:$U,16,FALSE),0)))</f>
        <v/>
      </c>
      <c r="M30" s="591"/>
      <c r="N30" s="591"/>
      <c r="O30" s="591"/>
      <c r="P30" s="592"/>
      <c r="Q30" s="583">
        <f t="shared" si="44"/>
        <v>0</v>
      </c>
      <c r="R30" s="583">
        <f>VLOOKUP($H30,'CO2_emission+%_food_waste'!$A:$K,6,FALSE)*$Q30/100</f>
        <v>0</v>
      </c>
      <c r="S30" s="583">
        <f t="shared" si="42"/>
        <v>0</v>
      </c>
      <c r="T30" s="583" t="str">
        <f>IF(H30="Select ingredient:","",IF(G30="Select food category:","",_xlfn.IFNA(VLOOKUP($H30,Ingredient_prices!$E:$U,16,FALSE)*$Q30/1000,"not bought")))</f>
        <v/>
      </c>
      <c r="U30" s="583" t="str">
        <f>IF(G30="Select food category:","",_xlfn.IFNA(VLOOKUP($H30,Ingredient_prices!$E:$U,16,FALSE)*$R30/1000,"not bought"))</f>
        <v/>
      </c>
      <c r="V30" s="549">
        <f>VLOOKUP($H30,'CO2_emission+%_food_waste'!$A:$K,4,FALSE)*$Q30</f>
        <v>0</v>
      </c>
      <c r="W30" s="583">
        <f>VLOOKUP($H30,Nutrition_tables!$A:$N,10,FALSE)*$Q30/100</f>
        <v>0</v>
      </c>
      <c r="X30" s="583">
        <f>VLOOKUP($H30,Nutrition_tables!$A:$N,11,FALSE)*$Q30/100</f>
        <v>0</v>
      </c>
      <c r="Y30" s="583">
        <f>VLOOKUP($H30,Nutrition_tables!$A:$N,12,FALSE)*$Q30/100</f>
        <v>0</v>
      </c>
      <c r="Z30" s="583">
        <f>VLOOKUP($H30,Nutrition_tables!$A:$N,14,FALSE)*$Q30/100</f>
        <v>0</v>
      </c>
      <c r="AA30" s="583">
        <f>VLOOKUP($H30,Nutrition_tables!$A:$AF,13,FALSE)*$Q30/100</f>
        <v>0</v>
      </c>
      <c r="AB30" s="549">
        <f>VLOOKUP($H30,Nutrition_tables!$A:$AF,15,FALSE)*$Q30/100</f>
        <v>0</v>
      </c>
      <c r="AC30" s="583">
        <f>VLOOKUP($H30,Nutrition_tables!$A:$AF,16,FALSE)*$Q30/100</f>
        <v>0</v>
      </c>
      <c r="AD30" s="583">
        <f>VLOOKUP($H30,Nutrition_tables!$A:$AF,17,FALSE)*$Q30/100</f>
        <v>0</v>
      </c>
      <c r="AE30" s="583">
        <f>VLOOKUP($H30,Nutrition_tables!$A:$AF,18,FALSE)*$Q30/100</f>
        <v>0</v>
      </c>
      <c r="AF30" s="583">
        <f>VLOOKUP($H30,Nutrition_tables!$A:$AF,19,FALSE)*$Q30/100</f>
        <v>0</v>
      </c>
      <c r="AG30" s="583">
        <f>VLOOKUP($H30,Nutrition_tables!$A:$AF,20,FALSE)*$Q30/100</f>
        <v>0</v>
      </c>
      <c r="AH30" s="583">
        <f>VLOOKUP($H30,Nutrition_tables!$A:$AF,21,FALSE)*$Q30/100</f>
        <v>0</v>
      </c>
      <c r="AI30" s="583">
        <f>VLOOKUP($H30,Nutrition_tables!$A:$AF,22,FALSE)*$Q30/100</f>
        <v>0</v>
      </c>
      <c r="AJ30" s="549">
        <f>VLOOKUP($H30,Nutrition_tables!$A:$AF,23,FALSE)*$Q30/100</f>
        <v>0</v>
      </c>
      <c r="AK30" s="583">
        <f>VLOOKUP($H30,Nutrition_tables!$A:$AF,24,FALSE)*$Q30/100</f>
        <v>0</v>
      </c>
      <c r="AL30" s="583">
        <f>VLOOKUP($H30,Nutrition_tables!$A:$AF,25,FALSE)*$Q30/100</f>
        <v>0</v>
      </c>
      <c r="AM30" s="583">
        <f>VLOOKUP($H30,Nutrition_tables!$A:$AF,26,FALSE)*$Q30/100</f>
        <v>0</v>
      </c>
      <c r="AN30" s="583">
        <f>VLOOKUP($H30,Nutrition_tables!$A:$AF,27,FALSE)*$Q30/100</f>
        <v>0</v>
      </c>
      <c r="AO30" s="583">
        <f>VLOOKUP($H30,Nutrition_tables!$A:$AF,28,FALSE)*$Q30/100</f>
        <v>0</v>
      </c>
      <c r="AP30" s="583">
        <f>VLOOKUP($H30,Nutrition_tables!$A:$AF,29,FALSE)*$Q30/100</f>
        <v>0</v>
      </c>
      <c r="AQ30" s="583">
        <f>VLOOKUP($H30,Nutrition_tables!$A:$AF,30,FALSE)*$Q30/100</f>
        <v>0</v>
      </c>
      <c r="AR30" s="583">
        <f>VLOOKUP($H30,Nutrition_tables!$A:$AF,31,FALSE)*$Q30/100</f>
        <v>0</v>
      </c>
      <c r="AS30" s="549">
        <f>VLOOKUP($H30,Nutrition_tables!$A:$AF,32,FALSE)*$Q30/100</f>
        <v>0</v>
      </c>
      <c r="AT30" s="583" t="str">
        <f>IF(H30="Select ingredient:","",IF(G30="Select food category:","",IFERROR(VLOOKUP($H30,Ingredient_prices!$E:$W,17,FALSE)*$Q30/1000,"not bought")))</f>
        <v/>
      </c>
      <c r="AU30" s="583" t="str">
        <f>IF(H30="Select ingredient:","",IF(G30="Select food category:","",IFERROR(VLOOKUP($H30,Ingredient_prices!$E:$W,18,FALSE)*$Q30/1000,"not bought")))</f>
        <v/>
      </c>
      <c r="AV30" s="583">
        <f t="shared" si="19"/>
        <v>0</v>
      </c>
      <c r="AW30" s="583">
        <f t="shared" si="20"/>
        <v>0</v>
      </c>
      <c r="AX30" s="583">
        <f t="shared" si="21"/>
        <v>0</v>
      </c>
      <c r="AY30" s="583">
        <f t="shared" si="22"/>
        <v>0</v>
      </c>
      <c r="AZ30" s="583">
        <f t="shared" si="23"/>
        <v>0</v>
      </c>
      <c r="BA30" s="583">
        <f t="shared" si="24"/>
        <v>0</v>
      </c>
      <c r="BB30" s="583">
        <f t="shared" si="25"/>
        <v>0</v>
      </c>
      <c r="BC30" s="583">
        <f t="shared" si="26"/>
        <v>0</v>
      </c>
      <c r="BD30" s="583">
        <f t="shared" si="45"/>
        <v>0</v>
      </c>
      <c r="BE30" s="583">
        <f t="shared" si="45"/>
        <v>0</v>
      </c>
      <c r="BF30" s="583">
        <f t="shared" si="45"/>
        <v>0</v>
      </c>
      <c r="BG30" s="583">
        <f t="shared" si="45"/>
        <v>0</v>
      </c>
      <c r="BH30" s="583">
        <f t="shared" si="45"/>
        <v>0</v>
      </c>
      <c r="BI30" s="583">
        <f t="shared" si="45"/>
        <v>0</v>
      </c>
      <c r="BJ30" s="583">
        <f t="shared" si="45"/>
        <v>0</v>
      </c>
      <c r="BK30" s="583">
        <f t="shared" si="46"/>
        <v>0</v>
      </c>
      <c r="BL30" s="583">
        <f t="shared" si="47"/>
        <v>0</v>
      </c>
      <c r="BM30" s="583">
        <f t="shared" si="47"/>
        <v>0</v>
      </c>
      <c r="BN30" s="583">
        <f t="shared" si="47"/>
        <v>0</v>
      </c>
      <c r="BO30" s="583">
        <f t="shared" si="47"/>
        <v>0</v>
      </c>
      <c r="BP30" s="583">
        <f t="shared" si="47"/>
        <v>0</v>
      </c>
      <c r="BQ30" s="583">
        <f t="shared" si="47"/>
        <v>0</v>
      </c>
      <c r="BR30" s="583">
        <f t="shared" si="47"/>
        <v>0</v>
      </c>
    </row>
    <row r="31" spans="1:70" s="603" customFormat="1" ht="56">
      <c r="A31" s="590"/>
      <c r="B31" s="593"/>
      <c r="C31" s="522"/>
      <c r="D31" s="141"/>
      <c r="E31" s="594"/>
      <c r="F31" s="708"/>
      <c r="G31" s="594"/>
      <c r="H31" s="594"/>
      <c r="I31" s="92"/>
      <c r="J31" s="87"/>
      <c r="K31" s="595"/>
      <c r="L31" s="596"/>
      <c r="M31" s="597"/>
      <c r="N31" s="597"/>
      <c r="O31" s="597"/>
      <c r="P31" s="598"/>
      <c r="Q31" s="599" t="s">
        <v>384</v>
      </c>
      <c r="R31" s="600" t="s">
        <v>455</v>
      </c>
      <c r="S31" s="600" t="s">
        <v>2087</v>
      </c>
      <c r="T31" s="600" t="s">
        <v>456</v>
      </c>
      <c r="U31" s="600" t="s">
        <v>535</v>
      </c>
      <c r="V31" s="601" t="s">
        <v>457</v>
      </c>
      <c r="W31" s="600" t="s">
        <v>75</v>
      </c>
      <c r="X31" s="600" t="s">
        <v>385</v>
      </c>
      <c r="Y31" s="600" t="s">
        <v>386</v>
      </c>
      <c r="Z31" s="600" t="s">
        <v>387</v>
      </c>
      <c r="AA31" s="600" t="s">
        <v>388</v>
      </c>
      <c r="AB31" s="601" t="s">
        <v>389</v>
      </c>
      <c r="AC31" s="602" t="s">
        <v>390</v>
      </c>
      <c r="AD31" s="600" t="s">
        <v>391</v>
      </c>
      <c r="AE31" s="600" t="s">
        <v>392</v>
      </c>
      <c r="AF31" s="600" t="s">
        <v>393</v>
      </c>
      <c r="AG31" s="600" t="s">
        <v>394</v>
      </c>
      <c r="AH31" s="600" t="s">
        <v>395</v>
      </c>
      <c r="AI31" s="600" t="s">
        <v>396</v>
      </c>
      <c r="AJ31" s="601" t="s">
        <v>397</v>
      </c>
      <c r="AK31" s="602" t="s">
        <v>398</v>
      </c>
      <c r="AL31" s="600" t="s">
        <v>399</v>
      </c>
      <c r="AM31" s="600" t="s">
        <v>400</v>
      </c>
      <c r="AN31" s="600" t="s">
        <v>401</v>
      </c>
      <c r="AO31" s="600" t="s">
        <v>402</v>
      </c>
      <c r="AP31" s="600" t="s">
        <v>406</v>
      </c>
      <c r="AQ31" s="600" t="s">
        <v>405</v>
      </c>
      <c r="AR31" s="600" t="s">
        <v>403</v>
      </c>
      <c r="AS31" s="601" t="s">
        <v>404</v>
      </c>
      <c r="AT31" s="593"/>
      <c r="AU31" s="593"/>
    </row>
    <row r="32" spans="1:70" s="229" customFormat="1">
      <c r="A32" s="590"/>
      <c r="B32" s="522"/>
      <c r="C32" s="522"/>
      <c r="D32" s="141"/>
      <c r="E32" s="594"/>
      <c r="F32" s="708"/>
      <c r="G32" s="594"/>
      <c r="H32" s="594"/>
      <c r="I32" s="92"/>
      <c r="J32" s="87"/>
      <c r="K32" s="595"/>
      <c r="L32" s="596"/>
      <c r="M32" s="597"/>
      <c r="N32" s="597"/>
      <c r="O32" s="605"/>
      <c r="P32" s="606" t="s">
        <v>383</v>
      </c>
      <c r="Q32" s="583">
        <f t="shared" ref="Q32:AS32" si="48">SUM(Q11:Q30)</f>
        <v>0</v>
      </c>
      <c r="R32" s="583">
        <f t="shared" si="48"/>
        <v>0</v>
      </c>
      <c r="S32" s="583">
        <f t="shared" si="48"/>
        <v>0</v>
      </c>
      <c r="T32" s="583">
        <f t="shared" si="48"/>
        <v>0</v>
      </c>
      <c r="U32" s="583">
        <f t="shared" si="48"/>
        <v>0</v>
      </c>
      <c r="V32" s="549">
        <f t="shared" si="48"/>
        <v>0</v>
      </c>
      <c r="W32" s="583">
        <f t="shared" si="48"/>
        <v>0</v>
      </c>
      <c r="X32" s="583">
        <f t="shared" si="48"/>
        <v>0</v>
      </c>
      <c r="Y32" s="583">
        <f t="shared" si="48"/>
        <v>0</v>
      </c>
      <c r="Z32" s="583">
        <f t="shared" si="48"/>
        <v>0</v>
      </c>
      <c r="AA32" s="583">
        <f t="shared" si="48"/>
        <v>0</v>
      </c>
      <c r="AB32" s="549">
        <f t="shared" si="48"/>
        <v>0</v>
      </c>
      <c r="AC32" s="583">
        <f t="shared" si="48"/>
        <v>0</v>
      </c>
      <c r="AD32" s="583">
        <f t="shared" si="48"/>
        <v>0</v>
      </c>
      <c r="AE32" s="583">
        <f t="shared" si="48"/>
        <v>0</v>
      </c>
      <c r="AF32" s="583">
        <f t="shared" si="48"/>
        <v>0</v>
      </c>
      <c r="AG32" s="583">
        <f t="shared" si="48"/>
        <v>0</v>
      </c>
      <c r="AH32" s="583">
        <f t="shared" si="48"/>
        <v>0</v>
      </c>
      <c r="AI32" s="583">
        <f t="shared" si="48"/>
        <v>0</v>
      </c>
      <c r="AJ32" s="549">
        <f t="shared" si="48"/>
        <v>0</v>
      </c>
      <c r="AK32" s="583">
        <f t="shared" si="48"/>
        <v>0</v>
      </c>
      <c r="AL32" s="583">
        <f t="shared" si="48"/>
        <v>0</v>
      </c>
      <c r="AM32" s="583">
        <f t="shared" si="48"/>
        <v>0</v>
      </c>
      <c r="AN32" s="583">
        <f t="shared" si="48"/>
        <v>0</v>
      </c>
      <c r="AO32" s="583">
        <f t="shared" si="48"/>
        <v>0</v>
      </c>
      <c r="AP32" s="583">
        <f t="shared" si="48"/>
        <v>0</v>
      </c>
      <c r="AQ32" s="583">
        <f t="shared" si="48"/>
        <v>0</v>
      </c>
      <c r="AR32" s="583">
        <f t="shared" si="48"/>
        <v>0</v>
      </c>
      <c r="AS32" s="549">
        <f t="shared" si="48"/>
        <v>0</v>
      </c>
      <c r="AT32" s="583">
        <f t="shared" ref="AT32:AU32" si="49">SUM(AT11:AT30)</f>
        <v>0</v>
      </c>
      <c r="AU32" s="583">
        <f t="shared" si="49"/>
        <v>0</v>
      </c>
      <c r="AV32" s="583">
        <f>SUM(AV11:AV30)</f>
        <v>0</v>
      </c>
      <c r="AW32" s="583">
        <f t="shared" ref="AW32:BR32" si="50">SUM(AW11:AW30)</f>
        <v>0</v>
      </c>
      <c r="AX32" s="583">
        <f t="shared" si="50"/>
        <v>0</v>
      </c>
      <c r="AY32" s="583">
        <f t="shared" si="50"/>
        <v>0</v>
      </c>
      <c r="AZ32" s="583">
        <f t="shared" si="50"/>
        <v>0</v>
      </c>
      <c r="BA32" s="583">
        <f t="shared" si="50"/>
        <v>0</v>
      </c>
      <c r="BB32" s="583">
        <f t="shared" si="50"/>
        <v>0</v>
      </c>
      <c r="BC32" s="583">
        <f t="shared" si="50"/>
        <v>0</v>
      </c>
      <c r="BD32" s="583">
        <f t="shared" si="50"/>
        <v>0</v>
      </c>
      <c r="BE32" s="583">
        <f t="shared" si="50"/>
        <v>0</v>
      </c>
      <c r="BF32" s="583">
        <f t="shared" si="50"/>
        <v>0</v>
      </c>
      <c r="BG32" s="583">
        <f t="shared" si="50"/>
        <v>0</v>
      </c>
      <c r="BH32" s="583">
        <f t="shared" si="50"/>
        <v>0</v>
      </c>
      <c r="BI32" s="583">
        <f t="shared" si="50"/>
        <v>0</v>
      </c>
      <c r="BJ32" s="583">
        <f t="shared" si="50"/>
        <v>0</v>
      </c>
      <c r="BK32" s="583">
        <f t="shared" si="50"/>
        <v>0</v>
      </c>
      <c r="BL32" s="583">
        <f t="shared" si="50"/>
        <v>0</v>
      </c>
      <c r="BM32" s="583">
        <f t="shared" si="50"/>
        <v>0</v>
      </c>
      <c r="BN32" s="583">
        <f t="shared" si="50"/>
        <v>0</v>
      </c>
      <c r="BO32" s="583">
        <f t="shared" si="50"/>
        <v>0</v>
      </c>
      <c r="BP32" s="583">
        <f t="shared" si="50"/>
        <v>0</v>
      </c>
      <c r="BQ32" s="583">
        <f t="shared" si="50"/>
        <v>0</v>
      </c>
      <c r="BR32" s="583">
        <f t="shared" si="50"/>
        <v>0</v>
      </c>
    </row>
    <row r="33" spans="1:70" s="229" customFormat="1">
      <c r="A33" s="590"/>
      <c r="B33" s="522"/>
      <c r="C33" s="522"/>
      <c r="D33" s="141"/>
      <c r="E33" s="594"/>
      <c r="F33" s="708"/>
      <c r="G33" s="594"/>
      <c r="H33" s="594"/>
      <c r="I33" s="92"/>
      <c r="J33" s="87"/>
      <c r="K33" s="595"/>
      <c r="L33" s="596"/>
      <c r="M33" s="597"/>
      <c r="N33" s="597"/>
      <c r="O33" s="605"/>
      <c r="P33" s="606" t="s">
        <v>538</v>
      </c>
      <c r="V33" s="526"/>
      <c r="W33" s="229">
        <v>649.25</v>
      </c>
      <c r="X33" s="229">
        <v>81.199999999999989</v>
      </c>
      <c r="Y33" s="229">
        <v>20.299999999999997</v>
      </c>
      <c r="Z33" s="229">
        <v>21.7</v>
      </c>
      <c r="AA33" s="229">
        <v>6.6499999999999995</v>
      </c>
      <c r="AB33" s="526">
        <v>7</v>
      </c>
      <c r="AC33" s="229">
        <v>482.99999999999994</v>
      </c>
      <c r="AD33" s="229">
        <v>630</v>
      </c>
      <c r="AE33" s="229">
        <v>315</v>
      </c>
      <c r="AF33" s="229">
        <v>59.499999999999993</v>
      </c>
      <c r="AG33" s="229">
        <v>280</v>
      </c>
      <c r="AH33" s="229">
        <v>3.5</v>
      </c>
      <c r="AI33" s="229">
        <v>2.4499999999999997</v>
      </c>
      <c r="AJ33" s="526">
        <v>0.4375</v>
      </c>
      <c r="AK33" s="229">
        <v>280</v>
      </c>
      <c r="AL33" s="229">
        <v>0.35</v>
      </c>
      <c r="AM33" s="229">
        <v>0.38500000000000001</v>
      </c>
      <c r="AN33" s="229">
        <v>4.1999999999999993</v>
      </c>
      <c r="AO33" s="229">
        <v>0.24499999999999997</v>
      </c>
      <c r="AP33" s="229">
        <v>105</v>
      </c>
      <c r="AQ33" s="229">
        <v>0.63</v>
      </c>
      <c r="AR33" s="229">
        <v>28</v>
      </c>
      <c r="AS33" s="526">
        <v>1.75</v>
      </c>
      <c r="AV33" s="229">
        <v>649.25</v>
      </c>
      <c r="AW33" s="229">
        <v>81.199999999999989</v>
      </c>
      <c r="AX33" s="229">
        <v>20.299999999999997</v>
      </c>
      <c r="AY33" s="229">
        <v>21.7</v>
      </c>
      <c r="AZ33" s="229">
        <v>6.6499999999999995</v>
      </c>
      <c r="BA33" s="526">
        <v>7</v>
      </c>
      <c r="BB33" s="229">
        <v>482.99999999999994</v>
      </c>
      <c r="BC33" s="229">
        <v>630</v>
      </c>
      <c r="BD33" s="229">
        <v>315</v>
      </c>
      <c r="BE33" s="229">
        <v>59.499999999999993</v>
      </c>
      <c r="BF33" s="229">
        <v>280</v>
      </c>
      <c r="BG33" s="229">
        <v>3.5</v>
      </c>
      <c r="BH33" s="229">
        <v>2.4499999999999997</v>
      </c>
      <c r="BI33" s="526">
        <v>0.4375</v>
      </c>
      <c r="BJ33" s="229">
        <v>280</v>
      </c>
      <c r="BK33" s="229">
        <v>0.35</v>
      </c>
      <c r="BL33" s="229">
        <v>0.38500000000000001</v>
      </c>
      <c r="BM33" s="229">
        <v>4.1999999999999993</v>
      </c>
      <c r="BN33" s="229">
        <v>0.24499999999999997</v>
      </c>
      <c r="BO33" s="229">
        <v>105</v>
      </c>
      <c r="BP33" s="229">
        <v>0.63</v>
      </c>
      <c r="BQ33" s="229">
        <v>28</v>
      </c>
      <c r="BR33" s="526">
        <v>1.75</v>
      </c>
    </row>
    <row r="34" spans="1:70" s="229" customFormat="1">
      <c r="A34" s="590"/>
      <c r="B34" s="522"/>
      <c r="C34" s="522"/>
      <c r="D34" s="141"/>
      <c r="E34" s="594"/>
      <c r="F34" s="708"/>
      <c r="G34" s="594"/>
      <c r="H34" s="594"/>
      <c r="I34" s="92"/>
      <c r="J34" s="87"/>
      <c r="K34" s="595"/>
      <c r="L34" s="596"/>
      <c r="M34" s="597"/>
      <c r="N34" s="597"/>
      <c r="O34" s="605"/>
      <c r="P34" s="606" t="s">
        <v>407</v>
      </c>
      <c r="V34" s="526"/>
      <c r="W34" s="514">
        <f t="shared" ref="W34:AS34" si="51">100*W32/W33</f>
        <v>0</v>
      </c>
      <c r="X34" s="514">
        <f t="shared" si="51"/>
        <v>0</v>
      </c>
      <c r="Y34" s="514">
        <f t="shared" si="51"/>
        <v>0</v>
      </c>
      <c r="Z34" s="514">
        <f t="shared" si="51"/>
        <v>0</v>
      </c>
      <c r="AA34" s="514">
        <f t="shared" si="51"/>
        <v>0</v>
      </c>
      <c r="AB34" s="506">
        <f t="shared" si="51"/>
        <v>0</v>
      </c>
      <c r="AC34" s="514">
        <f t="shared" si="51"/>
        <v>0</v>
      </c>
      <c r="AD34" s="514">
        <f t="shared" si="51"/>
        <v>0</v>
      </c>
      <c r="AE34" s="514">
        <f t="shared" si="51"/>
        <v>0</v>
      </c>
      <c r="AF34" s="514">
        <f t="shared" si="51"/>
        <v>0</v>
      </c>
      <c r="AG34" s="514">
        <f t="shared" si="51"/>
        <v>0</v>
      </c>
      <c r="AH34" s="514">
        <f t="shared" si="51"/>
        <v>0</v>
      </c>
      <c r="AI34" s="514">
        <f t="shared" si="51"/>
        <v>0</v>
      </c>
      <c r="AJ34" s="506">
        <f t="shared" si="51"/>
        <v>0</v>
      </c>
      <c r="AK34" s="514">
        <f t="shared" si="51"/>
        <v>0</v>
      </c>
      <c r="AL34" s="514">
        <f t="shared" si="51"/>
        <v>0</v>
      </c>
      <c r="AM34" s="514">
        <f t="shared" si="51"/>
        <v>0</v>
      </c>
      <c r="AN34" s="514">
        <f t="shared" si="51"/>
        <v>0</v>
      </c>
      <c r="AO34" s="514">
        <f t="shared" si="51"/>
        <v>0</v>
      </c>
      <c r="AP34" s="514">
        <f t="shared" si="51"/>
        <v>0</v>
      </c>
      <c r="AQ34" s="514">
        <f t="shared" si="51"/>
        <v>0</v>
      </c>
      <c r="AR34" s="514">
        <f t="shared" si="51"/>
        <v>0</v>
      </c>
      <c r="AS34" s="506">
        <f t="shared" si="51"/>
        <v>0</v>
      </c>
      <c r="AV34" s="514">
        <f t="shared" ref="AV34:BR34" si="52">100*AV32/AV33</f>
        <v>0</v>
      </c>
      <c r="AW34" s="514">
        <f t="shared" si="52"/>
        <v>0</v>
      </c>
      <c r="AX34" s="514">
        <f t="shared" si="52"/>
        <v>0</v>
      </c>
      <c r="AY34" s="514">
        <f t="shared" si="52"/>
        <v>0</v>
      </c>
      <c r="AZ34" s="514">
        <f t="shared" si="52"/>
        <v>0</v>
      </c>
      <c r="BA34" s="506">
        <f t="shared" si="52"/>
        <v>0</v>
      </c>
      <c r="BB34" s="514">
        <f t="shared" si="52"/>
        <v>0</v>
      </c>
      <c r="BC34" s="514">
        <f t="shared" si="52"/>
        <v>0</v>
      </c>
      <c r="BD34" s="514">
        <f t="shared" si="52"/>
        <v>0</v>
      </c>
      <c r="BE34" s="514">
        <f t="shared" si="52"/>
        <v>0</v>
      </c>
      <c r="BF34" s="514">
        <f t="shared" si="52"/>
        <v>0</v>
      </c>
      <c r="BG34" s="514">
        <f t="shared" si="52"/>
        <v>0</v>
      </c>
      <c r="BH34" s="514">
        <f t="shared" si="52"/>
        <v>0</v>
      </c>
      <c r="BI34" s="506">
        <f t="shared" si="52"/>
        <v>0</v>
      </c>
      <c r="BJ34" s="514">
        <f t="shared" si="52"/>
        <v>0</v>
      </c>
      <c r="BK34" s="514">
        <f t="shared" si="52"/>
        <v>0</v>
      </c>
      <c r="BL34" s="514">
        <f t="shared" si="52"/>
        <v>0</v>
      </c>
      <c r="BM34" s="514">
        <f t="shared" si="52"/>
        <v>0</v>
      </c>
      <c r="BN34" s="514">
        <f t="shared" si="52"/>
        <v>0</v>
      </c>
      <c r="BO34" s="514">
        <f t="shared" si="52"/>
        <v>0</v>
      </c>
      <c r="BP34" s="514">
        <f t="shared" si="52"/>
        <v>0</v>
      </c>
      <c r="BQ34" s="514">
        <f t="shared" si="52"/>
        <v>0</v>
      </c>
      <c r="BR34" s="506">
        <f t="shared" si="52"/>
        <v>0</v>
      </c>
    </row>
    <row r="35" spans="1:70" s="229" customFormat="1">
      <c r="A35" s="590"/>
      <c r="B35" s="522"/>
      <c r="C35" s="522"/>
      <c r="D35" s="141"/>
      <c r="E35" s="594"/>
      <c r="F35" s="708"/>
      <c r="G35" s="594"/>
      <c r="H35" s="594"/>
      <c r="I35" s="92"/>
      <c r="J35" s="87"/>
      <c r="K35" s="595"/>
      <c r="L35" s="596"/>
      <c r="M35" s="597"/>
      <c r="N35" s="597"/>
      <c r="O35" s="605"/>
      <c r="P35" s="606" t="s">
        <v>548</v>
      </c>
      <c r="V35" s="526"/>
      <c r="W35" s="583">
        <f>AV32</f>
        <v>0</v>
      </c>
      <c r="X35" s="583">
        <f t="shared" ref="X35:AM35" si="53">AW32</f>
        <v>0</v>
      </c>
      <c r="Y35" s="583">
        <f t="shared" si="53"/>
        <v>0</v>
      </c>
      <c r="Z35" s="583">
        <f t="shared" si="53"/>
        <v>0</v>
      </c>
      <c r="AA35" s="583">
        <f t="shared" si="53"/>
        <v>0</v>
      </c>
      <c r="AB35" s="549">
        <f t="shared" si="53"/>
        <v>0</v>
      </c>
      <c r="AC35" s="583">
        <f t="shared" si="53"/>
        <v>0</v>
      </c>
      <c r="AD35" s="583">
        <f t="shared" si="53"/>
        <v>0</v>
      </c>
      <c r="AE35" s="583">
        <f t="shared" si="53"/>
        <v>0</v>
      </c>
      <c r="AF35" s="583">
        <f t="shared" si="53"/>
        <v>0</v>
      </c>
      <c r="AG35" s="583">
        <f t="shared" si="53"/>
        <v>0</v>
      </c>
      <c r="AH35" s="583">
        <f t="shared" si="53"/>
        <v>0</v>
      </c>
      <c r="AI35" s="583">
        <f t="shared" si="53"/>
        <v>0</v>
      </c>
      <c r="AJ35" s="549">
        <f t="shared" si="53"/>
        <v>0</v>
      </c>
      <c r="AK35" s="583">
        <f t="shared" si="53"/>
        <v>0</v>
      </c>
      <c r="AL35" s="583">
        <f t="shared" si="53"/>
        <v>0</v>
      </c>
      <c r="AM35" s="583">
        <f t="shared" si="53"/>
        <v>0</v>
      </c>
      <c r="AN35" s="583">
        <f>BM32</f>
        <v>0</v>
      </c>
      <c r="AO35" s="583">
        <f t="shared" ref="AO35:AR35" si="54">BN32</f>
        <v>0</v>
      </c>
      <c r="AP35" s="583">
        <f t="shared" si="54"/>
        <v>0</v>
      </c>
      <c r="AQ35" s="583">
        <f t="shared" si="54"/>
        <v>0</v>
      </c>
      <c r="AR35" s="583">
        <f t="shared" si="54"/>
        <v>0</v>
      </c>
      <c r="AS35" s="549">
        <f>BR32</f>
        <v>0</v>
      </c>
    </row>
    <row r="36" spans="1:70" s="229" customFormat="1">
      <c r="A36" s="590"/>
      <c r="B36" s="522"/>
      <c r="C36" s="522"/>
      <c r="D36" s="141"/>
      <c r="E36" s="594"/>
      <c r="F36" s="708"/>
      <c r="G36" s="594"/>
      <c r="H36" s="594"/>
      <c r="I36" s="92"/>
      <c r="J36" s="87"/>
      <c r="K36" s="595"/>
      <c r="L36" s="596"/>
      <c r="M36" s="597"/>
      <c r="N36" s="597"/>
      <c r="O36" s="605"/>
      <c r="P36" s="606" t="s">
        <v>543</v>
      </c>
      <c r="V36" s="526"/>
      <c r="W36" s="514">
        <f t="shared" ref="W36:AS36" si="55">AV34</f>
        <v>0</v>
      </c>
      <c r="X36" s="514">
        <f t="shared" si="55"/>
        <v>0</v>
      </c>
      <c r="Y36" s="514">
        <f t="shared" si="55"/>
        <v>0</v>
      </c>
      <c r="Z36" s="514">
        <f t="shared" si="55"/>
        <v>0</v>
      </c>
      <c r="AA36" s="514">
        <f t="shared" si="55"/>
        <v>0</v>
      </c>
      <c r="AB36" s="506">
        <f t="shared" si="55"/>
        <v>0</v>
      </c>
      <c r="AC36" s="514">
        <f t="shared" si="55"/>
        <v>0</v>
      </c>
      <c r="AD36" s="514">
        <f t="shared" si="55"/>
        <v>0</v>
      </c>
      <c r="AE36" s="514">
        <f t="shared" si="55"/>
        <v>0</v>
      </c>
      <c r="AF36" s="514">
        <f t="shared" si="55"/>
        <v>0</v>
      </c>
      <c r="AG36" s="514">
        <f t="shared" si="55"/>
        <v>0</v>
      </c>
      <c r="AH36" s="514">
        <f t="shared" si="55"/>
        <v>0</v>
      </c>
      <c r="AI36" s="514">
        <f t="shared" si="55"/>
        <v>0</v>
      </c>
      <c r="AJ36" s="506">
        <f t="shared" si="55"/>
        <v>0</v>
      </c>
      <c r="AK36" s="514">
        <f t="shared" si="55"/>
        <v>0</v>
      </c>
      <c r="AL36" s="514">
        <f t="shared" si="55"/>
        <v>0</v>
      </c>
      <c r="AM36" s="514">
        <f t="shared" si="55"/>
        <v>0</v>
      </c>
      <c r="AN36" s="514">
        <f t="shared" si="55"/>
        <v>0</v>
      </c>
      <c r="AO36" s="514">
        <f t="shared" si="55"/>
        <v>0</v>
      </c>
      <c r="AP36" s="514">
        <f t="shared" si="55"/>
        <v>0</v>
      </c>
      <c r="AQ36" s="514">
        <f t="shared" si="55"/>
        <v>0</v>
      </c>
      <c r="AR36" s="514">
        <f t="shared" si="55"/>
        <v>0</v>
      </c>
      <c r="AS36" s="506">
        <f t="shared" si="55"/>
        <v>0</v>
      </c>
      <c r="AV36" s="514"/>
      <c r="AW36" s="514"/>
      <c r="AX36" s="514"/>
      <c r="AY36" s="514"/>
      <c r="AZ36" s="514"/>
      <c r="BA36" s="505"/>
      <c r="BB36" s="514"/>
      <c r="BC36" s="514"/>
      <c r="BD36" s="514"/>
      <c r="BE36" s="514"/>
      <c r="BF36" s="514"/>
      <c r="BG36" s="514"/>
      <c r="BH36" s="514"/>
      <c r="BI36" s="505"/>
      <c r="BJ36" s="514"/>
      <c r="BK36" s="514"/>
      <c r="BL36" s="514"/>
      <c r="BM36" s="514"/>
      <c r="BN36" s="514"/>
      <c r="BO36" s="514"/>
      <c r="BP36" s="514"/>
      <c r="BQ36" s="514"/>
      <c r="BR36" s="505"/>
    </row>
    <row r="37" spans="1:70" s="229" customFormat="1" ht="16" thickBot="1">
      <c r="A37" s="590"/>
      <c r="B37" s="607"/>
      <c r="C37" s="607"/>
      <c r="D37" s="683"/>
      <c r="E37" s="608"/>
      <c r="F37" s="709"/>
      <c r="G37" s="609" t="s">
        <v>795</v>
      </c>
      <c r="H37" s="610"/>
      <c r="I37" s="93"/>
      <c r="J37" s="93"/>
      <c r="K37" s="607"/>
      <c r="L37" s="611"/>
      <c r="M37" s="611"/>
      <c r="N37" s="611"/>
      <c r="O37" s="605"/>
      <c r="P37" s="607"/>
      <c r="Q37" s="607"/>
      <c r="R37" s="607"/>
      <c r="S37" s="607"/>
      <c r="T37" s="607"/>
      <c r="U37" s="612"/>
      <c r="V37" s="613"/>
      <c r="W37" s="607"/>
      <c r="X37" s="607"/>
      <c r="Y37" s="607"/>
      <c r="Z37" s="607"/>
      <c r="AA37" s="614">
        <f>COUNTIF(AA38:AA49,"&lt;0")</f>
        <v>0</v>
      </c>
      <c r="AB37" s="614">
        <f t="shared" ref="AB37" si="56">COUNTIF(AB38:AB49,"&lt;0")</f>
        <v>0</v>
      </c>
      <c r="AC37" s="614">
        <f t="shared" ref="AC37" si="57">COUNTIF(AC38:AC49,"&lt;0")</f>
        <v>0</v>
      </c>
      <c r="AD37" s="614">
        <f t="shared" ref="AD37" si="58">COUNTIF(AD38:AD49,"&lt;0")</f>
        <v>0</v>
      </c>
      <c r="AE37" s="614">
        <f t="shared" ref="AE37" si="59">COUNTIF(AE38:AE49,"&lt;0")</f>
        <v>0</v>
      </c>
      <c r="AF37" s="614">
        <f t="shared" ref="AF37" si="60">COUNTIF(AF38:AF49,"&lt;0")</f>
        <v>0</v>
      </c>
      <c r="AG37" s="614">
        <f t="shared" ref="AG37" si="61">COUNTIF(AG38:AG49,"&lt;0")</f>
        <v>0</v>
      </c>
      <c r="AH37" s="614">
        <f t="shared" ref="AH37" si="62">COUNTIF(AH38:AH49,"&lt;0")</f>
        <v>0</v>
      </c>
      <c r="AI37" s="614">
        <f t="shared" ref="AI37" si="63">COUNTIF(AI38:AI49,"&lt;0")</f>
        <v>0</v>
      </c>
      <c r="AJ37" s="614">
        <f t="shared" ref="AJ37" si="64">COUNTIF(AJ38:AJ49,"&lt;0")</f>
        <v>0</v>
      </c>
      <c r="AK37" s="614">
        <f t="shared" ref="AK37" si="65">COUNTIF(AK38:AK49,"&lt;0")</f>
        <v>0</v>
      </c>
      <c r="AL37" s="614">
        <f t="shared" ref="AL37" si="66">COUNTIF(AL38:AL49,"&lt;0")</f>
        <v>0</v>
      </c>
      <c r="AM37" s="614">
        <f t="shared" ref="AM37" si="67">COUNTIF(AM38:AM49,"&lt;0")</f>
        <v>0</v>
      </c>
      <c r="AN37" s="614">
        <f t="shared" ref="AN37" si="68">COUNTIF(AN38:AN49,"&lt;0")</f>
        <v>0</v>
      </c>
      <c r="AO37" s="614">
        <f t="shared" ref="AO37" si="69">COUNTIF(AO38:AO49,"&lt;0")</f>
        <v>0</v>
      </c>
      <c r="AP37" s="614">
        <f t="shared" ref="AP37" si="70">COUNTIF(AP38:AP49,"&lt;0")</f>
        <v>0</v>
      </c>
      <c r="AQ37" s="614">
        <f t="shared" ref="AQ37" si="71">COUNTIF(AQ38:AQ49,"&lt;0")</f>
        <v>0</v>
      </c>
      <c r="AR37" s="614">
        <f t="shared" ref="AR37" si="72">COUNTIF(AR38:AR49,"&lt;0")</f>
        <v>0</v>
      </c>
      <c r="AS37" s="614">
        <f t="shared" ref="AS37" si="73">COUNTIF(AS38:AS49,"&lt;0")</f>
        <v>0</v>
      </c>
      <c r="AT37" s="607"/>
      <c r="AU37" s="607"/>
    </row>
    <row r="38" spans="1:70" s="229" customFormat="1" ht="15" customHeight="1" thickBot="1">
      <c r="A38" s="590"/>
      <c r="B38" s="575" t="s">
        <v>3064</v>
      </c>
      <c r="C38" s="229" t="s">
        <v>1362</v>
      </c>
      <c r="D38" s="85" t="s">
        <v>2740</v>
      </c>
      <c r="E38" s="577">
        <v>100</v>
      </c>
      <c r="F38" s="1131" t="s">
        <v>3932</v>
      </c>
      <c r="G38" s="406" t="s">
        <v>3085</v>
      </c>
      <c r="H38" s="578" t="s">
        <v>3450</v>
      </c>
      <c r="I38" s="85">
        <v>100</v>
      </c>
      <c r="J38" s="682">
        <v>1</v>
      </c>
      <c r="K38" s="579">
        <f>IF(I38&gt;0,1.1*Q38*E38/1000,"")</f>
        <v>11.000000000000002</v>
      </c>
      <c r="L38" s="580">
        <f>IF(H38="Select ingredient:","",IF(G38="","",_xlfn.IFNA(VLOOKUP($H38,Ingredient_prices!$E:$U,16,FALSE),0)))</f>
        <v>89.833333333333329</v>
      </c>
      <c r="M38" s="591"/>
      <c r="N38" s="1228">
        <f>$W51</f>
        <v>274.58136000000002</v>
      </c>
      <c r="O38" s="591"/>
      <c r="P38" s="592"/>
      <c r="Q38" s="583">
        <f>I38/J38</f>
        <v>100</v>
      </c>
      <c r="R38" s="583">
        <f>VLOOKUP($H38,'CO2_emission+%_food_waste'!$A:$K,6,FALSE)*$Q38/100</f>
        <v>4.5</v>
      </c>
      <c r="S38" s="583">
        <f t="shared" ref="S38:S49" si="74">Q38-R38</f>
        <v>95.5</v>
      </c>
      <c r="T38" s="583">
        <f>IF(H38="Select ingredient:","",IF(G38="Select food category:","",_xlfn.IFNA(VLOOKUP($H38,Ingredient_prices!$E:$U,16,FALSE)*$Q38/1000,"not bought")))</f>
        <v>8.9833333333333325</v>
      </c>
      <c r="U38" s="583">
        <f>IF(G38="Select food category:","",_xlfn.IFNA(VLOOKUP($H38,Ingredient_prices!$E:$U,16,FALSE)*$R38/1000,"not bought"))</f>
        <v>0.40425</v>
      </c>
      <c r="V38" s="549">
        <f>VLOOKUP($H38,'CO2_emission+%_food_waste'!$A:$K,4,FALSE)*$Q38</f>
        <v>202.99999999999997</v>
      </c>
      <c r="W38" s="583">
        <f>VLOOKUP($H38,Nutrition_tables!$A:$N,10,FALSE)*$Q38/100</f>
        <v>56</v>
      </c>
      <c r="X38" s="583">
        <f>VLOOKUP($H38,Nutrition_tables!$A:$N,11,FALSE)*$Q38/100</f>
        <v>3.2</v>
      </c>
      <c r="Y38" s="583">
        <f>VLOOKUP($H38,Nutrition_tables!$A:$N,12,FALSE)*$Q38/100</f>
        <v>3.7</v>
      </c>
      <c r="Z38" s="583">
        <f>VLOOKUP($H38,Nutrition_tables!$A:$N,14,FALSE)*$Q38/100</f>
        <v>2.9</v>
      </c>
      <c r="AA38" s="583">
        <f>VLOOKUP($H38,Nutrition_tables!$A:$AF,13,FALSE)*$Q38/100</f>
        <v>0</v>
      </c>
      <c r="AB38" s="549">
        <f>VLOOKUP($H38,Nutrition_tables!$A:$AF,15,FALSE)*$Q38/100</f>
        <v>1.9</v>
      </c>
      <c r="AC38" s="583">
        <f>VLOOKUP($H38,Nutrition_tables!$A:$AF,16,FALSE)*$Q38/100</f>
        <v>44</v>
      </c>
      <c r="AD38" s="583">
        <f>VLOOKUP($H38,Nutrition_tables!$A:$AF,17,FALSE)*$Q38/100</f>
        <v>162.00000000000003</v>
      </c>
      <c r="AE38" s="583">
        <f>VLOOKUP($H38,Nutrition_tables!$A:$AF,18,FALSE)*$Q38/100</f>
        <v>142</v>
      </c>
      <c r="AF38" s="583">
        <f>VLOOKUP($H38,Nutrition_tables!$A:$AF,19,FALSE)*$Q38/100</f>
        <v>12</v>
      </c>
      <c r="AG38" s="583">
        <f>VLOOKUP($H38,Nutrition_tables!$A:$AF,20,FALSE)*$Q38/100</f>
        <v>113</v>
      </c>
      <c r="AH38" s="583">
        <f>VLOOKUP($H38,Nutrition_tables!$A:$AF,21,FALSE)*$Q38/100</f>
        <v>0.04</v>
      </c>
      <c r="AI38" s="583">
        <f>VLOOKUP($H38,Nutrition_tables!$A:$AF,22,FALSE)*$Q38/100</f>
        <v>0.53</v>
      </c>
      <c r="AJ38" s="549">
        <f>VLOOKUP($H38,Nutrition_tables!$A:$AF,23,FALSE)*$Q38/100</f>
        <v>8.9999999999999993E-3</v>
      </c>
      <c r="AK38" s="583">
        <f>VLOOKUP($H38,Nutrition_tables!$A:$AF,24,FALSE)*$Q38/100</f>
        <v>32</v>
      </c>
      <c r="AL38" s="583">
        <f>VLOOKUP($H38,Nutrition_tables!$A:$AF,25,FALSE)*$Q38/100</f>
        <v>0.02</v>
      </c>
      <c r="AM38" s="583">
        <f>VLOOKUP($H38,Nutrition_tables!$A:$AF,26,FALSE)*$Q38/100</f>
        <v>0.17</v>
      </c>
      <c r="AN38" s="583">
        <f>VLOOKUP($H38,Nutrition_tables!$A:$AF,27,FALSE)*$Q38/100</f>
        <v>0.9</v>
      </c>
      <c r="AO38" s="583">
        <f>VLOOKUP($H38,Nutrition_tables!$A:$AF,28,FALSE)*$Q38/100</f>
        <v>3.3333333333333333E-2</v>
      </c>
      <c r="AP38" s="583">
        <f>VLOOKUP($H38,Nutrition_tables!$A:$AF,29,FALSE)*$Q38/100</f>
        <v>12.6</v>
      </c>
      <c r="AQ38" s="583">
        <f>VLOOKUP($H38,Nutrition_tables!$A:$AF,30,FALSE)*$Q38/100</f>
        <v>0.25</v>
      </c>
      <c r="AR38" s="583">
        <f>VLOOKUP($H38,Nutrition_tables!$A:$AF,31,FALSE)*$Q38/100</f>
        <v>0.5</v>
      </c>
      <c r="AS38" s="549">
        <f>VLOOKUP($H38,Nutrition_tables!$A:$AF,32,FALSE)*$Q38/100</f>
        <v>0.02</v>
      </c>
      <c r="AT38" s="583">
        <f>IF(H38="Select ingredient:","",IF(G38="Select food category:","",IFERROR(VLOOKUP($H38,Ingredient_prices!$E:$W,17,FALSE)*$Q38/1000,"not bought")))</f>
        <v>8.9833333333333325</v>
      </c>
      <c r="AU38" s="583">
        <f>IF(H38="Select ingredient:","",IF(G38="Select food category:","",IFERROR(VLOOKUP($H38,Ingredient_prices!$E:$W,18,FALSE)*$Q38/1000,"not bought")))</f>
        <v>8.9833333333333325</v>
      </c>
      <c r="AV38" s="583">
        <f t="shared" ref="AV38:AV49" si="75">W38*($Q38-$R38)/($Q38+0.00001)</f>
        <v>53.479994652000535</v>
      </c>
      <c r="AW38" s="583">
        <f t="shared" ref="AW38:AW49" si="76">X38*($Q38-$R38)/($Q38+0.00001)</f>
        <v>3.0559996944000307</v>
      </c>
      <c r="AX38" s="583">
        <f t="shared" ref="AX38:AX49" si="77">Y38*($Q38-$R38)/($Q38+0.00001)</f>
        <v>3.5334996466500352</v>
      </c>
      <c r="AY38" s="583">
        <f t="shared" ref="AY38:AY49" si="78">Z38*($Q38-$R38)/($Q38+0.00001)</f>
        <v>2.7694997230500276</v>
      </c>
      <c r="AZ38" s="583">
        <f t="shared" ref="AZ38:AZ49" si="79">AA38*($Q38-$R38)/($Q38+0.00001)</f>
        <v>0</v>
      </c>
      <c r="BA38" s="583">
        <f t="shared" ref="BA38:BA49" si="80">AB38*($Q38-$R38)/($Q38+0.00001)</f>
        <v>1.8144998185500181</v>
      </c>
      <c r="BB38" s="583">
        <f t="shared" ref="BB38:BB49" si="81">AC38*($Q38-$R38)/($Q38+0.00001)</f>
        <v>42.019995798000416</v>
      </c>
      <c r="BC38" s="583">
        <f t="shared" ref="BC38:BC49" si="82">AD38*($Q38-$R38)/($Q38+0.00001)</f>
        <v>154.70998452900156</v>
      </c>
      <c r="BD38" s="583">
        <f t="shared" ref="BD38:BD49" si="83">AE38*($Q38-$R38)/($Q38+0.00001)</f>
        <v>135.60998643900135</v>
      </c>
      <c r="BE38" s="583">
        <f t="shared" ref="BE38:BE49" si="84">AF38*($Q38-$R38)/($Q38+0.00001)</f>
        <v>11.459998854000114</v>
      </c>
      <c r="BF38" s="583">
        <f t="shared" ref="BF38:BF49" si="85">AG38*($Q38-$R38)/($Q38+0.00001)</f>
        <v>107.91498920850107</v>
      </c>
      <c r="BG38" s="583">
        <f t="shared" ref="BG38:BG49" si="86">AH38*($Q38-$R38)/($Q38+0.00001)</f>
        <v>3.8199996180000383E-2</v>
      </c>
      <c r="BH38" s="583">
        <f t="shared" ref="BH38:BH49" si="87">AI38*($Q38-$R38)/($Q38+0.00001)</f>
        <v>0.50614994938500502</v>
      </c>
      <c r="BI38" s="583">
        <f t="shared" ref="BI38:BI49" si="88">AJ38*($Q38-$R38)/($Q38+0.00001)</f>
        <v>8.5949991405000845E-3</v>
      </c>
      <c r="BJ38" s="583">
        <f t="shared" ref="BJ38:BJ49" si="89">AK38*($Q38-$R38)/($Q38+0.00001)</f>
        <v>30.559996944000304</v>
      </c>
      <c r="BK38" s="583">
        <f t="shared" ref="BK38:BK49" si="90">AL38*($Q38-$R38)/($Q38+0.00001)</f>
        <v>1.9099998090000191E-2</v>
      </c>
      <c r="BL38" s="583">
        <f t="shared" ref="BL38:BL49" si="91">AM38*($Q38-$R38)/($Q38+0.00001)</f>
        <v>0.16234998376500162</v>
      </c>
      <c r="BM38" s="583">
        <f t="shared" ref="BM38:BM49" si="92">AN38*($Q38-$R38)/($Q38+0.00001)</f>
        <v>0.85949991405000858</v>
      </c>
      <c r="BN38" s="583">
        <f t="shared" ref="BN38:BN49" si="93">AO38*($Q38-$R38)/($Q38+0.00001)</f>
        <v>3.1833330150000318E-2</v>
      </c>
      <c r="BO38" s="583">
        <f t="shared" ref="BO38:BO49" si="94">AP38*($Q38-$R38)/($Q38+0.00001)</f>
        <v>12.03299879670012</v>
      </c>
      <c r="BP38" s="583">
        <f t="shared" ref="BP38:BP49" si="95">AQ38*($Q38-$R38)/($Q38+0.00001)</f>
        <v>0.23874997612500237</v>
      </c>
      <c r="BQ38" s="583">
        <f t="shared" ref="BQ38:BQ49" si="96">AR38*($Q38-$R38)/($Q38+0.00001)</f>
        <v>0.47749995225000474</v>
      </c>
      <c r="BR38" s="583">
        <f t="shared" ref="BR38:BR49" si="97">AS38*($Q38-$R38)/($Q38+0.00001)</f>
        <v>1.9099998090000191E-2</v>
      </c>
    </row>
    <row r="39" spans="1:70" s="229" customFormat="1" ht="15" customHeight="1">
      <c r="A39" s="590"/>
      <c r="D39" s="406" t="s">
        <v>3035</v>
      </c>
      <c r="E39" s="576">
        <f>IF(E$38&gt;0,E$38,"")</f>
        <v>100</v>
      </c>
      <c r="F39" s="1131"/>
      <c r="G39" s="406" t="s">
        <v>3141</v>
      </c>
      <c r="H39" s="578" t="s">
        <v>3248</v>
      </c>
      <c r="I39" s="85">
        <v>15</v>
      </c>
      <c r="J39" s="682">
        <v>1</v>
      </c>
      <c r="K39" s="579">
        <f t="shared" ref="K39:K49" si="98">IF(I39&gt;0,1.1*Q39*E39/1000,"")</f>
        <v>1.65</v>
      </c>
      <c r="L39" s="580">
        <f>IF(H39="Select ingredient:","",IF(G39="","",_xlfn.IFNA(VLOOKUP($H39,Ingredient_prices!$E:$U,16,FALSE),0)))</f>
        <v>60.5</v>
      </c>
      <c r="M39" s="591"/>
      <c r="N39" s="591"/>
      <c r="O39" s="591"/>
      <c r="P39" s="592"/>
      <c r="Q39" s="583">
        <f>I39/J39</f>
        <v>15</v>
      </c>
      <c r="R39" s="583">
        <f>VLOOKUP($H39,'CO2_emission+%_food_waste'!$A:$K,6,FALSE)*$Q39/100</f>
        <v>-1.5E-5</v>
      </c>
      <c r="S39" s="583">
        <f t="shared" si="74"/>
        <v>15.000014999999999</v>
      </c>
      <c r="T39" s="583">
        <f>IF(H39="Select ingredient:","",IF(G39="Select food category:","",_xlfn.IFNA(VLOOKUP($H39,Ingredient_prices!$E:$U,16,FALSE)*$Q39/1000,"not bought")))</f>
        <v>0.90749999999999997</v>
      </c>
      <c r="U39" s="583">
        <f>IF(G39="Select food category:","",_xlfn.IFNA(VLOOKUP($H39,Ingredient_prices!$E:$U,16,FALSE)*$R39/1000,"not bought"))</f>
        <v>-9.0749999999999999E-7</v>
      </c>
      <c r="V39" s="549">
        <f>VLOOKUP($H39,'CO2_emission+%_food_waste'!$A:$K,4,FALSE)*$Q39</f>
        <v>48</v>
      </c>
      <c r="W39" s="583">
        <f>VLOOKUP($H39,Nutrition_tables!$A:$N,10,FALSE)*$Q39/100</f>
        <v>54.75</v>
      </c>
      <c r="X39" s="583">
        <f>VLOOKUP($H39,Nutrition_tables!$A:$N,11,FALSE)*$Q39/100</f>
        <v>11.1</v>
      </c>
      <c r="Y39" s="583">
        <f>VLOOKUP($H39,Nutrition_tables!$A:$N,12,FALSE)*$Q39/100</f>
        <v>1.41</v>
      </c>
      <c r="Z39" s="583">
        <f>VLOOKUP($H39,Nutrition_tables!$A:$N,14,FALSE)*$Q39/100</f>
        <v>0.70499999999999996</v>
      </c>
      <c r="AA39" s="583">
        <f>VLOOKUP($H39,Nutrition_tables!$A:$AF,13,FALSE)*$Q39/100</f>
        <v>1.095</v>
      </c>
      <c r="AB39" s="549">
        <f>VLOOKUP($H39,Nutrition_tables!$A:$AF,15,FALSE)*$Q39/100</f>
        <v>0.105</v>
      </c>
      <c r="AC39" s="583">
        <f>VLOOKUP($H39,Nutrition_tables!$A:$AF,16,FALSE)*$Q39/100</f>
        <v>5.25</v>
      </c>
      <c r="AD39" s="583">
        <f>VLOOKUP($H39,Nutrition_tables!$A:$AF,17,FALSE)*$Q39/100</f>
        <v>43.05</v>
      </c>
      <c r="AE39" s="583">
        <f>VLOOKUP($H39,Nutrition_tables!$A:$AF,18,FALSE)*$Q39/100</f>
        <v>1.05</v>
      </c>
      <c r="AF39" s="583">
        <f>VLOOKUP($H39,Nutrition_tables!$A:$AF,19,FALSE)*$Q39/100</f>
        <v>19.05</v>
      </c>
      <c r="AG39" s="583">
        <f>VLOOKUP($H39,Nutrition_tables!$A:$AF,20,FALSE)*$Q39/100</f>
        <v>31.5</v>
      </c>
      <c r="AH39" s="583">
        <f>VLOOKUP($H39,Nutrition_tables!$A:$AF,21,FALSE)*$Q39/100</f>
        <v>0.40500000000000003</v>
      </c>
      <c r="AI39" s="583">
        <f>VLOOKUP($H39,Nutrition_tables!$A:$AF,22,FALSE)*$Q39/100</f>
        <v>0.33</v>
      </c>
      <c r="AJ39" s="549">
        <f>VLOOKUP($H39,Nutrition_tables!$A:$AF,23,FALSE)*$Q39/100</f>
        <v>4.4999999999999998E-2</v>
      </c>
      <c r="AK39" s="583">
        <f>VLOOKUP($H39,Nutrition_tables!$A:$AF,24,FALSE)*$Q39/100</f>
        <v>9.6</v>
      </c>
      <c r="AL39" s="583">
        <f>VLOOKUP($H39,Nutrition_tables!$A:$AF,25,FALSE)*$Q39/100</f>
        <v>0.06</v>
      </c>
      <c r="AM39" s="583">
        <f>VLOOKUP($H39,Nutrition_tables!$A:$AF,26,FALSE)*$Q39/100</f>
        <v>0.03</v>
      </c>
      <c r="AN39" s="583">
        <f>VLOOKUP($H39,Nutrition_tables!$A:$AF,27,FALSE)*$Q39/100</f>
        <v>0.54</v>
      </c>
      <c r="AO39" s="583">
        <f>VLOOKUP($H39,Nutrition_tables!$A:$AF,28,FALSE)*$Q39/100</f>
        <v>0.09</v>
      </c>
      <c r="AP39" s="583">
        <f>VLOOKUP($H39,Nutrition_tables!$A:$AF,29,FALSE)*$Q39/100</f>
        <v>2.85</v>
      </c>
      <c r="AQ39" s="583">
        <f>VLOOKUP($H39,Nutrition_tables!$A:$AF,30,FALSE)*$Q39/100</f>
        <v>0</v>
      </c>
      <c r="AR39" s="583">
        <f>VLOOKUP($H39,Nutrition_tables!$A:$AF,31,FALSE)*$Q39/100</f>
        <v>0</v>
      </c>
      <c r="AS39" s="549">
        <f>VLOOKUP($H39,Nutrition_tables!$A:$AF,32,FALSE)*$Q39/100</f>
        <v>0</v>
      </c>
      <c r="AT39" s="583">
        <f>IF(H39="Select ingredient:","",IF(G39="Select food category:","",IFERROR(VLOOKUP($H39,Ingredient_prices!$E:$W,17,FALSE)*$Q39/1000,"not bought")))</f>
        <v>0.90749999999999997</v>
      </c>
      <c r="AU39" s="583">
        <f>IF(H39="Select ingredient:","",IF(G39="Select food category:","",IFERROR(VLOOKUP($H39,Ingredient_prices!$E:$W,18,FALSE)*$Q39/1000,"not bought")))</f>
        <v>0.90749999999999997</v>
      </c>
      <c r="AV39" s="583">
        <f t="shared" si="75"/>
        <v>54.750018249987832</v>
      </c>
      <c r="AW39" s="583">
        <f t="shared" si="76"/>
        <v>11.100003699997533</v>
      </c>
      <c r="AX39" s="583">
        <f t="shared" si="77"/>
        <v>1.4100004699996864</v>
      </c>
      <c r="AY39" s="583">
        <f t="shared" si="78"/>
        <v>0.70500023499984321</v>
      </c>
      <c r="AZ39" s="583">
        <f t="shared" si="79"/>
        <v>1.0950003649997566</v>
      </c>
      <c r="BA39" s="583">
        <f t="shared" si="80"/>
        <v>0.10500003499997666</v>
      </c>
      <c r="BB39" s="583">
        <f t="shared" si="81"/>
        <v>5.2500017499988338</v>
      </c>
      <c r="BC39" s="583">
        <f t="shared" si="82"/>
        <v>43.050014349990434</v>
      </c>
      <c r="BD39" s="583">
        <f t="shared" si="83"/>
        <v>1.0500003499997665</v>
      </c>
      <c r="BE39" s="583">
        <f t="shared" si="84"/>
        <v>19.050006349995765</v>
      </c>
      <c r="BF39" s="583">
        <f t="shared" si="85"/>
        <v>31.500010499993</v>
      </c>
      <c r="BG39" s="583">
        <f t="shared" si="86"/>
        <v>0.40500013499991</v>
      </c>
      <c r="BH39" s="583">
        <f t="shared" si="87"/>
        <v>0.33000010999992668</v>
      </c>
      <c r="BI39" s="583">
        <f t="shared" si="88"/>
        <v>4.5000014999989998E-2</v>
      </c>
      <c r="BJ39" s="583">
        <f t="shared" si="89"/>
        <v>9.6000031999978646</v>
      </c>
      <c r="BK39" s="583">
        <f t="shared" si="90"/>
        <v>6.0000019999986658E-2</v>
      </c>
      <c r="BL39" s="583">
        <f t="shared" si="91"/>
        <v>3.0000009999993329E-2</v>
      </c>
      <c r="BM39" s="583">
        <f t="shared" si="92"/>
        <v>0.54000017999988004</v>
      </c>
      <c r="BN39" s="583">
        <f t="shared" si="93"/>
        <v>9.0000029999979997E-2</v>
      </c>
      <c r="BO39" s="583">
        <f t="shared" si="94"/>
        <v>2.8500009499993668</v>
      </c>
      <c r="BP39" s="583">
        <f t="shared" si="95"/>
        <v>0</v>
      </c>
      <c r="BQ39" s="583">
        <f t="shared" si="96"/>
        <v>0</v>
      </c>
      <c r="BR39" s="583">
        <f t="shared" si="97"/>
        <v>0</v>
      </c>
    </row>
    <row r="40" spans="1:70" s="229" customFormat="1" ht="15" customHeight="1">
      <c r="A40" s="590"/>
      <c r="D40" s="85"/>
      <c r="E40" s="576">
        <f t="shared" ref="E40:E49" si="99">IF(E$38&gt;0,E$38,"")</f>
        <v>100</v>
      </c>
      <c r="F40" s="1131"/>
      <c r="G40" s="406" t="s">
        <v>3072</v>
      </c>
      <c r="H40" s="578" t="s">
        <v>3208</v>
      </c>
      <c r="I40" s="85">
        <v>8</v>
      </c>
      <c r="J40" s="682">
        <v>1</v>
      </c>
      <c r="K40" s="579">
        <f t="shared" si="98"/>
        <v>0.88000000000000012</v>
      </c>
      <c r="L40" s="580">
        <f>IF(H40="Select ingredient:","",IF(G40="","",_xlfn.IFNA(VLOOKUP($H40,Ingredient_prices!$E:$U,16,FALSE),0)))</f>
        <v>183.33333333333334</v>
      </c>
      <c r="M40" s="591"/>
      <c r="N40" s="591"/>
      <c r="O40" s="591"/>
      <c r="P40" s="592"/>
      <c r="Q40" s="583">
        <f>I40/J40</f>
        <v>8</v>
      </c>
      <c r="R40" s="583">
        <f>VLOOKUP($H40,'CO2_emission+%_food_waste'!$A:$K,6,FALSE)*$Q40/100</f>
        <v>0.84799999999999998</v>
      </c>
      <c r="S40" s="583">
        <f t="shared" si="74"/>
        <v>7.1520000000000001</v>
      </c>
      <c r="T40" s="583">
        <f>IF(H40="Select ingredient:","",IF(G40="Select food category:","",_xlfn.IFNA(VLOOKUP($H40,Ingredient_prices!$E:$U,16,FALSE)*$Q40/1000,"not bought")))</f>
        <v>1.4666666666666668</v>
      </c>
      <c r="U40" s="583">
        <f>IF(G40="Select food category:","",_xlfn.IFNA(VLOOKUP($H40,Ingredient_prices!$E:$U,16,FALSE)*$R40/1000,"not bought"))</f>
        <v>0.15546666666666667</v>
      </c>
      <c r="V40" s="549">
        <f>VLOOKUP($H40,'CO2_emission+%_food_waste'!$A:$K,4,FALSE)*$Q40</f>
        <v>24.32</v>
      </c>
      <c r="W40" s="583">
        <f>VLOOKUP($H40,Nutrition_tables!$A:$N,10,FALSE)*$Q40/100</f>
        <v>11.359999999999998</v>
      </c>
      <c r="X40" s="583">
        <f>VLOOKUP($H40,Nutrition_tables!$A:$N,11,FALSE)*$Q40/100</f>
        <v>6.4014939309056954E-2</v>
      </c>
      <c r="Y40" s="583">
        <f>VLOOKUP($H40,Nutrition_tables!$A:$N,12,FALSE)*$Q40/100</f>
        <v>1.0080298786181137</v>
      </c>
      <c r="Z40" s="583">
        <f>VLOOKUP($H40,Nutrition_tables!$A:$N,14,FALSE)*$Q40/100</f>
        <v>0.7920074696545284</v>
      </c>
      <c r="AA40" s="583">
        <f>VLOOKUP($H40,Nutrition_tables!$A:$AF,13,FALSE)*$Q40/100</f>
        <v>0</v>
      </c>
      <c r="AB40" s="549">
        <f>VLOOKUP($H40,Nutrition_tables!$A:$AF,15,FALSE)*$Q40/100</f>
        <v>0.20802987861811392</v>
      </c>
      <c r="AC40" s="583">
        <f>VLOOKUP($H40,Nutrition_tables!$A:$AF,16,FALSE)*$Q40/100</f>
        <v>11.2</v>
      </c>
      <c r="AD40" s="583">
        <f>VLOOKUP($H40,Nutrition_tables!$A:$AF,17,FALSE)*$Q40/100</f>
        <v>10.399999999999999</v>
      </c>
      <c r="AE40" s="583">
        <f>VLOOKUP($H40,Nutrition_tables!$A:$AF,18,FALSE)*$Q40/100</f>
        <v>3.1999999999999993</v>
      </c>
      <c r="AF40" s="583">
        <f>VLOOKUP($H40,Nutrition_tables!$A:$AF,19,FALSE)*$Q40/100</f>
        <v>1.04</v>
      </c>
      <c r="AG40" s="583">
        <f>VLOOKUP($H40,Nutrition_tables!$A:$AF,20,FALSE)*$Q40/100</f>
        <v>16.799999999999997</v>
      </c>
      <c r="AH40" s="583">
        <f>VLOOKUP($H40,Nutrition_tables!$A:$AF,21,FALSE)*$Q40/100</f>
        <v>0.16</v>
      </c>
      <c r="AI40" s="583">
        <f>VLOOKUP($H40,Nutrition_tables!$A:$AF,22,FALSE)*$Q40/100</f>
        <v>0.11197012138188608</v>
      </c>
      <c r="AJ40" s="549">
        <f>VLOOKUP($H40,Nutrition_tables!$A:$AF,23,FALSE)*$Q40/100</f>
        <v>5.6022408963585435E-3</v>
      </c>
      <c r="AK40" s="583">
        <f>VLOOKUP($H40,Nutrition_tables!$A:$AF,24,FALSE)*$Q40/100</f>
        <v>15.519999999999998</v>
      </c>
      <c r="AL40" s="583">
        <f>VLOOKUP($H40,Nutrition_tables!$A:$AF,25,FALSE)*$Q40/100</f>
        <v>5.6022408963585435E-3</v>
      </c>
      <c r="AM40" s="583">
        <f>VLOOKUP($H40,Nutrition_tables!$A:$AF,26,FALSE)*$Q40/100</f>
        <v>3.6003734827264239E-2</v>
      </c>
      <c r="AN40" s="583">
        <f>VLOOKUP($H40,Nutrition_tables!$A:$AF,27,FALSE)*$Q40/100</f>
        <v>4.0336134453781512E-3</v>
      </c>
      <c r="AO40" s="583">
        <f>VLOOKUP($H40,Nutrition_tables!$A:$AF,28,FALSE)*$Q40/100</f>
        <v>9.6358543417366938E-3</v>
      </c>
      <c r="AP40" s="583">
        <f>VLOOKUP($H40,Nutrition_tables!$A:$AF,29,FALSE)*$Q40/100</f>
        <v>1.6799999999999997</v>
      </c>
      <c r="AQ40" s="583">
        <f>VLOOKUP($H40,Nutrition_tables!$A:$AF,30,FALSE)*$Q40/100</f>
        <v>0.16</v>
      </c>
      <c r="AR40" s="583">
        <f>VLOOKUP($H40,Nutrition_tables!$A:$AF,31,FALSE)*$Q40/100</f>
        <v>0</v>
      </c>
      <c r="AS40" s="549">
        <f>VLOOKUP($H40,Nutrition_tables!$A:$AF,32,FALSE)*$Q40/100</f>
        <v>0.13998132586367881</v>
      </c>
      <c r="AT40" s="583">
        <f>IF(H40="Select ingredient:","",IF(G40="Select food category:","",IFERROR(VLOOKUP($H40,Ingredient_prices!$E:$W,17,FALSE)*$Q40/1000,"not bought")))</f>
        <v>1.4666666666666668</v>
      </c>
      <c r="AU40" s="583">
        <f>IF(H40="Select ingredient:","",IF(G40="Select food category:","",IFERROR(VLOOKUP($H40,Ingredient_prices!$E:$W,18,FALSE)*$Q40/1000,"not bought")))</f>
        <v>1.4666666666666668</v>
      </c>
      <c r="AV40" s="583">
        <f t="shared" si="75"/>
        <v>10.155827305215867</v>
      </c>
      <c r="AW40" s="583">
        <f t="shared" si="76"/>
        <v>5.7229284205691663E-2</v>
      </c>
      <c r="AX40" s="583">
        <f t="shared" si="77"/>
        <v>0.90117758501261236</v>
      </c>
      <c r="AY40" s="583">
        <f t="shared" si="78"/>
        <v>0.70805379280390746</v>
      </c>
      <c r="AZ40" s="583">
        <f t="shared" si="79"/>
        <v>0</v>
      </c>
      <c r="BA40" s="583">
        <f t="shared" si="80"/>
        <v>0.18597847901149511</v>
      </c>
      <c r="BB40" s="583">
        <f t="shared" si="81"/>
        <v>10.012787484015647</v>
      </c>
      <c r="BC40" s="583">
        <f t="shared" si="82"/>
        <v>9.2975883780145274</v>
      </c>
      <c r="BD40" s="583">
        <f t="shared" si="83"/>
        <v>2.8607964240044694</v>
      </c>
      <c r="BE40" s="583">
        <f t="shared" si="84"/>
        <v>0.92975883780145285</v>
      </c>
      <c r="BF40" s="583">
        <f t="shared" si="85"/>
        <v>15.019181226023466</v>
      </c>
      <c r="BG40" s="583">
        <f t="shared" si="86"/>
        <v>0.14303982120022352</v>
      </c>
      <c r="BH40" s="583">
        <f t="shared" si="87"/>
        <v>0.10010116338895193</v>
      </c>
      <c r="BI40" s="583">
        <f t="shared" si="88"/>
        <v>5.0083971008481627E-3</v>
      </c>
      <c r="BJ40" s="583">
        <f t="shared" si="89"/>
        <v>13.874862656421678</v>
      </c>
      <c r="BK40" s="583">
        <f t="shared" si="90"/>
        <v>5.0083971008481627E-3</v>
      </c>
      <c r="BL40" s="583">
        <f t="shared" si="91"/>
        <v>3.2187298701450859E-2</v>
      </c>
      <c r="BM40" s="583">
        <f t="shared" si="92"/>
        <v>3.6060459126106767E-3</v>
      </c>
      <c r="BN40" s="583">
        <f t="shared" si="93"/>
        <v>8.6144430134588376E-3</v>
      </c>
      <c r="BO40" s="583">
        <f t="shared" si="94"/>
        <v>1.5019181226023466</v>
      </c>
      <c r="BP40" s="583">
        <f t="shared" si="95"/>
        <v>0.14303982120022352</v>
      </c>
      <c r="BQ40" s="583">
        <f t="shared" si="96"/>
        <v>0</v>
      </c>
      <c r="BR40" s="583">
        <f t="shared" si="97"/>
        <v>0.12514314889319275</v>
      </c>
    </row>
    <row r="41" spans="1:70" s="229" customFormat="1" ht="15" customHeight="1">
      <c r="A41" s="590"/>
      <c r="D41" s="85"/>
      <c r="E41" s="576">
        <f t="shared" si="99"/>
        <v>100</v>
      </c>
      <c r="F41" s="1131"/>
      <c r="G41" s="406" t="s">
        <v>3085</v>
      </c>
      <c r="H41" s="578" t="s">
        <v>3228</v>
      </c>
      <c r="I41" s="85">
        <v>6</v>
      </c>
      <c r="J41" s="682">
        <v>1</v>
      </c>
      <c r="K41" s="579">
        <f t="shared" si="98"/>
        <v>0.66</v>
      </c>
      <c r="L41" s="580">
        <f>IF(H41="Select ingredient:","",IF(G41="","",_xlfn.IFNA(VLOOKUP($H41,Ingredient_prices!$E:$U,16,FALSE),0)))</f>
        <v>187.2</v>
      </c>
      <c r="M41" s="591"/>
      <c r="N41" s="591"/>
      <c r="O41" s="591"/>
      <c r="P41" s="592"/>
      <c r="Q41" s="583">
        <f>I41/J41</f>
        <v>6</v>
      </c>
      <c r="R41" s="583">
        <f>VLOOKUP($H41,'CO2_emission+%_food_waste'!$A:$K,6,FALSE)*$Q41/100</f>
        <v>0.47400000000000003</v>
      </c>
      <c r="S41" s="583">
        <f t="shared" si="74"/>
        <v>5.5259999999999998</v>
      </c>
      <c r="T41" s="583">
        <f>IF(H41="Select ingredient:","",IF(G41="Select food category:","",_xlfn.IFNA(VLOOKUP($H41,Ingredient_prices!$E:$U,16,FALSE)*$Q41/1000,"not bought")))</f>
        <v>1.1231999999999998</v>
      </c>
      <c r="U41" s="583">
        <f>IF(G41="Select food category:","",_xlfn.IFNA(VLOOKUP($H41,Ingredient_prices!$E:$U,16,FALSE)*$R41/1000,"not bought"))</f>
        <v>8.8732800000000001E-2</v>
      </c>
      <c r="V41" s="549">
        <f>VLOOKUP($H41,'CO2_emission+%_food_waste'!$A:$K,4,FALSE)*$Q41</f>
        <v>48.599999999999994</v>
      </c>
      <c r="W41" s="583">
        <f>VLOOKUP($H41,Nutrition_tables!$A:$N,10,FALSE)*$Q41/100</f>
        <v>10.98</v>
      </c>
      <c r="X41" s="583">
        <f>VLOOKUP($H41,Nutrition_tables!$A:$N,11,FALSE)*$Q41/100</f>
        <v>0.18</v>
      </c>
      <c r="Y41" s="583">
        <f>VLOOKUP($H41,Nutrition_tables!$A:$N,12,FALSE)*$Q41/100</f>
        <v>0.3</v>
      </c>
      <c r="Z41" s="583">
        <f>VLOOKUP($H41,Nutrition_tables!$A:$N,14,FALSE)*$Q41/100</f>
        <v>1.02</v>
      </c>
      <c r="AA41" s="583">
        <f>VLOOKUP($H41,Nutrition_tables!$A:$AF,13,FALSE)*$Q41/100</f>
        <v>0</v>
      </c>
      <c r="AB41" s="549">
        <f>VLOOKUP($H41,Nutrition_tables!$A:$AF,15,FALSE)*$Q41/100</f>
        <v>0.68400000000000005</v>
      </c>
      <c r="AC41" s="583">
        <f>VLOOKUP($H41,Nutrition_tables!$A:$AF,16,FALSE)*$Q41/100</f>
        <v>28.32</v>
      </c>
      <c r="AD41" s="583">
        <f>VLOOKUP($H41,Nutrition_tables!$A:$AF,17,FALSE)*$Q41/100</f>
        <v>4.8</v>
      </c>
      <c r="AE41" s="583">
        <f>VLOOKUP($H41,Nutrition_tables!$A:$AF,18,FALSE)*$Q41/100</f>
        <v>60</v>
      </c>
      <c r="AF41" s="583">
        <f>VLOOKUP($H41,Nutrition_tables!$A:$AF,19,FALSE)*$Q41/100</f>
        <v>1.8</v>
      </c>
      <c r="AG41" s="583">
        <f>VLOOKUP($H41,Nutrition_tables!$A:$AF,20,FALSE)*$Q41/100</f>
        <v>34.5</v>
      </c>
      <c r="AH41" s="583">
        <f>VLOOKUP($H41,Nutrition_tables!$A:$AF,21,FALSE)*$Q41/100</f>
        <v>1.2000000000000002E-2</v>
      </c>
      <c r="AI41" s="583">
        <f>VLOOKUP($H41,Nutrition_tables!$A:$AF,22,FALSE)*$Q41/100</f>
        <v>0.24</v>
      </c>
      <c r="AJ41" s="549">
        <f>VLOOKUP($H41,Nutrition_tables!$A:$AF,23,FALSE)*$Q41/100</f>
        <v>5.16E-2</v>
      </c>
      <c r="AK41" s="583">
        <f>VLOOKUP($H41,Nutrition_tables!$A:$AF,24,FALSE)*$Q41/100</f>
        <v>9.1199999999999992</v>
      </c>
      <c r="AL41" s="583">
        <f>VLOOKUP($H41,Nutrition_tables!$A:$AF,25,FALSE)*$Q41/100</f>
        <v>3.3E-3</v>
      </c>
      <c r="AM41" s="583">
        <f>VLOOKUP($H41,Nutrition_tables!$A:$AF,26,FALSE)*$Q41/100</f>
        <v>2.2499999999999999E-2</v>
      </c>
      <c r="AN41" s="583">
        <f>VLOOKUP($H41,Nutrition_tables!$A:$AF,27,FALSE)*$Q41/100</f>
        <v>6.000000000000001E-3</v>
      </c>
      <c r="AO41" s="583">
        <f>VLOOKUP($H41,Nutrition_tables!$A:$AF,28,FALSE)*$Q41/100</f>
        <v>5.1000000000000004E-3</v>
      </c>
      <c r="AP41" s="583">
        <f>VLOOKUP($H41,Nutrition_tables!$A:$AF,29,FALSE)*$Q41/100</f>
        <v>1.2</v>
      </c>
      <c r="AQ41" s="583">
        <f>VLOOKUP($H41,Nutrition_tables!$A:$AF,30,FALSE)*$Q41/100</f>
        <v>0.105</v>
      </c>
      <c r="AR41" s="583">
        <f>VLOOKUP($H41,Nutrition_tables!$A:$AF,31,FALSE)*$Q41/100</f>
        <v>0</v>
      </c>
      <c r="AS41" s="549">
        <f>VLOOKUP($H41,Nutrition_tables!$A:$AF,32,FALSE)*$Q41/100</f>
        <v>1.9199999999999998E-2</v>
      </c>
      <c r="AT41" s="583">
        <f>IF(H41="Select ingredient:","",IF(G41="Select food category:","",IFERROR(VLOOKUP($H41,Ingredient_prices!$E:$W,17,FALSE)*$Q41/1000,"not bought")))</f>
        <v>1.1231999999999998</v>
      </c>
      <c r="AU41" s="583">
        <f>IF(H41="Select ingredient:","",IF(G41="Select food category:","",IFERROR(VLOOKUP($H41,Ingredient_prices!$E:$W,18,FALSE)*$Q41/1000,"not bought")))</f>
        <v>1.1231999999999998</v>
      </c>
      <c r="AV41" s="583">
        <f t="shared" si="75"/>
        <v>10.112563145728091</v>
      </c>
      <c r="AW41" s="583">
        <f t="shared" si="76"/>
        <v>0.16577972370046049</v>
      </c>
      <c r="AX41" s="583">
        <f t="shared" si="77"/>
        <v>0.27629953950076752</v>
      </c>
      <c r="AY41" s="583">
        <f t="shared" si="78"/>
        <v>0.93941843430260952</v>
      </c>
      <c r="AZ41" s="583">
        <f t="shared" si="79"/>
        <v>0</v>
      </c>
      <c r="BA41" s="583">
        <f t="shared" si="80"/>
        <v>0.62996295006174996</v>
      </c>
      <c r="BB41" s="583">
        <f t="shared" si="81"/>
        <v>26.082676528872454</v>
      </c>
      <c r="BC41" s="583">
        <f t="shared" si="82"/>
        <v>4.4207926320122803</v>
      </c>
      <c r="BD41" s="583">
        <f t="shared" si="83"/>
        <v>55.2599079001535</v>
      </c>
      <c r="BE41" s="583">
        <f t="shared" si="84"/>
        <v>1.657797237004605</v>
      </c>
      <c r="BF41" s="583">
        <f t="shared" si="85"/>
        <v>31.774447042588264</v>
      </c>
      <c r="BG41" s="583">
        <f t="shared" si="86"/>
        <v>1.1051981580030703E-2</v>
      </c>
      <c r="BH41" s="583">
        <f t="shared" si="87"/>
        <v>0.22103963160061399</v>
      </c>
      <c r="BI41" s="583">
        <f t="shared" si="88"/>
        <v>4.752352079413201E-2</v>
      </c>
      <c r="BJ41" s="583">
        <f t="shared" si="89"/>
        <v>8.3995060008233313</v>
      </c>
      <c r="BK41" s="583">
        <f t="shared" si="90"/>
        <v>3.0392949345084425E-3</v>
      </c>
      <c r="BL41" s="583">
        <f t="shared" si="91"/>
        <v>2.0722465462557561E-2</v>
      </c>
      <c r="BM41" s="583">
        <f t="shared" si="92"/>
        <v>5.5259907900153515E-3</v>
      </c>
      <c r="BN41" s="583">
        <f t="shared" si="93"/>
        <v>4.6970921715130485E-3</v>
      </c>
      <c r="BO41" s="583">
        <f t="shared" si="94"/>
        <v>1.1051981580030701</v>
      </c>
      <c r="BP41" s="583">
        <f t="shared" si="95"/>
        <v>9.6704838825268619E-2</v>
      </c>
      <c r="BQ41" s="583">
        <f t="shared" si="96"/>
        <v>0</v>
      </c>
      <c r="BR41" s="583">
        <f t="shared" si="97"/>
        <v>1.768317052804912E-2</v>
      </c>
    </row>
    <row r="42" spans="1:70" s="229" customFormat="1" ht="15" customHeight="1">
      <c r="A42" s="590"/>
      <c r="D42" s="85"/>
      <c r="E42" s="576">
        <f t="shared" si="99"/>
        <v>100</v>
      </c>
      <c r="F42" s="1131"/>
      <c r="G42" s="406" t="s">
        <v>3075</v>
      </c>
      <c r="H42" s="578" t="s">
        <v>3239</v>
      </c>
      <c r="I42" s="85">
        <v>16</v>
      </c>
      <c r="J42" s="682">
        <v>1</v>
      </c>
      <c r="K42" s="579">
        <f t="shared" si="98"/>
        <v>1.7600000000000002</v>
      </c>
      <c r="L42" s="580">
        <f>IF(H42="Select ingredient:","",IF(G42="","",_xlfn.IFNA(VLOOKUP($H42,Ingredient_prices!$E:$U,16,FALSE),0)))</f>
        <v>121</v>
      </c>
      <c r="M42" s="591"/>
      <c r="N42" s="591"/>
      <c r="O42" s="591"/>
      <c r="P42" s="592"/>
      <c r="Q42" s="583">
        <f t="shared" si="44"/>
        <v>16</v>
      </c>
      <c r="R42" s="583">
        <f>VLOOKUP($H42,'CO2_emission+%_food_waste'!$A:$K,6,FALSE)*$Q42/100</f>
        <v>4.4480000000000004</v>
      </c>
      <c r="S42" s="583">
        <f t="shared" si="74"/>
        <v>11.552</v>
      </c>
      <c r="T42" s="583">
        <f>IF(H42="Select ingredient:","",IF(G42="Select food category:","",_xlfn.IFNA(VLOOKUP($H42,Ingredient_prices!$E:$U,16,FALSE)*$Q42/1000,"not bought")))</f>
        <v>1.9359999999999999</v>
      </c>
      <c r="U42" s="583">
        <f>IF(G42="Select food category:","",_xlfn.IFNA(VLOOKUP($H42,Ingredient_prices!$E:$U,16,FALSE)*$R42/1000,"not bought"))</f>
        <v>0.53820800000000013</v>
      </c>
      <c r="V42" s="549">
        <f>VLOOKUP($H42,'CO2_emission+%_food_waste'!$A:$K,4,FALSE)*$Q42</f>
        <v>75.680000000000007</v>
      </c>
      <c r="W42" s="583">
        <f>VLOOKUP($H42,Nutrition_tables!$A:$N,10,FALSE)*$Q42/100</f>
        <v>141.49136000000001</v>
      </c>
      <c r="X42" s="583">
        <f>VLOOKUP($H42,Nutrition_tables!$A:$N,11,FALSE)*$Q42/100</f>
        <v>1.6E-2</v>
      </c>
      <c r="Y42" s="583">
        <f>VLOOKUP($H42,Nutrition_tables!$A:$N,12,FALSE)*$Q42/100</f>
        <v>1.6E-2</v>
      </c>
      <c r="Z42" s="583">
        <f>VLOOKUP($H42,Nutrition_tables!$A:$N,14,FALSE)*$Q42/100</f>
        <v>15.919999999999998</v>
      </c>
      <c r="AA42" s="583">
        <f>VLOOKUP($H42,Nutrition_tables!$A:$AF,13,FALSE)*$Q42/100</f>
        <v>0</v>
      </c>
      <c r="AB42" s="549">
        <f>VLOOKUP($H42,Nutrition_tables!$A:$AF,15,FALSE)*$Q42/100</f>
        <v>1.0864000000000003</v>
      </c>
      <c r="AC42" s="583">
        <f>VLOOKUP($H42,Nutrition_tables!$A:$AF,16,FALSE)*$Q42/100</f>
        <v>1.6E-2</v>
      </c>
      <c r="AD42" s="583">
        <f>VLOOKUP($H42,Nutrition_tables!$A:$AF,17,FALSE)*$Q42/100</f>
        <v>0</v>
      </c>
      <c r="AE42" s="583">
        <f>VLOOKUP($H42,Nutrition_tables!$A:$AF,18,FALSE)*$Q42/100</f>
        <v>3.2000000000000001E-2</v>
      </c>
      <c r="AF42" s="583">
        <f>VLOOKUP($H42,Nutrition_tables!$A:$AF,19,FALSE)*$Q42/100</f>
        <v>0.16</v>
      </c>
      <c r="AG42" s="583">
        <f>VLOOKUP($H42,Nutrition_tables!$A:$AF,20,FALSE)*$Q42/100</f>
        <v>0</v>
      </c>
      <c r="AH42" s="583">
        <f>VLOOKUP($H42,Nutrition_tables!$A:$AF,21,FALSE)*$Q42/100</f>
        <v>1.6E-2</v>
      </c>
      <c r="AI42" s="583">
        <f>VLOOKUP($H42,Nutrition_tables!$A:$AF,22,FALSE)*$Q42/100</f>
        <v>0</v>
      </c>
      <c r="AJ42" s="549">
        <f>VLOOKUP($H42,Nutrition_tables!$A:$AF,23,FALSE)*$Q42/100</f>
        <v>0</v>
      </c>
      <c r="AK42" s="583">
        <f>VLOOKUP($H42,Nutrition_tables!$A:$AF,24,FALSE)*$Q42/100</f>
        <v>0</v>
      </c>
      <c r="AL42" s="583">
        <f>VLOOKUP($H42,Nutrition_tables!$A:$AF,25,FALSE)*$Q42/100</f>
        <v>0</v>
      </c>
      <c r="AM42" s="583">
        <f>VLOOKUP($H42,Nutrition_tables!$A:$AF,26,FALSE)*$Q42/100</f>
        <v>0</v>
      </c>
      <c r="AN42" s="583">
        <f>VLOOKUP($H42,Nutrition_tables!$A:$AF,27,FALSE)*$Q42/100</f>
        <v>0</v>
      </c>
      <c r="AO42" s="583">
        <f>VLOOKUP($H42,Nutrition_tables!$A:$AF,28,FALSE)*$Q42/100</f>
        <v>0</v>
      </c>
      <c r="AP42" s="583">
        <f>VLOOKUP($H42,Nutrition_tables!$A:$AF,29,FALSE)*$Q42/100</f>
        <v>0</v>
      </c>
      <c r="AQ42" s="583">
        <f>VLOOKUP($H42,Nutrition_tables!$A:$AF,30,FALSE)*$Q42/100</f>
        <v>0</v>
      </c>
      <c r="AR42" s="583">
        <f>VLOOKUP($H42,Nutrition_tables!$A:$AF,31,FALSE)*$Q42/100</f>
        <v>0</v>
      </c>
      <c r="AS42" s="549">
        <f>VLOOKUP($H42,Nutrition_tables!$A:$AF,32,FALSE)*$Q42/100</f>
        <v>0</v>
      </c>
      <c r="AT42" s="583">
        <f>IF(H42="Select ingredient:","",IF(G42="Select food category:","",IFERROR(VLOOKUP($H42,Ingredient_prices!$E:$W,17,FALSE)*$Q42/1000,"not bought")))</f>
        <v>1.9359999999999999</v>
      </c>
      <c r="AU42" s="583">
        <f>IF(H42="Select ingredient:","",IF(G42="Select food category:","",IFERROR(VLOOKUP($H42,Ingredient_prices!$E:$W,18,FALSE)*$Q42/1000,"not bought")))</f>
        <v>1.9359999999999999</v>
      </c>
      <c r="AV42" s="583">
        <f t="shared" si="75"/>
        <v>102.15669807206372</v>
      </c>
      <c r="AW42" s="583">
        <f t="shared" si="76"/>
        <v>1.1551992780004513E-2</v>
      </c>
      <c r="AX42" s="583">
        <f t="shared" si="77"/>
        <v>1.1551992780004513E-2</v>
      </c>
      <c r="AY42" s="583">
        <f t="shared" si="78"/>
        <v>11.494232816104487</v>
      </c>
      <c r="AZ42" s="583">
        <f t="shared" si="79"/>
        <v>0</v>
      </c>
      <c r="BA42" s="583">
        <f t="shared" si="80"/>
        <v>0.78438030976230666</v>
      </c>
      <c r="BB42" s="583">
        <f t="shared" si="81"/>
        <v>1.1551992780004513E-2</v>
      </c>
      <c r="BC42" s="583">
        <f t="shared" si="82"/>
        <v>0</v>
      </c>
      <c r="BD42" s="583">
        <f t="shared" si="83"/>
        <v>2.3103985560009026E-2</v>
      </c>
      <c r="BE42" s="583">
        <f t="shared" si="84"/>
        <v>0.11551992780004512</v>
      </c>
      <c r="BF42" s="583">
        <f t="shared" si="85"/>
        <v>0</v>
      </c>
      <c r="BG42" s="583">
        <f t="shared" si="86"/>
        <v>1.1551992780004513E-2</v>
      </c>
      <c r="BH42" s="583">
        <f t="shared" si="87"/>
        <v>0</v>
      </c>
      <c r="BI42" s="583">
        <f t="shared" si="88"/>
        <v>0</v>
      </c>
      <c r="BJ42" s="583">
        <f t="shared" si="89"/>
        <v>0</v>
      </c>
      <c r="BK42" s="583">
        <f t="shared" si="90"/>
        <v>0</v>
      </c>
      <c r="BL42" s="583">
        <f t="shared" si="91"/>
        <v>0</v>
      </c>
      <c r="BM42" s="583">
        <f t="shared" si="92"/>
        <v>0</v>
      </c>
      <c r="BN42" s="583">
        <f t="shared" si="93"/>
        <v>0</v>
      </c>
      <c r="BO42" s="583">
        <f t="shared" si="94"/>
        <v>0</v>
      </c>
      <c r="BP42" s="583">
        <f t="shared" si="95"/>
        <v>0</v>
      </c>
      <c r="BQ42" s="583">
        <f t="shared" si="96"/>
        <v>0</v>
      </c>
      <c r="BR42" s="583">
        <f t="shared" si="97"/>
        <v>0</v>
      </c>
    </row>
    <row r="43" spans="1:70" s="229" customFormat="1" ht="15" customHeight="1">
      <c r="A43" s="590"/>
      <c r="D43" s="85"/>
      <c r="E43" s="576">
        <f t="shared" si="99"/>
        <v>100</v>
      </c>
      <c r="F43" s="707"/>
      <c r="G43" s="406" t="s">
        <v>3054</v>
      </c>
      <c r="H43" s="1262" t="s">
        <v>3055</v>
      </c>
      <c r="I43" s="85">
        <v>0</v>
      </c>
      <c r="J43" s="682">
        <v>1</v>
      </c>
      <c r="K43" s="579" t="str">
        <f t="shared" si="98"/>
        <v/>
      </c>
      <c r="L43" s="580" t="str">
        <f>IF(H43="Select ingredient:","",IF(G43="","",_xlfn.IFNA(VLOOKUP($H43,Ingredient_prices!$E:$U,16,FALSE),0)))</f>
        <v/>
      </c>
      <c r="M43" s="591"/>
      <c r="N43" s="591"/>
      <c r="O43" s="591"/>
      <c r="P43" s="592"/>
      <c r="Q43" s="583">
        <f t="shared" si="44"/>
        <v>0</v>
      </c>
      <c r="R43" s="583">
        <f>VLOOKUP($H43,'CO2_emission+%_food_waste'!$A:$K,6,FALSE)*$Q43/100</f>
        <v>0</v>
      </c>
      <c r="S43" s="583">
        <f t="shared" si="74"/>
        <v>0</v>
      </c>
      <c r="T43" s="583" t="str">
        <f>IF(H43="Select ingredient:","",IF(G43="Select food category:","",_xlfn.IFNA(VLOOKUP($H43,Ingredient_prices!$E:$U,16,FALSE)*$Q43/1000,"not bought")))</f>
        <v/>
      </c>
      <c r="U43" s="583" t="str">
        <f>IF(G43="Select food category:","",_xlfn.IFNA(VLOOKUP($H43,Ingredient_prices!$E:$U,16,FALSE)*$R43/1000,"not bought"))</f>
        <v/>
      </c>
      <c r="V43" s="549">
        <f>VLOOKUP($H43,'CO2_emission+%_food_waste'!$A:$K,4,FALSE)*$Q43</f>
        <v>0</v>
      </c>
      <c r="W43" s="583">
        <f>VLOOKUP($H43,Nutrition_tables!$A:$N,10,FALSE)*$Q43/100</f>
        <v>0</v>
      </c>
      <c r="X43" s="583">
        <f>VLOOKUP($H43,Nutrition_tables!$A:$N,11,FALSE)*$Q43/100</f>
        <v>0</v>
      </c>
      <c r="Y43" s="583">
        <f>VLOOKUP($H43,Nutrition_tables!$A:$N,12,FALSE)*$Q43/100</f>
        <v>0</v>
      </c>
      <c r="Z43" s="583">
        <f>VLOOKUP($H43,Nutrition_tables!$A:$N,14,FALSE)*$Q43/100</f>
        <v>0</v>
      </c>
      <c r="AA43" s="583">
        <f>VLOOKUP($H43,Nutrition_tables!$A:$AF,13,FALSE)*$Q43/100</f>
        <v>0</v>
      </c>
      <c r="AB43" s="549">
        <f>VLOOKUP($H43,Nutrition_tables!$A:$AF,15,FALSE)*$Q43/100</f>
        <v>0</v>
      </c>
      <c r="AC43" s="583">
        <f>VLOOKUP($H43,Nutrition_tables!$A:$AF,16,FALSE)*$Q43/100</f>
        <v>0</v>
      </c>
      <c r="AD43" s="583">
        <f>VLOOKUP($H43,Nutrition_tables!$A:$AF,17,FALSE)*$Q43/100</f>
        <v>0</v>
      </c>
      <c r="AE43" s="583">
        <f>VLOOKUP($H43,Nutrition_tables!$A:$AF,18,FALSE)*$Q43/100</f>
        <v>0</v>
      </c>
      <c r="AF43" s="583">
        <f>VLOOKUP($H43,Nutrition_tables!$A:$AF,19,FALSE)*$Q43/100</f>
        <v>0</v>
      </c>
      <c r="AG43" s="583">
        <f>VLOOKUP($H43,Nutrition_tables!$A:$AF,20,FALSE)*$Q43/100</f>
        <v>0</v>
      </c>
      <c r="AH43" s="583">
        <f>VLOOKUP($H43,Nutrition_tables!$A:$AF,21,FALSE)*$Q43/100</f>
        <v>0</v>
      </c>
      <c r="AI43" s="583">
        <f>VLOOKUP($H43,Nutrition_tables!$A:$AF,22,FALSE)*$Q43/100</f>
        <v>0</v>
      </c>
      <c r="AJ43" s="549">
        <f>VLOOKUP($H43,Nutrition_tables!$A:$AF,23,FALSE)*$Q43/100</f>
        <v>0</v>
      </c>
      <c r="AK43" s="583">
        <f>VLOOKUP($H43,Nutrition_tables!$A:$AF,24,FALSE)*$Q43/100</f>
        <v>0</v>
      </c>
      <c r="AL43" s="583">
        <f>VLOOKUP($H43,Nutrition_tables!$A:$AF,25,FALSE)*$Q43/100</f>
        <v>0</v>
      </c>
      <c r="AM43" s="583">
        <f>VLOOKUP($H43,Nutrition_tables!$A:$AF,26,FALSE)*$Q43/100</f>
        <v>0</v>
      </c>
      <c r="AN43" s="583">
        <f>VLOOKUP($H43,Nutrition_tables!$A:$AF,27,FALSE)*$Q43/100</f>
        <v>0</v>
      </c>
      <c r="AO43" s="583">
        <f>VLOOKUP($H43,Nutrition_tables!$A:$AF,28,FALSE)*$Q43/100</f>
        <v>0</v>
      </c>
      <c r="AP43" s="583">
        <f>VLOOKUP($H43,Nutrition_tables!$A:$AF,29,FALSE)*$Q43/100</f>
        <v>0</v>
      </c>
      <c r="AQ43" s="583">
        <f>VLOOKUP($H43,Nutrition_tables!$A:$AF,30,FALSE)*$Q43/100</f>
        <v>0</v>
      </c>
      <c r="AR43" s="583">
        <f>VLOOKUP($H43,Nutrition_tables!$A:$AF,31,FALSE)*$Q43/100</f>
        <v>0</v>
      </c>
      <c r="AS43" s="549">
        <f>VLOOKUP($H43,Nutrition_tables!$A:$AF,32,FALSE)*$Q43/100</f>
        <v>0</v>
      </c>
      <c r="AT43" s="583" t="str">
        <f>IF(H43="Select ingredient:","",IF(G43="Select food category:","",IFERROR(VLOOKUP($H43,Ingredient_prices!$E:$W,17,FALSE)*$Q43/1000,"not bought")))</f>
        <v/>
      </c>
      <c r="AU43" s="583" t="str">
        <f>IF(H43="Select ingredient:","",IF(G43="Select food category:","",IFERROR(VLOOKUP($H43,Ingredient_prices!$E:$W,18,FALSE)*$Q43/1000,"not bought")))</f>
        <v/>
      </c>
      <c r="AV43" s="583">
        <f t="shared" si="75"/>
        <v>0</v>
      </c>
      <c r="AW43" s="583">
        <f t="shared" si="76"/>
        <v>0</v>
      </c>
      <c r="AX43" s="583">
        <f t="shared" si="77"/>
        <v>0</v>
      </c>
      <c r="AY43" s="583">
        <f t="shared" si="78"/>
        <v>0</v>
      </c>
      <c r="AZ43" s="583">
        <f t="shared" si="79"/>
        <v>0</v>
      </c>
      <c r="BA43" s="583">
        <f t="shared" si="80"/>
        <v>0</v>
      </c>
      <c r="BB43" s="583">
        <f t="shared" si="81"/>
        <v>0</v>
      </c>
      <c r="BC43" s="583">
        <f t="shared" si="82"/>
        <v>0</v>
      </c>
      <c r="BD43" s="583">
        <f t="shared" si="83"/>
        <v>0</v>
      </c>
      <c r="BE43" s="583">
        <f t="shared" si="84"/>
        <v>0</v>
      </c>
      <c r="BF43" s="583">
        <f t="shared" si="85"/>
        <v>0</v>
      </c>
      <c r="BG43" s="583">
        <f t="shared" si="86"/>
        <v>0</v>
      </c>
      <c r="BH43" s="583">
        <f t="shared" si="87"/>
        <v>0</v>
      </c>
      <c r="BI43" s="583">
        <f t="shared" si="88"/>
        <v>0</v>
      </c>
      <c r="BJ43" s="583">
        <f t="shared" si="89"/>
        <v>0</v>
      </c>
      <c r="BK43" s="583">
        <f t="shared" si="90"/>
        <v>0</v>
      </c>
      <c r="BL43" s="583">
        <f t="shared" si="91"/>
        <v>0</v>
      </c>
      <c r="BM43" s="583">
        <f t="shared" si="92"/>
        <v>0</v>
      </c>
      <c r="BN43" s="583">
        <f t="shared" si="93"/>
        <v>0</v>
      </c>
      <c r="BO43" s="583">
        <f t="shared" si="94"/>
        <v>0</v>
      </c>
      <c r="BP43" s="583">
        <f t="shared" si="95"/>
        <v>0</v>
      </c>
      <c r="BQ43" s="583">
        <f t="shared" si="96"/>
        <v>0</v>
      </c>
      <c r="BR43" s="583">
        <f t="shared" si="97"/>
        <v>0</v>
      </c>
    </row>
    <row r="44" spans="1:70" s="229" customFormat="1" ht="15" customHeight="1">
      <c r="A44" s="590"/>
      <c r="D44" s="85"/>
      <c r="E44" s="576">
        <f t="shared" si="99"/>
        <v>100</v>
      </c>
      <c r="F44" s="710"/>
      <c r="G44" s="406" t="s">
        <v>3054</v>
      </c>
      <c r="H44" s="1262" t="s">
        <v>3055</v>
      </c>
      <c r="I44" s="85">
        <v>0</v>
      </c>
      <c r="J44" s="682">
        <v>1</v>
      </c>
      <c r="K44" s="579" t="str">
        <f t="shared" si="98"/>
        <v/>
      </c>
      <c r="L44" s="580" t="str">
        <f>IF(H44="Select ingredient:","",IF(G44="","",_xlfn.IFNA(VLOOKUP($H44,Ingredient_prices!$E:$U,16,FALSE),0)))</f>
        <v/>
      </c>
      <c r="M44" s="591"/>
      <c r="N44" s="591"/>
      <c r="O44" s="591"/>
      <c r="P44" s="592"/>
      <c r="Q44" s="583">
        <f t="shared" si="44"/>
        <v>0</v>
      </c>
      <c r="R44" s="583">
        <f>VLOOKUP($H44,'CO2_emission+%_food_waste'!$A:$K,6,FALSE)*$Q44/100</f>
        <v>0</v>
      </c>
      <c r="S44" s="583">
        <f t="shared" si="74"/>
        <v>0</v>
      </c>
      <c r="T44" s="583" t="str">
        <f>IF(H44="Select ingredient:","",IF(G44="Select food category:","",_xlfn.IFNA(VLOOKUP($H44,Ingredient_prices!$E:$U,16,FALSE)*$Q44/1000,"not bought")))</f>
        <v/>
      </c>
      <c r="U44" s="583" t="str">
        <f>IF(G44="Select food category:","",_xlfn.IFNA(VLOOKUP($H44,Ingredient_prices!$E:$U,16,FALSE)*$R44/1000,"not bought"))</f>
        <v/>
      </c>
      <c r="V44" s="549">
        <f>VLOOKUP($H44,'CO2_emission+%_food_waste'!$A:$K,4,FALSE)*$Q44</f>
        <v>0</v>
      </c>
      <c r="W44" s="583">
        <f>VLOOKUP($H44,Nutrition_tables!$A:$N,10,FALSE)*$Q44/100</f>
        <v>0</v>
      </c>
      <c r="X44" s="583">
        <f>VLOOKUP($H44,Nutrition_tables!$A:$N,11,FALSE)*$Q44/100</f>
        <v>0</v>
      </c>
      <c r="Y44" s="583">
        <f>VLOOKUP($H44,Nutrition_tables!$A:$N,12,FALSE)*$Q44/100</f>
        <v>0</v>
      </c>
      <c r="Z44" s="583">
        <f>VLOOKUP($H44,Nutrition_tables!$A:$N,14,FALSE)*$Q44/100</f>
        <v>0</v>
      </c>
      <c r="AA44" s="583">
        <f>VLOOKUP($H44,Nutrition_tables!$A:$AF,13,FALSE)*$Q44/100</f>
        <v>0</v>
      </c>
      <c r="AB44" s="549">
        <f>VLOOKUP($H44,Nutrition_tables!$A:$AF,15,FALSE)*$Q44/100</f>
        <v>0</v>
      </c>
      <c r="AC44" s="583">
        <f>VLOOKUP($H44,Nutrition_tables!$A:$AF,16,FALSE)*$Q44/100</f>
        <v>0</v>
      </c>
      <c r="AD44" s="583">
        <f>VLOOKUP($H44,Nutrition_tables!$A:$AF,17,FALSE)*$Q44/100</f>
        <v>0</v>
      </c>
      <c r="AE44" s="583">
        <f>VLOOKUP($H44,Nutrition_tables!$A:$AF,18,FALSE)*$Q44/100</f>
        <v>0</v>
      </c>
      <c r="AF44" s="583">
        <f>VLOOKUP($H44,Nutrition_tables!$A:$AF,19,FALSE)*$Q44/100</f>
        <v>0</v>
      </c>
      <c r="AG44" s="583">
        <f>VLOOKUP($H44,Nutrition_tables!$A:$AF,20,FALSE)*$Q44/100</f>
        <v>0</v>
      </c>
      <c r="AH44" s="583">
        <f>VLOOKUP($H44,Nutrition_tables!$A:$AF,21,FALSE)*$Q44/100</f>
        <v>0</v>
      </c>
      <c r="AI44" s="583">
        <f>VLOOKUP($H44,Nutrition_tables!$A:$AF,22,FALSE)*$Q44/100</f>
        <v>0</v>
      </c>
      <c r="AJ44" s="549">
        <f>VLOOKUP($H44,Nutrition_tables!$A:$AF,23,FALSE)*$Q44/100</f>
        <v>0</v>
      </c>
      <c r="AK44" s="583">
        <f>VLOOKUP($H44,Nutrition_tables!$A:$AF,24,FALSE)*$Q44/100</f>
        <v>0</v>
      </c>
      <c r="AL44" s="583">
        <f>VLOOKUP($H44,Nutrition_tables!$A:$AF,25,FALSE)*$Q44/100</f>
        <v>0</v>
      </c>
      <c r="AM44" s="583">
        <f>VLOOKUP($H44,Nutrition_tables!$A:$AF,26,FALSE)*$Q44/100</f>
        <v>0</v>
      </c>
      <c r="AN44" s="583">
        <f>VLOOKUP($H44,Nutrition_tables!$A:$AF,27,FALSE)*$Q44/100</f>
        <v>0</v>
      </c>
      <c r="AO44" s="583">
        <f>VLOOKUP($H44,Nutrition_tables!$A:$AF,28,FALSE)*$Q44/100</f>
        <v>0</v>
      </c>
      <c r="AP44" s="583">
        <f>VLOOKUP($H44,Nutrition_tables!$A:$AF,29,FALSE)*$Q44/100</f>
        <v>0</v>
      </c>
      <c r="AQ44" s="583">
        <f>VLOOKUP($H44,Nutrition_tables!$A:$AF,30,FALSE)*$Q44/100</f>
        <v>0</v>
      </c>
      <c r="AR44" s="583">
        <f>VLOOKUP($H44,Nutrition_tables!$A:$AF,31,FALSE)*$Q44/100</f>
        <v>0</v>
      </c>
      <c r="AS44" s="549">
        <f>VLOOKUP($H44,Nutrition_tables!$A:$AF,32,FALSE)*$Q44/100</f>
        <v>0</v>
      </c>
      <c r="AT44" s="583" t="str">
        <f>IF(H44="Select ingredient:","",IF(G44="Select food category:","",IFERROR(VLOOKUP($H44,Ingredient_prices!$E:$W,17,FALSE)*$Q44/1000,"not bought")))</f>
        <v/>
      </c>
      <c r="AU44" s="583" t="str">
        <f>IF(H44="Select ingredient:","",IF(G44="Select food category:","",IFERROR(VLOOKUP($H44,Ingredient_prices!$E:$W,18,FALSE)*$Q44/1000,"not bought")))</f>
        <v/>
      </c>
      <c r="AV44" s="583">
        <f t="shared" si="75"/>
        <v>0</v>
      </c>
      <c r="AW44" s="583">
        <f t="shared" si="76"/>
        <v>0</v>
      </c>
      <c r="AX44" s="583">
        <f t="shared" si="77"/>
        <v>0</v>
      </c>
      <c r="AY44" s="583">
        <f t="shared" si="78"/>
        <v>0</v>
      </c>
      <c r="AZ44" s="583">
        <f t="shared" si="79"/>
        <v>0</v>
      </c>
      <c r="BA44" s="583">
        <f t="shared" si="80"/>
        <v>0</v>
      </c>
      <c r="BB44" s="583">
        <f t="shared" si="81"/>
        <v>0</v>
      </c>
      <c r="BC44" s="583">
        <f t="shared" si="82"/>
        <v>0</v>
      </c>
      <c r="BD44" s="583">
        <f t="shared" si="83"/>
        <v>0</v>
      </c>
      <c r="BE44" s="583">
        <f t="shared" si="84"/>
        <v>0</v>
      </c>
      <c r="BF44" s="583">
        <f t="shared" si="85"/>
        <v>0</v>
      </c>
      <c r="BG44" s="583">
        <f t="shared" si="86"/>
        <v>0</v>
      </c>
      <c r="BH44" s="583">
        <f t="shared" si="87"/>
        <v>0</v>
      </c>
      <c r="BI44" s="583">
        <f t="shared" si="88"/>
        <v>0</v>
      </c>
      <c r="BJ44" s="583">
        <f t="shared" si="89"/>
        <v>0</v>
      </c>
      <c r="BK44" s="583">
        <f t="shared" si="90"/>
        <v>0</v>
      </c>
      <c r="BL44" s="583">
        <f t="shared" si="91"/>
        <v>0</v>
      </c>
      <c r="BM44" s="583">
        <f t="shared" si="92"/>
        <v>0</v>
      </c>
      <c r="BN44" s="583">
        <f t="shared" si="93"/>
        <v>0</v>
      </c>
      <c r="BO44" s="583">
        <f t="shared" si="94"/>
        <v>0</v>
      </c>
      <c r="BP44" s="583">
        <f t="shared" si="95"/>
        <v>0</v>
      </c>
      <c r="BQ44" s="583">
        <f t="shared" si="96"/>
        <v>0</v>
      </c>
      <c r="BR44" s="583">
        <f t="shared" si="97"/>
        <v>0</v>
      </c>
    </row>
    <row r="45" spans="1:70" s="229" customFormat="1" ht="15" customHeight="1">
      <c r="A45" s="590"/>
      <c r="D45" s="85"/>
      <c r="E45" s="576">
        <f t="shared" si="99"/>
        <v>100</v>
      </c>
      <c r="F45" s="710"/>
      <c r="G45" s="406" t="s">
        <v>3054</v>
      </c>
      <c r="H45" s="1262" t="s">
        <v>3055</v>
      </c>
      <c r="I45" s="85">
        <v>0</v>
      </c>
      <c r="J45" s="682">
        <v>1</v>
      </c>
      <c r="K45" s="579" t="str">
        <f t="shared" si="98"/>
        <v/>
      </c>
      <c r="L45" s="580" t="str">
        <f>IF(H45="Select ingredient:","",IF(G45="","",_xlfn.IFNA(VLOOKUP($H45,Ingredient_prices!$E:$U,16,FALSE),0)))</f>
        <v/>
      </c>
      <c r="M45" s="591"/>
      <c r="N45" s="591"/>
      <c r="O45" s="591"/>
      <c r="P45" s="592"/>
      <c r="Q45" s="583">
        <f t="shared" si="44"/>
        <v>0</v>
      </c>
      <c r="R45" s="583">
        <f>VLOOKUP($H45,'CO2_emission+%_food_waste'!$A:$K,6,FALSE)*$Q45/100</f>
        <v>0</v>
      </c>
      <c r="S45" s="583">
        <f t="shared" si="74"/>
        <v>0</v>
      </c>
      <c r="T45" s="583" t="str">
        <f>IF(H45="Select ingredient:","",IF(G45="Select food category:","",_xlfn.IFNA(VLOOKUP($H45,Ingredient_prices!$E:$U,16,FALSE)*$Q45/1000,"not bought")))</f>
        <v/>
      </c>
      <c r="U45" s="583" t="str">
        <f>IF(G45="Select food category:","",_xlfn.IFNA(VLOOKUP($H45,Ingredient_prices!$E:$U,16,FALSE)*$R45/1000,"not bought"))</f>
        <v/>
      </c>
      <c r="V45" s="549">
        <f>VLOOKUP($H45,'CO2_emission+%_food_waste'!$A:$K,4,FALSE)*$Q45</f>
        <v>0</v>
      </c>
      <c r="W45" s="583">
        <f>VLOOKUP($H45,Nutrition_tables!$A:$N,10,FALSE)*$Q45/100</f>
        <v>0</v>
      </c>
      <c r="X45" s="583">
        <f>VLOOKUP($H45,Nutrition_tables!$A:$N,11,FALSE)*$Q45/100</f>
        <v>0</v>
      </c>
      <c r="Y45" s="583">
        <f>VLOOKUP($H45,Nutrition_tables!$A:$N,12,FALSE)*$Q45/100</f>
        <v>0</v>
      </c>
      <c r="Z45" s="583">
        <f>VLOOKUP($H45,Nutrition_tables!$A:$N,14,FALSE)*$Q45/100</f>
        <v>0</v>
      </c>
      <c r="AA45" s="583">
        <f>VLOOKUP($H45,Nutrition_tables!$A:$AF,13,FALSE)*$Q45/100</f>
        <v>0</v>
      </c>
      <c r="AB45" s="549">
        <f>VLOOKUP($H45,Nutrition_tables!$A:$AF,15,FALSE)*$Q45/100</f>
        <v>0</v>
      </c>
      <c r="AC45" s="583">
        <f>VLOOKUP($H45,Nutrition_tables!$A:$AF,16,FALSE)*$Q45/100</f>
        <v>0</v>
      </c>
      <c r="AD45" s="583">
        <f>VLOOKUP($H45,Nutrition_tables!$A:$AF,17,FALSE)*$Q45/100</f>
        <v>0</v>
      </c>
      <c r="AE45" s="583">
        <f>VLOOKUP($H45,Nutrition_tables!$A:$AF,18,FALSE)*$Q45/100</f>
        <v>0</v>
      </c>
      <c r="AF45" s="583">
        <f>VLOOKUP($H45,Nutrition_tables!$A:$AF,19,FALSE)*$Q45/100</f>
        <v>0</v>
      </c>
      <c r="AG45" s="583">
        <f>VLOOKUP($H45,Nutrition_tables!$A:$AF,20,FALSE)*$Q45/100</f>
        <v>0</v>
      </c>
      <c r="AH45" s="583">
        <f>VLOOKUP($H45,Nutrition_tables!$A:$AF,21,FALSE)*$Q45/100</f>
        <v>0</v>
      </c>
      <c r="AI45" s="583">
        <f>VLOOKUP($H45,Nutrition_tables!$A:$AF,22,FALSE)*$Q45/100</f>
        <v>0</v>
      </c>
      <c r="AJ45" s="549">
        <f>VLOOKUP($H45,Nutrition_tables!$A:$AF,23,FALSE)*$Q45/100</f>
        <v>0</v>
      </c>
      <c r="AK45" s="583">
        <f>VLOOKUP($H45,Nutrition_tables!$A:$AF,24,FALSE)*$Q45/100</f>
        <v>0</v>
      </c>
      <c r="AL45" s="583">
        <f>VLOOKUP($H45,Nutrition_tables!$A:$AF,25,FALSE)*$Q45/100</f>
        <v>0</v>
      </c>
      <c r="AM45" s="583">
        <f>VLOOKUP($H45,Nutrition_tables!$A:$AF,26,FALSE)*$Q45/100</f>
        <v>0</v>
      </c>
      <c r="AN45" s="583">
        <f>VLOOKUP($H45,Nutrition_tables!$A:$AF,27,FALSE)*$Q45/100</f>
        <v>0</v>
      </c>
      <c r="AO45" s="583">
        <f>VLOOKUP($H45,Nutrition_tables!$A:$AF,28,FALSE)*$Q45/100</f>
        <v>0</v>
      </c>
      <c r="AP45" s="583">
        <f>VLOOKUP($H45,Nutrition_tables!$A:$AF,29,FALSE)*$Q45/100</f>
        <v>0</v>
      </c>
      <c r="AQ45" s="583">
        <f>VLOOKUP($H45,Nutrition_tables!$A:$AF,30,FALSE)*$Q45/100</f>
        <v>0</v>
      </c>
      <c r="AR45" s="583">
        <f>VLOOKUP($H45,Nutrition_tables!$A:$AF,31,FALSE)*$Q45/100</f>
        <v>0</v>
      </c>
      <c r="AS45" s="549">
        <f>VLOOKUP($H45,Nutrition_tables!$A:$AF,32,FALSE)*$Q45/100</f>
        <v>0</v>
      </c>
      <c r="AT45" s="583" t="str">
        <f>IF(H45="Select ingredient:","",IF(G45="Select food category:","",IFERROR(VLOOKUP($H45,Ingredient_prices!$E:$W,17,FALSE)*$Q45/1000,"not bought")))</f>
        <v/>
      </c>
      <c r="AU45" s="583" t="str">
        <f>IF(H45="Select ingredient:","",IF(G45="Select food category:","",IFERROR(VLOOKUP($H45,Ingredient_prices!$E:$W,18,FALSE)*$Q45/1000,"not bought")))</f>
        <v/>
      </c>
      <c r="AV45" s="583">
        <f t="shared" si="75"/>
        <v>0</v>
      </c>
      <c r="AW45" s="583">
        <f t="shared" si="76"/>
        <v>0</v>
      </c>
      <c r="AX45" s="583">
        <f t="shared" si="77"/>
        <v>0</v>
      </c>
      <c r="AY45" s="583">
        <f t="shared" si="78"/>
        <v>0</v>
      </c>
      <c r="AZ45" s="583">
        <f t="shared" si="79"/>
        <v>0</v>
      </c>
      <c r="BA45" s="583">
        <f t="shared" si="80"/>
        <v>0</v>
      </c>
      <c r="BB45" s="583">
        <f t="shared" si="81"/>
        <v>0</v>
      </c>
      <c r="BC45" s="583">
        <f t="shared" si="82"/>
        <v>0</v>
      </c>
      <c r="BD45" s="583">
        <f t="shared" si="83"/>
        <v>0</v>
      </c>
      <c r="BE45" s="583">
        <f t="shared" si="84"/>
        <v>0</v>
      </c>
      <c r="BF45" s="583">
        <f t="shared" si="85"/>
        <v>0</v>
      </c>
      <c r="BG45" s="583">
        <f t="shared" si="86"/>
        <v>0</v>
      </c>
      <c r="BH45" s="583">
        <f t="shared" si="87"/>
        <v>0</v>
      </c>
      <c r="BI45" s="583">
        <f t="shared" si="88"/>
        <v>0</v>
      </c>
      <c r="BJ45" s="583">
        <f t="shared" si="89"/>
        <v>0</v>
      </c>
      <c r="BK45" s="583">
        <f t="shared" si="90"/>
        <v>0</v>
      </c>
      <c r="BL45" s="583">
        <f t="shared" si="91"/>
        <v>0</v>
      </c>
      <c r="BM45" s="583">
        <f t="shared" si="92"/>
        <v>0</v>
      </c>
      <c r="BN45" s="583">
        <f t="shared" si="93"/>
        <v>0</v>
      </c>
      <c r="BO45" s="583">
        <f t="shared" si="94"/>
        <v>0</v>
      </c>
      <c r="BP45" s="583">
        <f t="shared" si="95"/>
        <v>0</v>
      </c>
      <c r="BQ45" s="583">
        <f t="shared" si="96"/>
        <v>0</v>
      </c>
      <c r="BR45" s="583">
        <f t="shared" si="97"/>
        <v>0</v>
      </c>
    </row>
    <row r="46" spans="1:70" s="229" customFormat="1" ht="15" customHeight="1">
      <c r="A46" s="590"/>
      <c r="D46" s="85"/>
      <c r="E46" s="576">
        <f t="shared" si="99"/>
        <v>100</v>
      </c>
      <c r="F46" s="710"/>
      <c r="G46" s="406" t="s">
        <v>3054</v>
      </c>
      <c r="H46" s="1262" t="s">
        <v>3055</v>
      </c>
      <c r="I46" s="85">
        <v>0</v>
      </c>
      <c r="J46" s="682">
        <v>1</v>
      </c>
      <c r="K46" s="579" t="str">
        <f t="shared" si="98"/>
        <v/>
      </c>
      <c r="L46" s="580" t="str">
        <f>IF(H46="Select ingredient:","",IF(G46="","",_xlfn.IFNA(VLOOKUP($H46,Ingredient_prices!$E:$U,16,FALSE),0)))</f>
        <v/>
      </c>
      <c r="M46" s="591"/>
      <c r="N46" s="591"/>
      <c r="O46" s="591"/>
      <c r="P46" s="592"/>
      <c r="Q46" s="583">
        <f t="shared" si="44"/>
        <v>0</v>
      </c>
      <c r="R46" s="583">
        <f>VLOOKUP($H46,'CO2_emission+%_food_waste'!$A:$K,6,FALSE)*$Q46/100</f>
        <v>0</v>
      </c>
      <c r="S46" s="583">
        <f t="shared" si="74"/>
        <v>0</v>
      </c>
      <c r="T46" s="583" t="str">
        <f>IF(H46="Select ingredient:","",IF(G46="Select food category:","",_xlfn.IFNA(VLOOKUP($H46,Ingredient_prices!$E:$U,16,FALSE)*$Q46/1000,"not bought")))</f>
        <v/>
      </c>
      <c r="U46" s="583" t="str">
        <f>IF(G46="Select food category:","",_xlfn.IFNA(VLOOKUP($H46,Ingredient_prices!$E:$U,16,FALSE)*$R46/1000,"not bought"))</f>
        <v/>
      </c>
      <c r="V46" s="549">
        <f>VLOOKUP($H46,'CO2_emission+%_food_waste'!$A:$K,4,FALSE)*$Q46</f>
        <v>0</v>
      </c>
      <c r="W46" s="583">
        <f>VLOOKUP($H46,Nutrition_tables!$A:$N,10,FALSE)*$Q46/100</f>
        <v>0</v>
      </c>
      <c r="X46" s="583">
        <f>VLOOKUP($H46,Nutrition_tables!$A:$N,11,FALSE)*$Q46/100</f>
        <v>0</v>
      </c>
      <c r="Y46" s="583">
        <f>VLOOKUP($H46,Nutrition_tables!$A:$N,12,FALSE)*$Q46/100</f>
        <v>0</v>
      </c>
      <c r="Z46" s="583">
        <f>VLOOKUP($H46,Nutrition_tables!$A:$N,14,FALSE)*$Q46/100</f>
        <v>0</v>
      </c>
      <c r="AA46" s="583">
        <f>VLOOKUP($H46,Nutrition_tables!$A:$AF,13,FALSE)*$Q46/100</f>
        <v>0</v>
      </c>
      <c r="AB46" s="549">
        <f>VLOOKUP($H46,Nutrition_tables!$A:$AF,15,FALSE)*$Q46/100</f>
        <v>0</v>
      </c>
      <c r="AC46" s="583">
        <f>VLOOKUP($H46,Nutrition_tables!$A:$AF,16,FALSE)*$Q46/100</f>
        <v>0</v>
      </c>
      <c r="AD46" s="583">
        <f>VLOOKUP($H46,Nutrition_tables!$A:$AF,17,FALSE)*$Q46/100</f>
        <v>0</v>
      </c>
      <c r="AE46" s="583">
        <f>VLOOKUP($H46,Nutrition_tables!$A:$AF,18,FALSE)*$Q46/100</f>
        <v>0</v>
      </c>
      <c r="AF46" s="583">
        <f>VLOOKUP($H46,Nutrition_tables!$A:$AF,19,FALSE)*$Q46/100</f>
        <v>0</v>
      </c>
      <c r="AG46" s="583">
        <f>VLOOKUP($H46,Nutrition_tables!$A:$AF,20,FALSE)*$Q46/100</f>
        <v>0</v>
      </c>
      <c r="AH46" s="583">
        <f>VLOOKUP($H46,Nutrition_tables!$A:$AF,21,FALSE)*$Q46/100</f>
        <v>0</v>
      </c>
      <c r="AI46" s="583">
        <f>VLOOKUP($H46,Nutrition_tables!$A:$AF,22,FALSE)*$Q46/100</f>
        <v>0</v>
      </c>
      <c r="AJ46" s="549">
        <f>VLOOKUP($H46,Nutrition_tables!$A:$AF,23,FALSE)*$Q46/100</f>
        <v>0</v>
      </c>
      <c r="AK46" s="583">
        <f>VLOOKUP($H46,Nutrition_tables!$A:$AF,24,FALSE)*$Q46/100</f>
        <v>0</v>
      </c>
      <c r="AL46" s="583">
        <f>VLOOKUP($H46,Nutrition_tables!$A:$AF,25,FALSE)*$Q46/100</f>
        <v>0</v>
      </c>
      <c r="AM46" s="583">
        <f>VLOOKUP($H46,Nutrition_tables!$A:$AF,26,FALSE)*$Q46/100</f>
        <v>0</v>
      </c>
      <c r="AN46" s="583">
        <f>VLOOKUP($H46,Nutrition_tables!$A:$AF,27,FALSE)*$Q46/100</f>
        <v>0</v>
      </c>
      <c r="AO46" s="583">
        <f>VLOOKUP($H46,Nutrition_tables!$A:$AF,28,FALSE)*$Q46/100</f>
        <v>0</v>
      </c>
      <c r="AP46" s="583">
        <f>VLOOKUP($H46,Nutrition_tables!$A:$AF,29,FALSE)*$Q46/100</f>
        <v>0</v>
      </c>
      <c r="AQ46" s="583">
        <f>VLOOKUP($H46,Nutrition_tables!$A:$AF,30,FALSE)*$Q46/100</f>
        <v>0</v>
      </c>
      <c r="AR46" s="583">
        <f>VLOOKUP($H46,Nutrition_tables!$A:$AF,31,FALSE)*$Q46/100</f>
        <v>0</v>
      </c>
      <c r="AS46" s="549">
        <f>VLOOKUP($H46,Nutrition_tables!$A:$AF,32,FALSE)*$Q46/100</f>
        <v>0</v>
      </c>
      <c r="AT46" s="583" t="str">
        <f>IF(H46="Select ingredient:","",IF(G46="Select food category:","",IFERROR(VLOOKUP($H46,Ingredient_prices!$E:$W,17,FALSE)*$Q46/1000,"not bought")))</f>
        <v/>
      </c>
      <c r="AU46" s="583" t="str">
        <f>IF(H46="Select ingredient:","",IF(G46="Select food category:","",IFERROR(VLOOKUP($H46,Ingredient_prices!$E:$W,18,FALSE)*$Q46/1000,"not bought")))</f>
        <v/>
      </c>
      <c r="AV46" s="583">
        <f t="shared" si="75"/>
        <v>0</v>
      </c>
      <c r="AW46" s="583">
        <f t="shared" si="76"/>
        <v>0</v>
      </c>
      <c r="AX46" s="583">
        <f t="shared" si="77"/>
        <v>0</v>
      </c>
      <c r="AY46" s="583">
        <f t="shared" si="78"/>
        <v>0</v>
      </c>
      <c r="AZ46" s="583">
        <f t="shared" si="79"/>
        <v>0</v>
      </c>
      <c r="BA46" s="583">
        <f t="shared" si="80"/>
        <v>0</v>
      </c>
      <c r="BB46" s="583">
        <f t="shared" si="81"/>
        <v>0</v>
      </c>
      <c r="BC46" s="583">
        <f t="shared" si="82"/>
        <v>0</v>
      </c>
      <c r="BD46" s="583">
        <f t="shared" si="83"/>
        <v>0</v>
      </c>
      <c r="BE46" s="583">
        <f t="shared" si="84"/>
        <v>0</v>
      </c>
      <c r="BF46" s="583">
        <f t="shared" si="85"/>
        <v>0</v>
      </c>
      <c r="BG46" s="583">
        <f t="shared" si="86"/>
        <v>0</v>
      </c>
      <c r="BH46" s="583">
        <f t="shared" si="87"/>
        <v>0</v>
      </c>
      <c r="BI46" s="583">
        <f t="shared" si="88"/>
        <v>0</v>
      </c>
      <c r="BJ46" s="583">
        <f t="shared" si="89"/>
        <v>0</v>
      </c>
      <c r="BK46" s="583">
        <f t="shared" si="90"/>
        <v>0</v>
      </c>
      <c r="BL46" s="583">
        <f t="shared" si="91"/>
        <v>0</v>
      </c>
      <c r="BM46" s="583">
        <f t="shared" si="92"/>
        <v>0</v>
      </c>
      <c r="BN46" s="583">
        <f t="shared" si="93"/>
        <v>0</v>
      </c>
      <c r="BO46" s="583">
        <f t="shared" si="94"/>
        <v>0</v>
      </c>
      <c r="BP46" s="583">
        <f t="shared" si="95"/>
        <v>0</v>
      </c>
      <c r="BQ46" s="583">
        <f t="shared" si="96"/>
        <v>0</v>
      </c>
      <c r="BR46" s="583">
        <f t="shared" si="97"/>
        <v>0</v>
      </c>
    </row>
    <row r="47" spans="1:70" s="229" customFormat="1" ht="15" customHeight="1">
      <c r="A47" s="590"/>
      <c r="D47" s="85"/>
      <c r="E47" s="576">
        <f t="shared" si="99"/>
        <v>100</v>
      </c>
      <c r="F47" s="710"/>
      <c r="G47" s="406" t="s">
        <v>3054</v>
      </c>
      <c r="H47" s="1262" t="s">
        <v>3055</v>
      </c>
      <c r="I47" s="85">
        <v>0</v>
      </c>
      <c r="J47" s="682">
        <v>1</v>
      </c>
      <c r="K47" s="579" t="str">
        <f t="shared" si="98"/>
        <v/>
      </c>
      <c r="L47" s="580" t="str">
        <f>IF(H47="Select ingredient:","",IF(G47="","",_xlfn.IFNA(VLOOKUP($H47,Ingredient_prices!$E:$U,16,FALSE),0)))</f>
        <v/>
      </c>
      <c r="M47" s="591"/>
      <c r="N47" s="591"/>
      <c r="O47" s="591"/>
      <c r="P47" s="592"/>
      <c r="Q47" s="583">
        <f t="shared" si="44"/>
        <v>0</v>
      </c>
      <c r="R47" s="583">
        <f>VLOOKUP($H47,'CO2_emission+%_food_waste'!$A:$K,6,FALSE)*$Q47/100</f>
        <v>0</v>
      </c>
      <c r="S47" s="583">
        <f t="shared" si="74"/>
        <v>0</v>
      </c>
      <c r="T47" s="583" t="str">
        <f>IF(H47="Select ingredient:","",IF(G47="Select food category:","",_xlfn.IFNA(VLOOKUP($H47,Ingredient_prices!$E:$U,16,FALSE)*$Q47/1000,"not bought")))</f>
        <v/>
      </c>
      <c r="U47" s="583" t="str">
        <f>IF(G47="Select food category:","",_xlfn.IFNA(VLOOKUP($H47,Ingredient_prices!$E:$U,16,FALSE)*$R47/1000,"not bought"))</f>
        <v/>
      </c>
      <c r="V47" s="549">
        <f>VLOOKUP($H47,'CO2_emission+%_food_waste'!$A:$K,4,FALSE)*$Q47</f>
        <v>0</v>
      </c>
      <c r="W47" s="583">
        <f>VLOOKUP($H47,Nutrition_tables!$A:$N,10,FALSE)*$Q47/100</f>
        <v>0</v>
      </c>
      <c r="X47" s="583">
        <f>VLOOKUP($H47,Nutrition_tables!$A:$N,11,FALSE)*$Q47/100</f>
        <v>0</v>
      </c>
      <c r="Y47" s="583">
        <f>VLOOKUP($H47,Nutrition_tables!$A:$N,12,FALSE)*$Q47/100</f>
        <v>0</v>
      </c>
      <c r="Z47" s="583">
        <f>VLOOKUP($H47,Nutrition_tables!$A:$N,14,FALSE)*$Q47/100</f>
        <v>0</v>
      </c>
      <c r="AA47" s="583">
        <f>VLOOKUP($H47,Nutrition_tables!$A:$AF,13,FALSE)*$Q47/100</f>
        <v>0</v>
      </c>
      <c r="AB47" s="549">
        <f>VLOOKUP($H47,Nutrition_tables!$A:$AF,15,FALSE)*$Q47/100</f>
        <v>0</v>
      </c>
      <c r="AC47" s="583">
        <f>VLOOKUP($H47,Nutrition_tables!$A:$AF,16,FALSE)*$Q47/100</f>
        <v>0</v>
      </c>
      <c r="AD47" s="583">
        <f>VLOOKUP($H47,Nutrition_tables!$A:$AF,17,FALSE)*$Q47/100</f>
        <v>0</v>
      </c>
      <c r="AE47" s="583">
        <f>VLOOKUP($H47,Nutrition_tables!$A:$AF,18,FALSE)*$Q47/100</f>
        <v>0</v>
      </c>
      <c r="AF47" s="583">
        <f>VLOOKUP($H47,Nutrition_tables!$A:$AF,19,FALSE)*$Q47/100</f>
        <v>0</v>
      </c>
      <c r="AG47" s="583">
        <f>VLOOKUP($H47,Nutrition_tables!$A:$AF,20,FALSE)*$Q47/100</f>
        <v>0</v>
      </c>
      <c r="AH47" s="583">
        <f>VLOOKUP($H47,Nutrition_tables!$A:$AF,21,FALSE)*$Q47/100</f>
        <v>0</v>
      </c>
      <c r="AI47" s="583">
        <f>VLOOKUP($H47,Nutrition_tables!$A:$AF,22,FALSE)*$Q47/100</f>
        <v>0</v>
      </c>
      <c r="AJ47" s="549">
        <f>VLOOKUP($H47,Nutrition_tables!$A:$AF,23,FALSE)*$Q47/100</f>
        <v>0</v>
      </c>
      <c r="AK47" s="583">
        <f>VLOOKUP($H47,Nutrition_tables!$A:$AF,24,FALSE)*$Q47/100</f>
        <v>0</v>
      </c>
      <c r="AL47" s="583">
        <f>VLOOKUP($H47,Nutrition_tables!$A:$AF,25,FALSE)*$Q47/100</f>
        <v>0</v>
      </c>
      <c r="AM47" s="583">
        <f>VLOOKUP($H47,Nutrition_tables!$A:$AF,26,FALSE)*$Q47/100</f>
        <v>0</v>
      </c>
      <c r="AN47" s="583">
        <f>VLOOKUP($H47,Nutrition_tables!$A:$AF,27,FALSE)*$Q47/100</f>
        <v>0</v>
      </c>
      <c r="AO47" s="583">
        <f>VLOOKUP($H47,Nutrition_tables!$A:$AF,28,FALSE)*$Q47/100</f>
        <v>0</v>
      </c>
      <c r="AP47" s="583">
        <f>VLOOKUP($H47,Nutrition_tables!$A:$AF,29,FALSE)*$Q47/100</f>
        <v>0</v>
      </c>
      <c r="AQ47" s="583">
        <f>VLOOKUP($H47,Nutrition_tables!$A:$AF,30,FALSE)*$Q47/100</f>
        <v>0</v>
      </c>
      <c r="AR47" s="583">
        <f>VLOOKUP($H47,Nutrition_tables!$A:$AF,31,FALSE)*$Q47/100</f>
        <v>0</v>
      </c>
      <c r="AS47" s="549">
        <f>VLOOKUP($H47,Nutrition_tables!$A:$AF,32,FALSE)*$Q47/100</f>
        <v>0</v>
      </c>
      <c r="AT47" s="583" t="str">
        <f>IF(H47="Select ingredient:","",IF(G47="Select food category:","",IFERROR(VLOOKUP($H47,Ingredient_prices!$E:$W,17,FALSE)*$Q47/1000,"not bought")))</f>
        <v/>
      </c>
      <c r="AU47" s="583" t="str">
        <f>IF(H47="Select ingredient:","",IF(G47="Select food category:","",IFERROR(VLOOKUP($H47,Ingredient_prices!$E:$W,18,FALSE)*$Q47/1000,"not bought")))</f>
        <v/>
      </c>
      <c r="AV47" s="583">
        <f t="shared" si="75"/>
        <v>0</v>
      </c>
      <c r="AW47" s="583">
        <f t="shared" si="76"/>
        <v>0</v>
      </c>
      <c r="AX47" s="583">
        <f t="shared" si="77"/>
        <v>0</v>
      </c>
      <c r="AY47" s="583">
        <f t="shared" si="78"/>
        <v>0</v>
      </c>
      <c r="AZ47" s="583">
        <f t="shared" si="79"/>
        <v>0</v>
      </c>
      <c r="BA47" s="583">
        <f t="shared" si="80"/>
        <v>0</v>
      </c>
      <c r="BB47" s="583">
        <f t="shared" si="81"/>
        <v>0</v>
      </c>
      <c r="BC47" s="583">
        <f t="shared" si="82"/>
        <v>0</v>
      </c>
      <c r="BD47" s="583">
        <f t="shared" si="83"/>
        <v>0</v>
      </c>
      <c r="BE47" s="583">
        <f t="shared" si="84"/>
        <v>0</v>
      </c>
      <c r="BF47" s="583">
        <f t="shared" si="85"/>
        <v>0</v>
      </c>
      <c r="BG47" s="583">
        <f t="shared" si="86"/>
        <v>0</v>
      </c>
      <c r="BH47" s="583">
        <f t="shared" si="87"/>
        <v>0</v>
      </c>
      <c r="BI47" s="583">
        <f t="shared" si="88"/>
        <v>0</v>
      </c>
      <c r="BJ47" s="583">
        <f t="shared" si="89"/>
        <v>0</v>
      </c>
      <c r="BK47" s="583">
        <f t="shared" si="90"/>
        <v>0</v>
      </c>
      <c r="BL47" s="583">
        <f t="shared" si="91"/>
        <v>0</v>
      </c>
      <c r="BM47" s="583">
        <f t="shared" si="92"/>
        <v>0</v>
      </c>
      <c r="BN47" s="583">
        <f t="shared" si="93"/>
        <v>0</v>
      </c>
      <c r="BO47" s="583">
        <f t="shared" si="94"/>
        <v>0</v>
      </c>
      <c r="BP47" s="583">
        <f t="shared" si="95"/>
        <v>0</v>
      </c>
      <c r="BQ47" s="583">
        <f t="shared" si="96"/>
        <v>0</v>
      </c>
      <c r="BR47" s="583">
        <f t="shared" si="97"/>
        <v>0</v>
      </c>
    </row>
    <row r="48" spans="1:70" s="229" customFormat="1" ht="15" customHeight="1">
      <c r="A48" s="590"/>
      <c r="D48" s="85"/>
      <c r="E48" s="576">
        <f t="shared" si="99"/>
        <v>100</v>
      </c>
      <c r="F48" s="710"/>
      <c r="G48" s="406" t="s">
        <v>3054</v>
      </c>
      <c r="H48" s="1262" t="s">
        <v>3055</v>
      </c>
      <c r="I48" s="85">
        <v>0</v>
      </c>
      <c r="J48" s="682">
        <v>1</v>
      </c>
      <c r="K48" s="579" t="str">
        <f t="shared" si="98"/>
        <v/>
      </c>
      <c r="L48" s="580" t="str">
        <f>IF(H48="Select ingredient:","",IF(G48="","",_xlfn.IFNA(VLOOKUP($H48,Ingredient_prices!$E:$U,16,FALSE),0)))</f>
        <v/>
      </c>
      <c r="M48" s="591"/>
      <c r="N48" s="591"/>
      <c r="O48" s="591"/>
      <c r="P48" s="592"/>
      <c r="Q48" s="583">
        <f t="shared" si="44"/>
        <v>0</v>
      </c>
      <c r="R48" s="583">
        <f>VLOOKUP($H48,'CO2_emission+%_food_waste'!$A:$K,6,FALSE)*$Q48/100</f>
        <v>0</v>
      </c>
      <c r="S48" s="583">
        <f t="shared" si="74"/>
        <v>0</v>
      </c>
      <c r="T48" s="583" t="str">
        <f>IF(H48="Select ingredient:","",IF(G48="Select food category:","",_xlfn.IFNA(VLOOKUP($H48,Ingredient_prices!$E:$U,16,FALSE)*$Q48/1000,"not bought")))</f>
        <v/>
      </c>
      <c r="U48" s="583" t="str">
        <f>IF(G48="Select food category:","",_xlfn.IFNA(VLOOKUP($H48,Ingredient_prices!$E:$U,16,FALSE)*$R48/1000,"not bought"))</f>
        <v/>
      </c>
      <c r="V48" s="549">
        <f>VLOOKUP($H48,'CO2_emission+%_food_waste'!$A:$K,4,FALSE)*$Q48</f>
        <v>0</v>
      </c>
      <c r="W48" s="583">
        <f>VLOOKUP($H48,Nutrition_tables!$A:$N,10,FALSE)*$Q48/100</f>
        <v>0</v>
      </c>
      <c r="X48" s="583">
        <f>VLOOKUP($H48,Nutrition_tables!$A:$N,11,FALSE)*$Q48/100</f>
        <v>0</v>
      </c>
      <c r="Y48" s="583">
        <f>VLOOKUP($H48,Nutrition_tables!$A:$N,12,FALSE)*$Q48/100</f>
        <v>0</v>
      </c>
      <c r="Z48" s="583">
        <f>VLOOKUP($H48,Nutrition_tables!$A:$N,14,FALSE)*$Q48/100</f>
        <v>0</v>
      </c>
      <c r="AA48" s="583">
        <f>VLOOKUP($H48,Nutrition_tables!$A:$AF,13,FALSE)*$Q48/100</f>
        <v>0</v>
      </c>
      <c r="AB48" s="549">
        <f>VLOOKUP($H48,Nutrition_tables!$A:$AF,15,FALSE)*$Q48/100</f>
        <v>0</v>
      </c>
      <c r="AC48" s="583">
        <f>VLOOKUP($H48,Nutrition_tables!$A:$AF,16,FALSE)*$Q48/100</f>
        <v>0</v>
      </c>
      <c r="AD48" s="583">
        <f>VLOOKUP($H48,Nutrition_tables!$A:$AF,17,FALSE)*$Q48/100</f>
        <v>0</v>
      </c>
      <c r="AE48" s="583">
        <f>VLOOKUP($H48,Nutrition_tables!$A:$AF,18,FALSE)*$Q48/100</f>
        <v>0</v>
      </c>
      <c r="AF48" s="583">
        <f>VLOOKUP($H48,Nutrition_tables!$A:$AF,19,FALSE)*$Q48/100</f>
        <v>0</v>
      </c>
      <c r="AG48" s="583">
        <f>VLOOKUP($H48,Nutrition_tables!$A:$AF,20,FALSE)*$Q48/100</f>
        <v>0</v>
      </c>
      <c r="AH48" s="583">
        <f>VLOOKUP($H48,Nutrition_tables!$A:$AF,21,FALSE)*$Q48/100</f>
        <v>0</v>
      </c>
      <c r="AI48" s="583">
        <f>VLOOKUP($H48,Nutrition_tables!$A:$AF,22,FALSE)*$Q48/100</f>
        <v>0</v>
      </c>
      <c r="AJ48" s="549">
        <f>VLOOKUP($H48,Nutrition_tables!$A:$AF,23,FALSE)*$Q48/100</f>
        <v>0</v>
      </c>
      <c r="AK48" s="583">
        <f>VLOOKUP($H48,Nutrition_tables!$A:$AF,24,FALSE)*$Q48/100</f>
        <v>0</v>
      </c>
      <c r="AL48" s="583">
        <f>VLOOKUP($H48,Nutrition_tables!$A:$AF,25,FALSE)*$Q48/100</f>
        <v>0</v>
      </c>
      <c r="AM48" s="583">
        <f>VLOOKUP($H48,Nutrition_tables!$A:$AF,26,FALSE)*$Q48/100</f>
        <v>0</v>
      </c>
      <c r="AN48" s="583">
        <f>VLOOKUP($H48,Nutrition_tables!$A:$AF,27,FALSE)*$Q48/100</f>
        <v>0</v>
      </c>
      <c r="AO48" s="583">
        <f>VLOOKUP($H48,Nutrition_tables!$A:$AF,28,FALSE)*$Q48/100</f>
        <v>0</v>
      </c>
      <c r="AP48" s="583">
        <f>VLOOKUP($H48,Nutrition_tables!$A:$AF,29,FALSE)*$Q48/100</f>
        <v>0</v>
      </c>
      <c r="AQ48" s="583">
        <f>VLOOKUP($H48,Nutrition_tables!$A:$AF,30,FALSE)*$Q48/100</f>
        <v>0</v>
      </c>
      <c r="AR48" s="583">
        <f>VLOOKUP($H48,Nutrition_tables!$A:$AF,31,FALSE)*$Q48/100</f>
        <v>0</v>
      </c>
      <c r="AS48" s="549">
        <f>VLOOKUP($H48,Nutrition_tables!$A:$AF,32,FALSE)*$Q48/100</f>
        <v>0</v>
      </c>
      <c r="AT48" s="583" t="str">
        <f>IF(H48="Select ingredient:","",IF(G48="Select food category:","",IFERROR(VLOOKUP($H48,Ingredient_prices!$E:$W,17,FALSE)*$Q48/1000,"not bought")))</f>
        <v/>
      </c>
      <c r="AU48" s="583" t="str">
        <f>IF(H48="Select ingredient:","",IF(G48="Select food category:","",IFERROR(VLOOKUP($H48,Ingredient_prices!$E:$W,18,FALSE)*$Q48/1000,"not bought")))</f>
        <v/>
      </c>
      <c r="AV48" s="583">
        <f t="shared" si="75"/>
        <v>0</v>
      </c>
      <c r="AW48" s="583">
        <f t="shared" si="76"/>
        <v>0</v>
      </c>
      <c r="AX48" s="583">
        <f t="shared" si="77"/>
        <v>0</v>
      </c>
      <c r="AY48" s="583">
        <f t="shared" si="78"/>
        <v>0</v>
      </c>
      <c r="AZ48" s="583">
        <f t="shared" si="79"/>
        <v>0</v>
      </c>
      <c r="BA48" s="583">
        <f t="shared" si="80"/>
        <v>0</v>
      </c>
      <c r="BB48" s="583">
        <f t="shared" si="81"/>
        <v>0</v>
      </c>
      <c r="BC48" s="583">
        <f t="shared" si="82"/>
        <v>0</v>
      </c>
      <c r="BD48" s="583">
        <f t="shared" si="83"/>
        <v>0</v>
      </c>
      <c r="BE48" s="583">
        <f t="shared" si="84"/>
        <v>0</v>
      </c>
      <c r="BF48" s="583">
        <f t="shared" si="85"/>
        <v>0</v>
      </c>
      <c r="BG48" s="583">
        <f t="shared" si="86"/>
        <v>0</v>
      </c>
      <c r="BH48" s="583">
        <f t="shared" si="87"/>
        <v>0</v>
      </c>
      <c r="BI48" s="583">
        <f t="shared" si="88"/>
        <v>0</v>
      </c>
      <c r="BJ48" s="583">
        <f t="shared" si="89"/>
        <v>0</v>
      </c>
      <c r="BK48" s="583">
        <f t="shared" si="90"/>
        <v>0</v>
      </c>
      <c r="BL48" s="583">
        <f t="shared" si="91"/>
        <v>0</v>
      </c>
      <c r="BM48" s="583">
        <f t="shared" si="92"/>
        <v>0</v>
      </c>
      <c r="BN48" s="583">
        <f t="shared" si="93"/>
        <v>0</v>
      </c>
      <c r="BO48" s="583">
        <f t="shared" si="94"/>
        <v>0</v>
      </c>
      <c r="BP48" s="583">
        <f t="shared" si="95"/>
        <v>0</v>
      </c>
      <c r="BQ48" s="583">
        <f t="shared" si="96"/>
        <v>0</v>
      </c>
      <c r="BR48" s="583">
        <f t="shared" si="97"/>
        <v>0</v>
      </c>
    </row>
    <row r="49" spans="1:70" s="229" customFormat="1" ht="15" customHeight="1">
      <c r="A49" s="590"/>
      <c r="D49" s="85"/>
      <c r="E49" s="576">
        <f t="shared" si="99"/>
        <v>100</v>
      </c>
      <c r="F49" s="710"/>
      <c r="G49" s="406" t="s">
        <v>3054</v>
      </c>
      <c r="H49" s="1262" t="s">
        <v>3055</v>
      </c>
      <c r="I49" s="85">
        <v>0</v>
      </c>
      <c r="J49" s="682">
        <v>1</v>
      </c>
      <c r="K49" s="579" t="str">
        <f t="shared" si="98"/>
        <v/>
      </c>
      <c r="L49" s="580" t="str">
        <f>IF(H49="Select ingredient:","",IF(G49="","",_xlfn.IFNA(VLOOKUP($H49,Ingredient_prices!$E:$U,16,FALSE),0)))</f>
        <v/>
      </c>
      <c r="M49" s="591"/>
      <c r="N49" s="591"/>
      <c r="O49" s="591"/>
      <c r="P49" s="592"/>
      <c r="Q49" s="583">
        <f t="shared" si="44"/>
        <v>0</v>
      </c>
      <c r="R49" s="583">
        <f>VLOOKUP($H49,'CO2_emission+%_food_waste'!$A:$K,6,FALSE)*$Q49/100</f>
        <v>0</v>
      </c>
      <c r="S49" s="583">
        <f t="shared" si="74"/>
        <v>0</v>
      </c>
      <c r="T49" s="583" t="str">
        <f>IF(H49="Select ingredient:","",IF(G49="Select food category:","",_xlfn.IFNA(VLOOKUP($H49,Ingredient_prices!$E:$U,16,FALSE)*$Q49/1000,"not bought")))</f>
        <v/>
      </c>
      <c r="U49" s="583" t="str">
        <f>IF(G49="Select food category:","",_xlfn.IFNA(VLOOKUP($H49,Ingredient_prices!$E:$U,16,FALSE)*$R49/1000,"not bought"))</f>
        <v/>
      </c>
      <c r="V49" s="549">
        <f>VLOOKUP($H49,'CO2_emission+%_food_waste'!$A:$K,4,FALSE)*$Q49</f>
        <v>0</v>
      </c>
      <c r="W49" s="583">
        <f>VLOOKUP($H49,Nutrition_tables!$A:$N,10,FALSE)*$Q49/100</f>
        <v>0</v>
      </c>
      <c r="X49" s="583">
        <f>VLOOKUP($H49,Nutrition_tables!$A:$N,11,FALSE)*$Q49/100</f>
        <v>0</v>
      </c>
      <c r="Y49" s="583">
        <f>VLOOKUP($H49,Nutrition_tables!$A:$N,12,FALSE)*$Q49/100</f>
        <v>0</v>
      </c>
      <c r="Z49" s="583">
        <f>VLOOKUP($H49,Nutrition_tables!$A:$N,14,FALSE)*$Q49/100</f>
        <v>0</v>
      </c>
      <c r="AA49" s="583">
        <f>VLOOKUP($H49,Nutrition_tables!$A:$AF,13,FALSE)*$Q49/100</f>
        <v>0</v>
      </c>
      <c r="AB49" s="549">
        <f>VLOOKUP($H49,Nutrition_tables!$A:$AF,15,FALSE)*$Q49/100</f>
        <v>0</v>
      </c>
      <c r="AC49" s="583">
        <f>VLOOKUP($H49,Nutrition_tables!$A:$AF,16,FALSE)*$Q49/100</f>
        <v>0</v>
      </c>
      <c r="AD49" s="583">
        <f>VLOOKUP($H49,Nutrition_tables!$A:$AF,17,FALSE)*$Q49/100</f>
        <v>0</v>
      </c>
      <c r="AE49" s="583">
        <f>VLOOKUP($H49,Nutrition_tables!$A:$AF,18,FALSE)*$Q49/100</f>
        <v>0</v>
      </c>
      <c r="AF49" s="583">
        <f>VLOOKUP($H49,Nutrition_tables!$A:$AF,19,FALSE)*$Q49/100</f>
        <v>0</v>
      </c>
      <c r="AG49" s="583">
        <f>VLOOKUP($H49,Nutrition_tables!$A:$AF,20,FALSE)*$Q49/100</f>
        <v>0</v>
      </c>
      <c r="AH49" s="583">
        <f>VLOOKUP($H49,Nutrition_tables!$A:$AF,21,FALSE)*$Q49/100</f>
        <v>0</v>
      </c>
      <c r="AI49" s="583">
        <f>VLOOKUP($H49,Nutrition_tables!$A:$AF,22,FALSE)*$Q49/100</f>
        <v>0</v>
      </c>
      <c r="AJ49" s="549">
        <f>VLOOKUP($H49,Nutrition_tables!$A:$AF,23,FALSE)*$Q49/100</f>
        <v>0</v>
      </c>
      <c r="AK49" s="583">
        <f>VLOOKUP($H49,Nutrition_tables!$A:$AF,24,FALSE)*$Q49/100</f>
        <v>0</v>
      </c>
      <c r="AL49" s="583">
        <f>VLOOKUP($H49,Nutrition_tables!$A:$AF,25,FALSE)*$Q49/100</f>
        <v>0</v>
      </c>
      <c r="AM49" s="583">
        <f>VLOOKUP($H49,Nutrition_tables!$A:$AF,26,FALSE)*$Q49/100</f>
        <v>0</v>
      </c>
      <c r="AN49" s="583">
        <f>VLOOKUP($H49,Nutrition_tables!$A:$AF,27,FALSE)*$Q49/100</f>
        <v>0</v>
      </c>
      <c r="AO49" s="583">
        <f>VLOOKUP($H49,Nutrition_tables!$A:$AF,28,FALSE)*$Q49/100</f>
        <v>0</v>
      </c>
      <c r="AP49" s="583">
        <f>VLOOKUP($H49,Nutrition_tables!$A:$AF,29,FALSE)*$Q49/100</f>
        <v>0</v>
      </c>
      <c r="AQ49" s="583">
        <f>VLOOKUP($H49,Nutrition_tables!$A:$AF,30,FALSE)*$Q49/100</f>
        <v>0</v>
      </c>
      <c r="AR49" s="583">
        <f>VLOOKUP($H49,Nutrition_tables!$A:$AF,31,FALSE)*$Q49/100</f>
        <v>0</v>
      </c>
      <c r="AS49" s="549">
        <f>VLOOKUP($H49,Nutrition_tables!$A:$AF,32,FALSE)*$Q49/100</f>
        <v>0</v>
      </c>
      <c r="AT49" s="583" t="str">
        <f>IF(H49="Select ingredient:","",IF(G49="Select food category:","",IFERROR(VLOOKUP($H49,Ingredient_prices!$E:$W,17,FALSE)*$Q49/1000,"not bought")))</f>
        <v/>
      </c>
      <c r="AU49" s="583" t="str">
        <f>IF(H49="Select ingredient:","",IF(G49="Select food category:","",IFERROR(VLOOKUP($H49,Ingredient_prices!$E:$W,18,FALSE)*$Q49/1000,"not bought")))</f>
        <v/>
      </c>
      <c r="AV49" s="583">
        <f t="shared" si="75"/>
        <v>0</v>
      </c>
      <c r="AW49" s="583">
        <f t="shared" si="76"/>
        <v>0</v>
      </c>
      <c r="AX49" s="583">
        <f t="shared" si="77"/>
        <v>0</v>
      </c>
      <c r="AY49" s="583">
        <f t="shared" si="78"/>
        <v>0</v>
      </c>
      <c r="AZ49" s="583">
        <f t="shared" si="79"/>
        <v>0</v>
      </c>
      <c r="BA49" s="583">
        <f t="shared" si="80"/>
        <v>0</v>
      </c>
      <c r="BB49" s="583">
        <f t="shared" si="81"/>
        <v>0</v>
      </c>
      <c r="BC49" s="583">
        <f t="shared" si="82"/>
        <v>0</v>
      </c>
      <c r="BD49" s="583">
        <f t="shared" si="83"/>
        <v>0</v>
      </c>
      <c r="BE49" s="583">
        <f t="shared" si="84"/>
        <v>0</v>
      </c>
      <c r="BF49" s="583">
        <f t="shared" si="85"/>
        <v>0</v>
      </c>
      <c r="BG49" s="583">
        <f t="shared" si="86"/>
        <v>0</v>
      </c>
      <c r="BH49" s="583">
        <f t="shared" si="87"/>
        <v>0</v>
      </c>
      <c r="BI49" s="583">
        <f t="shared" si="88"/>
        <v>0</v>
      </c>
      <c r="BJ49" s="583">
        <f t="shared" si="89"/>
        <v>0</v>
      </c>
      <c r="BK49" s="583">
        <f t="shared" si="90"/>
        <v>0</v>
      </c>
      <c r="BL49" s="583">
        <f t="shared" si="91"/>
        <v>0</v>
      </c>
      <c r="BM49" s="583">
        <f t="shared" si="92"/>
        <v>0</v>
      </c>
      <c r="BN49" s="583">
        <f t="shared" si="93"/>
        <v>0</v>
      </c>
      <c r="BO49" s="583">
        <f t="shared" si="94"/>
        <v>0</v>
      </c>
      <c r="BP49" s="583">
        <f t="shared" si="95"/>
        <v>0</v>
      </c>
      <c r="BQ49" s="583">
        <f t="shared" si="96"/>
        <v>0</v>
      </c>
      <c r="BR49" s="583">
        <f t="shared" si="97"/>
        <v>0</v>
      </c>
    </row>
    <row r="50" spans="1:70" s="603" customFormat="1" ht="56">
      <c r="A50" s="590"/>
      <c r="B50" s="593"/>
      <c r="C50" s="522"/>
      <c r="D50" s="141"/>
      <c r="E50" s="594"/>
      <c r="F50" s="708"/>
      <c r="G50" s="594"/>
      <c r="H50" s="594"/>
      <c r="I50" s="141"/>
      <c r="J50" s="141"/>
      <c r="K50" s="141"/>
      <c r="L50" s="141"/>
      <c r="M50" s="683"/>
      <c r="N50" s="683"/>
      <c r="O50" s="597"/>
      <c r="P50" s="598"/>
      <c r="Q50" s="599" t="s">
        <v>384</v>
      </c>
      <c r="R50" s="600" t="s">
        <v>455</v>
      </c>
      <c r="S50" s="600" t="s">
        <v>2087</v>
      </c>
      <c r="T50" s="600" t="s">
        <v>456</v>
      </c>
      <c r="U50" s="600" t="s">
        <v>535</v>
      </c>
      <c r="V50" s="601" t="s">
        <v>457</v>
      </c>
      <c r="W50" s="600" t="s">
        <v>75</v>
      </c>
      <c r="X50" s="600" t="s">
        <v>385</v>
      </c>
      <c r="Y50" s="600" t="s">
        <v>386</v>
      </c>
      <c r="Z50" s="600" t="s">
        <v>387</v>
      </c>
      <c r="AA50" s="600" t="s">
        <v>388</v>
      </c>
      <c r="AB50" s="601" t="s">
        <v>389</v>
      </c>
      <c r="AC50" s="602" t="s">
        <v>390</v>
      </c>
      <c r="AD50" s="600" t="s">
        <v>391</v>
      </c>
      <c r="AE50" s="600" t="s">
        <v>392</v>
      </c>
      <c r="AF50" s="600" t="s">
        <v>393</v>
      </c>
      <c r="AG50" s="600" t="s">
        <v>394</v>
      </c>
      <c r="AH50" s="600" t="s">
        <v>395</v>
      </c>
      <c r="AI50" s="600" t="s">
        <v>396</v>
      </c>
      <c r="AJ50" s="601" t="s">
        <v>397</v>
      </c>
      <c r="AK50" s="602" t="s">
        <v>398</v>
      </c>
      <c r="AL50" s="600" t="s">
        <v>399</v>
      </c>
      <c r="AM50" s="600" t="s">
        <v>400</v>
      </c>
      <c r="AN50" s="600" t="s">
        <v>401</v>
      </c>
      <c r="AO50" s="600" t="s">
        <v>402</v>
      </c>
      <c r="AP50" s="600" t="s">
        <v>406</v>
      </c>
      <c r="AQ50" s="600" t="s">
        <v>405</v>
      </c>
      <c r="AR50" s="600" t="s">
        <v>403</v>
      </c>
      <c r="AS50" s="601" t="s">
        <v>404</v>
      </c>
      <c r="AT50" s="593"/>
      <c r="AU50" s="593"/>
    </row>
    <row r="51" spans="1:70" s="229" customFormat="1">
      <c r="A51" s="590"/>
      <c r="B51" s="522"/>
      <c r="C51" s="522"/>
      <c r="D51" s="141"/>
      <c r="E51" s="594"/>
      <c r="F51" s="708"/>
      <c r="G51" s="594"/>
      <c r="H51" s="594"/>
      <c r="I51" s="141"/>
      <c r="J51" s="141"/>
      <c r="K51" s="141"/>
      <c r="L51" s="141"/>
      <c r="M51" s="683"/>
      <c r="N51" s="683"/>
      <c r="O51" s="605"/>
      <c r="P51" s="606" t="s">
        <v>383</v>
      </c>
      <c r="Q51" s="583">
        <f>SUM(Q38:Q49)</f>
        <v>145</v>
      </c>
      <c r="R51" s="583">
        <f t="shared" ref="R51:V51" si="100">SUM(R38:R49)</f>
        <v>10.269985</v>
      </c>
      <c r="S51" s="583">
        <f>SUM(S38:S49)</f>
        <v>134.73001500000001</v>
      </c>
      <c r="T51" s="583">
        <f t="shared" ref="T51:U51" si="101">SUM(T38:T49)</f>
        <v>14.416699999999999</v>
      </c>
      <c r="U51" s="583">
        <f t="shared" si="101"/>
        <v>1.1866565591666669</v>
      </c>
      <c r="V51" s="549">
        <f t="shared" si="100"/>
        <v>399.59999999999997</v>
      </c>
      <c r="W51" s="583">
        <f t="shared" ref="W51:AS51" si="102">SUM(W38:W49)</f>
        <v>274.58136000000002</v>
      </c>
      <c r="X51" s="583">
        <f t="shared" si="102"/>
        <v>14.560014939309058</v>
      </c>
      <c r="Y51" s="583">
        <f t="shared" si="102"/>
        <v>6.434029878618114</v>
      </c>
      <c r="Z51" s="583">
        <f t="shared" si="102"/>
        <v>21.337007469654527</v>
      </c>
      <c r="AA51" s="583">
        <f t="shared" si="102"/>
        <v>1.095</v>
      </c>
      <c r="AB51" s="549">
        <f t="shared" si="102"/>
        <v>3.9834298786181144</v>
      </c>
      <c r="AC51" s="583">
        <f t="shared" si="102"/>
        <v>88.786000000000016</v>
      </c>
      <c r="AD51" s="583">
        <f t="shared" si="102"/>
        <v>220.25000000000003</v>
      </c>
      <c r="AE51" s="583">
        <f t="shared" si="102"/>
        <v>206.28200000000001</v>
      </c>
      <c r="AF51" s="583">
        <f t="shared" si="102"/>
        <v>34.049999999999997</v>
      </c>
      <c r="AG51" s="583">
        <f t="shared" si="102"/>
        <v>195.8</v>
      </c>
      <c r="AH51" s="583">
        <f t="shared" si="102"/>
        <v>0.63300000000000001</v>
      </c>
      <c r="AI51" s="583">
        <f t="shared" si="102"/>
        <v>1.2119701213818863</v>
      </c>
      <c r="AJ51" s="549">
        <f t="shared" si="102"/>
        <v>0.11120224089635855</v>
      </c>
      <c r="AK51" s="583">
        <f t="shared" si="102"/>
        <v>66.239999999999995</v>
      </c>
      <c r="AL51" s="583">
        <f t="shared" si="102"/>
        <v>8.8902240896358536E-2</v>
      </c>
      <c r="AM51" s="583">
        <f t="shared" si="102"/>
        <v>0.25850373482726424</v>
      </c>
      <c r="AN51" s="583">
        <f t="shared" si="102"/>
        <v>1.4500336134453782</v>
      </c>
      <c r="AO51" s="583">
        <f t="shared" si="102"/>
        <v>0.13806918767507001</v>
      </c>
      <c r="AP51" s="583">
        <f t="shared" si="102"/>
        <v>18.329999999999998</v>
      </c>
      <c r="AQ51" s="583">
        <f t="shared" si="102"/>
        <v>0.51500000000000001</v>
      </c>
      <c r="AR51" s="583">
        <f t="shared" si="102"/>
        <v>0.5</v>
      </c>
      <c r="AS51" s="549">
        <f t="shared" si="102"/>
        <v>0.1791813258636788</v>
      </c>
      <c r="AT51" s="583">
        <f t="shared" ref="AT51:AU51" si="103">SUM(AT38:AT49)</f>
        <v>14.416699999999999</v>
      </c>
      <c r="AU51" s="583">
        <f t="shared" si="103"/>
        <v>14.416699999999999</v>
      </c>
      <c r="AV51" s="545">
        <f t="shared" ref="AV51:BR51" si="104">SUM(AV38:AV49)</f>
        <v>230.65510142499608</v>
      </c>
      <c r="AW51" s="545">
        <f t="shared" si="104"/>
        <v>14.39056439508372</v>
      </c>
      <c r="AX51" s="545">
        <f t="shared" si="104"/>
        <v>6.1325292339431057</v>
      </c>
      <c r="AY51" s="545">
        <f t="shared" si="104"/>
        <v>16.616205001260873</v>
      </c>
      <c r="AZ51" s="545">
        <f t="shared" si="104"/>
        <v>1.0950003649997566</v>
      </c>
      <c r="BA51" s="545">
        <f t="shared" si="104"/>
        <v>3.5198215923855467</v>
      </c>
      <c r="BB51" s="545">
        <f t="shared" si="104"/>
        <v>83.377013553667354</v>
      </c>
      <c r="BC51" s="545">
        <f t="shared" si="104"/>
        <v>211.47837988901881</v>
      </c>
      <c r="BD51" s="545">
        <f t="shared" si="104"/>
        <v>194.80379509871909</v>
      </c>
      <c r="BE51" s="545">
        <f t="shared" si="104"/>
        <v>33.213081206601984</v>
      </c>
      <c r="BF51" s="545">
        <f t="shared" si="104"/>
        <v>186.20862797710581</v>
      </c>
      <c r="BG51" s="545">
        <f t="shared" si="104"/>
        <v>0.60884392674016907</v>
      </c>
      <c r="BH51" s="545">
        <f t="shared" si="104"/>
        <v>1.1572908543744975</v>
      </c>
      <c r="BI51" s="545">
        <f t="shared" si="104"/>
        <v>0.10612693203547025</v>
      </c>
      <c r="BJ51" s="545">
        <f t="shared" si="104"/>
        <v>62.434368801243174</v>
      </c>
      <c r="BK51" s="545">
        <f t="shared" si="104"/>
        <v>8.7147710125343447E-2</v>
      </c>
      <c r="BL51" s="545">
        <f t="shared" si="104"/>
        <v>0.2452597579290034</v>
      </c>
      <c r="BM51" s="545">
        <f t="shared" si="104"/>
        <v>1.4086321307525145</v>
      </c>
      <c r="BN51" s="545">
        <f t="shared" si="104"/>
        <v>0.13514489533495219</v>
      </c>
      <c r="BO51" s="545">
        <f t="shared" si="104"/>
        <v>17.490116027304904</v>
      </c>
      <c r="BP51" s="545">
        <f t="shared" si="104"/>
        <v>0.47849463615049448</v>
      </c>
      <c r="BQ51" s="545">
        <f t="shared" si="104"/>
        <v>0.47749995225000474</v>
      </c>
      <c r="BR51" s="545">
        <f t="shared" si="104"/>
        <v>0.16192631751124206</v>
      </c>
    </row>
    <row r="52" spans="1:70" s="229" customFormat="1">
      <c r="A52" s="590"/>
      <c r="B52" s="522"/>
      <c r="C52" s="522"/>
      <c r="D52" s="141"/>
      <c r="E52" s="594"/>
      <c r="F52" s="708"/>
      <c r="G52" s="594"/>
      <c r="H52" s="594"/>
      <c r="I52" s="141"/>
      <c r="J52" s="141"/>
      <c r="K52" s="141"/>
      <c r="L52" s="141"/>
      <c r="M52" s="683"/>
      <c r="N52" s="683"/>
      <c r="O52" s="605"/>
      <c r="P52" s="606" t="s">
        <v>537</v>
      </c>
      <c r="V52" s="526"/>
      <c r="W52" s="229">
        <v>185.5</v>
      </c>
      <c r="X52" s="229">
        <v>23.200000000000003</v>
      </c>
      <c r="Y52" s="229">
        <v>5.8000000000000007</v>
      </c>
      <c r="Z52" s="229">
        <v>6.2</v>
      </c>
      <c r="AA52" s="229">
        <v>1.9000000000000001</v>
      </c>
      <c r="AB52" s="526">
        <v>2</v>
      </c>
      <c r="AC52" s="229">
        <v>138</v>
      </c>
      <c r="AD52" s="229">
        <v>180</v>
      </c>
      <c r="AE52" s="229">
        <v>90</v>
      </c>
      <c r="AF52" s="229">
        <v>17</v>
      </c>
      <c r="AG52" s="229">
        <v>80</v>
      </c>
      <c r="AH52" s="229">
        <v>1</v>
      </c>
      <c r="AI52" s="229">
        <v>0.70000000000000007</v>
      </c>
      <c r="AJ52" s="526">
        <v>0.125</v>
      </c>
      <c r="AK52" s="229">
        <v>80</v>
      </c>
      <c r="AL52" s="229">
        <v>0.1</v>
      </c>
      <c r="AM52" s="229">
        <v>0.11000000000000001</v>
      </c>
      <c r="AN52" s="229">
        <v>1.2000000000000002</v>
      </c>
      <c r="AO52" s="229">
        <v>6.9999999999999993E-2</v>
      </c>
      <c r="AP52" s="229">
        <v>30</v>
      </c>
      <c r="AQ52" s="229">
        <v>0.18000000000000002</v>
      </c>
      <c r="AR52" s="229">
        <v>8</v>
      </c>
      <c r="AS52" s="526">
        <v>0.5</v>
      </c>
      <c r="AV52" s="229">
        <v>185.5</v>
      </c>
      <c r="AW52" s="229">
        <v>23.200000000000003</v>
      </c>
      <c r="AX52" s="229">
        <v>5.8000000000000007</v>
      </c>
      <c r="AY52" s="229">
        <v>6.2</v>
      </c>
      <c r="AZ52" s="229">
        <v>1.9000000000000001</v>
      </c>
      <c r="BA52" s="526">
        <v>2</v>
      </c>
      <c r="BB52" s="229">
        <v>138</v>
      </c>
      <c r="BC52" s="229">
        <v>180</v>
      </c>
      <c r="BD52" s="229">
        <v>90</v>
      </c>
      <c r="BE52" s="229">
        <v>17</v>
      </c>
      <c r="BF52" s="229">
        <v>80</v>
      </c>
      <c r="BG52" s="229">
        <v>1</v>
      </c>
      <c r="BH52" s="229">
        <v>0.70000000000000007</v>
      </c>
      <c r="BI52" s="526">
        <v>0.125</v>
      </c>
      <c r="BJ52" s="229">
        <v>80</v>
      </c>
      <c r="BK52" s="229">
        <v>0.1</v>
      </c>
      <c r="BL52" s="229">
        <v>0.11000000000000001</v>
      </c>
      <c r="BM52" s="229">
        <v>1.2000000000000002</v>
      </c>
      <c r="BN52" s="229">
        <v>6.9999999999999993E-2</v>
      </c>
      <c r="BO52" s="229">
        <v>30</v>
      </c>
      <c r="BP52" s="229">
        <v>0.18000000000000002</v>
      </c>
      <c r="BQ52" s="229">
        <v>8</v>
      </c>
      <c r="BR52" s="526">
        <v>0.5</v>
      </c>
    </row>
    <row r="53" spans="1:70" s="229" customFormat="1">
      <c r="A53" s="590"/>
      <c r="B53" s="522"/>
      <c r="C53" s="522"/>
      <c r="D53" s="141"/>
      <c r="E53" s="594"/>
      <c r="F53" s="708"/>
      <c r="G53" s="594"/>
      <c r="H53" s="594"/>
      <c r="I53" s="141"/>
      <c r="J53" s="141"/>
      <c r="K53" s="141"/>
      <c r="L53" s="141"/>
      <c r="M53" s="683"/>
      <c r="N53" s="683"/>
      <c r="O53" s="605"/>
      <c r="P53" s="606" t="s">
        <v>407</v>
      </c>
      <c r="V53" s="526"/>
      <c r="W53" s="514">
        <f t="shared" ref="W53:AS53" si="105">100*W51/W52</f>
        <v>148.02229649595688</v>
      </c>
      <c r="X53" s="514">
        <f t="shared" si="105"/>
        <v>62.758685083228691</v>
      </c>
      <c r="Y53" s="514">
        <f t="shared" si="105"/>
        <v>110.93154963134678</v>
      </c>
      <c r="Z53" s="514">
        <f t="shared" si="105"/>
        <v>344.14528176862137</v>
      </c>
      <c r="AA53" s="514">
        <f t="shared" si="105"/>
        <v>57.631578947368418</v>
      </c>
      <c r="AB53" s="506">
        <f t="shared" si="105"/>
        <v>199.17149393090571</v>
      </c>
      <c r="AC53" s="514">
        <f t="shared" si="105"/>
        <v>64.337681159420299</v>
      </c>
      <c r="AD53" s="514">
        <f t="shared" si="105"/>
        <v>122.36111111111113</v>
      </c>
      <c r="AE53" s="514">
        <f t="shared" si="105"/>
        <v>229.20222222222222</v>
      </c>
      <c r="AF53" s="514">
        <f t="shared" si="105"/>
        <v>200.29411764705878</v>
      </c>
      <c r="AG53" s="514">
        <f t="shared" si="105"/>
        <v>244.75</v>
      </c>
      <c r="AH53" s="514">
        <f t="shared" si="105"/>
        <v>63.3</v>
      </c>
      <c r="AI53" s="514">
        <f t="shared" si="105"/>
        <v>173.13858876884089</v>
      </c>
      <c r="AJ53" s="506">
        <f t="shared" si="105"/>
        <v>88.961792717086837</v>
      </c>
      <c r="AK53" s="514">
        <f t="shared" si="105"/>
        <v>82.799999999999983</v>
      </c>
      <c r="AL53" s="514">
        <f t="shared" si="105"/>
        <v>88.902240896358535</v>
      </c>
      <c r="AM53" s="514">
        <f t="shared" si="105"/>
        <v>235.00339529751292</v>
      </c>
      <c r="AN53" s="514">
        <f t="shared" si="105"/>
        <v>120.83613445378148</v>
      </c>
      <c r="AO53" s="514">
        <f t="shared" si="105"/>
        <v>197.24169667867147</v>
      </c>
      <c r="AP53" s="514">
        <f t="shared" si="105"/>
        <v>61.099999999999994</v>
      </c>
      <c r="AQ53" s="514">
        <f t="shared" si="105"/>
        <v>286.11111111111109</v>
      </c>
      <c r="AR53" s="514">
        <f t="shared" si="105"/>
        <v>6.25</v>
      </c>
      <c r="AS53" s="506">
        <f t="shared" si="105"/>
        <v>35.836265172735757</v>
      </c>
      <c r="AV53" s="505">
        <f t="shared" ref="AV53:BR53" si="106">100*AV51/AV52</f>
        <v>124.34237273584694</v>
      </c>
      <c r="AW53" s="505">
        <f t="shared" si="106"/>
        <v>62.028294806395337</v>
      </c>
      <c r="AX53" s="505">
        <f t="shared" si="106"/>
        <v>105.73326265419146</v>
      </c>
      <c r="AY53" s="505">
        <f t="shared" si="106"/>
        <v>268.00330647194954</v>
      </c>
      <c r="AZ53" s="505">
        <f t="shared" si="106"/>
        <v>57.631598157881925</v>
      </c>
      <c r="BA53" s="505">
        <f t="shared" si="106"/>
        <v>175.99107961927734</v>
      </c>
      <c r="BB53" s="505">
        <f t="shared" si="106"/>
        <v>60.418125763527065</v>
      </c>
      <c r="BC53" s="505">
        <f t="shared" si="106"/>
        <v>117.48798882723267</v>
      </c>
      <c r="BD53" s="505">
        <f t="shared" si="106"/>
        <v>216.44866122079898</v>
      </c>
      <c r="BE53" s="505">
        <f t="shared" si="106"/>
        <v>195.37106592118812</v>
      </c>
      <c r="BF53" s="505">
        <f t="shared" si="106"/>
        <v>232.76078497138224</v>
      </c>
      <c r="BG53" s="505">
        <f t="shared" si="106"/>
        <v>60.884392674016908</v>
      </c>
      <c r="BH53" s="505">
        <f t="shared" si="106"/>
        <v>165.3272649106425</v>
      </c>
      <c r="BI53" s="505">
        <f t="shared" si="106"/>
        <v>84.901545628376198</v>
      </c>
      <c r="BJ53" s="505">
        <f t="shared" si="106"/>
        <v>78.042961001553962</v>
      </c>
      <c r="BK53" s="505">
        <f t="shared" si="106"/>
        <v>87.147710125343437</v>
      </c>
      <c r="BL53" s="505">
        <f t="shared" si="106"/>
        <v>222.96341629909398</v>
      </c>
      <c r="BM53" s="505">
        <f t="shared" si="106"/>
        <v>117.38601089604286</v>
      </c>
      <c r="BN53" s="505">
        <f t="shared" si="106"/>
        <v>193.06413619278885</v>
      </c>
      <c r="BO53" s="505">
        <f t="shared" si="106"/>
        <v>58.300386757683007</v>
      </c>
      <c r="BP53" s="505">
        <f t="shared" si="106"/>
        <v>265.83035341694131</v>
      </c>
      <c r="BQ53" s="505">
        <f t="shared" si="106"/>
        <v>5.9687494031250594</v>
      </c>
      <c r="BR53" s="505">
        <f t="shared" si="106"/>
        <v>32.385263502248414</v>
      </c>
    </row>
    <row r="54" spans="1:70" s="229" customFormat="1">
      <c r="A54" s="590"/>
      <c r="B54" s="522"/>
      <c r="C54" s="522"/>
      <c r="D54" s="141"/>
      <c r="E54" s="594"/>
      <c r="F54" s="708"/>
      <c r="G54" s="594"/>
      <c r="H54" s="594"/>
      <c r="I54" s="141"/>
      <c r="J54" s="141"/>
      <c r="K54" s="141"/>
      <c r="L54" s="141"/>
      <c r="M54" s="683"/>
      <c r="N54" s="683"/>
      <c r="O54" s="605"/>
      <c r="P54" s="606" t="s">
        <v>548</v>
      </c>
      <c r="V54" s="526"/>
      <c r="W54" s="583">
        <f>AV51</f>
        <v>230.65510142499608</v>
      </c>
      <c r="X54" s="583">
        <f t="shared" ref="X54:AM54" si="107">AW51</f>
        <v>14.39056439508372</v>
      </c>
      <c r="Y54" s="583">
        <f t="shared" si="107"/>
        <v>6.1325292339431057</v>
      </c>
      <c r="Z54" s="583">
        <f t="shared" si="107"/>
        <v>16.616205001260873</v>
      </c>
      <c r="AA54" s="583">
        <f t="shared" si="107"/>
        <v>1.0950003649997566</v>
      </c>
      <c r="AB54" s="549">
        <f t="shared" si="107"/>
        <v>3.5198215923855467</v>
      </c>
      <c r="AC54" s="583">
        <f t="shared" si="107"/>
        <v>83.377013553667354</v>
      </c>
      <c r="AD54" s="583">
        <f t="shared" si="107"/>
        <v>211.47837988901881</v>
      </c>
      <c r="AE54" s="583">
        <f t="shared" si="107"/>
        <v>194.80379509871909</v>
      </c>
      <c r="AF54" s="583">
        <f t="shared" si="107"/>
        <v>33.213081206601984</v>
      </c>
      <c r="AG54" s="583">
        <f t="shared" si="107"/>
        <v>186.20862797710581</v>
      </c>
      <c r="AH54" s="583">
        <f t="shared" si="107"/>
        <v>0.60884392674016907</v>
      </c>
      <c r="AI54" s="583">
        <f t="shared" si="107"/>
        <v>1.1572908543744975</v>
      </c>
      <c r="AJ54" s="549">
        <f t="shared" si="107"/>
        <v>0.10612693203547025</v>
      </c>
      <c r="AK54" s="583">
        <f t="shared" si="107"/>
        <v>62.434368801243174</v>
      </c>
      <c r="AL54" s="583">
        <f t="shared" si="107"/>
        <v>8.7147710125343447E-2</v>
      </c>
      <c r="AM54" s="583">
        <f t="shared" si="107"/>
        <v>0.2452597579290034</v>
      </c>
      <c r="AN54" s="583">
        <f>BM51</f>
        <v>1.4086321307525145</v>
      </c>
      <c r="AO54" s="583">
        <f t="shared" ref="AO54:AR54" si="108">BN51</f>
        <v>0.13514489533495219</v>
      </c>
      <c r="AP54" s="583">
        <f t="shared" si="108"/>
        <v>17.490116027304904</v>
      </c>
      <c r="AQ54" s="583">
        <f t="shared" si="108"/>
        <v>0.47849463615049448</v>
      </c>
      <c r="AR54" s="583">
        <f t="shared" si="108"/>
        <v>0.47749995225000474</v>
      </c>
      <c r="AS54" s="549">
        <f>BR51</f>
        <v>0.16192631751124206</v>
      </c>
    </row>
    <row r="55" spans="1:70" s="229" customFormat="1">
      <c r="A55" s="590"/>
      <c r="B55" s="522"/>
      <c r="C55" s="522"/>
      <c r="D55" s="141"/>
      <c r="E55" s="594"/>
      <c r="F55" s="708"/>
      <c r="G55" s="594"/>
      <c r="H55" s="594"/>
      <c r="I55" s="141"/>
      <c r="J55" s="141"/>
      <c r="K55" s="141"/>
      <c r="L55" s="141"/>
      <c r="M55" s="683"/>
      <c r="N55" s="683"/>
      <c r="O55" s="605"/>
      <c r="P55" s="606" t="s">
        <v>543</v>
      </c>
      <c r="V55" s="526"/>
      <c r="W55" s="514">
        <f t="shared" ref="W55:AS55" si="109">AV53</f>
        <v>124.34237273584694</v>
      </c>
      <c r="X55" s="514">
        <f t="shared" si="109"/>
        <v>62.028294806395337</v>
      </c>
      <c r="Y55" s="514">
        <f t="shared" si="109"/>
        <v>105.73326265419146</v>
      </c>
      <c r="Z55" s="514">
        <f t="shared" si="109"/>
        <v>268.00330647194954</v>
      </c>
      <c r="AA55" s="514">
        <f t="shared" si="109"/>
        <v>57.631598157881925</v>
      </c>
      <c r="AB55" s="506">
        <f t="shared" si="109"/>
        <v>175.99107961927734</v>
      </c>
      <c r="AC55" s="514">
        <f t="shared" si="109"/>
        <v>60.418125763527065</v>
      </c>
      <c r="AD55" s="514">
        <f t="shared" si="109"/>
        <v>117.48798882723267</v>
      </c>
      <c r="AE55" s="514">
        <f t="shared" si="109"/>
        <v>216.44866122079898</v>
      </c>
      <c r="AF55" s="514">
        <f t="shared" si="109"/>
        <v>195.37106592118812</v>
      </c>
      <c r="AG55" s="514">
        <f t="shared" si="109"/>
        <v>232.76078497138224</v>
      </c>
      <c r="AH55" s="514">
        <f t="shared" si="109"/>
        <v>60.884392674016908</v>
      </c>
      <c r="AI55" s="514">
        <f t="shared" si="109"/>
        <v>165.3272649106425</v>
      </c>
      <c r="AJ55" s="506">
        <f t="shared" si="109"/>
        <v>84.901545628376198</v>
      </c>
      <c r="AK55" s="514">
        <f t="shared" si="109"/>
        <v>78.042961001553962</v>
      </c>
      <c r="AL55" s="514">
        <f t="shared" si="109"/>
        <v>87.147710125343437</v>
      </c>
      <c r="AM55" s="514">
        <f t="shared" si="109"/>
        <v>222.96341629909398</v>
      </c>
      <c r="AN55" s="514">
        <f t="shared" si="109"/>
        <v>117.38601089604286</v>
      </c>
      <c r="AO55" s="514">
        <f t="shared" si="109"/>
        <v>193.06413619278885</v>
      </c>
      <c r="AP55" s="514">
        <f t="shared" si="109"/>
        <v>58.300386757683007</v>
      </c>
      <c r="AQ55" s="514">
        <f t="shared" si="109"/>
        <v>265.83035341694131</v>
      </c>
      <c r="AR55" s="514">
        <f t="shared" si="109"/>
        <v>5.9687494031250594</v>
      </c>
      <c r="AS55" s="506">
        <f t="shared" si="109"/>
        <v>32.385263502248414</v>
      </c>
      <c r="AV55" s="514"/>
      <c r="AW55" s="514"/>
      <c r="AX55" s="514"/>
      <c r="AY55" s="514"/>
      <c r="AZ55" s="514"/>
      <c r="BA55" s="505"/>
      <c r="BB55" s="514"/>
      <c r="BC55" s="514"/>
      <c r="BD55" s="514"/>
      <c r="BE55" s="514"/>
      <c r="BF55" s="514"/>
      <c r="BG55" s="514"/>
      <c r="BH55" s="514"/>
      <c r="BI55" s="505"/>
      <c r="BJ55" s="514"/>
      <c r="BK55" s="514"/>
      <c r="BL55" s="514"/>
      <c r="BM55" s="514"/>
      <c r="BN55" s="514"/>
      <c r="BO55" s="514"/>
      <c r="BP55" s="514"/>
      <c r="BQ55" s="514"/>
      <c r="BR55" s="505"/>
    </row>
    <row r="56" spans="1:70" s="229" customFormat="1" ht="16" thickBot="1">
      <c r="A56" s="590"/>
      <c r="B56" s="607"/>
      <c r="C56" s="607"/>
      <c r="D56" s="683"/>
      <c r="E56" s="608"/>
      <c r="F56" s="709"/>
      <c r="G56" s="609" t="s">
        <v>795</v>
      </c>
      <c r="H56" s="610"/>
      <c r="I56" s="93"/>
      <c r="J56" s="93"/>
      <c r="K56" s="607"/>
      <c r="L56" s="611"/>
      <c r="M56" s="611"/>
      <c r="N56" s="611"/>
      <c r="O56" s="605"/>
      <c r="P56" s="607"/>
      <c r="Q56" s="607"/>
      <c r="R56" s="607"/>
      <c r="S56" s="607"/>
      <c r="T56" s="607"/>
      <c r="U56" s="612"/>
      <c r="V56" s="613"/>
      <c r="W56" s="607"/>
      <c r="X56" s="607"/>
      <c r="Y56" s="607"/>
      <c r="Z56" s="607"/>
      <c r="AA56" s="614">
        <f>COUNTIF(AA57:AA81,"&lt;0")</f>
        <v>0</v>
      </c>
      <c r="AB56" s="614">
        <f t="shared" ref="AB56" si="110">COUNTIF(AB57:AB81,"&lt;0")</f>
        <v>0</v>
      </c>
      <c r="AC56" s="614">
        <f t="shared" ref="AC56" si="111">COUNTIF(AC57:AC81,"&lt;0")</f>
        <v>0</v>
      </c>
      <c r="AD56" s="614">
        <f t="shared" ref="AD56" si="112">COUNTIF(AD57:AD81,"&lt;0")</f>
        <v>0</v>
      </c>
      <c r="AE56" s="614">
        <f t="shared" ref="AE56" si="113">COUNTIF(AE57:AE81,"&lt;0")</f>
        <v>0</v>
      </c>
      <c r="AF56" s="614">
        <f t="shared" ref="AF56" si="114">COUNTIF(AF57:AF81,"&lt;0")</f>
        <v>0</v>
      </c>
      <c r="AG56" s="614">
        <f t="shared" ref="AG56" si="115">COUNTIF(AG57:AG81,"&lt;0")</f>
        <v>0</v>
      </c>
      <c r="AH56" s="614">
        <f t="shared" ref="AH56" si="116">COUNTIF(AH57:AH81,"&lt;0")</f>
        <v>0</v>
      </c>
      <c r="AI56" s="614">
        <f t="shared" ref="AI56" si="117">COUNTIF(AI57:AI81,"&lt;0")</f>
        <v>0</v>
      </c>
      <c r="AJ56" s="614">
        <f t="shared" ref="AJ56" si="118">COUNTIF(AJ57:AJ81,"&lt;0")</f>
        <v>0</v>
      </c>
      <c r="AK56" s="614">
        <f t="shared" ref="AK56" si="119">COUNTIF(AK57:AK81,"&lt;0")</f>
        <v>0</v>
      </c>
      <c r="AL56" s="614">
        <f t="shared" ref="AL56" si="120">COUNTIF(AL57:AL81,"&lt;0")</f>
        <v>0</v>
      </c>
      <c r="AM56" s="614">
        <f t="shared" ref="AM56" si="121">COUNTIF(AM57:AM81,"&lt;0")</f>
        <v>0</v>
      </c>
      <c r="AN56" s="614">
        <f t="shared" ref="AN56" si="122">COUNTIF(AN57:AN81,"&lt;0")</f>
        <v>0</v>
      </c>
      <c r="AO56" s="614">
        <f t="shared" ref="AO56" si="123">COUNTIF(AO57:AO81,"&lt;0")</f>
        <v>0</v>
      </c>
      <c r="AP56" s="614">
        <f t="shared" ref="AP56" si="124">COUNTIF(AP57:AP81,"&lt;0")</f>
        <v>0</v>
      </c>
      <c r="AQ56" s="614">
        <f t="shared" ref="AQ56" si="125">COUNTIF(AQ57:AQ81,"&lt;0")</f>
        <v>1</v>
      </c>
      <c r="AR56" s="614">
        <f t="shared" ref="AR56" si="126">COUNTIF(AR57:AR81,"&lt;0")</f>
        <v>0</v>
      </c>
      <c r="AS56" s="614">
        <f t="shared" ref="AS56" si="127">COUNTIF(AS57:AS81,"&lt;0")</f>
        <v>1</v>
      </c>
      <c r="AT56" s="607"/>
      <c r="AU56" s="607"/>
    </row>
    <row r="57" spans="1:70" s="229" customFormat="1" ht="15" customHeight="1" thickBot="1">
      <c r="A57" s="590"/>
      <c r="B57" s="575" t="s">
        <v>3064</v>
      </c>
      <c r="C57" s="229" t="s">
        <v>69</v>
      </c>
      <c r="D57" s="85"/>
      <c r="E57" s="577">
        <v>100</v>
      </c>
      <c r="F57" s="707" t="s">
        <v>3933</v>
      </c>
      <c r="G57" s="406" t="s">
        <v>3073</v>
      </c>
      <c r="H57" s="578" t="s">
        <v>3157</v>
      </c>
      <c r="I57" s="85">
        <v>50</v>
      </c>
      <c r="J57" s="682">
        <v>1</v>
      </c>
      <c r="K57" s="579">
        <f t="shared" ref="K57:K81" si="128">IF(I57&gt;0,1.1*Q57*E57/1000,"")</f>
        <v>5.5000000000000009</v>
      </c>
      <c r="L57" s="580">
        <f>IF(H57="Select ingredient:","",IF(G57="","",_xlfn.IFNA(VLOOKUP($H57,Ingredient_prices!$E:$U,16,FALSE),0)))</f>
        <v>352</v>
      </c>
      <c r="M57" s="591"/>
      <c r="N57" s="1228">
        <f>$W83</f>
        <v>820.06842335664328</v>
      </c>
      <c r="O57" s="591"/>
      <c r="P57" s="592"/>
      <c r="Q57" s="583">
        <f t="shared" ref="Q57:Q81" si="129">I57/J57</f>
        <v>50</v>
      </c>
      <c r="R57" s="583">
        <f>VLOOKUP($H57,'CO2_emission+%_food_waste'!$A:$K,6,FALSE)*$Q57/100</f>
        <v>14.25</v>
      </c>
      <c r="S57" s="583">
        <f t="shared" ref="S57:S81" si="130">Q57-R57</f>
        <v>35.75</v>
      </c>
      <c r="T57" s="583">
        <f>IF(H57="Select ingredient:","",IF(G57="Select food category:","",_xlfn.IFNA(VLOOKUP($H57,Ingredient_prices!$E:$U,16,FALSE)*$Q57/1000,"not bought")))</f>
        <v>17.600000000000001</v>
      </c>
      <c r="U57" s="583">
        <f>IF(G57="Select food category:","",_xlfn.IFNA(VLOOKUP($H57,Ingredient_prices!$E:$U,16,FALSE)*$R57/1000,"not bought"))</f>
        <v>5.016</v>
      </c>
      <c r="V57" s="549">
        <f>VLOOKUP($H57,'CO2_emission+%_food_waste'!$A:$K,4,FALSE)*$Q57</f>
        <v>451.99999999999994</v>
      </c>
      <c r="W57" s="583">
        <f>VLOOKUP($H57,Nutrition_tables!$A:$N,10,FALSE)*$Q57/100</f>
        <v>135.05000000000001</v>
      </c>
      <c r="X57" s="583">
        <f>VLOOKUP($H57,Nutrition_tables!$A:$N,11,FALSE)*$Q57/100</f>
        <v>0.84999999999999987</v>
      </c>
      <c r="Y57" s="583">
        <f>VLOOKUP($H57,Nutrition_tables!$A:$N,12,FALSE)*$Q57/100</f>
        <v>7.6</v>
      </c>
      <c r="Z57" s="583">
        <f>VLOOKUP($H57,Nutrition_tables!$A:$N,14,FALSE)*$Q57/100</f>
        <v>10</v>
      </c>
      <c r="AA57" s="583">
        <f>VLOOKUP($H57,Nutrition_tables!$A:$AF,13,FALSE)*$Q57/100</f>
        <v>0</v>
      </c>
      <c r="AB57" s="549">
        <f>VLOOKUP($H57,Nutrition_tables!$A:$AF,15,FALSE)*$Q57/100</f>
        <v>4.3</v>
      </c>
      <c r="AC57" s="583">
        <f>VLOOKUP($H57,Nutrition_tables!$A:$AF,16,FALSE)*$Q57/100</f>
        <v>28</v>
      </c>
      <c r="AD57" s="583">
        <f>VLOOKUP($H57,Nutrition_tables!$A:$AF,17,FALSE)*$Q57/100</f>
        <v>143.5</v>
      </c>
      <c r="AE57" s="583">
        <f>VLOOKUP($H57,Nutrition_tables!$A:$AF,18,FALSE)*$Q57/100</f>
        <v>10.5</v>
      </c>
      <c r="AF57" s="583">
        <f>VLOOKUP($H57,Nutrition_tables!$A:$AF,19,FALSE)*$Q57/100</f>
        <v>9.5</v>
      </c>
      <c r="AG57" s="583">
        <f>VLOOKUP($H57,Nutrition_tables!$A:$AF,20,FALSE)*$Q57/100</f>
        <v>87.5</v>
      </c>
      <c r="AH57" s="583">
        <f>VLOOKUP($H57,Nutrition_tables!$A:$AF,21,FALSE)*$Q57/100</f>
        <v>0.7</v>
      </c>
      <c r="AI57" s="583">
        <f>VLOOKUP($H57,Nutrition_tables!$A:$AF,22,FALSE)*$Q57/100</f>
        <v>1.1000000000000001</v>
      </c>
      <c r="AJ57" s="549">
        <f>VLOOKUP($H57,Nutrition_tables!$A:$AF,23,FALSE)*$Q57/100</f>
        <v>2.2499999999999999E-2</v>
      </c>
      <c r="AK57" s="583">
        <f>VLOOKUP($H57,Nutrition_tables!$A:$AF,24,FALSE)*$Q57/100</f>
        <v>1</v>
      </c>
      <c r="AL57" s="583">
        <f>VLOOKUP($H57,Nutrition_tables!$A:$AF,25,FALSE)*$Q57/100</f>
        <v>0.14499999999999999</v>
      </c>
      <c r="AM57" s="583">
        <f>VLOOKUP($H57,Nutrition_tables!$A:$AF,26,FALSE)*$Q57/100</f>
        <v>0.105</v>
      </c>
      <c r="AN57" s="583">
        <f>VLOOKUP($H57,Nutrition_tables!$A:$AF,27,FALSE)*$Q57/100</f>
        <v>1.35</v>
      </c>
      <c r="AO57" s="583">
        <f>VLOOKUP($H57,Nutrition_tables!$A:$AF,28,FALSE)*$Q57/100</f>
        <v>0.19149999999999998</v>
      </c>
      <c r="AP57" s="583">
        <f>VLOOKUP($H57,Nutrition_tables!$A:$AF,29,FALSE)*$Q57/100</f>
        <v>2.5</v>
      </c>
      <c r="AQ57" s="583">
        <f>VLOOKUP($H57,Nutrition_tables!$A:$AF,30,FALSE)*$Q57/100</f>
        <v>0.35</v>
      </c>
      <c r="AR57" s="583">
        <f>VLOOKUP($H57,Nutrition_tables!$A:$AF,31,FALSE)*$Q57/100</f>
        <v>0.35</v>
      </c>
      <c r="AS57" s="549">
        <f>VLOOKUP($H57,Nutrition_tables!$A:$AF,32,FALSE)*$Q57/100</f>
        <v>0.25</v>
      </c>
      <c r="AT57" s="583">
        <f>IF(H57="Select ingredient:","",IF(G57="Select food category:","",IFERROR(VLOOKUP($H57,Ingredient_prices!$E:$W,17,FALSE)*$Q57/1000,"not bought")))</f>
        <v>17.600000000000001</v>
      </c>
      <c r="AU57" s="583">
        <f>IF(H57="Select ingredient:","",IF(G57="Select food category:","",IFERROR(VLOOKUP($H57,Ingredient_prices!$E:$W,18,FALSE)*$Q57/1000,"not bought")))</f>
        <v>17.600000000000001</v>
      </c>
      <c r="AV57" s="583">
        <f t="shared" ref="AV57:AV81" si="131">W57*($Q57-$R57)/($Q57+0.00001)</f>
        <v>96.560730687853862</v>
      </c>
      <c r="AW57" s="583">
        <f t="shared" ref="AW57:AW81" si="132">X57*($Q57-$R57)/($Q57+0.00001)</f>
        <v>0.60774987845002415</v>
      </c>
      <c r="AX57" s="583">
        <f t="shared" ref="AX57:AX81" si="133">Y57*($Q57-$R57)/($Q57+0.00001)</f>
        <v>5.4339989132002167</v>
      </c>
      <c r="AY57" s="583">
        <f t="shared" ref="AY57:AY81" si="134">Z57*($Q57-$R57)/($Q57+0.00001)</f>
        <v>7.1499985700002853</v>
      </c>
      <c r="AZ57" s="583">
        <f t="shared" ref="AZ57:AZ81" si="135">AA57*($Q57-$R57)/($Q57+0.00001)</f>
        <v>0</v>
      </c>
      <c r="BA57" s="583">
        <f t="shared" ref="BA57:BA81" si="136">AB57*($Q57-$R57)/($Q57+0.00001)</f>
        <v>3.0744993851001228</v>
      </c>
      <c r="BB57" s="583">
        <f t="shared" ref="BB57:BB81" si="137">AC57*($Q57-$R57)/($Q57+0.00001)</f>
        <v>20.019995996000798</v>
      </c>
      <c r="BC57" s="583">
        <f t="shared" ref="BC57:BC81" si="138">AD57*($Q57-$R57)/($Q57+0.00001)</f>
        <v>102.6024794795041</v>
      </c>
      <c r="BD57" s="583">
        <f t="shared" ref="BD57:BD71" si="139">AE57*($Q57-$R57)/($Q57+0.00001)</f>
        <v>7.5074984985002997</v>
      </c>
      <c r="BE57" s="583">
        <f t="shared" ref="BE57:BE71" si="140">AF57*($Q57-$R57)/($Q57+0.00001)</f>
        <v>6.7924986415002708</v>
      </c>
      <c r="BF57" s="583">
        <f t="shared" ref="BF57:BF71" si="141">AG57*($Q57-$R57)/($Q57+0.00001)</f>
        <v>62.562487487502501</v>
      </c>
      <c r="BG57" s="583">
        <f t="shared" ref="BG57:BG71" si="142">AH57*($Q57-$R57)/($Q57+0.00001)</f>
        <v>0.50049989990001997</v>
      </c>
      <c r="BH57" s="583">
        <f t="shared" ref="BH57:BH71" si="143">AI57*($Q57-$R57)/($Q57+0.00001)</f>
        <v>0.78649984270003148</v>
      </c>
      <c r="BI57" s="583">
        <f t="shared" ref="BI57:BI71" si="144">AJ57*($Q57-$R57)/($Q57+0.00001)</f>
        <v>1.608749678250064E-2</v>
      </c>
      <c r="BJ57" s="583">
        <f t="shared" ref="BJ57:BJ71" si="145">AK57*($Q57-$R57)/($Q57+0.00001)</f>
        <v>0.71499985700002855</v>
      </c>
      <c r="BK57" s="583">
        <f t="shared" ref="BK57:BK71" si="146">AL57*($Q57-$R57)/($Q57+0.00001)</f>
        <v>0.10367497926500414</v>
      </c>
      <c r="BL57" s="583">
        <f t="shared" ref="BL57:BL71" si="147">AM57*($Q57-$R57)/($Q57+0.00001)</f>
        <v>7.5074984985002993E-2</v>
      </c>
      <c r="BM57" s="583">
        <f t="shared" ref="BM57:BM71" si="148">AN57*($Q57-$R57)/($Q57+0.00001)</f>
        <v>0.96524980695003859</v>
      </c>
      <c r="BN57" s="583">
        <f t="shared" ref="BN57:BN71" si="149">AO57*($Q57-$R57)/($Q57+0.00001)</f>
        <v>0.13692247261550544</v>
      </c>
      <c r="BO57" s="583">
        <f t="shared" ref="BO57:BO71" si="150">AP57*($Q57-$R57)/($Q57+0.00001)</f>
        <v>1.7874996425000713</v>
      </c>
      <c r="BP57" s="583">
        <f t="shared" ref="BP57:BP71" si="151">AQ57*($Q57-$R57)/($Q57+0.00001)</f>
        <v>0.25024994995000999</v>
      </c>
      <c r="BQ57" s="583">
        <f t="shared" ref="BQ57:BQ71" si="152">AR57*($Q57-$R57)/($Q57+0.00001)</f>
        <v>0.25024994995000999</v>
      </c>
      <c r="BR57" s="583">
        <f t="shared" ref="BR57:BR71" si="153">AS57*($Q57-$R57)/($Q57+0.00001)</f>
        <v>0.17874996425000714</v>
      </c>
    </row>
    <row r="58" spans="1:70" s="229" customFormat="1" ht="15" customHeight="1">
      <c r="A58" s="590"/>
      <c r="C58" s="85"/>
      <c r="D58" s="749"/>
      <c r="E58" s="576">
        <f>IF(E$57&gt;0,E$57,"")</f>
        <v>100</v>
      </c>
      <c r="F58" s="248"/>
      <c r="G58" s="406" t="s">
        <v>3140</v>
      </c>
      <c r="H58" s="578" t="s">
        <v>3123</v>
      </c>
      <c r="I58" s="85">
        <v>70</v>
      </c>
      <c r="J58" s="682">
        <v>1</v>
      </c>
      <c r="K58" s="579">
        <f t="shared" si="128"/>
        <v>7.7</v>
      </c>
      <c r="L58" s="580">
        <f>IF(H58="Select ingredient:","",IF(G58="","",_xlfn.IFNA(VLOOKUP($H58,Ingredient_prices!$E:$U,16,FALSE),0)))</f>
        <v>110</v>
      </c>
      <c r="M58" s="591"/>
      <c r="N58" s="591"/>
      <c r="O58" s="591"/>
      <c r="P58" s="592"/>
      <c r="Q58" s="583">
        <f t="shared" si="129"/>
        <v>70</v>
      </c>
      <c r="R58" s="583">
        <f>VLOOKUP($H58,'CO2_emission+%_food_waste'!$A:$K,6,FALSE)*$Q58/100</f>
        <v>18.829999999999998</v>
      </c>
      <c r="S58" s="583">
        <f t="shared" si="130"/>
        <v>51.17</v>
      </c>
      <c r="T58" s="583">
        <f>IF(H58="Select ingredient:","",IF(G58="Select food category:","",_xlfn.IFNA(VLOOKUP($H58,Ingredient_prices!$E:$U,16,FALSE)*$Q58/1000,"not bought")))</f>
        <v>7.7</v>
      </c>
      <c r="U58" s="583">
        <f>IF(G58="Select food category:","",_xlfn.IFNA(VLOOKUP($H58,Ingredient_prices!$E:$U,16,FALSE)*$R58/1000,"not bought"))</f>
        <v>2.0712999999999999</v>
      </c>
      <c r="V58" s="549">
        <f>VLOOKUP($H58,'CO2_emission+%_food_waste'!$A:$K,4,FALSE)*$Q58</f>
        <v>87.5</v>
      </c>
      <c r="W58" s="583">
        <f>VLOOKUP($H58,Nutrition_tables!$A:$N,10,FALSE)*$Q58/100</f>
        <v>53.202706666666664</v>
      </c>
      <c r="X58" s="583">
        <f>VLOOKUP($H58,Nutrition_tables!$A:$N,11,FALSE)*$Q58/100</f>
        <v>6.23</v>
      </c>
      <c r="Y58" s="583">
        <f>VLOOKUP($H58,Nutrition_tables!$A:$N,12,FALSE)*$Q58/100</f>
        <v>4.2699999999999996</v>
      </c>
      <c r="Z58" s="583">
        <f>VLOOKUP($H58,Nutrition_tables!$A:$N,14,FALSE)*$Q58/100</f>
        <v>0.49</v>
      </c>
      <c r="AA58" s="583">
        <f>VLOOKUP($H58,Nutrition_tables!$A:$AF,13,FALSE)*$Q58/100</f>
        <v>3.29</v>
      </c>
      <c r="AB58" s="549">
        <f>VLOOKUP($H58,Nutrition_tables!$A:$AF,15,FALSE)*$Q58/100</f>
        <v>8.9600000000000013E-2</v>
      </c>
      <c r="AC58" s="583">
        <f>VLOOKUP($H58,Nutrition_tables!$A:$AF,16,FALSE)*$Q58/100</f>
        <v>1.4</v>
      </c>
      <c r="AD58" s="583">
        <f>VLOOKUP($H58,Nutrition_tables!$A:$AF,17,FALSE)*$Q58/100</f>
        <v>114.1</v>
      </c>
      <c r="AE58" s="583">
        <f>VLOOKUP($H58,Nutrition_tables!$A:$AF,18,FALSE)*$Q58/100</f>
        <v>24.5</v>
      </c>
      <c r="AF58" s="583">
        <f>VLOOKUP($H58,Nutrition_tables!$A:$AF,19,FALSE)*$Q58/100</f>
        <v>18.060000000000002</v>
      </c>
      <c r="AG58" s="583">
        <f>VLOOKUP($H58,Nutrition_tables!$A:$AF,20,FALSE)*$Q58/100</f>
        <v>64.259999999999991</v>
      </c>
      <c r="AH58" s="583">
        <f>VLOOKUP($H58,Nutrition_tables!$A:$AF,21,FALSE)*$Q58/100</f>
        <v>0.94499999999999995</v>
      </c>
      <c r="AI58" s="583">
        <f>VLOOKUP($H58,Nutrition_tables!$A:$AF,22,FALSE)*$Q58/100</f>
        <v>0.623</v>
      </c>
      <c r="AJ58" s="549">
        <f>VLOOKUP($H58,Nutrition_tables!$A:$AF,23,FALSE)*$Q58/100</f>
        <v>0.11900000000000001</v>
      </c>
      <c r="AK58" s="583">
        <f>VLOOKUP($H58,Nutrition_tables!$A:$AF,24,FALSE)*$Q58/100</f>
        <v>20.86</v>
      </c>
      <c r="AL58" s="583">
        <f>VLOOKUP($H58,Nutrition_tables!$A:$AF,25,FALSE)*$Q58/100</f>
        <v>0.19814666666666667</v>
      </c>
      <c r="AM58" s="583">
        <f>VLOOKUP($H58,Nutrition_tables!$A:$AF,26,FALSE)*$Q58/100</f>
        <v>6.8599999999999994E-2</v>
      </c>
      <c r="AN58" s="583">
        <f>VLOOKUP($H58,Nutrition_tables!$A:$AF,27,FALSE)*$Q58/100</f>
        <v>1.1970000000000001</v>
      </c>
      <c r="AO58" s="583">
        <f>VLOOKUP($H58,Nutrition_tables!$A:$AF,28,FALSE)*$Q58/100</f>
        <v>5.3946666666666657E-2</v>
      </c>
      <c r="AP58" s="583">
        <f>VLOOKUP($H58,Nutrition_tables!$A:$AF,29,FALSE)*$Q58/100</f>
        <v>84.7</v>
      </c>
      <c r="AQ58" s="583">
        <f>VLOOKUP($H58,Nutrition_tables!$A:$AF,30,FALSE)*$Q58/100</f>
        <v>-2.8000000000000003E-4</v>
      </c>
      <c r="AR58" s="583">
        <f>VLOOKUP($H58,Nutrition_tables!$A:$AF,31,FALSE)*$Q58/100</f>
        <v>13.51</v>
      </c>
      <c r="AS58" s="549">
        <f>VLOOKUP($H58,Nutrition_tables!$A:$AF,32,FALSE)*$Q58/100</f>
        <v>-2.8000000000000003E-4</v>
      </c>
      <c r="AT58" s="583">
        <f>IF(H58="Select ingredient:","",IF(G58="Select food category:","",IFERROR(VLOOKUP($H58,Ingredient_prices!$E:$W,17,FALSE)*$Q58/1000,"not bought")))</f>
        <v>7.7</v>
      </c>
      <c r="AU58" s="583">
        <f>IF(H58="Select ingredient:","",IF(G58="Select food category:","",IFERROR(VLOOKUP($H58,Ingredient_prices!$E:$W,18,FALSE)*$Q58/1000,"not bought")))</f>
        <v>7.7</v>
      </c>
      <c r="AV58" s="583">
        <f t="shared" si="131"/>
        <v>38.891173017451472</v>
      </c>
      <c r="AW58" s="583">
        <f t="shared" si="132"/>
        <v>4.5541293494100934</v>
      </c>
      <c r="AX58" s="583">
        <f t="shared" si="133"/>
        <v>3.1213695540900632</v>
      </c>
      <c r="AY58" s="583">
        <f t="shared" si="134"/>
        <v>0.35818994883000727</v>
      </c>
      <c r="AZ58" s="583">
        <f t="shared" si="135"/>
        <v>2.404989656430049</v>
      </c>
      <c r="BA58" s="583">
        <f t="shared" si="136"/>
        <v>6.5497590643201334E-2</v>
      </c>
      <c r="BB58" s="583">
        <f t="shared" si="137"/>
        <v>1.0233998538000206</v>
      </c>
      <c r="BC58" s="583">
        <f t="shared" si="138"/>
        <v>83.407088084701698</v>
      </c>
      <c r="BD58" s="583">
        <f t="shared" si="139"/>
        <v>17.909497441500363</v>
      </c>
      <c r="BE58" s="583">
        <f t="shared" si="140"/>
        <v>13.201858114020272</v>
      </c>
      <c r="BF58" s="583">
        <f t="shared" si="141"/>
        <v>46.974053289420951</v>
      </c>
      <c r="BG58" s="583">
        <f t="shared" si="142"/>
        <v>0.69079490131501398</v>
      </c>
      <c r="BH58" s="583">
        <f t="shared" si="143"/>
        <v>0.45541293494100932</v>
      </c>
      <c r="BI58" s="583">
        <f t="shared" si="144"/>
        <v>8.6988987573001775E-2</v>
      </c>
      <c r="BJ58" s="583">
        <f t="shared" si="145"/>
        <v>15.248657821620309</v>
      </c>
      <c r="BK58" s="583">
        <f t="shared" si="146"/>
        <v>0.14484519264116294</v>
      </c>
      <c r="BL58" s="583">
        <f t="shared" si="147"/>
        <v>5.0146592836201022E-2</v>
      </c>
      <c r="BM58" s="583">
        <f t="shared" si="148"/>
        <v>0.87500687499901786</v>
      </c>
      <c r="BN58" s="583">
        <f t="shared" si="149"/>
        <v>3.9435007699760799E-2</v>
      </c>
      <c r="BO58" s="583">
        <f t="shared" si="150"/>
        <v>61.915691154901261</v>
      </c>
      <c r="BP58" s="583">
        <f t="shared" si="151"/>
        <v>-2.0467997076000421E-4</v>
      </c>
      <c r="BQ58" s="583">
        <f t="shared" si="152"/>
        <v>9.8758085891702017</v>
      </c>
      <c r="BR58" s="583">
        <f t="shared" si="153"/>
        <v>-2.0467997076000421E-4</v>
      </c>
    </row>
    <row r="59" spans="1:70" s="229" customFormat="1" ht="15" customHeight="1">
      <c r="A59" s="590"/>
      <c r="D59" s="406"/>
      <c r="E59" s="576">
        <f t="shared" ref="E59:E81" si="154">IF(E$57&gt;0,E$57,"")</f>
        <v>100</v>
      </c>
      <c r="F59" s="707"/>
      <c r="G59" s="406" t="s">
        <v>3075</v>
      </c>
      <c r="H59" s="578" t="s">
        <v>3239</v>
      </c>
      <c r="I59" s="85">
        <v>10</v>
      </c>
      <c r="J59" s="682">
        <v>1</v>
      </c>
      <c r="K59" s="579">
        <f t="shared" si="128"/>
        <v>1.1000000000000001</v>
      </c>
      <c r="L59" s="580">
        <f>IF(H59="Select ingredient:","",IF(G59="","",_xlfn.IFNA(VLOOKUP($H59,Ingredient_prices!$E:$U,16,FALSE),0)))</f>
        <v>121</v>
      </c>
      <c r="M59" s="591"/>
      <c r="N59" s="591"/>
      <c r="O59" s="591"/>
      <c r="P59" s="592"/>
      <c r="Q59" s="583">
        <f t="shared" si="129"/>
        <v>10</v>
      </c>
      <c r="R59" s="583">
        <f>VLOOKUP($H59,'CO2_emission+%_food_waste'!$A:$K,6,FALSE)*$Q59/100</f>
        <v>2.78</v>
      </c>
      <c r="S59" s="583">
        <f t="shared" si="130"/>
        <v>7.2200000000000006</v>
      </c>
      <c r="T59" s="583">
        <f>IF(H59="Select ingredient:","",IF(G59="Select food category:","",_xlfn.IFNA(VLOOKUP($H59,Ingredient_prices!$E:$U,16,FALSE)*$Q59/1000,"not bought")))</f>
        <v>1.21</v>
      </c>
      <c r="U59" s="583">
        <f>IF(G59="Select food category:","",_xlfn.IFNA(VLOOKUP($H59,Ingredient_prices!$E:$U,16,FALSE)*$R59/1000,"not bought"))</f>
        <v>0.33638000000000001</v>
      </c>
      <c r="V59" s="549">
        <f>VLOOKUP($H59,'CO2_emission+%_food_waste'!$A:$K,4,FALSE)*$Q59</f>
        <v>47.300000000000004</v>
      </c>
      <c r="W59" s="583">
        <f>VLOOKUP($H59,Nutrition_tables!$A:$N,10,FALSE)*$Q59/100</f>
        <v>88.432100000000005</v>
      </c>
      <c r="X59" s="583">
        <f>VLOOKUP($H59,Nutrition_tables!$A:$N,11,FALSE)*$Q59/100</f>
        <v>0.01</v>
      </c>
      <c r="Y59" s="583">
        <f>VLOOKUP($H59,Nutrition_tables!$A:$N,12,FALSE)*$Q59/100</f>
        <v>0.01</v>
      </c>
      <c r="Z59" s="583">
        <f>VLOOKUP($H59,Nutrition_tables!$A:$N,14,FALSE)*$Q59/100</f>
        <v>9.9499999999999993</v>
      </c>
      <c r="AA59" s="583">
        <f>VLOOKUP($H59,Nutrition_tables!$A:$AF,13,FALSE)*$Q59/100</f>
        <v>0</v>
      </c>
      <c r="AB59" s="549">
        <f>VLOOKUP($H59,Nutrition_tables!$A:$AF,15,FALSE)*$Q59/100</f>
        <v>0.67900000000000005</v>
      </c>
      <c r="AC59" s="583">
        <f>VLOOKUP($H59,Nutrition_tables!$A:$AF,16,FALSE)*$Q59/100</f>
        <v>0.01</v>
      </c>
      <c r="AD59" s="583">
        <f>VLOOKUP($H59,Nutrition_tables!$A:$AF,17,FALSE)*$Q59/100</f>
        <v>0</v>
      </c>
      <c r="AE59" s="583">
        <f>VLOOKUP($H59,Nutrition_tables!$A:$AF,18,FALSE)*$Q59/100</f>
        <v>0.02</v>
      </c>
      <c r="AF59" s="583">
        <f>VLOOKUP($H59,Nutrition_tables!$A:$AF,19,FALSE)*$Q59/100</f>
        <v>0.1</v>
      </c>
      <c r="AG59" s="583">
        <f>VLOOKUP($H59,Nutrition_tables!$A:$AF,20,FALSE)*$Q59/100</f>
        <v>0</v>
      </c>
      <c r="AH59" s="583">
        <f>VLOOKUP($H59,Nutrition_tables!$A:$AF,21,FALSE)*$Q59/100</f>
        <v>0.01</v>
      </c>
      <c r="AI59" s="583">
        <f>VLOOKUP($H59,Nutrition_tables!$A:$AF,22,FALSE)*$Q59/100</f>
        <v>0</v>
      </c>
      <c r="AJ59" s="549">
        <f>VLOOKUP($H59,Nutrition_tables!$A:$AF,23,FALSE)*$Q59/100</f>
        <v>0</v>
      </c>
      <c r="AK59" s="583">
        <f>VLOOKUP($H59,Nutrition_tables!$A:$AF,24,FALSE)*$Q59/100</f>
        <v>0</v>
      </c>
      <c r="AL59" s="583">
        <f>VLOOKUP($H59,Nutrition_tables!$A:$AF,25,FALSE)*$Q59/100</f>
        <v>0</v>
      </c>
      <c r="AM59" s="583">
        <f>VLOOKUP($H59,Nutrition_tables!$A:$AF,26,FALSE)*$Q59/100</f>
        <v>0</v>
      </c>
      <c r="AN59" s="583">
        <f>VLOOKUP($H59,Nutrition_tables!$A:$AF,27,FALSE)*$Q59/100</f>
        <v>0</v>
      </c>
      <c r="AO59" s="583">
        <f>VLOOKUP($H59,Nutrition_tables!$A:$AF,28,FALSE)*$Q59/100</f>
        <v>0</v>
      </c>
      <c r="AP59" s="583">
        <f>VLOOKUP($H59,Nutrition_tables!$A:$AF,29,FALSE)*$Q59/100</f>
        <v>0</v>
      </c>
      <c r="AQ59" s="583">
        <f>VLOOKUP($H59,Nutrition_tables!$A:$AF,30,FALSE)*$Q59/100</f>
        <v>0</v>
      </c>
      <c r="AR59" s="583">
        <f>VLOOKUP($H59,Nutrition_tables!$A:$AF,31,FALSE)*$Q59/100</f>
        <v>0</v>
      </c>
      <c r="AS59" s="549">
        <f>VLOOKUP($H59,Nutrition_tables!$A:$AF,32,FALSE)*$Q59/100</f>
        <v>0</v>
      </c>
      <c r="AT59" s="583">
        <f>IF(H59="Select ingredient:","",IF(G59="Select food category:","",IFERROR(VLOOKUP($H59,Ingredient_prices!$E:$W,17,FALSE)*$Q59/1000,"not bought")))</f>
        <v>1.21</v>
      </c>
      <c r="AU59" s="583">
        <f>IF(H59="Select ingredient:","",IF(G59="Select food category:","",IFERROR(VLOOKUP($H59,Ingredient_prices!$E:$W,18,FALSE)*$Q59/1000,"not bought")))</f>
        <v>1.21</v>
      </c>
      <c r="AV59" s="583">
        <f t="shared" si="131"/>
        <v>63.847912352087654</v>
      </c>
      <c r="AW59" s="583">
        <f t="shared" si="132"/>
        <v>7.2199927800072217E-3</v>
      </c>
      <c r="AX59" s="583">
        <f t="shared" si="133"/>
        <v>7.2199927800072217E-3</v>
      </c>
      <c r="AY59" s="583">
        <f t="shared" si="134"/>
        <v>7.1838928161071838</v>
      </c>
      <c r="AZ59" s="583">
        <f t="shared" si="135"/>
        <v>0</v>
      </c>
      <c r="BA59" s="583">
        <f t="shared" si="136"/>
        <v>0.49023750976249036</v>
      </c>
      <c r="BB59" s="583">
        <f t="shared" si="137"/>
        <v>7.2199927800072217E-3</v>
      </c>
      <c r="BC59" s="583">
        <f t="shared" si="138"/>
        <v>0</v>
      </c>
      <c r="BD59" s="583">
        <f t="shared" si="139"/>
        <v>1.4439985560014443E-2</v>
      </c>
      <c r="BE59" s="583">
        <f t="shared" si="140"/>
        <v>7.2199927800072214E-2</v>
      </c>
      <c r="BF59" s="583">
        <f t="shared" si="141"/>
        <v>0</v>
      </c>
      <c r="BG59" s="583">
        <f t="shared" si="142"/>
        <v>7.2199927800072217E-3</v>
      </c>
      <c r="BH59" s="583">
        <f t="shared" si="143"/>
        <v>0</v>
      </c>
      <c r="BI59" s="583">
        <f t="shared" si="144"/>
        <v>0</v>
      </c>
      <c r="BJ59" s="583">
        <f t="shared" si="145"/>
        <v>0</v>
      </c>
      <c r="BK59" s="583">
        <f t="shared" si="146"/>
        <v>0</v>
      </c>
      <c r="BL59" s="583">
        <f t="shared" si="147"/>
        <v>0</v>
      </c>
      <c r="BM59" s="583">
        <f t="shared" si="148"/>
        <v>0</v>
      </c>
      <c r="BN59" s="583">
        <f t="shared" si="149"/>
        <v>0</v>
      </c>
      <c r="BO59" s="583">
        <f t="shared" si="150"/>
        <v>0</v>
      </c>
      <c r="BP59" s="583">
        <f t="shared" si="151"/>
        <v>0</v>
      </c>
      <c r="BQ59" s="583">
        <f t="shared" si="152"/>
        <v>0</v>
      </c>
      <c r="BR59" s="583">
        <f t="shared" si="153"/>
        <v>0</v>
      </c>
    </row>
    <row r="60" spans="1:70" s="229" customFormat="1" ht="15" customHeight="1">
      <c r="A60" s="590"/>
      <c r="D60" s="85"/>
      <c r="E60" s="576">
        <f t="shared" si="154"/>
        <v>100</v>
      </c>
      <c r="F60" s="707"/>
      <c r="G60" s="406" t="s">
        <v>3076</v>
      </c>
      <c r="H60" s="578" t="s">
        <v>495</v>
      </c>
      <c r="I60" s="85">
        <v>0.3</v>
      </c>
      <c r="J60" s="682">
        <v>1</v>
      </c>
      <c r="K60" s="579">
        <f t="shared" si="128"/>
        <v>3.3000000000000002E-2</v>
      </c>
      <c r="L60" s="580">
        <f>IF(H60="Select ingredient:","",IF(G60="","",_xlfn.IFNA(VLOOKUP($H60,Ingredient_prices!$E:$U,16,FALSE),0)))</f>
        <v>33.6</v>
      </c>
      <c r="M60" s="591"/>
      <c r="N60" s="591"/>
      <c r="O60" s="591"/>
      <c r="P60" s="592"/>
      <c r="Q60" s="583">
        <f t="shared" si="129"/>
        <v>0.3</v>
      </c>
      <c r="R60" s="583">
        <f>VLOOKUP($H60,'CO2_emission+%_food_waste'!$A:$K,6,FALSE)*$Q60/100</f>
        <v>9.2999999999999985E-2</v>
      </c>
      <c r="S60" s="583">
        <f t="shared" si="130"/>
        <v>0.20700000000000002</v>
      </c>
      <c r="T60" s="583">
        <f>IF(H60="Select ingredient:","",IF(G60="Select food category:","",_xlfn.IFNA(VLOOKUP($H60,Ingredient_prices!$E:$U,16,FALSE)*$Q60/1000,"not bought")))</f>
        <v>1.008E-2</v>
      </c>
      <c r="U60" s="583">
        <f>IF(G60="Select food category:","",_xlfn.IFNA(VLOOKUP($H60,Ingredient_prices!$E:$U,16,FALSE)*$R60/1000,"not bought"))</f>
        <v>3.1247999999999996E-3</v>
      </c>
      <c r="V60" s="549">
        <f>VLOOKUP($H60,'CO2_emission+%_food_waste'!$A:$K,4,FALSE)*$Q60</f>
        <v>5.3999999999999999E-2</v>
      </c>
      <c r="W60" s="583">
        <f>VLOOKUP($H60,Nutrition_tables!$A:$N,10,FALSE)*$Q60/100</f>
        <v>0</v>
      </c>
      <c r="X60" s="583">
        <f>VLOOKUP($H60,Nutrition_tables!$A:$N,11,FALSE)*$Q60/100</f>
        <v>0</v>
      </c>
      <c r="Y60" s="583">
        <f>VLOOKUP($H60,Nutrition_tables!$A:$N,12,FALSE)*$Q60/100</f>
        <v>0</v>
      </c>
      <c r="Z60" s="583">
        <f>VLOOKUP($H60,Nutrition_tables!$A:$N,14,FALSE)*$Q60/100</f>
        <v>0</v>
      </c>
      <c r="AA60" s="583">
        <f>VLOOKUP($H60,Nutrition_tables!$A:$AF,13,FALSE)*$Q60/100</f>
        <v>0</v>
      </c>
      <c r="AB60" s="549">
        <f>VLOOKUP($H60,Nutrition_tables!$A:$AF,15,FALSE)*$Q60/100</f>
        <v>0</v>
      </c>
      <c r="AC60" s="583">
        <f>VLOOKUP($H60,Nutrition_tables!$A:$AF,16,FALSE)*$Q60/100</f>
        <v>116.55</v>
      </c>
      <c r="AD60" s="583">
        <f>VLOOKUP($H60,Nutrition_tables!$A:$AF,17,FALSE)*$Q60/100</f>
        <v>0.34799999999999998</v>
      </c>
      <c r="AE60" s="583">
        <f>VLOOKUP($H60,Nutrition_tables!$A:$AF,18,FALSE)*$Q60/100</f>
        <v>5.7000000000000002E-2</v>
      </c>
      <c r="AF60" s="583">
        <f>VLOOKUP($H60,Nutrition_tables!$A:$AF,19,FALSE)*$Q60/100</f>
        <v>0.79500000000000004</v>
      </c>
      <c r="AG60" s="583">
        <f>VLOOKUP($H60,Nutrition_tables!$A:$AF,20,FALSE)*$Q60/100</f>
        <v>2.4E-2</v>
      </c>
      <c r="AH60" s="583">
        <f>VLOOKUP($H60,Nutrition_tables!$A:$AF,21,FALSE)*$Q60/100</f>
        <v>6.0000000000000002E-5</v>
      </c>
      <c r="AI60" s="583">
        <f>VLOOKUP($H60,Nutrition_tables!$A:$AF,22,FALSE)*$Q60/100</f>
        <v>2.9999999999999997E-4</v>
      </c>
      <c r="AJ60" s="549">
        <f>VLOOKUP($H60,Nutrition_tables!$A:$AF,23,FALSE)*$Q60/100</f>
        <v>8.9999999999999992E-5</v>
      </c>
      <c r="AK60" s="583">
        <f>VLOOKUP($H60,Nutrition_tables!$A:$AF,24,FALSE)*$Q60/100</f>
        <v>0</v>
      </c>
      <c r="AL60" s="583">
        <f>VLOOKUP($H60,Nutrition_tables!$A:$AF,25,FALSE)*$Q60/100</f>
        <v>0</v>
      </c>
      <c r="AM60" s="583">
        <f>VLOOKUP($H60,Nutrition_tables!$A:$AF,26,FALSE)*$Q60/100</f>
        <v>0</v>
      </c>
      <c r="AN60" s="583">
        <f>VLOOKUP($H60,Nutrition_tables!$A:$AF,27,FALSE)*$Q60/100</f>
        <v>0</v>
      </c>
      <c r="AO60" s="583">
        <f>VLOOKUP($H60,Nutrition_tables!$A:$AF,28,FALSE)*$Q60/100</f>
        <v>0</v>
      </c>
      <c r="AP60" s="583">
        <f>VLOOKUP($H60,Nutrition_tables!$A:$AF,29,FALSE)*$Q60/100</f>
        <v>0</v>
      </c>
      <c r="AQ60" s="583">
        <f>VLOOKUP($H60,Nutrition_tables!$A:$AF,30,FALSE)*$Q60/100</f>
        <v>0</v>
      </c>
      <c r="AR60" s="583">
        <f>VLOOKUP($H60,Nutrition_tables!$A:$AF,31,FALSE)*$Q60/100</f>
        <v>0</v>
      </c>
      <c r="AS60" s="549">
        <f>VLOOKUP($H60,Nutrition_tables!$A:$AF,32,FALSE)*$Q60/100</f>
        <v>0</v>
      </c>
      <c r="AT60" s="583">
        <f>IF(H60="Select ingredient:","",IF(G60="Select food category:","",IFERROR(VLOOKUP($H60,Ingredient_prices!$E:$W,17,FALSE)*$Q60/1000,"not bought")))</f>
        <v>1.008E-2</v>
      </c>
      <c r="AU60" s="583">
        <f>IF(H60="Select ingredient:","",IF(G60="Select food category:","",IFERROR(VLOOKUP($H60,Ingredient_prices!$E:$W,18,FALSE)*$Q60/1000,"not bought")))</f>
        <v>1.008E-2</v>
      </c>
      <c r="AV60" s="583">
        <f t="shared" si="131"/>
        <v>0</v>
      </c>
      <c r="AW60" s="583">
        <f t="shared" si="132"/>
        <v>0</v>
      </c>
      <c r="AX60" s="583">
        <f t="shared" si="133"/>
        <v>0</v>
      </c>
      <c r="AY60" s="583">
        <f t="shared" si="134"/>
        <v>0</v>
      </c>
      <c r="AZ60" s="583">
        <f t="shared" si="135"/>
        <v>0</v>
      </c>
      <c r="BA60" s="583">
        <f t="shared" si="136"/>
        <v>0</v>
      </c>
      <c r="BB60" s="583">
        <f t="shared" si="137"/>
        <v>80.416819439352025</v>
      </c>
      <c r="BC60" s="583">
        <f t="shared" si="138"/>
        <v>0.24011199626679111</v>
      </c>
      <c r="BD60" s="583">
        <f t="shared" si="139"/>
        <v>3.9328689043698552E-2</v>
      </c>
      <c r="BE60" s="583">
        <f t="shared" si="140"/>
        <v>0.54853171560947978</v>
      </c>
      <c r="BF60" s="583">
        <f t="shared" si="141"/>
        <v>1.6559448018399387E-2</v>
      </c>
      <c r="BG60" s="583">
        <f t="shared" si="142"/>
        <v>4.1398620045998472E-5</v>
      </c>
      <c r="BH60" s="583">
        <f t="shared" si="143"/>
        <v>2.0699310022999234E-4</v>
      </c>
      <c r="BI60" s="583">
        <f t="shared" si="144"/>
        <v>6.2097930068997701E-5</v>
      </c>
      <c r="BJ60" s="583">
        <f t="shared" si="145"/>
        <v>0</v>
      </c>
      <c r="BK60" s="583">
        <f t="shared" si="146"/>
        <v>0</v>
      </c>
      <c r="BL60" s="583">
        <f t="shared" si="147"/>
        <v>0</v>
      </c>
      <c r="BM60" s="583">
        <f t="shared" si="148"/>
        <v>0</v>
      </c>
      <c r="BN60" s="583">
        <f t="shared" si="149"/>
        <v>0</v>
      </c>
      <c r="BO60" s="583">
        <f t="shared" si="150"/>
        <v>0</v>
      </c>
      <c r="BP60" s="583">
        <f t="shared" si="151"/>
        <v>0</v>
      </c>
      <c r="BQ60" s="583">
        <f t="shared" si="152"/>
        <v>0</v>
      </c>
      <c r="BR60" s="583">
        <f t="shared" si="153"/>
        <v>0</v>
      </c>
    </row>
    <row r="61" spans="1:70" s="229" customFormat="1" ht="15" customHeight="1">
      <c r="A61" s="590"/>
      <c r="D61" s="85"/>
      <c r="E61" s="576">
        <f t="shared" si="154"/>
        <v>100</v>
      </c>
      <c r="F61" s="707"/>
      <c r="G61" s="406" t="s">
        <v>3141</v>
      </c>
      <c r="H61" s="578" t="s">
        <v>3245</v>
      </c>
      <c r="I61" s="85">
        <v>10</v>
      </c>
      <c r="J61" s="682">
        <v>1</v>
      </c>
      <c r="K61" s="579">
        <f t="shared" si="128"/>
        <v>1.1000000000000001</v>
      </c>
      <c r="L61" s="580">
        <f>IF(H61="Select ingredient:","",IF(G61="","",_xlfn.IFNA(VLOOKUP($H61,Ingredient_prices!$E:$U,16,FALSE),0)))</f>
        <v>43.12</v>
      </c>
      <c r="M61" s="591"/>
      <c r="N61" s="591"/>
      <c r="O61" s="591"/>
      <c r="P61" s="592"/>
      <c r="Q61" s="583">
        <f t="shared" si="129"/>
        <v>10</v>
      </c>
      <c r="R61" s="583">
        <f>VLOOKUP($H61,'CO2_emission+%_food_waste'!$A:$K,6,FALSE)*$Q61/100</f>
        <v>2.17</v>
      </c>
      <c r="S61" s="583">
        <f t="shared" si="130"/>
        <v>7.83</v>
      </c>
      <c r="T61" s="583">
        <f>IF(H61="Select ingredient:","",IF(G61="Select food category:","",_xlfn.IFNA(VLOOKUP($H61,Ingredient_prices!$E:$U,16,FALSE)*$Q61/1000,"not bought")))</f>
        <v>0.43119999999999997</v>
      </c>
      <c r="U61" s="583">
        <f>IF(G61="Select food category:","",_xlfn.IFNA(VLOOKUP($H61,Ingredient_prices!$E:$U,16,FALSE)*$R61/1000,"not bought"))</f>
        <v>9.3570399999999998E-2</v>
      </c>
      <c r="V61" s="549">
        <f>VLOOKUP($H61,'CO2_emission+%_food_waste'!$A:$K,4,FALSE)*$Q61</f>
        <v>16.200000000000003</v>
      </c>
      <c r="W61" s="583">
        <f>VLOOKUP($H61,Nutrition_tables!$A:$N,10,FALSE)*$Q61/100</f>
        <v>35.58997668997668</v>
      </c>
      <c r="X61" s="583">
        <f>VLOOKUP($H61,Nutrition_tables!$A:$N,11,FALSE)*$Q61/100</f>
        <v>7.7899766899766902</v>
      </c>
      <c r="Y61" s="583">
        <f>VLOOKUP($H61,Nutrition_tables!$A:$N,12,FALSE)*$Q61/100</f>
        <v>0.95</v>
      </c>
      <c r="Z61" s="583">
        <f>VLOOKUP($H61,Nutrition_tables!$A:$N,14,FALSE)*$Q61/100</f>
        <v>0.11002331002331001</v>
      </c>
      <c r="AA61" s="583">
        <f>VLOOKUP($H61,Nutrition_tables!$A:$AF,13,FALSE)*$Q61/100</f>
        <v>0.25011655011655015</v>
      </c>
      <c r="AB61" s="549">
        <f>VLOOKUP($H61,Nutrition_tables!$A:$AF,15,FALSE)*$Q61/100</f>
        <v>1.6083916083916083E-2</v>
      </c>
      <c r="AC61" s="583">
        <f>VLOOKUP($H61,Nutrition_tables!$A:$AF,16,FALSE)*$Q61/100</f>
        <v>0.28997668997668996</v>
      </c>
      <c r="AD61" s="583">
        <f>VLOOKUP($H61,Nutrition_tables!$A:$AF,17,FALSE)*$Q61/100</f>
        <v>15.8</v>
      </c>
      <c r="AE61" s="583">
        <f>VLOOKUP($H61,Nutrition_tables!$A:$AF,18,FALSE)*$Q61/100</f>
        <v>2.4</v>
      </c>
      <c r="AF61" s="583">
        <f>VLOOKUP($H61,Nutrition_tables!$A:$AF,19,FALSE)*$Q61/100</f>
        <v>2.4799533799533804</v>
      </c>
      <c r="AG61" s="583">
        <f>VLOOKUP($H61,Nutrition_tables!$A:$AF,20,FALSE)*$Q61/100</f>
        <v>10.599999999999998</v>
      </c>
      <c r="AH61" s="583">
        <f>VLOOKUP($H61,Nutrition_tables!$A:$AF,21,FALSE)*$Q61/100</f>
        <v>8.9044289044289043E-2</v>
      </c>
      <c r="AI61" s="583">
        <f>VLOOKUP($H61,Nutrition_tables!$A:$AF,22,FALSE)*$Q61/100</f>
        <v>6.9930069930069921E-2</v>
      </c>
      <c r="AJ61" s="549">
        <f>VLOOKUP($H61,Nutrition_tables!$A:$AF,23,FALSE)*$Q61/100</f>
        <v>5.011655011655012E-2</v>
      </c>
      <c r="AK61" s="583">
        <f>VLOOKUP($H61,Nutrition_tables!$A:$AF,24,FALSE)*$Q61/100</f>
        <v>0</v>
      </c>
      <c r="AL61" s="583">
        <f>VLOOKUP($H61,Nutrition_tables!$A:$AF,25,FALSE)*$Q61/100</f>
        <v>1.491841491841492E-2</v>
      </c>
      <c r="AM61" s="583">
        <f>VLOOKUP($H61,Nutrition_tables!$A:$AF,26,FALSE)*$Q61/100</f>
        <v>3.9627039627039623E-3</v>
      </c>
      <c r="AN61" s="583">
        <f>VLOOKUP($H61,Nutrition_tables!$A:$AF,27,FALSE)*$Q61/100</f>
        <v>0.13100233100233102</v>
      </c>
      <c r="AO61" s="583">
        <f>VLOOKUP($H61,Nutrition_tables!$A:$AF,28,FALSE)*$Q61/100</f>
        <v>6.9930069930069913E-3</v>
      </c>
      <c r="AP61" s="583">
        <f>VLOOKUP($H61,Nutrition_tables!$A:$AF,29,FALSE)*$Q61/100</f>
        <v>1.6400932400932402</v>
      </c>
      <c r="AQ61" s="583">
        <f>VLOOKUP($H61,Nutrition_tables!$A:$AF,30,FALSE)*$Q61/100</f>
        <v>9.0909090909090887E-3</v>
      </c>
      <c r="AR61" s="583">
        <f>VLOOKUP($H61,Nutrition_tables!$A:$AF,31,FALSE)*$Q61/100</f>
        <v>0</v>
      </c>
      <c r="AS61" s="549">
        <f>VLOOKUP($H61,Nutrition_tables!$A:$AF,32,FALSE)*$Q61/100</f>
        <v>0</v>
      </c>
      <c r="AT61" s="583">
        <f>IF(H61="Select ingredient:","",IF(G61="Select food category:","",IFERROR(VLOOKUP($H61,Ingredient_prices!$E:$W,17,FALSE)*$Q61/1000,"not bought")))</f>
        <v>0.43119999999999997</v>
      </c>
      <c r="AU61" s="583">
        <f>IF(H61="Select ingredient:","",IF(G61="Select food category:","",IFERROR(VLOOKUP($H61,Ingredient_prices!$E:$W,18,FALSE)*$Q61/1000,"not bought")))</f>
        <v>0.43119999999999997</v>
      </c>
      <c r="AV61" s="583">
        <f t="shared" si="131"/>
        <v>27.86692388132786</v>
      </c>
      <c r="AW61" s="583">
        <f t="shared" si="132"/>
        <v>6.0995456487061004</v>
      </c>
      <c r="AX61" s="583">
        <f t="shared" si="133"/>
        <v>0.74384925615074382</v>
      </c>
      <c r="AY61" s="583">
        <f t="shared" si="134"/>
        <v>8.6148165600086146E-2</v>
      </c>
      <c r="AZ61" s="583">
        <f t="shared" si="135"/>
        <v>0.19584106290019587</v>
      </c>
      <c r="BA61" s="583">
        <f t="shared" si="136"/>
        <v>1.2593693700012593E-2</v>
      </c>
      <c r="BB61" s="583">
        <f t="shared" si="137"/>
        <v>0.22705152120022704</v>
      </c>
      <c r="BC61" s="583">
        <f t="shared" si="138"/>
        <v>12.371387628612373</v>
      </c>
      <c r="BD61" s="583">
        <f t="shared" si="139"/>
        <v>1.8791981208018791</v>
      </c>
      <c r="BE61" s="583">
        <f t="shared" si="140"/>
        <v>1.9418015547019423</v>
      </c>
      <c r="BF61" s="583">
        <f t="shared" si="141"/>
        <v>8.2997917002082993</v>
      </c>
      <c r="BG61" s="583">
        <f t="shared" si="142"/>
        <v>6.9721608600069734E-2</v>
      </c>
      <c r="BH61" s="583">
        <f t="shared" si="143"/>
        <v>5.475519000005475E-2</v>
      </c>
      <c r="BI61" s="583">
        <f t="shared" si="144"/>
        <v>3.9241219500039247E-2</v>
      </c>
      <c r="BJ61" s="583">
        <f t="shared" si="145"/>
        <v>0</v>
      </c>
      <c r="BK61" s="583">
        <f t="shared" si="146"/>
        <v>1.1681107200011682E-2</v>
      </c>
      <c r="BL61" s="583">
        <f t="shared" si="147"/>
        <v>3.1027941000031025E-3</v>
      </c>
      <c r="BM61" s="583">
        <f t="shared" si="148"/>
        <v>0.1025747226001026</v>
      </c>
      <c r="BN61" s="583">
        <f t="shared" si="149"/>
        <v>5.4755190000054747E-3</v>
      </c>
      <c r="BO61" s="583">
        <f t="shared" si="150"/>
        <v>1.2841917228012842</v>
      </c>
      <c r="BP61" s="583">
        <f t="shared" si="151"/>
        <v>7.1181747000071171E-3</v>
      </c>
      <c r="BQ61" s="583">
        <f t="shared" si="152"/>
        <v>0</v>
      </c>
      <c r="BR61" s="583">
        <f t="shared" si="153"/>
        <v>0</v>
      </c>
    </row>
    <row r="62" spans="1:70" s="229" customFormat="1" ht="15" customHeight="1">
      <c r="A62" s="590"/>
      <c r="D62" s="85"/>
      <c r="E62" s="576">
        <f t="shared" si="154"/>
        <v>100</v>
      </c>
      <c r="F62" s="707"/>
      <c r="G62" s="406" t="s">
        <v>3142</v>
      </c>
      <c r="H62" s="578" t="s">
        <v>3293</v>
      </c>
      <c r="I62" s="85">
        <v>20</v>
      </c>
      <c r="J62" s="682">
        <v>1</v>
      </c>
      <c r="K62" s="579">
        <f t="shared" si="128"/>
        <v>2.2000000000000002</v>
      </c>
      <c r="L62" s="580">
        <f>IF(H62="Select ingredient:","",IF(G62="","",_xlfn.IFNA(VLOOKUP($H62,Ingredient_prices!$E:$U,16,FALSE),0)))</f>
        <v>130.90909090909091</v>
      </c>
      <c r="M62" s="591"/>
      <c r="N62" s="591"/>
      <c r="O62" s="591"/>
      <c r="P62" s="592"/>
      <c r="Q62" s="583">
        <f t="shared" si="129"/>
        <v>20</v>
      </c>
      <c r="R62" s="583">
        <f>VLOOKUP($H62,'CO2_emission+%_food_waste'!$A:$K,6,FALSE)*$Q62/100</f>
        <v>4.1399999999999997</v>
      </c>
      <c r="S62" s="583">
        <f t="shared" si="130"/>
        <v>15.86</v>
      </c>
      <c r="T62" s="583">
        <f>IF(H62="Select ingredient:","",IF(G62="Select food category:","",_xlfn.IFNA(VLOOKUP($H62,Ingredient_prices!$E:$U,16,FALSE)*$Q62/1000,"not bought")))</f>
        <v>2.6181818181818182</v>
      </c>
      <c r="U62" s="583">
        <f>IF(G62="Select food category:","",_xlfn.IFNA(VLOOKUP($H62,Ingredient_prices!$E:$U,16,FALSE)*$R62/1000,"not bought"))</f>
        <v>0.54196363636363631</v>
      </c>
      <c r="V62" s="549">
        <f>VLOOKUP($H62,'CO2_emission+%_food_waste'!$A:$K,4,FALSE)*$Q62</f>
        <v>28</v>
      </c>
      <c r="W62" s="583">
        <f>VLOOKUP($H62,Nutrition_tables!$A:$N,10,FALSE)*$Q62/100</f>
        <v>19.550799999999999</v>
      </c>
      <c r="X62" s="583">
        <f>VLOOKUP($H62,Nutrition_tables!$A:$N,11,FALSE)*$Q62/100</f>
        <v>3.92</v>
      </c>
      <c r="Y62" s="583">
        <f>VLOOKUP($H62,Nutrition_tables!$A:$N,12,FALSE)*$Q62/100</f>
        <v>0.88</v>
      </c>
      <c r="Z62" s="583">
        <f>VLOOKUP($H62,Nutrition_tables!$A:$N,14,FALSE)*$Q62/100</f>
        <v>0.18</v>
      </c>
      <c r="AA62" s="583">
        <f>VLOOKUP($H62,Nutrition_tables!$A:$AF,13,FALSE)*$Q62/100</f>
        <v>0.72</v>
      </c>
      <c r="AB62" s="549">
        <f>VLOOKUP($H62,Nutrition_tables!$A:$AF,15,FALSE)*$Q62/100</f>
        <v>3.3199999999999993E-2</v>
      </c>
      <c r="AC62" s="583">
        <f>VLOOKUP($H62,Nutrition_tables!$A:$AF,16,FALSE)*$Q62/100</f>
        <v>86.6</v>
      </c>
      <c r="AD62" s="583">
        <f>VLOOKUP($H62,Nutrition_tables!$A:$AF,17,FALSE)*$Q62/100</f>
        <v>159.6</v>
      </c>
      <c r="AE62" s="583">
        <f>VLOOKUP($H62,Nutrition_tables!$A:$AF,18,FALSE)*$Q62/100</f>
        <v>3.98</v>
      </c>
      <c r="AF62" s="583">
        <f>VLOOKUP($H62,Nutrition_tables!$A:$AF,19,FALSE)*$Q62/100</f>
        <v>6</v>
      </c>
      <c r="AG62" s="583">
        <f>VLOOKUP($H62,Nutrition_tables!$A:$AF,20,FALSE)*$Q62/100</f>
        <v>8.3800000000000008</v>
      </c>
      <c r="AH62" s="583">
        <f>VLOOKUP($H62,Nutrition_tables!$A:$AF,21,FALSE)*$Q62/100</f>
        <v>0.12</v>
      </c>
      <c r="AI62" s="583">
        <f>VLOOKUP($H62,Nutrition_tables!$A:$AF,22,FALSE)*$Q62/100</f>
        <v>0.04</v>
      </c>
      <c r="AJ62" s="549">
        <f>VLOOKUP($H62,Nutrition_tables!$A:$AF,23,FALSE)*$Q62/100</f>
        <v>0.03</v>
      </c>
      <c r="AK62" s="583">
        <f>VLOOKUP($H62,Nutrition_tables!$A:$AF,24,FALSE)*$Q62/100</f>
        <v>12.24</v>
      </c>
      <c r="AL62" s="583">
        <f>VLOOKUP($H62,Nutrition_tables!$A:$AF,25,FALSE)*$Q62/100</f>
        <v>0.02</v>
      </c>
      <c r="AM62" s="583">
        <f>VLOOKUP($H62,Nutrition_tables!$A:$AF,26,FALSE)*$Q62/100</f>
        <v>0.01</v>
      </c>
      <c r="AN62" s="583">
        <f>VLOOKUP($H62,Nutrition_tables!$A:$AF,27,FALSE)*$Q62/100</f>
        <v>0.36</v>
      </c>
      <c r="AO62" s="583">
        <f>VLOOKUP($H62,Nutrition_tables!$A:$AF,28,FALSE)*$Q62/100</f>
        <v>7.0000000000000007E-2</v>
      </c>
      <c r="AP62" s="583">
        <f>VLOOKUP($H62,Nutrition_tables!$A:$AF,29,FALSE)*$Q62/100</f>
        <v>14.4</v>
      </c>
      <c r="AQ62" s="583">
        <f>VLOOKUP($H62,Nutrition_tables!$A:$AF,30,FALSE)*$Q62/100</f>
        <v>0</v>
      </c>
      <c r="AR62" s="583">
        <f>VLOOKUP($H62,Nutrition_tables!$A:$AF,31,FALSE)*$Q62/100</f>
        <v>1.8</v>
      </c>
      <c r="AS62" s="549">
        <f>VLOOKUP($H62,Nutrition_tables!$A:$AF,32,FALSE)*$Q62/100</f>
        <v>0</v>
      </c>
      <c r="AT62" s="583">
        <f>IF(H62="Select ingredient:","",IF(G62="Select food category:","",IFERROR(VLOOKUP($H62,Ingredient_prices!$E:$W,17,FALSE)*$Q62/1000,"not bought")))</f>
        <v>2.6181818181818182</v>
      </c>
      <c r="AU62" s="583">
        <f>IF(H62="Select ingredient:","",IF(G62="Select food category:","",IFERROR(VLOOKUP($H62,Ingredient_prices!$E:$W,18,FALSE)*$Q62/1000,"not bought")))</f>
        <v>2.6181818181818182</v>
      </c>
      <c r="AV62" s="583">
        <f t="shared" si="131"/>
        <v>15.503776648111675</v>
      </c>
      <c r="AW62" s="583">
        <f t="shared" si="132"/>
        <v>3.1085584457207771</v>
      </c>
      <c r="AX62" s="583">
        <f t="shared" si="133"/>
        <v>0.69783965108017443</v>
      </c>
      <c r="AY62" s="583">
        <f t="shared" si="134"/>
        <v>0.14273992863003568</v>
      </c>
      <c r="AZ62" s="583">
        <f t="shared" si="135"/>
        <v>0.57095971452014271</v>
      </c>
      <c r="BA62" s="583">
        <f t="shared" si="136"/>
        <v>2.6327586836206576E-2</v>
      </c>
      <c r="BB62" s="583">
        <f t="shared" si="137"/>
        <v>68.673765663117166</v>
      </c>
      <c r="BC62" s="583">
        <f t="shared" si="138"/>
        <v>126.56273671863164</v>
      </c>
      <c r="BD62" s="583">
        <f t="shared" si="139"/>
        <v>3.1561384219307889</v>
      </c>
      <c r="BE62" s="583">
        <f t="shared" si="140"/>
        <v>4.7579976210011896</v>
      </c>
      <c r="BF62" s="583">
        <f t="shared" si="141"/>
        <v>6.6453366773316613</v>
      </c>
      <c r="BG62" s="583">
        <f t="shared" si="142"/>
        <v>9.5159952420023786E-2</v>
      </c>
      <c r="BH62" s="583">
        <f t="shared" si="143"/>
        <v>3.1719984140007929E-2</v>
      </c>
      <c r="BI62" s="583">
        <f t="shared" si="144"/>
        <v>2.3789988105005946E-2</v>
      </c>
      <c r="BJ62" s="583">
        <f t="shared" si="145"/>
        <v>9.7063151468424262</v>
      </c>
      <c r="BK62" s="583">
        <f t="shared" si="146"/>
        <v>1.5859992070003964E-2</v>
      </c>
      <c r="BL62" s="583">
        <f t="shared" si="147"/>
        <v>7.9299960350019821E-3</v>
      </c>
      <c r="BM62" s="583">
        <f t="shared" si="148"/>
        <v>0.28547985726007136</v>
      </c>
      <c r="BN62" s="583">
        <f t="shared" si="149"/>
        <v>5.5509972245013882E-2</v>
      </c>
      <c r="BO62" s="583">
        <f t="shared" si="150"/>
        <v>11.419194290402855</v>
      </c>
      <c r="BP62" s="583">
        <f t="shared" si="151"/>
        <v>0</v>
      </c>
      <c r="BQ62" s="583">
        <f t="shared" si="152"/>
        <v>1.4273992863003568</v>
      </c>
      <c r="BR62" s="583">
        <f t="shared" si="153"/>
        <v>0</v>
      </c>
    </row>
    <row r="63" spans="1:70" s="229" customFormat="1" ht="15" customHeight="1">
      <c r="A63" s="590"/>
      <c r="D63" s="85"/>
      <c r="E63" s="576">
        <f t="shared" si="154"/>
        <v>100</v>
      </c>
      <c r="F63" s="707"/>
      <c r="G63" s="406" t="s">
        <v>3140</v>
      </c>
      <c r="H63" s="578" t="s">
        <v>3115</v>
      </c>
      <c r="I63" s="85">
        <v>30</v>
      </c>
      <c r="J63" s="682">
        <v>1</v>
      </c>
      <c r="K63" s="579">
        <f t="shared" si="128"/>
        <v>3.3</v>
      </c>
      <c r="L63" s="580">
        <f>IF(H63="Select ingredient:","",IF(G63="","",_xlfn.IFNA(VLOOKUP($H63,Ingredient_prices!$E:$U,16,FALSE),0)))</f>
        <v>110</v>
      </c>
      <c r="M63" s="591"/>
      <c r="N63" s="591"/>
      <c r="O63" s="591"/>
      <c r="P63" s="592"/>
      <c r="Q63" s="583">
        <f t="shared" si="129"/>
        <v>30</v>
      </c>
      <c r="R63" s="583">
        <f>VLOOKUP($H63,'CO2_emission+%_food_waste'!$A:$K,6,FALSE)*$Q63/100</f>
        <v>9.0090000000000003</v>
      </c>
      <c r="S63" s="583">
        <f t="shared" si="130"/>
        <v>20.991</v>
      </c>
      <c r="T63" s="583">
        <f>IF(H63="Select ingredient:","",IF(G63="Select food category:","",_xlfn.IFNA(VLOOKUP($H63,Ingredient_prices!$E:$U,16,FALSE)*$Q63/1000,"not bought")))</f>
        <v>3.3</v>
      </c>
      <c r="U63" s="583">
        <f>IF(G63="Select food category:","",_xlfn.IFNA(VLOOKUP($H63,Ingredient_prices!$E:$U,16,FALSE)*$R63/1000,"not bought"))</f>
        <v>0.99099000000000004</v>
      </c>
      <c r="V63" s="549">
        <f>VLOOKUP($H63,'CO2_emission+%_food_waste'!$A:$K,4,FALSE)*$Q63</f>
        <v>13.8</v>
      </c>
      <c r="W63" s="583">
        <f>VLOOKUP($H63,Nutrition_tables!$A:$N,10,FALSE)*$Q63/100</f>
        <v>9.5399999999999991</v>
      </c>
      <c r="X63" s="583">
        <f>VLOOKUP($H63,Nutrition_tables!$A:$N,11,FALSE)*$Q63/100</f>
        <v>1.98</v>
      </c>
      <c r="Y63" s="583">
        <f>VLOOKUP($H63,Nutrition_tables!$A:$N,12,FALSE)*$Q63/100</f>
        <v>0.252</v>
      </c>
      <c r="Z63" s="583">
        <f>VLOOKUP($H63,Nutrition_tables!$A:$N,14,FALSE)*$Q63/100</f>
        <v>8.1000000000000016E-2</v>
      </c>
      <c r="AA63" s="583">
        <f>VLOOKUP($H63,Nutrition_tables!$A:$AF,13,FALSE)*$Q63/100</f>
        <v>0.65099999999999991</v>
      </c>
      <c r="AB63" s="549">
        <f>VLOOKUP($H63,Nutrition_tables!$A:$AF,15,FALSE)*$Q63/100</f>
        <v>1.2E-2</v>
      </c>
      <c r="AC63" s="583">
        <f>VLOOKUP($H63,Nutrition_tables!$A:$AF,16,FALSE)*$Q63/100</f>
        <v>11.28</v>
      </c>
      <c r="AD63" s="583">
        <f>VLOOKUP($H63,Nutrition_tables!$A:$AF,17,FALSE)*$Q63/100</f>
        <v>94.5</v>
      </c>
      <c r="AE63" s="583">
        <f>VLOOKUP($H63,Nutrition_tables!$A:$AF,18,FALSE)*$Q63/100</f>
        <v>9.57</v>
      </c>
      <c r="AF63" s="583">
        <f>VLOOKUP($H63,Nutrition_tables!$A:$AF,19,FALSE)*$Q63/100</f>
        <v>3.54</v>
      </c>
      <c r="AG63" s="583">
        <f>VLOOKUP($H63,Nutrition_tables!$A:$AF,20,FALSE)*$Q63/100</f>
        <v>4.919999999999999</v>
      </c>
      <c r="AH63" s="583">
        <f>VLOOKUP($H63,Nutrition_tables!$A:$AF,21,FALSE)*$Q63/100</f>
        <v>6.3E-2</v>
      </c>
      <c r="AI63" s="583">
        <f>VLOOKUP($H63,Nutrition_tables!$A:$AF,22,FALSE)*$Q63/100</f>
        <v>6.6000000000000003E-2</v>
      </c>
      <c r="AJ63" s="549">
        <f>VLOOKUP($H63,Nutrition_tables!$A:$AF,23,FALSE)*$Q63/100</f>
        <v>1.3499999999999999E-3</v>
      </c>
      <c r="AK63" s="583">
        <f>VLOOKUP($H63,Nutrition_tables!$A:$AF,24,FALSE)*$Q63/100</f>
        <v>255.6</v>
      </c>
      <c r="AL63" s="583">
        <f>VLOOKUP($H63,Nutrition_tables!$A:$AF,25,FALSE)*$Q63/100</f>
        <v>1.4999999999999999E-2</v>
      </c>
      <c r="AM63" s="583">
        <f>VLOOKUP($H63,Nutrition_tables!$A:$AF,26,FALSE)*$Q63/100</f>
        <v>1.2E-2</v>
      </c>
      <c r="AN63" s="583">
        <f>VLOOKUP($H63,Nutrition_tables!$A:$AF,27,FALSE)*$Q63/100</f>
        <v>0.29400000000000004</v>
      </c>
      <c r="AO63" s="583">
        <f>VLOOKUP($H63,Nutrition_tables!$A:$AF,28,FALSE)*$Q63/100</f>
        <v>3.5999999999999997E-2</v>
      </c>
      <c r="AP63" s="583">
        <f>VLOOKUP($H63,Nutrition_tables!$A:$AF,29,FALSE)*$Q63/100</f>
        <v>13.919999999999998</v>
      </c>
      <c r="AQ63" s="583">
        <f>VLOOKUP($H63,Nutrition_tables!$A:$AF,30,FALSE)*$Q63/100</f>
        <v>0</v>
      </c>
      <c r="AR63" s="583">
        <f>VLOOKUP($H63,Nutrition_tables!$A:$AF,31,FALSE)*$Q63/100</f>
        <v>1.6320000000000001</v>
      </c>
      <c r="AS63" s="549">
        <f>VLOOKUP($H63,Nutrition_tables!$A:$AF,32,FALSE)*$Q63/100</f>
        <v>0</v>
      </c>
      <c r="AT63" s="583">
        <f>IF(H63="Select ingredient:","",IF(G63="Select food category:","",IFERROR(VLOOKUP($H63,Ingredient_prices!$E:$W,17,FALSE)*$Q63/1000,"not bought")))</f>
        <v>1.155</v>
      </c>
      <c r="AU63" s="583">
        <f>IF(H63="Select ingredient:","",IF(G63="Select food category:","",IFERROR(VLOOKUP($H63,Ingredient_prices!$E:$W,18,FALSE)*$Q63/1000,"not bought")))</f>
        <v>3.3</v>
      </c>
      <c r="AV63" s="583">
        <f t="shared" si="131"/>
        <v>6.6751357749547413</v>
      </c>
      <c r="AW63" s="583">
        <f t="shared" si="132"/>
        <v>1.3854055381981538</v>
      </c>
      <c r="AX63" s="583">
        <f t="shared" si="133"/>
        <v>0.17632434122521959</v>
      </c>
      <c r="AY63" s="583">
        <f t="shared" si="134"/>
        <v>5.6675681108106307E-2</v>
      </c>
      <c r="AZ63" s="583">
        <f t="shared" si="135"/>
        <v>0.45550454816515057</v>
      </c>
      <c r="BA63" s="583">
        <f t="shared" si="136"/>
        <v>8.3963972012009325E-3</v>
      </c>
      <c r="BB63" s="583">
        <f t="shared" si="137"/>
        <v>7.8926133691288758</v>
      </c>
      <c r="BC63" s="583">
        <f t="shared" si="138"/>
        <v>66.121627959457342</v>
      </c>
      <c r="BD63" s="583">
        <f t="shared" si="139"/>
        <v>6.6961267679577441</v>
      </c>
      <c r="BE63" s="583">
        <f t="shared" si="140"/>
        <v>2.476937174354275</v>
      </c>
      <c r="BF63" s="583">
        <f t="shared" si="141"/>
        <v>3.4425228524923819</v>
      </c>
      <c r="BG63" s="583">
        <f t="shared" si="142"/>
        <v>4.4081085306304897E-2</v>
      </c>
      <c r="BH63" s="583">
        <f t="shared" si="143"/>
        <v>4.6180184606605133E-2</v>
      </c>
      <c r="BI63" s="583">
        <f t="shared" si="144"/>
        <v>9.4459468513510489E-4</v>
      </c>
      <c r="BJ63" s="583">
        <f t="shared" si="145"/>
        <v>178.84326038557984</v>
      </c>
      <c r="BK63" s="583">
        <f t="shared" si="146"/>
        <v>1.0495496501501167E-2</v>
      </c>
      <c r="BL63" s="583">
        <f t="shared" si="147"/>
        <v>8.3963972012009325E-3</v>
      </c>
      <c r="BM63" s="583">
        <f t="shared" si="148"/>
        <v>0.20571173142942289</v>
      </c>
      <c r="BN63" s="583">
        <f t="shared" si="149"/>
        <v>2.5189191603602796E-2</v>
      </c>
      <c r="BO63" s="583">
        <f t="shared" si="150"/>
        <v>9.7398207533930812</v>
      </c>
      <c r="BP63" s="583">
        <f t="shared" si="151"/>
        <v>0</v>
      </c>
      <c r="BQ63" s="583">
        <f t="shared" si="152"/>
        <v>1.1419100193633269</v>
      </c>
      <c r="BR63" s="583">
        <f t="shared" si="153"/>
        <v>0</v>
      </c>
    </row>
    <row r="64" spans="1:70" s="229" customFormat="1" ht="15" customHeight="1">
      <c r="A64" s="590"/>
      <c r="D64" s="85"/>
      <c r="E64" s="576">
        <f t="shared" si="154"/>
        <v>100</v>
      </c>
      <c r="F64" s="707"/>
      <c r="G64" s="406" t="s">
        <v>3072</v>
      </c>
      <c r="H64" s="578" t="s">
        <v>3208</v>
      </c>
      <c r="I64" s="85">
        <v>20</v>
      </c>
      <c r="J64" s="682">
        <v>1</v>
      </c>
      <c r="K64" s="579">
        <f t="shared" si="128"/>
        <v>2.2000000000000002</v>
      </c>
      <c r="L64" s="580">
        <f>IF(H64="Select ingredient:","",IF(G64="","",_xlfn.IFNA(VLOOKUP($H64,Ingredient_prices!$E:$U,16,FALSE),0)))</f>
        <v>183.33333333333334</v>
      </c>
      <c r="M64" s="591"/>
      <c r="N64" s="591"/>
      <c r="O64" s="591"/>
      <c r="P64" s="592"/>
      <c r="Q64" s="583">
        <f t="shared" si="129"/>
        <v>20</v>
      </c>
      <c r="R64" s="583">
        <f>VLOOKUP($H64,'CO2_emission+%_food_waste'!$A:$K,6,FALSE)*$Q64/100</f>
        <v>2.12</v>
      </c>
      <c r="S64" s="583">
        <f t="shared" si="130"/>
        <v>17.88</v>
      </c>
      <c r="T64" s="583">
        <f>IF(H64="Select ingredient:","",IF(G64="Select food category:","",_xlfn.IFNA(VLOOKUP($H64,Ingredient_prices!$E:$U,16,FALSE)*$Q64/1000,"not bought")))</f>
        <v>3.666666666666667</v>
      </c>
      <c r="U64" s="583">
        <f>IF(G64="Select food category:","",_xlfn.IFNA(VLOOKUP($H64,Ingredient_prices!$E:$U,16,FALSE)*$R64/1000,"not bought"))</f>
        <v>0.38866666666666666</v>
      </c>
      <c r="V64" s="549">
        <f>VLOOKUP($H64,'CO2_emission+%_food_waste'!$A:$K,4,FALSE)*$Q64</f>
        <v>60.8</v>
      </c>
      <c r="W64" s="583">
        <f>VLOOKUP($H64,Nutrition_tables!$A:$N,10,FALSE)*$Q64/100</f>
        <v>28.399999999999995</v>
      </c>
      <c r="X64" s="583">
        <f>VLOOKUP($H64,Nutrition_tables!$A:$N,11,FALSE)*$Q64/100</f>
        <v>0.16003734827264238</v>
      </c>
      <c r="Y64" s="583">
        <f>VLOOKUP($H64,Nutrition_tables!$A:$N,12,FALSE)*$Q64/100</f>
        <v>2.5200746965452847</v>
      </c>
      <c r="Z64" s="583">
        <f>VLOOKUP($H64,Nutrition_tables!$A:$N,14,FALSE)*$Q64/100</f>
        <v>1.9800186741363208</v>
      </c>
      <c r="AA64" s="583">
        <f>VLOOKUP($H64,Nutrition_tables!$A:$AF,13,FALSE)*$Q64/100</f>
        <v>0</v>
      </c>
      <c r="AB64" s="549">
        <f>VLOOKUP($H64,Nutrition_tables!$A:$AF,15,FALSE)*$Q64/100</f>
        <v>0.52007469654528482</v>
      </c>
      <c r="AC64" s="583">
        <f>VLOOKUP($H64,Nutrition_tables!$A:$AF,16,FALSE)*$Q64/100</f>
        <v>28</v>
      </c>
      <c r="AD64" s="583">
        <f>VLOOKUP($H64,Nutrition_tables!$A:$AF,17,FALSE)*$Q64/100</f>
        <v>25.999999999999996</v>
      </c>
      <c r="AE64" s="583">
        <f>VLOOKUP($H64,Nutrition_tables!$A:$AF,18,FALSE)*$Q64/100</f>
        <v>7.9999999999999991</v>
      </c>
      <c r="AF64" s="583">
        <f>VLOOKUP($H64,Nutrition_tables!$A:$AF,19,FALSE)*$Q64/100</f>
        <v>2.6</v>
      </c>
      <c r="AG64" s="583">
        <f>VLOOKUP($H64,Nutrition_tables!$A:$AF,20,FALSE)*$Q64/100</f>
        <v>41.999999999999993</v>
      </c>
      <c r="AH64" s="583">
        <f>VLOOKUP($H64,Nutrition_tables!$A:$AF,21,FALSE)*$Q64/100</f>
        <v>0.4</v>
      </c>
      <c r="AI64" s="583">
        <f>VLOOKUP($H64,Nutrition_tables!$A:$AF,22,FALSE)*$Q64/100</f>
        <v>0.27992530345471522</v>
      </c>
      <c r="AJ64" s="549">
        <f>VLOOKUP($H64,Nutrition_tables!$A:$AF,23,FALSE)*$Q64/100</f>
        <v>1.4005602240896357E-2</v>
      </c>
      <c r="AK64" s="583">
        <f>VLOOKUP($H64,Nutrition_tables!$A:$AF,24,FALSE)*$Q64/100</f>
        <v>38.799999999999997</v>
      </c>
      <c r="AL64" s="583">
        <f>VLOOKUP($H64,Nutrition_tables!$A:$AF,25,FALSE)*$Q64/100</f>
        <v>1.4005602240896357E-2</v>
      </c>
      <c r="AM64" s="583">
        <f>VLOOKUP($H64,Nutrition_tables!$A:$AF,26,FALSE)*$Q64/100</f>
        <v>9.0009337068160597E-2</v>
      </c>
      <c r="AN64" s="583">
        <f>VLOOKUP($H64,Nutrition_tables!$A:$AF,27,FALSE)*$Q64/100</f>
        <v>1.0084033613445377E-2</v>
      </c>
      <c r="AO64" s="583">
        <f>VLOOKUP($H64,Nutrition_tables!$A:$AF,28,FALSE)*$Q64/100</f>
        <v>2.4089635854341734E-2</v>
      </c>
      <c r="AP64" s="583">
        <f>VLOOKUP($H64,Nutrition_tables!$A:$AF,29,FALSE)*$Q64/100</f>
        <v>4.1999999999999993</v>
      </c>
      <c r="AQ64" s="583">
        <f>VLOOKUP($H64,Nutrition_tables!$A:$AF,30,FALSE)*$Q64/100</f>
        <v>0.4</v>
      </c>
      <c r="AR64" s="583">
        <f>VLOOKUP($H64,Nutrition_tables!$A:$AF,31,FALSE)*$Q64/100</f>
        <v>0</v>
      </c>
      <c r="AS64" s="549">
        <f>VLOOKUP($H64,Nutrition_tables!$A:$AF,32,FALSE)*$Q64/100</f>
        <v>0.34995331465919705</v>
      </c>
      <c r="AT64" s="583">
        <f>IF(H64="Select ingredient:","",IF(G64="Select food category:","",IFERROR(VLOOKUP($H64,Ingredient_prices!$E:$W,17,FALSE)*$Q64/1000,"not bought")))</f>
        <v>3.666666666666667</v>
      </c>
      <c r="AU64" s="583">
        <f>IF(H64="Select ingredient:","",IF(G64="Select food category:","",IFERROR(VLOOKUP($H64,Ingredient_prices!$E:$W,18,FALSE)*$Q64/1000,"not bought")))</f>
        <v>3.666666666666667</v>
      </c>
      <c r="AV64" s="583">
        <f t="shared" si="131"/>
        <v>25.389587305206341</v>
      </c>
      <c r="AW64" s="583">
        <f t="shared" si="132"/>
        <v>0.14307331781908336</v>
      </c>
      <c r="AX64" s="583">
        <f t="shared" si="133"/>
        <v>2.2529456522386582</v>
      </c>
      <c r="AY64" s="583">
        <f t="shared" si="134"/>
        <v>1.7701358096099662</v>
      </c>
      <c r="AZ64" s="583">
        <f t="shared" si="135"/>
        <v>0</v>
      </c>
      <c r="BA64" s="583">
        <f t="shared" si="136"/>
        <v>0.46494654623821147</v>
      </c>
      <c r="BB64" s="583">
        <f t="shared" si="137"/>
        <v>25.031987484006258</v>
      </c>
      <c r="BC64" s="583">
        <f t="shared" si="138"/>
        <v>23.24398837800581</v>
      </c>
      <c r="BD64" s="583">
        <f t="shared" si="139"/>
        <v>7.1519964240017861</v>
      </c>
      <c r="BE64" s="583">
        <f t="shared" si="140"/>
        <v>2.3243988378005813</v>
      </c>
      <c r="BF64" s="583">
        <f t="shared" si="141"/>
        <v>37.547981226009377</v>
      </c>
      <c r="BG64" s="583">
        <f t="shared" si="142"/>
        <v>0.35759982120008943</v>
      </c>
      <c r="BH64" s="583">
        <f t="shared" si="143"/>
        <v>0.25025309616196734</v>
      </c>
      <c r="BI64" s="583">
        <f t="shared" si="144"/>
        <v>1.252100214286027E-2</v>
      </c>
      <c r="BJ64" s="583">
        <f t="shared" si="145"/>
        <v>34.687182656408666</v>
      </c>
      <c r="BK64" s="583">
        <f t="shared" si="146"/>
        <v>1.252100214286027E-2</v>
      </c>
      <c r="BL64" s="583">
        <f t="shared" si="147"/>
        <v>8.0468307104782019E-2</v>
      </c>
      <c r="BM64" s="583">
        <f t="shared" si="148"/>
        <v>9.0151215428593955E-3</v>
      </c>
      <c r="BN64" s="583">
        <f t="shared" si="149"/>
        <v>2.1536123685719666E-2</v>
      </c>
      <c r="BO64" s="583">
        <f t="shared" si="150"/>
        <v>3.7547981226009384</v>
      </c>
      <c r="BP64" s="583">
        <f t="shared" si="151"/>
        <v>0.35759982120008943</v>
      </c>
      <c r="BQ64" s="583">
        <f t="shared" si="152"/>
        <v>0</v>
      </c>
      <c r="BR64" s="583">
        <f t="shared" si="153"/>
        <v>0.31285810687626875</v>
      </c>
    </row>
    <row r="65" spans="1:70" s="229" customFormat="1" ht="15" customHeight="1">
      <c r="A65" s="590"/>
      <c r="D65" s="406"/>
      <c r="E65" s="576">
        <f t="shared" si="154"/>
        <v>100</v>
      </c>
      <c r="F65" s="707" t="s">
        <v>3908</v>
      </c>
      <c r="G65" s="406" t="s">
        <v>3140</v>
      </c>
      <c r="H65" s="578" t="s">
        <v>3124</v>
      </c>
      <c r="I65" s="85">
        <v>80</v>
      </c>
      <c r="J65" s="682">
        <v>1</v>
      </c>
      <c r="K65" s="579">
        <f t="shared" si="128"/>
        <v>8.8000000000000007</v>
      </c>
      <c r="L65" s="580">
        <f>IF(H65="Select ingredient:","",IF(G65="","",_xlfn.IFNA(VLOOKUP($H65,Ingredient_prices!$E:$U,16,FALSE),0)))</f>
        <v>135</v>
      </c>
      <c r="M65" s="591"/>
      <c r="N65" s="591"/>
      <c r="O65" s="591"/>
      <c r="P65" s="592"/>
      <c r="Q65" s="583">
        <f t="shared" si="129"/>
        <v>80</v>
      </c>
      <c r="R65" s="583">
        <f>VLOOKUP($H65,'CO2_emission+%_food_waste'!$A:$K,6,FALSE)*$Q65/100</f>
        <v>23.28</v>
      </c>
      <c r="S65" s="583">
        <f t="shared" si="130"/>
        <v>56.72</v>
      </c>
      <c r="T65" s="583">
        <f>IF(H65="Select ingredient:","",IF(G65="Select food category:","",_xlfn.IFNA(VLOOKUP($H65,Ingredient_prices!$E:$U,16,FALSE)*$Q65/1000,"not bought")))</f>
        <v>10.8</v>
      </c>
      <c r="U65" s="583">
        <f>IF(G65="Select food category:","",_xlfn.IFNA(VLOOKUP($H65,Ingredient_prices!$E:$U,16,FALSE)*$R65/1000,"not bought"))</f>
        <v>3.1428000000000003</v>
      </c>
      <c r="V65" s="549">
        <f>VLOOKUP($H65,'CO2_emission+%_food_waste'!$A:$K,4,FALSE)*$Q65</f>
        <v>40.799999999999997</v>
      </c>
      <c r="W65" s="583">
        <f>VLOOKUP($H65,Nutrition_tables!$A:$N,10,FALSE)*$Q65/100</f>
        <v>69.599999999999994</v>
      </c>
      <c r="X65" s="583">
        <f>VLOOKUP($H65,Nutrition_tables!$A:$N,11,FALSE)*$Q65/100</f>
        <v>16.104008586494935</v>
      </c>
      <c r="Y65" s="583">
        <f>VLOOKUP($H65,Nutrition_tables!$A:$N,12,FALSE)*$Q65/100</f>
        <v>1.4959914135050634</v>
      </c>
      <c r="Z65" s="583">
        <f>VLOOKUP($H65,Nutrition_tables!$A:$N,14,FALSE)*$Q65/100</f>
        <v>8.0003733258668164E-2</v>
      </c>
      <c r="AA65" s="583">
        <f>VLOOKUP($H65,Nutrition_tables!$A:$AF,13,FALSE)*$Q65/100</f>
        <v>1.0400111997760044</v>
      </c>
      <c r="AB65" s="549">
        <f>VLOOKUP($H65,Nutrition_tables!$A:$AF,15,FALSE)*$Q65/100</f>
        <v>2.4004853236268612E-2</v>
      </c>
      <c r="AC65" s="583">
        <f>VLOOKUP($H65,Nutrition_tables!$A:$AF,16,FALSE)*$Q65/100</f>
        <v>3.2</v>
      </c>
      <c r="AD65" s="583">
        <f>VLOOKUP($H65,Nutrition_tables!$A:$AF,17,FALSE)*$Q65/100</f>
        <v>303.20000000000005</v>
      </c>
      <c r="AE65" s="583">
        <f>VLOOKUP($H65,Nutrition_tables!$A:$AF,18,FALSE)*$Q65/100</f>
        <v>3.9999999999999996</v>
      </c>
      <c r="AF65" s="583">
        <f>VLOOKUP($H65,Nutrition_tables!$A:$AF,19,FALSE)*$Q65/100</f>
        <v>17.600000000000001</v>
      </c>
      <c r="AG65" s="583">
        <f>VLOOKUP($H65,Nutrition_tables!$A:$AF,20,FALSE)*$Q65/100</f>
        <v>35.200000000000003</v>
      </c>
      <c r="AH65" s="583">
        <f>VLOOKUP($H65,Nutrition_tables!$A:$AF,21,FALSE)*$Q65/100</f>
        <v>0.24800037332586683</v>
      </c>
      <c r="AI65" s="583">
        <f>VLOOKUP($H65,Nutrition_tables!$A:$AF,22,FALSE)*$Q65/100</f>
        <v>0.24001119977600452</v>
      </c>
      <c r="AJ65" s="549">
        <f>VLOOKUP($H65,Nutrition_tables!$A:$AF,23,FALSE)*$Q65/100</f>
        <v>0.21901048000000004</v>
      </c>
      <c r="AK65" s="583">
        <f>VLOOKUP($H65,Nutrition_tables!$A:$AF,24,FALSE)*$Q65/100</f>
        <v>0.8</v>
      </c>
      <c r="AL65" s="583">
        <f>VLOOKUP($H65,Nutrition_tables!$A:$AF,25,FALSE)*$Q65/100</f>
        <v>9.5982080358392854E-2</v>
      </c>
      <c r="AM65" s="583">
        <f>VLOOKUP($H65,Nutrition_tables!$A:$AF,26,FALSE)*$Q65/100</f>
        <v>1.6015679686406274E-2</v>
      </c>
      <c r="AN65" s="583">
        <f>VLOOKUP($H65,Nutrition_tables!$A:$AF,27,FALSE)*$Q65/100</f>
        <v>1.1520089598208036</v>
      </c>
      <c r="AO65" s="583">
        <f>VLOOKUP($H65,Nutrition_tables!$A:$AF,28,FALSE)*$Q65/100</f>
        <v>0.24001119977600452</v>
      </c>
      <c r="AP65" s="583">
        <f>VLOOKUP($H65,Nutrition_tables!$A:$AF,29,FALSE)*$Q65/100</f>
        <v>7.9999999999999991</v>
      </c>
      <c r="AQ65" s="583">
        <f>VLOOKUP($H65,Nutrition_tables!$A:$AF,30,FALSE)*$Q65/100</f>
        <v>0</v>
      </c>
      <c r="AR65" s="583">
        <f>VLOOKUP($H65,Nutrition_tables!$A:$AF,31,FALSE)*$Q65/100</f>
        <v>10.4</v>
      </c>
      <c r="AS65" s="549">
        <f>VLOOKUP($H65,Nutrition_tables!$A:$AF,32,FALSE)*$Q65/100</f>
        <v>0</v>
      </c>
      <c r="AT65" s="583">
        <f>IF(H65="Select ingredient:","",IF(G65="Select food category:","",IFERROR(VLOOKUP($H65,Ingredient_prices!$E:$W,17,FALSE)*$Q65/1000,"not bought")))</f>
        <v>5.28</v>
      </c>
      <c r="AU65" s="583">
        <f>IF(H65="Select ingredient:","",IF(G65="Select food category:","",IFERROR(VLOOKUP($H65,Ingredient_prices!$E:$W,18,FALSE)*$Q65/1000,"not bought")))</f>
        <v>10.8</v>
      </c>
      <c r="AV65" s="583">
        <f t="shared" si="131"/>
        <v>49.346393831700766</v>
      </c>
      <c r="AW65" s="583">
        <f t="shared" si="132"/>
        <v>11.417740660607326</v>
      </c>
      <c r="AX65" s="583">
        <f t="shared" si="133"/>
        <v>1.0606577795928673</v>
      </c>
      <c r="AY65" s="583">
        <f t="shared" si="134"/>
        <v>5.6722639790065747E-2</v>
      </c>
      <c r="AZ65" s="583">
        <f t="shared" si="135"/>
        <v>0.73736784847020609</v>
      </c>
      <c r="BA65" s="583">
        <f t="shared" si="136"/>
        <v>1.7019438817084592E-2</v>
      </c>
      <c r="BB65" s="583">
        <f t="shared" si="137"/>
        <v>2.2687997164000357</v>
      </c>
      <c r="BC65" s="583">
        <f t="shared" si="138"/>
        <v>214.96877312890336</v>
      </c>
      <c r="BD65" s="583">
        <f t="shared" si="139"/>
        <v>2.8359996455000438</v>
      </c>
      <c r="BE65" s="583">
        <f t="shared" si="140"/>
        <v>12.478398440200195</v>
      </c>
      <c r="BF65" s="583">
        <f t="shared" si="141"/>
        <v>24.95679688040039</v>
      </c>
      <c r="BG65" s="583">
        <f t="shared" si="142"/>
        <v>0.17583224270900924</v>
      </c>
      <c r="BH65" s="583">
        <f t="shared" si="143"/>
        <v>0.17016791937019729</v>
      </c>
      <c r="BI65" s="583">
        <f t="shared" si="144"/>
        <v>0.15527841091019864</v>
      </c>
      <c r="BJ65" s="583">
        <f t="shared" si="145"/>
        <v>0.56719992910000894</v>
      </c>
      <c r="BK65" s="583">
        <f t="shared" si="146"/>
        <v>6.8051286467689723E-2</v>
      </c>
      <c r="BL65" s="583">
        <f t="shared" si="147"/>
        <v>1.1355115478272611E-2</v>
      </c>
      <c r="BM65" s="583">
        <f t="shared" si="148"/>
        <v>0.81677425041616836</v>
      </c>
      <c r="BN65" s="583">
        <f t="shared" si="149"/>
        <v>0.17016791937019729</v>
      </c>
      <c r="BO65" s="583">
        <f t="shared" si="150"/>
        <v>5.6719992910000876</v>
      </c>
      <c r="BP65" s="583">
        <f t="shared" si="151"/>
        <v>0</v>
      </c>
      <c r="BQ65" s="583">
        <f t="shared" si="152"/>
        <v>7.3735990783001153</v>
      </c>
      <c r="BR65" s="583">
        <f t="shared" si="153"/>
        <v>0</v>
      </c>
    </row>
    <row r="66" spans="1:70" s="229" customFormat="1" ht="15" customHeight="1">
      <c r="A66" s="590"/>
      <c r="E66" s="576">
        <f t="shared" si="154"/>
        <v>100</v>
      </c>
      <c r="F66" s="707"/>
      <c r="G66" s="406" t="s">
        <v>3075</v>
      </c>
      <c r="H66" s="578" t="s">
        <v>3242</v>
      </c>
      <c r="I66" s="85">
        <v>20</v>
      </c>
      <c r="J66" s="682">
        <v>1</v>
      </c>
      <c r="K66" s="579">
        <f t="shared" si="128"/>
        <v>2.2000000000000002</v>
      </c>
      <c r="L66" s="580">
        <f>IF(H66="Select ingredient:","",IF(G66="","",_xlfn.IFNA(VLOOKUP($H66,Ingredient_prices!$E:$U,16,FALSE),0)))</f>
        <v>345.6</v>
      </c>
      <c r="M66" s="591"/>
      <c r="N66" s="591"/>
      <c r="O66" s="591"/>
      <c r="P66" s="592"/>
      <c r="Q66" s="583">
        <f t="shared" si="129"/>
        <v>20</v>
      </c>
      <c r="R66" s="583">
        <f>VLOOKUP($H66,'CO2_emission+%_food_waste'!$A:$K,6,FALSE)*$Q66/100</f>
        <v>2.96</v>
      </c>
      <c r="S66" s="583">
        <f t="shared" si="130"/>
        <v>17.04</v>
      </c>
      <c r="T66" s="583">
        <f>IF(H66="Select ingredient:","",IF(G66="Select food category:","",_xlfn.IFNA(VLOOKUP($H66,Ingredient_prices!$E:$U,16,FALSE)*$Q66/1000,"not bought")))</f>
        <v>6.9119999999999999</v>
      </c>
      <c r="U66" s="583">
        <f>IF(G66="Select food category:","",_xlfn.IFNA(VLOOKUP($H66,Ingredient_prices!$E:$U,16,FALSE)*$R66/1000,"not bought"))</f>
        <v>1.0229760000000001</v>
      </c>
      <c r="V66" s="549">
        <f>VLOOKUP($H66,'CO2_emission+%_food_waste'!$A:$K,4,FALSE)*$Q66</f>
        <v>94.600000000000009</v>
      </c>
      <c r="W66" s="583">
        <f>VLOOKUP($H66,Nutrition_tables!$A:$N,10,FALSE)*$Q66/100</f>
        <v>109.4</v>
      </c>
      <c r="X66" s="583">
        <f>VLOOKUP($H66,Nutrition_tables!$A:$N,11,FALSE)*$Q66/100</f>
        <v>0.10800000000000001</v>
      </c>
      <c r="Y66" s="583">
        <f>VLOOKUP($H66,Nutrition_tables!$A:$N,12,FALSE)*$Q66/100</f>
        <v>0.10199999999999999</v>
      </c>
      <c r="Z66" s="583">
        <f>VLOOKUP($H66,Nutrition_tables!$A:$N,14,FALSE)*$Q66/100</f>
        <v>12</v>
      </c>
      <c r="AA66" s="583">
        <f>VLOOKUP($H66,Nutrition_tables!$A:$AF,13,FALSE)*$Q66/100</f>
        <v>0</v>
      </c>
      <c r="AB66" s="549">
        <f>VLOOKUP($H66,Nutrition_tables!$A:$AF,15,FALSE)*$Q66/100</f>
        <v>3.98</v>
      </c>
      <c r="AC66" s="583">
        <f>VLOOKUP($H66,Nutrition_tables!$A:$AF,16,FALSE)*$Q66/100</f>
        <v>134.80000000000001</v>
      </c>
      <c r="AD66" s="583">
        <f>VLOOKUP($H66,Nutrition_tables!$A:$AF,17,FALSE)*$Q66/100</f>
        <v>6</v>
      </c>
      <c r="AE66" s="583">
        <f>VLOOKUP($H66,Nutrition_tables!$A:$AF,18,FALSE)*$Q66/100</f>
        <v>4.2</v>
      </c>
      <c r="AF66" s="583">
        <f>VLOOKUP($H66,Nutrition_tables!$A:$AF,19,FALSE)*$Q66/100</f>
        <v>0.4</v>
      </c>
      <c r="AG66" s="583">
        <f>VLOOKUP($H66,Nutrition_tables!$A:$AF,20,FALSE)*$Q66/100</f>
        <v>3.2</v>
      </c>
      <c r="AH66" s="583">
        <f>VLOOKUP($H66,Nutrition_tables!$A:$AF,21,FALSE)*$Q66/100</f>
        <v>0</v>
      </c>
      <c r="AI66" s="583">
        <f>VLOOKUP($H66,Nutrition_tables!$A:$AF,22,FALSE)*$Q66/100</f>
        <v>0</v>
      </c>
      <c r="AJ66" s="549">
        <f>VLOOKUP($H66,Nutrition_tables!$A:$AF,23,FALSE)*$Q66/100</f>
        <v>0</v>
      </c>
      <c r="AK66" s="583">
        <f>VLOOKUP($H66,Nutrition_tables!$A:$AF,24,FALSE)*$Q66/100</f>
        <v>330</v>
      </c>
      <c r="AL66" s="583">
        <f>VLOOKUP($H66,Nutrition_tables!$A:$AF,25,FALSE)*$Q66/100</f>
        <v>1.4000000000000002E-3</v>
      </c>
      <c r="AM66" s="583">
        <f>VLOOKUP($H66,Nutrition_tables!$A:$AF,26,FALSE)*$Q66/100</f>
        <v>5.1999999999999998E-3</v>
      </c>
      <c r="AN66" s="583">
        <f>VLOOKUP($H66,Nutrition_tables!$A:$AF,27,FALSE)*$Q66/100</f>
        <v>3.2000000000000002E-3</v>
      </c>
      <c r="AO66" s="583">
        <f>VLOOKUP($H66,Nutrition_tables!$A:$AF,28,FALSE)*$Q66/100</f>
        <v>0.75</v>
      </c>
      <c r="AP66" s="583">
        <f>VLOOKUP($H66,Nutrition_tables!$A:$AF,29,FALSE)*$Q66/100</f>
        <v>0.2</v>
      </c>
      <c r="AQ66" s="583">
        <f>VLOOKUP($H66,Nutrition_tables!$A:$AF,30,FALSE)*$Q66/100</f>
        <v>0</v>
      </c>
      <c r="AR66" s="583">
        <f>VLOOKUP($H66,Nutrition_tables!$A:$AF,31,FALSE)*$Q66/100</f>
        <v>0.02</v>
      </c>
      <c r="AS66" s="549">
        <f>VLOOKUP($H66,Nutrition_tables!$A:$AF,32,FALSE)*$Q66/100</f>
        <v>1.5</v>
      </c>
      <c r="AT66" s="583">
        <f>IF(H66="Select ingredient:","",IF(G66="Select food category:","",IFERROR(VLOOKUP($H66,Ingredient_prices!$E:$W,17,FALSE)*$Q66/1000,"not bought")))</f>
        <v>6.9119999999999999</v>
      </c>
      <c r="AU66" s="583">
        <f>IF(H66="Select ingredient:","",IF(G66="Select food category:","",IFERROR(VLOOKUP($H66,Ingredient_prices!$E:$W,18,FALSE)*$Q66/1000,"not bought")))</f>
        <v>6.9119999999999999</v>
      </c>
      <c r="AV66" s="583">
        <f t="shared" si="131"/>
        <v>93.208753395623305</v>
      </c>
      <c r="AW66" s="583">
        <f t="shared" si="132"/>
        <v>9.2015953992023017E-2</v>
      </c>
      <c r="AX66" s="583">
        <f t="shared" si="133"/>
        <v>8.6903956548021716E-2</v>
      </c>
      <c r="AY66" s="583">
        <f t="shared" si="134"/>
        <v>10.223994888002556</v>
      </c>
      <c r="AZ66" s="583">
        <f t="shared" si="135"/>
        <v>0</v>
      </c>
      <c r="BA66" s="583">
        <f t="shared" si="136"/>
        <v>3.3909583045208476</v>
      </c>
      <c r="BB66" s="583">
        <f t="shared" si="137"/>
        <v>114.84954257522872</v>
      </c>
      <c r="BC66" s="583">
        <f t="shared" si="138"/>
        <v>5.1119974440012781</v>
      </c>
      <c r="BD66" s="583">
        <f t="shared" si="139"/>
        <v>3.5783982108008945</v>
      </c>
      <c r="BE66" s="583">
        <f t="shared" si="140"/>
        <v>0.3407998296000852</v>
      </c>
      <c r="BF66" s="583">
        <f t="shared" si="141"/>
        <v>2.7263986368006816</v>
      </c>
      <c r="BG66" s="583">
        <f t="shared" si="142"/>
        <v>0</v>
      </c>
      <c r="BH66" s="583">
        <f t="shared" si="143"/>
        <v>0</v>
      </c>
      <c r="BI66" s="583">
        <f t="shared" si="144"/>
        <v>0</v>
      </c>
      <c r="BJ66" s="583">
        <f t="shared" si="145"/>
        <v>281.15985942007029</v>
      </c>
      <c r="BK66" s="583">
        <f t="shared" si="146"/>
        <v>1.1927994036002984E-3</v>
      </c>
      <c r="BL66" s="583">
        <f t="shared" si="147"/>
        <v>4.4303977848011069E-3</v>
      </c>
      <c r="BM66" s="583">
        <f t="shared" si="148"/>
        <v>2.7263986368006817E-3</v>
      </c>
      <c r="BN66" s="583">
        <f t="shared" si="149"/>
        <v>0.63899968050015976</v>
      </c>
      <c r="BO66" s="583">
        <f t="shared" si="150"/>
        <v>0.1703999148000426</v>
      </c>
      <c r="BP66" s="583">
        <f t="shared" si="151"/>
        <v>0</v>
      </c>
      <c r="BQ66" s="583">
        <f t="shared" si="152"/>
        <v>1.7039991480004259E-2</v>
      </c>
      <c r="BR66" s="583">
        <f t="shared" si="153"/>
        <v>1.2779993610003195</v>
      </c>
    </row>
    <row r="67" spans="1:70" s="229" customFormat="1" ht="15" customHeight="1">
      <c r="A67" s="590"/>
      <c r="D67" s="85"/>
      <c r="E67" s="576">
        <f t="shared" si="154"/>
        <v>100</v>
      </c>
      <c r="F67" s="707"/>
      <c r="G67" s="406" t="s">
        <v>3085</v>
      </c>
      <c r="H67" s="578" t="s">
        <v>3221</v>
      </c>
      <c r="I67" s="85">
        <v>50</v>
      </c>
      <c r="J67" s="682">
        <v>1</v>
      </c>
      <c r="K67" s="579">
        <f t="shared" si="128"/>
        <v>5.5000000000000009</v>
      </c>
      <c r="L67" s="580">
        <f>IF(H67="Select ingredient:","",IF(G67="","",_xlfn.IFNA(VLOOKUP($H67,Ingredient_prices!$E:$U,16,FALSE),0)))</f>
        <v>91.3</v>
      </c>
      <c r="M67" s="591"/>
      <c r="N67" s="591"/>
      <c r="O67" s="591"/>
      <c r="P67" s="592"/>
      <c r="Q67" s="583">
        <f t="shared" si="129"/>
        <v>50</v>
      </c>
      <c r="R67" s="583">
        <f>VLOOKUP($H67,'CO2_emission+%_food_waste'!$A:$K,6,FALSE)*$Q67/100</f>
        <v>8.65</v>
      </c>
      <c r="S67" s="583">
        <f t="shared" si="130"/>
        <v>41.35</v>
      </c>
      <c r="T67" s="583">
        <f>IF(H67="Select ingredient:","",IF(G67="Select food category:","",_xlfn.IFNA(VLOOKUP($H67,Ingredient_prices!$E:$U,16,FALSE)*$Q67/1000,"not bought")))</f>
        <v>4.5650000000000004</v>
      </c>
      <c r="U67" s="583">
        <f>IF(G67="Select food category:","",_xlfn.IFNA(VLOOKUP($H67,Ingredient_prices!$E:$U,16,FALSE)*$R67/1000,"not bought"))</f>
        <v>0.78974500000000003</v>
      </c>
      <c r="V67" s="549">
        <f>VLOOKUP($H67,'CO2_emission+%_food_waste'!$A:$K,4,FALSE)*$Q67</f>
        <v>73</v>
      </c>
      <c r="W67" s="583">
        <f>VLOOKUP($H67,Nutrition_tables!$A:$N,10,FALSE)*$Q67/100</f>
        <v>30</v>
      </c>
      <c r="X67" s="583">
        <f>VLOOKUP($H67,Nutrition_tables!$A:$N,11,FALSE)*$Q67/100</f>
        <v>2.3999300209937018</v>
      </c>
      <c r="Y67" s="583">
        <f>VLOOKUP($H67,Nutrition_tables!$A:$N,12,FALSE)*$Q67/100</f>
        <v>1.7001399580125964</v>
      </c>
      <c r="Z67" s="583">
        <f>VLOOKUP($H67,Nutrition_tables!$A:$N,14,FALSE)*$Q67/100</f>
        <v>1.5000000000000002</v>
      </c>
      <c r="AA67" s="583">
        <f>VLOOKUP($H67,Nutrition_tables!$A:$AF,13,FALSE)*$Q67/100</f>
        <v>0</v>
      </c>
      <c r="AB67" s="549">
        <f>VLOOKUP($H67,Nutrition_tables!$A:$AF,15,FALSE)*$Q67/100</f>
        <v>1</v>
      </c>
      <c r="AC67" s="583">
        <f>VLOOKUP($H67,Nutrition_tables!$A:$AF,16,FALSE)*$Q67/100</f>
        <v>20.5</v>
      </c>
      <c r="AD67" s="583">
        <f>VLOOKUP($H67,Nutrition_tables!$A:$AF,17,FALSE)*$Q67/100</f>
        <v>81</v>
      </c>
      <c r="AE67" s="583">
        <f>VLOOKUP($H67,Nutrition_tables!$A:$AF,18,FALSE)*$Q67/100</f>
        <v>58</v>
      </c>
      <c r="AF67" s="583">
        <f>VLOOKUP($H67,Nutrition_tables!$A:$AF,19,FALSE)*$Q67/100</f>
        <v>6.0000000000000009</v>
      </c>
      <c r="AG67" s="583">
        <f>VLOOKUP($H67,Nutrition_tables!$A:$AF,20,FALSE)*$Q67/100</f>
        <v>45.5</v>
      </c>
      <c r="AH67" s="583">
        <f>VLOOKUP($H67,Nutrition_tables!$A:$AF,21,FALSE)*$Q67/100</f>
        <v>1.9944016794961515E-2</v>
      </c>
      <c r="AI67" s="583">
        <f>VLOOKUP($H67,Nutrition_tables!$A:$AF,22,FALSE)*$Q67/100</f>
        <v>0.22008397480755776</v>
      </c>
      <c r="AJ67" s="549">
        <f>VLOOKUP($H67,Nutrition_tables!$A:$AF,23,FALSE)*$Q67/100</f>
        <v>5.0000000000000001E-3</v>
      </c>
      <c r="AK67" s="583">
        <f>VLOOKUP($H67,Nutrition_tables!$A:$AF,24,FALSE)*$Q67/100</f>
        <v>13</v>
      </c>
      <c r="AL67" s="583">
        <f>VLOOKUP($H67,Nutrition_tables!$A:$AF,25,FALSE)*$Q67/100</f>
        <v>1.9944016794961515E-2</v>
      </c>
      <c r="AM67" s="583">
        <f>VLOOKUP($H67,Nutrition_tables!$A:$AF,26,FALSE)*$Q67/100</f>
        <v>6.9979006298110574E-2</v>
      </c>
      <c r="AN67" s="583">
        <f>VLOOKUP($H67,Nutrition_tables!$A:$AF,27,FALSE)*$Q67/100</f>
        <v>0.44996501049685095</v>
      </c>
      <c r="AO67" s="583">
        <f>VLOOKUP($H67,Nutrition_tables!$A:$AF,28,FALSE)*$Q67/100</f>
        <v>1.9944016794961515E-2</v>
      </c>
      <c r="AP67" s="583">
        <f>VLOOKUP($H67,Nutrition_tables!$A:$AF,29,FALSE)*$Q67/100</f>
        <v>2.5000000000000004</v>
      </c>
      <c r="AQ67" s="583">
        <f>VLOOKUP($H67,Nutrition_tables!$A:$AF,30,FALSE)*$Q67/100</f>
        <v>0.20993701889433172</v>
      </c>
      <c r="AR67" s="583">
        <f>VLOOKUP($H67,Nutrition_tables!$A:$AF,31,FALSE)*$Q67/100</f>
        <v>0</v>
      </c>
      <c r="AS67" s="549">
        <f>VLOOKUP($H67,Nutrition_tables!$A:$AF,32,FALSE)*$Q67/100</f>
        <v>1.0146955913226032E-2</v>
      </c>
      <c r="AT67" s="583">
        <f>IF(H67="Select ingredient:","",IF(G67="Select food category:","",IFERROR(VLOOKUP($H67,Ingredient_prices!$E:$W,17,FALSE)*$Q67/1000,"not bought")))</f>
        <v>4.5650000000000004</v>
      </c>
      <c r="AU67" s="583">
        <f>IF(H67="Select ingredient:","",IF(G67="Select food category:","",IFERROR(VLOOKUP($H67,Ingredient_prices!$E:$W,18,FALSE)*$Q67/1000,"not bought")))</f>
        <v>4.5650000000000004</v>
      </c>
      <c r="AV67" s="583">
        <f t="shared" si="131"/>
        <v>24.809995038000991</v>
      </c>
      <c r="AW67" s="583">
        <f t="shared" si="132"/>
        <v>1.9847417304134451</v>
      </c>
      <c r="AX67" s="583">
        <f t="shared" si="133"/>
        <v>1.4060154640733245</v>
      </c>
      <c r="AY67" s="583">
        <f t="shared" si="134"/>
        <v>1.2404997519000498</v>
      </c>
      <c r="AZ67" s="583">
        <f t="shared" si="135"/>
        <v>0</v>
      </c>
      <c r="BA67" s="583">
        <f t="shared" si="136"/>
        <v>0.82699983460003301</v>
      </c>
      <c r="BB67" s="583">
        <f t="shared" si="137"/>
        <v>16.953496609300679</v>
      </c>
      <c r="BC67" s="583">
        <f t="shared" si="138"/>
        <v>66.98698660260267</v>
      </c>
      <c r="BD67" s="583">
        <f t="shared" si="139"/>
        <v>47.965990406801922</v>
      </c>
      <c r="BE67" s="583">
        <f t="shared" si="140"/>
        <v>4.9619990076001992</v>
      </c>
      <c r="BF67" s="583">
        <f t="shared" si="141"/>
        <v>37.628492474301503</v>
      </c>
      <c r="BG67" s="583">
        <f t="shared" si="142"/>
        <v>1.6493698590693454E-2</v>
      </c>
      <c r="BH67" s="583">
        <f t="shared" si="143"/>
        <v>0.18200941076396812</v>
      </c>
      <c r="BI67" s="583">
        <f t="shared" si="144"/>
        <v>4.1349991730001657E-3</v>
      </c>
      <c r="BJ67" s="583">
        <f t="shared" si="145"/>
        <v>10.750997849800431</v>
      </c>
      <c r="BK67" s="583">
        <f t="shared" si="146"/>
        <v>1.6493698590693454E-2</v>
      </c>
      <c r="BL67" s="583">
        <f t="shared" si="147"/>
        <v>5.787262663401211E-2</v>
      </c>
      <c r="BM67" s="583">
        <f t="shared" si="148"/>
        <v>0.37212098925669784</v>
      </c>
      <c r="BN67" s="583">
        <f t="shared" si="149"/>
        <v>1.6493698590693454E-2</v>
      </c>
      <c r="BO67" s="583">
        <f t="shared" si="150"/>
        <v>2.0674995865000829</v>
      </c>
      <c r="BP67" s="583">
        <f t="shared" si="151"/>
        <v>0.17361787990203637</v>
      </c>
      <c r="BQ67" s="583">
        <f t="shared" si="152"/>
        <v>0</v>
      </c>
      <c r="BR67" s="583">
        <f t="shared" si="153"/>
        <v>8.3915308619317563E-3</v>
      </c>
    </row>
    <row r="68" spans="1:70" s="229" customFormat="1" ht="15" customHeight="1">
      <c r="A68" s="590"/>
      <c r="D68" s="406"/>
      <c r="E68" s="576">
        <f t="shared" si="154"/>
        <v>100</v>
      </c>
      <c r="F68" s="707" t="s">
        <v>3897</v>
      </c>
      <c r="G68" s="406" t="s">
        <v>3140</v>
      </c>
      <c r="H68" s="578" t="s">
        <v>3105</v>
      </c>
      <c r="I68" s="85">
        <v>80</v>
      </c>
      <c r="J68" s="682">
        <v>1</v>
      </c>
      <c r="K68" s="579">
        <f t="shared" si="128"/>
        <v>8.8000000000000007</v>
      </c>
      <c r="L68" s="580">
        <f>IF(H68="Select ingredient:","",IF(G68="","",_xlfn.IFNA(VLOOKUP($H68,Ingredient_prices!$E:$U,16,FALSE),0)))</f>
        <v>90</v>
      </c>
      <c r="M68" s="591"/>
      <c r="N68" s="591"/>
      <c r="O68" s="591"/>
      <c r="P68" s="592"/>
      <c r="Q68" s="583">
        <f t="shared" si="129"/>
        <v>80</v>
      </c>
      <c r="R68" s="583">
        <f>VLOOKUP($H68,'CO2_emission+%_food_waste'!$A:$K,6,FALSE)*$Q68/100</f>
        <v>22.8</v>
      </c>
      <c r="S68" s="583">
        <f t="shared" si="130"/>
        <v>57.2</v>
      </c>
      <c r="T68" s="583">
        <f>IF(H68="Select ingredient:","",IF(G68="Select food category:","",_xlfn.IFNA(VLOOKUP($H68,Ingredient_prices!$E:$U,16,FALSE)*$Q68/1000,"not bought")))</f>
        <v>7.2</v>
      </c>
      <c r="U68" s="583">
        <f>IF(G68="Select food category:","",_xlfn.IFNA(VLOOKUP($H68,Ingredient_prices!$E:$U,16,FALSE)*$R68/1000,"not bought"))</f>
        <v>2.052</v>
      </c>
      <c r="V68" s="549">
        <f>VLOOKUP($H68,'CO2_emission+%_food_waste'!$A:$K,4,FALSE)*$Q68</f>
        <v>38.4</v>
      </c>
      <c r="W68" s="583">
        <f>VLOOKUP($H68,Nutrition_tables!$A:$N,10,FALSE)*$Q68/100</f>
        <v>19.2</v>
      </c>
      <c r="X68" s="583">
        <f>VLOOKUP($H68,Nutrition_tables!$A:$N,11,FALSE)*$Q68/100</f>
        <v>3.28</v>
      </c>
      <c r="Y68" s="583">
        <f>VLOOKUP($H68,Nutrition_tables!$A:$N,12,FALSE)*$Q68/100</f>
        <v>0.96</v>
      </c>
      <c r="Z68" s="583">
        <f>VLOOKUP($H68,Nutrition_tables!$A:$N,14,FALSE)*$Q68/100</f>
        <v>0.16</v>
      </c>
      <c r="AA68" s="583">
        <f>VLOOKUP($H68,Nutrition_tables!$A:$AF,13,FALSE)*$Q68/100</f>
        <v>2</v>
      </c>
      <c r="AB68" s="549">
        <f>VLOOKUP($H68,Nutrition_tables!$A:$AF,15,FALSE)*$Q68/100</f>
        <v>0.08</v>
      </c>
      <c r="AC68" s="583">
        <f>VLOOKUP($H68,Nutrition_tables!$A:$AF,16,FALSE)*$Q68/100</f>
        <v>4</v>
      </c>
      <c r="AD68" s="583">
        <f>VLOOKUP($H68,Nutrition_tables!$A:$AF,17,FALSE)*$Q68/100</f>
        <v>256</v>
      </c>
      <c r="AE68" s="583">
        <f>VLOOKUP($H68,Nutrition_tables!$A:$AF,18,FALSE)*$Q68/100</f>
        <v>33.6</v>
      </c>
      <c r="AF68" s="583">
        <f>VLOOKUP($H68,Nutrition_tables!$A:$AF,19,FALSE)*$Q68/100</f>
        <v>11.2</v>
      </c>
      <c r="AG68" s="583">
        <f>VLOOKUP($H68,Nutrition_tables!$A:$AF,20,FALSE)*$Q68/100</f>
        <v>32</v>
      </c>
      <c r="AH68" s="583">
        <f>VLOOKUP($H68,Nutrition_tables!$A:$AF,21,FALSE)*$Q68/100</f>
        <v>0.32</v>
      </c>
      <c r="AI68" s="583">
        <f>VLOOKUP($H68,Nutrition_tables!$A:$AF,22,FALSE)*$Q68/100</f>
        <v>0.16</v>
      </c>
      <c r="AJ68" s="549">
        <f>VLOOKUP($H68,Nutrition_tables!$A:$AF,23,FALSE)*$Q68/100</f>
        <v>3.0666666666666665E-2</v>
      </c>
      <c r="AK68" s="583">
        <f>VLOOKUP($H68,Nutrition_tables!$A:$AF,24,FALSE)*$Q68/100</f>
        <v>4.4000000000000004</v>
      </c>
      <c r="AL68" s="583">
        <f>VLOOKUP($H68,Nutrition_tables!$A:$AF,25,FALSE)*$Q68/100</f>
        <v>5.6000000000000008E-2</v>
      </c>
      <c r="AM68" s="583">
        <f>VLOOKUP($H68,Nutrition_tables!$A:$AF,26,FALSE)*$Q68/100</f>
        <v>0.04</v>
      </c>
      <c r="AN68" s="583">
        <f>VLOOKUP($H68,Nutrition_tables!$A:$AF,27,FALSE)*$Q68/100</f>
        <v>0.64</v>
      </c>
      <c r="AO68" s="583">
        <f>VLOOKUP($H68,Nutrition_tables!$A:$AF,28,FALSE)*$Q68/100</f>
        <v>3.04E-2</v>
      </c>
      <c r="AP68" s="583">
        <f>VLOOKUP($H68,Nutrition_tables!$A:$AF,29,FALSE)*$Q68/100</f>
        <v>23.92</v>
      </c>
      <c r="AQ68" s="583">
        <f>VLOOKUP($H68,Nutrition_tables!$A:$AF,30,FALSE)*$Q68/100</f>
        <v>0</v>
      </c>
      <c r="AR68" s="583">
        <f>VLOOKUP($H68,Nutrition_tables!$A:$AF,31,FALSE)*$Q68/100</f>
        <v>29.92</v>
      </c>
      <c r="AS68" s="549">
        <f>VLOOKUP($H68,Nutrition_tables!$A:$AF,32,FALSE)*$Q68/100</f>
        <v>0</v>
      </c>
      <c r="AT68" s="583">
        <f>IF(H68="Select ingredient:","",IF(G68="Select food category:","",IFERROR(VLOOKUP($H68,Ingredient_prices!$E:$W,17,FALSE)*$Q68/1000,"not bought")))</f>
        <v>5.28</v>
      </c>
      <c r="AU68" s="583">
        <f>IF(H68="Select ingredient:","",IF(G68="Select food category:","",IFERROR(VLOOKUP($H68,Ingredient_prices!$E:$W,18,FALSE)*$Q68/1000,"not bought")))</f>
        <v>7.2</v>
      </c>
      <c r="AV68" s="583">
        <f t="shared" si="131"/>
        <v>13.727998284000215</v>
      </c>
      <c r="AW68" s="583">
        <f t="shared" si="132"/>
        <v>2.3451997068500363</v>
      </c>
      <c r="AX68" s="583">
        <f t="shared" si="133"/>
        <v>0.68639991420001067</v>
      </c>
      <c r="AY68" s="583">
        <f t="shared" si="134"/>
        <v>0.1143999857000018</v>
      </c>
      <c r="AZ68" s="583">
        <f t="shared" si="135"/>
        <v>1.4299998212500225</v>
      </c>
      <c r="BA68" s="583">
        <f t="shared" si="136"/>
        <v>5.7199992850000901E-2</v>
      </c>
      <c r="BB68" s="583">
        <f t="shared" si="137"/>
        <v>2.8599996425000449</v>
      </c>
      <c r="BC68" s="583">
        <f t="shared" si="138"/>
        <v>183.03997712000287</v>
      </c>
      <c r="BD68" s="583">
        <f t="shared" si="139"/>
        <v>24.023996997000374</v>
      </c>
      <c r="BE68" s="583">
        <f t="shared" si="140"/>
        <v>8.0079989990001241</v>
      </c>
      <c r="BF68" s="583">
        <f t="shared" si="141"/>
        <v>22.879997140000359</v>
      </c>
      <c r="BG68" s="583">
        <f t="shared" si="142"/>
        <v>0.2287999714000036</v>
      </c>
      <c r="BH68" s="583">
        <f t="shared" si="143"/>
        <v>0.1143999857000018</v>
      </c>
      <c r="BI68" s="583">
        <f t="shared" si="144"/>
        <v>2.1926663925833676E-2</v>
      </c>
      <c r="BJ68" s="583">
        <f t="shared" si="145"/>
        <v>3.1459996067500495</v>
      </c>
      <c r="BK68" s="583">
        <f t="shared" si="146"/>
        <v>4.0039994995000633E-2</v>
      </c>
      <c r="BL68" s="583">
        <f t="shared" si="147"/>
        <v>2.8599996425000451E-2</v>
      </c>
      <c r="BM68" s="583">
        <f t="shared" si="148"/>
        <v>0.45759994280000721</v>
      </c>
      <c r="BN68" s="583">
        <f t="shared" si="149"/>
        <v>2.1735997283000338E-2</v>
      </c>
      <c r="BO68" s="583">
        <f t="shared" si="150"/>
        <v>17.102797862150268</v>
      </c>
      <c r="BP68" s="583">
        <f t="shared" si="151"/>
        <v>0</v>
      </c>
      <c r="BQ68" s="583">
        <f t="shared" si="152"/>
        <v>21.392797325900336</v>
      </c>
      <c r="BR68" s="583">
        <f t="shared" si="153"/>
        <v>0</v>
      </c>
    </row>
    <row r="69" spans="1:70" s="229" customFormat="1" ht="15" customHeight="1">
      <c r="A69" s="590"/>
      <c r="D69" s="85"/>
      <c r="E69" s="576">
        <f t="shared" si="154"/>
        <v>100</v>
      </c>
      <c r="F69" s="707"/>
      <c r="G69" s="406" t="s">
        <v>3075</v>
      </c>
      <c r="H69" s="578" t="s">
        <v>3239</v>
      </c>
      <c r="I69" s="85">
        <v>4</v>
      </c>
      <c r="J69" s="682">
        <v>1</v>
      </c>
      <c r="K69" s="579">
        <f t="shared" si="128"/>
        <v>0.44000000000000006</v>
      </c>
      <c r="L69" s="580">
        <f>IF(H69="Select ingredient:","",IF(G69="","",_xlfn.IFNA(VLOOKUP($H69,Ingredient_prices!$E:$U,16,FALSE),0)))</f>
        <v>121</v>
      </c>
      <c r="M69" s="591"/>
      <c r="N69" s="591"/>
      <c r="O69" s="591"/>
      <c r="P69" s="592"/>
      <c r="Q69" s="583">
        <f t="shared" si="129"/>
        <v>4</v>
      </c>
      <c r="R69" s="583">
        <f>VLOOKUP($H69,'CO2_emission+%_food_waste'!$A:$K,6,FALSE)*$Q69/100</f>
        <v>1.1120000000000001</v>
      </c>
      <c r="S69" s="583">
        <f t="shared" si="130"/>
        <v>2.8879999999999999</v>
      </c>
      <c r="T69" s="583">
        <f>IF(H69="Select ingredient:","",IF(G69="Select food category:","",_xlfn.IFNA(VLOOKUP($H69,Ingredient_prices!$E:$U,16,FALSE)*$Q69/1000,"not bought")))</f>
        <v>0.48399999999999999</v>
      </c>
      <c r="U69" s="583">
        <f>IF(G69="Select food category:","",_xlfn.IFNA(VLOOKUP($H69,Ingredient_prices!$E:$U,16,FALSE)*$R69/1000,"not bought"))</f>
        <v>0.13455200000000003</v>
      </c>
      <c r="V69" s="549">
        <f>VLOOKUP($H69,'CO2_emission+%_food_waste'!$A:$K,4,FALSE)*$Q69</f>
        <v>18.920000000000002</v>
      </c>
      <c r="W69" s="583">
        <f>VLOOKUP($H69,Nutrition_tables!$A:$N,10,FALSE)*$Q69/100</f>
        <v>35.372840000000004</v>
      </c>
      <c r="X69" s="583">
        <f>VLOOKUP($H69,Nutrition_tables!$A:$N,11,FALSE)*$Q69/100</f>
        <v>4.0000000000000001E-3</v>
      </c>
      <c r="Y69" s="583">
        <f>VLOOKUP($H69,Nutrition_tables!$A:$N,12,FALSE)*$Q69/100</f>
        <v>4.0000000000000001E-3</v>
      </c>
      <c r="Z69" s="583">
        <f>VLOOKUP($H69,Nutrition_tables!$A:$N,14,FALSE)*$Q69/100</f>
        <v>3.9799999999999995</v>
      </c>
      <c r="AA69" s="583">
        <f>VLOOKUP($H69,Nutrition_tables!$A:$AF,13,FALSE)*$Q69/100</f>
        <v>0</v>
      </c>
      <c r="AB69" s="549">
        <f>VLOOKUP($H69,Nutrition_tables!$A:$AF,15,FALSE)*$Q69/100</f>
        <v>0.27160000000000006</v>
      </c>
      <c r="AC69" s="583">
        <f>VLOOKUP($H69,Nutrition_tables!$A:$AF,16,FALSE)*$Q69/100</f>
        <v>4.0000000000000001E-3</v>
      </c>
      <c r="AD69" s="583">
        <f>VLOOKUP($H69,Nutrition_tables!$A:$AF,17,FALSE)*$Q69/100</f>
        <v>0</v>
      </c>
      <c r="AE69" s="583">
        <f>VLOOKUP($H69,Nutrition_tables!$A:$AF,18,FALSE)*$Q69/100</f>
        <v>8.0000000000000002E-3</v>
      </c>
      <c r="AF69" s="583">
        <f>VLOOKUP($H69,Nutrition_tables!$A:$AF,19,FALSE)*$Q69/100</f>
        <v>0.04</v>
      </c>
      <c r="AG69" s="583">
        <f>VLOOKUP($H69,Nutrition_tables!$A:$AF,20,FALSE)*$Q69/100</f>
        <v>0</v>
      </c>
      <c r="AH69" s="583">
        <f>VLOOKUP($H69,Nutrition_tables!$A:$AF,21,FALSE)*$Q69/100</f>
        <v>4.0000000000000001E-3</v>
      </c>
      <c r="AI69" s="583">
        <f>VLOOKUP($H69,Nutrition_tables!$A:$AF,22,FALSE)*$Q69/100</f>
        <v>0</v>
      </c>
      <c r="AJ69" s="549">
        <f>VLOOKUP($H69,Nutrition_tables!$A:$AF,23,FALSE)*$Q69/100</f>
        <v>0</v>
      </c>
      <c r="AK69" s="583">
        <f>VLOOKUP($H69,Nutrition_tables!$A:$AF,24,FALSE)*$Q69/100</f>
        <v>0</v>
      </c>
      <c r="AL69" s="583">
        <f>VLOOKUP($H69,Nutrition_tables!$A:$AF,25,FALSE)*$Q69/100</f>
        <v>0</v>
      </c>
      <c r="AM69" s="583">
        <f>VLOOKUP($H69,Nutrition_tables!$A:$AF,26,FALSE)*$Q69/100</f>
        <v>0</v>
      </c>
      <c r="AN69" s="583">
        <f>VLOOKUP($H69,Nutrition_tables!$A:$AF,27,FALSE)*$Q69/100</f>
        <v>0</v>
      </c>
      <c r="AO69" s="583">
        <f>VLOOKUP($H69,Nutrition_tables!$A:$AF,28,FALSE)*$Q69/100</f>
        <v>0</v>
      </c>
      <c r="AP69" s="583">
        <f>VLOOKUP($H69,Nutrition_tables!$A:$AF,29,FALSE)*$Q69/100</f>
        <v>0</v>
      </c>
      <c r="AQ69" s="583">
        <f>VLOOKUP($H69,Nutrition_tables!$A:$AF,30,FALSE)*$Q69/100</f>
        <v>0</v>
      </c>
      <c r="AR69" s="583">
        <f>VLOOKUP($H69,Nutrition_tables!$A:$AF,31,FALSE)*$Q69/100</f>
        <v>0</v>
      </c>
      <c r="AS69" s="549">
        <f>VLOOKUP($H69,Nutrition_tables!$A:$AF,32,FALSE)*$Q69/100</f>
        <v>0</v>
      </c>
      <c r="AT69" s="583">
        <f>IF(H69="Select ingredient:","",IF(G69="Select food category:","",IFERROR(VLOOKUP($H69,Ingredient_prices!$E:$W,17,FALSE)*$Q69/1000,"not bought")))</f>
        <v>0.48399999999999999</v>
      </c>
      <c r="AU69" s="583">
        <f>IF(H69="Select ingredient:","",IF(G69="Select food category:","",IFERROR(VLOOKUP($H69,Ingredient_prices!$E:$W,18,FALSE)*$Q69/1000,"not bought")))</f>
        <v>0.48399999999999999</v>
      </c>
      <c r="AV69" s="583">
        <f t="shared" si="131"/>
        <v>25.539126632183425</v>
      </c>
      <c r="AW69" s="583">
        <f t="shared" si="132"/>
        <v>2.88799278001805E-3</v>
      </c>
      <c r="AX69" s="583">
        <f t="shared" si="133"/>
        <v>2.88799278001805E-3</v>
      </c>
      <c r="AY69" s="583">
        <f t="shared" si="134"/>
        <v>2.8735528161179595</v>
      </c>
      <c r="AZ69" s="583">
        <f t="shared" si="135"/>
        <v>0</v>
      </c>
      <c r="BA69" s="583">
        <f t="shared" si="136"/>
        <v>0.19609470976322566</v>
      </c>
      <c r="BB69" s="583">
        <f t="shared" si="137"/>
        <v>2.88799278001805E-3</v>
      </c>
      <c r="BC69" s="583">
        <f t="shared" si="138"/>
        <v>0</v>
      </c>
      <c r="BD69" s="583">
        <f t="shared" si="139"/>
        <v>5.7759855600360999E-3</v>
      </c>
      <c r="BE69" s="583">
        <f t="shared" si="140"/>
        <v>2.8879927800180501E-2</v>
      </c>
      <c r="BF69" s="583">
        <f t="shared" si="141"/>
        <v>0</v>
      </c>
      <c r="BG69" s="583">
        <f t="shared" si="142"/>
        <v>2.88799278001805E-3</v>
      </c>
      <c r="BH69" s="583">
        <f t="shared" si="143"/>
        <v>0</v>
      </c>
      <c r="BI69" s="583">
        <f t="shared" si="144"/>
        <v>0</v>
      </c>
      <c r="BJ69" s="583">
        <f t="shared" si="145"/>
        <v>0</v>
      </c>
      <c r="BK69" s="583">
        <f t="shared" si="146"/>
        <v>0</v>
      </c>
      <c r="BL69" s="583">
        <f t="shared" si="147"/>
        <v>0</v>
      </c>
      <c r="BM69" s="583">
        <f t="shared" si="148"/>
        <v>0</v>
      </c>
      <c r="BN69" s="583">
        <f t="shared" si="149"/>
        <v>0</v>
      </c>
      <c r="BO69" s="583">
        <f t="shared" si="150"/>
        <v>0</v>
      </c>
      <c r="BP69" s="583">
        <f t="shared" si="151"/>
        <v>0</v>
      </c>
      <c r="BQ69" s="583">
        <f t="shared" si="152"/>
        <v>0</v>
      </c>
      <c r="BR69" s="583">
        <f t="shared" si="153"/>
        <v>0</v>
      </c>
    </row>
    <row r="70" spans="1:70" s="229" customFormat="1" ht="15" customHeight="1">
      <c r="A70" s="590"/>
      <c r="D70" s="85"/>
      <c r="E70" s="576">
        <f t="shared" si="154"/>
        <v>100</v>
      </c>
      <c r="F70" s="707"/>
      <c r="G70" s="406" t="s">
        <v>3142</v>
      </c>
      <c r="H70" s="578" t="s">
        <v>498</v>
      </c>
      <c r="I70" s="85">
        <v>4</v>
      </c>
      <c r="J70" s="682">
        <v>1</v>
      </c>
      <c r="K70" s="579">
        <f t="shared" si="128"/>
        <v>0.44000000000000006</v>
      </c>
      <c r="L70" s="580">
        <f>IF(H70="Select ingredient:","",IF(G70="","",_xlfn.IFNA(VLOOKUP($H70,Ingredient_prices!$E:$U,16,FALSE),0)))</f>
        <v>45.6</v>
      </c>
      <c r="M70" s="591"/>
      <c r="N70" s="591"/>
      <c r="O70" s="591"/>
      <c r="P70" s="592"/>
      <c r="Q70" s="583">
        <f t="shared" si="129"/>
        <v>4</v>
      </c>
      <c r="R70" s="583">
        <f>VLOOKUP($H70,'CO2_emission+%_food_waste'!$A:$K,6,FALSE)*$Q70/100</f>
        <v>1.232</v>
      </c>
      <c r="S70" s="583">
        <f t="shared" si="130"/>
        <v>2.7679999999999998</v>
      </c>
      <c r="T70" s="583">
        <f>IF(H70="Select ingredient:","",IF(G70="Select food category:","",_xlfn.IFNA(VLOOKUP($H70,Ingredient_prices!$E:$U,16,FALSE)*$Q70/1000,"not bought")))</f>
        <v>0.18240000000000001</v>
      </c>
      <c r="U70" s="583">
        <f>IF(G70="Select food category:","",_xlfn.IFNA(VLOOKUP($H70,Ingredient_prices!$E:$U,16,FALSE)*$R70/1000,"not bought"))</f>
        <v>5.6179199999999999E-2</v>
      </c>
      <c r="V70" s="549">
        <f>VLOOKUP($H70,'CO2_emission+%_food_waste'!$A:$K,4,FALSE)*$Q70</f>
        <v>6.4</v>
      </c>
      <c r="W70" s="583">
        <f>VLOOKUP($H70,Nutrition_tables!$A:$N,10,FALSE)*$Q70/100</f>
        <v>1.28</v>
      </c>
      <c r="X70" s="583">
        <f>VLOOKUP($H70,Nutrition_tables!$A:$N,11,FALSE)*$Q70/100</f>
        <v>0.3839999999999999</v>
      </c>
      <c r="Y70" s="583">
        <f>VLOOKUP($H70,Nutrition_tables!$A:$N,12,FALSE)*$Q70/100</f>
        <v>1.1999999999999999E-3</v>
      </c>
      <c r="Z70" s="583">
        <f>VLOOKUP($H70,Nutrition_tables!$A:$N,14,FALSE)*$Q70/100</f>
        <v>0</v>
      </c>
      <c r="AA70" s="583">
        <f>VLOOKUP($H70,Nutrition_tables!$A:$AF,13,FALSE)*$Q70/100</f>
        <v>0</v>
      </c>
      <c r="AB70" s="549">
        <f>VLOOKUP($H70,Nutrition_tables!$A:$AF,15,FALSE)*$Q70/100</f>
        <v>0</v>
      </c>
      <c r="AC70" s="583">
        <f>VLOOKUP($H70,Nutrition_tables!$A:$AF,16,FALSE)*$Q70/100</f>
        <v>0.8</v>
      </c>
      <c r="AD70" s="583">
        <f>VLOOKUP($H70,Nutrition_tables!$A:$AF,17,FALSE)*$Q70/100</f>
        <v>3.5599999999999996</v>
      </c>
      <c r="AE70" s="583">
        <f>VLOOKUP($H70,Nutrition_tables!$A:$AF,18,FALSE)*$Q70/100</f>
        <v>0.6</v>
      </c>
      <c r="AF70" s="583">
        <f>VLOOKUP($H70,Nutrition_tables!$A:$AF,19,FALSE)*$Q70/100</f>
        <v>0.88</v>
      </c>
      <c r="AG70" s="583">
        <f>VLOOKUP($H70,Nutrition_tables!$A:$AF,20,FALSE)*$Q70/100</f>
        <v>1.28</v>
      </c>
      <c r="AH70" s="583">
        <f>VLOOKUP($H70,Nutrition_tables!$A:$AF,21,FALSE)*$Q70/100</f>
        <v>0.02</v>
      </c>
      <c r="AI70" s="583">
        <f>VLOOKUP($H70,Nutrition_tables!$A:$AF,22,FALSE)*$Q70/100</f>
        <v>2.52E-4</v>
      </c>
      <c r="AJ70" s="549">
        <f>VLOOKUP($H70,Nutrition_tables!$A:$AF,23,FALSE)*$Q70/100</f>
        <v>0</v>
      </c>
      <c r="AK70" s="583">
        <f>VLOOKUP($H70,Nutrition_tables!$A:$AF,24,FALSE)*$Q70/100</f>
        <v>0</v>
      </c>
      <c r="AL70" s="583">
        <f>VLOOKUP($H70,Nutrition_tables!$A:$AF,25,FALSE)*$Q70/100</f>
        <v>0</v>
      </c>
      <c r="AM70" s="583">
        <f>VLOOKUP($H70,Nutrition_tables!$A:$AF,26,FALSE)*$Q70/100</f>
        <v>0</v>
      </c>
      <c r="AN70" s="583">
        <f>VLOOKUP($H70,Nutrition_tables!$A:$AF,27,FALSE)*$Q70/100</f>
        <v>0</v>
      </c>
      <c r="AO70" s="583">
        <f>VLOOKUP($H70,Nutrition_tables!$A:$AF,28,FALSE)*$Q70/100</f>
        <v>0</v>
      </c>
      <c r="AP70" s="583">
        <f>VLOOKUP($H70,Nutrition_tables!$A:$AF,29,FALSE)*$Q70/100</f>
        <v>0</v>
      </c>
      <c r="AQ70" s="583">
        <f>VLOOKUP($H70,Nutrition_tables!$A:$AF,30,FALSE)*$Q70/100</f>
        <v>0</v>
      </c>
      <c r="AR70" s="583">
        <f>VLOOKUP($H70,Nutrition_tables!$A:$AF,31,FALSE)*$Q70/100</f>
        <v>0</v>
      </c>
      <c r="AS70" s="549">
        <f>VLOOKUP($H70,Nutrition_tables!$A:$AF,32,FALSE)*$Q70/100</f>
        <v>0</v>
      </c>
      <c r="AT70" s="583">
        <f>IF(H70="Select ingredient:","",IF(G70="Select food category:","",IFERROR(VLOOKUP($H70,Ingredient_prices!$E:$W,17,FALSE)*$Q70/1000,"not bought")))</f>
        <v>0.18240000000000001</v>
      </c>
      <c r="AU70" s="583">
        <f>IF(H70="Select ingredient:","",IF(G70="Select food category:","",IFERROR(VLOOKUP($H70,Ingredient_prices!$E:$W,18,FALSE)*$Q70/1000,"not bought")))</f>
        <v>0.18240000000000001</v>
      </c>
      <c r="AV70" s="583">
        <f t="shared" si="131"/>
        <v>0.88575778560553609</v>
      </c>
      <c r="AW70" s="583">
        <f t="shared" si="132"/>
        <v>0.26572733568166074</v>
      </c>
      <c r="AX70" s="583">
        <f t="shared" si="133"/>
        <v>8.3039792400518993E-4</v>
      </c>
      <c r="AY70" s="583">
        <f t="shared" si="134"/>
        <v>0</v>
      </c>
      <c r="AZ70" s="583">
        <f t="shared" si="135"/>
        <v>0</v>
      </c>
      <c r="BA70" s="583">
        <f t="shared" si="136"/>
        <v>0</v>
      </c>
      <c r="BB70" s="583">
        <f t="shared" si="137"/>
        <v>0.55359861600346005</v>
      </c>
      <c r="BC70" s="583">
        <f t="shared" si="138"/>
        <v>2.4635138412153967</v>
      </c>
      <c r="BD70" s="583">
        <f t="shared" si="139"/>
        <v>0.41519896200259498</v>
      </c>
      <c r="BE70" s="583">
        <f t="shared" si="140"/>
        <v>0.60895847760380595</v>
      </c>
      <c r="BF70" s="583">
        <f t="shared" si="141"/>
        <v>0.88575778560553609</v>
      </c>
      <c r="BG70" s="583">
        <f t="shared" si="142"/>
        <v>1.3839965400086501E-2</v>
      </c>
      <c r="BH70" s="583">
        <f t="shared" si="143"/>
        <v>1.7438356404108989E-4</v>
      </c>
      <c r="BI70" s="583">
        <f t="shared" si="144"/>
        <v>0</v>
      </c>
      <c r="BJ70" s="583">
        <f t="shared" si="145"/>
        <v>0</v>
      </c>
      <c r="BK70" s="583">
        <f t="shared" si="146"/>
        <v>0</v>
      </c>
      <c r="BL70" s="583">
        <f t="shared" si="147"/>
        <v>0</v>
      </c>
      <c r="BM70" s="583">
        <f t="shared" si="148"/>
        <v>0</v>
      </c>
      <c r="BN70" s="583">
        <f t="shared" si="149"/>
        <v>0</v>
      </c>
      <c r="BO70" s="583">
        <f t="shared" si="150"/>
        <v>0</v>
      </c>
      <c r="BP70" s="583">
        <f t="shared" si="151"/>
        <v>0</v>
      </c>
      <c r="BQ70" s="583">
        <f t="shared" si="152"/>
        <v>0</v>
      </c>
      <c r="BR70" s="583">
        <f t="shared" si="153"/>
        <v>0</v>
      </c>
    </row>
    <row r="71" spans="1:70" s="229" customFormat="1" ht="15" customHeight="1">
      <c r="A71" s="590"/>
      <c r="D71" s="85"/>
      <c r="E71" s="576">
        <f t="shared" si="154"/>
        <v>100</v>
      </c>
      <c r="F71" s="707"/>
      <c r="G71" s="406" t="s">
        <v>3076</v>
      </c>
      <c r="H71" s="578" t="s">
        <v>495</v>
      </c>
      <c r="I71" s="85">
        <v>0.3</v>
      </c>
      <c r="J71" s="682">
        <v>1</v>
      </c>
      <c r="K71" s="579">
        <f t="shared" si="128"/>
        <v>3.3000000000000002E-2</v>
      </c>
      <c r="L71" s="580">
        <f>IF(H71="Select ingredient:","",IF(G71="","",_xlfn.IFNA(VLOOKUP($H71,Ingredient_prices!$E:$U,16,FALSE),0)))</f>
        <v>33.6</v>
      </c>
      <c r="M71" s="591"/>
      <c r="N71" s="591"/>
      <c r="O71" s="591"/>
      <c r="P71" s="592"/>
      <c r="Q71" s="583">
        <f t="shared" si="129"/>
        <v>0.3</v>
      </c>
      <c r="R71" s="583">
        <f>VLOOKUP($H71,'CO2_emission+%_food_waste'!$A:$K,6,FALSE)*$Q71/100</f>
        <v>9.2999999999999985E-2</v>
      </c>
      <c r="S71" s="583">
        <f t="shared" si="130"/>
        <v>0.20700000000000002</v>
      </c>
      <c r="T71" s="583">
        <f>IF(H71="Select ingredient:","",IF(G71="Select food category:","",_xlfn.IFNA(VLOOKUP($H71,Ingredient_prices!$E:$U,16,FALSE)*$Q71/1000,"not bought")))</f>
        <v>1.008E-2</v>
      </c>
      <c r="U71" s="583">
        <f>IF(G71="Select food category:","",_xlfn.IFNA(VLOOKUP($H71,Ingredient_prices!$E:$U,16,FALSE)*$R71/1000,"not bought"))</f>
        <v>3.1247999999999996E-3</v>
      </c>
      <c r="V71" s="549">
        <f>VLOOKUP($H71,'CO2_emission+%_food_waste'!$A:$K,4,FALSE)*$Q71</f>
        <v>5.3999999999999999E-2</v>
      </c>
      <c r="W71" s="583">
        <f>VLOOKUP($H71,Nutrition_tables!$A:$N,10,FALSE)*$Q71/100</f>
        <v>0</v>
      </c>
      <c r="X71" s="583">
        <f>VLOOKUP($H71,Nutrition_tables!$A:$N,11,FALSE)*$Q71/100</f>
        <v>0</v>
      </c>
      <c r="Y71" s="583">
        <f>VLOOKUP($H71,Nutrition_tables!$A:$N,12,FALSE)*$Q71/100</f>
        <v>0</v>
      </c>
      <c r="Z71" s="583">
        <f>VLOOKUP($H71,Nutrition_tables!$A:$N,14,FALSE)*$Q71/100</f>
        <v>0</v>
      </c>
      <c r="AA71" s="583">
        <f>VLOOKUP($H71,Nutrition_tables!$A:$AF,13,FALSE)*$Q71/100</f>
        <v>0</v>
      </c>
      <c r="AB71" s="549">
        <f>VLOOKUP($H71,Nutrition_tables!$A:$AF,15,FALSE)*$Q71/100</f>
        <v>0</v>
      </c>
      <c r="AC71" s="583">
        <f>VLOOKUP($H71,Nutrition_tables!$A:$AF,16,FALSE)*$Q71/100</f>
        <v>116.55</v>
      </c>
      <c r="AD71" s="583">
        <f>VLOOKUP($H71,Nutrition_tables!$A:$AF,17,FALSE)*$Q71/100</f>
        <v>0.34799999999999998</v>
      </c>
      <c r="AE71" s="583">
        <f>VLOOKUP($H71,Nutrition_tables!$A:$AF,18,FALSE)*$Q71/100</f>
        <v>5.7000000000000002E-2</v>
      </c>
      <c r="AF71" s="583">
        <f>VLOOKUP($H71,Nutrition_tables!$A:$AF,19,FALSE)*$Q71/100</f>
        <v>0.79500000000000004</v>
      </c>
      <c r="AG71" s="583">
        <f>VLOOKUP($H71,Nutrition_tables!$A:$AF,20,FALSE)*$Q71/100</f>
        <v>2.4E-2</v>
      </c>
      <c r="AH71" s="583">
        <f>VLOOKUP($H71,Nutrition_tables!$A:$AF,21,FALSE)*$Q71/100</f>
        <v>6.0000000000000002E-5</v>
      </c>
      <c r="AI71" s="583">
        <f>VLOOKUP($H71,Nutrition_tables!$A:$AF,22,FALSE)*$Q71/100</f>
        <v>2.9999999999999997E-4</v>
      </c>
      <c r="AJ71" s="549">
        <f>VLOOKUP($H71,Nutrition_tables!$A:$AF,23,FALSE)*$Q71/100</f>
        <v>8.9999999999999992E-5</v>
      </c>
      <c r="AK71" s="583">
        <f>VLOOKUP($H71,Nutrition_tables!$A:$AF,24,FALSE)*$Q71/100</f>
        <v>0</v>
      </c>
      <c r="AL71" s="583">
        <f>VLOOKUP($H71,Nutrition_tables!$A:$AF,25,FALSE)*$Q71/100</f>
        <v>0</v>
      </c>
      <c r="AM71" s="583">
        <f>VLOOKUP($H71,Nutrition_tables!$A:$AF,26,FALSE)*$Q71/100</f>
        <v>0</v>
      </c>
      <c r="AN71" s="583">
        <f>VLOOKUP($H71,Nutrition_tables!$A:$AF,27,FALSE)*$Q71/100</f>
        <v>0</v>
      </c>
      <c r="AO71" s="583">
        <f>VLOOKUP($H71,Nutrition_tables!$A:$AF,28,FALSE)*$Q71/100</f>
        <v>0</v>
      </c>
      <c r="AP71" s="583">
        <f>VLOOKUP($H71,Nutrition_tables!$A:$AF,29,FALSE)*$Q71/100</f>
        <v>0</v>
      </c>
      <c r="AQ71" s="583">
        <f>VLOOKUP($H71,Nutrition_tables!$A:$AF,30,FALSE)*$Q71/100</f>
        <v>0</v>
      </c>
      <c r="AR71" s="583">
        <f>VLOOKUP($H71,Nutrition_tables!$A:$AF,31,FALSE)*$Q71/100</f>
        <v>0</v>
      </c>
      <c r="AS71" s="549">
        <f>VLOOKUP($H71,Nutrition_tables!$A:$AF,32,FALSE)*$Q71/100</f>
        <v>0</v>
      </c>
      <c r="AT71" s="583">
        <f>IF(H71="Select ingredient:","",IF(G71="Select food category:","",IFERROR(VLOOKUP($H71,Ingredient_prices!$E:$W,17,FALSE)*$Q71/1000,"not bought")))</f>
        <v>1.008E-2</v>
      </c>
      <c r="AU71" s="583">
        <f>IF(H71="Select ingredient:","",IF(G71="Select food category:","",IFERROR(VLOOKUP($H71,Ingredient_prices!$E:$W,18,FALSE)*$Q71/1000,"not bought")))</f>
        <v>1.008E-2</v>
      </c>
      <c r="AV71" s="583">
        <f t="shared" si="131"/>
        <v>0</v>
      </c>
      <c r="AW71" s="583">
        <f t="shared" si="132"/>
        <v>0</v>
      </c>
      <c r="AX71" s="583">
        <f t="shared" si="133"/>
        <v>0</v>
      </c>
      <c r="AY71" s="583">
        <f t="shared" si="134"/>
        <v>0</v>
      </c>
      <c r="AZ71" s="583">
        <f t="shared" si="135"/>
        <v>0</v>
      </c>
      <c r="BA71" s="583">
        <f t="shared" si="136"/>
        <v>0</v>
      </c>
      <c r="BB71" s="583">
        <f t="shared" si="137"/>
        <v>80.416819439352025</v>
      </c>
      <c r="BC71" s="583">
        <f t="shared" si="138"/>
        <v>0.24011199626679111</v>
      </c>
      <c r="BD71" s="583">
        <f t="shared" si="139"/>
        <v>3.9328689043698552E-2</v>
      </c>
      <c r="BE71" s="583">
        <f t="shared" si="140"/>
        <v>0.54853171560947978</v>
      </c>
      <c r="BF71" s="583">
        <f t="shared" si="141"/>
        <v>1.6559448018399387E-2</v>
      </c>
      <c r="BG71" s="583">
        <f t="shared" si="142"/>
        <v>4.1398620045998472E-5</v>
      </c>
      <c r="BH71" s="583">
        <f t="shared" si="143"/>
        <v>2.0699310022999234E-4</v>
      </c>
      <c r="BI71" s="583">
        <f t="shared" si="144"/>
        <v>6.2097930068997701E-5</v>
      </c>
      <c r="BJ71" s="583">
        <f t="shared" si="145"/>
        <v>0</v>
      </c>
      <c r="BK71" s="583">
        <f t="shared" si="146"/>
        <v>0</v>
      </c>
      <c r="BL71" s="583">
        <f t="shared" si="147"/>
        <v>0</v>
      </c>
      <c r="BM71" s="583">
        <f t="shared" si="148"/>
        <v>0</v>
      </c>
      <c r="BN71" s="583">
        <f t="shared" si="149"/>
        <v>0</v>
      </c>
      <c r="BO71" s="583">
        <f t="shared" si="150"/>
        <v>0</v>
      </c>
      <c r="BP71" s="583">
        <f t="shared" si="151"/>
        <v>0</v>
      </c>
      <c r="BQ71" s="583">
        <f t="shared" si="152"/>
        <v>0</v>
      </c>
      <c r="BR71" s="583">
        <f t="shared" si="153"/>
        <v>0</v>
      </c>
    </row>
    <row r="72" spans="1:70" s="229" customFormat="1" ht="15" customHeight="1">
      <c r="A72" s="590"/>
      <c r="D72" s="85"/>
      <c r="E72" s="576">
        <f t="shared" si="154"/>
        <v>100</v>
      </c>
      <c r="F72" s="707"/>
      <c r="G72" s="406" t="s">
        <v>3054</v>
      </c>
      <c r="H72" s="1262" t="s">
        <v>3055</v>
      </c>
      <c r="I72" s="85">
        <v>0</v>
      </c>
      <c r="J72" s="682">
        <v>1</v>
      </c>
      <c r="K72" s="579" t="str">
        <f t="shared" si="128"/>
        <v/>
      </c>
      <c r="L72" s="580" t="str">
        <f>IF(H72="Select ingredient:","",IF(G72="","",_xlfn.IFNA(VLOOKUP($H72,Ingredient_prices!$E:$U,16,FALSE),0)))</f>
        <v/>
      </c>
      <c r="M72" s="591"/>
      <c r="N72" s="591"/>
      <c r="O72" s="591"/>
      <c r="P72" s="592"/>
      <c r="Q72" s="583">
        <f t="shared" si="129"/>
        <v>0</v>
      </c>
      <c r="R72" s="583">
        <f>VLOOKUP($H72,'CO2_emission+%_food_waste'!$A:$K,6,FALSE)*$Q72/100</f>
        <v>0</v>
      </c>
      <c r="S72" s="583">
        <f t="shared" si="130"/>
        <v>0</v>
      </c>
      <c r="T72" s="583" t="str">
        <f>IF(H72="Select ingredient:","",IF(G72="Select food category:","",_xlfn.IFNA(VLOOKUP($H72,Ingredient_prices!$E:$U,16,FALSE)*$Q72/1000,"not bought")))</f>
        <v/>
      </c>
      <c r="U72" s="583" t="str">
        <f>IF(G72="Select food category:","",_xlfn.IFNA(VLOOKUP($H72,Ingredient_prices!$E:$U,16,FALSE)*$R72/1000,"not bought"))</f>
        <v/>
      </c>
      <c r="V72" s="549">
        <f>VLOOKUP($H72,'CO2_emission+%_food_waste'!$A:$K,4,FALSE)*$Q72</f>
        <v>0</v>
      </c>
      <c r="W72" s="583">
        <f>VLOOKUP($H72,Nutrition_tables!$A:$N,10,FALSE)*$Q72/100</f>
        <v>0</v>
      </c>
      <c r="X72" s="583">
        <f>VLOOKUP($H72,Nutrition_tables!$A:$N,11,FALSE)*$Q72/100</f>
        <v>0</v>
      </c>
      <c r="Y72" s="583">
        <f>VLOOKUP($H72,Nutrition_tables!$A:$N,12,FALSE)*$Q72/100</f>
        <v>0</v>
      </c>
      <c r="Z72" s="583">
        <f>VLOOKUP($H72,Nutrition_tables!$A:$N,14,FALSE)*$Q72/100</f>
        <v>0</v>
      </c>
      <c r="AA72" s="583">
        <f>VLOOKUP($H72,Nutrition_tables!$A:$AF,13,FALSE)*$Q72/100</f>
        <v>0</v>
      </c>
      <c r="AB72" s="549">
        <f>VLOOKUP($H72,Nutrition_tables!$A:$AF,15,FALSE)*$Q72/100</f>
        <v>0</v>
      </c>
      <c r="AC72" s="583">
        <f>VLOOKUP($H72,Nutrition_tables!$A:$AF,16,FALSE)*$Q72/100</f>
        <v>0</v>
      </c>
      <c r="AD72" s="583">
        <f>VLOOKUP($H72,Nutrition_tables!$A:$AF,17,FALSE)*$Q72/100</f>
        <v>0</v>
      </c>
      <c r="AE72" s="583">
        <f>VLOOKUP($H72,Nutrition_tables!$A:$AF,18,FALSE)*$Q72/100</f>
        <v>0</v>
      </c>
      <c r="AF72" s="583">
        <f>VLOOKUP($H72,Nutrition_tables!$A:$AF,19,FALSE)*$Q72/100</f>
        <v>0</v>
      </c>
      <c r="AG72" s="583">
        <f>VLOOKUP($H72,Nutrition_tables!$A:$AF,20,FALSE)*$Q72/100</f>
        <v>0</v>
      </c>
      <c r="AH72" s="583">
        <f>VLOOKUP($H72,Nutrition_tables!$A:$AF,21,FALSE)*$Q72/100</f>
        <v>0</v>
      </c>
      <c r="AI72" s="583">
        <f>VLOOKUP($H72,Nutrition_tables!$A:$AF,22,FALSE)*$Q72/100</f>
        <v>0</v>
      </c>
      <c r="AJ72" s="549">
        <f>VLOOKUP($H72,Nutrition_tables!$A:$AF,23,FALSE)*$Q72/100</f>
        <v>0</v>
      </c>
      <c r="AK72" s="583">
        <f>VLOOKUP($H72,Nutrition_tables!$A:$AF,24,FALSE)*$Q72/100</f>
        <v>0</v>
      </c>
      <c r="AL72" s="583">
        <f>VLOOKUP($H72,Nutrition_tables!$A:$AF,25,FALSE)*$Q72/100</f>
        <v>0</v>
      </c>
      <c r="AM72" s="583">
        <f>VLOOKUP($H72,Nutrition_tables!$A:$AF,26,FALSE)*$Q72/100</f>
        <v>0</v>
      </c>
      <c r="AN72" s="583">
        <f>VLOOKUP($H72,Nutrition_tables!$A:$AF,27,FALSE)*$Q72/100</f>
        <v>0</v>
      </c>
      <c r="AO72" s="583">
        <f>VLOOKUP($H72,Nutrition_tables!$A:$AF,28,FALSE)*$Q72/100</f>
        <v>0</v>
      </c>
      <c r="AP72" s="583">
        <f>VLOOKUP($H72,Nutrition_tables!$A:$AF,29,FALSE)*$Q72/100</f>
        <v>0</v>
      </c>
      <c r="AQ72" s="583">
        <f>VLOOKUP($H72,Nutrition_tables!$A:$AF,30,FALSE)*$Q72/100</f>
        <v>0</v>
      </c>
      <c r="AR72" s="583">
        <f>VLOOKUP($H72,Nutrition_tables!$A:$AF,31,FALSE)*$Q72/100</f>
        <v>0</v>
      </c>
      <c r="AS72" s="549">
        <f>VLOOKUP($H72,Nutrition_tables!$A:$AF,32,FALSE)*$Q72/100</f>
        <v>0</v>
      </c>
      <c r="AT72" s="583" t="str">
        <f>IF(H72="Select ingredient:","",IF(G72="Select food category:","",IFERROR(VLOOKUP($H72,Ingredient_prices!$E:$W,17,FALSE)*$Q72/1000,"not bought")))</f>
        <v/>
      </c>
      <c r="AU72" s="583" t="str">
        <f>IF(H72="Select ingredient:","",IF(G72="Select food category:","",IFERROR(VLOOKUP($H72,Ingredient_prices!$E:$W,18,FALSE)*$Q72/1000,"not bought")))</f>
        <v/>
      </c>
      <c r="AV72" s="583">
        <f t="shared" si="131"/>
        <v>0</v>
      </c>
      <c r="AW72" s="583">
        <f t="shared" si="132"/>
        <v>0</v>
      </c>
      <c r="AX72" s="583">
        <f t="shared" si="133"/>
        <v>0</v>
      </c>
      <c r="AY72" s="583">
        <f t="shared" si="134"/>
        <v>0</v>
      </c>
      <c r="AZ72" s="583">
        <f t="shared" si="135"/>
        <v>0</v>
      </c>
      <c r="BA72" s="583">
        <f t="shared" si="136"/>
        <v>0</v>
      </c>
      <c r="BB72" s="583">
        <f t="shared" si="137"/>
        <v>0</v>
      </c>
      <c r="BC72" s="583">
        <f t="shared" si="138"/>
        <v>0</v>
      </c>
      <c r="BD72" s="583">
        <f t="shared" ref="BD72:BD81" si="155">AE72*($Q72-$R72)/($Q72+0.00001)</f>
        <v>0</v>
      </c>
      <c r="BE72" s="583">
        <f t="shared" ref="BE72:BE81" si="156">AF72*($Q72-$R72)/($Q72+0.00001)</f>
        <v>0</v>
      </c>
      <c r="BF72" s="583">
        <f t="shared" ref="BF72:BF81" si="157">AG72*($Q72-$R72)/($Q72+0.00001)</f>
        <v>0</v>
      </c>
      <c r="BG72" s="583">
        <f t="shared" ref="BG72:BG81" si="158">AH72*($Q72-$R72)/($Q72+0.00001)</f>
        <v>0</v>
      </c>
      <c r="BH72" s="583">
        <f t="shared" ref="BH72:BH81" si="159">AI72*($Q72-$R72)/($Q72+0.00001)</f>
        <v>0</v>
      </c>
      <c r="BI72" s="583">
        <f t="shared" ref="BI72:BI81" si="160">AJ72*($Q72-$R72)/($Q72+0.00001)</f>
        <v>0</v>
      </c>
      <c r="BJ72" s="583">
        <f t="shared" ref="BJ72:BJ81" si="161">AK72*($Q72-$R72)/($Q72+0.00001)</f>
        <v>0</v>
      </c>
      <c r="BK72" s="583">
        <f t="shared" ref="BK72:BK81" si="162">AL72*($Q72-$R72)/($Q72+0.00001)</f>
        <v>0</v>
      </c>
      <c r="BL72" s="583">
        <f t="shared" ref="BL72:BL81" si="163">AM72*($Q72-$R72)/($Q72+0.00001)</f>
        <v>0</v>
      </c>
      <c r="BM72" s="583">
        <f t="shared" ref="BM72:BM81" si="164">AN72*($Q72-$R72)/($Q72+0.00001)</f>
        <v>0</v>
      </c>
      <c r="BN72" s="583">
        <f t="shared" ref="BN72:BN81" si="165">AO72*($Q72-$R72)/($Q72+0.00001)</f>
        <v>0</v>
      </c>
      <c r="BO72" s="583">
        <f t="shared" ref="BO72:BO81" si="166">AP72*($Q72-$R72)/($Q72+0.00001)</f>
        <v>0</v>
      </c>
      <c r="BP72" s="583">
        <f t="shared" ref="BP72:BP81" si="167">AQ72*($Q72-$R72)/($Q72+0.00001)</f>
        <v>0</v>
      </c>
      <c r="BQ72" s="583">
        <f t="shared" ref="BQ72:BQ81" si="168">AR72*($Q72-$R72)/($Q72+0.00001)</f>
        <v>0</v>
      </c>
      <c r="BR72" s="583">
        <f t="shared" ref="BR72:BR81" si="169">AS72*($Q72-$R72)/($Q72+0.00001)</f>
        <v>0</v>
      </c>
    </row>
    <row r="73" spans="1:70" s="229" customFormat="1" ht="15" customHeight="1">
      <c r="A73" s="590"/>
      <c r="D73" s="85"/>
      <c r="E73" s="576">
        <f t="shared" si="154"/>
        <v>100</v>
      </c>
      <c r="F73" s="576" t="s">
        <v>21</v>
      </c>
      <c r="G73" s="406" t="s">
        <v>3079</v>
      </c>
      <c r="H73" s="578" t="s">
        <v>3365</v>
      </c>
      <c r="I73" s="85">
        <v>50</v>
      </c>
      <c r="J73" s="682">
        <v>1</v>
      </c>
      <c r="K73" s="579">
        <f t="shared" si="128"/>
        <v>5.5000000000000009</v>
      </c>
      <c r="L73" s="580">
        <f>IF(H73="Select ingredient:","",IF(G73="","",_xlfn.IFNA(VLOOKUP($H73,Ingredient_prices!$E:$U,16,FALSE),0)))</f>
        <v>70.400000000000006</v>
      </c>
      <c r="M73" s="591"/>
      <c r="N73" s="591"/>
      <c r="O73" s="591"/>
      <c r="P73" s="592"/>
      <c r="Q73" s="583">
        <f t="shared" si="129"/>
        <v>50</v>
      </c>
      <c r="R73" s="583">
        <f>VLOOKUP($H73,'CO2_emission+%_food_waste'!$A:$K,6,FALSE)*$Q73/100</f>
        <v>19.7</v>
      </c>
      <c r="S73" s="583">
        <f t="shared" si="130"/>
        <v>30.3</v>
      </c>
      <c r="T73" s="583">
        <f>IF(H73="Select ingredient:","",IF(G73="Select food category:","",_xlfn.IFNA(VLOOKUP($H73,Ingredient_prices!$E:$U,16,FALSE)*$Q73/1000,"not bought")))</f>
        <v>3.5200000000000005</v>
      </c>
      <c r="U73" s="583">
        <f>IF(G73="Select food category:","",_xlfn.IFNA(VLOOKUP($H73,Ingredient_prices!$E:$U,16,FALSE)*$R73/1000,"not bought"))</f>
        <v>1.3868800000000001</v>
      </c>
      <c r="V73" s="549">
        <f>VLOOKUP($H73,'CO2_emission+%_food_waste'!$A:$K,4,FALSE)*$Q73</f>
        <v>81</v>
      </c>
      <c r="W73" s="583">
        <f>VLOOKUP($H73,Nutrition_tables!$A:$N,10,FALSE)*$Q73/100</f>
        <v>131.44999999999999</v>
      </c>
      <c r="X73" s="583">
        <f>VLOOKUP($H73,Nutrition_tables!$A:$N,11,FALSE)*$Q73/100</f>
        <v>25.4</v>
      </c>
      <c r="Y73" s="583">
        <f>VLOOKUP($H73,Nutrition_tables!$A:$N,12,FALSE)*$Q73/100</f>
        <v>3.4</v>
      </c>
      <c r="Z73" s="583">
        <f>VLOOKUP($H73,Nutrition_tables!$A:$N,14,FALSE)*$Q73/100</f>
        <v>0.25</v>
      </c>
      <c r="AA73" s="583">
        <f>VLOOKUP($H73,Nutrition_tables!$A:$AF,13,FALSE)*$Q73/100</f>
        <v>2.15</v>
      </c>
      <c r="AB73" s="549">
        <f>VLOOKUP($H73,Nutrition_tables!$A:$AF,15,FALSE)*$Q73/100</f>
        <v>0.05</v>
      </c>
      <c r="AC73" s="583">
        <f>VLOOKUP($H73,Nutrition_tables!$A:$AF,16,FALSE)*$Q73/100</f>
        <v>255</v>
      </c>
      <c r="AD73" s="583">
        <f>VLOOKUP($H73,Nutrition_tables!$A:$AF,17,FALSE)*$Q73/100</f>
        <v>57.5</v>
      </c>
      <c r="AE73" s="583">
        <f>VLOOKUP($H73,Nutrition_tables!$A:$AF,18,FALSE)*$Q73/100</f>
        <v>48.5</v>
      </c>
      <c r="AF73" s="583">
        <f>VLOOKUP($H73,Nutrition_tables!$A:$AF,19,FALSE)*$Q73/100</f>
        <v>12</v>
      </c>
      <c r="AG73" s="583">
        <f>VLOOKUP($H73,Nutrition_tables!$A:$AF,20,FALSE)*$Q73/100</f>
        <v>0</v>
      </c>
      <c r="AH73" s="583">
        <f>VLOOKUP($H73,Nutrition_tables!$A:$AF,21,FALSE)*$Q73/100</f>
        <v>0.75</v>
      </c>
      <c r="AI73" s="583">
        <f>VLOOKUP($H73,Nutrition_tables!$A:$AF,22,FALSE)*$Q73/100</f>
        <v>1.9</v>
      </c>
      <c r="AJ73" s="549">
        <f>VLOOKUP($H73,Nutrition_tables!$A:$AF,23,FALSE)*$Q73/100</f>
        <v>0.159</v>
      </c>
      <c r="AK73" s="583">
        <f>VLOOKUP($H73,Nutrition_tables!$A:$AF,24,FALSE)*$Q73/100</f>
        <v>0</v>
      </c>
      <c r="AL73" s="583">
        <f>VLOOKUP($H73,Nutrition_tables!$A:$AF,25,FALSE)*$Q73/100</f>
        <v>0.1</v>
      </c>
      <c r="AM73" s="583">
        <f>VLOOKUP($H73,Nutrition_tables!$A:$AF,26,FALSE)*$Q73/100</f>
        <v>0.04</v>
      </c>
      <c r="AN73" s="583">
        <f>VLOOKUP($H73,Nutrition_tables!$A:$AF,27,FALSE)*$Q73/100</f>
        <v>1.405</v>
      </c>
      <c r="AO73" s="583">
        <f>VLOOKUP($H73,Nutrition_tables!$A:$AF,28,FALSE)*$Q73/100</f>
        <v>2.8000000000000004E-2</v>
      </c>
      <c r="AP73" s="583">
        <f>VLOOKUP($H73,Nutrition_tables!$A:$AF,29,FALSE)*$Q73/100</f>
        <v>13.5</v>
      </c>
      <c r="AQ73" s="583">
        <f>VLOOKUP($H73,Nutrition_tables!$A:$AF,30,FALSE)*$Q73/100</f>
        <v>0</v>
      </c>
      <c r="AR73" s="583">
        <f>VLOOKUP($H73,Nutrition_tables!$A:$AF,31,FALSE)*$Q73/100</f>
        <v>0.05</v>
      </c>
      <c r="AS73" s="549">
        <f>VLOOKUP($H73,Nutrition_tables!$A:$AF,32,FALSE)*$Q73/100</f>
        <v>5.5E-2</v>
      </c>
      <c r="AT73" s="583">
        <f>IF(H73="Select ingredient:","",IF(G73="Select food category:","",IFERROR(VLOOKUP($H73,Ingredient_prices!$E:$W,17,FALSE)*$Q73/1000,"not bought")))</f>
        <v>3.5200000000000005</v>
      </c>
      <c r="AU73" s="583">
        <f>IF(H73="Select ingredient:","",IF(G73="Select food category:","",IFERROR(VLOOKUP($H73,Ingredient_prices!$E:$W,18,FALSE)*$Q73/1000,"not bought")))</f>
        <v>3.5200000000000005</v>
      </c>
      <c r="AV73" s="583">
        <f t="shared" si="131"/>
        <v>79.658684068263184</v>
      </c>
      <c r="AW73" s="583">
        <f t="shared" si="132"/>
        <v>15.392396921520614</v>
      </c>
      <c r="AX73" s="583">
        <f t="shared" si="133"/>
        <v>2.0603995879200823</v>
      </c>
      <c r="AY73" s="583">
        <f t="shared" si="134"/>
        <v>0.15149996970000607</v>
      </c>
      <c r="AZ73" s="583">
        <f t="shared" si="135"/>
        <v>1.3028997394200519</v>
      </c>
      <c r="BA73" s="583">
        <f t="shared" si="136"/>
        <v>3.0299993940001213E-2</v>
      </c>
      <c r="BB73" s="583">
        <f t="shared" si="137"/>
        <v>154.52996909400616</v>
      </c>
      <c r="BC73" s="583">
        <f t="shared" si="138"/>
        <v>34.844993031001394</v>
      </c>
      <c r="BD73" s="583">
        <f t="shared" si="155"/>
        <v>29.390994121801175</v>
      </c>
      <c r="BE73" s="583">
        <f t="shared" si="156"/>
        <v>7.2719985456002911</v>
      </c>
      <c r="BF73" s="583">
        <f t="shared" si="157"/>
        <v>0</v>
      </c>
      <c r="BG73" s="583">
        <f t="shared" si="158"/>
        <v>0.4544999091000182</v>
      </c>
      <c r="BH73" s="583">
        <f t="shared" si="159"/>
        <v>1.151399769720046</v>
      </c>
      <c r="BI73" s="583">
        <f t="shared" si="160"/>
        <v>9.6353980729203856E-2</v>
      </c>
      <c r="BJ73" s="583">
        <f t="shared" si="161"/>
        <v>0</v>
      </c>
      <c r="BK73" s="583">
        <f t="shared" si="162"/>
        <v>6.0599987880002426E-2</v>
      </c>
      <c r="BL73" s="583">
        <f t="shared" si="163"/>
        <v>2.4239995152000968E-2</v>
      </c>
      <c r="BM73" s="583">
        <f t="shared" si="164"/>
        <v>0.85142982971403403</v>
      </c>
      <c r="BN73" s="583">
        <f t="shared" si="165"/>
        <v>1.6967996606400682E-2</v>
      </c>
      <c r="BO73" s="583">
        <f t="shared" si="166"/>
        <v>8.1809983638003274</v>
      </c>
      <c r="BP73" s="583">
        <f t="shared" si="167"/>
        <v>0</v>
      </c>
      <c r="BQ73" s="583">
        <f t="shared" si="168"/>
        <v>3.0299993940001213E-2</v>
      </c>
      <c r="BR73" s="583">
        <f t="shared" si="169"/>
        <v>3.3329993334001336E-2</v>
      </c>
    </row>
    <row r="74" spans="1:70" s="229" customFormat="1" ht="15" customHeight="1">
      <c r="A74" s="590"/>
      <c r="D74" s="85"/>
      <c r="E74" s="576">
        <f t="shared" si="154"/>
        <v>100</v>
      </c>
      <c r="F74" s="576" t="s">
        <v>1748</v>
      </c>
      <c r="G74" s="406" t="s">
        <v>3077</v>
      </c>
      <c r="H74" s="578" t="s">
        <v>3308</v>
      </c>
      <c r="I74" s="85">
        <v>120</v>
      </c>
      <c r="J74" s="682">
        <v>1</v>
      </c>
      <c r="K74" s="579">
        <f t="shared" si="128"/>
        <v>13.2</v>
      </c>
      <c r="L74" s="580">
        <f>IF(H74="Select ingredient:","",IF(G74="","",_xlfn.IFNA(VLOOKUP($H74,Ingredient_prices!$E:$U,16,FALSE),0)))</f>
        <v>49.5</v>
      </c>
      <c r="M74" s="591"/>
      <c r="N74" s="591"/>
      <c r="O74" s="591"/>
      <c r="P74" s="592"/>
      <c r="Q74" s="583">
        <f t="shared" si="129"/>
        <v>120</v>
      </c>
      <c r="R74" s="583">
        <f>VLOOKUP($H74,'CO2_emission+%_food_waste'!$A:$K,6,FALSE)*$Q74/100</f>
        <v>25.991999999999997</v>
      </c>
      <c r="S74" s="583">
        <f t="shared" si="130"/>
        <v>94.00800000000001</v>
      </c>
      <c r="T74" s="583">
        <f>IF(H74="Select ingredient:","",IF(G74="Select food category:","",_xlfn.IFNA(VLOOKUP($H74,Ingredient_prices!$E:$U,16,FALSE)*$Q74/1000,"not bought")))</f>
        <v>5.94</v>
      </c>
      <c r="U74" s="583">
        <f>IF(G74="Select food category:","",_xlfn.IFNA(VLOOKUP($H74,Ingredient_prices!$E:$U,16,FALSE)*$R74/1000,"not bought"))</f>
        <v>1.2866039999999999</v>
      </c>
      <c r="V74" s="549">
        <f>VLOOKUP($H74,'CO2_emission+%_food_waste'!$A:$K,4,FALSE)*$Q74</f>
        <v>51.6</v>
      </c>
      <c r="W74" s="583">
        <f>VLOOKUP($H74,Nutrition_tables!$A:$N,10,FALSE)*$Q74/100</f>
        <v>54</v>
      </c>
      <c r="X74" s="583">
        <f>VLOOKUP($H74,Nutrition_tables!$A:$N,11,FALSE)*$Q74/100</f>
        <v>12</v>
      </c>
      <c r="Y74" s="583">
        <f>VLOOKUP($H74,Nutrition_tables!$A:$N,12,FALSE)*$Q74/100</f>
        <v>0.24</v>
      </c>
      <c r="Z74" s="583">
        <f>VLOOKUP($H74,Nutrition_tables!$A:$N,14,FALSE)*$Q74/100</f>
        <v>0.36</v>
      </c>
      <c r="AA74" s="583">
        <f>VLOOKUP($H74,Nutrition_tables!$A:$AF,13,FALSE)*$Q74/100</f>
        <v>2.88</v>
      </c>
      <c r="AB74" s="549">
        <f>VLOOKUP($H74,Nutrition_tables!$A:$AF,15,FALSE)*$Q74/100</f>
        <v>8.4000000000000005E-2</v>
      </c>
      <c r="AC74" s="583">
        <f>VLOOKUP($H74,Nutrition_tables!$A:$AF,16,FALSE)*$Q74/100</f>
        <v>2.4</v>
      </c>
      <c r="AD74" s="583">
        <f>VLOOKUP($H74,Nutrition_tables!$A:$AF,17,FALSE)*$Q74/100</f>
        <v>144</v>
      </c>
      <c r="AE74" s="583">
        <f>VLOOKUP($H74,Nutrition_tables!$A:$AF,18,FALSE)*$Q74/100</f>
        <v>7.2</v>
      </c>
      <c r="AF74" s="583">
        <f>VLOOKUP($H74,Nutrition_tables!$A:$AF,19,FALSE)*$Q74/100</f>
        <v>10.38</v>
      </c>
      <c r="AG74" s="583">
        <f>VLOOKUP($H74,Nutrition_tables!$A:$AF,20,FALSE)*$Q74/100</f>
        <v>14.4</v>
      </c>
      <c r="AH74" s="583">
        <f>VLOOKUP($H74,Nutrition_tables!$A:$AF,21,FALSE)*$Q74/100</f>
        <v>0.36</v>
      </c>
      <c r="AI74" s="583">
        <f>VLOOKUP($H74,Nutrition_tables!$A:$AF,22,FALSE)*$Q74/100</f>
        <v>0.12</v>
      </c>
      <c r="AJ74" s="549">
        <f>VLOOKUP($H74,Nutrition_tables!$A:$AF,23,FALSE)*$Q74/100</f>
        <v>4.3596000000000003E-2</v>
      </c>
      <c r="AK74" s="583">
        <f>VLOOKUP($H74,Nutrition_tables!$A:$AF,24,FALSE)*$Q74/100</f>
        <v>3.6</v>
      </c>
      <c r="AL74" s="583">
        <f>VLOOKUP($H74,Nutrition_tables!$A:$AF,25,FALSE)*$Q74/100</f>
        <v>2.4E-2</v>
      </c>
      <c r="AM74" s="583">
        <f>VLOOKUP($H74,Nutrition_tables!$A:$AF,26,FALSE)*$Q74/100</f>
        <v>2.4E-2</v>
      </c>
      <c r="AN74" s="583">
        <f>VLOOKUP($H74,Nutrition_tables!$A:$AF,27,FALSE)*$Q74/100</f>
        <v>0.36</v>
      </c>
      <c r="AO74" s="583">
        <f>VLOOKUP($H74,Nutrition_tables!$A:$AF,28,FALSE)*$Q74/100</f>
        <v>0.13200000000000001</v>
      </c>
      <c r="AP74" s="583">
        <f>VLOOKUP($H74,Nutrition_tables!$A:$AF,29,FALSE)*$Q74/100</f>
        <v>1.2</v>
      </c>
      <c r="AQ74" s="583">
        <f>VLOOKUP($H74,Nutrition_tables!$A:$AF,30,FALSE)*$Q74/100</f>
        <v>0</v>
      </c>
      <c r="AR74" s="583">
        <f>VLOOKUP($H74,Nutrition_tables!$A:$AF,31,FALSE)*$Q74/100</f>
        <v>12</v>
      </c>
      <c r="AS74" s="549">
        <f>VLOOKUP($H74,Nutrition_tables!$A:$AF,32,FALSE)*$Q74/100</f>
        <v>0</v>
      </c>
      <c r="AT74" s="583">
        <f>IF(H74="Select ingredient:","",IF(G74="Select food category:","",IFERROR(VLOOKUP($H74,Ingredient_prices!$E:$W,17,FALSE)*$Q74/1000,"not bought")))</f>
        <v>5.94</v>
      </c>
      <c r="AU74" s="583">
        <f>IF(H74="Select ingredient:","",IF(G74="Select food category:","",IFERROR(VLOOKUP($H74,Ingredient_prices!$E:$W,18,FALSE)*$Q74/1000,"not bought")))</f>
        <v>5.94</v>
      </c>
      <c r="AV74" s="583">
        <f t="shared" si="131"/>
        <v>42.303596474700299</v>
      </c>
      <c r="AW74" s="583">
        <f t="shared" si="132"/>
        <v>9.4007992166000651</v>
      </c>
      <c r="AX74" s="583">
        <f t="shared" si="133"/>
        <v>0.18801598433200131</v>
      </c>
      <c r="AY74" s="583">
        <f t="shared" si="134"/>
        <v>0.28202397649800198</v>
      </c>
      <c r="AZ74" s="583">
        <f t="shared" si="135"/>
        <v>2.2561918119840159</v>
      </c>
      <c r="BA74" s="583">
        <f t="shared" si="136"/>
        <v>6.5805594516200466E-2</v>
      </c>
      <c r="BB74" s="583">
        <f t="shared" si="137"/>
        <v>1.8801598433200131</v>
      </c>
      <c r="BC74" s="583">
        <f t="shared" si="138"/>
        <v>112.8095905992008</v>
      </c>
      <c r="BD74" s="583">
        <f t="shared" si="155"/>
        <v>5.6404795299600394</v>
      </c>
      <c r="BE74" s="583">
        <f t="shared" si="156"/>
        <v>8.1316913223590568</v>
      </c>
      <c r="BF74" s="583">
        <f t="shared" si="157"/>
        <v>11.280959059920079</v>
      </c>
      <c r="BG74" s="583">
        <f t="shared" si="158"/>
        <v>0.28202397649800198</v>
      </c>
      <c r="BH74" s="583">
        <f t="shared" si="159"/>
        <v>9.4007992166000656E-2</v>
      </c>
      <c r="BI74" s="583">
        <f t="shared" si="160"/>
        <v>3.4153103553908042E-2</v>
      </c>
      <c r="BJ74" s="583">
        <f t="shared" si="161"/>
        <v>2.8202397649800197</v>
      </c>
      <c r="BK74" s="583">
        <f t="shared" si="162"/>
        <v>1.8801598433200135E-2</v>
      </c>
      <c r="BL74" s="583">
        <f t="shared" si="163"/>
        <v>1.8801598433200135E-2</v>
      </c>
      <c r="BM74" s="583">
        <f t="shared" si="164"/>
        <v>0.28202397649800198</v>
      </c>
      <c r="BN74" s="583">
        <f t="shared" si="165"/>
        <v>0.10340879138260073</v>
      </c>
      <c r="BO74" s="583">
        <f t="shared" si="166"/>
        <v>0.94007992166000653</v>
      </c>
      <c r="BP74" s="583">
        <f t="shared" si="167"/>
        <v>0</v>
      </c>
      <c r="BQ74" s="583">
        <f t="shared" si="168"/>
        <v>9.4007992166000651</v>
      </c>
      <c r="BR74" s="583">
        <f t="shared" si="169"/>
        <v>0</v>
      </c>
    </row>
    <row r="75" spans="1:70" s="229" customFormat="1" ht="15" customHeight="1">
      <c r="A75" s="590"/>
      <c r="D75" s="85"/>
      <c r="E75" s="576">
        <f t="shared" si="154"/>
        <v>100</v>
      </c>
      <c r="F75" s="707"/>
      <c r="G75" s="406" t="s">
        <v>3054</v>
      </c>
      <c r="H75" s="1262" t="s">
        <v>3055</v>
      </c>
      <c r="I75" s="85">
        <v>0</v>
      </c>
      <c r="J75" s="682">
        <v>1</v>
      </c>
      <c r="K75" s="579" t="str">
        <f t="shared" si="128"/>
        <v/>
      </c>
      <c r="L75" s="580" t="str">
        <f>IF(H75="Select ingredient:","",IF(G75="","",_xlfn.IFNA(VLOOKUP($H75,Ingredient_prices!$E:$U,16,FALSE),0)))</f>
        <v/>
      </c>
      <c r="M75" s="591"/>
      <c r="N75" s="591"/>
      <c r="O75" s="591"/>
      <c r="P75" s="592"/>
      <c r="Q75" s="583">
        <f t="shared" si="129"/>
        <v>0</v>
      </c>
      <c r="R75" s="583">
        <f>VLOOKUP($H75,'CO2_emission+%_food_waste'!$A:$K,6,FALSE)*$Q75/100</f>
        <v>0</v>
      </c>
      <c r="S75" s="583">
        <f t="shared" si="130"/>
        <v>0</v>
      </c>
      <c r="T75" s="583" t="str">
        <f>IF(H75="Select ingredient:","",IF(G75="Select food category:","",_xlfn.IFNA(VLOOKUP($H75,Ingredient_prices!$E:$U,16,FALSE)*$Q75/1000,"not bought")))</f>
        <v/>
      </c>
      <c r="U75" s="583" t="str">
        <f>IF(G75="Select food category:","",_xlfn.IFNA(VLOOKUP($H75,Ingredient_prices!$E:$U,16,FALSE)*$R75/1000,"not bought"))</f>
        <v/>
      </c>
      <c r="V75" s="549">
        <f>VLOOKUP($H75,'CO2_emission+%_food_waste'!$A:$K,4,FALSE)*$Q75</f>
        <v>0</v>
      </c>
      <c r="W75" s="583">
        <f>VLOOKUP($H75,Nutrition_tables!$A:$N,10,FALSE)*$Q75/100</f>
        <v>0</v>
      </c>
      <c r="X75" s="583">
        <f>VLOOKUP($H75,Nutrition_tables!$A:$N,11,FALSE)*$Q75/100</f>
        <v>0</v>
      </c>
      <c r="Y75" s="583">
        <f>VLOOKUP($H75,Nutrition_tables!$A:$N,12,FALSE)*$Q75/100</f>
        <v>0</v>
      </c>
      <c r="Z75" s="583">
        <f>VLOOKUP($H75,Nutrition_tables!$A:$N,14,FALSE)*$Q75/100</f>
        <v>0</v>
      </c>
      <c r="AA75" s="583">
        <f>VLOOKUP($H75,Nutrition_tables!$A:$AF,13,FALSE)*$Q75/100</f>
        <v>0</v>
      </c>
      <c r="AB75" s="549">
        <f>VLOOKUP($H75,Nutrition_tables!$A:$AF,15,FALSE)*$Q75/100</f>
        <v>0</v>
      </c>
      <c r="AC75" s="583">
        <f>VLOOKUP($H75,Nutrition_tables!$A:$AF,16,FALSE)*$Q75/100</f>
        <v>0</v>
      </c>
      <c r="AD75" s="583">
        <f>VLOOKUP($H75,Nutrition_tables!$A:$AF,17,FALSE)*$Q75/100</f>
        <v>0</v>
      </c>
      <c r="AE75" s="583">
        <f>VLOOKUP($H75,Nutrition_tables!$A:$AF,18,FALSE)*$Q75/100</f>
        <v>0</v>
      </c>
      <c r="AF75" s="583">
        <f>VLOOKUP($H75,Nutrition_tables!$A:$AF,19,FALSE)*$Q75/100</f>
        <v>0</v>
      </c>
      <c r="AG75" s="583">
        <f>VLOOKUP($H75,Nutrition_tables!$A:$AF,20,FALSE)*$Q75/100</f>
        <v>0</v>
      </c>
      <c r="AH75" s="583">
        <f>VLOOKUP($H75,Nutrition_tables!$A:$AF,21,FALSE)*$Q75/100</f>
        <v>0</v>
      </c>
      <c r="AI75" s="583">
        <f>VLOOKUP($H75,Nutrition_tables!$A:$AF,22,FALSE)*$Q75/100</f>
        <v>0</v>
      </c>
      <c r="AJ75" s="549">
        <f>VLOOKUP($H75,Nutrition_tables!$A:$AF,23,FALSE)*$Q75/100</f>
        <v>0</v>
      </c>
      <c r="AK75" s="583">
        <f>VLOOKUP($H75,Nutrition_tables!$A:$AF,24,FALSE)*$Q75/100</f>
        <v>0</v>
      </c>
      <c r="AL75" s="583">
        <f>VLOOKUP($H75,Nutrition_tables!$A:$AF,25,FALSE)*$Q75/100</f>
        <v>0</v>
      </c>
      <c r="AM75" s="583">
        <f>VLOOKUP($H75,Nutrition_tables!$A:$AF,26,FALSE)*$Q75/100</f>
        <v>0</v>
      </c>
      <c r="AN75" s="583">
        <f>VLOOKUP($H75,Nutrition_tables!$A:$AF,27,FALSE)*$Q75/100</f>
        <v>0</v>
      </c>
      <c r="AO75" s="583">
        <f>VLOOKUP($H75,Nutrition_tables!$A:$AF,28,FALSE)*$Q75/100</f>
        <v>0</v>
      </c>
      <c r="AP75" s="583">
        <f>VLOOKUP($H75,Nutrition_tables!$A:$AF,29,FALSE)*$Q75/100</f>
        <v>0</v>
      </c>
      <c r="AQ75" s="583">
        <f>VLOOKUP($H75,Nutrition_tables!$A:$AF,30,FALSE)*$Q75/100</f>
        <v>0</v>
      </c>
      <c r="AR75" s="583">
        <f>VLOOKUP($H75,Nutrition_tables!$A:$AF,31,FALSE)*$Q75/100</f>
        <v>0</v>
      </c>
      <c r="AS75" s="549">
        <f>VLOOKUP($H75,Nutrition_tables!$A:$AF,32,FALSE)*$Q75/100</f>
        <v>0</v>
      </c>
      <c r="AT75" s="583" t="str">
        <f>IF(H75="Select ingredient:","",IF(G75="Select food category:","",IFERROR(VLOOKUP($H75,Ingredient_prices!$E:$W,17,FALSE)*$Q75/1000,"not bought")))</f>
        <v/>
      </c>
      <c r="AU75" s="583" t="str">
        <f>IF(H75="Select ingredient:","",IF(G75="Select food category:","",IFERROR(VLOOKUP($H75,Ingredient_prices!$E:$W,18,FALSE)*$Q75/1000,"not bought")))</f>
        <v/>
      </c>
      <c r="AV75" s="583">
        <f t="shared" si="131"/>
        <v>0</v>
      </c>
      <c r="AW75" s="583">
        <f t="shared" si="132"/>
        <v>0</v>
      </c>
      <c r="AX75" s="583">
        <f t="shared" si="133"/>
        <v>0</v>
      </c>
      <c r="AY75" s="583">
        <f t="shared" si="134"/>
        <v>0</v>
      </c>
      <c r="AZ75" s="583">
        <f t="shared" si="135"/>
        <v>0</v>
      </c>
      <c r="BA75" s="583">
        <f t="shared" si="136"/>
        <v>0</v>
      </c>
      <c r="BB75" s="583">
        <f t="shared" si="137"/>
        <v>0</v>
      </c>
      <c r="BC75" s="583">
        <f t="shared" si="138"/>
        <v>0</v>
      </c>
      <c r="BD75" s="583">
        <f t="shared" si="155"/>
        <v>0</v>
      </c>
      <c r="BE75" s="583">
        <f t="shared" si="156"/>
        <v>0</v>
      </c>
      <c r="BF75" s="583">
        <f t="shared" si="157"/>
        <v>0</v>
      </c>
      <c r="BG75" s="583">
        <f t="shared" si="158"/>
        <v>0</v>
      </c>
      <c r="BH75" s="583">
        <f t="shared" si="159"/>
        <v>0</v>
      </c>
      <c r="BI75" s="583">
        <f t="shared" si="160"/>
        <v>0</v>
      </c>
      <c r="BJ75" s="583">
        <f t="shared" si="161"/>
        <v>0</v>
      </c>
      <c r="BK75" s="583">
        <f t="shared" si="162"/>
        <v>0</v>
      </c>
      <c r="BL75" s="583">
        <f t="shared" si="163"/>
        <v>0</v>
      </c>
      <c r="BM75" s="583">
        <f t="shared" si="164"/>
        <v>0</v>
      </c>
      <c r="BN75" s="583">
        <f t="shared" si="165"/>
        <v>0</v>
      </c>
      <c r="BO75" s="583">
        <f t="shared" si="166"/>
        <v>0</v>
      </c>
      <c r="BP75" s="583">
        <f t="shared" si="167"/>
        <v>0</v>
      </c>
      <c r="BQ75" s="583">
        <f t="shared" si="168"/>
        <v>0</v>
      </c>
      <c r="BR75" s="583">
        <f t="shared" si="169"/>
        <v>0</v>
      </c>
    </row>
    <row r="76" spans="1:70" s="229" customFormat="1" ht="15" customHeight="1">
      <c r="A76" s="590"/>
      <c r="D76" s="85"/>
      <c r="E76" s="576">
        <f t="shared" si="154"/>
        <v>100</v>
      </c>
      <c r="F76" s="707"/>
      <c r="G76" s="406" t="s">
        <v>3054</v>
      </c>
      <c r="H76" s="1262" t="s">
        <v>3055</v>
      </c>
      <c r="I76" s="85">
        <v>0</v>
      </c>
      <c r="J76" s="682">
        <v>1</v>
      </c>
      <c r="K76" s="579" t="str">
        <f t="shared" si="128"/>
        <v/>
      </c>
      <c r="L76" s="580" t="str">
        <f>IF(H76="Select ingredient:","",IF(G76="","",_xlfn.IFNA(VLOOKUP($H76,Ingredient_prices!$E:$U,16,FALSE),0)))</f>
        <v/>
      </c>
      <c r="M76" s="591"/>
      <c r="N76" s="591"/>
      <c r="O76" s="591"/>
      <c r="P76" s="592"/>
      <c r="Q76" s="583">
        <f t="shared" si="129"/>
        <v>0</v>
      </c>
      <c r="R76" s="583">
        <f>VLOOKUP($H76,'CO2_emission+%_food_waste'!$A:$K,6,FALSE)*$Q76/100</f>
        <v>0</v>
      </c>
      <c r="S76" s="583">
        <f t="shared" si="130"/>
        <v>0</v>
      </c>
      <c r="T76" s="583" t="str">
        <f>IF(H76="Select ingredient:","",IF(G76="Select food category:","",_xlfn.IFNA(VLOOKUP($H76,Ingredient_prices!$E:$U,16,FALSE)*$Q76/1000,"not bought")))</f>
        <v/>
      </c>
      <c r="U76" s="583" t="str">
        <f>IF(G76="Select food category:","",_xlfn.IFNA(VLOOKUP($H76,Ingredient_prices!$E:$U,16,FALSE)*$R76/1000,"not bought"))</f>
        <v/>
      </c>
      <c r="V76" s="549">
        <f>VLOOKUP($H76,'CO2_emission+%_food_waste'!$A:$K,4,FALSE)*$Q76</f>
        <v>0</v>
      </c>
      <c r="W76" s="583">
        <f>VLOOKUP($H76,Nutrition_tables!$A:$N,10,FALSE)*$Q76/100</f>
        <v>0</v>
      </c>
      <c r="X76" s="583">
        <f>VLOOKUP($H76,Nutrition_tables!$A:$N,11,FALSE)*$Q76/100</f>
        <v>0</v>
      </c>
      <c r="Y76" s="583">
        <f>VLOOKUP($H76,Nutrition_tables!$A:$N,12,FALSE)*$Q76/100</f>
        <v>0</v>
      </c>
      <c r="Z76" s="583">
        <f>VLOOKUP($H76,Nutrition_tables!$A:$N,14,FALSE)*$Q76/100</f>
        <v>0</v>
      </c>
      <c r="AA76" s="583">
        <f>VLOOKUP($H76,Nutrition_tables!$A:$AF,13,FALSE)*$Q76/100</f>
        <v>0</v>
      </c>
      <c r="AB76" s="549">
        <f>VLOOKUP($H76,Nutrition_tables!$A:$AF,15,FALSE)*$Q76/100</f>
        <v>0</v>
      </c>
      <c r="AC76" s="583">
        <f>VLOOKUP($H76,Nutrition_tables!$A:$AF,16,FALSE)*$Q76/100</f>
        <v>0</v>
      </c>
      <c r="AD76" s="583">
        <f>VLOOKUP($H76,Nutrition_tables!$A:$AF,17,FALSE)*$Q76/100</f>
        <v>0</v>
      </c>
      <c r="AE76" s="583">
        <f>VLOOKUP($H76,Nutrition_tables!$A:$AF,18,FALSE)*$Q76/100</f>
        <v>0</v>
      </c>
      <c r="AF76" s="583">
        <f>VLOOKUP($H76,Nutrition_tables!$A:$AF,19,FALSE)*$Q76/100</f>
        <v>0</v>
      </c>
      <c r="AG76" s="583">
        <f>VLOOKUP($H76,Nutrition_tables!$A:$AF,20,FALSE)*$Q76/100</f>
        <v>0</v>
      </c>
      <c r="AH76" s="583">
        <f>VLOOKUP($H76,Nutrition_tables!$A:$AF,21,FALSE)*$Q76/100</f>
        <v>0</v>
      </c>
      <c r="AI76" s="583">
        <f>VLOOKUP($H76,Nutrition_tables!$A:$AF,22,FALSE)*$Q76/100</f>
        <v>0</v>
      </c>
      <c r="AJ76" s="549">
        <f>VLOOKUP($H76,Nutrition_tables!$A:$AF,23,FALSE)*$Q76/100</f>
        <v>0</v>
      </c>
      <c r="AK76" s="583">
        <f>VLOOKUP($H76,Nutrition_tables!$A:$AF,24,FALSE)*$Q76/100</f>
        <v>0</v>
      </c>
      <c r="AL76" s="583">
        <f>VLOOKUP($H76,Nutrition_tables!$A:$AF,25,FALSE)*$Q76/100</f>
        <v>0</v>
      </c>
      <c r="AM76" s="583">
        <f>VLOOKUP($H76,Nutrition_tables!$A:$AF,26,FALSE)*$Q76/100</f>
        <v>0</v>
      </c>
      <c r="AN76" s="583">
        <f>VLOOKUP($H76,Nutrition_tables!$A:$AF,27,FALSE)*$Q76/100</f>
        <v>0</v>
      </c>
      <c r="AO76" s="583">
        <f>VLOOKUP($H76,Nutrition_tables!$A:$AF,28,FALSE)*$Q76/100</f>
        <v>0</v>
      </c>
      <c r="AP76" s="583">
        <f>VLOOKUP($H76,Nutrition_tables!$A:$AF,29,FALSE)*$Q76/100</f>
        <v>0</v>
      </c>
      <c r="AQ76" s="583">
        <f>VLOOKUP($H76,Nutrition_tables!$A:$AF,30,FALSE)*$Q76/100</f>
        <v>0</v>
      </c>
      <c r="AR76" s="583">
        <f>VLOOKUP($H76,Nutrition_tables!$A:$AF,31,FALSE)*$Q76/100</f>
        <v>0</v>
      </c>
      <c r="AS76" s="549">
        <f>VLOOKUP($H76,Nutrition_tables!$A:$AF,32,FALSE)*$Q76/100</f>
        <v>0</v>
      </c>
      <c r="AT76" s="583" t="str">
        <f>IF(H76="Select ingredient:","",IF(G76="Select food category:","",IFERROR(VLOOKUP($H76,Ingredient_prices!$E:$W,17,FALSE)*$Q76/1000,"not bought")))</f>
        <v/>
      </c>
      <c r="AU76" s="583" t="str">
        <f>IF(H76="Select ingredient:","",IF(G76="Select food category:","",IFERROR(VLOOKUP($H76,Ingredient_prices!$E:$W,18,FALSE)*$Q76/1000,"not bought")))</f>
        <v/>
      </c>
      <c r="AV76" s="583">
        <f t="shared" si="131"/>
        <v>0</v>
      </c>
      <c r="AW76" s="583">
        <f t="shared" si="132"/>
        <v>0</v>
      </c>
      <c r="AX76" s="583">
        <f t="shared" si="133"/>
        <v>0</v>
      </c>
      <c r="AY76" s="583">
        <f t="shared" si="134"/>
        <v>0</v>
      </c>
      <c r="AZ76" s="583">
        <f t="shared" si="135"/>
        <v>0</v>
      </c>
      <c r="BA76" s="583">
        <f t="shared" si="136"/>
        <v>0</v>
      </c>
      <c r="BB76" s="583">
        <f t="shared" si="137"/>
        <v>0</v>
      </c>
      <c r="BC76" s="583">
        <f t="shared" si="138"/>
        <v>0</v>
      </c>
      <c r="BD76" s="583">
        <f t="shared" si="155"/>
        <v>0</v>
      </c>
      <c r="BE76" s="583">
        <f t="shared" si="156"/>
        <v>0</v>
      </c>
      <c r="BF76" s="583">
        <f t="shared" si="157"/>
        <v>0</v>
      </c>
      <c r="BG76" s="583">
        <f t="shared" si="158"/>
        <v>0</v>
      </c>
      <c r="BH76" s="583">
        <f t="shared" si="159"/>
        <v>0</v>
      </c>
      <c r="BI76" s="583">
        <f t="shared" si="160"/>
        <v>0</v>
      </c>
      <c r="BJ76" s="583">
        <f t="shared" si="161"/>
        <v>0</v>
      </c>
      <c r="BK76" s="583">
        <f t="shared" si="162"/>
        <v>0</v>
      </c>
      <c r="BL76" s="583">
        <f t="shared" si="163"/>
        <v>0</v>
      </c>
      <c r="BM76" s="583">
        <f t="shared" si="164"/>
        <v>0</v>
      </c>
      <c r="BN76" s="583">
        <f t="shared" si="165"/>
        <v>0</v>
      </c>
      <c r="BO76" s="583">
        <f t="shared" si="166"/>
        <v>0</v>
      </c>
      <c r="BP76" s="583">
        <f t="shared" si="167"/>
        <v>0</v>
      </c>
      <c r="BQ76" s="583">
        <f t="shared" si="168"/>
        <v>0</v>
      </c>
      <c r="BR76" s="583">
        <f t="shared" si="169"/>
        <v>0</v>
      </c>
    </row>
    <row r="77" spans="1:70" s="229" customFormat="1" ht="15" customHeight="1">
      <c r="A77" s="590"/>
      <c r="D77" s="85"/>
      <c r="E77" s="576">
        <f t="shared" si="154"/>
        <v>100</v>
      </c>
      <c r="F77" s="707"/>
      <c r="G77" s="406" t="s">
        <v>3054</v>
      </c>
      <c r="H77" s="1262" t="s">
        <v>3055</v>
      </c>
      <c r="I77" s="85">
        <v>0</v>
      </c>
      <c r="J77" s="682">
        <v>1</v>
      </c>
      <c r="K77" s="579" t="str">
        <f t="shared" si="128"/>
        <v/>
      </c>
      <c r="L77" s="580" t="str">
        <f>IF(H77="Select ingredient:","",IF(G77="","",_xlfn.IFNA(VLOOKUP($H77,Ingredient_prices!$E:$U,16,FALSE),0)))</f>
        <v/>
      </c>
      <c r="M77" s="591"/>
      <c r="N77" s="591"/>
      <c r="O77" s="591"/>
      <c r="P77" s="592"/>
      <c r="Q77" s="583">
        <f t="shared" si="129"/>
        <v>0</v>
      </c>
      <c r="R77" s="583">
        <f>VLOOKUP($H77,'CO2_emission+%_food_waste'!$A:$K,6,FALSE)*$Q77/100</f>
        <v>0</v>
      </c>
      <c r="S77" s="583">
        <f t="shared" si="130"/>
        <v>0</v>
      </c>
      <c r="T77" s="583" t="str">
        <f>IF(H77="Select ingredient:","",IF(G77="Select food category:","",_xlfn.IFNA(VLOOKUP($H77,Ingredient_prices!$E:$U,16,FALSE)*$Q77/1000,"not bought")))</f>
        <v/>
      </c>
      <c r="U77" s="583" t="str">
        <f>IF(G77="Select food category:","",_xlfn.IFNA(VLOOKUP($H77,Ingredient_prices!$E:$U,16,FALSE)*$R77/1000,"not bought"))</f>
        <v/>
      </c>
      <c r="V77" s="549">
        <f>VLOOKUP($H77,'CO2_emission+%_food_waste'!$A:$K,4,FALSE)*$Q77</f>
        <v>0</v>
      </c>
      <c r="W77" s="583">
        <f>VLOOKUP($H77,Nutrition_tables!$A:$N,10,FALSE)*$Q77/100</f>
        <v>0</v>
      </c>
      <c r="X77" s="583">
        <f>VLOOKUP($H77,Nutrition_tables!$A:$N,11,FALSE)*$Q77/100</f>
        <v>0</v>
      </c>
      <c r="Y77" s="583">
        <f>VLOOKUP($H77,Nutrition_tables!$A:$N,12,FALSE)*$Q77/100</f>
        <v>0</v>
      </c>
      <c r="Z77" s="583">
        <f>VLOOKUP($H77,Nutrition_tables!$A:$N,14,FALSE)*$Q77/100</f>
        <v>0</v>
      </c>
      <c r="AA77" s="583">
        <f>VLOOKUP($H77,Nutrition_tables!$A:$AF,13,FALSE)*$Q77/100</f>
        <v>0</v>
      </c>
      <c r="AB77" s="549">
        <f>VLOOKUP($H77,Nutrition_tables!$A:$AF,15,FALSE)*$Q77/100</f>
        <v>0</v>
      </c>
      <c r="AC77" s="583">
        <f>VLOOKUP($H77,Nutrition_tables!$A:$AF,16,FALSE)*$Q77/100</f>
        <v>0</v>
      </c>
      <c r="AD77" s="583">
        <f>VLOOKUP($H77,Nutrition_tables!$A:$AF,17,FALSE)*$Q77/100</f>
        <v>0</v>
      </c>
      <c r="AE77" s="583">
        <f>VLOOKUP($H77,Nutrition_tables!$A:$AF,18,FALSE)*$Q77/100</f>
        <v>0</v>
      </c>
      <c r="AF77" s="583">
        <f>VLOOKUP($H77,Nutrition_tables!$A:$AF,19,FALSE)*$Q77/100</f>
        <v>0</v>
      </c>
      <c r="AG77" s="583">
        <f>VLOOKUP($H77,Nutrition_tables!$A:$AF,20,FALSE)*$Q77/100</f>
        <v>0</v>
      </c>
      <c r="AH77" s="583">
        <f>VLOOKUP($H77,Nutrition_tables!$A:$AF,21,FALSE)*$Q77/100</f>
        <v>0</v>
      </c>
      <c r="AI77" s="583">
        <f>VLOOKUP($H77,Nutrition_tables!$A:$AF,22,FALSE)*$Q77/100</f>
        <v>0</v>
      </c>
      <c r="AJ77" s="549">
        <f>VLOOKUP($H77,Nutrition_tables!$A:$AF,23,FALSE)*$Q77/100</f>
        <v>0</v>
      </c>
      <c r="AK77" s="583">
        <f>VLOOKUP($H77,Nutrition_tables!$A:$AF,24,FALSE)*$Q77/100</f>
        <v>0</v>
      </c>
      <c r="AL77" s="583">
        <f>VLOOKUP($H77,Nutrition_tables!$A:$AF,25,FALSE)*$Q77/100</f>
        <v>0</v>
      </c>
      <c r="AM77" s="583">
        <f>VLOOKUP($H77,Nutrition_tables!$A:$AF,26,FALSE)*$Q77/100</f>
        <v>0</v>
      </c>
      <c r="AN77" s="583">
        <f>VLOOKUP($H77,Nutrition_tables!$A:$AF,27,FALSE)*$Q77/100</f>
        <v>0</v>
      </c>
      <c r="AO77" s="583">
        <f>VLOOKUP($H77,Nutrition_tables!$A:$AF,28,FALSE)*$Q77/100</f>
        <v>0</v>
      </c>
      <c r="AP77" s="583">
        <f>VLOOKUP($H77,Nutrition_tables!$A:$AF,29,FALSE)*$Q77/100</f>
        <v>0</v>
      </c>
      <c r="AQ77" s="583">
        <f>VLOOKUP($H77,Nutrition_tables!$A:$AF,30,FALSE)*$Q77/100</f>
        <v>0</v>
      </c>
      <c r="AR77" s="583">
        <f>VLOOKUP($H77,Nutrition_tables!$A:$AF,31,FALSE)*$Q77/100</f>
        <v>0</v>
      </c>
      <c r="AS77" s="549">
        <f>VLOOKUP($H77,Nutrition_tables!$A:$AF,32,FALSE)*$Q77/100</f>
        <v>0</v>
      </c>
      <c r="AT77" s="583" t="str">
        <f>IF(H77="Select ingredient:","",IF(G77="Select food category:","",IFERROR(VLOOKUP($H77,Ingredient_prices!$E:$W,17,FALSE)*$Q77/1000,"not bought")))</f>
        <v/>
      </c>
      <c r="AU77" s="583" t="str">
        <f>IF(H77="Select ingredient:","",IF(G77="Select food category:","",IFERROR(VLOOKUP($H77,Ingredient_prices!$E:$W,18,FALSE)*$Q77/1000,"not bought")))</f>
        <v/>
      </c>
      <c r="AV77" s="583">
        <f t="shared" si="131"/>
        <v>0</v>
      </c>
      <c r="AW77" s="583">
        <f t="shared" si="132"/>
        <v>0</v>
      </c>
      <c r="AX77" s="583">
        <f t="shared" si="133"/>
        <v>0</v>
      </c>
      <c r="AY77" s="583">
        <f t="shared" si="134"/>
        <v>0</v>
      </c>
      <c r="AZ77" s="583">
        <f t="shared" si="135"/>
        <v>0</v>
      </c>
      <c r="BA77" s="583">
        <f t="shared" si="136"/>
        <v>0</v>
      </c>
      <c r="BB77" s="583">
        <f t="shared" si="137"/>
        <v>0</v>
      </c>
      <c r="BC77" s="583">
        <f t="shared" si="138"/>
        <v>0</v>
      </c>
      <c r="BD77" s="583">
        <f t="shared" si="155"/>
        <v>0</v>
      </c>
      <c r="BE77" s="583">
        <f t="shared" si="156"/>
        <v>0</v>
      </c>
      <c r="BF77" s="583">
        <f t="shared" si="157"/>
        <v>0</v>
      </c>
      <c r="BG77" s="583">
        <f t="shared" si="158"/>
        <v>0</v>
      </c>
      <c r="BH77" s="583">
        <f t="shared" si="159"/>
        <v>0</v>
      </c>
      <c r="BI77" s="583">
        <f t="shared" si="160"/>
        <v>0</v>
      </c>
      <c r="BJ77" s="583">
        <f t="shared" si="161"/>
        <v>0</v>
      </c>
      <c r="BK77" s="583">
        <f t="shared" si="162"/>
        <v>0</v>
      </c>
      <c r="BL77" s="583">
        <f t="shared" si="163"/>
        <v>0</v>
      </c>
      <c r="BM77" s="583">
        <f t="shared" si="164"/>
        <v>0</v>
      </c>
      <c r="BN77" s="583">
        <f t="shared" si="165"/>
        <v>0</v>
      </c>
      <c r="BO77" s="583">
        <f t="shared" si="166"/>
        <v>0</v>
      </c>
      <c r="BP77" s="583">
        <f t="shared" si="167"/>
        <v>0</v>
      </c>
      <c r="BQ77" s="583">
        <f t="shared" si="168"/>
        <v>0</v>
      </c>
      <c r="BR77" s="583">
        <f t="shared" si="169"/>
        <v>0</v>
      </c>
    </row>
    <row r="78" spans="1:70" s="229" customFormat="1" ht="15" customHeight="1">
      <c r="A78" s="590"/>
      <c r="D78" s="85"/>
      <c r="E78" s="576">
        <f t="shared" si="154"/>
        <v>100</v>
      </c>
      <c r="F78" s="707"/>
      <c r="G78" s="406" t="s">
        <v>3054</v>
      </c>
      <c r="H78" s="1262" t="s">
        <v>3055</v>
      </c>
      <c r="I78" s="85">
        <v>0</v>
      </c>
      <c r="J78" s="682">
        <v>1</v>
      </c>
      <c r="K78" s="579" t="str">
        <f t="shared" si="128"/>
        <v/>
      </c>
      <c r="L78" s="580" t="str">
        <f>IF(H78="Select ingredient:","",IF(G78="","",_xlfn.IFNA(VLOOKUP($H78,Ingredient_prices!$E:$U,16,FALSE),0)))</f>
        <v/>
      </c>
      <c r="M78" s="591"/>
      <c r="N78" s="591"/>
      <c r="O78" s="591"/>
      <c r="P78" s="592"/>
      <c r="Q78" s="583">
        <f t="shared" si="129"/>
        <v>0</v>
      </c>
      <c r="R78" s="583">
        <f>VLOOKUP($H78,'CO2_emission+%_food_waste'!$A:$K,6,FALSE)*$Q78/100</f>
        <v>0</v>
      </c>
      <c r="S78" s="583">
        <f t="shared" si="130"/>
        <v>0</v>
      </c>
      <c r="T78" s="583" t="str">
        <f>IF(H78="Select ingredient:","",IF(G78="Select food category:","",_xlfn.IFNA(VLOOKUP($H78,Ingredient_prices!$E:$U,16,FALSE)*$Q78/1000,"not bought")))</f>
        <v/>
      </c>
      <c r="U78" s="583" t="str">
        <f>IF(G78="Select food category:","",_xlfn.IFNA(VLOOKUP($H78,Ingredient_prices!$E:$U,16,FALSE)*$R78/1000,"not bought"))</f>
        <v/>
      </c>
      <c r="V78" s="549">
        <f>VLOOKUP($H78,'CO2_emission+%_food_waste'!$A:$K,4,FALSE)*$Q78</f>
        <v>0</v>
      </c>
      <c r="W78" s="583">
        <f>VLOOKUP($H78,Nutrition_tables!$A:$N,10,FALSE)*$Q78/100</f>
        <v>0</v>
      </c>
      <c r="X78" s="583">
        <f>VLOOKUP($H78,Nutrition_tables!$A:$N,11,FALSE)*$Q78/100</f>
        <v>0</v>
      </c>
      <c r="Y78" s="583">
        <f>VLOOKUP($H78,Nutrition_tables!$A:$N,12,FALSE)*$Q78/100</f>
        <v>0</v>
      </c>
      <c r="Z78" s="583">
        <f>VLOOKUP($H78,Nutrition_tables!$A:$N,14,FALSE)*$Q78/100</f>
        <v>0</v>
      </c>
      <c r="AA78" s="583">
        <f>VLOOKUP($H78,Nutrition_tables!$A:$AF,13,FALSE)*$Q78/100</f>
        <v>0</v>
      </c>
      <c r="AB78" s="549">
        <f>VLOOKUP($H78,Nutrition_tables!$A:$AF,15,FALSE)*$Q78/100</f>
        <v>0</v>
      </c>
      <c r="AC78" s="583">
        <f>VLOOKUP($H78,Nutrition_tables!$A:$AF,16,FALSE)*$Q78/100</f>
        <v>0</v>
      </c>
      <c r="AD78" s="583">
        <f>VLOOKUP($H78,Nutrition_tables!$A:$AF,17,FALSE)*$Q78/100</f>
        <v>0</v>
      </c>
      <c r="AE78" s="583">
        <f>VLOOKUP($H78,Nutrition_tables!$A:$AF,18,FALSE)*$Q78/100</f>
        <v>0</v>
      </c>
      <c r="AF78" s="583">
        <f>VLOOKUP($H78,Nutrition_tables!$A:$AF,19,FALSE)*$Q78/100</f>
        <v>0</v>
      </c>
      <c r="AG78" s="583">
        <f>VLOOKUP($H78,Nutrition_tables!$A:$AF,20,FALSE)*$Q78/100</f>
        <v>0</v>
      </c>
      <c r="AH78" s="583">
        <f>VLOOKUP($H78,Nutrition_tables!$A:$AF,21,FALSE)*$Q78/100</f>
        <v>0</v>
      </c>
      <c r="AI78" s="583">
        <f>VLOOKUP($H78,Nutrition_tables!$A:$AF,22,FALSE)*$Q78/100</f>
        <v>0</v>
      </c>
      <c r="AJ78" s="549">
        <f>VLOOKUP($H78,Nutrition_tables!$A:$AF,23,FALSE)*$Q78/100</f>
        <v>0</v>
      </c>
      <c r="AK78" s="583">
        <f>VLOOKUP($H78,Nutrition_tables!$A:$AF,24,FALSE)*$Q78/100</f>
        <v>0</v>
      </c>
      <c r="AL78" s="583">
        <f>VLOOKUP($H78,Nutrition_tables!$A:$AF,25,FALSE)*$Q78/100</f>
        <v>0</v>
      </c>
      <c r="AM78" s="583">
        <f>VLOOKUP($H78,Nutrition_tables!$A:$AF,26,FALSE)*$Q78/100</f>
        <v>0</v>
      </c>
      <c r="AN78" s="583">
        <f>VLOOKUP($H78,Nutrition_tables!$A:$AF,27,FALSE)*$Q78/100</f>
        <v>0</v>
      </c>
      <c r="AO78" s="583">
        <f>VLOOKUP($H78,Nutrition_tables!$A:$AF,28,FALSE)*$Q78/100</f>
        <v>0</v>
      </c>
      <c r="AP78" s="583">
        <f>VLOOKUP($H78,Nutrition_tables!$A:$AF,29,FALSE)*$Q78/100</f>
        <v>0</v>
      </c>
      <c r="AQ78" s="583">
        <f>VLOOKUP($H78,Nutrition_tables!$A:$AF,30,FALSE)*$Q78/100</f>
        <v>0</v>
      </c>
      <c r="AR78" s="583">
        <f>VLOOKUP($H78,Nutrition_tables!$A:$AF,31,FALSE)*$Q78/100</f>
        <v>0</v>
      </c>
      <c r="AS78" s="549">
        <f>VLOOKUP($H78,Nutrition_tables!$A:$AF,32,FALSE)*$Q78/100</f>
        <v>0</v>
      </c>
      <c r="AT78" s="583" t="str">
        <f>IF(H78="Select ingredient:","",IF(G78="Select food category:","",IFERROR(VLOOKUP($H78,Ingredient_prices!$E:$W,17,FALSE)*$Q78/1000,"not bought")))</f>
        <v/>
      </c>
      <c r="AU78" s="583" t="str">
        <f>IF(H78="Select ingredient:","",IF(G78="Select food category:","",IFERROR(VLOOKUP($H78,Ingredient_prices!$E:$W,18,FALSE)*$Q78/1000,"not bought")))</f>
        <v/>
      </c>
      <c r="AV78" s="583">
        <f t="shared" si="131"/>
        <v>0</v>
      </c>
      <c r="AW78" s="583">
        <f t="shared" si="132"/>
        <v>0</v>
      </c>
      <c r="AX78" s="583">
        <f t="shared" si="133"/>
        <v>0</v>
      </c>
      <c r="AY78" s="583">
        <f t="shared" si="134"/>
        <v>0</v>
      </c>
      <c r="AZ78" s="583">
        <f t="shared" si="135"/>
        <v>0</v>
      </c>
      <c r="BA78" s="583">
        <f t="shared" si="136"/>
        <v>0</v>
      </c>
      <c r="BB78" s="583">
        <f t="shared" si="137"/>
        <v>0</v>
      </c>
      <c r="BC78" s="583">
        <f t="shared" si="138"/>
        <v>0</v>
      </c>
      <c r="BD78" s="583">
        <f t="shared" si="155"/>
        <v>0</v>
      </c>
      <c r="BE78" s="583">
        <f t="shared" si="156"/>
        <v>0</v>
      </c>
      <c r="BF78" s="583">
        <f t="shared" si="157"/>
        <v>0</v>
      </c>
      <c r="BG78" s="583">
        <f t="shared" si="158"/>
        <v>0</v>
      </c>
      <c r="BH78" s="583">
        <f t="shared" si="159"/>
        <v>0</v>
      </c>
      <c r="BI78" s="583">
        <f t="shared" si="160"/>
        <v>0</v>
      </c>
      <c r="BJ78" s="583">
        <f t="shared" si="161"/>
        <v>0</v>
      </c>
      <c r="BK78" s="583">
        <f t="shared" si="162"/>
        <v>0</v>
      </c>
      <c r="BL78" s="583">
        <f t="shared" si="163"/>
        <v>0</v>
      </c>
      <c r="BM78" s="583">
        <f t="shared" si="164"/>
        <v>0</v>
      </c>
      <c r="BN78" s="583">
        <f t="shared" si="165"/>
        <v>0</v>
      </c>
      <c r="BO78" s="583">
        <f t="shared" si="166"/>
        <v>0</v>
      </c>
      <c r="BP78" s="583">
        <f t="shared" si="167"/>
        <v>0</v>
      </c>
      <c r="BQ78" s="583">
        <f t="shared" si="168"/>
        <v>0</v>
      </c>
      <c r="BR78" s="583">
        <f t="shared" si="169"/>
        <v>0</v>
      </c>
    </row>
    <row r="79" spans="1:70" s="229" customFormat="1" ht="15" customHeight="1">
      <c r="A79" s="590"/>
      <c r="D79" s="85"/>
      <c r="E79" s="576">
        <f t="shared" si="154"/>
        <v>100</v>
      </c>
      <c r="F79" s="707"/>
      <c r="G79" s="406" t="s">
        <v>3054</v>
      </c>
      <c r="H79" s="1262" t="s">
        <v>3055</v>
      </c>
      <c r="I79" s="85">
        <v>0</v>
      </c>
      <c r="J79" s="682">
        <v>1</v>
      </c>
      <c r="K79" s="579" t="str">
        <f t="shared" si="128"/>
        <v/>
      </c>
      <c r="L79" s="580" t="str">
        <f>IF(H79="Select ingredient:","",IF(G79="","",_xlfn.IFNA(VLOOKUP($H79,Ingredient_prices!$E:$U,16,FALSE),0)))</f>
        <v/>
      </c>
      <c r="M79" s="591"/>
      <c r="N79" s="591"/>
      <c r="O79" s="591"/>
      <c r="P79" s="592"/>
      <c r="Q79" s="583">
        <f t="shared" si="129"/>
        <v>0</v>
      </c>
      <c r="R79" s="583">
        <f>VLOOKUP($H79,'CO2_emission+%_food_waste'!$A:$K,6,FALSE)*$Q79/100</f>
        <v>0</v>
      </c>
      <c r="S79" s="583">
        <f t="shared" si="130"/>
        <v>0</v>
      </c>
      <c r="T79" s="583" t="str">
        <f>IF(H79="Select ingredient:","",IF(G79="Select food category:","",_xlfn.IFNA(VLOOKUP($H79,Ingredient_prices!$E:$U,16,FALSE)*$Q79/1000,"not bought")))</f>
        <v/>
      </c>
      <c r="U79" s="583" t="str">
        <f>IF(G79="Select food category:","",_xlfn.IFNA(VLOOKUP($H79,Ingredient_prices!$E:$U,16,FALSE)*$R79/1000,"not bought"))</f>
        <v/>
      </c>
      <c r="V79" s="549">
        <f>VLOOKUP($H79,'CO2_emission+%_food_waste'!$A:$K,4,FALSE)*$Q79</f>
        <v>0</v>
      </c>
      <c r="W79" s="583">
        <f>VLOOKUP($H79,Nutrition_tables!$A:$N,10,FALSE)*$Q79/100</f>
        <v>0</v>
      </c>
      <c r="X79" s="583">
        <f>VLOOKUP($H79,Nutrition_tables!$A:$N,11,FALSE)*$Q79/100</f>
        <v>0</v>
      </c>
      <c r="Y79" s="583">
        <f>VLOOKUP($H79,Nutrition_tables!$A:$N,12,FALSE)*$Q79/100</f>
        <v>0</v>
      </c>
      <c r="Z79" s="583">
        <f>VLOOKUP($H79,Nutrition_tables!$A:$N,14,FALSE)*$Q79/100</f>
        <v>0</v>
      </c>
      <c r="AA79" s="583">
        <f>VLOOKUP($H79,Nutrition_tables!$A:$AF,13,FALSE)*$Q79/100</f>
        <v>0</v>
      </c>
      <c r="AB79" s="549">
        <f>VLOOKUP($H79,Nutrition_tables!$A:$AF,15,FALSE)*$Q79/100</f>
        <v>0</v>
      </c>
      <c r="AC79" s="583">
        <f>VLOOKUP($H79,Nutrition_tables!$A:$AF,16,FALSE)*$Q79/100</f>
        <v>0</v>
      </c>
      <c r="AD79" s="583">
        <f>VLOOKUP($H79,Nutrition_tables!$A:$AF,17,FALSE)*$Q79/100</f>
        <v>0</v>
      </c>
      <c r="AE79" s="583">
        <f>VLOOKUP($H79,Nutrition_tables!$A:$AF,18,FALSE)*$Q79/100</f>
        <v>0</v>
      </c>
      <c r="AF79" s="583">
        <f>VLOOKUP($H79,Nutrition_tables!$A:$AF,19,FALSE)*$Q79/100</f>
        <v>0</v>
      </c>
      <c r="AG79" s="583">
        <f>VLOOKUP($H79,Nutrition_tables!$A:$AF,20,FALSE)*$Q79/100</f>
        <v>0</v>
      </c>
      <c r="AH79" s="583">
        <f>VLOOKUP($H79,Nutrition_tables!$A:$AF,21,FALSE)*$Q79/100</f>
        <v>0</v>
      </c>
      <c r="AI79" s="583">
        <f>VLOOKUP($H79,Nutrition_tables!$A:$AF,22,FALSE)*$Q79/100</f>
        <v>0</v>
      </c>
      <c r="AJ79" s="549">
        <f>VLOOKUP($H79,Nutrition_tables!$A:$AF,23,FALSE)*$Q79/100</f>
        <v>0</v>
      </c>
      <c r="AK79" s="583">
        <f>VLOOKUP($H79,Nutrition_tables!$A:$AF,24,FALSE)*$Q79/100</f>
        <v>0</v>
      </c>
      <c r="AL79" s="583">
        <f>VLOOKUP($H79,Nutrition_tables!$A:$AF,25,FALSE)*$Q79/100</f>
        <v>0</v>
      </c>
      <c r="AM79" s="583">
        <f>VLOOKUP($H79,Nutrition_tables!$A:$AF,26,FALSE)*$Q79/100</f>
        <v>0</v>
      </c>
      <c r="AN79" s="583">
        <f>VLOOKUP($H79,Nutrition_tables!$A:$AF,27,FALSE)*$Q79/100</f>
        <v>0</v>
      </c>
      <c r="AO79" s="583">
        <f>VLOOKUP($H79,Nutrition_tables!$A:$AF,28,FALSE)*$Q79/100</f>
        <v>0</v>
      </c>
      <c r="AP79" s="583">
        <f>VLOOKUP($H79,Nutrition_tables!$A:$AF,29,FALSE)*$Q79/100</f>
        <v>0</v>
      </c>
      <c r="AQ79" s="583">
        <f>VLOOKUP($H79,Nutrition_tables!$A:$AF,30,FALSE)*$Q79/100</f>
        <v>0</v>
      </c>
      <c r="AR79" s="583">
        <f>VLOOKUP($H79,Nutrition_tables!$A:$AF,31,FALSE)*$Q79/100</f>
        <v>0</v>
      </c>
      <c r="AS79" s="549">
        <f>VLOOKUP($H79,Nutrition_tables!$A:$AF,32,FALSE)*$Q79/100</f>
        <v>0</v>
      </c>
      <c r="AT79" s="583" t="str">
        <f>IF(H79="Select ingredient:","",IF(G79="Select food category:","",IFERROR(VLOOKUP($H79,Ingredient_prices!$E:$W,17,FALSE)*$Q79/1000,"not bought")))</f>
        <v/>
      </c>
      <c r="AU79" s="583" t="str">
        <f>IF(H79="Select ingredient:","",IF(G79="Select food category:","",IFERROR(VLOOKUP($H79,Ingredient_prices!$E:$W,18,FALSE)*$Q79/1000,"not bought")))</f>
        <v/>
      </c>
      <c r="AV79" s="583">
        <f t="shared" si="131"/>
        <v>0</v>
      </c>
      <c r="AW79" s="583">
        <f t="shared" si="132"/>
        <v>0</v>
      </c>
      <c r="AX79" s="583">
        <f t="shared" si="133"/>
        <v>0</v>
      </c>
      <c r="AY79" s="583">
        <f t="shared" si="134"/>
        <v>0</v>
      </c>
      <c r="AZ79" s="583">
        <f t="shared" si="135"/>
        <v>0</v>
      </c>
      <c r="BA79" s="583">
        <f t="shared" si="136"/>
        <v>0</v>
      </c>
      <c r="BB79" s="583">
        <f t="shared" si="137"/>
        <v>0</v>
      </c>
      <c r="BC79" s="583">
        <f t="shared" si="138"/>
        <v>0</v>
      </c>
      <c r="BD79" s="583">
        <f t="shared" si="155"/>
        <v>0</v>
      </c>
      <c r="BE79" s="583">
        <f t="shared" si="156"/>
        <v>0</v>
      </c>
      <c r="BF79" s="583">
        <f t="shared" si="157"/>
        <v>0</v>
      </c>
      <c r="BG79" s="583">
        <f t="shared" si="158"/>
        <v>0</v>
      </c>
      <c r="BH79" s="583">
        <f t="shared" si="159"/>
        <v>0</v>
      </c>
      <c r="BI79" s="583">
        <f t="shared" si="160"/>
        <v>0</v>
      </c>
      <c r="BJ79" s="583">
        <f t="shared" si="161"/>
        <v>0</v>
      </c>
      <c r="BK79" s="583">
        <f t="shared" si="162"/>
        <v>0</v>
      </c>
      <c r="BL79" s="583">
        <f t="shared" si="163"/>
        <v>0</v>
      </c>
      <c r="BM79" s="583">
        <f t="shared" si="164"/>
        <v>0</v>
      </c>
      <c r="BN79" s="583">
        <f t="shared" si="165"/>
        <v>0</v>
      </c>
      <c r="BO79" s="583">
        <f t="shared" si="166"/>
        <v>0</v>
      </c>
      <c r="BP79" s="583">
        <f t="shared" si="167"/>
        <v>0</v>
      </c>
      <c r="BQ79" s="583">
        <f t="shared" si="168"/>
        <v>0</v>
      </c>
      <c r="BR79" s="583">
        <f t="shared" si="169"/>
        <v>0</v>
      </c>
    </row>
    <row r="80" spans="1:70" s="229" customFormat="1" ht="15" customHeight="1">
      <c r="A80" s="590"/>
      <c r="D80" s="85"/>
      <c r="E80" s="576">
        <f t="shared" si="154"/>
        <v>100</v>
      </c>
      <c r="F80" s="707"/>
      <c r="G80" s="406" t="s">
        <v>3054</v>
      </c>
      <c r="H80" s="1262" t="s">
        <v>3055</v>
      </c>
      <c r="I80" s="85">
        <v>0</v>
      </c>
      <c r="J80" s="682">
        <v>1</v>
      </c>
      <c r="K80" s="579" t="str">
        <f t="shared" si="128"/>
        <v/>
      </c>
      <c r="L80" s="580" t="str">
        <f>IF(H80="Select ingredient:","",IF(G80="","",_xlfn.IFNA(VLOOKUP($H80,Ingredient_prices!$E:$U,16,FALSE),0)))</f>
        <v/>
      </c>
      <c r="M80" s="591"/>
      <c r="N80" s="591"/>
      <c r="O80" s="591"/>
      <c r="P80" s="592"/>
      <c r="Q80" s="583">
        <f t="shared" si="129"/>
        <v>0</v>
      </c>
      <c r="R80" s="583">
        <f>VLOOKUP($H80,'CO2_emission+%_food_waste'!$A:$K,6,FALSE)*$Q80/100</f>
        <v>0</v>
      </c>
      <c r="S80" s="583">
        <f t="shared" si="130"/>
        <v>0</v>
      </c>
      <c r="T80" s="583" t="str">
        <f>IF(H80="Select ingredient:","",IF(G80="Select food category:","",_xlfn.IFNA(VLOOKUP($H80,Ingredient_prices!$E:$U,16,FALSE)*$Q80/1000,"not bought")))</f>
        <v/>
      </c>
      <c r="U80" s="583" t="str">
        <f>IF(G80="Select food category:","",_xlfn.IFNA(VLOOKUP($H80,Ingredient_prices!$E:$U,16,FALSE)*$R80/1000,"not bought"))</f>
        <v/>
      </c>
      <c r="V80" s="549">
        <f>VLOOKUP($H80,'CO2_emission+%_food_waste'!$A:$K,4,FALSE)*$Q80</f>
        <v>0</v>
      </c>
      <c r="W80" s="583">
        <f>VLOOKUP($H80,Nutrition_tables!$A:$N,10,FALSE)*$Q80/100</f>
        <v>0</v>
      </c>
      <c r="X80" s="583">
        <f>VLOOKUP($H80,Nutrition_tables!$A:$N,11,FALSE)*$Q80/100</f>
        <v>0</v>
      </c>
      <c r="Y80" s="583">
        <f>VLOOKUP($H80,Nutrition_tables!$A:$N,12,FALSE)*$Q80/100</f>
        <v>0</v>
      </c>
      <c r="Z80" s="583">
        <f>VLOOKUP($H80,Nutrition_tables!$A:$N,14,FALSE)*$Q80/100</f>
        <v>0</v>
      </c>
      <c r="AA80" s="583">
        <f>VLOOKUP($H80,Nutrition_tables!$A:$AF,13,FALSE)*$Q80/100</f>
        <v>0</v>
      </c>
      <c r="AB80" s="549">
        <f>VLOOKUP($H80,Nutrition_tables!$A:$AF,15,FALSE)*$Q80/100</f>
        <v>0</v>
      </c>
      <c r="AC80" s="583">
        <f>VLOOKUP($H80,Nutrition_tables!$A:$AF,16,FALSE)*$Q80/100</f>
        <v>0</v>
      </c>
      <c r="AD80" s="583">
        <f>VLOOKUP($H80,Nutrition_tables!$A:$AF,17,FALSE)*$Q80/100</f>
        <v>0</v>
      </c>
      <c r="AE80" s="583">
        <f>VLOOKUP($H80,Nutrition_tables!$A:$AF,18,FALSE)*$Q80/100</f>
        <v>0</v>
      </c>
      <c r="AF80" s="583">
        <f>VLOOKUP($H80,Nutrition_tables!$A:$AF,19,FALSE)*$Q80/100</f>
        <v>0</v>
      </c>
      <c r="AG80" s="583">
        <f>VLOOKUP($H80,Nutrition_tables!$A:$AF,20,FALSE)*$Q80/100</f>
        <v>0</v>
      </c>
      <c r="AH80" s="583">
        <f>VLOOKUP($H80,Nutrition_tables!$A:$AF,21,FALSE)*$Q80/100</f>
        <v>0</v>
      </c>
      <c r="AI80" s="583">
        <f>VLOOKUP($H80,Nutrition_tables!$A:$AF,22,FALSE)*$Q80/100</f>
        <v>0</v>
      </c>
      <c r="AJ80" s="549">
        <f>VLOOKUP($H80,Nutrition_tables!$A:$AF,23,FALSE)*$Q80/100</f>
        <v>0</v>
      </c>
      <c r="AK80" s="583">
        <f>VLOOKUP($H80,Nutrition_tables!$A:$AF,24,FALSE)*$Q80/100</f>
        <v>0</v>
      </c>
      <c r="AL80" s="583">
        <f>VLOOKUP($H80,Nutrition_tables!$A:$AF,25,FALSE)*$Q80/100</f>
        <v>0</v>
      </c>
      <c r="AM80" s="583">
        <f>VLOOKUP($H80,Nutrition_tables!$A:$AF,26,FALSE)*$Q80/100</f>
        <v>0</v>
      </c>
      <c r="AN80" s="583">
        <f>VLOOKUP($H80,Nutrition_tables!$A:$AF,27,FALSE)*$Q80/100</f>
        <v>0</v>
      </c>
      <c r="AO80" s="583">
        <f>VLOOKUP($H80,Nutrition_tables!$A:$AF,28,FALSE)*$Q80/100</f>
        <v>0</v>
      </c>
      <c r="AP80" s="583">
        <f>VLOOKUP($H80,Nutrition_tables!$A:$AF,29,FALSE)*$Q80/100</f>
        <v>0</v>
      </c>
      <c r="AQ80" s="583">
        <f>VLOOKUP($H80,Nutrition_tables!$A:$AF,30,FALSE)*$Q80/100</f>
        <v>0</v>
      </c>
      <c r="AR80" s="583">
        <f>VLOOKUP($H80,Nutrition_tables!$A:$AF,31,FALSE)*$Q80/100</f>
        <v>0</v>
      </c>
      <c r="AS80" s="549">
        <f>VLOOKUP($H80,Nutrition_tables!$A:$AF,32,FALSE)*$Q80/100</f>
        <v>0</v>
      </c>
      <c r="AT80" s="583" t="str">
        <f>IF(H80="Select ingredient:","",IF(G80="Select food category:","",IFERROR(VLOOKUP($H80,Ingredient_prices!$E:$W,17,FALSE)*$Q80/1000,"not bought")))</f>
        <v/>
      </c>
      <c r="AU80" s="583" t="str">
        <f>IF(H80="Select ingredient:","",IF(G80="Select food category:","",IFERROR(VLOOKUP($H80,Ingredient_prices!$E:$W,18,FALSE)*$Q80/1000,"not bought")))</f>
        <v/>
      </c>
      <c r="AV80" s="583">
        <f t="shared" si="131"/>
        <v>0</v>
      </c>
      <c r="AW80" s="583">
        <f t="shared" si="132"/>
        <v>0</v>
      </c>
      <c r="AX80" s="583">
        <f t="shared" si="133"/>
        <v>0</v>
      </c>
      <c r="AY80" s="583">
        <f t="shared" si="134"/>
        <v>0</v>
      </c>
      <c r="AZ80" s="583">
        <f t="shared" si="135"/>
        <v>0</v>
      </c>
      <c r="BA80" s="583">
        <f t="shared" si="136"/>
        <v>0</v>
      </c>
      <c r="BB80" s="583">
        <f t="shared" si="137"/>
        <v>0</v>
      </c>
      <c r="BC80" s="583">
        <f t="shared" si="138"/>
        <v>0</v>
      </c>
      <c r="BD80" s="583">
        <f t="shared" si="155"/>
        <v>0</v>
      </c>
      <c r="BE80" s="583">
        <f t="shared" si="156"/>
        <v>0</v>
      </c>
      <c r="BF80" s="583">
        <f t="shared" si="157"/>
        <v>0</v>
      </c>
      <c r="BG80" s="583">
        <f t="shared" si="158"/>
        <v>0</v>
      </c>
      <c r="BH80" s="583">
        <f t="shared" si="159"/>
        <v>0</v>
      </c>
      <c r="BI80" s="583">
        <f t="shared" si="160"/>
        <v>0</v>
      </c>
      <c r="BJ80" s="583">
        <f t="shared" si="161"/>
        <v>0</v>
      </c>
      <c r="BK80" s="583">
        <f t="shared" si="162"/>
        <v>0</v>
      </c>
      <c r="BL80" s="583">
        <f t="shared" si="163"/>
        <v>0</v>
      </c>
      <c r="BM80" s="583">
        <f t="shared" si="164"/>
        <v>0</v>
      </c>
      <c r="BN80" s="583">
        <f t="shared" si="165"/>
        <v>0</v>
      </c>
      <c r="BO80" s="583">
        <f t="shared" si="166"/>
        <v>0</v>
      </c>
      <c r="BP80" s="583">
        <f t="shared" si="167"/>
        <v>0</v>
      </c>
      <c r="BQ80" s="583">
        <f t="shared" si="168"/>
        <v>0</v>
      </c>
      <c r="BR80" s="583">
        <f t="shared" si="169"/>
        <v>0</v>
      </c>
    </row>
    <row r="81" spans="1:70" s="229" customFormat="1" ht="15" customHeight="1">
      <c r="A81" s="590"/>
      <c r="D81" s="85"/>
      <c r="E81" s="576">
        <f t="shared" si="154"/>
        <v>100</v>
      </c>
      <c r="F81" s="707"/>
      <c r="G81" s="406" t="s">
        <v>3054</v>
      </c>
      <c r="H81" s="1262" t="s">
        <v>3055</v>
      </c>
      <c r="I81" s="85">
        <v>0</v>
      </c>
      <c r="J81" s="682">
        <v>1</v>
      </c>
      <c r="K81" s="579" t="str">
        <f t="shared" si="128"/>
        <v/>
      </c>
      <c r="L81" s="580" t="str">
        <f>IF(H81="Select ingredient:","",IF(G81="","",_xlfn.IFNA(VLOOKUP($H81,Ingredient_prices!$E:$U,16,FALSE),0)))</f>
        <v/>
      </c>
      <c r="M81" s="591"/>
      <c r="N81" s="591"/>
      <c r="O81" s="591"/>
      <c r="P81" s="592"/>
      <c r="Q81" s="583">
        <f t="shared" si="129"/>
        <v>0</v>
      </c>
      <c r="R81" s="583">
        <f>VLOOKUP($H81,'CO2_emission+%_food_waste'!$A:$K,6,FALSE)*$Q81/100</f>
        <v>0</v>
      </c>
      <c r="S81" s="583">
        <f t="shared" si="130"/>
        <v>0</v>
      </c>
      <c r="T81" s="583" t="str">
        <f>IF(H81="Select ingredient:","",IF(G81="Select food category:","",_xlfn.IFNA(VLOOKUP($H81,Ingredient_prices!$E:$U,16,FALSE)*$Q81/1000,"not bought")))</f>
        <v/>
      </c>
      <c r="U81" s="583" t="str">
        <f>IF(G81="Select food category:","",_xlfn.IFNA(VLOOKUP($H81,Ingredient_prices!$E:$U,16,FALSE)*$R81/1000,"not bought"))</f>
        <v/>
      </c>
      <c r="V81" s="549">
        <f>VLOOKUP($H81,'CO2_emission+%_food_waste'!$A:$K,4,FALSE)*$Q81</f>
        <v>0</v>
      </c>
      <c r="W81" s="583">
        <f>VLOOKUP($H81,Nutrition_tables!$A:$N,10,FALSE)*$Q81/100</f>
        <v>0</v>
      </c>
      <c r="X81" s="583">
        <f>VLOOKUP($H81,Nutrition_tables!$A:$N,11,FALSE)*$Q81/100</f>
        <v>0</v>
      </c>
      <c r="Y81" s="583">
        <f>VLOOKUP($H81,Nutrition_tables!$A:$N,12,FALSE)*$Q81/100</f>
        <v>0</v>
      </c>
      <c r="Z81" s="583">
        <f>VLOOKUP($H81,Nutrition_tables!$A:$N,14,FALSE)*$Q81/100</f>
        <v>0</v>
      </c>
      <c r="AA81" s="583">
        <f>VLOOKUP($H81,Nutrition_tables!$A:$AF,13,FALSE)*$Q81/100</f>
        <v>0</v>
      </c>
      <c r="AB81" s="549">
        <f>VLOOKUP($H81,Nutrition_tables!$A:$AF,15,FALSE)*$Q81/100</f>
        <v>0</v>
      </c>
      <c r="AC81" s="583">
        <f>VLOOKUP($H81,Nutrition_tables!$A:$AF,16,FALSE)*$Q81/100</f>
        <v>0</v>
      </c>
      <c r="AD81" s="583">
        <f>VLOOKUP($H81,Nutrition_tables!$A:$AF,17,FALSE)*$Q81/100</f>
        <v>0</v>
      </c>
      <c r="AE81" s="583">
        <f>VLOOKUP($H81,Nutrition_tables!$A:$AF,18,FALSE)*$Q81/100</f>
        <v>0</v>
      </c>
      <c r="AF81" s="583">
        <f>VLOOKUP($H81,Nutrition_tables!$A:$AF,19,FALSE)*$Q81/100</f>
        <v>0</v>
      </c>
      <c r="AG81" s="583">
        <f>VLOOKUP($H81,Nutrition_tables!$A:$AF,20,FALSE)*$Q81/100</f>
        <v>0</v>
      </c>
      <c r="AH81" s="583">
        <f>VLOOKUP($H81,Nutrition_tables!$A:$AF,21,FALSE)*$Q81/100</f>
        <v>0</v>
      </c>
      <c r="AI81" s="583">
        <f>VLOOKUP($H81,Nutrition_tables!$A:$AF,22,FALSE)*$Q81/100</f>
        <v>0</v>
      </c>
      <c r="AJ81" s="549">
        <f>VLOOKUP($H81,Nutrition_tables!$A:$AF,23,FALSE)*$Q81/100</f>
        <v>0</v>
      </c>
      <c r="AK81" s="583">
        <f>VLOOKUP($H81,Nutrition_tables!$A:$AF,24,FALSE)*$Q81/100</f>
        <v>0</v>
      </c>
      <c r="AL81" s="583">
        <f>VLOOKUP($H81,Nutrition_tables!$A:$AF,25,FALSE)*$Q81/100</f>
        <v>0</v>
      </c>
      <c r="AM81" s="583">
        <f>VLOOKUP($H81,Nutrition_tables!$A:$AF,26,FALSE)*$Q81/100</f>
        <v>0</v>
      </c>
      <c r="AN81" s="583">
        <f>VLOOKUP($H81,Nutrition_tables!$A:$AF,27,FALSE)*$Q81/100</f>
        <v>0</v>
      </c>
      <c r="AO81" s="583">
        <f>VLOOKUP($H81,Nutrition_tables!$A:$AF,28,FALSE)*$Q81/100</f>
        <v>0</v>
      </c>
      <c r="AP81" s="583">
        <f>VLOOKUP($H81,Nutrition_tables!$A:$AF,29,FALSE)*$Q81/100</f>
        <v>0</v>
      </c>
      <c r="AQ81" s="583">
        <f>VLOOKUP($H81,Nutrition_tables!$A:$AF,30,FALSE)*$Q81/100</f>
        <v>0</v>
      </c>
      <c r="AR81" s="583">
        <f>VLOOKUP($H81,Nutrition_tables!$A:$AF,31,FALSE)*$Q81/100</f>
        <v>0</v>
      </c>
      <c r="AS81" s="549">
        <f>VLOOKUP($H81,Nutrition_tables!$A:$AF,32,FALSE)*$Q81/100</f>
        <v>0</v>
      </c>
      <c r="AT81" s="583" t="str">
        <f>IF(H81="Select ingredient:","",IF(G81="Select food category:","",IFERROR(VLOOKUP($H81,Ingredient_prices!$E:$W,17,FALSE)*$Q81/1000,"not bought")))</f>
        <v/>
      </c>
      <c r="AU81" s="583" t="str">
        <f>IF(H81="Select ingredient:","",IF(G81="Select food category:","",IFERROR(VLOOKUP($H81,Ingredient_prices!$E:$W,18,FALSE)*$Q81/1000,"not bought")))</f>
        <v/>
      </c>
      <c r="AV81" s="583">
        <f t="shared" si="131"/>
        <v>0</v>
      </c>
      <c r="AW81" s="583">
        <f t="shared" si="132"/>
        <v>0</v>
      </c>
      <c r="AX81" s="583">
        <f t="shared" si="133"/>
        <v>0</v>
      </c>
      <c r="AY81" s="583">
        <f t="shared" si="134"/>
        <v>0</v>
      </c>
      <c r="AZ81" s="583">
        <f t="shared" si="135"/>
        <v>0</v>
      </c>
      <c r="BA81" s="583">
        <f t="shared" si="136"/>
        <v>0</v>
      </c>
      <c r="BB81" s="583">
        <f t="shared" si="137"/>
        <v>0</v>
      </c>
      <c r="BC81" s="583">
        <f t="shared" si="138"/>
        <v>0</v>
      </c>
      <c r="BD81" s="583">
        <f t="shared" si="155"/>
        <v>0</v>
      </c>
      <c r="BE81" s="583">
        <f t="shared" si="156"/>
        <v>0</v>
      </c>
      <c r="BF81" s="583">
        <f t="shared" si="157"/>
        <v>0</v>
      </c>
      <c r="BG81" s="583">
        <f t="shared" si="158"/>
        <v>0</v>
      </c>
      <c r="BH81" s="583">
        <f t="shared" si="159"/>
        <v>0</v>
      </c>
      <c r="BI81" s="583">
        <f t="shared" si="160"/>
        <v>0</v>
      </c>
      <c r="BJ81" s="583">
        <f t="shared" si="161"/>
        <v>0</v>
      </c>
      <c r="BK81" s="583">
        <f t="shared" si="162"/>
        <v>0</v>
      </c>
      <c r="BL81" s="583">
        <f t="shared" si="163"/>
        <v>0</v>
      </c>
      <c r="BM81" s="583">
        <f t="shared" si="164"/>
        <v>0</v>
      </c>
      <c r="BN81" s="583">
        <f t="shared" si="165"/>
        <v>0</v>
      </c>
      <c r="BO81" s="583">
        <f t="shared" si="166"/>
        <v>0</v>
      </c>
      <c r="BP81" s="583">
        <f t="shared" si="167"/>
        <v>0</v>
      </c>
      <c r="BQ81" s="583">
        <f t="shared" si="168"/>
        <v>0</v>
      </c>
      <c r="BR81" s="583">
        <f t="shared" si="169"/>
        <v>0</v>
      </c>
    </row>
    <row r="82" spans="1:70" s="603" customFormat="1" ht="56">
      <c r="A82" s="590"/>
      <c r="B82" s="593"/>
      <c r="C82" s="522"/>
      <c r="D82" s="141"/>
      <c r="E82" s="594"/>
      <c r="F82" s="708"/>
      <c r="G82" s="522"/>
      <c r="H82" s="522"/>
      <c r="I82" s="141"/>
      <c r="J82" s="141"/>
      <c r="K82" s="141"/>
      <c r="L82" s="596"/>
      <c r="M82" s="597"/>
      <c r="N82" s="597"/>
      <c r="O82" s="597"/>
      <c r="P82" s="598"/>
      <c r="Q82" s="599" t="s">
        <v>384</v>
      </c>
      <c r="R82" s="600" t="s">
        <v>455</v>
      </c>
      <c r="S82" s="600" t="s">
        <v>2087</v>
      </c>
      <c r="T82" s="600" t="s">
        <v>456</v>
      </c>
      <c r="U82" s="600" t="s">
        <v>535</v>
      </c>
      <c r="V82" s="601" t="s">
        <v>457</v>
      </c>
      <c r="W82" s="600" t="s">
        <v>75</v>
      </c>
      <c r="X82" s="600" t="s">
        <v>385</v>
      </c>
      <c r="Y82" s="600" t="s">
        <v>386</v>
      </c>
      <c r="Z82" s="600" t="s">
        <v>387</v>
      </c>
      <c r="AA82" s="600" t="s">
        <v>388</v>
      </c>
      <c r="AB82" s="601" t="s">
        <v>389</v>
      </c>
      <c r="AC82" s="602" t="s">
        <v>390</v>
      </c>
      <c r="AD82" s="600" t="s">
        <v>391</v>
      </c>
      <c r="AE82" s="600" t="s">
        <v>392</v>
      </c>
      <c r="AF82" s="600" t="s">
        <v>393</v>
      </c>
      <c r="AG82" s="600" t="s">
        <v>394</v>
      </c>
      <c r="AH82" s="600" t="s">
        <v>395</v>
      </c>
      <c r="AI82" s="600" t="s">
        <v>396</v>
      </c>
      <c r="AJ82" s="601" t="s">
        <v>397</v>
      </c>
      <c r="AK82" s="602" t="s">
        <v>398</v>
      </c>
      <c r="AL82" s="600" t="s">
        <v>399</v>
      </c>
      <c r="AM82" s="600" t="s">
        <v>400</v>
      </c>
      <c r="AN82" s="600" t="s">
        <v>401</v>
      </c>
      <c r="AO82" s="600" t="s">
        <v>402</v>
      </c>
      <c r="AP82" s="600" t="s">
        <v>406</v>
      </c>
      <c r="AQ82" s="600" t="s">
        <v>405</v>
      </c>
      <c r="AR82" s="600" t="s">
        <v>403</v>
      </c>
      <c r="AS82" s="601" t="s">
        <v>404</v>
      </c>
      <c r="AT82" s="593"/>
      <c r="AU82" s="593"/>
    </row>
    <row r="83" spans="1:70" s="229" customFormat="1">
      <c r="A83" s="590"/>
      <c r="B83" s="522"/>
      <c r="C83" s="522"/>
      <c r="D83" s="141"/>
      <c r="E83" s="594"/>
      <c r="F83" s="708"/>
      <c r="G83" s="522"/>
      <c r="H83" s="522"/>
      <c r="I83" s="141"/>
      <c r="J83" s="141"/>
      <c r="K83" s="141"/>
      <c r="L83" s="604"/>
      <c r="M83" s="605"/>
      <c r="N83" s="605"/>
      <c r="O83" s="605"/>
      <c r="P83" s="606" t="s">
        <v>383</v>
      </c>
      <c r="Q83" s="583">
        <f t="shared" ref="Q83:V83" si="170">SUM(Q57:Q81)</f>
        <v>618.6</v>
      </c>
      <c r="R83" s="583">
        <f t="shared" si="170"/>
        <v>159.21099999999998</v>
      </c>
      <c r="S83" s="583">
        <f t="shared" si="170"/>
        <v>459.3889999999999</v>
      </c>
      <c r="T83" s="583">
        <f t="shared" si="170"/>
        <v>76.149608484848471</v>
      </c>
      <c r="U83" s="583">
        <f t="shared" si="170"/>
        <v>19.316856503030301</v>
      </c>
      <c r="V83" s="549">
        <f t="shared" si="170"/>
        <v>1110.4279999999997</v>
      </c>
      <c r="W83" s="583">
        <f>SUM(W57:W81)</f>
        <v>820.06842335664328</v>
      </c>
      <c r="X83" s="583">
        <f t="shared" ref="X83:AS83" si="171">SUM(X57:X81)</f>
        <v>80.619952645737953</v>
      </c>
      <c r="Y83" s="583">
        <f t="shared" si="171"/>
        <v>24.385406068062942</v>
      </c>
      <c r="Z83" s="583">
        <f t="shared" si="171"/>
        <v>41.121045717418291</v>
      </c>
      <c r="AA83" s="583">
        <f t="shared" si="171"/>
        <v>12.981127749892554</v>
      </c>
      <c r="AB83" s="549">
        <f t="shared" si="171"/>
        <v>11.13956346586547</v>
      </c>
      <c r="AC83" s="583">
        <f t="shared" si="171"/>
        <v>809.38397668997675</v>
      </c>
      <c r="AD83" s="583">
        <f t="shared" si="171"/>
        <v>1405.4560000000001</v>
      </c>
      <c r="AE83" s="583">
        <f t="shared" si="171"/>
        <v>215.19199999999998</v>
      </c>
      <c r="AF83" s="583">
        <f t="shared" si="171"/>
        <v>102.36995337995339</v>
      </c>
      <c r="AG83" s="583">
        <f t="shared" si="171"/>
        <v>349.2879999999999</v>
      </c>
      <c r="AH83" s="583">
        <f t="shared" si="171"/>
        <v>4.0491086791651174</v>
      </c>
      <c r="AI83" s="583">
        <f t="shared" si="171"/>
        <v>4.8198025479683482</v>
      </c>
      <c r="AJ83" s="549">
        <f t="shared" si="171"/>
        <v>0.69442529902411321</v>
      </c>
      <c r="AK83" s="583">
        <f t="shared" si="171"/>
        <v>680.3</v>
      </c>
      <c r="AL83" s="583">
        <f t="shared" si="171"/>
        <v>0.70439678097933234</v>
      </c>
      <c r="AM83" s="583">
        <f t="shared" si="171"/>
        <v>0.48476672701538137</v>
      </c>
      <c r="AN83" s="583">
        <f t="shared" si="171"/>
        <v>7.3522603349334315</v>
      </c>
      <c r="AO83" s="583">
        <f t="shared" si="171"/>
        <v>1.5828845260849813</v>
      </c>
      <c r="AP83" s="583">
        <f t="shared" si="171"/>
        <v>170.68009324009324</v>
      </c>
      <c r="AQ83" s="583">
        <f t="shared" si="171"/>
        <v>0.96874792798524079</v>
      </c>
      <c r="AR83" s="583">
        <f t="shared" si="171"/>
        <v>69.682000000000002</v>
      </c>
      <c r="AS83" s="549">
        <f t="shared" si="171"/>
        <v>2.1648202705724233</v>
      </c>
      <c r="AT83" s="583">
        <f t="shared" ref="AT83:AU83" si="172">SUM(AT57:AT81)</f>
        <v>66.564608484848492</v>
      </c>
      <c r="AU83" s="583">
        <f t="shared" si="172"/>
        <v>76.149608484848471</v>
      </c>
      <c r="AV83" s="583">
        <f t="shared" ref="AV83:BR83" si="173">SUM(AV57:AV81)</f>
        <v>604.21554517707136</v>
      </c>
      <c r="AW83" s="583">
        <f t="shared" si="173"/>
        <v>56.807191689529425</v>
      </c>
      <c r="AX83" s="583">
        <f t="shared" si="173"/>
        <v>17.925658438135414</v>
      </c>
      <c r="AY83" s="583">
        <f t="shared" si="173"/>
        <v>31.690474947594314</v>
      </c>
      <c r="AZ83" s="583">
        <f t="shared" si="173"/>
        <v>9.3537542031398342</v>
      </c>
      <c r="BA83" s="583">
        <f t="shared" si="173"/>
        <v>8.7268765784888398</v>
      </c>
      <c r="BB83" s="583">
        <f t="shared" si="173"/>
        <v>577.60812684827658</v>
      </c>
      <c r="BC83" s="583">
        <f t="shared" si="173"/>
        <v>1035.0153640083743</v>
      </c>
      <c r="BD83" s="583">
        <f t="shared" si="173"/>
        <v>158.25038689776733</v>
      </c>
      <c r="BE83" s="583">
        <f t="shared" si="173"/>
        <v>74.495479852161509</v>
      </c>
      <c r="BF83" s="583">
        <f t="shared" si="173"/>
        <v>265.86369410603055</v>
      </c>
      <c r="BG83" s="583">
        <f t="shared" si="173"/>
        <v>2.939537815239452</v>
      </c>
      <c r="BH83" s="583">
        <f t="shared" si="173"/>
        <v>3.3373946800343908</v>
      </c>
      <c r="BI83" s="583">
        <f t="shared" si="173"/>
        <v>0.49154464294082539</v>
      </c>
      <c r="BJ83" s="583">
        <f t="shared" si="173"/>
        <v>537.64471243815206</v>
      </c>
      <c r="BK83" s="583">
        <f t="shared" si="173"/>
        <v>0.50425713559073082</v>
      </c>
      <c r="BL83" s="583">
        <f t="shared" si="173"/>
        <v>0.37041880216947948</v>
      </c>
      <c r="BM83" s="583">
        <f t="shared" si="173"/>
        <v>5.2257135021032228</v>
      </c>
      <c r="BN83" s="583">
        <f t="shared" si="173"/>
        <v>1.25184237058266</v>
      </c>
      <c r="BO83" s="583">
        <f t="shared" si="173"/>
        <v>124.0349706265103</v>
      </c>
      <c r="BP83" s="583">
        <f t="shared" si="173"/>
        <v>0.78838114578138285</v>
      </c>
      <c r="BQ83" s="583">
        <f t="shared" si="173"/>
        <v>50.909903451004418</v>
      </c>
      <c r="BR83" s="583">
        <f t="shared" si="173"/>
        <v>1.8111242763517685</v>
      </c>
    </row>
    <row r="84" spans="1:70" s="229" customFormat="1">
      <c r="A84" s="590"/>
      <c r="B84" s="522"/>
      <c r="C84" s="522"/>
      <c r="D84" s="141"/>
      <c r="E84" s="594"/>
      <c r="F84" s="708"/>
      <c r="G84" s="522"/>
      <c r="H84" s="522"/>
      <c r="I84" s="141"/>
      <c r="J84" s="141"/>
      <c r="K84" s="141"/>
      <c r="L84" s="604"/>
      <c r="M84" s="605"/>
      <c r="N84" s="605"/>
      <c r="O84" s="605"/>
      <c r="P84" s="606" t="s">
        <v>545</v>
      </c>
      <c r="V84" s="526"/>
      <c r="W84" s="229">
        <v>556.5</v>
      </c>
      <c r="X84" s="229">
        <v>69.599999999999994</v>
      </c>
      <c r="Y84" s="229">
        <v>17.399999999999999</v>
      </c>
      <c r="Z84" s="229">
        <v>18.599999999999998</v>
      </c>
      <c r="AA84" s="229">
        <v>5.7</v>
      </c>
      <c r="AB84" s="526">
        <v>6</v>
      </c>
      <c r="AC84" s="229">
        <v>414</v>
      </c>
      <c r="AD84" s="229">
        <v>540</v>
      </c>
      <c r="AE84" s="229">
        <v>270</v>
      </c>
      <c r="AF84" s="229">
        <v>51</v>
      </c>
      <c r="AG84" s="229">
        <v>240</v>
      </c>
      <c r="AH84" s="229">
        <v>3</v>
      </c>
      <c r="AI84" s="229">
        <v>2.1</v>
      </c>
      <c r="AJ84" s="526">
        <v>0.375</v>
      </c>
      <c r="AK84" s="229">
        <v>240</v>
      </c>
      <c r="AL84" s="229">
        <v>0.3</v>
      </c>
      <c r="AM84" s="229">
        <v>0.33</v>
      </c>
      <c r="AN84" s="229">
        <v>3.5999999999999996</v>
      </c>
      <c r="AO84" s="229">
        <v>0.21</v>
      </c>
      <c r="AP84" s="229">
        <v>90</v>
      </c>
      <c r="AQ84" s="229">
        <v>0.54</v>
      </c>
      <c r="AR84" s="229">
        <v>24</v>
      </c>
      <c r="AS84" s="526">
        <v>1.5</v>
      </c>
      <c r="AV84" s="229">
        <v>556.5</v>
      </c>
      <c r="AW84" s="229">
        <v>69.599999999999994</v>
      </c>
      <c r="AX84" s="229">
        <v>17.399999999999999</v>
      </c>
      <c r="AY84" s="229">
        <v>18.599999999999998</v>
      </c>
      <c r="AZ84" s="229">
        <v>5.7</v>
      </c>
      <c r="BA84" s="526">
        <v>6</v>
      </c>
      <c r="BB84" s="229">
        <v>414</v>
      </c>
      <c r="BC84" s="229">
        <v>540</v>
      </c>
      <c r="BD84" s="229">
        <v>270</v>
      </c>
      <c r="BE84" s="229">
        <v>51</v>
      </c>
      <c r="BF84" s="229">
        <v>240</v>
      </c>
      <c r="BG84" s="229">
        <v>3</v>
      </c>
      <c r="BH84" s="229">
        <v>2.1</v>
      </c>
      <c r="BI84" s="526">
        <v>0.375</v>
      </c>
      <c r="BJ84" s="229">
        <v>240</v>
      </c>
      <c r="BK84" s="229">
        <v>0.3</v>
      </c>
      <c r="BL84" s="229">
        <v>0.33</v>
      </c>
      <c r="BM84" s="229">
        <v>3.5999999999999996</v>
      </c>
      <c r="BN84" s="229">
        <v>0.21</v>
      </c>
      <c r="BO84" s="229">
        <v>90</v>
      </c>
      <c r="BP84" s="229">
        <v>0.54</v>
      </c>
      <c r="BQ84" s="229">
        <v>24</v>
      </c>
      <c r="BR84" s="526">
        <v>1.5</v>
      </c>
    </row>
    <row r="85" spans="1:70" s="229" customFormat="1">
      <c r="A85" s="590"/>
      <c r="B85" s="522"/>
      <c r="C85" s="522"/>
      <c r="D85" s="141"/>
      <c r="E85" s="594"/>
      <c r="F85" s="708"/>
      <c r="G85" s="522"/>
      <c r="H85" s="522"/>
      <c r="I85" s="141"/>
      <c r="J85" s="141"/>
      <c r="K85" s="141"/>
      <c r="L85" s="604"/>
      <c r="M85" s="605"/>
      <c r="N85" s="605"/>
      <c r="O85" s="605"/>
      <c r="P85" s="606" t="s">
        <v>407</v>
      </c>
      <c r="V85" s="526"/>
      <c r="W85" s="514">
        <f t="shared" ref="W85:AS85" si="174">100*W83/W84</f>
        <v>147.36180114225397</v>
      </c>
      <c r="X85" s="505">
        <f t="shared" si="174"/>
        <v>115.83326529560053</v>
      </c>
      <c r="Y85" s="514">
        <f t="shared" si="174"/>
        <v>140.14601188541923</v>
      </c>
      <c r="Z85" s="514">
        <f t="shared" si="174"/>
        <v>221.0808909538618</v>
      </c>
      <c r="AA85" s="514">
        <f t="shared" si="174"/>
        <v>227.73908333144834</v>
      </c>
      <c r="AB85" s="506">
        <f t="shared" si="174"/>
        <v>185.65939109775783</v>
      </c>
      <c r="AC85" s="514">
        <f t="shared" si="174"/>
        <v>195.50337601207167</v>
      </c>
      <c r="AD85" s="514">
        <f t="shared" si="174"/>
        <v>260.26962962962966</v>
      </c>
      <c r="AE85" s="514">
        <f t="shared" si="174"/>
        <v>79.700740740740727</v>
      </c>
      <c r="AF85" s="514">
        <f t="shared" si="174"/>
        <v>200.72539878422234</v>
      </c>
      <c r="AG85" s="514">
        <f t="shared" si="174"/>
        <v>145.5366666666666</v>
      </c>
      <c r="AH85" s="514">
        <f t="shared" si="174"/>
        <v>134.97028930550391</v>
      </c>
      <c r="AI85" s="514">
        <f t="shared" si="174"/>
        <v>229.51440704611181</v>
      </c>
      <c r="AJ85" s="506">
        <f t="shared" si="174"/>
        <v>185.18007973976353</v>
      </c>
      <c r="AK85" s="514">
        <f t="shared" si="174"/>
        <v>283.45833333333331</v>
      </c>
      <c r="AL85" s="514">
        <f t="shared" si="174"/>
        <v>234.7989269931108</v>
      </c>
      <c r="AM85" s="514">
        <f t="shared" si="174"/>
        <v>146.89900818647919</v>
      </c>
      <c r="AN85" s="514">
        <f t="shared" si="174"/>
        <v>204.22945374815089</v>
      </c>
      <c r="AO85" s="514">
        <f t="shared" si="174"/>
        <v>753.75453623094347</v>
      </c>
      <c r="AP85" s="514">
        <f t="shared" si="174"/>
        <v>189.64454804454803</v>
      </c>
      <c r="AQ85" s="514">
        <f t="shared" si="174"/>
        <v>179.39776444171125</v>
      </c>
      <c r="AR85" s="514">
        <f t="shared" si="174"/>
        <v>290.34166666666664</v>
      </c>
      <c r="AS85" s="506">
        <f t="shared" si="174"/>
        <v>144.3213513714949</v>
      </c>
      <c r="AV85" s="514">
        <f t="shared" ref="AV85:BR85" si="175">100*AV83/AV84</f>
        <v>108.5742219545501</v>
      </c>
      <c r="AW85" s="514">
        <f t="shared" si="175"/>
        <v>81.619528289553784</v>
      </c>
      <c r="AX85" s="514">
        <f t="shared" si="175"/>
        <v>103.02102550652538</v>
      </c>
      <c r="AY85" s="514">
        <f t="shared" si="175"/>
        <v>170.37889756771139</v>
      </c>
      <c r="AZ85" s="514">
        <f t="shared" si="175"/>
        <v>164.10095093227778</v>
      </c>
      <c r="BA85" s="506">
        <f t="shared" si="175"/>
        <v>145.447942974814</v>
      </c>
      <c r="BB85" s="514">
        <f t="shared" si="175"/>
        <v>139.51887121939049</v>
      </c>
      <c r="BC85" s="514">
        <f t="shared" si="175"/>
        <v>191.66951185340264</v>
      </c>
      <c r="BD85" s="514">
        <f t="shared" si="175"/>
        <v>58.611254406580493</v>
      </c>
      <c r="BE85" s="514">
        <f t="shared" si="175"/>
        <v>146.06956833757158</v>
      </c>
      <c r="BF85" s="514">
        <f t="shared" si="175"/>
        <v>110.77653921084607</v>
      </c>
      <c r="BG85" s="514">
        <f t="shared" si="175"/>
        <v>97.984593841315075</v>
      </c>
      <c r="BH85" s="514">
        <f t="shared" si="175"/>
        <v>158.92355619211384</v>
      </c>
      <c r="BI85" s="506">
        <f t="shared" si="175"/>
        <v>131.07857145088676</v>
      </c>
      <c r="BJ85" s="514">
        <f t="shared" si="175"/>
        <v>224.01863018256336</v>
      </c>
      <c r="BK85" s="514">
        <f t="shared" si="175"/>
        <v>168.08571186357693</v>
      </c>
      <c r="BL85" s="514">
        <f t="shared" si="175"/>
        <v>112.24812186953922</v>
      </c>
      <c r="BM85" s="514">
        <f t="shared" si="175"/>
        <v>145.15870839175622</v>
      </c>
      <c r="BN85" s="514">
        <f t="shared" si="175"/>
        <v>596.1154145631715</v>
      </c>
      <c r="BO85" s="514">
        <f t="shared" si="175"/>
        <v>137.81663402945588</v>
      </c>
      <c r="BP85" s="514">
        <f t="shared" si="175"/>
        <v>145.99650847803386</v>
      </c>
      <c r="BQ85" s="514">
        <f t="shared" si="175"/>
        <v>212.12459771251841</v>
      </c>
      <c r="BR85" s="506">
        <f t="shared" si="175"/>
        <v>120.74161842345124</v>
      </c>
    </row>
    <row r="86" spans="1:70" s="229" customFormat="1">
      <c r="A86" s="590"/>
      <c r="B86" s="522"/>
      <c r="C86" s="522"/>
      <c r="D86" s="141"/>
      <c r="E86" s="594"/>
      <c r="F86" s="708"/>
      <c r="G86" s="522"/>
      <c r="H86" s="522"/>
      <c r="I86" s="141"/>
      <c r="J86" s="141"/>
      <c r="K86" s="141"/>
      <c r="L86" s="604"/>
      <c r="M86" s="605"/>
      <c r="N86" s="605"/>
      <c r="O86" s="605"/>
      <c r="P86" s="606" t="s">
        <v>548</v>
      </c>
      <c r="V86" s="526"/>
      <c r="W86" s="583">
        <f>AV83</f>
        <v>604.21554517707136</v>
      </c>
      <c r="X86" s="583">
        <f t="shared" ref="X86:AD86" si="176">AW83</f>
        <v>56.807191689529425</v>
      </c>
      <c r="Y86" s="583">
        <f t="shared" si="176"/>
        <v>17.925658438135414</v>
      </c>
      <c r="Z86" s="583">
        <f t="shared" si="176"/>
        <v>31.690474947594314</v>
      </c>
      <c r="AA86" s="583">
        <f t="shared" si="176"/>
        <v>9.3537542031398342</v>
      </c>
      <c r="AB86" s="549">
        <f t="shared" si="176"/>
        <v>8.7268765784888398</v>
      </c>
      <c r="AC86" s="583">
        <f t="shared" si="176"/>
        <v>577.60812684827658</v>
      </c>
      <c r="AD86" s="583">
        <f t="shared" si="176"/>
        <v>1035.0153640083743</v>
      </c>
      <c r="AE86" s="583">
        <f>BD83</f>
        <v>158.25038689776733</v>
      </c>
      <c r="AF86" s="583">
        <f t="shared" ref="AF86:AM86" si="177">BE83</f>
        <v>74.495479852161509</v>
      </c>
      <c r="AG86" s="583">
        <f t="shared" si="177"/>
        <v>265.86369410603055</v>
      </c>
      <c r="AH86" s="583">
        <f t="shared" si="177"/>
        <v>2.939537815239452</v>
      </c>
      <c r="AI86" s="583">
        <f t="shared" si="177"/>
        <v>3.3373946800343908</v>
      </c>
      <c r="AJ86" s="549">
        <f t="shared" si="177"/>
        <v>0.49154464294082539</v>
      </c>
      <c r="AK86" s="583">
        <f t="shared" si="177"/>
        <v>537.64471243815206</v>
      </c>
      <c r="AL86" s="583">
        <f t="shared" si="177"/>
        <v>0.50425713559073082</v>
      </c>
      <c r="AM86" s="583">
        <f t="shared" si="177"/>
        <v>0.37041880216947948</v>
      </c>
      <c r="AN86" s="583">
        <f>BM83</f>
        <v>5.2257135021032228</v>
      </c>
      <c r="AO86" s="583">
        <f t="shared" ref="AO86:AR86" si="178">BN83</f>
        <v>1.25184237058266</v>
      </c>
      <c r="AP86" s="583">
        <f t="shared" si="178"/>
        <v>124.0349706265103</v>
      </c>
      <c r="AQ86" s="583">
        <f t="shared" si="178"/>
        <v>0.78838114578138285</v>
      </c>
      <c r="AR86" s="583">
        <f t="shared" si="178"/>
        <v>50.909903451004418</v>
      </c>
      <c r="AS86" s="549">
        <f>BR83</f>
        <v>1.8111242763517685</v>
      </c>
    </row>
    <row r="87" spans="1:70" s="229" customFormat="1">
      <c r="A87" s="590"/>
      <c r="B87" s="522"/>
      <c r="C87" s="522"/>
      <c r="D87" s="141"/>
      <c r="E87" s="594"/>
      <c r="F87" s="708"/>
      <c r="G87" s="522"/>
      <c r="H87" s="522"/>
      <c r="I87" s="141"/>
      <c r="J87" s="141"/>
      <c r="K87" s="141"/>
      <c r="L87" s="604"/>
      <c r="M87" s="605"/>
      <c r="N87" s="605"/>
      <c r="O87" s="605"/>
      <c r="P87" s="606" t="s">
        <v>543</v>
      </c>
      <c r="V87" s="526"/>
      <c r="W87" s="514">
        <f t="shared" ref="W87:AS87" si="179">AV85</f>
        <v>108.5742219545501</v>
      </c>
      <c r="X87" s="514">
        <f t="shared" si="179"/>
        <v>81.619528289553784</v>
      </c>
      <c r="Y87" s="514">
        <f t="shared" si="179"/>
        <v>103.02102550652538</v>
      </c>
      <c r="Z87" s="514">
        <f t="shared" si="179"/>
        <v>170.37889756771139</v>
      </c>
      <c r="AA87" s="514">
        <f t="shared" si="179"/>
        <v>164.10095093227778</v>
      </c>
      <c r="AB87" s="506">
        <f t="shared" si="179"/>
        <v>145.447942974814</v>
      </c>
      <c r="AC87" s="514">
        <f t="shared" si="179"/>
        <v>139.51887121939049</v>
      </c>
      <c r="AD87" s="514">
        <f t="shared" si="179"/>
        <v>191.66951185340264</v>
      </c>
      <c r="AE87" s="514">
        <f t="shared" si="179"/>
        <v>58.611254406580493</v>
      </c>
      <c r="AF87" s="514">
        <f t="shared" si="179"/>
        <v>146.06956833757158</v>
      </c>
      <c r="AG87" s="514">
        <f t="shared" si="179"/>
        <v>110.77653921084607</v>
      </c>
      <c r="AH87" s="514">
        <f t="shared" si="179"/>
        <v>97.984593841315075</v>
      </c>
      <c r="AI87" s="514">
        <f t="shared" si="179"/>
        <v>158.92355619211384</v>
      </c>
      <c r="AJ87" s="506">
        <f t="shared" si="179"/>
        <v>131.07857145088676</v>
      </c>
      <c r="AK87" s="514">
        <f t="shared" si="179"/>
        <v>224.01863018256336</v>
      </c>
      <c r="AL87" s="514">
        <f t="shared" si="179"/>
        <v>168.08571186357693</v>
      </c>
      <c r="AM87" s="514">
        <f t="shared" si="179"/>
        <v>112.24812186953922</v>
      </c>
      <c r="AN87" s="514">
        <f t="shared" si="179"/>
        <v>145.15870839175622</v>
      </c>
      <c r="AO87" s="514">
        <f t="shared" si="179"/>
        <v>596.1154145631715</v>
      </c>
      <c r="AP87" s="514">
        <f t="shared" si="179"/>
        <v>137.81663402945588</v>
      </c>
      <c r="AQ87" s="514">
        <f t="shared" si="179"/>
        <v>145.99650847803386</v>
      </c>
      <c r="AR87" s="514">
        <f t="shared" si="179"/>
        <v>212.12459771251841</v>
      </c>
      <c r="AS87" s="506">
        <f t="shared" si="179"/>
        <v>120.74161842345124</v>
      </c>
      <c r="AV87" s="514"/>
      <c r="AW87" s="514"/>
      <c r="AX87" s="514"/>
      <c r="AY87" s="514"/>
      <c r="AZ87" s="514"/>
      <c r="BA87" s="505"/>
      <c r="BB87" s="514"/>
      <c r="BC87" s="514"/>
      <c r="BD87" s="514"/>
      <c r="BE87" s="514"/>
      <c r="BF87" s="514"/>
      <c r="BG87" s="514"/>
      <c r="BH87" s="514"/>
      <c r="BI87" s="505"/>
      <c r="BJ87" s="514"/>
      <c r="BK87" s="514"/>
      <c r="BL87" s="514"/>
      <c r="BM87" s="514"/>
      <c r="BN87" s="514"/>
      <c r="BO87" s="514"/>
      <c r="BP87" s="514"/>
      <c r="BQ87" s="514"/>
      <c r="BR87" s="505"/>
    </row>
    <row r="88" spans="1:70" s="229" customFormat="1" ht="16" thickBot="1">
      <c r="A88" s="590"/>
      <c r="B88" s="607"/>
      <c r="C88" s="607"/>
      <c r="D88" s="683"/>
      <c r="E88" s="608"/>
      <c r="F88" s="709"/>
      <c r="G88" s="609" t="s">
        <v>795</v>
      </c>
      <c r="H88" s="610"/>
      <c r="I88" s="93"/>
      <c r="J88" s="93"/>
      <c r="K88" s="607"/>
      <c r="L88" s="611"/>
      <c r="M88" s="611"/>
      <c r="N88" s="611"/>
      <c r="O88" s="605"/>
      <c r="P88" s="607"/>
      <c r="Q88" s="607"/>
      <c r="R88" s="607"/>
      <c r="S88" s="607"/>
      <c r="T88" s="607"/>
      <c r="U88" s="612"/>
      <c r="V88" s="613"/>
      <c r="W88" s="607"/>
      <c r="X88" s="607"/>
      <c r="Y88" s="607"/>
      <c r="Z88" s="607"/>
      <c r="AA88" s="614">
        <f>COUNTIF(AA89:AA100,"&lt;0")</f>
        <v>0</v>
      </c>
      <c r="AB88" s="614">
        <f t="shared" ref="AB88" si="180">COUNTIF(AB89:AB100,"&lt;0")</f>
        <v>0</v>
      </c>
      <c r="AC88" s="614">
        <f t="shared" ref="AC88" si="181">COUNTIF(AC89:AC100,"&lt;0")</f>
        <v>0</v>
      </c>
      <c r="AD88" s="614">
        <f t="shared" ref="AD88" si="182">COUNTIF(AD89:AD100,"&lt;0")</f>
        <v>0</v>
      </c>
      <c r="AE88" s="614">
        <f t="shared" ref="AE88" si="183">COUNTIF(AE89:AE100,"&lt;0")</f>
        <v>0</v>
      </c>
      <c r="AF88" s="614">
        <f t="shared" ref="AF88" si="184">COUNTIF(AF89:AF100,"&lt;0")</f>
        <v>0</v>
      </c>
      <c r="AG88" s="614">
        <f t="shared" ref="AG88" si="185">COUNTIF(AG89:AG100,"&lt;0")</f>
        <v>0</v>
      </c>
      <c r="AH88" s="614">
        <f t="shared" ref="AH88" si="186">COUNTIF(AH89:AH100,"&lt;0")</f>
        <v>0</v>
      </c>
      <c r="AI88" s="614">
        <f t="shared" ref="AI88" si="187">COUNTIF(AI89:AI100,"&lt;0")</f>
        <v>0</v>
      </c>
      <c r="AJ88" s="614">
        <f t="shared" ref="AJ88" si="188">COUNTIF(AJ89:AJ100,"&lt;0")</f>
        <v>0</v>
      </c>
      <c r="AK88" s="614">
        <f t="shared" ref="AK88" si="189">COUNTIF(AK89:AK100,"&lt;0")</f>
        <v>0</v>
      </c>
      <c r="AL88" s="614">
        <f t="shared" ref="AL88" si="190">COUNTIF(AL89:AL100,"&lt;0")</f>
        <v>0</v>
      </c>
      <c r="AM88" s="614">
        <f t="shared" ref="AM88" si="191">COUNTIF(AM89:AM100,"&lt;0")</f>
        <v>0</v>
      </c>
      <c r="AN88" s="614">
        <f t="shared" ref="AN88" si="192">COUNTIF(AN89:AN100,"&lt;0")</f>
        <v>0</v>
      </c>
      <c r="AO88" s="614">
        <f>COUNTIF(AO89:AO100,"&lt;0")</f>
        <v>0</v>
      </c>
      <c r="AP88" s="614">
        <f t="shared" ref="AP88" si="193">COUNTIF(AP89:AP100,"&lt;0")</f>
        <v>0</v>
      </c>
      <c r="AQ88" s="614">
        <f t="shared" ref="AQ88" si="194">COUNTIF(AQ89:AQ100,"&lt;0")</f>
        <v>0</v>
      </c>
      <c r="AR88" s="614">
        <f t="shared" ref="AR88" si="195">COUNTIF(AR89:AR100,"&lt;0")</f>
        <v>0</v>
      </c>
      <c r="AS88" s="614">
        <f t="shared" ref="AS88" si="196">COUNTIF(AS89:AS100,"&lt;0")</f>
        <v>0</v>
      </c>
      <c r="AT88" s="607"/>
      <c r="AU88" s="607"/>
    </row>
    <row r="89" spans="1:70" s="229" customFormat="1" ht="15" customHeight="1" thickBot="1">
      <c r="A89" s="590"/>
      <c r="B89" s="575" t="s">
        <v>3064</v>
      </c>
      <c r="C89" s="229" t="s">
        <v>1364</v>
      </c>
      <c r="D89" s="85"/>
      <c r="E89" s="577">
        <v>0</v>
      </c>
      <c r="F89" s="1131"/>
      <c r="G89" s="406" t="s">
        <v>3054</v>
      </c>
      <c r="H89" s="1262" t="s">
        <v>3055</v>
      </c>
      <c r="I89" s="85">
        <v>0</v>
      </c>
      <c r="J89" s="682">
        <v>1</v>
      </c>
      <c r="K89" s="579" t="str">
        <f t="shared" ref="K89:K100" si="197">IF(I89&gt;0,1.1*Q89*E89/1000,"")</f>
        <v/>
      </c>
      <c r="L89" s="580" t="str">
        <f>IF(H89="Select ingredient:","",IF(G89="","",_xlfn.IFNA(VLOOKUP($H89,Ingredient_prices!$E:$U,16,FALSE),0)))</f>
        <v/>
      </c>
      <c r="M89" s="591"/>
      <c r="N89" s="1228">
        <f>$W102</f>
        <v>0</v>
      </c>
      <c r="O89" s="591"/>
      <c r="P89" s="615"/>
      <c r="Q89" s="583">
        <f t="shared" ref="Q89:Q100" si="198">I89/J89</f>
        <v>0</v>
      </c>
      <c r="R89" s="583">
        <f>VLOOKUP($H89,'CO2_emission+%_food_waste'!$A:$K,6,FALSE)*$Q89/100</f>
        <v>0</v>
      </c>
      <c r="S89" s="583">
        <f t="shared" ref="S89:S100" si="199">Q89-R89</f>
        <v>0</v>
      </c>
      <c r="T89" s="583" t="str">
        <f>IF(H89="Select ingredient:","",IF(G89="Select food category:","",_xlfn.IFNA(VLOOKUP($H89,Ingredient_prices!$E:$U,16,FALSE)*$Q89/1000,"not bought")))</f>
        <v/>
      </c>
      <c r="U89" s="583" t="str">
        <f>IF(G89="Select food category:","",_xlfn.IFNA(VLOOKUP($H89,Ingredient_prices!$E:$U,16,FALSE)*$R89/1000,"not bought"))</f>
        <v/>
      </c>
      <c r="V89" s="549">
        <f>VLOOKUP($H89,'CO2_emission+%_food_waste'!$A:$K,4,FALSE)*$Q89</f>
        <v>0</v>
      </c>
      <c r="W89" s="583">
        <f>VLOOKUP($H89,Nutrition_tables!$A:$N,10,FALSE)*$Q89/100</f>
        <v>0</v>
      </c>
      <c r="X89" s="583">
        <f>VLOOKUP($H89,Nutrition_tables!$A:$N,11,FALSE)*$Q89/100</f>
        <v>0</v>
      </c>
      <c r="Y89" s="583">
        <f>VLOOKUP($H89,Nutrition_tables!$A:$N,12,FALSE)*$Q89/100</f>
        <v>0</v>
      </c>
      <c r="Z89" s="583">
        <f>VLOOKUP($H89,Nutrition_tables!$A:$N,14,FALSE)*$Q89/100</f>
        <v>0</v>
      </c>
      <c r="AA89" s="583">
        <f>VLOOKUP($H89,Nutrition_tables!$A:$AF,13,FALSE)*$Q89/100</f>
        <v>0</v>
      </c>
      <c r="AB89" s="549">
        <f>VLOOKUP($H89,Nutrition_tables!$A:$AF,15,FALSE)*$Q89/100</f>
        <v>0</v>
      </c>
      <c r="AC89" s="583">
        <f>VLOOKUP($H89,Nutrition_tables!$A:$AF,16,FALSE)*$Q89/100</f>
        <v>0</v>
      </c>
      <c r="AD89" s="583">
        <f>VLOOKUP($H89,Nutrition_tables!$A:$AF,17,FALSE)*$Q89/100</f>
        <v>0</v>
      </c>
      <c r="AE89" s="583">
        <f>VLOOKUP($H89,Nutrition_tables!$A:$AF,18,FALSE)*$Q89/100</f>
        <v>0</v>
      </c>
      <c r="AF89" s="583">
        <f>VLOOKUP($H89,Nutrition_tables!$A:$AF,19,FALSE)*$Q89/100</f>
        <v>0</v>
      </c>
      <c r="AG89" s="583">
        <f>VLOOKUP($H89,Nutrition_tables!$A:$AF,20,FALSE)*$Q89/100</f>
        <v>0</v>
      </c>
      <c r="AH89" s="583">
        <f>VLOOKUP($H89,Nutrition_tables!$A:$AF,21,FALSE)*$Q89/100</f>
        <v>0</v>
      </c>
      <c r="AI89" s="583">
        <f>VLOOKUP($H89,Nutrition_tables!$A:$AF,22,FALSE)*$Q89/100</f>
        <v>0</v>
      </c>
      <c r="AJ89" s="549">
        <f>VLOOKUP($H89,Nutrition_tables!$A:$AF,23,FALSE)*$Q89/100</f>
        <v>0</v>
      </c>
      <c r="AK89" s="583">
        <f>VLOOKUP($H89,Nutrition_tables!$A:$AF,24,FALSE)*$Q89/100</f>
        <v>0</v>
      </c>
      <c r="AL89" s="583">
        <f>VLOOKUP($H89,Nutrition_tables!$A:$AF,25,FALSE)*$Q89/100</f>
        <v>0</v>
      </c>
      <c r="AM89" s="583">
        <f>VLOOKUP($H89,Nutrition_tables!$A:$AF,26,FALSE)*$Q89/100</f>
        <v>0</v>
      </c>
      <c r="AN89" s="583">
        <f>VLOOKUP($H89,Nutrition_tables!$A:$AF,27,FALSE)*$Q89/100</f>
        <v>0</v>
      </c>
      <c r="AO89" s="583">
        <f>VLOOKUP($H89,Nutrition_tables!$A:$AF,28,FALSE)*$Q89/100</f>
        <v>0</v>
      </c>
      <c r="AP89" s="583">
        <f>VLOOKUP($H89,Nutrition_tables!$A:$AF,29,FALSE)*$Q89/100</f>
        <v>0</v>
      </c>
      <c r="AQ89" s="583">
        <f>VLOOKUP($H89,Nutrition_tables!$A:$AF,30,FALSE)*$Q89/100</f>
        <v>0</v>
      </c>
      <c r="AR89" s="583">
        <f>VLOOKUP($H89,Nutrition_tables!$A:$AF,31,FALSE)*$Q89/100</f>
        <v>0</v>
      </c>
      <c r="AS89" s="549">
        <f>VLOOKUP($H89,Nutrition_tables!$A:$AF,32,FALSE)*$Q89/100</f>
        <v>0</v>
      </c>
      <c r="AT89" s="583" t="str">
        <f>IF(H89="Select ingredient:","",IF(G89="Select food category:","",IFERROR(VLOOKUP($H89,Ingredient_prices!$E:$W,17,FALSE)*$Q89/1000,"not bought")))</f>
        <v/>
      </c>
      <c r="AU89" s="583" t="str">
        <f>IF(H89="Select ingredient:","",IF(G89="Select food category:","",IFERROR(VLOOKUP($H89,Ingredient_prices!$E:$W,18,FALSE)*$Q89/1000,"not bought")))</f>
        <v/>
      </c>
      <c r="AV89" s="583">
        <f t="shared" ref="AV89:AV100" si="200">W89*($Q89-$R89)/($Q89+0.00001)</f>
        <v>0</v>
      </c>
      <c r="AW89" s="583">
        <f t="shared" ref="AW89:AW100" si="201">X89*($Q89-$R89)/($Q89+0.00001)</f>
        <v>0</v>
      </c>
      <c r="AX89" s="583">
        <f t="shared" ref="AX89:AX100" si="202">Y89*($Q89-$R89)/($Q89+0.00001)</f>
        <v>0</v>
      </c>
      <c r="AY89" s="583">
        <f t="shared" ref="AY89:AY100" si="203">Z89*($Q89-$R89)/($Q89+0.00001)</f>
        <v>0</v>
      </c>
      <c r="AZ89" s="583">
        <f t="shared" ref="AZ89:AZ100" si="204">AA89*($Q89-$R89)/($Q89+0.00001)</f>
        <v>0</v>
      </c>
      <c r="BA89" s="583">
        <f t="shared" ref="BA89:BA100" si="205">AB89*($Q89-$R89)/($Q89+0.00001)</f>
        <v>0</v>
      </c>
      <c r="BB89" s="583">
        <f t="shared" ref="BB89:BB100" si="206">AC89*($Q89-$R89)/($Q89+0.00001)</f>
        <v>0</v>
      </c>
      <c r="BC89" s="583">
        <f t="shared" ref="BC89:BC100" si="207">AD89*($Q89-$R89)/($Q89+0.00001)</f>
        <v>0</v>
      </c>
      <c r="BD89" s="583">
        <f t="shared" ref="BD89:BD100" si="208">AE89*($Q89-$R89)/($Q89+0.00001)</f>
        <v>0</v>
      </c>
      <c r="BE89" s="583">
        <f t="shared" ref="BE89:BE100" si="209">AF89*($Q89-$R89)/($Q89+0.00001)</f>
        <v>0</v>
      </c>
      <c r="BF89" s="583">
        <f t="shared" ref="BF89:BF100" si="210">AG89*($Q89-$R89)/($Q89+0.00001)</f>
        <v>0</v>
      </c>
      <c r="BG89" s="583">
        <f t="shared" ref="BG89:BG100" si="211">AH89*($Q89-$R89)/($Q89+0.00001)</f>
        <v>0</v>
      </c>
      <c r="BH89" s="583">
        <f t="shared" ref="BH89:BH100" si="212">AI89*($Q89-$R89)/($Q89+0.00001)</f>
        <v>0</v>
      </c>
      <c r="BI89" s="583">
        <f t="shared" ref="BI89:BI100" si="213">AJ89*($Q89-$R89)/($Q89+0.00001)</f>
        <v>0</v>
      </c>
      <c r="BJ89" s="583">
        <f t="shared" ref="BJ89:BJ100" si="214">AK89*($Q89-$R89)/($Q89+0.00001)</f>
        <v>0</v>
      </c>
      <c r="BK89" s="583">
        <f t="shared" ref="BK89:BK100" si="215">AL89*($Q89-$R89)/($Q89+0.00001)</f>
        <v>0</v>
      </c>
      <c r="BL89" s="583">
        <f t="shared" ref="BL89:BL100" si="216">AM89*($Q89-$R89)/($Q89+0.00001)</f>
        <v>0</v>
      </c>
      <c r="BM89" s="583">
        <f t="shared" ref="BM89:BM100" si="217">AN89*($Q89-$R89)/($Q89+0.00001)</f>
        <v>0</v>
      </c>
      <c r="BN89" s="583">
        <f t="shared" ref="BN89:BN100" si="218">AO89*($Q89-$R89)/($Q89+0.00001)</f>
        <v>0</v>
      </c>
      <c r="BO89" s="583">
        <f t="shared" ref="BO89:BO100" si="219">AP89*($Q89-$R89)/($Q89+0.00001)</f>
        <v>0</v>
      </c>
      <c r="BP89" s="583">
        <f t="shared" ref="BP89:BP100" si="220">AQ89*($Q89-$R89)/($Q89+0.00001)</f>
        <v>0</v>
      </c>
      <c r="BQ89" s="583">
        <f t="shared" ref="BQ89:BQ100" si="221">AR89*($Q89-$R89)/($Q89+0.00001)</f>
        <v>0</v>
      </c>
      <c r="BR89" s="583">
        <f t="shared" ref="BR89:BR100" si="222">AS89*($Q89-$R89)/($Q89+0.00001)</f>
        <v>0</v>
      </c>
    </row>
    <row r="90" spans="1:70" s="229" customFormat="1" ht="15" customHeight="1">
      <c r="A90" s="590"/>
      <c r="D90" s="85"/>
      <c r="E90" s="576" t="str">
        <f>IF(E$89&gt;0,E$89,"")</f>
        <v/>
      </c>
      <c r="F90" s="707"/>
      <c r="G90" s="406" t="s">
        <v>3054</v>
      </c>
      <c r="H90" s="1262" t="s">
        <v>3055</v>
      </c>
      <c r="I90" s="85">
        <v>0</v>
      </c>
      <c r="J90" s="682">
        <v>1</v>
      </c>
      <c r="K90" s="579" t="str">
        <f t="shared" si="197"/>
        <v/>
      </c>
      <c r="L90" s="580" t="str">
        <f>IF(H90="Select ingredient:","",IF(G90="","",_xlfn.IFNA(VLOOKUP($H90,Ingredient_prices!$E:$U,16,FALSE),0)))</f>
        <v/>
      </c>
      <c r="M90" s="591"/>
      <c r="N90" s="591"/>
      <c r="O90" s="591"/>
      <c r="P90" s="615"/>
      <c r="Q90" s="583">
        <f t="shared" si="198"/>
        <v>0</v>
      </c>
      <c r="R90" s="583">
        <f>VLOOKUP($H90,'CO2_emission+%_food_waste'!$A:$K,6,FALSE)*$Q90/100</f>
        <v>0</v>
      </c>
      <c r="S90" s="583">
        <f t="shared" si="199"/>
        <v>0</v>
      </c>
      <c r="T90" s="583" t="str">
        <f>IF(H90="Select ingredient:","",IF(G90="Select food category:","",_xlfn.IFNA(VLOOKUP($H90,Ingredient_prices!$E:$U,16,FALSE)*$Q90/1000,"not bought")))</f>
        <v/>
      </c>
      <c r="U90" s="583" t="str">
        <f>IF(G90="Select food category:","",_xlfn.IFNA(VLOOKUP($H90,Ingredient_prices!$E:$U,16,FALSE)*$R90/1000,"not bought"))</f>
        <v/>
      </c>
      <c r="V90" s="549">
        <f>VLOOKUP($H90,'CO2_emission+%_food_waste'!$A:$K,4,FALSE)*$Q90</f>
        <v>0</v>
      </c>
      <c r="W90" s="583">
        <f>VLOOKUP($H90,Nutrition_tables!$A:$N,10,FALSE)*$Q90/100</f>
        <v>0</v>
      </c>
      <c r="X90" s="583">
        <f>VLOOKUP($H90,Nutrition_tables!$A:$N,11,FALSE)*$Q90/100</f>
        <v>0</v>
      </c>
      <c r="Y90" s="583">
        <f>VLOOKUP($H90,Nutrition_tables!$A:$N,12,FALSE)*$Q90/100</f>
        <v>0</v>
      </c>
      <c r="Z90" s="583">
        <f>VLOOKUP($H90,Nutrition_tables!$A:$N,14,FALSE)*$Q90/100</f>
        <v>0</v>
      </c>
      <c r="AA90" s="583">
        <f>VLOOKUP($H90,Nutrition_tables!$A:$AF,13,FALSE)*$Q90/100</f>
        <v>0</v>
      </c>
      <c r="AB90" s="549">
        <f>VLOOKUP($H90,Nutrition_tables!$A:$AF,15,FALSE)*$Q90/100</f>
        <v>0</v>
      </c>
      <c r="AC90" s="583">
        <f>VLOOKUP($H90,Nutrition_tables!$A:$AF,16,FALSE)*$Q90/100</f>
        <v>0</v>
      </c>
      <c r="AD90" s="583">
        <f>VLOOKUP($H90,Nutrition_tables!$A:$AF,17,FALSE)*$Q90/100</f>
        <v>0</v>
      </c>
      <c r="AE90" s="583">
        <f>VLOOKUP($H90,Nutrition_tables!$A:$AF,18,FALSE)*$Q90/100</f>
        <v>0</v>
      </c>
      <c r="AF90" s="583">
        <f>VLOOKUP($H90,Nutrition_tables!$A:$AF,19,FALSE)*$Q90/100</f>
        <v>0</v>
      </c>
      <c r="AG90" s="583">
        <f>VLOOKUP($H90,Nutrition_tables!$A:$AF,20,FALSE)*$Q90/100</f>
        <v>0</v>
      </c>
      <c r="AH90" s="583">
        <f>VLOOKUP($H90,Nutrition_tables!$A:$AF,21,FALSE)*$Q90/100</f>
        <v>0</v>
      </c>
      <c r="AI90" s="583">
        <f>VLOOKUP($H90,Nutrition_tables!$A:$AF,22,FALSE)*$Q90/100</f>
        <v>0</v>
      </c>
      <c r="AJ90" s="549">
        <f>VLOOKUP($H90,Nutrition_tables!$A:$AF,23,FALSE)*$Q90/100</f>
        <v>0</v>
      </c>
      <c r="AK90" s="583">
        <f>VLOOKUP($H90,Nutrition_tables!$A:$AF,24,FALSE)*$Q90/100</f>
        <v>0</v>
      </c>
      <c r="AL90" s="583">
        <f>VLOOKUP($H90,Nutrition_tables!$A:$AF,25,FALSE)*$Q90/100</f>
        <v>0</v>
      </c>
      <c r="AM90" s="583">
        <f>VLOOKUP($H90,Nutrition_tables!$A:$AF,26,FALSE)*$Q90/100</f>
        <v>0</v>
      </c>
      <c r="AN90" s="583">
        <f>VLOOKUP($H90,Nutrition_tables!$A:$AF,27,FALSE)*$Q90/100</f>
        <v>0</v>
      </c>
      <c r="AO90" s="583">
        <f>VLOOKUP($H90,Nutrition_tables!$A:$AF,28,FALSE)*$Q90/100</f>
        <v>0</v>
      </c>
      <c r="AP90" s="583">
        <f>VLOOKUP($H90,Nutrition_tables!$A:$AF,29,FALSE)*$Q90/100</f>
        <v>0</v>
      </c>
      <c r="AQ90" s="583">
        <f>VLOOKUP($H90,Nutrition_tables!$A:$AF,30,FALSE)*$Q90/100</f>
        <v>0</v>
      </c>
      <c r="AR90" s="583">
        <f>VLOOKUP($H90,Nutrition_tables!$A:$AF,31,FALSE)*$Q90/100</f>
        <v>0</v>
      </c>
      <c r="AS90" s="549">
        <f>VLOOKUP($H90,Nutrition_tables!$A:$AF,32,FALSE)*$Q90/100</f>
        <v>0</v>
      </c>
      <c r="AT90" s="583" t="str">
        <f>IF(H90="Select ingredient:","",IF(G90="Select food category:","",IFERROR(VLOOKUP($H90,Ingredient_prices!$E:$W,17,FALSE)*$Q90/1000,"not bought")))</f>
        <v/>
      </c>
      <c r="AU90" s="583" t="str">
        <f>IF(H90="Select ingredient:","",IF(G90="Select food category:","",IFERROR(VLOOKUP($H90,Ingredient_prices!$E:$W,18,FALSE)*$Q90/1000,"not bought")))</f>
        <v/>
      </c>
      <c r="AV90" s="583">
        <f t="shared" si="200"/>
        <v>0</v>
      </c>
      <c r="AW90" s="583">
        <f t="shared" si="201"/>
        <v>0</v>
      </c>
      <c r="AX90" s="583">
        <f t="shared" si="202"/>
        <v>0</v>
      </c>
      <c r="AY90" s="583">
        <f t="shared" si="203"/>
        <v>0</v>
      </c>
      <c r="AZ90" s="583">
        <f t="shared" si="204"/>
        <v>0</v>
      </c>
      <c r="BA90" s="583">
        <f t="shared" si="205"/>
        <v>0</v>
      </c>
      <c r="BB90" s="583">
        <f t="shared" si="206"/>
        <v>0</v>
      </c>
      <c r="BC90" s="583">
        <f t="shared" si="207"/>
        <v>0</v>
      </c>
      <c r="BD90" s="583">
        <f t="shared" si="208"/>
        <v>0</v>
      </c>
      <c r="BE90" s="583">
        <f t="shared" si="209"/>
        <v>0</v>
      </c>
      <c r="BF90" s="583">
        <f t="shared" si="210"/>
        <v>0</v>
      </c>
      <c r="BG90" s="583">
        <f t="shared" si="211"/>
        <v>0</v>
      </c>
      <c r="BH90" s="583">
        <f t="shared" si="212"/>
        <v>0</v>
      </c>
      <c r="BI90" s="583">
        <f t="shared" si="213"/>
        <v>0</v>
      </c>
      <c r="BJ90" s="583">
        <f t="shared" si="214"/>
        <v>0</v>
      </c>
      <c r="BK90" s="583">
        <f t="shared" si="215"/>
        <v>0</v>
      </c>
      <c r="BL90" s="583">
        <f t="shared" si="216"/>
        <v>0</v>
      </c>
      <c r="BM90" s="583">
        <f t="shared" si="217"/>
        <v>0</v>
      </c>
      <c r="BN90" s="583">
        <f t="shared" si="218"/>
        <v>0</v>
      </c>
      <c r="BO90" s="583">
        <f t="shared" si="219"/>
        <v>0</v>
      </c>
      <c r="BP90" s="583">
        <f t="shared" si="220"/>
        <v>0</v>
      </c>
      <c r="BQ90" s="583">
        <f t="shared" si="221"/>
        <v>0</v>
      </c>
      <c r="BR90" s="583">
        <f t="shared" si="222"/>
        <v>0</v>
      </c>
    </row>
    <row r="91" spans="1:70" s="229" customFormat="1" ht="15" customHeight="1">
      <c r="A91" s="590"/>
      <c r="D91" s="85"/>
      <c r="E91" s="576" t="str">
        <f t="shared" ref="E91:E100" si="223">IF(E$89&gt;0,E$89,"")</f>
        <v/>
      </c>
      <c r="F91" s="707"/>
      <c r="G91" s="406" t="s">
        <v>3054</v>
      </c>
      <c r="H91" s="1262" t="s">
        <v>3055</v>
      </c>
      <c r="I91" s="85">
        <v>0</v>
      </c>
      <c r="J91" s="682">
        <v>1</v>
      </c>
      <c r="K91" s="579" t="str">
        <f t="shared" si="197"/>
        <v/>
      </c>
      <c r="L91" s="580" t="str">
        <f>IF(H91="Select ingredient:","",IF(G91="","",_xlfn.IFNA(VLOOKUP($H91,Ingredient_prices!$E:$U,16,FALSE),0)))</f>
        <v/>
      </c>
      <c r="M91" s="591"/>
      <c r="N91" s="591"/>
      <c r="O91" s="591"/>
      <c r="P91" s="615"/>
      <c r="Q91" s="583">
        <f t="shared" si="198"/>
        <v>0</v>
      </c>
      <c r="R91" s="583">
        <f>VLOOKUP($H91,'CO2_emission+%_food_waste'!$A:$K,6,FALSE)*$Q91/100</f>
        <v>0</v>
      </c>
      <c r="S91" s="583">
        <f t="shared" si="199"/>
        <v>0</v>
      </c>
      <c r="T91" s="583" t="str">
        <f>IF(H91="Select ingredient:","",IF(G91="Select food category:","",_xlfn.IFNA(VLOOKUP($H91,Ingredient_prices!$E:$U,16,FALSE)*$Q91/1000,"not bought")))</f>
        <v/>
      </c>
      <c r="U91" s="583" t="str">
        <f>IF(G91="Select food category:","",_xlfn.IFNA(VLOOKUP($H91,Ingredient_prices!$E:$U,16,FALSE)*$R91/1000,"not bought"))</f>
        <v/>
      </c>
      <c r="V91" s="549">
        <f>VLOOKUP($H91,'CO2_emission+%_food_waste'!$A:$K,4,FALSE)*$Q91</f>
        <v>0</v>
      </c>
      <c r="W91" s="583">
        <f>VLOOKUP($H91,Nutrition_tables!$A:$N,10,FALSE)*$Q91/100</f>
        <v>0</v>
      </c>
      <c r="X91" s="583">
        <f>VLOOKUP($H91,Nutrition_tables!$A:$N,11,FALSE)*$Q91/100</f>
        <v>0</v>
      </c>
      <c r="Y91" s="583">
        <f>VLOOKUP($H91,Nutrition_tables!$A:$N,12,FALSE)*$Q91/100</f>
        <v>0</v>
      </c>
      <c r="Z91" s="583">
        <f>VLOOKUP($H91,Nutrition_tables!$A:$N,14,FALSE)*$Q91/100</f>
        <v>0</v>
      </c>
      <c r="AA91" s="583">
        <f>VLOOKUP($H91,Nutrition_tables!$A:$AF,13,FALSE)*$Q91/100</f>
        <v>0</v>
      </c>
      <c r="AB91" s="549">
        <f>VLOOKUP($H91,Nutrition_tables!$A:$AF,15,FALSE)*$Q91/100</f>
        <v>0</v>
      </c>
      <c r="AC91" s="583">
        <f>VLOOKUP($H91,Nutrition_tables!$A:$AF,16,FALSE)*$Q91/100</f>
        <v>0</v>
      </c>
      <c r="AD91" s="583">
        <f>VLOOKUP($H91,Nutrition_tables!$A:$AF,17,FALSE)*$Q91/100</f>
        <v>0</v>
      </c>
      <c r="AE91" s="583">
        <f>VLOOKUP($H91,Nutrition_tables!$A:$AF,18,FALSE)*$Q91/100</f>
        <v>0</v>
      </c>
      <c r="AF91" s="583">
        <f>VLOOKUP($H91,Nutrition_tables!$A:$AF,19,FALSE)*$Q91/100</f>
        <v>0</v>
      </c>
      <c r="AG91" s="583">
        <f>VLOOKUP($H91,Nutrition_tables!$A:$AF,20,FALSE)*$Q91/100</f>
        <v>0</v>
      </c>
      <c r="AH91" s="583">
        <f>VLOOKUP($H91,Nutrition_tables!$A:$AF,21,FALSE)*$Q91/100</f>
        <v>0</v>
      </c>
      <c r="AI91" s="583">
        <f>VLOOKUP($H91,Nutrition_tables!$A:$AF,22,FALSE)*$Q91/100</f>
        <v>0</v>
      </c>
      <c r="AJ91" s="549">
        <f>VLOOKUP($H91,Nutrition_tables!$A:$AF,23,FALSE)*$Q91/100</f>
        <v>0</v>
      </c>
      <c r="AK91" s="583">
        <f>VLOOKUP($H91,Nutrition_tables!$A:$AF,24,FALSE)*$Q91/100</f>
        <v>0</v>
      </c>
      <c r="AL91" s="583">
        <f>VLOOKUP($H91,Nutrition_tables!$A:$AF,25,FALSE)*$Q91/100</f>
        <v>0</v>
      </c>
      <c r="AM91" s="583">
        <f>VLOOKUP($H91,Nutrition_tables!$A:$AF,26,FALSE)*$Q91/100</f>
        <v>0</v>
      </c>
      <c r="AN91" s="583">
        <f>VLOOKUP($H91,Nutrition_tables!$A:$AF,27,FALSE)*$Q91/100</f>
        <v>0</v>
      </c>
      <c r="AO91" s="583">
        <f>VLOOKUP($H91,Nutrition_tables!$A:$AF,28,FALSE)*$Q91/100</f>
        <v>0</v>
      </c>
      <c r="AP91" s="583">
        <f>VLOOKUP($H91,Nutrition_tables!$A:$AF,29,FALSE)*$Q91/100</f>
        <v>0</v>
      </c>
      <c r="AQ91" s="583">
        <f>VLOOKUP($H91,Nutrition_tables!$A:$AF,30,FALSE)*$Q91/100</f>
        <v>0</v>
      </c>
      <c r="AR91" s="583">
        <f>VLOOKUP($H91,Nutrition_tables!$A:$AF,31,FALSE)*$Q91/100</f>
        <v>0</v>
      </c>
      <c r="AS91" s="549">
        <f>VLOOKUP($H91,Nutrition_tables!$A:$AF,32,FALSE)*$Q91/100</f>
        <v>0</v>
      </c>
      <c r="AT91" s="583" t="str">
        <f>IF(H91="Select ingredient:","",IF(G91="Select food category:","",IFERROR(VLOOKUP($H91,Ingredient_prices!$E:$W,17,FALSE)*$Q91/1000,"not bought")))</f>
        <v/>
      </c>
      <c r="AU91" s="583" t="str">
        <f>IF(H91="Select ingredient:","",IF(G91="Select food category:","",IFERROR(VLOOKUP($H91,Ingredient_prices!$E:$W,18,FALSE)*$Q91/1000,"not bought")))</f>
        <v/>
      </c>
      <c r="AV91" s="583">
        <f t="shared" si="200"/>
        <v>0</v>
      </c>
      <c r="AW91" s="583">
        <f t="shared" si="201"/>
        <v>0</v>
      </c>
      <c r="AX91" s="583">
        <f t="shared" si="202"/>
        <v>0</v>
      </c>
      <c r="AY91" s="583">
        <f t="shared" si="203"/>
        <v>0</v>
      </c>
      <c r="AZ91" s="583">
        <f t="shared" si="204"/>
        <v>0</v>
      </c>
      <c r="BA91" s="583">
        <f t="shared" si="205"/>
        <v>0</v>
      </c>
      <c r="BB91" s="583">
        <f t="shared" si="206"/>
        <v>0</v>
      </c>
      <c r="BC91" s="583">
        <f t="shared" si="207"/>
        <v>0</v>
      </c>
      <c r="BD91" s="583">
        <f t="shared" si="208"/>
        <v>0</v>
      </c>
      <c r="BE91" s="583">
        <f t="shared" si="209"/>
        <v>0</v>
      </c>
      <c r="BF91" s="583">
        <f t="shared" si="210"/>
        <v>0</v>
      </c>
      <c r="BG91" s="583">
        <f t="shared" si="211"/>
        <v>0</v>
      </c>
      <c r="BH91" s="583">
        <f t="shared" si="212"/>
        <v>0</v>
      </c>
      <c r="BI91" s="583">
        <f t="shared" si="213"/>
        <v>0</v>
      </c>
      <c r="BJ91" s="583">
        <f t="shared" si="214"/>
        <v>0</v>
      </c>
      <c r="BK91" s="583">
        <f t="shared" si="215"/>
        <v>0</v>
      </c>
      <c r="BL91" s="583">
        <f t="shared" si="216"/>
        <v>0</v>
      </c>
      <c r="BM91" s="583">
        <f t="shared" si="217"/>
        <v>0</v>
      </c>
      <c r="BN91" s="583">
        <f t="shared" si="218"/>
        <v>0</v>
      </c>
      <c r="BO91" s="583">
        <f t="shared" si="219"/>
        <v>0</v>
      </c>
      <c r="BP91" s="583">
        <f t="shared" si="220"/>
        <v>0</v>
      </c>
      <c r="BQ91" s="583">
        <f t="shared" si="221"/>
        <v>0</v>
      </c>
      <c r="BR91" s="583">
        <f t="shared" si="222"/>
        <v>0</v>
      </c>
    </row>
    <row r="92" spans="1:70" s="229" customFormat="1" ht="15" customHeight="1">
      <c r="A92" s="590"/>
      <c r="D92" s="85"/>
      <c r="E92" s="576" t="str">
        <f t="shared" si="223"/>
        <v/>
      </c>
      <c r="F92" s="707"/>
      <c r="G92" s="406" t="s">
        <v>3054</v>
      </c>
      <c r="H92" s="1262" t="s">
        <v>3055</v>
      </c>
      <c r="I92" s="85">
        <v>0</v>
      </c>
      <c r="J92" s="682">
        <v>1</v>
      </c>
      <c r="K92" s="579" t="str">
        <f t="shared" si="197"/>
        <v/>
      </c>
      <c r="L92" s="580" t="str">
        <f>IF(H92="Select ingredient:","",IF(G92="","",_xlfn.IFNA(VLOOKUP($H92,Ingredient_prices!$E:$U,16,FALSE),0)))</f>
        <v/>
      </c>
      <c r="M92" s="591"/>
      <c r="N92" s="591"/>
      <c r="O92" s="591"/>
      <c r="P92" s="615"/>
      <c r="Q92" s="583">
        <f t="shared" si="198"/>
        <v>0</v>
      </c>
      <c r="R92" s="583">
        <f>VLOOKUP($H92,'CO2_emission+%_food_waste'!$A:$K,6,FALSE)*$Q92/100</f>
        <v>0</v>
      </c>
      <c r="S92" s="583">
        <f t="shared" si="199"/>
        <v>0</v>
      </c>
      <c r="T92" s="583" t="str">
        <f>IF(H92="Select ingredient:","",IF(G92="Select food category:","",_xlfn.IFNA(VLOOKUP($H92,Ingredient_prices!$E:$U,16,FALSE)*$Q92/1000,"not bought")))</f>
        <v/>
      </c>
      <c r="U92" s="583" t="str">
        <f>IF(G92="Select food category:","",_xlfn.IFNA(VLOOKUP($H92,Ingredient_prices!$E:$U,16,FALSE)*$R92/1000,"not bought"))</f>
        <v/>
      </c>
      <c r="V92" s="549">
        <f>VLOOKUP($H92,'CO2_emission+%_food_waste'!$A:$K,4,FALSE)*$Q92</f>
        <v>0</v>
      </c>
      <c r="W92" s="583">
        <f>VLOOKUP($H92,Nutrition_tables!$A:$N,10,FALSE)*$Q92/100</f>
        <v>0</v>
      </c>
      <c r="X92" s="583">
        <f>VLOOKUP($H92,Nutrition_tables!$A:$N,11,FALSE)*$Q92/100</f>
        <v>0</v>
      </c>
      <c r="Y92" s="583">
        <f>VLOOKUP($H92,Nutrition_tables!$A:$N,12,FALSE)*$Q92/100</f>
        <v>0</v>
      </c>
      <c r="Z92" s="583">
        <f>VLOOKUP($H92,Nutrition_tables!$A:$N,14,FALSE)*$Q92/100</f>
        <v>0</v>
      </c>
      <c r="AA92" s="583">
        <f>VLOOKUP($H92,Nutrition_tables!$A:$AF,13,FALSE)*$Q92/100</f>
        <v>0</v>
      </c>
      <c r="AB92" s="549">
        <f>VLOOKUP($H92,Nutrition_tables!$A:$AF,15,FALSE)*$Q92/100</f>
        <v>0</v>
      </c>
      <c r="AC92" s="583">
        <f>VLOOKUP($H92,Nutrition_tables!$A:$AF,16,FALSE)*$Q92/100</f>
        <v>0</v>
      </c>
      <c r="AD92" s="583">
        <f>VLOOKUP($H92,Nutrition_tables!$A:$AF,17,FALSE)*$Q92/100</f>
        <v>0</v>
      </c>
      <c r="AE92" s="583">
        <f>VLOOKUP($H92,Nutrition_tables!$A:$AF,18,FALSE)*$Q92/100</f>
        <v>0</v>
      </c>
      <c r="AF92" s="583">
        <f>VLOOKUP($H92,Nutrition_tables!$A:$AF,19,FALSE)*$Q92/100</f>
        <v>0</v>
      </c>
      <c r="AG92" s="583">
        <f>VLOOKUP($H92,Nutrition_tables!$A:$AF,20,FALSE)*$Q92/100</f>
        <v>0</v>
      </c>
      <c r="AH92" s="583">
        <f>VLOOKUP($H92,Nutrition_tables!$A:$AF,21,FALSE)*$Q92/100</f>
        <v>0</v>
      </c>
      <c r="AI92" s="583">
        <f>VLOOKUP($H92,Nutrition_tables!$A:$AF,22,FALSE)*$Q92/100</f>
        <v>0</v>
      </c>
      <c r="AJ92" s="549">
        <f>VLOOKUP($H92,Nutrition_tables!$A:$AF,23,FALSE)*$Q92/100</f>
        <v>0</v>
      </c>
      <c r="AK92" s="583">
        <f>VLOOKUP($H92,Nutrition_tables!$A:$AF,24,FALSE)*$Q92/100</f>
        <v>0</v>
      </c>
      <c r="AL92" s="583">
        <f>VLOOKUP($H92,Nutrition_tables!$A:$AF,25,FALSE)*$Q92/100</f>
        <v>0</v>
      </c>
      <c r="AM92" s="583">
        <f>VLOOKUP($H92,Nutrition_tables!$A:$AF,26,FALSE)*$Q92/100</f>
        <v>0</v>
      </c>
      <c r="AN92" s="583">
        <f>VLOOKUP($H92,Nutrition_tables!$A:$AF,27,FALSE)*$Q92/100</f>
        <v>0</v>
      </c>
      <c r="AO92" s="583">
        <f>VLOOKUP($H92,Nutrition_tables!$A:$AF,28,FALSE)*$Q92/100</f>
        <v>0</v>
      </c>
      <c r="AP92" s="583">
        <f>VLOOKUP($H92,Nutrition_tables!$A:$AF,29,FALSE)*$Q92/100</f>
        <v>0</v>
      </c>
      <c r="AQ92" s="583">
        <f>VLOOKUP($H92,Nutrition_tables!$A:$AF,30,FALSE)*$Q92/100</f>
        <v>0</v>
      </c>
      <c r="AR92" s="583">
        <f>VLOOKUP($H92,Nutrition_tables!$A:$AF,31,FALSE)*$Q92/100</f>
        <v>0</v>
      </c>
      <c r="AS92" s="549">
        <f>VLOOKUP($H92,Nutrition_tables!$A:$AF,32,FALSE)*$Q92/100</f>
        <v>0</v>
      </c>
      <c r="AT92" s="583" t="str">
        <f>IF(H92="Select ingredient:","",IF(G92="Select food category:","",IFERROR(VLOOKUP($H92,Ingredient_prices!$E:$W,17,FALSE)*$Q92/1000,"not bought")))</f>
        <v/>
      </c>
      <c r="AU92" s="583" t="str">
        <f>IF(H92="Select ingredient:","",IF(G92="Select food category:","",IFERROR(VLOOKUP($H92,Ingredient_prices!$E:$W,18,FALSE)*$Q92/1000,"not bought")))</f>
        <v/>
      </c>
      <c r="AV92" s="583">
        <f t="shared" si="200"/>
        <v>0</v>
      </c>
      <c r="AW92" s="583">
        <f t="shared" si="201"/>
        <v>0</v>
      </c>
      <c r="AX92" s="583">
        <f t="shared" si="202"/>
        <v>0</v>
      </c>
      <c r="AY92" s="583">
        <f t="shared" si="203"/>
        <v>0</v>
      </c>
      <c r="AZ92" s="583">
        <f t="shared" si="204"/>
        <v>0</v>
      </c>
      <c r="BA92" s="583">
        <f t="shared" si="205"/>
        <v>0</v>
      </c>
      <c r="BB92" s="583">
        <f t="shared" si="206"/>
        <v>0</v>
      </c>
      <c r="BC92" s="583">
        <f t="shared" si="207"/>
        <v>0</v>
      </c>
      <c r="BD92" s="583">
        <f t="shared" si="208"/>
        <v>0</v>
      </c>
      <c r="BE92" s="583">
        <f t="shared" si="209"/>
        <v>0</v>
      </c>
      <c r="BF92" s="583">
        <f t="shared" si="210"/>
        <v>0</v>
      </c>
      <c r="BG92" s="583">
        <f t="shared" si="211"/>
        <v>0</v>
      </c>
      <c r="BH92" s="583">
        <f t="shared" si="212"/>
        <v>0</v>
      </c>
      <c r="BI92" s="583">
        <f t="shared" si="213"/>
        <v>0</v>
      </c>
      <c r="BJ92" s="583">
        <f t="shared" si="214"/>
        <v>0</v>
      </c>
      <c r="BK92" s="583">
        <f t="shared" si="215"/>
        <v>0</v>
      </c>
      <c r="BL92" s="583">
        <f t="shared" si="216"/>
        <v>0</v>
      </c>
      <c r="BM92" s="583">
        <f t="shared" si="217"/>
        <v>0</v>
      </c>
      <c r="BN92" s="583">
        <f t="shared" si="218"/>
        <v>0</v>
      </c>
      <c r="BO92" s="583">
        <f t="shared" si="219"/>
        <v>0</v>
      </c>
      <c r="BP92" s="583">
        <f t="shared" si="220"/>
        <v>0</v>
      </c>
      <c r="BQ92" s="583">
        <f t="shared" si="221"/>
        <v>0</v>
      </c>
      <c r="BR92" s="583">
        <f t="shared" si="222"/>
        <v>0</v>
      </c>
    </row>
    <row r="93" spans="1:70" s="229" customFormat="1" ht="15" customHeight="1">
      <c r="A93" s="590"/>
      <c r="D93" s="85"/>
      <c r="E93" s="576" t="str">
        <f t="shared" si="223"/>
        <v/>
      </c>
      <c r="F93" s="707"/>
      <c r="G93" s="406" t="s">
        <v>3054</v>
      </c>
      <c r="H93" s="1262" t="s">
        <v>3055</v>
      </c>
      <c r="I93" s="85">
        <v>0</v>
      </c>
      <c r="J93" s="682">
        <v>1</v>
      </c>
      <c r="K93" s="579" t="str">
        <f t="shared" si="197"/>
        <v/>
      </c>
      <c r="L93" s="580" t="str">
        <f>IF(H93="Select ingredient:","",IF(G93="","",_xlfn.IFNA(VLOOKUP($H93,Ingredient_prices!$E:$U,16,FALSE),0)))</f>
        <v/>
      </c>
      <c r="M93" s="591"/>
      <c r="N93" s="591"/>
      <c r="O93" s="591"/>
      <c r="P93" s="615"/>
      <c r="Q93" s="583">
        <f t="shared" si="198"/>
        <v>0</v>
      </c>
      <c r="R93" s="583">
        <f>VLOOKUP($H93,'CO2_emission+%_food_waste'!$A:$K,6,FALSE)*$Q93/100</f>
        <v>0</v>
      </c>
      <c r="S93" s="583">
        <f t="shared" si="199"/>
        <v>0</v>
      </c>
      <c r="T93" s="583" t="str">
        <f>IF(H93="Select ingredient:","",IF(G93="Select food category:","",_xlfn.IFNA(VLOOKUP($H93,Ingredient_prices!$E:$U,16,FALSE)*$Q93/1000,"not bought")))</f>
        <v/>
      </c>
      <c r="U93" s="583" t="str">
        <f>IF(G93="Select food category:","",_xlfn.IFNA(VLOOKUP($H93,Ingredient_prices!$E:$U,16,FALSE)*$R93/1000,"not bought"))</f>
        <v/>
      </c>
      <c r="V93" s="549">
        <f>VLOOKUP($H93,'CO2_emission+%_food_waste'!$A:$K,4,FALSE)*$Q93</f>
        <v>0</v>
      </c>
      <c r="W93" s="583">
        <f>VLOOKUP($H93,Nutrition_tables!$A:$N,10,FALSE)*$Q93/100</f>
        <v>0</v>
      </c>
      <c r="X93" s="583">
        <f>VLOOKUP($H93,Nutrition_tables!$A:$N,11,FALSE)*$Q93/100</f>
        <v>0</v>
      </c>
      <c r="Y93" s="583">
        <f>VLOOKUP($H93,Nutrition_tables!$A:$N,12,FALSE)*$Q93/100</f>
        <v>0</v>
      </c>
      <c r="Z93" s="583">
        <f>VLOOKUP($H93,Nutrition_tables!$A:$N,14,FALSE)*$Q93/100</f>
        <v>0</v>
      </c>
      <c r="AA93" s="583">
        <f>VLOOKUP($H93,Nutrition_tables!$A:$AF,13,FALSE)*$Q93/100</f>
        <v>0</v>
      </c>
      <c r="AB93" s="549">
        <f>VLOOKUP($H93,Nutrition_tables!$A:$AF,15,FALSE)*$Q93/100</f>
        <v>0</v>
      </c>
      <c r="AC93" s="583">
        <f>VLOOKUP($H93,Nutrition_tables!$A:$AF,16,FALSE)*$Q93/100</f>
        <v>0</v>
      </c>
      <c r="AD93" s="583">
        <f>VLOOKUP($H93,Nutrition_tables!$A:$AF,17,FALSE)*$Q93/100</f>
        <v>0</v>
      </c>
      <c r="AE93" s="583">
        <f>VLOOKUP($H93,Nutrition_tables!$A:$AF,18,FALSE)*$Q93/100</f>
        <v>0</v>
      </c>
      <c r="AF93" s="583">
        <f>VLOOKUP($H93,Nutrition_tables!$A:$AF,19,FALSE)*$Q93/100</f>
        <v>0</v>
      </c>
      <c r="AG93" s="583">
        <f>VLOOKUP($H93,Nutrition_tables!$A:$AF,20,FALSE)*$Q93/100</f>
        <v>0</v>
      </c>
      <c r="AH93" s="583">
        <f>VLOOKUP($H93,Nutrition_tables!$A:$AF,21,FALSE)*$Q93/100</f>
        <v>0</v>
      </c>
      <c r="AI93" s="583">
        <f>VLOOKUP($H93,Nutrition_tables!$A:$AF,22,FALSE)*$Q93/100</f>
        <v>0</v>
      </c>
      <c r="AJ93" s="549">
        <f>VLOOKUP($H93,Nutrition_tables!$A:$AF,23,FALSE)*$Q93/100</f>
        <v>0</v>
      </c>
      <c r="AK93" s="583">
        <f>VLOOKUP($H93,Nutrition_tables!$A:$AF,24,FALSE)*$Q93/100</f>
        <v>0</v>
      </c>
      <c r="AL93" s="583">
        <f>VLOOKUP($H93,Nutrition_tables!$A:$AF,25,FALSE)*$Q93/100</f>
        <v>0</v>
      </c>
      <c r="AM93" s="583">
        <f>VLOOKUP($H93,Nutrition_tables!$A:$AF,26,FALSE)*$Q93/100</f>
        <v>0</v>
      </c>
      <c r="AN93" s="583">
        <f>VLOOKUP($H93,Nutrition_tables!$A:$AF,27,FALSE)*$Q93/100</f>
        <v>0</v>
      </c>
      <c r="AO93" s="583">
        <f>VLOOKUP($H93,Nutrition_tables!$A:$AF,28,FALSE)*$Q93/100</f>
        <v>0</v>
      </c>
      <c r="AP93" s="583">
        <f>VLOOKUP($H93,Nutrition_tables!$A:$AF,29,FALSE)*$Q93/100</f>
        <v>0</v>
      </c>
      <c r="AQ93" s="583">
        <f>VLOOKUP($H93,Nutrition_tables!$A:$AF,30,FALSE)*$Q93/100</f>
        <v>0</v>
      </c>
      <c r="AR93" s="583">
        <f>VLOOKUP($H93,Nutrition_tables!$A:$AF,31,FALSE)*$Q93/100</f>
        <v>0</v>
      </c>
      <c r="AS93" s="549">
        <f>VLOOKUP($H93,Nutrition_tables!$A:$AF,32,FALSE)*$Q93/100</f>
        <v>0</v>
      </c>
      <c r="AT93" s="583" t="str">
        <f>IF(H93="Select ingredient:","",IF(G93="Select food category:","",IFERROR(VLOOKUP($H93,Ingredient_prices!$E:$W,17,FALSE)*$Q93/1000,"not bought")))</f>
        <v/>
      </c>
      <c r="AU93" s="583" t="str">
        <f>IF(H93="Select ingredient:","",IF(G93="Select food category:","",IFERROR(VLOOKUP($H93,Ingredient_prices!$E:$W,18,FALSE)*$Q93/1000,"not bought")))</f>
        <v/>
      </c>
      <c r="AV93" s="583">
        <f t="shared" si="200"/>
        <v>0</v>
      </c>
      <c r="AW93" s="583">
        <f t="shared" si="201"/>
        <v>0</v>
      </c>
      <c r="AX93" s="583">
        <f t="shared" si="202"/>
        <v>0</v>
      </c>
      <c r="AY93" s="583">
        <f t="shared" si="203"/>
        <v>0</v>
      </c>
      <c r="AZ93" s="583">
        <f t="shared" si="204"/>
        <v>0</v>
      </c>
      <c r="BA93" s="583">
        <f t="shared" si="205"/>
        <v>0</v>
      </c>
      <c r="BB93" s="583">
        <f t="shared" si="206"/>
        <v>0</v>
      </c>
      <c r="BC93" s="583">
        <f t="shared" si="207"/>
        <v>0</v>
      </c>
      <c r="BD93" s="583">
        <f t="shared" si="208"/>
        <v>0</v>
      </c>
      <c r="BE93" s="583">
        <f t="shared" si="209"/>
        <v>0</v>
      </c>
      <c r="BF93" s="583">
        <f t="shared" si="210"/>
        <v>0</v>
      </c>
      <c r="BG93" s="583">
        <f t="shared" si="211"/>
        <v>0</v>
      </c>
      <c r="BH93" s="583">
        <f t="shared" si="212"/>
        <v>0</v>
      </c>
      <c r="BI93" s="583">
        <f t="shared" si="213"/>
        <v>0</v>
      </c>
      <c r="BJ93" s="583">
        <f t="shared" si="214"/>
        <v>0</v>
      </c>
      <c r="BK93" s="583">
        <f t="shared" si="215"/>
        <v>0</v>
      </c>
      <c r="BL93" s="583">
        <f t="shared" si="216"/>
        <v>0</v>
      </c>
      <c r="BM93" s="583">
        <f t="shared" si="217"/>
        <v>0</v>
      </c>
      <c r="BN93" s="583">
        <f t="shared" si="218"/>
        <v>0</v>
      </c>
      <c r="BO93" s="583">
        <f t="shared" si="219"/>
        <v>0</v>
      </c>
      <c r="BP93" s="583">
        <f t="shared" si="220"/>
        <v>0</v>
      </c>
      <c r="BQ93" s="583">
        <f t="shared" si="221"/>
        <v>0</v>
      </c>
      <c r="BR93" s="583">
        <f t="shared" si="222"/>
        <v>0</v>
      </c>
    </row>
    <row r="94" spans="1:70" s="229" customFormat="1" ht="15" customHeight="1">
      <c r="A94" s="590"/>
      <c r="D94" s="85"/>
      <c r="E94" s="576" t="str">
        <f t="shared" si="223"/>
        <v/>
      </c>
      <c r="F94" s="707"/>
      <c r="G94" s="406" t="s">
        <v>3054</v>
      </c>
      <c r="H94" s="1262" t="s">
        <v>3055</v>
      </c>
      <c r="I94" s="85">
        <v>0</v>
      </c>
      <c r="J94" s="682">
        <v>1</v>
      </c>
      <c r="K94" s="579" t="str">
        <f t="shared" si="197"/>
        <v/>
      </c>
      <c r="L94" s="580" t="str">
        <f>IF(H94="Select ingredient:","",IF(G94="","",_xlfn.IFNA(VLOOKUP($H94,Ingredient_prices!$E:$U,16,FALSE),0)))</f>
        <v/>
      </c>
      <c r="M94" s="591"/>
      <c r="N94" s="591"/>
      <c r="O94" s="591"/>
      <c r="P94" s="615"/>
      <c r="Q94" s="583">
        <f t="shared" si="198"/>
        <v>0</v>
      </c>
      <c r="R94" s="583">
        <f>VLOOKUP($H94,'CO2_emission+%_food_waste'!$A:$K,6,FALSE)*$Q94/100</f>
        <v>0</v>
      </c>
      <c r="S94" s="583">
        <f t="shared" si="199"/>
        <v>0</v>
      </c>
      <c r="T94" s="583" t="str">
        <f>IF(H94="Select ingredient:","",IF(G94="Select food category:","",_xlfn.IFNA(VLOOKUP($H94,Ingredient_prices!$E:$U,16,FALSE)*$Q94/1000,"not bought")))</f>
        <v/>
      </c>
      <c r="U94" s="583" t="str">
        <f>IF(G94="Select food category:","",_xlfn.IFNA(VLOOKUP($H94,Ingredient_prices!$E:$U,16,FALSE)*$R94/1000,"not bought"))</f>
        <v/>
      </c>
      <c r="V94" s="549">
        <f>VLOOKUP($H94,'CO2_emission+%_food_waste'!$A:$K,4,FALSE)*$Q94</f>
        <v>0</v>
      </c>
      <c r="W94" s="583">
        <f>VLOOKUP($H94,Nutrition_tables!$A:$N,10,FALSE)*$Q94/100</f>
        <v>0</v>
      </c>
      <c r="X94" s="583">
        <f>VLOOKUP($H94,Nutrition_tables!$A:$N,11,FALSE)*$Q94/100</f>
        <v>0</v>
      </c>
      <c r="Y94" s="583">
        <f>VLOOKUP($H94,Nutrition_tables!$A:$N,12,FALSE)*$Q94/100</f>
        <v>0</v>
      </c>
      <c r="Z94" s="583">
        <f>VLOOKUP($H94,Nutrition_tables!$A:$N,14,FALSE)*$Q94/100</f>
        <v>0</v>
      </c>
      <c r="AA94" s="583">
        <f>VLOOKUP($H94,Nutrition_tables!$A:$AF,13,FALSE)*$Q94/100</f>
        <v>0</v>
      </c>
      <c r="AB94" s="549">
        <f>VLOOKUP($H94,Nutrition_tables!$A:$AF,15,FALSE)*$Q94/100</f>
        <v>0</v>
      </c>
      <c r="AC94" s="583">
        <f>VLOOKUP($H94,Nutrition_tables!$A:$AF,16,FALSE)*$Q94/100</f>
        <v>0</v>
      </c>
      <c r="AD94" s="583">
        <f>VLOOKUP($H94,Nutrition_tables!$A:$AF,17,FALSE)*$Q94/100</f>
        <v>0</v>
      </c>
      <c r="AE94" s="583">
        <f>VLOOKUP($H94,Nutrition_tables!$A:$AF,18,FALSE)*$Q94/100</f>
        <v>0</v>
      </c>
      <c r="AF94" s="583">
        <f>VLOOKUP($H94,Nutrition_tables!$A:$AF,19,FALSE)*$Q94/100</f>
        <v>0</v>
      </c>
      <c r="AG94" s="583">
        <f>VLOOKUP($H94,Nutrition_tables!$A:$AF,20,FALSE)*$Q94/100</f>
        <v>0</v>
      </c>
      <c r="AH94" s="583">
        <f>VLOOKUP($H94,Nutrition_tables!$A:$AF,21,FALSE)*$Q94/100</f>
        <v>0</v>
      </c>
      <c r="AI94" s="583">
        <f>VLOOKUP($H94,Nutrition_tables!$A:$AF,22,FALSE)*$Q94/100</f>
        <v>0</v>
      </c>
      <c r="AJ94" s="549">
        <f>VLOOKUP($H94,Nutrition_tables!$A:$AF,23,FALSE)*$Q94/100</f>
        <v>0</v>
      </c>
      <c r="AK94" s="583">
        <f>VLOOKUP($H94,Nutrition_tables!$A:$AF,24,FALSE)*$Q94/100</f>
        <v>0</v>
      </c>
      <c r="AL94" s="583">
        <f>VLOOKUP($H94,Nutrition_tables!$A:$AF,25,FALSE)*$Q94/100</f>
        <v>0</v>
      </c>
      <c r="AM94" s="583">
        <f>VLOOKUP($H94,Nutrition_tables!$A:$AF,26,FALSE)*$Q94/100</f>
        <v>0</v>
      </c>
      <c r="AN94" s="583">
        <f>VLOOKUP($H94,Nutrition_tables!$A:$AF,27,FALSE)*$Q94/100</f>
        <v>0</v>
      </c>
      <c r="AO94" s="583">
        <f>VLOOKUP($H94,Nutrition_tables!$A:$AF,28,FALSE)*$Q94/100</f>
        <v>0</v>
      </c>
      <c r="AP94" s="583">
        <f>VLOOKUP($H94,Nutrition_tables!$A:$AF,29,FALSE)*$Q94/100</f>
        <v>0</v>
      </c>
      <c r="AQ94" s="583">
        <f>VLOOKUP($H94,Nutrition_tables!$A:$AF,30,FALSE)*$Q94/100</f>
        <v>0</v>
      </c>
      <c r="AR94" s="583">
        <f>VLOOKUP($H94,Nutrition_tables!$A:$AF,31,FALSE)*$Q94/100</f>
        <v>0</v>
      </c>
      <c r="AS94" s="549">
        <f>VLOOKUP($H94,Nutrition_tables!$A:$AF,32,FALSE)*$Q94/100</f>
        <v>0</v>
      </c>
      <c r="AT94" s="583" t="str">
        <f>IF(H94="Select ingredient:","",IF(G94="Select food category:","",IFERROR(VLOOKUP($H94,Ingredient_prices!$E:$W,17,FALSE)*$Q94/1000,"not bought")))</f>
        <v/>
      </c>
      <c r="AU94" s="583" t="str">
        <f>IF(H94="Select ingredient:","",IF(G94="Select food category:","",IFERROR(VLOOKUP($H94,Ingredient_prices!$E:$W,18,FALSE)*$Q94/1000,"not bought")))</f>
        <v/>
      </c>
      <c r="AV94" s="583">
        <f t="shared" si="200"/>
        <v>0</v>
      </c>
      <c r="AW94" s="583">
        <f t="shared" si="201"/>
        <v>0</v>
      </c>
      <c r="AX94" s="583">
        <f t="shared" si="202"/>
        <v>0</v>
      </c>
      <c r="AY94" s="583">
        <f t="shared" si="203"/>
        <v>0</v>
      </c>
      <c r="AZ94" s="583">
        <f t="shared" si="204"/>
        <v>0</v>
      </c>
      <c r="BA94" s="583">
        <f t="shared" si="205"/>
        <v>0</v>
      </c>
      <c r="BB94" s="583">
        <f t="shared" si="206"/>
        <v>0</v>
      </c>
      <c r="BC94" s="583">
        <f t="shared" si="207"/>
        <v>0</v>
      </c>
      <c r="BD94" s="583">
        <f t="shared" si="208"/>
        <v>0</v>
      </c>
      <c r="BE94" s="583">
        <f t="shared" si="209"/>
        <v>0</v>
      </c>
      <c r="BF94" s="583">
        <f t="shared" si="210"/>
        <v>0</v>
      </c>
      <c r="BG94" s="583">
        <f t="shared" si="211"/>
        <v>0</v>
      </c>
      <c r="BH94" s="583">
        <f t="shared" si="212"/>
        <v>0</v>
      </c>
      <c r="BI94" s="583">
        <f t="shared" si="213"/>
        <v>0</v>
      </c>
      <c r="BJ94" s="583">
        <f t="shared" si="214"/>
        <v>0</v>
      </c>
      <c r="BK94" s="583">
        <f t="shared" si="215"/>
        <v>0</v>
      </c>
      <c r="BL94" s="583">
        <f t="shared" si="216"/>
        <v>0</v>
      </c>
      <c r="BM94" s="583">
        <f t="shared" si="217"/>
        <v>0</v>
      </c>
      <c r="BN94" s="583">
        <f t="shared" si="218"/>
        <v>0</v>
      </c>
      <c r="BO94" s="583">
        <f t="shared" si="219"/>
        <v>0</v>
      </c>
      <c r="BP94" s="583">
        <f t="shared" si="220"/>
        <v>0</v>
      </c>
      <c r="BQ94" s="583">
        <f t="shared" si="221"/>
        <v>0</v>
      </c>
      <c r="BR94" s="583">
        <f t="shared" si="222"/>
        <v>0</v>
      </c>
    </row>
    <row r="95" spans="1:70" s="229" customFormat="1" ht="15" customHeight="1">
      <c r="A95" s="590"/>
      <c r="D95" s="85"/>
      <c r="E95" s="576" t="str">
        <f t="shared" si="223"/>
        <v/>
      </c>
      <c r="F95" s="707"/>
      <c r="G95" s="406" t="s">
        <v>3054</v>
      </c>
      <c r="H95" s="1262" t="s">
        <v>3055</v>
      </c>
      <c r="I95" s="85">
        <v>0</v>
      </c>
      <c r="J95" s="682">
        <v>1</v>
      </c>
      <c r="K95" s="579" t="str">
        <f t="shared" si="197"/>
        <v/>
      </c>
      <c r="L95" s="580" t="str">
        <f>IF(H95="Select ingredient:","",IF(G95="","",_xlfn.IFNA(VLOOKUP($H95,Ingredient_prices!$E:$U,16,FALSE),0)))</f>
        <v/>
      </c>
      <c r="M95" s="591"/>
      <c r="N95" s="591"/>
      <c r="O95" s="591"/>
      <c r="P95" s="615"/>
      <c r="Q95" s="583">
        <f t="shared" si="198"/>
        <v>0</v>
      </c>
      <c r="R95" s="583">
        <f>VLOOKUP($H95,'CO2_emission+%_food_waste'!$A:$K,6,FALSE)*$Q95/100</f>
        <v>0</v>
      </c>
      <c r="S95" s="583">
        <f t="shared" si="199"/>
        <v>0</v>
      </c>
      <c r="T95" s="583" t="str">
        <f>IF(H95="Select ingredient:","",IF(G95="Select food category:","",_xlfn.IFNA(VLOOKUP($H95,Ingredient_prices!$E:$U,16,FALSE)*$Q95/1000,"not bought")))</f>
        <v/>
      </c>
      <c r="U95" s="583" t="str">
        <f>IF(G95="Select food category:","",_xlfn.IFNA(VLOOKUP($H95,Ingredient_prices!$E:$U,16,FALSE)*$R95/1000,"not bought"))</f>
        <v/>
      </c>
      <c r="V95" s="549">
        <f>VLOOKUP($H95,'CO2_emission+%_food_waste'!$A:$K,4,FALSE)*$Q95</f>
        <v>0</v>
      </c>
      <c r="W95" s="583">
        <f>VLOOKUP($H95,Nutrition_tables!$A:$N,10,FALSE)*$Q95/100</f>
        <v>0</v>
      </c>
      <c r="X95" s="583">
        <f>VLOOKUP($H95,Nutrition_tables!$A:$N,11,FALSE)*$Q95/100</f>
        <v>0</v>
      </c>
      <c r="Y95" s="583">
        <f>VLOOKUP($H95,Nutrition_tables!$A:$N,12,FALSE)*$Q95/100</f>
        <v>0</v>
      </c>
      <c r="Z95" s="583">
        <f>VLOOKUP($H95,Nutrition_tables!$A:$N,14,FALSE)*$Q95/100</f>
        <v>0</v>
      </c>
      <c r="AA95" s="583">
        <f>VLOOKUP($H95,Nutrition_tables!$A:$AF,13,FALSE)*$Q95/100</f>
        <v>0</v>
      </c>
      <c r="AB95" s="549">
        <f>VLOOKUP($H95,Nutrition_tables!$A:$AF,15,FALSE)*$Q95/100</f>
        <v>0</v>
      </c>
      <c r="AC95" s="583">
        <f>VLOOKUP($H95,Nutrition_tables!$A:$AF,16,FALSE)*$Q95/100</f>
        <v>0</v>
      </c>
      <c r="AD95" s="583">
        <f>VLOOKUP($H95,Nutrition_tables!$A:$AF,17,FALSE)*$Q95/100</f>
        <v>0</v>
      </c>
      <c r="AE95" s="583">
        <f>VLOOKUP($H95,Nutrition_tables!$A:$AF,18,FALSE)*$Q95/100</f>
        <v>0</v>
      </c>
      <c r="AF95" s="583">
        <f>VLOOKUP($H95,Nutrition_tables!$A:$AF,19,FALSE)*$Q95/100</f>
        <v>0</v>
      </c>
      <c r="AG95" s="583">
        <f>VLOOKUP($H95,Nutrition_tables!$A:$AF,20,FALSE)*$Q95/100</f>
        <v>0</v>
      </c>
      <c r="AH95" s="583">
        <f>VLOOKUP($H95,Nutrition_tables!$A:$AF,21,FALSE)*$Q95/100</f>
        <v>0</v>
      </c>
      <c r="AI95" s="583">
        <f>VLOOKUP($H95,Nutrition_tables!$A:$AF,22,FALSE)*$Q95/100</f>
        <v>0</v>
      </c>
      <c r="AJ95" s="549">
        <f>VLOOKUP($H95,Nutrition_tables!$A:$AF,23,FALSE)*$Q95/100</f>
        <v>0</v>
      </c>
      <c r="AK95" s="583">
        <f>VLOOKUP($H95,Nutrition_tables!$A:$AF,24,FALSE)*$Q95/100</f>
        <v>0</v>
      </c>
      <c r="AL95" s="583">
        <f>VLOOKUP($H95,Nutrition_tables!$A:$AF,25,FALSE)*$Q95/100</f>
        <v>0</v>
      </c>
      <c r="AM95" s="583">
        <f>VLOOKUP($H95,Nutrition_tables!$A:$AF,26,FALSE)*$Q95/100</f>
        <v>0</v>
      </c>
      <c r="AN95" s="583">
        <f>VLOOKUP($H95,Nutrition_tables!$A:$AF,27,FALSE)*$Q95/100</f>
        <v>0</v>
      </c>
      <c r="AO95" s="583">
        <f>VLOOKUP($H95,Nutrition_tables!$A:$AF,28,FALSE)*$Q95/100</f>
        <v>0</v>
      </c>
      <c r="AP95" s="583">
        <f>VLOOKUP($H95,Nutrition_tables!$A:$AF,29,FALSE)*$Q95/100</f>
        <v>0</v>
      </c>
      <c r="AQ95" s="583">
        <f>VLOOKUP($H95,Nutrition_tables!$A:$AF,30,FALSE)*$Q95/100</f>
        <v>0</v>
      </c>
      <c r="AR95" s="583">
        <f>VLOOKUP($H95,Nutrition_tables!$A:$AF,31,FALSE)*$Q95/100</f>
        <v>0</v>
      </c>
      <c r="AS95" s="549">
        <f>VLOOKUP($H95,Nutrition_tables!$A:$AF,32,FALSE)*$Q95/100</f>
        <v>0</v>
      </c>
      <c r="AT95" s="583" t="str">
        <f>IF(H95="Select ingredient:","",IF(G95="Select food category:","",IFERROR(VLOOKUP($H95,Ingredient_prices!$E:$W,17,FALSE)*$Q95/1000,"not bought")))</f>
        <v/>
      </c>
      <c r="AU95" s="583" t="str">
        <f>IF(H95="Select ingredient:","",IF(G95="Select food category:","",IFERROR(VLOOKUP($H95,Ingredient_prices!$E:$W,18,FALSE)*$Q95/1000,"not bought")))</f>
        <v/>
      </c>
      <c r="AV95" s="583">
        <f t="shared" si="200"/>
        <v>0</v>
      </c>
      <c r="AW95" s="583">
        <f t="shared" si="201"/>
        <v>0</v>
      </c>
      <c r="AX95" s="583">
        <f t="shared" si="202"/>
        <v>0</v>
      </c>
      <c r="AY95" s="583">
        <f t="shared" si="203"/>
        <v>0</v>
      </c>
      <c r="AZ95" s="583">
        <f t="shared" si="204"/>
        <v>0</v>
      </c>
      <c r="BA95" s="583">
        <f t="shared" si="205"/>
        <v>0</v>
      </c>
      <c r="BB95" s="583">
        <f t="shared" si="206"/>
        <v>0</v>
      </c>
      <c r="BC95" s="583">
        <f t="shared" si="207"/>
        <v>0</v>
      </c>
      <c r="BD95" s="583">
        <f t="shared" si="208"/>
        <v>0</v>
      </c>
      <c r="BE95" s="583">
        <f t="shared" si="209"/>
        <v>0</v>
      </c>
      <c r="BF95" s="583">
        <f t="shared" si="210"/>
        <v>0</v>
      </c>
      <c r="BG95" s="583">
        <f t="shared" si="211"/>
        <v>0</v>
      </c>
      <c r="BH95" s="583">
        <f t="shared" si="212"/>
        <v>0</v>
      </c>
      <c r="BI95" s="583">
        <f t="shared" si="213"/>
        <v>0</v>
      </c>
      <c r="BJ95" s="583">
        <f t="shared" si="214"/>
        <v>0</v>
      </c>
      <c r="BK95" s="583">
        <f t="shared" si="215"/>
        <v>0</v>
      </c>
      <c r="BL95" s="583">
        <f t="shared" si="216"/>
        <v>0</v>
      </c>
      <c r="BM95" s="583">
        <f t="shared" si="217"/>
        <v>0</v>
      </c>
      <c r="BN95" s="583">
        <f t="shared" si="218"/>
        <v>0</v>
      </c>
      <c r="BO95" s="583">
        <f t="shared" si="219"/>
        <v>0</v>
      </c>
      <c r="BP95" s="583">
        <f t="shared" si="220"/>
        <v>0</v>
      </c>
      <c r="BQ95" s="583">
        <f t="shared" si="221"/>
        <v>0</v>
      </c>
      <c r="BR95" s="583">
        <f t="shared" si="222"/>
        <v>0</v>
      </c>
    </row>
    <row r="96" spans="1:70" s="229" customFormat="1" ht="15" customHeight="1">
      <c r="A96" s="590"/>
      <c r="D96" s="85"/>
      <c r="E96" s="576" t="str">
        <f t="shared" si="223"/>
        <v/>
      </c>
      <c r="F96" s="707"/>
      <c r="G96" s="406" t="s">
        <v>3054</v>
      </c>
      <c r="H96" s="1262" t="s">
        <v>3055</v>
      </c>
      <c r="I96" s="85">
        <v>0</v>
      </c>
      <c r="J96" s="682">
        <v>1</v>
      </c>
      <c r="K96" s="579" t="str">
        <f t="shared" si="197"/>
        <v/>
      </c>
      <c r="L96" s="580" t="str">
        <f>IF(H96="Select ingredient:","",IF(G96="","",_xlfn.IFNA(VLOOKUP($H96,Ingredient_prices!$E:$U,16,FALSE),0)))</f>
        <v/>
      </c>
      <c r="M96" s="591"/>
      <c r="N96" s="591"/>
      <c r="O96" s="591"/>
      <c r="P96" s="615"/>
      <c r="Q96" s="583">
        <f t="shared" si="198"/>
        <v>0</v>
      </c>
      <c r="R96" s="583">
        <f>VLOOKUP($H96,'CO2_emission+%_food_waste'!$A:$K,6,FALSE)*$Q96/100</f>
        <v>0</v>
      </c>
      <c r="S96" s="583">
        <f t="shared" si="199"/>
        <v>0</v>
      </c>
      <c r="T96" s="583" t="str">
        <f>IF(H96="Select ingredient:","",IF(G96="Select food category:","",_xlfn.IFNA(VLOOKUP($H96,Ingredient_prices!$E:$U,16,FALSE)*$Q96/1000,"not bought")))</f>
        <v/>
      </c>
      <c r="U96" s="583" t="str">
        <f>IF(G96="Select food category:","",_xlfn.IFNA(VLOOKUP($H96,Ingredient_prices!$E:$U,16,FALSE)*$R96/1000,"not bought"))</f>
        <v/>
      </c>
      <c r="V96" s="549">
        <f>VLOOKUP($H96,'CO2_emission+%_food_waste'!$A:$K,4,FALSE)*$Q96</f>
        <v>0</v>
      </c>
      <c r="W96" s="583">
        <f>VLOOKUP($H96,Nutrition_tables!$A:$N,10,FALSE)*$Q96/100</f>
        <v>0</v>
      </c>
      <c r="X96" s="583">
        <f>VLOOKUP($H96,Nutrition_tables!$A:$N,11,FALSE)*$Q96/100</f>
        <v>0</v>
      </c>
      <c r="Y96" s="583">
        <f>VLOOKUP($H96,Nutrition_tables!$A:$N,12,FALSE)*$Q96/100</f>
        <v>0</v>
      </c>
      <c r="Z96" s="583">
        <f>VLOOKUP($H96,Nutrition_tables!$A:$N,14,FALSE)*$Q96/100</f>
        <v>0</v>
      </c>
      <c r="AA96" s="583">
        <f>VLOOKUP($H96,Nutrition_tables!$A:$AF,13,FALSE)*$Q96/100</f>
        <v>0</v>
      </c>
      <c r="AB96" s="549">
        <f>VLOOKUP($H96,Nutrition_tables!$A:$AF,15,FALSE)*$Q96/100</f>
        <v>0</v>
      </c>
      <c r="AC96" s="583">
        <f>VLOOKUP($H96,Nutrition_tables!$A:$AF,16,FALSE)*$Q96/100</f>
        <v>0</v>
      </c>
      <c r="AD96" s="583">
        <f>VLOOKUP($H96,Nutrition_tables!$A:$AF,17,FALSE)*$Q96/100</f>
        <v>0</v>
      </c>
      <c r="AE96" s="583">
        <f>VLOOKUP($H96,Nutrition_tables!$A:$AF,18,FALSE)*$Q96/100</f>
        <v>0</v>
      </c>
      <c r="AF96" s="583">
        <f>VLOOKUP($H96,Nutrition_tables!$A:$AF,19,FALSE)*$Q96/100</f>
        <v>0</v>
      </c>
      <c r="AG96" s="583">
        <f>VLOOKUP($H96,Nutrition_tables!$A:$AF,20,FALSE)*$Q96/100</f>
        <v>0</v>
      </c>
      <c r="AH96" s="583">
        <f>VLOOKUP($H96,Nutrition_tables!$A:$AF,21,FALSE)*$Q96/100</f>
        <v>0</v>
      </c>
      <c r="AI96" s="583">
        <f>VLOOKUP($H96,Nutrition_tables!$A:$AF,22,FALSE)*$Q96/100</f>
        <v>0</v>
      </c>
      <c r="AJ96" s="549">
        <f>VLOOKUP($H96,Nutrition_tables!$A:$AF,23,FALSE)*$Q96/100</f>
        <v>0</v>
      </c>
      <c r="AK96" s="583">
        <f>VLOOKUP($H96,Nutrition_tables!$A:$AF,24,FALSE)*$Q96/100</f>
        <v>0</v>
      </c>
      <c r="AL96" s="583">
        <f>VLOOKUP($H96,Nutrition_tables!$A:$AF,25,FALSE)*$Q96/100</f>
        <v>0</v>
      </c>
      <c r="AM96" s="583">
        <f>VLOOKUP($H96,Nutrition_tables!$A:$AF,26,FALSE)*$Q96/100</f>
        <v>0</v>
      </c>
      <c r="AN96" s="583">
        <f>VLOOKUP($H96,Nutrition_tables!$A:$AF,27,FALSE)*$Q96/100</f>
        <v>0</v>
      </c>
      <c r="AO96" s="583">
        <f>VLOOKUP($H96,Nutrition_tables!$A:$AF,28,FALSE)*$Q96/100</f>
        <v>0</v>
      </c>
      <c r="AP96" s="583">
        <f>VLOOKUP($H96,Nutrition_tables!$A:$AF,29,FALSE)*$Q96/100</f>
        <v>0</v>
      </c>
      <c r="AQ96" s="583">
        <f>VLOOKUP($H96,Nutrition_tables!$A:$AF,30,FALSE)*$Q96/100</f>
        <v>0</v>
      </c>
      <c r="AR96" s="583">
        <f>VLOOKUP($H96,Nutrition_tables!$A:$AF,31,FALSE)*$Q96/100</f>
        <v>0</v>
      </c>
      <c r="AS96" s="549">
        <f>VLOOKUP($H96,Nutrition_tables!$A:$AF,32,FALSE)*$Q96/100</f>
        <v>0</v>
      </c>
      <c r="AT96" s="583" t="str">
        <f>IF(H96="Select ingredient:","",IF(G96="Select food category:","",IFERROR(VLOOKUP($H96,Ingredient_prices!$E:$W,17,FALSE)*$Q96/1000,"not bought")))</f>
        <v/>
      </c>
      <c r="AU96" s="583" t="str">
        <f>IF(H96="Select ingredient:","",IF(G96="Select food category:","",IFERROR(VLOOKUP($H96,Ingredient_prices!$E:$W,18,FALSE)*$Q96/1000,"not bought")))</f>
        <v/>
      </c>
      <c r="AV96" s="583">
        <f t="shared" si="200"/>
        <v>0</v>
      </c>
      <c r="AW96" s="583">
        <f t="shared" si="201"/>
        <v>0</v>
      </c>
      <c r="AX96" s="583">
        <f t="shared" si="202"/>
        <v>0</v>
      </c>
      <c r="AY96" s="583">
        <f t="shared" si="203"/>
        <v>0</v>
      </c>
      <c r="AZ96" s="583">
        <f t="shared" si="204"/>
        <v>0</v>
      </c>
      <c r="BA96" s="583">
        <f t="shared" si="205"/>
        <v>0</v>
      </c>
      <c r="BB96" s="583">
        <f t="shared" si="206"/>
        <v>0</v>
      </c>
      <c r="BC96" s="583">
        <f t="shared" si="207"/>
        <v>0</v>
      </c>
      <c r="BD96" s="583">
        <f t="shared" si="208"/>
        <v>0</v>
      </c>
      <c r="BE96" s="583">
        <f t="shared" si="209"/>
        <v>0</v>
      </c>
      <c r="BF96" s="583">
        <f t="shared" si="210"/>
        <v>0</v>
      </c>
      <c r="BG96" s="583">
        <f t="shared" si="211"/>
        <v>0</v>
      </c>
      <c r="BH96" s="583">
        <f t="shared" si="212"/>
        <v>0</v>
      </c>
      <c r="BI96" s="583">
        <f t="shared" si="213"/>
        <v>0</v>
      </c>
      <c r="BJ96" s="583">
        <f t="shared" si="214"/>
        <v>0</v>
      </c>
      <c r="BK96" s="583">
        <f t="shared" si="215"/>
        <v>0</v>
      </c>
      <c r="BL96" s="583">
        <f t="shared" si="216"/>
        <v>0</v>
      </c>
      <c r="BM96" s="583">
        <f t="shared" si="217"/>
        <v>0</v>
      </c>
      <c r="BN96" s="583">
        <f t="shared" si="218"/>
        <v>0</v>
      </c>
      <c r="BO96" s="583">
        <f t="shared" si="219"/>
        <v>0</v>
      </c>
      <c r="BP96" s="583">
        <f t="shared" si="220"/>
        <v>0</v>
      </c>
      <c r="BQ96" s="583">
        <f t="shared" si="221"/>
        <v>0</v>
      </c>
      <c r="BR96" s="583">
        <f t="shared" si="222"/>
        <v>0</v>
      </c>
    </row>
    <row r="97" spans="1:70" s="229" customFormat="1" ht="15" customHeight="1">
      <c r="A97" s="590"/>
      <c r="D97" s="85"/>
      <c r="E97" s="576" t="str">
        <f t="shared" si="223"/>
        <v/>
      </c>
      <c r="F97" s="707"/>
      <c r="G97" s="406" t="s">
        <v>3054</v>
      </c>
      <c r="H97" s="1262" t="s">
        <v>3055</v>
      </c>
      <c r="I97" s="85">
        <v>0</v>
      </c>
      <c r="J97" s="682">
        <v>1</v>
      </c>
      <c r="K97" s="579" t="str">
        <f t="shared" si="197"/>
        <v/>
      </c>
      <c r="L97" s="580" t="str">
        <f>IF(H97="Select ingredient:","",IF(G97="","",_xlfn.IFNA(VLOOKUP($H97,Ingredient_prices!$E:$U,16,FALSE),0)))</f>
        <v/>
      </c>
      <c r="M97" s="591"/>
      <c r="N97" s="591"/>
      <c r="O97" s="591"/>
      <c r="P97" s="615"/>
      <c r="Q97" s="583">
        <f t="shared" si="198"/>
        <v>0</v>
      </c>
      <c r="R97" s="583">
        <f>VLOOKUP($H97,'CO2_emission+%_food_waste'!$A:$K,6,FALSE)*$Q97/100</f>
        <v>0</v>
      </c>
      <c r="S97" s="583">
        <f t="shared" si="199"/>
        <v>0</v>
      </c>
      <c r="T97" s="583" t="str">
        <f>IF(H97="Select ingredient:","",IF(G97="Select food category:","",_xlfn.IFNA(VLOOKUP($H97,Ingredient_prices!$E:$U,16,FALSE)*$Q97/1000,"not bought")))</f>
        <v/>
      </c>
      <c r="U97" s="583" t="str">
        <f>IF(G97="Select food category:","",_xlfn.IFNA(VLOOKUP($H97,Ingredient_prices!$E:$U,16,FALSE)*$R97/1000,"not bought"))</f>
        <v/>
      </c>
      <c r="V97" s="549">
        <f>VLOOKUP($H97,'CO2_emission+%_food_waste'!$A:$K,4,FALSE)*$Q97</f>
        <v>0</v>
      </c>
      <c r="W97" s="583">
        <f>VLOOKUP($H97,Nutrition_tables!$A:$N,10,FALSE)*$Q97/100</f>
        <v>0</v>
      </c>
      <c r="X97" s="583">
        <f>VLOOKUP($H97,Nutrition_tables!$A:$N,11,FALSE)*$Q97/100</f>
        <v>0</v>
      </c>
      <c r="Y97" s="583">
        <f>VLOOKUP($H97,Nutrition_tables!$A:$N,12,FALSE)*$Q97/100</f>
        <v>0</v>
      </c>
      <c r="Z97" s="583">
        <f>VLOOKUP($H97,Nutrition_tables!$A:$N,14,FALSE)*$Q97/100</f>
        <v>0</v>
      </c>
      <c r="AA97" s="583">
        <f>VLOOKUP($H97,Nutrition_tables!$A:$AF,13,FALSE)*$Q97/100</f>
        <v>0</v>
      </c>
      <c r="AB97" s="549">
        <f>VLOOKUP($H97,Nutrition_tables!$A:$AF,15,FALSE)*$Q97/100</f>
        <v>0</v>
      </c>
      <c r="AC97" s="583">
        <f>VLOOKUP($H97,Nutrition_tables!$A:$AF,16,FALSE)*$Q97/100</f>
        <v>0</v>
      </c>
      <c r="AD97" s="583">
        <f>VLOOKUP($H97,Nutrition_tables!$A:$AF,17,FALSE)*$Q97/100</f>
        <v>0</v>
      </c>
      <c r="AE97" s="583">
        <f>VLOOKUP($H97,Nutrition_tables!$A:$AF,18,FALSE)*$Q97/100</f>
        <v>0</v>
      </c>
      <c r="AF97" s="583">
        <f>VLOOKUP($H97,Nutrition_tables!$A:$AF,19,FALSE)*$Q97/100</f>
        <v>0</v>
      </c>
      <c r="AG97" s="583">
        <f>VLOOKUP($H97,Nutrition_tables!$A:$AF,20,FALSE)*$Q97/100</f>
        <v>0</v>
      </c>
      <c r="AH97" s="583">
        <f>VLOOKUP($H97,Nutrition_tables!$A:$AF,21,FALSE)*$Q97/100</f>
        <v>0</v>
      </c>
      <c r="AI97" s="583">
        <f>VLOOKUP($H97,Nutrition_tables!$A:$AF,22,FALSE)*$Q97/100</f>
        <v>0</v>
      </c>
      <c r="AJ97" s="549">
        <f>VLOOKUP($H97,Nutrition_tables!$A:$AF,23,FALSE)*$Q97/100</f>
        <v>0</v>
      </c>
      <c r="AK97" s="583">
        <f>VLOOKUP($H97,Nutrition_tables!$A:$AF,24,FALSE)*$Q97/100</f>
        <v>0</v>
      </c>
      <c r="AL97" s="583">
        <f>VLOOKUP($H97,Nutrition_tables!$A:$AF,25,FALSE)*$Q97/100</f>
        <v>0</v>
      </c>
      <c r="AM97" s="583">
        <f>VLOOKUP($H97,Nutrition_tables!$A:$AF,26,FALSE)*$Q97/100</f>
        <v>0</v>
      </c>
      <c r="AN97" s="583">
        <f>VLOOKUP($H97,Nutrition_tables!$A:$AF,27,FALSE)*$Q97/100</f>
        <v>0</v>
      </c>
      <c r="AO97" s="583">
        <f>VLOOKUP($H97,Nutrition_tables!$A:$AF,28,FALSE)*$Q97/100</f>
        <v>0</v>
      </c>
      <c r="AP97" s="583">
        <f>VLOOKUP($H97,Nutrition_tables!$A:$AF,29,FALSE)*$Q97/100</f>
        <v>0</v>
      </c>
      <c r="AQ97" s="583">
        <f>VLOOKUP($H97,Nutrition_tables!$A:$AF,30,FALSE)*$Q97/100</f>
        <v>0</v>
      </c>
      <c r="AR97" s="583">
        <f>VLOOKUP($H97,Nutrition_tables!$A:$AF,31,FALSE)*$Q97/100</f>
        <v>0</v>
      </c>
      <c r="AS97" s="549">
        <f>VLOOKUP($H97,Nutrition_tables!$A:$AF,32,FALSE)*$Q97/100</f>
        <v>0</v>
      </c>
      <c r="AT97" s="583" t="str">
        <f>IF(H97="Select ingredient:","",IF(G97="Select food category:","",IFERROR(VLOOKUP($H97,Ingredient_prices!$E:$W,17,FALSE)*$Q97/1000,"not bought")))</f>
        <v/>
      </c>
      <c r="AU97" s="583" t="str">
        <f>IF(H97="Select ingredient:","",IF(G97="Select food category:","",IFERROR(VLOOKUP($H97,Ingredient_prices!$E:$W,18,FALSE)*$Q97/1000,"not bought")))</f>
        <v/>
      </c>
      <c r="AV97" s="583">
        <f t="shared" si="200"/>
        <v>0</v>
      </c>
      <c r="AW97" s="583">
        <f t="shared" si="201"/>
        <v>0</v>
      </c>
      <c r="AX97" s="583">
        <f t="shared" si="202"/>
        <v>0</v>
      </c>
      <c r="AY97" s="583">
        <f t="shared" si="203"/>
        <v>0</v>
      </c>
      <c r="AZ97" s="583">
        <f t="shared" si="204"/>
        <v>0</v>
      </c>
      <c r="BA97" s="583">
        <f t="shared" si="205"/>
        <v>0</v>
      </c>
      <c r="BB97" s="583">
        <f t="shared" si="206"/>
        <v>0</v>
      </c>
      <c r="BC97" s="583">
        <f t="shared" si="207"/>
        <v>0</v>
      </c>
      <c r="BD97" s="583">
        <f t="shared" si="208"/>
        <v>0</v>
      </c>
      <c r="BE97" s="583">
        <f t="shared" si="209"/>
        <v>0</v>
      </c>
      <c r="BF97" s="583">
        <f t="shared" si="210"/>
        <v>0</v>
      </c>
      <c r="BG97" s="583">
        <f t="shared" si="211"/>
        <v>0</v>
      </c>
      <c r="BH97" s="583">
        <f t="shared" si="212"/>
        <v>0</v>
      </c>
      <c r="BI97" s="583">
        <f t="shared" si="213"/>
        <v>0</v>
      </c>
      <c r="BJ97" s="583">
        <f t="shared" si="214"/>
        <v>0</v>
      </c>
      <c r="BK97" s="583">
        <f t="shared" si="215"/>
        <v>0</v>
      </c>
      <c r="BL97" s="583">
        <f t="shared" si="216"/>
        <v>0</v>
      </c>
      <c r="BM97" s="583">
        <f t="shared" si="217"/>
        <v>0</v>
      </c>
      <c r="BN97" s="583">
        <f t="shared" si="218"/>
        <v>0</v>
      </c>
      <c r="BO97" s="583">
        <f t="shared" si="219"/>
        <v>0</v>
      </c>
      <c r="BP97" s="583">
        <f t="shared" si="220"/>
        <v>0</v>
      </c>
      <c r="BQ97" s="583">
        <f t="shared" si="221"/>
        <v>0</v>
      </c>
      <c r="BR97" s="583">
        <f t="shared" si="222"/>
        <v>0</v>
      </c>
    </row>
    <row r="98" spans="1:70" s="229" customFormat="1" ht="15" customHeight="1">
      <c r="A98" s="590"/>
      <c r="D98" s="85"/>
      <c r="E98" s="576" t="str">
        <f t="shared" si="223"/>
        <v/>
      </c>
      <c r="F98" s="707"/>
      <c r="G98" s="406" t="s">
        <v>3054</v>
      </c>
      <c r="H98" s="1262" t="s">
        <v>3055</v>
      </c>
      <c r="I98" s="85">
        <v>0</v>
      </c>
      <c r="J98" s="682">
        <v>1</v>
      </c>
      <c r="K98" s="579" t="str">
        <f t="shared" si="197"/>
        <v/>
      </c>
      <c r="L98" s="580" t="str">
        <f>IF(H98="Select ingredient:","",IF(G98="","",_xlfn.IFNA(VLOOKUP($H98,Ingredient_prices!$E:$U,16,FALSE),0)))</f>
        <v/>
      </c>
      <c r="M98" s="591"/>
      <c r="N98" s="591"/>
      <c r="O98" s="591"/>
      <c r="P98" s="615"/>
      <c r="Q98" s="583">
        <f t="shared" si="198"/>
        <v>0</v>
      </c>
      <c r="R98" s="583">
        <f>VLOOKUP($H98,'CO2_emission+%_food_waste'!$A:$K,6,FALSE)*$Q98/100</f>
        <v>0</v>
      </c>
      <c r="S98" s="583">
        <f t="shared" si="199"/>
        <v>0</v>
      </c>
      <c r="T98" s="583" t="str">
        <f>IF(H98="Select ingredient:","",IF(G98="Select food category:","",_xlfn.IFNA(VLOOKUP($H98,Ingredient_prices!$E:$U,16,FALSE)*$Q98/1000,"not bought")))</f>
        <v/>
      </c>
      <c r="U98" s="583" t="str">
        <f>IF(G98="Select food category:","",_xlfn.IFNA(VLOOKUP($H98,Ingredient_prices!$E:$U,16,FALSE)*$R98/1000,"not bought"))</f>
        <v/>
      </c>
      <c r="V98" s="549">
        <f>VLOOKUP($H98,'CO2_emission+%_food_waste'!$A:$K,4,FALSE)*$Q98</f>
        <v>0</v>
      </c>
      <c r="W98" s="583">
        <f>VLOOKUP($H98,Nutrition_tables!$A:$N,10,FALSE)*$Q98/100</f>
        <v>0</v>
      </c>
      <c r="X98" s="583">
        <f>VLOOKUP($H98,Nutrition_tables!$A:$N,11,FALSE)*$Q98/100</f>
        <v>0</v>
      </c>
      <c r="Y98" s="583">
        <f>VLOOKUP($H98,Nutrition_tables!$A:$N,12,FALSE)*$Q98/100</f>
        <v>0</v>
      </c>
      <c r="Z98" s="583">
        <f>VLOOKUP($H98,Nutrition_tables!$A:$N,14,FALSE)*$Q98/100</f>
        <v>0</v>
      </c>
      <c r="AA98" s="583">
        <f>VLOOKUP($H98,Nutrition_tables!$A:$AF,13,FALSE)*$Q98/100</f>
        <v>0</v>
      </c>
      <c r="AB98" s="549">
        <f>VLOOKUP($H98,Nutrition_tables!$A:$AF,15,FALSE)*$Q98/100</f>
        <v>0</v>
      </c>
      <c r="AC98" s="583">
        <f>VLOOKUP($H98,Nutrition_tables!$A:$AF,16,FALSE)*$Q98/100</f>
        <v>0</v>
      </c>
      <c r="AD98" s="583">
        <f>VLOOKUP($H98,Nutrition_tables!$A:$AF,17,FALSE)*$Q98/100</f>
        <v>0</v>
      </c>
      <c r="AE98" s="583">
        <f>VLOOKUP($H98,Nutrition_tables!$A:$AF,18,FALSE)*$Q98/100</f>
        <v>0</v>
      </c>
      <c r="AF98" s="583">
        <f>VLOOKUP($H98,Nutrition_tables!$A:$AF,19,FALSE)*$Q98/100</f>
        <v>0</v>
      </c>
      <c r="AG98" s="583">
        <f>VLOOKUP($H98,Nutrition_tables!$A:$AF,20,FALSE)*$Q98/100</f>
        <v>0</v>
      </c>
      <c r="AH98" s="583">
        <f>VLOOKUP($H98,Nutrition_tables!$A:$AF,21,FALSE)*$Q98/100</f>
        <v>0</v>
      </c>
      <c r="AI98" s="583">
        <f>VLOOKUP($H98,Nutrition_tables!$A:$AF,22,FALSE)*$Q98/100</f>
        <v>0</v>
      </c>
      <c r="AJ98" s="549">
        <f>VLOOKUP($H98,Nutrition_tables!$A:$AF,23,FALSE)*$Q98/100</f>
        <v>0</v>
      </c>
      <c r="AK98" s="583">
        <f>VLOOKUP($H98,Nutrition_tables!$A:$AF,24,FALSE)*$Q98/100</f>
        <v>0</v>
      </c>
      <c r="AL98" s="583">
        <f>VLOOKUP($H98,Nutrition_tables!$A:$AF,25,FALSE)*$Q98/100</f>
        <v>0</v>
      </c>
      <c r="AM98" s="583">
        <f>VLOOKUP($H98,Nutrition_tables!$A:$AF,26,FALSE)*$Q98/100</f>
        <v>0</v>
      </c>
      <c r="AN98" s="583">
        <f>VLOOKUP($H98,Nutrition_tables!$A:$AF,27,FALSE)*$Q98/100</f>
        <v>0</v>
      </c>
      <c r="AO98" s="583">
        <f>VLOOKUP($H98,Nutrition_tables!$A:$AF,28,FALSE)*$Q98/100</f>
        <v>0</v>
      </c>
      <c r="AP98" s="583">
        <f>VLOOKUP($H98,Nutrition_tables!$A:$AF,29,FALSE)*$Q98/100</f>
        <v>0</v>
      </c>
      <c r="AQ98" s="583">
        <f>VLOOKUP($H98,Nutrition_tables!$A:$AF,30,FALSE)*$Q98/100</f>
        <v>0</v>
      </c>
      <c r="AR98" s="583">
        <f>VLOOKUP($H98,Nutrition_tables!$A:$AF,31,FALSE)*$Q98/100</f>
        <v>0</v>
      </c>
      <c r="AS98" s="549">
        <f>VLOOKUP($H98,Nutrition_tables!$A:$AF,32,FALSE)*$Q98/100</f>
        <v>0</v>
      </c>
      <c r="AT98" s="583" t="str">
        <f>IF(H98="Select ingredient:","",IF(G98="Select food category:","",IFERROR(VLOOKUP($H98,Ingredient_prices!$E:$W,17,FALSE)*$Q98/1000,"not bought")))</f>
        <v/>
      </c>
      <c r="AU98" s="583" t="str">
        <f>IF(H98="Select ingredient:","",IF(G98="Select food category:","",IFERROR(VLOOKUP($H98,Ingredient_prices!$E:$W,18,FALSE)*$Q98/1000,"not bought")))</f>
        <v/>
      </c>
      <c r="AV98" s="583">
        <f t="shared" si="200"/>
        <v>0</v>
      </c>
      <c r="AW98" s="583">
        <f t="shared" si="201"/>
        <v>0</v>
      </c>
      <c r="AX98" s="583">
        <f t="shared" si="202"/>
        <v>0</v>
      </c>
      <c r="AY98" s="583">
        <f t="shared" si="203"/>
        <v>0</v>
      </c>
      <c r="AZ98" s="583">
        <f t="shared" si="204"/>
        <v>0</v>
      </c>
      <c r="BA98" s="583">
        <f t="shared" si="205"/>
        <v>0</v>
      </c>
      <c r="BB98" s="583">
        <f t="shared" si="206"/>
        <v>0</v>
      </c>
      <c r="BC98" s="583">
        <f t="shared" si="207"/>
        <v>0</v>
      </c>
      <c r="BD98" s="583">
        <f t="shared" si="208"/>
        <v>0</v>
      </c>
      <c r="BE98" s="583">
        <f t="shared" si="209"/>
        <v>0</v>
      </c>
      <c r="BF98" s="583">
        <f t="shared" si="210"/>
        <v>0</v>
      </c>
      <c r="BG98" s="583">
        <f t="shared" si="211"/>
        <v>0</v>
      </c>
      <c r="BH98" s="583">
        <f t="shared" si="212"/>
        <v>0</v>
      </c>
      <c r="BI98" s="583">
        <f t="shared" si="213"/>
        <v>0</v>
      </c>
      <c r="BJ98" s="583">
        <f t="shared" si="214"/>
        <v>0</v>
      </c>
      <c r="BK98" s="583">
        <f t="shared" si="215"/>
        <v>0</v>
      </c>
      <c r="BL98" s="583">
        <f t="shared" si="216"/>
        <v>0</v>
      </c>
      <c r="BM98" s="583">
        <f t="shared" si="217"/>
        <v>0</v>
      </c>
      <c r="BN98" s="583">
        <f t="shared" si="218"/>
        <v>0</v>
      </c>
      <c r="BO98" s="583">
        <f t="shared" si="219"/>
        <v>0</v>
      </c>
      <c r="BP98" s="583">
        <f t="shared" si="220"/>
        <v>0</v>
      </c>
      <c r="BQ98" s="583">
        <f t="shared" si="221"/>
        <v>0</v>
      </c>
      <c r="BR98" s="583">
        <f t="shared" si="222"/>
        <v>0</v>
      </c>
    </row>
    <row r="99" spans="1:70" s="229" customFormat="1" ht="15" customHeight="1">
      <c r="A99" s="590"/>
      <c r="D99" s="85"/>
      <c r="E99" s="576" t="str">
        <f t="shared" si="223"/>
        <v/>
      </c>
      <c r="F99" s="707"/>
      <c r="G99" s="406" t="s">
        <v>3054</v>
      </c>
      <c r="H99" s="1262" t="s">
        <v>3055</v>
      </c>
      <c r="I99" s="85">
        <v>0</v>
      </c>
      <c r="J99" s="682">
        <v>1</v>
      </c>
      <c r="K99" s="579" t="str">
        <f t="shared" si="197"/>
        <v/>
      </c>
      <c r="L99" s="580" t="str">
        <f>IF(H99="Select ingredient:","",IF(G99="","",_xlfn.IFNA(VLOOKUP($H99,Ingredient_prices!$E:$U,16,FALSE),0)))</f>
        <v/>
      </c>
      <c r="M99" s="591"/>
      <c r="N99" s="591"/>
      <c r="O99" s="591"/>
      <c r="P99" s="615"/>
      <c r="Q99" s="583">
        <f t="shared" si="198"/>
        <v>0</v>
      </c>
      <c r="R99" s="583">
        <f>VLOOKUP($H99,'CO2_emission+%_food_waste'!$A:$K,6,FALSE)*$Q99/100</f>
        <v>0</v>
      </c>
      <c r="S99" s="583">
        <f t="shared" si="199"/>
        <v>0</v>
      </c>
      <c r="T99" s="583" t="str">
        <f>IF(H99="Select ingredient:","",IF(G99="Select food category:","",_xlfn.IFNA(VLOOKUP($H99,Ingredient_prices!$E:$U,16,FALSE)*$Q99/1000,"not bought")))</f>
        <v/>
      </c>
      <c r="U99" s="583" t="str">
        <f>IF(G99="Select food category:","",_xlfn.IFNA(VLOOKUP($H99,Ingredient_prices!$E:$U,16,FALSE)*$R99/1000,"not bought"))</f>
        <v/>
      </c>
      <c r="V99" s="549">
        <f>VLOOKUP($H99,'CO2_emission+%_food_waste'!$A:$K,4,FALSE)*$Q99</f>
        <v>0</v>
      </c>
      <c r="W99" s="583">
        <f>VLOOKUP($H99,Nutrition_tables!$A:$N,10,FALSE)*$Q99/100</f>
        <v>0</v>
      </c>
      <c r="X99" s="583">
        <f>VLOOKUP($H99,Nutrition_tables!$A:$N,11,FALSE)*$Q99/100</f>
        <v>0</v>
      </c>
      <c r="Y99" s="583">
        <f>VLOOKUP($H99,Nutrition_tables!$A:$N,12,FALSE)*$Q99/100</f>
        <v>0</v>
      </c>
      <c r="Z99" s="583">
        <f>VLOOKUP($H99,Nutrition_tables!$A:$N,14,FALSE)*$Q99/100</f>
        <v>0</v>
      </c>
      <c r="AA99" s="583">
        <f>VLOOKUP($H99,Nutrition_tables!$A:$AF,13,FALSE)*$Q99/100</f>
        <v>0</v>
      </c>
      <c r="AB99" s="549">
        <f>VLOOKUP($H99,Nutrition_tables!$A:$AF,15,FALSE)*$Q99/100</f>
        <v>0</v>
      </c>
      <c r="AC99" s="583">
        <f>VLOOKUP($H99,Nutrition_tables!$A:$AF,16,FALSE)*$Q99/100</f>
        <v>0</v>
      </c>
      <c r="AD99" s="583">
        <f>VLOOKUP($H99,Nutrition_tables!$A:$AF,17,FALSE)*$Q99/100</f>
        <v>0</v>
      </c>
      <c r="AE99" s="583">
        <f>VLOOKUP($H99,Nutrition_tables!$A:$AF,18,FALSE)*$Q99/100</f>
        <v>0</v>
      </c>
      <c r="AF99" s="583">
        <f>VLOOKUP($H99,Nutrition_tables!$A:$AF,19,FALSE)*$Q99/100</f>
        <v>0</v>
      </c>
      <c r="AG99" s="583">
        <f>VLOOKUP($H99,Nutrition_tables!$A:$AF,20,FALSE)*$Q99/100</f>
        <v>0</v>
      </c>
      <c r="AH99" s="583">
        <f>VLOOKUP($H99,Nutrition_tables!$A:$AF,21,FALSE)*$Q99/100</f>
        <v>0</v>
      </c>
      <c r="AI99" s="583">
        <f>VLOOKUP($H99,Nutrition_tables!$A:$AF,22,FALSE)*$Q99/100</f>
        <v>0</v>
      </c>
      <c r="AJ99" s="549">
        <f>VLOOKUP($H99,Nutrition_tables!$A:$AF,23,FALSE)*$Q99/100</f>
        <v>0</v>
      </c>
      <c r="AK99" s="583">
        <f>VLOOKUP($H99,Nutrition_tables!$A:$AF,24,FALSE)*$Q99/100</f>
        <v>0</v>
      </c>
      <c r="AL99" s="583">
        <f>VLOOKUP($H99,Nutrition_tables!$A:$AF,25,FALSE)*$Q99/100</f>
        <v>0</v>
      </c>
      <c r="AM99" s="583">
        <f>VLOOKUP($H99,Nutrition_tables!$A:$AF,26,FALSE)*$Q99/100</f>
        <v>0</v>
      </c>
      <c r="AN99" s="583">
        <f>VLOOKUP($H99,Nutrition_tables!$A:$AF,27,FALSE)*$Q99/100</f>
        <v>0</v>
      </c>
      <c r="AO99" s="583">
        <f>VLOOKUP($H99,Nutrition_tables!$A:$AF,28,FALSE)*$Q99/100</f>
        <v>0</v>
      </c>
      <c r="AP99" s="583">
        <f>VLOOKUP($H99,Nutrition_tables!$A:$AF,29,FALSE)*$Q99/100</f>
        <v>0</v>
      </c>
      <c r="AQ99" s="583">
        <f>VLOOKUP($H99,Nutrition_tables!$A:$AF,30,FALSE)*$Q99/100</f>
        <v>0</v>
      </c>
      <c r="AR99" s="583">
        <f>VLOOKUP($H99,Nutrition_tables!$A:$AF,31,FALSE)*$Q99/100</f>
        <v>0</v>
      </c>
      <c r="AS99" s="549">
        <f>VLOOKUP($H99,Nutrition_tables!$A:$AF,32,FALSE)*$Q99/100</f>
        <v>0</v>
      </c>
      <c r="AT99" s="583" t="str">
        <f>IF(H99="Select ingredient:","",IF(G99="Select food category:","",IFERROR(VLOOKUP($H99,Ingredient_prices!$E:$W,17,FALSE)*$Q99/1000,"not bought")))</f>
        <v/>
      </c>
      <c r="AU99" s="583" t="str">
        <f>IF(H99="Select ingredient:","",IF(G99="Select food category:","",IFERROR(VLOOKUP($H99,Ingredient_prices!$E:$W,18,FALSE)*$Q99/1000,"not bought")))</f>
        <v/>
      </c>
      <c r="AV99" s="583">
        <f t="shared" si="200"/>
        <v>0</v>
      </c>
      <c r="AW99" s="583">
        <f t="shared" si="201"/>
        <v>0</v>
      </c>
      <c r="AX99" s="583">
        <f t="shared" si="202"/>
        <v>0</v>
      </c>
      <c r="AY99" s="583">
        <f t="shared" si="203"/>
        <v>0</v>
      </c>
      <c r="AZ99" s="583">
        <f t="shared" si="204"/>
        <v>0</v>
      </c>
      <c r="BA99" s="583">
        <f t="shared" si="205"/>
        <v>0</v>
      </c>
      <c r="BB99" s="583">
        <f t="shared" si="206"/>
        <v>0</v>
      </c>
      <c r="BC99" s="583">
        <f t="shared" si="207"/>
        <v>0</v>
      </c>
      <c r="BD99" s="583">
        <f t="shared" si="208"/>
        <v>0</v>
      </c>
      <c r="BE99" s="583">
        <f t="shared" si="209"/>
        <v>0</v>
      </c>
      <c r="BF99" s="583">
        <f t="shared" si="210"/>
        <v>0</v>
      </c>
      <c r="BG99" s="583">
        <f t="shared" si="211"/>
        <v>0</v>
      </c>
      <c r="BH99" s="583">
        <f t="shared" si="212"/>
        <v>0</v>
      </c>
      <c r="BI99" s="583">
        <f t="shared" si="213"/>
        <v>0</v>
      </c>
      <c r="BJ99" s="583">
        <f t="shared" si="214"/>
        <v>0</v>
      </c>
      <c r="BK99" s="583">
        <f t="shared" si="215"/>
        <v>0</v>
      </c>
      <c r="BL99" s="583">
        <f t="shared" si="216"/>
        <v>0</v>
      </c>
      <c r="BM99" s="583">
        <f t="shared" si="217"/>
        <v>0</v>
      </c>
      <c r="BN99" s="583">
        <f t="shared" si="218"/>
        <v>0</v>
      </c>
      <c r="BO99" s="583">
        <f t="shared" si="219"/>
        <v>0</v>
      </c>
      <c r="BP99" s="583">
        <f t="shared" si="220"/>
        <v>0</v>
      </c>
      <c r="BQ99" s="583">
        <f t="shared" si="221"/>
        <v>0</v>
      </c>
      <c r="BR99" s="583">
        <f t="shared" si="222"/>
        <v>0</v>
      </c>
    </row>
    <row r="100" spans="1:70" s="229" customFormat="1" ht="15" customHeight="1">
      <c r="A100" s="590"/>
      <c r="D100" s="85"/>
      <c r="E100" s="576" t="str">
        <f t="shared" si="223"/>
        <v/>
      </c>
      <c r="F100" s="707"/>
      <c r="G100" s="406" t="s">
        <v>3054</v>
      </c>
      <c r="H100" s="1262" t="s">
        <v>3055</v>
      </c>
      <c r="I100" s="85">
        <v>0</v>
      </c>
      <c r="J100" s="682">
        <v>1</v>
      </c>
      <c r="K100" s="579" t="str">
        <f t="shared" si="197"/>
        <v/>
      </c>
      <c r="L100" s="580" t="str">
        <f>IF(H100="Select ingredient:","",IF(G100="","",_xlfn.IFNA(VLOOKUP($H100,Ingredient_prices!$E:$U,16,FALSE),0)))</f>
        <v/>
      </c>
      <c r="M100" s="591"/>
      <c r="N100" s="591"/>
      <c r="O100" s="591"/>
      <c r="P100" s="615"/>
      <c r="Q100" s="583">
        <f t="shared" si="198"/>
        <v>0</v>
      </c>
      <c r="R100" s="583">
        <f>VLOOKUP($H100,'CO2_emission+%_food_waste'!$A:$K,6,FALSE)*$Q100/100</f>
        <v>0</v>
      </c>
      <c r="S100" s="583">
        <f t="shared" si="199"/>
        <v>0</v>
      </c>
      <c r="T100" s="583" t="str">
        <f>IF(H100="Select ingredient:","",IF(G100="Select food category:","",_xlfn.IFNA(VLOOKUP($H100,Ingredient_prices!$E:$U,16,FALSE)*$Q100/1000,"not bought")))</f>
        <v/>
      </c>
      <c r="U100" s="583" t="str">
        <f>IF(G100="Select food category:","",_xlfn.IFNA(VLOOKUP($H100,Ingredient_prices!$E:$U,16,FALSE)*$R100/1000,"not bought"))</f>
        <v/>
      </c>
      <c r="V100" s="549">
        <f>VLOOKUP($H100,'CO2_emission+%_food_waste'!$A:$K,4,FALSE)*$Q100</f>
        <v>0</v>
      </c>
      <c r="W100" s="583">
        <f>VLOOKUP($H100,Nutrition_tables!$A:$N,10,FALSE)*$Q100/100</f>
        <v>0</v>
      </c>
      <c r="X100" s="583">
        <f>VLOOKUP($H100,Nutrition_tables!$A:$N,11,FALSE)*$Q100/100</f>
        <v>0</v>
      </c>
      <c r="Y100" s="583">
        <f>VLOOKUP($H100,Nutrition_tables!$A:$N,12,FALSE)*$Q100/100</f>
        <v>0</v>
      </c>
      <c r="Z100" s="583">
        <f>VLOOKUP($H100,Nutrition_tables!$A:$N,14,FALSE)*$Q100/100</f>
        <v>0</v>
      </c>
      <c r="AA100" s="583">
        <f>VLOOKUP($H100,Nutrition_tables!$A:$AF,13,FALSE)*$Q100/100</f>
        <v>0</v>
      </c>
      <c r="AB100" s="549">
        <f>VLOOKUP($H100,Nutrition_tables!$A:$AF,15,FALSE)*$Q100/100</f>
        <v>0</v>
      </c>
      <c r="AC100" s="583">
        <f>VLOOKUP($H100,Nutrition_tables!$A:$AF,16,FALSE)*$Q100/100</f>
        <v>0</v>
      </c>
      <c r="AD100" s="583">
        <f>VLOOKUP($H100,Nutrition_tables!$A:$AF,17,FALSE)*$Q100/100</f>
        <v>0</v>
      </c>
      <c r="AE100" s="583">
        <f>VLOOKUP($H100,Nutrition_tables!$A:$AF,18,FALSE)*$Q100/100</f>
        <v>0</v>
      </c>
      <c r="AF100" s="583">
        <f>VLOOKUP($H100,Nutrition_tables!$A:$AF,19,FALSE)*$Q100/100</f>
        <v>0</v>
      </c>
      <c r="AG100" s="583">
        <f>VLOOKUP($H100,Nutrition_tables!$A:$AF,20,FALSE)*$Q100/100</f>
        <v>0</v>
      </c>
      <c r="AH100" s="583">
        <f>VLOOKUP($H100,Nutrition_tables!$A:$AF,21,FALSE)*$Q100/100</f>
        <v>0</v>
      </c>
      <c r="AI100" s="583">
        <f>VLOOKUP($H100,Nutrition_tables!$A:$AF,22,FALSE)*$Q100/100</f>
        <v>0</v>
      </c>
      <c r="AJ100" s="549">
        <f>VLOOKUP($H100,Nutrition_tables!$A:$AF,23,FALSE)*$Q100/100</f>
        <v>0</v>
      </c>
      <c r="AK100" s="583">
        <f>VLOOKUP($H100,Nutrition_tables!$A:$AF,24,FALSE)*$Q100/100</f>
        <v>0</v>
      </c>
      <c r="AL100" s="583">
        <f>VLOOKUP($H100,Nutrition_tables!$A:$AF,25,FALSE)*$Q100/100</f>
        <v>0</v>
      </c>
      <c r="AM100" s="583">
        <f>VLOOKUP($H100,Nutrition_tables!$A:$AF,26,FALSE)*$Q100/100</f>
        <v>0</v>
      </c>
      <c r="AN100" s="583">
        <f>VLOOKUP($H100,Nutrition_tables!$A:$AF,27,FALSE)*$Q100/100</f>
        <v>0</v>
      </c>
      <c r="AO100" s="583">
        <f>VLOOKUP($H100,Nutrition_tables!$A:$AF,28,FALSE)*$Q100/100</f>
        <v>0</v>
      </c>
      <c r="AP100" s="583">
        <f>VLOOKUP($H100,Nutrition_tables!$A:$AF,29,FALSE)*$Q100/100</f>
        <v>0</v>
      </c>
      <c r="AQ100" s="583">
        <f>VLOOKUP($H100,Nutrition_tables!$A:$AF,30,FALSE)*$Q100/100</f>
        <v>0</v>
      </c>
      <c r="AR100" s="583">
        <f>VLOOKUP($H100,Nutrition_tables!$A:$AF,31,FALSE)*$Q100/100</f>
        <v>0</v>
      </c>
      <c r="AS100" s="549">
        <f>VLOOKUP($H100,Nutrition_tables!$A:$AF,32,FALSE)*$Q100/100</f>
        <v>0</v>
      </c>
      <c r="AT100" s="583" t="str">
        <f>IF(H100="Select ingredient:","",IF(G100="Select food category:","",IFERROR(VLOOKUP($H100,Ingredient_prices!$E:$W,17,FALSE)*$Q100/1000,"not bought")))</f>
        <v/>
      </c>
      <c r="AU100" s="583" t="str">
        <f>IF(H100="Select ingredient:","",IF(G100="Select food category:","",IFERROR(VLOOKUP($H100,Ingredient_prices!$E:$W,18,FALSE)*$Q100/1000,"not bought")))</f>
        <v/>
      </c>
      <c r="AV100" s="583">
        <f t="shared" si="200"/>
        <v>0</v>
      </c>
      <c r="AW100" s="583">
        <f t="shared" si="201"/>
        <v>0</v>
      </c>
      <c r="AX100" s="583">
        <f t="shared" si="202"/>
        <v>0</v>
      </c>
      <c r="AY100" s="583">
        <f t="shared" si="203"/>
        <v>0</v>
      </c>
      <c r="AZ100" s="583">
        <f t="shared" si="204"/>
        <v>0</v>
      </c>
      <c r="BA100" s="583">
        <f t="shared" si="205"/>
        <v>0</v>
      </c>
      <c r="BB100" s="583">
        <f t="shared" si="206"/>
        <v>0</v>
      </c>
      <c r="BC100" s="583">
        <f t="shared" si="207"/>
        <v>0</v>
      </c>
      <c r="BD100" s="583">
        <f t="shared" si="208"/>
        <v>0</v>
      </c>
      <c r="BE100" s="583">
        <f t="shared" si="209"/>
        <v>0</v>
      </c>
      <c r="BF100" s="583">
        <f t="shared" si="210"/>
        <v>0</v>
      </c>
      <c r="BG100" s="583">
        <f t="shared" si="211"/>
        <v>0</v>
      </c>
      <c r="BH100" s="583">
        <f t="shared" si="212"/>
        <v>0</v>
      </c>
      <c r="BI100" s="583">
        <f t="shared" si="213"/>
        <v>0</v>
      </c>
      <c r="BJ100" s="583">
        <f t="shared" si="214"/>
        <v>0</v>
      </c>
      <c r="BK100" s="583">
        <f t="shared" si="215"/>
        <v>0</v>
      </c>
      <c r="BL100" s="583">
        <f t="shared" si="216"/>
        <v>0</v>
      </c>
      <c r="BM100" s="583">
        <f t="shared" si="217"/>
        <v>0</v>
      </c>
      <c r="BN100" s="583">
        <f t="shared" si="218"/>
        <v>0</v>
      </c>
      <c r="BO100" s="583">
        <f t="shared" si="219"/>
        <v>0</v>
      </c>
      <c r="BP100" s="583">
        <f t="shared" si="220"/>
        <v>0</v>
      </c>
      <c r="BQ100" s="583">
        <f t="shared" si="221"/>
        <v>0</v>
      </c>
      <c r="BR100" s="583">
        <f t="shared" si="222"/>
        <v>0</v>
      </c>
    </row>
    <row r="101" spans="1:70" s="603" customFormat="1" ht="56">
      <c r="A101" s="590"/>
      <c r="B101" s="593"/>
      <c r="C101" s="522"/>
      <c r="D101" s="522"/>
      <c r="E101" s="594"/>
      <c r="F101" s="708"/>
      <c r="G101" s="522"/>
      <c r="H101" s="522"/>
      <c r="I101" s="522"/>
      <c r="J101" s="522"/>
      <c r="K101" s="522"/>
      <c r="L101" s="596"/>
      <c r="M101" s="597"/>
      <c r="N101" s="597"/>
      <c r="O101" s="597"/>
      <c r="P101" s="598"/>
      <c r="Q101" s="599" t="s">
        <v>384</v>
      </c>
      <c r="R101" s="600" t="s">
        <v>455</v>
      </c>
      <c r="S101" s="600" t="s">
        <v>2087</v>
      </c>
      <c r="T101" s="600" t="s">
        <v>456</v>
      </c>
      <c r="U101" s="600" t="s">
        <v>535</v>
      </c>
      <c r="V101" s="601" t="s">
        <v>457</v>
      </c>
      <c r="W101" s="600" t="s">
        <v>75</v>
      </c>
      <c r="X101" s="600" t="s">
        <v>385</v>
      </c>
      <c r="Y101" s="600" t="s">
        <v>386</v>
      </c>
      <c r="Z101" s="600" t="s">
        <v>387</v>
      </c>
      <c r="AA101" s="600" t="s">
        <v>388</v>
      </c>
      <c r="AB101" s="601" t="s">
        <v>389</v>
      </c>
      <c r="AC101" s="602" t="s">
        <v>390</v>
      </c>
      <c r="AD101" s="600" t="s">
        <v>391</v>
      </c>
      <c r="AE101" s="600" t="s">
        <v>392</v>
      </c>
      <c r="AF101" s="600" t="s">
        <v>393</v>
      </c>
      <c r="AG101" s="600" t="s">
        <v>394</v>
      </c>
      <c r="AH101" s="600" t="s">
        <v>395</v>
      </c>
      <c r="AI101" s="600" t="s">
        <v>396</v>
      </c>
      <c r="AJ101" s="601" t="s">
        <v>397</v>
      </c>
      <c r="AK101" s="602" t="s">
        <v>398</v>
      </c>
      <c r="AL101" s="600" t="s">
        <v>399</v>
      </c>
      <c r="AM101" s="600" t="s">
        <v>400</v>
      </c>
      <c r="AN101" s="600" t="s">
        <v>401</v>
      </c>
      <c r="AO101" s="600" t="s">
        <v>402</v>
      </c>
      <c r="AP101" s="600" t="s">
        <v>406</v>
      </c>
      <c r="AQ101" s="600" t="s">
        <v>405</v>
      </c>
      <c r="AR101" s="600" t="s">
        <v>403</v>
      </c>
      <c r="AS101" s="601" t="s">
        <v>404</v>
      </c>
      <c r="AT101" s="593"/>
      <c r="AU101" s="593"/>
    </row>
    <row r="102" spans="1:70" s="229" customFormat="1">
      <c r="A102" s="590"/>
      <c r="B102" s="593"/>
      <c r="C102" s="522"/>
      <c r="D102" s="522"/>
      <c r="E102" s="594"/>
      <c r="F102" s="708"/>
      <c r="G102" s="522"/>
      <c r="H102" s="593"/>
      <c r="I102" s="522"/>
      <c r="J102" s="522"/>
      <c r="K102" s="522"/>
      <c r="L102" s="604"/>
      <c r="M102" s="605"/>
      <c r="N102" s="605"/>
      <c r="O102" s="605"/>
      <c r="P102" s="606" t="s">
        <v>383</v>
      </c>
      <c r="Q102" s="583">
        <f>SUM(Q89:Q100)</f>
        <v>0</v>
      </c>
      <c r="R102" s="583">
        <f t="shared" ref="R102:V102" si="224">SUM(R89:R100)</f>
        <v>0</v>
      </c>
      <c r="S102" s="583">
        <f>SUM(S89:S100)</f>
        <v>0</v>
      </c>
      <c r="T102" s="583">
        <f t="shared" ref="T102:U102" si="225">SUM(T89:T100)</f>
        <v>0</v>
      </c>
      <c r="U102" s="583">
        <f t="shared" si="225"/>
        <v>0</v>
      </c>
      <c r="V102" s="549">
        <f t="shared" si="224"/>
        <v>0</v>
      </c>
      <c r="W102" s="583">
        <f t="shared" ref="W102:AS102" si="226">SUM(W89:W100)</f>
        <v>0</v>
      </c>
      <c r="X102" s="583">
        <f t="shared" si="226"/>
        <v>0</v>
      </c>
      <c r="Y102" s="583">
        <f t="shared" si="226"/>
        <v>0</v>
      </c>
      <c r="Z102" s="583">
        <f t="shared" si="226"/>
        <v>0</v>
      </c>
      <c r="AA102" s="583">
        <f t="shared" si="226"/>
        <v>0</v>
      </c>
      <c r="AB102" s="549">
        <f t="shared" si="226"/>
        <v>0</v>
      </c>
      <c r="AC102" s="583">
        <f t="shared" si="226"/>
        <v>0</v>
      </c>
      <c r="AD102" s="583">
        <f t="shared" si="226"/>
        <v>0</v>
      </c>
      <c r="AE102" s="583">
        <f t="shared" si="226"/>
        <v>0</v>
      </c>
      <c r="AF102" s="583">
        <f t="shared" si="226"/>
        <v>0</v>
      </c>
      <c r="AG102" s="583">
        <f t="shared" si="226"/>
        <v>0</v>
      </c>
      <c r="AH102" s="583">
        <f t="shared" si="226"/>
        <v>0</v>
      </c>
      <c r="AI102" s="583">
        <f t="shared" si="226"/>
        <v>0</v>
      </c>
      <c r="AJ102" s="549">
        <f t="shared" si="226"/>
        <v>0</v>
      </c>
      <c r="AK102" s="583">
        <f t="shared" si="226"/>
        <v>0</v>
      </c>
      <c r="AL102" s="583">
        <f t="shared" si="226"/>
        <v>0</v>
      </c>
      <c r="AM102" s="583">
        <f t="shared" si="226"/>
        <v>0</v>
      </c>
      <c r="AN102" s="583">
        <f t="shared" si="226"/>
        <v>0</v>
      </c>
      <c r="AO102" s="583">
        <f t="shared" si="226"/>
        <v>0</v>
      </c>
      <c r="AP102" s="583">
        <f t="shared" si="226"/>
        <v>0</v>
      </c>
      <c r="AQ102" s="583">
        <f t="shared" si="226"/>
        <v>0</v>
      </c>
      <c r="AR102" s="583">
        <f t="shared" si="226"/>
        <v>0</v>
      </c>
      <c r="AS102" s="549">
        <f t="shared" si="226"/>
        <v>0</v>
      </c>
      <c r="AT102" s="5">
        <f t="shared" ref="AT102:AU102" si="227">SUM(AT89:AT100)</f>
        <v>0</v>
      </c>
      <c r="AU102" s="5">
        <f t="shared" si="227"/>
        <v>0</v>
      </c>
      <c r="AV102" s="549">
        <f t="shared" ref="AV102:BR102" si="228">SUM(AV89:AV100)</f>
        <v>0</v>
      </c>
      <c r="AW102" s="549">
        <f t="shared" si="228"/>
        <v>0</v>
      </c>
      <c r="AX102" s="549">
        <f t="shared" si="228"/>
        <v>0</v>
      </c>
      <c r="AY102" s="549">
        <f t="shared" si="228"/>
        <v>0</v>
      </c>
      <c r="AZ102" s="549">
        <f t="shared" si="228"/>
        <v>0</v>
      </c>
      <c r="BA102" s="549">
        <f t="shared" si="228"/>
        <v>0</v>
      </c>
      <c r="BB102" s="549">
        <f t="shared" si="228"/>
        <v>0</v>
      </c>
      <c r="BC102" s="549">
        <f t="shared" si="228"/>
        <v>0</v>
      </c>
      <c r="BD102" s="549">
        <f t="shared" si="228"/>
        <v>0</v>
      </c>
      <c r="BE102" s="549">
        <f t="shared" si="228"/>
        <v>0</v>
      </c>
      <c r="BF102" s="549">
        <f t="shared" si="228"/>
        <v>0</v>
      </c>
      <c r="BG102" s="549">
        <f t="shared" si="228"/>
        <v>0</v>
      </c>
      <c r="BH102" s="549">
        <f t="shared" si="228"/>
        <v>0</v>
      </c>
      <c r="BI102" s="549">
        <f t="shared" si="228"/>
        <v>0</v>
      </c>
      <c r="BJ102" s="549">
        <f t="shared" si="228"/>
        <v>0</v>
      </c>
      <c r="BK102" s="549">
        <f t="shared" si="228"/>
        <v>0</v>
      </c>
      <c r="BL102" s="549">
        <f t="shared" si="228"/>
        <v>0</v>
      </c>
      <c r="BM102" s="549">
        <f t="shared" si="228"/>
        <v>0</v>
      </c>
      <c r="BN102" s="549">
        <f t="shared" si="228"/>
        <v>0</v>
      </c>
      <c r="BO102" s="549">
        <f t="shared" si="228"/>
        <v>0</v>
      </c>
      <c r="BP102" s="549">
        <f t="shared" si="228"/>
        <v>0</v>
      </c>
      <c r="BQ102" s="549">
        <f t="shared" si="228"/>
        <v>0</v>
      </c>
      <c r="BR102" s="549">
        <f t="shared" si="228"/>
        <v>0</v>
      </c>
    </row>
    <row r="103" spans="1:70" s="229" customFormat="1">
      <c r="A103" s="590"/>
      <c r="B103" s="593"/>
      <c r="C103" s="522"/>
      <c r="D103" s="522"/>
      <c r="E103" s="594"/>
      <c r="F103" s="708"/>
      <c r="G103" s="522"/>
      <c r="H103" s="593"/>
      <c r="I103" s="522"/>
      <c r="J103" s="522"/>
      <c r="K103" s="522"/>
      <c r="L103" s="604"/>
      <c r="M103" s="605"/>
      <c r="N103" s="605"/>
      <c r="O103" s="605"/>
      <c r="P103" s="606" t="s">
        <v>539</v>
      </c>
      <c r="V103" s="526"/>
      <c r="W103" s="229">
        <v>185.5</v>
      </c>
      <c r="X103" s="229">
        <v>23.200000000000003</v>
      </c>
      <c r="Y103" s="229">
        <v>5.8000000000000007</v>
      </c>
      <c r="Z103" s="229">
        <v>6.2</v>
      </c>
      <c r="AA103" s="229">
        <v>1.9000000000000001</v>
      </c>
      <c r="AB103" s="526">
        <v>2</v>
      </c>
      <c r="AC103" s="229">
        <v>138</v>
      </c>
      <c r="AD103" s="229">
        <v>180</v>
      </c>
      <c r="AE103" s="229">
        <v>90</v>
      </c>
      <c r="AF103" s="229">
        <v>17</v>
      </c>
      <c r="AG103" s="229">
        <v>80</v>
      </c>
      <c r="AH103" s="229">
        <v>1</v>
      </c>
      <c r="AI103" s="229">
        <v>0.70000000000000007</v>
      </c>
      <c r="AJ103" s="526">
        <v>0.125</v>
      </c>
      <c r="AK103" s="229">
        <v>80</v>
      </c>
      <c r="AL103" s="229">
        <v>0.1</v>
      </c>
      <c r="AM103" s="229">
        <v>0.11000000000000001</v>
      </c>
      <c r="AN103" s="229">
        <v>1.2000000000000002</v>
      </c>
      <c r="AO103" s="229">
        <v>6.9999999999999993E-2</v>
      </c>
      <c r="AP103" s="229">
        <v>30</v>
      </c>
      <c r="AQ103" s="229">
        <v>0.18000000000000002</v>
      </c>
      <c r="AR103" s="229">
        <v>8</v>
      </c>
      <c r="AS103" s="526">
        <v>0.5</v>
      </c>
      <c r="AV103" s="229">
        <v>185.5</v>
      </c>
      <c r="AW103" s="229">
        <v>23.200000000000003</v>
      </c>
      <c r="AX103" s="229">
        <v>5.8000000000000007</v>
      </c>
      <c r="AY103" s="229">
        <v>6.2</v>
      </c>
      <c r="AZ103" s="229">
        <v>1.9000000000000001</v>
      </c>
      <c r="BA103" s="526">
        <v>2</v>
      </c>
      <c r="BB103" s="229">
        <v>138</v>
      </c>
      <c r="BC103" s="229">
        <v>180</v>
      </c>
      <c r="BD103" s="229">
        <v>90</v>
      </c>
      <c r="BE103" s="229">
        <v>17</v>
      </c>
      <c r="BF103" s="229">
        <v>80</v>
      </c>
      <c r="BG103" s="229">
        <v>1</v>
      </c>
      <c r="BH103" s="229">
        <v>0.70000000000000007</v>
      </c>
      <c r="BI103" s="526">
        <v>0.125</v>
      </c>
      <c r="BJ103" s="229">
        <v>80</v>
      </c>
      <c r="BK103" s="229">
        <v>0.1</v>
      </c>
      <c r="BL103" s="229">
        <v>0.11000000000000001</v>
      </c>
      <c r="BM103" s="229">
        <v>1.2000000000000002</v>
      </c>
      <c r="BN103" s="229">
        <v>6.9999999999999993E-2</v>
      </c>
      <c r="BO103" s="229">
        <v>30</v>
      </c>
      <c r="BP103" s="229">
        <v>0.18000000000000002</v>
      </c>
      <c r="BQ103" s="229">
        <v>8</v>
      </c>
      <c r="BR103" s="526">
        <v>0.5</v>
      </c>
    </row>
    <row r="104" spans="1:70" s="229" customFormat="1">
      <c r="A104" s="590"/>
      <c r="B104" s="593"/>
      <c r="C104" s="522"/>
      <c r="D104" s="522"/>
      <c r="E104" s="594"/>
      <c r="F104" s="708"/>
      <c r="G104" s="522"/>
      <c r="H104" s="593"/>
      <c r="I104" s="522"/>
      <c r="J104" s="522"/>
      <c r="K104" s="522"/>
      <c r="L104" s="604"/>
      <c r="M104" s="605"/>
      <c r="N104" s="605"/>
      <c r="O104" s="605"/>
      <c r="P104" s="606" t="s">
        <v>407</v>
      </c>
      <c r="V104" s="526"/>
      <c r="W104" s="514">
        <f t="shared" ref="W104:AS104" si="229">100*W102/W103</f>
        <v>0</v>
      </c>
      <c r="X104" s="514">
        <f t="shared" si="229"/>
        <v>0</v>
      </c>
      <c r="Y104" s="514">
        <f t="shared" si="229"/>
        <v>0</v>
      </c>
      <c r="Z104" s="514">
        <f t="shared" si="229"/>
        <v>0</v>
      </c>
      <c r="AA104" s="514">
        <f t="shared" si="229"/>
        <v>0</v>
      </c>
      <c r="AB104" s="506">
        <f t="shared" si="229"/>
        <v>0</v>
      </c>
      <c r="AC104" s="514">
        <f t="shared" si="229"/>
        <v>0</v>
      </c>
      <c r="AD104" s="514">
        <f t="shared" si="229"/>
        <v>0</v>
      </c>
      <c r="AE104" s="514">
        <f t="shared" si="229"/>
        <v>0</v>
      </c>
      <c r="AF104" s="514">
        <f t="shared" si="229"/>
        <v>0</v>
      </c>
      <c r="AG104" s="514">
        <f t="shared" si="229"/>
        <v>0</v>
      </c>
      <c r="AH104" s="514">
        <f t="shared" si="229"/>
        <v>0</v>
      </c>
      <c r="AI104" s="514">
        <f t="shared" si="229"/>
        <v>0</v>
      </c>
      <c r="AJ104" s="506">
        <f t="shared" si="229"/>
        <v>0</v>
      </c>
      <c r="AK104" s="514">
        <f t="shared" si="229"/>
        <v>0</v>
      </c>
      <c r="AL104" s="514">
        <f t="shared" si="229"/>
        <v>0</v>
      </c>
      <c r="AM104" s="514">
        <f t="shared" si="229"/>
        <v>0</v>
      </c>
      <c r="AN104" s="514">
        <f t="shared" si="229"/>
        <v>0</v>
      </c>
      <c r="AO104" s="514">
        <f t="shared" si="229"/>
        <v>0</v>
      </c>
      <c r="AP104" s="514">
        <f t="shared" si="229"/>
        <v>0</v>
      </c>
      <c r="AQ104" s="514">
        <f t="shared" si="229"/>
        <v>0</v>
      </c>
      <c r="AR104" s="514">
        <f t="shared" si="229"/>
        <v>0</v>
      </c>
      <c r="AS104" s="506">
        <f t="shared" si="229"/>
        <v>0</v>
      </c>
      <c r="AV104" s="514">
        <f t="shared" ref="AV104:BR104" si="230">100*AV102/AV103</f>
        <v>0</v>
      </c>
      <c r="AW104" s="514">
        <f t="shared" si="230"/>
        <v>0</v>
      </c>
      <c r="AX104" s="514">
        <f t="shared" si="230"/>
        <v>0</v>
      </c>
      <c r="AY104" s="514">
        <f t="shared" si="230"/>
        <v>0</v>
      </c>
      <c r="AZ104" s="514">
        <f t="shared" si="230"/>
        <v>0</v>
      </c>
      <c r="BA104" s="506">
        <f t="shared" si="230"/>
        <v>0</v>
      </c>
      <c r="BB104" s="514">
        <f t="shared" si="230"/>
        <v>0</v>
      </c>
      <c r="BC104" s="514">
        <f t="shared" si="230"/>
        <v>0</v>
      </c>
      <c r="BD104" s="514">
        <f t="shared" si="230"/>
        <v>0</v>
      </c>
      <c r="BE104" s="514">
        <f t="shared" si="230"/>
        <v>0</v>
      </c>
      <c r="BF104" s="514">
        <f t="shared" si="230"/>
        <v>0</v>
      </c>
      <c r="BG104" s="514">
        <f t="shared" si="230"/>
        <v>0</v>
      </c>
      <c r="BH104" s="514">
        <f t="shared" si="230"/>
        <v>0</v>
      </c>
      <c r="BI104" s="506">
        <f t="shared" si="230"/>
        <v>0</v>
      </c>
      <c r="BJ104" s="514">
        <f t="shared" si="230"/>
        <v>0</v>
      </c>
      <c r="BK104" s="514">
        <f t="shared" si="230"/>
        <v>0</v>
      </c>
      <c r="BL104" s="514">
        <f t="shared" si="230"/>
        <v>0</v>
      </c>
      <c r="BM104" s="514">
        <f t="shared" si="230"/>
        <v>0</v>
      </c>
      <c r="BN104" s="514">
        <f t="shared" si="230"/>
        <v>0</v>
      </c>
      <c r="BO104" s="514">
        <f t="shared" si="230"/>
        <v>0</v>
      </c>
      <c r="BP104" s="514">
        <f t="shared" si="230"/>
        <v>0</v>
      </c>
      <c r="BQ104" s="514">
        <f t="shared" si="230"/>
        <v>0</v>
      </c>
      <c r="BR104" s="506">
        <f t="shared" si="230"/>
        <v>0</v>
      </c>
    </row>
    <row r="105" spans="1:70" s="229" customFormat="1">
      <c r="A105" s="590"/>
      <c r="B105" s="593"/>
      <c r="C105" s="522"/>
      <c r="D105" s="522"/>
      <c r="E105" s="594"/>
      <c r="F105" s="708"/>
      <c r="G105" s="522"/>
      <c r="H105" s="593"/>
      <c r="I105" s="522"/>
      <c r="J105" s="522"/>
      <c r="K105" s="522"/>
      <c r="L105" s="616"/>
      <c r="M105" s="617"/>
      <c r="N105" s="605"/>
      <c r="O105" s="617"/>
      <c r="P105" s="606" t="s">
        <v>548</v>
      </c>
      <c r="V105" s="526"/>
      <c r="W105" s="583">
        <f>AV102</f>
        <v>0</v>
      </c>
      <c r="X105" s="583">
        <f t="shared" ref="X105:AD105" si="231">AW102</f>
        <v>0</v>
      </c>
      <c r="Y105" s="583">
        <f t="shared" si="231"/>
        <v>0</v>
      </c>
      <c r="Z105" s="583">
        <f t="shared" si="231"/>
        <v>0</v>
      </c>
      <c r="AA105" s="583">
        <f t="shared" si="231"/>
        <v>0</v>
      </c>
      <c r="AB105" s="549">
        <f t="shared" si="231"/>
        <v>0</v>
      </c>
      <c r="AC105" s="583">
        <f t="shared" si="231"/>
        <v>0</v>
      </c>
      <c r="AD105" s="583">
        <f t="shared" si="231"/>
        <v>0</v>
      </c>
      <c r="AE105" s="583">
        <f>BD102</f>
        <v>0</v>
      </c>
      <c r="AF105" s="583">
        <f t="shared" ref="AF105:AM105" si="232">BE102</f>
        <v>0</v>
      </c>
      <c r="AG105" s="583">
        <f t="shared" si="232"/>
        <v>0</v>
      </c>
      <c r="AH105" s="583">
        <f t="shared" si="232"/>
        <v>0</v>
      </c>
      <c r="AI105" s="583">
        <f t="shared" si="232"/>
        <v>0</v>
      </c>
      <c r="AJ105" s="549">
        <f t="shared" si="232"/>
        <v>0</v>
      </c>
      <c r="AK105" s="583">
        <f t="shared" si="232"/>
        <v>0</v>
      </c>
      <c r="AL105" s="583">
        <f t="shared" si="232"/>
        <v>0</v>
      </c>
      <c r="AM105" s="583">
        <f t="shared" si="232"/>
        <v>0</v>
      </c>
      <c r="AN105" s="583">
        <f>BM102</f>
        <v>0</v>
      </c>
      <c r="AO105" s="583">
        <f t="shared" ref="AO105:AR105" si="233">BN102</f>
        <v>0</v>
      </c>
      <c r="AP105" s="583">
        <f t="shared" si="233"/>
        <v>0</v>
      </c>
      <c r="AQ105" s="583">
        <f t="shared" si="233"/>
        <v>0</v>
      </c>
      <c r="AR105" s="583">
        <f t="shared" si="233"/>
        <v>0</v>
      </c>
      <c r="AS105" s="549">
        <f>BR102</f>
        <v>0</v>
      </c>
    </row>
    <row r="106" spans="1:70" s="229" customFormat="1" ht="15" thickBot="1">
      <c r="A106" s="590"/>
      <c r="B106" s="593"/>
      <c r="C106" s="522"/>
      <c r="D106" s="522"/>
      <c r="E106" s="594"/>
      <c r="F106" s="708"/>
      <c r="G106" s="522"/>
      <c r="H106" s="677"/>
      <c r="I106" s="522"/>
      <c r="J106" s="522"/>
      <c r="K106" s="522"/>
      <c r="L106" s="616"/>
      <c r="M106" s="617"/>
      <c r="N106" s="605"/>
      <c r="O106" s="617"/>
      <c r="P106" s="618" t="s">
        <v>546</v>
      </c>
      <c r="Q106" s="546"/>
      <c r="R106" s="546"/>
      <c r="S106" s="546"/>
      <c r="T106" s="546"/>
      <c r="U106" s="546"/>
      <c r="V106" s="529"/>
      <c r="W106" s="502">
        <f t="shared" ref="W106:AS106" si="234">AV104</f>
        <v>0</v>
      </c>
      <c r="X106" s="502">
        <f t="shared" si="234"/>
        <v>0</v>
      </c>
      <c r="Y106" s="502">
        <f t="shared" si="234"/>
        <v>0</v>
      </c>
      <c r="Z106" s="502">
        <f t="shared" si="234"/>
        <v>0</v>
      </c>
      <c r="AA106" s="502">
        <f t="shared" si="234"/>
        <v>0</v>
      </c>
      <c r="AB106" s="503">
        <f t="shared" si="234"/>
        <v>0</v>
      </c>
      <c r="AC106" s="502">
        <f t="shared" si="234"/>
        <v>0</v>
      </c>
      <c r="AD106" s="502">
        <f t="shared" si="234"/>
        <v>0</v>
      </c>
      <c r="AE106" s="502">
        <f t="shared" si="234"/>
        <v>0</v>
      </c>
      <c r="AF106" s="502">
        <f t="shared" si="234"/>
        <v>0</v>
      </c>
      <c r="AG106" s="502">
        <f t="shared" si="234"/>
        <v>0</v>
      </c>
      <c r="AH106" s="502">
        <f t="shared" si="234"/>
        <v>0</v>
      </c>
      <c r="AI106" s="502">
        <f t="shared" si="234"/>
        <v>0</v>
      </c>
      <c r="AJ106" s="503">
        <f t="shared" si="234"/>
        <v>0</v>
      </c>
      <c r="AK106" s="502">
        <f t="shared" si="234"/>
        <v>0</v>
      </c>
      <c r="AL106" s="502">
        <f t="shared" si="234"/>
        <v>0</v>
      </c>
      <c r="AM106" s="502">
        <f t="shared" si="234"/>
        <v>0</v>
      </c>
      <c r="AN106" s="502">
        <f t="shared" si="234"/>
        <v>0</v>
      </c>
      <c r="AO106" s="502">
        <f t="shared" si="234"/>
        <v>0</v>
      </c>
      <c r="AP106" s="502">
        <f t="shared" si="234"/>
        <v>0</v>
      </c>
      <c r="AQ106" s="502">
        <f t="shared" si="234"/>
        <v>0</v>
      </c>
      <c r="AR106" s="502">
        <f t="shared" si="234"/>
        <v>0</v>
      </c>
      <c r="AS106" s="503">
        <f t="shared" si="234"/>
        <v>0</v>
      </c>
      <c r="AT106" s="1296"/>
      <c r="AU106" s="1296"/>
      <c r="AV106" s="514"/>
      <c r="AW106" s="514"/>
      <c r="AX106" s="514"/>
      <c r="AY106" s="514"/>
      <c r="AZ106" s="514"/>
      <c r="BA106" s="505"/>
      <c r="BB106" s="514"/>
      <c r="BC106" s="514"/>
      <c r="BD106" s="514"/>
      <c r="BE106" s="514"/>
      <c r="BF106" s="514"/>
      <c r="BG106" s="514"/>
      <c r="BH106" s="514"/>
      <c r="BI106" s="505"/>
      <c r="BJ106" s="514"/>
      <c r="BK106" s="514"/>
      <c r="BL106" s="514"/>
      <c r="BM106" s="514"/>
      <c r="BN106" s="514"/>
      <c r="BO106" s="514"/>
      <c r="BP106" s="514"/>
      <c r="BQ106" s="514"/>
      <c r="BR106" s="505"/>
    </row>
    <row r="107" spans="1:70" s="229" customFormat="1">
      <c r="A107" s="590"/>
      <c r="B107" s="593"/>
      <c r="C107" s="522"/>
      <c r="D107" s="522"/>
      <c r="E107" s="594"/>
      <c r="F107" s="708"/>
      <c r="G107" s="522"/>
      <c r="H107" s="593"/>
      <c r="I107" s="522"/>
      <c r="J107" s="522"/>
      <c r="K107" s="522"/>
      <c r="L107" s="604"/>
      <c r="M107" s="605"/>
      <c r="N107" s="605"/>
      <c r="O107" s="605"/>
      <c r="P107" s="606" t="s">
        <v>550</v>
      </c>
      <c r="Q107" s="514">
        <f t="shared" ref="Q107:R107" si="235">Q32+Q51+Q83+Q102</f>
        <v>763.6</v>
      </c>
      <c r="R107" s="514">
        <f t="shared" si="235"/>
        <v>169.48098499999998</v>
      </c>
      <c r="S107" s="514"/>
      <c r="T107" s="514">
        <f>T32+T51+T83+T102</f>
        <v>90.566308484848463</v>
      </c>
      <c r="U107" s="514">
        <f>U32+U51+U83+U102</f>
        <v>20.503513062196969</v>
      </c>
      <c r="V107" s="514">
        <f>V32+V51+V83+V102</f>
        <v>1510.0279999999996</v>
      </c>
      <c r="W107" s="514">
        <f>W32+W51+W83+W102</f>
        <v>1094.6497833566432</v>
      </c>
      <c r="X107" s="514">
        <f t="shared" ref="X107:AU107" si="236">X32+X51+X83+X102</f>
        <v>95.179967585047009</v>
      </c>
      <c r="Y107" s="514">
        <f t="shared" si="236"/>
        <v>30.819435946681054</v>
      </c>
      <c r="Z107" s="514">
        <f t="shared" si="236"/>
        <v>62.458053187072821</v>
      </c>
      <c r="AA107" s="514">
        <f t="shared" si="236"/>
        <v>14.076127749892555</v>
      </c>
      <c r="AB107" s="506">
        <f t="shared" si="236"/>
        <v>15.122993344483584</v>
      </c>
      <c r="AC107" s="514">
        <f t="shared" si="236"/>
        <v>898.16997668997681</v>
      </c>
      <c r="AD107" s="514">
        <f t="shared" si="236"/>
        <v>1625.7060000000001</v>
      </c>
      <c r="AE107" s="514">
        <f t="shared" si="236"/>
        <v>421.47399999999999</v>
      </c>
      <c r="AF107" s="514">
        <f t="shared" si="236"/>
        <v>136.41995337995337</v>
      </c>
      <c r="AG107" s="514">
        <f t="shared" si="236"/>
        <v>545.08799999999997</v>
      </c>
      <c r="AH107" s="514">
        <f t="shared" si="236"/>
        <v>4.6821086791651174</v>
      </c>
      <c r="AI107" s="514">
        <f t="shared" si="236"/>
        <v>6.031772669350234</v>
      </c>
      <c r="AJ107" s="506">
        <f t="shared" si="236"/>
        <v>0.80562753992047176</v>
      </c>
      <c r="AK107" s="514">
        <f t="shared" si="236"/>
        <v>746.54</v>
      </c>
      <c r="AL107" s="514">
        <f t="shared" si="236"/>
        <v>0.7932990218756909</v>
      </c>
      <c r="AM107" s="514">
        <f t="shared" si="236"/>
        <v>0.74327046184264556</v>
      </c>
      <c r="AN107" s="514">
        <f t="shared" si="236"/>
        <v>8.802293948378809</v>
      </c>
      <c r="AO107" s="514">
        <f t="shared" si="236"/>
        <v>1.7209537137600512</v>
      </c>
      <c r="AP107" s="514">
        <f t="shared" si="236"/>
        <v>189.01009324009323</v>
      </c>
      <c r="AQ107" s="514">
        <f t="shared" si="236"/>
        <v>1.4837479279852408</v>
      </c>
      <c r="AR107" s="514">
        <f t="shared" si="236"/>
        <v>70.182000000000002</v>
      </c>
      <c r="AS107" s="506">
        <f t="shared" si="236"/>
        <v>2.3440015964361023</v>
      </c>
      <c r="AT107" s="514">
        <f t="shared" si="236"/>
        <v>80.981308484848483</v>
      </c>
      <c r="AU107" s="514">
        <f t="shared" si="236"/>
        <v>90.566308484848463</v>
      </c>
      <c r="AV107" s="514"/>
      <c r="AW107" s="514"/>
      <c r="AX107" s="514"/>
      <c r="AY107" s="514"/>
      <c r="AZ107" s="514"/>
      <c r="BA107" s="505"/>
      <c r="BB107" s="514"/>
      <c r="BC107" s="514"/>
      <c r="BD107" s="514"/>
      <c r="BE107" s="514"/>
      <c r="BF107" s="514"/>
      <c r="BG107" s="514"/>
      <c r="BH107" s="514"/>
      <c r="BI107" s="505"/>
      <c r="BJ107" s="514"/>
      <c r="BK107" s="514"/>
      <c r="BL107" s="514"/>
      <c r="BM107" s="514"/>
      <c r="BN107" s="514"/>
      <c r="BO107" s="514"/>
      <c r="BP107" s="514"/>
      <c r="BQ107" s="514"/>
      <c r="BR107" s="505"/>
    </row>
    <row r="108" spans="1:70" s="229" customFormat="1">
      <c r="A108" s="590"/>
      <c r="B108" s="593"/>
      <c r="C108" s="522"/>
      <c r="D108" s="522"/>
      <c r="E108" s="594"/>
      <c r="F108" s="708"/>
      <c r="G108" s="522"/>
      <c r="H108" s="593"/>
      <c r="I108" s="522"/>
      <c r="J108" s="522"/>
      <c r="K108" s="522"/>
      <c r="L108" s="604"/>
      <c r="M108" s="605"/>
      <c r="N108" s="605"/>
      <c r="O108" s="605"/>
      <c r="P108" s="619" t="s">
        <v>549</v>
      </c>
      <c r="V108" s="526"/>
      <c r="W108" s="514">
        <f>W35+W54+W86+W105</f>
        <v>834.87064660206738</v>
      </c>
      <c r="X108" s="514">
        <f t="shared" ref="X108:AS108" si="237">X35+X54+X86+X105</f>
        <v>71.197756084613147</v>
      </c>
      <c r="Y108" s="514">
        <f t="shared" si="237"/>
        <v>24.058187672078521</v>
      </c>
      <c r="Z108" s="514">
        <f t="shared" si="237"/>
        <v>48.306679948855191</v>
      </c>
      <c r="AA108" s="514">
        <f t="shared" si="237"/>
        <v>10.448754568139591</v>
      </c>
      <c r="AB108" s="506">
        <f t="shared" si="237"/>
        <v>12.246698170874387</v>
      </c>
      <c r="AC108" s="514">
        <f t="shared" si="237"/>
        <v>660.98514040194391</v>
      </c>
      <c r="AD108" s="514">
        <f t="shared" si="237"/>
        <v>1246.493743897393</v>
      </c>
      <c r="AE108" s="514">
        <f t="shared" si="237"/>
        <v>353.05418199648642</v>
      </c>
      <c r="AF108" s="514">
        <f t="shared" si="237"/>
        <v>107.70856105876349</v>
      </c>
      <c r="AG108" s="514">
        <f t="shared" si="237"/>
        <v>452.07232208313633</v>
      </c>
      <c r="AH108" s="514">
        <f t="shared" si="237"/>
        <v>3.5483817419796209</v>
      </c>
      <c r="AI108" s="514">
        <f t="shared" si="237"/>
        <v>4.4946855344088883</v>
      </c>
      <c r="AJ108" s="506">
        <f t="shared" si="237"/>
        <v>0.59767157497629564</v>
      </c>
      <c r="AK108" s="514">
        <f t="shared" si="237"/>
        <v>600.07908123939524</v>
      </c>
      <c r="AL108" s="514">
        <f t="shared" si="237"/>
        <v>0.59140484571607432</v>
      </c>
      <c r="AM108" s="514">
        <f t="shared" si="237"/>
        <v>0.61567856009848287</v>
      </c>
      <c r="AN108" s="514">
        <f t="shared" si="237"/>
        <v>6.6343456328557373</v>
      </c>
      <c r="AO108" s="514">
        <f t="shared" si="237"/>
        <v>1.3869872659176121</v>
      </c>
      <c r="AP108" s="514">
        <f t="shared" si="237"/>
        <v>141.52508665381521</v>
      </c>
      <c r="AQ108" s="514">
        <f t="shared" si="237"/>
        <v>1.2668757819318772</v>
      </c>
      <c r="AR108" s="514">
        <f t="shared" si="237"/>
        <v>51.387403403254424</v>
      </c>
      <c r="AS108" s="506">
        <f t="shared" si="237"/>
        <v>1.9730505938630105</v>
      </c>
      <c r="AV108" s="514"/>
      <c r="AW108" s="514"/>
      <c r="AX108" s="514"/>
      <c r="AY108" s="514"/>
      <c r="AZ108" s="514"/>
      <c r="BA108" s="505"/>
      <c r="BB108" s="514"/>
      <c r="BC108" s="514"/>
      <c r="BD108" s="514"/>
      <c r="BE108" s="514"/>
      <c r="BF108" s="514"/>
      <c r="BG108" s="514"/>
      <c r="BH108" s="514"/>
      <c r="BI108" s="505"/>
      <c r="BJ108" s="514"/>
      <c r="BK108" s="514"/>
      <c r="BL108" s="514"/>
      <c r="BM108" s="514"/>
      <c r="BN108" s="514"/>
      <c r="BO108" s="514"/>
      <c r="BP108" s="514"/>
      <c r="BQ108" s="514"/>
      <c r="BR108" s="505"/>
    </row>
    <row r="109" spans="1:70" s="229" customFormat="1" ht="16" thickBot="1">
      <c r="A109" s="574"/>
      <c r="B109" s="574"/>
      <c r="C109" s="574"/>
      <c r="D109" s="684"/>
      <c r="E109" s="620"/>
      <c r="F109" s="711"/>
      <c r="G109" s="621" t="s">
        <v>795</v>
      </c>
      <c r="H109" s="622"/>
      <c r="I109" s="685"/>
      <c r="J109" s="685"/>
      <c r="K109" s="574"/>
      <c r="L109" s="623"/>
      <c r="M109" s="623"/>
      <c r="N109" s="623"/>
      <c r="O109" s="581"/>
      <c r="P109" s="574"/>
      <c r="Q109" s="574"/>
      <c r="R109" s="574"/>
      <c r="S109" s="574"/>
      <c r="T109" s="574"/>
      <c r="U109" s="624"/>
      <c r="V109" s="625"/>
      <c r="W109" s="574"/>
      <c r="X109" s="574"/>
      <c r="Y109" s="574"/>
      <c r="Z109" s="574"/>
      <c r="AA109" s="626">
        <f>COUNTIF(AA110:AA129,"&lt;0")</f>
        <v>0</v>
      </c>
      <c r="AB109" s="626">
        <f t="shared" ref="AB109" si="238">COUNTIF(AB110:AB129,"&lt;0")</f>
        <v>0</v>
      </c>
      <c r="AC109" s="626">
        <f t="shared" ref="AC109" si="239">COUNTIF(AC110:AC129,"&lt;0")</f>
        <v>0</v>
      </c>
      <c r="AD109" s="626">
        <f t="shared" ref="AD109" si="240">COUNTIF(AD110:AD129,"&lt;0")</f>
        <v>0</v>
      </c>
      <c r="AE109" s="626">
        <f t="shared" ref="AE109" si="241">COUNTIF(AE110:AE129,"&lt;0")</f>
        <v>0</v>
      </c>
      <c r="AF109" s="626">
        <f t="shared" ref="AF109" si="242">COUNTIF(AF110:AF129,"&lt;0")</f>
        <v>0</v>
      </c>
      <c r="AG109" s="626">
        <f t="shared" ref="AG109" si="243">COUNTIF(AG110:AG129,"&lt;0")</f>
        <v>0</v>
      </c>
      <c r="AH109" s="626">
        <f t="shared" ref="AH109" si="244">COUNTIF(AH110:AH129,"&lt;0")</f>
        <v>0</v>
      </c>
      <c r="AI109" s="626">
        <f t="shared" ref="AI109" si="245">COUNTIF(AI110:AI129,"&lt;0")</f>
        <v>0</v>
      </c>
      <c r="AJ109" s="626">
        <f t="shared" ref="AJ109" si="246">COUNTIF(AJ110:AJ129,"&lt;0")</f>
        <v>0</v>
      </c>
      <c r="AK109" s="626">
        <f t="shared" ref="AK109" si="247">COUNTIF(AK110:AK129,"&lt;0")</f>
        <v>0</v>
      </c>
      <c r="AL109" s="626">
        <f t="shared" ref="AL109" si="248">COUNTIF(AL110:AL129,"&lt;0")</f>
        <v>0</v>
      </c>
      <c r="AM109" s="626">
        <f t="shared" ref="AM109" si="249">COUNTIF(AM110:AM129,"&lt;0")</f>
        <v>0</v>
      </c>
      <c r="AN109" s="626">
        <f t="shared" ref="AN109" si="250">COUNTIF(AN110:AN129,"&lt;0")</f>
        <v>0</v>
      </c>
      <c r="AO109" s="626">
        <f t="shared" ref="AO109" si="251">COUNTIF(AO110:AO129,"&lt;0")</f>
        <v>0</v>
      </c>
      <c r="AP109" s="626">
        <f t="shared" ref="AP109" si="252">COUNTIF(AP110:AP129,"&lt;0")</f>
        <v>0</v>
      </c>
      <c r="AQ109" s="626">
        <f t="shared" ref="AQ109" si="253">COUNTIF(AQ110:AQ129,"&lt;0")</f>
        <v>0</v>
      </c>
      <c r="AR109" s="626">
        <f t="shared" ref="AR109" si="254">COUNTIF(AR110:AR129,"&lt;0")</f>
        <v>0</v>
      </c>
      <c r="AS109" s="626">
        <f t="shared" ref="AS109" si="255">COUNTIF(AS110:AS129,"&lt;0")</f>
        <v>0</v>
      </c>
      <c r="AT109" s="574"/>
      <c r="AU109" s="574"/>
    </row>
    <row r="110" spans="1:70" s="229" customFormat="1" ht="15" customHeight="1" thickBot="1">
      <c r="A110" s="574"/>
      <c r="B110" s="575" t="s">
        <v>3065</v>
      </c>
      <c r="C110" s="229" t="s">
        <v>67</v>
      </c>
      <c r="D110" s="85"/>
      <c r="E110" s="577">
        <v>100</v>
      </c>
      <c r="F110" s="707"/>
      <c r="G110" s="406" t="s">
        <v>3054</v>
      </c>
      <c r="H110" s="1262" t="s">
        <v>3055</v>
      </c>
      <c r="I110" s="85">
        <v>0</v>
      </c>
      <c r="J110" s="682">
        <v>1</v>
      </c>
      <c r="K110" s="579" t="str">
        <f t="shared" ref="K110:K129" si="256">IF(I110&gt;0,1.1*Q110*E110/1000,"")</f>
        <v/>
      </c>
      <c r="L110" s="580" t="str">
        <f>IF(H110="Select ingredient:","",IF(G110="","",_xlfn.IFNA(VLOOKUP($H110,Ingredient_prices!$E:$U,16,FALSE),0)))</f>
        <v/>
      </c>
      <c r="M110" s="840"/>
      <c r="N110" s="1228">
        <f>$W131</f>
        <v>0</v>
      </c>
      <c r="O110" s="581"/>
      <c r="P110" s="582"/>
      <c r="Q110" s="583">
        <f t="shared" ref="Q110:Q129" si="257">I110/J110</f>
        <v>0</v>
      </c>
      <c r="R110" s="583">
        <f>VLOOKUP($H110,'CO2_emission+%_food_waste'!$A:$K,6,FALSE)*$Q110/100</f>
        <v>0</v>
      </c>
      <c r="S110" s="583">
        <f>Q110-R110</f>
        <v>0</v>
      </c>
      <c r="T110" s="583" t="str">
        <f>IF(H110="Select ingredient:","",IF(G110="Select food category:","",_xlfn.IFNA(VLOOKUP($H110,Ingredient_prices!$E:$U,16,FALSE)*$Q110/1000,"not bought")))</f>
        <v/>
      </c>
      <c r="U110" s="583" t="str">
        <f>IF(G110="Select food category:","",_xlfn.IFNA(VLOOKUP($H110,Ingredient_prices!$E:$U,16,FALSE)*$R110/1000,"not bought"))</f>
        <v/>
      </c>
      <c r="V110" s="549">
        <f>VLOOKUP($H110,'CO2_emission+%_food_waste'!$A:$K,4,FALSE)*$Q110</f>
        <v>0</v>
      </c>
      <c r="W110" s="583">
        <f>VLOOKUP($H110,Nutrition_tables!$A:$N,10,FALSE)*$Q110/100</f>
        <v>0</v>
      </c>
      <c r="X110" s="583">
        <f>VLOOKUP($H110,Nutrition_tables!$A:$N,11,FALSE)*$Q110/100</f>
        <v>0</v>
      </c>
      <c r="Y110" s="583">
        <f>VLOOKUP($H110,Nutrition_tables!$A:$N,12,FALSE)*$Q110/100</f>
        <v>0</v>
      </c>
      <c r="Z110" s="583">
        <f>VLOOKUP($H110,Nutrition_tables!$A:$N,14,FALSE)*$Q110/100</f>
        <v>0</v>
      </c>
      <c r="AA110" s="583">
        <f>VLOOKUP($H110,Nutrition_tables!$A:$AF,13,FALSE)*$Q110/100</f>
        <v>0</v>
      </c>
      <c r="AB110" s="549">
        <f>VLOOKUP($H110,Nutrition_tables!$A:$AF,15,FALSE)*$Q110/100</f>
        <v>0</v>
      </c>
      <c r="AC110" s="583">
        <f>VLOOKUP($H110,Nutrition_tables!$A:$AF,16,FALSE)*$Q110/100</f>
        <v>0</v>
      </c>
      <c r="AD110" s="583">
        <f>VLOOKUP($H110,Nutrition_tables!$A:$AF,17,FALSE)*$Q110/100</f>
        <v>0</v>
      </c>
      <c r="AE110" s="583">
        <f>VLOOKUP($H110,Nutrition_tables!$A:$AF,18,FALSE)*$Q110/100</f>
        <v>0</v>
      </c>
      <c r="AF110" s="583">
        <f>VLOOKUP($H110,Nutrition_tables!$A:$AF,19,FALSE)*$Q110/100</f>
        <v>0</v>
      </c>
      <c r="AG110" s="583">
        <f>VLOOKUP($H110,Nutrition_tables!$A:$AF,20,FALSE)*$Q110/100</f>
        <v>0</v>
      </c>
      <c r="AH110" s="583">
        <f>VLOOKUP($H110,Nutrition_tables!$A:$AF,21,FALSE)*$Q110/100</f>
        <v>0</v>
      </c>
      <c r="AI110" s="583">
        <f>VLOOKUP($H110,Nutrition_tables!$A:$AF,22,FALSE)*$Q110/100</f>
        <v>0</v>
      </c>
      <c r="AJ110" s="549">
        <f>VLOOKUP($H110,Nutrition_tables!$A:$AF,23,FALSE)*$Q110/100</f>
        <v>0</v>
      </c>
      <c r="AK110" s="583">
        <f>VLOOKUP($H110,Nutrition_tables!$A:$AF,24,FALSE)*$Q110/100</f>
        <v>0</v>
      </c>
      <c r="AL110" s="583">
        <f>VLOOKUP($H110,Nutrition_tables!$A:$AF,25,FALSE)*$Q110/100</f>
        <v>0</v>
      </c>
      <c r="AM110" s="583">
        <f>VLOOKUP($H110,Nutrition_tables!$A:$AF,26,FALSE)*$Q110/100</f>
        <v>0</v>
      </c>
      <c r="AN110" s="583">
        <f>VLOOKUP($H110,Nutrition_tables!$A:$AF,27,FALSE)*$Q110/100</f>
        <v>0</v>
      </c>
      <c r="AO110" s="583">
        <f>VLOOKUP($H110,Nutrition_tables!$A:$AF,28,FALSE)*$Q110/100</f>
        <v>0</v>
      </c>
      <c r="AP110" s="583">
        <f>VLOOKUP($H110,Nutrition_tables!$A:$AF,29,FALSE)*$Q110/100</f>
        <v>0</v>
      </c>
      <c r="AQ110" s="583">
        <f>VLOOKUP($H110,Nutrition_tables!$A:$AF,30,FALSE)*$Q110/100</f>
        <v>0</v>
      </c>
      <c r="AR110" s="583">
        <f>VLOOKUP($H110,Nutrition_tables!$A:$AF,31,FALSE)*$Q110/100</f>
        <v>0</v>
      </c>
      <c r="AS110" s="549">
        <f>VLOOKUP($H110,Nutrition_tables!$A:$AF,32,FALSE)*$Q110/100</f>
        <v>0</v>
      </c>
      <c r="AT110" s="583" t="str">
        <f>IF(H110="Select ingredient:","",IF(G110="Select food category:","",IFERROR(VLOOKUP($H110,Ingredient_prices!$E:$W,17,FALSE)*$Q110/1000,"not bought")))</f>
        <v/>
      </c>
      <c r="AU110" s="583" t="str">
        <f>IF(H110="Select ingredient:","",IF(G110="Select food category:","",IFERROR(VLOOKUP($H110,Ingredient_prices!$E:$W,18,FALSE)*$Q110/1000,"not bought")))</f>
        <v/>
      </c>
      <c r="AV110" s="583">
        <f t="shared" ref="AV110:AV129" si="258">W110*($Q110-$R110)/($Q110+0.00001)</f>
        <v>0</v>
      </c>
      <c r="AW110" s="583">
        <f t="shared" ref="AW110:AW129" si="259">X110*($Q110-$R110)/($Q110+0.00001)</f>
        <v>0</v>
      </c>
      <c r="AX110" s="583">
        <f t="shared" ref="AX110:AX129" si="260">Y110*($Q110-$R110)/($Q110+0.00001)</f>
        <v>0</v>
      </c>
      <c r="AY110" s="583">
        <f t="shared" ref="AY110:AY129" si="261">Z110*($Q110-$R110)/($Q110+0.00001)</f>
        <v>0</v>
      </c>
      <c r="AZ110" s="583">
        <f t="shared" ref="AZ110:AZ129" si="262">AA110*($Q110-$R110)/($Q110+0.00001)</f>
        <v>0</v>
      </c>
      <c r="BA110" s="583">
        <f t="shared" ref="BA110:BA129" si="263">AB110*($Q110-$R110)/($Q110+0.00001)</f>
        <v>0</v>
      </c>
      <c r="BB110" s="583">
        <f t="shared" ref="BB110:BB129" si="264">AC110*($Q110-$R110)/($Q110+0.00001)</f>
        <v>0</v>
      </c>
      <c r="BC110" s="583">
        <f t="shared" ref="BC110:BC129" si="265">AD110*($Q110-$R110)/($Q110+0.00001)</f>
        <v>0</v>
      </c>
      <c r="BD110" s="583">
        <f t="shared" ref="BD110:BD124" si="266">AE110*($Q110-$R110)/($Q110+0.00001)</f>
        <v>0</v>
      </c>
      <c r="BE110" s="583">
        <f t="shared" ref="BE110:BE124" si="267">AF110*($Q110-$R110)/($Q110+0.00001)</f>
        <v>0</v>
      </c>
      <c r="BF110" s="583">
        <f t="shared" ref="BF110:BF124" si="268">AG110*($Q110-$R110)/($Q110+0.00001)</f>
        <v>0</v>
      </c>
      <c r="BG110" s="583">
        <f t="shared" ref="BG110:BG124" si="269">AH110*($Q110-$R110)/($Q110+0.00001)</f>
        <v>0</v>
      </c>
      <c r="BH110" s="583">
        <f t="shared" ref="BH110:BH124" si="270">AI110*($Q110-$R110)/($Q110+0.00001)</f>
        <v>0</v>
      </c>
      <c r="BI110" s="583">
        <f t="shared" ref="BI110:BI124" si="271">AJ110*($Q110-$R110)/($Q110+0.00001)</f>
        <v>0</v>
      </c>
      <c r="BJ110" s="583">
        <f t="shared" ref="BJ110:BJ124" si="272">AK110*($Q110-$R110)/($Q110+0.00001)</f>
        <v>0</v>
      </c>
      <c r="BK110" s="583">
        <f t="shared" ref="BK110:BK124" si="273">AL110*($Q110-$R110)/($Q110+0.00001)</f>
        <v>0</v>
      </c>
      <c r="BL110" s="583">
        <f t="shared" ref="BL110:BL124" si="274">AM110*($Q110-$R110)/($Q110+0.00001)</f>
        <v>0</v>
      </c>
      <c r="BM110" s="583">
        <f t="shared" ref="BM110:BM124" si="275">AN110*($Q110-$R110)/($Q110+0.00001)</f>
        <v>0</v>
      </c>
      <c r="BN110" s="583">
        <f t="shared" ref="BN110:BN124" si="276">AO110*($Q110-$R110)/($Q110+0.00001)</f>
        <v>0</v>
      </c>
      <c r="BO110" s="583">
        <f t="shared" ref="BO110:BO124" si="277">AP110*($Q110-$R110)/($Q110+0.00001)</f>
        <v>0</v>
      </c>
      <c r="BP110" s="583">
        <f t="shared" ref="BP110:BP124" si="278">AQ110*($Q110-$R110)/($Q110+0.00001)</f>
        <v>0</v>
      </c>
      <c r="BQ110" s="583">
        <f t="shared" ref="BQ110:BQ124" si="279">AR110*($Q110-$R110)/($Q110+0.00001)</f>
        <v>0</v>
      </c>
      <c r="BR110" s="583">
        <f t="shared" ref="BR110:BR124" si="280">AS110*($Q110-$R110)/($Q110+0.00001)</f>
        <v>0</v>
      </c>
    </row>
    <row r="111" spans="1:70" s="229" customFormat="1" ht="15" customHeight="1">
      <c r="A111" s="574"/>
      <c r="D111" s="406"/>
      <c r="E111" s="576">
        <f>IF(E$110&gt;0,E$110,"")</f>
        <v>100</v>
      </c>
      <c r="F111" s="707"/>
      <c r="G111" s="406" t="s">
        <v>3054</v>
      </c>
      <c r="H111" s="1262" t="s">
        <v>3055</v>
      </c>
      <c r="I111" s="85">
        <v>0</v>
      </c>
      <c r="J111" s="682">
        <v>1</v>
      </c>
      <c r="K111" s="579" t="str">
        <f t="shared" si="256"/>
        <v/>
      </c>
      <c r="L111" s="580" t="str">
        <f>IF(H111="Select ingredient:","",IF(G111="","",_xlfn.IFNA(VLOOKUP($H111,Ingredient_prices!$E:$U,16,FALSE),0)))</f>
        <v/>
      </c>
      <c r="M111" s="840"/>
      <c r="N111" s="840"/>
      <c r="O111" s="581"/>
      <c r="P111" s="582"/>
      <c r="Q111" s="583">
        <f t="shared" si="257"/>
        <v>0</v>
      </c>
      <c r="R111" s="583">
        <f>VLOOKUP($H111,'CO2_emission+%_food_waste'!$A:$K,6,FALSE)*$Q111/100</f>
        <v>0</v>
      </c>
      <c r="S111" s="583">
        <f t="shared" ref="S111:S129" si="281">Q111-R111</f>
        <v>0</v>
      </c>
      <c r="T111" s="583" t="str">
        <f>IF(H111="Select ingredient:","",IF(G111="Select food category:","",_xlfn.IFNA(VLOOKUP($H111,Ingredient_prices!$E:$U,16,FALSE)*$Q111/1000,"not bought")))</f>
        <v/>
      </c>
      <c r="U111" s="583" t="str">
        <f>IF(G111="Select food category:","",_xlfn.IFNA(VLOOKUP($H111,Ingredient_prices!$E:$U,16,FALSE)*$R111/1000,"not bought"))</f>
        <v/>
      </c>
      <c r="V111" s="549">
        <f>VLOOKUP($H111,'CO2_emission+%_food_waste'!$A:$K,4,FALSE)*$Q111</f>
        <v>0</v>
      </c>
      <c r="W111" s="583">
        <f>VLOOKUP($H111,Nutrition_tables!$A:$N,10,FALSE)*$Q111/100</f>
        <v>0</v>
      </c>
      <c r="X111" s="583">
        <f>VLOOKUP($H111,Nutrition_tables!$A:$N,11,FALSE)*$Q111/100</f>
        <v>0</v>
      </c>
      <c r="Y111" s="583">
        <f>VLOOKUP($H111,Nutrition_tables!$A:$N,12,FALSE)*$Q111/100</f>
        <v>0</v>
      </c>
      <c r="Z111" s="583">
        <f>VLOOKUP($H111,Nutrition_tables!$A:$N,14,FALSE)*$Q111/100</f>
        <v>0</v>
      </c>
      <c r="AA111" s="583">
        <f>VLOOKUP($H111,Nutrition_tables!$A:$AF,13,FALSE)*$Q111/100</f>
        <v>0</v>
      </c>
      <c r="AB111" s="549">
        <f>VLOOKUP($H111,Nutrition_tables!$A:$AF,15,FALSE)*$Q111/100</f>
        <v>0</v>
      </c>
      <c r="AC111" s="583">
        <f>VLOOKUP($H111,Nutrition_tables!$A:$AF,16,FALSE)*$Q111/100</f>
        <v>0</v>
      </c>
      <c r="AD111" s="583">
        <f>VLOOKUP($H111,Nutrition_tables!$A:$AF,17,FALSE)*$Q111/100</f>
        <v>0</v>
      </c>
      <c r="AE111" s="583">
        <f>VLOOKUP($H111,Nutrition_tables!$A:$AF,18,FALSE)*$Q111/100</f>
        <v>0</v>
      </c>
      <c r="AF111" s="583">
        <f>VLOOKUP($H111,Nutrition_tables!$A:$AF,19,FALSE)*$Q111/100</f>
        <v>0</v>
      </c>
      <c r="AG111" s="583">
        <f>VLOOKUP($H111,Nutrition_tables!$A:$AF,20,FALSE)*$Q111/100</f>
        <v>0</v>
      </c>
      <c r="AH111" s="583">
        <f>VLOOKUP($H111,Nutrition_tables!$A:$AF,21,FALSE)*$Q111/100</f>
        <v>0</v>
      </c>
      <c r="AI111" s="583">
        <f>VLOOKUP($H111,Nutrition_tables!$A:$AF,22,FALSE)*$Q111/100</f>
        <v>0</v>
      </c>
      <c r="AJ111" s="549">
        <f>VLOOKUP($H111,Nutrition_tables!$A:$AF,23,FALSE)*$Q111/100</f>
        <v>0</v>
      </c>
      <c r="AK111" s="583">
        <f>VLOOKUP($H111,Nutrition_tables!$A:$AF,24,FALSE)*$Q111/100</f>
        <v>0</v>
      </c>
      <c r="AL111" s="583">
        <f>VLOOKUP($H111,Nutrition_tables!$A:$AF,25,FALSE)*$Q111/100</f>
        <v>0</v>
      </c>
      <c r="AM111" s="583">
        <f>VLOOKUP($H111,Nutrition_tables!$A:$AF,26,FALSE)*$Q111/100</f>
        <v>0</v>
      </c>
      <c r="AN111" s="583">
        <f>VLOOKUP($H111,Nutrition_tables!$A:$AF,27,FALSE)*$Q111/100</f>
        <v>0</v>
      </c>
      <c r="AO111" s="583">
        <f>VLOOKUP($H111,Nutrition_tables!$A:$AF,28,FALSE)*$Q111/100</f>
        <v>0</v>
      </c>
      <c r="AP111" s="583">
        <f>VLOOKUP($H111,Nutrition_tables!$A:$AF,29,FALSE)*$Q111/100</f>
        <v>0</v>
      </c>
      <c r="AQ111" s="583">
        <f>VLOOKUP($H111,Nutrition_tables!$A:$AF,30,FALSE)*$Q111/100</f>
        <v>0</v>
      </c>
      <c r="AR111" s="583">
        <f>VLOOKUP($H111,Nutrition_tables!$A:$AF,31,FALSE)*$Q111/100</f>
        <v>0</v>
      </c>
      <c r="AS111" s="549">
        <f>VLOOKUP($H111,Nutrition_tables!$A:$AF,32,FALSE)*$Q111/100</f>
        <v>0</v>
      </c>
      <c r="AT111" s="583" t="str">
        <f>IF(H111="Select ingredient:","",IF(G111="Select food category:","",IFERROR(VLOOKUP($H111,Ingredient_prices!$E:$W,17,FALSE)*$Q111/1000,"not bought")))</f>
        <v/>
      </c>
      <c r="AU111" s="583" t="str">
        <f>IF(H111="Select ingredient:","",IF(G111="Select food category:","",IFERROR(VLOOKUP($H111,Ingredient_prices!$E:$W,18,FALSE)*$Q111/1000,"not bought")))</f>
        <v/>
      </c>
      <c r="AV111" s="583">
        <f t="shared" si="258"/>
        <v>0</v>
      </c>
      <c r="AW111" s="583">
        <f t="shared" si="259"/>
        <v>0</v>
      </c>
      <c r="AX111" s="583">
        <f t="shared" si="260"/>
        <v>0</v>
      </c>
      <c r="AY111" s="583">
        <f t="shared" si="261"/>
        <v>0</v>
      </c>
      <c r="AZ111" s="583">
        <f t="shared" si="262"/>
        <v>0</v>
      </c>
      <c r="BA111" s="583">
        <f t="shared" si="263"/>
        <v>0</v>
      </c>
      <c r="BB111" s="583">
        <f t="shared" si="264"/>
        <v>0</v>
      </c>
      <c r="BC111" s="583">
        <f t="shared" si="265"/>
        <v>0</v>
      </c>
      <c r="BD111" s="583">
        <f t="shared" si="266"/>
        <v>0</v>
      </c>
      <c r="BE111" s="583">
        <f t="shared" si="267"/>
        <v>0</v>
      </c>
      <c r="BF111" s="583">
        <f t="shared" si="268"/>
        <v>0</v>
      </c>
      <c r="BG111" s="583">
        <f t="shared" si="269"/>
        <v>0</v>
      </c>
      <c r="BH111" s="583">
        <f t="shared" si="270"/>
        <v>0</v>
      </c>
      <c r="BI111" s="583">
        <f t="shared" si="271"/>
        <v>0</v>
      </c>
      <c r="BJ111" s="583">
        <f t="shared" si="272"/>
        <v>0</v>
      </c>
      <c r="BK111" s="583">
        <f t="shared" si="273"/>
        <v>0</v>
      </c>
      <c r="BL111" s="583">
        <f t="shared" si="274"/>
        <v>0</v>
      </c>
      <c r="BM111" s="583">
        <f t="shared" si="275"/>
        <v>0</v>
      </c>
      <c r="BN111" s="583">
        <f t="shared" si="276"/>
        <v>0</v>
      </c>
      <c r="BO111" s="583">
        <f t="shared" si="277"/>
        <v>0</v>
      </c>
      <c r="BP111" s="583">
        <f t="shared" si="278"/>
        <v>0</v>
      </c>
      <c r="BQ111" s="583">
        <f t="shared" si="279"/>
        <v>0</v>
      </c>
      <c r="BR111" s="583">
        <f t="shared" si="280"/>
        <v>0</v>
      </c>
    </row>
    <row r="112" spans="1:70" s="229" customFormat="1" ht="15" customHeight="1">
      <c r="A112" s="574"/>
      <c r="D112" s="406"/>
      <c r="E112" s="576">
        <f t="shared" ref="E112:E129" si="282">IF(E$110&gt;0,E$110,"")</f>
        <v>100</v>
      </c>
      <c r="F112" s="707"/>
      <c r="G112" s="406" t="s">
        <v>3054</v>
      </c>
      <c r="H112" s="1262" t="s">
        <v>3055</v>
      </c>
      <c r="I112" s="85">
        <v>0</v>
      </c>
      <c r="J112" s="682">
        <v>1</v>
      </c>
      <c r="K112" s="579" t="str">
        <f t="shared" si="256"/>
        <v/>
      </c>
      <c r="L112" s="580" t="str">
        <f>IF(H112="Select ingredient:","",IF(G112="","",_xlfn.IFNA(VLOOKUP($H112,Ingredient_prices!$E:$U,16,FALSE),0)))</f>
        <v/>
      </c>
      <c r="M112" s="840"/>
      <c r="N112" s="840"/>
      <c r="O112" s="581"/>
      <c r="P112" s="582"/>
      <c r="Q112" s="583">
        <f t="shared" si="257"/>
        <v>0</v>
      </c>
      <c r="R112" s="583">
        <f>VLOOKUP($H112,'CO2_emission+%_food_waste'!$A:$K,6,FALSE)*$Q112/100</f>
        <v>0</v>
      </c>
      <c r="S112" s="583">
        <f t="shared" si="281"/>
        <v>0</v>
      </c>
      <c r="T112" s="583" t="str">
        <f>IF(H112="Select ingredient:","",IF(G112="Select food category:","",_xlfn.IFNA(VLOOKUP($H112,Ingredient_prices!$E:$U,16,FALSE)*$Q112/1000,"not bought")))</f>
        <v/>
      </c>
      <c r="U112" s="583" t="str">
        <f>IF(G112="Select food category:","",_xlfn.IFNA(VLOOKUP($H112,Ingredient_prices!$E:$U,16,FALSE)*$R112/1000,"not bought"))</f>
        <v/>
      </c>
      <c r="V112" s="549">
        <f>VLOOKUP($H112,'CO2_emission+%_food_waste'!$A:$K,4,FALSE)*$Q112</f>
        <v>0</v>
      </c>
      <c r="W112" s="583">
        <f>VLOOKUP($H112,Nutrition_tables!$A:$N,10,FALSE)*$Q112/100</f>
        <v>0</v>
      </c>
      <c r="X112" s="583">
        <f>VLOOKUP($H112,Nutrition_tables!$A:$N,11,FALSE)*$Q112/100</f>
        <v>0</v>
      </c>
      <c r="Y112" s="583">
        <f>VLOOKUP($H112,Nutrition_tables!$A:$N,12,FALSE)*$Q112/100</f>
        <v>0</v>
      </c>
      <c r="Z112" s="583">
        <f>VLOOKUP($H112,Nutrition_tables!$A:$N,14,FALSE)*$Q112/100</f>
        <v>0</v>
      </c>
      <c r="AA112" s="583">
        <f>VLOOKUP($H112,Nutrition_tables!$A:$AF,13,FALSE)*$Q112/100</f>
        <v>0</v>
      </c>
      <c r="AB112" s="549">
        <f>VLOOKUP($H112,Nutrition_tables!$A:$AF,15,FALSE)*$Q112/100</f>
        <v>0</v>
      </c>
      <c r="AC112" s="583">
        <f>VLOOKUP($H112,Nutrition_tables!$A:$AF,16,FALSE)*$Q112/100</f>
        <v>0</v>
      </c>
      <c r="AD112" s="583">
        <f>VLOOKUP($H112,Nutrition_tables!$A:$AF,17,FALSE)*$Q112/100</f>
        <v>0</v>
      </c>
      <c r="AE112" s="583">
        <f>VLOOKUP($H112,Nutrition_tables!$A:$AF,18,FALSE)*$Q112/100</f>
        <v>0</v>
      </c>
      <c r="AF112" s="583">
        <f>VLOOKUP($H112,Nutrition_tables!$A:$AF,19,FALSE)*$Q112/100</f>
        <v>0</v>
      </c>
      <c r="AG112" s="583">
        <f>VLOOKUP($H112,Nutrition_tables!$A:$AF,20,FALSE)*$Q112/100</f>
        <v>0</v>
      </c>
      <c r="AH112" s="583">
        <f>VLOOKUP($H112,Nutrition_tables!$A:$AF,21,FALSE)*$Q112/100</f>
        <v>0</v>
      </c>
      <c r="AI112" s="583">
        <f>VLOOKUP($H112,Nutrition_tables!$A:$AF,22,FALSE)*$Q112/100</f>
        <v>0</v>
      </c>
      <c r="AJ112" s="549">
        <f>VLOOKUP($H112,Nutrition_tables!$A:$AF,23,FALSE)*$Q112/100</f>
        <v>0</v>
      </c>
      <c r="AK112" s="583">
        <f>VLOOKUP($H112,Nutrition_tables!$A:$AF,24,FALSE)*$Q112/100</f>
        <v>0</v>
      </c>
      <c r="AL112" s="583">
        <f>VLOOKUP($H112,Nutrition_tables!$A:$AF,25,FALSE)*$Q112/100</f>
        <v>0</v>
      </c>
      <c r="AM112" s="583">
        <f>VLOOKUP($H112,Nutrition_tables!$A:$AF,26,FALSE)*$Q112/100</f>
        <v>0</v>
      </c>
      <c r="AN112" s="583">
        <f>VLOOKUP($H112,Nutrition_tables!$A:$AF,27,FALSE)*$Q112/100</f>
        <v>0</v>
      </c>
      <c r="AO112" s="583">
        <f>VLOOKUP($H112,Nutrition_tables!$A:$AF,28,FALSE)*$Q112/100</f>
        <v>0</v>
      </c>
      <c r="AP112" s="583">
        <f>VLOOKUP($H112,Nutrition_tables!$A:$AF,29,FALSE)*$Q112/100</f>
        <v>0</v>
      </c>
      <c r="AQ112" s="583">
        <f>VLOOKUP($H112,Nutrition_tables!$A:$AF,30,FALSE)*$Q112/100</f>
        <v>0</v>
      </c>
      <c r="AR112" s="583">
        <f>VLOOKUP($H112,Nutrition_tables!$A:$AF,31,FALSE)*$Q112/100</f>
        <v>0</v>
      </c>
      <c r="AS112" s="549">
        <f>VLOOKUP($H112,Nutrition_tables!$A:$AF,32,FALSE)*$Q112/100</f>
        <v>0</v>
      </c>
      <c r="AT112" s="583" t="str">
        <f>IF(H112="Select ingredient:","",IF(G112="Select food category:","",IFERROR(VLOOKUP($H112,Ingredient_prices!$E:$W,17,FALSE)*$Q112/1000,"not bought")))</f>
        <v/>
      </c>
      <c r="AU112" s="583" t="str">
        <f>IF(H112="Select ingredient:","",IF(G112="Select food category:","",IFERROR(VLOOKUP($H112,Ingredient_prices!$E:$W,18,FALSE)*$Q112/1000,"not bought")))</f>
        <v/>
      </c>
      <c r="AV112" s="583">
        <f t="shared" si="258"/>
        <v>0</v>
      </c>
      <c r="AW112" s="583">
        <f t="shared" si="259"/>
        <v>0</v>
      </c>
      <c r="AX112" s="583">
        <f t="shared" si="260"/>
        <v>0</v>
      </c>
      <c r="AY112" s="583">
        <f t="shared" si="261"/>
        <v>0</v>
      </c>
      <c r="AZ112" s="583">
        <f t="shared" si="262"/>
        <v>0</v>
      </c>
      <c r="BA112" s="583">
        <f t="shared" si="263"/>
        <v>0</v>
      </c>
      <c r="BB112" s="583">
        <f t="shared" si="264"/>
        <v>0</v>
      </c>
      <c r="BC112" s="583">
        <f t="shared" si="265"/>
        <v>0</v>
      </c>
      <c r="BD112" s="583">
        <f t="shared" si="266"/>
        <v>0</v>
      </c>
      <c r="BE112" s="583">
        <f t="shared" si="267"/>
        <v>0</v>
      </c>
      <c r="BF112" s="583">
        <f t="shared" si="268"/>
        <v>0</v>
      </c>
      <c r="BG112" s="583">
        <f t="shared" si="269"/>
        <v>0</v>
      </c>
      <c r="BH112" s="583">
        <f t="shared" si="270"/>
        <v>0</v>
      </c>
      <c r="BI112" s="583">
        <f t="shared" si="271"/>
        <v>0</v>
      </c>
      <c r="BJ112" s="583">
        <f t="shared" si="272"/>
        <v>0</v>
      </c>
      <c r="BK112" s="583">
        <f t="shared" si="273"/>
        <v>0</v>
      </c>
      <c r="BL112" s="583">
        <f t="shared" si="274"/>
        <v>0</v>
      </c>
      <c r="BM112" s="583">
        <f t="shared" si="275"/>
        <v>0</v>
      </c>
      <c r="BN112" s="583">
        <f t="shared" si="276"/>
        <v>0</v>
      </c>
      <c r="BO112" s="583">
        <f t="shared" si="277"/>
        <v>0</v>
      </c>
      <c r="BP112" s="583">
        <f t="shared" si="278"/>
        <v>0</v>
      </c>
      <c r="BQ112" s="583">
        <f t="shared" si="279"/>
        <v>0</v>
      </c>
      <c r="BR112" s="583">
        <f t="shared" si="280"/>
        <v>0</v>
      </c>
    </row>
    <row r="113" spans="1:70" s="229" customFormat="1" ht="15" customHeight="1">
      <c r="A113" s="574"/>
      <c r="D113" s="85"/>
      <c r="E113" s="576">
        <f t="shared" si="282"/>
        <v>100</v>
      </c>
      <c r="F113" s="707"/>
      <c r="G113" s="406" t="s">
        <v>3054</v>
      </c>
      <c r="H113" s="1262" t="s">
        <v>3055</v>
      </c>
      <c r="I113" s="85">
        <v>0</v>
      </c>
      <c r="J113" s="682">
        <v>1</v>
      </c>
      <c r="K113" s="579" t="str">
        <f t="shared" si="256"/>
        <v/>
      </c>
      <c r="L113" s="580" t="str">
        <f>IF(H113="Select ingredient:","",IF(G113="","",_xlfn.IFNA(VLOOKUP($H113,Ingredient_prices!$E:$U,16,FALSE),0)))</f>
        <v/>
      </c>
      <c r="M113" s="840"/>
      <c r="N113" s="840"/>
      <c r="O113" s="581"/>
      <c r="P113" s="582"/>
      <c r="Q113" s="583">
        <f t="shared" si="257"/>
        <v>0</v>
      </c>
      <c r="R113" s="583">
        <f>VLOOKUP($H113,'CO2_emission+%_food_waste'!$A:$K,6,FALSE)*$Q113/100</f>
        <v>0</v>
      </c>
      <c r="S113" s="583">
        <f t="shared" si="281"/>
        <v>0</v>
      </c>
      <c r="T113" s="583" t="str">
        <f>IF(H113="Select ingredient:","",IF(G113="Select food category:","",_xlfn.IFNA(VLOOKUP($H113,Ingredient_prices!$E:$U,16,FALSE)*$Q113/1000,"not bought")))</f>
        <v/>
      </c>
      <c r="U113" s="583" t="str">
        <f>IF(G113="Select food category:","",_xlfn.IFNA(VLOOKUP($H113,Ingredient_prices!$E:$U,16,FALSE)*$R113/1000,"not bought"))</f>
        <v/>
      </c>
      <c r="V113" s="549">
        <f>VLOOKUP($H113,'CO2_emission+%_food_waste'!$A:$K,4,FALSE)*$Q113</f>
        <v>0</v>
      </c>
      <c r="W113" s="583">
        <f>VLOOKUP($H113,Nutrition_tables!$A:$N,10,FALSE)*$Q113/100</f>
        <v>0</v>
      </c>
      <c r="X113" s="583">
        <f>VLOOKUP($H113,Nutrition_tables!$A:$N,11,FALSE)*$Q113/100</f>
        <v>0</v>
      </c>
      <c r="Y113" s="583">
        <f>VLOOKUP($H113,Nutrition_tables!$A:$N,12,FALSE)*$Q113/100</f>
        <v>0</v>
      </c>
      <c r="Z113" s="583">
        <f>VLOOKUP($H113,Nutrition_tables!$A:$N,14,FALSE)*$Q113/100</f>
        <v>0</v>
      </c>
      <c r="AA113" s="583">
        <f>VLOOKUP($H113,Nutrition_tables!$A:$AF,13,FALSE)*$Q113/100</f>
        <v>0</v>
      </c>
      <c r="AB113" s="549">
        <f>VLOOKUP($H113,Nutrition_tables!$A:$AF,15,FALSE)*$Q113/100</f>
        <v>0</v>
      </c>
      <c r="AC113" s="583">
        <f>VLOOKUP($H113,Nutrition_tables!$A:$AF,16,FALSE)*$Q113/100</f>
        <v>0</v>
      </c>
      <c r="AD113" s="583">
        <f>VLOOKUP($H113,Nutrition_tables!$A:$AF,17,FALSE)*$Q113/100</f>
        <v>0</v>
      </c>
      <c r="AE113" s="583">
        <f>VLOOKUP($H113,Nutrition_tables!$A:$AF,18,FALSE)*$Q113/100</f>
        <v>0</v>
      </c>
      <c r="AF113" s="583">
        <f>VLOOKUP($H113,Nutrition_tables!$A:$AF,19,FALSE)*$Q113/100</f>
        <v>0</v>
      </c>
      <c r="AG113" s="583">
        <f>VLOOKUP($H113,Nutrition_tables!$A:$AF,20,FALSE)*$Q113/100</f>
        <v>0</v>
      </c>
      <c r="AH113" s="583">
        <f>VLOOKUP($H113,Nutrition_tables!$A:$AF,21,FALSE)*$Q113/100</f>
        <v>0</v>
      </c>
      <c r="AI113" s="583">
        <f>VLOOKUP($H113,Nutrition_tables!$A:$AF,22,FALSE)*$Q113/100</f>
        <v>0</v>
      </c>
      <c r="AJ113" s="549">
        <f>VLOOKUP($H113,Nutrition_tables!$A:$AF,23,FALSE)*$Q113/100</f>
        <v>0</v>
      </c>
      <c r="AK113" s="583">
        <f>VLOOKUP($H113,Nutrition_tables!$A:$AF,24,FALSE)*$Q113/100</f>
        <v>0</v>
      </c>
      <c r="AL113" s="583">
        <f>VLOOKUP($H113,Nutrition_tables!$A:$AF,25,FALSE)*$Q113/100</f>
        <v>0</v>
      </c>
      <c r="AM113" s="583">
        <f>VLOOKUP($H113,Nutrition_tables!$A:$AF,26,FALSE)*$Q113/100</f>
        <v>0</v>
      </c>
      <c r="AN113" s="583">
        <f>VLOOKUP($H113,Nutrition_tables!$A:$AF,27,FALSE)*$Q113/100</f>
        <v>0</v>
      </c>
      <c r="AO113" s="583">
        <f>VLOOKUP($H113,Nutrition_tables!$A:$AF,28,FALSE)*$Q113/100</f>
        <v>0</v>
      </c>
      <c r="AP113" s="583">
        <f>VLOOKUP($H113,Nutrition_tables!$A:$AF,29,FALSE)*$Q113/100</f>
        <v>0</v>
      </c>
      <c r="AQ113" s="583">
        <f>VLOOKUP($H113,Nutrition_tables!$A:$AF,30,FALSE)*$Q113/100</f>
        <v>0</v>
      </c>
      <c r="AR113" s="583">
        <f>VLOOKUP($H113,Nutrition_tables!$A:$AF,31,FALSE)*$Q113/100</f>
        <v>0</v>
      </c>
      <c r="AS113" s="549">
        <f>VLOOKUP($H113,Nutrition_tables!$A:$AF,32,FALSE)*$Q113/100</f>
        <v>0</v>
      </c>
      <c r="AT113" s="583" t="str">
        <f>IF(H113="Select ingredient:","",IF(G113="Select food category:","",IFERROR(VLOOKUP($H113,Ingredient_prices!$E:$W,17,FALSE)*$Q113/1000,"not bought")))</f>
        <v/>
      </c>
      <c r="AU113" s="583" t="str">
        <f>IF(H113="Select ingredient:","",IF(G113="Select food category:","",IFERROR(VLOOKUP($H113,Ingredient_prices!$E:$W,18,FALSE)*$Q113/1000,"not bought")))</f>
        <v/>
      </c>
      <c r="AV113" s="583">
        <f t="shared" si="258"/>
        <v>0</v>
      </c>
      <c r="AW113" s="583">
        <f t="shared" si="259"/>
        <v>0</v>
      </c>
      <c r="AX113" s="583">
        <f t="shared" si="260"/>
        <v>0</v>
      </c>
      <c r="AY113" s="583">
        <f t="shared" si="261"/>
        <v>0</v>
      </c>
      <c r="AZ113" s="583">
        <f t="shared" si="262"/>
        <v>0</v>
      </c>
      <c r="BA113" s="583">
        <f t="shared" si="263"/>
        <v>0</v>
      </c>
      <c r="BB113" s="583">
        <f t="shared" si="264"/>
        <v>0</v>
      </c>
      <c r="BC113" s="583">
        <f t="shared" si="265"/>
        <v>0</v>
      </c>
      <c r="BD113" s="583">
        <f t="shared" si="266"/>
        <v>0</v>
      </c>
      <c r="BE113" s="583">
        <f t="shared" si="267"/>
        <v>0</v>
      </c>
      <c r="BF113" s="583">
        <f t="shared" si="268"/>
        <v>0</v>
      </c>
      <c r="BG113" s="583">
        <f t="shared" si="269"/>
        <v>0</v>
      </c>
      <c r="BH113" s="583">
        <f t="shared" si="270"/>
        <v>0</v>
      </c>
      <c r="BI113" s="583">
        <f t="shared" si="271"/>
        <v>0</v>
      </c>
      <c r="BJ113" s="583">
        <f t="shared" si="272"/>
        <v>0</v>
      </c>
      <c r="BK113" s="583">
        <f t="shared" si="273"/>
        <v>0</v>
      </c>
      <c r="BL113" s="583">
        <f t="shared" si="274"/>
        <v>0</v>
      </c>
      <c r="BM113" s="583">
        <f t="shared" si="275"/>
        <v>0</v>
      </c>
      <c r="BN113" s="583">
        <f t="shared" si="276"/>
        <v>0</v>
      </c>
      <c r="BO113" s="583">
        <f t="shared" si="277"/>
        <v>0</v>
      </c>
      <c r="BP113" s="583">
        <f t="shared" si="278"/>
        <v>0</v>
      </c>
      <c r="BQ113" s="583">
        <f t="shared" si="279"/>
        <v>0</v>
      </c>
      <c r="BR113" s="583">
        <f t="shared" si="280"/>
        <v>0</v>
      </c>
    </row>
    <row r="114" spans="1:70" s="229" customFormat="1" ht="15" customHeight="1">
      <c r="A114" s="574"/>
      <c r="D114" s="85"/>
      <c r="E114" s="576">
        <f t="shared" si="282"/>
        <v>100</v>
      </c>
      <c r="F114" s="707"/>
      <c r="G114" s="406" t="s">
        <v>3054</v>
      </c>
      <c r="H114" s="1262" t="s">
        <v>3055</v>
      </c>
      <c r="I114" s="85">
        <v>0</v>
      </c>
      <c r="J114" s="682">
        <v>1</v>
      </c>
      <c r="K114" s="579" t="str">
        <f t="shared" si="256"/>
        <v/>
      </c>
      <c r="L114" s="580" t="str">
        <f>IF(H114="Select ingredient:","",IF(G114="","",_xlfn.IFNA(VLOOKUP($H114,Ingredient_prices!$E:$U,16,FALSE),0)))</f>
        <v/>
      </c>
      <c r="M114" s="840"/>
      <c r="N114" s="840"/>
      <c r="O114" s="581"/>
      <c r="P114" s="582"/>
      <c r="Q114" s="583">
        <f t="shared" si="257"/>
        <v>0</v>
      </c>
      <c r="R114" s="583">
        <f>VLOOKUP($H114,'CO2_emission+%_food_waste'!$A:$K,6,FALSE)*$Q114/100</f>
        <v>0</v>
      </c>
      <c r="S114" s="583">
        <f t="shared" si="281"/>
        <v>0</v>
      </c>
      <c r="T114" s="583" t="str">
        <f>IF(H114="Select ingredient:","",IF(G114="Select food category:","",_xlfn.IFNA(VLOOKUP($H114,Ingredient_prices!$E:$U,16,FALSE)*$Q114/1000,"not bought")))</f>
        <v/>
      </c>
      <c r="U114" s="583" t="str">
        <f>IF(G114="Select food category:","",_xlfn.IFNA(VLOOKUP($H114,Ingredient_prices!$E:$U,16,FALSE)*$R114/1000,"not bought"))</f>
        <v/>
      </c>
      <c r="V114" s="549">
        <f>VLOOKUP($H114,'CO2_emission+%_food_waste'!$A:$K,4,FALSE)*$Q114</f>
        <v>0</v>
      </c>
      <c r="W114" s="583">
        <f>VLOOKUP($H114,Nutrition_tables!$A:$N,10,FALSE)*$Q114/100</f>
        <v>0</v>
      </c>
      <c r="X114" s="583">
        <f>VLOOKUP($H114,Nutrition_tables!$A:$N,11,FALSE)*$Q114/100</f>
        <v>0</v>
      </c>
      <c r="Y114" s="583">
        <f>VLOOKUP($H114,Nutrition_tables!$A:$N,12,FALSE)*$Q114/100</f>
        <v>0</v>
      </c>
      <c r="Z114" s="583">
        <f>VLOOKUP($H114,Nutrition_tables!$A:$N,14,FALSE)*$Q114/100</f>
        <v>0</v>
      </c>
      <c r="AA114" s="583">
        <f>VLOOKUP($H114,Nutrition_tables!$A:$AF,13,FALSE)*$Q114/100</f>
        <v>0</v>
      </c>
      <c r="AB114" s="549">
        <f>VLOOKUP($H114,Nutrition_tables!$A:$AF,15,FALSE)*$Q114/100</f>
        <v>0</v>
      </c>
      <c r="AC114" s="583">
        <f>VLOOKUP($H114,Nutrition_tables!$A:$AF,16,FALSE)*$Q114/100</f>
        <v>0</v>
      </c>
      <c r="AD114" s="583">
        <f>VLOOKUP($H114,Nutrition_tables!$A:$AF,17,FALSE)*$Q114/100</f>
        <v>0</v>
      </c>
      <c r="AE114" s="583">
        <f>VLOOKUP($H114,Nutrition_tables!$A:$AF,18,FALSE)*$Q114/100</f>
        <v>0</v>
      </c>
      <c r="AF114" s="583">
        <f>VLOOKUP($H114,Nutrition_tables!$A:$AF,19,FALSE)*$Q114/100</f>
        <v>0</v>
      </c>
      <c r="AG114" s="583">
        <f>VLOOKUP($H114,Nutrition_tables!$A:$AF,20,FALSE)*$Q114/100</f>
        <v>0</v>
      </c>
      <c r="AH114" s="583">
        <f>VLOOKUP($H114,Nutrition_tables!$A:$AF,21,FALSE)*$Q114/100</f>
        <v>0</v>
      </c>
      <c r="AI114" s="583">
        <f>VLOOKUP($H114,Nutrition_tables!$A:$AF,22,FALSE)*$Q114/100</f>
        <v>0</v>
      </c>
      <c r="AJ114" s="549">
        <f>VLOOKUP($H114,Nutrition_tables!$A:$AF,23,FALSE)*$Q114/100</f>
        <v>0</v>
      </c>
      <c r="AK114" s="583">
        <f>VLOOKUP($H114,Nutrition_tables!$A:$AF,24,FALSE)*$Q114/100</f>
        <v>0</v>
      </c>
      <c r="AL114" s="583">
        <f>VLOOKUP($H114,Nutrition_tables!$A:$AF,25,FALSE)*$Q114/100</f>
        <v>0</v>
      </c>
      <c r="AM114" s="583">
        <f>VLOOKUP($H114,Nutrition_tables!$A:$AF,26,FALSE)*$Q114/100</f>
        <v>0</v>
      </c>
      <c r="AN114" s="583">
        <f>VLOOKUP($H114,Nutrition_tables!$A:$AF,27,FALSE)*$Q114/100</f>
        <v>0</v>
      </c>
      <c r="AO114" s="583">
        <f>VLOOKUP($H114,Nutrition_tables!$A:$AF,28,FALSE)*$Q114/100</f>
        <v>0</v>
      </c>
      <c r="AP114" s="583">
        <f>VLOOKUP($H114,Nutrition_tables!$A:$AF,29,FALSE)*$Q114/100</f>
        <v>0</v>
      </c>
      <c r="AQ114" s="583">
        <f>VLOOKUP($H114,Nutrition_tables!$A:$AF,30,FALSE)*$Q114/100</f>
        <v>0</v>
      </c>
      <c r="AR114" s="583">
        <f>VLOOKUP($H114,Nutrition_tables!$A:$AF,31,FALSE)*$Q114/100</f>
        <v>0</v>
      </c>
      <c r="AS114" s="549">
        <f>VLOOKUP($H114,Nutrition_tables!$A:$AF,32,FALSE)*$Q114/100</f>
        <v>0</v>
      </c>
      <c r="AT114" s="583" t="str">
        <f>IF(H114="Select ingredient:","",IF(G114="Select food category:","",IFERROR(VLOOKUP($H114,Ingredient_prices!$E:$W,17,FALSE)*$Q114/1000,"not bought")))</f>
        <v/>
      </c>
      <c r="AU114" s="583" t="str">
        <f>IF(H114="Select ingredient:","",IF(G114="Select food category:","",IFERROR(VLOOKUP($H114,Ingredient_prices!$E:$W,18,FALSE)*$Q114/1000,"not bought")))</f>
        <v/>
      </c>
      <c r="AV114" s="583">
        <f t="shared" si="258"/>
        <v>0</v>
      </c>
      <c r="AW114" s="583">
        <f t="shared" si="259"/>
        <v>0</v>
      </c>
      <c r="AX114" s="583">
        <f t="shared" si="260"/>
        <v>0</v>
      </c>
      <c r="AY114" s="583">
        <f t="shared" si="261"/>
        <v>0</v>
      </c>
      <c r="AZ114" s="583">
        <f t="shared" si="262"/>
        <v>0</v>
      </c>
      <c r="BA114" s="583">
        <f t="shared" si="263"/>
        <v>0</v>
      </c>
      <c r="BB114" s="583">
        <f t="shared" si="264"/>
        <v>0</v>
      </c>
      <c r="BC114" s="583">
        <f t="shared" si="265"/>
        <v>0</v>
      </c>
      <c r="BD114" s="583">
        <f t="shared" si="266"/>
        <v>0</v>
      </c>
      <c r="BE114" s="583">
        <f t="shared" si="267"/>
        <v>0</v>
      </c>
      <c r="BF114" s="583">
        <f t="shared" si="268"/>
        <v>0</v>
      </c>
      <c r="BG114" s="583">
        <f t="shared" si="269"/>
        <v>0</v>
      </c>
      <c r="BH114" s="583">
        <f t="shared" si="270"/>
        <v>0</v>
      </c>
      <c r="BI114" s="583">
        <f t="shared" si="271"/>
        <v>0</v>
      </c>
      <c r="BJ114" s="583">
        <f t="shared" si="272"/>
        <v>0</v>
      </c>
      <c r="BK114" s="583">
        <f t="shared" si="273"/>
        <v>0</v>
      </c>
      <c r="BL114" s="583">
        <f t="shared" si="274"/>
        <v>0</v>
      </c>
      <c r="BM114" s="583">
        <f t="shared" si="275"/>
        <v>0</v>
      </c>
      <c r="BN114" s="583">
        <f t="shared" si="276"/>
        <v>0</v>
      </c>
      <c r="BO114" s="583">
        <f t="shared" si="277"/>
        <v>0</v>
      </c>
      <c r="BP114" s="583">
        <f t="shared" si="278"/>
        <v>0</v>
      </c>
      <c r="BQ114" s="583">
        <f t="shared" si="279"/>
        <v>0</v>
      </c>
      <c r="BR114" s="583">
        <f t="shared" si="280"/>
        <v>0</v>
      </c>
    </row>
    <row r="115" spans="1:70" s="229" customFormat="1" ht="15" customHeight="1">
      <c r="A115" s="574"/>
      <c r="D115" s="85"/>
      <c r="E115" s="576">
        <f t="shared" si="282"/>
        <v>100</v>
      </c>
      <c r="F115" s="707"/>
      <c r="G115" s="406" t="s">
        <v>3054</v>
      </c>
      <c r="H115" s="1262" t="s">
        <v>3055</v>
      </c>
      <c r="I115" s="85">
        <v>0</v>
      </c>
      <c r="J115" s="682">
        <v>1</v>
      </c>
      <c r="K115" s="579" t="str">
        <f t="shared" si="256"/>
        <v/>
      </c>
      <c r="L115" s="580" t="str">
        <f>IF(H115="Select ingredient:","",IF(G115="","",_xlfn.IFNA(VLOOKUP($H115,Ingredient_prices!$E:$U,16,FALSE),0)))</f>
        <v/>
      </c>
      <c r="M115" s="840"/>
      <c r="N115" s="840"/>
      <c r="O115" s="581"/>
      <c r="P115" s="582"/>
      <c r="Q115" s="583">
        <f t="shared" si="257"/>
        <v>0</v>
      </c>
      <c r="R115" s="583">
        <f>VLOOKUP($H115,'CO2_emission+%_food_waste'!$A:$K,6,FALSE)*$Q115/100</f>
        <v>0</v>
      </c>
      <c r="S115" s="583">
        <f t="shared" si="281"/>
        <v>0</v>
      </c>
      <c r="T115" s="583" t="str">
        <f>IF(H115="Select ingredient:","",IF(G115="Select food category:","",_xlfn.IFNA(VLOOKUP($H115,Ingredient_prices!$E:$U,16,FALSE)*$Q115/1000,"not bought")))</f>
        <v/>
      </c>
      <c r="U115" s="583" t="str">
        <f>IF(G115="Select food category:","",_xlfn.IFNA(VLOOKUP($H115,Ingredient_prices!$E:$U,16,FALSE)*$R115/1000,"not bought"))</f>
        <v/>
      </c>
      <c r="V115" s="549">
        <f>VLOOKUP($H115,'CO2_emission+%_food_waste'!$A:$K,4,FALSE)*$Q115</f>
        <v>0</v>
      </c>
      <c r="W115" s="583">
        <f>VLOOKUP($H115,Nutrition_tables!$A:$N,10,FALSE)*$Q115/100</f>
        <v>0</v>
      </c>
      <c r="X115" s="583">
        <f>VLOOKUP($H115,Nutrition_tables!$A:$N,11,FALSE)*$Q115/100</f>
        <v>0</v>
      </c>
      <c r="Y115" s="583">
        <f>VLOOKUP($H115,Nutrition_tables!$A:$N,12,FALSE)*$Q115/100</f>
        <v>0</v>
      </c>
      <c r="Z115" s="583">
        <f>VLOOKUP($H115,Nutrition_tables!$A:$N,14,FALSE)*$Q115/100</f>
        <v>0</v>
      </c>
      <c r="AA115" s="583">
        <f>VLOOKUP($H115,Nutrition_tables!$A:$AF,13,FALSE)*$Q115/100</f>
        <v>0</v>
      </c>
      <c r="AB115" s="549">
        <f>VLOOKUP($H115,Nutrition_tables!$A:$AF,15,FALSE)*$Q115/100</f>
        <v>0</v>
      </c>
      <c r="AC115" s="583">
        <f>VLOOKUP($H115,Nutrition_tables!$A:$AF,16,FALSE)*$Q115/100</f>
        <v>0</v>
      </c>
      <c r="AD115" s="583">
        <f>VLOOKUP($H115,Nutrition_tables!$A:$AF,17,FALSE)*$Q115/100</f>
        <v>0</v>
      </c>
      <c r="AE115" s="583">
        <f>VLOOKUP($H115,Nutrition_tables!$A:$AF,18,FALSE)*$Q115/100</f>
        <v>0</v>
      </c>
      <c r="AF115" s="583">
        <f>VLOOKUP($H115,Nutrition_tables!$A:$AF,19,FALSE)*$Q115/100</f>
        <v>0</v>
      </c>
      <c r="AG115" s="583">
        <f>VLOOKUP($H115,Nutrition_tables!$A:$AF,20,FALSE)*$Q115/100</f>
        <v>0</v>
      </c>
      <c r="AH115" s="583">
        <f>VLOOKUP($H115,Nutrition_tables!$A:$AF,21,FALSE)*$Q115/100</f>
        <v>0</v>
      </c>
      <c r="AI115" s="583">
        <f>VLOOKUP($H115,Nutrition_tables!$A:$AF,22,FALSE)*$Q115/100</f>
        <v>0</v>
      </c>
      <c r="AJ115" s="549">
        <f>VLOOKUP($H115,Nutrition_tables!$A:$AF,23,FALSE)*$Q115/100</f>
        <v>0</v>
      </c>
      <c r="AK115" s="583">
        <f>VLOOKUP($H115,Nutrition_tables!$A:$AF,24,FALSE)*$Q115/100</f>
        <v>0</v>
      </c>
      <c r="AL115" s="583">
        <f>VLOOKUP($H115,Nutrition_tables!$A:$AF,25,FALSE)*$Q115/100</f>
        <v>0</v>
      </c>
      <c r="AM115" s="583">
        <f>VLOOKUP($H115,Nutrition_tables!$A:$AF,26,FALSE)*$Q115/100</f>
        <v>0</v>
      </c>
      <c r="AN115" s="583">
        <f>VLOOKUP($H115,Nutrition_tables!$A:$AF,27,FALSE)*$Q115/100</f>
        <v>0</v>
      </c>
      <c r="AO115" s="583">
        <f>VLOOKUP($H115,Nutrition_tables!$A:$AF,28,FALSE)*$Q115/100</f>
        <v>0</v>
      </c>
      <c r="AP115" s="583">
        <f>VLOOKUP($H115,Nutrition_tables!$A:$AF,29,FALSE)*$Q115/100</f>
        <v>0</v>
      </c>
      <c r="AQ115" s="583">
        <f>VLOOKUP($H115,Nutrition_tables!$A:$AF,30,FALSE)*$Q115/100</f>
        <v>0</v>
      </c>
      <c r="AR115" s="583">
        <f>VLOOKUP($H115,Nutrition_tables!$A:$AF,31,FALSE)*$Q115/100</f>
        <v>0</v>
      </c>
      <c r="AS115" s="549">
        <f>VLOOKUP($H115,Nutrition_tables!$A:$AF,32,FALSE)*$Q115/100</f>
        <v>0</v>
      </c>
      <c r="AT115" s="583" t="str">
        <f>IF(H115="Select ingredient:","",IF(G115="Select food category:","",IFERROR(VLOOKUP($H115,Ingredient_prices!$E:$W,17,FALSE)*$Q115/1000,"not bought")))</f>
        <v/>
      </c>
      <c r="AU115" s="583" t="str">
        <f>IF(H115="Select ingredient:","",IF(G115="Select food category:","",IFERROR(VLOOKUP($H115,Ingredient_prices!$E:$W,18,FALSE)*$Q115/1000,"not bought")))</f>
        <v/>
      </c>
      <c r="AV115" s="583">
        <f t="shared" si="258"/>
        <v>0</v>
      </c>
      <c r="AW115" s="583">
        <f t="shared" si="259"/>
        <v>0</v>
      </c>
      <c r="AX115" s="583">
        <f t="shared" si="260"/>
        <v>0</v>
      </c>
      <c r="AY115" s="583">
        <f t="shared" si="261"/>
        <v>0</v>
      </c>
      <c r="AZ115" s="583">
        <f t="shared" si="262"/>
        <v>0</v>
      </c>
      <c r="BA115" s="583">
        <f t="shared" si="263"/>
        <v>0</v>
      </c>
      <c r="BB115" s="583">
        <f t="shared" si="264"/>
        <v>0</v>
      </c>
      <c r="BC115" s="583">
        <f t="shared" si="265"/>
        <v>0</v>
      </c>
      <c r="BD115" s="583">
        <f t="shared" si="266"/>
        <v>0</v>
      </c>
      <c r="BE115" s="583">
        <f t="shared" si="267"/>
        <v>0</v>
      </c>
      <c r="BF115" s="583">
        <f t="shared" si="268"/>
        <v>0</v>
      </c>
      <c r="BG115" s="583">
        <f t="shared" si="269"/>
        <v>0</v>
      </c>
      <c r="BH115" s="583">
        <f t="shared" si="270"/>
        <v>0</v>
      </c>
      <c r="BI115" s="583">
        <f t="shared" si="271"/>
        <v>0</v>
      </c>
      <c r="BJ115" s="583">
        <f t="shared" si="272"/>
        <v>0</v>
      </c>
      <c r="BK115" s="583">
        <f t="shared" si="273"/>
        <v>0</v>
      </c>
      <c r="BL115" s="583">
        <f t="shared" si="274"/>
        <v>0</v>
      </c>
      <c r="BM115" s="583">
        <f t="shared" si="275"/>
        <v>0</v>
      </c>
      <c r="BN115" s="583">
        <f t="shared" si="276"/>
        <v>0</v>
      </c>
      <c r="BO115" s="583">
        <f t="shared" si="277"/>
        <v>0</v>
      </c>
      <c r="BP115" s="583">
        <f t="shared" si="278"/>
        <v>0</v>
      </c>
      <c r="BQ115" s="583">
        <f t="shared" si="279"/>
        <v>0</v>
      </c>
      <c r="BR115" s="583">
        <f t="shared" si="280"/>
        <v>0</v>
      </c>
    </row>
    <row r="116" spans="1:70" s="229" customFormat="1" ht="15" customHeight="1">
      <c r="A116" s="574"/>
      <c r="D116" s="85"/>
      <c r="E116" s="576">
        <f t="shared" si="282"/>
        <v>100</v>
      </c>
      <c r="F116" s="707"/>
      <c r="G116" s="406" t="s">
        <v>3054</v>
      </c>
      <c r="H116" s="1262" t="s">
        <v>3055</v>
      </c>
      <c r="I116" s="85">
        <v>0</v>
      </c>
      <c r="J116" s="682">
        <v>1</v>
      </c>
      <c r="K116" s="579" t="str">
        <f t="shared" si="256"/>
        <v/>
      </c>
      <c r="L116" s="580" t="str">
        <f>IF(H116="Select ingredient:","",IF(G116="","",_xlfn.IFNA(VLOOKUP($H116,Ingredient_prices!$E:$U,16,FALSE),0)))</f>
        <v/>
      </c>
      <c r="M116" s="840"/>
      <c r="N116" s="840"/>
      <c r="O116" s="581"/>
      <c r="P116" s="582"/>
      <c r="Q116" s="583">
        <f t="shared" si="257"/>
        <v>0</v>
      </c>
      <c r="R116" s="583">
        <f>VLOOKUP($H116,'CO2_emission+%_food_waste'!$A:$K,6,FALSE)*$Q116/100</f>
        <v>0</v>
      </c>
      <c r="S116" s="583">
        <f t="shared" si="281"/>
        <v>0</v>
      </c>
      <c r="T116" s="583" t="str">
        <f>IF(H116="Select ingredient:","",IF(G116="Select food category:","",_xlfn.IFNA(VLOOKUP($H116,Ingredient_prices!$E:$U,16,FALSE)*$Q116/1000,"not bought")))</f>
        <v/>
      </c>
      <c r="U116" s="583" t="str">
        <f>IF(G116="Select food category:","",_xlfn.IFNA(VLOOKUP($H116,Ingredient_prices!$E:$U,16,FALSE)*$R116/1000,"not bought"))</f>
        <v/>
      </c>
      <c r="V116" s="549">
        <f>VLOOKUP($H116,'CO2_emission+%_food_waste'!$A:$K,4,FALSE)*$Q116</f>
        <v>0</v>
      </c>
      <c r="W116" s="583">
        <f>VLOOKUP($H116,Nutrition_tables!$A:$N,10,FALSE)*$Q116/100</f>
        <v>0</v>
      </c>
      <c r="X116" s="583">
        <f>VLOOKUP($H116,Nutrition_tables!$A:$N,11,FALSE)*$Q116/100</f>
        <v>0</v>
      </c>
      <c r="Y116" s="583">
        <f>VLOOKUP($H116,Nutrition_tables!$A:$N,12,FALSE)*$Q116/100</f>
        <v>0</v>
      </c>
      <c r="Z116" s="583">
        <f>VLOOKUP($H116,Nutrition_tables!$A:$N,14,FALSE)*$Q116/100</f>
        <v>0</v>
      </c>
      <c r="AA116" s="583">
        <f>VLOOKUP($H116,Nutrition_tables!$A:$AF,13,FALSE)*$Q116/100</f>
        <v>0</v>
      </c>
      <c r="AB116" s="549">
        <f>VLOOKUP($H116,Nutrition_tables!$A:$AF,15,FALSE)*$Q116/100</f>
        <v>0</v>
      </c>
      <c r="AC116" s="583">
        <f>VLOOKUP($H116,Nutrition_tables!$A:$AF,16,FALSE)*$Q116/100</f>
        <v>0</v>
      </c>
      <c r="AD116" s="583">
        <f>VLOOKUP($H116,Nutrition_tables!$A:$AF,17,FALSE)*$Q116/100</f>
        <v>0</v>
      </c>
      <c r="AE116" s="583">
        <f>VLOOKUP($H116,Nutrition_tables!$A:$AF,18,FALSE)*$Q116/100</f>
        <v>0</v>
      </c>
      <c r="AF116" s="583">
        <f>VLOOKUP($H116,Nutrition_tables!$A:$AF,19,FALSE)*$Q116/100</f>
        <v>0</v>
      </c>
      <c r="AG116" s="583">
        <f>VLOOKUP($H116,Nutrition_tables!$A:$AF,20,FALSE)*$Q116/100</f>
        <v>0</v>
      </c>
      <c r="AH116" s="583">
        <f>VLOOKUP($H116,Nutrition_tables!$A:$AF,21,FALSE)*$Q116/100</f>
        <v>0</v>
      </c>
      <c r="AI116" s="583">
        <f>VLOOKUP($H116,Nutrition_tables!$A:$AF,22,FALSE)*$Q116/100</f>
        <v>0</v>
      </c>
      <c r="AJ116" s="549">
        <f>VLOOKUP($H116,Nutrition_tables!$A:$AF,23,FALSE)*$Q116/100</f>
        <v>0</v>
      </c>
      <c r="AK116" s="583">
        <f>VLOOKUP($H116,Nutrition_tables!$A:$AF,24,FALSE)*$Q116/100</f>
        <v>0</v>
      </c>
      <c r="AL116" s="583">
        <f>VLOOKUP($H116,Nutrition_tables!$A:$AF,25,FALSE)*$Q116/100</f>
        <v>0</v>
      </c>
      <c r="AM116" s="583">
        <f>VLOOKUP($H116,Nutrition_tables!$A:$AF,26,FALSE)*$Q116/100</f>
        <v>0</v>
      </c>
      <c r="AN116" s="583">
        <f>VLOOKUP($H116,Nutrition_tables!$A:$AF,27,FALSE)*$Q116/100</f>
        <v>0</v>
      </c>
      <c r="AO116" s="583">
        <f>VLOOKUP($H116,Nutrition_tables!$A:$AF,28,FALSE)*$Q116/100</f>
        <v>0</v>
      </c>
      <c r="AP116" s="583">
        <f>VLOOKUP($H116,Nutrition_tables!$A:$AF,29,FALSE)*$Q116/100</f>
        <v>0</v>
      </c>
      <c r="AQ116" s="583">
        <f>VLOOKUP($H116,Nutrition_tables!$A:$AF,30,FALSE)*$Q116/100</f>
        <v>0</v>
      </c>
      <c r="AR116" s="583">
        <f>VLOOKUP($H116,Nutrition_tables!$A:$AF,31,FALSE)*$Q116/100</f>
        <v>0</v>
      </c>
      <c r="AS116" s="549">
        <f>VLOOKUP($H116,Nutrition_tables!$A:$AF,32,FALSE)*$Q116/100</f>
        <v>0</v>
      </c>
      <c r="AT116" s="583" t="str">
        <f>IF(H116="Select ingredient:","",IF(G116="Select food category:","",IFERROR(VLOOKUP($H116,Ingredient_prices!$E:$W,17,FALSE)*$Q116/1000,"not bought")))</f>
        <v/>
      </c>
      <c r="AU116" s="583" t="str">
        <f>IF(H116="Select ingredient:","",IF(G116="Select food category:","",IFERROR(VLOOKUP($H116,Ingredient_prices!$E:$W,18,FALSE)*$Q116/1000,"not bought")))</f>
        <v/>
      </c>
      <c r="AV116" s="583">
        <f t="shared" si="258"/>
        <v>0</v>
      </c>
      <c r="AW116" s="583">
        <f t="shared" si="259"/>
        <v>0</v>
      </c>
      <c r="AX116" s="583">
        <f t="shared" si="260"/>
        <v>0</v>
      </c>
      <c r="AY116" s="583">
        <f t="shared" si="261"/>
        <v>0</v>
      </c>
      <c r="AZ116" s="583">
        <f t="shared" si="262"/>
        <v>0</v>
      </c>
      <c r="BA116" s="583">
        <f t="shared" si="263"/>
        <v>0</v>
      </c>
      <c r="BB116" s="583">
        <f t="shared" si="264"/>
        <v>0</v>
      </c>
      <c r="BC116" s="583">
        <f t="shared" si="265"/>
        <v>0</v>
      </c>
      <c r="BD116" s="583">
        <f t="shared" si="266"/>
        <v>0</v>
      </c>
      <c r="BE116" s="583">
        <f t="shared" si="267"/>
        <v>0</v>
      </c>
      <c r="BF116" s="583">
        <f t="shared" si="268"/>
        <v>0</v>
      </c>
      <c r="BG116" s="583">
        <f t="shared" si="269"/>
        <v>0</v>
      </c>
      <c r="BH116" s="583">
        <f t="shared" si="270"/>
        <v>0</v>
      </c>
      <c r="BI116" s="583">
        <f t="shared" si="271"/>
        <v>0</v>
      </c>
      <c r="BJ116" s="583">
        <f t="shared" si="272"/>
        <v>0</v>
      </c>
      <c r="BK116" s="583">
        <f t="shared" si="273"/>
        <v>0</v>
      </c>
      <c r="BL116" s="583">
        <f t="shared" si="274"/>
        <v>0</v>
      </c>
      <c r="BM116" s="583">
        <f t="shared" si="275"/>
        <v>0</v>
      </c>
      <c r="BN116" s="583">
        <f t="shared" si="276"/>
        <v>0</v>
      </c>
      <c r="BO116" s="583">
        <f t="shared" si="277"/>
        <v>0</v>
      </c>
      <c r="BP116" s="583">
        <f t="shared" si="278"/>
        <v>0</v>
      </c>
      <c r="BQ116" s="583">
        <f t="shared" si="279"/>
        <v>0</v>
      </c>
      <c r="BR116" s="583">
        <f t="shared" si="280"/>
        <v>0</v>
      </c>
    </row>
    <row r="117" spans="1:70" s="229" customFormat="1" ht="15" customHeight="1">
      <c r="A117" s="574"/>
      <c r="D117" s="85"/>
      <c r="E117" s="576">
        <f t="shared" si="282"/>
        <v>100</v>
      </c>
      <c r="F117" s="707"/>
      <c r="G117" s="406" t="s">
        <v>3054</v>
      </c>
      <c r="H117" s="1262" t="s">
        <v>3055</v>
      </c>
      <c r="I117" s="85">
        <v>0</v>
      </c>
      <c r="J117" s="682">
        <v>1</v>
      </c>
      <c r="K117" s="579" t="str">
        <f t="shared" si="256"/>
        <v/>
      </c>
      <c r="L117" s="580" t="str">
        <f>IF(H117="Select ingredient:","",IF(G117="","",_xlfn.IFNA(VLOOKUP($H117,Ingredient_prices!$E:$U,16,FALSE),0)))</f>
        <v/>
      </c>
      <c r="M117" s="840"/>
      <c r="N117" s="840"/>
      <c r="O117" s="581"/>
      <c r="P117" s="582"/>
      <c r="Q117" s="583">
        <f t="shared" si="257"/>
        <v>0</v>
      </c>
      <c r="R117" s="583">
        <f>VLOOKUP($H117,'CO2_emission+%_food_waste'!$A:$K,6,FALSE)*$Q117/100</f>
        <v>0</v>
      </c>
      <c r="S117" s="583">
        <f t="shared" si="281"/>
        <v>0</v>
      </c>
      <c r="T117" s="583" t="str">
        <f>IF(H117="Select ingredient:","",IF(G117="Select food category:","",_xlfn.IFNA(VLOOKUP($H117,Ingredient_prices!$E:$U,16,FALSE)*$Q117/1000,"not bought")))</f>
        <v/>
      </c>
      <c r="U117" s="583" t="str">
        <f>IF(G117="Select food category:","",_xlfn.IFNA(VLOOKUP($H117,Ingredient_prices!$E:$U,16,FALSE)*$R117/1000,"not bought"))</f>
        <v/>
      </c>
      <c r="V117" s="549">
        <f>VLOOKUP($H117,'CO2_emission+%_food_waste'!$A:$K,4,FALSE)*$Q117</f>
        <v>0</v>
      </c>
      <c r="W117" s="583">
        <f>VLOOKUP($H117,Nutrition_tables!$A:$N,10,FALSE)*$Q117/100</f>
        <v>0</v>
      </c>
      <c r="X117" s="583">
        <f>VLOOKUP($H117,Nutrition_tables!$A:$N,11,FALSE)*$Q117/100</f>
        <v>0</v>
      </c>
      <c r="Y117" s="583">
        <f>VLOOKUP($H117,Nutrition_tables!$A:$N,12,FALSE)*$Q117/100</f>
        <v>0</v>
      </c>
      <c r="Z117" s="583">
        <f>VLOOKUP($H117,Nutrition_tables!$A:$N,14,FALSE)*$Q117/100</f>
        <v>0</v>
      </c>
      <c r="AA117" s="583">
        <f>VLOOKUP($H117,Nutrition_tables!$A:$AF,13,FALSE)*$Q117/100</f>
        <v>0</v>
      </c>
      <c r="AB117" s="549">
        <f>VLOOKUP($H117,Nutrition_tables!$A:$AF,15,FALSE)*$Q117/100</f>
        <v>0</v>
      </c>
      <c r="AC117" s="583">
        <f>VLOOKUP($H117,Nutrition_tables!$A:$AF,16,FALSE)*$Q117/100</f>
        <v>0</v>
      </c>
      <c r="AD117" s="583">
        <f>VLOOKUP($H117,Nutrition_tables!$A:$AF,17,FALSE)*$Q117/100</f>
        <v>0</v>
      </c>
      <c r="AE117" s="583">
        <f>VLOOKUP($H117,Nutrition_tables!$A:$AF,18,FALSE)*$Q117/100</f>
        <v>0</v>
      </c>
      <c r="AF117" s="583">
        <f>VLOOKUP($H117,Nutrition_tables!$A:$AF,19,FALSE)*$Q117/100</f>
        <v>0</v>
      </c>
      <c r="AG117" s="583">
        <f>VLOOKUP($H117,Nutrition_tables!$A:$AF,20,FALSE)*$Q117/100</f>
        <v>0</v>
      </c>
      <c r="AH117" s="583">
        <f>VLOOKUP($H117,Nutrition_tables!$A:$AF,21,FALSE)*$Q117/100</f>
        <v>0</v>
      </c>
      <c r="AI117" s="583">
        <f>VLOOKUP($H117,Nutrition_tables!$A:$AF,22,FALSE)*$Q117/100</f>
        <v>0</v>
      </c>
      <c r="AJ117" s="549">
        <f>VLOOKUP($H117,Nutrition_tables!$A:$AF,23,FALSE)*$Q117/100</f>
        <v>0</v>
      </c>
      <c r="AK117" s="583">
        <f>VLOOKUP($H117,Nutrition_tables!$A:$AF,24,FALSE)*$Q117/100</f>
        <v>0</v>
      </c>
      <c r="AL117" s="583">
        <f>VLOOKUP($H117,Nutrition_tables!$A:$AF,25,FALSE)*$Q117/100</f>
        <v>0</v>
      </c>
      <c r="AM117" s="583">
        <f>VLOOKUP($H117,Nutrition_tables!$A:$AF,26,FALSE)*$Q117/100</f>
        <v>0</v>
      </c>
      <c r="AN117" s="583">
        <f>VLOOKUP($H117,Nutrition_tables!$A:$AF,27,FALSE)*$Q117/100</f>
        <v>0</v>
      </c>
      <c r="AO117" s="583">
        <f>VLOOKUP($H117,Nutrition_tables!$A:$AF,28,FALSE)*$Q117/100</f>
        <v>0</v>
      </c>
      <c r="AP117" s="583">
        <f>VLOOKUP($H117,Nutrition_tables!$A:$AF,29,FALSE)*$Q117/100</f>
        <v>0</v>
      </c>
      <c r="AQ117" s="583">
        <f>VLOOKUP($H117,Nutrition_tables!$A:$AF,30,FALSE)*$Q117/100</f>
        <v>0</v>
      </c>
      <c r="AR117" s="583">
        <f>VLOOKUP($H117,Nutrition_tables!$A:$AF,31,FALSE)*$Q117/100</f>
        <v>0</v>
      </c>
      <c r="AS117" s="549">
        <f>VLOOKUP($H117,Nutrition_tables!$A:$AF,32,FALSE)*$Q117/100</f>
        <v>0</v>
      </c>
      <c r="AT117" s="583" t="str">
        <f>IF(H117="Select ingredient:","",IF(G117="Select food category:","",IFERROR(VLOOKUP($H117,Ingredient_prices!$E:$W,17,FALSE)*$Q117/1000,"not bought")))</f>
        <v/>
      </c>
      <c r="AU117" s="583" t="str">
        <f>IF(H117="Select ingredient:","",IF(G117="Select food category:","",IFERROR(VLOOKUP($H117,Ingredient_prices!$E:$W,18,FALSE)*$Q117/1000,"not bought")))</f>
        <v/>
      </c>
      <c r="AV117" s="583">
        <f t="shared" si="258"/>
        <v>0</v>
      </c>
      <c r="AW117" s="583">
        <f t="shared" si="259"/>
        <v>0</v>
      </c>
      <c r="AX117" s="583">
        <f t="shared" si="260"/>
        <v>0</v>
      </c>
      <c r="AY117" s="583">
        <f t="shared" si="261"/>
        <v>0</v>
      </c>
      <c r="AZ117" s="583">
        <f t="shared" si="262"/>
        <v>0</v>
      </c>
      <c r="BA117" s="583">
        <f t="shared" si="263"/>
        <v>0</v>
      </c>
      <c r="BB117" s="583">
        <f t="shared" si="264"/>
        <v>0</v>
      </c>
      <c r="BC117" s="583">
        <f t="shared" si="265"/>
        <v>0</v>
      </c>
      <c r="BD117" s="583">
        <f t="shared" si="266"/>
        <v>0</v>
      </c>
      <c r="BE117" s="583">
        <f t="shared" si="267"/>
        <v>0</v>
      </c>
      <c r="BF117" s="583">
        <f t="shared" si="268"/>
        <v>0</v>
      </c>
      <c r="BG117" s="583">
        <f t="shared" si="269"/>
        <v>0</v>
      </c>
      <c r="BH117" s="583">
        <f t="shared" si="270"/>
        <v>0</v>
      </c>
      <c r="BI117" s="583">
        <f t="shared" si="271"/>
        <v>0</v>
      </c>
      <c r="BJ117" s="583">
        <f t="shared" si="272"/>
        <v>0</v>
      </c>
      <c r="BK117" s="583">
        <f t="shared" si="273"/>
        <v>0</v>
      </c>
      <c r="BL117" s="583">
        <f t="shared" si="274"/>
        <v>0</v>
      </c>
      <c r="BM117" s="583">
        <f t="shared" si="275"/>
        <v>0</v>
      </c>
      <c r="BN117" s="583">
        <f t="shared" si="276"/>
        <v>0</v>
      </c>
      <c r="BO117" s="583">
        <f t="shared" si="277"/>
        <v>0</v>
      </c>
      <c r="BP117" s="583">
        <f t="shared" si="278"/>
        <v>0</v>
      </c>
      <c r="BQ117" s="583">
        <f t="shared" si="279"/>
        <v>0</v>
      </c>
      <c r="BR117" s="583">
        <f t="shared" si="280"/>
        <v>0</v>
      </c>
    </row>
    <row r="118" spans="1:70" s="229" customFormat="1" ht="15" customHeight="1">
      <c r="A118" s="574"/>
      <c r="D118" s="85"/>
      <c r="E118" s="576">
        <f t="shared" si="282"/>
        <v>100</v>
      </c>
      <c r="F118" s="707"/>
      <c r="G118" s="406" t="s">
        <v>3054</v>
      </c>
      <c r="H118" s="1262" t="s">
        <v>3055</v>
      </c>
      <c r="I118" s="85">
        <v>0</v>
      </c>
      <c r="J118" s="682">
        <v>1</v>
      </c>
      <c r="K118" s="579" t="str">
        <f t="shared" si="256"/>
        <v/>
      </c>
      <c r="L118" s="580" t="str">
        <f>IF(H118="Select ingredient:","",IF(G118="","",_xlfn.IFNA(VLOOKUP($H118,Ingredient_prices!$E:$U,16,FALSE),0)))</f>
        <v/>
      </c>
      <c r="M118" s="840"/>
      <c r="N118" s="840"/>
      <c r="O118" s="581"/>
      <c r="P118" s="582"/>
      <c r="Q118" s="583">
        <f t="shared" si="257"/>
        <v>0</v>
      </c>
      <c r="R118" s="583">
        <f>VLOOKUP($H118,'CO2_emission+%_food_waste'!$A:$K,6,FALSE)*$Q118/100</f>
        <v>0</v>
      </c>
      <c r="S118" s="583">
        <f t="shared" si="281"/>
        <v>0</v>
      </c>
      <c r="T118" s="583" t="str">
        <f>IF(H118="Select ingredient:","",IF(G118="Select food category:","",_xlfn.IFNA(VLOOKUP($H118,Ingredient_prices!$E:$U,16,FALSE)*$Q118/1000,"not bought")))</f>
        <v/>
      </c>
      <c r="U118" s="583" t="str">
        <f>IF(G118="Select food category:","",_xlfn.IFNA(VLOOKUP($H118,Ingredient_prices!$E:$U,16,FALSE)*$R118/1000,"not bought"))</f>
        <v/>
      </c>
      <c r="V118" s="549">
        <f>VLOOKUP($H118,'CO2_emission+%_food_waste'!$A:$K,4,FALSE)*$Q118</f>
        <v>0</v>
      </c>
      <c r="W118" s="583">
        <f>VLOOKUP($H118,Nutrition_tables!$A:$N,10,FALSE)*$Q118/100</f>
        <v>0</v>
      </c>
      <c r="X118" s="583">
        <f>VLOOKUP($H118,Nutrition_tables!$A:$N,11,FALSE)*$Q118/100</f>
        <v>0</v>
      </c>
      <c r="Y118" s="583">
        <f>VLOOKUP($H118,Nutrition_tables!$A:$N,12,FALSE)*$Q118/100</f>
        <v>0</v>
      </c>
      <c r="Z118" s="583">
        <f>VLOOKUP($H118,Nutrition_tables!$A:$N,14,FALSE)*$Q118/100</f>
        <v>0</v>
      </c>
      <c r="AA118" s="583">
        <f>VLOOKUP($H118,Nutrition_tables!$A:$AF,13,FALSE)*$Q118/100</f>
        <v>0</v>
      </c>
      <c r="AB118" s="549">
        <f>VLOOKUP($H118,Nutrition_tables!$A:$AF,15,FALSE)*$Q118/100</f>
        <v>0</v>
      </c>
      <c r="AC118" s="583">
        <f>VLOOKUP($H118,Nutrition_tables!$A:$AF,16,FALSE)*$Q118/100</f>
        <v>0</v>
      </c>
      <c r="AD118" s="583">
        <f>VLOOKUP($H118,Nutrition_tables!$A:$AF,17,FALSE)*$Q118/100</f>
        <v>0</v>
      </c>
      <c r="AE118" s="583">
        <f>VLOOKUP($H118,Nutrition_tables!$A:$AF,18,FALSE)*$Q118/100</f>
        <v>0</v>
      </c>
      <c r="AF118" s="583">
        <f>VLOOKUP($H118,Nutrition_tables!$A:$AF,19,FALSE)*$Q118/100</f>
        <v>0</v>
      </c>
      <c r="AG118" s="583">
        <f>VLOOKUP($H118,Nutrition_tables!$A:$AF,20,FALSE)*$Q118/100</f>
        <v>0</v>
      </c>
      <c r="AH118" s="583">
        <f>VLOOKUP($H118,Nutrition_tables!$A:$AF,21,FALSE)*$Q118/100</f>
        <v>0</v>
      </c>
      <c r="AI118" s="583">
        <f>VLOOKUP($H118,Nutrition_tables!$A:$AF,22,FALSE)*$Q118/100</f>
        <v>0</v>
      </c>
      <c r="AJ118" s="549">
        <f>VLOOKUP($H118,Nutrition_tables!$A:$AF,23,FALSE)*$Q118/100</f>
        <v>0</v>
      </c>
      <c r="AK118" s="583">
        <f>VLOOKUP($H118,Nutrition_tables!$A:$AF,24,FALSE)*$Q118/100</f>
        <v>0</v>
      </c>
      <c r="AL118" s="583">
        <f>VLOOKUP($H118,Nutrition_tables!$A:$AF,25,FALSE)*$Q118/100</f>
        <v>0</v>
      </c>
      <c r="AM118" s="583">
        <f>VLOOKUP($H118,Nutrition_tables!$A:$AF,26,FALSE)*$Q118/100</f>
        <v>0</v>
      </c>
      <c r="AN118" s="583">
        <f>VLOOKUP($H118,Nutrition_tables!$A:$AF,27,FALSE)*$Q118/100</f>
        <v>0</v>
      </c>
      <c r="AO118" s="583">
        <f>VLOOKUP($H118,Nutrition_tables!$A:$AF,28,FALSE)*$Q118/100</f>
        <v>0</v>
      </c>
      <c r="AP118" s="583">
        <f>VLOOKUP($H118,Nutrition_tables!$A:$AF,29,FALSE)*$Q118/100</f>
        <v>0</v>
      </c>
      <c r="AQ118" s="583">
        <f>VLOOKUP($H118,Nutrition_tables!$A:$AF,30,FALSE)*$Q118/100</f>
        <v>0</v>
      </c>
      <c r="AR118" s="583">
        <f>VLOOKUP($H118,Nutrition_tables!$A:$AF,31,FALSE)*$Q118/100</f>
        <v>0</v>
      </c>
      <c r="AS118" s="549">
        <f>VLOOKUP($H118,Nutrition_tables!$A:$AF,32,FALSE)*$Q118/100</f>
        <v>0</v>
      </c>
      <c r="AT118" s="583" t="str">
        <f>IF(H118="Select ingredient:","",IF(G118="Select food category:","",IFERROR(VLOOKUP($H118,Ingredient_prices!$E:$W,17,FALSE)*$Q118/1000,"not bought")))</f>
        <v/>
      </c>
      <c r="AU118" s="583" t="str">
        <f>IF(H118="Select ingredient:","",IF(G118="Select food category:","",IFERROR(VLOOKUP($H118,Ingredient_prices!$E:$W,18,FALSE)*$Q118/1000,"not bought")))</f>
        <v/>
      </c>
      <c r="AV118" s="583">
        <f t="shared" si="258"/>
        <v>0</v>
      </c>
      <c r="AW118" s="583">
        <f t="shared" si="259"/>
        <v>0</v>
      </c>
      <c r="AX118" s="583">
        <f t="shared" si="260"/>
        <v>0</v>
      </c>
      <c r="AY118" s="583">
        <f t="shared" si="261"/>
        <v>0</v>
      </c>
      <c r="AZ118" s="583">
        <f t="shared" si="262"/>
        <v>0</v>
      </c>
      <c r="BA118" s="583">
        <f t="shared" si="263"/>
        <v>0</v>
      </c>
      <c r="BB118" s="583">
        <f t="shared" si="264"/>
        <v>0</v>
      </c>
      <c r="BC118" s="583">
        <f t="shared" si="265"/>
        <v>0</v>
      </c>
      <c r="BD118" s="583">
        <f t="shared" si="266"/>
        <v>0</v>
      </c>
      <c r="BE118" s="583">
        <f t="shared" si="267"/>
        <v>0</v>
      </c>
      <c r="BF118" s="583">
        <f t="shared" si="268"/>
        <v>0</v>
      </c>
      <c r="BG118" s="583">
        <f t="shared" si="269"/>
        <v>0</v>
      </c>
      <c r="BH118" s="583">
        <f t="shared" si="270"/>
        <v>0</v>
      </c>
      <c r="BI118" s="583">
        <f t="shared" si="271"/>
        <v>0</v>
      </c>
      <c r="BJ118" s="583">
        <f t="shared" si="272"/>
        <v>0</v>
      </c>
      <c r="BK118" s="583">
        <f t="shared" si="273"/>
        <v>0</v>
      </c>
      <c r="BL118" s="583">
        <f t="shared" si="274"/>
        <v>0</v>
      </c>
      <c r="BM118" s="583">
        <f t="shared" si="275"/>
        <v>0</v>
      </c>
      <c r="BN118" s="583">
        <f t="shared" si="276"/>
        <v>0</v>
      </c>
      <c r="BO118" s="583">
        <f t="shared" si="277"/>
        <v>0</v>
      </c>
      <c r="BP118" s="583">
        <f t="shared" si="278"/>
        <v>0</v>
      </c>
      <c r="BQ118" s="583">
        <f t="shared" si="279"/>
        <v>0</v>
      </c>
      <c r="BR118" s="583">
        <f t="shared" si="280"/>
        <v>0</v>
      </c>
    </row>
    <row r="119" spans="1:70" s="229" customFormat="1" ht="15" customHeight="1">
      <c r="A119" s="574"/>
      <c r="D119" s="85"/>
      <c r="E119" s="576">
        <f t="shared" si="282"/>
        <v>100</v>
      </c>
      <c r="F119" s="707"/>
      <c r="G119" s="406" t="s">
        <v>3054</v>
      </c>
      <c r="H119" s="1262" t="s">
        <v>3055</v>
      </c>
      <c r="I119" s="85">
        <v>0</v>
      </c>
      <c r="J119" s="682">
        <v>1</v>
      </c>
      <c r="K119" s="579" t="str">
        <f t="shared" si="256"/>
        <v/>
      </c>
      <c r="L119" s="580" t="str">
        <f>IF(H119="Select ingredient:","",IF(G119="","",_xlfn.IFNA(VLOOKUP($H119,Ingredient_prices!$E:$U,16,FALSE),0)))</f>
        <v/>
      </c>
      <c r="M119" s="840"/>
      <c r="N119" s="840"/>
      <c r="O119" s="581"/>
      <c r="P119" s="582"/>
      <c r="Q119" s="583">
        <f t="shared" si="257"/>
        <v>0</v>
      </c>
      <c r="R119" s="583">
        <f>VLOOKUP($H119,'CO2_emission+%_food_waste'!$A:$K,6,FALSE)*$Q119/100</f>
        <v>0</v>
      </c>
      <c r="S119" s="583">
        <f t="shared" si="281"/>
        <v>0</v>
      </c>
      <c r="T119" s="583" t="str">
        <f>IF(H119="Select ingredient:","",IF(G119="Select food category:","",_xlfn.IFNA(VLOOKUP($H119,Ingredient_prices!$E:$U,16,FALSE)*$Q119/1000,"not bought")))</f>
        <v/>
      </c>
      <c r="U119" s="583" t="str">
        <f>IF(G119="Select food category:","",_xlfn.IFNA(VLOOKUP($H119,Ingredient_prices!$E:$U,16,FALSE)*$R119/1000,"not bought"))</f>
        <v/>
      </c>
      <c r="V119" s="549">
        <f>VLOOKUP($H119,'CO2_emission+%_food_waste'!$A:$K,4,FALSE)*$Q119</f>
        <v>0</v>
      </c>
      <c r="W119" s="583">
        <f>VLOOKUP($H119,Nutrition_tables!$A:$N,10,FALSE)*$Q119/100</f>
        <v>0</v>
      </c>
      <c r="X119" s="583">
        <f>VLOOKUP($H119,Nutrition_tables!$A:$N,11,FALSE)*$Q119/100</f>
        <v>0</v>
      </c>
      <c r="Y119" s="583">
        <f>VLOOKUP($H119,Nutrition_tables!$A:$N,12,FALSE)*$Q119/100</f>
        <v>0</v>
      </c>
      <c r="Z119" s="583">
        <f>VLOOKUP($H119,Nutrition_tables!$A:$N,14,FALSE)*$Q119/100</f>
        <v>0</v>
      </c>
      <c r="AA119" s="583">
        <f>VLOOKUP($H119,Nutrition_tables!$A:$AF,13,FALSE)*$Q119/100</f>
        <v>0</v>
      </c>
      <c r="AB119" s="549">
        <f>VLOOKUP($H119,Nutrition_tables!$A:$AF,15,FALSE)*$Q119/100</f>
        <v>0</v>
      </c>
      <c r="AC119" s="583">
        <f>VLOOKUP($H119,Nutrition_tables!$A:$AF,16,FALSE)*$Q119/100</f>
        <v>0</v>
      </c>
      <c r="AD119" s="583">
        <f>VLOOKUP($H119,Nutrition_tables!$A:$AF,17,FALSE)*$Q119/100</f>
        <v>0</v>
      </c>
      <c r="AE119" s="583">
        <f>VLOOKUP($H119,Nutrition_tables!$A:$AF,18,FALSE)*$Q119/100</f>
        <v>0</v>
      </c>
      <c r="AF119" s="583">
        <f>VLOOKUP($H119,Nutrition_tables!$A:$AF,19,FALSE)*$Q119/100</f>
        <v>0</v>
      </c>
      <c r="AG119" s="583">
        <f>VLOOKUP($H119,Nutrition_tables!$A:$AF,20,FALSE)*$Q119/100</f>
        <v>0</v>
      </c>
      <c r="AH119" s="583">
        <f>VLOOKUP($H119,Nutrition_tables!$A:$AF,21,FALSE)*$Q119/100</f>
        <v>0</v>
      </c>
      <c r="AI119" s="583">
        <f>VLOOKUP($H119,Nutrition_tables!$A:$AF,22,FALSE)*$Q119/100</f>
        <v>0</v>
      </c>
      <c r="AJ119" s="549">
        <f>VLOOKUP($H119,Nutrition_tables!$A:$AF,23,FALSE)*$Q119/100</f>
        <v>0</v>
      </c>
      <c r="AK119" s="583">
        <f>VLOOKUP($H119,Nutrition_tables!$A:$AF,24,FALSE)*$Q119/100</f>
        <v>0</v>
      </c>
      <c r="AL119" s="583">
        <f>VLOOKUP($H119,Nutrition_tables!$A:$AF,25,FALSE)*$Q119/100</f>
        <v>0</v>
      </c>
      <c r="AM119" s="583">
        <f>VLOOKUP($H119,Nutrition_tables!$A:$AF,26,FALSE)*$Q119/100</f>
        <v>0</v>
      </c>
      <c r="AN119" s="583">
        <f>VLOOKUP($H119,Nutrition_tables!$A:$AF,27,FALSE)*$Q119/100</f>
        <v>0</v>
      </c>
      <c r="AO119" s="583">
        <f>VLOOKUP($H119,Nutrition_tables!$A:$AF,28,FALSE)*$Q119/100</f>
        <v>0</v>
      </c>
      <c r="AP119" s="583">
        <f>VLOOKUP($H119,Nutrition_tables!$A:$AF,29,FALSE)*$Q119/100</f>
        <v>0</v>
      </c>
      <c r="AQ119" s="583">
        <f>VLOOKUP($H119,Nutrition_tables!$A:$AF,30,FALSE)*$Q119/100</f>
        <v>0</v>
      </c>
      <c r="AR119" s="583">
        <f>VLOOKUP($H119,Nutrition_tables!$A:$AF,31,FALSE)*$Q119/100</f>
        <v>0</v>
      </c>
      <c r="AS119" s="549">
        <f>VLOOKUP($H119,Nutrition_tables!$A:$AF,32,FALSE)*$Q119/100</f>
        <v>0</v>
      </c>
      <c r="AT119" s="583" t="str">
        <f>IF(H119="Select ingredient:","",IF(G119="Select food category:","",IFERROR(VLOOKUP($H119,Ingredient_prices!$E:$W,17,FALSE)*$Q119/1000,"not bought")))</f>
        <v/>
      </c>
      <c r="AU119" s="583" t="str">
        <f>IF(H119="Select ingredient:","",IF(G119="Select food category:","",IFERROR(VLOOKUP($H119,Ingredient_prices!$E:$W,18,FALSE)*$Q119/1000,"not bought")))</f>
        <v/>
      </c>
      <c r="AV119" s="583">
        <f t="shared" si="258"/>
        <v>0</v>
      </c>
      <c r="AW119" s="583">
        <f t="shared" si="259"/>
        <v>0</v>
      </c>
      <c r="AX119" s="583">
        <f t="shared" si="260"/>
        <v>0</v>
      </c>
      <c r="AY119" s="583">
        <f t="shared" si="261"/>
        <v>0</v>
      </c>
      <c r="AZ119" s="583">
        <f t="shared" si="262"/>
        <v>0</v>
      </c>
      <c r="BA119" s="583">
        <f t="shared" si="263"/>
        <v>0</v>
      </c>
      <c r="BB119" s="583">
        <f t="shared" si="264"/>
        <v>0</v>
      </c>
      <c r="BC119" s="583">
        <f t="shared" si="265"/>
        <v>0</v>
      </c>
      <c r="BD119" s="583">
        <f t="shared" si="266"/>
        <v>0</v>
      </c>
      <c r="BE119" s="583">
        <f t="shared" si="267"/>
        <v>0</v>
      </c>
      <c r="BF119" s="583">
        <f t="shared" si="268"/>
        <v>0</v>
      </c>
      <c r="BG119" s="583">
        <f t="shared" si="269"/>
        <v>0</v>
      </c>
      <c r="BH119" s="583">
        <f t="shared" si="270"/>
        <v>0</v>
      </c>
      <c r="BI119" s="583">
        <f t="shared" si="271"/>
        <v>0</v>
      </c>
      <c r="BJ119" s="583">
        <f t="shared" si="272"/>
        <v>0</v>
      </c>
      <c r="BK119" s="583">
        <f t="shared" si="273"/>
        <v>0</v>
      </c>
      <c r="BL119" s="583">
        <f t="shared" si="274"/>
        <v>0</v>
      </c>
      <c r="BM119" s="583">
        <f t="shared" si="275"/>
        <v>0</v>
      </c>
      <c r="BN119" s="583">
        <f t="shared" si="276"/>
        <v>0</v>
      </c>
      <c r="BO119" s="583">
        <f t="shared" si="277"/>
        <v>0</v>
      </c>
      <c r="BP119" s="583">
        <f t="shared" si="278"/>
        <v>0</v>
      </c>
      <c r="BQ119" s="583">
        <f t="shared" si="279"/>
        <v>0</v>
      </c>
      <c r="BR119" s="583">
        <f t="shared" si="280"/>
        <v>0</v>
      </c>
    </row>
    <row r="120" spans="1:70" s="229" customFormat="1" ht="15" customHeight="1">
      <c r="A120" s="574"/>
      <c r="D120" s="85"/>
      <c r="E120" s="576">
        <f t="shared" si="282"/>
        <v>100</v>
      </c>
      <c r="F120" s="707"/>
      <c r="G120" s="406" t="s">
        <v>3054</v>
      </c>
      <c r="H120" s="1262" t="s">
        <v>3055</v>
      </c>
      <c r="I120" s="85">
        <v>0</v>
      </c>
      <c r="J120" s="682">
        <v>1</v>
      </c>
      <c r="K120" s="579" t="str">
        <f t="shared" si="256"/>
        <v/>
      </c>
      <c r="L120" s="580" t="str">
        <f>IF(H120="Select ingredient:","",IF(G120="","",_xlfn.IFNA(VLOOKUP($H120,Ingredient_prices!$E:$U,16,FALSE),0)))</f>
        <v/>
      </c>
      <c r="M120" s="840"/>
      <c r="N120" s="840"/>
      <c r="O120" s="581"/>
      <c r="P120" s="582"/>
      <c r="Q120" s="583">
        <f t="shared" si="257"/>
        <v>0</v>
      </c>
      <c r="R120" s="583">
        <f>VLOOKUP($H120,'CO2_emission+%_food_waste'!$A:$K,6,FALSE)*$Q120/100</f>
        <v>0</v>
      </c>
      <c r="S120" s="583">
        <f t="shared" si="281"/>
        <v>0</v>
      </c>
      <c r="T120" s="583" t="str">
        <f>IF(H120="Select ingredient:","",IF(G120="Select food category:","",_xlfn.IFNA(VLOOKUP($H120,Ingredient_prices!$E:$U,16,FALSE)*$Q120/1000,"not bought")))</f>
        <v/>
      </c>
      <c r="U120" s="583" t="str">
        <f>IF(G120="Select food category:","",_xlfn.IFNA(VLOOKUP($H120,Ingredient_prices!$E:$U,16,FALSE)*$R120/1000,"not bought"))</f>
        <v/>
      </c>
      <c r="V120" s="549">
        <f>VLOOKUP($H120,'CO2_emission+%_food_waste'!$A:$K,4,FALSE)*$Q120</f>
        <v>0</v>
      </c>
      <c r="W120" s="583">
        <f>VLOOKUP($H120,Nutrition_tables!$A:$N,10,FALSE)*$Q120/100</f>
        <v>0</v>
      </c>
      <c r="X120" s="583">
        <f>VLOOKUP($H120,Nutrition_tables!$A:$N,11,FALSE)*$Q120/100</f>
        <v>0</v>
      </c>
      <c r="Y120" s="583">
        <f>VLOOKUP($H120,Nutrition_tables!$A:$N,12,FALSE)*$Q120/100</f>
        <v>0</v>
      </c>
      <c r="Z120" s="583">
        <f>VLOOKUP($H120,Nutrition_tables!$A:$N,14,FALSE)*$Q120/100</f>
        <v>0</v>
      </c>
      <c r="AA120" s="583">
        <f>VLOOKUP($H120,Nutrition_tables!$A:$AF,13,FALSE)*$Q120/100</f>
        <v>0</v>
      </c>
      <c r="AB120" s="549">
        <f>VLOOKUP($H120,Nutrition_tables!$A:$AF,15,FALSE)*$Q120/100</f>
        <v>0</v>
      </c>
      <c r="AC120" s="583">
        <f>VLOOKUP($H120,Nutrition_tables!$A:$AF,16,FALSE)*$Q120/100</f>
        <v>0</v>
      </c>
      <c r="AD120" s="583">
        <f>VLOOKUP($H120,Nutrition_tables!$A:$AF,17,FALSE)*$Q120/100</f>
        <v>0</v>
      </c>
      <c r="AE120" s="583">
        <f>VLOOKUP($H120,Nutrition_tables!$A:$AF,18,FALSE)*$Q120/100</f>
        <v>0</v>
      </c>
      <c r="AF120" s="583">
        <f>VLOOKUP($H120,Nutrition_tables!$A:$AF,19,FALSE)*$Q120/100</f>
        <v>0</v>
      </c>
      <c r="AG120" s="583">
        <f>VLOOKUP($H120,Nutrition_tables!$A:$AF,20,FALSE)*$Q120/100</f>
        <v>0</v>
      </c>
      <c r="AH120" s="583">
        <f>VLOOKUP($H120,Nutrition_tables!$A:$AF,21,FALSE)*$Q120/100</f>
        <v>0</v>
      </c>
      <c r="AI120" s="583">
        <f>VLOOKUP($H120,Nutrition_tables!$A:$AF,22,FALSE)*$Q120/100</f>
        <v>0</v>
      </c>
      <c r="AJ120" s="549">
        <f>VLOOKUP($H120,Nutrition_tables!$A:$AF,23,FALSE)*$Q120/100</f>
        <v>0</v>
      </c>
      <c r="AK120" s="583">
        <f>VLOOKUP($H120,Nutrition_tables!$A:$AF,24,FALSE)*$Q120/100</f>
        <v>0</v>
      </c>
      <c r="AL120" s="583">
        <f>VLOOKUP($H120,Nutrition_tables!$A:$AF,25,FALSE)*$Q120/100</f>
        <v>0</v>
      </c>
      <c r="AM120" s="583">
        <f>VLOOKUP($H120,Nutrition_tables!$A:$AF,26,FALSE)*$Q120/100</f>
        <v>0</v>
      </c>
      <c r="AN120" s="583">
        <f>VLOOKUP($H120,Nutrition_tables!$A:$AF,27,FALSE)*$Q120/100</f>
        <v>0</v>
      </c>
      <c r="AO120" s="583">
        <f>VLOOKUP($H120,Nutrition_tables!$A:$AF,28,FALSE)*$Q120/100</f>
        <v>0</v>
      </c>
      <c r="AP120" s="583">
        <f>VLOOKUP($H120,Nutrition_tables!$A:$AF,29,FALSE)*$Q120/100</f>
        <v>0</v>
      </c>
      <c r="AQ120" s="583">
        <f>VLOOKUP($H120,Nutrition_tables!$A:$AF,30,FALSE)*$Q120/100</f>
        <v>0</v>
      </c>
      <c r="AR120" s="583">
        <f>VLOOKUP($H120,Nutrition_tables!$A:$AF,31,FALSE)*$Q120/100</f>
        <v>0</v>
      </c>
      <c r="AS120" s="549">
        <f>VLOOKUP($H120,Nutrition_tables!$A:$AF,32,FALSE)*$Q120/100</f>
        <v>0</v>
      </c>
      <c r="AT120" s="583" t="str">
        <f>IF(H120="Select ingredient:","",IF(G120="Select food category:","",IFERROR(VLOOKUP($H120,Ingredient_prices!$E:$W,17,FALSE)*$Q120/1000,"not bought")))</f>
        <v/>
      </c>
      <c r="AU120" s="583" t="str">
        <f>IF(H120="Select ingredient:","",IF(G120="Select food category:","",IFERROR(VLOOKUP($H120,Ingredient_prices!$E:$W,18,FALSE)*$Q120/1000,"not bought")))</f>
        <v/>
      </c>
      <c r="AV120" s="583">
        <f t="shared" si="258"/>
        <v>0</v>
      </c>
      <c r="AW120" s="583">
        <f t="shared" si="259"/>
        <v>0</v>
      </c>
      <c r="AX120" s="583">
        <f t="shared" si="260"/>
        <v>0</v>
      </c>
      <c r="AY120" s="583">
        <f t="shared" si="261"/>
        <v>0</v>
      </c>
      <c r="AZ120" s="583">
        <f t="shared" si="262"/>
        <v>0</v>
      </c>
      <c r="BA120" s="583">
        <f t="shared" si="263"/>
        <v>0</v>
      </c>
      <c r="BB120" s="583">
        <f t="shared" si="264"/>
        <v>0</v>
      </c>
      <c r="BC120" s="583">
        <f t="shared" si="265"/>
        <v>0</v>
      </c>
      <c r="BD120" s="583">
        <f t="shared" si="266"/>
        <v>0</v>
      </c>
      <c r="BE120" s="583">
        <f t="shared" si="267"/>
        <v>0</v>
      </c>
      <c r="BF120" s="583">
        <f t="shared" si="268"/>
        <v>0</v>
      </c>
      <c r="BG120" s="583">
        <f t="shared" si="269"/>
        <v>0</v>
      </c>
      <c r="BH120" s="583">
        <f t="shared" si="270"/>
        <v>0</v>
      </c>
      <c r="BI120" s="583">
        <f t="shared" si="271"/>
        <v>0</v>
      </c>
      <c r="BJ120" s="583">
        <f t="shared" si="272"/>
        <v>0</v>
      </c>
      <c r="BK120" s="583">
        <f t="shared" si="273"/>
        <v>0</v>
      </c>
      <c r="BL120" s="583">
        <f t="shared" si="274"/>
        <v>0</v>
      </c>
      <c r="BM120" s="583">
        <f t="shared" si="275"/>
        <v>0</v>
      </c>
      <c r="BN120" s="583">
        <f t="shared" si="276"/>
        <v>0</v>
      </c>
      <c r="BO120" s="583">
        <f t="shared" si="277"/>
        <v>0</v>
      </c>
      <c r="BP120" s="583">
        <f t="shared" si="278"/>
        <v>0</v>
      </c>
      <c r="BQ120" s="583">
        <f t="shared" si="279"/>
        <v>0</v>
      </c>
      <c r="BR120" s="583">
        <f t="shared" si="280"/>
        <v>0</v>
      </c>
    </row>
    <row r="121" spans="1:70" s="229" customFormat="1" ht="15" customHeight="1">
      <c r="A121" s="574"/>
      <c r="D121" s="85"/>
      <c r="E121" s="576">
        <f t="shared" si="282"/>
        <v>100</v>
      </c>
      <c r="F121" s="707"/>
      <c r="G121" s="406" t="s">
        <v>3054</v>
      </c>
      <c r="H121" s="1262" t="s">
        <v>3055</v>
      </c>
      <c r="I121" s="85">
        <v>0</v>
      </c>
      <c r="J121" s="682">
        <v>1</v>
      </c>
      <c r="K121" s="579" t="str">
        <f t="shared" si="256"/>
        <v/>
      </c>
      <c r="L121" s="580" t="str">
        <f>IF(H121="Select ingredient:","",IF(G121="","",_xlfn.IFNA(VLOOKUP($H121,Ingredient_prices!$E:$U,16,FALSE),0)))</f>
        <v/>
      </c>
      <c r="M121" s="840"/>
      <c r="N121" s="840"/>
      <c r="O121" s="581"/>
      <c r="P121" s="582"/>
      <c r="Q121" s="583">
        <f t="shared" si="257"/>
        <v>0</v>
      </c>
      <c r="R121" s="583">
        <f>VLOOKUP($H121,'CO2_emission+%_food_waste'!$A:$K,6,FALSE)*$Q121/100</f>
        <v>0</v>
      </c>
      <c r="S121" s="583">
        <f t="shared" si="281"/>
        <v>0</v>
      </c>
      <c r="T121" s="583" t="str">
        <f>IF(H121="Select ingredient:","",IF(G121="Select food category:","",_xlfn.IFNA(VLOOKUP($H121,Ingredient_prices!$E:$U,16,FALSE)*$Q121/1000,"not bought")))</f>
        <v/>
      </c>
      <c r="U121" s="583" t="str">
        <f>IF(G121="Select food category:","",_xlfn.IFNA(VLOOKUP($H121,Ingredient_prices!$E:$U,16,FALSE)*$R121/1000,"not bought"))</f>
        <v/>
      </c>
      <c r="V121" s="549">
        <f>VLOOKUP($H121,'CO2_emission+%_food_waste'!$A:$K,4,FALSE)*$Q121</f>
        <v>0</v>
      </c>
      <c r="W121" s="583">
        <f>VLOOKUP($H121,Nutrition_tables!$A:$N,10,FALSE)*$Q121/100</f>
        <v>0</v>
      </c>
      <c r="X121" s="583">
        <f>VLOOKUP($H121,Nutrition_tables!$A:$N,11,FALSE)*$Q121/100</f>
        <v>0</v>
      </c>
      <c r="Y121" s="583">
        <f>VLOOKUP($H121,Nutrition_tables!$A:$N,12,FALSE)*$Q121/100</f>
        <v>0</v>
      </c>
      <c r="Z121" s="583">
        <f>VLOOKUP($H121,Nutrition_tables!$A:$N,14,FALSE)*$Q121/100</f>
        <v>0</v>
      </c>
      <c r="AA121" s="583">
        <f>VLOOKUP($H121,Nutrition_tables!$A:$AF,13,FALSE)*$Q121/100</f>
        <v>0</v>
      </c>
      <c r="AB121" s="549">
        <f>VLOOKUP($H121,Nutrition_tables!$A:$AF,15,FALSE)*$Q121/100</f>
        <v>0</v>
      </c>
      <c r="AC121" s="583">
        <f>VLOOKUP($H121,Nutrition_tables!$A:$AF,16,FALSE)*$Q121/100</f>
        <v>0</v>
      </c>
      <c r="AD121" s="583">
        <f>VLOOKUP($H121,Nutrition_tables!$A:$AF,17,FALSE)*$Q121/100</f>
        <v>0</v>
      </c>
      <c r="AE121" s="583">
        <f>VLOOKUP($H121,Nutrition_tables!$A:$AF,18,FALSE)*$Q121/100</f>
        <v>0</v>
      </c>
      <c r="AF121" s="583">
        <f>VLOOKUP($H121,Nutrition_tables!$A:$AF,19,FALSE)*$Q121/100</f>
        <v>0</v>
      </c>
      <c r="AG121" s="583">
        <f>VLOOKUP($H121,Nutrition_tables!$A:$AF,20,FALSE)*$Q121/100</f>
        <v>0</v>
      </c>
      <c r="AH121" s="583">
        <f>VLOOKUP($H121,Nutrition_tables!$A:$AF,21,FALSE)*$Q121/100</f>
        <v>0</v>
      </c>
      <c r="AI121" s="583">
        <f>VLOOKUP($H121,Nutrition_tables!$A:$AF,22,FALSE)*$Q121/100</f>
        <v>0</v>
      </c>
      <c r="AJ121" s="549">
        <f>VLOOKUP($H121,Nutrition_tables!$A:$AF,23,FALSE)*$Q121/100</f>
        <v>0</v>
      </c>
      <c r="AK121" s="583">
        <f>VLOOKUP($H121,Nutrition_tables!$A:$AF,24,FALSE)*$Q121/100</f>
        <v>0</v>
      </c>
      <c r="AL121" s="583">
        <f>VLOOKUP($H121,Nutrition_tables!$A:$AF,25,FALSE)*$Q121/100</f>
        <v>0</v>
      </c>
      <c r="AM121" s="583">
        <f>VLOOKUP($H121,Nutrition_tables!$A:$AF,26,FALSE)*$Q121/100</f>
        <v>0</v>
      </c>
      <c r="AN121" s="583">
        <f>VLOOKUP($H121,Nutrition_tables!$A:$AF,27,FALSE)*$Q121/100</f>
        <v>0</v>
      </c>
      <c r="AO121" s="583">
        <f>VLOOKUP($H121,Nutrition_tables!$A:$AF,28,FALSE)*$Q121/100</f>
        <v>0</v>
      </c>
      <c r="AP121" s="583">
        <f>VLOOKUP($H121,Nutrition_tables!$A:$AF,29,FALSE)*$Q121/100</f>
        <v>0</v>
      </c>
      <c r="AQ121" s="583">
        <f>VLOOKUP($H121,Nutrition_tables!$A:$AF,30,FALSE)*$Q121/100</f>
        <v>0</v>
      </c>
      <c r="AR121" s="583">
        <f>VLOOKUP($H121,Nutrition_tables!$A:$AF,31,FALSE)*$Q121/100</f>
        <v>0</v>
      </c>
      <c r="AS121" s="549">
        <f>VLOOKUP($H121,Nutrition_tables!$A:$AF,32,FALSE)*$Q121/100</f>
        <v>0</v>
      </c>
      <c r="AT121" s="583" t="str">
        <f>IF(H121="Select ingredient:","",IF(G121="Select food category:","",IFERROR(VLOOKUP($H121,Ingredient_prices!$E:$W,17,FALSE)*$Q121/1000,"not bought")))</f>
        <v/>
      </c>
      <c r="AU121" s="583" t="str">
        <f>IF(H121="Select ingredient:","",IF(G121="Select food category:","",IFERROR(VLOOKUP($H121,Ingredient_prices!$E:$W,18,FALSE)*$Q121/1000,"not bought")))</f>
        <v/>
      </c>
      <c r="AV121" s="583">
        <f t="shared" si="258"/>
        <v>0</v>
      </c>
      <c r="AW121" s="583">
        <f t="shared" si="259"/>
        <v>0</v>
      </c>
      <c r="AX121" s="583">
        <f t="shared" si="260"/>
        <v>0</v>
      </c>
      <c r="AY121" s="583">
        <f t="shared" si="261"/>
        <v>0</v>
      </c>
      <c r="AZ121" s="583">
        <f t="shared" si="262"/>
        <v>0</v>
      </c>
      <c r="BA121" s="583">
        <f t="shared" si="263"/>
        <v>0</v>
      </c>
      <c r="BB121" s="583">
        <f t="shared" si="264"/>
        <v>0</v>
      </c>
      <c r="BC121" s="583">
        <f t="shared" si="265"/>
        <v>0</v>
      </c>
      <c r="BD121" s="583">
        <f t="shared" si="266"/>
        <v>0</v>
      </c>
      <c r="BE121" s="583">
        <f t="shared" si="267"/>
        <v>0</v>
      </c>
      <c r="BF121" s="583">
        <f t="shared" si="268"/>
        <v>0</v>
      </c>
      <c r="BG121" s="583">
        <f t="shared" si="269"/>
        <v>0</v>
      </c>
      <c r="BH121" s="583">
        <f t="shared" si="270"/>
        <v>0</v>
      </c>
      <c r="BI121" s="583">
        <f t="shared" si="271"/>
        <v>0</v>
      </c>
      <c r="BJ121" s="583">
        <f t="shared" si="272"/>
        <v>0</v>
      </c>
      <c r="BK121" s="583">
        <f t="shared" si="273"/>
        <v>0</v>
      </c>
      <c r="BL121" s="583">
        <f t="shared" si="274"/>
        <v>0</v>
      </c>
      <c r="BM121" s="583">
        <f t="shared" si="275"/>
        <v>0</v>
      </c>
      <c r="BN121" s="583">
        <f t="shared" si="276"/>
        <v>0</v>
      </c>
      <c r="BO121" s="583">
        <f t="shared" si="277"/>
        <v>0</v>
      </c>
      <c r="BP121" s="583">
        <f t="shared" si="278"/>
        <v>0</v>
      </c>
      <c r="BQ121" s="583">
        <f t="shared" si="279"/>
        <v>0</v>
      </c>
      <c r="BR121" s="583">
        <f t="shared" si="280"/>
        <v>0</v>
      </c>
    </row>
    <row r="122" spans="1:70" s="229" customFormat="1" ht="15" customHeight="1">
      <c r="A122" s="574"/>
      <c r="D122" s="85"/>
      <c r="E122" s="576">
        <f t="shared" si="282"/>
        <v>100</v>
      </c>
      <c r="F122" s="707"/>
      <c r="G122" s="406" t="s">
        <v>3054</v>
      </c>
      <c r="H122" s="1262" t="s">
        <v>3055</v>
      </c>
      <c r="I122" s="85">
        <v>0</v>
      </c>
      <c r="J122" s="682">
        <v>1</v>
      </c>
      <c r="K122" s="579" t="str">
        <f t="shared" si="256"/>
        <v/>
      </c>
      <c r="L122" s="580" t="str">
        <f>IF(H122="Select ingredient:","",IF(G122="","",_xlfn.IFNA(VLOOKUP($H122,Ingredient_prices!$E:$U,16,FALSE),0)))</f>
        <v/>
      </c>
      <c r="M122" s="840"/>
      <c r="N122" s="840"/>
      <c r="O122" s="581"/>
      <c r="P122" s="582"/>
      <c r="Q122" s="583">
        <f t="shared" si="257"/>
        <v>0</v>
      </c>
      <c r="R122" s="583">
        <f>VLOOKUP($H122,'CO2_emission+%_food_waste'!$A:$K,6,FALSE)*$Q122/100</f>
        <v>0</v>
      </c>
      <c r="S122" s="583">
        <f t="shared" si="281"/>
        <v>0</v>
      </c>
      <c r="T122" s="583" t="str">
        <f>IF(H122="Select ingredient:","",IF(G122="Select food category:","",_xlfn.IFNA(VLOOKUP($H122,Ingredient_prices!$E:$U,16,FALSE)*$Q122/1000,"not bought")))</f>
        <v/>
      </c>
      <c r="U122" s="583" t="str">
        <f>IF(G122="Select food category:","",_xlfn.IFNA(VLOOKUP($H122,Ingredient_prices!$E:$U,16,FALSE)*$R122/1000,"not bought"))</f>
        <v/>
      </c>
      <c r="V122" s="549">
        <f>VLOOKUP($H122,'CO2_emission+%_food_waste'!$A:$K,4,FALSE)*$Q122</f>
        <v>0</v>
      </c>
      <c r="W122" s="583">
        <f>VLOOKUP($H122,Nutrition_tables!$A:$N,10,FALSE)*$Q122/100</f>
        <v>0</v>
      </c>
      <c r="X122" s="583">
        <f>VLOOKUP($H122,Nutrition_tables!$A:$N,11,FALSE)*$Q122/100</f>
        <v>0</v>
      </c>
      <c r="Y122" s="583">
        <f>VLOOKUP($H122,Nutrition_tables!$A:$N,12,FALSE)*$Q122/100</f>
        <v>0</v>
      </c>
      <c r="Z122" s="583">
        <f>VLOOKUP($H122,Nutrition_tables!$A:$N,14,FALSE)*$Q122/100</f>
        <v>0</v>
      </c>
      <c r="AA122" s="583">
        <f>VLOOKUP($H122,Nutrition_tables!$A:$AF,13,FALSE)*$Q122/100</f>
        <v>0</v>
      </c>
      <c r="AB122" s="549">
        <f>VLOOKUP($H122,Nutrition_tables!$A:$AF,15,FALSE)*$Q122/100</f>
        <v>0</v>
      </c>
      <c r="AC122" s="583">
        <f>VLOOKUP($H122,Nutrition_tables!$A:$AF,16,FALSE)*$Q122/100</f>
        <v>0</v>
      </c>
      <c r="AD122" s="583">
        <f>VLOOKUP($H122,Nutrition_tables!$A:$AF,17,FALSE)*$Q122/100</f>
        <v>0</v>
      </c>
      <c r="AE122" s="583">
        <f>VLOOKUP($H122,Nutrition_tables!$A:$AF,18,FALSE)*$Q122/100</f>
        <v>0</v>
      </c>
      <c r="AF122" s="583">
        <f>VLOOKUP($H122,Nutrition_tables!$A:$AF,19,FALSE)*$Q122/100</f>
        <v>0</v>
      </c>
      <c r="AG122" s="583">
        <f>VLOOKUP($H122,Nutrition_tables!$A:$AF,20,FALSE)*$Q122/100</f>
        <v>0</v>
      </c>
      <c r="AH122" s="583">
        <f>VLOOKUP($H122,Nutrition_tables!$A:$AF,21,FALSE)*$Q122/100</f>
        <v>0</v>
      </c>
      <c r="AI122" s="583">
        <f>VLOOKUP($H122,Nutrition_tables!$A:$AF,22,FALSE)*$Q122/100</f>
        <v>0</v>
      </c>
      <c r="AJ122" s="549">
        <f>VLOOKUP($H122,Nutrition_tables!$A:$AF,23,FALSE)*$Q122/100</f>
        <v>0</v>
      </c>
      <c r="AK122" s="583">
        <f>VLOOKUP($H122,Nutrition_tables!$A:$AF,24,FALSE)*$Q122/100</f>
        <v>0</v>
      </c>
      <c r="AL122" s="583">
        <f>VLOOKUP($H122,Nutrition_tables!$A:$AF,25,FALSE)*$Q122/100</f>
        <v>0</v>
      </c>
      <c r="AM122" s="583">
        <f>VLOOKUP($H122,Nutrition_tables!$A:$AF,26,FALSE)*$Q122/100</f>
        <v>0</v>
      </c>
      <c r="AN122" s="583">
        <f>VLOOKUP($H122,Nutrition_tables!$A:$AF,27,FALSE)*$Q122/100</f>
        <v>0</v>
      </c>
      <c r="AO122" s="583">
        <f>VLOOKUP($H122,Nutrition_tables!$A:$AF,28,FALSE)*$Q122/100</f>
        <v>0</v>
      </c>
      <c r="AP122" s="583">
        <f>VLOOKUP($H122,Nutrition_tables!$A:$AF,29,FALSE)*$Q122/100</f>
        <v>0</v>
      </c>
      <c r="AQ122" s="583">
        <f>VLOOKUP($H122,Nutrition_tables!$A:$AF,30,FALSE)*$Q122/100</f>
        <v>0</v>
      </c>
      <c r="AR122" s="583">
        <f>VLOOKUP($H122,Nutrition_tables!$A:$AF,31,FALSE)*$Q122/100</f>
        <v>0</v>
      </c>
      <c r="AS122" s="549">
        <f>VLOOKUP($H122,Nutrition_tables!$A:$AF,32,FALSE)*$Q122/100</f>
        <v>0</v>
      </c>
      <c r="AT122" s="583" t="str">
        <f>IF(H122="Select ingredient:","",IF(G122="Select food category:","",IFERROR(VLOOKUP($H122,Ingredient_prices!$E:$W,17,FALSE)*$Q122/1000,"not bought")))</f>
        <v/>
      </c>
      <c r="AU122" s="583" t="str">
        <f>IF(H122="Select ingredient:","",IF(G122="Select food category:","",IFERROR(VLOOKUP($H122,Ingredient_prices!$E:$W,18,FALSE)*$Q122/1000,"not bought")))</f>
        <v/>
      </c>
      <c r="AV122" s="583">
        <f t="shared" si="258"/>
        <v>0</v>
      </c>
      <c r="AW122" s="583">
        <f t="shared" si="259"/>
        <v>0</v>
      </c>
      <c r="AX122" s="583">
        <f t="shared" si="260"/>
        <v>0</v>
      </c>
      <c r="AY122" s="583">
        <f t="shared" si="261"/>
        <v>0</v>
      </c>
      <c r="AZ122" s="583">
        <f t="shared" si="262"/>
        <v>0</v>
      </c>
      <c r="BA122" s="583">
        <f t="shared" si="263"/>
        <v>0</v>
      </c>
      <c r="BB122" s="583">
        <f t="shared" si="264"/>
        <v>0</v>
      </c>
      <c r="BC122" s="583">
        <f t="shared" si="265"/>
        <v>0</v>
      </c>
      <c r="BD122" s="583">
        <f t="shared" si="266"/>
        <v>0</v>
      </c>
      <c r="BE122" s="583">
        <f t="shared" si="267"/>
        <v>0</v>
      </c>
      <c r="BF122" s="583">
        <f t="shared" si="268"/>
        <v>0</v>
      </c>
      <c r="BG122" s="583">
        <f t="shared" si="269"/>
        <v>0</v>
      </c>
      <c r="BH122" s="583">
        <f t="shared" si="270"/>
        <v>0</v>
      </c>
      <c r="BI122" s="583">
        <f t="shared" si="271"/>
        <v>0</v>
      </c>
      <c r="BJ122" s="583">
        <f t="shared" si="272"/>
        <v>0</v>
      </c>
      <c r="BK122" s="583">
        <f t="shared" si="273"/>
        <v>0</v>
      </c>
      <c r="BL122" s="583">
        <f t="shared" si="274"/>
        <v>0</v>
      </c>
      <c r="BM122" s="583">
        <f t="shared" si="275"/>
        <v>0</v>
      </c>
      <c r="BN122" s="583">
        <f t="shared" si="276"/>
        <v>0</v>
      </c>
      <c r="BO122" s="583">
        <f t="shared" si="277"/>
        <v>0</v>
      </c>
      <c r="BP122" s="583">
        <f t="shared" si="278"/>
        <v>0</v>
      </c>
      <c r="BQ122" s="583">
        <f t="shared" si="279"/>
        <v>0</v>
      </c>
      <c r="BR122" s="583">
        <f t="shared" si="280"/>
        <v>0</v>
      </c>
    </row>
    <row r="123" spans="1:70" s="229" customFormat="1" ht="15" customHeight="1">
      <c r="A123" s="574"/>
      <c r="D123" s="85"/>
      <c r="E123" s="576">
        <f t="shared" si="282"/>
        <v>100</v>
      </c>
      <c r="F123" s="707"/>
      <c r="G123" s="406" t="s">
        <v>3054</v>
      </c>
      <c r="H123" s="1262" t="s">
        <v>3055</v>
      </c>
      <c r="I123" s="85">
        <v>0</v>
      </c>
      <c r="J123" s="682">
        <v>1</v>
      </c>
      <c r="K123" s="579" t="str">
        <f t="shared" si="256"/>
        <v/>
      </c>
      <c r="L123" s="580" t="str">
        <f>IF(H123="Select ingredient:","",IF(G123="","",_xlfn.IFNA(VLOOKUP($H123,Ingredient_prices!$E:$U,16,FALSE),0)))</f>
        <v/>
      </c>
      <c r="M123" s="840"/>
      <c r="N123" s="840"/>
      <c r="O123" s="581"/>
      <c r="P123" s="582"/>
      <c r="Q123" s="583">
        <f t="shared" si="257"/>
        <v>0</v>
      </c>
      <c r="R123" s="583">
        <f>VLOOKUP($H123,'CO2_emission+%_food_waste'!$A:$K,6,FALSE)*$Q123/100</f>
        <v>0</v>
      </c>
      <c r="S123" s="583">
        <f t="shared" si="281"/>
        <v>0</v>
      </c>
      <c r="T123" s="583" t="str">
        <f>IF(H123="Select ingredient:","",IF(G123="Select food category:","",_xlfn.IFNA(VLOOKUP($H123,Ingredient_prices!$E:$U,16,FALSE)*$Q123/1000,"not bought")))</f>
        <v/>
      </c>
      <c r="U123" s="583" t="str">
        <f>IF(G123="Select food category:","",_xlfn.IFNA(VLOOKUP($H123,Ingredient_prices!$E:$U,16,FALSE)*$R123/1000,"not bought"))</f>
        <v/>
      </c>
      <c r="V123" s="549">
        <f>VLOOKUP($H123,'CO2_emission+%_food_waste'!$A:$K,4,FALSE)*$Q123</f>
        <v>0</v>
      </c>
      <c r="W123" s="583">
        <f>VLOOKUP($H123,Nutrition_tables!$A:$N,10,FALSE)*$Q123/100</f>
        <v>0</v>
      </c>
      <c r="X123" s="583">
        <f>VLOOKUP($H123,Nutrition_tables!$A:$N,11,FALSE)*$Q123/100</f>
        <v>0</v>
      </c>
      <c r="Y123" s="583">
        <f>VLOOKUP($H123,Nutrition_tables!$A:$N,12,FALSE)*$Q123/100</f>
        <v>0</v>
      </c>
      <c r="Z123" s="583">
        <f>VLOOKUP($H123,Nutrition_tables!$A:$N,14,FALSE)*$Q123/100</f>
        <v>0</v>
      </c>
      <c r="AA123" s="583">
        <f>VLOOKUP($H123,Nutrition_tables!$A:$AF,13,FALSE)*$Q123/100</f>
        <v>0</v>
      </c>
      <c r="AB123" s="549">
        <f>VLOOKUP($H123,Nutrition_tables!$A:$AF,15,FALSE)*$Q123/100</f>
        <v>0</v>
      </c>
      <c r="AC123" s="583">
        <f>VLOOKUP($H123,Nutrition_tables!$A:$AF,16,FALSE)*$Q123/100</f>
        <v>0</v>
      </c>
      <c r="AD123" s="583">
        <f>VLOOKUP($H123,Nutrition_tables!$A:$AF,17,FALSE)*$Q123/100</f>
        <v>0</v>
      </c>
      <c r="AE123" s="583">
        <f>VLOOKUP($H123,Nutrition_tables!$A:$AF,18,FALSE)*$Q123/100</f>
        <v>0</v>
      </c>
      <c r="AF123" s="583">
        <f>VLOOKUP($H123,Nutrition_tables!$A:$AF,19,FALSE)*$Q123/100</f>
        <v>0</v>
      </c>
      <c r="AG123" s="583">
        <f>VLOOKUP($H123,Nutrition_tables!$A:$AF,20,FALSE)*$Q123/100</f>
        <v>0</v>
      </c>
      <c r="AH123" s="583">
        <f>VLOOKUP($H123,Nutrition_tables!$A:$AF,21,FALSE)*$Q123/100</f>
        <v>0</v>
      </c>
      <c r="AI123" s="583">
        <f>VLOOKUP($H123,Nutrition_tables!$A:$AF,22,FALSE)*$Q123/100</f>
        <v>0</v>
      </c>
      <c r="AJ123" s="549">
        <f>VLOOKUP($H123,Nutrition_tables!$A:$AF,23,FALSE)*$Q123/100</f>
        <v>0</v>
      </c>
      <c r="AK123" s="583">
        <f>VLOOKUP($H123,Nutrition_tables!$A:$AF,24,FALSE)*$Q123/100</f>
        <v>0</v>
      </c>
      <c r="AL123" s="583">
        <f>VLOOKUP($H123,Nutrition_tables!$A:$AF,25,FALSE)*$Q123/100</f>
        <v>0</v>
      </c>
      <c r="AM123" s="583">
        <f>VLOOKUP($H123,Nutrition_tables!$A:$AF,26,FALSE)*$Q123/100</f>
        <v>0</v>
      </c>
      <c r="AN123" s="583">
        <f>VLOOKUP($H123,Nutrition_tables!$A:$AF,27,FALSE)*$Q123/100</f>
        <v>0</v>
      </c>
      <c r="AO123" s="583">
        <f>VLOOKUP($H123,Nutrition_tables!$A:$AF,28,FALSE)*$Q123/100</f>
        <v>0</v>
      </c>
      <c r="AP123" s="583">
        <f>VLOOKUP($H123,Nutrition_tables!$A:$AF,29,FALSE)*$Q123/100</f>
        <v>0</v>
      </c>
      <c r="AQ123" s="583">
        <f>VLOOKUP($H123,Nutrition_tables!$A:$AF,30,FALSE)*$Q123/100</f>
        <v>0</v>
      </c>
      <c r="AR123" s="583">
        <f>VLOOKUP($H123,Nutrition_tables!$A:$AF,31,FALSE)*$Q123/100</f>
        <v>0</v>
      </c>
      <c r="AS123" s="549">
        <f>VLOOKUP($H123,Nutrition_tables!$A:$AF,32,FALSE)*$Q123/100</f>
        <v>0</v>
      </c>
      <c r="AT123" s="583" t="str">
        <f>IF(H123="Select ingredient:","",IF(G123="Select food category:","",IFERROR(VLOOKUP($H123,Ingredient_prices!$E:$W,17,FALSE)*$Q123/1000,"not bought")))</f>
        <v/>
      </c>
      <c r="AU123" s="583" t="str">
        <f>IF(H123="Select ingredient:","",IF(G123="Select food category:","",IFERROR(VLOOKUP($H123,Ingredient_prices!$E:$W,18,FALSE)*$Q123/1000,"not bought")))</f>
        <v/>
      </c>
      <c r="AV123" s="583">
        <f t="shared" si="258"/>
        <v>0</v>
      </c>
      <c r="AW123" s="583">
        <f t="shared" si="259"/>
        <v>0</v>
      </c>
      <c r="AX123" s="583">
        <f t="shared" si="260"/>
        <v>0</v>
      </c>
      <c r="AY123" s="583">
        <f t="shared" si="261"/>
        <v>0</v>
      </c>
      <c r="AZ123" s="583">
        <f t="shared" si="262"/>
        <v>0</v>
      </c>
      <c r="BA123" s="583">
        <f t="shared" si="263"/>
        <v>0</v>
      </c>
      <c r="BB123" s="583">
        <f t="shared" si="264"/>
        <v>0</v>
      </c>
      <c r="BC123" s="583">
        <f t="shared" si="265"/>
        <v>0</v>
      </c>
      <c r="BD123" s="583">
        <f t="shared" si="266"/>
        <v>0</v>
      </c>
      <c r="BE123" s="583">
        <f t="shared" si="267"/>
        <v>0</v>
      </c>
      <c r="BF123" s="583">
        <f t="shared" si="268"/>
        <v>0</v>
      </c>
      <c r="BG123" s="583">
        <f t="shared" si="269"/>
        <v>0</v>
      </c>
      <c r="BH123" s="583">
        <f t="shared" si="270"/>
        <v>0</v>
      </c>
      <c r="BI123" s="583">
        <f t="shared" si="271"/>
        <v>0</v>
      </c>
      <c r="BJ123" s="583">
        <f t="shared" si="272"/>
        <v>0</v>
      </c>
      <c r="BK123" s="583">
        <f t="shared" si="273"/>
        <v>0</v>
      </c>
      <c r="BL123" s="583">
        <f t="shared" si="274"/>
        <v>0</v>
      </c>
      <c r="BM123" s="583">
        <f t="shared" si="275"/>
        <v>0</v>
      </c>
      <c r="BN123" s="583">
        <f t="shared" si="276"/>
        <v>0</v>
      </c>
      <c r="BO123" s="583">
        <f t="shared" si="277"/>
        <v>0</v>
      </c>
      <c r="BP123" s="583">
        <f t="shared" si="278"/>
        <v>0</v>
      </c>
      <c r="BQ123" s="583">
        <f t="shared" si="279"/>
        <v>0</v>
      </c>
      <c r="BR123" s="583">
        <f t="shared" si="280"/>
        <v>0</v>
      </c>
    </row>
    <row r="124" spans="1:70" s="229" customFormat="1" ht="15" customHeight="1">
      <c r="A124" s="574"/>
      <c r="D124" s="85"/>
      <c r="E124" s="576">
        <f t="shared" si="282"/>
        <v>100</v>
      </c>
      <c r="F124" s="707"/>
      <c r="G124" s="406" t="s">
        <v>3054</v>
      </c>
      <c r="H124" s="1262" t="s">
        <v>3055</v>
      </c>
      <c r="I124" s="85">
        <v>0</v>
      </c>
      <c r="J124" s="682">
        <v>1</v>
      </c>
      <c r="K124" s="579" t="str">
        <f t="shared" si="256"/>
        <v/>
      </c>
      <c r="L124" s="580" t="str">
        <f>IF(H124="Select ingredient:","",IF(G124="","",_xlfn.IFNA(VLOOKUP($H124,Ingredient_prices!$E:$U,16,FALSE),0)))</f>
        <v/>
      </c>
      <c r="M124" s="840"/>
      <c r="N124" s="840"/>
      <c r="O124" s="581"/>
      <c r="P124" s="582"/>
      <c r="Q124" s="583">
        <f t="shared" si="257"/>
        <v>0</v>
      </c>
      <c r="R124" s="583">
        <f>VLOOKUP($H124,'CO2_emission+%_food_waste'!$A:$K,6,FALSE)*$Q124/100</f>
        <v>0</v>
      </c>
      <c r="S124" s="583">
        <f t="shared" si="281"/>
        <v>0</v>
      </c>
      <c r="T124" s="583" t="str">
        <f>IF(H124="Select ingredient:","",IF(G124="Select food category:","",_xlfn.IFNA(VLOOKUP($H124,Ingredient_prices!$E:$U,16,FALSE)*$Q124/1000,"not bought")))</f>
        <v/>
      </c>
      <c r="U124" s="583" t="str">
        <f>IF(G124="Select food category:","",_xlfn.IFNA(VLOOKUP($H124,Ingredient_prices!$E:$U,16,FALSE)*$R124/1000,"not bought"))</f>
        <v/>
      </c>
      <c r="V124" s="549">
        <f>VLOOKUP($H124,'CO2_emission+%_food_waste'!$A:$K,4,FALSE)*$Q124</f>
        <v>0</v>
      </c>
      <c r="W124" s="583">
        <f>VLOOKUP($H124,Nutrition_tables!$A:$N,10,FALSE)*$Q124/100</f>
        <v>0</v>
      </c>
      <c r="X124" s="583">
        <f>VLOOKUP($H124,Nutrition_tables!$A:$N,11,FALSE)*$Q124/100</f>
        <v>0</v>
      </c>
      <c r="Y124" s="583">
        <f>VLOOKUP($H124,Nutrition_tables!$A:$N,12,FALSE)*$Q124/100</f>
        <v>0</v>
      </c>
      <c r="Z124" s="583">
        <f>VLOOKUP($H124,Nutrition_tables!$A:$N,14,FALSE)*$Q124/100</f>
        <v>0</v>
      </c>
      <c r="AA124" s="583">
        <f>VLOOKUP($H124,Nutrition_tables!$A:$AF,13,FALSE)*$Q124/100</f>
        <v>0</v>
      </c>
      <c r="AB124" s="549">
        <f>VLOOKUP($H124,Nutrition_tables!$A:$AF,15,FALSE)*$Q124/100</f>
        <v>0</v>
      </c>
      <c r="AC124" s="583">
        <f>VLOOKUP($H124,Nutrition_tables!$A:$AF,16,FALSE)*$Q124/100</f>
        <v>0</v>
      </c>
      <c r="AD124" s="583">
        <f>VLOOKUP($H124,Nutrition_tables!$A:$AF,17,FALSE)*$Q124/100</f>
        <v>0</v>
      </c>
      <c r="AE124" s="583">
        <f>VLOOKUP($H124,Nutrition_tables!$A:$AF,18,FALSE)*$Q124/100</f>
        <v>0</v>
      </c>
      <c r="AF124" s="583">
        <f>VLOOKUP($H124,Nutrition_tables!$A:$AF,19,FALSE)*$Q124/100</f>
        <v>0</v>
      </c>
      <c r="AG124" s="583">
        <f>VLOOKUP($H124,Nutrition_tables!$A:$AF,20,FALSE)*$Q124/100</f>
        <v>0</v>
      </c>
      <c r="AH124" s="583">
        <f>VLOOKUP($H124,Nutrition_tables!$A:$AF,21,FALSE)*$Q124/100</f>
        <v>0</v>
      </c>
      <c r="AI124" s="583">
        <f>VLOOKUP($H124,Nutrition_tables!$A:$AF,22,FALSE)*$Q124/100</f>
        <v>0</v>
      </c>
      <c r="AJ124" s="549">
        <f>VLOOKUP($H124,Nutrition_tables!$A:$AF,23,FALSE)*$Q124/100</f>
        <v>0</v>
      </c>
      <c r="AK124" s="583">
        <f>VLOOKUP($H124,Nutrition_tables!$A:$AF,24,FALSE)*$Q124/100</f>
        <v>0</v>
      </c>
      <c r="AL124" s="583">
        <f>VLOOKUP($H124,Nutrition_tables!$A:$AF,25,FALSE)*$Q124/100</f>
        <v>0</v>
      </c>
      <c r="AM124" s="583">
        <f>VLOOKUP($H124,Nutrition_tables!$A:$AF,26,FALSE)*$Q124/100</f>
        <v>0</v>
      </c>
      <c r="AN124" s="583">
        <f>VLOOKUP($H124,Nutrition_tables!$A:$AF,27,FALSE)*$Q124/100</f>
        <v>0</v>
      </c>
      <c r="AO124" s="583">
        <f>VLOOKUP($H124,Nutrition_tables!$A:$AF,28,FALSE)*$Q124/100</f>
        <v>0</v>
      </c>
      <c r="AP124" s="583">
        <f>VLOOKUP($H124,Nutrition_tables!$A:$AF,29,FALSE)*$Q124/100</f>
        <v>0</v>
      </c>
      <c r="AQ124" s="583">
        <f>VLOOKUP($H124,Nutrition_tables!$A:$AF,30,FALSE)*$Q124/100</f>
        <v>0</v>
      </c>
      <c r="AR124" s="583">
        <f>VLOOKUP($H124,Nutrition_tables!$A:$AF,31,FALSE)*$Q124/100</f>
        <v>0</v>
      </c>
      <c r="AS124" s="549">
        <f>VLOOKUP($H124,Nutrition_tables!$A:$AF,32,FALSE)*$Q124/100</f>
        <v>0</v>
      </c>
      <c r="AT124" s="583" t="str">
        <f>IF(H124="Select ingredient:","",IF(G124="Select food category:","",IFERROR(VLOOKUP($H124,Ingredient_prices!$E:$W,17,FALSE)*$Q124/1000,"not bought")))</f>
        <v/>
      </c>
      <c r="AU124" s="583" t="str">
        <f>IF(H124="Select ingredient:","",IF(G124="Select food category:","",IFERROR(VLOOKUP($H124,Ingredient_prices!$E:$W,18,FALSE)*$Q124/1000,"not bought")))</f>
        <v/>
      </c>
      <c r="AV124" s="583">
        <f t="shared" si="258"/>
        <v>0</v>
      </c>
      <c r="AW124" s="583">
        <f t="shared" si="259"/>
        <v>0</v>
      </c>
      <c r="AX124" s="583">
        <f t="shared" si="260"/>
        <v>0</v>
      </c>
      <c r="AY124" s="583">
        <f t="shared" si="261"/>
        <v>0</v>
      </c>
      <c r="AZ124" s="583">
        <f t="shared" si="262"/>
        <v>0</v>
      </c>
      <c r="BA124" s="583">
        <f t="shared" si="263"/>
        <v>0</v>
      </c>
      <c r="BB124" s="583">
        <f t="shared" si="264"/>
        <v>0</v>
      </c>
      <c r="BC124" s="583">
        <f t="shared" si="265"/>
        <v>0</v>
      </c>
      <c r="BD124" s="583">
        <f t="shared" si="266"/>
        <v>0</v>
      </c>
      <c r="BE124" s="583">
        <f t="shared" si="267"/>
        <v>0</v>
      </c>
      <c r="BF124" s="583">
        <f t="shared" si="268"/>
        <v>0</v>
      </c>
      <c r="BG124" s="583">
        <f t="shared" si="269"/>
        <v>0</v>
      </c>
      <c r="BH124" s="583">
        <f t="shared" si="270"/>
        <v>0</v>
      </c>
      <c r="BI124" s="583">
        <f t="shared" si="271"/>
        <v>0</v>
      </c>
      <c r="BJ124" s="583">
        <f t="shared" si="272"/>
        <v>0</v>
      </c>
      <c r="BK124" s="583">
        <f t="shared" si="273"/>
        <v>0</v>
      </c>
      <c r="BL124" s="583">
        <f t="shared" si="274"/>
        <v>0</v>
      </c>
      <c r="BM124" s="583">
        <f t="shared" si="275"/>
        <v>0</v>
      </c>
      <c r="BN124" s="583">
        <f t="shared" si="276"/>
        <v>0</v>
      </c>
      <c r="BO124" s="583">
        <f t="shared" si="277"/>
        <v>0</v>
      </c>
      <c r="BP124" s="583">
        <f t="shared" si="278"/>
        <v>0</v>
      </c>
      <c r="BQ124" s="583">
        <f t="shared" si="279"/>
        <v>0</v>
      </c>
      <c r="BR124" s="583">
        <f t="shared" si="280"/>
        <v>0</v>
      </c>
    </row>
    <row r="125" spans="1:70" s="229" customFormat="1" ht="15" customHeight="1">
      <c r="A125" s="574"/>
      <c r="D125" s="85"/>
      <c r="E125" s="576">
        <f t="shared" si="282"/>
        <v>100</v>
      </c>
      <c r="F125" s="707"/>
      <c r="G125" s="406" t="s">
        <v>3054</v>
      </c>
      <c r="H125" s="1262" t="s">
        <v>3055</v>
      </c>
      <c r="I125" s="85">
        <v>0</v>
      </c>
      <c r="J125" s="682">
        <v>1</v>
      </c>
      <c r="K125" s="579" t="str">
        <f t="shared" si="256"/>
        <v/>
      </c>
      <c r="L125" s="580" t="str">
        <f>IF(H125="Select ingredient:","",IF(G125="","",_xlfn.IFNA(VLOOKUP($H125,Ingredient_prices!$E:$U,16,FALSE),0)))</f>
        <v/>
      </c>
      <c r="M125" s="840"/>
      <c r="N125" s="840"/>
      <c r="O125" s="581"/>
      <c r="P125" s="582"/>
      <c r="Q125" s="583">
        <f t="shared" si="257"/>
        <v>0</v>
      </c>
      <c r="R125" s="583">
        <f>VLOOKUP($H125,'CO2_emission+%_food_waste'!$A:$K,6,FALSE)*$Q125/100</f>
        <v>0</v>
      </c>
      <c r="S125" s="583">
        <f t="shared" si="281"/>
        <v>0</v>
      </c>
      <c r="T125" s="583" t="str">
        <f>IF(H125="Select ingredient:","",IF(G125="Select food category:","",_xlfn.IFNA(VLOOKUP($H125,Ingredient_prices!$E:$U,16,FALSE)*$Q125/1000,"not bought")))</f>
        <v/>
      </c>
      <c r="U125" s="583" t="str">
        <f>IF(G125="Select food category:","",_xlfn.IFNA(VLOOKUP($H125,Ingredient_prices!$E:$U,16,FALSE)*$R125/1000,"not bought"))</f>
        <v/>
      </c>
      <c r="V125" s="549">
        <f>VLOOKUP($H125,'CO2_emission+%_food_waste'!$A:$K,4,FALSE)*$Q125</f>
        <v>0</v>
      </c>
      <c r="W125" s="583">
        <f>VLOOKUP($H125,Nutrition_tables!$A:$N,10,FALSE)*$Q125/100</f>
        <v>0</v>
      </c>
      <c r="X125" s="583">
        <f>VLOOKUP($H125,Nutrition_tables!$A:$N,11,FALSE)*$Q125/100</f>
        <v>0</v>
      </c>
      <c r="Y125" s="583">
        <f>VLOOKUP($H125,Nutrition_tables!$A:$N,12,FALSE)*$Q125/100</f>
        <v>0</v>
      </c>
      <c r="Z125" s="583">
        <f>VLOOKUP($H125,Nutrition_tables!$A:$N,14,FALSE)*$Q125/100</f>
        <v>0</v>
      </c>
      <c r="AA125" s="583">
        <f>VLOOKUP($H125,Nutrition_tables!$A:$AF,13,FALSE)*$Q125/100</f>
        <v>0</v>
      </c>
      <c r="AB125" s="549">
        <f>VLOOKUP($H125,Nutrition_tables!$A:$AF,15,FALSE)*$Q125/100</f>
        <v>0</v>
      </c>
      <c r="AC125" s="583">
        <f>VLOOKUP($H125,Nutrition_tables!$A:$AF,16,FALSE)*$Q125/100</f>
        <v>0</v>
      </c>
      <c r="AD125" s="583">
        <f>VLOOKUP($H125,Nutrition_tables!$A:$AF,17,FALSE)*$Q125/100</f>
        <v>0</v>
      </c>
      <c r="AE125" s="583">
        <f>VLOOKUP($H125,Nutrition_tables!$A:$AF,18,FALSE)*$Q125/100</f>
        <v>0</v>
      </c>
      <c r="AF125" s="583">
        <f>VLOOKUP($H125,Nutrition_tables!$A:$AF,19,FALSE)*$Q125/100</f>
        <v>0</v>
      </c>
      <c r="AG125" s="583">
        <f>VLOOKUP($H125,Nutrition_tables!$A:$AF,20,FALSE)*$Q125/100</f>
        <v>0</v>
      </c>
      <c r="AH125" s="583">
        <f>VLOOKUP($H125,Nutrition_tables!$A:$AF,21,FALSE)*$Q125/100</f>
        <v>0</v>
      </c>
      <c r="AI125" s="583">
        <f>VLOOKUP($H125,Nutrition_tables!$A:$AF,22,FALSE)*$Q125/100</f>
        <v>0</v>
      </c>
      <c r="AJ125" s="549">
        <f>VLOOKUP($H125,Nutrition_tables!$A:$AF,23,FALSE)*$Q125/100</f>
        <v>0</v>
      </c>
      <c r="AK125" s="583">
        <f>VLOOKUP($H125,Nutrition_tables!$A:$AF,24,FALSE)*$Q125/100</f>
        <v>0</v>
      </c>
      <c r="AL125" s="583">
        <f>VLOOKUP($H125,Nutrition_tables!$A:$AF,25,FALSE)*$Q125/100</f>
        <v>0</v>
      </c>
      <c r="AM125" s="583">
        <f>VLOOKUP($H125,Nutrition_tables!$A:$AF,26,FALSE)*$Q125/100</f>
        <v>0</v>
      </c>
      <c r="AN125" s="583">
        <f>VLOOKUP($H125,Nutrition_tables!$A:$AF,27,FALSE)*$Q125/100</f>
        <v>0</v>
      </c>
      <c r="AO125" s="583">
        <f>VLOOKUP($H125,Nutrition_tables!$A:$AF,28,FALSE)*$Q125/100</f>
        <v>0</v>
      </c>
      <c r="AP125" s="583">
        <f>VLOOKUP($H125,Nutrition_tables!$A:$AF,29,FALSE)*$Q125/100</f>
        <v>0</v>
      </c>
      <c r="AQ125" s="583">
        <f>VLOOKUP($H125,Nutrition_tables!$A:$AF,30,FALSE)*$Q125/100</f>
        <v>0</v>
      </c>
      <c r="AR125" s="583">
        <f>VLOOKUP($H125,Nutrition_tables!$A:$AF,31,FALSE)*$Q125/100</f>
        <v>0</v>
      </c>
      <c r="AS125" s="549">
        <f>VLOOKUP($H125,Nutrition_tables!$A:$AF,32,FALSE)*$Q125/100</f>
        <v>0</v>
      </c>
      <c r="AT125" s="583" t="str">
        <f>IF(H125="Select ingredient:","",IF(G125="Select food category:","",IFERROR(VLOOKUP($H125,Ingredient_prices!$E:$W,17,FALSE)*$Q125/1000,"not bought")))</f>
        <v/>
      </c>
      <c r="AU125" s="583" t="str">
        <f>IF(H125="Select ingredient:","",IF(G125="Select food category:","",IFERROR(VLOOKUP($H125,Ingredient_prices!$E:$W,18,FALSE)*$Q125/1000,"not bought")))</f>
        <v/>
      </c>
      <c r="AV125" s="583">
        <f t="shared" si="258"/>
        <v>0</v>
      </c>
      <c r="AW125" s="583">
        <f t="shared" si="259"/>
        <v>0</v>
      </c>
      <c r="AX125" s="583">
        <f t="shared" si="260"/>
        <v>0</v>
      </c>
      <c r="AY125" s="583">
        <f t="shared" si="261"/>
        <v>0</v>
      </c>
      <c r="AZ125" s="583">
        <f t="shared" si="262"/>
        <v>0</v>
      </c>
      <c r="BA125" s="583">
        <f t="shared" si="263"/>
        <v>0</v>
      </c>
      <c r="BB125" s="583">
        <f t="shared" si="264"/>
        <v>0</v>
      </c>
      <c r="BC125" s="583">
        <f t="shared" si="265"/>
        <v>0</v>
      </c>
      <c r="BD125" s="583">
        <f t="shared" ref="BD125:BJ129" si="283">AE125*($Q125-$R125)/($Q125+0.00001)</f>
        <v>0</v>
      </c>
      <c r="BE125" s="583">
        <f t="shared" si="283"/>
        <v>0</v>
      </c>
      <c r="BF125" s="583">
        <f t="shared" si="283"/>
        <v>0</v>
      </c>
      <c r="BG125" s="583">
        <f t="shared" si="283"/>
        <v>0</v>
      </c>
      <c r="BH125" s="583">
        <f t="shared" si="283"/>
        <v>0</v>
      </c>
      <c r="BI125" s="583">
        <f t="shared" si="283"/>
        <v>0</v>
      </c>
      <c r="BJ125" s="583">
        <f t="shared" si="283"/>
        <v>0</v>
      </c>
      <c r="BK125" s="583">
        <f t="shared" ref="BK125:BK129" si="284">AL125*($Q125-$R125)/($Q125+0.00001)</f>
        <v>0</v>
      </c>
      <c r="BL125" s="583">
        <f t="shared" ref="BL125:BR129" si="285">AM125*($Q125-$R125)/($Q125+0.00001)</f>
        <v>0</v>
      </c>
      <c r="BM125" s="583">
        <f t="shared" si="285"/>
        <v>0</v>
      </c>
      <c r="BN125" s="583">
        <f t="shared" si="285"/>
        <v>0</v>
      </c>
      <c r="BO125" s="583">
        <f t="shared" si="285"/>
        <v>0</v>
      </c>
      <c r="BP125" s="583">
        <f t="shared" si="285"/>
        <v>0</v>
      </c>
      <c r="BQ125" s="583">
        <f t="shared" si="285"/>
        <v>0</v>
      </c>
      <c r="BR125" s="583">
        <f t="shared" si="285"/>
        <v>0</v>
      </c>
    </row>
    <row r="126" spans="1:70" s="229" customFormat="1" ht="15" customHeight="1">
      <c r="A126" s="574"/>
      <c r="D126" s="85"/>
      <c r="E126" s="576">
        <f t="shared" si="282"/>
        <v>100</v>
      </c>
      <c r="F126" s="707"/>
      <c r="G126" s="406" t="s">
        <v>3054</v>
      </c>
      <c r="H126" s="1262" t="s">
        <v>3055</v>
      </c>
      <c r="I126" s="85">
        <v>0</v>
      </c>
      <c r="J126" s="682">
        <v>1</v>
      </c>
      <c r="K126" s="579" t="str">
        <f t="shared" si="256"/>
        <v/>
      </c>
      <c r="L126" s="580" t="str">
        <f>IF(H126="Select ingredient:","",IF(G126="","",_xlfn.IFNA(VLOOKUP($H126,Ingredient_prices!$E:$U,16,FALSE),0)))</f>
        <v/>
      </c>
      <c r="M126" s="840"/>
      <c r="N126" s="840"/>
      <c r="O126" s="581"/>
      <c r="P126" s="582"/>
      <c r="Q126" s="583">
        <f t="shared" si="257"/>
        <v>0</v>
      </c>
      <c r="R126" s="583">
        <f>VLOOKUP($H126,'CO2_emission+%_food_waste'!$A:$K,6,FALSE)*$Q126/100</f>
        <v>0</v>
      </c>
      <c r="S126" s="583">
        <f t="shared" si="281"/>
        <v>0</v>
      </c>
      <c r="T126" s="583" t="str">
        <f>IF(H126="Select ingredient:","",IF(G126="Select food category:","",_xlfn.IFNA(VLOOKUP($H126,Ingredient_prices!$E:$U,16,FALSE)*$Q126/1000,"not bought")))</f>
        <v/>
      </c>
      <c r="U126" s="583" t="str">
        <f>IF(G126="Select food category:","",_xlfn.IFNA(VLOOKUP($H126,Ingredient_prices!$E:$U,16,FALSE)*$R126/1000,"not bought"))</f>
        <v/>
      </c>
      <c r="V126" s="549">
        <f>VLOOKUP($H126,'CO2_emission+%_food_waste'!$A:$K,4,FALSE)*$Q126</f>
        <v>0</v>
      </c>
      <c r="W126" s="583">
        <f>VLOOKUP($H126,Nutrition_tables!$A:$N,10,FALSE)*$Q126/100</f>
        <v>0</v>
      </c>
      <c r="X126" s="583">
        <f>VLOOKUP($H126,Nutrition_tables!$A:$N,11,FALSE)*$Q126/100</f>
        <v>0</v>
      </c>
      <c r="Y126" s="583">
        <f>VLOOKUP($H126,Nutrition_tables!$A:$N,12,FALSE)*$Q126/100</f>
        <v>0</v>
      </c>
      <c r="Z126" s="583">
        <f>VLOOKUP($H126,Nutrition_tables!$A:$N,14,FALSE)*$Q126/100</f>
        <v>0</v>
      </c>
      <c r="AA126" s="583">
        <f>VLOOKUP($H126,Nutrition_tables!$A:$AF,13,FALSE)*$Q126/100</f>
        <v>0</v>
      </c>
      <c r="AB126" s="549">
        <f>VLOOKUP($H126,Nutrition_tables!$A:$AF,15,FALSE)*$Q126/100</f>
        <v>0</v>
      </c>
      <c r="AC126" s="583">
        <f>VLOOKUP($H126,Nutrition_tables!$A:$AF,16,FALSE)*$Q126/100</f>
        <v>0</v>
      </c>
      <c r="AD126" s="583">
        <f>VLOOKUP($H126,Nutrition_tables!$A:$AF,17,FALSE)*$Q126/100</f>
        <v>0</v>
      </c>
      <c r="AE126" s="583">
        <f>VLOOKUP($H126,Nutrition_tables!$A:$AF,18,FALSE)*$Q126/100</f>
        <v>0</v>
      </c>
      <c r="AF126" s="583">
        <f>VLOOKUP($H126,Nutrition_tables!$A:$AF,19,FALSE)*$Q126/100</f>
        <v>0</v>
      </c>
      <c r="AG126" s="583">
        <f>VLOOKUP($H126,Nutrition_tables!$A:$AF,20,FALSE)*$Q126/100</f>
        <v>0</v>
      </c>
      <c r="AH126" s="583">
        <f>VLOOKUP($H126,Nutrition_tables!$A:$AF,21,FALSE)*$Q126/100</f>
        <v>0</v>
      </c>
      <c r="AI126" s="583">
        <f>VLOOKUP($H126,Nutrition_tables!$A:$AF,22,FALSE)*$Q126/100</f>
        <v>0</v>
      </c>
      <c r="AJ126" s="549">
        <f>VLOOKUP($H126,Nutrition_tables!$A:$AF,23,FALSE)*$Q126/100</f>
        <v>0</v>
      </c>
      <c r="AK126" s="583">
        <f>VLOOKUP($H126,Nutrition_tables!$A:$AF,24,FALSE)*$Q126/100</f>
        <v>0</v>
      </c>
      <c r="AL126" s="583">
        <f>VLOOKUP($H126,Nutrition_tables!$A:$AF,25,FALSE)*$Q126/100</f>
        <v>0</v>
      </c>
      <c r="AM126" s="583">
        <f>VLOOKUP($H126,Nutrition_tables!$A:$AF,26,FALSE)*$Q126/100</f>
        <v>0</v>
      </c>
      <c r="AN126" s="583">
        <f>VLOOKUP($H126,Nutrition_tables!$A:$AF,27,FALSE)*$Q126/100</f>
        <v>0</v>
      </c>
      <c r="AO126" s="583">
        <f>VLOOKUP($H126,Nutrition_tables!$A:$AF,28,FALSE)*$Q126/100</f>
        <v>0</v>
      </c>
      <c r="AP126" s="583">
        <f>VLOOKUP($H126,Nutrition_tables!$A:$AF,29,FALSE)*$Q126/100</f>
        <v>0</v>
      </c>
      <c r="AQ126" s="583">
        <f>VLOOKUP($H126,Nutrition_tables!$A:$AF,30,FALSE)*$Q126/100</f>
        <v>0</v>
      </c>
      <c r="AR126" s="583">
        <f>VLOOKUP($H126,Nutrition_tables!$A:$AF,31,FALSE)*$Q126/100</f>
        <v>0</v>
      </c>
      <c r="AS126" s="549">
        <f>VLOOKUP($H126,Nutrition_tables!$A:$AF,32,FALSE)*$Q126/100</f>
        <v>0</v>
      </c>
      <c r="AT126" s="583" t="str">
        <f>IF(H126="Select ingredient:","",IF(G126="Select food category:","",IFERROR(VLOOKUP($H126,Ingredient_prices!$E:$W,17,FALSE)*$Q126/1000,"not bought")))</f>
        <v/>
      </c>
      <c r="AU126" s="583" t="str">
        <f>IF(H126="Select ingredient:","",IF(G126="Select food category:","",IFERROR(VLOOKUP($H126,Ingredient_prices!$E:$W,18,FALSE)*$Q126/1000,"not bought")))</f>
        <v/>
      </c>
      <c r="AV126" s="583">
        <f t="shared" si="258"/>
        <v>0</v>
      </c>
      <c r="AW126" s="583">
        <f t="shared" si="259"/>
        <v>0</v>
      </c>
      <c r="AX126" s="583">
        <f t="shared" si="260"/>
        <v>0</v>
      </c>
      <c r="AY126" s="583">
        <f t="shared" si="261"/>
        <v>0</v>
      </c>
      <c r="AZ126" s="583">
        <f t="shared" si="262"/>
        <v>0</v>
      </c>
      <c r="BA126" s="583">
        <f t="shared" si="263"/>
        <v>0</v>
      </c>
      <c r="BB126" s="583">
        <f t="shared" si="264"/>
        <v>0</v>
      </c>
      <c r="BC126" s="583">
        <f t="shared" si="265"/>
        <v>0</v>
      </c>
      <c r="BD126" s="583">
        <f t="shared" si="283"/>
        <v>0</v>
      </c>
      <c r="BE126" s="583">
        <f t="shared" si="283"/>
        <v>0</v>
      </c>
      <c r="BF126" s="583">
        <f t="shared" si="283"/>
        <v>0</v>
      </c>
      <c r="BG126" s="583">
        <f t="shared" si="283"/>
        <v>0</v>
      </c>
      <c r="BH126" s="583">
        <f t="shared" si="283"/>
        <v>0</v>
      </c>
      <c r="BI126" s="583">
        <f t="shared" si="283"/>
        <v>0</v>
      </c>
      <c r="BJ126" s="583">
        <f t="shared" si="283"/>
        <v>0</v>
      </c>
      <c r="BK126" s="583">
        <f t="shared" si="284"/>
        <v>0</v>
      </c>
      <c r="BL126" s="583">
        <f t="shared" si="285"/>
        <v>0</v>
      </c>
      <c r="BM126" s="583">
        <f t="shared" si="285"/>
        <v>0</v>
      </c>
      <c r="BN126" s="583">
        <f t="shared" si="285"/>
        <v>0</v>
      </c>
      <c r="BO126" s="583">
        <f t="shared" si="285"/>
        <v>0</v>
      </c>
      <c r="BP126" s="583">
        <f t="shared" si="285"/>
        <v>0</v>
      </c>
      <c r="BQ126" s="583">
        <f t="shared" si="285"/>
        <v>0</v>
      </c>
      <c r="BR126" s="583">
        <f t="shared" si="285"/>
        <v>0</v>
      </c>
    </row>
    <row r="127" spans="1:70" s="229" customFormat="1" ht="15" customHeight="1">
      <c r="A127" s="574"/>
      <c r="D127" s="85"/>
      <c r="E127" s="576">
        <f t="shared" si="282"/>
        <v>100</v>
      </c>
      <c r="F127" s="707"/>
      <c r="G127" s="406" t="s">
        <v>3054</v>
      </c>
      <c r="H127" s="1262" t="s">
        <v>3055</v>
      </c>
      <c r="I127" s="85">
        <v>0</v>
      </c>
      <c r="J127" s="682">
        <v>1</v>
      </c>
      <c r="K127" s="579" t="str">
        <f t="shared" si="256"/>
        <v/>
      </c>
      <c r="L127" s="580" t="str">
        <f>IF(H127="Select ingredient:","",IF(G127="","",_xlfn.IFNA(VLOOKUP($H127,Ingredient_prices!$E:$U,16,FALSE),0)))</f>
        <v/>
      </c>
      <c r="M127" s="840"/>
      <c r="N127" s="840"/>
      <c r="O127" s="581"/>
      <c r="P127" s="582"/>
      <c r="Q127" s="583">
        <f t="shared" si="257"/>
        <v>0</v>
      </c>
      <c r="R127" s="583">
        <f>VLOOKUP($H127,'CO2_emission+%_food_waste'!$A:$K,6,FALSE)*$Q127/100</f>
        <v>0</v>
      </c>
      <c r="S127" s="583">
        <f t="shared" si="281"/>
        <v>0</v>
      </c>
      <c r="T127" s="583" t="str">
        <f>IF(H127="Select ingredient:","",IF(G127="Select food category:","",_xlfn.IFNA(VLOOKUP($H127,Ingredient_prices!$E:$U,16,FALSE)*$Q127/1000,"not bought")))</f>
        <v/>
      </c>
      <c r="U127" s="583" t="str">
        <f>IF(G127="Select food category:","",_xlfn.IFNA(VLOOKUP($H127,Ingredient_prices!$E:$U,16,FALSE)*$R127/1000,"not bought"))</f>
        <v/>
      </c>
      <c r="V127" s="549">
        <f>VLOOKUP($H127,'CO2_emission+%_food_waste'!$A:$K,4,FALSE)*$Q127</f>
        <v>0</v>
      </c>
      <c r="W127" s="583">
        <f>VLOOKUP($H127,Nutrition_tables!$A:$N,10,FALSE)*$Q127/100</f>
        <v>0</v>
      </c>
      <c r="X127" s="583">
        <f>VLOOKUP($H127,Nutrition_tables!$A:$N,11,FALSE)*$Q127/100</f>
        <v>0</v>
      </c>
      <c r="Y127" s="583">
        <f>VLOOKUP($H127,Nutrition_tables!$A:$N,12,FALSE)*$Q127/100</f>
        <v>0</v>
      </c>
      <c r="Z127" s="583">
        <f>VLOOKUP($H127,Nutrition_tables!$A:$N,14,FALSE)*$Q127/100</f>
        <v>0</v>
      </c>
      <c r="AA127" s="583">
        <f>VLOOKUP($H127,Nutrition_tables!$A:$AF,13,FALSE)*$Q127/100</f>
        <v>0</v>
      </c>
      <c r="AB127" s="549">
        <f>VLOOKUP($H127,Nutrition_tables!$A:$AF,15,FALSE)*$Q127/100</f>
        <v>0</v>
      </c>
      <c r="AC127" s="583">
        <f>VLOOKUP($H127,Nutrition_tables!$A:$AF,16,FALSE)*$Q127/100</f>
        <v>0</v>
      </c>
      <c r="AD127" s="583">
        <f>VLOOKUP($H127,Nutrition_tables!$A:$AF,17,FALSE)*$Q127/100</f>
        <v>0</v>
      </c>
      <c r="AE127" s="583">
        <f>VLOOKUP($H127,Nutrition_tables!$A:$AF,18,FALSE)*$Q127/100</f>
        <v>0</v>
      </c>
      <c r="AF127" s="583">
        <f>VLOOKUP($H127,Nutrition_tables!$A:$AF,19,FALSE)*$Q127/100</f>
        <v>0</v>
      </c>
      <c r="AG127" s="583">
        <f>VLOOKUP($H127,Nutrition_tables!$A:$AF,20,FALSE)*$Q127/100</f>
        <v>0</v>
      </c>
      <c r="AH127" s="583">
        <f>VLOOKUP($H127,Nutrition_tables!$A:$AF,21,FALSE)*$Q127/100</f>
        <v>0</v>
      </c>
      <c r="AI127" s="583">
        <f>VLOOKUP($H127,Nutrition_tables!$A:$AF,22,FALSE)*$Q127/100</f>
        <v>0</v>
      </c>
      <c r="AJ127" s="549">
        <f>VLOOKUP($H127,Nutrition_tables!$A:$AF,23,FALSE)*$Q127/100</f>
        <v>0</v>
      </c>
      <c r="AK127" s="583">
        <f>VLOOKUP($H127,Nutrition_tables!$A:$AF,24,FALSE)*$Q127/100</f>
        <v>0</v>
      </c>
      <c r="AL127" s="583">
        <f>VLOOKUP($H127,Nutrition_tables!$A:$AF,25,FALSE)*$Q127/100</f>
        <v>0</v>
      </c>
      <c r="AM127" s="583">
        <f>VLOOKUP($H127,Nutrition_tables!$A:$AF,26,FALSE)*$Q127/100</f>
        <v>0</v>
      </c>
      <c r="AN127" s="583">
        <f>VLOOKUP($H127,Nutrition_tables!$A:$AF,27,FALSE)*$Q127/100</f>
        <v>0</v>
      </c>
      <c r="AO127" s="583">
        <f>VLOOKUP($H127,Nutrition_tables!$A:$AF,28,FALSE)*$Q127/100</f>
        <v>0</v>
      </c>
      <c r="AP127" s="583">
        <f>VLOOKUP($H127,Nutrition_tables!$A:$AF,29,FALSE)*$Q127/100</f>
        <v>0</v>
      </c>
      <c r="AQ127" s="583">
        <f>VLOOKUP($H127,Nutrition_tables!$A:$AF,30,FALSE)*$Q127/100</f>
        <v>0</v>
      </c>
      <c r="AR127" s="583">
        <f>VLOOKUP($H127,Nutrition_tables!$A:$AF,31,FALSE)*$Q127/100</f>
        <v>0</v>
      </c>
      <c r="AS127" s="549">
        <f>VLOOKUP($H127,Nutrition_tables!$A:$AF,32,FALSE)*$Q127/100</f>
        <v>0</v>
      </c>
      <c r="AT127" s="583" t="str">
        <f>IF(H127="Select ingredient:","",IF(G127="Select food category:","",IFERROR(VLOOKUP($H127,Ingredient_prices!$E:$W,17,FALSE)*$Q127/1000,"not bought")))</f>
        <v/>
      </c>
      <c r="AU127" s="583" t="str">
        <f>IF(H127="Select ingredient:","",IF(G127="Select food category:","",IFERROR(VLOOKUP($H127,Ingredient_prices!$E:$W,18,FALSE)*$Q127/1000,"not bought")))</f>
        <v/>
      </c>
      <c r="AV127" s="583">
        <f t="shared" si="258"/>
        <v>0</v>
      </c>
      <c r="AW127" s="583">
        <f t="shared" si="259"/>
        <v>0</v>
      </c>
      <c r="AX127" s="583">
        <f t="shared" si="260"/>
        <v>0</v>
      </c>
      <c r="AY127" s="583">
        <f t="shared" si="261"/>
        <v>0</v>
      </c>
      <c r="AZ127" s="583">
        <f t="shared" si="262"/>
        <v>0</v>
      </c>
      <c r="BA127" s="583">
        <f t="shared" si="263"/>
        <v>0</v>
      </c>
      <c r="BB127" s="583">
        <f t="shared" si="264"/>
        <v>0</v>
      </c>
      <c r="BC127" s="583">
        <f t="shared" si="265"/>
        <v>0</v>
      </c>
      <c r="BD127" s="583">
        <f t="shared" si="283"/>
        <v>0</v>
      </c>
      <c r="BE127" s="583">
        <f t="shared" si="283"/>
        <v>0</v>
      </c>
      <c r="BF127" s="583">
        <f t="shared" si="283"/>
        <v>0</v>
      </c>
      <c r="BG127" s="583">
        <f t="shared" si="283"/>
        <v>0</v>
      </c>
      <c r="BH127" s="583">
        <f t="shared" si="283"/>
        <v>0</v>
      </c>
      <c r="BI127" s="583">
        <f t="shared" si="283"/>
        <v>0</v>
      </c>
      <c r="BJ127" s="583">
        <f t="shared" si="283"/>
        <v>0</v>
      </c>
      <c r="BK127" s="583">
        <f t="shared" si="284"/>
        <v>0</v>
      </c>
      <c r="BL127" s="583">
        <f t="shared" si="285"/>
        <v>0</v>
      </c>
      <c r="BM127" s="583">
        <f t="shared" si="285"/>
        <v>0</v>
      </c>
      <c r="BN127" s="583">
        <f t="shared" si="285"/>
        <v>0</v>
      </c>
      <c r="BO127" s="583">
        <f t="shared" si="285"/>
        <v>0</v>
      </c>
      <c r="BP127" s="583">
        <f t="shared" si="285"/>
        <v>0</v>
      </c>
      <c r="BQ127" s="583">
        <f t="shared" si="285"/>
        <v>0</v>
      </c>
      <c r="BR127" s="583">
        <f t="shared" si="285"/>
        <v>0</v>
      </c>
    </row>
    <row r="128" spans="1:70" s="229" customFormat="1" ht="15" customHeight="1">
      <c r="A128" s="574"/>
      <c r="D128" s="85"/>
      <c r="E128" s="576">
        <f t="shared" si="282"/>
        <v>100</v>
      </c>
      <c r="F128" s="707"/>
      <c r="G128" s="406" t="s">
        <v>3054</v>
      </c>
      <c r="H128" s="1262" t="s">
        <v>3055</v>
      </c>
      <c r="I128" s="85">
        <v>0</v>
      </c>
      <c r="J128" s="682">
        <v>1</v>
      </c>
      <c r="K128" s="579" t="str">
        <f t="shared" si="256"/>
        <v/>
      </c>
      <c r="L128" s="580" t="str">
        <f>IF(H128="Select ingredient:","",IF(G128="","",_xlfn.IFNA(VLOOKUP($H128,Ingredient_prices!$E:$U,16,FALSE),0)))</f>
        <v/>
      </c>
      <c r="M128" s="840"/>
      <c r="N128" s="840"/>
      <c r="O128" s="581"/>
      <c r="P128" s="582"/>
      <c r="Q128" s="583">
        <f t="shared" si="257"/>
        <v>0</v>
      </c>
      <c r="R128" s="583">
        <f>VLOOKUP($H128,'CO2_emission+%_food_waste'!$A:$K,6,FALSE)*$Q128/100</f>
        <v>0</v>
      </c>
      <c r="S128" s="583">
        <f t="shared" si="281"/>
        <v>0</v>
      </c>
      <c r="T128" s="583" t="str">
        <f>IF(H128="Select ingredient:","",IF(G128="Select food category:","",_xlfn.IFNA(VLOOKUP($H128,Ingredient_prices!$E:$U,16,FALSE)*$Q128/1000,"not bought")))</f>
        <v/>
      </c>
      <c r="U128" s="583" t="str">
        <f>IF(G128="Select food category:","",_xlfn.IFNA(VLOOKUP($H128,Ingredient_prices!$E:$U,16,FALSE)*$R128/1000,"not bought"))</f>
        <v/>
      </c>
      <c r="V128" s="549">
        <f>VLOOKUP($H128,'CO2_emission+%_food_waste'!$A:$K,4,FALSE)*$Q128</f>
        <v>0</v>
      </c>
      <c r="W128" s="583">
        <f>VLOOKUP($H128,Nutrition_tables!$A:$N,10,FALSE)*$Q128/100</f>
        <v>0</v>
      </c>
      <c r="X128" s="583">
        <f>VLOOKUP($H128,Nutrition_tables!$A:$N,11,FALSE)*$Q128/100</f>
        <v>0</v>
      </c>
      <c r="Y128" s="583">
        <f>VLOOKUP($H128,Nutrition_tables!$A:$N,12,FALSE)*$Q128/100</f>
        <v>0</v>
      </c>
      <c r="Z128" s="583">
        <f>VLOOKUP($H128,Nutrition_tables!$A:$N,14,FALSE)*$Q128/100</f>
        <v>0</v>
      </c>
      <c r="AA128" s="583">
        <f>VLOOKUP($H128,Nutrition_tables!$A:$AF,13,FALSE)*$Q128/100</f>
        <v>0</v>
      </c>
      <c r="AB128" s="549">
        <f>VLOOKUP($H128,Nutrition_tables!$A:$AF,15,FALSE)*$Q128/100</f>
        <v>0</v>
      </c>
      <c r="AC128" s="583">
        <f>VLOOKUP($H128,Nutrition_tables!$A:$AF,16,FALSE)*$Q128/100</f>
        <v>0</v>
      </c>
      <c r="AD128" s="583">
        <f>VLOOKUP($H128,Nutrition_tables!$A:$AF,17,FALSE)*$Q128/100</f>
        <v>0</v>
      </c>
      <c r="AE128" s="583">
        <f>VLOOKUP($H128,Nutrition_tables!$A:$AF,18,FALSE)*$Q128/100</f>
        <v>0</v>
      </c>
      <c r="AF128" s="583">
        <f>VLOOKUP($H128,Nutrition_tables!$A:$AF,19,FALSE)*$Q128/100</f>
        <v>0</v>
      </c>
      <c r="AG128" s="583">
        <f>VLOOKUP($H128,Nutrition_tables!$A:$AF,20,FALSE)*$Q128/100</f>
        <v>0</v>
      </c>
      <c r="AH128" s="583">
        <f>VLOOKUP($H128,Nutrition_tables!$A:$AF,21,FALSE)*$Q128/100</f>
        <v>0</v>
      </c>
      <c r="AI128" s="583">
        <f>VLOOKUP($H128,Nutrition_tables!$A:$AF,22,FALSE)*$Q128/100</f>
        <v>0</v>
      </c>
      <c r="AJ128" s="549">
        <f>VLOOKUP($H128,Nutrition_tables!$A:$AF,23,FALSE)*$Q128/100</f>
        <v>0</v>
      </c>
      <c r="AK128" s="583">
        <f>VLOOKUP($H128,Nutrition_tables!$A:$AF,24,FALSE)*$Q128/100</f>
        <v>0</v>
      </c>
      <c r="AL128" s="583">
        <f>VLOOKUP($H128,Nutrition_tables!$A:$AF,25,FALSE)*$Q128/100</f>
        <v>0</v>
      </c>
      <c r="AM128" s="583">
        <f>VLOOKUP($H128,Nutrition_tables!$A:$AF,26,FALSE)*$Q128/100</f>
        <v>0</v>
      </c>
      <c r="AN128" s="583">
        <f>VLOOKUP($H128,Nutrition_tables!$A:$AF,27,FALSE)*$Q128/100</f>
        <v>0</v>
      </c>
      <c r="AO128" s="583">
        <f>VLOOKUP($H128,Nutrition_tables!$A:$AF,28,FALSE)*$Q128/100</f>
        <v>0</v>
      </c>
      <c r="AP128" s="583">
        <f>VLOOKUP($H128,Nutrition_tables!$A:$AF,29,FALSE)*$Q128/100</f>
        <v>0</v>
      </c>
      <c r="AQ128" s="583">
        <f>VLOOKUP($H128,Nutrition_tables!$A:$AF,30,FALSE)*$Q128/100</f>
        <v>0</v>
      </c>
      <c r="AR128" s="583">
        <f>VLOOKUP($H128,Nutrition_tables!$A:$AF,31,FALSE)*$Q128/100</f>
        <v>0</v>
      </c>
      <c r="AS128" s="549">
        <f>VLOOKUP($H128,Nutrition_tables!$A:$AF,32,FALSE)*$Q128/100</f>
        <v>0</v>
      </c>
      <c r="AT128" s="583" t="str">
        <f>IF(H128="Select ingredient:","",IF(G128="Select food category:","",IFERROR(VLOOKUP($H128,Ingredient_prices!$E:$W,17,FALSE)*$Q128/1000,"not bought")))</f>
        <v/>
      </c>
      <c r="AU128" s="583" t="str">
        <f>IF(H128="Select ingredient:","",IF(G128="Select food category:","",IFERROR(VLOOKUP($H128,Ingredient_prices!$E:$W,18,FALSE)*$Q128/1000,"not bought")))</f>
        <v/>
      </c>
      <c r="AV128" s="583">
        <f t="shared" si="258"/>
        <v>0</v>
      </c>
      <c r="AW128" s="583">
        <f t="shared" si="259"/>
        <v>0</v>
      </c>
      <c r="AX128" s="583">
        <f t="shared" si="260"/>
        <v>0</v>
      </c>
      <c r="AY128" s="583">
        <f t="shared" si="261"/>
        <v>0</v>
      </c>
      <c r="AZ128" s="583">
        <f t="shared" si="262"/>
        <v>0</v>
      </c>
      <c r="BA128" s="583">
        <f t="shared" si="263"/>
        <v>0</v>
      </c>
      <c r="BB128" s="583">
        <f t="shared" si="264"/>
        <v>0</v>
      </c>
      <c r="BC128" s="583">
        <f t="shared" si="265"/>
        <v>0</v>
      </c>
      <c r="BD128" s="583">
        <f t="shared" si="283"/>
        <v>0</v>
      </c>
      <c r="BE128" s="583">
        <f t="shared" si="283"/>
        <v>0</v>
      </c>
      <c r="BF128" s="583">
        <f t="shared" si="283"/>
        <v>0</v>
      </c>
      <c r="BG128" s="583">
        <f t="shared" si="283"/>
        <v>0</v>
      </c>
      <c r="BH128" s="583">
        <f t="shared" si="283"/>
        <v>0</v>
      </c>
      <c r="BI128" s="583">
        <f t="shared" si="283"/>
        <v>0</v>
      </c>
      <c r="BJ128" s="583">
        <f t="shared" si="283"/>
        <v>0</v>
      </c>
      <c r="BK128" s="583">
        <f t="shared" si="284"/>
        <v>0</v>
      </c>
      <c r="BL128" s="583">
        <f t="shared" si="285"/>
        <v>0</v>
      </c>
      <c r="BM128" s="583">
        <f t="shared" si="285"/>
        <v>0</v>
      </c>
      <c r="BN128" s="583">
        <f t="shared" si="285"/>
        <v>0</v>
      </c>
      <c r="BO128" s="583">
        <f t="shared" si="285"/>
        <v>0</v>
      </c>
      <c r="BP128" s="583">
        <f t="shared" si="285"/>
        <v>0</v>
      </c>
      <c r="BQ128" s="583">
        <f t="shared" si="285"/>
        <v>0</v>
      </c>
      <c r="BR128" s="583">
        <f t="shared" si="285"/>
        <v>0</v>
      </c>
    </row>
    <row r="129" spans="1:70" s="229" customFormat="1" ht="15" customHeight="1">
      <c r="A129" s="574"/>
      <c r="D129" s="85"/>
      <c r="E129" s="576">
        <f t="shared" si="282"/>
        <v>100</v>
      </c>
      <c r="F129" s="707"/>
      <c r="G129" s="406" t="s">
        <v>3054</v>
      </c>
      <c r="H129" s="1262" t="s">
        <v>3055</v>
      </c>
      <c r="I129" s="85">
        <v>0</v>
      </c>
      <c r="J129" s="682">
        <v>1</v>
      </c>
      <c r="K129" s="579" t="str">
        <f t="shared" si="256"/>
        <v/>
      </c>
      <c r="L129" s="580" t="str">
        <f>IF(H129="Select ingredient:","",IF(G129="","",_xlfn.IFNA(VLOOKUP($H129,Ingredient_prices!$E:$U,16,FALSE),0)))</f>
        <v/>
      </c>
      <c r="M129" s="840"/>
      <c r="N129" s="840"/>
      <c r="O129" s="581"/>
      <c r="P129" s="582"/>
      <c r="Q129" s="583">
        <f t="shared" si="257"/>
        <v>0</v>
      </c>
      <c r="R129" s="583">
        <f>VLOOKUP($H129,'CO2_emission+%_food_waste'!$A:$K,6,FALSE)*$Q129/100</f>
        <v>0</v>
      </c>
      <c r="S129" s="583">
        <f t="shared" si="281"/>
        <v>0</v>
      </c>
      <c r="T129" s="583" t="str">
        <f>IF(H129="Select ingredient:","",IF(G129="Select food category:","",_xlfn.IFNA(VLOOKUP($H129,Ingredient_prices!$E:$U,16,FALSE)*$Q129/1000,"not bought")))</f>
        <v/>
      </c>
      <c r="U129" s="583" t="str">
        <f>IF(G129="Select food category:","",_xlfn.IFNA(VLOOKUP($H129,Ingredient_prices!$E:$U,16,FALSE)*$R129/1000,"not bought"))</f>
        <v/>
      </c>
      <c r="V129" s="549">
        <f>VLOOKUP($H129,'CO2_emission+%_food_waste'!$A:$K,4,FALSE)*$Q129</f>
        <v>0</v>
      </c>
      <c r="W129" s="583">
        <f>VLOOKUP($H129,Nutrition_tables!$A:$N,10,FALSE)*$Q129/100</f>
        <v>0</v>
      </c>
      <c r="X129" s="583">
        <f>VLOOKUP($H129,Nutrition_tables!$A:$N,11,FALSE)*$Q129/100</f>
        <v>0</v>
      </c>
      <c r="Y129" s="583">
        <f>VLOOKUP($H129,Nutrition_tables!$A:$N,12,FALSE)*$Q129/100</f>
        <v>0</v>
      </c>
      <c r="Z129" s="583">
        <f>VLOOKUP($H129,Nutrition_tables!$A:$N,14,FALSE)*$Q129/100</f>
        <v>0</v>
      </c>
      <c r="AA129" s="583">
        <f>VLOOKUP($H129,Nutrition_tables!$A:$AF,13,FALSE)*$Q129/100</f>
        <v>0</v>
      </c>
      <c r="AB129" s="549">
        <f>VLOOKUP($H129,Nutrition_tables!$A:$AF,15,FALSE)*$Q129/100</f>
        <v>0</v>
      </c>
      <c r="AC129" s="583">
        <f>VLOOKUP($H129,Nutrition_tables!$A:$AF,16,FALSE)*$Q129/100</f>
        <v>0</v>
      </c>
      <c r="AD129" s="583">
        <f>VLOOKUP($H129,Nutrition_tables!$A:$AF,17,FALSE)*$Q129/100</f>
        <v>0</v>
      </c>
      <c r="AE129" s="583">
        <f>VLOOKUP($H129,Nutrition_tables!$A:$AF,18,FALSE)*$Q129/100</f>
        <v>0</v>
      </c>
      <c r="AF129" s="583">
        <f>VLOOKUP($H129,Nutrition_tables!$A:$AF,19,FALSE)*$Q129/100</f>
        <v>0</v>
      </c>
      <c r="AG129" s="583">
        <f>VLOOKUP($H129,Nutrition_tables!$A:$AF,20,FALSE)*$Q129/100</f>
        <v>0</v>
      </c>
      <c r="AH129" s="583">
        <f>VLOOKUP($H129,Nutrition_tables!$A:$AF,21,FALSE)*$Q129/100</f>
        <v>0</v>
      </c>
      <c r="AI129" s="583">
        <f>VLOOKUP($H129,Nutrition_tables!$A:$AF,22,FALSE)*$Q129/100</f>
        <v>0</v>
      </c>
      <c r="AJ129" s="549">
        <f>VLOOKUP($H129,Nutrition_tables!$A:$AF,23,FALSE)*$Q129/100</f>
        <v>0</v>
      </c>
      <c r="AK129" s="583">
        <f>VLOOKUP($H129,Nutrition_tables!$A:$AF,24,FALSE)*$Q129/100</f>
        <v>0</v>
      </c>
      <c r="AL129" s="583">
        <f>VLOOKUP($H129,Nutrition_tables!$A:$AF,25,FALSE)*$Q129/100</f>
        <v>0</v>
      </c>
      <c r="AM129" s="583">
        <f>VLOOKUP($H129,Nutrition_tables!$A:$AF,26,FALSE)*$Q129/100</f>
        <v>0</v>
      </c>
      <c r="AN129" s="583">
        <f>VLOOKUP($H129,Nutrition_tables!$A:$AF,27,FALSE)*$Q129/100</f>
        <v>0</v>
      </c>
      <c r="AO129" s="583">
        <f>VLOOKUP($H129,Nutrition_tables!$A:$AF,28,FALSE)*$Q129/100</f>
        <v>0</v>
      </c>
      <c r="AP129" s="583">
        <f>VLOOKUP($H129,Nutrition_tables!$A:$AF,29,FALSE)*$Q129/100</f>
        <v>0</v>
      </c>
      <c r="AQ129" s="583">
        <f>VLOOKUP($H129,Nutrition_tables!$A:$AF,30,FALSE)*$Q129/100</f>
        <v>0</v>
      </c>
      <c r="AR129" s="583">
        <f>VLOOKUP($H129,Nutrition_tables!$A:$AF,31,FALSE)*$Q129/100</f>
        <v>0</v>
      </c>
      <c r="AS129" s="549">
        <f>VLOOKUP($H129,Nutrition_tables!$A:$AF,32,FALSE)*$Q129/100</f>
        <v>0</v>
      </c>
      <c r="AT129" s="583" t="str">
        <f>IF(H129="Select ingredient:","",IF(G129="Select food category:","",IFERROR(VLOOKUP($H129,Ingredient_prices!$E:$W,17,FALSE)*$Q129/1000,"not bought")))</f>
        <v/>
      </c>
      <c r="AU129" s="583" t="str">
        <f>IF(H129="Select ingredient:","",IF(G129="Select food category:","",IFERROR(VLOOKUP($H129,Ingredient_prices!$E:$W,18,FALSE)*$Q129/1000,"not bought")))</f>
        <v/>
      </c>
      <c r="AV129" s="583">
        <f t="shared" si="258"/>
        <v>0</v>
      </c>
      <c r="AW129" s="583">
        <f t="shared" si="259"/>
        <v>0</v>
      </c>
      <c r="AX129" s="583">
        <f t="shared" si="260"/>
        <v>0</v>
      </c>
      <c r="AY129" s="583">
        <f t="shared" si="261"/>
        <v>0</v>
      </c>
      <c r="AZ129" s="583">
        <f t="shared" si="262"/>
        <v>0</v>
      </c>
      <c r="BA129" s="583">
        <f t="shared" si="263"/>
        <v>0</v>
      </c>
      <c r="BB129" s="583">
        <f t="shared" si="264"/>
        <v>0</v>
      </c>
      <c r="BC129" s="583">
        <f t="shared" si="265"/>
        <v>0</v>
      </c>
      <c r="BD129" s="583">
        <f t="shared" si="283"/>
        <v>0</v>
      </c>
      <c r="BE129" s="583">
        <f t="shared" si="283"/>
        <v>0</v>
      </c>
      <c r="BF129" s="583">
        <f t="shared" si="283"/>
        <v>0</v>
      </c>
      <c r="BG129" s="583">
        <f t="shared" si="283"/>
        <v>0</v>
      </c>
      <c r="BH129" s="583">
        <f t="shared" si="283"/>
        <v>0</v>
      </c>
      <c r="BI129" s="583">
        <f t="shared" si="283"/>
        <v>0</v>
      </c>
      <c r="BJ129" s="583">
        <f t="shared" si="283"/>
        <v>0</v>
      </c>
      <c r="BK129" s="583">
        <f t="shared" si="284"/>
        <v>0</v>
      </c>
      <c r="BL129" s="583">
        <f t="shared" si="285"/>
        <v>0</v>
      </c>
      <c r="BM129" s="583">
        <f t="shared" si="285"/>
        <v>0</v>
      </c>
      <c r="BN129" s="583">
        <f t="shared" si="285"/>
        <v>0</v>
      </c>
      <c r="BO129" s="583">
        <f t="shared" si="285"/>
        <v>0</v>
      </c>
      <c r="BP129" s="583">
        <f t="shared" si="285"/>
        <v>0</v>
      </c>
      <c r="BQ129" s="583">
        <f t="shared" si="285"/>
        <v>0</v>
      </c>
      <c r="BR129" s="583">
        <f t="shared" si="285"/>
        <v>0</v>
      </c>
    </row>
    <row r="130" spans="1:70" s="603" customFormat="1" ht="56">
      <c r="A130" s="574"/>
      <c r="B130" s="593"/>
      <c r="C130" s="522"/>
      <c r="D130" s="141"/>
      <c r="E130" s="594"/>
      <c r="F130" s="708"/>
      <c r="G130" s="522"/>
      <c r="H130" s="522"/>
      <c r="I130" s="141"/>
      <c r="J130" s="141"/>
      <c r="K130" s="141"/>
      <c r="L130" s="596"/>
      <c r="M130" s="841"/>
      <c r="N130" s="841"/>
      <c r="O130" s="581"/>
      <c r="P130" s="627"/>
      <c r="Q130" s="599" t="s">
        <v>384</v>
      </c>
      <c r="R130" s="600" t="s">
        <v>455</v>
      </c>
      <c r="S130" s="600" t="s">
        <v>2087</v>
      </c>
      <c r="T130" s="600" t="s">
        <v>456</v>
      </c>
      <c r="U130" s="600" t="s">
        <v>535</v>
      </c>
      <c r="V130" s="601" t="s">
        <v>457</v>
      </c>
      <c r="W130" s="600" t="s">
        <v>75</v>
      </c>
      <c r="X130" s="600" t="s">
        <v>385</v>
      </c>
      <c r="Y130" s="600" t="s">
        <v>386</v>
      </c>
      <c r="Z130" s="600" t="s">
        <v>387</v>
      </c>
      <c r="AA130" s="600" t="s">
        <v>388</v>
      </c>
      <c r="AB130" s="601" t="s">
        <v>389</v>
      </c>
      <c r="AC130" s="602" t="s">
        <v>390</v>
      </c>
      <c r="AD130" s="600" t="s">
        <v>391</v>
      </c>
      <c r="AE130" s="600" t="s">
        <v>392</v>
      </c>
      <c r="AF130" s="600" t="s">
        <v>393</v>
      </c>
      <c r="AG130" s="600" t="s">
        <v>394</v>
      </c>
      <c r="AH130" s="600" t="s">
        <v>395</v>
      </c>
      <c r="AI130" s="600" t="s">
        <v>396</v>
      </c>
      <c r="AJ130" s="601" t="s">
        <v>397</v>
      </c>
      <c r="AK130" s="602" t="s">
        <v>398</v>
      </c>
      <c r="AL130" s="600" t="s">
        <v>399</v>
      </c>
      <c r="AM130" s="600" t="s">
        <v>400</v>
      </c>
      <c r="AN130" s="600" t="s">
        <v>401</v>
      </c>
      <c r="AO130" s="600" t="s">
        <v>402</v>
      </c>
      <c r="AP130" s="600" t="s">
        <v>406</v>
      </c>
      <c r="AQ130" s="600" t="s">
        <v>405</v>
      </c>
      <c r="AR130" s="600" t="s">
        <v>403</v>
      </c>
      <c r="AS130" s="601" t="s">
        <v>404</v>
      </c>
      <c r="AT130" s="593"/>
      <c r="AU130" s="593"/>
    </row>
    <row r="131" spans="1:70" s="229" customFormat="1">
      <c r="A131" s="574"/>
      <c r="B131" s="522"/>
      <c r="C131" s="522"/>
      <c r="D131" s="141"/>
      <c r="E131" s="594"/>
      <c r="F131" s="708"/>
      <c r="G131" s="522"/>
      <c r="H131" s="593"/>
      <c r="I131" s="141"/>
      <c r="J131" s="141"/>
      <c r="K131" s="141"/>
      <c r="L131" s="604"/>
      <c r="M131" s="581"/>
      <c r="N131" s="581"/>
      <c r="O131" s="581"/>
      <c r="P131" s="628" t="s">
        <v>383</v>
      </c>
      <c r="Q131" s="583">
        <f>SUM(Q110:Q129)</f>
        <v>0</v>
      </c>
      <c r="R131" s="583">
        <f t="shared" ref="R131:V131" si="286">SUM(R110:R129)</f>
        <v>0</v>
      </c>
      <c r="S131" s="583">
        <f>SUM(S110:S129)</f>
        <v>0</v>
      </c>
      <c r="T131" s="583">
        <f t="shared" ref="T131:U131" si="287">SUM(T110:T129)</f>
        <v>0</v>
      </c>
      <c r="U131" s="583">
        <f t="shared" si="287"/>
        <v>0</v>
      </c>
      <c r="V131" s="549">
        <f t="shared" si="286"/>
        <v>0</v>
      </c>
      <c r="W131" s="583">
        <f t="shared" ref="W131:AU131" si="288">SUM(W110:W129)</f>
        <v>0</v>
      </c>
      <c r="X131" s="583">
        <f t="shared" si="288"/>
        <v>0</v>
      </c>
      <c r="Y131" s="583">
        <f t="shared" si="288"/>
        <v>0</v>
      </c>
      <c r="Z131" s="583">
        <f t="shared" si="288"/>
        <v>0</v>
      </c>
      <c r="AA131" s="583">
        <f t="shared" si="288"/>
        <v>0</v>
      </c>
      <c r="AB131" s="549">
        <f t="shared" si="288"/>
        <v>0</v>
      </c>
      <c r="AC131" s="583">
        <f t="shared" si="288"/>
        <v>0</v>
      </c>
      <c r="AD131" s="583">
        <f t="shared" si="288"/>
        <v>0</v>
      </c>
      <c r="AE131" s="583">
        <f t="shared" si="288"/>
        <v>0</v>
      </c>
      <c r="AF131" s="583">
        <f t="shared" si="288"/>
        <v>0</v>
      </c>
      <c r="AG131" s="583">
        <f t="shared" si="288"/>
        <v>0</v>
      </c>
      <c r="AH131" s="583">
        <f t="shared" si="288"/>
        <v>0</v>
      </c>
      <c r="AI131" s="583">
        <f t="shared" si="288"/>
        <v>0</v>
      </c>
      <c r="AJ131" s="549">
        <f t="shared" si="288"/>
        <v>0</v>
      </c>
      <c r="AK131" s="583">
        <f t="shared" si="288"/>
        <v>0</v>
      </c>
      <c r="AL131" s="583">
        <f t="shared" si="288"/>
        <v>0</v>
      </c>
      <c r="AM131" s="583">
        <f t="shared" si="288"/>
        <v>0</v>
      </c>
      <c r="AN131" s="583">
        <f t="shared" si="288"/>
        <v>0</v>
      </c>
      <c r="AO131" s="583">
        <f t="shared" si="288"/>
        <v>0</v>
      </c>
      <c r="AP131" s="583">
        <f t="shared" si="288"/>
        <v>0</v>
      </c>
      <c r="AQ131" s="583">
        <f t="shared" si="288"/>
        <v>0</v>
      </c>
      <c r="AR131" s="583">
        <f t="shared" si="288"/>
        <v>0</v>
      </c>
      <c r="AS131" s="549">
        <f t="shared" si="288"/>
        <v>0</v>
      </c>
      <c r="AT131" s="583">
        <f t="shared" si="288"/>
        <v>0</v>
      </c>
      <c r="AU131" s="583">
        <f t="shared" si="288"/>
        <v>0</v>
      </c>
      <c r="AV131" s="549">
        <f t="shared" ref="AV131:BR131" si="289">SUM(AV110:AV129)</f>
        <v>0</v>
      </c>
      <c r="AW131" s="549">
        <f t="shared" si="289"/>
        <v>0</v>
      </c>
      <c r="AX131" s="549">
        <f t="shared" si="289"/>
        <v>0</v>
      </c>
      <c r="AY131" s="549">
        <f t="shared" si="289"/>
        <v>0</v>
      </c>
      <c r="AZ131" s="549">
        <f t="shared" si="289"/>
        <v>0</v>
      </c>
      <c r="BA131" s="549">
        <f t="shared" si="289"/>
        <v>0</v>
      </c>
      <c r="BB131" s="549">
        <f t="shared" si="289"/>
        <v>0</v>
      </c>
      <c r="BC131" s="549">
        <f t="shared" si="289"/>
        <v>0</v>
      </c>
      <c r="BD131" s="549">
        <f t="shared" si="289"/>
        <v>0</v>
      </c>
      <c r="BE131" s="549">
        <f t="shared" si="289"/>
        <v>0</v>
      </c>
      <c r="BF131" s="549">
        <f t="shared" si="289"/>
        <v>0</v>
      </c>
      <c r="BG131" s="549">
        <f t="shared" si="289"/>
        <v>0</v>
      </c>
      <c r="BH131" s="549">
        <f t="shared" si="289"/>
        <v>0</v>
      </c>
      <c r="BI131" s="549">
        <f t="shared" si="289"/>
        <v>0</v>
      </c>
      <c r="BJ131" s="549">
        <f t="shared" si="289"/>
        <v>0</v>
      </c>
      <c r="BK131" s="549">
        <f t="shared" si="289"/>
        <v>0</v>
      </c>
      <c r="BL131" s="549">
        <f t="shared" si="289"/>
        <v>0</v>
      </c>
      <c r="BM131" s="549">
        <f t="shared" si="289"/>
        <v>0</v>
      </c>
      <c r="BN131" s="549">
        <f t="shared" si="289"/>
        <v>0</v>
      </c>
      <c r="BO131" s="549">
        <f t="shared" si="289"/>
        <v>0</v>
      </c>
      <c r="BP131" s="549">
        <f t="shared" si="289"/>
        <v>0</v>
      </c>
      <c r="BQ131" s="549">
        <f t="shared" si="289"/>
        <v>0</v>
      </c>
      <c r="BR131" s="549">
        <f t="shared" si="289"/>
        <v>0</v>
      </c>
    </row>
    <row r="132" spans="1:70" s="229" customFormat="1">
      <c r="A132" s="574"/>
      <c r="B132" s="522"/>
      <c r="C132" s="522"/>
      <c r="D132" s="141"/>
      <c r="E132" s="594"/>
      <c r="F132" s="708"/>
      <c r="G132" s="522"/>
      <c r="H132" s="593"/>
      <c r="I132" s="141"/>
      <c r="J132" s="141"/>
      <c r="K132" s="141"/>
      <c r="L132" s="604"/>
      <c r="M132" s="581"/>
      <c r="N132" s="581"/>
      <c r="O132" s="581"/>
      <c r="P132" s="628" t="s">
        <v>538</v>
      </c>
      <c r="V132" s="526"/>
      <c r="W132" s="229">
        <v>649.25</v>
      </c>
      <c r="X132" s="229">
        <v>81.199999999999989</v>
      </c>
      <c r="Y132" s="229">
        <v>20.299999999999997</v>
      </c>
      <c r="Z132" s="229">
        <v>21.7</v>
      </c>
      <c r="AA132" s="229">
        <v>6.6499999999999995</v>
      </c>
      <c r="AB132" s="526">
        <v>7</v>
      </c>
      <c r="AC132" s="229">
        <v>482.99999999999994</v>
      </c>
      <c r="AD132" s="229">
        <v>630</v>
      </c>
      <c r="AE132" s="229">
        <v>315</v>
      </c>
      <c r="AF132" s="229">
        <v>59.499999999999993</v>
      </c>
      <c r="AG132" s="229">
        <v>280</v>
      </c>
      <c r="AH132" s="229">
        <v>3.5</v>
      </c>
      <c r="AI132" s="229">
        <v>2.4499999999999997</v>
      </c>
      <c r="AJ132" s="526">
        <v>0.4375</v>
      </c>
      <c r="AK132" s="229">
        <v>280</v>
      </c>
      <c r="AL132" s="229">
        <v>0.35</v>
      </c>
      <c r="AM132" s="229">
        <v>0.38500000000000001</v>
      </c>
      <c r="AN132" s="229">
        <v>4.1999999999999993</v>
      </c>
      <c r="AO132" s="229">
        <v>0.24499999999999997</v>
      </c>
      <c r="AP132" s="229">
        <v>105</v>
      </c>
      <c r="AQ132" s="229">
        <v>0.63</v>
      </c>
      <c r="AR132" s="229">
        <v>28</v>
      </c>
      <c r="AS132" s="526">
        <v>1.75</v>
      </c>
      <c r="AV132" s="229">
        <v>649.25</v>
      </c>
      <c r="AW132" s="229">
        <v>81.199999999999989</v>
      </c>
      <c r="AX132" s="229">
        <v>20.299999999999997</v>
      </c>
      <c r="AY132" s="229">
        <v>21.7</v>
      </c>
      <c r="AZ132" s="229">
        <v>6.6499999999999995</v>
      </c>
      <c r="BA132" s="526">
        <v>7</v>
      </c>
      <c r="BB132" s="229">
        <v>482.99999999999994</v>
      </c>
      <c r="BC132" s="229">
        <v>630</v>
      </c>
      <c r="BD132" s="229">
        <v>315</v>
      </c>
      <c r="BE132" s="229">
        <v>59.499999999999993</v>
      </c>
      <c r="BF132" s="229">
        <v>280</v>
      </c>
      <c r="BG132" s="229">
        <v>3.5</v>
      </c>
      <c r="BH132" s="229">
        <v>2.4499999999999997</v>
      </c>
      <c r="BI132" s="526">
        <v>0.4375</v>
      </c>
      <c r="BJ132" s="229">
        <v>280</v>
      </c>
      <c r="BK132" s="229">
        <v>0.35</v>
      </c>
      <c r="BL132" s="229">
        <v>0.38500000000000001</v>
      </c>
      <c r="BM132" s="229">
        <v>4.1999999999999993</v>
      </c>
      <c r="BN132" s="229">
        <v>0.24499999999999997</v>
      </c>
      <c r="BO132" s="229">
        <v>105</v>
      </c>
      <c r="BP132" s="229">
        <v>0.63</v>
      </c>
      <c r="BQ132" s="229">
        <v>28</v>
      </c>
      <c r="BR132" s="526">
        <v>1.75</v>
      </c>
    </row>
    <row r="133" spans="1:70" s="229" customFormat="1">
      <c r="A133" s="574"/>
      <c r="B133" s="522"/>
      <c r="C133" s="522"/>
      <c r="D133" s="141"/>
      <c r="E133" s="594"/>
      <c r="F133" s="708"/>
      <c r="G133" s="522"/>
      <c r="H133" s="593"/>
      <c r="I133" s="141"/>
      <c r="J133" s="141"/>
      <c r="K133" s="141"/>
      <c r="L133" s="604"/>
      <c r="M133" s="581"/>
      <c r="N133" s="581"/>
      <c r="O133" s="581"/>
      <c r="P133" s="628" t="s">
        <v>407</v>
      </c>
      <c r="V133" s="526"/>
      <c r="W133" s="514">
        <f t="shared" ref="W133:AS133" si="290">100*W131/W132</f>
        <v>0</v>
      </c>
      <c r="X133" s="514">
        <f t="shared" si="290"/>
        <v>0</v>
      </c>
      <c r="Y133" s="514">
        <f t="shared" si="290"/>
        <v>0</v>
      </c>
      <c r="Z133" s="514">
        <f t="shared" si="290"/>
        <v>0</v>
      </c>
      <c r="AA133" s="514">
        <f t="shared" si="290"/>
        <v>0</v>
      </c>
      <c r="AB133" s="506">
        <f t="shared" si="290"/>
        <v>0</v>
      </c>
      <c r="AC133" s="514">
        <f t="shared" si="290"/>
        <v>0</v>
      </c>
      <c r="AD133" s="514">
        <f t="shared" si="290"/>
        <v>0</v>
      </c>
      <c r="AE133" s="514">
        <f t="shared" si="290"/>
        <v>0</v>
      </c>
      <c r="AF133" s="514">
        <f t="shared" si="290"/>
        <v>0</v>
      </c>
      <c r="AG133" s="514">
        <f t="shared" si="290"/>
        <v>0</v>
      </c>
      <c r="AH133" s="514">
        <f t="shared" si="290"/>
        <v>0</v>
      </c>
      <c r="AI133" s="514">
        <f t="shared" si="290"/>
        <v>0</v>
      </c>
      <c r="AJ133" s="506">
        <f t="shared" si="290"/>
        <v>0</v>
      </c>
      <c r="AK133" s="514">
        <f t="shared" si="290"/>
        <v>0</v>
      </c>
      <c r="AL133" s="514">
        <f t="shared" si="290"/>
        <v>0</v>
      </c>
      <c r="AM133" s="514">
        <f t="shared" si="290"/>
        <v>0</v>
      </c>
      <c r="AN133" s="514">
        <f t="shared" si="290"/>
        <v>0</v>
      </c>
      <c r="AO133" s="514">
        <f t="shared" si="290"/>
        <v>0</v>
      </c>
      <c r="AP133" s="514">
        <f t="shared" si="290"/>
        <v>0</v>
      </c>
      <c r="AQ133" s="514">
        <f t="shared" si="290"/>
        <v>0</v>
      </c>
      <c r="AR133" s="514">
        <f t="shared" si="290"/>
        <v>0</v>
      </c>
      <c r="AS133" s="506">
        <f t="shared" si="290"/>
        <v>0</v>
      </c>
      <c r="AV133" s="514">
        <f t="shared" ref="AV133:BR133" si="291">100*AV131/AV132</f>
        <v>0</v>
      </c>
      <c r="AW133" s="514">
        <f t="shared" si="291"/>
        <v>0</v>
      </c>
      <c r="AX133" s="514">
        <f t="shared" si="291"/>
        <v>0</v>
      </c>
      <c r="AY133" s="514">
        <f t="shared" si="291"/>
        <v>0</v>
      </c>
      <c r="AZ133" s="514">
        <f t="shared" si="291"/>
        <v>0</v>
      </c>
      <c r="BA133" s="506">
        <f t="shared" si="291"/>
        <v>0</v>
      </c>
      <c r="BB133" s="514">
        <f t="shared" si="291"/>
        <v>0</v>
      </c>
      <c r="BC133" s="514">
        <f t="shared" si="291"/>
        <v>0</v>
      </c>
      <c r="BD133" s="514">
        <f t="shared" si="291"/>
        <v>0</v>
      </c>
      <c r="BE133" s="514">
        <f t="shared" si="291"/>
        <v>0</v>
      </c>
      <c r="BF133" s="514">
        <f t="shared" si="291"/>
        <v>0</v>
      </c>
      <c r="BG133" s="514">
        <f t="shared" si="291"/>
        <v>0</v>
      </c>
      <c r="BH133" s="514">
        <f t="shared" si="291"/>
        <v>0</v>
      </c>
      <c r="BI133" s="506">
        <f t="shared" si="291"/>
        <v>0</v>
      </c>
      <c r="BJ133" s="514">
        <f t="shared" si="291"/>
        <v>0</v>
      </c>
      <c r="BK133" s="514">
        <f t="shared" si="291"/>
        <v>0</v>
      </c>
      <c r="BL133" s="514">
        <f t="shared" si="291"/>
        <v>0</v>
      </c>
      <c r="BM133" s="514">
        <f t="shared" si="291"/>
        <v>0</v>
      </c>
      <c r="BN133" s="514">
        <f t="shared" si="291"/>
        <v>0</v>
      </c>
      <c r="BO133" s="514">
        <f t="shared" si="291"/>
        <v>0</v>
      </c>
      <c r="BP133" s="514">
        <f t="shared" si="291"/>
        <v>0</v>
      </c>
      <c r="BQ133" s="514">
        <f t="shared" si="291"/>
        <v>0</v>
      </c>
      <c r="BR133" s="506">
        <f t="shared" si="291"/>
        <v>0</v>
      </c>
    </row>
    <row r="134" spans="1:70" s="229" customFormat="1">
      <c r="A134" s="574"/>
      <c r="B134" s="522"/>
      <c r="C134" s="522"/>
      <c r="D134" s="141"/>
      <c r="E134" s="594"/>
      <c r="F134" s="708"/>
      <c r="G134" s="522"/>
      <c r="H134" s="593"/>
      <c r="I134" s="141"/>
      <c r="J134" s="141"/>
      <c r="K134" s="141"/>
      <c r="L134" s="604"/>
      <c r="M134" s="581"/>
      <c r="N134" s="581"/>
      <c r="O134" s="581"/>
      <c r="P134" s="628" t="s">
        <v>548</v>
      </c>
      <c r="V134" s="526"/>
      <c r="W134" s="583">
        <f>AV131</f>
        <v>0</v>
      </c>
      <c r="X134" s="583">
        <f t="shared" ref="X134:AM134" si="292">AW131</f>
        <v>0</v>
      </c>
      <c r="Y134" s="583">
        <f t="shared" si="292"/>
        <v>0</v>
      </c>
      <c r="Z134" s="583">
        <f t="shared" si="292"/>
        <v>0</v>
      </c>
      <c r="AA134" s="583">
        <f t="shared" si="292"/>
        <v>0</v>
      </c>
      <c r="AB134" s="549">
        <f t="shared" si="292"/>
        <v>0</v>
      </c>
      <c r="AC134" s="583">
        <f t="shared" si="292"/>
        <v>0</v>
      </c>
      <c r="AD134" s="583">
        <f t="shared" si="292"/>
        <v>0</v>
      </c>
      <c r="AE134" s="583">
        <f t="shared" si="292"/>
        <v>0</v>
      </c>
      <c r="AF134" s="583">
        <f t="shared" si="292"/>
        <v>0</v>
      </c>
      <c r="AG134" s="583">
        <f t="shared" si="292"/>
        <v>0</v>
      </c>
      <c r="AH134" s="583">
        <f t="shared" si="292"/>
        <v>0</v>
      </c>
      <c r="AI134" s="583">
        <f t="shared" si="292"/>
        <v>0</v>
      </c>
      <c r="AJ134" s="549">
        <f t="shared" si="292"/>
        <v>0</v>
      </c>
      <c r="AK134" s="583">
        <f t="shared" si="292"/>
        <v>0</v>
      </c>
      <c r="AL134" s="583">
        <f t="shared" si="292"/>
        <v>0</v>
      </c>
      <c r="AM134" s="583">
        <f t="shared" si="292"/>
        <v>0</v>
      </c>
      <c r="AN134" s="583">
        <f>BM131</f>
        <v>0</v>
      </c>
      <c r="AO134" s="583">
        <f t="shared" ref="AO134:AR134" si="293">BN131</f>
        <v>0</v>
      </c>
      <c r="AP134" s="583">
        <f t="shared" si="293"/>
        <v>0</v>
      </c>
      <c r="AQ134" s="583">
        <f t="shared" si="293"/>
        <v>0</v>
      </c>
      <c r="AR134" s="583">
        <f t="shared" si="293"/>
        <v>0</v>
      </c>
      <c r="AS134" s="549">
        <f>BR131</f>
        <v>0</v>
      </c>
    </row>
    <row r="135" spans="1:70" s="229" customFormat="1">
      <c r="A135" s="574"/>
      <c r="B135" s="522"/>
      <c r="C135" s="522"/>
      <c r="D135" s="141"/>
      <c r="E135" s="594"/>
      <c r="F135" s="708"/>
      <c r="G135" s="522"/>
      <c r="H135" s="593"/>
      <c r="I135" s="141"/>
      <c r="J135" s="141"/>
      <c r="K135" s="141"/>
      <c r="L135" s="604"/>
      <c r="M135" s="581"/>
      <c r="N135" s="581"/>
      <c r="O135" s="581"/>
      <c r="P135" s="628" t="s">
        <v>543</v>
      </c>
      <c r="V135" s="526"/>
      <c r="W135" s="514">
        <f t="shared" ref="W135:AS135" si="294">AV133</f>
        <v>0</v>
      </c>
      <c r="X135" s="514">
        <f t="shared" si="294"/>
        <v>0</v>
      </c>
      <c r="Y135" s="514">
        <f t="shared" si="294"/>
        <v>0</v>
      </c>
      <c r="Z135" s="514">
        <f t="shared" si="294"/>
        <v>0</v>
      </c>
      <c r="AA135" s="514">
        <f t="shared" si="294"/>
        <v>0</v>
      </c>
      <c r="AB135" s="506">
        <f t="shared" si="294"/>
        <v>0</v>
      </c>
      <c r="AC135" s="514">
        <f t="shared" si="294"/>
        <v>0</v>
      </c>
      <c r="AD135" s="514">
        <f t="shared" si="294"/>
        <v>0</v>
      </c>
      <c r="AE135" s="514">
        <f t="shared" si="294"/>
        <v>0</v>
      </c>
      <c r="AF135" s="514">
        <f t="shared" si="294"/>
        <v>0</v>
      </c>
      <c r="AG135" s="514">
        <f t="shared" si="294"/>
        <v>0</v>
      </c>
      <c r="AH135" s="514">
        <f t="shared" si="294"/>
        <v>0</v>
      </c>
      <c r="AI135" s="514">
        <f t="shared" si="294"/>
        <v>0</v>
      </c>
      <c r="AJ135" s="506">
        <f t="shared" si="294"/>
        <v>0</v>
      </c>
      <c r="AK135" s="514">
        <f t="shared" si="294"/>
        <v>0</v>
      </c>
      <c r="AL135" s="514">
        <f t="shared" si="294"/>
        <v>0</v>
      </c>
      <c r="AM135" s="514">
        <f t="shared" si="294"/>
        <v>0</v>
      </c>
      <c r="AN135" s="514">
        <f t="shared" si="294"/>
        <v>0</v>
      </c>
      <c r="AO135" s="514">
        <f t="shared" si="294"/>
        <v>0</v>
      </c>
      <c r="AP135" s="514">
        <f t="shared" si="294"/>
        <v>0</v>
      </c>
      <c r="AQ135" s="514">
        <f t="shared" si="294"/>
        <v>0</v>
      </c>
      <c r="AR135" s="514">
        <f t="shared" si="294"/>
        <v>0</v>
      </c>
      <c r="AS135" s="506">
        <f t="shared" si="294"/>
        <v>0</v>
      </c>
      <c r="AV135" s="514"/>
      <c r="AW135" s="514"/>
      <c r="AX135" s="514"/>
      <c r="AY135" s="514"/>
      <c r="AZ135" s="514"/>
      <c r="BA135" s="505"/>
      <c r="BB135" s="514"/>
      <c r="BC135" s="514"/>
      <c r="BD135" s="514"/>
      <c r="BE135" s="514"/>
      <c r="BF135" s="514"/>
      <c r="BG135" s="514"/>
      <c r="BH135" s="514"/>
      <c r="BI135" s="505"/>
      <c r="BJ135" s="514"/>
      <c r="BK135" s="514"/>
      <c r="BL135" s="514"/>
      <c r="BM135" s="514"/>
      <c r="BN135" s="514"/>
      <c r="BO135" s="514"/>
      <c r="BP135" s="514"/>
      <c r="BQ135" s="514"/>
      <c r="BR135" s="505"/>
    </row>
    <row r="136" spans="1:70" s="229" customFormat="1" ht="16" thickBot="1">
      <c r="A136" s="574"/>
      <c r="B136" s="574"/>
      <c r="C136" s="574"/>
      <c r="D136" s="684"/>
      <c r="E136" s="620"/>
      <c r="F136" s="711"/>
      <c r="G136" s="621" t="s">
        <v>795</v>
      </c>
      <c r="H136" s="622"/>
      <c r="I136" s="685"/>
      <c r="J136" s="685"/>
      <c r="K136" s="574"/>
      <c r="L136" s="623"/>
      <c r="M136" s="623"/>
      <c r="N136" s="623"/>
      <c r="O136" s="581"/>
      <c r="P136" s="574"/>
      <c r="Q136" s="574"/>
      <c r="R136" s="574"/>
      <c r="S136" s="574"/>
      <c r="T136" s="574"/>
      <c r="U136" s="624"/>
      <c r="V136" s="625"/>
      <c r="W136" s="574"/>
      <c r="X136" s="574"/>
      <c r="Y136" s="574"/>
      <c r="Z136" s="574"/>
      <c r="AA136" s="626">
        <f>COUNTIF(AA137:AA148,"&lt;0")</f>
        <v>1</v>
      </c>
      <c r="AB136" s="626">
        <f t="shared" ref="AB136" si="295">COUNTIF(AB137:AB148,"&lt;0")</f>
        <v>1</v>
      </c>
      <c r="AC136" s="626">
        <f t="shared" ref="AC136" si="296">COUNTIF(AC137:AC148,"&lt;0")</f>
        <v>1</v>
      </c>
      <c r="AD136" s="626">
        <f t="shared" ref="AD136" si="297">COUNTIF(AD137:AD148,"&lt;0")</f>
        <v>1</v>
      </c>
      <c r="AE136" s="626">
        <f t="shared" ref="AE136" si="298">COUNTIF(AE137:AE148,"&lt;0")</f>
        <v>1</v>
      </c>
      <c r="AF136" s="626">
        <f t="shared" ref="AF136" si="299">COUNTIF(AF137:AF148,"&lt;0")</f>
        <v>1</v>
      </c>
      <c r="AG136" s="626">
        <f t="shared" ref="AG136" si="300">COUNTIF(AG137:AG148,"&lt;0")</f>
        <v>1</v>
      </c>
      <c r="AH136" s="626">
        <f t="shared" ref="AH136" si="301">COUNTIF(AH137:AH148,"&lt;0")</f>
        <v>1</v>
      </c>
      <c r="AI136" s="626">
        <f t="shared" ref="AI136" si="302">COUNTIF(AI137:AI148,"&lt;0")</f>
        <v>1</v>
      </c>
      <c r="AJ136" s="626">
        <f t="shared" ref="AJ136" si="303">COUNTIF(AJ137:AJ148,"&lt;0")</f>
        <v>2</v>
      </c>
      <c r="AK136" s="626">
        <f t="shared" ref="AK136" si="304">COUNTIF(AK137:AK148,"&lt;0")</f>
        <v>1</v>
      </c>
      <c r="AL136" s="626">
        <f t="shared" ref="AL136" si="305">COUNTIF(AL137:AL148,"&lt;0")</f>
        <v>1</v>
      </c>
      <c r="AM136" s="626">
        <f t="shared" ref="AM136" si="306">COUNTIF(AM137:AM148,"&lt;0")</f>
        <v>1</v>
      </c>
      <c r="AN136" s="626">
        <f t="shared" ref="AN136" si="307">COUNTIF(AN137:AN148,"&lt;0")</f>
        <v>1</v>
      </c>
      <c r="AO136" s="626">
        <f t="shared" ref="AO136" si="308">COUNTIF(AO137:AO148,"&lt;0")</f>
        <v>1</v>
      </c>
      <c r="AP136" s="626">
        <f t="shared" ref="AP136" si="309">COUNTIF(AP137:AP148,"&lt;0")</f>
        <v>1</v>
      </c>
      <c r="AQ136" s="626">
        <f t="shared" ref="AQ136" si="310">COUNTIF(AQ137:AQ148,"&lt;0")</f>
        <v>1</v>
      </c>
      <c r="AR136" s="626">
        <f t="shared" ref="AR136" si="311">COUNTIF(AR137:AR148,"&lt;0")</f>
        <v>1</v>
      </c>
      <c r="AS136" s="626">
        <f t="shared" ref="AS136" si="312">COUNTIF(AS137:AS148,"&lt;0")</f>
        <v>1</v>
      </c>
      <c r="AT136" s="574"/>
      <c r="AU136" s="574"/>
    </row>
    <row r="137" spans="1:70" s="229" customFormat="1" ht="15" customHeight="1" thickBot="1">
      <c r="A137" s="574"/>
      <c r="B137" s="575" t="s">
        <v>3065</v>
      </c>
      <c r="C137" s="229" t="s">
        <v>1362</v>
      </c>
      <c r="D137" s="85" t="s">
        <v>2740</v>
      </c>
      <c r="E137" s="577">
        <v>100</v>
      </c>
      <c r="F137" s="1131" t="s">
        <v>3934</v>
      </c>
      <c r="G137" s="406" t="s">
        <v>3079</v>
      </c>
      <c r="H137" s="1262" t="s">
        <v>3370</v>
      </c>
      <c r="I137" s="85">
        <v>60</v>
      </c>
      <c r="J137" s="682">
        <v>1</v>
      </c>
      <c r="K137" s="579">
        <f t="shared" ref="K137:K148" si="313">IF(I137&gt;0,1.1*Q137*E137/1000,"")</f>
        <v>6.6</v>
      </c>
      <c r="L137" s="580">
        <f>IF(H137="Select ingredient:","",IF(G137="","",_xlfn.IFNA(VLOOKUP($H137,Ingredient_prices!$E:$U,16,FALSE),0)))</f>
        <v>156.56666666666663</v>
      </c>
      <c r="M137" s="840"/>
      <c r="N137" s="1228">
        <f>$W150</f>
        <v>349.97516666666667</v>
      </c>
      <c r="O137" s="581"/>
      <c r="P137" s="582"/>
      <c r="Q137" s="583">
        <f>I137/J137</f>
        <v>60</v>
      </c>
      <c r="R137" s="583">
        <f>VLOOKUP($H137,'CO2_emission+%_food_waste'!$A:$K,6,FALSE)*$Q137/100</f>
        <v>-6.0000000000000002E-5</v>
      </c>
      <c r="S137" s="583">
        <f t="shared" ref="S137:S148" si="314">Q137-R137</f>
        <v>60.000059999999998</v>
      </c>
      <c r="T137" s="583">
        <f>IF(H137="Select ingredient:","",IF(G137="Select food category:","",_xlfn.IFNA(VLOOKUP($H137,Ingredient_prices!$E:$U,16,FALSE)*$Q137/1000,"not bought")))</f>
        <v>9.3939999999999984</v>
      </c>
      <c r="U137" s="583">
        <f>IF(G137="Select food category:","",_xlfn.IFNA(VLOOKUP($H137,Ingredient_prices!$E:$U,16,FALSE)*$R137/1000,"not bought"))</f>
        <v>-9.3939999999999985E-6</v>
      </c>
      <c r="V137" s="549">
        <f>VLOOKUP($H137,'CO2_emission+%_food_waste'!$A:$K,4,FALSE)*$Q137</f>
        <v>97.2</v>
      </c>
      <c r="W137" s="583">
        <f>VLOOKUP($H137,Nutrition_tables!$A:$N,10,FALSE)*$Q137/100</f>
        <v>159</v>
      </c>
      <c r="X137" s="583">
        <f>VLOOKUP($H137,Nutrition_tables!$A:$N,11,FALSE)*$Q137/100</f>
        <v>33.6</v>
      </c>
      <c r="Y137" s="583">
        <f>VLOOKUP($H137,Nutrition_tables!$A:$N,12,FALSE)*$Q137/100</f>
        <v>4.8</v>
      </c>
      <c r="Z137" s="583">
        <f>VLOOKUP($H137,Nutrition_tables!$A:$N,14,FALSE)*$Q137/100</f>
        <v>0.6</v>
      </c>
      <c r="AA137" s="583">
        <f>VLOOKUP($H137,Nutrition_tables!$A:$AF,13,FALSE)*$Q137/100</f>
        <v>-2.3999999999999998E-3</v>
      </c>
      <c r="AB137" s="549">
        <f>VLOOKUP($H137,Nutrition_tables!$A:$AF,15,FALSE)*$Q137/100</f>
        <v>-2.3999999999999998E-3</v>
      </c>
      <c r="AC137" s="583">
        <f>VLOOKUP($H137,Nutrition_tables!$A:$AF,16,FALSE)*$Q137/100</f>
        <v>-2.3999999999999998E-3</v>
      </c>
      <c r="AD137" s="583">
        <f>VLOOKUP($H137,Nutrition_tables!$A:$AF,17,FALSE)*$Q137/100</f>
        <v>-2.3999999999999998E-3</v>
      </c>
      <c r="AE137" s="583">
        <f>VLOOKUP($H137,Nutrition_tables!$A:$AF,18,FALSE)*$Q137/100</f>
        <v>-2.3999999999999998E-3</v>
      </c>
      <c r="AF137" s="583">
        <f>VLOOKUP($H137,Nutrition_tables!$A:$AF,19,FALSE)*$Q137/100</f>
        <v>-2.3999999999999998E-3</v>
      </c>
      <c r="AG137" s="583">
        <f>VLOOKUP($H137,Nutrition_tables!$A:$AF,20,FALSE)*$Q137/100</f>
        <v>-2.3999999999999998E-3</v>
      </c>
      <c r="AH137" s="583">
        <f>VLOOKUP($H137,Nutrition_tables!$A:$AF,21,FALSE)*$Q137/100</f>
        <v>-2.3999999999999998E-3</v>
      </c>
      <c r="AI137" s="583">
        <f>VLOOKUP($H137,Nutrition_tables!$A:$AF,22,FALSE)*$Q137/100</f>
        <v>-2.3999999999999998E-3</v>
      </c>
      <c r="AJ137" s="549">
        <f>VLOOKUP($H137,Nutrition_tables!$A:$AF,23,FALSE)*$Q137/100</f>
        <v>-2.4000000000000001E-4</v>
      </c>
      <c r="AK137" s="583">
        <f>VLOOKUP($H137,Nutrition_tables!$A:$AF,24,FALSE)*$Q137/100</f>
        <v>-2.3999999999999998E-3</v>
      </c>
      <c r="AL137" s="583">
        <f>VLOOKUP($H137,Nutrition_tables!$A:$AF,25,FALSE)*$Q137/100</f>
        <v>-2.3999999999999998E-3</v>
      </c>
      <c r="AM137" s="583">
        <f>VLOOKUP($H137,Nutrition_tables!$A:$AF,26,FALSE)*$Q137/100</f>
        <v>-2.3999999999999998E-3</v>
      </c>
      <c r="AN137" s="583">
        <f>VLOOKUP($H137,Nutrition_tables!$A:$AF,27,FALSE)*$Q137/100</f>
        <v>-2.3999999999999998E-3</v>
      </c>
      <c r="AO137" s="583">
        <f>VLOOKUP($H137,Nutrition_tables!$A:$AF,28,FALSE)*$Q137/100</f>
        <v>-2.3999999999999998E-3</v>
      </c>
      <c r="AP137" s="583">
        <f>VLOOKUP($H137,Nutrition_tables!$A:$AF,29,FALSE)*$Q137/100</f>
        <v>-2.3999999999999998E-3</v>
      </c>
      <c r="AQ137" s="583">
        <f>VLOOKUP($H137,Nutrition_tables!$A:$AF,30,FALSE)*$Q137/100</f>
        <v>-2.4000000000000001E-4</v>
      </c>
      <c r="AR137" s="583">
        <f>VLOOKUP($H137,Nutrition_tables!$A:$AF,31,FALSE)*$Q137/100</f>
        <v>-2.3999999999999998E-3</v>
      </c>
      <c r="AS137" s="549">
        <f>VLOOKUP($H137,Nutrition_tables!$A:$AF,32,FALSE)*$Q137/100</f>
        <v>-2.4000000000000001E-4</v>
      </c>
      <c r="AT137" s="583">
        <f>IF(H137="Select ingredient:","",IF(G137="Select food category:","",IFERROR(VLOOKUP($H137,Ingredient_prices!$E:$W,17,FALSE)*$Q137/1000,"not bought")))</f>
        <v>9.3939999999999984</v>
      </c>
      <c r="AU137" s="583">
        <f>IF(H137="Select ingredient:","",IF(G137="Select food category:","",IFERROR(VLOOKUP($H137,Ingredient_prices!$E:$W,18,FALSE)*$Q137/1000,"not bought")))</f>
        <v>9.3939999999999984</v>
      </c>
      <c r="AV137" s="583">
        <f t="shared" ref="AV137:AV148" si="315">W137*($Q137-$R137)/($Q137+0.00001)</f>
        <v>159.00013249997789</v>
      </c>
      <c r="AW137" s="583">
        <f t="shared" ref="AW137:AW148" si="316">X137*($Q137-$R137)/($Q137+0.00001)</f>
        <v>33.600027999995334</v>
      </c>
      <c r="AX137" s="583">
        <f t="shared" ref="AX137:AX148" si="317">Y137*($Q137-$R137)/($Q137+0.00001)</f>
        <v>4.8000039999993325</v>
      </c>
      <c r="AY137" s="583">
        <f t="shared" ref="AY137:AY148" si="318">Z137*($Q137-$R137)/($Q137+0.00001)</f>
        <v>0.60000049999991656</v>
      </c>
      <c r="AZ137" s="583">
        <f t="shared" ref="AZ137:AZ148" si="319">AA137*($Q137-$R137)/($Q137+0.00001)</f>
        <v>-2.4000019999996661E-3</v>
      </c>
      <c r="BA137" s="583">
        <f t="shared" ref="BA137:BA148" si="320">AB137*($Q137-$R137)/($Q137+0.00001)</f>
        <v>-2.4000019999996661E-3</v>
      </c>
      <c r="BB137" s="583">
        <f t="shared" ref="BB137:BB148" si="321">AC137*($Q137-$R137)/($Q137+0.00001)</f>
        <v>-2.4000019999996661E-3</v>
      </c>
      <c r="BC137" s="583">
        <f t="shared" ref="BC137:BC148" si="322">AD137*($Q137-$R137)/($Q137+0.00001)</f>
        <v>-2.4000019999996661E-3</v>
      </c>
      <c r="BD137" s="583">
        <f t="shared" ref="BD137:BD148" si="323">AE137*($Q137-$R137)/($Q137+0.00001)</f>
        <v>-2.4000019999996661E-3</v>
      </c>
      <c r="BE137" s="583">
        <f t="shared" ref="BE137:BE148" si="324">AF137*($Q137-$R137)/($Q137+0.00001)</f>
        <v>-2.4000019999996661E-3</v>
      </c>
      <c r="BF137" s="583">
        <f t="shared" ref="BF137:BF148" si="325">AG137*($Q137-$R137)/($Q137+0.00001)</f>
        <v>-2.4000019999996661E-3</v>
      </c>
      <c r="BG137" s="583">
        <f t="shared" ref="BG137:BG148" si="326">AH137*($Q137-$R137)/($Q137+0.00001)</f>
        <v>-2.4000019999996661E-3</v>
      </c>
      <c r="BH137" s="583">
        <f t="shared" ref="BH137:BH148" si="327">AI137*($Q137-$R137)/($Q137+0.00001)</f>
        <v>-2.4000019999996661E-3</v>
      </c>
      <c r="BI137" s="583">
        <f t="shared" ref="BI137:BI148" si="328">AJ137*($Q137-$R137)/($Q137+0.00001)</f>
        <v>-2.4000019999996665E-4</v>
      </c>
      <c r="BJ137" s="583">
        <f t="shared" ref="BJ137:BJ148" si="329">AK137*($Q137-$R137)/($Q137+0.00001)</f>
        <v>-2.4000019999996661E-3</v>
      </c>
      <c r="BK137" s="583">
        <f t="shared" ref="BK137:BK148" si="330">AL137*($Q137-$R137)/($Q137+0.00001)</f>
        <v>-2.4000019999996661E-3</v>
      </c>
      <c r="BL137" s="583">
        <f t="shared" ref="BL137:BL148" si="331">AM137*($Q137-$R137)/($Q137+0.00001)</f>
        <v>-2.4000019999996661E-3</v>
      </c>
      <c r="BM137" s="583">
        <f t="shared" ref="BM137:BM148" si="332">AN137*($Q137-$R137)/($Q137+0.00001)</f>
        <v>-2.4000019999996661E-3</v>
      </c>
      <c r="BN137" s="583">
        <f t="shared" ref="BN137:BN148" si="333">AO137*($Q137-$R137)/($Q137+0.00001)</f>
        <v>-2.4000019999996661E-3</v>
      </c>
      <c r="BO137" s="583">
        <f t="shared" ref="BO137:BO148" si="334">AP137*($Q137-$R137)/($Q137+0.00001)</f>
        <v>-2.4000019999996661E-3</v>
      </c>
      <c r="BP137" s="583">
        <f t="shared" ref="BP137:BP148" si="335">AQ137*($Q137-$R137)/($Q137+0.00001)</f>
        <v>-2.4000019999996665E-4</v>
      </c>
      <c r="BQ137" s="583">
        <f t="shared" ref="BQ137:BQ148" si="336">AR137*($Q137-$R137)/($Q137+0.00001)</f>
        <v>-2.4000019999996661E-3</v>
      </c>
      <c r="BR137" s="583">
        <f t="shared" ref="BR137:BR148" si="337">AS137*($Q137-$R137)/($Q137+0.00001)</f>
        <v>-2.4000019999996665E-4</v>
      </c>
    </row>
    <row r="138" spans="1:70" s="229" customFormat="1" ht="15" customHeight="1">
      <c r="A138" s="574"/>
      <c r="D138" s="406" t="s">
        <v>3036</v>
      </c>
      <c r="E138" s="576">
        <f>IF(E$137&gt;0,E$137,"")</f>
        <v>100</v>
      </c>
      <c r="F138" s="1131" t="s">
        <v>3330</v>
      </c>
      <c r="G138" s="406" t="s">
        <v>3078</v>
      </c>
      <c r="H138" s="578" t="s">
        <v>3330</v>
      </c>
      <c r="I138" s="85">
        <v>25</v>
      </c>
      <c r="J138" s="682">
        <v>1</v>
      </c>
      <c r="K138" s="579">
        <f t="shared" si="313"/>
        <v>2.7500000000000004</v>
      </c>
      <c r="L138" s="580">
        <f>IF(H138="Select ingredient:","",IF(G138="","",_xlfn.IFNA(VLOOKUP($H138,Ingredient_prices!$E:$U,16,FALSE),0)))</f>
        <v>518.4</v>
      </c>
      <c r="M138" s="840"/>
      <c r="N138" s="840"/>
      <c r="O138" s="581"/>
      <c r="P138" s="582"/>
      <c r="Q138" s="583">
        <f>I138/J138</f>
        <v>25</v>
      </c>
      <c r="R138" s="583">
        <f>VLOOKUP($H138,'CO2_emission+%_food_waste'!$A:$K,6,FALSE)*$Q138/100</f>
        <v>0</v>
      </c>
      <c r="S138" s="583">
        <f t="shared" si="314"/>
        <v>25</v>
      </c>
      <c r="T138" s="583">
        <f>IF(H138="Select ingredient:","",IF(G138="Select food category:","",_xlfn.IFNA(VLOOKUP($H138,Ingredient_prices!$E:$U,16,FALSE)*$Q138/1000,"not bought")))</f>
        <v>12.96</v>
      </c>
      <c r="U138" s="583">
        <f>IF(G138="Select food category:","",_xlfn.IFNA(VLOOKUP($H138,Ingredient_prices!$E:$U,16,FALSE)*$R138/1000,"not bought"))</f>
        <v>0</v>
      </c>
      <c r="V138" s="549">
        <f>VLOOKUP($H138,'CO2_emission+%_food_waste'!$A:$K,4,FALSE)*$Q138</f>
        <v>9.5</v>
      </c>
      <c r="W138" s="583">
        <f>VLOOKUP($H138,Nutrition_tables!$A:$N,10,FALSE)*$Q138/100</f>
        <v>130.97516666666667</v>
      </c>
      <c r="X138" s="583">
        <f>VLOOKUP($H138,Nutrition_tables!$A:$N,11,FALSE)*$Q138/100</f>
        <v>14.75</v>
      </c>
      <c r="Y138" s="583">
        <f>VLOOKUP($H138,Nutrition_tables!$A:$N,12,FALSE)*$Q138/100</f>
        <v>1.75</v>
      </c>
      <c r="Z138" s="583">
        <f>VLOOKUP($H138,Nutrition_tables!$A:$N,14,FALSE)*$Q138/100</f>
        <v>7.5</v>
      </c>
      <c r="AA138" s="583">
        <f>VLOOKUP($H138,Nutrition_tables!$A:$AF,13,FALSE)*$Q138/100</f>
        <v>1.125</v>
      </c>
      <c r="AB138" s="549">
        <f>VLOOKUP($H138,Nutrition_tables!$A:$AF,15,FALSE)*$Q138/100</f>
        <v>5.25</v>
      </c>
      <c r="AC138" s="583">
        <f>VLOOKUP($H138,Nutrition_tables!$A:$AF,16,FALSE)*$Q138/100</f>
        <v>2.5</v>
      </c>
      <c r="AD138" s="583">
        <f>VLOOKUP($H138,Nutrition_tables!$A:$AF,17,FALSE)*$Q138/100</f>
        <v>5</v>
      </c>
      <c r="AE138" s="583">
        <f>VLOOKUP($H138,Nutrition_tables!$A:$AF,18,FALSE)*$Q138/100</f>
        <v>37</v>
      </c>
      <c r="AF138" s="583">
        <f>VLOOKUP($H138,Nutrition_tables!$A:$AF,19,FALSE)*$Q138/100</f>
        <v>32.5</v>
      </c>
      <c r="AG138" s="583">
        <f>VLOOKUP($H138,Nutrition_tables!$A:$AF,20,FALSE)*$Q138/100</f>
        <v>45.75</v>
      </c>
      <c r="AH138" s="583">
        <f>VLOOKUP($H138,Nutrition_tables!$A:$AF,21,FALSE)*$Q138/100</f>
        <v>0.4</v>
      </c>
      <c r="AI138" s="583">
        <f>VLOOKUP($H138,Nutrition_tables!$A:$AF,22,FALSE)*$Q138/100</f>
        <v>0.37</v>
      </c>
      <c r="AJ138" s="549">
        <f>VLOOKUP($H138,Nutrition_tables!$A:$AF,23,FALSE)*$Q138/100</f>
        <v>-1E-4</v>
      </c>
      <c r="AK138" s="583">
        <f>VLOOKUP($H138,Nutrition_tables!$A:$AF,24,FALSE)*$Q138/100</f>
        <v>100</v>
      </c>
      <c r="AL138" s="583">
        <f>VLOOKUP($H138,Nutrition_tables!$A:$AF,25,FALSE)*$Q138/100</f>
        <v>2.5000000000000001E-2</v>
      </c>
      <c r="AM138" s="583">
        <f>VLOOKUP($H138,Nutrition_tables!$A:$AF,26,FALSE)*$Q138/100</f>
        <v>0.05</v>
      </c>
      <c r="AN138" s="583">
        <f>VLOOKUP($H138,Nutrition_tables!$A:$AF,27,FALSE)*$Q138/100</f>
        <v>0.4</v>
      </c>
      <c r="AO138" s="583">
        <f>VLOOKUP($H138,Nutrition_tables!$A:$AF,28,FALSE)*$Q138/100</f>
        <v>1.4999999999999998E-2</v>
      </c>
      <c r="AP138" s="583">
        <f>VLOOKUP($H138,Nutrition_tables!$A:$AF,29,FALSE)*$Q138/100</f>
        <v>18.25</v>
      </c>
      <c r="AQ138" s="583">
        <f>VLOOKUP($H138,Nutrition_tables!$A:$AF,30,FALSE)*$Q138/100</f>
        <v>0</v>
      </c>
      <c r="AR138" s="583">
        <f>VLOOKUP($H138,Nutrition_tables!$A:$AF,31,FALSE)*$Q138/100</f>
        <v>0.25</v>
      </c>
      <c r="AS138" s="549">
        <f>VLOOKUP($H138,Nutrition_tables!$A:$AF,32,FALSE)*$Q138/100</f>
        <v>0</v>
      </c>
      <c r="AT138" s="583">
        <f>IF(H138="Select ingredient:","",IF(G138="Select food category:","",IFERROR(VLOOKUP($H138,Ingredient_prices!$E:$W,17,FALSE)*$Q138/1000,"not bought")))</f>
        <v>12.96</v>
      </c>
      <c r="AU138" s="583">
        <f>IF(H138="Select ingredient:","",IF(G138="Select food category:","",IFERROR(VLOOKUP($H138,Ingredient_prices!$E:$W,18,FALSE)*$Q138/1000,"not bought")))</f>
        <v>12.96</v>
      </c>
      <c r="AV138" s="583">
        <f t="shared" si="315"/>
        <v>130.97511427662096</v>
      </c>
      <c r="AW138" s="583">
        <f t="shared" si="316"/>
        <v>14.749994100002361</v>
      </c>
      <c r="AX138" s="583">
        <f t="shared" si="317"/>
        <v>1.74999930000028</v>
      </c>
      <c r="AY138" s="583">
        <f t="shared" si="318"/>
        <v>7.4999970000012004</v>
      </c>
      <c r="AZ138" s="583">
        <f t="shared" si="319"/>
        <v>1.1249995500001799</v>
      </c>
      <c r="BA138" s="583">
        <f t="shared" si="320"/>
        <v>5.2499979000008397</v>
      </c>
      <c r="BB138" s="583">
        <f t="shared" si="321"/>
        <v>2.4999990000004</v>
      </c>
      <c r="BC138" s="583">
        <f t="shared" si="322"/>
        <v>4.9999980000008</v>
      </c>
      <c r="BD138" s="583">
        <f t="shared" si="323"/>
        <v>36.999985200005924</v>
      </c>
      <c r="BE138" s="583">
        <f t="shared" si="324"/>
        <v>32.499987000005198</v>
      </c>
      <c r="BF138" s="583">
        <f t="shared" si="325"/>
        <v>45.749981700007318</v>
      </c>
      <c r="BG138" s="583">
        <f t="shared" si="326"/>
        <v>0.399999840000064</v>
      </c>
      <c r="BH138" s="583">
        <f t="shared" si="327"/>
        <v>0.36999985200005919</v>
      </c>
      <c r="BI138" s="583">
        <f t="shared" si="328"/>
        <v>-9.9999960000016008E-5</v>
      </c>
      <c r="BJ138" s="583">
        <f t="shared" si="329"/>
        <v>99.999960000016003</v>
      </c>
      <c r="BK138" s="583">
        <f t="shared" si="330"/>
        <v>2.4999990000004E-2</v>
      </c>
      <c r="BL138" s="583">
        <f t="shared" si="331"/>
        <v>4.9999980000008E-2</v>
      </c>
      <c r="BM138" s="583">
        <f t="shared" si="332"/>
        <v>0.399999840000064</v>
      </c>
      <c r="BN138" s="583">
        <f t="shared" si="333"/>
        <v>1.4999994000002398E-2</v>
      </c>
      <c r="BO138" s="583">
        <f t="shared" si="334"/>
        <v>18.24999270000292</v>
      </c>
      <c r="BP138" s="583">
        <f t="shared" si="335"/>
        <v>0</v>
      </c>
      <c r="BQ138" s="583">
        <f t="shared" si="336"/>
        <v>0.24999990000003999</v>
      </c>
      <c r="BR138" s="583">
        <f t="shared" si="337"/>
        <v>0</v>
      </c>
    </row>
    <row r="139" spans="1:70" s="229" customFormat="1" ht="15" customHeight="1">
      <c r="A139" s="574"/>
      <c r="D139" s="406"/>
      <c r="E139" s="576">
        <f t="shared" ref="E139:E148" si="338">IF(E$137&gt;0,E$137,"")</f>
        <v>100</v>
      </c>
      <c r="F139" s="1131" t="s">
        <v>3935</v>
      </c>
      <c r="G139" s="406" t="s">
        <v>3085</v>
      </c>
      <c r="H139" s="578" t="s">
        <v>3221</v>
      </c>
      <c r="I139" s="85">
        <v>100</v>
      </c>
      <c r="J139" s="682">
        <v>1</v>
      </c>
      <c r="K139" s="579">
        <f t="shared" si="313"/>
        <v>11.000000000000002</v>
      </c>
      <c r="L139" s="580">
        <f>IF(H139="Select ingredient:","",IF(G139="","",_xlfn.IFNA(VLOOKUP($H139,Ingredient_prices!$E:$U,16,FALSE),0)))</f>
        <v>91.3</v>
      </c>
      <c r="M139" s="840"/>
      <c r="N139" s="840"/>
      <c r="O139" s="581"/>
      <c r="P139" s="582"/>
      <c r="Q139" s="583">
        <f>I139/J139</f>
        <v>100</v>
      </c>
      <c r="R139" s="583">
        <f>VLOOKUP($H139,'CO2_emission+%_food_waste'!$A:$K,6,FALSE)*$Q139/100</f>
        <v>17.3</v>
      </c>
      <c r="S139" s="583">
        <f t="shared" si="314"/>
        <v>82.7</v>
      </c>
      <c r="T139" s="583">
        <f>IF(H139="Select ingredient:","",IF(G139="Select food category:","",_xlfn.IFNA(VLOOKUP($H139,Ingredient_prices!$E:$U,16,FALSE)*$Q139/1000,"not bought")))</f>
        <v>9.1300000000000008</v>
      </c>
      <c r="U139" s="583">
        <f>IF(G139="Select food category:","",_xlfn.IFNA(VLOOKUP($H139,Ingredient_prices!$E:$U,16,FALSE)*$R139/1000,"not bought"))</f>
        <v>1.5794900000000001</v>
      </c>
      <c r="V139" s="549">
        <f>VLOOKUP($H139,'CO2_emission+%_food_waste'!$A:$K,4,FALSE)*$Q139</f>
        <v>146</v>
      </c>
      <c r="W139" s="583">
        <f>VLOOKUP($H139,Nutrition_tables!$A:$N,10,FALSE)*$Q139/100</f>
        <v>60</v>
      </c>
      <c r="X139" s="583">
        <f>VLOOKUP($H139,Nutrition_tables!$A:$N,11,FALSE)*$Q139/100</f>
        <v>4.7998600419874036</v>
      </c>
      <c r="Y139" s="583">
        <f>VLOOKUP($H139,Nutrition_tables!$A:$N,12,FALSE)*$Q139/100</f>
        <v>3.4002799160251929</v>
      </c>
      <c r="Z139" s="583">
        <f>VLOOKUP($H139,Nutrition_tables!$A:$N,14,FALSE)*$Q139/100</f>
        <v>3.0000000000000004</v>
      </c>
      <c r="AA139" s="583">
        <f>VLOOKUP($H139,Nutrition_tables!$A:$AF,13,FALSE)*$Q139/100</f>
        <v>0</v>
      </c>
      <c r="AB139" s="549">
        <f>VLOOKUP($H139,Nutrition_tables!$A:$AF,15,FALSE)*$Q139/100</f>
        <v>2</v>
      </c>
      <c r="AC139" s="583">
        <f>VLOOKUP($H139,Nutrition_tables!$A:$AF,16,FALSE)*$Q139/100</f>
        <v>41</v>
      </c>
      <c r="AD139" s="583">
        <f>VLOOKUP($H139,Nutrition_tables!$A:$AF,17,FALSE)*$Q139/100</f>
        <v>162</v>
      </c>
      <c r="AE139" s="583">
        <f>VLOOKUP($H139,Nutrition_tables!$A:$AF,18,FALSE)*$Q139/100</f>
        <v>116</v>
      </c>
      <c r="AF139" s="583">
        <f>VLOOKUP($H139,Nutrition_tables!$A:$AF,19,FALSE)*$Q139/100</f>
        <v>12.000000000000002</v>
      </c>
      <c r="AG139" s="583">
        <f>VLOOKUP($H139,Nutrition_tables!$A:$AF,20,FALSE)*$Q139/100</f>
        <v>91</v>
      </c>
      <c r="AH139" s="583">
        <f>VLOOKUP($H139,Nutrition_tables!$A:$AF,21,FALSE)*$Q139/100</f>
        <v>3.988803358992303E-2</v>
      </c>
      <c r="AI139" s="583">
        <f>VLOOKUP($H139,Nutrition_tables!$A:$AF,22,FALSE)*$Q139/100</f>
        <v>0.44016794961511552</v>
      </c>
      <c r="AJ139" s="549">
        <f>VLOOKUP($H139,Nutrition_tables!$A:$AF,23,FALSE)*$Q139/100</f>
        <v>0.01</v>
      </c>
      <c r="AK139" s="583">
        <f>VLOOKUP($H139,Nutrition_tables!$A:$AF,24,FALSE)*$Q139/100</f>
        <v>26</v>
      </c>
      <c r="AL139" s="583">
        <f>VLOOKUP($H139,Nutrition_tables!$A:$AF,25,FALSE)*$Q139/100</f>
        <v>3.988803358992303E-2</v>
      </c>
      <c r="AM139" s="583">
        <f>VLOOKUP($H139,Nutrition_tables!$A:$AF,26,FALSE)*$Q139/100</f>
        <v>0.13995801259622115</v>
      </c>
      <c r="AN139" s="583">
        <f>VLOOKUP($H139,Nutrition_tables!$A:$AF,27,FALSE)*$Q139/100</f>
        <v>0.8999300209937019</v>
      </c>
      <c r="AO139" s="583">
        <f>VLOOKUP($H139,Nutrition_tables!$A:$AF,28,FALSE)*$Q139/100</f>
        <v>3.988803358992303E-2</v>
      </c>
      <c r="AP139" s="583">
        <f>VLOOKUP($H139,Nutrition_tables!$A:$AF,29,FALSE)*$Q139/100</f>
        <v>5.0000000000000009</v>
      </c>
      <c r="AQ139" s="583">
        <f>VLOOKUP($H139,Nutrition_tables!$A:$AF,30,FALSE)*$Q139/100</f>
        <v>0.41987403778866345</v>
      </c>
      <c r="AR139" s="583">
        <f>VLOOKUP($H139,Nutrition_tables!$A:$AF,31,FALSE)*$Q139/100</f>
        <v>0</v>
      </c>
      <c r="AS139" s="549">
        <f>VLOOKUP($H139,Nutrition_tables!$A:$AF,32,FALSE)*$Q139/100</f>
        <v>2.0293911826452064E-2</v>
      </c>
      <c r="AT139" s="583">
        <f>IF(H139="Select ingredient:","",IF(G139="Select food category:","",IFERROR(VLOOKUP($H139,Ingredient_prices!$E:$W,17,FALSE)*$Q139/1000,"not bought")))</f>
        <v>9.1300000000000008</v>
      </c>
      <c r="AU139" s="583">
        <f>IF(H139="Select ingredient:","",IF(G139="Select food category:","",IFERROR(VLOOKUP($H139,Ingredient_prices!$E:$W,18,FALSE)*$Q139/1000,"not bought")))</f>
        <v>9.1300000000000008</v>
      </c>
      <c r="AV139" s="583">
        <f t="shared" si="315"/>
        <v>49.619995038000496</v>
      </c>
      <c r="AW139" s="583">
        <f t="shared" si="316"/>
        <v>3.969483857775197</v>
      </c>
      <c r="AX139" s="583">
        <f t="shared" si="317"/>
        <v>2.8120312093497137</v>
      </c>
      <c r="AY139" s="583">
        <f t="shared" si="318"/>
        <v>2.4809997519000251</v>
      </c>
      <c r="AZ139" s="583">
        <f t="shared" si="319"/>
        <v>0</v>
      </c>
      <c r="BA139" s="583">
        <f t="shared" si="320"/>
        <v>1.6539998346000166</v>
      </c>
      <c r="BB139" s="583">
        <f t="shared" si="321"/>
        <v>33.906996609300343</v>
      </c>
      <c r="BC139" s="583">
        <f t="shared" si="322"/>
        <v>133.97398660260134</v>
      </c>
      <c r="BD139" s="583">
        <f t="shared" si="323"/>
        <v>95.931990406800963</v>
      </c>
      <c r="BE139" s="583">
        <f t="shared" si="324"/>
        <v>9.9239990076001003</v>
      </c>
      <c r="BF139" s="583">
        <f t="shared" si="325"/>
        <v>75.256992474300745</v>
      </c>
      <c r="BG139" s="583">
        <f t="shared" si="326"/>
        <v>3.29874004801263E-2</v>
      </c>
      <c r="BH139" s="583">
        <f t="shared" si="327"/>
        <v>0.36401885792981475</v>
      </c>
      <c r="BI139" s="583">
        <f t="shared" si="328"/>
        <v>8.2699991730000831E-3</v>
      </c>
      <c r="BJ139" s="583">
        <f t="shared" si="329"/>
        <v>21.501997849800215</v>
      </c>
      <c r="BK139" s="583">
        <f t="shared" si="330"/>
        <v>3.29874004801263E-2</v>
      </c>
      <c r="BL139" s="583">
        <f t="shared" si="331"/>
        <v>0.11574526484254839</v>
      </c>
      <c r="BM139" s="583">
        <f t="shared" si="332"/>
        <v>0.74424205293758616</v>
      </c>
      <c r="BN139" s="583">
        <f t="shared" si="333"/>
        <v>3.29874004801263E-2</v>
      </c>
      <c r="BO139" s="583">
        <f t="shared" si="334"/>
        <v>4.134999586500042</v>
      </c>
      <c r="BP139" s="583">
        <f t="shared" si="335"/>
        <v>0.34723579452764525</v>
      </c>
      <c r="BQ139" s="583">
        <f t="shared" si="336"/>
        <v>0</v>
      </c>
      <c r="BR139" s="583">
        <f t="shared" si="337"/>
        <v>1.6783063402169517E-2</v>
      </c>
    </row>
    <row r="140" spans="1:70" s="229" customFormat="1" ht="15" customHeight="1">
      <c r="A140" s="574"/>
      <c r="D140" s="85"/>
      <c r="E140" s="576">
        <f t="shared" si="338"/>
        <v>100</v>
      </c>
      <c r="F140" s="1131"/>
      <c r="G140" s="406" t="s">
        <v>3054</v>
      </c>
      <c r="H140" s="1262" t="s">
        <v>3055</v>
      </c>
      <c r="I140" s="85">
        <v>0</v>
      </c>
      <c r="J140" s="682">
        <v>1</v>
      </c>
      <c r="K140" s="579" t="str">
        <f t="shared" si="313"/>
        <v/>
      </c>
      <c r="L140" s="580" t="str">
        <f>IF(H140="Select ingredient:","",IF(G140="","",_xlfn.IFNA(VLOOKUP($H140,Ingredient_prices!$E:$U,16,FALSE),0)))</f>
        <v/>
      </c>
      <c r="M140" s="840"/>
      <c r="N140" s="840"/>
      <c r="O140" s="581"/>
      <c r="P140" s="582"/>
      <c r="Q140" s="583">
        <f>I140/J140</f>
        <v>0</v>
      </c>
      <c r="R140" s="583">
        <f>VLOOKUP($H140,'CO2_emission+%_food_waste'!$A:$K,6,FALSE)*$Q140/100</f>
        <v>0</v>
      </c>
      <c r="S140" s="583">
        <f t="shared" si="314"/>
        <v>0</v>
      </c>
      <c r="T140" s="583" t="str">
        <f>IF(H140="Select ingredient:","",IF(G140="Select food category:","",_xlfn.IFNA(VLOOKUP($H140,Ingredient_prices!$E:$U,16,FALSE)*$Q140/1000,"not bought")))</f>
        <v/>
      </c>
      <c r="U140" s="583" t="str">
        <f>IF(G140="Select food category:","",_xlfn.IFNA(VLOOKUP($H140,Ingredient_prices!$E:$U,16,FALSE)*$R140/1000,"not bought"))</f>
        <v/>
      </c>
      <c r="V140" s="549">
        <f>VLOOKUP($H140,'CO2_emission+%_food_waste'!$A:$K,4,FALSE)*$Q140</f>
        <v>0</v>
      </c>
      <c r="W140" s="583">
        <f>VLOOKUP($H140,Nutrition_tables!$A:$N,10,FALSE)*$Q140/100</f>
        <v>0</v>
      </c>
      <c r="X140" s="583">
        <f>VLOOKUP($H140,Nutrition_tables!$A:$N,11,FALSE)*$Q140/100</f>
        <v>0</v>
      </c>
      <c r="Y140" s="583">
        <f>VLOOKUP($H140,Nutrition_tables!$A:$N,12,FALSE)*$Q140/100</f>
        <v>0</v>
      </c>
      <c r="Z140" s="583">
        <f>VLOOKUP($H140,Nutrition_tables!$A:$N,14,FALSE)*$Q140/100</f>
        <v>0</v>
      </c>
      <c r="AA140" s="583">
        <f>VLOOKUP($H140,Nutrition_tables!$A:$AF,13,FALSE)*$Q140/100</f>
        <v>0</v>
      </c>
      <c r="AB140" s="549">
        <f>VLOOKUP($H140,Nutrition_tables!$A:$AF,15,FALSE)*$Q140/100</f>
        <v>0</v>
      </c>
      <c r="AC140" s="583">
        <f>VLOOKUP($H140,Nutrition_tables!$A:$AF,16,FALSE)*$Q140/100</f>
        <v>0</v>
      </c>
      <c r="AD140" s="583">
        <f>VLOOKUP($H140,Nutrition_tables!$A:$AF,17,FALSE)*$Q140/100</f>
        <v>0</v>
      </c>
      <c r="AE140" s="583">
        <f>VLOOKUP($H140,Nutrition_tables!$A:$AF,18,FALSE)*$Q140/100</f>
        <v>0</v>
      </c>
      <c r="AF140" s="583">
        <f>VLOOKUP($H140,Nutrition_tables!$A:$AF,19,FALSE)*$Q140/100</f>
        <v>0</v>
      </c>
      <c r="AG140" s="583">
        <f>VLOOKUP($H140,Nutrition_tables!$A:$AF,20,FALSE)*$Q140/100</f>
        <v>0</v>
      </c>
      <c r="AH140" s="583">
        <f>VLOOKUP($H140,Nutrition_tables!$A:$AF,21,FALSE)*$Q140/100</f>
        <v>0</v>
      </c>
      <c r="AI140" s="583">
        <f>VLOOKUP($H140,Nutrition_tables!$A:$AF,22,FALSE)*$Q140/100</f>
        <v>0</v>
      </c>
      <c r="AJ140" s="549">
        <f>VLOOKUP($H140,Nutrition_tables!$A:$AF,23,FALSE)*$Q140/100</f>
        <v>0</v>
      </c>
      <c r="AK140" s="583">
        <f>VLOOKUP($H140,Nutrition_tables!$A:$AF,24,FALSE)*$Q140/100</f>
        <v>0</v>
      </c>
      <c r="AL140" s="583">
        <f>VLOOKUP($H140,Nutrition_tables!$A:$AF,25,FALSE)*$Q140/100</f>
        <v>0</v>
      </c>
      <c r="AM140" s="583">
        <f>VLOOKUP($H140,Nutrition_tables!$A:$AF,26,FALSE)*$Q140/100</f>
        <v>0</v>
      </c>
      <c r="AN140" s="583">
        <f>VLOOKUP($H140,Nutrition_tables!$A:$AF,27,FALSE)*$Q140/100</f>
        <v>0</v>
      </c>
      <c r="AO140" s="583">
        <f>VLOOKUP($H140,Nutrition_tables!$A:$AF,28,FALSE)*$Q140/100</f>
        <v>0</v>
      </c>
      <c r="AP140" s="583">
        <f>VLOOKUP($H140,Nutrition_tables!$A:$AF,29,FALSE)*$Q140/100</f>
        <v>0</v>
      </c>
      <c r="AQ140" s="583">
        <f>VLOOKUP($H140,Nutrition_tables!$A:$AF,30,FALSE)*$Q140/100</f>
        <v>0</v>
      </c>
      <c r="AR140" s="583">
        <f>VLOOKUP($H140,Nutrition_tables!$A:$AF,31,FALSE)*$Q140/100</f>
        <v>0</v>
      </c>
      <c r="AS140" s="549">
        <f>VLOOKUP($H140,Nutrition_tables!$A:$AF,32,FALSE)*$Q140/100</f>
        <v>0</v>
      </c>
      <c r="AT140" s="583" t="str">
        <f>IF(H140="Select ingredient:","",IF(G140="Select food category:","",IFERROR(VLOOKUP($H140,Ingredient_prices!$E:$W,17,FALSE)*$Q140/1000,"not bought")))</f>
        <v/>
      </c>
      <c r="AU140" s="583" t="str">
        <f>IF(H140="Select ingredient:","",IF(G140="Select food category:","",IFERROR(VLOOKUP($H140,Ingredient_prices!$E:$W,18,FALSE)*$Q140/1000,"not bought")))</f>
        <v/>
      </c>
      <c r="AV140" s="583">
        <f t="shared" si="315"/>
        <v>0</v>
      </c>
      <c r="AW140" s="583">
        <f t="shared" si="316"/>
        <v>0</v>
      </c>
      <c r="AX140" s="583">
        <f t="shared" si="317"/>
        <v>0</v>
      </c>
      <c r="AY140" s="583">
        <f t="shared" si="318"/>
        <v>0</v>
      </c>
      <c r="AZ140" s="583">
        <f t="shared" si="319"/>
        <v>0</v>
      </c>
      <c r="BA140" s="583">
        <f t="shared" si="320"/>
        <v>0</v>
      </c>
      <c r="BB140" s="583">
        <f t="shared" si="321"/>
        <v>0</v>
      </c>
      <c r="BC140" s="583">
        <f t="shared" si="322"/>
        <v>0</v>
      </c>
      <c r="BD140" s="583">
        <f t="shared" si="323"/>
        <v>0</v>
      </c>
      <c r="BE140" s="583">
        <f t="shared" si="324"/>
        <v>0</v>
      </c>
      <c r="BF140" s="583">
        <f t="shared" si="325"/>
        <v>0</v>
      </c>
      <c r="BG140" s="583">
        <f t="shared" si="326"/>
        <v>0</v>
      </c>
      <c r="BH140" s="583">
        <f t="shared" si="327"/>
        <v>0</v>
      </c>
      <c r="BI140" s="583">
        <f t="shared" si="328"/>
        <v>0</v>
      </c>
      <c r="BJ140" s="583">
        <f t="shared" si="329"/>
        <v>0</v>
      </c>
      <c r="BK140" s="583">
        <f t="shared" si="330"/>
        <v>0</v>
      </c>
      <c r="BL140" s="583">
        <f t="shared" si="331"/>
        <v>0</v>
      </c>
      <c r="BM140" s="583">
        <f t="shared" si="332"/>
        <v>0</v>
      </c>
      <c r="BN140" s="583">
        <f t="shared" si="333"/>
        <v>0</v>
      </c>
      <c r="BO140" s="583">
        <f t="shared" si="334"/>
        <v>0</v>
      </c>
      <c r="BP140" s="583">
        <f t="shared" si="335"/>
        <v>0</v>
      </c>
      <c r="BQ140" s="583">
        <f t="shared" si="336"/>
        <v>0</v>
      </c>
      <c r="BR140" s="583">
        <f t="shared" si="337"/>
        <v>0</v>
      </c>
    </row>
    <row r="141" spans="1:70" s="229" customFormat="1" ht="15" customHeight="1">
      <c r="A141" s="574"/>
      <c r="D141" s="85"/>
      <c r="E141" s="576">
        <f t="shared" si="338"/>
        <v>100</v>
      </c>
      <c r="F141" s="1131"/>
      <c r="G141" s="406" t="s">
        <v>3054</v>
      </c>
      <c r="H141" s="1262" t="s">
        <v>3055</v>
      </c>
      <c r="I141" s="85">
        <v>0</v>
      </c>
      <c r="J141" s="682">
        <v>1</v>
      </c>
      <c r="K141" s="579" t="str">
        <f t="shared" si="313"/>
        <v/>
      </c>
      <c r="L141" s="580" t="str">
        <f>IF(H141="Select ingredient:","",IF(G141="","",_xlfn.IFNA(VLOOKUP($H141,Ingredient_prices!$E:$U,16,FALSE),0)))</f>
        <v/>
      </c>
      <c r="M141" s="840"/>
      <c r="N141" s="840"/>
      <c r="O141" s="581"/>
      <c r="P141" s="582"/>
      <c r="Q141" s="583">
        <f>I141/J141</f>
        <v>0</v>
      </c>
      <c r="R141" s="583">
        <f>VLOOKUP($H141,'CO2_emission+%_food_waste'!$A:$K,6,FALSE)*$Q141/100</f>
        <v>0</v>
      </c>
      <c r="S141" s="583">
        <f t="shared" si="314"/>
        <v>0</v>
      </c>
      <c r="T141" s="583" t="str">
        <f>IF(H141="Select ingredient:","",IF(G141="Select food category:","",_xlfn.IFNA(VLOOKUP($H141,Ingredient_prices!$E:$U,16,FALSE)*$Q141/1000,"not bought")))</f>
        <v/>
      </c>
      <c r="U141" s="583" t="str">
        <f>IF(G141="Select food category:","",_xlfn.IFNA(VLOOKUP($H141,Ingredient_prices!$E:$U,16,FALSE)*$R141/1000,"not bought"))</f>
        <v/>
      </c>
      <c r="V141" s="549">
        <f>VLOOKUP($H141,'CO2_emission+%_food_waste'!$A:$K,4,FALSE)*$Q141</f>
        <v>0</v>
      </c>
      <c r="W141" s="583">
        <f>VLOOKUP($H141,Nutrition_tables!$A:$N,10,FALSE)*$Q141/100</f>
        <v>0</v>
      </c>
      <c r="X141" s="583">
        <f>VLOOKUP($H141,Nutrition_tables!$A:$N,11,FALSE)*$Q141/100</f>
        <v>0</v>
      </c>
      <c r="Y141" s="583">
        <f>VLOOKUP($H141,Nutrition_tables!$A:$N,12,FALSE)*$Q141/100</f>
        <v>0</v>
      </c>
      <c r="Z141" s="583">
        <f>VLOOKUP($H141,Nutrition_tables!$A:$N,14,FALSE)*$Q141/100</f>
        <v>0</v>
      </c>
      <c r="AA141" s="583">
        <f>VLOOKUP($H141,Nutrition_tables!$A:$AF,13,FALSE)*$Q141/100</f>
        <v>0</v>
      </c>
      <c r="AB141" s="549">
        <f>VLOOKUP($H141,Nutrition_tables!$A:$AF,15,FALSE)*$Q141/100</f>
        <v>0</v>
      </c>
      <c r="AC141" s="583">
        <f>VLOOKUP($H141,Nutrition_tables!$A:$AF,16,FALSE)*$Q141/100</f>
        <v>0</v>
      </c>
      <c r="AD141" s="583">
        <f>VLOOKUP($H141,Nutrition_tables!$A:$AF,17,FALSE)*$Q141/100</f>
        <v>0</v>
      </c>
      <c r="AE141" s="583">
        <f>VLOOKUP($H141,Nutrition_tables!$A:$AF,18,FALSE)*$Q141/100</f>
        <v>0</v>
      </c>
      <c r="AF141" s="583">
        <f>VLOOKUP($H141,Nutrition_tables!$A:$AF,19,FALSE)*$Q141/100</f>
        <v>0</v>
      </c>
      <c r="AG141" s="583">
        <f>VLOOKUP($H141,Nutrition_tables!$A:$AF,20,FALSE)*$Q141/100</f>
        <v>0</v>
      </c>
      <c r="AH141" s="583">
        <f>VLOOKUP($H141,Nutrition_tables!$A:$AF,21,FALSE)*$Q141/100</f>
        <v>0</v>
      </c>
      <c r="AI141" s="583">
        <f>VLOOKUP($H141,Nutrition_tables!$A:$AF,22,FALSE)*$Q141/100</f>
        <v>0</v>
      </c>
      <c r="AJ141" s="549">
        <f>VLOOKUP($H141,Nutrition_tables!$A:$AF,23,FALSE)*$Q141/100</f>
        <v>0</v>
      </c>
      <c r="AK141" s="583">
        <f>VLOOKUP($H141,Nutrition_tables!$A:$AF,24,FALSE)*$Q141/100</f>
        <v>0</v>
      </c>
      <c r="AL141" s="583">
        <f>VLOOKUP($H141,Nutrition_tables!$A:$AF,25,FALSE)*$Q141/100</f>
        <v>0</v>
      </c>
      <c r="AM141" s="583">
        <f>VLOOKUP($H141,Nutrition_tables!$A:$AF,26,FALSE)*$Q141/100</f>
        <v>0</v>
      </c>
      <c r="AN141" s="583">
        <f>VLOOKUP($H141,Nutrition_tables!$A:$AF,27,FALSE)*$Q141/100</f>
        <v>0</v>
      </c>
      <c r="AO141" s="583">
        <f>VLOOKUP($H141,Nutrition_tables!$A:$AF,28,FALSE)*$Q141/100</f>
        <v>0</v>
      </c>
      <c r="AP141" s="583">
        <f>VLOOKUP($H141,Nutrition_tables!$A:$AF,29,FALSE)*$Q141/100</f>
        <v>0</v>
      </c>
      <c r="AQ141" s="583">
        <f>VLOOKUP($H141,Nutrition_tables!$A:$AF,30,FALSE)*$Q141/100</f>
        <v>0</v>
      </c>
      <c r="AR141" s="583">
        <f>VLOOKUP($H141,Nutrition_tables!$A:$AF,31,FALSE)*$Q141/100</f>
        <v>0</v>
      </c>
      <c r="AS141" s="549">
        <f>VLOOKUP($H141,Nutrition_tables!$A:$AF,32,FALSE)*$Q141/100</f>
        <v>0</v>
      </c>
      <c r="AT141" s="583" t="str">
        <f>IF(H141="Select ingredient:","",IF(G141="Select food category:","",IFERROR(VLOOKUP($H141,Ingredient_prices!$E:$W,17,FALSE)*$Q141/1000,"not bought")))</f>
        <v/>
      </c>
      <c r="AU141" s="583" t="str">
        <f>IF(H141="Select ingredient:","",IF(G141="Select food category:","",IFERROR(VLOOKUP($H141,Ingredient_prices!$E:$W,18,FALSE)*$Q141/1000,"not bought")))</f>
        <v/>
      </c>
      <c r="AV141" s="583">
        <f t="shared" si="315"/>
        <v>0</v>
      </c>
      <c r="AW141" s="583">
        <f t="shared" si="316"/>
        <v>0</v>
      </c>
      <c r="AX141" s="583">
        <f t="shared" si="317"/>
        <v>0</v>
      </c>
      <c r="AY141" s="583">
        <f t="shared" si="318"/>
        <v>0</v>
      </c>
      <c r="AZ141" s="583">
        <f t="shared" si="319"/>
        <v>0</v>
      </c>
      <c r="BA141" s="583">
        <f t="shared" si="320"/>
        <v>0</v>
      </c>
      <c r="BB141" s="583">
        <f t="shared" si="321"/>
        <v>0</v>
      </c>
      <c r="BC141" s="583">
        <f t="shared" si="322"/>
        <v>0</v>
      </c>
      <c r="BD141" s="583">
        <f t="shared" si="323"/>
        <v>0</v>
      </c>
      <c r="BE141" s="583">
        <f t="shared" si="324"/>
        <v>0</v>
      </c>
      <c r="BF141" s="583">
        <f t="shared" si="325"/>
        <v>0</v>
      </c>
      <c r="BG141" s="583">
        <f t="shared" si="326"/>
        <v>0</v>
      </c>
      <c r="BH141" s="583">
        <f t="shared" si="327"/>
        <v>0</v>
      </c>
      <c r="BI141" s="583">
        <f t="shared" si="328"/>
        <v>0</v>
      </c>
      <c r="BJ141" s="583">
        <f t="shared" si="329"/>
        <v>0</v>
      </c>
      <c r="BK141" s="583">
        <f t="shared" si="330"/>
        <v>0</v>
      </c>
      <c r="BL141" s="583">
        <f t="shared" si="331"/>
        <v>0</v>
      </c>
      <c r="BM141" s="583">
        <f t="shared" si="332"/>
        <v>0</v>
      </c>
      <c r="BN141" s="583">
        <f t="shared" si="333"/>
        <v>0</v>
      </c>
      <c r="BO141" s="583">
        <f t="shared" si="334"/>
        <v>0</v>
      </c>
      <c r="BP141" s="583">
        <f t="shared" si="335"/>
        <v>0</v>
      </c>
      <c r="BQ141" s="583">
        <f t="shared" si="336"/>
        <v>0</v>
      </c>
      <c r="BR141" s="583">
        <f t="shared" si="337"/>
        <v>0</v>
      </c>
    </row>
    <row r="142" spans="1:70" s="229" customFormat="1" ht="15" customHeight="1">
      <c r="A142" s="574"/>
      <c r="D142" s="85"/>
      <c r="E142" s="576">
        <f t="shared" si="338"/>
        <v>100</v>
      </c>
      <c r="F142" s="1131"/>
      <c r="G142" s="406" t="s">
        <v>3054</v>
      </c>
      <c r="H142" s="1262" t="s">
        <v>3055</v>
      </c>
      <c r="I142" s="85">
        <v>0</v>
      </c>
      <c r="J142" s="682">
        <v>1</v>
      </c>
      <c r="K142" s="579" t="str">
        <f t="shared" si="313"/>
        <v/>
      </c>
      <c r="L142" s="580" t="str">
        <f>IF(H142="Select ingredient:","",IF(G142="","",_xlfn.IFNA(VLOOKUP($H142,Ingredient_prices!$E:$U,16,FALSE),0)))</f>
        <v/>
      </c>
      <c r="M142" s="840"/>
      <c r="N142" s="840"/>
      <c r="O142" s="581"/>
      <c r="P142" s="582"/>
      <c r="Q142" s="583">
        <f t="shared" ref="Q142:Q148" si="339">I142/J142</f>
        <v>0</v>
      </c>
      <c r="R142" s="583">
        <f>VLOOKUP($H142,'CO2_emission+%_food_waste'!$A:$K,6,FALSE)*$Q142/100</f>
        <v>0</v>
      </c>
      <c r="S142" s="583">
        <f t="shared" si="314"/>
        <v>0</v>
      </c>
      <c r="T142" s="583" t="str">
        <f>IF(H142="Select ingredient:","",IF(G142="Select food category:","",_xlfn.IFNA(VLOOKUP($H142,Ingredient_prices!$E:$U,16,FALSE)*$Q142/1000,"not bought")))</f>
        <v/>
      </c>
      <c r="U142" s="583" t="str">
        <f>IF(G142="Select food category:","",_xlfn.IFNA(VLOOKUP($H142,Ingredient_prices!$E:$U,16,FALSE)*$R142/1000,"not bought"))</f>
        <v/>
      </c>
      <c r="V142" s="549">
        <f>VLOOKUP($H142,'CO2_emission+%_food_waste'!$A:$K,4,FALSE)*$Q142</f>
        <v>0</v>
      </c>
      <c r="W142" s="583">
        <f>VLOOKUP($H142,Nutrition_tables!$A:$N,10,FALSE)*$Q142/100</f>
        <v>0</v>
      </c>
      <c r="X142" s="583">
        <f>VLOOKUP($H142,Nutrition_tables!$A:$N,11,FALSE)*$Q142/100</f>
        <v>0</v>
      </c>
      <c r="Y142" s="583">
        <f>VLOOKUP($H142,Nutrition_tables!$A:$N,12,FALSE)*$Q142/100</f>
        <v>0</v>
      </c>
      <c r="Z142" s="583">
        <f>VLOOKUP($H142,Nutrition_tables!$A:$N,14,FALSE)*$Q142/100</f>
        <v>0</v>
      </c>
      <c r="AA142" s="583">
        <f>VLOOKUP($H142,Nutrition_tables!$A:$AF,13,FALSE)*$Q142/100</f>
        <v>0</v>
      </c>
      <c r="AB142" s="549">
        <f>VLOOKUP($H142,Nutrition_tables!$A:$AF,15,FALSE)*$Q142/100</f>
        <v>0</v>
      </c>
      <c r="AC142" s="583">
        <f>VLOOKUP($H142,Nutrition_tables!$A:$AF,16,FALSE)*$Q142/100</f>
        <v>0</v>
      </c>
      <c r="AD142" s="583">
        <f>VLOOKUP($H142,Nutrition_tables!$A:$AF,17,FALSE)*$Q142/100</f>
        <v>0</v>
      </c>
      <c r="AE142" s="583">
        <f>VLOOKUP($H142,Nutrition_tables!$A:$AF,18,FALSE)*$Q142/100</f>
        <v>0</v>
      </c>
      <c r="AF142" s="583">
        <f>VLOOKUP($H142,Nutrition_tables!$A:$AF,19,FALSE)*$Q142/100</f>
        <v>0</v>
      </c>
      <c r="AG142" s="583">
        <f>VLOOKUP($H142,Nutrition_tables!$A:$AF,20,FALSE)*$Q142/100</f>
        <v>0</v>
      </c>
      <c r="AH142" s="583">
        <f>VLOOKUP($H142,Nutrition_tables!$A:$AF,21,FALSE)*$Q142/100</f>
        <v>0</v>
      </c>
      <c r="AI142" s="583">
        <f>VLOOKUP($H142,Nutrition_tables!$A:$AF,22,FALSE)*$Q142/100</f>
        <v>0</v>
      </c>
      <c r="AJ142" s="549">
        <f>VLOOKUP($H142,Nutrition_tables!$A:$AF,23,FALSE)*$Q142/100</f>
        <v>0</v>
      </c>
      <c r="AK142" s="583">
        <f>VLOOKUP($H142,Nutrition_tables!$A:$AF,24,FALSE)*$Q142/100</f>
        <v>0</v>
      </c>
      <c r="AL142" s="583">
        <f>VLOOKUP($H142,Nutrition_tables!$A:$AF,25,FALSE)*$Q142/100</f>
        <v>0</v>
      </c>
      <c r="AM142" s="583">
        <f>VLOOKUP($H142,Nutrition_tables!$A:$AF,26,FALSE)*$Q142/100</f>
        <v>0</v>
      </c>
      <c r="AN142" s="583">
        <f>VLOOKUP($H142,Nutrition_tables!$A:$AF,27,FALSE)*$Q142/100</f>
        <v>0</v>
      </c>
      <c r="AO142" s="583">
        <f>VLOOKUP($H142,Nutrition_tables!$A:$AF,28,FALSE)*$Q142/100</f>
        <v>0</v>
      </c>
      <c r="AP142" s="583">
        <f>VLOOKUP($H142,Nutrition_tables!$A:$AF,29,FALSE)*$Q142/100</f>
        <v>0</v>
      </c>
      <c r="AQ142" s="583">
        <f>VLOOKUP($H142,Nutrition_tables!$A:$AF,30,FALSE)*$Q142/100</f>
        <v>0</v>
      </c>
      <c r="AR142" s="583">
        <f>VLOOKUP($H142,Nutrition_tables!$A:$AF,31,FALSE)*$Q142/100</f>
        <v>0</v>
      </c>
      <c r="AS142" s="549">
        <f>VLOOKUP($H142,Nutrition_tables!$A:$AF,32,FALSE)*$Q142/100</f>
        <v>0</v>
      </c>
      <c r="AT142" s="583" t="str">
        <f>IF(H142="Select ingredient:","",IF(G142="Select food category:","",IFERROR(VLOOKUP($H142,Ingredient_prices!$E:$W,17,FALSE)*$Q142/1000,"not bought")))</f>
        <v/>
      </c>
      <c r="AU142" s="583" t="str">
        <f>IF(H142="Select ingredient:","",IF(G142="Select food category:","",IFERROR(VLOOKUP($H142,Ingredient_prices!$E:$W,18,FALSE)*$Q142/1000,"not bought")))</f>
        <v/>
      </c>
      <c r="AV142" s="583">
        <f t="shared" si="315"/>
        <v>0</v>
      </c>
      <c r="AW142" s="583">
        <f t="shared" si="316"/>
        <v>0</v>
      </c>
      <c r="AX142" s="583">
        <f t="shared" si="317"/>
        <v>0</v>
      </c>
      <c r="AY142" s="583">
        <f t="shared" si="318"/>
        <v>0</v>
      </c>
      <c r="AZ142" s="583">
        <f t="shared" si="319"/>
        <v>0</v>
      </c>
      <c r="BA142" s="583">
        <f t="shared" si="320"/>
        <v>0</v>
      </c>
      <c r="BB142" s="583">
        <f t="shared" si="321"/>
        <v>0</v>
      </c>
      <c r="BC142" s="583">
        <f t="shared" si="322"/>
        <v>0</v>
      </c>
      <c r="BD142" s="583">
        <f t="shared" si="323"/>
        <v>0</v>
      </c>
      <c r="BE142" s="583">
        <f t="shared" si="324"/>
        <v>0</v>
      </c>
      <c r="BF142" s="583">
        <f t="shared" si="325"/>
        <v>0</v>
      </c>
      <c r="BG142" s="583">
        <f t="shared" si="326"/>
        <v>0</v>
      </c>
      <c r="BH142" s="583">
        <f t="shared" si="327"/>
        <v>0</v>
      </c>
      <c r="BI142" s="583">
        <f t="shared" si="328"/>
        <v>0</v>
      </c>
      <c r="BJ142" s="583">
        <f t="shared" si="329"/>
        <v>0</v>
      </c>
      <c r="BK142" s="583">
        <f t="shared" si="330"/>
        <v>0</v>
      </c>
      <c r="BL142" s="583">
        <f t="shared" si="331"/>
        <v>0</v>
      </c>
      <c r="BM142" s="583">
        <f t="shared" si="332"/>
        <v>0</v>
      </c>
      <c r="BN142" s="583">
        <f t="shared" si="333"/>
        <v>0</v>
      </c>
      <c r="BO142" s="583">
        <f t="shared" si="334"/>
        <v>0</v>
      </c>
      <c r="BP142" s="583">
        <f t="shared" si="335"/>
        <v>0</v>
      </c>
      <c r="BQ142" s="583">
        <f t="shared" si="336"/>
        <v>0</v>
      </c>
      <c r="BR142" s="583">
        <f t="shared" si="337"/>
        <v>0</v>
      </c>
    </row>
    <row r="143" spans="1:70" s="229" customFormat="1" ht="15" customHeight="1">
      <c r="A143" s="574"/>
      <c r="D143" s="85"/>
      <c r="E143" s="576">
        <f t="shared" si="338"/>
        <v>100</v>
      </c>
      <c r="F143" s="1131"/>
      <c r="G143" s="406" t="s">
        <v>3054</v>
      </c>
      <c r="H143" s="1262" t="s">
        <v>3055</v>
      </c>
      <c r="I143" s="85">
        <v>0</v>
      </c>
      <c r="J143" s="682">
        <v>1</v>
      </c>
      <c r="K143" s="579" t="str">
        <f t="shared" si="313"/>
        <v/>
      </c>
      <c r="L143" s="580" t="str">
        <f>IF(H143="Select ingredient:","",IF(G143="","",_xlfn.IFNA(VLOOKUP($H143,Ingredient_prices!$E:$U,16,FALSE),0)))</f>
        <v/>
      </c>
      <c r="M143" s="840"/>
      <c r="N143" s="840"/>
      <c r="O143" s="581"/>
      <c r="P143" s="582"/>
      <c r="Q143" s="583">
        <f t="shared" si="339"/>
        <v>0</v>
      </c>
      <c r="R143" s="583">
        <f>VLOOKUP($H143,'CO2_emission+%_food_waste'!$A:$K,6,FALSE)*$Q143/100</f>
        <v>0</v>
      </c>
      <c r="S143" s="583">
        <f t="shared" si="314"/>
        <v>0</v>
      </c>
      <c r="T143" s="583" t="str">
        <f>IF(H143="Select ingredient:","",IF(G143="Select food category:","",_xlfn.IFNA(VLOOKUP($H143,Ingredient_prices!$E:$U,16,FALSE)*$Q143/1000,"not bought")))</f>
        <v/>
      </c>
      <c r="U143" s="583" t="str">
        <f>IF(G143="Select food category:","",_xlfn.IFNA(VLOOKUP($H143,Ingredient_prices!$E:$U,16,FALSE)*$R143/1000,"not bought"))</f>
        <v/>
      </c>
      <c r="V143" s="549">
        <f>VLOOKUP($H143,'CO2_emission+%_food_waste'!$A:$K,4,FALSE)*$Q143</f>
        <v>0</v>
      </c>
      <c r="W143" s="583">
        <f>VLOOKUP($H143,Nutrition_tables!$A:$N,10,FALSE)*$Q143/100</f>
        <v>0</v>
      </c>
      <c r="X143" s="583">
        <f>VLOOKUP($H143,Nutrition_tables!$A:$N,11,FALSE)*$Q143/100</f>
        <v>0</v>
      </c>
      <c r="Y143" s="583">
        <f>VLOOKUP($H143,Nutrition_tables!$A:$N,12,FALSE)*$Q143/100</f>
        <v>0</v>
      </c>
      <c r="Z143" s="583">
        <f>VLOOKUP($H143,Nutrition_tables!$A:$N,14,FALSE)*$Q143/100</f>
        <v>0</v>
      </c>
      <c r="AA143" s="583">
        <f>VLOOKUP($H143,Nutrition_tables!$A:$AF,13,FALSE)*$Q143/100</f>
        <v>0</v>
      </c>
      <c r="AB143" s="549">
        <f>VLOOKUP($H143,Nutrition_tables!$A:$AF,15,FALSE)*$Q143/100</f>
        <v>0</v>
      </c>
      <c r="AC143" s="583">
        <f>VLOOKUP($H143,Nutrition_tables!$A:$AF,16,FALSE)*$Q143/100</f>
        <v>0</v>
      </c>
      <c r="AD143" s="583">
        <f>VLOOKUP($H143,Nutrition_tables!$A:$AF,17,FALSE)*$Q143/100</f>
        <v>0</v>
      </c>
      <c r="AE143" s="583">
        <f>VLOOKUP($H143,Nutrition_tables!$A:$AF,18,FALSE)*$Q143/100</f>
        <v>0</v>
      </c>
      <c r="AF143" s="583">
        <f>VLOOKUP($H143,Nutrition_tables!$A:$AF,19,FALSE)*$Q143/100</f>
        <v>0</v>
      </c>
      <c r="AG143" s="583">
        <f>VLOOKUP($H143,Nutrition_tables!$A:$AF,20,FALSE)*$Q143/100</f>
        <v>0</v>
      </c>
      <c r="AH143" s="583">
        <f>VLOOKUP($H143,Nutrition_tables!$A:$AF,21,FALSE)*$Q143/100</f>
        <v>0</v>
      </c>
      <c r="AI143" s="583">
        <f>VLOOKUP($H143,Nutrition_tables!$A:$AF,22,FALSE)*$Q143/100</f>
        <v>0</v>
      </c>
      <c r="AJ143" s="549">
        <f>VLOOKUP($H143,Nutrition_tables!$A:$AF,23,FALSE)*$Q143/100</f>
        <v>0</v>
      </c>
      <c r="AK143" s="583">
        <f>VLOOKUP($H143,Nutrition_tables!$A:$AF,24,FALSE)*$Q143/100</f>
        <v>0</v>
      </c>
      <c r="AL143" s="583">
        <f>VLOOKUP($H143,Nutrition_tables!$A:$AF,25,FALSE)*$Q143/100</f>
        <v>0</v>
      </c>
      <c r="AM143" s="583">
        <f>VLOOKUP($H143,Nutrition_tables!$A:$AF,26,FALSE)*$Q143/100</f>
        <v>0</v>
      </c>
      <c r="AN143" s="583">
        <f>VLOOKUP($H143,Nutrition_tables!$A:$AF,27,FALSE)*$Q143/100</f>
        <v>0</v>
      </c>
      <c r="AO143" s="583">
        <f>VLOOKUP($H143,Nutrition_tables!$A:$AF,28,FALSE)*$Q143/100</f>
        <v>0</v>
      </c>
      <c r="AP143" s="583">
        <f>VLOOKUP($H143,Nutrition_tables!$A:$AF,29,FALSE)*$Q143/100</f>
        <v>0</v>
      </c>
      <c r="AQ143" s="583">
        <f>VLOOKUP($H143,Nutrition_tables!$A:$AF,30,FALSE)*$Q143/100</f>
        <v>0</v>
      </c>
      <c r="AR143" s="583">
        <f>VLOOKUP($H143,Nutrition_tables!$A:$AF,31,FALSE)*$Q143/100</f>
        <v>0</v>
      </c>
      <c r="AS143" s="549">
        <f>VLOOKUP($H143,Nutrition_tables!$A:$AF,32,FALSE)*$Q143/100</f>
        <v>0</v>
      </c>
      <c r="AT143" s="583" t="str">
        <f>IF(H143="Select ingredient:","",IF(G143="Select food category:","",IFERROR(VLOOKUP($H143,Ingredient_prices!$E:$W,17,FALSE)*$Q143/1000,"not bought")))</f>
        <v/>
      </c>
      <c r="AU143" s="583" t="str">
        <f>IF(H143="Select ingredient:","",IF(G143="Select food category:","",IFERROR(VLOOKUP($H143,Ingredient_prices!$E:$W,18,FALSE)*$Q143/1000,"not bought")))</f>
        <v/>
      </c>
      <c r="AV143" s="583">
        <f t="shared" si="315"/>
        <v>0</v>
      </c>
      <c r="AW143" s="583">
        <f t="shared" si="316"/>
        <v>0</v>
      </c>
      <c r="AX143" s="583">
        <f t="shared" si="317"/>
        <v>0</v>
      </c>
      <c r="AY143" s="583">
        <f t="shared" si="318"/>
        <v>0</v>
      </c>
      <c r="AZ143" s="583">
        <f t="shared" si="319"/>
        <v>0</v>
      </c>
      <c r="BA143" s="583">
        <f t="shared" si="320"/>
        <v>0</v>
      </c>
      <c r="BB143" s="583">
        <f t="shared" si="321"/>
        <v>0</v>
      </c>
      <c r="BC143" s="583">
        <f t="shared" si="322"/>
        <v>0</v>
      </c>
      <c r="BD143" s="583">
        <f t="shared" si="323"/>
        <v>0</v>
      </c>
      <c r="BE143" s="583">
        <f t="shared" si="324"/>
        <v>0</v>
      </c>
      <c r="BF143" s="583">
        <f t="shared" si="325"/>
        <v>0</v>
      </c>
      <c r="BG143" s="583">
        <f t="shared" si="326"/>
        <v>0</v>
      </c>
      <c r="BH143" s="583">
        <f t="shared" si="327"/>
        <v>0</v>
      </c>
      <c r="BI143" s="583">
        <f t="shared" si="328"/>
        <v>0</v>
      </c>
      <c r="BJ143" s="583">
        <f t="shared" si="329"/>
        <v>0</v>
      </c>
      <c r="BK143" s="583">
        <f t="shared" si="330"/>
        <v>0</v>
      </c>
      <c r="BL143" s="583">
        <f t="shared" si="331"/>
        <v>0</v>
      </c>
      <c r="BM143" s="583">
        <f t="shared" si="332"/>
        <v>0</v>
      </c>
      <c r="BN143" s="583">
        <f t="shared" si="333"/>
        <v>0</v>
      </c>
      <c r="BO143" s="583">
        <f t="shared" si="334"/>
        <v>0</v>
      </c>
      <c r="BP143" s="583">
        <f t="shared" si="335"/>
        <v>0</v>
      </c>
      <c r="BQ143" s="583">
        <f t="shared" si="336"/>
        <v>0</v>
      </c>
      <c r="BR143" s="583">
        <f t="shared" si="337"/>
        <v>0</v>
      </c>
    </row>
    <row r="144" spans="1:70" s="229" customFormat="1" ht="15" customHeight="1">
      <c r="A144" s="574"/>
      <c r="D144" s="85"/>
      <c r="E144" s="576">
        <f t="shared" si="338"/>
        <v>100</v>
      </c>
      <c r="F144" s="85"/>
      <c r="G144" s="406" t="s">
        <v>3054</v>
      </c>
      <c r="H144" s="1262" t="s">
        <v>3055</v>
      </c>
      <c r="I144" s="85">
        <v>0</v>
      </c>
      <c r="J144" s="682">
        <v>1</v>
      </c>
      <c r="K144" s="579" t="str">
        <f t="shared" si="313"/>
        <v/>
      </c>
      <c r="L144" s="580" t="str">
        <f>IF(H144="Select ingredient:","",IF(G144="","",_xlfn.IFNA(VLOOKUP($H144,Ingredient_prices!$E:$U,16,FALSE),0)))</f>
        <v/>
      </c>
      <c r="M144" s="840"/>
      <c r="N144" s="840"/>
      <c r="O144" s="581"/>
      <c r="P144" s="582"/>
      <c r="Q144" s="583">
        <f t="shared" si="339"/>
        <v>0</v>
      </c>
      <c r="R144" s="583">
        <f>VLOOKUP($H144,'CO2_emission+%_food_waste'!$A:$K,6,FALSE)*$Q144/100</f>
        <v>0</v>
      </c>
      <c r="S144" s="583">
        <f t="shared" si="314"/>
        <v>0</v>
      </c>
      <c r="T144" s="583" t="str">
        <f>IF(H144="Select ingredient:","",IF(G144="Select food category:","",_xlfn.IFNA(VLOOKUP($H144,Ingredient_prices!$E:$U,16,FALSE)*$Q144/1000,"not bought")))</f>
        <v/>
      </c>
      <c r="U144" s="583" t="str">
        <f>IF(G144="Select food category:","",_xlfn.IFNA(VLOOKUP($H144,Ingredient_prices!$E:$U,16,FALSE)*$R144/1000,"not bought"))</f>
        <v/>
      </c>
      <c r="V144" s="549">
        <f>VLOOKUP($H144,'CO2_emission+%_food_waste'!$A:$K,4,FALSE)*$Q144</f>
        <v>0</v>
      </c>
      <c r="W144" s="583">
        <f>VLOOKUP($H144,Nutrition_tables!$A:$N,10,FALSE)*$Q144/100</f>
        <v>0</v>
      </c>
      <c r="X144" s="583">
        <f>VLOOKUP($H144,Nutrition_tables!$A:$N,11,FALSE)*$Q144/100</f>
        <v>0</v>
      </c>
      <c r="Y144" s="583">
        <f>VLOOKUP($H144,Nutrition_tables!$A:$N,12,FALSE)*$Q144/100</f>
        <v>0</v>
      </c>
      <c r="Z144" s="583">
        <f>VLOOKUP($H144,Nutrition_tables!$A:$N,14,FALSE)*$Q144/100</f>
        <v>0</v>
      </c>
      <c r="AA144" s="583">
        <f>VLOOKUP($H144,Nutrition_tables!$A:$AF,13,FALSE)*$Q144/100</f>
        <v>0</v>
      </c>
      <c r="AB144" s="549">
        <f>VLOOKUP($H144,Nutrition_tables!$A:$AF,15,FALSE)*$Q144/100</f>
        <v>0</v>
      </c>
      <c r="AC144" s="583">
        <f>VLOOKUP($H144,Nutrition_tables!$A:$AF,16,FALSE)*$Q144/100</f>
        <v>0</v>
      </c>
      <c r="AD144" s="583">
        <f>VLOOKUP($H144,Nutrition_tables!$A:$AF,17,FALSE)*$Q144/100</f>
        <v>0</v>
      </c>
      <c r="AE144" s="583">
        <f>VLOOKUP($H144,Nutrition_tables!$A:$AF,18,FALSE)*$Q144/100</f>
        <v>0</v>
      </c>
      <c r="AF144" s="583">
        <f>VLOOKUP($H144,Nutrition_tables!$A:$AF,19,FALSE)*$Q144/100</f>
        <v>0</v>
      </c>
      <c r="AG144" s="583">
        <f>VLOOKUP($H144,Nutrition_tables!$A:$AF,20,FALSE)*$Q144/100</f>
        <v>0</v>
      </c>
      <c r="AH144" s="583">
        <f>VLOOKUP($H144,Nutrition_tables!$A:$AF,21,FALSE)*$Q144/100</f>
        <v>0</v>
      </c>
      <c r="AI144" s="583">
        <f>VLOOKUP($H144,Nutrition_tables!$A:$AF,22,FALSE)*$Q144/100</f>
        <v>0</v>
      </c>
      <c r="AJ144" s="549">
        <f>VLOOKUP($H144,Nutrition_tables!$A:$AF,23,FALSE)*$Q144/100</f>
        <v>0</v>
      </c>
      <c r="AK144" s="583">
        <f>VLOOKUP($H144,Nutrition_tables!$A:$AF,24,FALSE)*$Q144/100</f>
        <v>0</v>
      </c>
      <c r="AL144" s="583">
        <f>VLOOKUP($H144,Nutrition_tables!$A:$AF,25,FALSE)*$Q144/100</f>
        <v>0</v>
      </c>
      <c r="AM144" s="583">
        <f>VLOOKUP($H144,Nutrition_tables!$A:$AF,26,FALSE)*$Q144/100</f>
        <v>0</v>
      </c>
      <c r="AN144" s="583">
        <f>VLOOKUP($H144,Nutrition_tables!$A:$AF,27,FALSE)*$Q144/100</f>
        <v>0</v>
      </c>
      <c r="AO144" s="583">
        <f>VLOOKUP($H144,Nutrition_tables!$A:$AF,28,FALSE)*$Q144/100</f>
        <v>0</v>
      </c>
      <c r="AP144" s="583">
        <f>VLOOKUP($H144,Nutrition_tables!$A:$AF,29,FALSE)*$Q144/100</f>
        <v>0</v>
      </c>
      <c r="AQ144" s="583">
        <f>VLOOKUP($H144,Nutrition_tables!$A:$AF,30,FALSE)*$Q144/100</f>
        <v>0</v>
      </c>
      <c r="AR144" s="583">
        <f>VLOOKUP($H144,Nutrition_tables!$A:$AF,31,FALSE)*$Q144/100</f>
        <v>0</v>
      </c>
      <c r="AS144" s="549">
        <f>VLOOKUP($H144,Nutrition_tables!$A:$AF,32,FALSE)*$Q144/100</f>
        <v>0</v>
      </c>
      <c r="AT144" s="583" t="str">
        <f>IF(H144="Select ingredient:","",IF(G144="Select food category:","",IFERROR(VLOOKUP($H144,Ingredient_prices!$E:$W,17,FALSE)*$Q144/1000,"not bought")))</f>
        <v/>
      </c>
      <c r="AU144" s="583" t="str">
        <f>IF(H144="Select ingredient:","",IF(G144="Select food category:","",IFERROR(VLOOKUP($H144,Ingredient_prices!$E:$W,18,FALSE)*$Q144/1000,"not bought")))</f>
        <v/>
      </c>
      <c r="AV144" s="583">
        <f t="shared" si="315"/>
        <v>0</v>
      </c>
      <c r="AW144" s="583">
        <f t="shared" si="316"/>
        <v>0</v>
      </c>
      <c r="AX144" s="583">
        <f t="shared" si="317"/>
        <v>0</v>
      </c>
      <c r="AY144" s="583">
        <f t="shared" si="318"/>
        <v>0</v>
      </c>
      <c r="AZ144" s="583">
        <f t="shared" si="319"/>
        <v>0</v>
      </c>
      <c r="BA144" s="583">
        <f t="shared" si="320"/>
        <v>0</v>
      </c>
      <c r="BB144" s="583">
        <f t="shared" si="321"/>
        <v>0</v>
      </c>
      <c r="BC144" s="583">
        <f t="shared" si="322"/>
        <v>0</v>
      </c>
      <c r="BD144" s="583">
        <f t="shared" si="323"/>
        <v>0</v>
      </c>
      <c r="BE144" s="583">
        <f t="shared" si="324"/>
        <v>0</v>
      </c>
      <c r="BF144" s="583">
        <f t="shared" si="325"/>
        <v>0</v>
      </c>
      <c r="BG144" s="583">
        <f t="shared" si="326"/>
        <v>0</v>
      </c>
      <c r="BH144" s="583">
        <f t="shared" si="327"/>
        <v>0</v>
      </c>
      <c r="BI144" s="583">
        <f t="shared" si="328"/>
        <v>0</v>
      </c>
      <c r="BJ144" s="583">
        <f t="shared" si="329"/>
        <v>0</v>
      </c>
      <c r="BK144" s="583">
        <f t="shared" si="330"/>
        <v>0</v>
      </c>
      <c r="BL144" s="583">
        <f t="shared" si="331"/>
        <v>0</v>
      </c>
      <c r="BM144" s="583">
        <f t="shared" si="332"/>
        <v>0</v>
      </c>
      <c r="BN144" s="583">
        <f t="shared" si="333"/>
        <v>0</v>
      </c>
      <c r="BO144" s="583">
        <f t="shared" si="334"/>
        <v>0</v>
      </c>
      <c r="BP144" s="583">
        <f t="shared" si="335"/>
        <v>0</v>
      </c>
      <c r="BQ144" s="583">
        <f t="shared" si="336"/>
        <v>0</v>
      </c>
      <c r="BR144" s="583">
        <f t="shared" si="337"/>
        <v>0</v>
      </c>
    </row>
    <row r="145" spans="1:70" s="229" customFormat="1" ht="15" customHeight="1">
      <c r="A145" s="574"/>
      <c r="D145" s="85"/>
      <c r="E145" s="576">
        <f t="shared" si="338"/>
        <v>100</v>
      </c>
      <c r="F145" s="85"/>
      <c r="G145" s="406" t="s">
        <v>3054</v>
      </c>
      <c r="H145" s="1262" t="s">
        <v>3055</v>
      </c>
      <c r="I145" s="85">
        <v>0</v>
      </c>
      <c r="J145" s="682">
        <v>1</v>
      </c>
      <c r="K145" s="579" t="str">
        <f t="shared" si="313"/>
        <v/>
      </c>
      <c r="L145" s="580" t="str">
        <f>IF(H145="Select ingredient:","",IF(G145="","",_xlfn.IFNA(VLOOKUP($H145,Ingredient_prices!$E:$U,16,FALSE),0)))</f>
        <v/>
      </c>
      <c r="M145" s="840"/>
      <c r="N145" s="840"/>
      <c r="O145" s="581"/>
      <c r="P145" s="582"/>
      <c r="Q145" s="583">
        <f t="shared" si="339"/>
        <v>0</v>
      </c>
      <c r="R145" s="583">
        <f>VLOOKUP($H145,'CO2_emission+%_food_waste'!$A:$K,6,FALSE)*$Q145/100</f>
        <v>0</v>
      </c>
      <c r="S145" s="583">
        <f t="shared" si="314"/>
        <v>0</v>
      </c>
      <c r="T145" s="583" t="str">
        <f>IF(H145="Select ingredient:","",IF(G145="Select food category:","",_xlfn.IFNA(VLOOKUP($H145,Ingredient_prices!$E:$U,16,FALSE)*$Q145/1000,"not bought")))</f>
        <v/>
      </c>
      <c r="U145" s="583" t="str">
        <f>IF(G145="Select food category:","",_xlfn.IFNA(VLOOKUP($H145,Ingredient_prices!$E:$U,16,FALSE)*$R145/1000,"not bought"))</f>
        <v/>
      </c>
      <c r="V145" s="549">
        <f>VLOOKUP($H145,'CO2_emission+%_food_waste'!$A:$K,4,FALSE)*$Q145</f>
        <v>0</v>
      </c>
      <c r="W145" s="583">
        <f>VLOOKUP($H145,Nutrition_tables!$A:$N,10,FALSE)*$Q145/100</f>
        <v>0</v>
      </c>
      <c r="X145" s="583">
        <f>VLOOKUP($H145,Nutrition_tables!$A:$N,11,FALSE)*$Q145/100</f>
        <v>0</v>
      </c>
      <c r="Y145" s="583">
        <f>VLOOKUP($H145,Nutrition_tables!$A:$N,12,FALSE)*$Q145/100</f>
        <v>0</v>
      </c>
      <c r="Z145" s="583">
        <f>VLOOKUP($H145,Nutrition_tables!$A:$N,14,FALSE)*$Q145/100</f>
        <v>0</v>
      </c>
      <c r="AA145" s="583">
        <f>VLOOKUP($H145,Nutrition_tables!$A:$AF,13,FALSE)*$Q145/100</f>
        <v>0</v>
      </c>
      <c r="AB145" s="549">
        <f>VLOOKUP($H145,Nutrition_tables!$A:$AF,15,FALSE)*$Q145/100</f>
        <v>0</v>
      </c>
      <c r="AC145" s="583">
        <f>VLOOKUP($H145,Nutrition_tables!$A:$AF,16,FALSE)*$Q145/100</f>
        <v>0</v>
      </c>
      <c r="AD145" s="583">
        <f>VLOOKUP($H145,Nutrition_tables!$A:$AF,17,FALSE)*$Q145/100</f>
        <v>0</v>
      </c>
      <c r="AE145" s="583">
        <f>VLOOKUP($H145,Nutrition_tables!$A:$AF,18,FALSE)*$Q145/100</f>
        <v>0</v>
      </c>
      <c r="AF145" s="583">
        <f>VLOOKUP($H145,Nutrition_tables!$A:$AF,19,FALSE)*$Q145/100</f>
        <v>0</v>
      </c>
      <c r="AG145" s="583">
        <f>VLOOKUP($H145,Nutrition_tables!$A:$AF,20,FALSE)*$Q145/100</f>
        <v>0</v>
      </c>
      <c r="AH145" s="583">
        <f>VLOOKUP($H145,Nutrition_tables!$A:$AF,21,FALSE)*$Q145/100</f>
        <v>0</v>
      </c>
      <c r="AI145" s="583">
        <f>VLOOKUP($H145,Nutrition_tables!$A:$AF,22,FALSE)*$Q145/100</f>
        <v>0</v>
      </c>
      <c r="AJ145" s="549">
        <f>VLOOKUP($H145,Nutrition_tables!$A:$AF,23,FALSE)*$Q145/100</f>
        <v>0</v>
      </c>
      <c r="AK145" s="583">
        <f>VLOOKUP($H145,Nutrition_tables!$A:$AF,24,FALSE)*$Q145/100</f>
        <v>0</v>
      </c>
      <c r="AL145" s="583">
        <f>VLOOKUP($H145,Nutrition_tables!$A:$AF,25,FALSE)*$Q145/100</f>
        <v>0</v>
      </c>
      <c r="AM145" s="583">
        <f>VLOOKUP($H145,Nutrition_tables!$A:$AF,26,FALSE)*$Q145/100</f>
        <v>0</v>
      </c>
      <c r="AN145" s="583">
        <f>VLOOKUP($H145,Nutrition_tables!$A:$AF,27,FALSE)*$Q145/100</f>
        <v>0</v>
      </c>
      <c r="AO145" s="583">
        <f>VLOOKUP($H145,Nutrition_tables!$A:$AF,28,FALSE)*$Q145/100</f>
        <v>0</v>
      </c>
      <c r="AP145" s="583">
        <f>VLOOKUP($H145,Nutrition_tables!$A:$AF,29,FALSE)*$Q145/100</f>
        <v>0</v>
      </c>
      <c r="AQ145" s="583">
        <f>VLOOKUP($H145,Nutrition_tables!$A:$AF,30,FALSE)*$Q145/100</f>
        <v>0</v>
      </c>
      <c r="AR145" s="583">
        <f>VLOOKUP($H145,Nutrition_tables!$A:$AF,31,FALSE)*$Q145/100</f>
        <v>0</v>
      </c>
      <c r="AS145" s="549">
        <f>VLOOKUP($H145,Nutrition_tables!$A:$AF,32,FALSE)*$Q145/100</f>
        <v>0</v>
      </c>
      <c r="AT145" s="583" t="str">
        <f>IF(H145="Select ingredient:","",IF(G145="Select food category:","",IFERROR(VLOOKUP($H145,Ingredient_prices!$E:$W,17,FALSE)*$Q145/1000,"not bought")))</f>
        <v/>
      </c>
      <c r="AU145" s="583" t="str">
        <f>IF(H145="Select ingredient:","",IF(G145="Select food category:","",IFERROR(VLOOKUP($H145,Ingredient_prices!$E:$W,18,FALSE)*$Q145/1000,"not bought")))</f>
        <v/>
      </c>
      <c r="AV145" s="583">
        <f t="shared" si="315"/>
        <v>0</v>
      </c>
      <c r="AW145" s="583">
        <f t="shared" si="316"/>
        <v>0</v>
      </c>
      <c r="AX145" s="583">
        <f t="shared" si="317"/>
        <v>0</v>
      </c>
      <c r="AY145" s="583">
        <f t="shared" si="318"/>
        <v>0</v>
      </c>
      <c r="AZ145" s="583">
        <f t="shared" si="319"/>
        <v>0</v>
      </c>
      <c r="BA145" s="583">
        <f t="shared" si="320"/>
        <v>0</v>
      </c>
      <c r="BB145" s="583">
        <f t="shared" si="321"/>
        <v>0</v>
      </c>
      <c r="BC145" s="583">
        <f t="shared" si="322"/>
        <v>0</v>
      </c>
      <c r="BD145" s="583">
        <f t="shared" si="323"/>
        <v>0</v>
      </c>
      <c r="BE145" s="583">
        <f t="shared" si="324"/>
        <v>0</v>
      </c>
      <c r="BF145" s="583">
        <f t="shared" si="325"/>
        <v>0</v>
      </c>
      <c r="BG145" s="583">
        <f t="shared" si="326"/>
        <v>0</v>
      </c>
      <c r="BH145" s="583">
        <f t="shared" si="327"/>
        <v>0</v>
      </c>
      <c r="BI145" s="583">
        <f t="shared" si="328"/>
        <v>0</v>
      </c>
      <c r="BJ145" s="583">
        <f t="shared" si="329"/>
        <v>0</v>
      </c>
      <c r="BK145" s="583">
        <f t="shared" si="330"/>
        <v>0</v>
      </c>
      <c r="BL145" s="583">
        <f t="shared" si="331"/>
        <v>0</v>
      </c>
      <c r="BM145" s="583">
        <f t="shared" si="332"/>
        <v>0</v>
      </c>
      <c r="BN145" s="583">
        <f t="shared" si="333"/>
        <v>0</v>
      </c>
      <c r="BO145" s="583">
        <f t="shared" si="334"/>
        <v>0</v>
      </c>
      <c r="BP145" s="583">
        <f t="shared" si="335"/>
        <v>0</v>
      </c>
      <c r="BQ145" s="583">
        <f t="shared" si="336"/>
        <v>0</v>
      </c>
      <c r="BR145" s="583">
        <f t="shared" si="337"/>
        <v>0</v>
      </c>
    </row>
    <row r="146" spans="1:70" s="229" customFormat="1" ht="15" customHeight="1">
      <c r="A146" s="574"/>
      <c r="D146" s="85"/>
      <c r="E146" s="576">
        <f t="shared" si="338"/>
        <v>100</v>
      </c>
      <c r="F146" s="85"/>
      <c r="G146" s="406" t="s">
        <v>3054</v>
      </c>
      <c r="H146" s="1262" t="s">
        <v>3055</v>
      </c>
      <c r="I146" s="85">
        <v>0</v>
      </c>
      <c r="J146" s="682">
        <v>1</v>
      </c>
      <c r="K146" s="579" t="str">
        <f t="shared" si="313"/>
        <v/>
      </c>
      <c r="L146" s="580" t="str">
        <f>IF(H146="Select ingredient:","",IF(G146="","",_xlfn.IFNA(VLOOKUP($H146,Ingredient_prices!$E:$U,16,FALSE),0)))</f>
        <v/>
      </c>
      <c r="M146" s="840"/>
      <c r="N146" s="840"/>
      <c r="O146" s="581"/>
      <c r="P146" s="582"/>
      <c r="Q146" s="583">
        <f t="shared" si="339"/>
        <v>0</v>
      </c>
      <c r="R146" s="583">
        <f>VLOOKUP($H146,'CO2_emission+%_food_waste'!$A:$K,6,FALSE)*$Q146/100</f>
        <v>0</v>
      </c>
      <c r="S146" s="583">
        <f t="shared" si="314"/>
        <v>0</v>
      </c>
      <c r="T146" s="583" t="str">
        <f>IF(H146="Select ingredient:","",IF(G146="Select food category:","",_xlfn.IFNA(VLOOKUP($H146,Ingredient_prices!$E:$U,16,FALSE)*$Q146/1000,"not bought")))</f>
        <v/>
      </c>
      <c r="U146" s="583" t="str">
        <f>IF(G146="Select food category:","",_xlfn.IFNA(VLOOKUP($H146,Ingredient_prices!$E:$U,16,FALSE)*$R146/1000,"not bought"))</f>
        <v/>
      </c>
      <c r="V146" s="549">
        <f>VLOOKUP($H146,'CO2_emission+%_food_waste'!$A:$K,4,FALSE)*$Q146</f>
        <v>0</v>
      </c>
      <c r="W146" s="583">
        <f>VLOOKUP($H146,Nutrition_tables!$A:$N,10,FALSE)*$Q146/100</f>
        <v>0</v>
      </c>
      <c r="X146" s="583">
        <f>VLOOKUP($H146,Nutrition_tables!$A:$N,11,FALSE)*$Q146/100</f>
        <v>0</v>
      </c>
      <c r="Y146" s="583">
        <f>VLOOKUP($H146,Nutrition_tables!$A:$N,12,FALSE)*$Q146/100</f>
        <v>0</v>
      </c>
      <c r="Z146" s="583">
        <f>VLOOKUP($H146,Nutrition_tables!$A:$N,14,FALSE)*$Q146/100</f>
        <v>0</v>
      </c>
      <c r="AA146" s="583">
        <f>VLOOKUP($H146,Nutrition_tables!$A:$AF,13,FALSE)*$Q146/100</f>
        <v>0</v>
      </c>
      <c r="AB146" s="549">
        <f>VLOOKUP($H146,Nutrition_tables!$A:$AF,15,FALSE)*$Q146/100</f>
        <v>0</v>
      </c>
      <c r="AC146" s="583">
        <f>VLOOKUP($H146,Nutrition_tables!$A:$AF,16,FALSE)*$Q146/100</f>
        <v>0</v>
      </c>
      <c r="AD146" s="583">
        <f>VLOOKUP($H146,Nutrition_tables!$A:$AF,17,FALSE)*$Q146/100</f>
        <v>0</v>
      </c>
      <c r="AE146" s="583">
        <f>VLOOKUP($H146,Nutrition_tables!$A:$AF,18,FALSE)*$Q146/100</f>
        <v>0</v>
      </c>
      <c r="AF146" s="583">
        <f>VLOOKUP($H146,Nutrition_tables!$A:$AF,19,FALSE)*$Q146/100</f>
        <v>0</v>
      </c>
      <c r="AG146" s="583">
        <f>VLOOKUP($H146,Nutrition_tables!$A:$AF,20,FALSE)*$Q146/100</f>
        <v>0</v>
      </c>
      <c r="AH146" s="583">
        <f>VLOOKUP($H146,Nutrition_tables!$A:$AF,21,FALSE)*$Q146/100</f>
        <v>0</v>
      </c>
      <c r="AI146" s="583">
        <f>VLOOKUP($H146,Nutrition_tables!$A:$AF,22,FALSE)*$Q146/100</f>
        <v>0</v>
      </c>
      <c r="AJ146" s="549">
        <f>VLOOKUP($H146,Nutrition_tables!$A:$AF,23,FALSE)*$Q146/100</f>
        <v>0</v>
      </c>
      <c r="AK146" s="583">
        <f>VLOOKUP($H146,Nutrition_tables!$A:$AF,24,FALSE)*$Q146/100</f>
        <v>0</v>
      </c>
      <c r="AL146" s="583">
        <f>VLOOKUP($H146,Nutrition_tables!$A:$AF,25,FALSE)*$Q146/100</f>
        <v>0</v>
      </c>
      <c r="AM146" s="583">
        <f>VLOOKUP($H146,Nutrition_tables!$A:$AF,26,FALSE)*$Q146/100</f>
        <v>0</v>
      </c>
      <c r="AN146" s="583">
        <f>VLOOKUP($H146,Nutrition_tables!$A:$AF,27,FALSE)*$Q146/100</f>
        <v>0</v>
      </c>
      <c r="AO146" s="583">
        <f>VLOOKUP($H146,Nutrition_tables!$A:$AF,28,FALSE)*$Q146/100</f>
        <v>0</v>
      </c>
      <c r="AP146" s="583">
        <f>VLOOKUP($H146,Nutrition_tables!$A:$AF,29,FALSE)*$Q146/100</f>
        <v>0</v>
      </c>
      <c r="AQ146" s="583">
        <f>VLOOKUP($H146,Nutrition_tables!$A:$AF,30,FALSE)*$Q146/100</f>
        <v>0</v>
      </c>
      <c r="AR146" s="583">
        <f>VLOOKUP($H146,Nutrition_tables!$A:$AF,31,FALSE)*$Q146/100</f>
        <v>0</v>
      </c>
      <c r="AS146" s="549">
        <f>VLOOKUP($H146,Nutrition_tables!$A:$AF,32,FALSE)*$Q146/100</f>
        <v>0</v>
      </c>
      <c r="AT146" s="583" t="str">
        <f>IF(H146="Select ingredient:","",IF(G146="Select food category:","",IFERROR(VLOOKUP($H146,Ingredient_prices!$E:$W,17,FALSE)*$Q146/1000,"not bought")))</f>
        <v/>
      </c>
      <c r="AU146" s="583" t="str">
        <f>IF(H146="Select ingredient:","",IF(G146="Select food category:","",IFERROR(VLOOKUP($H146,Ingredient_prices!$E:$W,18,FALSE)*$Q146/1000,"not bought")))</f>
        <v/>
      </c>
      <c r="AV146" s="583">
        <f t="shared" si="315"/>
        <v>0</v>
      </c>
      <c r="AW146" s="583">
        <f t="shared" si="316"/>
        <v>0</v>
      </c>
      <c r="AX146" s="583">
        <f t="shared" si="317"/>
        <v>0</v>
      </c>
      <c r="AY146" s="583">
        <f t="shared" si="318"/>
        <v>0</v>
      </c>
      <c r="AZ146" s="583">
        <f t="shared" si="319"/>
        <v>0</v>
      </c>
      <c r="BA146" s="583">
        <f t="shared" si="320"/>
        <v>0</v>
      </c>
      <c r="BB146" s="583">
        <f t="shared" si="321"/>
        <v>0</v>
      </c>
      <c r="BC146" s="583">
        <f t="shared" si="322"/>
        <v>0</v>
      </c>
      <c r="BD146" s="583">
        <f t="shared" si="323"/>
        <v>0</v>
      </c>
      <c r="BE146" s="583">
        <f t="shared" si="324"/>
        <v>0</v>
      </c>
      <c r="BF146" s="583">
        <f t="shared" si="325"/>
        <v>0</v>
      </c>
      <c r="BG146" s="583">
        <f t="shared" si="326"/>
        <v>0</v>
      </c>
      <c r="BH146" s="583">
        <f t="shared" si="327"/>
        <v>0</v>
      </c>
      <c r="BI146" s="583">
        <f t="shared" si="328"/>
        <v>0</v>
      </c>
      <c r="BJ146" s="583">
        <f t="shared" si="329"/>
        <v>0</v>
      </c>
      <c r="BK146" s="583">
        <f t="shared" si="330"/>
        <v>0</v>
      </c>
      <c r="BL146" s="583">
        <f t="shared" si="331"/>
        <v>0</v>
      </c>
      <c r="BM146" s="583">
        <f t="shared" si="332"/>
        <v>0</v>
      </c>
      <c r="BN146" s="583">
        <f t="shared" si="333"/>
        <v>0</v>
      </c>
      <c r="BO146" s="583">
        <f t="shared" si="334"/>
        <v>0</v>
      </c>
      <c r="BP146" s="583">
        <f t="shared" si="335"/>
        <v>0</v>
      </c>
      <c r="BQ146" s="583">
        <f t="shared" si="336"/>
        <v>0</v>
      </c>
      <c r="BR146" s="583">
        <f t="shared" si="337"/>
        <v>0</v>
      </c>
    </row>
    <row r="147" spans="1:70" s="229" customFormat="1" ht="15" customHeight="1">
      <c r="A147" s="574"/>
      <c r="D147" s="85"/>
      <c r="E147" s="576">
        <f t="shared" si="338"/>
        <v>100</v>
      </c>
      <c r="F147" s="1131"/>
      <c r="G147" s="406" t="s">
        <v>3054</v>
      </c>
      <c r="H147" s="1262" t="s">
        <v>3055</v>
      </c>
      <c r="I147" s="85">
        <v>0</v>
      </c>
      <c r="J147" s="682">
        <v>1</v>
      </c>
      <c r="K147" s="579" t="str">
        <f t="shared" si="313"/>
        <v/>
      </c>
      <c r="L147" s="580" t="str">
        <f>IF(H147="Select ingredient:","",IF(G147="","",_xlfn.IFNA(VLOOKUP($H147,Ingredient_prices!$E:$U,16,FALSE),0)))</f>
        <v/>
      </c>
      <c r="M147" s="840"/>
      <c r="N147" s="840"/>
      <c r="O147" s="581"/>
      <c r="P147" s="582"/>
      <c r="Q147" s="583">
        <f t="shared" si="339"/>
        <v>0</v>
      </c>
      <c r="R147" s="583">
        <f>VLOOKUP($H147,'CO2_emission+%_food_waste'!$A:$K,6,FALSE)*$Q147/100</f>
        <v>0</v>
      </c>
      <c r="S147" s="583">
        <f t="shared" si="314"/>
        <v>0</v>
      </c>
      <c r="T147" s="583" t="str">
        <f>IF(H147="Select ingredient:","",IF(G147="Select food category:","",_xlfn.IFNA(VLOOKUP($H147,Ingredient_prices!$E:$U,16,FALSE)*$Q147/1000,"not bought")))</f>
        <v/>
      </c>
      <c r="U147" s="583" t="str">
        <f>IF(G147="Select food category:","",_xlfn.IFNA(VLOOKUP($H147,Ingredient_prices!$E:$U,16,FALSE)*$R147/1000,"not bought"))</f>
        <v/>
      </c>
      <c r="V147" s="549">
        <f>VLOOKUP($H147,'CO2_emission+%_food_waste'!$A:$K,4,FALSE)*$Q147</f>
        <v>0</v>
      </c>
      <c r="W147" s="583">
        <f>VLOOKUP($H147,Nutrition_tables!$A:$N,10,FALSE)*$Q147/100</f>
        <v>0</v>
      </c>
      <c r="X147" s="583">
        <f>VLOOKUP($H147,Nutrition_tables!$A:$N,11,FALSE)*$Q147/100</f>
        <v>0</v>
      </c>
      <c r="Y147" s="583">
        <f>VLOOKUP($H147,Nutrition_tables!$A:$N,12,FALSE)*$Q147/100</f>
        <v>0</v>
      </c>
      <c r="Z147" s="583">
        <f>VLOOKUP($H147,Nutrition_tables!$A:$N,14,FALSE)*$Q147/100</f>
        <v>0</v>
      </c>
      <c r="AA147" s="583">
        <f>VLOOKUP($H147,Nutrition_tables!$A:$AF,13,FALSE)*$Q147/100</f>
        <v>0</v>
      </c>
      <c r="AB147" s="549">
        <f>VLOOKUP($H147,Nutrition_tables!$A:$AF,15,FALSE)*$Q147/100</f>
        <v>0</v>
      </c>
      <c r="AC147" s="583">
        <f>VLOOKUP($H147,Nutrition_tables!$A:$AF,16,FALSE)*$Q147/100</f>
        <v>0</v>
      </c>
      <c r="AD147" s="583">
        <f>VLOOKUP($H147,Nutrition_tables!$A:$AF,17,FALSE)*$Q147/100</f>
        <v>0</v>
      </c>
      <c r="AE147" s="583">
        <f>VLOOKUP($H147,Nutrition_tables!$A:$AF,18,FALSE)*$Q147/100</f>
        <v>0</v>
      </c>
      <c r="AF147" s="583">
        <f>VLOOKUP($H147,Nutrition_tables!$A:$AF,19,FALSE)*$Q147/100</f>
        <v>0</v>
      </c>
      <c r="AG147" s="583">
        <f>VLOOKUP($H147,Nutrition_tables!$A:$AF,20,FALSE)*$Q147/100</f>
        <v>0</v>
      </c>
      <c r="AH147" s="583">
        <f>VLOOKUP($H147,Nutrition_tables!$A:$AF,21,FALSE)*$Q147/100</f>
        <v>0</v>
      </c>
      <c r="AI147" s="583">
        <f>VLOOKUP($H147,Nutrition_tables!$A:$AF,22,FALSE)*$Q147/100</f>
        <v>0</v>
      </c>
      <c r="AJ147" s="549">
        <f>VLOOKUP($H147,Nutrition_tables!$A:$AF,23,FALSE)*$Q147/100</f>
        <v>0</v>
      </c>
      <c r="AK147" s="583">
        <f>VLOOKUP($H147,Nutrition_tables!$A:$AF,24,FALSE)*$Q147/100</f>
        <v>0</v>
      </c>
      <c r="AL147" s="583">
        <f>VLOOKUP($H147,Nutrition_tables!$A:$AF,25,FALSE)*$Q147/100</f>
        <v>0</v>
      </c>
      <c r="AM147" s="583">
        <f>VLOOKUP($H147,Nutrition_tables!$A:$AF,26,FALSE)*$Q147/100</f>
        <v>0</v>
      </c>
      <c r="AN147" s="583">
        <f>VLOOKUP($H147,Nutrition_tables!$A:$AF,27,FALSE)*$Q147/100</f>
        <v>0</v>
      </c>
      <c r="AO147" s="583">
        <f>VLOOKUP($H147,Nutrition_tables!$A:$AF,28,FALSE)*$Q147/100</f>
        <v>0</v>
      </c>
      <c r="AP147" s="583">
        <f>VLOOKUP($H147,Nutrition_tables!$A:$AF,29,FALSE)*$Q147/100</f>
        <v>0</v>
      </c>
      <c r="AQ147" s="583">
        <f>VLOOKUP($H147,Nutrition_tables!$A:$AF,30,FALSE)*$Q147/100</f>
        <v>0</v>
      </c>
      <c r="AR147" s="583">
        <f>VLOOKUP($H147,Nutrition_tables!$A:$AF,31,FALSE)*$Q147/100</f>
        <v>0</v>
      </c>
      <c r="AS147" s="549">
        <f>VLOOKUP($H147,Nutrition_tables!$A:$AF,32,FALSE)*$Q147/100</f>
        <v>0</v>
      </c>
      <c r="AT147" s="583" t="str">
        <f>IF(H147="Select ingredient:","",IF(G147="Select food category:","",IFERROR(VLOOKUP($H147,Ingredient_prices!$E:$W,17,FALSE)*$Q147/1000,"not bought")))</f>
        <v/>
      </c>
      <c r="AU147" s="583" t="str">
        <f>IF(H147="Select ingredient:","",IF(G147="Select food category:","",IFERROR(VLOOKUP($H147,Ingredient_prices!$E:$W,18,FALSE)*$Q147/1000,"not bought")))</f>
        <v/>
      </c>
      <c r="AV147" s="583">
        <f t="shared" si="315"/>
        <v>0</v>
      </c>
      <c r="AW147" s="583">
        <f t="shared" si="316"/>
        <v>0</v>
      </c>
      <c r="AX147" s="583">
        <f t="shared" si="317"/>
        <v>0</v>
      </c>
      <c r="AY147" s="583">
        <f t="shared" si="318"/>
        <v>0</v>
      </c>
      <c r="AZ147" s="583">
        <f t="shared" si="319"/>
        <v>0</v>
      </c>
      <c r="BA147" s="583">
        <f t="shared" si="320"/>
        <v>0</v>
      </c>
      <c r="BB147" s="583">
        <f t="shared" si="321"/>
        <v>0</v>
      </c>
      <c r="BC147" s="583">
        <f t="shared" si="322"/>
        <v>0</v>
      </c>
      <c r="BD147" s="583">
        <f t="shared" si="323"/>
        <v>0</v>
      </c>
      <c r="BE147" s="583">
        <f t="shared" si="324"/>
        <v>0</v>
      </c>
      <c r="BF147" s="583">
        <f t="shared" si="325"/>
        <v>0</v>
      </c>
      <c r="BG147" s="583">
        <f t="shared" si="326"/>
        <v>0</v>
      </c>
      <c r="BH147" s="583">
        <f t="shared" si="327"/>
        <v>0</v>
      </c>
      <c r="BI147" s="583">
        <f t="shared" si="328"/>
        <v>0</v>
      </c>
      <c r="BJ147" s="583">
        <f t="shared" si="329"/>
        <v>0</v>
      </c>
      <c r="BK147" s="583">
        <f t="shared" si="330"/>
        <v>0</v>
      </c>
      <c r="BL147" s="583">
        <f t="shared" si="331"/>
        <v>0</v>
      </c>
      <c r="BM147" s="583">
        <f t="shared" si="332"/>
        <v>0</v>
      </c>
      <c r="BN147" s="583">
        <f t="shared" si="333"/>
        <v>0</v>
      </c>
      <c r="BO147" s="583">
        <f t="shared" si="334"/>
        <v>0</v>
      </c>
      <c r="BP147" s="583">
        <f t="shared" si="335"/>
        <v>0</v>
      </c>
      <c r="BQ147" s="583">
        <f t="shared" si="336"/>
        <v>0</v>
      </c>
      <c r="BR147" s="583">
        <f t="shared" si="337"/>
        <v>0</v>
      </c>
    </row>
    <row r="148" spans="1:70" s="229" customFormat="1" ht="15" customHeight="1">
      <c r="A148" s="574"/>
      <c r="D148" s="85"/>
      <c r="E148" s="576">
        <f t="shared" si="338"/>
        <v>100</v>
      </c>
      <c r="F148" s="710"/>
      <c r="G148" s="406" t="s">
        <v>3054</v>
      </c>
      <c r="H148" s="1262" t="s">
        <v>3055</v>
      </c>
      <c r="I148" s="85">
        <v>0</v>
      </c>
      <c r="J148" s="682">
        <v>1</v>
      </c>
      <c r="K148" s="579" t="str">
        <f t="shared" si="313"/>
        <v/>
      </c>
      <c r="L148" s="580" t="str">
        <f>IF(H148="Select ingredient:","",IF(G148="","",_xlfn.IFNA(VLOOKUP($H148,Ingredient_prices!$E:$U,16,FALSE),0)))</f>
        <v/>
      </c>
      <c r="M148" s="840"/>
      <c r="N148" s="840"/>
      <c r="O148" s="581"/>
      <c r="P148" s="582"/>
      <c r="Q148" s="583">
        <f t="shared" si="339"/>
        <v>0</v>
      </c>
      <c r="R148" s="583">
        <f>VLOOKUP($H148,'CO2_emission+%_food_waste'!$A:$K,6,FALSE)*$Q148/100</f>
        <v>0</v>
      </c>
      <c r="S148" s="583">
        <f t="shared" si="314"/>
        <v>0</v>
      </c>
      <c r="T148" s="583" t="str">
        <f>IF(H148="Select ingredient:","",IF(G148="Select food category:","",_xlfn.IFNA(VLOOKUP($H148,Ingredient_prices!$E:$U,16,FALSE)*$Q148/1000,"not bought")))</f>
        <v/>
      </c>
      <c r="U148" s="583" t="str">
        <f>IF(G148="Select food category:","",_xlfn.IFNA(VLOOKUP($H148,Ingredient_prices!$E:$U,16,FALSE)*$R148/1000,"not bought"))</f>
        <v/>
      </c>
      <c r="V148" s="549">
        <f>VLOOKUP($H148,'CO2_emission+%_food_waste'!$A:$K,4,FALSE)*$Q148</f>
        <v>0</v>
      </c>
      <c r="W148" s="583">
        <f>VLOOKUP($H148,Nutrition_tables!$A:$N,10,FALSE)*$Q148/100</f>
        <v>0</v>
      </c>
      <c r="X148" s="583">
        <f>VLOOKUP($H148,Nutrition_tables!$A:$N,11,FALSE)*$Q148/100</f>
        <v>0</v>
      </c>
      <c r="Y148" s="583">
        <f>VLOOKUP($H148,Nutrition_tables!$A:$N,12,FALSE)*$Q148/100</f>
        <v>0</v>
      </c>
      <c r="Z148" s="583">
        <f>VLOOKUP($H148,Nutrition_tables!$A:$N,14,FALSE)*$Q148/100</f>
        <v>0</v>
      </c>
      <c r="AA148" s="583">
        <f>VLOOKUP($H148,Nutrition_tables!$A:$AF,13,FALSE)*$Q148/100</f>
        <v>0</v>
      </c>
      <c r="AB148" s="549">
        <f>VLOOKUP($H148,Nutrition_tables!$A:$AF,15,FALSE)*$Q148/100</f>
        <v>0</v>
      </c>
      <c r="AC148" s="583">
        <f>VLOOKUP($H148,Nutrition_tables!$A:$AF,16,FALSE)*$Q148/100</f>
        <v>0</v>
      </c>
      <c r="AD148" s="583">
        <f>VLOOKUP($H148,Nutrition_tables!$A:$AF,17,FALSE)*$Q148/100</f>
        <v>0</v>
      </c>
      <c r="AE148" s="583">
        <f>VLOOKUP($H148,Nutrition_tables!$A:$AF,18,FALSE)*$Q148/100</f>
        <v>0</v>
      </c>
      <c r="AF148" s="583">
        <f>VLOOKUP($H148,Nutrition_tables!$A:$AF,19,FALSE)*$Q148/100</f>
        <v>0</v>
      </c>
      <c r="AG148" s="583">
        <f>VLOOKUP($H148,Nutrition_tables!$A:$AF,20,FALSE)*$Q148/100</f>
        <v>0</v>
      </c>
      <c r="AH148" s="583">
        <f>VLOOKUP($H148,Nutrition_tables!$A:$AF,21,FALSE)*$Q148/100</f>
        <v>0</v>
      </c>
      <c r="AI148" s="583">
        <f>VLOOKUP($H148,Nutrition_tables!$A:$AF,22,FALSE)*$Q148/100</f>
        <v>0</v>
      </c>
      <c r="AJ148" s="549">
        <f>VLOOKUP($H148,Nutrition_tables!$A:$AF,23,FALSE)*$Q148/100</f>
        <v>0</v>
      </c>
      <c r="AK148" s="583">
        <f>VLOOKUP($H148,Nutrition_tables!$A:$AF,24,FALSE)*$Q148/100</f>
        <v>0</v>
      </c>
      <c r="AL148" s="583">
        <f>VLOOKUP($H148,Nutrition_tables!$A:$AF,25,FALSE)*$Q148/100</f>
        <v>0</v>
      </c>
      <c r="AM148" s="583">
        <f>VLOOKUP($H148,Nutrition_tables!$A:$AF,26,FALSE)*$Q148/100</f>
        <v>0</v>
      </c>
      <c r="AN148" s="583">
        <f>VLOOKUP($H148,Nutrition_tables!$A:$AF,27,FALSE)*$Q148/100</f>
        <v>0</v>
      </c>
      <c r="AO148" s="583">
        <f>VLOOKUP($H148,Nutrition_tables!$A:$AF,28,FALSE)*$Q148/100</f>
        <v>0</v>
      </c>
      <c r="AP148" s="583">
        <f>VLOOKUP($H148,Nutrition_tables!$A:$AF,29,FALSE)*$Q148/100</f>
        <v>0</v>
      </c>
      <c r="AQ148" s="583">
        <f>VLOOKUP($H148,Nutrition_tables!$A:$AF,30,FALSE)*$Q148/100</f>
        <v>0</v>
      </c>
      <c r="AR148" s="583">
        <f>VLOOKUP($H148,Nutrition_tables!$A:$AF,31,FALSE)*$Q148/100</f>
        <v>0</v>
      </c>
      <c r="AS148" s="549">
        <f>VLOOKUP($H148,Nutrition_tables!$A:$AF,32,FALSE)*$Q148/100</f>
        <v>0</v>
      </c>
      <c r="AT148" s="583" t="str">
        <f>IF(H148="Select ingredient:","",IF(G148="Select food category:","",IFERROR(VLOOKUP($H148,Ingredient_prices!$E:$W,17,FALSE)*$Q148/1000,"not bought")))</f>
        <v/>
      </c>
      <c r="AU148" s="583" t="str">
        <f>IF(H148="Select ingredient:","",IF(G148="Select food category:","",IFERROR(VLOOKUP($H148,Ingredient_prices!$E:$W,18,FALSE)*$Q148/1000,"not bought")))</f>
        <v/>
      </c>
      <c r="AV148" s="583">
        <f t="shared" si="315"/>
        <v>0</v>
      </c>
      <c r="AW148" s="583">
        <f t="shared" si="316"/>
        <v>0</v>
      </c>
      <c r="AX148" s="583">
        <f t="shared" si="317"/>
        <v>0</v>
      </c>
      <c r="AY148" s="583">
        <f t="shared" si="318"/>
        <v>0</v>
      </c>
      <c r="AZ148" s="583">
        <f t="shared" si="319"/>
        <v>0</v>
      </c>
      <c r="BA148" s="583">
        <f t="shared" si="320"/>
        <v>0</v>
      </c>
      <c r="BB148" s="583">
        <f t="shared" si="321"/>
        <v>0</v>
      </c>
      <c r="BC148" s="583">
        <f t="shared" si="322"/>
        <v>0</v>
      </c>
      <c r="BD148" s="583">
        <f t="shared" si="323"/>
        <v>0</v>
      </c>
      <c r="BE148" s="583">
        <f t="shared" si="324"/>
        <v>0</v>
      </c>
      <c r="BF148" s="583">
        <f t="shared" si="325"/>
        <v>0</v>
      </c>
      <c r="BG148" s="583">
        <f t="shared" si="326"/>
        <v>0</v>
      </c>
      <c r="BH148" s="583">
        <f t="shared" si="327"/>
        <v>0</v>
      </c>
      <c r="BI148" s="583">
        <f t="shared" si="328"/>
        <v>0</v>
      </c>
      <c r="BJ148" s="583">
        <f t="shared" si="329"/>
        <v>0</v>
      </c>
      <c r="BK148" s="583">
        <f t="shared" si="330"/>
        <v>0</v>
      </c>
      <c r="BL148" s="583">
        <f t="shared" si="331"/>
        <v>0</v>
      </c>
      <c r="BM148" s="583">
        <f t="shared" si="332"/>
        <v>0</v>
      </c>
      <c r="BN148" s="583">
        <f t="shared" si="333"/>
        <v>0</v>
      </c>
      <c r="BO148" s="583">
        <f t="shared" si="334"/>
        <v>0</v>
      </c>
      <c r="BP148" s="583">
        <f t="shared" si="335"/>
        <v>0</v>
      </c>
      <c r="BQ148" s="583">
        <f t="shared" si="336"/>
        <v>0</v>
      </c>
      <c r="BR148" s="583">
        <f t="shared" si="337"/>
        <v>0</v>
      </c>
    </row>
    <row r="149" spans="1:70" s="603" customFormat="1" ht="56">
      <c r="A149" s="574"/>
      <c r="B149" s="593"/>
      <c r="C149" s="522"/>
      <c r="D149" s="141"/>
      <c r="E149" s="594"/>
      <c r="F149" s="708"/>
      <c r="G149" s="522"/>
      <c r="H149" s="522"/>
      <c r="I149" s="141"/>
      <c r="J149" s="141"/>
      <c r="K149" s="595"/>
      <c r="L149" s="596"/>
      <c r="M149" s="841"/>
      <c r="N149" s="841"/>
      <c r="O149" s="581"/>
      <c r="P149" s="627"/>
      <c r="Q149" s="599" t="s">
        <v>384</v>
      </c>
      <c r="R149" s="600" t="s">
        <v>455</v>
      </c>
      <c r="S149" s="600" t="s">
        <v>2087</v>
      </c>
      <c r="T149" s="600" t="s">
        <v>456</v>
      </c>
      <c r="U149" s="600" t="s">
        <v>535</v>
      </c>
      <c r="V149" s="601" t="s">
        <v>457</v>
      </c>
      <c r="W149" s="600" t="s">
        <v>75</v>
      </c>
      <c r="X149" s="600" t="s">
        <v>385</v>
      </c>
      <c r="Y149" s="600" t="s">
        <v>386</v>
      </c>
      <c r="Z149" s="600" t="s">
        <v>387</v>
      </c>
      <c r="AA149" s="600" t="s">
        <v>388</v>
      </c>
      <c r="AB149" s="601" t="s">
        <v>389</v>
      </c>
      <c r="AC149" s="602" t="s">
        <v>390</v>
      </c>
      <c r="AD149" s="600" t="s">
        <v>391</v>
      </c>
      <c r="AE149" s="600" t="s">
        <v>392</v>
      </c>
      <c r="AF149" s="600" t="s">
        <v>393</v>
      </c>
      <c r="AG149" s="600" t="s">
        <v>394</v>
      </c>
      <c r="AH149" s="600" t="s">
        <v>395</v>
      </c>
      <c r="AI149" s="600" t="s">
        <v>396</v>
      </c>
      <c r="AJ149" s="601" t="s">
        <v>397</v>
      </c>
      <c r="AK149" s="602" t="s">
        <v>398</v>
      </c>
      <c r="AL149" s="600" t="s">
        <v>399</v>
      </c>
      <c r="AM149" s="600" t="s">
        <v>400</v>
      </c>
      <c r="AN149" s="600" t="s">
        <v>401</v>
      </c>
      <c r="AO149" s="600" t="s">
        <v>402</v>
      </c>
      <c r="AP149" s="600" t="s">
        <v>406</v>
      </c>
      <c r="AQ149" s="600" t="s">
        <v>405</v>
      </c>
      <c r="AR149" s="600" t="s">
        <v>403</v>
      </c>
      <c r="AS149" s="601" t="s">
        <v>404</v>
      </c>
      <c r="AT149" s="593"/>
      <c r="AU149" s="593"/>
    </row>
    <row r="150" spans="1:70" s="229" customFormat="1">
      <c r="A150" s="574"/>
      <c r="B150" s="522"/>
      <c r="C150" s="522"/>
      <c r="D150" s="141"/>
      <c r="E150" s="594"/>
      <c r="F150" s="708"/>
      <c r="G150" s="522"/>
      <c r="H150" s="522"/>
      <c r="I150" s="141"/>
      <c r="J150" s="141"/>
      <c r="K150" s="595"/>
      <c r="L150" s="604"/>
      <c r="M150" s="581"/>
      <c r="N150" s="581"/>
      <c r="O150" s="581"/>
      <c r="P150" s="628" t="s">
        <v>383</v>
      </c>
      <c r="Q150" s="583">
        <f>SUM(Q137:Q148)</f>
        <v>185</v>
      </c>
      <c r="R150" s="583">
        <f t="shared" ref="R150:V150" si="340">SUM(R137:R148)</f>
        <v>17.299939999999999</v>
      </c>
      <c r="S150" s="583">
        <f>SUM(S137:S148)</f>
        <v>167.70006000000001</v>
      </c>
      <c r="T150" s="583">
        <f t="shared" ref="T150:U150" si="341">SUM(T137:T148)</f>
        <v>31.484000000000002</v>
      </c>
      <c r="U150" s="583">
        <f t="shared" si="341"/>
        <v>1.579480606</v>
      </c>
      <c r="V150" s="549">
        <f t="shared" si="340"/>
        <v>252.7</v>
      </c>
      <c r="W150" s="583">
        <f t="shared" ref="W150:AS150" si="342">SUM(W137:W148)</f>
        <v>349.97516666666667</v>
      </c>
      <c r="X150" s="583">
        <f t="shared" si="342"/>
        <v>53.149860041987402</v>
      </c>
      <c r="Y150" s="583">
        <f t="shared" si="342"/>
        <v>9.9502799160251918</v>
      </c>
      <c r="Z150" s="583">
        <f t="shared" si="342"/>
        <v>11.1</v>
      </c>
      <c r="AA150" s="583">
        <f t="shared" si="342"/>
        <v>1.1226</v>
      </c>
      <c r="AB150" s="549">
        <f t="shared" si="342"/>
        <v>7.2476000000000003</v>
      </c>
      <c r="AC150" s="583">
        <f t="shared" si="342"/>
        <v>43.497599999999998</v>
      </c>
      <c r="AD150" s="583">
        <f t="shared" si="342"/>
        <v>166.99760000000001</v>
      </c>
      <c r="AE150" s="583">
        <f t="shared" si="342"/>
        <v>152.99760000000001</v>
      </c>
      <c r="AF150" s="583">
        <f t="shared" si="342"/>
        <v>44.497599999999998</v>
      </c>
      <c r="AG150" s="583">
        <f t="shared" si="342"/>
        <v>136.74760000000001</v>
      </c>
      <c r="AH150" s="583">
        <f t="shared" si="342"/>
        <v>0.43748803358992305</v>
      </c>
      <c r="AI150" s="583">
        <f t="shared" si="342"/>
        <v>0.80776794961511555</v>
      </c>
      <c r="AJ150" s="549">
        <f t="shared" si="342"/>
        <v>9.6600000000000002E-3</v>
      </c>
      <c r="AK150" s="583">
        <f t="shared" si="342"/>
        <v>125.99760000000001</v>
      </c>
      <c r="AL150" s="583">
        <f t="shared" si="342"/>
        <v>6.2488033589923032E-2</v>
      </c>
      <c r="AM150" s="583">
        <f t="shared" si="342"/>
        <v>0.18755801259622115</v>
      </c>
      <c r="AN150" s="583">
        <f t="shared" si="342"/>
        <v>1.297530020993702</v>
      </c>
      <c r="AO150" s="583">
        <f t="shared" si="342"/>
        <v>5.248803358992303E-2</v>
      </c>
      <c r="AP150" s="583">
        <f t="shared" si="342"/>
        <v>23.247599999999998</v>
      </c>
      <c r="AQ150" s="583">
        <f t="shared" si="342"/>
        <v>0.41963403778866343</v>
      </c>
      <c r="AR150" s="583">
        <f t="shared" si="342"/>
        <v>0.24759999999999999</v>
      </c>
      <c r="AS150" s="549">
        <f t="shared" si="342"/>
        <v>2.0053911826452064E-2</v>
      </c>
      <c r="AT150" s="583">
        <f t="shared" ref="AT150:AU150" si="343">SUM(AT137:AT148)</f>
        <v>31.484000000000002</v>
      </c>
      <c r="AU150" s="583">
        <f t="shared" si="343"/>
        <v>31.484000000000002</v>
      </c>
      <c r="AV150" s="549">
        <f t="shared" ref="AV150:BR150" si="344">SUM(AV137:AV148)</f>
        <v>339.59524181459938</v>
      </c>
      <c r="AW150" s="549">
        <f t="shared" si="344"/>
        <v>52.31950595777289</v>
      </c>
      <c r="AX150" s="549">
        <f t="shared" si="344"/>
        <v>9.3620345093493267</v>
      </c>
      <c r="AY150" s="549">
        <f t="shared" si="344"/>
        <v>10.580997251901142</v>
      </c>
      <c r="AZ150" s="549">
        <f t="shared" si="344"/>
        <v>1.1225995480001802</v>
      </c>
      <c r="BA150" s="549">
        <f t="shared" si="344"/>
        <v>6.9015977326008562</v>
      </c>
      <c r="BB150" s="549">
        <f t="shared" si="344"/>
        <v>36.404595607300742</v>
      </c>
      <c r="BC150" s="549">
        <f t="shared" si="344"/>
        <v>138.97158460060214</v>
      </c>
      <c r="BD150" s="549">
        <f t="shared" si="344"/>
        <v>132.92957560480687</v>
      </c>
      <c r="BE150" s="549">
        <f t="shared" si="344"/>
        <v>42.421586005605299</v>
      </c>
      <c r="BF150" s="549">
        <f t="shared" si="344"/>
        <v>121.00457417230805</v>
      </c>
      <c r="BG150" s="549">
        <f t="shared" si="344"/>
        <v>0.43058723848019065</v>
      </c>
      <c r="BH150" s="549">
        <f t="shared" si="344"/>
        <v>0.73161870792987427</v>
      </c>
      <c r="BI150" s="549">
        <f t="shared" si="344"/>
        <v>7.9299990130001011E-3</v>
      </c>
      <c r="BJ150" s="549">
        <f t="shared" si="344"/>
        <v>121.49955784781622</v>
      </c>
      <c r="BK150" s="549">
        <f t="shared" si="344"/>
        <v>5.5587388480130631E-2</v>
      </c>
      <c r="BL150" s="549">
        <f t="shared" si="344"/>
        <v>0.16334524284255672</v>
      </c>
      <c r="BM150" s="549">
        <f t="shared" si="344"/>
        <v>1.1418418909376504</v>
      </c>
      <c r="BN150" s="549">
        <f t="shared" si="344"/>
        <v>4.5587392480129031E-2</v>
      </c>
      <c r="BO150" s="549">
        <f t="shared" si="344"/>
        <v>22.382592284502962</v>
      </c>
      <c r="BP150" s="549">
        <f t="shared" si="344"/>
        <v>0.34699579432764527</v>
      </c>
      <c r="BQ150" s="549">
        <f t="shared" si="344"/>
        <v>0.24759989800004031</v>
      </c>
      <c r="BR150" s="549">
        <f t="shared" si="344"/>
        <v>1.6543063202169552E-2</v>
      </c>
    </row>
    <row r="151" spans="1:70" s="229" customFormat="1">
      <c r="A151" s="574"/>
      <c r="B151" s="522"/>
      <c r="C151" s="522"/>
      <c r="D151" s="141"/>
      <c r="E151" s="594"/>
      <c r="F151" s="708"/>
      <c r="G151" s="522"/>
      <c r="H151" s="522"/>
      <c r="I151" s="141"/>
      <c r="J151" s="141"/>
      <c r="K151" s="595"/>
      <c r="L151" s="604"/>
      <c r="M151" s="581"/>
      <c r="N151" s="581"/>
      <c r="O151" s="581"/>
      <c r="P151" s="628" t="s">
        <v>537</v>
      </c>
      <c r="V151" s="526"/>
      <c r="W151" s="229">
        <v>185.5</v>
      </c>
      <c r="X151" s="229">
        <v>23.200000000000003</v>
      </c>
      <c r="Y151" s="229">
        <v>5.8000000000000007</v>
      </c>
      <c r="Z151" s="229">
        <v>6.2</v>
      </c>
      <c r="AA151" s="229">
        <v>1.9000000000000001</v>
      </c>
      <c r="AB151" s="526">
        <v>2</v>
      </c>
      <c r="AC151" s="229">
        <v>138</v>
      </c>
      <c r="AD151" s="229">
        <v>180</v>
      </c>
      <c r="AE151" s="229">
        <v>90</v>
      </c>
      <c r="AF151" s="229">
        <v>17</v>
      </c>
      <c r="AG151" s="229">
        <v>80</v>
      </c>
      <c r="AH151" s="229">
        <v>1</v>
      </c>
      <c r="AI151" s="229">
        <v>0.70000000000000007</v>
      </c>
      <c r="AJ151" s="526">
        <v>0.125</v>
      </c>
      <c r="AK151" s="229">
        <v>80</v>
      </c>
      <c r="AL151" s="229">
        <v>0.1</v>
      </c>
      <c r="AM151" s="229">
        <v>0.11000000000000001</v>
      </c>
      <c r="AN151" s="229">
        <v>1.2000000000000002</v>
      </c>
      <c r="AO151" s="229">
        <v>6.9999999999999993E-2</v>
      </c>
      <c r="AP151" s="229">
        <v>30</v>
      </c>
      <c r="AQ151" s="229">
        <v>0.18000000000000002</v>
      </c>
      <c r="AR151" s="229">
        <v>8</v>
      </c>
      <c r="AS151" s="526">
        <v>0.5</v>
      </c>
      <c r="AV151" s="229">
        <v>185.5</v>
      </c>
      <c r="AW151" s="229">
        <v>23.200000000000003</v>
      </c>
      <c r="AX151" s="229">
        <v>5.8000000000000007</v>
      </c>
      <c r="AY151" s="229">
        <v>6.2</v>
      </c>
      <c r="AZ151" s="229">
        <v>1.9000000000000001</v>
      </c>
      <c r="BA151" s="526">
        <v>2</v>
      </c>
      <c r="BB151" s="229">
        <v>138</v>
      </c>
      <c r="BC151" s="229">
        <v>180</v>
      </c>
      <c r="BD151" s="229">
        <v>90</v>
      </c>
      <c r="BE151" s="229">
        <v>17</v>
      </c>
      <c r="BF151" s="229">
        <v>80</v>
      </c>
      <c r="BG151" s="229">
        <v>1</v>
      </c>
      <c r="BH151" s="229">
        <v>0.70000000000000007</v>
      </c>
      <c r="BI151" s="526">
        <v>0.125</v>
      </c>
      <c r="BJ151" s="229">
        <v>80</v>
      </c>
      <c r="BK151" s="229">
        <v>0.1</v>
      </c>
      <c r="BL151" s="229">
        <v>0.11000000000000001</v>
      </c>
      <c r="BM151" s="229">
        <v>1.2000000000000002</v>
      </c>
      <c r="BN151" s="229">
        <v>6.9999999999999993E-2</v>
      </c>
      <c r="BO151" s="229">
        <v>30</v>
      </c>
      <c r="BP151" s="229">
        <v>0.18000000000000002</v>
      </c>
      <c r="BQ151" s="229">
        <v>8</v>
      </c>
      <c r="BR151" s="526">
        <v>0.5</v>
      </c>
    </row>
    <row r="152" spans="1:70" s="229" customFormat="1">
      <c r="A152" s="574"/>
      <c r="B152" s="522"/>
      <c r="C152" s="522"/>
      <c r="D152" s="141"/>
      <c r="E152" s="594"/>
      <c r="F152" s="708"/>
      <c r="G152" s="522"/>
      <c r="H152" s="522"/>
      <c r="I152" s="141"/>
      <c r="J152" s="141"/>
      <c r="K152" s="595"/>
      <c r="L152" s="604"/>
      <c r="M152" s="581"/>
      <c r="N152" s="581"/>
      <c r="O152" s="581"/>
      <c r="P152" s="628" t="s">
        <v>407</v>
      </c>
      <c r="V152" s="526"/>
      <c r="W152" s="514">
        <f t="shared" ref="W152:AS152" si="345">100*W150/W151</f>
        <v>188.66585804132976</v>
      </c>
      <c r="X152" s="514">
        <f t="shared" si="345"/>
        <v>229.09422431891119</v>
      </c>
      <c r="Y152" s="514">
        <f t="shared" si="345"/>
        <v>171.55655027629638</v>
      </c>
      <c r="Z152" s="514">
        <f t="shared" si="345"/>
        <v>179.03225806451613</v>
      </c>
      <c r="AA152" s="514">
        <f t="shared" si="345"/>
        <v>59.084210526315786</v>
      </c>
      <c r="AB152" s="506">
        <f t="shared" si="345"/>
        <v>362.38</v>
      </c>
      <c r="AC152" s="514">
        <f t="shared" si="345"/>
        <v>31.520000000000003</v>
      </c>
      <c r="AD152" s="514">
        <f t="shared" si="345"/>
        <v>92.776444444444451</v>
      </c>
      <c r="AE152" s="514">
        <f t="shared" si="345"/>
        <v>169.99733333333333</v>
      </c>
      <c r="AF152" s="514">
        <f t="shared" si="345"/>
        <v>261.75058823529412</v>
      </c>
      <c r="AG152" s="514">
        <f t="shared" si="345"/>
        <v>170.93450000000001</v>
      </c>
      <c r="AH152" s="514">
        <f t="shared" si="345"/>
        <v>43.748803358992305</v>
      </c>
      <c r="AI152" s="514">
        <f t="shared" si="345"/>
        <v>115.39542137358792</v>
      </c>
      <c r="AJ152" s="506">
        <f t="shared" si="345"/>
        <v>7.7279999999999998</v>
      </c>
      <c r="AK152" s="514">
        <f t="shared" si="345"/>
        <v>157.49700000000001</v>
      </c>
      <c r="AL152" s="514">
        <f t="shared" si="345"/>
        <v>62.488033589923027</v>
      </c>
      <c r="AM152" s="514">
        <f t="shared" si="345"/>
        <v>170.50728417838283</v>
      </c>
      <c r="AN152" s="514">
        <f t="shared" si="345"/>
        <v>108.12750174947516</v>
      </c>
      <c r="AO152" s="514">
        <f t="shared" si="345"/>
        <v>74.982905128461482</v>
      </c>
      <c r="AP152" s="514">
        <f t="shared" si="345"/>
        <v>77.49199999999999</v>
      </c>
      <c r="AQ152" s="514">
        <f t="shared" si="345"/>
        <v>233.13002099370189</v>
      </c>
      <c r="AR152" s="514">
        <f t="shared" si="345"/>
        <v>3.0949999999999998</v>
      </c>
      <c r="AS152" s="506">
        <f t="shared" si="345"/>
        <v>4.0107823652904129</v>
      </c>
      <c r="AV152" s="514">
        <f t="shared" ref="AV152:BR152" si="346">100*AV150/AV151</f>
        <v>183.07021122080829</v>
      </c>
      <c r="AW152" s="514">
        <f t="shared" si="346"/>
        <v>225.51511188695207</v>
      </c>
      <c r="AX152" s="514">
        <f t="shared" si="346"/>
        <v>161.41438809222976</v>
      </c>
      <c r="AY152" s="514">
        <f t="shared" si="346"/>
        <v>170.66124599840552</v>
      </c>
      <c r="AZ152" s="514">
        <f t="shared" si="346"/>
        <v>59.084186736851585</v>
      </c>
      <c r="BA152" s="506">
        <f t="shared" si="346"/>
        <v>345.07988663004284</v>
      </c>
      <c r="BB152" s="514">
        <f t="shared" si="346"/>
        <v>26.380141744420829</v>
      </c>
      <c r="BC152" s="514">
        <f t="shared" si="346"/>
        <v>77.206435889223414</v>
      </c>
      <c r="BD152" s="514">
        <f t="shared" si="346"/>
        <v>147.69952844978542</v>
      </c>
      <c r="BE152" s="514">
        <f t="shared" si="346"/>
        <v>249.53874120944292</v>
      </c>
      <c r="BF152" s="514">
        <f t="shared" si="346"/>
        <v>151.25571771538506</v>
      </c>
      <c r="BG152" s="514">
        <f t="shared" si="346"/>
        <v>43.058723848019063</v>
      </c>
      <c r="BH152" s="514">
        <f t="shared" si="346"/>
        <v>104.51695827569631</v>
      </c>
      <c r="BI152" s="506">
        <f t="shared" si="346"/>
        <v>6.3439992104000806</v>
      </c>
      <c r="BJ152" s="514">
        <f t="shared" si="346"/>
        <v>151.87444730977026</v>
      </c>
      <c r="BK152" s="514">
        <f t="shared" si="346"/>
        <v>55.587388480130627</v>
      </c>
      <c r="BL152" s="514">
        <f t="shared" si="346"/>
        <v>148.49567531141517</v>
      </c>
      <c r="BM152" s="514">
        <f t="shared" si="346"/>
        <v>95.153490911470854</v>
      </c>
      <c r="BN152" s="514">
        <f t="shared" si="346"/>
        <v>65.124846400184339</v>
      </c>
      <c r="BO152" s="514">
        <f t="shared" si="346"/>
        <v>74.608640948343208</v>
      </c>
      <c r="BP152" s="514">
        <f t="shared" si="346"/>
        <v>192.77544129313625</v>
      </c>
      <c r="BQ152" s="514">
        <f t="shared" si="346"/>
        <v>3.094998725000504</v>
      </c>
      <c r="BR152" s="506">
        <f t="shared" si="346"/>
        <v>3.3086126404339105</v>
      </c>
    </row>
    <row r="153" spans="1:70" s="229" customFormat="1">
      <c r="A153" s="574"/>
      <c r="B153" s="522"/>
      <c r="C153" s="522"/>
      <c r="D153" s="141"/>
      <c r="E153" s="594"/>
      <c r="F153" s="708"/>
      <c r="G153" s="522"/>
      <c r="H153" s="522"/>
      <c r="I153" s="141"/>
      <c r="J153" s="141"/>
      <c r="K153" s="595"/>
      <c r="L153" s="604"/>
      <c r="M153" s="581"/>
      <c r="N153" s="581"/>
      <c r="O153" s="581"/>
      <c r="P153" s="628" t="s">
        <v>548</v>
      </c>
      <c r="V153" s="526"/>
      <c r="W153" s="583">
        <f>AV150</f>
        <v>339.59524181459938</v>
      </c>
      <c r="X153" s="583">
        <f t="shared" ref="X153:AH153" si="347">AW150</f>
        <v>52.31950595777289</v>
      </c>
      <c r="Y153" s="583">
        <f t="shared" si="347"/>
        <v>9.3620345093493267</v>
      </c>
      <c r="Z153" s="583">
        <f t="shared" si="347"/>
        <v>10.580997251901142</v>
      </c>
      <c r="AA153" s="583">
        <f t="shared" si="347"/>
        <v>1.1225995480001802</v>
      </c>
      <c r="AB153" s="549">
        <f t="shared" si="347"/>
        <v>6.9015977326008562</v>
      </c>
      <c r="AC153" s="583">
        <f t="shared" si="347"/>
        <v>36.404595607300742</v>
      </c>
      <c r="AD153" s="583">
        <f t="shared" si="347"/>
        <v>138.97158460060214</v>
      </c>
      <c r="AE153" s="583">
        <f t="shared" si="347"/>
        <v>132.92957560480687</v>
      </c>
      <c r="AF153" s="583">
        <f t="shared" si="347"/>
        <v>42.421586005605299</v>
      </c>
      <c r="AG153" s="583">
        <f t="shared" si="347"/>
        <v>121.00457417230805</v>
      </c>
      <c r="AH153" s="583">
        <f t="shared" si="347"/>
        <v>0.43058723848019065</v>
      </c>
      <c r="AI153" s="583">
        <f>BH150</f>
        <v>0.73161870792987427</v>
      </c>
      <c r="AJ153" s="549">
        <f t="shared" ref="AJ153:AM153" si="348">BI150</f>
        <v>7.9299990130001011E-3</v>
      </c>
      <c r="AK153" s="583">
        <f t="shared" si="348"/>
        <v>121.49955784781622</v>
      </c>
      <c r="AL153" s="583">
        <f t="shared" si="348"/>
        <v>5.5587388480130631E-2</v>
      </c>
      <c r="AM153" s="583">
        <f t="shared" si="348"/>
        <v>0.16334524284255672</v>
      </c>
      <c r="AN153" s="583">
        <f>BM150</f>
        <v>1.1418418909376504</v>
      </c>
      <c r="AO153" s="583">
        <f t="shared" ref="AO153:AR153" si="349">BN150</f>
        <v>4.5587392480129031E-2</v>
      </c>
      <c r="AP153" s="583">
        <f t="shared" si="349"/>
        <v>22.382592284502962</v>
      </c>
      <c r="AQ153" s="583">
        <f t="shared" si="349"/>
        <v>0.34699579432764527</v>
      </c>
      <c r="AR153" s="583">
        <f t="shared" si="349"/>
        <v>0.24759989800004031</v>
      </c>
      <c r="AS153" s="549">
        <f>BR150</f>
        <v>1.6543063202169552E-2</v>
      </c>
    </row>
    <row r="154" spans="1:70" s="229" customFormat="1">
      <c r="A154" s="574"/>
      <c r="B154" s="522"/>
      <c r="C154" s="522"/>
      <c r="D154" s="141"/>
      <c r="E154" s="594"/>
      <c r="F154" s="708"/>
      <c r="G154" s="522"/>
      <c r="H154" s="522"/>
      <c r="I154" s="141"/>
      <c r="J154" s="141"/>
      <c r="K154" s="595"/>
      <c r="L154" s="604"/>
      <c r="M154" s="581"/>
      <c r="N154" s="581"/>
      <c r="O154" s="581"/>
      <c r="P154" s="628" t="s">
        <v>543</v>
      </c>
      <c r="V154" s="526"/>
      <c r="W154" s="514">
        <f t="shared" ref="W154:AS154" si="350">AV152</f>
        <v>183.07021122080829</v>
      </c>
      <c r="X154" s="514">
        <f t="shared" si="350"/>
        <v>225.51511188695207</v>
      </c>
      <c r="Y154" s="514">
        <f t="shared" si="350"/>
        <v>161.41438809222976</v>
      </c>
      <c r="Z154" s="514">
        <f t="shared" si="350"/>
        <v>170.66124599840552</v>
      </c>
      <c r="AA154" s="514">
        <f t="shared" si="350"/>
        <v>59.084186736851585</v>
      </c>
      <c r="AB154" s="506">
        <f t="shared" si="350"/>
        <v>345.07988663004284</v>
      </c>
      <c r="AC154" s="514">
        <f t="shared" si="350"/>
        <v>26.380141744420829</v>
      </c>
      <c r="AD154" s="514">
        <f t="shared" si="350"/>
        <v>77.206435889223414</v>
      </c>
      <c r="AE154" s="514">
        <f t="shared" si="350"/>
        <v>147.69952844978542</v>
      </c>
      <c r="AF154" s="514">
        <f t="shared" si="350"/>
        <v>249.53874120944292</v>
      </c>
      <c r="AG154" s="514">
        <f t="shared" si="350"/>
        <v>151.25571771538506</v>
      </c>
      <c r="AH154" s="514">
        <f t="shared" si="350"/>
        <v>43.058723848019063</v>
      </c>
      <c r="AI154" s="514">
        <f t="shared" si="350"/>
        <v>104.51695827569631</v>
      </c>
      <c r="AJ154" s="506">
        <f t="shared" si="350"/>
        <v>6.3439992104000806</v>
      </c>
      <c r="AK154" s="514">
        <f t="shared" si="350"/>
        <v>151.87444730977026</v>
      </c>
      <c r="AL154" s="514">
        <f t="shared" si="350"/>
        <v>55.587388480130627</v>
      </c>
      <c r="AM154" s="514">
        <f t="shared" si="350"/>
        <v>148.49567531141517</v>
      </c>
      <c r="AN154" s="514">
        <f t="shared" si="350"/>
        <v>95.153490911470854</v>
      </c>
      <c r="AO154" s="514">
        <f t="shared" si="350"/>
        <v>65.124846400184339</v>
      </c>
      <c r="AP154" s="514">
        <f t="shared" si="350"/>
        <v>74.608640948343208</v>
      </c>
      <c r="AQ154" s="514">
        <f t="shared" si="350"/>
        <v>192.77544129313625</v>
      </c>
      <c r="AR154" s="514">
        <f t="shared" si="350"/>
        <v>3.094998725000504</v>
      </c>
      <c r="AS154" s="506">
        <f t="shared" si="350"/>
        <v>3.3086126404339105</v>
      </c>
      <c r="AV154" s="514"/>
      <c r="AW154" s="514"/>
      <c r="AX154" s="514"/>
      <c r="AY154" s="514"/>
      <c r="AZ154" s="514"/>
      <c r="BA154" s="505"/>
      <c r="BB154" s="514"/>
      <c r="BC154" s="514"/>
      <c r="BD154" s="514"/>
      <c r="BE154" s="514"/>
      <c r="BF154" s="514"/>
      <c r="BG154" s="514"/>
      <c r="BH154" s="514"/>
      <c r="BI154" s="505"/>
      <c r="BJ154" s="514"/>
      <c r="BK154" s="514"/>
      <c r="BL154" s="514"/>
      <c r="BM154" s="514"/>
      <c r="BN154" s="514"/>
      <c r="BO154" s="514"/>
      <c r="BP154" s="514"/>
      <c r="BQ154" s="514"/>
      <c r="BR154" s="505"/>
    </row>
    <row r="155" spans="1:70" s="229" customFormat="1" ht="16" thickBot="1">
      <c r="A155" s="574"/>
      <c r="B155" s="574"/>
      <c r="C155" s="574"/>
      <c r="D155" s="684"/>
      <c r="E155" s="620"/>
      <c r="F155" s="711"/>
      <c r="G155" s="621" t="s">
        <v>795</v>
      </c>
      <c r="H155" s="622"/>
      <c r="I155" s="685"/>
      <c r="J155" s="685"/>
      <c r="K155" s="574"/>
      <c r="L155" s="623"/>
      <c r="M155" s="623"/>
      <c r="N155" s="623"/>
      <c r="O155" s="581"/>
      <c r="P155" s="574"/>
      <c r="Q155" s="574"/>
      <c r="R155" s="574"/>
      <c r="S155" s="574"/>
      <c r="T155" s="574"/>
      <c r="U155" s="624"/>
      <c r="V155" s="625"/>
      <c r="W155" s="574"/>
      <c r="X155" s="574"/>
      <c r="Y155" s="574"/>
      <c r="Z155" s="574"/>
      <c r="AA155" s="626">
        <f>COUNTIF(AA156:AA180,"&lt;0")</f>
        <v>1</v>
      </c>
      <c r="AB155" s="626">
        <f t="shared" ref="AB155" si="351">COUNTIF(AB156:AB180,"&lt;0")</f>
        <v>1</v>
      </c>
      <c r="AC155" s="626">
        <f t="shared" ref="AC155" si="352">COUNTIF(AC156:AC180,"&lt;0")</f>
        <v>0</v>
      </c>
      <c r="AD155" s="626">
        <f t="shared" ref="AD155" si="353">COUNTIF(AD156:AD180,"&lt;0")</f>
        <v>0</v>
      </c>
      <c r="AE155" s="626">
        <f t="shared" ref="AE155" si="354">COUNTIF(AE156:AE180,"&lt;0")</f>
        <v>0</v>
      </c>
      <c r="AF155" s="626">
        <f t="shared" ref="AF155" si="355">COUNTIF(AF156:AF180,"&lt;0")</f>
        <v>1</v>
      </c>
      <c r="AG155" s="626">
        <f t="shared" ref="AG155" si="356">COUNTIF(AG156:AG180,"&lt;0")</f>
        <v>1</v>
      </c>
      <c r="AH155" s="626">
        <f t="shared" ref="AH155" si="357">COUNTIF(AH156:AH180,"&lt;0")</f>
        <v>0</v>
      </c>
      <c r="AI155" s="626">
        <f t="shared" ref="AI155" si="358">COUNTIF(AI156:AI180,"&lt;0")</f>
        <v>1</v>
      </c>
      <c r="AJ155" s="626">
        <f t="shared" ref="AJ155" si="359">COUNTIF(AJ156:AJ180,"&lt;0")</f>
        <v>1</v>
      </c>
      <c r="AK155" s="626">
        <f t="shared" ref="AK155" si="360">COUNTIF(AK156:AK180,"&lt;0")</f>
        <v>1</v>
      </c>
      <c r="AL155" s="626">
        <f t="shared" ref="AL155" si="361">COUNTIF(AL156:AL180,"&lt;0")</f>
        <v>1</v>
      </c>
      <c r="AM155" s="626">
        <f t="shared" ref="AM155" si="362">COUNTIF(AM156:AM180,"&lt;0")</f>
        <v>1</v>
      </c>
      <c r="AN155" s="626">
        <f t="shared" ref="AN155" si="363">COUNTIF(AN156:AN180,"&lt;0")</f>
        <v>1</v>
      </c>
      <c r="AO155" s="626">
        <f t="shared" ref="AO155" si="364">COUNTIF(AO156:AO180,"&lt;0")</f>
        <v>1</v>
      </c>
      <c r="AP155" s="626">
        <f t="shared" ref="AP155" si="365">COUNTIF(AP156:AP180,"&lt;0")</f>
        <v>1</v>
      </c>
      <c r="AQ155" s="626">
        <f t="shared" ref="AQ155" si="366">COUNTIF(AQ156:AQ180,"&lt;0")</f>
        <v>3</v>
      </c>
      <c r="AR155" s="626">
        <f t="shared" ref="AR155" si="367">COUNTIF(AR156:AR180,"&lt;0")</f>
        <v>0</v>
      </c>
      <c r="AS155" s="626">
        <f t="shared" ref="AS155" si="368">COUNTIF(AS156:AS180,"&lt;0")</f>
        <v>3</v>
      </c>
      <c r="AT155" s="574"/>
      <c r="AU155" s="574"/>
    </row>
    <row r="156" spans="1:70" s="229" customFormat="1" ht="15" customHeight="1" thickBot="1">
      <c r="A156" s="574"/>
      <c r="B156" s="575" t="s">
        <v>3065</v>
      </c>
      <c r="C156" s="229" t="s">
        <v>69</v>
      </c>
      <c r="D156" s="85"/>
      <c r="E156" s="584">
        <v>100</v>
      </c>
      <c r="F156" s="85" t="s">
        <v>3936</v>
      </c>
      <c r="G156" s="406" t="s">
        <v>3141</v>
      </c>
      <c r="H156" s="578" t="s">
        <v>3256</v>
      </c>
      <c r="I156" s="85">
        <v>120</v>
      </c>
      <c r="J156" s="682">
        <v>1</v>
      </c>
      <c r="K156" s="579">
        <f t="shared" ref="K156:K180" si="369">IF(I156&gt;0,1.1*Q156*E156/1000,"")</f>
        <v>13.2</v>
      </c>
      <c r="L156" s="580">
        <f>IF(H156="Select ingredient:","",IF(G156="","",_xlfn.IFNA(VLOOKUP($H156,Ingredient_prices!$E:$U,16,FALSE),0)))</f>
        <v>174</v>
      </c>
      <c r="M156" s="840"/>
      <c r="N156" s="1228">
        <f>$W182</f>
        <v>878.08254999999986</v>
      </c>
      <c r="O156" s="581"/>
      <c r="P156" s="582"/>
      <c r="Q156" s="583">
        <f>I156/J156</f>
        <v>120</v>
      </c>
      <c r="R156" s="583">
        <f>VLOOKUP($H156,'CO2_emission+%_food_waste'!$A:$K,6,FALSE)*$Q156/100</f>
        <v>25.2</v>
      </c>
      <c r="S156" s="583">
        <f t="shared" ref="S156:S180" si="370">Q156-R156</f>
        <v>94.8</v>
      </c>
      <c r="T156" s="583">
        <f>IF(H156="Select ingredient:","",IF(G156="Select food category:","",_xlfn.IFNA(VLOOKUP($H156,Ingredient_prices!$E:$U,16,FALSE)*$Q156/1000,"not bought")))</f>
        <v>20.88</v>
      </c>
      <c r="U156" s="583">
        <f>IF(G156="Select food category:","",_xlfn.IFNA(VLOOKUP($H156,Ingredient_prices!$E:$U,16,FALSE)*$R156/1000,"not bought"))</f>
        <v>4.3848000000000003</v>
      </c>
      <c r="V156" s="549">
        <f>VLOOKUP($H156,'CO2_emission+%_food_waste'!$A:$K,4,FALSE)*$Q156</f>
        <v>384</v>
      </c>
      <c r="W156" s="583">
        <f>VLOOKUP($H156,Nutrition_tables!$A:$N,10,FALSE)*$Q156/100</f>
        <v>452.4</v>
      </c>
      <c r="X156" s="583">
        <f>VLOOKUP($H156,Nutrition_tables!$A:$N,11,FALSE)*$Q156/100</f>
        <v>81.84</v>
      </c>
      <c r="Y156" s="583">
        <f>VLOOKUP($H156,Nutrition_tables!$A:$N,12,FALSE)*$Q156/100</f>
        <v>16.8</v>
      </c>
      <c r="Z156" s="583">
        <f>VLOOKUP($H156,Nutrition_tables!$A:$N,14,FALSE)*$Q156/100</f>
        <v>5.04</v>
      </c>
      <c r="AA156" s="583">
        <f>VLOOKUP($H156,Nutrition_tables!$A:$AF,13,FALSE)*$Q156/100</f>
        <v>3.48</v>
      </c>
      <c r="AB156" s="549">
        <f>VLOOKUP($H156,Nutrition_tables!$A:$AF,15,FALSE)*$Q156/100</f>
        <v>1.08</v>
      </c>
      <c r="AC156" s="583">
        <f>VLOOKUP($H156,Nutrition_tables!$A:$AF,16,FALSE)*$Q156/100</f>
        <v>25.200000000000003</v>
      </c>
      <c r="AD156" s="583">
        <f>VLOOKUP($H156,Nutrition_tables!$A:$AF,17,FALSE)*$Q156/100</f>
        <v>280.8</v>
      </c>
      <c r="AE156" s="583">
        <f>VLOOKUP($H156,Nutrition_tables!$A:$AF,18,FALSE)*$Q156/100</f>
        <v>37.200000000000003</v>
      </c>
      <c r="AF156" s="583">
        <f>VLOOKUP($H156,Nutrition_tables!$A:$AF,19,FALSE)*$Q156/100</f>
        <v>72</v>
      </c>
      <c r="AG156" s="583">
        <f>VLOOKUP($H156,Nutrition_tables!$A:$AF,20,FALSE)*$Q156/100</f>
        <v>256.8</v>
      </c>
      <c r="AH156" s="583">
        <f>VLOOKUP($H156,Nutrition_tables!$A:$AF,21,FALSE)*$Q156/100</f>
        <v>2.2799999999999998</v>
      </c>
      <c r="AI156" s="583">
        <f>VLOOKUP($H156,Nutrition_tables!$A:$AF,22,FALSE)*$Q156/100</f>
        <v>1.92</v>
      </c>
      <c r="AJ156" s="549">
        <f>VLOOKUP($H156,Nutrition_tables!$A:$AF,23,FALSE)*$Q156/100</f>
        <v>0.3</v>
      </c>
      <c r="AK156" s="583">
        <f>VLOOKUP($H156,Nutrition_tables!$A:$AF,24,FALSE)*$Q156/100</f>
        <v>21.6</v>
      </c>
      <c r="AL156" s="583">
        <f>VLOOKUP($H156,Nutrition_tables!$A:$AF,25,FALSE)*$Q156/100</f>
        <v>0.20400000000000001</v>
      </c>
      <c r="AM156" s="583">
        <f>VLOOKUP($H156,Nutrition_tables!$A:$AF,26,FALSE)*$Q156/100</f>
        <v>0.10799999999999998</v>
      </c>
      <c r="AN156" s="583">
        <f>VLOOKUP($H156,Nutrition_tables!$A:$AF,27,FALSE)*$Q156/100</f>
        <v>5.28</v>
      </c>
      <c r="AO156" s="583">
        <f>VLOOKUP($H156,Nutrition_tables!$A:$AF,28,FALSE)*$Q156/100</f>
        <v>0.12</v>
      </c>
      <c r="AP156" s="583">
        <f>VLOOKUP($H156,Nutrition_tables!$A:$AF,29,FALSE)*$Q156/100</f>
        <v>34.799999999999997</v>
      </c>
      <c r="AQ156" s="583">
        <f>VLOOKUP($H156,Nutrition_tables!$A:$AF,30,FALSE)*$Q156/100</f>
        <v>0.48</v>
      </c>
      <c r="AR156" s="583">
        <f>VLOOKUP($H156,Nutrition_tables!$A:$AF,31,FALSE)*$Q156/100</f>
        <v>0</v>
      </c>
      <c r="AS156" s="549">
        <f>VLOOKUP($H156,Nutrition_tables!$A:$AF,32,FALSE)*$Q156/100</f>
        <v>0.36</v>
      </c>
      <c r="AT156" s="583">
        <f>IF(H156="Select ingredient:","",IF(G156="Select food category:","",IFERROR(VLOOKUP($H156,Ingredient_prices!$E:$W,17,FALSE)*$Q156/1000,"not bought")))</f>
        <v>20.88</v>
      </c>
      <c r="AU156" s="583">
        <f>IF(H156="Select ingredient:","",IF(G156="Select food category:","",IFERROR(VLOOKUP($H156,Ingredient_prices!$E:$W,18,FALSE)*$Q156/1000,"not bought")))</f>
        <v>20.88</v>
      </c>
      <c r="AV156" s="583">
        <f t="shared" ref="AV156:AV180" si="371">W156*($Q156-$R156)/($Q156+0.00001)</f>
        <v>357.39597021700246</v>
      </c>
      <c r="AW156" s="583">
        <f t="shared" ref="AW156:AW180" si="372">X156*($Q156-$R156)/($Q156+0.00001)</f>
        <v>64.65359461220045</v>
      </c>
      <c r="AX156" s="583">
        <f t="shared" ref="AX156:AX180" si="373">Y156*($Q156-$R156)/($Q156+0.00001)</f>
        <v>13.271998894000093</v>
      </c>
      <c r="AY156" s="583">
        <f t="shared" ref="AY156:AY180" si="374">Z156*($Q156-$R156)/($Q156+0.00001)</f>
        <v>3.9815996682000274</v>
      </c>
      <c r="AZ156" s="583">
        <f t="shared" ref="AZ156:AZ180" si="375">AA156*($Q156-$R156)/($Q156+0.00001)</f>
        <v>2.7491997709000189</v>
      </c>
      <c r="BA156" s="583">
        <f t="shared" ref="BA156:BA180" si="376">AB156*($Q156-$R156)/($Q156+0.00001)</f>
        <v>0.85319992890000595</v>
      </c>
      <c r="BB156" s="583">
        <f t="shared" ref="BB156:BB180" si="377">AC156*($Q156-$R156)/($Q156+0.00001)</f>
        <v>19.907998341000138</v>
      </c>
      <c r="BC156" s="583">
        <f t="shared" ref="BC156:BC180" si="378">AD156*($Q156-$R156)/($Q156+0.00001)</f>
        <v>221.83198151400154</v>
      </c>
      <c r="BD156" s="583">
        <f t="shared" ref="BD156:BD170" si="379">AE156*($Q156-$R156)/($Q156+0.00001)</f>
        <v>29.387997551000204</v>
      </c>
      <c r="BE156" s="583">
        <f t="shared" ref="BE156:BE170" si="380">AF156*($Q156-$R156)/($Q156+0.00001)</f>
        <v>56.879995260000392</v>
      </c>
      <c r="BF156" s="583">
        <f t="shared" ref="BF156:BF170" si="381">AG156*($Q156-$R156)/($Q156+0.00001)</f>
        <v>202.87198309400139</v>
      </c>
      <c r="BG156" s="583">
        <f t="shared" ref="BG156:BG170" si="382">AH156*($Q156-$R156)/($Q156+0.00001)</f>
        <v>1.8011998499000124</v>
      </c>
      <c r="BH156" s="583">
        <f t="shared" ref="BH156:BH170" si="383">AI156*($Q156-$R156)/($Q156+0.00001)</f>
        <v>1.5167998736000103</v>
      </c>
      <c r="BI156" s="583">
        <f t="shared" ref="BI156:BI170" si="384">AJ156*($Q156-$R156)/($Q156+0.00001)</f>
        <v>0.23699998025000163</v>
      </c>
      <c r="BJ156" s="583">
        <f t="shared" ref="BJ156:BJ170" si="385">AK156*($Q156-$R156)/($Q156+0.00001)</f>
        <v>17.063998578000117</v>
      </c>
      <c r="BK156" s="583">
        <f t="shared" ref="BK156:BK170" si="386">AL156*($Q156-$R156)/($Q156+0.00001)</f>
        <v>0.16115998657000113</v>
      </c>
      <c r="BL156" s="583">
        <f t="shared" ref="BL156:BL170" si="387">AM156*($Q156-$R156)/($Q156+0.00001)</f>
        <v>8.5319992890000584E-2</v>
      </c>
      <c r="BM156" s="583">
        <f t="shared" ref="BM156:BM170" si="388">AN156*($Q156-$R156)/($Q156+0.00001)</f>
        <v>4.1711996524000288</v>
      </c>
      <c r="BN156" s="583">
        <f t="shared" ref="BN156:BN170" si="389">AO156*($Q156-$R156)/($Q156+0.00001)</f>
        <v>9.4799992100000646E-2</v>
      </c>
      <c r="BO156" s="583">
        <f t="shared" ref="BO156:BO170" si="390">AP156*($Q156-$R156)/($Q156+0.00001)</f>
        <v>27.491997709000184</v>
      </c>
      <c r="BP156" s="583">
        <f t="shared" ref="BP156:BP170" si="391">AQ156*($Q156-$R156)/($Q156+0.00001)</f>
        <v>0.37919996840000258</v>
      </c>
      <c r="BQ156" s="583">
        <f t="shared" ref="BQ156:BQ170" si="392">AR156*($Q156-$R156)/($Q156+0.00001)</f>
        <v>0</v>
      </c>
      <c r="BR156" s="583">
        <f t="shared" ref="BR156:BR170" si="393">AS156*($Q156-$R156)/($Q156+0.00001)</f>
        <v>0.28439997630000197</v>
      </c>
    </row>
    <row r="157" spans="1:70" s="229" customFormat="1" ht="15" customHeight="1">
      <c r="A157" s="574"/>
      <c r="D157" s="749"/>
      <c r="E157" s="585">
        <f>IF(E$156&gt;0,E$156,"")</f>
        <v>100</v>
      </c>
      <c r="F157" s="406"/>
      <c r="G157" s="406" t="s">
        <v>3140</v>
      </c>
      <c r="H157" s="578" t="s">
        <v>3124</v>
      </c>
      <c r="I157" s="85">
        <v>80</v>
      </c>
      <c r="J157" s="682">
        <v>1</v>
      </c>
      <c r="K157" s="579">
        <f t="shared" si="369"/>
        <v>8.8000000000000007</v>
      </c>
      <c r="L157" s="580">
        <f>IF(H157="Select ingredient:","",IF(G157="","",_xlfn.IFNA(VLOOKUP($H157,Ingredient_prices!$E:$U,16,FALSE),0)))</f>
        <v>135</v>
      </c>
      <c r="M157" s="840"/>
      <c r="N157" s="840"/>
      <c r="O157" s="581"/>
      <c r="P157" s="582"/>
      <c r="Q157" s="583">
        <f t="shared" ref="Q157:Q180" si="394">I157/J157</f>
        <v>80</v>
      </c>
      <c r="R157" s="583">
        <f>VLOOKUP($H157,'CO2_emission+%_food_waste'!$A:$K,6,FALSE)*$Q157/100</f>
        <v>23.28</v>
      </c>
      <c r="S157" s="583">
        <f t="shared" si="370"/>
        <v>56.72</v>
      </c>
      <c r="T157" s="583">
        <f>IF(H157="Select ingredient:","",IF(G157="Select food category:","",_xlfn.IFNA(VLOOKUP($H157,Ingredient_prices!$E:$U,16,FALSE)*$Q157/1000,"not bought")))</f>
        <v>10.8</v>
      </c>
      <c r="U157" s="583">
        <f>IF(G157="Select food category:","",_xlfn.IFNA(VLOOKUP($H157,Ingredient_prices!$E:$U,16,FALSE)*$R157/1000,"not bought"))</f>
        <v>3.1428000000000003</v>
      </c>
      <c r="V157" s="549">
        <f>VLOOKUP($H157,'CO2_emission+%_food_waste'!$A:$K,4,FALSE)*$Q157</f>
        <v>40.799999999999997</v>
      </c>
      <c r="W157" s="583">
        <f>VLOOKUP($H157,Nutrition_tables!$A:$N,10,FALSE)*$Q157/100</f>
        <v>69.599999999999994</v>
      </c>
      <c r="X157" s="583">
        <f>VLOOKUP($H157,Nutrition_tables!$A:$N,11,FALSE)*$Q157/100</f>
        <v>16.104008586494935</v>
      </c>
      <c r="Y157" s="583">
        <f>VLOOKUP($H157,Nutrition_tables!$A:$N,12,FALSE)*$Q157/100</f>
        <v>1.4959914135050634</v>
      </c>
      <c r="Z157" s="583">
        <f>VLOOKUP($H157,Nutrition_tables!$A:$N,14,FALSE)*$Q157/100</f>
        <v>8.0003733258668164E-2</v>
      </c>
      <c r="AA157" s="583">
        <f>VLOOKUP($H157,Nutrition_tables!$A:$AF,13,FALSE)*$Q157/100</f>
        <v>1.0400111997760044</v>
      </c>
      <c r="AB157" s="549">
        <f>VLOOKUP($H157,Nutrition_tables!$A:$AF,15,FALSE)*$Q157/100</f>
        <v>2.4004853236268612E-2</v>
      </c>
      <c r="AC157" s="583">
        <f>VLOOKUP($H157,Nutrition_tables!$A:$AF,16,FALSE)*$Q157/100</f>
        <v>3.2</v>
      </c>
      <c r="AD157" s="583">
        <f>VLOOKUP($H157,Nutrition_tables!$A:$AF,17,FALSE)*$Q157/100</f>
        <v>303.20000000000005</v>
      </c>
      <c r="AE157" s="583">
        <f>VLOOKUP($H157,Nutrition_tables!$A:$AF,18,FALSE)*$Q157/100</f>
        <v>3.9999999999999996</v>
      </c>
      <c r="AF157" s="583">
        <f>VLOOKUP($H157,Nutrition_tables!$A:$AF,19,FALSE)*$Q157/100</f>
        <v>17.600000000000001</v>
      </c>
      <c r="AG157" s="583">
        <f>VLOOKUP($H157,Nutrition_tables!$A:$AF,20,FALSE)*$Q157/100</f>
        <v>35.200000000000003</v>
      </c>
      <c r="AH157" s="583">
        <f>VLOOKUP($H157,Nutrition_tables!$A:$AF,21,FALSE)*$Q157/100</f>
        <v>0.24800037332586683</v>
      </c>
      <c r="AI157" s="583">
        <f>VLOOKUP($H157,Nutrition_tables!$A:$AF,22,FALSE)*$Q157/100</f>
        <v>0.24001119977600452</v>
      </c>
      <c r="AJ157" s="549">
        <f>VLOOKUP($H157,Nutrition_tables!$A:$AF,23,FALSE)*$Q157/100</f>
        <v>0.21901048000000004</v>
      </c>
      <c r="AK157" s="583">
        <f>VLOOKUP($H157,Nutrition_tables!$A:$AF,24,FALSE)*$Q157/100</f>
        <v>0.8</v>
      </c>
      <c r="AL157" s="583">
        <f>VLOOKUP($H157,Nutrition_tables!$A:$AF,25,FALSE)*$Q157/100</f>
        <v>9.5982080358392854E-2</v>
      </c>
      <c r="AM157" s="583">
        <f>VLOOKUP($H157,Nutrition_tables!$A:$AF,26,FALSE)*$Q157/100</f>
        <v>1.6015679686406274E-2</v>
      </c>
      <c r="AN157" s="583">
        <f>VLOOKUP($H157,Nutrition_tables!$A:$AF,27,FALSE)*$Q157/100</f>
        <v>1.1520089598208036</v>
      </c>
      <c r="AO157" s="583">
        <f>VLOOKUP($H157,Nutrition_tables!$A:$AF,28,FALSE)*$Q157/100</f>
        <v>0.24001119977600452</v>
      </c>
      <c r="AP157" s="583">
        <f>VLOOKUP($H157,Nutrition_tables!$A:$AF,29,FALSE)*$Q157/100</f>
        <v>7.9999999999999991</v>
      </c>
      <c r="AQ157" s="583">
        <f>VLOOKUP($H157,Nutrition_tables!$A:$AF,30,FALSE)*$Q157/100</f>
        <v>0</v>
      </c>
      <c r="AR157" s="583">
        <f>VLOOKUP($H157,Nutrition_tables!$A:$AF,31,FALSE)*$Q157/100</f>
        <v>10.4</v>
      </c>
      <c r="AS157" s="549">
        <f>VLOOKUP($H157,Nutrition_tables!$A:$AF,32,FALSE)*$Q157/100</f>
        <v>0</v>
      </c>
      <c r="AT157" s="583">
        <f>IF(H157="Select ingredient:","",IF(G157="Select food category:","",IFERROR(VLOOKUP($H157,Ingredient_prices!$E:$W,17,FALSE)*$Q157/1000,"not bought")))</f>
        <v>5.28</v>
      </c>
      <c r="AU157" s="583">
        <f>IF(H157="Select ingredient:","",IF(G157="Select food category:","",IFERROR(VLOOKUP($H157,Ingredient_prices!$E:$W,18,FALSE)*$Q157/1000,"not bought")))</f>
        <v>10.8</v>
      </c>
      <c r="AV157" s="583">
        <f t="shared" si="371"/>
        <v>49.346393831700766</v>
      </c>
      <c r="AW157" s="583">
        <f t="shared" si="372"/>
        <v>11.417740660607326</v>
      </c>
      <c r="AX157" s="583">
        <f t="shared" si="373"/>
        <v>1.0606577795928673</v>
      </c>
      <c r="AY157" s="583">
        <f t="shared" si="374"/>
        <v>5.6722639790065747E-2</v>
      </c>
      <c r="AZ157" s="583">
        <f t="shared" si="375"/>
        <v>0.73736784847020609</v>
      </c>
      <c r="BA157" s="583">
        <f t="shared" si="376"/>
        <v>1.7019438817084592E-2</v>
      </c>
      <c r="BB157" s="583">
        <f t="shared" si="377"/>
        <v>2.2687997164000357</v>
      </c>
      <c r="BC157" s="583">
        <f t="shared" si="378"/>
        <v>214.96877312890336</v>
      </c>
      <c r="BD157" s="583">
        <f t="shared" si="379"/>
        <v>2.8359996455000438</v>
      </c>
      <c r="BE157" s="583">
        <f t="shared" si="380"/>
        <v>12.478398440200195</v>
      </c>
      <c r="BF157" s="583">
        <f t="shared" si="381"/>
        <v>24.95679688040039</v>
      </c>
      <c r="BG157" s="583">
        <f t="shared" si="382"/>
        <v>0.17583224270900924</v>
      </c>
      <c r="BH157" s="583">
        <f t="shared" si="383"/>
        <v>0.17016791937019729</v>
      </c>
      <c r="BI157" s="583">
        <f t="shared" si="384"/>
        <v>0.15527841091019864</v>
      </c>
      <c r="BJ157" s="583">
        <f t="shared" si="385"/>
        <v>0.56719992910000894</v>
      </c>
      <c r="BK157" s="583">
        <f t="shared" si="386"/>
        <v>6.8051286467689723E-2</v>
      </c>
      <c r="BL157" s="583">
        <f t="shared" si="387"/>
        <v>1.1355115478272611E-2</v>
      </c>
      <c r="BM157" s="583">
        <f t="shared" si="388"/>
        <v>0.81677425041616836</v>
      </c>
      <c r="BN157" s="583">
        <f t="shared" si="389"/>
        <v>0.17016791937019729</v>
      </c>
      <c r="BO157" s="583">
        <f t="shared" si="390"/>
        <v>5.6719992910000876</v>
      </c>
      <c r="BP157" s="583">
        <f t="shared" si="391"/>
        <v>0</v>
      </c>
      <c r="BQ157" s="583">
        <f t="shared" si="392"/>
        <v>7.3735990783001153</v>
      </c>
      <c r="BR157" s="583">
        <f t="shared" si="393"/>
        <v>0</v>
      </c>
    </row>
    <row r="158" spans="1:70" s="229" customFormat="1" ht="15" customHeight="1">
      <c r="A158" s="574"/>
      <c r="D158" s="1230"/>
      <c r="E158" s="585">
        <f t="shared" ref="E158:E180" si="395">IF(E$156&gt;0,E$156,"")</f>
        <v>100</v>
      </c>
      <c r="G158" s="406" t="s">
        <v>3140</v>
      </c>
      <c r="H158" s="578" t="s">
        <v>3100</v>
      </c>
      <c r="I158" s="85">
        <v>10</v>
      </c>
      <c r="J158" s="682">
        <v>1</v>
      </c>
      <c r="K158" s="579">
        <f t="shared" si="369"/>
        <v>1.1000000000000001</v>
      </c>
      <c r="L158" s="580">
        <f>IF(H158="Select ingredient:","",IF(G158="","",_xlfn.IFNA(VLOOKUP($H158,Ingredient_prices!$E:$U,16,FALSE),0)))</f>
        <v>120</v>
      </c>
      <c r="M158" s="840"/>
      <c r="N158" s="840"/>
      <c r="O158" s="581"/>
      <c r="P158" s="582"/>
      <c r="Q158" s="583">
        <f t="shared" si="394"/>
        <v>10</v>
      </c>
      <c r="R158" s="583">
        <f>VLOOKUP($H158,'CO2_emission+%_food_waste'!$A:$K,6,FALSE)*$Q158/100</f>
        <v>2.65</v>
      </c>
      <c r="S158" s="583">
        <f t="shared" si="370"/>
        <v>7.35</v>
      </c>
      <c r="T158" s="583">
        <f>IF(H158="Select ingredient:","",IF(G158="Select food category:","",_xlfn.IFNA(VLOOKUP($H158,Ingredient_prices!$E:$U,16,FALSE)*$Q158/1000,"not bought")))</f>
        <v>1.2</v>
      </c>
      <c r="U158" s="583">
        <f>IF(G158="Select food category:","",_xlfn.IFNA(VLOOKUP($H158,Ingredient_prices!$E:$U,16,FALSE)*$R158/1000,"not bought"))</f>
        <v>0.318</v>
      </c>
      <c r="V158" s="549">
        <f>VLOOKUP($H158,'CO2_emission+%_food_waste'!$A:$K,4,FALSE)*$Q158</f>
        <v>4.8</v>
      </c>
      <c r="W158" s="583">
        <f>VLOOKUP($H158,Nutrition_tables!$A:$N,10,FALSE)*$Q158/100</f>
        <v>2.8</v>
      </c>
      <c r="X158" s="583">
        <f>VLOOKUP($H158,Nutrition_tables!$A:$N,11,FALSE)*$Q158/100</f>
        <v>1</v>
      </c>
      <c r="Y158" s="583">
        <f>VLOOKUP($H158,Nutrition_tables!$A:$N,12,FALSE)*$Q158/100</f>
        <v>0.11766666666666666</v>
      </c>
      <c r="Z158" s="583">
        <f>VLOOKUP($H158,Nutrition_tables!$A:$N,14,FALSE)*$Q158/100</f>
        <v>2.5000000000000001E-2</v>
      </c>
      <c r="AA158" s="583">
        <f>VLOOKUP($H158,Nutrition_tables!$A:$AF,13,FALSE)*$Q158/100</f>
        <v>0.17</v>
      </c>
      <c r="AB158" s="549">
        <f>VLOOKUP($H158,Nutrition_tables!$A:$AF,15,FALSE)*$Q158/100</f>
        <v>9.5000000000000015E-3</v>
      </c>
      <c r="AC158" s="583">
        <f>VLOOKUP($H158,Nutrition_tables!$A:$AF,16,FALSE)*$Q158/100</f>
        <v>0.4</v>
      </c>
      <c r="AD158" s="583">
        <f>VLOOKUP($H158,Nutrition_tables!$A:$AF,17,FALSE)*$Q158/100</f>
        <v>14.6</v>
      </c>
      <c r="AE158" s="583">
        <f>VLOOKUP($H158,Nutrition_tables!$A:$AF,18,FALSE)*$Q158/100</f>
        <v>2.2999999999999998</v>
      </c>
      <c r="AF158" s="583">
        <f>VLOOKUP($H158,Nutrition_tables!$A:$AF,19,FALSE)*$Q158/100</f>
        <v>1</v>
      </c>
      <c r="AG158" s="583">
        <f>VLOOKUP($H158,Nutrition_tables!$A:$AF,20,FALSE)*$Q158/100</f>
        <v>2.9</v>
      </c>
      <c r="AH158" s="583">
        <f>VLOOKUP($H158,Nutrition_tables!$A:$AF,21,FALSE)*$Q158/100</f>
        <v>2.1000000000000001E-2</v>
      </c>
      <c r="AI158" s="583">
        <f>VLOOKUP($H158,Nutrition_tables!$A:$AF,22,FALSE)*$Q158/100</f>
        <v>1.7000000000000001E-2</v>
      </c>
      <c r="AJ158" s="549">
        <f>VLOOKUP($H158,Nutrition_tables!$A:$AF,23,FALSE)*$Q158/100</f>
        <v>4.0000000000000001E-3</v>
      </c>
      <c r="AK158" s="583">
        <f>VLOOKUP($H158,Nutrition_tables!$A:$AF,24,FALSE)*$Q158/100</f>
        <v>0</v>
      </c>
      <c r="AL158" s="583">
        <f>VLOOKUP($H158,Nutrition_tables!$A:$AF,25,FALSE)*$Q158/100</f>
        <v>4.9999999999999992E-3</v>
      </c>
      <c r="AM158" s="583">
        <f>VLOOKUP($H158,Nutrition_tables!$A:$AF,26,FALSE)*$Q158/100</f>
        <v>3.0000000000000001E-3</v>
      </c>
      <c r="AN158" s="583">
        <f>VLOOKUP($H158,Nutrition_tables!$A:$AF,27,FALSE)*$Q158/100</f>
        <v>1.2E-2</v>
      </c>
      <c r="AO158" s="583">
        <f>VLOOKUP($H158,Nutrition_tables!$A:$AF,28,FALSE)*$Q158/100</f>
        <v>7.1999999999999994E-4</v>
      </c>
      <c r="AP158" s="583">
        <f>VLOOKUP($H158,Nutrition_tables!$A:$AF,29,FALSE)*$Q158/100</f>
        <v>3.6</v>
      </c>
      <c r="AQ158" s="583">
        <f>VLOOKUP($H158,Nutrition_tables!$A:$AF,30,FALSE)*$Q158/100</f>
        <v>0</v>
      </c>
      <c r="AR158" s="583">
        <f>VLOOKUP($H158,Nutrition_tables!$A:$AF,31,FALSE)*$Q158/100</f>
        <v>0.74</v>
      </c>
      <c r="AS158" s="549">
        <f>VLOOKUP($H158,Nutrition_tables!$A:$AF,32,FALSE)*$Q158/100</f>
        <v>0</v>
      </c>
      <c r="AT158" s="583">
        <f>IF(H158="Select ingredient:","",IF(G158="Select food category:","",IFERROR(VLOOKUP($H158,Ingredient_prices!$E:$W,17,FALSE)*$Q158/1000,"not bought")))</f>
        <v>0.93500000000000005</v>
      </c>
      <c r="AU158" s="583">
        <f>IF(H158="Select ingredient:","",IF(G158="Select food category:","",IFERROR(VLOOKUP($H158,Ingredient_prices!$E:$W,18,FALSE)*$Q158/1000,"not bought")))</f>
        <v>1.2</v>
      </c>
      <c r="AV158" s="583">
        <f t="shared" si="371"/>
        <v>2.057997942002058</v>
      </c>
      <c r="AW158" s="583">
        <f t="shared" si="372"/>
        <v>0.73499926500073498</v>
      </c>
      <c r="AX158" s="583">
        <f t="shared" si="373"/>
        <v>8.6484913515086484E-2</v>
      </c>
      <c r="AY158" s="583">
        <f t="shared" si="374"/>
        <v>1.8374981625018376E-2</v>
      </c>
      <c r="AZ158" s="583">
        <f t="shared" si="375"/>
        <v>0.12494987505012496</v>
      </c>
      <c r="BA158" s="583">
        <f t="shared" si="376"/>
        <v>6.9824930175069839E-3</v>
      </c>
      <c r="BB158" s="583">
        <f t="shared" si="377"/>
        <v>0.29399970600029401</v>
      </c>
      <c r="BC158" s="583">
        <f t="shared" si="378"/>
        <v>10.730989269010729</v>
      </c>
      <c r="BD158" s="583">
        <f t="shared" si="379"/>
        <v>1.6904983095016903</v>
      </c>
      <c r="BE158" s="583">
        <f t="shared" si="380"/>
        <v>0.73499926500073498</v>
      </c>
      <c r="BF158" s="583">
        <f t="shared" si="381"/>
        <v>2.1314978685021315</v>
      </c>
      <c r="BG158" s="583">
        <f t="shared" si="382"/>
        <v>1.5434984565015438E-2</v>
      </c>
      <c r="BH158" s="583">
        <f t="shared" si="383"/>
        <v>1.2494987505012496E-2</v>
      </c>
      <c r="BI158" s="583">
        <f t="shared" si="384"/>
        <v>2.9399970600029399E-3</v>
      </c>
      <c r="BJ158" s="583">
        <f t="shared" si="385"/>
        <v>0</v>
      </c>
      <c r="BK158" s="583">
        <f t="shared" si="386"/>
        <v>3.6749963250036744E-3</v>
      </c>
      <c r="BL158" s="583">
        <f t="shared" si="387"/>
        <v>2.2049977950022049E-3</v>
      </c>
      <c r="BM158" s="583">
        <f t="shared" si="388"/>
        <v>8.8199911800088196E-3</v>
      </c>
      <c r="BN158" s="583">
        <f t="shared" si="389"/>
        <v>5.2919947080052915E-4</v>
      </c>
      <c r="BO158" s="583">
        <f t="shared" si="390"/>
        <v>2.6459973540026462</v>
      </c>
      <c r="BP158" s="583">
        <f t="shared" si="391"/>
        <v>0</v>
      </c>
      <c r="BQ158" s="583">
        <f t="shared" si="392"/>
        <v>0.54389945610054391</v>
      </c>
      <c r="BR158" s="583">
        <f t="shared" si="393"/>
        <v>0</v>
      </c>
    </row>
    <row r="159" spans="1:70" s="229" customFormat="1" ht="15" customHeight="1">
      <c r="A159" s="574"/>
      <c r="D159" s="85"/>
      <c r="E159" s="585">
        <f t="shared" si="395"/>
        <v>100</v>
      </c>
      <c r="F159" s="85"/>
      <c r="G159" s="406" t="s">
        <v>3075</v>
      </c>
      <c r="H159" s="578" t="s">
        <v>3239</v>
      </c>
      <c r="I159" s="85">
        <v>5</v>
      </c>
      <c r="J159" s="682">
        <v>1</v>
      </c>
      <c r="K159" s="579">
        <f t="shared" si="369"/>
        <v>0.55000000000000004</v>
      </c>
      <c r="L159" s="580">
        <f>IF(H159="Select ingredient:","",IF(G159="","",_xlfn.IFNA(VLOOKUP($H159,Ingredient_prices!$E:$U,16,FALSE),0)))</f>
        <v>121</v>
      </c>
      <c r="M159" s="840"/>
      <c r="N159" s="840"/>
      <c r="O159" s="581"/>
      <c r="P159" s="582"/>
      <c r="Q159" s="583">
        <f t="shared" si="394"/>
        <v>5</v>
      </c>
      <c r="R159" s="583">
        <f>VLOOKUP($H159,'CO2_emission+%_food_waste'!$A:$K,6,FALSE)*$Q159/100</f>
        <v>1.39</v>
      </c>
      <c r="S159" s="583">
        <f t="shared" si="370"/>
        <v>3.6100000000000003</v>
      </c>
      <c r="T159" s="583">
        <f>IF(H159="Select ingredient:","",IF(G159="Select food category:","",_xlfn.IFNA(VLOOKUP($H159,Ingredient_prices!$E:$U,16,FALSE)*$Q159/1000,"not bought")))</f>
        <v>0.60499999999999998</v>
      </c>
      <c r="U159" s="583">
        <f>IF(G159="Select food category:","",_xlfn.IFNA(VLOOKUP($H159,Ingredient_prices!$E:$U,16,FALSE)*$R159/1000,"not bought"))</f>
        <v>0.16819000000000001</v>
      </c>
      <c r="V159" s="549">
        <f>VLOOKUP($H159,'CO2_emission+%_food_waste'!$A:$K,4,FALSE)*$Q159</f>
        <v>23.650000000000002</v>
      </c>
      <c r="W159" s="583">
        <f>VLOOKUP($H159,Nutrition_tables!$A:$N,10,FALSE)*$Q159/100</f>
        <v>44.216050000000003</v>
      </c>
      <c r="X159" s="583">
        <f>VLOOKUP($H159,Nutrition_tables!$A:$N,11,FALSE)*$Q159/100</f>
        <v>5.0000000000000001E-3</v>
      </c>
      <c r="Y159" s="583">
        <f>VLOOKUP($H159,Nutrition_tables!$A:$N,12,FALSE)*$Q159/100</f>
        <v>5.0000000000000001E-3</v>
      </c>
      <c r="Z159" s="583">
        <f>VLOOKUP($H159,Nutrition_tables!$A:$N,14,FALSE)*$Q159/100</f>
        <v>4.9749999999999996</v>
      </c>
      <c r="AA159" s="583">
        <f>VLOOKUP($H159,Nutrition_tables!$A:$AF,13,FALSE)*$Q159/100</f>
        <v>0</v>
      </c>
      <c r="AB159" s="549">
        <f>VLOOKUP($H159,Nutrition_tables!$A:$AF,15,FALSE)*$Q159/100</f>
        <v>0.33950000000000002</v>
      </c>
      <c r="AC159" s="583">
        <f>VLOOKUP($H159,Nutrition_tables!$A:$AF,16,FALSE)*$Q159/100</f>
        <v>5.0000000000000001E-3</v>
      </c>
      <c r="AD159" s="583">
        <f>VLOOKUP($H159,Nutrition_tables!$A:$AF,17,FALSE)*$Q159/100</f>
        <v>0</v>
      </c>
      <c r="AE159" s="583">
        <f>VLOOKUP($H159,Nutrition_tables!$A:$AF,18,FALSE)*$Q159/100</f>
        <v>0.01</v>
      </c>
      <c r="AF159" s="583">
        <f>VLOOKUP($H159,Nutrition_tables!$A:$AF,19,FALSE)*$Q159/100</f>
        <v>0.05</v>
      </c>
      <c r="AG159" s="583">
        <f>VLOOKUP($H159,Nutrition_tables!$A:$AF,20,FALSE)*$Q159/100</f>
        <v>0</v>
      </c>
      <c r="AH159" s="583">
        <f>VLOOKUP($H159,Nutrition_tables!$A:$AF,21,FALSE)*$Q159/100</f>
        <v>5.0000000000000001E-3</v>
      </c>
      <c r="AI159" s="583">
        <f>VLOOKUP($H159,Nutrition_tables!$A:$AF,22,FALSE)*$Q159/100</f>
        <v>0</v>
      </c>
      <c r="AJ159" s="549">
        <f>VLOOKUP($H159,Nutrition_tables!$A:$AF,23,FALSE)*$Q159/100</f>
        <v>0</v>
      </c>
      <c r="AK159" s="583">
        <f>VLOOKUP($H159,Nutrition_tables!$A:$AF,24,FALSE)*$Q159/100</f>
        <v>0</v>
      </c>
      <c r="AL159" s="583">
        <f>VLOOKUP($H159,Nutrition_tables!$A:$AF,25,FALSE)*$Q159/100</f>
        <v>0</v>
      </c>
      <c r="AM159" s="583">
        <f>VLOOKUP($H159,Nutrition_tables!$A:$AF,26,FALSE)*$Q159/100</f>
        <v>0</v>
      </c>
      <c r="AN159" s="583">
        <f>VLOOKUP($H159,Nutrition_tables!$A:$AF,27,FALSE)*$Q159/100</f>
        <v>0</v>
      </c>
      <c r="AO159" s="583">
        <f>VLOOKUP($H159,Nutrition_tables!$A:$AF,28,FALSE)*$Q159/100</f>
        <v>0</v>
      </c>
      <c r="AP159" s="583">
        <f>VLOOKUP($H159,Nutrition_tables!$A:$AF,29,FALSE)*$Q159/100</f>
        <v>0</v>
      </c>
      <c r="AQ159" s="583">
        <f>VLOOKUP($H159,Nutrition_tables!$A:$AF,30,FALSE)*$Q159/100</f>
        <v>0</v>
      </c>
      <c r="AR159" s="583">
        <f>VLOOKUP($H159,Nutrition_tables!$A:$AF,31,FALSE)*$Q159/100</f>
        <v>0</v>
      </c>
      <c r="AS159" s="549">
        <f>VLOOKUP($H159,Nutrition_tables!$A:$AF,32,FALSE)*$Q159/100</f>
        <v>0</v>
      </c>
      <c r="AT159" s="583">
        <f>IF(H159="Select ingredient:","",IF(G159="Select food category:","",IFERROR(VLOOKUP($H159,Ingredient_prices!$E:$W,17,FALSE)*$Q159/1000,"not bought")))</f>
        <v>0.60499999999999998</v>
      </c>
      <c r="AU159" s="583">
        <f>IF(H159="Select ingredient:","",IF(G159="Select food category:","",IFERROR(VLOOKUP($H159,Ingredient_prices!$E:$W,18,FALSE)*$Q159/1000,"not bought")))</f>
        <v>0.60499999999999998</v>
      </c>
      <c r="AV159" s="583">
        <f t="shared" si="371"/>
        <v>31.923924252151501</v>
      </c>
      <c r="AW159" s="583">
        <f t="shared" si="372"/>
        <v>3.6099927800144409E-3</v>
      </c>
      <c r="AX159" s="583">
        <f t="shared" si="373"/>
        <v>3.6099927800144409E-3</v>
      </c>
      <c r="AY159" s="583">
        <f t="shared" si="374"/>
        <v>3.5919428161143681</v>
      </c>
      <c r="AZ159" s="583">
        <f t="shared" si="375"/>
        <v>0</v>
      </c>
      <c r="BA159" s="583">
        <f t="shared" si="376"/>
        <v>0.24511850976298052</v>
      </c>
      <c r="BB159" s="583">
        <f t="shared" si="377"/>
        <v>3.6099927800144409E-3</v>
      </c>
      <c r="BC159" s="583">
        <f t="shared" si="378"/>
        <v>0</v>
      </c>
      <c r="BD159" s="583">
        <f t="shared" si="379"/>
        <v>7.2199855600288817E-3</v>
      </c>
      <c r="BE159" s="583">
        <f t="shared" si="380"/>
        <v>3.6099927800144406E-2</v>
      </c>
      <c r="BF159" s="583">
        <f t="shared" si="381"/>
        <v>0</v>
      </c>
      <c r="BG159" s="583">
        <f t="shared" si="382"/>
        <v>3.6099927800144409E-3</v>
      </c>
      <c r="BH159" s="583">
        <f t="shared" si="383"/>
        <v>0</v>
      </c>
      <c r="BI159" s="583">
        <f t="shared" si="384"/>
        <v>0</v>
      </c>
      <c r="BJ159" s="583">
        <f t="shared" si="385"/>
        <v>0</v>
      </c>
      <c r="BK159" s="583">
        <f t="shared" si="386"/>
        <v>0</v>
      </c>
      <c r="BL159" s="583">
        <f t="shared" si="387"/>
        <v>0</v>
      </c>
      <c r="BM159" s="583">
        <f t="shared" si="388"/>
        <v>0</v>
      </c>
      <c r="BN159" s="583">
        <f t="shared" si="389"/>
        <v>0</v>
      </c>
      <c r="BO159" s="583">
        <f t="shared" si="390"/>
        <v>0</v>
      </c>
      <c r="BP159" s="583">
        <f t="shared" si="391"/>
        <v>0</v>
      </c>
      <c r="BQ159" s="583">
        <f t="shared" si="392"/>
        <v>0</v>
      </c>
      <c r="BR159" s="583">
        <f t="shared" si="393"/>
        <v>0</v>
      </c>
    </row>
    <row r="160" spans="1:70" s="229" customFormat="1" ht="15" customHeight="1">
      <c r="A160" s="574"/>
      <c r="D160" s="85"/>
      <c r="E160" s="585">
        <f t="shared" si="395"/>
        <v>100</v>
      </c>
      <c r="F160" s="85"/>
      <c r="G160" s="406" t="s">
        <v>3076</v>
      </c>
      <c r="H160" s="578" t="s">
        <v>495</v>
      </c>
      <c r="I160" s="85">
        <v>0.2</v>
      </c>
      <c r="J160" s="682">
        <v>1</v>
      </c>
      <c r="K160" s="579">
        <f t="shared" si="369"/>
        <v>2.2000000000000002E-2</v>
      </c>
      <c r="L160" s="580">
        <f>IF(H160="Select ingredient:","",IF(G160="","",_xlfn.IFNA(VLOOKUP($H160,Ingredient_prices!$E:$U,16,FALSE),0)))</f>
        <v>33.6</v>
      </c>
      <c r="M160" s="840"/>
      <c r="N160" s="840"/>
      <c r="O160" s="581"/>
      <c r="P160" s="582"/>
      <c r="Q160" s="583">
        <f t="shared" si="394"/>
        <v>0.2</v>
      </c>
      <c r="R160" s="583">
        <f>VLOOKUP($H160,'CO2_emission+%_food_waste'!$A:$K,6,FALSE)*$Q160/100</f>
        <v>6.2E-2</v>
      </c>
      <c r="S160" s="583">
        <f t="shared" si="370"/>
        <v>0.13800000000000001</v>
      </c>
      <c r="T160" s="583">
        <f>IF(H160="Select ingredient:","",IF(G160="Select food category:","",_xlfn.IFNA(VLOOKUP($H160,Ingredient_prices!$E:$U,16,FALSE)*$Q160/1000,"not bought")))</f>
        <v>6.7200000000000003E-3</v>
      </c>
      <c r="U160" s="583">
        <f>IF(G160="Select food category:","",_xlfn.IFNA(VLOOKUP($H160,Ingredient_prices!$E:$U,16,FALSE)*$R160/1000,"not bought"))</f>
        <v>2.0832000000000003E-3</v>
      </c>
      <c r="V160" s="549">
        <f>VLOOKUP($H160,'CO2_emission+%_food_waste'!$A:$K,4,FALSE)*$Q160</f>
        <v>3.5999999999999997E-2</v>
      </c>
      <c r="W160" s="583">
        <f>VLOOKUP($H160,Nutrition_tables!$A:$N,10,FALSE)*$Q160/100</f>
        <v>0</v>
      </c>
      <c r="X160" s="583">
        <f>VLOOKUP($H160,Nutrition_tables!$A:$N,11,FALSE)*$Q160/100</f>
        <v>0</v>
      </c>
      <c r="Y160" s="583">
        <f>VLOOKUP($H160,Nutrition_tables!$A:$N,12,FALSE)*$Q160/100</f>
        <v>0</v>
      </c>
      <c r="Z160" s="583">
        <f>VLOOKUP($H160,Nutrition_tables!$A:$N,14,FALSE)*$Q160/100</f>
        <v>0</v>
      </c>
      <c r="AA160" s="583">
        <f>VLOOKUP($H160,Nutrition_tables!$A:$AF,13,FALSE)*$Q160/100</f>
        <v>0</v>
      </c>
      <c r="AB160" s="549">
        <f>VLOOKUP($H160,Nutrition_tables!$A:$AF,15,FALSE)*$Q160/100</f>
        <v>0</v>
      </c>
      <c r="AC160" s="583">
        <f>VLOOKUP($H160,Nutrition_tables!$A:$AF,16,FALSE)*$Q160/100</f>
        <v>77.7</v>
      </c>
      <c r="AD160" s="583">
        <f>VLOOKUP($H160,Nutrition_tables!$A:$AF,17,FALSE)*$Q160/100</f>
        <v>0.23199999999999998</v>
      </c>
      <c r="AE160" s="583">
        <f>VLOOKUP($H160,Nutrition_tables!$A:$AF,18,FALSE)*$Q160/100</f>
        <v>3.8000000000000006E-2</v>
      </c>
      <c r="AF160" s="583">
        <f>VLOOKUP($H160,Nutrition_tables!$A:$AF,19,FALSE)*$Q160/100</f>
        <v>0.53</v>
      </c>
      <c r="AG160" s="583">
        <f>VLOOKUP($H160,Nutrition_tables!$A:$AF,20,FALSE)*$Q160/100</f>
        <v>1.6E-2</v>
      </c>
      <c r="AH160" s="583">
        <f>VLOOKUP($H160,Nutrition_tables!$A:$AF,21,FALSE)*$Q160/100</f>
        <v>4.0000000000000003E-5</v>
      </c>
      <c r="AI160" s="583">
        <f>VLOOKUP($H160,Nutrition_tables!$A:$AF,22,FALSE)*$Q160/100</f>
        <v>2.0000000000000004E-4</v>
      </c>
      <c r="AJ160" s="549">
        <f>VLOOKUP($H160,Nutrition_tables!$A:$AF,23,FALSE)*$Q160/100</f>
        <v>6.0000000000000002E-5</v>
      </c>
      <c r="AK160" s="583">
        <f>VLOOKUP($H160,Nutrition_tables!$A:$AF,24,FALSE)*$Q160/100</f>
        <v>0</v>
      </c>
      <c r="AL160" s="583">
        <f>VLOOKUP($H160,Nutrition_tables!$A:$AF,25,FALSE)*$Q160/100</f>
        <v>0</v>
      </c>
      <c r="AM160" s="583">
        <f>VLOOKUP($H160,Nutrition_tables!$A:$AF,26,FALSE)*$Q160/100</f>
        <v>0</v>
      </c>
      <c r="AN160" s="583">
        <f>VLOOKUP($H160,Nutrition_tables!$A:$AF,27,FALSE)*$Q160/100</f>
        <v>0</v>
      </c>
      <c r="AO160" s="583">
        <f>VLOOKUP($H160,Nutrition_tables!$A:$AF,28,FALSE)*$Q160/100</f>
        <v>0</v>
      </c>
      <c r="AP160" s="583">
        <f>VLOOKUP($H160,Nutrition_tables!$A:$AF,29,FALSE)*$Q160/100</f>
        <v>0</v>
      </c>
      <c r="AQ160" s="583">
        <f>VLOOKUP($H160,Nutrition_tables!$A:$AF,30,FALSE)*$Q160/100</f>
        <v>0</v>
      </c>
      <c r="AR160" s="583">
        <f>VLOOKUP($H160,Nutrition_tables!$A:$AF,31,FALSE)*$Q160/100</f>
        <v>0</v>
      </c>
      <c r="AS160" s="549">
        <f>VLOOKUP($H160,Nutrition_tables!$A:$AF,32,FALSE)*$Q160/100</f>
        <v>0</v>
      </c>
      <c r="AT160" s="583">
        <f>IF(H160="Select ingredient:","",IF(G160="Select food category:","",IFERROR(VLOOKUP($H160,Ingredient_prices!$E:$W,17,FALSE)*$Q160/1000,"not bought")))</f>
        <v>6.7200000000000003E-3</v>
      </c>
      <c r="AU160" s="583">
        <f>IF(H160="Select ingredient:","",IF(G160="Select food category:","",IFERROR(VLOOKUP($H160,Ingredient_prices!$E:$W,18,FALSE)*$Q160/1000,"not bought")))</f>
        <v>6.7200000000000003E-3</v>
      </c>
      <c r="AV160" s="583">
        <f t="shared" si="371"/>
        <v>0</v>
      </c>
      <c r="AW160" s="583">
        <f t="shared" si="372"/>
        <v>0</v>
      </c>
      <c r="AX160" s="583">
        <f t="shared" si="373"/>
        <v>0</v>
      </c>
      <c r="AY160" s="583">
        <f t="shared" si="374"/>
        <v>0</v>
      </c>
      <c r="AZ160" s="583">
        <f t="shared" si="375"/>
        <v>0</v>
      </c>
      <c r="BA160" s="583">
        <f t="shared" si="376"/>
        <v>0</v>
      </c>
      <c r="BB160" s="583">
        <f t="shared" si="377"/>
        <v>53.610319484025801</v>
      </c>
      <c r="BC160" s="583">
        <f t="shared" si="378"/>
        <v>0.16007199640017999</v>
      </c>
      <c r="BD160" s="583">
        <f t="shared" si="379"/>
        <v>2.6218689065546728E-2</v>
      </c>
      <c r="BE160" s="583">
        <f t="shared" si="380"/>
        <v>0.36568171591420429</v>
      </c>
      <c r="BF160" s="583">
        <f t="shared" si="381"/>
        <v>1.103944802759862E-2</v>
      </c>
      <c r="BG160" s="583">
        <f t="shared" si="382"/>
        <v>2.7598620068996551E-5</v>
      </c>
      <c r="BH160" s="583">
        <f t="shared" si="383"/>
        <v>1.3799310034498278E-4</v>
      </c>
      <c r="BI160" s="583">
        <f t="shared" si="384"/>
        <v>4.1397930103494823E-5</v>
      </c>
      <c r="BJ160" s="583">
        <f t="shared" si="385"/>
        <v>0</v>
      </c>
      <c r="BK160" s="583">
        <f t="shared" si="386"/>
        <v>0</v>
      </c>
      <c r="BL160" s="583">
        <f t="shared" si="387"/>
        <v>0</v>
      </c>
      <c r="BM160" s="583">
        <f t="shared" si="388"/>
        <v>0</v>
      </c>
      <c r="BN160" s="583">
        <f t="shared" si="389"/>
        <v>0</v>
      </c>
      <c r="BO160" s="583">
        <f t="shared" si="390"/>
        <v>0</v>
      </c>
      <c r="BP160" s="583">
        <f t="shared" si="391"/>
        <v>0</v>
      </c>
      <c r="BQ160" s="583">
        <f t="shared" si="392"/>
        <v>0</v>
      </c>
      <c r="BR160" s="583">
        <f t="shared" si="393"/>
        <v>0</v>
      </c>
    </row>
    <row r="161" spans="1:70" s="229" customFormat="1" ht="15" customHeight="1">
      <c r="A161" s="574"/>
      <c r="D161" s="85"/>
      <c r="E161" s="585">
        <f t="shared" si="395"/>
        <v>100</v>
      </c>
      <c r="F161" s="1131"/>
      <c r="G161" s="406" t="s">
        <v>3076</v>
      </c>
      <c r="H161" s="578" t="s">
        <v>3301</v>
      </c>
      <c r="I161" s="85">
        <v>0.2</v>
      </c>
      <c r="J161" s="682">
        <v>1</v>
      </c>
      <c r="K161" s="579">
        <f t="shared" si="369"/>
        <v>2.2000000000000002E-2</v>
      </c>
      <c r="L161" s="580">
        <f>IF(H161="Select ingredient:","",IF(G161="","",_xlfn.IFNA(VLOOKUP($H161,Ingredient_prices!$E:$U,16,FALSE),0)))</f>
        <v>369.6</v>
      </c>
      <c r="M161" s="840"/>
      <c r="N161" s="840"/>
      <c r="O161" s="581"/>
      <c r="P161" s="582"/>
      <c r="Q161" s="583">
        <f t="shared" si="394"/>
        <v>0.2</v>
      </c>
      <c r="R161" s="583">
        <f>VLOOKUP($H161,'CO2_emission+%_food_waste'!$A:$K,6,FALSE)*$Q161/100</f>
        <v>6.2800000000000009E-2</v>
      </c>
      <c r="S161" s="583">
        <f t="shared" si="370"/>
        <v>0.13719999999999999</v>
      </c>
      <c r="T161" s="583">
        <f>IF(H161="Select ingredient:","",IF(G161="Select food category:","",_xlfn.IFNA(VLOOKUP($H161,Ingredient_prices!$E:$U,16,FALSE)*$Q161/1000,"not bought")))</f>
        <v>7.392E-2</v>
      </c>
      <c r="U161" s="583">
        <f>IF(G161="Select food category:","",_xlfn.IFNA(VLOOKUP($H161,Ingredient_prices!$E:$U,16,FALSE)*$R161/1000,"not bought"))</f>
        <v>2.3210880000000003E-2</v>
      </c>
      <c r="V161" s="549">
        <f>VLOOKUP($H161,'CO2_emission+%_food_waste'!$A:$K,4,FALSE)*$Q161</f>
        <v>0.17400000000000002</v>
      </c>
      <c r="W161" s="583">
        <f>VLOOKUP($H161,Nutrition_tables!$A:$N,10,FALSE)*$Q161/100</f>
        <v>0.27400000000000002</v>
      </c>
      <c r="X161" s="583">
        <f>VLOOKUP($H161,Nutrition_tables!$A:$N,11,FALSE)*$Q161/100</f>
        <v>4.9000000000000002E-2</v>
      </c>
      <c r="Y161" s="583">
        <f>VLOOKUP($H161,Nutrition_tables!$A:$N,12,FALSE)*$Q161/100</f>
        <v>1.7000000000000001E-2</v>
      </c>
      <c r="Z161" s="583">
        <f>VLOOKUP($H161,Nutrition_tables!$A:$N,14,FALSE)*$Q161/100</f>
        <v>1.1999999999999999E-3</v>
      </c>
      <c r="AA161" s="583">
        <f>VLOOKUP($H161,Nutrition_tables!$A:$AF,13,FALSE)*$Q161/100</f>
        <v>-7.9999999999999996E-6</v>
      </c>
      <c r="AB161" s="549">
        <f>VLOOKUP($H161,Nutrition_tables!$A:$AF,15,FALSE)*$Q161/100</f>
        <v>-7.9999999999999996E-6</v>
      </c>
      <c r="AC161" s="583">
        <f>VLOOKUP($H161,Nutrition_tables!$A:$AF,16,FALSE)*$Q161/100</f>
        <v>25.52</v>
      </c>
      <c r="AD161" s="583">
        <f>VLOOKUP($H161,Nutrition_tables!$A:$AF,17,FALSE)*$Q161/100</f>
        <v>2</v>
      </c>
      <c r="AE161" s="583">
        <f>VLOOKUP($H161,Nutrition_tables!$A:$AF,18,FALSE)*$Q161/100</f>
        <v>0</v>
      </c>
      <c r="AF161" s="583">
        <f>VLOOKUP($H161,Nutrition_tables!$A:$AF,19,FALSE)*$Q161/100</f>
        <v>-7.9999999999999996E-6</v>
      </c>
      <c r="AG161" s="583">
        <f>VLOOKUP($H161,Nutrition_tables!$A:$AF,20,FALSE)*$Q161/100</f>
        <v>-7.9999999999999996E-6</v>
      </c>
      <c r="AH161" s="583">
        <f>VLOOKUP($H161,Nutrition_tables!$A:$AF,21,FALSE)*$Q161/100</f>
        <v>1.4400000000000001E-2</v>
      </c>
      <c r="AI161" s="583">
        <f>VLOOKUP($H161,Nutrition_tables!$A:$AF,22,FALSE)*$Q161/100</f>
        <v>-7.9999999999999996E-6</v>
      </c>
      <c r="AJ161" s="549">
        <f>VLOOKUP($H161,Nutrition_tables!$A:$AF,23,FALSE)*$Q161/100</f>
        <v>-8.0000000000000007E-7</v>
      </c>
      <c r="AK161" s="583">
        <f>VLOOKUP($H161,Nutrition_tables!$A:$AF,24,FALSE)*$Q161/100</f>
        <v>-7.9999999999999996E-6</v>
      </c>
      <c r="AL161" s="583">
        <f>VLOOKUP($H161,Nutrition_tables!$A:$AF,25,FALSE)*$Q161/100</f>
        <v>-7.9999999999999996E-6</v>
      </c>
      <c r="AM161" s="583">
        <f>VLOOKUP($H161,Nutrition_tables!$A:$AF,26,FALSE)*$Q161/100</f>
        <v>-7.9999999999999996E-6</v>
      </c>
      <c r="AN161" s="583">
        <f>VLOOKUP($H161,Nutrition_tables!$A:$AF,27,FALSE)*$Q161/100</f>
        <v>-7.9999999999999996E-6</v>
      </c>
      <c r="AO161" s="583">
        <f>VLOOKUP($H161,Nutrition_tables!$A:$AF,28,FALSE)*$Q161/100</f>
        <v>-7.9999999999999996E-6</v>
      </c>
      <c r="AP161" s="583">
        <f>VLOOKUP($H161,Nutrition_tables!$A:$AF,29,FALSE)*$Q161/100</f>
        <v>-7.9999999999999996E-6</v>
      </c>
      <c r="AQ161" s="583">
        <f>VLOOKUP($H161,Nutrition_tables!$A:$AF,30,FALSE)*$Q161/100</f>
        <v>-8.0000000000000007E-7</v>
      </c>
      <c r="AR161" s="583">
        <f>VLOOKUP($H161,Nutrition_tables!$A:$AF,31,FALSE)*$Q161/100</f>
        <v>0</v>
      </c>
      <c r="AS161" s="549">
        <f>VLOOKUP($H161,Nutrition_tables!$A:$AF,32,FALSE)*$Q161/100</f>
        <v>-8.0000000000000007E-7</v>
      </c>
      <c r="AT161" s="583">
        <f>IF(H161="Select ingredient:","",IF(G161="Select food category:","",IFERROR(VLOOKUP($H161,Ingredient_prices!$E:$W,17,FALSE)*$Q161/1000,"not bought")))</f>
        <v>7.392E-2</v>
      </c>
      <c r="AU161" s="583">
        <f>IF(H161="Select ingredient:","",IF(G161="Select food category:","",IFERROR(VLOOKUP($H161,Ingredient_prices!$E:$W,18,FALSE)*$Q161/1000,"not bought")))</f>
        <v>7.392E-2</v>
      </c>
      <c r="AV161" s="583">
        <f t="shared" si="371"/>
        <v>0.1879546022698865</v>
      </c>
      <c r="AW161" s="583">
        <f t="shared" si="372"/>
        <v>3.3612319384030795E-2</v>
      </c>
      <c r="AX161" s="583">
        <f t="shared" si="373"/>
        <v>1.1661416929153541E-2</v>
      </c>
      <c r="AY161" s="583">
        <f t="shared" si="374"/>
        <v>8.2315884205789688E-4</v>
      </c>
      <c r="AZ161" s="583">
        <f t="shared" si="375"/>
        <v>-5.4877256137193127E-6</v>
      </c>
      <c r="BA161" s="583">
        <f t="shared" si="376"/>
        <v>-5.4877256137193127E-6</v>
      </c>
      <c r="BB161" s="583">
        <f t="shared" si="377"/>
        <v>17.505844707764609</v>
      </c>
      <c r="BC161" s="583">
        <f t="shared" si="378"/>
        <v>1.3719314034298282</v>
      </c>
      <c r="BD161" s="583">
        <f t="shared" si="379"/>
        <v>0</v>
      </c>
      <c r="BE161" s="583">
        <f t="shared" si="380"/>
        <v>-5.4877256137193127E-6</v>
      </c>
      <c r="BF161" s="583">
        <f t="shared" si="381"/>
        <v>-5.4877256137193127E-6</v>
      </c>
      <c r="BG161" s="583">
        <f t="shared" si="382"/>
        <v>9.8779061046947638E-3</v>
      </c>
      <c r="BH161" s="583">
        <f t="shared" si="383"/>
        <v>-5.4877256137193127E-6</v>
      </c>
      <c r="BI161" s="583">
        <f t="shared" si="384"/>
        <v>-5.4877256137193136E-7</v>
      </c>
      <c r="BJ161" s="583">
        <f t="shared" si="385"/>
        <v>-5.4877256137193127E-6</v>
      </c>
      <c r="BK161" s="583">
        <f t="shared" si="386"/>
        <v>-5.4877256137193127E-6</v>
      </c>
      <c r="BL161" s="583">
        <f t="shared" si="387"/>
        <v>-5.4877256137193127E-6</v>
      </c>
      <c r="BM161" s="583">
        <f t="shared" si="388"/>
        <v>-5.4877256137193127E-6</v>
      </c>
      <c r="BN161" s="583">
        <f t="shared" si="389"/>
        <v>-5.4877256137193127E-6</v>
      </c>
      <c r="BO161" s="583">
        <f t="shared" si="390"/>
        <v>-5.4877256137193127E-6</v>
      </c>
      <c r="BP161" s="583">
        <f t="shared" si="391"/>
        <v>-5.4877256137193136E-7</v>
      </c>
      <c r="BQ161" s="583">
        <f t="shared" si="392"/>
        <v>0</v>
      </c>
      <c r="BR161" s="583">
        <f t="shared" si="393"/>
        <v>-5.4877256137193136E-7</v>
      </c>
    </row>
    <row r="162" spans="1:70" s="229" customFormat="1" ht="15" customHeight="1">
      <c r="A162" s="574"/>
      <c r="D162" s="406"/>
      <c r="E162" s="585">
        <f t="shared" si="395"/>
        <v>100</v>
      </c>
      <c r="F162" s="1103"/>
      <c r="G162" s="406" t="s">
        <v>3140</v>
      </c>
      <c r="H162" s="578" t="s">
        <v>3115</v>
      </c>
      <c r="I162" s="85">
        <v>30</v>
      </c>
      <c r="J162" s="682">
        <v>1</v>
      </c>
      <c r="K162" s="579">
        <f t="shared" si="369"/>
        <v>3.3</v>
      </c>
      <c r="L162" s="580">
        <f>IF(H162="Select ingredient:","",IF(G162="","",_xlfn.IFNA(VLOOKUP($H162,Ingredient_prices!$E:$U,16,FALSE),0)))</f>
        <v>110</v>
      </c>
      <c r="M162" s="840"/>
      <c r="N162" s="840"/>
      <c r="O162" s="581"/>
      <c r="P162" s="582"/>
      <c r="Q162" s="583">
        <f t="shared" si="394"/>
        <v>30</v>
      </c>
      <c r="R162" s="583">
        <f>VLOOKUP($H162,'CO2_emission+%_food_waste'!$A:$K,6,FALSE)*$Q162/100</f>
        <v>9.0090000000000003</v>
      </c>
      <c r="S162" s="583">
        <f t="shared" si="370"/>
        <v>20.991</v>
      </c>
      <c r="T162" s="583">
        <f>IF(H162="Select ingredient:","",IF(G162="Select food category:","",_xlfn.IFNA(VLOOKUP($H162,Ingredient_prices!$E:$U,16,FALSE)*$Q162/1000,"not bought")))</f>
        <v>3.3</v>
      </c>
      <c r="U162" s="583">
        <f>IF(G162="Select food category:","",_xlfn.IFNA(VLOOKUP($H162,Ingredient_prices!$E:$U,16,FALSE)*$R162/1000,"not bought"))</f>
        <v>0.99099000000000004</v>
      </c>
      <c r="V162" s="549">
        <f>VLOOKUP($H162,'CO2_emission+%_food_waste'!$A:$K,4,FALSE)*$Q162</f>
        <v>13.8</v>
      </c>
      <c r="W162" s="583">
        <f>VLOOKUP($H162,Nutrition_tables!$A:$N,10,FALSE)*$Q162/100</f>
        <v>9.5399999999999991</v>
      </c>
      <c r="X162" s="583">
        <f>VLOOKUP($H162,Nutrition_tables!$A:$N,11,FALSE)*$Q162/100</f>
        <v>1.98</v>
      </c>
      <c r="Y162" s="583">
        <f>VLOOKUP($H162,Nutrition_tables!$A:$N,12,FALSE)*$Q162/100</f>
        <v>0.252</v>
      </c>
      <c r="Z162" s="583">
        <f>VLOOKUP($H162,Nutrition_tables!$A:$N,14,FALSE)*$Q162/100</f>
        <v>8.1000000000000016E-2</v>
      </c>
      <c r="AA162" s="583">
        <f>VLOOKUP($H162,Nutrition_tables!$A:$AF,13,FALSE)*$Q162/100</f>
        <v>0.65099999999999991</v>
      </c>
      <c r="AB162" s="549">
        <f>VLOOKUP($H162,Nutrition_tables!$A:$AF,15,FALSE)*$Q162/100</f>
        <v>1.2E-2</v>
      </c>
      <c r="AC162" s="583">
        <f>VLOOKUP($H162,Nutrition_tables!$A:$AF,16,FALSE)*$Q162/100</f>
        <v>11.28</v>
      </c>
      <c r="AD162" s="583">
        <f>VLOOKUP($H162,Nutrition_tables!$A:$AF,17,FALSE)*$Q162/100</f>
        <v>94.5</v>
      </c>
      <c r="AE162" s="583">
        <f>VLOOKUP($H162,Nutrition_tables!$A:$AF,18,FALSE)*$Q162/100</f>
        <v>9.57</v>
      </c>
      <c r="AF162" s="583">
        <f>VLOOKUP($H162,Nutrition_tables!$A:$AF,19,FALSE)*$Q162/100</f>
        <v>3.54</v>
      </c>
      <c r="AG162" s="583">
        <f>VLOOKUP($H162,Nutrition_tables!$A:$AF,20,FALSE)*$Q162/100</f>
        <v>4.919999999999999</v>
      </c>
      <c r="AH162" s="583">
        <f>VLOOKUP($H162,Nutrition_tables!$A:$AF,21,FALSE)*$Q162/100</f>
        <v>6.3E-2</v>
      </c>
      <c r="AI162" s="583">
        <f>VLOOKUP($H162,Nutrition_tables!$A:$AF,22,FALSE)*$Q162/100</f>
        <v>6.6000000000000003E-2</v>
      </c>
      <c r="AJ162" s="549">
        <f>VLOOKUP($H162,Nutrition_tables!$A:$AF,23,FALSE)*$Q162/100</f>
        <v>1.3499999999999999E-3</v>
      </c>
      <c r="AK162" s="583">
        <f>VLOOKUP($H162,Nutrition_tables!$A:$AF,24,FALSE)*$Q162/100</f>
        <v>255.6</v>
      </c>
      <c r="AL162" s="583">
        <f>VLOOKUP($H162,Nutrition_tables!$A:$AF,25,FALSE)*$Q162/100</f>
        <v>1.4999999999999999E-2</v>
      </c>
      <c r="AM162" s="583">
        <f>VLOOKUP($H162,Nutrition_tables!$A:$AF,26,FALSE)*$Q162/100</f>
        <v>1.2E-2</v>
      </c>
      <c r="AN162" s="583">
        <f>VLOOKUP($H162,Nutrition_tables!$A:$AF,27,FALSE)*$Q162/100</f>
        <v>0.29400000000000004</v>
      </c>
      <c r="AO162" s="583">
        <f>VLOOKUP($H162,Nutrition_tables!$A:$AF,28,FALSE)*$Q162/100</f>
        <v>3.5999999999999997E-2</v>
      </c>
      <c r="AP162" s="583">
        <f>VLOOKUP($H162,Nutrition_tables!$A:$AF,29,FALSE)*$Q162/100</f>
        <v>13.919999999999998</v>
      </c>
      <c r="AQ162" s="583">
        <f>VLOOKUP($H162,Nutrition_tables!$A:$AF,30,FALSE)*$Q162/100</f>
        <v>0</v>
      </c>
      <c r="AR162" s="583">
        <f>VLOOKUP($H162,Nutrition_tables!$A:$AF,31,FALSE)*$Q162/100</f>
        <v>1.6320000000000001</v>
      </c>
      <c r="AS162" s="549">
        <f>VLOOKUP($H162,Nutrition_tables!$A:$AF,32,FALSE)*$Q162/100</f>
        <v>0</v>
      </c>
      <c r="AT162" s="583">
        <f>IF(H162="Select ingredient:","",IF(G162="Select food category:","",IFERROR(VLOOKUP($H162,Ingredient_prices!$E:$W,17,FALSE)*$Q162/1000,"not bought")))</f>
        <v>1.155</v>
      </c>
      <c r="AU162" s="583">
        <f>IF(H162="Select ingredient:","",IF(G162="Select food category:","",IFERROR(VLOOKUP($H162,Ingredient_prices!$E:$W,18,FALSE)*$Q162/1000,"not bought")))</f>
        <v>3.3</v>
      </c>
      <c r="AV162" s="583">
        <f t="shared" si="371"/>
        <v>6.6751357749547413</v>
      </c>
      <c r="AW162" s="583">
        <f t="shared" si="372"/>
        <v>1.3854055381981538</v>
      </c>
      <c r="AX162" s="583">
        <f t="shared" si="373"/>
        <v>0.17632434122521959</v>
      </c>
      <c r="AY162" s="583">
        <f t="shared" si="374"/>
        <v>5.6675681108106307E-2</v>
      </c>
      <c r="AZ162" s="583">
        <f t="shared" si="375"/>
        <v>0.45550454816515057</v>
      </c>
      <c r="BA162" s="583">
        <f t="shared" si="376"/>
        <v>8.3963972012009325E-3</v>
      </c>
      <c r="BB162" s="583">
        <f t="shared" si="377"/>
        <v>7.8926133691288758</v>
      </c>
      <c r="BC162" s="583">
        <f t="shared" si="378"/>
        <v>66.121627959457342</v>
      </c>
      <c r="BD162" s="583">
        <f t="shared" si="379"/>
        <v>6.6961267679577441</v>
      </c>
      <c r="BE162" s="583">
        <f t="shared" si="380"/>
        <v>2.476937174354275</v>
      </c>
      <c r="BF162" s="583">
        <f t="shared" si="381"/>
        <v>3.4425228524923819</v>
      </c>
      <c r="BG162" s="583">
        <f t="shared" si="382"/>
        <v>4.4081085306304897E-2</v>
      </c>
      <c r="BH162" s="583">
        <f t="shared" si="383"/>
        <v>4.6180184606605133E-2</v>
      </c>
      <c r="BI162" s="583">
        <f t="shared" si="384"/>
        <v>9.4459468513510489E-4</v>
      </c>
      <c r="BJ162" s="583">
        <f t="shared" si="385"/>
        <v>178.84326038557984</v>
      </c>
      <c r="BK162" s="583">
        <f t="shared" si="386"/>
        <v>1.0495496501501167E-2</v>
      </c>
      <c r="BL162" s="583">
        <f t="shared" si="387"/>
        <v>8.3963972012009325E-3</v>
      </c>
      <c r="BM162" s="583">
        <f t="shared" si="388"/>
        <v>0.20571173142942289</v>
      </c>
      <c r="BN162" s="583">
        <f t="shared" si="389"/>
        <v>2.5189191603602796E-2</v>
      </c>
      <c r="BO162" s="583">
        <f t="shared" si="390"/>
        <v>9.7398207533930812</v>
      </c>
      <c r="BP162" s="583">
        <f t="shared" si="391"/>
        <v>0</v>
      </c>
      <c r="BQ162" s="583">
        <f t="shared" si="392"/>
        <v>1.1419100193633269</v>
      </c>
      <c r="BR162" s="583">
        <f t="shared" si="393"/>
        <v>0</v>
      </c>
    </row>
    <row r="163" spans="1:70" s="229" customFormat="1" ht="15" customHeight="1">
      <c r="A163" s="574"/>
      <c r="D163" s="406"/>
      <c r="E163" s="585">
        <f t="shared" si="395"/>
        <v>100</v>
      </c>
      <c r="F163" s="1103"/>
      <c r="G163" s="406" t="s">
        <v>3085</v>
      </c>
      <c r="H163" s="578" t="s">
        <v>3215</v>
      </c>
      <c r="I163" s="85">
        <v>25</v>
      </c>
      <c r="J163" s="682">
        <v>1</v>
      </c>
      <c r="K163" s="579">
        <f t="shared" si="369"/>
        <v>2.7500000000000004</v>
      </c>
      <c r="L163" s="580">
        <f>IF(H163="Select ingredient:","",IF(G163="","",_xlfn.IFNA(VLOOKUP($H163,Ingredient_prices!$E:$U,16,FALSE),0)))</f>
        <v>468</v>
      </c>
      <c r="M163" s="840"/>
      <c r="N163" s="840"/>
      <c r="O163" s="581"/>
      <c r="P163" s="582"/>
      <c r="Q163" s="583">
        <f t="shared" si="394"/>
        <v>25</v>
      </c>
      <c r="R163" s="583">
        <f>VLOOKUP($H163,'CO2_emission+%_food_waste'!$A:$K,6,FALSE)*$Q163/100</f>
        <v>4.7</v>
      </c>
      <c r="S163" s="583">
        <f t="shared" si="370"/>
        <v>20.3</v>
      </c>
      <c r="T163" s="583">
        <f>IF(H163="Select ingredient:","",IF(G163="Select food category:","",_xlfn.IFNA(VLOOKUP($H163,Ingredient_prices!$E:$U,16,FALSE)*$Q163/1000,"not bought")))</f>
        <v>11.7</v>
      </c>
      <c r="U163" s="583">
        <f>IF(G163="Select food category:","",_xlfn.IFNA(VLOOKUP($H163,Ingredient_prices!$E:$U,16,FALSE)*$R163/1000,"not bought"))</f>
        <v>2.1995999999999998</v>
      </c>
      <c r="V163" s="549">
        <f>VLOOKUP($H163,'CO2_emission+%_food_waste'!$A:$K,4,FALSE)*$Q163</f>
        <v>202.5</v>
      </c>
      <c r="W163" s="583">
        <f>VLOOKUP($H163,Nutrition_tables!$A:$N,10,FALSE)*$Q163/100</f>
        <v>28.875</v>
      </c>
      <c r="X163" s="583">
        <f>VLOOKUP($H163,Nutrition_tables!$A:$N,11,FALSE)*$Q163/100</f>
        <v>1</v>
      </c>
      <c r="Y163" s="583">
        <f>VLOOKUP($H163,Nutrition_tables!$A:$N,12,FALSE)*$Q163/100</f>
        <v>0.38124999999999998</v>
      </c>
      <c r="Z163" s="583">
        <f>VLOOKUP($H163,Nutrition_tables!$A:$N,14,FALSE)*$Q163/100</f>
        <v>1.375</v>
      </c>
      <c r="AA163" s="583">
        <f>VLOOKUP($H163,Nutrition_tables!$A:$AF,13,FALSE)*$Q163/100</f>
        <v>0</v>
      </c>
      <c r="AB163" s="549">
        <f>VLOOKUP($H163,Nutrition_tables!$A:$AF,15,FALSE)*$Q163/100</f>
        <v>0.45</v>
      </c>
      <c r="AC163" s="583">
        <f>VLOOKUP($H163,Nutrition_tables!$A:$AF,16,FALSE)*$Q163/100</f>
        <v>132.75</v>
      </c>
      <c r="AD163" s="583">
        <f>VLOOKUP($H163,Nutrition_tables!$A:$AF,17,FALSE)*$Q163/100</f>
        <v>11.88688688688689</v>
      </c>
      <c r="AE163" s="583">
        <f>VLOOKUP($H163,Nutrition_tables!$A:$AF,18,FALSE)*$Q163/100</f>
        <v>82.5</v>
      </c>
      <c r="AF163" s="583">
        <f>VLOOKUP($H163,Nutrition_tables!$A:$AF,19,FALSE)*$Q163/100</f>
        <v>3.5452118785452118</v>
      </c>
      <c r="AG163" s="583">
        <f>VLOOKUP($H163,Nutrition_tables!$A:$AF,20,FALSE)*$Q163/100</f>
        <v>46.504838171504851</v>
      </c>
      <c r="AH163" s="583">
        <f>VLOOKUP($H163,Nutrition_tables!$A:$AF,21,FALSE)*$Q163/100</f>
        <v>2.9195862529195864E-2</v>
      </c>
      <c r="AI163" s="583">
        <f>VLOOKUP($H163,Nutrition_tables!$A:$AF,22,FALSE)*$Q163/100</f>
        <v>0.2168835502168836</v>
      </c>
      <c r="AJ163" s="549">
        <f>VLOOKUP($H163,Nutrition_tables!$A:$AF,23,FALSE)*$Q163/100</f>
        <v>6.9969969969969972E-2</v>
      </c>
      <c r="AK163" s="583">
        <f>VLOOKUP($H163,Nutrition_tables!$A:$AF,24,FALSE)*$Q163/100</f>
        <v>57.349015682349027</v>
      </c>
      <c r="AL163" s="583">
        <f>VLOOKUP($H163,Nutrition_tables!$A:$AF,25,FALSE)*$Q163/100</f>
        <v>6.7500000000000008E-3</v>
      </c>
      <c r="AM163" s="583">
        <f>VLOOKUP($H163,Nutrition_tables!$A:$AF,26,FALSE)*$Q163/100</f>
        <v>8.9673006339672998E-2</v>
      </c>
      <c r="AN163" s="583">
        <f>VLOOKUP($H163,Nutrition_tables!$A:$AF,27,FALSE)*$Q163/100</f>
        <v>0.75430159889619375</v>
      </c>
      <c r="AO163" s="583">
        <f>VLOOKUP($H163,Nutrition_tables!$A:$AF,28,FALSE)*$Q163/100</f>
        <v>1.15E-2</v>
      </c>
      <c r="AP163" s="583">
        <f>VLOOKUP($H163,Nutrition_tables!$A:$AF,29,FALSE)*$Q163/100</f>
        <v>4.3793793793793796</v>
      </c>
      <c r="AQ163" s="583">
        <f>VLOOKUP($H163,Nutrition_tables!$A:$AF,30,FALSE)*$Q163/100</f>
        <v>8.3416750083416785E-2</v>
      </c>
      <c r="AR163" s="583">
        <f>VLOOKUP($H163,Nutrition_tables!$A:$AF,31,FALSE)*$Q163/100</f>
        <v>0</v>
      </c>
      <c r="AS163" s="549">
        <f>VLOOKUP($H163,Nutrition_tables!$A:$AF,32,FALSE)*$Q163/100</f>
        <v>8.7587587587587598E-2</v>
      </c>
      <c r="AT163" s="583">
        <f>IF(H163="Select ingredient:","",IF(G163="Select food category:","",IFERROR(VLOOKUP($H163,Ingredient_prices!$E:$W,17,FALSE)*$Q163/1000,"not bought")))</f>
        <v>11.7</v>
      </c>
      <c r="AU163" s="583">
        <f>IF(H163="Select ingredient:","",IF(G163="Select food category:","",IFERROR(VLOOKUP($H163,Ingredient_prices!$E:$W,18,FALSE)*$Q163/1000,"not bought")))</f>
        <v>11.7</v>
      </c>
      <c r="AV163" s="583">
        <f t="shared" si="371"/>
        <v>23.446490621403754</v>
      </c>
      <c r="AW163" s="583">
        <f t="shared" si="372"/>
        <v>0.81199967520012994</v>
      </c>
      <c r="AX163" s="583">
        <f t="shared" si="373"/>
        <v>0.30957487617004953</v>
      </c>
      <c r="AY163" s="583">
        <f t="shared" si="374"/>
        <v>1.1164995534001787</v>
      </c>
      <c r="AZ163" s="583">
        <f t="shared" si="375"/>
        <v>0</v>
      </c>
      <c r="BA163" s="583">
        <f t="shared" si="376"/>
        <v>0.36539985384005846</v>
      </c>
      <c r="BB163" s="583">
        <f t="shared" si="377"/>
        <v>107.79295688281726</v>
      </c>
      <c r="BC163" s="583">
        <f t="shared" si="378"/>
        <v>9.6521482912928391</v>
      </c>
      <c r="BD163" s="583">
        <f t="shared" si="379"/>
        <v>66.989973204010724</v>
      </c>
      <c r="BE163" s="583">
        <f t="shared" si="380"/>
        <v>2.8787108938943549</v>
      </c>
      <c r="BF163" s="583">
        <f t="shared" si="381"/>
        <v>37.761913490496546</v>
      </c>
      <c r="BG163" s="583">
        <f t="shared" si="382"/>
        <v>2.3707030890894685E-2</v>
      </c>
      <c r="BH163" s="583">
        <f t="shared" si="383"/>
        <v>0.17610937233236054</v>
      </c>
      <c r="BI163" s="583">
        <f t="shared" si="384"/>
        <v>5.6815592889378465E-2</v>
      </c>
      <c r="BJ163" s="583">
        <f t="shared" si="385"/>
        <v>46.567382107114575</v>
      </c>
      <c r="BK163" s="583">
        <f t="shared" si="386"/>
        <v>5.4809978076008773E-3</v>
      </c>
      <c r="BL163" s="583">
        <f t="shared" si="387"/>
        <v>7.2814452022033668E-2</v>
      </c>
      <c r="BM163" s="583">
        <f t="shared" si="388"/>
        <v>0.61249265330664804</v>
      </c>
      <c r="BN163" s="583">
        <f t="shared" si="389"/>
        <v>9.3379962648014944E-3</v>
      </c>
      <c r="BO163" s="583">
        <f t="shared" si="390"/>
        <v>3.5560546336342034</v>
      </c>
      <c r="BP163" s="583">
        <f t="shared" si="391"/>
        <v>6.7734373973984852E-2</v>
      </c>
      <c r="BQ163" s="583">
        <f t="shared" si="392"/>
        <v>0</v>
      </c>
      <c r="BR163" s="583">
        <f t="shared" si="393"/>
        <v>7.1121092672684058E-2</v>
      </c>
    </row>
    <row r="164" spans="1:70" s="229" customFormat="1" ht="15" customHeight="1">
      <c r="A164" s="574"/>
      <c r="D164" s="406"/>
      <c r="E164" s="585">
        <f t="shared" si="395"/>
        <v>100</v>
      </c>
      <c r="F164" s="707"/>
      <c r="G164" s="406" t="s">
        <v>3140</v>
      </c>
      <c r="H164" s="578" t="s">
        <v>469</v>
      </c>
      <c r="I164" s="85">
        <v>20</v>
      </c>
      <c r="J164" s="682">
        <v>1</v>
      </c>
      <c r="K164" s="579">
        <f t="shared" si="369"/>
        <v>2.2000000000000002</v>
      </c>
      <c r="L164" s="580">
        <f>IF(H164="Select ingredient:","",IF(G164="","",_xlfn.IFNA(VLOOKUP($H164,Ingredient_prices!$E:$U,16,FALSE),0)))</f>
        <v>300</v>
      </c>
      <c r="M164" s="840"/>
      <c r="N164" s="840"/>
      <c r="O164" s="581"/>
      <c r="P164" s="582"/>
      <c r="Q164" s="583">
        <f t="shared" si="394"/>
        <v>20</v>
      </c>
      <c r="R164" s="583">
        <f>VLOOKUP($H164,'CO2_emission+%_food_waste'!$A:$K,6,FALSE)*$Q164/100</f>
        <v>5.82</v>
      </c>
      <c r="S164" s="583">
        <f t="shared" si="370"/>
        <v>14.18</v>
      </c>
      <c r="T164" s="583">
        <f>IF(H164="Select ingredient:","",IF(G164="Select food category:","",_xlfn.IFNA(VLOOKUP($H164,Ingredient_prices!$E:$U,16,FALSE)*$Q164/1000,"not bought")))</f>
        <v>6</v>
      </c>
      <c r="U164" s="583">
        <f>IF(G164="Select food category:","",_xlfn.IFNA(VLOOKUP($H164,Ingredient_prices!$E:$U,16,FALSE)*$R164/1000,"not bought"))</f>
        <v>1.746</v>
      </c>
      <c r="V164" s="549">
        <f>VLOOKUP($H164,'CO2_emission+%_food_waste'!$A:$K,4,FALSE)*$Q164</f>
        <v>44.400000000000006</v>
      </c>
      <c r="W164" s="583">
        <f>VLOOKUP($H164,Nutrition_tables!$A:$N,10,FALSE)*$Q164/100</f>
        <v>4</v>
      </c>
      <c r="X164" s="583">
        <f>VLOOKUP($H164,Nutrition_tables!$A:$N,11,FALSE)*$Q164/100</f>
        <v>0.44</v>
      </c>
      <c r="Y164" s="583">
        <f>VLOOKUP($H164,Nutrition_tables!$A:$N,12,FALSE)*$Q164/100</f>
        <v>0.36</v>
      </c>
      <c r="Z164" s="583">
        <f>VLOOKUP($H164,Nutrition_tables!$A:$N,14,FALSE)*$Q164/100</f>
        <v>0.06</v>
      </c>
      <c r="AA164" s="583">
        <f>VLOOKUP($H164,Nutrition_tables!$A:$AF,13,FALSE)*$Q164/100</f>
        <v>0.42</v>
      </c>
      <c r="AB164" s="549">
        <f>VLOOKUP($H164,Nutrition_tables!$A:$AF,15,FALSE)*$Q164/100</f>
        <v>0.02</v>
      </c>
      <c r="AC164" s="583">
        <f>VLOOKUP($H164,Nutrition_tables!$A:$AF,16,FALSE)*$Q164/100</f>
        <v>5</v>
      </c>
      <c r="AD164" s="583">
        <f>VLOOKUP($H164,Nutrition_tables!$A:$AF,17,FALSE)*$Q164/100</f>
        <v>74</v>
      </c>
      <c r="AE164" s="583">
        <f>VLOOKUP($H164,Nutrition_tables!$A:$AF,18,FALSE)*$Q164/100</f>
        <v>4.8</v>
      </c>
      <c r="AF164" s="583">
        <f>VLOOKUP($H164,Nutrition_tables!$A:$AF,19,FALSE)*$Q164/100</f>
        <v>3</v>
      </c>
      <c r="AG164" s="583">
        <f>VLOOKUP($H164,Nutrition_tables!$A:$AF,20,FALSE)*$Q164/100</f>
        <v>10</v>
      </c>
      <c r="AH164" s="583">
        <f>VLOOKUP($H164,Nutrition_tables!$A:$AF,21,FALSE)*$Q164/100</f>
        <v>0.12</v>
      </c>
      <c r="AI164" s="583">
        <f>VLOOKUP($H164,Nutrition_tables!$A:$AF,22,FALSE)*$Q164/100</f>
        <v>0.1</v>
      </c>
      <c r="AJ164" s="549">
        <f>VLOOKUP($H164,Nutrition_tables!$A:$AF,23,FALSE)*$Q164/100</f>
        <v>0.02</v>
      </c>
      <c r="AK164" s="583">
        <f>VLOOKUP($H164,Nutrition_tables!$A:$AF,24,FALSE)*$Q164/100</f>
        <v>0.18</v>
      </c>
      <c r="AL164" s="583">
        <f>VLOOKUP($H164,Nutrition_tables!$A:$AF,25,FALSE)*$Q164/100</f>
        <v>0.02</v>
      </c>
      <c r="AM164" s="583">
        <f>VLOOKUP($H164,Nutrition_tables!$A:$AF,26,FALSE)*$Q164/100</f>
        <v>1.2E-2</v>
      </c>
      <c r="AN164" s="583">
        <f>VLOOKUP($H164,Nutrition_tables!$A:$AF,27,FALSE)*$Q164/100</f>
        <v>0.24</v>
      </c>
      <c r="AO164" s="583">
        <f>VLOOKUP($H164,Nutrition_tables!$A:$AF,28,FALSE)*$Q164/100</f>
        <v>3.4599999999999999E-2</v>
      </c>
      <c r="AP164" s="583">
        <f>VLOOKUP($H164,Nutrition_tables!$A:$AF,29,FALSE)*$Q164/100</f>
        <v>17.18</v>
      </c>
      <c r="AQ164" s="583">
        <f>VLOOKUP($H164,Nutrition_tables!$A:$AF,30,FALSE)*$Q164/100</f>
        <v>-8.0000000000000007E-5</v>
      </c>
      <c r="AR164" s="583">
        <f>VLOOKUP($H164,Nutrition_tables!$A:$AF,31,FALSE)*$Q164/100</f>
        <v>12.3</v>
      </c>
      <c r="AS164" s="549">
        <f>VLOOKUP($H164,Nutrition_tables!$A:$AF,32,FALSE)*$Q164/100</f>
        <v>-8.0000000000000007E-5</v>
      </c>
      <c r="AT164" s="583">
        <f>IF(H164="Select ingredient:","",IF(G164="Select food category:","",IFERROR(VLOOKUP($H164,Ingredient_prices!$E:$W,17,FALSE)*$Q164/1000,"not bought")))</f>
        <v>2.2000000000000002</v>
      </c>
      <c r="AU164" s="583">
        <f>IF(H164="Select ingredient:","",IF(G164="Select food category:","",IFERROR(VLOOKUP($H164,Ingredient_prices!$E:$W,18,FALSE)*$Q164/1000,"not bought")))</f>
        <v>6</v>
      </c>
      <c r="AV164" s="583">
        <f t="shared" si="371"/>
        <v>2.835998582000709</v>
      </c>
      <c r="AW164" s="583">
        <f t="shared" si="372"/>
        <v>0.31195984402007804</v>
      </c>
      <c r="AX164" s="583">
        <f t="shared" si="373"/>
        <v>0.25523987238006379</v>
      </c>
      <c r="AY164" s="583">
        <f t="shared" si="374"/>
        <v>4.2539978730010634E-2</v>
      </c>
      <c r="AZ164" s="583">
        <f t="shared" si="375"/>
        <v>0.29777985111007443</v>
      </c>
      <c r="BA164" s="583">
        <f t="shared" si="376"/>
        <v>1.4179992910003545E-2</v>
      </c>
      <c r="BB164" s="583">
        <f t="shared" si="377"/>
        <v>3.5449982275008867</v>
      </c>
      <c r="BC164" s="583">
        <f t="shared" si="378"/>
        <v>52.465973767013111</v>
      </c>
      <c r="BD164" s="583">
        <f t="shared" si="379"/>
        <v>3.4031982984008504</v>
      </c>
      <c r="BE164" s="583">
        <f t="shared" si="380"/>
        <v>2.1269989365005317</v>
      </c>
      <c r="BF164" s="583">
        <f t="shared" si="381"/>
        <v>7.0899964550017733</v>
      </c>
      <c r="BG164" s="583">
        <f t="shared" si="382"/>
        <v>8.5079957460021269E-2</v>
      </c>
      <c r="BH164" s="583">
        <f t="shared" si="383"/>
        <v>7.0899964550017736E-2</v>
      </c>
      <c r="BI164" s="583">
        <f t="shared" si="384"/>
        <v>1.4179992910003545E-2</v>
      </c>
      <c r="BJ164" s="583">
        <f t="shared" si="385"/>
        <v>0.1276199361900319</v>
      </c>
      <c r="BK164" s="583">
        <f t="shared" si="386"/>
        <v>1.4179992910003545E-2</v>
      </c>
      <c r="BL164" s="583">
        <f t="shared" si="387"/>
        <v>8.5079957460021272E-3</v>
      </c>
      <c r="BM164" s="583">
        <f t="shared" si="388"/>
        <v>0.17015991492004254</v>
      </c>
      <c r="BN164" s="583">
        <f t="shared" si="389"/>
        <v>2.4531387734306132E-2</v>
      </c>
      <c r="BO164" s="583">
        <f t="shared" si="390"/>
        <v>12.180613909693044</v>
      </c>
      <c r="BP164" s="583">
        <f t="shared" si="391"/>
        <v>-5.6719971640014185E-5</v>
      </c>
      <c r="BQ164" s="583">
        <f t="shared" si="392"/>
        <v>8.7206956396521811</v>
      </c>
      <c r="BR164" s="583">
        <f t="shared" si="393"/>
        <v>-5.6719971640014185E-5</v>
      </c>
    </row>
    <row r="165" spans="1:70" s="229" customFormat="1" ht="15" customHeight="1">
      <c r="A165" s="574"/>
      <c r="D165" s="406"/>
      <c r="E165" s="585">
        <f t="shared" si="395"/>
        <v>100</v>
      </c>
      <c r="F165" s="707"/>
      <c r="G165" s="406" t="s">
        <v>3054</v>
      </c>
      <c r="H165" s="1262" t="s">
        <v>3055</v>
      </c>
      <c r="I165" s="85">
        <v>0</v>
      </c>
      <c r="J165" s="682">
        <v>1</v>
      </c>
      <c r="K165" s="579" t="str">
        <f t="shared" si="369"/>
        <v/>
      </c>
      <c r="L165" s="580" t="str">
        <f>IF(H165="Select ingredient:","",IF(G165="","",_xlfn.IFNA(VLOOKUP($H165,Ingredient_prices!$E:$U,16,FALSE),0)))</f>
        <v/>
      </c>
      <c r="M165" s="840"/>
      <c r="N165" s="840"/>
      <c r="O165" s="581"/>
      <c r="P165" s="582"/>
      <c r="Q165" s="583">
        <f t="shared" si="394"/>
        <v>0</v>
      </c>
      <c r="R165" s="583">
        <f>VLOOKUP($H165,'CO2_emission+%_food_waste'!$A:$K,6,FALSE)*$Q165/100</f>
        <v>0</v>
      </c>
      <c r="S165" s="583">
        <f t="shared" si="370"/>
        <v>0</v>
      </c>
      <c r="T165" s="583" t="str">
        <f>IF(H165="Select ingredient:","",IF(G165="Select food category:","",_xlfn.IFNA(VLOOKUP($H165,Ingredient_prices!$E:$U,16,FALSE)*$Q165/1000,"not bought")))</f>
        <v/>
      </c>
      <c r="U165" s="583" t="str">
        <f>IF(G165="Select food category:","",_xlfn.IFNA(VLOOKUP($H165,Ingredient_prices!$E:$U,16,FALSE)*$R165/1000,"not bought"))</f>
        <v/>
      </c>
      <c r="V165" s="549">
        <f>VLOOKUP($H165,'CO2_emission+%_food_waste'!$A:$K,4,FALSE)*$Q165</f>
        <v>0</v>
      </c>
      <c r="W165" s="583">
        <f>VLOOKUP($H165,Nutrition_tables!$A:$N,10,FALSE)*$Q165/100</f>
        <v>0</v>
      </c>
      <c r="X165" s="583">
        <f>VLOOKUP($H165,Nutrition_tables!$A:$N,11,FALSE)*$Q165/100</f>
        <v>0</v>
      </c>
      <c r="Y165" s="583">
        <f>VLOOKUP($H165,Nutrition_tables!$A:$N,12,FALSE)*$Q165/100</f>
        <v>0</v>
      </c>
      <c r="Z165" s="583">
        <f>VLOOKUP($H165,Nutrition_tables!$A:$N,14,FALSE)*$Q165/100</f>
        <v>0</v>
      </c>
      <c r="AA165" s="583">
        <f>VLOOKUP($H165,Nutrition_tables!$A:$AF,13,FALSE)*$Q165/100</f>
        <v>0</v>
      </c>
      <c r="AB165" s="549">
        <f>VLOOKUP($H165,Nutrition_tables!$A:$AF,15,FALSE)*$Q165/100</f>
        <v>0</v>
      </c>
      <c r="AC165" s="583">
        <f>VLOOKUP($H165,Nutrition_tables!$A:$AF,16,FALSE)*$Q165/100</f>
        <v>0</v>
      </c>
      <c r="AD165" s="583">
        <f>VLOOKUP($H165,Nutrition_tables!$A:$AF,17,FALSE)*$Q165/100</f>
        <v>0</v>
      </c>
      <c r="AE165" s="583">
        <f>VLOOKUP($H165,Nutrition_tables!$A:$AF,18,FALSE)*$Q165/100</f>
        <v>0</v>
      </c>
      <c r="AF165" s="583">
        <f>VLOOKUP($H165,Nutrition_tables!$A:$AF,19,FALSE)*$Q165/100</f>
        <v>0</v>
      </c>
      <c r="AG165" s="583">
        <f>VLOOKUP($H165,Nutrition_tables!$A:$AF,20,FALSE)*$Q165/100</f>
        <v>0</v>
      </c>
      <c r="AH165" s="583">
        <f>VLOOKUP($H165,Nutrition_tables!$A:$AF,21,FALSE)*$Q165/100</f>
        <v>0</v>
      </c>
      <c r="AI165" s="583">
        <f>VLOOKUP($H165,Nutrition_tables!$A:$AF,22,FALSE)*$Q165/100</f>
        <v>0</v>
      </c>
      <c r="AJ165" s="549">
        <f>VLOOKUP($H165,Nutrition_tables!$A:$AF,23,FALSE)*$Q165/100</f>
        <v>0</v>
      </c>
      <c r="AK165" s="583">
        <f>VLOOKUP($H165,Nutrition_tables!$A:$AF,24,FALSE)*$Q165/100</f>
        <v>0</v>
      </c>
      <c r="AL165" s="583">
        <f>VLOOKUP($H165,Nutrition_tables!$A:$AF,25,FALSE)*$Q165/100</f>
        <v>0</v>
      </c>
      <c r="AM165" s="583">
        <f>VLOOKUP($H165,Nutrition_tables!$A:$AF,26,FALSE)*$Q165/100</f>
        <v>0</v>
      </c>
      <c r="AN165" s="583">
        <f>VLOOKUP($H165,Nutrition_tables!$A:$AF,27,FALSE)*$Q165/100</f>
        <v>0</v>
      </c>
      <c r="AO165" s="583">
        <f>VLOOKUP($H165,Nutrition_tables!$A:$AF,28,FALSE)*$Q165/100</f>
        <v>0</v>
      </c>
      <c r="AP165" s="583">
        <f>VLOOKUP($H165,Nutrition_tables!$A:$AF,29,FALSE)*$Q165/100</f>
        <v>0</v>
      </c>
      <c r="AQ165" s="583">
        <f>VLOOKUP($H165,Nutrition_tables!$A:$AF,30,FALSE)*$Q165/100</f>
        <v>0</v>
      </c>
      <c r="AR165" s="583">
        <f>VLOOKUP($H165,Nutrition_tables!$A:$AF,31,FALSE)*$Q165/100</f>
        <v>0</v>
      </c>
      <c r="AS165" s="549">
        <f>VLOOKUP($H165,Nutrition_tables!$A:$AF,32,FALSE)*$Q165/100</f>
        <v>0</v>
      </c>
      <c r="AT165" s="583" t="str">
        <f>IF(H165="Select ingredient:","",IF(G165="Select food category:","",IFERROR(VLOOKUP($H165,Ingredient_prices!$E:$W,17,FALSE)*$Q165/1000,"not bought")))</f>
        <v/>
      </c>
      <c r="AU165" s="583" t="str">
        <f>IF(H165="Select ingredient:","",IF(G165="Select food category:","",IFERROR(VLOOKUP($H165,Ingredient_prices!$E:$W,18,FALSE)*$Q165/1000,"not bought")))</f>
        <v/>
      </c>
      <c r="AV165" s="583">
        <f t="shared" si="371"/>
        <v>0</v>
      </c>
      <c r="AW165" s="583">
        <f t="shared" si="372"/>
        <v>0</v>
      </c>
      <c r="AX165" s="583">
        <f t="shared" si="373"/>
        <v>0</v>
      </c>
      <c r="AY165" s="583">
        <f t="shared" si="374"/>
        <v>0</v>
      </c>
      <c r="AZ165" s="583">
        <f t="shared" si="375"/>
        <v>0</v>
      </c>
      <c r="BA165" s="583">
        <f t="shared" si="376"/>
        <v>0</v>
      </c>
      <c r="BB165" s="583">
        <f t="shared" si="377"/>
        <v>0</v>
      </c>
      <c r="BC165" s="583">
        <f t="shared" si="378"/>
        <v>0</v>
      </c>
      <c r="BD165" s="583">
        <f t="shared" si="379"/>
        <v>0</v>
      </c>
      <c r="BE165" s="583">
        <f t="shared" si="380"/>
        <v>0</v>
      </c>
      <c r="BF165" s="583">
        <f t="shared" si="381"/>
        <v>0</v>
      </c>
      <c r="BG165" s="583">
        <f t="shared" si="382"/>
        <v>0</v>
      </c>
      <c r="BH165" s="583">
        <f t="shared" si="383"/>
        <v>0</v>
      </c>
      <c r="BI165" s="583">
        <f t="shared" si="384"/>
        <v>0</v>
      </c>
      <c r="BJ165" s="583">
        <f t="shared" si="385"/>
        <v>0</v>
      </c>
      <c r="BK165" s="583">
        <f t="shared" si="386"/>
        <v>0</v>
      </c>
      <c r="BL165" s="583">
        <f t="shared" si="387"/>
        <v>0</v>
      </c>
      <c r="BM165" s="583">
        <f t="shared" si="388"/>
        <v>0</v>
      </c>
      <c r="BN165" s="583">
        <f t="shared" si="389"/>
        <v>0</v>
      </c>
      <c r="BO165" s="583">
        <f t="shared" si="390"/>
        <v>0</v>
      </c>
      <c r="BP165" s="583">
        <f t="shared" si="391"/>
        <v>0</v>
      </c>
      <c r="BQ165" s="583">
        <f t="shared" si="392"/>
        <v>0</v>
      </c>
      <c r="BR165" s="583">
        <f t="shared" si="393"/>
        <v>0</v>
      </c>
    </row>
    <row r="166" spans="1:70" s="229" customFormat="1" ht="15" customHeight="1">
      <c r="A166" s="574"/>
      <c r="D166" s="406"/>
      <c r="E166" s="585">
        <f t="shared" si="395"/>
        <v>100</v>
      </c>
      <c r="F166" s="707"/>
      <c r="G166" s="406" t="s">
        <v>3054</v>
      </c>
      <c r="H166" s="1262" t="s">
        <v>3055</v>
      </c>
      <c r="I166" s="85">
        <v>0</v>
      </c>
      <c r="J166" s="682">
        <v>1</v>
      </c>
      <c r="K166" s="579" t="str">
        <f t="shared" si="369"/>
        <v/>
      </c>
      <c r="L166" s="580" t="str">
        <f>IF(H166="Select ingredient:","",IF(G166="","",_xlfn.IFNA(VLOOKUP($H166,Ingredient_prices!$E:$U,16,FALSE),0)))</f>
        <v/>
      </c>
      <c r="M166" s="840"/>
      <c r="N166" s="840"/>
      <c r="O166" s="581"/>
      <c r="P166" s="582"/>
      <c r="Q166" s="583">
        <f t="shared" si="394"/>
        <v>0</v>
      </c>
      <c r="R166" s="583">
        <f>VLOOKUP($H166,'CO2_emission+%_food_waste'!$A:$K,6,FALSE)*$Q166/100</f>
        <v>0</v>
      </c>
      <c r="S166" s="583">
        <f t="shared" si="370"/>
        <v>0</v>
      </c>
      <c r="T166" s="583" t="str">
        <f>IF(H166="Select ingredient:","",IF(G166="Select food category:","",_xlfn.IFNA(VLOOKUP($H166,Ingredient_prices!$E:$U,16,FALSE)*$Q166/1000,"not bought")))</f>
        <v/>
      </c>
      <c r="U166" s="583" t="str">
        <f>IF(G166="Select food category:","",_xlfn.IFNA(VLOOKUP($H166,Ingredient_prices!$E:$U,16,FALSE)*$R166/1000,"not bought"))</f>
        <v/>
      </c>
      <c r="V166" s="549">
        <f>VLOOKUP($H166,'CO2_emission+%_food_waste'!$A:$K,4,FALSE)*$Q166</f>
        <v>0</v>
      </c>
      <c r="W166" s="583">
        <f>VLOOKUP($H166,Nutrition_tables!$A:$N,10,FALSE)*$Q166/100</f>
        <v>0</v>
      </c>
      <c r="X166" s="583">
        <f>VLOOKUP($H166,Nutrition_tables!$A:$N,11,FALSE)*$Q166/100</f>
        <v>0</v>
      </c>
      <c r="Y166" s="583">
        <f>VLOOKUP($H166,Nutrition_tables!$A:$N,12,FALSE)*$Q166/100</f>
        <v>0</v>
      </c>
      <c r="Z166" s="583">
        <f>VLOOKUP($H166,Nutrition_tables!$A:$N,14,FALSE)*$Q166/100</f>
        <v>0</v>
      </c>
      <c r="AA166" s="583">
        <f>VLOOKUP($H166,Nutrition_tables!$A:$AF,13,FALSE)*$Q166/100</f>
        <v>0</v>
      </c>
      <c r="AB166" s="549">
        <f>VLOOKUP($H166,Nutrition_tables!$A:$AF,15,FALSE)*$Q166/100</f>
        <v>0</v>
      </c>
      <c r="AC166" s="583">
        <f>VLOOKUP($H166,Nutrition_tables!$A:$AF,16,FALSE)*$Q166/100</f>
        <v>0</v>
      </c>
      <c r="AD166" s="583">
        <f>VLOOKUP($H166,Nutrition_tables!$A:$AF,17,FALSE)*$Q166/100</f>
        <v>0</v>
      </c>
      <c r="AE166" s="583">
        <f>VLOOKUP($H166,Nutrition_tables!$A:$AF,18,FALSE)*$Q166/100</f>
        <v>0</v>
      </c>
      <c r="AF166" s="583">
        <f>VLOOKUP($H166,Nutrition_tables!$A:$AF,19,FALSE)*$Q166/100</f>
        <v>0</v>
      </c>
      <c r="AG166" s="583">
        <f>VLOOKUP($H166,Nutrition_tables!$A:$AF,20,FALSE)*$Q166/100</f>
        <v>0</v>
      </c>
      <c r="AH166" s="583">
        <f>VLOOKUP($H166,Nutrition_tables!$A:$AF,21,FALSE)*$Q166/100</f>
        <v>0</v>
      </c>
      <c r="AI166" s="583">
        <f>VLOOKUP($H166,Nutrition_tables!$A:$AF,22,FALSE)*$Q166/100</f>
        <v>0</v>
      </c>
      <c r="AJ166" s="549">
        <f>VLOOKUP($H166,Nutrition_tables!$A:$AF,23,FALSE)*$Q166/100</f>
        <v>0</v>
      </c>
      <c r="AK166" s="583">
        <f>VLOOKUP($H166,Nutrition_tables!$A:$AF,24,FALSE)*$Q166/100</f>
        <v>0</v>
      </c>
      <c r="AL166" s="583">
        <f>VLOOKUP($H166,Nutrition_tables!$A:$AF,25,FALSE)*$Q166/100</f>
        <v>0</v>
      </c>
      <c r="AM166" s="583">
        <f>VLOOKUP($H166,Nutrition_tables!$A:$AF,26,FALSE)*$Q166/100</f>
        <v>0</v>
      </c>
      <c r="AN166" s="583">
        <f>VLOOKUP($H166,Nutrition_tables!$A:$AF,27,FALSE)*$Q166/100</f>
        <v>0</v>
      </c>
      <c r="AO166" s="583">
        <f>VLOOKUP($H166,Nutrition_tables!$A:$AF,28,FALSE)*$Q166/100</f>
        <v>0</v>
      </c>
      <c r="AP166" s="583">
        <f>VLOOKUP($H166,Nutrition_tables!$A:$AF,29,FALSE)*$Q166/100</f>
        <v>0</v>
      </c>
      <c r="AQ166" s="583">
        <f>VLOOKUP($H166,Nutrition_tables!$A:$AF,30,FALSE)*$Q166/100</f>
        <v>0</v>
      </c>
      <c r="AR166" s="583">
        <f>VLOOKUP($H166,Nutrition_tables!$A:$AF,31,FALSE)*$Q166/100</f>
        <v>0</v>
      </c>
      <c r="AS166" s="549">
        <f>VLOOKUP($H166,Nutrition_tables!$A:$AF,32,FALSE)*$Q166/100</f>
        <v>0</v>
      </c>
      <c r="AT166" s="583" t="str">
        <f>IF(H166="Select ingredient:","",IF(G166="Select food category:","",IFERROR(VLOOKUP($H166,Ingredient_prices!$E:$W,17,FALSE)*$Q166/1000,"not bought")))</f>
        <v/>
      </c>
      <c r="AU166" s="583" t="str">
        <f>IF(H166="Select ingredient:","",IF(G166="Select food category:","",IFERROR(VLOOKUP($H166,Ingredient_prices!$E:$W,18,FALSE)*$Q166/1000,"not bought")))</f>
        <v/>
      </c>
      <c r="AV166" s="583">
        <f t="shared" si="371"/>
        <v>0</v>
      </c>
      <c r="AW166" s="583">
        <f t="shared" si="372"/>
        <v>0</v>
      </c>
      <c r="AX166" s="583">
        <f t="shared" si="373"/>
        <v>0</v>
      </c>
      <c r="AY166" s="583">
        <f t="shared" si="374"/>
        <v>0</v>
      </c>
      <c r="AZ166" s="583">
        <f t="shared" si="375"/>
        <v>0</v>
      </c>
      <c r="BA166" s="583">
        <f t="shared" si="376"/>
        <v>0</v>
      </c>
      <c r="BB166" s="583">
        <f t="shared" si="377"/>
        <v>0</v>
      </c>
      <c r="BC166" s="583">
        <f t="shared" si="378"/>
        <v>0</v>
      </c>
      <c r="BD166" s="583">
        <f t="shared" si="379"/>
        <v>0</v>
      </c>
      <c r="BE166" s="583">
        <f t="shared" si="380"/>
        <v>0</v>
      </c>
      <c r="BF166" s="583">
        <f t="shared" si="381"/>
        <v>0</v>
      </c>
      <c r="BG166" s="583">
        <f t="shared" si="382"/>
        <v>0</v>
      </c>
      <c r="BH166" s="583">
        <f t="shared" si="383"/>
        <v>0</v>
      </c>
      <c r="BI166" s="583">
        <f t="shared" si="384"/>
        <v>0</v>
      </c>
      <c r="BJ166" s="583">
        <f t="shared" si="385"/>
        <v>0</v>
      </c>
      <c r="BK166" s="583">
        <f t="shared" si="386"/>
        <v>0</v>
      </c>
      <c r="BL166" s="583">
        <f t="shared" si="387"/>
        <v>0</v>
      </c>
      <c r="BM166" s="583">
        <f t="shared" si="388"/>
        <v>0</v>
      </c>
      <c r="BN166" s="583">
        <f t="shared" si="389"/>
        <v>0</v>
      </c>
      <c r="BO166" s="583">
        <f t="shared" si="390"/>
        <v>0</v>
      </c>
      <c r="BP166" s="583">
        <f t="shared" si="391"/>
        <v>0</v>
      </c>
      <c r="BQ166" s="583">
        <f t="shared" si="392"/>
        <v>0</v>
      </c>
      <c r="BR166" s="583">
        <f t="shared" si="393"/>
        <v>0</v>
      </c>
    </row>
    <row r="167" spans="1:70" s="229" customFormat="1" ht="15" customHeight="1">
      <c r="A167" s="574"/>
      <c r="D167" s="406"/>
      <c r="E167" s="585">
        <f t="shared" si="395"/>
        <v>100</v>
      </c>
      <c r="F167" s="85" t="s">
        <v>3937</v>
      </c>
      <c r="G167" s="406" t="s">
        <v>3069</v>
      </c>
      <c r="H167" s="578" t="s">
        <v>3089</v>
      </c>
      <c r="I167" s="85">
        <v>60</v>
      </c>
      <c r="J167" s="682">
        <v>1</v>
      </c>
      <c r="K167" s="579">
        <f t="shared" si="369"/>
        <v>6.6</v>
      </c>
      <c r="L167" s="580">
        <f>IF(H167="Select ingredient:","",IF(G167="","",_xlfn.IFNA(VLOOKUP($H167,Ingredient_prices!$E:$U,16,FALSE),0)))</f>
        <v>75.428571428571431</v>
      </c>
      <c r="M167" s="840"/>
      <c r="N167" s="840"/>
      <c r="O167" s="581"/>
      <c r="P167" s="582"/>
      <c r="Q167" s="583">
        <f t="shared" si="394"/>
        <v>60</v>
      </c>
      <c r="R167" s="583">
        <f>VLOOKUP($H167,'CO2_emission+%_food_waste'!$A:$K,6,FALSE)*$Q167/100</f>
        <v>18.78</v>
      </c>
      <c r="S167" s="583">
        <f t="shared" si="370"/>
        <v>41.22</v>
      </c>
      <c r="T167" s="583">
        <f>IF(H167="Select ingredient:","",IF(G167="Select food category:","",_xlfn.IFNA(VLOOKUP($H167,Ingredient_prices!$E:$U,16,FALSE)*$Q167/1000,"not bought")))</f>
        <v>4.5257142857142858</v>
      </c>
      <c r="U167" s="583">
        <f>IF(G167="Select food category:","",_xlfn.IFNA(VLOOKUP($H167,Ingredient_prices!$E:$U,16,FALSE)*$R167/1000,"not bought"))</f>
        <v>1.4165485714285715</v>
      </c>
      <c r="V167" s="549">
        <f>VLOOKUP($H167,'CO2_emission+%_food_waste'!$A:$K,4,FALSE)*$Q167</f>
        <v>96</v>
      </c>
      <c r="W167" s="583">
        <f>VLOOKUP($H167,Nutrition_tables!$A:$N,10,FALSE)*$Q167/100</f>
        <v>26.04</v>
      </c>
      <c r="X167" s="583">
        <f>VLOOKUP($H167,Nutrition_tables!$A:$N,11,FALSE)*$Q167/100</f>
        <v>4.3019999999999996</v>
      </c>
      <c r="Y167" s="583">
        <f>VLOOKUP($H167,Nutrition_tables!$A:$N,12,FALSE)*$Q167/100</f>
        <v>1.38</v>
      </c>
      <c r="Z167" s="583">
        <f>VLOOKUP($H167,Nutrition_tables!$A:$N,14,FALSE)*$Q167/100</f>
        <v>0.06</v>
      </c>
      <c r="AA167" s="583">
        <f>VLOOKUP($H167,Nutrition_tables!$A:$AF,13,FALSE)*$Q167/100</f>
        <v>1.74</v>
      </c>
      <c r="AB167" s="549">
        <f>VLOOKUP($H167,Nutrition_tables!$A:$AF,15,FALSE)*$Q167/100</f>
        <v>1.34E-2</v>
      </c>
      <c r="AC167" s="583">
        <f>VLOOKUP($H167,Nutrition_tables!$A:$AF,16,FALSE)*$Q167/100</f>
        <v>32.46</v>
      </c>
      <c r="AD167" s="583">
        <f>VLOOKUP($H167,Nutrition_tables!$A:$AF,17,FALSE)*$Q167/100</f>
        <v>159.6</v>
      </c>
      <c r="AE167" s="583">
        <f>VLOOKUP($H167,Nutrition_tables!$A:$AF,18,FALSE)*$Q167/100</f>
        <v>11.04</v>
      </c>
      <c r="AF167" s="583">
        <f>VLOOKUP($H167,Nutrition_tables!$A:$AF,19,FALSE)*$Q167/100</f>
        <v>9.7799999999999976</v>
      </c>
      <c r="AG167" s="583">
        <f>VLOOKUP($H167,Nutrition_tables!$A:$AF,20,FALSE)*$Q167/100</f>
        <v>18.66</v>
      </c>
      <c r="AH167" s="583">
        <f>VLOOKUP($H167,Nutrition_tables!$A:$AF,21,FALSE)*$Q167/100</f>
        <v>0.40079999999999999</v>
      </c>
      <c r="AI167" s="583">
        <f>VLOOKUP($H167,Nutrition_tables!$A:$AF,22,FALSE)*$Q167/100</f>
        <v>0.18719999999999998</v>
      </c>
      <c r="AJ167" s="549">
        <f>VLOOKUP($H167,Nutrition_tables!$A:$AF,23,FALSE)*$Q167/100</f>
        <v>3.5400000000000001E-2</v>
      </c>
      <c r="AK167" s="583">
        <f>VLOOKUP($H167,Nutrition_tables!$A:$AF,24,FALSE)*$Q167/100</f>
        <v>0.6</v>
      </c>
      <c r="AL167" s="583">
        <f>VLOOKUP($H167,Nutrition_tables!$A:$AF,25,FALSE)*$Q167/100</f>
        <v>6.0000000000000001E-3</v>
      </c>
      <c r="AM167" s="583">
        <f>VLOOKUP($H167,Nutrition_tables!$A:$AF,26,FALSE)*$Q167/100</f>
        <v>6.0000000000000001E-3</v>
      </c>
      <c r="AN167" s="583">
        <f>VLOOKUP($H167,Nutrition_tables!$A:$AF,27,FALSE)*$Q167/100</f>
        <v>0.06</v>
      </c>
      <c r="AO167" s="583">
        <f>VLOOKUP($H167,Nutrition_tables!$A:$AF,28,FALSE)*$Q167/100</f>
        <v>2.4E-2</v>
      </c>
      <c r="AP167" s="583">
        <f>VLOOKUP($H167,Nutrition_tables!$A:$AF,29,FALSE)*$Q167/100</f>
        <v>44.4</v>
      </c>
      <c r="AQ167" s="583">
        <f>VLOOKUP($H167,Nutrition_tables!$A:$AF,30,FALSE)*$Q167/100</f>
        <v>-2.4000000000000001E-4</v>
      </c>
      <c r="AR167" s="583">
        <f>VLOOKUP($H167,Nutrition_tables!$A:$AF,31,FALSE)*$Q167/100</f>
        <v>3</v>
      </c>
      <c r="AS167" s="549">
        <f>VLOOKUP($H167,Nutrition_tables!$A:$AF,32,FALSE)*$Q167/100</f>
        <v>-2.4000000000000001E-4</v>
      </c>
      <c r="AT167" s="583">
        <f>IF(H167="Select ingredient:","",IF(G167="Select food category:","",IFERROR(VLOOKUP($H167,Ingredient_prices!$E:$W,17,FALSE)*$Q167/1000,"not bought")))</f>
        <v>4.5257142857142858</v>
      </c>
      <c r="AU167" s="583">
        <f>IF(H167="Select ingredient:","",IF(G167="Select food category:","",IFERROR(VLOOKUP($H167,Ingredient_prices!$E:$W,18,FALSE)*$Q167/1000,"not bought")))</f>
        <v>4.5257142857142858</v>
      </c>
      <c r="AV167" s="583">
        <f t="shared" si="371"/>
        <v>17.889477018420497</v>
      </c>
      <c r="AW167" s="583">
        <f t="shared" si="372"/>
        <v>2.9554735074210816</v>
      </c>
      <c r="AX167" s="583">
        <f t="shared" si="373"/>
        <v>0.94805984199002624</v>
      </c>
      <c r="AY167" s="583">
        <f t="shared" si="374"/>
        <v>4.1219993130001138E-2</v>
      </c>
      <c r="AZ167" s="583">
        <f t="shared" si="375"/>
        <v>1.1953798007700329</v>
      </c>
      <c r="BA167" s="583">
        <f t="shared" si="376"/>
        <v>9.2057984657002538E-3</v>
      </c>
      <c r="BB167" s="583">
        <f t="shared" si="377"/>
        <v>22.300016283330617</v>
      </c>
      <c r="BC167" s="583">
        <f t="shared" si="378"/>
        <v>109.64518172580303</v>
      </c>
      <c r="BD167" s="583">
        <f t="shared" si="379"/>
        <v>7.5844787359202099</v>
      </c>
      <c r="BE167" s="583">
        <f t="shared" si="380"/>
        <v>6.7188588801901838</v>
      </c>
      <c r="BF167" s="583">
        <f t="shared" si="381"/>
        <v>12.819417863430356</v>
      </c>
      <c r="BG167" s="583">
        <f t="shared" si="382"/>
        <v>0.27534955410840761</v>
      </c>
      <c r="BH167" s="583">
        <f t="shared" si="383"/>
        <v>0.12860637856560356</v>
      </c>
      <c r="BI167" s="583">
        <f t="shared" si="384"/>
        <v>2.4319795946700674E-2</v>
      </c>
      <c r="BJ167" s="583">
        <f t="shared" si="385"/>
        <v>0.41219993130001142</v>
      </c>
      <c r="BK167" s="583">
        <f t="shared" si="386"/>
        <v>4.1219993130001149E-3</v>
      </c>
      <c r="BL167" s="583">
        <f t="shared" si="387"/>
        <v>4.1219993130001149E-3</v>
      </c>
      <c r="BM167" s="583">
        <f t="shared" si="388"/>
        <v>4.1219993130001138E-2</v>
      </c>
      <c r="BN167" s="583">
        <f t="shared" si="389"/>
        <v>1.6487997252000459E-2</v>
      </c>
      <c r="BO167" s="583">
        <f t="shared" si="390"/>
        <v>30.502794916200845</v>
      </c>
      <c r="BP167" s="583">
        <f t="shared" si="391"/>
        <v>-1.6487997252000457E-4</v>
      </c>
      <c r="BQ167" s="583">
        <f t="shared" si="392"/>
        <v>2.0609996565000572</v>
      </c>
      <c r="BR167" s="583">
        <f t="shared" si="393"/>
        <v>-1.6487997252000457E-4</v>
      </c>
    </row>
    <row r="168" spans="1:70" s="229" customFormat="1" ht="15" customHeight="1">
      <c r="A168" s="574"/>
      <c r="D168" s="406"/>
      <c r="E168" s="585">
        <f t="shared" si="395"/>
        <v>100</v>
      </c>
      <c r="F168" s="85"/>
      <c r="G168" s="406" t="s">
        <v>3054</v>
      </c>
      <c r="H168" s="1262" t="s">
        <v>3055</v>
      </c>
      <c r="I168" s="85">
        <v>0</v>
      </c>
      <c r="J168" s="682">
        <v>1</v>
      </c>
      <c r="K168" s="579" t="str">
        <f t="shared" si="369"/>
        <v/>
      </c>
      <c r="L168" s="580" t="str">
        <f>IF(H168="Select ingredient:","",IF(G168="","",_xlfn.IFNA(VLOOKUP($H168,Ingredient_prices!$E:$U,16,FALSE),0)))</f>
        <v/>
      </c>
      <c r="M168" s="840"/>
      <c r="N168" s="840"/>
      <c r="O168" s="581"/>
      <c r="P168" s="582"/>
      <c r="Q168" s="583">
        <f t="shared" si="394"/>
        <v>0</v>
      </c>
      <c r="R168" s="583">
        <f>VLOOKUP($H168,'CO2_emission+%_food_waste'!$A:$K,6,FALSE)*$Q168/100</f>
        <v>0</v>
      </c>
      <c r="S168" s="583">
        <f t="shared" si="370"/>
        <v>0</v>
      </c>
      <c r="T168" s="583" t="str">
        <f>IF(H168="Select ingredient:","",IF(G168="Select food category:","",_xlfn.IFNA(VLOOKUP($H168,Ingredient_prices!$E:$U,16,FALSE)*$Q168/1000,"not bought")))</f>
        <v/>
      </c>
      <c r="U168" s="583" t="str">
        <f>IF(G168="Select food category:","",_xlfn.IFNA(VLOOKUP($H168,Ingredient_prices!$E:$U,16,FALSE)*$R168/1000,"not bought"))</f>
        <v/>
      </c>
      <c r="V168" s="549">
        <f>VLOOKUP($H168,'CO2_emission+%_food_waste'!$A:$K,4,FALSE)*$Q168</f>
        <v>0</v>
      </c>
      <c r="W168" s="583">
        <f>VLOOKUP($H168,Nutrition_tables!$A:$N,10,FALSE)*$Q168/100</f>
        <v>0</v>
      </c>
      <c r="X168" s="583">
        <f>VLOOKUP($H168,Nutrition_tables!$A:$N,11,FALSE)*$Q168/100</f>
        <v>0</v>
      </c>
      <c r="Y168" s="583">
        <f>VLOOKUP($H168,Nutrition_tables!$A:$N,12,FALSE)*$Q168/100</f>
        <v>0</v>
      </c>
      <c r="Z168" s="583">
        <f>VLOOKUP($H168,Nutrition_tables!$A:$N,14,FALSE)*$Q168/100</f>
        <v>0</v>
      </c>
      <c r="AA168" s="583">
        <f>VLOOKUP($H168,Nutrition_tables!$A:$AF,13,FALSE)*$Q168/100</f>
        <v>0</v>
      </c>
      <c r="AB168" s="549">
        <f>VLOOKUP($H168,Nutrition_tables!$A:$AF,15,FALSE)*$Q168/100</f>
        <v>0</v>
      </c>
      <c r="AC168" s="583">
        <f>VLOOKUP($H168,Nutrition_tables!$A:$AF,16,FALSE)*$Q168/100</f>
        <v>0</v>
      </c>
      <c r="AD168" s="583">
        <f>VLOOKUP($H168,Nutrition_tables!$A:$AF,17,FALSE)*$Q168/100</f>
        <v>0</v>
      </c>
      <c r="AE168" s="583">
        <f>VLOOKUP($H168,Nutrition_tables!$A:$AF,18,FALSE)*$Q168/100</f>
        <v>0</v>
      </c>
      <c r="AF168" s="583">
        <f>VLOOKUP($H168,Nutrition_tables!$A:$AF,19,FALSE)*$Q168/100</f>
        <v>0</v>
      </c>
      <c r="AG168" s="583">
        <f>VLOOKUP($H168,Nutrition_tables!$A:$AF,20,FALSE)*$Q168/100</f>
        <v>0</v>
      </c>
      <c r="AH168" s="583">
        <f>VLOOKUP($H168,Nutrition_tables!$A:$AF,21,FALSE)*$Q168/100</f>
        <v>0</v>
      </c>
      <c r="AI168" s="583">
        <f>VLOOKUP($H168,Nutrition_tables!$A:$AF,22,FALSE)*$Q168/100</f>
        <v>0</v>
      </c>
      <c r="AJ168" s="549">
        <f>VLOOKUP($H168,Nutrition_tables!$A:$AF,23,FALSE)*$Q168/100</f>
        <v>0</v>
      </c>
      <c r="AK168" s="583">
        <f>VLOOKUP($H168,Nutrition_tables!$A:$AF,24,FALSE)*$Q168/100</f>
        <v>0</v>
      </c>
      <c r="AL168" s="583">
        <f>VLOOKUP($H168,Nutrition_tables!$A:$AF,25,FALSE)*$Q168/100</f>
        <v>0</v>
      </c>
      <c r="AM168" s="583">
        <f>VLOOKUP($H168,Nutrition_tables!$A:$AF,26,FALSE)*$Q168/100</f>
        <v>0</v>
      </c>
      <c r="AN168" s="583">
        <f>VLOOKUP($H168,Nutrition_tables!$A:$AF,27,FALSE)*$Q168/100</f>
        <v>0</v>
      </c>
      <c r="AO168" s="583">
        <f>VLOOKUP($H168,Nutrition_tables!$A:$AF,28,FALSE)*$Q168/100</f>
        <v>0</v>
      </c>
      <c r="AP168" s="583">
        <f>VLOOKUP($H168,Nutrition_tables!$A:$AF,29,FALSE)*$Q168/100</f>
        <v>0</v>
      </c>
      <c r="AQ168" s="583">
        <f>VLOOKUP($H168,Nutrition_tables!$A:$AF,30,FALSE)*$Q168/100</f>
        <v>0</v>
      </c>
      <c r="AR168" s="583">
        <f>VLOOKUP($H168,Nutrition_tables!$A:$AF,31,FALSE)*$Q168/100</f>
        <v>0</v>
      </c>
      <c r="AS168" s="549">
        <f>VLOOKUP($H168,Nutrition_tables!$A:$AF,32,FALSE)*$Q168/100</f>
        <v>0</v>
      </c>
      <c r="AT168" s="583" t="str">
        <f>IF(H168="Select ingredient:","",IF(G168="Select food category:","",IFERROR(VLOOKUP($H168,Ingredient_prices!$E:$W,17,FALSE)*$Q168/1000,"not bought")))</f>
        <v/>
      </c>
      <c r="AU168" s="583" t="str">
        <f>IF(H168="Select ingredient:","",IF(G168="Select food category:","",IFERROR(VLOOKUP($H168,Ingredient_prices!$E:$W,18,FALSE)*$Q168/1000,"not bought")))</f>
        <v/>
      </c>
      <c r="AV168" s="583">
        <f t="shared" si="371"/>
        <v>0</v>
      </c>
      <c r="AW168" s="583">
        <f t="shared" si="372"/>
        <v>0</v>
      </c>
      <c r="AX168" s="583">
        <f t="shared" si="373"/>
        <v>0</v>
      </c>
      <c r="AY168" s="583">
        <f t="shared" si="374"/>
        <v>0</v>
      </c>
      <c r="AZ168" s="583">
        <f t="shared" si="375"/>
        <v>0</v>
      </c>
      <c r="BA168" s="583">
        <f t="shared" si="376"/>
        <v>0</v>
      </c>
      <c r="BB168" s="583">
        <f t="shared" si="377"/>
        <v>0</v>
      </c>
      <c r="BC168" s="583">
        <f t="shared" si="378"/>
        <v>0</v>
      </c>
      <c r="BD168" s="583">
        <f t="shared" si="379"/>
        <v>0</v>
      </c>
      <c r="BE168" s="583">
        <f t="shared" si="380"/>
        <v>0</v>
      </c>
      <c r="BF168" s="583">
        <f t="shared" si="381"/>
        <v>0</v>
      </c>
      <c r="BG168" s="583">
        <f t="shared" si="382"/>
        <v>0</v>
      </c>
      <c r="BH168" s="583">
        <f t="shared" si="383"/>
        <v>0</v>
      </c>
      <c r="BI168" s="583">
        <f t="shared" si="384"/>
        <v>0</v>
      </c>
      <c r="BJ168" s="583">
        <f t="shared" si="385"/>
        <v>0</v>
      </c>
      <c r="BK168" s="583">
        <f t="shared" si="386"/>
        <v>0</v>
      </c>
      <c r="BL168" s="583">
        <f t="shared" si="387"/>
        <v>0</v>
      </c>
      <c r="BM168" s="583">
        <f t="shared" si="388"/>
        <v>0</v>
      </c>
      <c r="BN168" s="583">
        <f t="shared" si="389"/>
        <v>0</v>
      </c>
      <c r="BO168" s="583">
        <f t="shared" si="390"/>
        <v>0</v>
      </c>
      <c r="BP168" s="583">
        <f t="shared" si="391"/>
        <v>0</v>
      </c>
      <c r="BQ168" s="583">
        <f t="shared" si="392"/>
        <v>0</v>
      </c>
      <c r="BR168" s="583">
        <f t="shared" si="393"/>
        <v>0</v>
      </c>
    </row>
    <row r="169" spans="1:70" s="229" customFormat="1" ht="15" customHeight="1">
      <c r="A169" s="574"/>
      <c r="E169" s="585">
        <f t="shared" si="395"/>
        <v>100</v>
      </c>
      <c r="F169" s="85" t="s">
        <v>21</v>
      </c>
      <c r="G169" s="406" t="s">
        <v>3079</v>
      </c>
      <c r="H169" s="578" t="s">
        <v>3366</v>
      </c>
      <c r="I169" s="85">
        <v>75</v>
      </c>
      <c r="J169" s="682">
        <v>1</v>
      </c>
      <c r="K169" s="579">
        <f t="shared" si="369"/>
        <v>8.25</v>
      </c>
      <c r="L169" s="580">
        <f>IF(H169="Select ingredient:","",IF(G169="","",_xlfn.IFNA(VLOOKUP($H169,Ingredient_prices!$E:$U,16,FALSE),0)))</f>
        <v>52.425999999999995</v>
      </c>
      <c r="M169" s="840"/>
      <c r="N169" s="840"/>
      <c r="O169" s="581"/>
      <c r="P169" s="582"/>
      <c r="Q169" s="583">
        <f t="shared" si="394"/>
        <v>75</v>
      </c>
      <c r="R169" s="583">
        <f>VLOOKUP($H169,'CO2_emission+%_food_waste'!$A:$K,6,FALSE)*$Q169/100</f>
        <v>27.15</v>
      </c>
      <c r="S169" s="583">
        <f t="shared" si="370"/>
        <v>47.85</v>
      </c>
      <c r="T169" s="583">
        <f>IF(H169="Select ingredient:","",IF(G169="Select food category:","",_xlfn.IFNA(VLOOKUP($H169,Ingredient_prices!$E:$U,16,FALSE)*$Q169/1000,"not bought")))</f>
        <v>3.9319499999999996</v>
      </c>
      <c r="U169" s="583">
        <f>IF(G169="Select food category:","",_xlfn.IFNA(VLOOKUP($H169,Ingredient_prices!$E:$U,16,FALSE)*$R169/1000,"not bought"))</f>
        <v>1.4233658999999999</v>
      </c>
      <c r="V169" s="549">
        <f>VLOOKUP($H169,'CO2_emission+%_food_waste'!$A:$K,4,FALSE)*$Q169</f>
        <v>121.50000000000001</v>
      </c>
      <c r="W169" s="583">
        <f>VLOOKUP($H169,Nutrition_tables!$A:$N,10,FALSE)*$Q169/100</f>
        <v>172.83750000000001</v>
      </c>
      <c r="X169" s="583">
        <f>VLOOKUP($H169,Nutrition_tables!$A:$N,11,FALSE)*$Q169/100</f>
        <v>33.580124999999995</v>
      </c>
      <c r="Y169" s="583">
        <f>VLOOKUP($H169,Nutrition_tables!$A:$N,12,FALSE)*$Q169/100</f>
        <v>5.2856249999999996</v>
      </c>
      <c r="Z169" s="583">
        <f>VLOOKUP($H169,Nutrition_tables!$A:$N,14,FALSE)*$Q169/100</f>
        <v>0.63787499999999997</v>
      </c>
      <c r="AA169" s="583">
        <f>VLOOKUP($H169,Nutrition_tables!$A:$AF,13,FALSE)*$Q169/100</f>
        <v>4.6556249999999997</v>
      </c>
      <c r="AB169" s="549">
        <f>VLOOKUP($H169,Nutrition_tables!$A:$AF,15,FALSE)*$Q169/100</f>
        <v>0.10050000000000001</v>
      </c>
      <c r="AC169" s="583">
        <f>VLOOKUP($H169,Nutrition_tables!$A:$AF,16,FALSE)*$Q169/100</f>
        <v>388.875</v>
      </c>
      <c r="AD169" s="583">
        <f>VLOOKUP($H169,Nutrition_tables!$A:$AF,17,FALSE)*$Q169/100</f>
        <v>152.25</v>
      </c>
      <c r="AE169" s="583">
        <f>VLOOKUP($H169,Nutrition_tables!$A:$AF,18,FALSE)*$Q169/100</f>
        <v>50.25</v>
      </c>
      <c r="AF169" s="583">
        <f>VLOOKUP($H169,Nutrition_tables!$A:$AF,19,FALSE)*$Q169/100</f>
        <v>9.5786249999999988</v>
      </c>
      <c r="AG169" s="583">
        <f>VLOOKUP($H169,Nutrition_tables!$A:$AF,20,FALSE)*$Q169/100</f>
        <v>75.375</v>
      </c>
      <c r="AH169" s="583">
        <f>VLOOKUP($H169,Nutrition_tables!$A:$AF,21,FALSE)*$Q169/100</f>
        <v>1.3230000000000002</v>
      </c>
      <c r="AI169" s="583">
        <f>VLOOKUP($H169,Nutrition_tables!$A:$AF,22,FALSE)*$Q169/100</f>
        <v>1.9994999999999998</v>
      </c>
      <c r="AJ169" s="549">
        <f>VLOOKUP($H169,Nutrition_tables!$A:$AF,23,FALSE)*$Q169/100</f>
        <v>0.20775000000000002</v>
      </c>
      <c r="AK169" s="583">
        <f>VLOOKUP($H169,Nutrition_tables!$A:$AF,24,FALSE)*$Q169/100</f>
        <v>0.375</v>
      </c>
      <c r="AL169" s="583">
        <f>VLOOKUP($H169,Nutrition_tables!$A:$AF,25,FALSE)*$Q169/100</f>
        <v>0.14249999999999999</v>
      </c>
      <c r="AM169" s="583">
        <f>VLOOKUP($H169,Nutrition_tables!$A:$AF,26,FALSE)*$Q169/100</f>
        <v>8.6249999999999993E-2</v>
      </c>
      <c r="AN169" s="583">
        <f>VLOOKUP($H169,Nutrition_tables!$A:$AF,27,FALSE)*$Q169/100</f>
        <v>1.6136250000000001</v>
      </c>
      <c r="AO169" s="583">
        <f>VLOOKUP($H169,Nutrition_tables!$A:$AF,28,FALSE)*$Q169/100</f>
        <v>7.7249999999999999E-2</v>
      </c>
      <c r="AP169" s="583">
        <f>VLOOKUP($H169,Nutrition_tables!$A:$AF,29,FALSE)*$Q169/100</f>
        <v>23.625</v>
      </c>
      <c r="AQ169" s="583">
        <f>VLOOKUP($H169,Nutrition_tables!$A:$AF,30,FALSE)*$Q169/100</f>
        <v>3.7499999999999999E-3</v>
      </c>
      <c r="AR169" s="583">
        <f>VLOOKUP($H169,Nutrition_tables!$A:$AF,31,FALSE)*$Q169/100</f>
        <v>7.4999999999999997E-2</v>
      </c>
      <c r="AS169" s="549">
        <f>VLOOKUP($H169,Nutrition_tables!$A:$AF,32,FALSE)*$Q169/100</f>
        <v>8.2500000000000004E-2</v>
      </c>
      <c r="AT169" s="583">
        <f>IF(H169="Select ingredient:","",IF(G169="Select food category:","",IFERROR(VLOOKUP($H169,Ingredient_prices!$E:$W,17,FALSE)*$Q169/1000,"not bought")))</f>
        <v>3.9319499999999996</v>
      </c>
      <c r="AU169" s="583">
        <f>IF(H169="Select ingredient:","",IF(G169="Select food category:","",IFERROR(VLOOKUP($H169,Ingredient_prices!$E:$W,18,FALSE)*$Q169/1000,"not bought")))</f>
        <v>3.9319499999999996</v>
      </c>
      <c r="AV169" s="583">
        <f t="shared" si="371"/>
        <v>110.27031029729197</v>
      </c>
      <c r="AW169" s="583">
        <f t="shared" si="372"/>
        <v>21.424116893451078</v>
      </c>
      <c r="AX169" s="583">
        <f t="shared" si="373"/>
        <v>3.3722283003695597</v>
      </c>
      <c r="AY169" s="583">
        <f t="shared" si="374"/>
        <v>0.40696419573810722</v>
      </c>
      <c r="AZ169" s="583">
        <f t="shared" si="375"/>
        <v>2.9702883539615526</v>
      </c>
      <c r="BA169" s="583">
        <f t="shared" si="376"/>
        <v>6.4118991450801147E-2</v>
      </c>
      <c r="BB169" s="583">
        <f t="shared" si="377"/>
        <v>248.1022169197044</v>
      </c>
      <c r="BC169" s="583">
        <f t="shared" si="378"/>
        <v>97.135487048601732</v>
      </c>
      <c r="BD169" s="583">
        <f t="shared" si="379"/>
        <v>32.059495725400566</v>
      </c>
      <c r="BE169" s="583">
        <f t="shared" si="380"/>
        <v>6.1111619351784077</v>
      </c>
      <c r="BF169" s="583">
        <f t="shared" si="381"/>
        <v>48.08924358810085</v>
      </c>
      <c r="BG169" s="583">
        <f t="shared" si="382"/>
        <v>0.84407388745681511</v>
      </c>
      <c r="BH169" s="583">
        <f t="shared" si="383"/>
        <v>1.2756808299092226</v>
      </c>
      <c r="BI169" s="583">
        <f t="shared" si="384"/>
        <v>0.13254448232740235</v>
      </c>
      <c r="BJ169" s="583">
        <f t="shared" si="385"/>
        <v>0.23924996810000426</v>
      </c>
      <c r="BK169" s="583">
        <f t="shared" si="386"/>
        <v>9.0914987878001605E-2</v>
      </c>
      <c r="BL169" s="583">
        <f t="shared" si="387"/>
        <v>5.5027492663000978E-2</v>
      </c>
      <c r="BM169" s="583">
        <f t="shared" si="388"/>
        <v>1.0294926127343182</v>
      </c>
      <c r="BN169" s="583">
        <f t="shared" si="389"/>
        <v>4.9285493428600877E-2</v>
      </c>
      <c r="BO169" s="583">
        <f t="shared" si="390"/>
        <v>15.072747990300266</v>
      </c>
      <c r="BP169" s="583">
        <f t="shared" si="391"/>
        <v>2.3924996810000426E-3</v>
      </c>
      <c r="BQ169" s="583">
        <f t="shared" si="392"/>
        <v>4.784999362000085E-2</v>
      </c>
      <c r="BR169" s="583">
        <f t="shared" si="393"/>
        <v>5.2634992982000937E-2</v>
      </c>
    </row>
    <row r="170" spans="1:70" s="229" customFormat="1" ht="15" customHeight="1">
      <c r="A170" s="574"/>
      <c r="D170" s="85"/>
      <c r="E170" s="585">
        <f t="shared" si="395"/>
        <v>100</v>
      </c>
      <c r="F170" s="85" t="s">
        <v>3308</v>
      </c>
      <c r="G170" s="406" t="s">
        <v>3077</v>
      </c>
      <c r="H170" s="578" t="s">
        <v>3308</v>
      </c>
      <c r="I170" s="85">
        <v>150</v>
      </c>
      <c r="J170" s="682">
        <v>1</v>
      </c>
      <c r="K170" s="579">
        <f t="shared" si="369"/>
        <v>16.5</v>
      </c>
      <c r="L170" s="580">
        <f>IF(H170="Select ingredient:","",IF(G170="","",_xlfn.IFNA(VLOOKUP($H170,Ingredient_prices!$E:$U,16,FALSE),0)))</f>
        <v>49.5</v>
      </c>
      <c r="M170" s="840"/>
      <c r="N170" s="840"/>
      <c r="O170" s="581"/>
      <c r="P170" s="582"/>
      <c r="Q170" s="583">
        <f t="shared" si="394"/>
        <v>150</v>
      </c>
      <c r="R170" s="583">
        <f>VLOOKUP($H170,'CO2_emission+%_food_waste'!$A:$K,6,FALSE)*$Q170/100</f>
        <v>32.49</v>
      </c>
      <c r="S170" s="583">
        <f t="shared" si="370"/>
        <v>117.50999999999999</v>
      </c>
      <c r="T170" s="583">
        <f>IF(H170="Select ingredient:","",IF(G170="Select food category:","",_xlfn.IFNA(VLOOKUP($H170,Ingredient_prices!$E:$U,16,FALSE)*$Q170/1000,"not bought")))</f>
        <v>7.4249999999999998</v>
      </c>
      <c r="U170" s="583">
        <f>IF(G170="Select food category:","",_xlfn.IFNA(VLOOKUP($H170,Ingredient_prices!$E:$U,16,FALSE)*$R170/1000,"not bought"))</f>
        <v>1.6082550000000002</v>
      </c>
      <c r="V170" s="549">
        <f>VLOOKUP($H170,'CO2_emission+%_food_waste'!$A:$K,4,FALSE)*$Q170</f>
        <v>64.5</v>
      </c>
      <c r="W170" s="583">
        <f>VLOOKUP($H170,Nutrition_tables!$A:$N,10,FALSE)*$Q170/100</f>
        <v>67.5</v>
      </c>
      <c r="X170" s="583">
        <f>VLOOKUP($H170,Nutrition_tables!$A:$N,11,FALSE)*$Q170/100</f>
        <v>15</v>
      </c>
      <c r="Y170" s="583">
        <f>VLOOKUP($H170,Nutrition_tables!$A:$N,12,FALSE)*$Q170/100</f>
        <v>0.3</v>
      </c>
      <c r="Z170" s="583">
        <f>VLOOKUP($H170,Nutrition_tables!$A:$N,14,FALSE)*$Q170/100</f>
        <v>0.45</v>
      </c>
      <c r="AA170" s="583">
        <f>VLOOKUP($H170,Nutrition_tables!$A:$AF,13,FALSE)*$Q170/100</f>
        <v>3.6</v>
      </c>
      <c r="AB170" s="549">
        <f>VLOOKUP($H170,Nutrition_tables!$A:$AF,15,FALSE)*$Q170/100</f>
        <v>0.10500000000000002</v>
      </c>
      <c r="AC170" s="583">
        <f>VLOOKUP($H170,Nutrition_tables!$A:$AF,16,FALSE)*$Q170/100</f>
        <v>3</v>
      </c>
      <c r="AD170" s="583">
        <f>VLOOKUP($H170,Nutrition_tables!$A:$AF,17,FALSE)*$Q170/100</f>
        <v>180</v>
      </c>
      <c r="AE170" s="583">
        <f>VLOOKUP($H170,Nutrition_tables!$A:$AF,18,FALSE)*$Q170/100</f>
        <v>9</v>
      </c>
      <c r="AF170" s="583">
        <f>VLOOKUP($H170,Nutrition_tables!$A:$AF,19,FALSE)*$Q170/100</f>
        <v>12.975</v>
      </c>
      <c r="AG170" s="583">
        <f>VLOOKUP($H170,Nutrition_tables!$A:$AF,20,FALSE)*$Q170/100</f>
        <v>18</v>
      </c>
      <c r="AH170" s="583">
        <f>VLOOKUP($H170,Nutrition_tables!$A:$AF,21,FALSE)*$Q170/100</f>
        <v>0.45</v>
      </c>
      <c r="AI170" s="583">
        <f>VLOOKUP($H170,Nutrition_tables!$A:$AF,22,FALSE)*$Q170/100</f>
        <v>0.15</v>
      </c>
      <c r="AJ170" s="549">
        <f>VLOOKUP($H170,Nutrition_tables!$A:$AF,23,FALSE)*$Q170/100</f>
        <v>5.4495000000000002E-2</v>
      </c>
      <c r="AK170" s="583">
        <f>VLOOKUP($H170,Nutrition_tables!$A:$AF,24,FALSE)*$Q170/100</f>
        <v>4.5</v>
      </c>
      <c r="AL170" s="583">
        <f>VLOOKUP($H170,Nutrition_tables!$A:$AF,25,FALSE)*$Q170/100</f>
        <v>0.03</v>
      </c>
      <c r="AM170" s="583">
        <f>VLOOKUP($H170,Nutrition_tables!$A:$AF,26,FALSE)*$Q170/100</f>
        <v>0.03</v>
      </c>
      <c r="AN170" s="583">
        <f>VLOOKUP($H170,Nutrition_tables!$A:$AF,27,FALSE)*$Q170/100</f>
        <v>0.45</v>
      </c>
      <c r="AO170" s="583">
        <f>VLOOKUP($H170,Nutrition_tables!$A:$AF,28,FALSE)*$Q170/100</f>
        <v>0.16500000000000001</v>
      </c>
      <c r="AP170" s="583">
        <f>VLOOKUP($H170,Nutrition_tables!$A:$AF,29,FALSE)*$Q170/100</f>
        <v>1.5</v>
      </c>
      <c r="AQ170" s="583">
        <f>VLOOKUP($H170,Nutrition_tables!$A:$AF,30,FALSE)*$Q170/100</f>
        <v>0</v>
      </c>
      <c r="AR170" s="583">
        <f>VLOOKUP($H170,Nutrition_tables!$A:$AF,31,FALSE)*$Q170/100</f>
        <v>15</v>
      </c>
      <c r="AS170" s="549">
        <f>VLOOKUP($H170,Nutrition_tables!$A:$AF,32,FALSE)*$Q170/100</f>
        <v>0</v>
      </c>
      <c r="AT170" s="583">
        <f>IF(H170="Select ingredient:","",IF(G170="Select food category:","",IFERROR(VLOOKUP($H170,Ingredient_prices!$E:$W,17,FALSE)*$Q170/1000,"not bought")))</f>
        <v>7.4249999999999998</v>
      </c>
      <c r="AU170" s="583">
        <f>IF(H170="Select ingredient:","",IF(G170="Select food category:","",IFERROR(VLOOKUP($H170,Ingredient_prices!$E:$W,18,FALSE)*$Q170/1000,"not bought")))</f>
        <v>7.4249999999999998</v>
      </c>
      <c r="AV170" s="583">
        <f t="shared" si="371"/>
        <v>52.879496474700233</v>
      </c>
      <c r="AW170" s="583">
        <f t="shared" si="372"/>
        <v>11.750999216600052</v>
      </c>
      <c r="AX170" s="583">
        <f t="shared" si="373"/>
        <v>0.235019984332001</v>
      </c>
      <c r="AY170" s="583">
        <f t="shared" si="374"/>
        <v>0.35252997649800155</v>
      </c>
      <c r="AZ170" s="583">
        <f t="shared" si="375"/>
        <v>2.8202398119840124</v>
      </c>
      <c r="BA170" s="583">
        <f t="shared" si="376"/>
        <v>8.2256994516200374E-2</v>
      </c>
      <c r="BB170" s="583">
        <f t="shared" si="377"/>
        <v>2.3501998433200102</v>
      </c>
      <c r="BC170" s="583">
        <f t="shared" si="378"/>
        <v>141.01199059920063</v>
      </c>
      <c r="BD170" s="583">
        <f t="shared" si="379"/>
        <v>7.0505995299600306</v>
      </c>
      <c r="BE170" s="583">
        <f t="shared" si="380"/>
        <v>10.164614322359045</v>
      </c>
      <c r="BF170" s="583">
        <f t="shared" si="381"/>
        <v>14.101199059920061</v>
      </c>
      <c r="BG170" s="583">
        <f t="shared" si="382"/>
        <v>0.35252997649800155</v>
      </c>
      <c r="BH170" s="583">
        <f t="shared" si="383"/>
        <v>0.1175099921660005</v>
      </c>
      <c r="BI170" s="583">
        <f t="shared" si="384"/>
        <v>4.2691380153907985E-2</v>
      </c>
      <c r="BJ170" s="583">
        <f t="shared" si="385"/>
        <v>3.5252997649800153</v>
      </c>
      <c r="BK170" s="583">
        <f t="shared" si="386"/>
        <v>2.35019984332001E-2</v>
      </c>
      <c r="BL170" s="583">
        <f t="shared" si="387"/>
        <v>2.35019984332001E-2</v>
      </c>
      <c r="BM170" s="583">
        <f t="shared" si="388"/>
        <v>0.35252997649800155</v>
      </c>
      <c r="BN170" s="583">
        <f t="shared" si="389"/>
        <v>0.12926099138260058</v>
      </c>
      <c r="BO170" s="583">
        <f t="shared" si="390"/>
        <v>1.1750999216600051</v>
      </c>
      <c r="BP170" s="583">
        <f t="shared" si="391"/>
        <v>0</v>
      </c>
      <c r="BQ170" s="583">
        <f t="shared" si="392"/>
        <v>11.750999216600052</v>
      </c>
      <c r="BR170" s="583">
        <f t="shared" si="393"/>
        <v>0</v>
      </c>
    </row>
    <row r="171" spans="1:70" s="229" customFormat="1" ht="15" customHeight="1">
      <c r="A171" s="574"/>
      <c r="D171" s="85"/>
      <c r="E171" s="585">
        <f t="shared" si="395"/>
        <v>100</v>
      </c>
      <c r="F171" s="707"/>
      <c r="G171" s="406" t="s">
        <v>3054</v>
      </c>
      <c r="H171" s="1262" t="s">
        <v>3055</v>
      </c>
      <c r="I171" s="85">
        <v>0</v>
      </c>
      <c r="J171" s="682">
        <v>1</v>
      </c>
      <c r="K171" s="579" t="str">
        <f t="shared" si="369"/>
        <v/>
      </c>
      <c r="L171" s="580" t="str">
        <f>IF(H171="Select ingredient:","",IF(G171="","",_xlfn.IFNA(VLOOKUP($H171,Ingredient_prices!$E:$U,16,FALSE),0)))</f>
        <v/>
      </c>
      <c r="M171" s="840"/>
      <c r="N171" s="840"/>
      <c r="O171" s="581"/>
      <c r="P171" s="582"/>
      <c r="Q171" s="583">
        <f t="shared" si="394"/>
        <v>0</v>
      </c>
      <c r="R171" s="583">
        <f>VLOOKUP($H171,'CO2_emission+%_food_waste'!$A:$K,6,FALSE)*$Q171/100</f>
        <v>0</v>
      </c>
      <c r="S171" s="583">
        <f t="shared" si="370"/>
        <v>0</v>
      </c>
      <c r="T171" s="583" t="str">
        <f>IF(H171="Select ingredient:","",IF(G171="Select food category:","",_xlfn.IFNA(VLOOKUP($H171,Ingredient_prices!$E:$U,16,FALSE)*$Q171/1000,"not bought")))</f>
        <v/>
      </c>
      <c r="U171" s="583" t="str">
        <f>IF(G171="Select food category:","",_xlfn.IFNA(VLOOKUP($H171,Ingredient_prices!$E:$U,16,FALSE)*$R171/1000,"not bought"))</f>
        <v/>
      </c>
      <c r="V171" s="549">
        <f>VLOOKUP($H171,'CO2_emission+%_food_waste'!$A:$K,4,FALSE)*$Q171</f>
        <v>0</v>
      </c>
      <c r="W171" s="583">
        <f>VLOOKUP($H171,Nutrition_tables!$A:$N,10,FALSE)*$Q171/100</f>
        <v>0</v>
      </c>
      <c r="X171" s="583">
        <f>VLOOKUP($H171,Nutrition_tables!$A:$N,11,FALSE)*$Q171/100</f>
        <v>0</v>
      </c>
      <c r="Y171" s="583">
        <f>VLOOKUP($H171,Nutrition_tables!$A:$N,12,FALSE)*$Q171/100</f>
        <v>0</v>
      </c>
      <c r="Z171" s="583">
        <f>VLOOKUP($H171,Nutrition_tables!$A:$N,14,FALSE)*$Q171/100</f>
        <v>0</v>
      </c>
      <c r="AA171" s="583">
        <f>VLOOKUP($H171,Nutrition_tables!$A:$AF,13,FALSE)*$Q171/100</f>
        <v>0</v>
      </c>
      <c r="AB171" s="549">
        <f>VLOOKUP($H171,Nutrition_tables!$A:$AF,15,FALSE)*$Q171/100</f>
        <v>0</v>
      </c>
      <c r="AC171" s="583">
        <f>VLOOKUP($H171,Nutrition_tables!$A:$AF,16,FALSE)*$Q171/100</f>
        <v>0</v>
      </c>
      <c r="AD171" s="583">
        <f>VLOOKUP($H171,Nutrition_tables!$A:$AF,17,FALSE)*$Q171/100</f>
        <v>0</v>
      </c>
      <c r="AE171" s="583">
        <f>VLOOKUP($H171,Nutrition_tables!$A:$AF,18,FALSE)*$Q171/100</f>
        <v>0</v>
      </c>
      <c r="AF171" s="583">
        <f>VLOOKUP($H171,Nutrition_tables!$A:$AF,19,FALSE)*$Q171/100</f>
        <v>0</v>
      </c>
      <c r="AG171" s="583">
        <f>VLOOKUP($H171,Nutrition_tables!$A:$AF,20,FALSE)*$Q171/100</f>
        <v>0</v>
      </c>
      <c r="AH171" s="583">
        <f>VLOOKUP($H171,Nutrition_tables!$A:$AF,21,FALSE)*$Q171/100</f>
        <v>0</v>
      </c>
      <c r="AI171" s="583">
        <f>VLOOKUP($H171,Nutrition_tables!$A:$AF,22,FALSE)*$Q171/100</f>
        <v>0</v>
      </c>
      <c r="AJ171" s="549">
        <f>VLOOKUP($H171,Nutrition_tables!$A:$AF,23,FALSE)*$Q171/100</f>
        <v>0</v>
      </c>
      <c r="AK171" s="583">
        <f>VLOOKUP($H171,Nutrition_tables!$A:$AF,24,FALSE)*$Q171/100</f>
        <v>0</v>
      </c>
      <c r="AL171" s="583">
        <f>VLOOKUP($H171,Nutrition_tables!$A:$AF,25,FALSE)*$Q171/100</f>
        <v>0</v>
      </c>
      <c r="AM171" s="583">
        <f>VLOOKUP($H171,Nutrition_tables!$A:$AF,26,FALSE)*$Q171/100</f>
        <v>0</v>
      </c>
      <c r="AN171" s="583">
        <f>VLOOKUP($H171,Nutrition_tables!$A:$AF,27,FALSE)*$Q171/100</f>
        <v>0</v>
      </c>
      <c r="AO171" s="583">
        <f>VLOOKUP($H171,Nutrition_tables!$A:$AF,28,FALSE)*$Q171/100</f>
        <v>0</v>
      </c>
      <c r="AP171" s="583">
        <f>VLOOKUP($H171,Nutrition_tables!$A:$AF,29,FALSE)*$Q171/100</f>
        <v>0</v>
      </c>
      <c r="AQ171" s="583">
        <f>VLOOKUP($H171,Nutrition_tables!$A:$AF,30,FALSE)*$Q171/100</f>
        <v>0</v>
      </c>
      <c r="AR171" s="583">
        <f>VLOOKUP($H171,Nutrition_tables!$A:$AF,31,FALSE)*$Q171/100</f>
        <v>0</v>
      </c>
      <c r="AS171" s="549">
        <f>VLOOKUP($H171,Nutrition_tables!$A:$AF,32,FALSE)*$Q171/100</f>
        <v>0</v>
      </c>
      <c r="AT171" s="583" t="str">
        <f>IF(H171="Select ingredient:","",IF(G171="Select food category:","",IFERROR(VLOOKUP($H171,Ingredient_prices!$E:$W,17,FALSE)*$Q171/1000,"not bought")))</f>
        <v/>
      </c>
      <c r="AU171" s="583" t="str">
        <f>IF(H171="Select ingredient:","",IF(G171="Select food category:","",IFERROR(VLOOKUP($H171,Ingredient_prices!$E:$W,18,FALSE)*$Q171/1000,"not bought")))</f>
        <v/>
      </c>
      <c r="AV171" s="583">
        <f t="shared" si="371"/>
        <v>0</v>
      </c>
      <c r="AW171" s="583">
        <f t="shared" si="372"/>
        <v>0</v>
      </c>
      <c r="AX171" s="583">
        <f t="shared" si="373"/>
        <v>0</v>
      </c>
      <c r="AY171" s="583">
        <f t="shared" si="374"/>
        <v>0</v>
      </c>
      <c r="AZ171" s="583">
        <f t="shared" si="375"/>
        <v>0</v>
      </c>
      <c r="BA171" s="583">
        <f t="shared" si="376"/>
        <v>0</v>
      </c>
      <c r="BB171" s="583">
        <f t="shared" si="377"/>
        <v>0</v>
      </c>
      <c r="BC171" s="583">
        <f t="shared" si="378"/>
        <v>0</v>
      </c>
      <c r="BD171" s="583">
        <f t="shared" ref="BD171:BD180" si="396">AE171*($Q171-$R171)/($Q171+0.00001)</f>
        <v>0</v>
      </c>
      <c r="BE171" s="583">
        <f t="shared" ref="BE171:BE180" si="397">AF171*($Q171-$R171)/($Q171+0.00001)</f>
        <v>0</v>
      </c>
      <c r="BF171" s="583">
        <f t="shared" ref="BF171:BF180" si="398">AG171*($Q171-$R171)/($Q171+0.00001)</f>
        <v>0</v>
      </c>
      <c r="BG171" s="583">
        <f t="shared" ref="BG171:BG180" si="399">AH171*($Q171-$R171)/($Q171+0.00001)</f>
        <v>0</v>
      </c>
      <c r="BH171" s="583">
        <f t="shared" ref="BH171:BH180" si="400">AI171*($Q171-$R171)/($Q171+0.00001)</f>
        <v>0</v>
      </c>
      <c r="BI171" s="583">
        <f t="shared" ref="BI171:BI180" si="401">AJ171*($Q171-$R171)/($Q171+0.00001)</f>
        <v>0</v>
      </c>
      <c r="BJ171" s="583">
        <f t="shared" ref="BJ171:BJ180" si="402">AK171*($Q171-$R171)/($Q171+0.00001)</f>
        <v>0</v>
      </c>
      <c r="BK171" s="583">
        <f t="shared" ref="BK171:BK180" si="403">AL171*($Q171-$R171)/($Q171+0.00001)</f>
        <v>0</v>
      </c>
      <c r="BL171" s="583">
        <f t="shared" ref="BL171:BL180" si="404">AM171*($Q171-$R171)/($Q171+0.00001)</f>
        <v>0</v>
      </c>
      <c r="BM171" s="583">
        <f t="shared" ref="BM171:BM180" si="405">AN171*($Q171-$R171)/($Q171+0.00001)</f>
        <v>0</v>
      </c>
      <c r="BN171" s="583">
        <f t="shared" ref="BN171:BN180" si="406">AO171*($Q171-$R171)/($Q171+0.00001)</f>
        <v>0</v>
      </c>
      <c r="BO171" s="583">
        <f t="shared" ref="BO171:BO180" si="407">AP171*($Q171-$R171)/($Q171+0.00001)</f>
        <v>0</v>
      </c>
      <c r="BP171" s="583">
        <f t="shared" ref="BP171:BP180" si="408">AQ171*($Q171-$R171)/($Q171+0.00001)</f>
        <v>0</v>
      </c>
      <c r="BQ171" s="583">
        <f t="shared" ref="BQ171:BQ180" si="409">AR171*($Q171-$R171)/($Q171+0.00001)</f>
        <v>0</v>
      </c>
      <c r="BR171" s="583">
        <f t="shared" ref="BR171:BR180" si="410">AS171*($Q171-$R171)/($Q171+0.00001)</f>
        <v>0</v>
      </c>
    </row>
    <row r="172" spans="1:70" s="229" customFormat="1" ht="15" customHeight="1">
      <c r="A172" s="574"/>
      <c r="D172" s="85"/>
      <c r="E172" s="585">
        <f t="shared" si="395"/>
        <v>100</v>
      </c>
      <c r="F172" s="707"/>
      <c r="G172" s="406" t="s">
        <v>3054</v>
      </c>
      <c r="H172" s="1262" t="s">
        <v>3055</v>
      </c>
      <c r="I172" s="85">
        <v>0</v>
      </c>
      <c r="J172" s="682">
        <v>1</v>
      </c>
      <c r="K172" s="579" t="str">
        <f t="shared" si="369"/>
        <v/>
      </c>
      <c r="L172" s="580" t="str">
        <f>IF(H172="Select ingredient:","",IF(G172="","",_xlfn.IFNA(VLOOKUP($H172,Ingredient_prices!$E:$U,16,FALSE),0)))</f>
        <v/>
      </c>
      <c r="M172" s="840"/>
      <c r="N172" s="840"/>
      <c r="O172" s="581"/>
      <c r="P172" s="582"/>
      <c r="Q172" s="583">
        <f t="shared" si="394"/>
        <v>0</v>
      </c>
      <c r="R172" s="583">
        <f>VLOOKUP($H172,'CO2_emission+%_food_waste'!$A:$K,6,FALSE)*$Q172/100</f>
        <v>0</v>
      </c>
      <c r="S172" s="583">
        <f t="shared" si="370"/>
        <v>0</v>
      </c>
      <c r="T172" s="583" t="str">
        <f>IF(H172="Select ingredient:","",IF(G172="Select food category:","",_xlfn.IFNA(VLOOKUP($H172,Ingredient_prices!$E:$U,16,FALSE)*$Q172/1000,"not bought")))</f>
        <v/>
      </c>
      <c r="U172" s="583" t="str">
        <f>IF(G172="Select food category:","",_xlfn.IFNA(VLOOKUP($H172,Ingredient_prices!$E:$U,16,FALSE)*$R172/1000,"not bought"))</f>
        <v/>
      </c>
      <c r="V172" s="549">
        <f>VLOOKUP($H172,'CO2_emission+%_food_waste'!$A:$K,4,FALSE)*$Q172</f>
        <v>0</v>
      </c>
      <c r="W172" s="583">
        <f>VLOOKUP($H172,Nutrition_tables!$A:$N,10,FALSE)*$Q172/100</f>
        <v>0</v>
      </c>
      <c r="X172" s="583">
        <f>VLOOKUP($H172,Nutrition_tables!$A:$N,11,FALSE)*$Q172/100</f>
        <v>0</v>
      </c>
      <c r="Y172" s="583">
        <f>VLOOKUP($H172,Nutrition_tables!$A:$N,12,FALSE)*$Q172/100</f>
        <v>0</v>
      </c>
      <c r="Z172" s="583">
        <f>VLOOKUP($H172,Nutrition_tables!$A:$N,14,FALSE)*$Q172/100</f>
        <v>0</v>
      </c>
      <c r="AA172" s="583">
        <f>VLOOKUP($H172,Nutrition_tables!$A:$AF,13,FALSE)*$Q172/100</f>
        <v>0</v>
      </c>
      <c r="AB172" s="549">
        <f>VLOOKUP($H172,Nutrition_tables!$A:$AF,15,FALSE)*$Q172/100</f>
        <v>0</v>
      </c>
      <c r="AC172" s="583">
        <f>VLOOKUP($H172,Nutrition_tables!$A:$AF,16,FALSE)*$Q172/100</f>
        <v>0</v>
      </c>
      <c r="AD172" s="583">
        <f>VLOOKUP($H172,Nutrition_tables!$A:$AF,17,FALSE)*$Q172/100</f>
        <v>0</v>
      </c>
      <c r="AE172" s="583">
        <f>VLOOKUP($H172,Nutrition_tables!$A:$AF,18,FALSE)*$Q172/100</f>
        <v>0</v>
      </c>
      <c r="AF172" s="583">
        <f>VLOOKUP($H172,Nutrition_tables!$A:$AF,19,FALSE)*$Q172/100</f>
        <v>0</v>
      </c>
      <c r="AG172" s="583">
        <f>VLOOKUP($H172,Nutrition_tables!$A:$AF,20,FALSE)*$Q172/100</f>
        <v>0</v>
      </c>
      <c r="AH172" s="583">
        <f>VLOOKUP($H172,Nutrition_tables!$A:$AF,21,FALSE)*$Q172/100</f>
        <v>0</v>
      </c>
      <c r="AI172" s="583">
        <f>VLOOKUP($H172,Nutrition_tables!$A:$AF,22,FALSE)*$Q172/100</f>
        <v>0</v>
      </c>
      <c r="AJ172" s="549">
        <f>VLOOKUP($H172,Nutrition_tables!$A:$AF,23,FALSE)*$Q172/100</f>
        <v>0</v>
      </c>
      <c r="AK172" s="583">
        <f>VLOOKUP($H172,Nutrition_tables!$A:$AF,24,FALSE)*$Q172/100</f>
        <v>0</v>
      </c>
      <c r="AL172" s="583">
        <f>VLOOKUP($H172,Nutrition_tables!$A:$AF,25,FALSE)*$Q172/100</f>
        <v>0</v>
      </c>
      <c r="AM172" s="583">
        <f>VLOOKUP($H172,Nutrition_tables!$A:$AF,26,FALSE)*$Q172/100</f>
        <v>0</v>
      </c>
      <c r="AN172" s="583">
        <f>VLOOKUP($H172,Nutrition_tables!$A:$AF,27,FALSE)*$Q172/100</f>
        <v>0</v>
      </c>
      <c r="AO172" s="583">
        <f>VLOOKUP($H172,Nutrition_tables!$A:$AF,28,FALSE)*$Q172/100</f>
        <v>0</v>
      </c>
      <c r="AP172" s="583">
        <f>VLOOKUP($H172,Nutrition_tables!$A:$AF,29,FALSE)*$Q172/100</f>
        <v>0</v>
      </c>
      <c r="AQ172" s="583">
        <f>VLOOKUP($H172,Nutrition_tables!$A:$AF,30,FALSE)*$Q172/100</f>
        <v>0</v>
      </c>
      <c r="AR172" s="583">
        <f>VLOOKUP($H172,Nutrition_tables!$A:$AF,31,FALSE)*$Q172/100</f>
        <v>0</v>
      </c>
      <c r="AS172" s="549">
        <f>VLOOKUP($H172,Nutrition_tables!$A:$AF,32,FALSE)*$Q172/100</f>
        <v>0</v>
      </c>
      <c r="AT172" s="583" t="str">
        <f>IF(H172="Select ingredient:","",IF(G172="Select food category:","",IFERROR(VLOOKUP($H172,Ingredient_prices!$E:$W,17,FALSE)*$Q172/1000,"not bought")))</f>
        <v/>
      </c>
      <c r="AU172" s="583" t="str">
        <f>IF(H172="Select ingredient:","",IF(G172="Select food category:","",IFERROR(VLOOKUP($H172,Ingredient_prices!$E:$W,18,FALSE)*$Q172/1000,"not bought")))</f>
        <v/>
      </c>
      <c r="AV172" s="583">
        <f t="shared" si="371"/>
        <v>0</v>
      </c>
      <c r="AW172" s="583">
        <f t="shared" si="372"/>
        <v>0</v>
      </c>
      <c r="AX172" s="583">
        <f t="shared" si="373"/>
        <v>0</v>
      </c>
      <c r="AY172" s="583">
        <f t="shared" si="374"/>
        <v>0</v>
      </c>
      <c r="AZ172" s="583">
        <f t="shared" si="375"/>
        <v>0</v>
      </c>
      <c r="BA172" s="583">
        <f t="shared" si="376"/>
        <v>0</v>
      </c>
      <c r="BB172" s="583">
        <f t="shared" si="377"/>
        <v>0</v>
      </c>
      <c r="BC172" s="583">
        <f t="shared" si="378"/>
        <v>0</v>
      </c>
      <c r="BD172" s="583">
        <f t="shared" si="396"/>
        <v>0</v>
      </c>
      <c r="BE172" s="583">
        <f t="shared" si="397"/>
        <v>0</v>
      </c>
      <c r="BF172" s="583">
        <f t="shared" si="398"/>
        <v>0</v>
      </c>
      <c r="BG172" s="583">
        <f t="shared" si="399"/>
        <v>0</v>
      </c>
      <c r="BH172" s="583">
        <f t="shared" si="400"/>
        <v>0</v>
      </c>
      <c r="BI172" s="583">
        <f t="shared" si="401"/>
        <v>0</v>
      </c>
      <c r="BJ172" s="583">
        <f t="shared" si="402"/>
        <v>0</v>
      </c>
      <c r="BK172" s="583">
        <f t="shared" si="403"/>
        <v>0</v>
      </c>
      <c r="BL172" s="583">
        <f t="shared" si="404"/>
        <v>0</v>
      </c>
      <c r="BM172" s="583">
        <f t="shared" si="405"/>
        <v>0</v>
      </c>
      <c r="BN172" s="583">
        <f t="shared" si="406"/>
        <v>0</v>
      </c>
      <c r="BO172" s="583">
        <f t="shared" si="407"/>
        <v>0</v>
      </c>
      <c r="BP172" s="583">
        <f t="shared" si="408"/>
        <v>0</v>
      </c>
      <c r="BQ172" s="583">
        <f t="shared" si="409"/>
        <v>0</v>
      </c>
      <c r="BR172" s="583">
        <f t="shared" si="410"/>
        <v>0</v>
      </c>
    </row>
    <row r="173" spans="1:70" s="229" customFormat="1" ht="15" customHeight="1">
      <c r="A173" s="574"/>
      <c r="D173" s="85"/>
      <c r="E173" s="585">
        <f t="shared" si="395"/>
        <v>100</v>
      </c>
      <c r="F173" s="707"/>
      <c r="G173" s="406" t="s">
        <v>3054</v>
      </c>
      <c r="H173" s="1262" t="s">
        <v>3055</v>
      </c>
      <c r="I173" s="85">
        <v>0</v>
      </c>
      <c r="J173" s="682">
        <v>1</v>
      </c>
      <c r="K173" s="579" t="str">
        <f t="shared" si="369"/>
        <v/>
      </c>
      <c r="L173" s="580" t="str">
        <f>IF(H173="Select ingredient:","",IF(G173="","",_xlfn.IFNA(VLOOKUP($H173,Ingredient_prices!$E:$U,16,FALSE),0)))</f>
        <v/>
      </c>
      <c r="M173" s="840"/>
      <c r="N173" s="840"/>
      <c r="O173" s="581"/>
      <c r="P173" s="582"/>
      <c r="Q173" s="583">
        <f t="shared" si="394"/>
        <v>0</v>
      </c>
      <c r="R173" s="583">
        <f>VLOOKUP($H173,'CO2_emission+%_food_waste'!$A:$K,6,FALSE)*$Q173/100</f>
        <v>0</v>
      </c>
      <c r="S173" s="583">
        <f t="shared" si="370"/>
        <v>0</v>
      </c>
      <c r="T173" s="583" t="str">
        <f>IF(H173="Select ingredient:","",IF(G173="Select food category:","",_xlfn.IFNA(VLOOKUP($H173,Ingredient_prices!$E:$U,16,FALSE)*$Q173/1000,"not bought")))</f>
        <v/>
      </c>
      <c r="U173" s="583" t="str">
        <f>IF(G173="Select food category:","",_xlfn.IFNA(VLOOKUP($H173,Ingredient_prices!$E:$U,16,FALSE)*$R173/1000,"not bought"))</f>
        <v/>
      </c>
      <c r="V173" s="549">
        <f>VLOOKUP($H173,'CO2_emission+%_food_waste'!$A:$K,4,FALSE)*$Q173</f>
        <v>0</v>
      </c>
      <c r="W173" s="583">
        <f>VLOOKUP($H173,Nutrition_tables!$A:$N,10,FALSE)*$Q173/100</f>
        <v>0</v>
      </c>
      <c r="X173" s="583">
        <f>VLOOKUP($H173,Nutrition_tables!$A:$N,11,FALSE)*$Q173/100</f>
        <v>0</v>
      </c>
      <c r="Y173" s="583">
        <f>VLOOKUP($H173,Nutrition_tables!$A:$N,12,FALSE)*$Q173/100</f>
        <v>0</v>
      </c>
      <c r="Z173" s="583">
        <f>VLOOKUP($H173,Nutrition_tables!$A:$N,14,FALSE)*$Q173/100</f>
        <v>0</v>
      </c>
      <c r="AA173" s="583">
        <f>VLOOKUP($H173,Nutrition_tables!$A:$AF,13,FALSE)*$Q173/100</f>
        <v>0</v>
      </c>
      <c r="AB173" s="549">
        <f>VLOOKUP($H173,Nutrition_tables!$A:$AF,15,FALSE)*$Q173/100</f>
        <v>0</v>
      </c>
      <c r="AC173" s="583">
        <f>VLOOKUP($H173,Nutrition_tables!$A:$AF,16,FALSE)*$Q173/100</f>
        <v>0</v>
      </c>
      <c r="AD173" s="583">
        <f>VLOOKUP($H173,Nutrition_tables!$A:$AF,17,FALSE)*$Q173/100</f>
        <v>0</v>
      </c>
      <c r="AE173" s="583">
        <f>VLOOKUP($H173,Nutrition_tables!$A:$AF,18,FALSE)*$Q173/100</f>
        <v>0</v>
      </c>
      <c r="AF173" s="583">
        <f>VLOOKUP($H173,Nutrition_tables!$A:$AF,19,FALSE)*$Q173/100</f>
        <v>0</v>
      </c>
      <c r="AG173" s="583">
        <f>VLOOKUP($H173,Nutrition_tables!$A:$AF,20,FALSE)*$Q173/100</f>
        <v>0</v>
      </c>
      <c r="AH173" s="583">
        <f>VLOOKUP($H173,Nutrition_tables!$A:$AF,21,FALSE)*$Q173/100</f>
        <v>0</v>
      </c>
      <c r="AI173" s="583">
        <f>VLOOKUP($H173,Nutrition_tables!$A:$AF,22,FALSE)*$Q173/100</f>
        <v>0</v>
      </c>
      <c r="AJ173" s="549">
        <f>VLOOKUP($H173,Nutrition_tables!$A:$AF,23,FALSE)*$Q173/100</f>
        <v>0</v>
      </c>
      <c r="AK173" s="583">
        <f>VLOOKUP($H173,Nutrition_tables!$A:$AF,24,FALSE)*$Q173/100</f>
        <v>0</v>
      </c>
      <c r="AL173" s="583">
        <f>VLOOKUP($H173,Nutrition_tables!$A:$AF,25,FALSE)*$Q173/100</f>
        <v>0</v>
      </c>
      <c r="AM173" s="583">
        <f>VLOOKUP($H173,Nutrition_tables!$A:$AF,26,FALSE)*$Q173/100</f>
        <v>0</v>
      </c>
      <c r="AN173" s="583">
        <f>VLOOKUP($H173,Nutrition_tables!$A:$AF,27,FALSE)*$Q173/100</f>
        <v>0</v>
      </c>
      <c r="AO173" s="583">
        <f>VLOOKUP($H173,Nutrition_tables!$A:$AF,28,FALSE)*$Q173/100</f>
        <v>0</v>
      </c>
      <c r="AP173" s="583">
        <f>VLOOKUP($H173,Nutrition_tables!$A:$AF,29,FALSE)*$Q173/100</f>
        <v>0</v>
      </c>
      <c r="AQ173" s="583">
        <f>VLOOKUP($H173,Nutrition_tables!$A:$AF,30,FALSE)*$Q173/100</f>
        <v>0</v>
      </c>
      <c r="AR173" s="583">
        <f>VLOOKUP($H173,Nutrition_tables!$A:$AF,31,FALSE)*$Q173/100</f>
        <v>0</v>
      </c>
      <c r="AS173" s="549">
        <f>VLOOKUP($H173,Nutrition_tables!$A:$AF,32,FALSE)*$Q173/100</f>
        <v>0</v>
      </c>
      <c r="AT173" s="583" t="str">
        <f>IF(H173="Select ingredient:","",IF(G173="Select food category:","",IFERROR(VLOOKUP($H173,Ingredient_prices!$E:$W,17,FALSE)*$Q173/1000,"not bought")))</f>
        <v/>
      </c>
      <c r="AU173" s="583" t="str">
        <f>IF(H173="Select ingredient:","",IF(G173="Select food category:","",IFERROR(VLOOKUP($H173,Ingredient_prices!$E:$W,18,FALSE)*$Q173/1000,"not bought")))</f>
        <v/>
      </c>
      <c r="AV173" s="583">
        <f t="shared" si="371"/>
        <v>0</v>
      </c>
      <c r="AW173" s="583">
        <f t="shared" si="372"/>
        <v>0</v>
      </c>
      <c r="AX173" s="583">
        <f t="shared" si="373"/>
        <v>0</v>
      </c>
      <c r="AY173" s="583">
        <f t="shared" si="374"/>
        <v>0</v>
      </c>
      <c r="AZ173" s="583">
        <f t="shared" si="375"/>
        <v>0</v>
      </c>
      <c r="BA173" s="583">
        <f t="shared" si="376"/>
        <v>0</v>
      </c>
      <c r="BB173" s="583">
        <f t="shared" si="377"/>
        <v>0</v>
      </c>
      <c r="BC173" s="583">
        <f t="shared" si="378"/>
        <v>0</v>
      </c>
      <c r="BD173" s="583">
        <f t="shared" si="396"/>
        <v>0</v>
      </c>
      <c r="BE173" s="583">
        <f t="shared" si="397"/>
        <v>0</v>
      </c>
      <c r="BF173" s="583">
        <f t="shared" si="398"/>
        <v>0</v>
      </c>
      <c r="BG173" s="583">
        <f t="shared" si="399"/>
        <v>0</v>
      </c>
      <c r="BH173" s="583">
        <f t="shared" si="400"/>
        <v>0</v>
      </c>
      <c r="BI173" s="583">
        <f t="shared" si="401"/>
        <v>0</v>
      </c>
      <c r="BJ173" s="583">
        <f t="shared" si="402"/>
        <v>0</v>
      </c>
      <c r="BK173" s="583">
        <f t="shared" si="403"/>
        <v>0</v>
      </c>
      <c r="BL173" s="583">
        <f t="shared" si="404"/>
        <v>0</v>
      </c>
      <c r="BM173" s="583">
        <f t="shared" si="405"/>
        <v>0</v>
      </c>
      <c r="BN173" s="583">
        <f t="shared" si="406"/>
        <v>0</v>
      </c>
      <c r="BO173" s="583">
        <f t="shared" si="407"/>
        <v>0</v>
      </c>
      <c r="BP173" s="583">
        <f t="shared" si="408"/>
        <v>0</v>
      </c>
      <c r="BQ173" s="583">
        <f t="shared" si="409"/>
        <v>0</v>
      </c>
      <c r="BR173" s="583">
        <f t="shared" si="410"/>
        <v>0</v>
      </c>
    </row>
    <row r="174" spans="1:70" s="229" customFormat="1" ht="15" customHeight="1">
      <c r="A174" s="574"/>
      <c r="D174" s="85"/>
      <c r="E174" s="585">
        <f t="shared" si="395"/>
        <v>100</v>
      </c>
      <c r="F174" s="707"/>
      <c r="G174" s="406" t="s">
        <v>3054</v>
      </c>
      <c r="H174" s="1262" t="s">
        <v>3055</v>
      </c>
      <c r="I174" s="85">
        <v>0</v>
      </c>
      <c r="J174" s="682">
        <v>1</v>
      </c>
      <c r="K174" s="579" t="str">
        <f t="shared" si="369"/>
        <v/>
      </c>
      <c r="L174" s="580" t="str">
        <f>IF(H174="Select ingredient:","",IF(G174="","",_xlfn.IFNA(VLOOKUP($H174,Ingredient_prices!$E:$U,16,FALSE),0)))</f>
        <v/>
      </c>
      <c r="M174" s="840"/>
      <c r="N174" s="840"/>
      <c r="O174" s="581"/>
      <c r="P174" s="582"/>
      <c r="Q174" s="583">
        <f t="shared" si="394"/>
        <v>0</v>
      </c>
      <c r="R174" s="583">
        <f>VLOOKUP($H174,'CO2_emission+%_food_waste'!$A:$K,6,FALSE)*$Q174/100</f>
        <v>0</v>
      </c>
      <c r="S174" s="583">
        <f t="shared" si="370"/>
        <v>0</v>
      </c>
      <c r="T174" s="583" t="str">
        <f>IF(H174="Select ingredient:","",IF(G174="Select food category:","",_xlfn.IFNA(VLOOKUP($H174,Ingredient_prices!$E:$U,16,FALSE)*$Q174/1000,"not bought")))</f>
        <v/>
      </c>
      <c r="U174" s="583" t="str">
        <f>IF(G174="Select food category:","",_xlfn.IFNA(VLOOKUP($H174,Ingredient_prices!$E:$U,16,FALSE)*$R174/1000,"not bought"))</f>
        <v/>
      </c>
      <c r="V174" s="549">
        <f>VLOOKUP($H174,'CO2_emission+%_food_waste'!$A:$K,4,FALSE)*$Q174</f>
        <v>0</v>
      </c>
      <c r="W174" s="583">
        <f>VLOOKUP($H174,Nutrition_tables!$A:$N,10,FALSE)*$Q174/100</f>
        <v>0</v>
      </c>
      <c r="X174" s="583">
        <f>VLOOKUP($H174,Nutrition_tables!$A:$N,11,FALSE)*$Q174/100</f>
        <v>0</v>
      </c>
      <c r="Y174" s="583">
        <f>VLOOKUP($H174,Nutrition_tables!$A:$N,12,FALSE)*$Q174/100</f>
        <v>0</v>
      </c>
      <c r="Z174" s="583">
        <f>VLOOKUP($H174,Nutrition_tables!$A:$N,14,FALSE)*$Q174/100</f>
        <v>0</v>
      </c>
      <c r="AA174" s="583">
        <f>VLOOKUP($H174,Nutrition_tables!$A:$AF,13,FALSE)*$Q174/100</f>
        <v>0</v>
      </c>
      <c r="AB174" s="549">
        <f>VLOOKUP($H174,Nutrition_tables!$A:$AF,15,FALSE)*$Q174/100</f>
        <v>0</v>
      </c>
      <c r="AC174" s="583">
        <f>VLOOKUP($H174,Nutrition_tables!$A:$AF,16,FALSE)*$Q174/100</f>
        <v>0</v>
      </c>
      <c r="AD174" s="583">
        <f>VLOOKUP($H174,Nutrition_tables!$A:$AF,17,FALSE)*$Q174/100</f>
        <v>0</v>
      </c>
      <c r="AE174" s="583">
        <f>VLOOKUP($H174,Nutrition_tables!$A:$AF,18,FALSE)*$Q174/100</f>
        <v>0</v>
      </c>
      <c r="AF174" s="583">
        <f>VLOOKUP($H174,Nutrition_tables!$A:$AF,19,FALSE)*$Q174/100</f>
        <v>0</v>
      </c>
      <c r="AG174" s="583">
        <f>VLOOKUP($H174,Nutrition_tables!$A:$AF,20,FALSE)*$Q174/100</f>
        <v>0</v>
      </c>
      <c r="AH174" s="583">
        <f>VLOOKUP($H174,Nutrition_tables!$A:$AF,21,FALSE)*$Q174/100</f>
        <v>0</v>
      </c>
      <c r="AI174" s="583">
        <f>VLOOKUP($H174,Nutrition_tables!$A:$AF,22,FALSE)*$Q174/100</f>
        <v>0</v>
      </c>
      <c r="AJ174" s="549">
        <f>VLOOKUP($H174,Nutrition_tables!$A:$AF,23,FALSE)*$Q174/100</f>
        <v>0</v>
      </c>
      <c r="AK174" s="583">
        <f>VLOOKUP($H174,Nutrition_tables!$A:$AF,24,FALSE)*$Q174/100</f>
        <v>0</v>
      </c>
      <c r="AL174" s="583">
        <f>VLOOKUP($H174,Nutrition_tables!$A:$AF,25,FALSE)*$Q174/100</f>
        <v>0</v>
      </c>
      <c r="AM174" s="583">
        <f>VLOOKUP($H174,Nutrition_tables!$A:$AF,26,FALSE)*$Q174/100</f>
        <v>0</v>
      </c>
      <c r="AN174" s="583">
        <f>VLOOKUP($H174,Nutrition_tables!$A:$AF,27,FALSE)*$Q174/100</f>
        <v>0</v>
      </c>
      <c r="AO174" s="583">
        <f>VLOOKUP($H174,Nutrition_tables!$A:$AF,28,FALSE)*$Q174/100</f>
        <v>0</v>
      </c>
      <c r="AP174" s="583">
        <f>VLOOKUP($H174,Nutrition_tables!$A:$AF,29,FALSE)*$Q174/100</f>
        <v>0</v>
      </c>
      <c r="AQ174" s="583">
        <f>VLOOKUP($H174,Nutrition_tables!$A:$AF,30,FALSE)*$Q174/100</f>
        <v>0</v>
      </c>
      <c r="AR174" s="583">
        <f>VLOOKUP($H174,Nutrition_tables!$A:$AF,31,FALSE)*$Q174/100</f>
        <v>0</v>
      </c>
      <c r="AS174" s="549">
        <f>VLOOKUP($H174,Nutrition_tables!$A:$AF,32,FALSE)*$Q174/100</f>
        <v>0</v>
      </c>
      <c r="AT174" s="583" t="str">
        <f>IF(H174="Select ingredient:","",IF(G174="Select food category:","",IFERROR(VLOOKUP($H174,Ingredient_prices!$E:$W,17,FALSE)*$Q174/1000,"not bought")))</f>
        <v/>
      </c>
      <c r="AU174" s="583" t="str">
        <f>IF(H174="Select ingredient:","",IF(G174="Select food category:","",IFERROR(VLOOKUP($H174,Ingredient_prices!$E:$W,18,FALSE)*$Q174/1000,"not bought")))</f>
        <v/>
      </c>
      <c r="AV174" s="583">
        <f t="shared" si="371"/>
        <v>0</v>
      </c>
      <c r="AW174" s="583">
        <f t="shared" si="372"/>
        <v>0</v>
      </c>
      <c r="AX174" s="583">
        <f t="shared" si="373"/>
        <v>0</v>
      </c>
      <c r="AY174" s="583">
        <f t="shared" si="374"/>
        <v>0</v>
      </c>
      <c r="AZ174" s="583">
        <f t="shared" si="375"/>
        <v>0</v>
      </c>
      <c r="BA174" s="583">
        <f t="shared" si="376"/>
        <v>0</v>
      </c>
      <c r="BB174" s="583">
        <f t="shared" si="377"/>
        <v>0</v>
      </c>
      <c r="BC174" s="583">
        <f t="shared" si="378"/>
        <v>0</v>
      </c>
      <c r="BD174" s="583">
        <f t="shared" si="396"/>
        <v>0</v>
      </c>
      <c r="BE174" s="583">
        <f t="shared" si="397"/>
        <v>0</v>
      </c>
      <c r="BF174" s="583">
        <f t="shared" si="398"/>
        <v>0</v>
      </c>
      <c r="BG174" s="583">
        <f t="shared" si="399"/>
        <v>0</v>
      </c>
      <c r="BH174" s="583">
        <f t="shared" si="400"/>
        <v>0</v>
      </c>
      <c r="BI174" s="583">
        <f t="shared" si="401"/>
        <v>0</v>
      </c>
      <c r="BJ174" s="583">
        <f t="shared" si="402"/>
        <v>0</v>
      </c>
      <c r="BK174" s="583">
        <f t="shared" si="403"/>
        <v>0</v>
      </c>
      <c r="BL174" s="583">
        <f t="shared" si="404"/>
        <v>0</v>
      </c>
      <c r="BM174" s="583">
        <f t="shared" si="405"/>
        <v>0</v>
      </c>
      <c r="BN174" s="583">
        <f t="shared" si="406"/>
        <v>0</v>
      </c>
      <c r="BO174" s="583">
        <f t="shared" si="407"/>
        <v>0</v>
      </c>
      <c r="BP174" s="583">
        <f t="shared" si="408"/>
        <v>0</v>
      </c>
      <c r="BQ174" s="583">
        <f t="shared" si="409"/>
        <v>0</v>
      </c>
      <c r="BR174" s="583">
        <f t="shared" si="410"/>
        <v>0</v>
      </c>
    </row>
    <row r="175" spans="1:70" s="229" customFormat="1" ht="15" customHeight="1">
      <c r="A175" s="574"/>
      <c r="D175" s="85"/>
      <c r="E175" s="585">
        <f t="shared" si="395"/>
        <v>100</v>
      </c>
      <c r="F175" s="707"/>
      <c r="G175" s="406" t="s">
        <v>3054</v>
      </c>
      <c r="H175" s="1262" t="s">
        <v>3055</v>
      </c>
      <c r="I175" s="85">
        <v>0</v>
      </c>
      <c r="J175" s="682">
        <v>1</v>
      </c>
      <c r="K175" s="579" t="str">
        <f t="shared" si="369"/>
        <v/>
      </c>
      <c r="L175" s="580" t="str">
        <f>IF(H175="Select ingredient:","",IF(G175="","",_xlfn.IFNA(VLOOKUP($H175,Ingredient_prices!$E:$U,16,FALSE),0)))</f>
        <v/>
      </c>
      <c r="M175" s="840"/>
      <c r="N175" s="840"/>
      <c r="O175" s="581"/>
      <c r="P175" s="582"/>
      <c r="Q175" s="583">
        <f t="shared" si="394"/>
        <v>0</v>
      </c>
      <c r="R175" s="583">
        <f>VLOOKUP($H175,'CO2_emission+%_food_waste'!$A:$K,6,FALSE)*$Q175/100</f>
        <v>0</v>
      </c>
      <c r="S175" s="583">
        <f t="shared" si="370"/>
        <v>0</v>
      </c>
      <c r="T175" s="583" t="str">
        <f>IF(H175="Select ingredient:","",IF(G175="Select food category:","",_xlfn.IFNA(VLOOKUP($H175,Ingredient_prices!$E:$U,16,FALSE)*$Q175/1000,"not bought")))</f>
        <v/>
      </c>
      <c r="U175" s="583" t="str">
        <f>IF(G175="Select food category:","",_xlfn.IFNA(VLOOKUP($H175,Ingredient_prices!$E:$U,16,FALSE)*$R175/1000,"not bought"))</f>
        <v/>
      </c>
      <c r="V175" s="549">
        <f>VLOOKUP($H175,'CO2_emission+%_food_waste'!$A:$K,4,FALSE)*$Q175</f>
        <v>0</v>
      </c>
      <c r="W175" s="583">
        <f>VLOOKUP($H175,Nutrition_tables!$A:$N,10,FALSE)*$Q175/100</f>
        <v>0</v>
      </c>
      <c r="X175" s="583">
        <f>VLOOKUP($H175,Nutrition_tables!$A:$N,11,FALSE)*$Q175/100</f>
        <v>0</v>
      </c>
      <c r="Y175" s="583">
        <f>VLOOKUP($H175,Nutrition_tables!$A:$N,12,FALSE)*$Q175/100</f>
        <v>0</v>
      </c>
      <c r="Z175" s="583">
        <f>VLOOKUP($H175,Nutrition_tables!$A:$N,14,FALSE)*$Q175/100</f>
        <v>0</v>
      </c>
      <c r="AA175" s="583">
        <f>VLOOKUP($H175,Nutrition_tables!$A:$AF,13,FALSE)*$Q175/100</f>
        <v>0</v>
      </c>
      <c r="AB175" s="549">
        <f>VLOOKUP($H175,Nutrition_tables!$A:$AF,15,FALSE)*$Q175/100</f>
        <v>0</v>
      </c>
      <c r="AC175" s="583">
        <f>VLOOKUP($H175,Nutrition_tables!$A:$AF,16,FALSE)*$Q175/100</f>
        <v>0</v>
      </c>
      <c r="AD175" s="583">
        <f>VLOOKUP($H175,Nutrition_tables!$A:$AF,17,FALSE)*$Q175/100</f>
        <v>0</v>
      </c>
      <c r="AE175" s="583">
        <f>VLOOKUP($H175,Nutrition_tables!$A:$AF,18,FALSE)*$Q175/100</f>
        <v>0</v>
      </c>
      <c r="AF175" s="583">
        <f>VLOOKUP($H175,Nutrition_tables!$A:$AF,19,FALSE)*$Q175/100</f>
        <v>0</v>
      </c>
      <c r="AG175" s="583">
        <f>VLOOKUP($H175,Nutrition_tables!$A:$AF,20,FALSE)*$Q175/100</f>
        <v>0</v>
      </c>
      <c r="AH175" s="583">
        <f>VLOOKUP($H175,Nutrition_tables!$A:$AF,21,FALSE)*$Q175/100</f>
        <v>0</v>
      </c>
      <c r="AI175" s="583">
        <f>VLOOKUP($H175,Nutrition_tables!$A:$AF,22,FALSE)*$Q175/100</f>
        <v>0</v>
      </c>
      <c r="AJ175" s="549">
        <f>VLOOKUP($H175,Nutrition_tables!$A:$AF,23,FALSE)*$Q175/100</f>
        <v>0</v>
      </c>
      <c r="AK175" s="583">
        <f>VLOOKUP($H175,Nutrition_tables!$A:$AF,24,FALSE)*$Q175/100</f>
        <v>0</v>
      </c>
      <c r="AL175" s="583">
        <f>VLOOKUP($H175,Nutrition_tables!$A:$AF,25,FALSE)*$Q175/100</f>
        <v>0</v>
      </c>
      <c r="AM175" s="583">
        <f>VLOOKUP($H175,Nutrition_tables!$A:$AF,26,FALSE)*$Q175/100</f>
        <v>0</v>
      </c>
      <c r="AN175" s="583">
        <f>VLOOKUP($H175,Nutrition_tables!$A:$AF,27,FALSE)*$Q175/100</f>
        <v>0</v>
      </c>
      <c r="AO175" s="583">
        <f>VLOOKUP($H175,Nutrition_tables!$A:$AF,28,FALSE)*$Q175/100</f>
        <v>0</v>
      </c>
      <c r="AP175" s="583">
        <f>VLOOKUP($H175,Nutrition_tables!$A:$AF,29,FALSE)*$Q175/100</f>
        <v>0</v>
      </c>
      <c r="AQ175" s="583">
        <f>VLOOKUP($H175,Nutrition_tables!$A:$AF,30,FALSE)*$Q175/100</f>
        <v>0</v>
      </c>
      <c r="AR175" s="583">
        <f>VLOOKUP($H175,Nutrition_tables!$A:$AF,31,FALSE)*$Q175/100</f>
        <v>0</v>
      </c>
      <c r="AS175" s="549">
        <f>VLOOKUP($H175,Nutrition_tables!$A:$AF,32,FALSE)*$Q175/100</f>
        <v>0</v>
      </c>
      <c r="AT175" s="583" t="str">
        <f>IF(H175="Select ingredient:","",IF(G175="Select food category:","",IFERROR(VLOOKUP($H175,Ingredient_prices!$E:$W,17,FALSE)*$Q175/1000,"not bought")))</f>
        <v/>
      </c>
      <c r="AU175" s="583" t="str">
        <f>IF(H175="Select ingredient:","",IF(G175="Select food category:","",IFERROR(VLOOKUP($H175,Ingredient_prices!$E:$W,18,FALSE)*$Q175/1000,"not bought")))</f>
        <v/>
      </c>
      <c r="AV175" s="583">
        <f t="shared" si="371"/>
        <v>0</v>
      </c>
      <c r="AW175" s="583">
        <f t="shared" si="372"/>
        <v>0</v>
      </c>
      <c r="AX175" s="583">
        <f t="shared" si="373"/>
        <v>0</v>
      </c>
      <c r="AY175" s="583">
        <f t="shared" si="374"/>
        <v>0</v>
      </c>
      <c r="AZ175" s="583">
        <f t="shared" si="375"/>
        <v>0</v>
      </c>
      <c r="BA175" s="583">
        <f t="shared" si="376"/>
        <v>0</v>
      </c>
      <c r="BB175" s="583">
        <f t="shared" si="377"/>
        <v>0</v>
      </c>
      <c r="BC175" s="583">
        <f t="shared" si="378"/>
        <v>0</v>
      </c>
      <c r="BD175" s="583">
        <f t="shared" si="396"/>
        <v>0</v>
      </c>
      <c r="BE175" s="583">
        <f t="shared" si="397"/>
        <v>0</v>
      </c>
      <c r="BF175" s="583">
        <f t="shared" si="398"/>
        <v>0</v>
      </c>
      <c r="BG175" s="583">
        <f t="shared" si="399"/>
        <v>0</v>
      </c>
      <c r="BH175" s="583">
        <f t="shared" si="400"/>
        <v>0</v>
      </c>
      <c r="BI175" s="583">
        <f t="shared" si="401"/>
        <v>0</v>
      </c>
      <c r="BJ175" s="583">
        <f t="shared" si="402"/>
        <v>0</v>
      </c>
      <c r="BK175" s="583">
        <f t="shared" si="403"/>
        <v>0</v>
      </c>
      <c r="BL175" s="583">
        <f t="shared" si="404"/>
        <v>0</v>
      </c>
      <c r="BM175" s="583">
        <f t="shared" si="405"/>
        <v>0</v>
      </c>
      <c r="BN175" s="583">
        <f t="shared" si="406"/>
        <v>0</v>
      </c>
      <c r="BO175" s="583">
        <f t="shared" si="407"/>
        <v>0</v>
      </c>
      <c r="BP175" s="583">
        <f t="shared" si="408"/>
        <v>0</v>
      </c>
      <c r="BQ175" s="583">
        <f t="shared" si="409"/>
        <v>0</v>
      </c>
      <c r="BR175" s="583">
        <f t="shared" si="410"/>
        <v>0</v>
      </c>
    </row>
    <row r="176" spans="1:70" s="229" customFormat="1" ht="15" customHeight="1">
      <c r="A176" s="574"/>
      <c r="D176" s="85"/>
      <c r="E176" s="585">
        <f t="shared" si="395"/>
        <v>100</v>
      </c>
      <c r="F176" s="707"/>
      <c r="G176" s="406" t="s">
        <v>3054</v>
      </c>
      <c r="H176" s="1262" t="s">
        <v>3055</v>
      </c>
      <c r="I176" s="85">
        <v>0</v>
      </c>
      <c r="J176" s="682">
        <v>1</v>
      </c>
      <c r="K176" s="579" t="str">
        <f t="shared" si="369"/>
        <v/>
      </c>
      <c r="L176" s="580" t="str">
        <f>IF(H176="Select ingredient:","",IF(G176="","",_xlfn.IFNA(VLOOKUP($H176,Ingredient_prices!$E:$U,16,FALSE),0)))</f>
        <v/>
      </c>
      <c r="M176" s="840"/>
      <c r="N176" s="840"/>
      <c r="O176" s="581"/>
      <c r="P176" s="582"/>
      <c r="Q176" s="583">
        <f t="shared" si="394"/>
        <v>0</v>
      </c>
      <c r="R176" s="583">
        <f>VLOOKUP($H176,'CO2_emission+%_food_waste'!$A:$K,6,FALSE)*$Q176/100</f>
        <v>0</v>
      </c>
      <c r="S176" s="583">
        <f t="shared" si="370"/>
        <v>0</v>
      </c>
      <c r="T176" s="583" t="str">
        <f>IF(H176="Select ingredient:","",IF(G176="Select food category:","",_xlfn.IFNA(VLOOKUP($H176,Ingredient_prices!$E:$U,16,FALSE)*$Q176/1000,"not bought")))</f>
        <v/>
      </c>
      <c r="U176" s="583" t="str">
        <f>IF(G176="Select food category:","",_xlfn.IFNA(VLOOKUP($H176,Ingredient_prices!$E:$U,16,FALSE)*$R176/1000,"not bought"))</f>
        <v/>
      </c>
      <c r="V176" s="549">
        <f>VLOOKUP($H176,'CO2_emission+%_food_waste'!$A:$K,4,FALSE)*$Q176</f>
        <v>0</v>
      </c>
      <c r="W176" s="583">
        <f>VLOOKUP($H176,Nutrition_tables!$A:$N,10,FALSE)*$Q176/100</f>
        <v>0</v>
      </c>
      <c r="X176" s="583">
        <f>VLOOKUP($H176,Nutrition_tables!$A:$N,11,FALSE)*$Q176/100</f>
        <v>0</v>
      </c>
      <c r="Y176" s="583">
        <f>VLOOKUP($H176,Nutrition_tables!$A:$N,12,FALSE)*$Q176/100</f>
        <v>0</v>
      </c>
      <c r="Z176" s="583">
        <f>VLOOKUP($H176,Nutrition_tables!$A:$N,14,FALSE)*$Q176/100</f>
        <v>0</v>
      </c>
      <c r="AA176" s="583">
        <f>VLOOKUP($H176,Nutrition_tables!$A:$AF,13,FALSE)*$Q176/100</f>
        <v>0</v>
      </c>
      <c r="AB176" s="549">
        <f>VLOOKUP($H176,Nutrition_tables!$A:$AF,15,FALSE)*$Q176/100</f>
        <v>0</v>
      </c>
      <c r="AC176" s="583">
        <f>VLOOKUP($H176,Nutrition_tables!$A:$AF,16,FALSE)*$Q176/100</f>
        <v>0</v>
      </c>
      <c r="AD176" s="583">
        <f>VLOOKUP($H176,Nutrition_tables!$A:$AF,17,FALSE)*$Q176/100</f>
        <v>0</v>
      </c>
      <c r="AE176" s="583">
        <f>VLOOKUP($H176,Nutrition_tables!$A:$AF,18,FALSE)*$Q176/100</f>
        <v>0</v>
      </c>
      <c r="AF176" s="583">
        <f>VLOOKUP($H176,Nutrition_tables!$A:$AF,19,FALSE)*$Q176/100</f>
        <v>0</v>
      </c>
      <c r="AG176" s="583">
        <f>VLOOKUP($H176,Nutrition_tables!$A:$AF,20,FALSE)*$Q176/100</f>
        <v>0</v>
      </c>
      <c r="AH176" s="583">
        <f>VLOOKUP($H176,Nutrition_tables!$A:$AF,21,FALSE)*$Q176/100</f>
        <v>0</v>
      </c>
      <c r="AI176" s="583">
        <f>VLOOKUP($H176,Nutrition_tables!$A:$AF,22,FALSE)*$Q176/100</f>
        <v>0</v>
      </c>
      <c r="AJ176" s="549">
        <f>VLOOKUP($H176,Nutrition_tables!$A:$AF,23,FALSE)*$Q176/100</f>
        <v>0</v>
      </c>
      <c r="AK176" s="583">
        <f>VLOOKUP($H176,Nutrition_tables!$A:$AF,24,FALSE)*$Q176/100</f>
        <v>0</v>
      </c>
      <c r="AL176" s="583">
        <f>VLOOKUP($H176,Nutrition_tables!$A:$AF,25,FALSE)*$Q176/100</f>
        <v>0</v>
      </c>
      <c r="AM176" s="583">
        <f>VLOOKUP($H176,Nutrition_tables!$A:$AF,26,FALSE)*$Q176/100</f>
        <v>0</v>
      </c>
      <c r="AN176" s="583">
        <f>VLOOKUP($H176,Nutrition_tables!$A:$AF,27,FALSE)*$Q176/100</f>
        <v>0</v>
      </c>
      <c r="AO176" s="583">
        <f>VLOOKUP($H176,Nutrition_tables!$A:$AF,28,FALSE)*$Q176/100</f>
        <v>0</v>
      </c>
      <c r="AP176" s="583">
        <f>VLOOKUP($H176,Nutrition_tables!$A:$AF,29,FALSE)*$Q176/100</f>
        <v>0</v>
      </c>
      <c r="AQ176" s="583">
        <f>VLOOKUP($H176,Nutrition_tables!$A:$AF,30,FALSE)*$Q176/100</f>
        <v>0</v>
      </c>
      <c r="AR176" s="583">
        <f>VLOOKUP($H176,Nutrition_tables!$A:$AF,31,FALSE)*$Q176/100</f>
        <v>0</v>
      </c>
      <c r="AS176" s="549">
        <f>VLOOKUP($H176,Nutrition_tables!$A:$AF,32,FALSE)*$Q176/100</f>
        <v>0</v>
      </c>
      <c r="AT176" s="583" t="str">
        <f>IF(H176="Select ingredient:","",IF(G176="Select food category:","",IFERROR(VLOOKUP($H176,Ingredient_prices!$E:$W,17,FALSE)*$Q176/1000,"not bought")))</f>
        <v/>
      </c>
      <c r="AU176" s="583" t="str">
        <f>IF(H176="Select ingredient:","",IF(G176="Select food category:","",IFERROR(VLOOKUP($H176,Ingredient_prices!$E:$W,18,FALSE)*$Q176/1000,"not bought")))</f>
        <v/>
      </c>
      <c r="AV176" s="583">
        <f t="shared" si="371"/>
        <v>0</v>
      </c>
      <c r="AW176" s="583">
        <f t="shared" si="372"/>
        <v>0</v>
      </c>
      <c r="AX176" s="583">
        <f t="shared" si="373"/>
        <v>0</v>
      </c>
      <c r="AY176" s="583">
        <f t="shared" si="374"/>
        <v>0</v>
      </c>
      <c r="AZ176" s="583">
        <f t="shared" si="375"/>
        <v>0</v>
      </c>
      <c r="BA176" s="583">
        <f t="shared" si="376"/>
        <v>0</v>
      </c>
      <c r="BB176" s="583">
        <f t="shared" si="377"/>
        <v>0</v>
      </c>
      <c r="BC176" s="583">
        <f t="shared" si="378"/>
        <v>0</v>
      </c>
      <c r="BD176" s="583">
        <f t="shared" si="396"/>
        <v>0</v>
      </c>
      <c r="BE176" s="583">
        <f t="shared" si="397"/>
        <v>0</v>
      </c>
      <c r="BF176" s="583">
        <f t="shared" si="398"/>
        <v>0</v>
      </c>
      <c r="BG176" s="583">
        <f t="shared" si="399"/>
        <v>0</v>
      </c>
      <c r="BH176" s="583">
        <f t="shared" si="400"/>
        <v>0</v>
      </c>
      <c r="BI176" s="583">
        <f t="shared" si="401"/>
        <v>0</v>
      </c>
      <c r="BJ176" s="583">
        <f t="shared" si="402"/>
        <v>0</v>
      </c>
      <c r="BK176" s="583">
        <f t="shared" si="403"/>
        <v>0</v>
      </c>
      <c r="BL176" s="583">
        <f t="shared" si="404"/>
        <v>0</v>
      </c>
      <c r="BM176" s="583">
        <f t="shared" si="405"/>
        <v>0</v>
      </c>
      <c r="BN176" s="583">
        <f t="shared" si="406"/>
        <v>0</v>
      </c>
      <c r="BO176" s="583">
        <f t="shared" si="407"/>
        <v>0</v>
      </c>
      <c r="BP176" s="583">
        <f t="shared" si="408"/>
        <v>0</v>
      </c>
      <c r="BQ176" s="583">
        <f t="shared" si="409"/>
        <v>0</v>
      </c>
      <c r="BR176" s="583">
        <f t="shared" si="410"/>
        <v>0</v>
      </c>
    </row>
    <row r="177" spans="1:70" s="229" customFormat="1" ht="15" customHeight="1">
      <c r="A177" s="574"/>
      <c r="D177" s="85"/>
      <c r="E177" s="585">
        <f t="shared" si="395"/>
        <v>100</v>
      </c>
      <c r="F177" s="707"/>
      <c r="G177" s="406" t="s">
        <v>3054</v>
      </c>
      <c r="H177" s="1262" t="s">
        <v>3055</v>
      </c>
      <c r="I177" s="85">
        <v>0</v>
      </c>
      <c r="J177" s="682">
        <v>1</v>
      </c>
      <c r="K177" s="579" t="str">
        <f t="shared" si="369"/>
        <v/>
      </c>
      <c r="L177" s="580" t="str">
        <f>IF(H177="Select ingredient:","",IF(G177="","",_xlfn.IFNA(VLOOKUP($H177,Ingredient_prices!$E:$U,16,FALSE),0)))</f>
        <v/>
      </c>
      <c r="M177" s="840"/>
      <c r="N177" s="840"/>
      <c r="O177" s="581"/>
      <c r="P177" s="582"/>
      <c r="Q177" s="583">
        <f t="shared" si="394"/>
        <v>0</v>
      </c>
      <c r="R177" s="583">
        <f>VLOOKUP($H177,'CO2_emission+%_food_waste'!$A:$K,6,FALSE)*$Q177/100</f>
        <v>0</v>
      </c>
      <c r="S177" s="583">
        <f t="shared" si="370"/>
        <v>0</v>
      </c>
      <c r="T177" s="583" t="str">
        <f>IF(H177="Select ingredient:","",IF(G177="Select food category:","",_xlfn.IFNA(VLOOKUP($H177,Ingredient_prices!$E:$U,16,FALSE)*$Q177/1000,"not bought")))</f>
        <v/>
      </c>
      <c r="U177" s="583" t="str">
        <f>IF(G177="Select food category:","",_xlfn.IFNA(VLOOKUP($H177,Ingredient_prices!$E:$U,16,FALSE)*$R177/1000,"not bought"))</f>
        <v/>
      </c>
      <c r="V177" s="549">
        <f>VLOOKUP($H177,'CO2_emission+%_food_waste'!$A:$K,4,FALSE)*$Q177</f>
        <v>0</v>
      </c>
      <c r="W177" s="583">
        <f>VLOOKUP($H177,Nutrition_tables!$A:$N,10,FALSE)*$Q177/100</f>
        <v>0</v>
      </c>
      <c r="X177" s="583">
        <f>VLOOKUP($H177,Nutrition_tables!$A:$N,11,FALSE)*$Q177/100</f>
        <v>0</v>
      </c>
      <c r="Y177" s="583">
        <f>VLOOKUP($H177,Nutrition_tables!$A:$N,12,FALSE)*$Q177/100</f>
        <v>0</v>
      </c>
      <c r="Z177" s="583">
        <f>VLOOKUP($H177,Nutrition_tables!$A:$N,14,FALSE)*$Q177/100</f>
        <v>0</v>
      </c>
      <c r="AA177" s="583">
        <f>VLOOKUP($H177,Nutrition_tables!$A:$AF,13,FALSE)*$Q177/100</f>
        <v>0</v>
      </c>
      <c r="AB177" s="549">
        <f>VLOOKUP($H177,Nutrition_tables!$A:$AF,15,FALSE)*$Q177/100</f>
        <v>0</v>
      </c>
      <c r="AC177" s="583">
        <f>VLOOKUP($H177,Nutrition_tables!$A:$AF,16,FALSE)*$Q177/100</f>
        <v>0</v>
      </c>
      <c r="AD177" s="583">
        <f>VLOOKUP($H177,Nutrition_tables!$A:$AF,17,FALSE)*$Q177/100</f>
        <v>0</v>
      </c>
      <c r="AE177" s="583">
        <f>VLOOKUP($H177,Nutrition_tables!$A:$AF,18,FALSE)*$Q177/100</f>
        <v>0</v>
      </c>
      <c r="AF177" s="583">
        <f>VLOOKUP($H177,Nutrition_tables!$A:$AF,19,FALSE)*$Q177/100</f>
        <v>0</v>
      </c>
      <c r="AG177" s="583">
        <f>VLOOKUP($H177,Nutrition_tables!$A:$AF,20,FALSE)*$Q177/100</f>
        <v>0</v>
      </c>
      <c r="AH177" s="583">
        <f>VLOOKUP($H177,Nutrition_tables!$A:$AF,21,FALSE)*$Q177/100</f>
        <v>0</v>
      </c>
      <c r="AI177" s="583">
        <f>VLOOKUP($H177,Nutrition_tables!$A:$AF,22,FALSE)*$Q177/100</f>
        <v>0</v>
      </c>
      <c r="AJ177" s="549">
        <f>VLOOKUP($H177,Nutrition_tables!$A:$AF,23,FALSE)*$Q177/100</f>
        <v>0</v>
      </c>
      <c r="AK177" s="583">
        <f>VLOOKUP($H177,Nutrition_tables!$A:$AF,24,FALSE)*$Q177/100</f>
        <v>0</v>
      </c>
      <c r="AL177" s="583">
        <f>VLOOKUP($H177,Nutrition_tables!$A:$AF,25,FALSE)*$Q177/100</f>
        <v>0</v>
      </c>
      <c r="AM177" s="583">
        <f>VLOOKUP($H177,Nutrition_tables!$A:$AF,26,FALSE)*$Q177/100</f>
        <v>0</v>
      </c>
      <c r="AN177" s="583">
        <f>VLOOKUP($H177,Nutrition_tables!$A:$AF,27,FALSE)*$Q177/100</f>
        <v>0</v>
      </c>
      <c r="AO177" s="583">
        <f>VLOOKUP($H177,Nutrition_tables!$A:$AF,28,FALSE)*$Q177/100</f>
        <v>0</v>
      </c>
      <c r="AP177" s="583">
        <f>VLOOKUP($H177,Nutrition_tables!$A:$AF,29,FALSE)*$Q177/100</f>
        <v>0</v>
      </c>
      <c r="AQ177" s="583">
        <f>VLOOKUP($H177,Nutrition_tables!$A:$AF,30,FALSE)*$Q177/100</f>
        <v>0</v>
      </c>
      <c r="AR177" s="583">
        <f>VLOOKUP($H177,Nutrition_tables!$A:$AF,31,FALSE)*$Q177/100</f>
        <v>0</v>
      </c>
      <c r="AS177" s="549">
        <f>VLOOKUP($H177,Nutrition_tables!$A:$AF,32,FALSE)*$Q177/100</f>
        <v>0</v>
      </c>
      <c r="AT177" s="583" t="str">
        <f>IF(H177="Select ingredient:","",IF(G177="Select food category:","",IFERROR(VLOOKUP($H177,Ingredient_prices!$E:$W,17,FALSE)*$Q177/1000,"not bought")))</f>
        <v/>
      </c>
      <c r="AU177" s="583" t="str">
        <f>IF(H177="Select ingredient:","",IF(G177="Select food category:","",IFERROR(VLOOKUP($H177,Ingredient_prices!$E:$W,18,FALSE)*$Q177/1000,"not bought")))</f>
        <v/>
      </c>
      <c r="AV177" s="583">
        <f t="shared" si="371"/>
        <v>0</v>
      </c>
      <c r="AW177" s="583">
        <f t="shared" si="372"/>
        <v>0</v>
      </c>
      <c r="AX177" s="583">
        <f t="shared" si="373"/>
        <v>0</v>
      </c>
      <c r="AY177" s="583">
        <f t="shared" si="374"/>
        <v>0</v>
      </c>
      <c r="AZ177" s="583">
        <f t="shared" si="375"/>
        <v>0</v>
      </c>
      <c r="BA177" s="583">
        <f t="shared" si="376"/>
        <v>0</v>
      </c>
      <c r="BB177" s="583">
        <f t="shared" si="377"/>
        <v>0</v>
      </c>
      <c r="BC177" s="583">
        <f t="shared" si="378"/>
        <v>0</v>
      </c>
      <c r="BD177" s="583">
        <f t="shared" si="396"/>
        <v>0</v>
      </c>
      <c r="BE177" s="583">
        <f t="shared" si="397"/>
        <v>0</v>
      </c>
      <c r="BF177" s="583">
        <f t="shared" si="398"/>
        <v>0</v>
      </c>
      <c r="BG177" s="583">
        <f t="shared" si="399"/>
        <v>0</v>
      </c>
      <c r="BH177" s="583">
        <f t="shared" si="400"/>
        <v>0</v>
      </c>
      <c r="BI177" s="583">
        <f t="shared" si="401"/>
        <v>0</v>
      </c>
      <c r="BJ177" s="583">
        <f t="shared" si="402"/>
        <v>0</v>
      </c>
      <c r="BK177" s="583">
        <f t="shared" si="403"/>
        <v>0</v>
      </c>
      <c r="BL177" s="583">
        <f t="shared" si="404"/>
        <v>0</v>
      </c>
      <c r="BM177" s="583">
        <f t="shared" si="405"/>
        <v>0</v>
      </c>
      <c r="BN177" s="583">
        <f t="shared" si="406"/>
        <v>0</v>
      </c>
      <c r="BO177" s="583">
        <f t="shared" si="407"/>
        <v>0</v>
      </c>
      <c r="BP177" s="583">
        <f t="shared" si="408"/>
        <v>0</v>
      </c>
      <c r="BQ177" s="583">
        <f t="shared" si="409"/>
        <v>0</v>
      </c>
      <c r="BR177" s="583">
        <f t="shared" si="410"/>
        <v>0</v>
      </c>
    </row>
    <row r="178" spans="1:70" s="229" customFormat="1" ht="15" customHeight="1">
      <c r="A178" s="574"/>
      <c r="D178" s="85"/>
      <c r="E178" s="585">
        <f t="shared" si="395"/>
        <v>100</v>
      </c>
      <c r="F178" s="707"/>
      <c r="G178" s="406" t="s">
        <v>3054</v>
      </c>
      <c r="H178" s="1262" t="s">
        <v>3055</v>
      </c>
      <c r="I178" s="85">
        <v>0</v>
      </c>
      <c r="J178" s="682">
        <v>1</v>
      </c>
      <c r="K178" s="579" t="str">
        <f t="shared" si="369"/>
        <v/>
      </c>
      <c r="L178" s="580" t="str">
        <f>IF(H178="Select ingredient:","",IF(G178="","",_xlfn.IFNA(VLOOKUP($H178,Ingredient_prices!$E:$U,16,FALSE),0)))</f>
        <v/>
      </c>
      <c r="M178" s="840"/>
      <c r="N178" s="840"/>
      <c r="O178" s="581"/>
      <c r="P178" s="582"/>
      <c r="Q178" s="583">
        <f t="shared" si="394"/>
        <v>0</v>
      </c>
      <c r="R178" s="583">
        <f>VLOOKUP($H178,'CO2_emission+%_food_waste'!$A:$K,6,FALSE)*$Q178/100</f>
        <v>0</v>
      </c>
      <c r="S178" s="583">
        <f t="shared" si="370"/>
        <v>0</v>
      </c>
      <c r="T178" s="583" t="str">
        <f>IF(H178="Select ingredient:","",IF(G178="Select food category:","",_xlfn.IFNA(VLOOKUP($H178,Ingredient_prices!$E:$U,16,FALSE)*$Q178/1000,"not bought")))</f>
        <v/>
      </c>
      <c r="U178" s="583" t="str">
        <f>IF(G178="Select food category:","",_xlfn.IFNA(VLOOKUP($H178,Ingredient_prices!$E:$U,16,FALSE)*$R178/1000,"not bought"))</f>
        <v/>
      </c>
      <c r="V178" s="549">
        <f>VLOOKUP($H178,'CO2_emission+%_food_waste'!$A:$K,4,FALSE)*$Q178</f>
        <v>0</v>
      </c>
      <c r="W178" s="583">
        <f>VLOOKUP($H178,Nutrition_tables!$A:$N,10,FALSE)*$Q178/100</f>
        <v>0</v>
      </c>
      <c r="X178" s="583">
        <f>VLOOKUP($H178,Nutrition_tables!$A:$N,11,FALSE)*$Q178/100</f>
        <v>0</v>
      </c>
      <c r="Y178" s="583">
        <f>VLOOKUP($H178,Nutrition_tables!$A:$N,12,FALSE)*$Q178/100</f>
        <v>0</v>
      </c>
      <c r="Z178" s="583">
        <f>VLOOKUP($H178,Nutrition_tables!$A:$N,14,FALSE)*$Q178/100</f>
        <v>0</v>
      </c>
      <c r="AA178" s="583">
        <f>VLOOKUP($H178,Nutrition_tables!$A:$AF,13,FALSE)*$Q178/100</f>
        <v>0</v>
      </c>
      <c r="AB178" s="549">
        <f>VLOOKUP($H178,Nutrition_tables!$A:$AF,15,FALSE)*$Q178/100</f>
        <v>0</v>
      </c>
      <c r="AC178" s="583">
        <f>VLOOKUP($H178,Nutrition_tables!$A:$AF,16,FALSE)*$Q178/100</f>
        <v>0</v>
      </c>
      <c r="AD178" s="583">
        <f>VLOOKUP($H178,Nutrition_tables!$A:$AF,17,FALSE)*$Q178/100</f>
        <v>0</v>
      </c>
      <c r="AE178" s="583">
        <f>VLOOKUP($H178,Nutrition_tables!$A:$AF,18,FALSE)*$Q178/100</f>
        <v>0</v>
      </c>
      <c r="AF178" s="583">
        <f>VLOOKUP($H178,Nutrition_tables!$A:$AF,19,FALSE)*$Q178/100</f>
        <v>0</v>
      </c>
      <c r="AG178" s="583">
        <f>VLOOKUP($H178,Nutrition_tables!$A:$AF,20,FALSE)*$Q178/100</f>
        <v>0</v>
      </c>
      <c r="AH178" s="583">
        <f>VLOOKUP($H178,Nutrition_tables!$A:$AF,21,FALSE)*$Q178/100</f>
        <v>0</v>
      </c>
      <c r="AI178" s="583">
        <f>VLOOKUP($H178,Nutrition_tables!$A:$AF,22,FALSE)*$Q178/100</f>
        <v>0</v>
      </c>
      <c r="AJ178" s="549">
        <f>VLOOKUP($H178,Nutrition_tables!$A:$AF,23,FALSE)*$Q178/100</f>
        <v>0</v>
      </c>
      <c r="AK178" s="583">
        <f>VLOOKUP($H178,Nutrition_tables!$A:$AF,24,FALSE)*$Q178/100</f>
        <v>0</v>
      </c>
      <c r="AL178" s="583">
        <f>VLOOKUP($H178,Nutrition_tables!$A:$AF,25,FALSE)*$Q178/100</f>
        <v>0</v>
      </c>
      <c r="AM178" s="583">
        <f>VLOOKUP($H178,Nutrition_tables!$A:$AF,26,FALSE)*$Q178/100</f>
        <v>0</v>
      </c>
      <c r="AN178" s="583">
        <f>VLOOKUP($H178,Nutrition_tables!$A:$AF,27,FALSE)*$Q178/100</f>
        <v>0</v>
      </c>
      <c r="AO178" s="583">
        <f>VLOOKUP($H178,Nutrition_tables!$A:$AF,28,FALSE)*$Q178/100</f>
        <v>0</v>
      </c>
      <c r="AP178" s="583">
        <f>VLOOKUP($H178,Nutrition_tables!$A:$AF,29,FALSE)*$Q178/100</f>
        <v>0</v>
      </c>
      <c r="AQ178" s="583">
        <f>VLOOKUP($H178,Nutrition_tables!$A:$AF,30,FALSE)*$Q178/100</f>
        <v>0</v>
      </c>
      <c r="AR178" s="583">
        <f>VLOOKUP($H178,Nutrition_tables!$A:$AF,31,FALSE)*$Q178/100</f>
        <v>0</v>
      </c>
      <c r="AS178" s="549">
        <f>VLOOKUP($H178,Nutrition_tables!$A:$AF,32,FALSE)*$Q178/100</f>
        <v>0</v>
      </c>
      <c r="AT178" s="583" t="str">
        <f>IF(H178="Select ingredient:","",IF(G178="Select food category:","",IFERROR(VLOOKUP($H178,Ingredient_prices!$E:$W,17,FALSE)*$Q178/1000,"not bought")))</f>
        <v/>
      </c>
      <c r="AU178" s="583" t="str">
        <f>IF(H178="Select ingredient:","",IF(G178="Select food category:","",IFERROR(VLOOKUP($H178,Ingredient_prices!$E:$W,18,FALSE)*$Q178/1000,"not bought")))</f>
        <v/>
      </c>
      <c r="AV178" s="583">
        <f t="shared" si="371"/>
        <v>0</v>
      </c>
      <c r="AW178" s="583">
        <f t="shared" si="372"/>
        <v>0</v>
      </c>
      <c r="AX178" s="583">
        <f t="shared" si="373"/>
        <v>0</v>
      </c>
      <c r="AY178" s="583">
        <f t="shared" si="374"/>
        <v>0</v>
      </c>
      <c r="AZ178" s="583">
        <f t="shared" si="375"/>
        <v>0</v>
      </c>
      <c r="BA178" s="583">
        <f t="shared" si="376"/>
        <v>0</v>
      </c>
      <c r="BB178" s="583">
        <f t="shared" si="377"/>
        <v>0</v>
      </c>
      <c r="BC178" s="583">
        <f t="shared" si="378"/>
        <v>0</v>
      </c>
      <c r="BD178" s="583">
        <f t="shared" si="396"/>
        <v>0</v>
      </c>
      <c r="BE178" s="583">
        <f t="shared" si="397"/>
        <v>0</v>
      </c>
      <c r="BF178" s="583">
        <f t="shared" si="398"/>
        <v>0</v>
      </c>
      <c r="BG178" s="583">
        <f t="shared" si="399"/>
        <v>0</v>
      </c>
      <c r="BH178" s="583">
        <f t="shared" si="400"/>
        <v>0</v>
      </c>
      <c r="BI178" s="583">
        <f t="shared" si="401"/>
        <v>0</v>
      </c>
      <c r="BJ178" s="583">
        <f t="shared" si="402"/>
        <v>0</v>
      </c>
      <c r="BK178" s="583">
        <f t="shared" si="403"/>
        <v>0</v>
      </c>
      <c r="BL178" s="583">
        <f t="shared" si="404"/>
        <v>0</v>
      </c>
      <c r="BM178" s="583">
        <f t="shared" si="405"/>
        <v>0</v>
      </c>
      <c r="BN178" s="583">
        <f t="shared" si="406"/>
        <v>0</v>
      </c>
      <c r="BO178" s="583">
        <f t="shared" si="407"/>
        <v>0</v>
      </c>
      <c r="BP178" s="583">
        <f t="shared" si="408"/>
        <v>0</v>
      </c>
      <c r="BQ178" s="583">
        <f t="shared" si="409"/>
        <v>0</v>
      </c>
      <c r="BR178" s="583">
        <f t="shared" si="410"/>
        <v>0</v>
      </c>
    </row>
    <row r="179" spans="1:70" s="229" customFormat="1" ht="15" customHeight="1">
      <c r="A179" s="574"/>
      <c r="D179" s="85"/>
      <c r="E179" s="585">
        <f t="shared" si="395"/>
        <v>100</v>
      </c>
      <c r="F179" s="707"/>
      <c r="G179" s="406" t="s">
        <v>3054</v>
      </c>
      <c r="H179" s="1262" t="s">
        <v>3055</v>
      </c>
      <c r="I179" s="85">
        <v>0</v>
      </c>
      <c r="J179" s="682">
        <v>1</v>
      </c>
      <c r="K179" s="579" t="str">
        <f t="shared" si="369"/>
        <v/>
      </c>
      <c r="L179" s="580" t="str">
        <f>IF(H179="Select ingredient:","",IF(G179="","",_xlfn.IFNA(VLOOKUP($H179,Ingredient_prices!$E:$U,16,FALSE),0)))</f>
        <v/>
      </c>
      <c r="M179" s="840"/>
      <c r="N179" s="840"/>
      <c r="O179" s="581"/>
      <c r="P179" s="582"/>
      <c r="Q179" s="583">
        <f t="shared" si="394"/>
        <v>0</v>
      </c>
      <c r="R179" s="583">
        <f>VLOOKUP($H179,'CO2_emission+%_food_waste'!$A:$K,6,FALSE)*$Q179/100</f>
        <v>0</v>
      </c>
      <c r="S179" s="583">
        <f t="shared" si="370"/>
        <v>0</v>
      </c>
      <c r="T179" s="583" t="str">
        <f>IF(H179="Select ingredient:","",IF(G179="Select food category:","",_xlfn.IFNA(VLOOKUP($H179,Ingredient_prices!$E:$U,16,FALSE)*$Q179/1000,"not bought")))</f>
        <v/>
      </c>
      <c r="U179" s="583" t="str">
        <f>IF(G179="Select food category:","",_xlfn.IFNA(VLOOKUP($H179,Ingredient_prices!$E:$U,16,FALSE)*$R179/1000,"not bought"))</f>
        <v/>
      </c>
      <c r="V179" s="549">
        <f>VLOOKUP($H179,'CO2_emission+%_food_waste'!$A:$K,4,FALSE)*$Q179</f>
        <v>0</v>
      </c>
      <c r="W179" s="583">
        <f>VLOOKUP($H179,Nutrition_tables!$A:$N,10,FALSE)*$Q179/100</f>
        <v>0</v>
      </c>
      <c r="X179" s="583">
        <f>VLOOKUP($H179,Nutrition_tables!$A:$N,11,FALSE)*$Q179/100</f>
        <v>0</v>
      </c>
      <c r="Y179" s="583">
        <f>VLOOKUP($H179,Nutrition_tables!$A:$N,12,FALSE)*$Q179/100</f>
        <v>0</v>
      </c>
      <c r="Z179" s="583">
        <f>VLOOKUP($H179,Nutrition_tables!$A:$N,14,FALSE)*$Q179/100</f>
        <v>0</v>
      </c>
      <c r="AA179" s="583">
        <f>VLOOKUP($H179,Nutrition_tables!$A:$AF,13,FALSE)*$Q179/100</f>
        <v>0</v>
      </c>
      <c r="AB179" s="549">
        <f>VLOOKUP($H179,Nutrition_tables!$A:$AF,15,FALSE)*$Q179/100</f>
        <v>0</v>
      </c>
      <c r="AC179" s="583">
        <f>VLOOKUP($H179,Nutrition_tables!$A:$AF,16,FALSE)*$Q179/100</f>
        <v>0</v>
      </c>
      <c r="AD179" s="583">
        <f>VLOOKUP($H179,Nutrition_tables!$A:$AF,17,FALSE)*$Q179/100</f>
        <v>0</v>
      </c>
      <c r="AE179" s="583">
        <f>VLOOKUP($H179,Nutrition_tables!$A:$AF,18,FALSE)*$Q179/100</f>
        <v>0</v>
      </c>
      <c r="AF179" s="583">
        <f>VLOOKUP($H179,Nutrition_tables!$A:$AF,19,FALSE)*$Q179/100</f>
        <v>0</v>
      </c>
      <c r="AG179" s="583">
        <f>VLOOKUP($H179,Nutrition_tables!$A:$AF,20,FALSE)*$Q179/100</f>
        <v>0</v>
      </c>
      <c r="AH179" s="583">
        <f>VLOOKUP($H179,Nutrition_tables!$A:$AF,21,FALSE)*$Q179/100</f>
        <v>0</v>
      </c>
      <c r="AI179" s="583">
        <f>VLOOKUP($H179,Nutrition_tables!$A:$AF,22,FALSE)*$Q179/100</f>
        <v>0</v>
      </c>
      <c r="AJ179" s="549">
        <f>VLOOKUP($H179,Nutrition_tables!$A:$AF,23,FALSE)*$Q179/100</f>
        <v>0</v>
      </c>
      <c r="AK179" s="583">
        <f>VLOOKUP($H179,Nutrition_tables!$A:$AF,24,FALSE)*$Q179/100</f>
        <v>0</v>
      </c>
      <c r="AL179" s="583">
        <f>VLOOKUP($H179,Nutrition_tables!$A:$AF,25,FALSE)*$Q179/100</f>
        <v>0</v>
      </c>
      <c r="AM179" s="583">
        <f>VLOOKUP($H179,Nutrition_tables!$A:$AF,26,FALSE)*$Q179/100</f>
        <v>0</v>
      </c>
      <c r="AN179" s="583">
        <f>VLOOKUP($H179,Nutrition_tables!$A:$AF,27,FALSE)*$Q179/100</f>
        <v>0</v>
      </c>
      <c r="AO179" s="583">
        <f>VLOOKUP($H179,Nutrition_tables!$A:$AF,28,FALSE)*$Q179/100</f>
        <v>0</v>
      </c>
      <c r="AP179" s="583">
        <f>VLOOKUP($H179,Nutrition_tables!$A:$AF,29,FALSE)*$Q179/100</f>
        <v>0</v>
      </c>
      <c r="AQ179" s="583">
        <f>VLOOKUP($H179,Nutrition_tables!$A:$AF,30,FALSE)*$Q179/100</f>
        <v>0</v>
      </c>
      <c r="AR179" s="583">
        <f>VLOOKUP($H179,Nutrition_tables!$A:$AF,31,FALSE)*$Q179/100</f>
        <v>0</v>
      </c>
      <c r="AS179" s="549">
        <f>VLOOKUP($H179,Nutrition_tables!$A:$AF,32,FALSE)*$Q179/100</f>
        <v>0</v>
      </c>
      <c r="AT179" s="583" t="str">
        <f>IF(H179="Select ingredient:","",IF(G179="Select food category:","",IFERROR(VLOOKUP($H179,Ingredient_prices!$E:$W,17,FALSE)*$Q179/1000,"not bought")))</f>
        <v/>
      </c>
      <c r="AU179" s="583" t="str">
        <f>IF(H179="Select ingredient:","",IF(G179="Select food category:","",IFERROR(VLOOKUP($H179,Ingredient_prices!$E:$W,18,FALSE)*$Q179/1000,"not bought")))</f>
        <v/>
      </c>
      <c r="AV179" s="583">
        <f t="shared" si="371"/>
        <v>0</v>
      </c>
      <c r="AW179" s="583">
        <f t="shared" si="372"/>
        <v>0</v>
      </c>
      <c r="AX179" s="583">
        <f t="shared" si="373"/>
        <v>0</v>
      </c>
      <c r="AY179" s="583">
        <f t="shared" si="374"/>
        <v>0</v>
      </c>
      <c r="AZ179" s="583">
        <f t="shared" si="375"/>
        <v>0</v>
      </c>
      <c r="BA179" s="583">
        <f t="shared" si="376"/>
        <v>0</v>
      </c>
      <c r="BB179" s="583">
        <f t="shared" si="377"/>
        <v>0</v>
      </c>
      <c r="BC179" s="583">
        <f t="shared" si="378"/>
        <v>0</v>
      </c>
      <c r="BD179" s="583">
        <f t="shared" si="396"/>
        <v>0</v>
      </c>
      <c r="BE179" s="583">
        <f t="shared" si="397"/>
        <v>0</v>
      </c>
      <c r="BF179" s="583">
        <f t="shared" si="398"/>
        <v>0</v>
      </c>
      <c r="BG179" s="583">
        <f t="shared" si="399"/>
        <v>0</v>
      </c>
      <c r="BH179" s="583">
        <f t="shared" si="400"/>
        <v>0</v>
      </c>
      <c r="BI179" s="583">
        <f t="shared" si="401"/>
        <v>0</v>
      </c>
      <c r="BJ179" s="583">
        <f t="shared" si="402"/>
        <v>0</v>
      </c>
      <c r="BK179" s="583">
        <f t="shared" si="403"/>
        <v>0</v>
      </c>
      <c r="BL179" s="583">
        <f t="shared" si="404"/>
        <v>0</v>
      </c>
      <c r="BM179" s="583">
        <f t="shared" si="405"/>
        <v>0</v>
      </c>
      <c r="BN179" s="583">
        <f t="shared" si="406"/>
        <v>0</v>
      </c>
      <c r="BO179" s="583">
        <f t="shared" si="407"/>
        <v>0</v>
      </c>
      <c r="BP179" s="583">
        <f t="shared" si="408"/>
        <v>0</v>
      </c>
      <c r="BQ179" s="583">
        <f t="shared" si="409"/>
        <v>0</v>
      </c>
      <c r="BR179" s="583">
        <f t="shared" si="410"/>
        <v>0</v>
      </c>
    </row>
    <row r="180" spans="1:70" s="229" customFormat="1" ht="15" customHeight="1">
      <c r="A180" s="574"/>
      <c r="D180" s="85"/>
      <c r="E180" s="585">
        <f t="shared" si="395"/>
        <v>100</v>
      </c>
      <c r="F180" s="707"/>
      <c r="G180" s="406" t="s">
        <v>3054</v>
      </c>
      <c r="H180" s="1262" t="s">
        <v>3055</v>
      </c>
      <c r="I180" s="85">
        <v>0</v>
      </c>
      <c r="J180" s="682">
        <v>1</v>
      </c>
      <c r="K180" s="579" t="str">
        <f t="shared" si="369"/>
        <v/>
      </c>
      <c r="L180" s="580" t="str">
        <f>IF(H180="Select ingredient:","",IF(G180="","",_xlfn.IFNA(VLOOKUP($H180,Ingredient_prices!$E:$U,16,FALSE),0)))</f>
        <v/>
      </c>
      <c r="M180" s="840"/>
      <c r="N180" s="840"/>
      <c r="O180" s="581"/>
      <c r="P180" s="582"/>
      <c r="Q180" s="583">
        <f t="shared" si="394"/>
        <v>0</v>
      </c>
      <c r="R180" s="583">
        <f>VLOOKUP($H180,'CO2_emission+%_food_waste'!$A:$K,6,FALSE)*$Q180/100</f>
        <v>0</v>
      </c>
      <c r="S180" s="583">
        <f t="shared" si="370"/>
        <v>0</v>
      </c>
      <c r="T180" s="583" t="str">
        <f>IF(H180="Select ingredient:","",IF(G180="Select food category:","",_xlfn.IFNA(VLOOKUP($H180,Ingredient_prices!$E:$U,16,FALSE)*$Q180/1000,"not bought")))</f>
        <v/>
      </c>
      <c r="U180" s="583" t="str">
        <f>IF(G180="Select food category:","",_xlfn.IFNA(VLOOKUP($H180,Ingredient_prices!$E:$U,16,FALSE)*$R180/1000,"not bought"))</f>
        <v/>
      </c>
      <c r="V180" s="549">
        <f>VLOOKUP($H180,'CO2_emission+%_food_waste'!$A:$K,4,FALSE)*$Q180</f>
        <v>0</v>
      </c>
      <c r="W180" s="583">
        <f>VLOOKUP($H180,Nutrition_tables!$A:$N,10,FALSE)*$Q180/100</f>
        <v>0</v>
      </c>
      <c r="X180" s="583">
        <f>VLOOKUP($H180,Nutrition_tables!$A:$N,11,FALSE)*$Q180/100</f>
        <v>0</v>
      </c>
      <c r="Y180" s="583">
        <f>VLOOKUP($H180,Nutrition_tables!$A:$N,12,FALSE)*$Q180/100</f>
        <v>0</v>
      </c>
      <c r="Z180" s="583">
        <f>VLOOKUP($H180,Nutrition_tables!$A:$N,14,FALSE)*$Q180/100</f>
        <v>0</v>
      </c>
      <c r="AA180" s="583">
        <f>VLOOKUP($H180,Nutrition_tables!$A:$AF,13,FALSE)*$Q180/100</f>
        <v>0</v>
      </c>
      <c r="AB180" s="549">
        <f>VLOOKUP($H180,Nutrition_tables!$A:$AF,15,FALSE)*$Q180/100</f>
        <v>0</v>
      </c>
      <c r="AC180" s="583">
        <f>VLOOKUP($H180,Nutrition_tables!$A:$AF,16,FALSE)*$Q180/100</f>
        <v>0</v>
      </c>
      <c r="AD180" s="583">
        <f>VLOOKUP($H180,Nutrition_tables!$A:$AF,17,FALSE)*$Q180/100</f>
        <v>0</v>
      </c>
      <c r="AE180" s="583">
        <f>VLOOKUP($H180,Nutrition_tables!$A:$AF,18,FALSE)*$Q180/100</f>
        <v>0</v>
      </c>
      <c r="AF180" s="583">
        <f>VLOOKUP($H180,Nutrition_tables!$A:$AF,19,FALSE)*$Q180/100</f>
        <v>0</v>
      </c>
      <c r="AG180" s="583">
        <f>VLOOKUP($H180,Nutrition_tables!$A:$AF,20,FALSE)*$Q180/100</f>
        <v>0</v>
      </c>
      <c r="AH180" s="583">
        <f>VLOOKUP($H180,Nutrition_tables!$A:$AF,21,FALSE)*$Q180/100</f>
        <v>0</v>
      </c>
      <c r="AI180" s="583">
        <f>VLOOKUP($H180,Nutrition_tables!$A:$AF,22,FALSE)*$Q180/100</f>
        <v>0</v>
      </c>
      <c r="AJ180" s="549">
        <f>VLOOKUP($H180,Nutrition_tables!$A:$AF,23,FALSE)*$Q180/100</f>
        <v>0</v>
      </c>
      <c r="AK180" s="583">
        <f>VLOOKUP($H180,Nutrition_tables!$A:$AF,24,FALSE)*$Q180/100</f>
        <v>0</v>
      </c>
      <c r="AL180" s="583">
        <f>VLOOKUP($H180,Nutrition_tables!$A:$AF,25,FALSE)*$Q180/100</f>
        <v>0</v>
      </c>
      <c r="AM180" s="583">
        <f>VLOOKUP($H180,Nutrition_tables!$A:$AF,26,FALSE)*$Q180/100</f>
        <v>0</v>
      </c>
      <c r="AN180" s="583">
        <f>VLOOKUP($H180,Nutrition_tables!$A:$AF,27,FALSE)*$Q180/100</f>
        <v>0</v>
      </c>
      <c r="AO180" s="583">
        <f>VLOOKUP($H180,Nutrition_tables!$A:$AF,28,FALSE)*$Q180/100</f>
        <v>0</v>
      </c>
      <c r="AP180" s="583">
        <f>VLOOKUP($H180,Nutrition_tables!$A:$AF,29,FALSE)*$Q180/100</f>
        <v>0</v>
      </c>
      <c r="AQ180" s="583">
        <f>VLOOKUP($H180,Nutrition_tables!$A:$AF,30,FALSE)*$Q180/100</f>
        <v>0</v>
      </c>
      <c r="AR180" s="583">
        <f>VLOOKUP($H180,Nutrition_tables!$A:$AF,31,FALSE)*$Q180/100</f>
        <v>0</v>
      </c>
      <c r="AS180" s="549">
        <f>VLOOKUP($H180,Nutrition_tables!$A:$AF,32,FALSE)*$Q180/100</f>
        <v>0</v>
      </c>
      <c r="AT180" s="583" t="str">
        <f>IF(H180="Select ingredient:","",IF(G180="Select food category:","",IFERROR(VLOOKUP($H180,Ingredient_prices!$E:$W,17,FALSE)*$Q180/1000,"not bought")))</f>
        <v/>
      </c>
      <c r="AU180" s="583" t="str">
        <f>IF(H180="Select ingredient:","",IF(G180="Select food category:","",IFERROR(VLOOKUP($H180,Ingredient_prices!$E:$W,18,FALSE)*$Q180/1000,"not bought")))</f>
        <v/>
      </c>
      <c r="AV180" s="583">
        <f t="shared" si="371"/>
        <v>0</v>
      </c>
      <c r="AW180" s="583">
        <f t="shared" si="372"/>
        <v>0</v>
      </c>
      <c r="AX180" s="583">
        <f t="shared" si="373"/>
        <v>0</v>
      </c>
      <c r="AY180" s="583">
        <f t="shared" si="374"/>
        <v>0</v>
      </c>
      <c r="AZ180" s="583">
        <f t="shared" si="375"/>
        <v>0</v>
      </c>
      <c r="BA180" s="583">
        <f t="shared" si="376"/>
        <v>0</v>
      </c>
      <c r="BB180" s="583">
        <f t="shared" si="377"/>
        <v>0</v>
      </c>
      <c r="BC180" s="583">
        <f t="shared" si="378"/>
        <v>0</v>
      </c>
      <c r="BD180" s="583">
        <f t="shared" si="396"/>
        <v>0</v>
      </c>
      <c r="BE180" s="583">
        <f t="shared" si="397"/>
        <v>0</v>
      </c>
      <c r="BF180" s="583">
        <f t="shared" si="398"/>
        <v>0</v>
      </c>
      <c r="BG180" s="583">
        <f t="shared" si="399"/>
        <v>0</v>
      </c>
      <c r="BH180" s="583">
        <f t="shared" si="400"/>
        <v>0</v>
      </c>
      <c r="BI180" s="583">
        <f t="shared" si="401"/>
        <v>0</v>
      </c>
      <c r="BJ180" s="583">
        <f t="shared" si="402"/>
        <v>0</v>
      </c>
      <c r="BK180" s="583">
        <f t="shared" si="403"/>
        <v>0</v>
      </c>
      <c r="BL180" s="583">
        <f t="shared" si="404"/>
        <v>0</v>
      </c>
      <c r="BM180" s="583">
        <f t="shared" si="405"/>
        <v>0</v>
      </c>
      <c r="BN180" s="583">
        <f t="shared" si="406"/>
        <v>0</v>
      </c>
      <c r="BO180" s="583">
        <f t="shared" si="407"/>
        <v>0</v>
      </c>
      <c r="BP180" s="583">
        <f t="shared" si="408"/>
        <v>0</v>
      </c>
      <c r="BQ180" s="583">
        <f t="shared" si="409"/>
        <v>0</v>
      </c>
      <c r="BR180" s="583">
        <f t="shared" si="410"/>
        <v>0</v>
      </c>
    </row>
    <row r="181" spans="1:70" s="603" customFormat="1" ht="56">
      <c r="A181" s="574"/>
      <c r="B181" s="593"/>
      <c r="C181" s="522"/>
      <c r="D181" s="141"/>
      <c r="E181" s="594"/>
      <c r="F181" s="708"/>
      <c r="G181" s="522"/>
      <c r="H181" s="522"/>
      <c r="I181" s="86"/>
      <c r="J181" s="87"/>
      <c r="K181" s="595"/>
      <c r="L181" s="596"/>
      <c r="M181" s="841"/>
      <c r="N181" s="841"/>
      <c r="O181" s="581"/>
      <c r="P181" s="627"/>
      <c r="Q181" s="599" t="s">
        <v>384</v>
      </c>
      <c r="R181" s="600" t="s">
        <v>455</v>
      </c>
      <c r="S181" s="600" t="s">
        <v>2087</v>
      </c>
      <c r="T181" s="600" t="s">
        <v>456</v>
      </c>
      <c r="U181" s="600" t="s">
        <v>535</v>
      </c>
      <c r="V181" s="601" t="s">
        <v>457</v>
      </c>
      <c r="W181" s="600" t="s">
        <v>75</v>
      </c>
      <c r="X181" s="600" t="s">
        <v>385</v>
      </c>
      <c r="Y181" s="600" t="s">
        <v>386</v>
      </c>
      <c r="Z181" s="600" t="s">
        <v>387</v>
      </c>
      <c r="AA181" s="600" t="s">
        <v>388</v>
      </c>
      <c r="AB181" s="601" t="s">
        <v>389</v>
      </c>
      <c r="AC181" s="602" t="s">
        <v>390</v>
      </c>
      <c r="AD181" s="600" t="s">
        <v>391</v>
      </c>
      <c r="AE181" s="600" t="s">
        <v>392</v>
      </c>
      <c r="AF181" s="600" t="s">
        <v>393</v>
      </c>
      <c r="AG181" s="600" t="s">
        <v>394</v>
      </c>
      <c r="AH181" s="600" t="s">
        <v>395</v>
      </c>
      <c r="AI181" s="600" t="s">
        <v>396</v>
      </c>
      <c r="AJ181" s="601" t="s">
        <v>397</v>
      </c>
      <c r="AK181" s="602" t="s">
        <v>398</v>
      </c>
      <c r="AL181" s="600" t="s">
        <v>399</v>
      </c>
      <c r="AM181" s="600" t="s">
        <v>400</v>
      </c>
      <c r="AN181" s="600" t="s">
        <v>401</v>
      </c>
      <c r="AO181" s="600" t="s">
        <v>402</v>
      </c>
      <c r="AP181" s="600" t="s">
        <v>406</v>
      </c>
      <c r="AQ181" s="600" t="s">
        <v>405</v>
      </c>
      <c r="AR181" s="600" t="s">
        <v>403</v>
      </c>
      <c r="AS181" s="601" t="s">
        <v>404</v>
      </c>
      <c r="AT181" s="593"/>
      <c r="AU181" s="593"/>
    </row>
    <row r="182" spans="1:70" s="229" customFormat="1">
      <c r="A182" s="574"/>
      <c r="B182" s="522"/>
      <c r="C182" s="522"/>
      <c r="D182" s="141"/>
      <c r="E182" s="594"/>
      <c r="F182" s="708"/>
      <c r="G182" s="522"/>
      <c r="H182" s="522"/>
      <c r="I182" s="86"/>
      <c r="J182" s="87"/>
      <c r="K182" s="595"/>
      <c r="L182" s="604"/>
      <c r="M182" s="581"/>
      <c r="N182" s="581"/>
      <c r="O182" s="581"/>
      <c r="P182" s="628" t="s">
        <v>383</v>
      </c>
      <c r="Q182" s="583">
        <f t="shared" ref="Q182:V182" si="411">SUM(Q156:Q180)</f>
        <v>575.4</v>
      </c>
      <c r="R182" s="583">
        <f t="shared" si="411"/>
        <v>150.59380000000002</v>
      </c>
      <c r="S182" s="583">
        <f>SUM(S156:S180)</f>
        <v>424.80619999999999</v>
      </c>
      <c r="T182" s="583">
        <f t="shared" ref="T182:U182" si="412">SUM(T156:T180)</f>
        <v>70.448304285714286</v>
      </c>
      <c r="U182" s="583">
        <f t="shared" si="412"/>
        <v>17.423843551428572</v>
      </c>
      <c r="V182" s="549">
        <f t="shared" si="411"/>
        <v>996.16</v>
      </c>
      <c r="W182" s="583">
        <f>SUM(W156:W180)</f>
        <v>878.08254999999986</v>
      </c>
      <c r="X182" s="583">
        <f t="shared" ref="X182:AS182" si="413">SUM(X156:X180)</f>
        <v>155.30013358649495</v>
      </c>
      <c r="Y182" s="583">
        <f t="shared" si="413"/>
        <v>26.39453308017173</v>
      </c>
      <c r="Z182" s="583">
        <f t="shared" si="413"/>
        <v>12.785078733258668</v>
      </c>
      <c r="AA182" s="583">
        <f t="shared" si="413"/>
        <v>15.756628199776003</v>
      </c>
      <c r="AB182" s="549">
        <f t="shared" si="413"/>
        <v>2.1538968532362688</v>
      </c>
      <c r="AC182" s="583">
        <f t="shared" si="413"/>
        <v>705.39</v>
      </c>
      <c r="AD182" s="583">
        <f t="shared" si="413"/>
        <v>1273.068886886887</v>
      </c>
      <c r="AE182" s="583">
        <f t="shared" si="413"/>
        <v>210.708</v>
      </c>
      <c r="AF182" s="583">
        <f t="shared" si="413"/>
        <v>133.59882887854522</v>
      </c>
      <c r="AG182" s="583">
        <f t="shared" si="413"/>
        <v>468.3758301715049</v>
      </c>
      <c r="AH182" s="583">
        <f t="shared" si="413"/>
        <v>4.9544362358550629</v>
      </c>
      <c r="AI182" s="583">
        <f t="shared" si="413"/>
        <v>4.8967867499928879</v>
      </c>
      <c r="AJ182" s="549">
        <f t="shared" si="413"/>
        <v>0.91203464996996986</v>
      </c>
      <c r="AK182" s="583">
        <f t="shared" si="413"/>
        <v>341.00400768234908</v>
      </c>
      <c r="AL182" s="583">
        <f t="shared" si="413"/>
        <v>0.52522408035839285</v>
      </c>
      <c r="AM182" s="583">
        <f t="shared" si="413"/>
        <v>0.36293068602607925</v>
      </c>
      <c r="AN182" s="583">
        <f t="shared" si="413"/>
        <v>9.8559275587169974</v>
      </c>
      <c r="AO182" s="583">
        <f t="shared" si="413"/>
        <v>0.70907319977600458</v>
      </c>
      <c r="AP182" s="583">
        <f t="shared" si="413"/>
        <v>151.4043713793794</v>
      </c>
      <c r="AQ182" s="583">
        <f t="shared" si="413"/>
        <v>0.56684595008341676</v>
      </c>
      <c r="AR182" s="583">
        <f t="shared" si="413"/>
        <v>43.147000000000006</v>
      </c>
      <c r="AS182" s="549">
        <f t="shared" si="413"/>
        <v>0.52976678758758755</v>
      </c>
      <c r="AT182" s="583">
        <f t="shared" ref="AT182:AU182" si="414">SUM(AT156:AT180)</f>
        <v>58.718304285714289</v>
      </c>
      <c r="AU182" s="583">
        <f t="shared" si="414"/>
        <v>70.448304285714286</v>
      </c>
      <c r="AV182" s="583">
        <f t="shared" ref="AV182:BR182" si="415">SUM(AV156:AV180)</f>
        <v>654.90914961389853</v>
      </c>
      <c r="AW182" s="583">
        <f t="shared" si="415"/>
        <v>115.48351152486312</v>
      </c>
      <c r="AX182" s="583">
        <f t="shared" si="415"/>
        <v>19.730860213284135</v>
      </c>
      <c r="AY182" s="583">
        <f t="shared" si="415"/>
        <v>9.6658926431759422</v>
      </c>
      <c r="AZ182" s="583">
        <f t="shared" si="415"/>
        <v>11.350704372685559</v>
      </c>
      <c r="BA182" s="583">
        <f t="shared" si="415"/>
        <v>1.6658729111559289</v>
      </c>
      <c r="BB182" s="583">
        <f t="shared" si="415"/>
        <v>485.57357347377297</v>
      </c>
      <c r="BC182" s="583">
        <f t="shared" si="415"/>
        <v>925.09615670311427</v>
      </c>
      <c r="BD182" s="583">
        <f t="shared" si="415"/>
        <v>157.73180644227764</v>
      </c>
      <c r="BE182" s="583">
        <f t="shared" si="415"/>
        <v>100.97245126366685</v>
      </c>
      <c r="BF182" s="583">
        <f t="shared" si="415"/>
        <v>353.27560511264784</v>
      </c>
      <c r="BG182" s="583">
        <f t="shared" si="415"/>
        <v>3.6308040663992607</v>
      </c>
      <c r="BH182" s="583">
        <f t="shared" si="415"/>
        <v>3.5145820079797616</v>
      </c>
      <c r="BI182" s="583">
        <f t="shared" si="415"/>
        <v>0.66675507629027342</v>
      </c>
      <c r="BJ182" s="583">
        <f t="shared" si="415"/>
        <v>247.34620511263901</v>
      </c>
      <c r="BK182" s="583">
        <f t="shared" si="415"/>
        <v>0.38157625448038823</v>
      </c>
      <c r="BL182" s="583">
        <f t="shared" si="415"/>
        <v>0.27124495381609959</v>
      </c>
      <c r="BM182" s="583">
        <f t="shared" si="415"/>
        <v>7.4083952882890269</v>
      </c>
      <c r="BN182" s="583">
        <f t="shared" si="415"/>
        <v>0.51958468088129706</v>
      </c>
      <c r="BO182" s="583">
        <f t="shared" si="415"/>
        <v>108.03712099115876</v>
      </c>
      <c r="BP182" s="583">
        <f t="shared" si="415"/>
        <v>0.44910469333826603</v>
      </c>
      <c r="BQ182" s="583">
        <f t="shared" si="415"/>
        <v>31.639953060136278</v>
      </c>
      <c r="BR182" s="583">
        <f t="shared" si="415"/>
        <v>0.40793391323796552</v>
      </c>
    </row>
    <row r="183" spans="1:70" s="229" customFormat="1">
      <c r="A183" s="574"/>
      <c r="B183" s="522"/>
      <c r="C183" s="522"/>
      <c r="D183" s="141"/>
      <c r="E183" s="594"/>
      <c r="F183" s="708"/>
      <c r="G183" s="522"/>
      <c r="H183" s="522"/>
      <c r="I183" s="86"/>
      <c r="J183" s="87"/>
      <c r="K183" s="595"/>
      <c r="L183" s="604"/>
      <c r="M183" s="581"/>
      <c r="N183" s="581"/>
      <c r="O183" s="581"/>
      <c r="P183" s="628" t="s">
        <v>545</v>
      </c>
      <c r="V183" s="526"/>
      <c r="W183" s="229">
        <v>556.5</v>
      </c>
      <c r="X183" s="229">
        <v>69.599999999999994</v>
      </c>
      <c r="Y183" s="229">
        <v>17.399999999999999</v>
      </c>
      <c r="Z183" s="229">
        <v>18.599999999999998</v>
      </c>
      <c r="AA183" s="229">
        <v>5.7</v>
      </c>
      <c r="AB183" s="526">
        <v>6</v>
      </c>
      <c r="AC183" s="229">
        <v>414</v>
      </c>
      <c r="AD183" s="229">
        <v>540</v>
      </c>
      <c r="AE183" s="229">
        <v>270</v>
      </c>
      <c r="AF183" s="229">
        <v>51</v>
      </c>
      <c r="AG183" s="229">
        <v>240</v>
      </c>
      <c r="AH183" s="229">
        <v>3</v>
      </c>
      <c r="AI183" s="229">
        <v>2.1</v>
      </c>
      <c r="AJ183" s="526">
        <v>0.375</v>
      </c>
      <c r="AK183" s="229">
        <v>240</v>
      </c>
      <c r="AL183" s="229">
        <v>0.3</v>
      </c>
      <c r="AM183" s="229">
        <v>0.33</v>
      </c>
      <c r="AN183" s="229">
        <v>3.5999999999999996</v>
      </c>
      <c r="AO183" s="229">
        <v>0.21</v>
      </c>
      <c r="AP183" s="229">
        <v>90</v>
      </c>
      <c r="AQ183" s="229">
        <v>0.54</v>
      </c>
      <c r="AR183" s="229">
        <v>24</v>
      </c>
      <c r="AS183" s="526">
        <v>1.5</v>
      </c>
      <c r="AV183" s="229">
        <v>556.5</v>
      </c>
      <c r="AW183" s="229">
        <v>69.599999999999994</v>
      </c>
      <c r="AX183" s="229">
        <v>17.399999999999999</v>
      </c>
      <c r="AY183" s="229">
        <v>18.599999999999998</v>
      </c>
      <c r="AZ183" s="229">
        <v>5.7</v>
      </c>
      <c r="BA183" s="526">
        <v>6</v>
      </c>
      <c r="BB183" s="229">
        <v>414</v>
      </c>
      <c r="BC183" s="229">
        <v>540</v>
      </c>
      <c r="BD183" s="229">
        <v>270</v>
      </c>
      <c r="BE183" s="229">
        <v>51</v>
      </c>
      <c r="BF183" s="229">
        <v>240</v>
      </c>
      <c r="BG183" s="229">
        <v>3</v>
      </c>
      <c r="BH183" s="229">
        <v>2.1</v>
      </c>
      <c r="BI183" s="526">
        <v>0.375</v>
      </c>
      <c r="BJ183" s="229">
        <v>240</v>
      </c>
      <c r="BK183" s="229">
        <v>0.3</v>
      </c>
      <c r="BL183" s="229">
        <v>0.33</v>
      </c>
      <c r="BM183" s="229">
        <v>3.5999999999999996</v>
      </c>
      <c r="BN183" s="229">
        <v>0.21</v>
      </c>
      <c r="BO183" s="229">
        <v>90</v>
      </c>
      <c r="BP183" s="229">
        <v>0.54</v>
      </c>
      <c r="BQ183" s="229">
        <v>24</v>
      </c>
      <c r="BR183" s="526">
        <v>1.5</v>
      </c>
    </row>
    <row r="184" spans="1:70" s="229" customFormat="1">
      <c r="A184" s="574"/>
      <c r="B184" s="522"/>
      <c r="C184" s="522"/>
      <c r="D184" s="141"/>
      <c r="E184" s="594"/>
      <c r="F184" s="708"/>
      <c r="G184" s="522"/>
      <c r="H184" s="522"/>
      <c r="I184" s="86"/>
      <c r="J184" s="87"/>
      <c r="K184" s="595"/>
      <c r="L184" s="604"/>
      <c r="M184" s="581"/>
      <c r="N184" s="581"/>
      <c r="O184" s="581"/>
      <c r="P184" s="628" t="s">
        <v>407</v>
      </c>
      <c r="V184" s="526"/>
      <c r="W184" s="514">
        <f t="shared" ref="W184:AS184" si="416">100*W182/W183</f>
        <v>157.78662174303682</v>
      </c>
      <c r="X184" s="514">
        <f t="shared" si="416"/>
        <v>223.1323758426652</v>
      </c>
      <c r="Y184" s="514">
        <f t="shared" si="416"/>
        <v>151.69271885156169</v>
      </c>
      <c r="Z184" s="514">
        <f t="shared" si="416"/>
        <v>68.73698243687457</v>
      </c>
      <c r="AA184" s="514">
        <f t="shared" si="416"/>
        <v>276.43207368028072</v>
      </c>
      <c r="AB184" s="506">
        <f t="shared" si="416"/>
        <v>35.898280887271149</v>
      </c>
      <c r="AC184" s="514">
        <f t="shared" si="416"/>
        <v>170.3840579710145</v>
      </c>
      <c r="AD184" s="514">
        <f t="shared" si="416"/>
        <v>235.75349757164571</v>
      </c>
      <c r="AE184" s="514">
        <f t="shared" si="416"/>
        <v>78.039999999999992</v>
      </c>
      <c r="AF184" s="514">
        <f t="shared" si="416"/>
        <v>261.95848799714753</v>
      </c>
      <c r="AG184" s="514">
        <f t="shared" si="416"/>
        <v>195.15659590479373</v>
      </c>
      <c r="AH184" s="514">
        <f t="shared" si="416"/>
        <v>165.14787452850211</v>
      </c>
      <c r="AI184" s="514">
        <f t="shared" si="416"/>
        <v>233.18032142823273</v>
      </c>
      <c r="AJ184" s="506">
        <f t="shared" si="416"/>
        <v>243.20923999199195</v>
      </c>
      <c r="AK184" s="514">
        <f t="shared" si="416"/>
        <v>142.0850032009788</v>
      </c>
      <c r="AL184" s="514">
        <f t="shared" si="416"/>
        <v>175.07469345279762</v>
      </c>
      <c r="AM184" s="514">
        <f t="shared" si="416"/>
        <v>109.97899576547856</v>
      </c>
      <c r="AN184" s="514">
        <f t="shared" si="416"/>
        <v>273.7757655199166</v>
      </c>
      <c r="AO184" s="514">
        <f t="shared" si="416"/>
        <v>337.65390465524024</v>
      </c>
      <c r="AP184" s="514">
        <f t="shared" si="416"/>
        <v>168.22707931042154</v>
      </c>
      <c r="AQ184" s="514">
        <f t="shared" si="416"/>
        <v>104.97147223766976</v>
      </c>
      <c r="AR184" s="514">
        <f t="shared" si="416"/>
        <v>179.7791666666667</v>
      </c>
      <c r="AS184" s="506">
        <f t="shared" si="416"/>
        <v>35.317785839172501</v>
      </c>
      <c r="AV184" s="514">
        <f t="shared" ref="AV184:BR184" si="417">100*AV182/AV183</f>
        <v>117.68358483628006</v>
      </c>
      <c r="AW184" s="514">
        <f t="shared" si="417"/>
        <v>165.92458552422863</v>
      </c>
      <c r="AX184" s="514">
        <f t="shared" si="417"/>
        <v>113.39574835220769</v>
      </c>
      <c r="AY184" s="514">
        <f t="shared" si="417"/>
        <v>51.967164748257758</v>
      </c>
      <c r="AZ184" s="514">
        <f t="shared" si="417"/>
        <v>199.13516443307998</v>
      </c>
      <c r="BA184" s="506">
        <f t="shared" si="417"/>
        <v>27.764548519265485</v>
      </c>
      <c r="BB184" s="514">
        <f t="shared" si="417"/>
        <v>117.28830277144276</v>
      </c>
      <c r="BC184" s="514">
        <f t="shared" si="417"/>
        <v>171.31410309316931</v>
      </c>
      <c r="BD184" s="514">
        <f t="shared" si="417"/>
        <v>58.419187571213946</v>
      </c>
      <c r="BE184" s="514">
        <f t="shared" si="417"/>
        <v>197.98519855620953</v>
      </c>
      <c r="BF184" s="514">
        <f t="shared" si="417"/>
        <v>147.19816879693659</v>
      </c>
      <c r="BG184" s="514">
        <f t="shared" si="417"/>
        <v>121.0268022133087</v>
      </c>
      <c r="BH184" s="514">
        <f t="shared" si="417"/>
        <v>167.36104799903626</v>
      </c>
      <c r="BI184" s="506">
        <f t="shared" si="417"/>
        <v>177.80135367740624</v>
      </c>
      <c r="BJ184" s="514">
        <f t="shared" si="417"/>
        <v>103.06091879693291</v>
      </c>
      <c r="BK184" s="514">
        <f t="shared" si="417"/>
        <v>127.19208482679608</v>
      </c>
      <c r="BL184" s="514">
        <f t="shared" si="417"/>
        <v>82.195440550333203</v>
      </c>
      <c r="BM184" s="514">
        <f t="shared" si="417"/>
        <v>205.78875800802854</v>
      </c>
      <c r="BN184" s="514">
        <f t="shared" si="417"/>
        <v>247.42127661014146</v>
      </c>
      <c r="BO184" s="514">
        <f t="shared" si="417"/>
        <v>120.04124554573195</v>
      </c>
      <c r="BP184" s="514">
        <f t="shared" si="417"/>
        <v>83.167535803382592</v>
      </c>
      <c r="BQ184" s="514">
        <f t="shared" si="417"/>
        <v>131.83313775056783</v>
      </c>
      <c r="BR184" s="506">
        <f t="shared" si="417"/>
        <v>27.195594215864364</v>
      </c>
    </row>
    <row r="185" spans="1:70" s="229" customFormat="1">
      <c r="A185" s="574"/>
      <c r="B185" s="522"/>
      <c r="C185" s="522"/>
      <c r="D185" s="141"/>
      <c r="E185" s="594"/>
      <c r="F185" s="708"/>
      <c r="G185" s="522"/>
      <c r="H185" s="522"/>
      <c r="I185" s="86"/>
      <c r="J185" s="87"/>
      <c r="K185" s="595"/>
      <c r="L185" s="604"/>
      <c r="M185" s="581"/>
      <c r="N185" s="581"/>
      <c r="O185" s="581"/>
      <c r="P185" s="628" t="s">
        <v>548</v>
      </c>
      <c r="V185" s="526"/>
      <c r="W185" s="583">
        <f>AV182</f>
        <v>654.90914961389853</v>
      </c>
      <c r="X185" s="583">
        <f t="shared" ref="X185:AD185" si="418">AW182</f>
        <v>115.48351152486312</v>
      </c>
      <c r="Y185" s="583">
        <f t="shared" si="418"/>
        <v>19.730860213284135</v>
      </c>
      <c r="Z185" s="583">
        <f t="shared" si="418"/>
        <v>9.6658926431759422</v>
      </c>
      <c r="AA185" s="583">
        <f t="shared" si="418"/>
        <v>11.350704372685559</v>
      </c>
      <c r="AB185" s="549">
        <f t="shared" si="418"/>
        <v>1.6658729111559289</v>
      </c>
      <c r="AC185" s="583">
        <f t="shared" si="418"/>
        <v>485.57357347377297</v>
      </c>
      <c r="AD185" s="583">
        <f t="shared" si="418"/>
        <v>925.09615670311427</v>
      </c>
      <c r="AE185" s="583">
        <f>BD182</f>
        <v>157.73180644227764</v>
      </c>
      <c r="AF185" s="583">
        <f t="shared" ref="AF185:AM185" si="419">BE182</f>
        <v>100.97245126366685</v>
      </c>
      <c r="AG185" s="583">
        <f t="shared" si="419"/>
        <v>353.27560511264784</v>
      </c>
      <c r="AH185" s="583">
        <f t="shared" si="419"/>
        <v>3.6308040663992607</v>
      </c>
      <c r="AI185" s="583">
        <f t="shared" si="419"/>
        <v>3.5145820079797616</v>
      </c>
      <c r="AJ185" s="549">
        <f t="shared" si="419"/>
        <v>0.66675507629027342</v>
      </c>
      <c r="AK185" s="583">
        <f t="shared" si="419"/>
        <v>247.34620511263901</v>
      </c>
      <c r="AL185" s="583">
        <f t="shared" si="419"/>
        <v>0.38157625448038823</v>
      </c>
      <c r="AM185" s="583">
        <f t="shared" si="419"/>
        <v>0.27124495381609959</v>
      </c>
      <c r="AN185" s="583">
        <f>BM182</f>
        <v>7.4083952882890269</v>
      </c>
      <c r="AO185" s="583">
        <f t="shared" ref="AO185:AR185" si="420">BN182</f>
        <v>0.51958468088129706</v>
      </c>
      <c r="AP185" s="583">
        <f t="shared" si="420"/>
        <v>108.03712099115876</v>
      </c>
      <c r="AQ185" s="583">
        <f t="shared" si="420"/>
        <v>0.44910469333826603</v>
      </c>
      <c r="AR185" s="583">
        <f t="shared" si="420"/>
        <v>31.639953060136278</v>
      </c>
      <c r="AS185" s="549">
        <f>BR182</f>
        <v>0.40793391323796552</v>
      </c>
    </row>
    <row r="186" spans="1:70" s="229" customFormat="1">
      <c r="A186" s="574"/>
      <c r="B186" s="522"/>
      <c r="C186" s="522"/>
      <c r="D186" s="141"/>
      <c r="E186" s="594"/>
      <c r="F186" s="708"/>
      <c r="G186" s="522"/>
      <c r="H186" s="522"/>
      <c r="I186" s="86"/>
      <c r="J186" s="87"/>
      <c r="K186" s="595"/>
      <c r="L186" s="604"/>
      <c r="M186" s="581"/>
      <c r="N186" s="581"/>
      <c r="O186" s="581"/>
      <c r="P186" s="628" t="s">
        <v>543</v>
      </c>
      <c r="V186" s="526"/>
      <c r="W186" s="514">
        <f t="shared" ref="W186:AS186" si="421">AV184</f>
        <v>117.68358483628006</v>
      </c>
      <c r="X186" s="514">
        <f t="shared" si="421"/>
        <v>165.92458552422863</v>
      </c>
      <c r="Y186" s="514">
        <f t="shared" si="421"/>
        <v>113.39574835220769</v>
      </c>
      <c r="Z186" s="514">
        <f t="shared" si="421"/>
        <v>51.967164748257758</v>
      </c>
      <c r="AA186" s="514">
        <f t="shared" si="421"/>
        <v>199.13516443307998</v>
      </c>
      <c r="AB186" s="506">
        <f t="shared" si="421"/>
        <v>27.764548519265485</v>
      </c>
      <c r="AC186" s="514">
        <f t="shared" si="421"/>
        <v>117.28830277144276</v>
      </c>
      <c r="AD186" s="514">
        <f t="shared" si="421"/>
        <v>171.31410309316931</v>
      </c>
      <c r="AE186" s="514">
        <f t="shared" si="421"/>
        <v>58.419187571213946</v>
      </c>
      <c r="AF186" s="514">
        <f t="shared" si="421"/>
        <v>197.98519855620953</v>
      </c>
      <c r="AG186" s="514">
        <f t="shared" si="421"/>
        <v>147.19816879693659</v>
      </c>
      <c r="AH186" s="514">
        <f t="shared" si="421"/>
        <v>121.0268022133087</v>
      </c>
      <c r="AI186" s="514">
        <f t="shared" si="421"/>
        <v>167.36104799903626</v>
      </c>
      <c r="AJ186" s="506">
        <f t="shared" si="421"/>
        <v>177.80135367740624</v>
      </c>
      <c r="AK186" s="514">
        <f t="shared" si="421"/>
        <v>103.06091879693291</v>
      </c>
      <c r="AL186" s="514">
        <f t="shared" si="421"/>
        <v>127.19208482679608</v>
      </c>
      <c r="AM186" s="514">
        <f t="shared" si="421"/>
        <v>82.195440550333203</v>
      </c>
      <c r="AN186" s="514">
        <f t="shared" si="421"/>
        <v>205.78875800802854</v>
      </c>
      <c r="AO186" s="514">
        <f t="shared" si="421"/>
        <v>247.42127661014146</v>
      </c>
      <c r="AP186" s="514">
        <f t="shared" si="421"/>
        <v>120.04124554573195</v>
      </c>
      <c r="AQ186" s="514">
        <f t="shared" si="421"/>
        <v>83.167535803382592</v>
      </c>
      <c r="AR186" s="514">
        <f t="shared" si="421"/>
        <v>131.83313775056783</v>
      </c>
      <c r="AS186" s="506">
        <f t="shared" si="421"/>
        <v>27.195594215864364</v>
      </c>
      <c r="AV186" s="514"/>
      <c r="AW186" s="514"/>
      <c r="AX186" s="514"/>
      <c r="AY186" s="514"/>
      <c r="AZ186" s="514"/>
      <c r="BA186" s="505"/>
      <c r="BB186" s="514"/>
      <c r="BC186" s="514"/>
      <c r="BD186" s="514"/>
      <c r="BE186" s="514"/>
      <c r="BF186" s="514"/>
      <c r="BG186" s="514"/>
      <c r="BH186" s="514"/>
      <c r="BI186" s="505"/>
      <c r="BJ186" s="514"/>
      <c r="BK186" s="514"/>
      <c r="BL186" s="514"/>
      <c r="BM186" s="514"/>
      <c r="BN186" s="514"/>
      <c r="BO186" s="514"/>
      <c r="BP186" s="514"/>
      <c r="BQ186" s="514"/>
      <c r="BR186" s="505"/>
    </row>
    <row r="187" spans="1:70" s="229" customFormat="1" ht="16" thickBot="1">
      <c r="A187" s="574"/>
      <c r="B187" s="574"/>
      <c r="C187" s="574"/>
      <c r="D187" s="684"/>
      <c r="E187" s="620"/>
      <c r="F187" s="711"/>
      <c r="G187" s="621" t="s">
        <v>795</v>
      </c>
      <c r="H187" s="622"/>
      <c r="I187" s="685"/>
      <c r="J187" s="685"/>
      <c r="K187" s="574"/>
      <c r="L187" s="623"/>
      <c r="M187" s="623"/>
      <c r="N187" s="623"/>
      <c r="O187" s="581"/>
      <c r="P187" s="574"/>
      <c r="Q187" s="574"/>
      <c r="R187" s="574"/>
      <c r="S187" s="574"/>
      <c r="T187" s="574"/>
      <c r="U187" s="624"/>
      <c r="V187" s="625"/>
      <c r="W187" s="574"/>
      <c r="X187" s="574"/>
      <c r="Y187" s="574"/>
      <c r="Z187" s="574"/>
      <c r="AA187" s="626">
        <f>COUNTIF(AA188:AA199,"&lt;0")</f>
        <v>0</v>
      </c>
      <c r="AB187" s="626">
        <f t="shared" ref="AB187" si="422">COUNTIF(AB188:AB199,"&lt;0")</f>
        <v>0</v>
      </c>
      <c r="AC187" s="626">
        <f t="shared" ref="AC187" si="423">COUNTIF(AC188:AC199,"&lt;0")</f>
        <v>0</v>
      </c>
      <c r="AD187" s="626">
        <f t="shared" ref="AD187" si="424">COUNTIF(AD188:AD199,"&lt;0")</f>
        <v>0</v>
      </c>
      <c r="AE187" s="626">
        <f t="shared" ref="AE187" si="425">COUNTIF(AE188:AE199,"&lt;0")</f>
        <v>0</v>
      </c>
      <c r="AF187" s="626">
        <f t="shared" ref="AF187" si="426">COUNTIF(AF188:AF199,"&lt;0")</f>
        <v>0</v>
      </c>
      <c r="AG187" s="626">
        <f t="shared" ref="AG187" si="427">COUNTIF(AG188:AG199,"&lt;0")</f>
        <v>0</v>
      </c>
      <c r="AH187" s="626">
        <f t="shared" ref="AH187" si="428">COUNTIF(AH188:AH199,"&lt;0")</f>
        <v>0</v>
      </c>
      <c r="AI187" s="626">
        <f t="shared" ref="AI187" si="429">COUNTIF(AI188:AI199,"&lt;0")</f>
        <v>0</v>
      </c>
      <c r="AJ187" s="626">
        <f t="shared" ref="AJ187" si="430">COUNTIF(AJ188:AJ199,"&lt;0")</f>
        <v>0</v>
      </c>
      <c r="AK187" s="626">
        <f t="shared" ref="AK187" si="431">COUNTIF(AK188:AK199,"&lt;0")</f>
        <v>0</v>
      </c>
      <c r="AL187" s="626">
        <f t="shared" ref="AL187" si="432">COUNTIF(AL188:AL199,"&lt;0")</f>
        <v>0</v>
      </c>
      <c r="AM187" s="626">
        <f t="shared" ref="AM187" si="433">COUNTIF(AM188:AM199,"&lt;0")</f>
        <v>0</v>
      </c>
      <c r="AN187" s="626">
        <f t="shared" ref="AN187" si="434">COUNTIF(AN188:AN199,"&lt;0")</f>
        <v>0</v>
      </c>
      <c r="AO187" s="626">
        <f>COUNTIF(AO188:AO199,"&lt;0")</f>
        <v>0</v>
      </c>
      <c r="AP187" s="626">
        <f t="shared" ref="AP187" si="435">COUNTIF(AP188:AP199,"&lt;0")</f>
        <v>0</v>
      </c>
      <c r="AQ187" s="626">
        <f t="shared" ref="AQ187" si="436">COUNTIF(AQ188:AQ199,"&lt;0")</f>
        <v>0</v>
      </c>
      <c r="AR187" s="626">
        <f t="shared" ref="AR187" si="437">COUNTIF(AR188:AR199,"&lt;0")</f>
        <v>0</v>
      </c>
      <c r="AS187" s="626">
        <f t="shared" ref="AS187" si="438">COUNTIF(AS188:AS199,"&lt;0")</f>
        <v>0</v>
      </c>
      <c r="AT187" s="574"/>
      <c r="AU187" s="574"/>
    </row>
    <row r="188" spans="1:70" s="229" customFormat="1" ht="15" customHeight="1" thickBot="1">
      <c r="A188" s="574"/>
      <c r="B188" s="575" t="s">
        <v>3065</v>
      </c>
      <c r="C188" s="229" t="s">
        <v>1364</v>
      </c>
      <c r="D188" s="85"/>
      <c r="E188" s="577">
        <v>0</v>
      </c>
      <c r="F188" s="1131"/>
      <c r="G188" s="406" t="s">
        <v>3054</v>
      </c>
      <c r="H188" s="1262" t="s">
        <v>3055</v>
      </c>
      <c r="I188" s="85">
        <v>0</v>
      </c>
      <c r="J188" s="682">
        <v>1</v>
      </c>
      <c r="K188" s="579" t="str">
        <f t="shared" ref="K188:K199" si="439">IF(I188&gt;0,1.1*Q188*E188/1000,"")</f>
        <v/>
      </c>
      <c r="L188" s="580" t="str">
        <f>IF(H188="Select ingredient:","",IF(G188="","",_xlfn.IFNA(VLOOKUP($H188,Ingredient_prices!$E:$U,16,FALSE),0)))</f>
        <v/>
      </c>
      <c r="M188" s="840"/>
      <c r="N188" s="1228">
        <f>$W201</f>
        <v>0</v>
      </c>
      <c r="O188" s="581"/>
      <c r="P188" s="586"/>
      <c r="Q188" s="583">
        <f t="shared" ref="Q188:Q199" si="440">I188/J188</f>
        <v>0</v>
      </c>
      <c r="R188" s="583">
        <f>VLOOKUP($H188,'CO2_emission+%_food_waste'!$A:$K,6,FALSE)*$Q188/100</f>
        <v>0</v>
      </c>
      <c r="S188" s="583">
        <f t="shared" ref="S188:S199" si="441">Q188-R188</f>
        <v>0</v>
      </c>
      <c r="T188" s="583" t="str">
        <f>IF(H188="Select ingredient:","",IF(G188="Select food category:","",_xlfn.IFNA(VLOOKUP($H188,Ingredient_prices!$E:$U,16,FALSE)*$Q188/1000,"not bought")))</f>
        <v/>
      </c>
      <c r="U188" s="583" t="str">
        <f>IF(G188="Select food category:","",_xlfn.IFNA(VLOOKUP($H188,Ingredient_prices!$E:$U,16,FALSE)*$R188/1000,"not bought"))</f>
        <v/>
      </c>
      <c r="V188" s="549">
        <f>VLOOKUP($H188,'CO2_emission+%_food_waste'!$A:$K,4,FALSE)*$Q188</f>
        <v>0</v>
      </c>
      <c r="W188" s="583">
        <f>VLOOKUP($H188,Nutrition_tables!$A:$N,10,FALSE)*$Q188/100</f>
        <v>0</v>
      </c>
      <c r="X188" s="583">
        <f>VLOOKUP($H188,Nutrition_tables!$A:$N,11,FALSE)*$Q188/100</f>
        <v>0</v>
      </c>
      <c r="Y188" s="583">
        <f>VLOOKUP($H188,Nutrition_tables!$A:$N,12,FALSE)*$Q188/100</f>
        <v>0</v>
      </c>
      <c r="Z188" s="583">
        <f>VLOOKUP($H188,Nutrition_tables!$A:$N,14,FALSE)*$Q188/100</f>
        <v>0</v>
      </c>
      <c r="AA188" s="583">
        <f>VLOOKUP($H188,Nutrition_tables!$A:$AF,13,FALSE)*$Q188/100</f>
        <v>0</v>
      </c>
      <c r="AB188" s="549">
        <f>VLOOKUP($H188,Nutrition_tables!$A:$AF,15,FALSE)*$Q188/100</f>
        <v>0</v>
      </c>
      <c r="AC188" s="583">
        <f>VLOOKUP($H188,Nutrition_tables!$A:$AF,16,FALSE)*$Q188/100</f>
        <v>0</v>
      </c>
      <c r="AD188" s="583">
        <f>VLOOKUP($H188,Nutrition_tables!$A:$AF,17,FALSE)*$Q188/100</f>
        <v>0</v>
      </c>
      <c r="AE188" s="583">
        <f>VLOOKUP($H188,Nutrition_tables!$A:$AF,18,FALSE)*$Q188/100</f>
        <v>0</v>
      </c>
      <c r="AF188" s="583">
        <f>VLOOKUP($H188,Nutrition_tables!$A:$AF,19,FALSE)*$Q188/100</f>
        <v>0</v>
      </c>
      <c r="AG188" s="583">
        <f>VLOOKUP($H188,Nutrition_tables!$A:$AF,20,FALSE)*$Q188/100</f>
        <v>0</v>
      </c>
      <c r="AH188" s="583">
        <f>VLOOKUP($H188,Nutrition_tables!$A:$AF,21,FALSE)*$Q188/100</f>
        <v>0</v>
      </c>
      <c r="AI188" s="583">
        <f>VLOOKUP($H188,Nutrition_tables!$A:$AF,22,FALSE)*$Q188/100</f>
        <v>0</v>
      </c>
      <c r="AJ188" s="549">
        <f>VLOOKUP($H188,Nutrition_tables!$A:$AF,23,FALSE)*$Q188/100</f>
        <v>0</v>
      </c>
      <c r="AK188" s="583">
        <f>VLOOKUP($H188,Nutrition_tables!$A:$AF,24,FALSE)*$Q188/100</f>
        <v>0</v>
      </c>
      <c r="AL188" s="583">
        <f>VLOOKUP($H188,Nutrition_tables!$A:$AF,25,FALSE)*$Q188/100</f>
        <v>0</v>
      </c>
      <c r="AM188" s="583">
        <f>VLOOKUP($H188,Nutrition_tables!$A:$AF,26,FALSE)*$Q188/100</f>
        <v>0</v>
      </c>
      <c r="AN188" s="583">
        <f>VLOOKUP($H188,Nutrition_tables!$A:$AF,27,FALSE)*$Q188/100</f>
        <v>0</v>
      </c>
      <c r="AO188" s="583">
        <f>VLOOKUP($H188,Nutrition_tables!$A:$AF,28,FALSE)*$Q188/100</f>
        <v>0</v>
      </c>
      <c r="AP188" s="583">
        <f>VLOOKUP($H188,Nutrition_tables!$A:$AF,29,FALSE)*$Q188/100</f>
        <v>0</v>
      </c>
      <c r="AQ188" s="583">
        <f>VLOOKUP($H188,Nutrition_tables!$A:$AF,30,FALSE)*$Q188/100</f>
        <v>0</v>
      </c>
      <c r="AR188" s="583">
        <f>VLOOKUP($H188,Nutrition_tables!$A:$AF,31,FALSE)*$Q188/100</f>
        <v>0</v>
      </c>
      <c r="AS188" s="549">
        <f>VLOOKUP($H188,Nutrition_tables!$A:$AF,32,FALSE)*$Q188/100</f>
        <v>0</v>
      </c>
      <c r="AT188" s="583" t="str">
        <f>IF(H188="Select ingredient:","",IF(G188="Select food category:","",IFERROR(VLOOKUP($H188,Ingredient_prices!$E:$W,17,FALSE)*$Q188/1000,"not bought")))</f>
        <v/>
      </c>
      <c r="AU188" s="583" t="str">
        <f>IF(H188="Select ingredient:","",IF(G188="Select food category:","",IFERROR(VLOOKUP($H188,Ingredient_prices!$E:$W,18,FALSE)*$Q188/1000,"not bought")))</f>
        <v/>
      </c>
      <c r="AV188" s="583">
        <f t="shared" ref="AV188:AV199" si="442">W188*($Q188-$R188)/($Q188+0.00001)</f>
        <v>0</v>
      </c>
      <c r="AW188" s="583">
        <f t="shared" ref="AW188:AW199" si="443">X188*($Q188-$R188)/($Q188+0.00001)</f>
        <v>0</v>
      </c>
      <c r="AX188" s="583">
        <f t="shared" ref="AX188:AX199" si="444">Y188*($Q188-$R188)/($Q188+0.00001)</f>
        <v>0</v>
      </c>
      <c r="AY188" s="583">
        <f t="shared" ref="AY188:AY199" si="445">Z188*($Q188-$R188)/($Q188+0.00001)</f>
        <v>0</v>
      </c>
      <c r="AZ188" s="583">
        <f t="shared" ref="AZ188:AZ199" si="446">AA188*($Q188-$R188)/($Q188+0.00001)</f>
        <v>0</v>
      </c>
      <c r="BA188" s="583">
        <f t="shared" ref="BA188:BA199" si="447">AB188*($Q188-$R188)/($Q188+0.00001)</f>
        <v>0</v>
      </c>
      <c r="BB188" s="583">
        <f t="shared" ref="BB188:BB199" si="448">AC188*($Q188-$R188)/($Q188+0.00001)</f>
        <v>0</v>
      </c>
      <c r="BC188" s="583">
        <f t="shared" ref="BC188:BC199" si="449">AD188*($Q188-$R188)/($Q188+0.00001)</f>
        <v>0</v>
      </c>
      <c r="BD188" s="583">
        <f t="shared" ref="BD188:BD199" si="450">AE188*($Q188-$R188)/($Q188+0.00001)</f>
        <v>0</v>
      </c>
      <c r="BE188" s="583">
        <f t="shared" ref="BE188:BE199" si="451">AF188*($Q188-$R188)/($Q188+0.00001)</f>
        <v>0</v>
      </c>
      <c r="BF188" s="583">
        <f t="shared" ref="BF188:BF199" si="452">AG188*($Q188-$R188)/($Q188+0.00001)</f>
        <v>0</v>
      </c>
      <c r="BG188" s="583">
        <f t="shared" ref="BG188:BG199" si="453">AH188*($Q188-$R188)/($Q188+0.00001)</f>
        <v>0</v>
      </c>
      <c r="BH188" s="583">
        <f t="shared" ref="BH188:BH199" si="454">AI188*($Q188-$R188)/($Q188+0.00001)</f>
        <v>0</v>
      </c>
      <c r="BI188" s="583">
        <f t="shared" ref="BI188:BI199" si="455">AJ188*($Q188-$R188)/($Q188+0.00001)</f>
        <v>0</v>
      </c>
      <c r="BJ188" s="583">
        <f t="shared" ref="BJ188:BJ199" si="456">AK188*($Q188-$R188)/($Q188+0.00001)</f>
        <v>0</v>
      </c>
      <c r="BK188" s="583">
        <f t="shared" ref="BK188:BK199" si="457">AL188*($Q188-$R188)/($Q188+0.00001)</f>
        <v>0</v>
      </c>
      <c r="BL188" s="583">
        <f t="shared" ref="BL188:BL199" si="458">AM188*($Q188-$R188)/($Q188+0.00001)</f>
        <v>0</v>
      </c>
      <c r="BM188" s="583">
        <f t="shared" ref="BM188:BM199" si="459">AN188*($Q188-$R188)/($Q188+0.00001)</f>
        <v>0</v>
      </c>
      <c r="BN188" s="583">
        <f t="shared" ref="BN188:BN199" si="460">AO188*($Q188-$R188)/($Q188+0.00001)</f>
        <v>0</v>
      </c>
      <c r="BO188" s="583">
        <f t="shared" ref="BO188:BO199" si="461">AP188*($Q188-$R188)/($Q188+0.00001)</f>
        <v>0</v>
      </c>
      <c r="BP188" s="583">
        <f t="shared" ref="BP188:BP199" si="462">AQ188*($Q188-$R188)/($Q188+0.00001)</f>
        <v>0</v>
      </c>
      <c r="BQ188" s="583">
        <f t="shared" ref="BQ188:BQ199" si="463">AR188*($Q188-$R188)/($Q188+0.00001)</f>
        <v>0</v>
      </c>
      <c r="BR188" s="583">
        <f t="shared" ref="BR188:BR199" si="464">AS188*($Q188-$R188)/($Q188+0.00001)</f>
        <v>0</v>
      </c>
    </row>
    <row r="189" spans="1:70" s="229" customFormat="1" ht="15" customHeight="1">
      <c r="A189" s="574"/>
      <c r="D189" s="85"/>
      <c r="E189" s="576" t="str">
        <f>IF(E$188&gt;0,E$188,"")</f>
        <v/>
      </c>
      <c r="F189" s="1131"/>
      <c r="G189" s="406" t="s">
        <v>3054</v>
      </c>
      <c r="H189" s="1262" t="s">
        <v>3055</v>
      </c>
      <c r="I189" s="85">
        <v>0</v>
      </c>
      <c r="J189" s="682">
        <v>1</v>
      </c>
      <c r="K189" s="579" t="str">
        <f t="shared" si="439"/>
        <v/>
      </c>
      <c r="L189" s="580" t="str">
        <f>IF(H189="Select ingredient:","",IF(G189="","",_xlfn.IFNA(VLOOKUP($H189,Ingredient_prices!$E:$U,16,FALSE),0)))</f>
        <v/>
      </c>
      <c r="M189" s="840"/>
      <c r="N189" s="840"/>
      <c r="O189" s="581"/>
      <c r="P189" s="586"/>
      <c r="Q189" s="583">
        <f t="shared" si="440"/>
        <v>0</v>
      </c>
      <c r="R189" s="583">
        <f>VLOOKUP($H189,'CO2_emission+%_food_waste'!$A:$K,6,FALSE)*$Q189/100</f>
        <v>0</v>
      </c>
      <c r="S189" s="583">
        <f t="shared" si="441"/>
        <v>0</v>
      </c>
      <c r="T189" s="583" t="str">
        <f>IF(H189="Select ingredient:","",IF(G189="Select food category:","",_xlfn.IFNA(VLOOKUP($H189,Ingredient_prices!$E:$U,16,FALSE)*$Q189/1000,"not bought")))</f>
        <v/>
      </c>
      <c r="U189" s="583" t="str">
        <f>IF(G189="Select food category:","",_xlfn.IFNA(VLOOKUP($H189,Ingredient_prices!$E:$U,16,FALSE)*$R189/1000,"not bought"))</f>
        <v/>
      </c>
      <c r="V189" s="549">
        <f>VLOOKUP($H189,'CO2_emission+%_food_waste'!$A:$K,4,FALSE)*$Q189</f>
        <v>0</v>
      </c>
      <c r="W189" s="583">
        <f>VLOOKUP($H189,Nutrition_tables!$A:$N,10,FALSE)*$Q189/100</f>
        <v>0</v>
      </c>
      <c r="X189" s="583">
        <f>VLOOKUP($H189,Nutrition_tables!$A:$N,11,FALSE)*$Q189/100</f>
        <v>0</v>
      </c>
      <c r="Y189" s="583">
        <f>VLOOKUP($H189,Nutrition_tables!$A:$N,12,FALSE)*$Q189/100</f>
        <v>0</v>
      </c>
      <c r="Z189" s="583">
        <f>VLOOKUP($H189,Nutrition_tables!$A:$N,14,FALSE)*$Q189/100</f>
        <v>0</v>
      </c>
      <c r="AA189" s="583">
        <f>VLOOKUP($H189,Nutrition_tables!$A:$AF,13,FALSE)*$Q189/100</f>
        <v>0</v>
      </c>
      <c r="AB189" s="549">
        <f>VLOOKUP($H189,Nutrition_tables!$A:$AF,15,FALSE)*$Q189/100</f>
        <v>0</v>
      </c>
      <c r="AC189" s="583">
        <f>VLOOKUP($H189,Nutrition_tables!$A:$AF,16,FALSE)*$Q189/100</f>
        <v>0</v>
      </c>
      <c r="AD189" s="583">
        <f>VLOOKUP($H189,Nutrition_tables!$A:$AF,17,FALSE)*$Q189/100</f>
        <v>0</v>
      </c>
      <c r="AE189" s="583">
        <f>VLOOKUP($H189,Nutrition_tables!$A:$AF,18,FALSE)*$Q189/100</f>
        <v>0</v>
      </c>
      <c r="AF189" s="583">
        <f>VLOOKUP($H189,Nutrition_tables!$A:$AF,19,FALSE)*$Q189/100</f>
        <v>0</v>
      </c>
      <c r="AG189" s="583">
        <f>VLOOKUP($H189,Nutrition_tables!$A:$AF,20,FALSE)*$Q189/100</f>
        <v>0</v>
      </c>
      <c r="AH189" s="583">
        <f>VLOOKUP($H189,Nutrition_tables!$A:$AF,21,FALSE)*$Q189/100</f>
        <v>0</v>
      </c>
      <c r="AI189" s="583">
        <f>VLOOKUP($H189,Nutrition_tables!$A:$AF,22,FALSE)*$Q189/100</f>
        <v>0</v>
      </c>
      <c r="AJ189" s="549">
        <f>VLOOKUP($H189,Nutrition_tables!$A:$AF,23,FALSE)*$Q189/100</f>
        <v>0</v>
      </c>
      <c r="AK189" s="583">
        <f>VLOOKUP($H189,Nutrition_tables!$A:$AF,24,FALSE)*$Q189/100</f>
        <v>0</v>
      </c>
      <c r="AL189" s="583">
        <f>VLOOKUP($H189,Nutrition_tables!$A:$AF,25,FALSE)*$Q189/100</f>
        <v>0</v>
      </c>
      <c r="AM189" s="583">
        <f>VLOOKUP($H189,Nutrition_tables!$A:$AF,26,FALSE)*$Q189/100</f>
        <v>0</v>
      </c>
      <c r="AN189" s="583">
        <f>VLOOKUP($H189,Nutrition_tables!$A:$AF,27,FALSE)*$Q189/100</f>
        <v>0</v>
      </c>
      <c r="AO189" s="583">
        <f>VLOOKUP($H189,Nutrition_tables!$A:$AF,28,FALSE)*$Q189/100</f>
        <v>0</v>
      </c>
      <c r="AP189" s="583">
        <f>VLOOKUP($H189,Nutrition_tables!$A:$AF,29,FALSE)*$Q189/100</f>
        <v>0</v>
      </c>
      <c r="AQ189" s="583">
        <f>VLOOKUP($H189,Nutrition_tables!$A:$AF,30,FALSE)*$Q189/100</f>
        <v>0</v>
      </c>
      <c r="AR189" s="583">
        <f>VLOOKUP($H189,Nutrition_tables!$A:$AF,31,FALSE)*$Q189/100</f>
        <v>0</v>
      </c>
      <c r="AS189" s="549">
        <f>VLOOKUP($H189,Nutrition_tables!$A:$AF,32,FALSE)*$Q189/100</f>
        <v>0</v>
      </c>
      <c r="AT189" s="583" t="str">
        <f>IF(H189="Select ingredient:","",IF(G189="Select food category:","",IFERROR(VLOOKUP($H189,Ingredient_prices!$E:$W,17,FALSE)*$Q189/1000,"not bought")))</f>
        <v/>
      </c>
      <c r="AU189" s="583" t="str">
        <f>IF(H189="Select ingredient:","",IF(G189="Select food category:","",IFERROR(VLOOKUP($H189,Ingredient_prices!$E:$W,18,FALSE)*$Q189/1000,"not bought")))</f>
        <v/>
      </c>
      <c r="AV189" s="583">
        <f t="shared" si="442"/>
        <v>0</v>
      </c>
      <c r="AW189" s="583">
        <f t="shared" si="443"/>
        <v>0</v>
      </c>
      <c r="AX189" s="583">
        <f t="shared" si="444"/>
        <v>0</v>
      </c>
      <c r="AY189" s="583">
        <f t="shared" si="445"/>
        <v>0</v>
      </c>
      <c r="AZ189" s="583">
        <f t="shared" si="446"/>
        <v>0</v>
      </c>
      <c r="BA189" s="583">
        <f t="shared" si="447"/>
        <v>0</v>
      </c>
      <c r="BB189" s="583">
        <f t="shared" si="448"/>
        <v>0</v>
      </c>
      <c r="BC189" s="583">
        <f t="shared" si="449"/>
        <v>0</v>
      </c>
      <c r="BD189" s="583">
        <f t="shared" si="450"/>
        <v>0</v>
      </c>
      <c r="BE189" s="583">
        <f t="shared" si="451"/>
        <v>0</v>
      </c>
      <c r="BF189" s="583">
        <f t="shared" si="452"/>
        <v>0</v>
      </c>
      <c r="BG189" s="583">
        <f t="shared" si="453"/>
        <v>0</v>
      </c>
      <c r="BH189" s="583">
        <f t="shared" si="454"/>
        <v>0</v>
      </c>
      <c r="BI189" s="583">
        <f t="shared" si="455"/>
        <v>0</v>
      </c>
      <c r="BJ189" s="583">
        <f t="shared" si="456"/>
        <v>0</v>
      </c>
      <c r="BK189" s="583">
        <f t="shared" si="457"/>
        <v>0</v>
      </c>
      <c r="BL189" s="583">
        <f t="shared" si="458"/>
        <v>0</v>
      </c>
      <c r="BM189" s="583">
        <f t="shared" si="459"/>
        <v>0</v>
      </c>
      <c r="BN189" s="583">
        <f t="shared" si="460"/>
        <v>0</v>
      </c>
      <c r="BO189" s="583">
        <f t="shared" si="461"/>
        <v>0</v>
      </c>
      <c r="BP189" s="583">
        <f t="shared" si="462"/>
        <v>0</v>
      </c>
      <c r="BQ189" s="583">
        <f t="shared" si="463"/>
        <v>0</v>
      </c>
      <c r="BR189" s="583">
        <f t="shared" si="464"/>
        <v>0</v>
      </c>
    </row>
    <row r="190" spans="1:70" s="229" customFormat="1" ht="15" customHeight="1">
      <c r="A190" s="574"/>
      <c r="D190" s="85"/>
      <c r="E190" s="576" t="str">
        <f t="shared" ref="E190:E199" si="465">IF(E$188&gt;0,E$188,"")</f>
        <v/>
      </c>
      <c r="F190" s="707"/>
      <c r="G190" s="406" t="s">
        <v>3054</v>
      </c>
      <c r="H190" s="1262" t="s">
        <v>3055</v>
      </c>
      <c r="I190" s="85">
        <v>0</v>
      </c>
      <c r="J190" s="682">
        <v>1</v>
      </c>
      <c r="K190" s="579" t="str">
        <f t="shared" si="439"/>
        <v/>
      </c>
      <c r="L190" s="580" t="str">
        <f>IF(H190="Select ingredient:","",IF(G190="","",_xlfn.IFNA(VLOOKUP($H190,Ingredient_prices!$E:$U,16,FALSE),0)))</f>
        <v/>
      </c>
      <c r="M190" s="840"/>
      <c r="N190" s="840"/>
      <c r="O190" s="581"/>
      <c r="P190" s="586"/>
      <c r="Q190" s="583">
        <f t="shared" si="440"/>
        <v>0</v>
      </c>
      <c r="R190" s="583">
        <f>VLOOKUP($H190,'CO2_emission+%_food_waste'!$A:$K,6,FALSE)*$Q190/100</f>
        <v>0</v>
      </c>
      <c r="S190" s="583">
        <f t="shared" si="441"/>
        <v>0</v>
      </c>
      <c r="T190" s="583" t="str">
        <f>IF(H190="Select ingredient:","",IF(G190="Select food category:","",_xlfn.IFNA(VLOOKUP($H190,Ingredient_prices!$E:$U,16,FALSE)*$Q190/1000,"not bought")))</f>
        <v/>
      </c>
      <c r="U190" s="583" t="str">
        <f>IF(G190="Select food category:","",_xlfn.IFNA(VLOOKUP($H190,Ingredient_prices!$E:$U,16,FALSE)*$R190/1000,"not bought"))</f>
        <v/>
      </c>
      <c r="V190" s="549">
        <f>VLOOKUP($H190,'CO2_emission+%_food_waste'!$A:$K,4,FALSE)*$Q190</f>
        <v>0</v>
      </c>
      <c r="W190" s="583">
        <f>VLOOKUP($H190,Nutrition_tables!$A:$N,10,FALSE)*$Q190/100</f>
        <v>0</v>
      </c>
      <c r="X190" s="583">
        <f>VLOOKUP($H190,Nutrition_tables!$A:$N,11,FALSE)*$Q190/100</f>
        <v>0</v>
      </c>
      <c r="Y190" s="583">
        <f>VLOOKUP($H190,Nutrition_tables!$A:$N,12,FALSE)*$Q190/100</f>
        <v>0</v>
      </c>
      <c r="Z190" s="583">
        <f>VLOOKUP($H190,Nutrition_tables!$A:$N,14,FALSE)*$Q190/100</f>
        <v>0</v>
      </c>
      <c r="AA190" s="583">
        <f>VLOOKUP($H190,Nutrition_tables!$A:$AF,13,FALSE)*$Q190/100</f>
        <v>0</v>
      </c>
      <c r="AB190" s="549">
        <f>VLOOKUP($H190,Nutrition_tables!$A:$AF,15,FALSE)*$Q190/100</f>
        <v>0</v>
      </c>
      <c r="AC190" s="583">
        <f>VLOOKUP($H190,Nutrition_tables!$A:$AF,16,FALSE)*$Q190/100</f>
        <v>0</v>
      </c>
      <c r="AD190" s="583">
        <f>VLOOKUP($H190,Nutrition_tables!$A:$AF,17,FALSE)*$Q190/100</f>
        <v>0</v>
      </c>
      <c r="AE190" s="583">
        <f>VLOOKUP($H190,Nutrition_tables!$A:$AF,18,FALSE)*$Q190/100</f>
        <v>0</v>
      </c>
      <c r="AF190" s="583">
        <f>VLOOKUP($H190,Nutrition_tables!$A:$AF,19,FALSE)*$Q190/100</f>
        <v>0</v>
      </c>
      <c r="AG190" s="583">
        <f>VLOOKUP($H190,Nutrition_tables!$A:$AF,20,FALSE)*$Q190/100</f>
        <v>0</v>
      </c>
      <c r="AH190" s="583">
        <f>VLOOKUP($H190,Nutrition_tables!$A:$AF,21,FALSE)*$Q190/100</f>
        <v>0</v>
      </c>
      <c r="AI190" s="583">
        <f>VLOOKUP($H190,Nutrition_tables!$A:$AF,22,FALSE)*$Q190/100</f>
        <v>0</v>
      </c>
      <c r="AJ190" s="549">
        <f>VLOOKUP($H190,Nutrition_tables!$A:$AF,23,FALSE)*$Q190/100</f>
        <v>0</v>
      </c>
      <c r="AK190" s="583">
        <f>VLOOKUP($H190,Nutrition_tables!$A:$AF,24,FALSE)*$Q190/100</f>
        <v>0</v>
      </c>
      <c r="AL190" s="583">
        <f>VLOOKUP($H190,Nutrition_tables!$A:$AF,25,FALSE)*$Q190/100</f>
        <v>0</v>
      </c>
      <c r="AM190" s="583">
        <f>VLOOKUP($H190,Nutrition_tables!$A:$AF,26,FALSE)*$Q190/100</f>
        <v>0</v>
      </c>
      <c r="AN190" s="583">
        <f>VLOOKUP($H190,Nutrition_tables!$A:$AF,27,FALSE)*$Q190/100</f>
        <v>0</v>
      </c>
      <c r="AO190" s="583">
        <f>VLOOKUP($H190,Nutrition_tables!$A:$AF,28,FALSE)*$Q190/100</f>
        <v>0</v>
      </c>
      <c r="AP190" s="583">
        <f>VLOOKUP($H190,Nutrition_tables!$A:$AF,29,FALSE)*$Q190/100</f>
        <v>0</v>
      </c>
      <c r="AQ190" s="583">
        <f>VLOOKUP($H190,Nutrition_tables!$A:$AF,30,FALSE)*$Q190/100</f>
        <v>0</v>
      </c>
      <c r="AR190" s="583">
        <f>VLOOKUP($H190,Nutrition_tables!$A:$AF,31,FALSE)*$Q190/100</f>
        <v>0</v>
      </c>
      <c r="AS190" s="549">
        <f>VLOOKUP($H190,Nutrition_tables!$A:$AF,32,FALSE)*$Q190/100</f>
        <v>0</v>
      </c>
      <c r="AT190" s="583" t="str">
        <f>IF(H190="Select ingredient:","",IF(G190="Select food category:","",IFERROR(VLOOKUP($H190,Ingredient_prices!$E:$W,17,FALSE)*$Q190/1000,"not bought")))</f>
        <v/>
      </c>
      <c r="AU190" s="583" t="str">
        <f>IF(H190="Select ingredient:","",IF(G190="Select food category:","",IFERROR(VLOOKUP($H190,Ingredient_prices!$E:$W,18,FALSE)*$Q190/1000,"not bought")))</f>
        <v/>
      </c>
      <c r="AV190" s="583">
        <f t="shared" si="442"/>
        <v>0</v>
      </c>
      <c r="AW190" s="583">
        <f t="shared" si="443"/>
        <v>0</v>
      </c>
      <c r="AX190" s="583">
        <f t="shared" si="444"/>
        <v>0</v>
      </c>
      <c r="AY190" s="583">
        <f t="shared" si="445"/>
        <v>0</v>
      </c>
      <c r="AZ190" s="583">
        <f t="shared" si="446"/>
        <v>0</v>
      </c>
      <c r="BA190" s="583">
        <f t="shared" si="447"/>
        <v>0</v>
      </c>
      <c r="BB190" s="583">
        <f t="shared" si="448"/>
        <v>0</v>
      </c>
      <c r="BC190" s="583">
        <f t="shared" si="449"/>
        <v>0</v>
      </c>
      <c r="BD190" s="583">
        <f t="shared" si="450"/>
        <v>0</v>
      </c>
      <c r="BE190" s="583">
        <f t="shared" si="451"/>
        <v>0</v>
      </c>
      <c r="BF190" s="583">
        <f t="shared" si="452"/>
        <v>0</v>
      </c>
      <c r="BG190" s="583">
        <f t="shared" si="453"/>
        <v>0</v>
      </c>
      <c r="BH190" s="583">
        <f t="shared" si="454"/>
        <v>0</v>
      </c>
      <c r="BI190" s="583">
        <f t="shared" si="455"/>
        <v>0</v>
      </c>
      <c r="BJ190" s="583">
        <f t="shared" si="456"/>
        <v>0</v>
      </c>
      <c r="BK190" s="583">
        <f t="shared" si="457"/>
        <v>0</v>
      </c>
      <c r="BL190" s="583">
        <f t="shared" si="458"/>
        <v>0</v>
      </c>
      <c r="BM190" s="583">
        <f t="shared" si="459"/>
        <v>0</v>
      </c>
      <c r="BN190" s="583">
        <f t="shared" si="460"/>
        <v>0</v>
      </c>
      <c r="BO190" s="583">
        <f t="shared" si="461"/>
        <v>0</v>
      </c>
      <c r="BP190" s="583">
        <f t="shared" si="462"/>
        <v>0</v>
      </c>
      <c r="BQ190" s="583">
        <f t="shared" si="463"/>
        <v>0</v>
      </c>
      <c r="BR190" s="583">
        <f t="shared" si="464"/>
        <v>0</v>
      </c>
    </row>
    <row r="191" spans="1:70" s="229" customFormat="1" ht="15" customHeight="1">
      <c r="A191" s="574"/>
      <c r="D191" s="85"/>
      <c r="E191" s="576" t="str">
        <f t="shared" si="465"/>
        <v/>
      </c>
      <c r="F191" s="707"/>
      <c r="G191" s="406" t="s">
        <v>3054</v>
      </c>
      <c r="H191" s="1262" t="s">
        <v>3055</v>
      </c>
      <c r="I191" s="85">
        <v>0</v>
      </c>
      <c r="J191" s="682">
        <v>1</v>
      </c>
      <c r="K191" s="579" t="str">
        <f t="shared" si="439"/>
        <v/>
      </c>
      <c r="L191" s="580" t="str">
        <f>IF(H191="Select ingredient:","",IF(G191="","",_xlfn.IFNA(VLOOKUP($H191,Ingredient_prices!$E:$U,16,FALSE),0)))</f>
        <v/>
      </c>
      <c r="M191" s="840"/>
      <c r="N191" s="840"/>
      <c r="O191" s="581"/>
      <c r="P191" s="586"/>
      <c r="Q191" s="583">
        <f t="shared" si="440"/>
        <v>0</v>
      </c>
      <c r="R191" s="583">
        <f>VLOOKUP($H191,'CO2_emission+%_food_waste'!$A:$K,6,FALSE)*$Q191/100</f>
        <v>0</v>
      </c>
      <c r="S191" s="583">
        <f t="shared" si="441"/>
        <v>0</v>
      </c>
      <c r="T191" s="583" t="str">
        <f>IF(H191="Select ingredient:","",IF(G191="Select food category:","",_xlfn.IFNA(VLOOKUP($H191,Ingredient_prices!$E:$U,16,FALSE)*$Q191/1000,"not bought")))</f>
        <v/>
      </c>
      <c r="U191" s="583" t="str">
        <f>IF(G191="Select food category:","",_xlfn.IFNA(VLOOKUP($H191,Ingredient_prices!$E:$U,16,FALSE)*$R191/1000,"not bought"))</f>
        <v/>
      </c>
      <c r="V191" s="549">
        <f>VLOOKUP($H191,'CO2_emission+%_food_waste'!$A:$K,4,FALSE)*$Q191</f>
        <v>0</v>
      </c>
      <c r="W191" s="583">
        <f>VLOOKUP($H191,Nutrition_tables!$A:$N,10,FALSE)*$Q191/100</f>
        <v>0</v>
      </c>
      <c r="X191" s="583">
        <f>VLOOKUP($H191,Nutrition_tables!$A:$N,11,FALSE)*$Q191/100</f>
        <v>0</v>
      </c>
      <c r="Y191" s="583">
        <f>VLOOKUP($H191,Nutrition_tables!$A:$N,12,FALSE)*$Q191/100</f>
        <v>0</v>
      </c>
      <c r="Z191" s="583">
        <f>VLOOKUP($H191,Nutrition_tables!$A:$N,14,FALSE)*$Q191/100</f>
        <v>0</v>
      </c>
      <c r="AA191" s="583">
        <f>VLOOKUP($H191,Nutrition_tables!$A:$AF,13,FALSE)*$Q191/100</f>
        <v>0</v>
      </c>
      <c r="AB191" s="549">
        <f>VLOOKUP($H191,Nutrition_tables!$A:$AF,15,FALSE)*$Q191/100</f>
        <v>0</v>
      </c>
      <c r="AC191" s="583">
        <f>VLOOKUP($H191,Nutrition_tables!$A:$AF,16,FALSE)*$Q191/100</f>
        <v>0</v>
      </c>
      <c r="AD191" s="583">
        <f>VLOOKUP($H191,Nutrition_tables!$A:$AF,17,FALSE)*$Q191/100</f>
        <v>0</v>
      </c>
      <c r="AE191" s="583">
        <f>VLOOKUP($H191,Nutrition_tables!$A:$AF,18,FALSE)*$Q191/100</f>
        <v>0</v>
      </c>
      <c r="AF191" s="583">
        <f>VLOOKUP($H191,Nutrition_tables!$A:$AF,19,FALSE)*$Q191/100</f>
        <v>0</v>
      </c>
      <c r="AG191" s="583">
        <f>VLOOKUP($H191,Nutrition_tables!$A:$AF,20,FALSE)*$Q191/100</f>
        <v>0</v>
      </c>
      <c r="AH191" s="583">
        <f>VLOOKUP($H191,Nutrition_tables!$A:$AF,21,FALSE)*$Q191/100</f>
        <v>0</v>
      </c>
      <c r="AI191" s="583">
        <f>VLOOKUP($H191,Nutrition_tables!$A:$AF,22,FALSE)*$Q191/100</f>
        <v>0</v>
      </c>
      <c r="AJ191" s="549">
        <f>VLOOKUP($H191,Nutrition_tables!$A:$AF,23,FALSE)*$Q191/100</f>
        <v>0</v>
      </c>
      <c r="AK191" s="583">
        <f>VLOOKUP($H191,Nutrition_tables!$A:$AF,24,FALSE)*$Q191/100</f>
        <v>0</v>
      </c>
      <c r="AL191" s="583">
        <f>VLOOKUP($H191,Nutrition_tables!$A:$AF,25,FALSE)*$Q191/100</f>
        <v>0</v>
      </c>
      <c r="AM191" s="583">
        <f>VLOOKUP($H191,Nutrition_tables!$A:$AF,26,FALSE)*$Q191/100</f>
        <v>0</v>
      </c>
      <c r="AN191" s="583">
        <f>VLOOKUP($H191,Nutrition_tables!$A:$AF,27,FALSE)*$Q191/100</f>
        <v>0</v>
      </c>
      <c r="AO191" s="583">
        <f>VLOOKUP($H191,Nutrition_tables!$A:$AF,28,FALSE)*$Q191/100</f>
        <v>0</v>
      </c>
      <c r="AP191" s="583">
        <f>VLOOKUP($H191,Nutrition_tables!$A:$AF,29,FALSE)*$Q191/100</f>
        <v>0</v>
      </c>
      <c r="AQ191" s="583">
        <f>VLOOKUP($H191,Nutrition_tables!$A:$AF,30,FALSE)*$Q191/100</f>
        <v>0</v>
      </c>
      <c r="AR191" s="583">
        <f>VLOOKUP($H191,Nutrition_tables!$A:$AF,31,FALSE)*$Q191/100</f>
        <v>0</v>
      </c>
      <c r="AS191" s="549">
        <f>VLOOKUP($H191,Nutrition_tables!$A:$AF,32,FALSE)*$Q191/100</f>
        <v>0</v>
      </c>
      <c r="AT191" s="583" t="str">
        <f>IF(H191="Select ingredient:","",IF(G191="Select food category:","",IFERROR(VLOOKUP($H191,Ingredient_prices!$E:$W,17,FALSE)*$Q191/1000,"not bought")))</f>
        <v/>
      </c>
      <c r="AU191" s="583" t="str">
        <f>IF(H191="Select ingredient:","",IF(G191="Select food category:","",IFERROR(VLOOKUP($H191,Ingredient_prices!$E:$W,18,FALSE)*$Q191/1000,"not bought")))</f>
        <v/>
      </c>
      <c r="AV191" s="583">
        <f t="shared" si="442"/>
        <v>0</v>
      </c>
      <c r="AW191" s="583">
        <f t="shared" si="443"/>
        <v>0</v>
      </c>
      <c r="AX191" s="583">
        <f t="shared" si="444"/>
        <v>0</v>
      </c>
      <c r="AY191" s="583">
        <f t="shared" si="445"/>
        <v>0</v>
      </c>
      <c r="AZ191" s="583">
        <f t="shared" si="446"/>
        <v>0</v>
      </c>
      <c r="BA191" s="583">
        <f t="shared" si="447"/>
        <v>0</v>
      </c>
      <c r="BB191" s="583">
        <f t="shared" si="448"/>
        <v>0</v>
      </c>
      <c r="BC191" s="583">
        <f t="shared" si="449"/>
        <v>0</v>
      </c>
      <c r="BD191" s="583">
        <f t="shared" si="450"/>
        <v>0</v>
      </c>
      <c r="BE191" s="583">
        <f t="shared" si="451"/>
        <v>0</v>
      </c>
      <c r="BF191" s="583">
        <f t="shared" si="452"/>
        <v>0</v>
      </c>
      <c r="BG191" s="583">
        <f t="shared" si="453"/>
        <v>0</v>
      </c>
      <c r="BH191" s="583">
        <f t="shared" si="454"/>
        <v>0</v>
      </c>
      <c r="BI191" s="583">
        <f t="shared" si="455"/>
        <v>0</v>
      </c>
      <c r="BJ191" s="583">
        <f t="shared" si="456"/>
        <v>0</v>
      </c>
      <c r="BK191" s="583">
        <f t="shared" si="457"/>
        <v>0</v>
      </c>
      <c r="BL191" s="583">
        <f t="shared" si="458"/>
        <v>0</v>
      </c>
      <c r="BM191" s="583">
        <f t="shared" si="459"/>
        <v>0</v>
      </c>
      <c r="BN191" s="583">
        <f t="shared" si="460"/>
        <v>0</v>
      </c>
      <c r="BO191" s="583">
        <f t="shared" si="461"/>
        <v>0</v>
      </c>
      <c r="BP191" s="583">
        <f t="shared" si="462"/>
        <v>0</v>
      </c>
      <c r="BQ191" s="583">
        <f t="shared" si="463"/>
        <v>0</v>
      </c>
      <c r="BR191" s="583">
        <f t="shared" si="464"/>
        <v>0</v>
      </c>
    </row>
    <row r="192" spans="1:70" s="229" customFormat="1" ht="15" customHeight="1">
      <c r="A192" s="574"/>
      <c r="D192" s="85"/>
      <c r="E192" s="576" t="str">
        <f t="shared" si="465"/>
        <v/>
      </c>
      <c r="F192" s="707"/>
      <c r="G192" s="406" t="s">
        <v>3054</v>
      </c>
      <c r="H192" s="1262" t="s">
        <v>3055</v>
      </c>
      <c r="I192" s="85">
        <v>0</v>
      </c>
      <c r="J192" s="682">
        <v>1</v>
      </c>
      <c r="K192" s="579" t="str">
        <f t="shared" si="439"/>
        <v/>
      </c>
      <c r="L192" s="580" t="str">
        <f>IF(H192="Select ingredient:","",IF(G192="","",_xlfn.IFNA(VLOOKUP($H192,Ingredient_prices!$E:$U,16,FALSE),0)))</f>
        <v/>
      </c>
      <c r="M192" s="840"/>
      <c r="N192" s="840"/>
      <c r="O192" s="581"/>
      <c r="P192" s="586"/>
      <c r="Q192" s="583">
        <f t="shared" si="440"/>
        <v>0</v>
      </c>
      <c r="R192" s="583">
        <f>VLOOKUP($H192,'CO2_emission+%_food_waste'!$A:$K,6,FALSE)*$Q192/100</f>
        <v>0</v>
      </c>
      <c r="S192" s="583">
        <f t="shared" si="441"/>
        <v>0</v>
      </c>
      <c r="T192" s="583" t="str">
        <f>IF(H192="Select ingredient:","",IF(G192="Select food category:","",_xlfn.IFNA(VLOOKUP($H192,Ingredient_prices!$E:$U,16,FALSE)*$Q192/1000,"not bought")))</f>
        <v/>
      </c>
      <c r="U192" s="583" t="str">
        <f>IF(G192="Select food category:","",_xlfn.IFNA(VLOOKUP($H192,Ingredient_prices!$E:$U,16,FALSE)*$R192/1000,"not bought"))</f>
        <v/>
      </c>
      <c r="V192" s="549">
        <f>VLOOKUP($H192,'CO2_emission+%_food_waste'!$A:$K,4,FALSE)*$Q192</f>
        <v>0</v>
      </c>
      <c r="W192" s="583">
        <f>VLOOKUP($H192,Nutrition_tables!$A:$N,10,FALSE)*$Q192/100</f>
        <v>0</v>
      </c>
      <c r="X192" s="583">
        <f>VLOOKUP($H192,Nutrition_tables!$A:$N,11,FALSE)*$Q192/100</f>
        <v>0</v>
      </c>
      <c r="Y192" s="583">
        <f>VLOOKUP($H192,Nutrition_tables!$A:$N,12,FALSE)*$Q192/100</f>
        <v>0</v>
      </c>
      <c r="Z192" s="583">
        <f>VLOOKUP($H192,Nutrition_tables!$A:$N,14,FALSE)*$Q192/100</f>
        <v>0</v>
      </c>
      <c r="AA192" s="583">
        <f>VLOOKUP($H192,Nutrition_tables!$A:$AF,13,FALSE)*$Q192/100</f>
        <v>0</v>
      </c>
      <c r="AB192" s="549">
        <f>VLOOKUP($H192,Nutrition_tables!$A:$AF,15,FALSE)*$Q192/100</f>
        <v>0</v>
      </c>
      <c r="AC192" s="583">
        <f>VLOOKUP($H192,Nutrition_tables!$A:$AF,16,FALSE)*$Q192/100</f>
        <v>0</v>
      </c>
      <c r="AD192" s="583">
        <f>VLOOKUP($H192,Nutrition_tables!$A:$AF,17,FALSE)*$Q192/100</f>
        <v>0</v>
      </c>
      <c r="AE192" s="583">
        <f>VLOOKUP($H192,Nutrition_tables!$A:$AF,18,FALSE)*$Q192/100</f>
        <v>0</v>
      </c>
      <c r="AF192" s="583">
        <f>VLOOKUP($H192,Nutrition_tables!$A:$AF,19,FALSE)*$Q192/100</f>
        <v>0</v>
      </c>
      <c r="AG192" s="583">
        <f>VLOOKUP($H192,Nutrition_tables!$A:$AF,20,FALSE)*$Q192/100</f>
        <v>0</v>
      </c>
      <c r="AH192" s="583">
        <f>VLOOKUP($H192,Nutrition_tables!$A:$AF,21,FALSE)*$Q192/100</f>
        <v>0</v>
      </c>
      <c r="AI192" s="583">
        <f>VLOOKUP($H192,Nutrition_tables!$A:$AF,22,FALSE)*$Q192/100</f>
        <v>0</v>
      </c>
      <c r="AJ192" s="549">
        <f>VLOOKUP($H192,Nutrition_tables!$A:$AF,23,FALSE)*$Q192/100</f>
        <v>0</v>
      </c>
      <c r="AK192" s="583">
        <f>VLOOKUP($H192,Nutrition_tables!$A:$AF,24,FALSE)*$Q192/100</f>
        <v>0</v>
      </c>
      <c r="AL192" s="583">
        <f>VLOOKUP($H192,Nutrition_tables!$A:$AF,25,FALSE)*$Q192/100</f>
        <v>0</v>
      </c>
      <c r="AM192" s="583">
        <f>VLOOKUP($H192,Nutrition_tables!$A:$AF,26,FALSE)*$Q192/100</f>
        <v>0</v>
      </c>
      <c r="AN192" s="583">
        <f>VLOOKUP($H192,Nutrition_tables!$A:$AF,27,FALSE)*$Q192/100</f>
        <v>0</v>
      </c>
      <c r="AO192" s="583">
        <f>VLOOKUP($H192,Nutrition_tables!$A:$AF,28,FALSE)*$Q192/100</f>
        <v>0</v>
      </c>
      <c r="AP192" s="583">
        <f>VLOOKUP($H192,Nutrition_tables!$A:$AF,29,FALSE)*$Q192/100</f>
        <v>0</v>
      </c>
      <c r="AQ192" s="583">
        <f>VLOOKUP($H192,Nutrition_tables!$A:$AF,30,FALSE)*$Q192/100</f>
        <v>0</v>
      </c>
      <c r="AR192" s="583">
        <f>VLOOKUP($H192,Nutrition_tables!$A:$AF,31,FALSE)*$Q192/100</f>
        <v>0</v>
      </c>
      <c r="AS192" s="549">
        <f>VLOOKUP($H192,Nutrition_tables!$A:$AF,32,FALSE)*$Q192/100</f>
        <v>0</v>
      </c>
      <c r="AT192" s="583" t="str">
        <f>IF(H192="Select ingredient:","",IF(G192="Select food category:","",IFERROR(VLOOKUP($H192,Ingredient_prices!$E:$W,17,FALSE)*$Q192/1000,"not bought")))</f>
        <v/>
      </c>
      <c r="AU192" s="583" t="str">
        <f>IF(H192="Select ingredient:","",IF(G192="Select food category:","",IFERROR(VLOOKUP($H192,Ingredient_prices!$E:$W,18,FALSE)*$Q192/1000,"not bought")))</f>
        <v/>
      </c>
      <c r="AV192" s="583">
        <f t="shared" si="442"/>
        <v>0</v>
      </c>
      <c r="AW192" s="583">
        <f t="shared" si="443"/>
        <v>0</v>
      </c>
      <c r="AX192" s="583">
        <f t="shared" si="444"/>
        <v>0</v>
      </c>
      <c r="AY192" s="583">
        <f t="shared" si="445"/>
        <v>0</v>
      </c>
      <c r="AZ192" s="583">
        <f t="shared" si="446"/>
        <v>0</v>
      </c>
      <c r="BA192" s="583">
        <f t="shared" si="447"/>
        <v>0</v>
      </c>
      <c r="BB192" s="583">
        <f t="shared" si="448"/>
        <v>0</v>
      </c>
      <c r="BC192" s="583">
        <f t="shared" si="449"/>
        <v>0</v>
      </c>
      <c r="BD192" s="583">
        <f t="shared" si="450"/>
        <v>0</v>
      </c>
      <c r="BE192" s="583">
        <f t="shared" si="451"/>
        <v>0</v>
      </c>
      <c r="BF192" s="583">
        <f t="shared" si="452"/>
        <v>0</v>
      </c>
      <c r="BG192" s="583">
        <f t="shared" si="453"/>
        <v>0</v>
      </c>
      <c r="BH192" s="583">
        <f t="shared" si="454"/>
        <v>0</v>
      </c>
      <c r="BI192" s="583">
        <f t="shared" si="455"/>
        <v>0</v>
      </c>
      <c r="BJ192" s="583">
        <f t="shared" si="456"/>
        <v>0</v>
      </c>
      <c r="BK192" s="583">
        <f t="shared" si="457"/>
        <v>0</v>
      </c>
      <c r="BL192" s="583">
        <f t="shared" si="458"/>
        <v>0</v>
      </c>
      <c r="BM192" s="583">
        <f t="shared" si="459"/>
        <v>0</v>
      </c>
      <c r="BN192" s="583">
        <f t="shared" si="460"/>
        <v>0</v>
      </c>
      <c r="BO192" s="583">
        <f t="shared" si="461"/>
        <v>0</v>
      </c>
      <c r="BP192" s="583">
        <f t="shared" si="462"/>
        <v>0</v>
      </c>
      <c r="BQ192" s="583">
        <f t="shared" si="463"/>
        <v>0</v>
      </c>
      <c r="BR192" s="583">
        <f t="shared" si="464"/>
        <v>0</v>
      </c>
    </row>
    <row r="193" spans="1:70" s="229" customFormat="1" ht="15" customHeight="1">
      <c r="A193" s="574"/>
      <c r="D193" s="85"/>
      <c r="E193" s="576" t="str">
        <f t="shared" si="465"/>
        <v/>
      </c>
      <c r="F193" s="707"/>
      <c r="G193" s="406" t="s">
        <v>3054</v>
      </c>
      <c r="H193" s="1262" t="s">
        <v>3055</v>
      </c>
      <c r="I193" s="85">
        <v>0</v>
      </c>
      <c r="J193" s="682">
        <v>1</v>
      </c>
      <c r="K193" s="579" t="str">
        <f t="shared" si="439"/>
        <v/>
      </c>
      <c r="L193" s="580" t="str">
        <f>IF(H193="Select ingredient:","",IF(G193="","",_xlfn.IFNA(VLOOKUP($H193,Ingredient_prices!$E:$U,16,FALSE),0)))</f>
        <v/>
      </c>
      <c r="M193" s="840"/>
      <c r="N193" s="840"/>
      <c r="O193" s="581"/>
      <c r="P193" s="586"/>
      <c r="Q193" s="583">
        <f t="shared" si="440"/>
        <v>0</v>
      </c>
      <c r="R193" s="583">
        <f>VLOOKUP($H193,'CO2_emission+%_food_waste'!$A:$K,6,FALSE)*$Q193/100</f>
        <v>0</v>
      </c>
      <c r="S193" s="583">
        <f t="shared" si="441"/>
        <v>0</v>
      </c>
      <c r="T193" s="583" t="str">
        <f>IF(H193="Select ingredient:","",IF(G193="Select food category:","",_xlfn.IFNA(VLOOKUP($H193,Ingredient_prices!$E:$U,16,FALSE)*$Q193/1000,"not bought")))</f>
        <v/>
      </c>
      <c r="U193" s="583" t="str">
        <f>IF(G193="Select food category:","",_xlfn.IFNA(VLOOKUP($H193,Ingredient_prices!$E:$U,16,FALSE)*$R193/1000,"not bought"))</f>
        <v/>
      </c>
      <c r="V193" s="549">
        <f>VLOOKUP($H193,'CO2_emission+%_food_waste'!$A:$K,4,FALSE)*$Q193</f>
        <v>0</v>
      </c>
      <c r="W193" s="583">
        <f>VLOOKUP($H193,Nutrition_tables!$A:$N,10,FALSE)*$Q193/100</f>
        <v>0</v>
      </c>
      <c r="X193" s="583">
        <f>VLOOKUP($H193,Nutrition_tables!$A:$N,11,FALSE)*$Q193/100</f>
        <v>0</v>
      </c>
      <c r="Y193" s="583">
        <f>VLOOKUP($H193,Nutrition_tables!$A:$N,12,FALSE)*$Q193/100</f>
        <v>0</v>
      </c>
      <c r="Z193" s="583">
        <f>VLOOKUP($H193,Nutrition_tables!$A:$N,14,FALSE)*$Q193/100</f>
        <v>0</v>
      </c>
      <c r="AA193" s="583">
        <f>VLOOKUP($H193,Nutrition_tables!$A:$AF,13,FALSE)*$Q193/100</f>
        <v>0</v>
      </c>
      <c r="AB193" s="549">
        <f>VLOOKUP($H193,Nutrition_tables!$A:$AF,15,FALSE)*$Q193/100</f>
        <v>0</v>
      </c>
      <c r="AC193" s="583">
        <f>VLOOKUP($H193,Nutrition_tables!$A:$AF,16,FALSE)*$Q193/100</f>
        <v>0</v>
      </c>
      <c r="AD193" s="583">
        <f>VLOOKUP($H193,Nutrition_tables!$A:$AF,17,FALSE)*$Q193/100</f>
        <v>0</v>
      </c>
      <c r="AE193" s="583">
        <f>VLOOKUP($H193,Nutrition_tables!$A:$AF,18,FALSE)*$Q193/100</f>
        <v>0</v>
      </c>
      <c r="AF193" s="583">
        <f>VLOOKUP($H193,Nutrition_tables!$A:$AF,19,FALSE)*$Q193/100</f>
        <v>0</v>
      </c>
      <c r="AG193" s="583">
        <f>VLOOKUP($H193,Nutrition_tables!$A:$AF,20,FALSE)*$Q193/100</f>
        <v>0</v>
      </c>
      <c r="AH193" s="583">
        <f>VLOOKUP($H193,Nutrition_tables!$A:$AF,21,FALSE)*$Q193/100</f>
        <v>0</v>
      </c>
      <c r="AI193" s="583">
        <f>VLOOKUP($H193,Nutrition_tables!$A:$AF,22,FALSE)*$Q193/100</f>
        <v>0</v>
      </c>
      <c r="AJ193" s="549">
        <f>VLOOKUP($H193,Nutrition_tables!$A:$AF,23,FALSE)*$Q193/100</f>
        <v>0</v>
      </c>
      <c r="AK193" s="583">
        <f>VLOOKUP($H193,Nutrition_tables!$A:$AF,24,FALSE)*$Q193/100</f>
        <v>0</v>
      </c>
      <c r="AL193" s="583">
        <f>VLOOKUP($H193,Nutrition_tables!$A:$AF,25,FALSE)*$Q193/100</f>
        <v>0</v>
      </c>
      <c r="AM193" s="583">
        <f>VLOOKUP($H193,Nutrition_tables!$A:$AF,26,FALSE)*$Q193/100</f>
        <v>0</v>
      </c>
      <c r="AN193" s="583">
        <f>VLOOKUP($H193,Nutrition_tables!$A:$AF,27,FALSE)*$Q193/100</f>
        <v>0</v>
      </c>
      <c r="AO193" s="583">
        <f>VLOOKUP($H193,Nutrition_tables!$A:$AF,28,FALSE)*$Q193/100</f>
        <v>0</v>
      </c>
      <c r="AP193" s="583">
        <f>VLOOKUP($H193,Nutrition_tables!$A:$AF,29,FALSE)*$Q193/100</f>
        <v>0</v>
      </c>
      <c r="AQ193" s="583">
        <f>VLOOKUP($H193,Nutrition_tables!$A:$AF,30,FALSE)*$Q193/100</f>
        <v>0</v>
      </c>
      <c r="AR193" s="583">
        <f>VLOOKUP($H193,Nutrition_tables!$A:$AF,31,FALSE)*$Q193/100</f>
        <v>0</v>
      </c>
      <c r="AS193" s="549">
        <f>VLOOKUP($H193,Nutrition_tables!$A:$AF,32,FALSE)*$Q193/100</f>
        <v>0</v>
      </c>
      <c r="AT193" s="583" t="str">
        <f>IF(H193="Select ingredient:","",IF(G193="Select food category:","",IFERROR(VLOOKUP($H193,Ingredient_prices!$E:$W,17,FALSE)*$Q193/1000,"not bought")))</f>
        <v/>
      </c>
      <c r="AU193" s="583" t="str">
        <f>IF(H193="Select ingredient:","",IF(G193="Select food category:","",IFERROR(VLOOKUP($H193,Ingredient_prices!$E:$W,18,FALSE)*$Q193/1000,"not bought")))</f>
        <v/>
      </c>
      <c r="AV193" s="583">
        <f t="shared" si="442"/>
        <v>0</v>
      </c>
      <c r="AW193" s="583">
        <f t="shared" si="443"/>
        <v>0</v>
      </c>
      <c r="AX193" s="583">
        <f t="shared" si="444"/>
        <v>0</v>
      </c>
      <c r="AY193" s="583">
        <f t="shared" si="445"/>
        <v>0</v>
      </c>
      <c r="AZ193" s="583">
        <f t="shared" si="446"/>
        <v>0</v>
      </c>
      <c r="BA193" s="583">
        <f t="shared" si="447"/>
        <v>0</v>
      </c>
      <c r="BB193" s="583">
        <f t="shared" si="448"/>
        <v>0</v>
      </c>
      <c r="BC193" s="583">
        <f t="shared" si="449"/>
        <v>0</v>
      </c>
      <c r="BD193" s="583">
        <f t="shared" si="450"/>
        <v>0</v>
      </c>
      <c r="BE193" s="583">
        <f t="shared" si="451"/>
        <v>0</v>
      </c>
      <c r="BF193" s="583">
        <f t="shared" si="452"/>
        <v>0</v>
      </c>
      <c r="BG193" s="583">
        <f t="shared" si="453"/>
        <v>0</v>
      </c>
      <c r="BH193" s="583">
        <f t="shared" si="454"/>
        <v>0</v>
      </c>
      <c r="BI193" s="583">
        <f t="shared" si="455"/>
        <v>0</v>
      </c>
      <c r="BJ193" s="583">
        <f t="shared" si="456"/>
        <v>0</v>
      </c>
      <c r="BK193" s="583">
        <f t="shared" si="457"/>
        <v>0</v>
      </c>
      <c r="BL193" s="583">
        <f t="shared" si="458"/>
        <v>0</v>
      </c>
      <c r="BM193" s="583">
        <f t="shared" si="459"/>
        <v>0</v>
      </c>
      <c r="BN193" s="583">
        <f t="shared" si="460"/>
        <v>0</v>
      </c>
      <c r="BO193" s="583">
        <f t="shared" si="461"/>
        <v>0</v>
      </c>
      <c r="BP193" s="583">
        <f t="shared" si="462"/>
        <v>0</v>
      </c>
      <c r="BQ193" s="583">
        <f t="shared" si="463"/>
        <v>0</v>
      </c>
      <c r="BR193" s="583">
        <f t="shared" si="464"/>
        <v>0</v>
      </c>
    </row>
    <row r="194" spans="1:70" s="229" customFormat="1" ht="15" customHeight="1">
      <c r="A194" s="574"/>
      <c r="D194" s="85"/>
      <c r="E194" s="576" t="str">
        <f t="shared" si="465"/>
        <v/>
      </c>
      <c r="F194" s="707"/>
      <c r="G194" s="406" t="s">
        <v>3054</v>
      </c>
      <c r="H194" s="1262" t="s">
        <v>3055</v>
      </c>
      <c r="I194" s="85">
        <v>0</v>
      </c>
      <c r="J194" s="682">
        <v>1</v>
      </c>
      <c r="K194" s="579" t="str">
        <f t="shared" si="439"/>
        <v/>
      </c>
      <c r="L194" s="580" t="str">
        <f>IF(H194="Select ingredient:","",IF(G194="","",_xlfn.IFNA(VLOOKUP($H194,Ingredient_prices!$E:$U,16,FALSE),0)))</f>
        <v/>
      </c>
      <c r="M194" s="840"/>
      <c r="N194" s="840"/>
      <c r="O194" s="581"/>
      <c r="P194" s="586"/>
      <c r="Q194" s="583">
        <f t="shared" si="440"/>
        <v>0</v>
      </c>
      <c r="R194" s="583">
        <f>VLOOKUP($H194,'CO2_emission+%_food_waste'!$A:$K,6,FALSE)*$Q194/100</f>
        <v>0</v>
      </c>
      <c r="S194" s="583">
        <f t="shared" si="441"/>
        <v>0</v>
      </c>
      <c r="T194" s="583" t="str">
        <f>IF(H194="Select ingredient:","",IF(G194="Select food category:","",_xlfn.IFNA(VLOOKUP($H194,Ingredient_prices!$E:$U,16,FALSE)*$Q194/1000,"not bought")))</f>
        <v/>
      </c>
      <c r="U194" s="583" t="str">
        <f>IF(G194="Select food category:","",_xlfn.IFNA(VLOOKUP($H194,Ingredient_prices!$E:$U,16,FALSE)*$R194/1000,"not bought"))</f>
        <v/>
      </c>
      <c r="V194" s="549">
        <f>VLOOKUP($H194,'CO2_emission+%_food_waste'!$A:$K,4,FALSE)*$Q194</f>
        <v>0</v>
      </c>
      <c r="W194" s="583">
        <f>VLOOKUP($H194,Nutrition_tables!$A:$N,10,FALSE)*$Q194/100</f>
        <v>0</v>
      </c>
      <c r="X194" s="583">
        <f>VLOOKUP($H194,Nutrition_tables!$A:$N,11,FALSE)*$Q194/100</f>
        <v>0</v>
      </c>
      <c r="Y194" s="583">
        <f>VLOOKUP($H194,Nutrition_tables!$A:$N,12,FALSE)*$Q194/100</f>
        <v>0</v>
      </c>
      <c r="Z194" s="583">
        <f>VLOOKUP($H194,Nutrition_tables!$A:$N,14,FALSE)*$Q194/100</f>
        <v>0</v>
      </c>
      <c r="AA194" s="583">
        <f>VLOOKUP($H194,Nutrition_tables!$A:$AF,13,FALSE)*$Q194/100</f>
        <v>0</v>
      </c>
      <c r="AB194" s="549">
        <f>VLOOKUP($H194,Nutrition_tables!$A:$AF,15,FALSE)*$Q194/100</f>
        <v>0</v>
      </c>
      <c r="AC194" s="583">
        <f>VLOOKUP($H194,Nutrition_tables!$A:$AF,16,FALSE)*$Q194/100</f>
        <v>0</v>
      </c>
      <c r="AD194" s="583">
        <f>VLOOKUP($H194,Nutrition_tables!$A:$AF,17,FALSE)*$Q194/100</f>
        <v>0</v>
      </c>
      <c r="AE194" s="583">
        <f>VLOOKUP($H194,Nutrition_tables!$A:$AF,18,FALSE)*$Q194/100</f>
        <v>0</v>
      </c>
      <c r="AF194" s="583">
        <f>VLOOKUP($H194,Nutrition_tables!$A:$AF,19,FALSE)*$Q194/100</f>
        <v>0</v>
      </c>
      <c r="AG194" s="583">
        <f>VLOOKUP($H194,Nutrition_tables!$A:$AF,20,FALSE)*$Q194/100</f>
        <v>0</v>
      </c>
      <c r="AH194" s="583">
        <f>VLOOKUP($H194,Nutrition_tables!$A:$AF,21,FALSE)*$Q194/100</f>
        <v>0</v>
      </c>
      <c r="AI194" s="583">
        <f>VLOOKUP($H194,Nutrition_tables!$A:$AF,22,FALSE)*$Q194/100</f>
        <v>0</v>
      </c>
      <c r="AJ194" s="549">
        <f>VLOOKUP($H194,Nutrition_tables!$A:$AF,23,FALSE)*$Q194/100</f>
        <v>0</v>
      </c>
      <c r="AK194" s="583">
        <f>VLOOKUP($H194,Nutrition_tables!$A:$AF,24,FALSE)*$Q194/100</f>
        <v>0</v>
      </c>
      <c r="AL194" s="583">
        <f>VLOOKUP($H194,Nutrition_tables!$A:$AF,25,FALSE)*$Q194/100</f>
        <v>0</v>
      </c>
      <c r="AM194" s="583">
        <f>VLOOKUP($H194,Nutrition_tables!$A:$AF,26,FALSE)*$Q194/100</f>
        <v>0</v>
      </c>
      <c r="AN194" s="583">
        <f>VLOOKUP($H194,Nutrition_tables!$A:$AF,27,FALSE)*$Q194/100</f>
        <v>0</v>
      </c>
      <c r="AO194" s="583">
        <f>VLOOKUP($H194,Nutrition_tables!$A:$AF,28,FALSE)*$Q194/100</f>
        <v>0</v>
      </c>
      <c r="AP194" s="583">
        <f>VLOOKUP($H194,Nutrition_tables!$A:$AF,29,FALSE)*$Q194/100</f>
        <v>0</v>
      </c>
      <c r="AQ194" s="583">
        <f>VLOOKUP($H194,Nutrition_tables!$A:$AF,30,FALSE)*$Q194/100</f>
        <v>0</v>
      </c>
      <c r="AR194" s="583">
        <f>VLOOKUP($H194,Nutrition_tables!$A:$AF,31,FALSE)*$Q194/100</f>
        <v>0</v>
      </c>
      <c r="AS194" s="549">
        <f>VLOOKUP($H194,Nutrition_tables!$A:$AF,32,FALSE)*$Q194/100</f>
        <v>0</v>
      </c>
      <c r="AT194" s="583" t="str">
        <f>IF(H194="Select ingredient:","",IF(G194="Select food category:","",IFERROR(VLOOKUP($H194,Ingredient_prices!$E:$W,17,FALSE)*$Q194/1000,"not bought")))</f>
        <v/>
      </c>
      <c r="AU194" s="583" t="str">
        <f>IF(H194="Select ingredient:","",IF(G194="Select food category:","",IFERROR(VLOOKUP($H194,Ingredient_prices!$E:$W,18,FALSE)*$Q194/1000,"not bought")))</f>
        <v/>
      </c>
      <c r="AV194" s="583">
        <f t="shared" si="442"/>
        <v>0</v>
      </c>
      <c r="AW194" s="583">
        <f t="shared" si="443"/>
        <v>0</v>
      </c>
      <c r="AX194" s="583">
        <f t="shared" si="444"/>
        <v>0</v>
      </c>
      <c r="AY194" s="583">
        <f t="shared" si="445"/>
        <v>0</v>
      </c>
      <c r="AZ194" s="583">
        <f t="shared" si="446"/>
        <v>0</v>
      </c>
      <c r="BA194" s="583">
        <f t="shared" si="447"/>
        <v>0</v>
      </c>
      <c r="BB194" s="583">
        <f t="shared" si="448"/>
        <v>0</v>
      </c>
      <c r="BC194" s="583">
        <f t="shared" si="449"/>
        <v>0</v>
      </c>
      <c r="BD194" s="583">
        <f t="shared" si="450"/>
        <v>0</v>
      </c>
      <c r="BE194" s="583">
        <f t="shared" si="451"/>
        <v>0</v>
      </c>
      <c r="BF194" s="583">
        <f t="shared" si="452"/>
        <v>0</v>
      </c>
      <c r="BG194" s="583">
        <f t="shared" si="453"/>
        <v>0</v>
      </c>
      <c r="BH194" s="583">
        <f t="shared" si="454"/>
        <v>0</v>
      </c>
      <c r="BI194" s="583">
        <f t="shared" si="455"/>
        <v>0</v>
      </c>
      <c r="BJ194" s="583">
        <f t="shared" si="456"/>
        <v>0</v>
      </c>
      <c r="BK194" s="583">
        <f t="shared" si="457"/>
        <v>0</v>
      </c>
      <c r="BL194" s="583">
        <f t="shared" si="458"/>
        <v>0</v>
      </c>
      <c r="BM194" s="583">
        <f t="shared" si="459"/>
        <v>0</v>
      </c>
      <c r="BN194" s="583">
        <f t="shared" si="460"/>
        <v>0</v>
      </c>
      <c r="BO194" s="583">
        <f t="shared" si="461"/>
        <v>0</v>
      </c>
      <c r="BP194" s="583">
        <f t="shared" si="462"/>
        <v>0</v>
      </c>
      <c r="BQ194" s="583">
        <f t="shared" si="463"/>
        <v>0</v>
      </c>
      <c r="BR194" s="583">
        <f t="shared" si="464"/>
        <v>0</v>
      </c>
    </row>
    <row r="195" spans="1:70" s="229" customFormat="1" ht="15" customHeight="1">
      <c r="A195" s="574"/>
      <c r="D195" s="85"/>
      <c r="E195" s="576" t="str">
        <f t="shared" si="465"/>
        <v/>
      </c>
      <c r="F195" s="707"/>
      <c r="G195" s="406" t="s">
        <v>3054</v>
      </c>
      <c r="H195" s="1262" t="s">
        <v>3055</v>
      </c>
      <c r="I195" s="85">
        <v>0</v>
      </c>
      <c r="J195" s="682">
        <v>1</v>
      </c>
      <c r="K195" s="579" t="str">
        <f t="shared" si="439"/>
        <v/>
      </c>
      <c r="L195" s="580" t="str">
        <f>IF(H195="Select ingredient:","",IF(G195="","",_xlfn.IFNA(VLOOKUP($H195,Ingredient_prices!$E:$U,16,FALSE),0)))</f>
        <v/>
      </c>
      <c r="M195" s="840"/>
      <c r="N195" s="840"/>
      <c r="O195" s="581"/>
      <c r="P195" s="586"/>
      <c r="Q195" s="583">
        <f t="shared" si="440"/>
        <v>0</v>
      </c>
      <c r="R195" s="583">
        <f>VLOOKUP($H195,'CO2_emission+%_food_waste'!$A:$K,6,FALSE)*$Q195/100</f>
        <v>0</v>
      </c>
      <c r="S195" s="583">
        <f t="shared" si="441"/>
        <v>0</v>
      </c>
      <c r="T195" s="583" t="str">
        <f>IF(H195="Select ingredient:","",IF(G195="Select food category:","",_xlfn.IFNA(VLOOKUP($H195,Ingredient_prices!$E:$U,16,FALSE)*$Q195/1000,"not bought")))</f>
        <v/>
      </c>
      <c r="U195" s="583" t="str">
        <f>IF(G195="Select food category:","",_xlfn.IFNA(VLOOKUP($H195,Ingredient_prices!$E:$U,16,FALSE)*$R195/1000,"not bought"))</f>
        <v/>
      </c>
      <c r="V195" s="549">
        <f>VLOOKUP($H195,'CO2_emission+%_food_waste'!$A:$K,4,FALSE)*$Q195</f>
        <v>0</v>
      </c>
      <c r="W195" s="583">
        <f>VLOOKUP($H195,Nutrition_tables!$A:$N,10,FALSE)*$Q195/100</f>
        <v>0</v>
      </c>
      <c r="X195" s="583">
        <f>VLOOKUP($H195,Nutrition_tables!$A:$N,11,FALSE)*$Q195/100</f>
        <v>0</v>
      </c>
      <c r="Y195" s="583">
        <f>VLOOKUP($H195,Nutrition_tables!$A:$N,12,FALSE)*$Q195/100</f>
        <v>0</v>
      </c>
      <c r="Z195" s="583">
        <f>VLOOKUP($H195,Nutrition_tables!$A:$N,14,FALSE)*$Q195/100</f>
        <v>0</v>
      </c>
      <c r="AA195" s="583">
        <f>VLOOKUP($H195,Nutrition_tables!$A:$AF,13,FALSE)*$Q195/100</f>
        <v>0</v>
      </c>
      <c r="AB195" s="549">
        <f>VLOOKUP($H195,Nutrition_tables!$A:$AF,15,FALSE)*$Q195/100</f>
        <v>0</v>
      </c>
      <c r="AC195" s="583">
        <f>VLOOKUP($H195,Nutrition_tables!$A:$AF,16,FALSE)*$Q195/100</f>
        <v>0</v>
      </c>
      <c r="AD195" s="583">
        <f>VLOOKUP($H195,Nutrition_tables!$A:$AF,17,FALSE)*$Q195/100</f>
        <v>0</v>
      </c>
      <c r="AE195" s="583">
        <f>VLOOKUP($H195,Nutrition_tables!$A:$AF,18,FALSE)*$Q195/100</f>
        <v>0</v>
      </c>
      <c r="AF195" s="583">
        <f>VLOOKUP($H195,Nutrition_tables!$A:$AF,19,FALSE)*$Q195/100</f>
        <v>0</v>
      </c>
      <c r="AG195" s="583">
        <f>VLOOKUP($H195,Nutrition_tables!$A:$AF,20,FALSE)*$Q195/100</f>
        <v>0</v>
      </c>
      <c r="AH195" s="583">
        <f>VLOOKUP($H195,Nutrition_tables!$A:$AF,21,FALSE)*$Q195/100</f>
        <v>0</v>
      </c>
      <c r="AI195" s="583">
        <f>VLOOKUP($H195,Nutrition_tables!$A:$AF,22,FALSE)*$Q195/100</f>
        <v>0</v>
      </c>
      <c r="AJ195" s="549">
        <f>VLOOKUP($H195,Nutrition_tables!$A:$AF,23,FALSE)*$Q195/100</f>
        <v>0</v>
      </c>
      <c r="AK195" s="583">
        <f>VLOOKUP($H195,Nutrition_tables!$A:$AF,24,FALSE)*$Q195/100</f>
        <v>0</v>
      </c>
      <c r="AL195" s="583">
        <f>VLOOKUP($H195,Nutrition_tables!$A:$AF,25,FALSE)*$Q195/100</f>
        <v>0</v>
      </c>
      <c r="AM195" s="583">
        <f>VLOOKUP($H195,Nutrition_tables!$A:$AF,26,FALSE)*$Q195/100</f>
        <v>0</v>
      </c>
      <c r="AN195" s="583">
        <f>VLOOKUP($H195,Nutrition_tables!$A:$AF,27,FALSE)*$Q195/100</f>
        <v>0</v>
      </c>
      <c r="AO195" s="583">
        <f>VLOOKUP($H195,Nutrition_tables!$A:$AF,28,FALSE)*$Q195/100</f>
        <v>0</v>
      </c>
      <c r="AP195" s="583">
        <f>VLOOKUP($H195,Nutrition_tables!$A:$AF,29,FALSE)*$Q195/100</f>
        <v>0</v>
      </c>
      <c r="AQ195" s="583">
        <f>VLOOKUP($H195,Nutrition_tables!$A:$AF,30,FALSE)*$Q195/100</f>
        <v>0</v>
      </c>
      <c r="AR195" s="583">
        <f>VLOOKUP($H195,Nutrition_tables!$A:$AF,31,FALSE)*$Q195/100</f>
        <v>0</v>
      </c>
      <c r="AS195" s="549">
        <f>VLOOKUP($H195,Nutrition_tables!$A:$AF,32,FALSE)*$Q195/100</f>
        <v>0</v>
      </c>
      <c r="AT195" s="583" t="str">
        <f>IF(H195="Select ingredient:","",IF(G195="Select food category:","",IFERROR(VLOOKUP($H195,Ingredient_prices!$E:$W,17,FALSE)*$Q195/1000,"not bought")))</f>
        <v/>
      </c>
      <c r="AU195" s="583" t="str">
        <f>IF(H195="Select ingredient:","",IF(G195="Select food category:","",IFERROR(VLOOKUP($H195,Ingredient_prices!$E:$W,18,FALSE)*$Q195/1000,"not bought")))</f>
        <v/>
      </c>
      <c r="AV195" s="583">
        <f t="shared" si="442"/>
        <v>0</v>
      </c>
      <c r="AW195" s="583">
        <f t="shared" si="443"/>
        <v>0</v>
      </c>
      <c r="AX195" s="583">
        <f t="shared" si="444"/>
        <v>0</v>
      </c>
      <c r="AY195" s="583">
        <f t="shared" si="445"/>
        <v>0</v>
      </c>
      <c r="AZ195" s="583">
        <f t="shared" si="446"/>
        <v>0</v>
      </c>
      <c r="BA195" s="583">
        <f t="shared" si="447"/>
        <v>0</v>
      </c>
      <c r="BB195" s="583">
        <f t="shared" si="448"/>
        <v>0</v>
      </c>
      <c r="BC195" s="583">
        <f t="shared" si="449"/>
        <v>0</v>
      </c>
      <c r="BD195" s="583">
        <f t="shared" si="450"/>
        <v>0</v>
      </c>
      <c r="BE195" s="583">
        <f t="shared" si="451"/>
        <v>0</v>
      </c>
      <c r="BF195" s="583">
        <f t="shared" si="452"/>
        <v>0</v>
      </c>
      <c r="BG195" s="583">
        <f t="shared" si="453"/>
        <v>0</v>
      </c>
      <c r="BH195" s="583">
        <f t="shared" si="454"/>
        <v>0</v>
      </c>
      <c r="BI195" s="583">
        <f t="shared" si="455"/>
        <v>0</v>
      </c>
      <c r="BJ195" s="583">
        <f t="shared" si="456"/>
        <v>0</v>
      </c>
      <c r="BK195" s="583">
        <f t="shared" si="457"/>
        <v>0</v>
      </c>
      <c r="BL195" s="583">
        <f t="shared" si="458"/>
        <v>0</v>
      </c>
      <c r="BM195" s="583">
        <f t="shared" si="459"/>
        <v>0</v>
      </c>
      <c r="BN195" s="583">
        <f t="shared" si="460"/>
        <v>0</v>
      </c>
      <c r="BO195" s="583">
        <f t="shared" si="461"/>
        <v>0</v>
      </c>
      <c r="BP195" s="583">
        <f t="shared" si="462"/>
        <v>0</v>
      </c>
      <c r="BQ195" s="583">
        <f t="shared" si="463"/>
        <v>0</v>
      </c>
      <c r="BR195" s="583">
        <f t="shared" si="464"/>
        <v>0</v>
      </c>
    </row>
    <row r="196" spans="1:70" s="229" customFormat="1" ht="15" customHeight="1">
      <c r="A196" s="574"/>
      <c r="D196" s="85"/>
      <c r="E196" s="576" t="str">
        <f t="shared" si="465"/>
        <v/>
      </c>
      <c r="F196" s="707"/>
      <c r="G196" s="406" t="s">
        <v>3054</v>
      </c>
      <c r="H196" s="1262" t="s">
        <v>3055</v>
      </c>
      <c r="I196" s="85">
        <v>0</v>
      </c>
      <c r="J196" s="682">
        <v>1</v>
      </c>
      <c r="K196" s="579" t="str">
        <f t="shared" si="439"/>
        <v/>
      </c>
      <c r="L196" s="580" t="str">
        <f>IF(H196="Select ingredient:","",IF(G196="","",_xlfn.IFNA(VLOOKUP($H196,Ingredient_prices!$E:$U,16,FALSE),0)))</f>
        <v/>
      </c>
      <c r="M196" s="840"/>
      <c r="N196" s="840"/>
      <c r="O196" s="581"/>
      <c r="P196" s="586"/>
      <c r="Q196" s="583">
        <f t="shared" si="440"/>
        <v>0</v>
      </c>
      <c r="R196" s="583">
        <f>VLOOKUP($H196,'CO2_emission+%_food_waste'!$A:$K,6,FALSE)*$Q196/100</f>
        <v>0</v>
      </c>
      <c r="S196" s="583">
        <f t="shared" si="441"/>
        <v>0</v>
      </c>
      <c r="T196" s="583" t="str">
        <f>IF(H196="Select ingredient:","",IF(G196="Select food category:","",_xlfn.IFNA(VLOOKUP($H196,Ingredient_prices!$E:$U,16,FALSE)*$Q196/1000,"not bought")))</f>
        <v/>
      </c>
      <c r="U196" s="583" t="str">
        <f>IF(G196="Select food category:","",_xlfn.IFNA(VLOOKUP($H196,Ingredient_prices!$E:$U,16,FALSE)*$R196/1000,"not bought"))</f>
        <v/>
      </c>
      <c r="V196" s="549">
        <f>VLOOKUP($H196,'CO2_emission+%_food_waste'!$A:$K,4,FALSE)*$Q196</f>
        <v>0</v>
      </c>
      <c r="W196" s="583">
        <f>VLOOKUP($H196,Nutrition_tables!$A:$N,10,FALSE)*$Q196/100</f>
        <v>0</v>
      </c>
      <c r="X196" s="583">
        <f>VLOOKUP($H196,Nutrition_tables!$A:$N,11,FALSE)*$Q196/100</f>
        <v>0</v>
      </c>
      <c r="Y196" s="583">
        <f>VLOOKUP($H196,Nutrition_tables!$A:$N,12,FALSE)*$Q196/100</f>
        <v>0</v>
      </c>
      <c r="Z196" s="583">
        <f>VLOOKUP($H196,Nutrition_tables!$A:$N,14,FALSE)*$Q196/100</f>
        <v>0</v>
      </c>
      <c r="AA196" s="583">
        <f>VLOOKUP($H196,Nutrition_tables!$A:$AF,13,FALSE)*$Q196/100</f>
        <v>0</v>
      </c>
      <c r="AB196" s="549">
        <f>VLOOKUP($H196,Nutrition_tables!$A:$AF,15,FALSE)*$Q196/100</f>
        <v>0</v>
      </c>
      <c r="AC196" s="583">
        <f>VLOOKUP($H196,Nutrition_tables!$A:$AF,16,FALSE)*$Q196/100</f>
        <v>0</v>
      </c>
      <c r="AD196" s="583">
        <f>VLOOKUP($H196,Nutrition_tables!$A:$AF,17,FALSE)*$Q196/100</f>
        <v>0</v>
      </c>
      <c r="AE196" s="583">
        <f>VLOOKUP($H196,Nutrition_tables!$A:$AF,18,FALSE)*$Q196/100</f>
        <v>0</v>
      </c>
      <c r="AF196" s="583">
        <f>VLOOKUP($H196,Nutrition_tables!$A:$AF,19,FALSE)*$Q196/100</f>
        <v>0</v>
      </c>
      <c r="AG196" s="583">
        <f>VLOOKUP($H196,Nutrition_tables!$A:$AF,20,FALSE)*$Q196/100</f>
        <v>0</v>
      </c>
      <c r="AH196" s="583">
        <f>VLOOKUP($H196,Nutrition_tables!$A:$AF,21,FALSE)*$Q196/100</f>
        <v>0</v>
      </c>
      <c r="AI196" s="583">
        <f>VLOOKUP($H196,Nutrition_tables!$A:$AF,22,FALSE)*$Q196/100</f>
        <v>0</v>
      </c>
      <c r="AJ196" s="549">
        <f>VLOOKUP($H196,Nutrition_tables!$A:$AF,23,FALSE)*$Q196/100</f>
        <v>0</v>
      </c>
      <c r="AK196" s="583">
        <f>VLOOKUP($H196,Nutrition_tables!$A:$AF,24,FALSE)*$Q196/100</f>
        <v>0</v>
      </c>
      <c r="AL196" s="583">
        <f>VLOOKUP($H196,Nutrition_tables!$A:$AF,25,FALSE)*$Q196/100</f>
        <v>0</v>
      </c>
      <c r="AM196" s="583">
        <f>VLOOKUP($H196,Nutrition_tables!$A:$AF,26,FALSE)*$Q196/100</f>
        <v>0</v>
      </c>
      <c r="AN196" s="583">
        <f>VLOOKUP($H196,Nutrition_tables!$A:$AF,27,FALSE)*$Q196/100</f>
        <v>0</v>
      </c>
      <c r="AO196" s="583">
        <f>VLOOKUP($H196,Nutrition_tables!$A:$AF,28,FALSE)*$Q196/100</f>
        <v>0</v>
      </c>
      <c r="AP196" s="583">
        <f>VLOOKUP($H196,Nutrition_tables!$A:$AF,29,FALSE)*$Q196/100</f>
        <v>0</v>
      </c>
      <c r="AQ196" s="583">
        <f>VLOOKUP($H196,Nutrition_tables!$A:$AF,30,FALSE)*$Q196/100</f>
        <v>0</v>
      </c>
      <c r="AR196" s="583">
        <f>VLOOKUP($H196,Nutrition_tables!$A:$AF,31,FALSE)*$Q196/100</f>
        <v>0</v>
      </c>
      <c r="AS196" s="549">
        <f>VLOOKUP($H196,Nutrition_tables!$A:$AF,32,FALSE)*$Q196/100</f>
        <v>0</v>
      </c>
      <c r="AT196" s="583" t="str">
        <f>IF(H196="Select ingredient:","",IF(G196="Select food category:","",IFERROR(VLOOKUP($H196,Ingredient_prices!$E:$W,17,FALSE)*$Q196/1000,"not bought")))</f>
        <v/>
      </c>
      <c r="AU196" s="583" t="str">
        <f>IF(H196="Select ingredient:","",IF(G196="Select food category:","",IFERROR(VLOOKUP($H196,Ingredient_prices!$E:$W,18,FALSE)*$Q196/1000,"not bought")))</f>
        <v/>
      </c>
      <c r="AV196" s="583">
        <f t="shared" si="442"/>
        <v>0</v>
      </c>
      <c r="AW196" s="583">
        <f t="shared" si="443"/>
        <v>0</v>
      </c>
      <c r="AX196" s="583">
        <f t="shared" si="444"/>
        <v>0</v>
      </c>
      <c r="AY196" s="583">
        <f t="shared" si="445"/>
        <v>0</v>
      </c>
      <c r="AZ196" s="583">
        <f t="shared" si="446"/>
        <v>0</v>
      </c>
      <c r="BA196" s="583">
        <f t="shared" si="447"/>
        <v>0</v>
      </c>
      <c r="BB196" s="583">
        <f t="shared" si="448"/>
        <v>0</v>
      </c>
      <c r="BC196" s="583">
        <f t="shared" si="449"/>
        <v>0</v>
      </c>
      <c r="BD196" s="583">
        <f t="shared" si="450"/>
        <v>0</v>
      </c>
      <c r="BE196" s="583">
        <f t="shared" si="451"/>
        <v>0</v>
      </c>
      <c r="BF196" s="583">
        <f t="shared" si="452"/>
        <v>0</v>
      </c>
      <c r="BG196" s="583">
        <f t="shared" si="453"/>
        <v>0</v>
      </c>
      <c r="BH196" s="583">
        <f t="shared" si="454"/>
        <v>0</v>
      </c>
      <c r="BI196" s="583">
        <f t="shared" si="455"/>
        <v>0</v>
      </c>
      <c r="BJ196" s="583">
        <f t="shared" si="456"/>
        <v>0</v>
      </c>
      <c r="BK196" s="583">
        <f t="shared" si="457"/>
        <v>0</v>
      </c>
      <c r="BL196" s="583">
        <f t="shared" si="458"/>
        <v>0</v>
      </c>
      <c r="BM196" s="583">
        <f t="shared" si="459"/>
        <v>0</v>
      </c>
      <c r="BN196" s="583">
        <f t="shared" si="460"/>
        <v>0</v>
      </c>
      <c r="BO196" s="583">
        <f t="shared" si="461"/>
        <v>0</v>
      </c>
      <c r="BP196" s="583">
        <f t="shared" si="462"/>
        <v>0</v>
      </c>
      <c r="BQ196" s="583">
        <f t="shared" si="463"/>
        <v>0</v>
      </c>
      <c r="BR196" s="583">
        <f t="shared" si="464"/>
        <v>0</v>
      </c>
    </row>
    <row r="197" spans="1:70" s="229" customFormat="1" ht="15" customHeight="1">
      <c r="A197" s="574"/>
      <c r="D197" s="85"/>
      <c r="E197" s="576" t="str">
        <f t="shared" si="465"/>
        <v/>
      </c>
      <c r="F197" s="707"/>
      <c r="G197" s="406" t="s">
        <v>3054</v>
      </c>
      <c r="H197" s="1262" t="s">
        <v>3055</v>
      </c>
      <c r="I197" s="85">
        <v>0</v>
      </c>
      <c r="J197" s="682">
        <v>1</v>
      </c>
      <c r="K197" s="579" t="str">
        <f t="shared" si="439"/>
        <v/>
      </c>
      <c r="L197" s="580" t="str">
        <f>IF(H197="Select ingredient:","",IF(G197="","",_xlfn.IFNA(VLOOKUP($H197,Ingredient_prices!$E:$U,16,FALSE),0)))</f>
        <v/>
      </c>
      <c r="M197" s="840"/>
      <c r="N197" s="840"/>
      <c r="O197" s="581"/>
      <c r="P197" s="586"/>
      <c r="Q197" s="583">
        <f t="shared" si="440"/>
        <v>0</v>
      </c>
      <c r="R197" s="583">
        <f>VLOOKUP($H197,'CO2_emission+%_food_waste'!$A:$K,6,FALSE)*$Q197/100</f>
        <v>0</v>
      </c>
      <c r="S197" s="583">
        <f t="shared" si="441"/>
        <v>0</v>
      </c>
      <c r="T197" s="583" t="str">
        <f>IF(H197="Select ingredient:","",IF(G197="Select food category:","",_xlfn.IFNA(VLOOKUP($H197,Ingredient_prices!$E:$U,16,FALSE)*$Q197/1000,"not bought")))</f>
        <v/>
      </c>
      <c r="U197" s="583" t="str">
        <f>IF(G197="Select food category:","",_xlfn.IFNA(VLOOKUP($H197,Ingredient_prices!$E:$U,16,FALSE)*$R197/1000,"not bought"))</f>
        <v/>
      </c>
      <c r="V197" s="549">
        <f>VLOOKUP($H197,'CO2_emission+%_food_waste'!$A:$K,4,FALSE)*$Q197</f>
        <v>0</v>
      </c>
      <c r="W197" s="583">
        <f>VLOOKUP($H197,Nutrition_tables!$A:$N,10,FALSE)*$Q197/100</f>
        <v>0</v>
      </c>
      <c r="X197" s="583">
        <f>VLOOKUP($H197,Nutrition_tables!$A:$N,11,FALSE)*$Q197/100</f>
        <v>0</v>
      </c>
      <c r="Y197" s="583">
        <f>VLOOKUP($H197,Nutrition_tables!$A:$N,12,FALSE)*$Q197/100</f>
        <v>0</v>
      </c>
      <c r="Z197" s="583">
        <f>VLOOKUP($H197,Nutrition_tables!$A:$N,14,FALSE)*$Q197/100</f>
        <v>0</v>
      </c>
      <c r="AA197" s="583">
        <f>VLOOKUP($H197,Nutrition_tables!$A:$AF,13,FALSE)*$Q197/100</f>
        <v>0</v>
      </c>
      <c r="AB197" s="549">
        <f>VLOOKUP($H197,Nutrition_tables!$A:$AF,15,FALSE)*$Q197/100</f>
        <v>0</v>
      </c>
      <c r="AC197" s="583">
        <f>VLOOKUP($H197,Nutrition_tables!$A:$AF,16,FALSE)*$Q197/100</f>
        <v>0</v>
      </c>
      <c r="AD197" s="583">
        <f>VLOOKUP($H197,Nutrition_tables!$A:$AF,17,FALSE)*$Q197/100</f>
        <v>0</v>
      </c>
      <c r="AE197" s="583">
        <f>VLOOKUP($H197,Nutrition_tables!$A:$AF,18,FALSE)*$Q197/100</f>
        <v>0</v>
      </c>
      <c r="AF197" s="583">
        <f>VLOOKUP($H197,Nutrition_tables!$A:$AF,19,FALSE)*$Q197/100</f>
        <v>0</v>
      </c>
      <c r="AG197" s="583">
        <f>VLOOKUP($H197,Nutrition_tables!$A:$AF,20,FALSE)*$Q197/100</f>
        <v>0</v>
      </c>
      <c r="AH197" s="583">
        <f>VLOOKUP($H197,Nutrition_tables!$A:$AF,21,FALSE)*$Q197/100</f>
        <v>0</v>
      </c>
      <c r="AI197" s="583">
        <f>VLOOKUP($H197,Nutrition_tables!$A:$AF,22,FALSE)*$Q197/100</f>
        <v>0</v>
      </c>
      <c r="AJ197" s="549">
        <f>VLOOKUP($H197,Nutrition_tables!$A:$AF,23,FALSE)*$Q197/100</f>
        <v>0</v>
      </c>
      <c r="AK197" s="583">
        <f>VLOOKUP($H197,Nutrition_tables!$A:$AF,24,FALSE)*$Q197/100</f>
        <v>0</v>
      </c>
      <c r="AL197" s="583">
        <f>VLOOKUP($H197,Nutrition_tables!$A:$AF,25,FALSE)*$Q197/100</f>
        <v>0</v>
      </c>
      <c r="AM197" s="583">
        <f>VLOOKUP($H197,Nutrition_tables!$A:$AF,26,FALSE)*$Q197/100</f>
        <v>0</v>
      </c>
      <c r="AN197" s="583">
        <f>VLOOKUP($H197,Nutrition_tables!$A:$AF,27,FALSE)*$Q197/100</f>
        <v>0</v>
      </c>
      <c r="AO197" s="583">
        <f>VLOOKUP($H197,Nutrition_tables!$A:$AF,28,FALSE)*$Q197/100</f>
        <v>0</v>
      </c>
      <c r="AP197" s="583">
        <f>VLOOKUP($H197,Nutrition_tables!$A:$AF,29,FALSE)*$Q197/100</f>
        <v>0</v>
      </c>
      <c r="AQ197" s="583">
        <f>VLOOKUP($H197,Nutrition_tables!$A:$AF,30,FALSE)*$Q197/100</f>
        <v>0</v>
      </c>
      <c r="AR197" s="583">
        <f>VLOOKUP($H197,Nutrition_tables!$A:$AF,31,FALSE)*$Q197/100</f>
        <v>0</v>
      </c>
      <c r="AS197" s="549">
        <f>VLOOKUP($H197,Nutrition_tables!$A:$AF,32,FALSE)*$Q197/100</f>
        <v>0</v>
      </c>
      <c r="AT197" s="583" t="str">
        <f>IF(H197="Select ingredient:","",IF(G197="Select food category:","",IFERROR(VLOOKUP($H197,Ingredient_prices!$E:$W,17,FALSE)*$Q197/1000,"not bought")))</f>
        <v/>
      </c>
      <c r="AU197" s="583" t="str">
        <f>IF(H197="Select ingredient:","",IF(G197="Select food category:","",IFERROR(VLOOKUP($H197,Ingredient_prices!$E:$W,18,FALSE)*$Q197/1000,"not bought")))</f>
        <v/>
      </c>
      <c r="AV197" s="583">
        <f t="shared" si="442"/>
        <v>0</v>
      </c>
      <c r="AW197" s="583">
        <f t="shared" si="443"/>
        <v>0</v>
      </c>
      <c r="AX197" s="583">
        <f t="shared" si="444"/>
        <v>0</v>
      </c>
      <c r="AY197" s="583">
        <f t="shared" si="445"/>
        <v>0</v>
      </c>
      <c r="AZ197" s="583">
        <f t="shared" si="446"/>
        <v>0</v>
      </c>
      <c r="BA197" s="583">
        <f t="shared" si="447"/>
        <v>0</v>
      </c>
      <c r="BB197" s="583">
        <f t="shared" si="448"/>
        <v>0</v>
      </c>
      <c r="BC197" s="583">
        <f t="shared" si="449"/>
        <v>0</v>
      </c>
      <c r="BD197" s="583">
        <f t="shared" si="450"/>
        <v>0</v>
      </c>
      <c r="BE197" s="583">
        <f t="shared" si="451"/>
        <v>0</v>
      </c>
      <c r="BF197" s="583">
        <f t="shared" si="452"/>
        <v>0</v>
      </c>
      <c r="BG197" s="583">
        <f t="shared" si="453"/>
        <v>0</v>
      </c>
      <c r="BH197" s="583">
        <f t="shared" si="454"/>
        <v>0</v>
      </c>
      <c r="BI197" s="583">
        <f t="shared" si="455"/>
        <v>0</v>
      </c>
      <c r="BJ197" s="583">
        <f t="shared" si="456"/>
        <v>0</v>
      </c>
      <c r="BK197" s="583">
        <f t="shared" si="457"/>
        <v>0</v>
      </c>
      <c r="BL197" s="583">
        <f t="shared" si="458"/>
        <v>0</v>
      </c>
      <c r="BM197" s="583">
        <f t="shared" si="459"/>
        <v>0</v>
      </c>
      <c r="BN197" s="583">
        <f t="shared" si="460"/>
        <v>0</v>
      </c>
      <c r="BO197" s="583">
        <f t="shared" si="461"/>
        <v>0</v>
      </c>
      <c r="BP197" s="583">
        <f t="shared" si="462"/>
        <v>0</v>
      </c>
      <c r="BQ197" s="583">
        <f t="shared" si="463"/>
        <v>0</v>
      </c>
      <c r="BR197" s="583">
        <f t="shared" si="464"/>
        <v>0</v>
      </c>
    </row>
    <row r="198" spans="1:70" s="229" customFormat="1" ht="15" customHeight="1">
      <c r="A198" s="574"/>
      <c r="D198" s="85"/>
      <c r="E198" s="576" t="str">
        <f t="shared" si="465"/>
        <v/>
      </c>
      <c r="F198" s="707"/>
      <c r="G198" s="406" t="s">
        <v>3054</v>
      </c>
      <c r="H198" s="1262" t="s">
        <v>3055</v>
      </c>
      <c r="I198" s="85">
        <v>0</v>
      </c>
      <c r="J198" s="682">
        <v>1</v>
      </c>
      <c r="K198" s="579" t="str">
        <f t="shared" si="439"/>
        <v/>
      </c>
      <c r="L198" s="580" t="str">
        <f>IF(H198="Select ingredient:","",IF(G198="","",_xlfn.IFNA(VLOOKUP($H198,Ingredient_prices!$E:$U,16,FALSE),0)))</f>
        <v/>
      </c>
      <c r="M198" s="840"/>
      <c r="N198" s="840"/>
      <c r="O198" s="581"/>
      <c r="P198" s="586"/>
      <c r="Q198" s="583">
        <f t="shared" si="440"/>
        <v>0</v>
      </c>
      <c r="R198" s="583">
        <f>VLOOKUP($H198,'CO2_emission+%_food_waste'!$A:$K,6,FALSE)*$Q198/100</f>
        <v>0</v>
      </c>
      <c r="S198" s="583">
        <f t="shared" si="441"/>
        <v>0</v>
      </c>
      <c r="T198" s="583" t="str">
        <f>IF(H198="Select ingredient:","",IF(G198="Select food category:","",_xlfn.IFNA(VLOOKUP($H198,Ingredient_prices!$E:$U,16,FALSE)*$Q198/1000,"not bought")))</f>
        <v/>
      </c>
      <c r="U198" s="583" t="str">
        <f>IF(G198="Select food category:","",_xlfn.IFNA(VLOOKUP($H198,Ingredient_prices!$E:$U,16,FALSE)*$R198/1000,"not bought"))</f>
        <v/>
      </c>
      <c r="V198" s="549">
        <f>VLOOKUP($H198,'CO2_emission+%_food_waste'!$A:$K,4,FALSE)*$Q198</f>
        <v>0</v>
      </c>
      <c r="W198" s="583">
        <f>VLOOKUP($H198,Nutrition_tables!$A:$N,10,FALSE)*$Q198/100</f>
        <v>0</v>
      </c>
      <c r="X198" s="583">
        <f>VLOOKUP($H198,Nutrition_tables!$A:$N,11,FALSE)*$Q198/100</f>
        <v>0</v>
      </c>
      <c r="Y198" s="583">
        <f>VLOOKUP($H198,Nutrition_tables!$A:$N,12,FALSE)*$Q198/100</f>
        <v>0</v>
      </c>
      <c r="Z198" s="583">
        <f>VLOOKUP($H198,Nutrition_tables!$A:$N,14,FALSE)*$Q198/100</f>
        <v>0</v>
      </c>
      <c r="AA198" s="583">
        <f>VLOOKUP($H198,Nutrition_tables!$A:$AF,13,FALSE)*$Q198/100</f>
        <v>0</v>
      </c>
      <c r="AB198" s="549">
        <f>VLOOKUP($H198,Nutrition_tables!$A:$AF,15,FALSE)*$Q198/100</f>
        <v>0</v>
      </c>
      <c r="AC198" s="583">
        <f>VLOOKUP($H198,Nutrition_tables!$A:$AF,16,FALSE)*$Q198/100</f>
        <v>0</v>
      </c>
      <c r="AD198" s="583">
        <f>VLOOKUP($H198,Nutrition_tables!$A:$AF,17,FALSE)*$Q198/100</f>
        <v>0</v>
      </c>
      <c r="AE198" s="583">
        <f>VLOOKUP($H198,Nutrition_tables!$A:$AF,18,FALSE)*$Q198/100</f>
        <v>0</v>
      </c>
      <c r="AF198" s="583">
        <f>VLOOKUP($H198,Nutrition_tables!$A:$AF,19,FALSE)*$Q198/100</f>
        <v>0</v>
      </c>
      <c r="AG198" s="583">
        <f>VLOOKUP($H198,Nutrition_tables!$A:$AF,20,FALSE)*$Q198/100</f>
        <v>0</v>
      </c>
      <c r="AH198" s="583">
        <f>VLOOKUP($H198,Nutrition_tables!$A:$AF,21,FALSE)*$Q198/100</f>
        <v>0</v>
      </c>
      <c r="AI198" s="583">
        <f>VLOOKUP($H198,Nutrition_tables!$A:$AF,22,FALSE)*$Q198/100</f>
        <v>0</v>
      </c>
      <c r="AJ198" s="549">
        <f>VLOOKUP($H198,Nutrition_tables!$A:$AF,23,FALSE)*$Q198/100</f>
        <v>0</v>
      </c>
      <c r="AK198" s="583">
        <f>VLOOKUP($H198,Nutrition_tables!$A:$AF,24,FALSE)*$Q198/100</f>
        <v>0</v>
      </c>
      <c r="AL198" s="583">
        <f>VLOOKUP($H198,Nutrition_tables!$A:$AF,25,FALSE)*$Q198/100</f>
        <v>0</v>
      </c>
      <c r="AM198" s="583">
        <f>VLOOKUP($H198,Nutrition_tables!$A:$AF,26,FALSE)*$Q198/100</f>
        <v>0</v>
      </c>
      <c r="AN198" s="583">
        <f>VLOOKUP($H198,Nutrition_tables!$A:$AF,27,FALSE)*$Q198/100</f>
        <v>0</v>
      </c>
      <c r="AO198" s="583">
        <f>VLOOKUP($H198,Nutrition_tables!$A:$AF,28,FALSE)*$Q198/100</f>
        <v>0</v>
      </c>
      <c r="AP198" s="583">
        <f>VLOOKUP($H198,Nutrition_tables!$A:$AF,29,FALSE)*$Q198/100</f>
        <v>0</v>
      </c>
      <c r="AQ198" s="583">
        <f>VLOOKUP($H198,Nutrition_tables!$A:$AF,30,FALSE)*$Q198/100</f>
        <v>0</v>
      </c>
      <c r="AR198" s="583">
        <f>VLOOKUP($H198,Nutrition_tables!$A:$AF,31,FALSE)*$Q198/100</f>
        <v>0</v>
      </c>
      <c r="AS198" s="549">
        <f>VLOOKUP($H198,Nutrition_tables!$A:$AF,32,FALSE)*$Q198/100</f>
        <v>0</v>
      </c>
      <c r="AT198" s="583" t="str">
        <f>IF(H198="Select ingredient:","",IF(G198="Select food category:","",IFERROR(VLOOKUP($H198,Ingredient_prices!$E:$W,17,FALSE)*$Q198/1000,"not bought")))</f>
        <v/>
      </c>
      <c r="AU198" s="583" t="str">
        <f>IF(H198="Select ingredient:","",IF(G198="Select food category:","",IFERROR(VLOOKUP($H198,Ingredient_prices!$E:$W,18,FALSE)*$Q198/1000,"not bought")))</f>
        <v/>
      </c>
      <c r="AV198" s="583">
        <f t="shared" si="442"/>
        <v>0</v>
      </c>
      <c r="AW198" s="583">
        <f t="shared" si="443"/>
        <v>0</v>
      </c>
      <c r="AX198" s="583">
        <f t="shared" si="444"/>
        <v>0</v>
      </c>
      <c r="AY198" s="583">
        <f t="shared" si="445"/>
        <v>0</v>
      </c>
      <c r="AZ198" s="583">
        <f t="shared" si="446"/>
        <v>0</v>
      </c>
      <c r="BA198" s="583">
        <f t="shared" si="447"/>
        <v>0</v>
      </c>
      <c r="BB198" s="583">
        <f t="shared" si="448"/>
        <v>0</v>
      </c>
      <c r="BC198" s="583">
        <f t="shared" si="449"/>
        <v>0</v>
      </c>
      <c r="BD198" s="583">
        <f t="shared" si="450"/>
        <v>0</v>
      </c>
      <c r="BE198" s="583">
        <f t="shared" si="451"/>
        <v>0</v>
      </c>
      <c r="BF198" s="583">
        <f t="shared" si="452"/>
        <v>0</v>
      </c>
      <c r="BG198" s="583">
        <f t="shared" si="453"/>
        <v>0</v>
      </c>
      <c r="BH198" s="583">
        <f t="shared" si="454"/>
        <v>0</v>
      </c>
      <c r="BI198" s="583">
        <f t="shared" si="455"/>
        <v>0</v>
      </c>
      <c r="BJ198" s="583">
        <f t="shared" si="456"/>
        <v>0</v>
      </c>
      <c r="BK198" s="583">
        <f t="shared" si="457"/>
        <v>0</v>
      </c>
      <c r="BL198" s="583">
        <f t="shared" si="458"/>
        <v>0</v>
      </c>
      <c r="BM198" s="583">
        <f t="shared" si="459"/>
        <v>0</v>
      </c>
      <c r="BN198" s="583">
        <f t="shared" si="460"/>
        <v>0</v>
      </c>
      <c r="BO198" s="583">
        <f t="shared" si="461"/>
        <v>0</v>
      </c>
      <c r="BP198" s="583">
        <f t="shared" si="462"/>
        <v>0</v>
      </c>
      <c r="BQ198" s="583">
        <f t="shared" si="463"/>
        <v>0</v>
      </c>
      <c r="BR198" s="583">
        <f t="shared" si="464"/>
        <v>0</v>
      </c>
    </row>
    <row r="199" spans="1:70" s="229" customFormat="1" ht="15" customHeight="1">
      <c r="A199" s="574"/>
      <c r="D199" s="85"/>
      <c r="E199" s="576" t="str">
        <f t="shared" si="465"/>
        <v/>
      </c>
      <c r="F199" s="707"/>
      <c r="G199" s="406" t="s">
        <v>3054</v>
      </c>
      <c r="H199" s="1262" t="s">
        <v>3055</v>
      </c>
      <c r="I199" s="85">
        <v>0</v>
      </c>
      <c r="J199" s="682">
        <v>1</v>
      </c>
      <c r="K199" s="579" t="str">
        <f t="shared" si="439"/>
        <v/>
      </c>
      <c r="L199" s="580" t="str">
        <f>IF(H199="Select ingredient:","",IF(G199="","",_xlfn.IFNA(VLOOKUP($H199,Ingredient_prices!$E:$U,16,FALSE),0)))</f>
        <v/>
      </c>
      <c r="M199" s="840"/>
      <c r="N199" s="840"/>
      <c r="O199" s="581"/>
      <c r="P199" s="586"/>
      <c r="Q199" s="583">
        <f t="shared" si="440"/>
        <v>0</v>
      </c>
      <c r="R199" s="583">
        <f>VLOOKUP($H199,'CO2_emission+%_food_waste'!$A:$K,6,FALSE)*$Q199/100</f>
        <v>0</v>
      </c>
      <c r="S199" s="583">
        <f t="shared" si="441"/>
        <v>0</v>
      </c>
      <c r="T199" s="583" t="str">
        <f>IF(H199="Select ingredient:","",IF(G199="Select food category:","",_xlfn.IFNA(VLOOKUP($H199,Ingredient_prices!$E:$U,16,FALSE)*$Q199/1000,"not bought")))</f>
        <v/>
      </c>
      <c r="U199" s="583" t="str">
        <f>IF(G199="Select food category:","",_xlfn.IFNA(VLOOKUP($H199,Ingredient_prices!$E:$U,16,FALSE)*$R199/1000,"not bought"))</f>
        <v/>
      </c>
      <c r="V199" s="549">
        <f>VLOOKUP($H199,'CO2_emission+%_food_waste'!$A:$K,4,FALSE)*$Q199</f>
        <v>0</v>
      </c>
      <c r="W199" s="583">
        <f>VLOOKUP($H199,Nutrition_tables!$A:$N,10,FALSE)*$Q199/100</f>
        <v>0</v>
      </c>
      <c r="X199" s="583">
        <f>VLOOKUP($H199,Nutrition_tables!$A:$N,11,FALSE)*$Q199/100</f>
        <v>0</v>
      </c>
      <c r="Y199" s="583">
        <f>VLOOKUP($H199,Nutrition_tables!$A:$N,12,FALSE)*$Q199/100</f>
        <v>0</v>
      </c>
      <c r="Z199" s="583">
        <f>VLOOKUP($H199,Nutrition_tables!$A:$N,14,FALSE)*$Q199/100</f>
        <v>0</v>
      </c>
      <c r="AA199" s="583">
        <f>VLOOKUP($H199,Nutrition_tables!$A:$AF,13,FALSE)*$Q199/100</f>
        <v>0</v>
      </c>
      <c r="AB199" s="549">
        <f>VLOOKUP($H199,Nutrition_tables!$A:$AF,15,FALSE)*$Q199/100</f>
        <v>0</v>
      </c>
      <c r="AC199" s="583">
        <f>VLOOKUP($H199,Nutrition_tables!$A:$AF,16,FALSE)*$Q199/100</f>
        <v>0</v>
      </c>
      <c r="AD199" s="583">
        <f>VLOOKUP($H199,Nutrition_tables!$A:$AF,17,FALSE)*$Q199/100</f>
        <v>0</v>
      </c>
      <c r="AE199" s="583">
        <f>VLOOKUP($H199,Nutrition_tables!$A:$AF,18,FALSE)*$Q199/100</f>
        <v>0</v>
      </c>
      <c r="AF199" s="583">
        <f>VLOOKUP($H199,Nutrition_tables!$A:$AF,19,FALSE)*$Q199/100</f>
        <v>0</v>
      </c>
      <c r="AG199" s="583">
        <f>VLOOKUP($H199,Nutrition_tables!$A:$AF,20,FALSE)*$Q199/100</f>
        <v>0</v>
      </c>
      <c r="AH199" s="583">
        <f>VLOOKUP($H199,Nutrition_tables!$A:$AF,21,FALSE)*$Q199/100</f>
        <v>0</v>
      </c>
      <c r="AI199" s="583">
        <f>VLOOKUP($H199,Nutrition_tables!$A:$AF,22,FALSE)*$Q199/100</f>
        <v>0</v>
      </c>
      <c r="AJ199" s="549">
        <f>VLOOKUP($H199,Nutrition_tables!$A:$AF,23,FALSE)*$Q199/100</f>
        <v>0</v>
      </c>
      <c r="AK199" s="583">
        <f>VLOOKUP($H199,Nutrition_tables!$A:$AF,24,FALSE)*$Q199/100</f>
        <v>0</v>
      </c>
      <c r="AL199" s="583">
        <f>VLOOKUP($H199,Nutrition_tables!$A:$AF,25,FALSE)*$Q199/100</f>
        <v>0</v>
      </c>
      <c r="AM199" s="583">
        <f>VLOOKUP($H199,Nutrition_tables!$A:$AF,26,FALSE)*$Q199/100</f>
        <v>0</v>
      </c>
      <c r="AN199" s="583">
        <f>VLOOKUP($H199,Nutrition_tables!$A:$AF,27,FALSE)*$Q199/100</f>
        <v>0</v>
      </c>
      <c r="AO199" s="583">
        <f>VLOOKUP($H199,Nutrition_tables!$A:$AF,28,FALSE)*$Q199/100</f>
        <v>0</v>
      </c>
      <c r="AP199" s="583">
        <f>VLOOKUP($H199,Nutrition_tables!$A:$AF,29,FALSE)*$Q199/100</f>
        <v>0</v>
      </c>
      <c r="AQ199" s="583">
        <f>VLOOKUP($H199,Nutrition_tables!$A:$AF,30,FALSE)*$Q199/100</f>
        <v>0</v>
      </c>
      <c r="AR199" s="583">
        <f>VLOOKUP($H199,Nutrition_tables!$A:$AF,31,FALSE)*$Q199/100</f>
        <v>0</v>
      </c>
      <c r="AS199" s="549">
        <f>VLOOKUP($H199,Nutrition_tables!$A:$AF,32,FALSE)*$Q199/100</f>
        <v>0</v>
      </c>
      <c r="AT199" s="583" t="str">
        <f>IF(H199="Select ingredient:","",IF(G199="Select food category:","",IFERROR(VLOOKUP($H199,Ingredient_prices!$E:$W,17,FALSE)*$Q199/1000,"not bought")))</f>
        <v/>
      </c>
      <c r="AU199" s="583" t="str">
        <f>IF(H199="Select ingredient:","",IF(G199="Select food category:","",IFERROR(VLOOKUP($H199,Ingredient_prices!$E:$W,18,FALSE)*$Q199/1000,"not bought")))</f>
        <v/>
      </c>
      <c r="AV199" s="583">
        <f t="shared" si="442"/>
        <v>0</v>
      </c>
      <c r="AW199" s="583">
        <f t="shared" si="443"/>
        <v>0</v>
      </c>
      <c r="AX199" s="583">
        <f t="shared" si="444"/>
        <v>0</v>
      </c>
      <c r="AY199" s="583">
        <f t="shared" si="445"/>
        <v>0</v>
      </c>
      <c r="AZ199" s="583">
        <f t="shared" si="446"/>
        <v>0</v>
      </c>
      <c r="BA199" s="583">
        <f t="shared" si="447"/>
        <v>0</v>
      </c>
      <c r="BB199" s="583">
        <f t="shared" si="448"/>
        <v>0</v>
      </c>
      <c r="BC199" s="583">
        <f t="shared" si="449"/>
        <v>0</v>
      </c>
      <c r="BD199" s="583">
        <f t="shared" si="450"/>
        <v>0</v>
      </c>
      <c r="BE199" s="583">
        <f t="shared" si="451"/>
        <v>0</v>
      </c>
      <c r="BF199" s="583">
        <f t="shared" si="452"/>
        <v>0</v>
      </c>
      <c r="BG199" s="583">
        <f t="shared" si="453"/>
        <v>0</v>
      </c>
      <c r="BH199" s="583">
        <f t="shared" si="454"/>
        <v>0</v>
      </c>
      <c r="BI199" s="583">
        <f t="shared" si="455"/>
        <v>0</v>
      </c>
      <c r="BJ199" s="583">
        <f t="shared" si="456"/>
        <v>0</v>
      </c>
      <c r="BK199" s="583">
        <f t="shared" si="457"/>
        <v>0</v>
      </c>
      <c r="BL199" s="583">
        <f t="shared" si="458"/>
        <v>0</v>
      </c>
      <c r="BM199" s="583">
        <f t="shared" si="459"/>
        <v>0</v>
      </c>
      <c r="BN199" s="583">
        <f t="shared" si="460"/>
        <v>0</v>
      </c>
      <c r="BO199" s="583">
        <f t="shared" si="461"/>
        <v>0</v>
      </c>
      <c r="BP199" s="583">
        <f t="shared" si="462"/>
        <v>0</v>
      </c>
      <c r="BQ199" s="583">
        <f t="shared" si="463"/>
        <v>0</v>
      </c>
      <c r="BR199" s="583">
        <f t="shared" si="464"/>
        <v>0</v>
      </c>
    </row>
    <row r="200" spans="1:70" s="603" customFormat="1" ht="56">
      <c r="A200" s="574"/>
      <c r="B200" s="593"/>
      <c r="C200" s="522"/>
      <c r="D200" s="141"/>
      <c r="E200" s="594"/>
      <c r="F200" s="708"/>
      <c r="G200" s="522"/>
      <c r="H200" s="522"/>
      <c r="I200" s="86"/>
      <c r="J200" s="87"/>
      <c r="K200" s="595"/>
      <c r="L200" s="596"/>
      <c r="M200" s="841"/>
      <c r="N200" s="841"/>
      <c r="O200" s="581"/>
      <c r="P200" s="627"/>
      <c r="Q200" s="599" t="s">
        <v>384</v>
      </c>
      <c r="R200" s="600" t="s">
        <v>455</v>
      </c>
      <c r="S200" s="600" t="s">
        <v>2087</v>
      </c>
      <c r="T200" s="600" t="s">
        <v>456</v>
      </c>
      <c r="U200" s="600" t="s">
        <v>535</v>
      </c>
      <c r="V200" s="601" t="s">
        <v>457</v>
      </c>
      <c r="W200" s="600" t="s">
        <v>75</v>
      </c>
      <c r="X200" s="600" t="s">
        <v>385</v>
      </c>
      <c r="Y200" s="600" t="s">
        <v>386</v>
      </c>
      <c r="Z200" s="600" t="s">
        <v>387</v>
      </c>
      <c r="AA200" s="600" t="s">
        <v>388</v>
      </c>
      <c r="AB200" s="601" t="s">
        <v>389</v>
      </c>
      <c r="AC200" s="602" t="s">
        <v>390</v>
      </c>
      <c r="AD200" s="600" t="s">
        <v>391</v>
      </c>
      <c r="AE200" s="600" t="s">
        <v>392</v>
      </c>
      <c r="AF200" s="600" t="s">
        <v>393</v>
      </c>
      <c r="AG200" s="600" t="s">
        <v>394</v>
      </c>
      <c r="AH200" s="600" t="s">
        <v>395</v>
      </c>
      <c r="AI200" s="600" t="s">
        <v>396</v>
      </c>
      <c r="AJ200" s="601" t="s">
        <v>397</v>
      </c>
      <c r="AK200" s="602" t="s">
        <v>398</v>
      </c>
      <c r="AL200" s="600" t="s">
        <v>399</v>
      </c>
      <c r="AM200" s="600" t="s">
        <v>400</v>
      </c>
      <c r="AN200" s="600" t="s">
        <v>401</v>
      </c>
      <c r="AO200" s="600" t="s">
        <v>402</v>
      </c>
      <c r="AP200" s="600" t="s">
        <v>406</v>
      </c>
      <c r="AQ200" s="600" t="s">
        <v>405</v>
      </c>
      <c r="AR200" s="600" t="s">
        <v>403</v>
      </c>
      <c r="AS200" s="601" t="s">
        <v>404</v>
      </c>
      <c r="AT200" s="593"/>
      <c r="AU200" s="593"/>
    </row>
    <row r="201" spans="1:70" s="229" customFormat="1">
      <c r="A201" s="574"/>
      <c r="B201" s="593"/>
      <c r="C201" s="522"/>
      <c r="D201" s="141"/>
      <c r="E201" s="594"/>
      <c r="F201" s="708"/>
      <c r="G201" s="522"/>
      <c r="H201" s="522"/>
      <c r="I201" s="86"/>
      <c r="J201" s="87"/>
      <c r="K201" s="595"/>
      <c r="L201" s="604"/>
      <c r="M201" s="581"/>
      <c r="N201" s="581"/>
      <c r="O201" s="581"/>
      <c r="P201" s="628" t="s">
        <v>383</v>
      </c>
      <c r="Q201" s="583">
        <f>SUM(Q188:Q199)</f>
        <v>0</v>
      </c>
      <c r="R201" s="583">
        <f t="shared" ref="R201:V201" si="466">SUM(R188:R199)</f>
        <v>0</v>
      </c>
      <c r="S201" s="583">
        <f>SUM(S188:S199)</f>
        <v>0</v>
      </c>
      <c r="T201" s="583">
        <f t="shared" ref="T201:U201" si="467">SUM(T188:T199)</f>
        <v>0</v>
      </c>
      <c r="U201" s="583">
        <f t="shared" si="467"/>
        <v>0</v>
      </c>
      <c r="V201" s="549">
        <f t="shared" si="466"/>
        <v>0</v>
      </c>
      <c r="W201" s="583">
        <f t="shared" ref="W201:AS201" si="468">SUM(W188:W199)</f>
        <v>0</v>
      </c>
      <c r="X201" s="583">
        <f t="shared" si="468"/>
        <v>0</v>
      </c>
      <c r="Y201" s="583">
        <f t="shared" si="468"/>
        <v>0</v>
      </c>
      <c r="Z201" s="583">
        <f t="shared" si="468"/>
        <v>0</v>
      </c>
      <c r="AA201" s="583">
        <f t="shared" si="468"/>
        <v>0</v>
      </c>
      <c r="AB201" s="549">
        <f t="shared" si="468"/>
        <v>0</v>
      </c>
      <c r="AC201" s="583">
        <f t="shared" si="468"/>
        <v>0</v>
      </c>
      <c r="AD201" s="583">
        <f t="shared" si="468"/>
        <v>0</v>
      </c>
      <c r="AE201" s="583">
        <f t="shared" si="468"/>
        <v>0</v>
      </c>
      <c r="AF201" s="583">
        <f t="shared" si="468"/>
        <v>0</v>
      </c>
      <c r="AG201" s="583">
        <f t="shared" si="468"/>
        <v>0</v>
      </c>
      <c r="AH201" s="583">
        <f t="shared" si="468"/>
        <v>0</v>
      </c>
      <c r="AI201" s="583">
        <f t="shared" si="468"/>
        <v>0</v>
      </c>
      <c r="AJ201" s="549">
        <f t="shared" si="468"/>
        <v>0</v>
      </c>
      <c r="AK201" s="583">
        <f t="shared" si="468"/>
        <v>0</v>
      </c>
      <c r="AL201" s="583">
        <f t="shared" si="468"/>
        <v>0</v>
      </c>
      <c r="AM201" s="583">
        <f t="shared" si="468"/>
        <v>0</v>
      </c>
      <c r="AN201" s="583">
        <f t="shared" si="468"/>
        <v>0</v>
      </c>
      <c r="AO201" s="583">
        <f t="shared" si="468"/>
        <v>0</v>
      </c>
      <c r="AP201" s="583">
        <f t="shared" si="468"/>
        <v>0</v>
      </c>
      <c r="AQ201" s="583">
        <f t="shared" si="468"/>
        <v>0</v>
      </c>
      <c r="AR201" s="583">
        <f t="shared" si="468"/>
        <v>0</v>
      </c>
      <c r="AS201" s="549">
        <f t="shared" si="468"/>
        <v>0</v>
      </c>
      <c r="AT201" s="5">
        <f t="shared" ref="AT201:AU201" si="469">SUM(AT188:AT199)</f>
        <v>0</v>
      </c>
      <c r="AU201" s="5">
        <f t="shared" si="469"/>
        <v>0</v>
      </c>
      <c r="AV201" s="545">
        <f t="shared" ref="AV201:BR201" si="470">SUM(AV188:AV199)</f>
        <v>0</v>
      </c>
      <c r="AW201" s="545">
        <f t="shared" si="470"/>
        <v>0</v>
      </c>
      <c r="AX201" s="545">
        <f t="shared" si="470"/>
        <v>0</v>
      </c>
      <c r="AY201" s="545">
        <f t="shared" si="470"/>
        <v>0</v>
      </c>
      <c r="AZ201" s="545">
        <f t="shared" si="470"/>
        <v>0</v>
      </c>
      <c r="BA201" s="545">
        <f t="shared" si="470"/>
        <v>0</v>
      </c>
      <c r="BB201" s="545">
        <f t="shared" si="470"/>
        <v>0</v>
      </c>
      <c r="BC201" s="545">
        <f t="shared" si="470"/>
        <v>0</v>
      </c>
      <c r="BD201" s="545">
        <f t="shared" si="470"/>
        <v>0</v>
      </c>
      <c r="BE201" s="545">
        <f t="shared" si="470"/>
        <v>0</v>
      </c>
      <c r="BF201" s="545">
        <f t="shared" si="470"/>
        <v>0</v>
      </c>
      <c r="BG201" s="545">
        <f t="shared" si="470"/>
        <v>0</v>
      </c>
      <c r="BH201" s="545">
        <f t="shared" si="470"/>
        <v>0</v>
      </c>
      <c r="BI201" s="545">
        <f t="shared" si="470"/>
        <v>0</v>
      </c>
      <c r="BJ201" s="545">
        <f t="shared" si="470"/>
        <v>0</v>
      </c>
      <c r="BK201" s="545">
        <f t="shared" si="470"/>
        <v>0</v>
      </c>
      <c r="BL201" s="545">
        <f t="shared" si="470"/>
        <v>0</v>
      </c>
      <c r="BM201" s="545">
        <f t="shared" si="470"/>
        <v>0</v>
      </c>
      <c r="BN201" s="545">
        <f t="shared" si="470"/>
        <v>0</v>
      </c>
      <c r="BO201" s="545">
        <f t="shared" si="470"/>
        <v>0</v>
      </c>
      <c r="BP201" s="545">
        <f t="shared" si="470"/>
        <v>0</v>
      </c>
      <c r="BQ201" s="545">
        <f t="shared" si="470"/>
        <v>0</v>
      </c>
      <c r="BR201" s="545">
        <f t="shared" si="470"/>
        <v>0</v>
      </c>
    </row>
    <row r="202" spans="1:70" s="229" customFormat="1">
      <c r="A202" s="574"/>
      <c r="B202" s="593"/>
      <c r="C202" s="522"/>
      <c r="D202" s="141"/>
      <c r="E202" s="594"/>
      <c r="F202" s="708"/>
      <c r="G202" s="522"/>
      <c r="H202" s="522"/>
      <c r="I202" s="86"/>
      <c r="J202" s="87"/>
      <c r="K202" s="595"/>
      <c r="L202" s="604"/>
      <c r="M202" s="581"/>
      <c r="N202" s="581"/>
      <c r="O202" s="581"/>
      <c r="P202" s="628" t="s">
        <v>539</v>
      </c>
      <c r="V202" s="526"/>
      <c r="W202" s="229">
        <v>185.5</v>
      </c>
      <c r="X202" s="229">
        <v>23.200000000000003</v>
      </c>
      <c r="Y202" s="229">
        <v>5.8000000000000007</v>
      </c>
      <c r="Z202" s="229">
        <v>6.2</v>
      </c>
      <c r="AA202" s="229">
        <v>1.9000000000000001</v>
      </c>
      <c r="AB202" s="526">
        <v>2</v>
      </c>
      <c r="AC202" s="229">
        <v>138</v>
      </c>
      <c r="AD202" s="229">
        <v>180</v>
      </c>
      <c r="AE202" s="229">
        <v>90</v>
      </c>
      <c r="AF202" s="229">
        <v>17</v>
      </c>
      <c r="AG202" s="229">
        <v>80</v>
      </c>
      <c r="AH202" s="229">
        <v>1</v>
      </c>
      <c r="AI202" s="229">
        <v>0.70000000000000007</v>
      </c>
      <c r="AJ202" s="526">
        <v>0.125</v>
      </c>
      <c r="AK202" s="229">
        <v>80</v>
      </c>
      <c r="AL202" s="229">
        <v>0.1</v>
      </c>
      <c r="AM202" s="229">
        <v>0.11000000000000001</v>
      </c>
      <c r="AN202" s="229">
        <v>1.2000000000000002</v>
      </c>
      <c r="AO202" s="229">
        <v>6.9999999999999993E-2</v>
      </c>
      <c r="AP202" s="229">
        <v>30</v>
      </c>
      <c r="AQ202" s="229">
        <v>0.18000000000000002</v>
      </c>
      <c r="AR202" s="229">
        <v>8</v>
      </c>
      <c r="AS202" s="526">
        <v>0.5</v>
      </c>
      <c r="AV202" s="229">
        <v>185.5</v>
      </c>
      <c r="AW202" s="229">
        <v>23.200000000000003</v>
      </c>
      <c r="AX202" s="229">
        <v>5.8000000000000007</v>
      </c>
      <c r="AY202" s="229">
        <v>6.2</v>
      </c>
      <c r="AZ202" s="229">
        <v>1.9000000000000001</v>
      </c>
      <c r="BA202" s="526">
        <v>2</v>
      </c>
      <c r="BB202" s="229">
        <v>138</v>
      </c>
      <c r="BC202" s="229">
        <v>180</v>
      </c>
      <c r="BD202" s="229">
        <v>90</v>
      </c>
      <c r="BE202" s="229">
        <v>17</v>
      </c>
      <c r="BF202" s="229">
        <v>80</v>
      </c>
      <c r="BG202" s="229">
        <v>1</v>
      </c>
      <c r="BH202" s="229">
        <v>0.70000000000000007</v>
      </c>
      <c r="BI202" s="526">
        <v>0.125</v>
      </c>
      <c r="BJ202" s="229">
        <v>80</v>
      </c>
      <c r="BK202" s="229">
        <v>0.1</v>
      </c>
      <c r="BL202" s="229">
        <v>0.11000000000000001</v>
      </c>
      <c r="BM202" s="229">
        <v>1.2000000000000002</v>
      </c>
      <c r="BN202" s="229">
        <v>6.9999999999999993E-2</v>
      </c>
      <c r="BO202" s="229">
        <v>30</v>
      </c>
      <c r="BP202" s="229">
        <v>0.18000000000000002</v>
      </c>
      <c r="BQ202" s="229">
        <v>8</v>
      </c>
      <c r="BR202" s="526">
        <v>0.5</v>
      </c>
    </row>
    <row r="203" spans="1:70" s="229" customFormat="1">
      <c r="A203" s="574"/>
      <c r="B203" s="593"/>
      <c r="C203" s="522"/>
      <c r="D203" s="141"/>
      <c r="E203" s="594"/>
      <c r="F203" s="708"/>
      <c r="G203" s="522"/>
      <c r="H203" s="522"/>
      <c r="I203" s="86"/>
      <c r="J203" s="87"/>
      <c r="K203" s="595"/>
      <c r="L203" s="604"/>
      <c r="M203" s="581"/>
      <c r="N203" s="581"/>
      <c r="O203" s="581"/>
      <c r="P203" s="628" t="s">
        <v>407</v>
      </c>
      <c r="V203" s="526"/>
      <c r="W203" s="514">
        <f t="shared" ref="W203:AS203" si="471">100*W201/W202</f>
        <v>0</v>
      </c>
      <c r="X203" s="514">
        <f t="shared" si="471"/>
        <v>0</v>
      </c>
      <c r="Y203" s="514">
        <f t="shared" si="471"/>
        <v>0</v>
      </c>
      <c r="Z203" s="514">
        <f t="shared" si="471"/>
        <v>0</v>
      </c>
      <c r="AA203" s="514">
        <f t="shared" si="471"/>
        <v>0</v>
      </c>
      <c r="AB203" s="506">
        <f t="shared" si="471"/>
        <v>0</v>
      </c>
      <c r="AC203" s="514">
        <f t="shared" si="471"/>
        <v>0</v>
      </c>
      <c r="AD203" s="514">
        <f t="shared" si="471"/>
        <v>0</v>
      </c>
      <c r="AE203" s="514">
        <f t="shared" si="471"/>
        <v>0</v>
      </c>
      <c r="AF203" s="514">
        <f t="shared" si="471"/>
        <v>0</v>
      </c>
      <c r="AG203" s="514">
        <f t="shared" si="471"/>
        <v>0</v>
      </c>
      <c r="AH203" s="514">
        <f t="shared" si="471"/>
        <v>0</v>
      </c>
      <c r="AI203" s="514">
        <f t="shared" si="471"/>
        <v>0</v>
      </c>
      <c r="AJ203" s="506">
        <f t="shared" si="471"/>
        <v>0</v>
      </c>
      <c r="AK203" s="514">
        <f t="shared" si="471"/>
        <v>0</v>
      </c>
      <c r="AL203" s="514">
        <f t="shared" si="471"/>
        <v>0</v>
      </c>
      <c r="AM203" s="514">
        <f t="shared" si="471"/>
        <v>0</v>
      </c>
      <c r="AN203" s="514">
        <f t="shared" si="471"/>
        <v>0</v>
      </c>
      <c r="AO203" s="514">
        <f t="shared" si="471"/>
        <v>0</v>
      </c>
      <c r="AP203" s="514">
        <f t="shared" si="471"/>
        <v>0</v>
      </c>
      <c r="AQ203" s="514">
        <f t="shared" si="471"/>
        <v>0</v>
      </c>
      <c r="AR203" s="514">
        <f t="shared" si="471"/>
        <v>0</v>
      </c>
      <c r="AS203" s="506">
        <f t="shared" si="471"/>
        <v>0</v>
      </c>
      <c r="AV203" s="505">
        <f t="shared" ref="AV203:BR203" si="472">100*AV201/AV202</f>
        <v>0</v>
      </c>
      <c r="AW203" s="505">
        <f t="shared" si="472"/>
        <v>0</v>
      </c>
      <c r="AX203" s="505">
        <f t="shared" si="472"/>
        <v>0</v>
      </c>
      <c r="AY203" s="505">
        <f t="shared" si="472"/>
        <v>0</v>
      </c>
      <c r="AZ203" s="505">
        <f t="shared" si="472"/>
        <v>0</v>
      </c>
      <c r="BA203" s="505">
        <f t="shared" si="472"/>
        <v>0</v>
      </c>
      <c r="BB203" s="505">
        <f t="shared" si="472"/>
        <v>0</v>
      </c>
      <c r="BC203" s="505">
        <f t="shared" si="472"/>
        <v>0</v>
      </c>
      <c r="BD203" s="505">
        <f t="shared" si="472"/>
        <v>0</v>
      </c>
      <c r="BE203" s="505">
        <f t="shared" si="472"/>
        <v>0</v>
      </c>
      <c r="BF203" s="505">
        <f t="shared" si="472"/>
        <v>0</v>
      </c>
      <c r="BG203" s="505">
        <f t="shared" si="472"/>
        <v>0</v>
      </c>
      <c r="BH203" s="505">
        <f t="shared" si="472"/>
        <v>0</v>
      </c>
      <c r="BI203" s="505">
        <f t="shared" si="472"/>
        <v>0</v>
      </c>
      <c r="BJ203" s="505">
        <f t="shared" si="472"/>
        <v>0</v>
      </c>
      <c r="BK203" s="505">
        <f t="shared" si="472"/>
        <v>0</v>
      </c>
      <c r="BL203" s="505">
        <f t="shared" si="472"/>
        <v>0</v>
      </c>
      <c r="BM203" s="505">
        <f t="shared" si="472"/>
        <v>0</v>
      </c>
      <c r="BN203" s="505">
        <f t="shared" si="472"/>
        <v>0</v>
      </c>
      <c r="BO203" s="505">
        <f t="shared" si="472"/>
        <v>0</v>
      </c>
      <c r="BP203" s="505">
        <f t="shared" si="472"/>
        <v>0</v>
      </c>
      <c r="BQ203" s="505">
        <f t="shared" si="472"/>
        <v>0</v>
      </c>
      <c r="BR203" s="505">
        <f t="shared" si="472"/>
        <v>0</v>
      </c>
    </row>
    <row r="204" spans="1:70" s="229" customFormat="1">
      <c r="A204" s="574"/>
      <c r="B204" s="593"/>
      <c r="C204" s="522"/>
      <c r="D204" s="141"/>
      <c r="E204" s="594"/>
      <c r="F204" s="708"/>
      <c r="G204" s="522"/>
      <c r="H204" s="522"/>
      <c r="I204" s="86"/>
      <c r="J204" s="87"/>
      <c r="K204" s="595"/>
      <c r="L204" s="604"/>
      <c r="M204" s="581"/>
      <c r="N204" s="581"/>
      <c r="O204" s="581"/>
      <c r="P204" s="628" t="s">
        <v>548</v>
      </c>
      <c r="V204" s="526"/>
      <c r="W204" s="583">
        <f>AV201</f>
        <v>0</v>
      </c>
      <c r="X204" s="583">
        <f t="shared" ref="X204:AD204" si="473">AW201</f>
        <v>0</v>
      </c>
      <c r="Y204" s="583">
        <f t="shared" si="473"/>
        <v>0</v>
      </c>
      <c r="Z204" s="583">
        <f t="shared" si="473"/>
        <v>0</v>
      </c>
      <c r="AA204" s="583">
        <f t="shared" si="473"/>
        <v>0</v>
      </c>
      <c r="AB204" s="549">
        <f t="shared" si="473"/>
        <v>0</v>
      </c>
      <c r="AC204" s="583">
        <f t="shared" si="473"/>
        <v>0</v>
      </c>
      <c r="AD204" s="583">
        <f t="shared" si="473"/>
        <v>0</v>
      </c>
      <c r="AE204" s="583">
        <f>BD201</f>
        <v>0</v>
      </c>
      <c r="AF204" s="583">
        <f t="shared" ref="AF204:AM204" si="474">BE201</f>
        <v>0</v>
      </c>
      <c r="AG204" s="583">
        <f t="shared" si="474"/>
        <v>0</v>
      </c>
      <c r="AH204" s="583">
        <f t="shared" si="474"/>
        <v>0</v>
      </c>
      <c r="AI204" s="583">
        <f t="shared" si="474"/>
        <v>0</v>
      </c>
      <c r="AJ204" s="549">
        <f t="shared" si="474"/>
        <v>0</v>
      </c>
      <c r="AK204" s="583">
        <f t="shared" si="474"/>
        <v>0</v>
      </c>
      <c r="AL204" s="583">
        <f t="shared" si="474"/>
        <v>0</v>
      </c>
      <c r="AM204" s="583">
        <f t="shared" si="474"/>
        <v>0</v>
      </c>
      <c r="AN204" s="583">
        <f>BM201</f>
        <v>0</v>
      </c>
      <c r="AO204" s="583">
        <f t="shared" ref="AO204:AR204" si="475">BN201</f>
        <v>0</v>
      </c>
      <c r="AP204" s="583">
        <f t="shared" si="475"/>
        <v>0</v>
      </c>
      <c r="AQ204" s="583">
        <f t="shared" si="475"/>
        <v>0</v>
      </c>
      <c r="AR204" s="583">
        <f t="shared" si="475"/>
        <v>0</v>
      </c>
      <c r="AS204" s="549">
        <f>BR201</f>
        <v>0</v>
      </c>
    </row>
    <row r="205" spans="1:70" s="229" customFormat="1" ht="15" thickBot="1">
      <c r="A205" s="574"/>
      <c r="B205" s="593"/>
      <c r="C205" s="522"/>
      <c r="D205" s="141"/>
      <c r="E205" s="594"/>
      <c r="F205" s="708"/>
      <c r="G205" s="522"/>
      <c r="H205" s="677"/>
      <c r="I205" s="86"/>
      <c r="J205" s="87"/>
      <c r="K205" s="595"/>
      <c r="L205" s="616"/>
      <c r="M205" s="842"/>
      <c r="N205" s="581"/>
      <c r="O205" s="581"/>
      <c r="P205" s="629" t="s">
        <v>546</v>
      </c>
      <c r="Q205" s="546"/>
      <c r="R205" s="546"/>
      <c r="S205" s="546"/>
      <c r="T205" s="546"/>
      <c r="U205" s="546"/>
      <c r="V205" s="529"/>
      <c r="W205" s="502">
        <f t="shared" ref="W205:AS205" si="476">AV203</f>
        <v>0</v>
      </c>
      <c r="X205" s="502">
        <f t="shared" si="476"/>
        <v>0</v>
      </c>
      <c r="Y205" s="502">
        <f t="shared" si="476"/>
        <v>0</v>
      </c>
      <c r="Z205" s="502">
        <f t="shared" si="476"/>
        <v>0</v>
      </c>
      <c r="AA205" s="502">
        <f t="shared" si="476"/>
        <v>0</v>
      </c>
      <c r="AB205" s="503">
        <f t="shared" si="476"/>
        <v>0</v>
      </c>
      <c r="AC205" s="502">
        <f t="shared" si="476"/>
        <v>0</v>
      </c>
      <c r="AD205" s="502">
        <f t="shared" si="476"/>
        <v>0</v>
      </c>
      <c r="AE205" s="502">
        <f t="shared" si="476"/>
        <v>0</v>
      </c>
      <c r="AF205" s="502">
        <f t="shared" si="476"/>
        <v>0</v>
      </c>
      <c r="AG205" s="502">
        <f t="shared" si="476"/>
        <v>0</v>
      </c>
      <c r="AH205" s="502">
        <f t="shared" si="476"/>
        <v>0</v>
      </c>
      <c r="AI205" s="502">
        <f t="shared" si="476"/>
        <v>0</v>
      </c>
      <c r="AJ205" s="503">
        <f t="shared" si="476"/>
        <v>0</v>
      </c>
      <c r="AK205" s="502">
        <f t="shared" si="476"/>
        <v>0</v>
      </c>
      <c r="AL205" s="502">
        <f t="shared" si="476"/>
        <v>0</v>
      </c>
      <c r="AM205" s="502">
        <f t="shared" si="476"/>
        <v>0</v>
      </c>
      <c r="AN205" s="502">
        <f t="shared" si="476"/>
        <v>0</v>
      </c>
      <c r="AO205" s="502">
        <f t="shared" si="476"/>
        <v>0</v>
      </c>
      <c r="AP205" s="502">
        <f t="shared" si="476"/>
        <v>0</v>
      </c>
      <c r="AQ205" s="502">
        <f t="shared" si="476"/>
        <v>0</v>
      </c>
      <c r="AR205" s="502">
        <f t="shared" si="476"/>
        <v>0</v>
      </c>
      <c r="AS205" s="503">
        <f t="shared" si="476"/>
        <v>0</v>
      </c>
      <c r="AT205" s="1296"/>
      <c r="AU205" s="1296"/>
      <c r="AV205" s="514"/>
      <c r="AW205" s="514"/>
      <c r="AX205" s="514"/>
      <c r="AY205" s="514"/>
      <c r="AZ205" s="514"/>
      <c r="BA205" s="505"/>
      <c r="BB205" s="514"/>
      <c r="BC205" s="514"/>
      <c r="BD205" s="514"/>
      <c r="BE205" s="514"/>
      <c r="BF205" s="514"/>
      <c r="BG205" s="514"/>
      <c r="BH205" s="514"/>
      <c r="BI205" s="505"/>
      <c r="BJ205" s="514"/>
      <c r="BK205" s="514"/>
      <c r="BL205" s="514"/>
      <c r="BM205" s="514"/>
      <c r="BN205" s="514"/>
      <c r="BO205" s="514"/>
      <c r="BP205" s="514"/>
      <c r="BQ205" s="514"/>
      <c r="BR205" s="505"/>
    </row>
    <row r="206" spans="1:70" s="229" customFormat="1">
      <c r="A206" s="574"/>
      <c r="B206" s="593"/>
      <c r="C206" s="522"/>
      <c r="D206" s="141"/>
      <c r="E206" s="594"/>
      <c r="F206" s="708"/>
      <c r="G206" s="522"/>
      <c r="H206" s="677"/>
      <c r="I206" s="86"/>
      <c r="J206" s="87"/>
      <c r="K206" s="595"/>
      <c r="L206" s="604"/>
      <c r="M206" s="581"/>
      <c r="N206" s="581"/>
      <c r="O206" s="581"/>
      <c r="P206" s="628" t="s">
        <v>550</v>
      </c>
      <c r="Q206" s="514">
        <f t="shared" ref="Q206:R206" si="477">Q131+Q150+Q182+Q201</f>
        <v>760.4</v>
      </c>
      <c r="R206" s="514">
        <f t="shared" si="477"/>
        <v>167.89374000000001</v>
      </c>
      <c r="S206" s="514"/>
      <c r="T206" s="514">
        <f>T131+T150+T182+T201</f>
        <v>101.93230428571428</v>
      </c>
      <c r="U206" s="514">
        <f>U131+U150+U182+U201</f>
        <v>19.003324157428573</v>
      </c>
      <c r="V206" s="514">
        <f>V131+V150+V182+V201</f>
        <v>1248.8599999999999</v>
      </c>
      <c r="W206" s="514">
        <f>W131+W150+W182+W201</f>
        <v>1228.0577166666665</v>
      </c>
      <c r="X206" s="514">
        <f>X131+X150+X182+X201</f>
        <v>208.44999362848236</v>
      </c>
      <c r="Y206" s="514">
        <f t="shared" ref="Y206:AU206" si="478">Y131+Y150+Y182+Y201</f>
        <v>36.344812996196922</v>
      </c>
      <c r="Z206" s="514">
        <f t="shared" si="478"/>
        <v>23.885078733258666</v>
      </c>
      <c r="AA206" s="514">
        <f t="shared" si="478"/>
        <v>16.879228199776001</v>
      </c>
      <c r="AB206" s="506">
        <f t="shared" si="478"/>
        <v>9.401496853236269</v>
      </c>
      <c r="AC206" s="514">
        <f t="shared" si="478"/>
        <v>748.88760000000002</v>
      </c>
      <c r="AD206" s="514">
        <f t="shared" si="478"/>
        <v>1440.0664868868869</v>
      </c>
      <c r="AE206" s="514">
        <f t="shared" si="478"/>
        <v>363.7056</v>
      </c>
      <c r="AF206" s="514">
        <f t="shared" si="478"/>
        <v>178.09642887854523</v>
      </c>
      <c r="AG206" s="514">
        <f t="shared" si="478"/>
        <v>605.12343017150488</v>
      </c>
      <c r="AH206" s="514">
        <f t="shared" si="478"/>
        <v>5.3919242694449858</v>
      </c>
      <c r="AI206" s="514">
        <f t="shared" si="478"/>
        <v>5.7045546996080034</v>
      </c>
      <c r="AJ206" s="506">
        <f t="shared" si="478"/>
        <v>0.92169464996996986</v>
      </c>
      <c r="AK206" s="514">
        <f t="shared" si="478"/>
        <v>467.00160768234912</v>
      </c>
      <c r="AL206" s="514">
        <f t="shared" si="478"/>
        <v>0.58771211394831591</v>
      </c>
      <c r="AM206" s="514">
        <f t="shared" si="478"/>
        <v>0.55048869862230043</v>
      </c>
      <c r="AN206" s="514">
        <f t="shared" si="478"/>
        <v>11.1534575797107</v>
      </c>
      <c r="AO206" s="514">
        <f t="shared" si="478"/>
        <v>0.76156123336592763</v>
      </c>
      <c r="AP206" s="514">
        <f t="shared" si="478"/>
        <v>174.6519713793794</v>
      </c>
      <c r="AQ206" s="514">
        <f t="shared" si="478"/>
        <v>0.98647998787208024</v>
      </c>
      <c r="AR206" s="514">
        <f t="shared" si="478"/>
        <v>43.394600000000004</v>
      </c>
      <c r="AS206" s="506">
        <f t="shared" si="478"/>
        <v>0.54982069941403966</v>
      </c>
      <c r="AT206" s="514">
        <f t="shared" si="478"/>
        <v>90.202304285714291</v>
      </c>
      <c r="AU206" s="514">
        <f t="shared" si="478"/>
        <v>101.93230428571428</v>
      </c>
      <c r="AV206" s="514"/>
      <c r="AW206" s="514"/>
      <c r="AX206" s="514"/>
      <c r="AY206" s="514"/>
      <c r="AZ206" s="514"/>
      <c r="BA206" s="505"/>
      <c r="BB206" s="514"/>
      <c r="BC206" s="514"/>
      <c r="BD206" s="514"/>
      <c r="BE206" s="514"/>
      <c r="BF206" s="514"/>
      <c r="BG206" s="514"/>
      <c r="BH206" s="514"/>
      <c r="BI206" s="505"/>
      <c r="BJ206" s="514"/>
      <c r="BK206" s="514"/>
      <c r="BL206" s="514"/>
      <c r="BM206" s="514"/>
      <c r="BN206" s="514"/>
      <c r="BO206" s="514"/>
      <c r="BP206" s="514"/>
      <c r="BQ206" s="514"/>
      <c r="BR206" s="505"/>
    </row>
    <row r="207" spans="1:70" s="229" customFormat="1">
      <c r="A207" s="574"/>
      <c r="B207" s="593"/>
      <c r="C207" s="522"/>
      <c r="D207" s="141"/>
      <c r="E207" s="594"/>
      <c r="F207" s="708"/>
      <c r="G207" s="522"/>
      <c r="H207" s="677"/>
      <c r="I207" s="86"/>
      <c r="J207" s="87"/>
      <c r="K207" s="595"/>
      <c r="L207" s="604"/>
      <c r="M207" s="581"/>
      <c r="N207" s="581"/>
      <c r="O207" s="581"/>
      <c r="P207" s="630" t="s">
        <v>549</v>
      </c>
      <c r="V207" s="526"/>
      <c r="W207" s="514">
        <f>W134+W153+W185+W204</f>
        <v>994.50439142849791</v>
      </c>
      <c r="X207" s="514">
        <f>X134+X153+X185+X204</f>
        <v>167.80301748263599</v>
      </c>
      <c r="Y207" s="514">
        <f t="shared" ref="Y207:AS207" si="479">Y134+Y153+Y185+Y204</f>
        <v>29.09289472263346</v>
      </c>
      <c r="Z207" s="514">
        <f t="shared" si="479"/>
        <v>20.246889895077082</v>
      </c>
      <c r="AA207" s="514">
        <f t="shared" si="479"/>
        <v>12.473303920685739</v>
      </c>
      <c r="AB207" s="506">
        <f t="shared" si="479"/>
        <v>8.5674706437567849</v>
      </c>
      <c r="AC207" s="514">
        <f t="shared" si="479"/>
        <v>521.9781690810737</v>
      </c>
      <c r="AD207" s="514">
        <f t="shared" si="479"/>
        <v>1064.0677413037165</v>
      </c>
      <c r="AE207" s="514">
        <f t="shared" si="479"/>
        <v>290.66138204708454</v>
      </c>
      <c r="AF207" s="514">
        <f t="shared" si="479"/>
        <v>143.39403726927216</v>
      </c>
      <c r="AG207" s="514">
        <f t="shared" si="479"/>
        <v>474.28017928495592</v>
      </c>
      <c r="AH207" s="514">
        <f t="shared" si="479"/>
        <v>4.061391304879451</v>
      </c>
      <c r="AI207" s="514">
        <f t="shared" si="479"/>
        <v>4.2462007159096355</v>
      </c>
      <c r="AJ207" s="506">
        <f t="shared" si="479"/>
        <v>0.67468507530327348</v>
      </c>
      <c r="AK207" s="514">
        <f t="shared" si="479"/>
        <v>368.8457629604552</v>
      </c>
      <c r="AL207" s="514">
        <f t="shared" si="479"/>
        <v>0.43716364296051885</v>
      </c>
      <c r="AM207" s="514">
        <f t="shared" si="479"/>
        <v>0.43459019665865628</v>
      </c>
      <c r="AN207" s="514">
        <f t="shared" si="479"/>
        <v>8.5502371792266771</v>
      </c>
      <c r="AO207" s="514">
        <f t="shared" si="479"/>
        <v>0.56517207336142605</v>
      </c>
      <c r="AP207" s="514">
        <f t="shared" si="479"/>
        <v>130.41971327566171</v>
      </c>
      <c r="AQ207" s="514">
        <f t="shared" si="479"/>
        <v>0.79610048766591124</v>
      </c>
      <c r="AR207" s="514">
        <f t="shared" si="479"/>
        <v>31.887552958136318</v>
      </c>
      <c r="AS207" s="506">
        <f t="shared" si="479"/>
        <v>0.42447697644013505</v>
      </c>
      <c r="AV207" s="514"/>
      <c r="AW207" s="514"/>
      <c r="AX207" s="514"/>
      <c r="AY207" s="514"/>
      <c r="AZ207" s="514"/>
      <c r="BA207" s="505"/>
      <c r="BB207" s="514"/>
      <c r="BC207" s="514"/>
      <c r="BD207" s="514"/>
      <c r="BE207" s="514"/>
      <c r="BF207" s="514"/>
      <c r="BG207" s="514"/>
      <c r="BH207" s="514"/>
      <c r="BI207" s="505"/>
      <c r="BJ207" s="514"/>
      <c r="BK207" s="514"/>
      <c r="BL207" s="514"/>
      <c r="BM207" s="514"/>
      <c r="BN207" s="514"/>
      <c r="BO207" s="514"/>
      <c r="BP207" s="514"/>
      <c r="BQ207" s="514"/>
      <c r="BR207" s="505"/>
    </row>
    <row r="208" spans="1:70" s="229" customFormat="1" ht="16" thickBot="1">
      <c r="A208" s="587"/>
      <c r="B208" s="587"/>
      <c r="C208" s="587"/>
      <c r="D208" s="111"/>
      <c r="E208" s="631"/>
      <c r="F208" s="712"/>
      <c r="G208" s="632" t="s">
        <v>795</v>
      </c>
      <c r="H208" s="633"/>
      <c r="I208" s="686"/>
      <c r="J208" s="686"/>
      <c r="K208" s="587"/>
      <c r="L208" s="634"/>
      <c r="M208" s="843"/>
      <c r="N208" s="843"/>
      <c r="O208" s="588"/>
      <c r="P208" s="587"/>
      <c r="Q208" s="587"/>
      <c r="R208" s="587"/>
      <c r="S208" s="587"/>
      <c r="T208" s="587"/>
      <c r="U208" s="635"/>
      <c r="V208" s="636"/>
      <c r="W208" s="587"/>
      <c r="X208" s="587"/>
      <c r="Y208" s="587"/>
      <c r="Z208" s="587"/>
      <c r="AA208" s="637">
        <f>COUNTIF(AA209:AA228,"&lt;0")</f>
        <v>0</v>
      </c>
      <c r="AB208" s="637">
        <f t="shared" ref="AB208" si="480">COUNTIF(AB209:AB228,"&lt;0")</f>
        <v>0</v>
      </c>
      <c r="AC208" s="637">
        <f t="shared" ref="AC208" si="481">COUNTIF(AC209:AC228,"&lt;0")</f>
        <v>0</v>
      </c>
      <c r="AD208" s="637">
        <f t="shared" ref="AD208" si="482">COUNTIF(AD209:AD228,"&lt;0")</f>
        <v>0</v>
      </c>
      <c r="AE208" s="637">
        <f t="shared" ref="AE208" si="483">COUNTIF(AE209:AE228,"&lt;0")</f>
        <v>0</v>
      </c>
      <c r="AF208" s="637">
        <f t="shared" ref="AF208" si="484">COUNTIF(AF209:AF228,"&lt;0")</f>
        <v>0</v>
      </c>
      <c r="AG208" s="637">
        <f t="shared" ref="AG208" si="485">COUNTIF(AG209:AG228,"&lt;0")</f>
        <v>0</v>
      </c>
      <c r="AH208" s="637">
        <f t="shared" ref="AH208" si="486">COUNTIF(AH209:AH228,"&lt;0")</f>
        <v>0</v>
      </c>
      <c r="AI208" s="637">
        <f t="shared" ref="AI208" si="487">COUNTIF(AI209:AI228,"&lt;0")</f>
        <v>0</v>
      </c>
      <c r="AJ208" s="637">
        <f t="shared" ref="AJ208" si="488">COUNTIF(AJ209:AJ228,"&lt;0")</f>
        <v>0</v>
      </c>
      <c r="AK208" s="637">
        <f t="shared" ref="AK208" si="489">COUNTIF(AK209:AK228,"&lt;0")</f>
        <v>0</v>
      </c>
      <c r="AL208" s="637">
        <f t="shared" ref="AL208" si="490">COUNTIF(AL209:AL228,"&lt;0")</f>
        <v>0</v>
      </c>
      <c r="AM208" s="637">
        <f t="shared" ref="AM208" si="491">COUNTIF(AM209:AM228,"&lt;0")</f>
        <v>0</v>
      </c>
      <c r="AN208" s="637">
        <f t="shared" ref="AN208" si="492">COUNTIF(AN209:AN228,"&lt;0")</f>
        <v>0</v>
      </c>
      <c r="AO208" s="637">
        <f t="shared" ref="AO208" si="493">COUNTIF(AO209:AO228,"&lt;0")</f>
        <v>0</v>
      </c>
      <c r="AP208" s="637">
        <f t="shared" ref="AP208" si="494">COUNTIF(AP209:AP228,"&lt;0")</f>
        <v>0</v>
      </c>
      <c r="AQ208" s="637">
        <f t="shared" ref="AQ208" si="495">COUNTIF(AQ209:AQ228,"&lt;0")</f>
        <v>0</v>
      </c>
      <c r="AR208" s="637">
        <f t="shared" ref="AR208" si="496">COUNTIF(AR209:AR228,"&lt;0")</f>
        <v>0</v>
      </c>
      <c r="AS208" s="637">
        <f t="shared" ref="AS208" si="497">COUNTIF(AS209:AS228,"&lt;0")</f>
        <v>0</v>
      </c>
      <c r="AT208" s="1298"/>
      <c r="AU208" s="1298"/>
    </row>
    <row r="209" spans="1:70" s="229" customFormat="1" ht="15" customHeight="1" thickBot="1">
      <c r="A209" s="587"/>
      <c r="B209" s="575" t="s">
        <v>3066</v>
      </c>
      <c r="C209" s="229" t="s">
        <v>67</v>
      </c>
      <c r="D209" s="85"/>
      <c r="E209" s="577">
        <v>100</v>
      </c>
      <c r="F209" s="707"/>
      <c r="G209" s="406" t="s">
        <v>3054</v>
      </c>
      <c r="H209" s="1262" t="s">
        <v>3055</v>
      </c>
      <c r="I209" s="85">
        <v>0</v>
      </c>
      <c r="J209" s="682">
        <v>1</v>
      </c>
      <c r="K209" s="579" t="str">
        <f t="shared" ref="K209:K228" si="498">IF(I209&gt;0,1.1*Q209*E209/1000,"")</f>
        <v/>
      </c>
      <c r="L209" s="580" t="str">
        <f>IF(H209="Select ingredient:","",IF(G209="","",_xlfn.IFNA(VLOOKUP($H209,Ingredient_prices!$E:$U,16,FALSE),0)))</f>
        <v/>
      </c>
      <c r="M209" s="844"/>
      <c r="N209" s="1228">
        <f>$W230</f>
        <v>0</v>
      </c>
      <c r="O209" s="588"/>
      <c r="P209" s="589"/>
      <c r="Q209" s="583">
        <f t="shared" ref="Q209:Q228" si="499">I209/J209</f>
        <v>0</v>
      </c>
      <c r="R209" s="583">
        <f>VLOOKUP($H209,'CO2_emission+%_food_waste'!$A:$K,6,FALSE)*$Q209/100</f>
        <v>0</v>
      </c>
      <c r="S209" s="583">
        <f>Q209-R209</f>
        <v>0</v>
      </c>
      <c r="T209" s="583" t="str">
        <f>IF(H209="Select ingredient:","",IF(G209="Select food category:","",_xlfn.IFNA(VLOOKUP($H209,Ingredient_prices!$E:$U,16,FALSE)*$Q209/1000,"not bought")))</f>
        <v/>
      </c>
      <c r="U209" s="583" t="str">
        <f>IF(G209="Select food category:","",_xlfn.IFNA(VLOOKUP($H209,Ingredient_prices!$E:$U,16,FALSE)*$R209/1000,"not bought"))</f>
        <v/>
      </c>
      <c r="V209" s="549">
        <f>VLOOKUP($H209,'CO2_emission+%_food_waste'!$A:$K,4,FALSE)*$Q209</f>
        <v>0</v>
      </c>
      <c r="W209" s="583">
        <f>VLOOKUP($H209,Nutrition_tables!$A:$N,10,FALSE)*$Q209/100</f>
        <v>0</v>
      </c>
      <c r="X209" s="583">
        <f>VLOOKUP($H209,Nutrition_tables!$A:$N,11,FALSE)*$Q209/100</f>
        <v>0</v>
      </c>
      <c r="Y209" s="583">
        <f>VLOOKUP($H209,Nutrition_tables!$A:$N,12,FALSE)*$Q209/100</f>
        <v>0</v>
      </c>
      <c r="Z209" s="583">
        <f>VLOOKUP($H209,Nutrition_tables!$A:$N,14,FALSE)*$Q209/100</f>
        <v>0</v>
      </c>
      <c r="AA209" s="583">
        <f>VLOOKUP($H209,Nutrition_tables!$A:$AF,13,FALSE)*$Q209/100</f>
        <v>0</v>
      </c>
      <c r="AB209" s="549">
        <f>VLOOKUP($H209,Nutrition_tables!$A:$AF,15,FALSE)*$Q209/100</f>
        <v>0</v>
      </c>
      <c r="AC209" s="583">
        <f>VLOOKUP($H209,Nutrition_tables!$A:$AF,16,FALSE)*$Q209/100</f>
        <v>0</v>
      </c>
      <c r="AD209" s="583">
        <f>VLOOKUP($H209,Nutrition_tables!$A:$AF,17,FALSE)*$Q209/100</f>
        <v>0</v>
      </c>
      <c r="AE209" s="583">
        <f>VLOOKUP($H209,Nutrition_tables!$A:$AF,18,FALSE)*$Q209/100</f>
        <v>0</v>
      </c>
      <c r="AF209" s="583">
        <f>VLOOKUP($H209,Nutrition_tables!$A:$AF,19,FALSE)*$Q209/100</f>
        <v>0</v>
      </c>
      <c r="AG209" s="583">
        <f>VLOOKUP($H209,Nutrition_tables!$A:$AF,20,FALSE)*$Q209/100</f>
        <v>0</v>
      </c>
      <c r="AH209" s="583">
        <f>VLOOKUP($H209,Nutrition_tables!$A:$AF,21,FALSE)*$Q209/100</f>
        <v>0</v>
      </c>
      <c r="AI209" s="583">
        <f>VLOOKUP($H209,Nutrition_tables!$A:$AF,22,FALSE)*$Q209/100</f>
        <v>0</v>
      </c>
      <c r="AJ209" s="549">
        <f>VLOOKUP($H209,Nutrition_tables!$A:$AF,23,FALSE)*$Q209/100</f>
        <v>0</v>
      </c>
      <c r="AK209" s="583">
        <f>VLOOKUP($H209,Nutrition_tables!$A:$AF,24,FALSE)*$Q209/100</f>
        <v>0</v>
      </c>
      <c r="AL209" s="583">
        <f>VLOOKUP($H209,Nutrition_tables!$A:$AF,25,FALSE)*$Q209/100</f>
        <v>0</v>
      </c>
      <c r="AM209" s="583">
        <f>VLOOKUP($H209,Nutrition_tables!$A:$AF,26,FALSE)*$Q209/100</f>
        <v>0</v>
      </c>
      <c r="AN209" s="583">
        <f>VLOOKUP($H209,Nutrition_tables!$A:$AF,27,FALSE)*$Q209/100</f>
        <v>0</v>
      </c>
      <c r="AO209" s="583">
        <f>VLOOKUP($H209,Nutrition_tables!$A:$AF,28,FALSE)*$Q209/100</f>
        <v>0</v>
      </c>
      <c r="AP209" s="583">
        <f>VLOOKUP($H209,Nutrition_tables!$A:$AF,29,FALSE)*$Q209/100</f>
        <v>0</v>
      </c>
      <c r="AQ209" s="583">
        <f>VLOOKUP($H209,Nutrition_tables!$A:$AF,30,FALSE)*$Q209/100</f>
        <v>0</v>
      </c>
      <c r="AR209" s="583">
        <f>VLOOKUP($H209,Nutrition_tables!$A:$AF,31,FALSE)*$Q209/100</f>
        <v>0</v>
      </c>
      <c r="AS209" s="549">
        <f>VLOOKUP($H209,Nutrition_tables!$A:$AF,32,FALSE)*$Q209/100</f>
        <v>0</v>
      </c>
      <c r="AT209" s="583" t="str">
        <f>IF(H209="Select ingredient:","",IF(G209="Select food category:","",IFERROR(VLOOKUP($H209,Ingredient_prices!$E:$W,17,FALSE)*$Q209/1000,"not bought")))</f>
        <v/>
      </c>
      <c r="AU209" s="583" t="str">
        <f>IF(H209="Select ingredient:","",IF(G209="Select food category:","",IFERROR(VLOOKUP($H209,Ingredient_prices!$E:$W,18,FALSE)*$Q209/1000,"not bought")))</f>
        <v/>
      </c>
      <c r="AV209" s="583">
        <f t="shared" ref="AV209:AV228" si="500">W209*($Q209-$R209)/($Q209+0.00001)</f>
        <v>0</v>
      </c>
      <c r="AW209" s="583">
        <f t="shared" ref="AW209:AW228" si="501">X209*($Q209-$R209)/($Q209+0.00001)</f>
        <v>0</v>
      </c>
      <c r="AX209" s="583">
        <f t="shared" ref="AX209:AX228" si="502">Y209*($Q209-$R209)/($Q209+0.00001)</f>
        <v>0</v>
      </c>
      <c r="AY209" s="583">
        <f t="shared" ref="AY209:AY228" si="503">Z209*($Q209-$R209)/($Q209+0.00001)</f>
        <v>0</v>
      </c>
      <c r="AZ209" s="583">
        <f t="shared" ref="AZ209:AZ228" si="504">AA209*($Q209-$R209)/($Q209+0.00001)</f>
        <v>0</v>
      </c>
      <c r="BA209" s="583">
        <f t="shared" ref="BA209:BA228" si="505">AB209*($Q209-$R209)/($Q209+0.00001)</f>
        <v>0</v>
      </c>
      <c r="BB209" s="583">
        <f t="shared" ref="BB209:BB228" si="506">AC209*($Q209-$R209)/($Q209+0.00001)</f>
        <v>0</v>
      </c>
      <c r="BC209" s="583">
        <f t="shared" ref="BC209:BC228" si="507">AD209*($Q209-$R209)/($Q209+0.00001)</f>
        <v>0</v>
      </c>
      <c r="BD209" s="583">
        <f t="shared" ref="BD209:BD223" si="508">AE209*($Q209-$R209)/($Q209+0.00001)</f>
        <v>0</v>
      </c>
      <c r="BE209" s="583">
        <f t="shared" ref="BE209:BE223" si="509">AF209*($Q209-$R209)/($Q209+0.00001)</f>
        <v>0</v>
      </c>
      <c r="BF209" s="583">
        <f t="shared" ref="BF209:BF223" si="510">AG209*($Q209-$R209)/($Q209+0.00001)</f>
        <v>0</v>
      </c>
      <c r="BG209" s="583">
        <f t="shared" ref="BG209:BG223" si="511">AH209*($Q209-$R209)/($Q209+0.00001)</f>
        <v>0</v>
      </c>
      <c r="BH209" s="583">
        <f t="shared" ref="BH209:BH223" si="512">AI209*($Q209-$R209)/($Q209+0.00001)</f>
        <v>0</v>
      </c>
      <c r="BI209" s="583">
        <f t="shared" ref="BI209:BI223" si="513">AJ209*($Q209-$R209)/($Q209+0.00001)</f>
        <v>0</v>
      </c>
      <c r="BJ209" s="583">
        <f t="shared" ref="BJ209:BJ223" si="514">AK209*($Q209-$R209)/($Q209+0.00001)</f>
        <v>0</v>
      </c>
      <c r="BK209" s="583">
        <f t="shared" ref="BK209:BK223" si="515">AL209*($Q209-$R209)/($Q209+0.00001)</f>
        <v>0</v>
      </c>
      <c r="BL209" s="583">
        <f t="shared" ref="BL209:BL223" si="516">AM209*($Q209-$R209)/($Q209+0.00001)</f>
        <v>0</v>
      </c>
      <c r="BM209" s="583">
        <f t="shared" ref="BM209:BM223" si="517">AN209*($Q209-$R209)/($Q209+0.00001)</f>
        <v>0</v>
      </c>
      <c r="BN209" s="583">
        <f t="shared" ref="BN209:BN223" si="518">AO209*($Q209-$R209)/($Q209+0.00001)</f>
        <v>0</v>
      </c>
      <c r="BO209" s="583">
        <f t="shared" ref="BO209:BO223" si="519">AP209*($Q209-$R209)/($Q209+0.00001)</f>
        <v>0</v>
      </c>
      <c r="BP209" s="583">
        <f t="shared" ref="BP209:BP223" si="520">AQ209*($Q209-$R209)/($Q209+0.00001)</f>
        <v>0</v>
      </c>
      <c r="BQ209" s="583">
        <f t="shared" ref="BQ209:BQ223" si="521">AR209*($Q209-$R209)/($Q209+0.00001)</f>
        <v>0</v>
      </c>
      <c r="BR209" s="583">
        <f t="shared" ref="BR209:BR223" si="522">AS209*($Q209-$R209)/($Q209+0.00001)</f>
        <v>0</v>
      </c>
    </row>
    <row r="210" spans="1:70" s="229" customFormat="1" ht="15" customHeight="1">
      <c r="A210" s="587"/>
      <c r="D210" s="749"/>
      <c r="E210" s="576">
        <f>IF(E$209&gt;0,E$209,"")</f>
        <v>100</v>
      </c>
      <c r="F210" s="707"/>
      <c r="G210" s="406" t="s">
        <v>3054</v>
      </c>
      <c r="H210" s="1262" t="s">
        <v>3055</v>
      </c>
      <c r="I210" s="85">
        <v>0</v>
      </c>
      <c r="J210" s="682">
        <v>1</v>
      </c>
      <c r="K210" s="579" t="str">
        <f t="shared" si="498"/>
        <v/>
      </c>
      <c r="L210" s="580" t="str">
        <f>IF(H210="Select ingredient:","",IF(G210="","",_xlfn.IFNA(VLOOKUP($H210,Ingredient_prices!$E:$U,16,FALSE),0)))</f>
        <v/>
      </c>
      <c r="M210" s="844"/>
      <c r="N210" s="844"/>
      <c r="O210" s="588"/>
      <c r="P210" s="589"/>
      <c r="Q210" s="583">
        <f t="shared" si="499"/>
        <v>0</v>
      </c>
      <c r="R210" s="583">
        <f>VLOOKUP($H210,'CO2_emission+%_food_waste'!$A:$K,6,FALSE)*$Q210/100</f>
        <v>0</v>
      </c>
      <c r="S210" s="583">
        <f t="shared" ref="S210:S228" si="523">Q210-R210</f>
        <v>0</v>
      </c>
      <c r="T210" s="583" t="str">
        <f>IF(H210="Select ingredient:","",IF(G210="Select food category:","",_xlfn.IFNA(VLOOKUP($H210,Ingredient_prices!$E:$U,16,FALSE)*$Q210/1000,"not bought")))</f>
        <v/>
      </c>
      <c r="U210" s="583" t="str">
        <f>IF(G210="Select food category:","",_xlfn.IFNA(VLOOKUP($H210,Ingredient_prices!$E:$U,16,FALSE)*$R210/1000,"not bought"))</f>
        <v/>
      </c>
      <c r="V210" s="549">
        <f>VLOOKUP($H210,'CO2_emission+%_food_waste'!$A:$K,4,FALSE)*$Q210</f>
        <v>0</v>
      </c>
      <c r="W210" s="583">
        <f>VLOOKUP($H210,Nutrition_tables!$A:$N,10,FALSE)*$Q210/100</f>
        <v>0</v>
      </c>
      <c r="X210" s="583">
        <f>VLOOKUP($H210,Nutrition_tables!$A:$N,11,FALSE)*$Q210/100</f>
        <v>0</v>
      </c>
      <c r="Y210" s="583">
        <f>VLOOKUP($H210,Nutrition_tables!$A:$N,12,FALSE)*$Q210/100</f>
        <v>0</v>
      </c>
      <c r="Z210" s="583">
        <f>VLOOKUP($H210,Nutrition_tables!$A:$N,14,FALSE)*$Q210/100</f>
        <v>0</v>
      </c>
      <c r="AA210" s="583">
        <f>VLOOKUP($H210,Nutrition_tables!$A:$AF,13,FALSE)*$Q210/100</f>
        <v>0</v>
      </c>
      <c r="AB210" s="549">
        <f>VLOOKUP($H210,Nutrition_tables!$A:$AF,15,FALSE)*$Q210/100</f>
        <v>0</v>
      </c>
      <c r="AC210" s="583">
        <f>VLOOKUP($H210,Nutrition_tables!$A:$AF,16,FALSE)*$Q210/100</f>
        <v>0</v>
      </c>
      <c r="AD210" s="583">
        <f>VLOOKUP($H210,Nutrition_tables!$A:$AF,17,FALSE)*$Q210/100</f>
        <v>0</v>
      </c>
      <c r="AE210" s="583">
        <f>VLOOKUP($H210,Nutrition_tables!$A:$AF,18,FALSE)*$Q210/100</f>
        <v>0</v>
      </c>
      <c r="AF210" s="583">
        <f>VLOOKUP($H210,Nutrition_tables!$A:$AF,19,FALSE)*$Q210/100</f>
        <v>0</v>
      </c>
      <c r="AG210" s="583">
        <f>VLOOKUP($H210,Nutrition_tables!$A:$AF,20,FALSE)*$Q210/100</f>
        <v>0</v>
      </c>
      <c r="AH210" s="583">
        <f>VLOOKUP($H210,Nutrition_tables!$A:$AF,21,FALSE)*$Q210/100</f>
        <v>0</v>
      </c>
      <c r="AI210" s="583">
        <f>VLOOKUP($H210,Nutrition_tables!$A:$AF,22,FALSE)*$Q210/100</f>
        <v>0</v>
      </c>
      <c r="AJ210" s="549">
        <f>VLOOKUP($H210,Nutrition_tables!$A:$AF,23,FALSE)*$Q210/100</f>
        <v>0</v>
      </c>
      <c r="AK210" s="583">
        <f>VLOOKUP($H210,Nutrition_tables!$A:$AF,24,FALSE)*$Q210/100</f>
        <v>0</v>
      </c>
      <c r="AL210" s="583">
        <f>VLOOKUP($H210,Nutrition_tables!$A:$AF,25,FALSE)*$Q210/100</f>
        <v>0</v>
      </c>
      <c r="AM210" s="583">
        <f>VLOOKUP($H210,Nutrition_tables!$A:$AF,26,FALSE)*$Q210/100</f>
        <v>0</v>
      </c>
      <c r="AN210" s="583">
        <f>VLOOKUP($H210,Nutrition_tables!$A:$AF,27,FALSE)*$Q210/100</f>
        <v>0</v>
      </c>
      <c r="AO210" s="583">
        <f>VLOOKUP($H210,Nutrition_tables!$A:$AF,28,FALSE)*$Q210/100</f>
        <v>0</v>
      </c>
      <c r="AP210" s="583">
        <f>VLOOKUP($H210,Nutrition_tables!$A:$AF,29,FALSE)*$Q210/100</f>
        <v>0</v>
      </c>
      <c r="AQ210" s="583">
        <f>VLOOKUP($H210,Nutrition_tables!$A:$AF,30,FALSE)*$Q210/100</f>
        <v>0</v>
      </c>
      <c r="AR210" s="583">
        <f>VLOOKUP($H210,Nutrition_tables!$A:$AF,31,FALSE)*$Q210/100</f>
        <v>0</v>
      </c>
      <c r="AS210" s="549">
        <f>VLOOKUP($H210,Nutrition_tables!$A:$AF,32,FALSE)*$Q210/100</f>
        <v>0</v>
      </c>
      <c r="AT210" s="583" t="str">
        <f>IF(H210="Select ingredient:","",IF(G210="Select food category:","",IFERROR(VLOOKUP($H210,Ingredient_prices!$E:$W,17,FALSE)*$Q210/1000,"not bought")))</f>
        <v/>
      </c>
      <c r="AU210" s="583" t="str">
        <f>IF(H210="Select ingredient:","",IF(G210="Select food category:","",IFERROR(VLOOKUP($H210,Ingredient_prices!$E:$W,18,FALSE)*$Q210/1000,"not bought")))</f>
        <v/>
      </c>
      <c r="AV210" s="583">
        <f t="shared" si="500"/>
        <v>0</v>
      </c>
      <c r="AW210" s="583">
        <f t="shared" si="501"/>
        <v>0</v>
      </c>
      <c r="AX210" s="583">
        <f t="shared" si="502"/>
        <v>0</v>
      </c>
      <c r="AY210" s="583">
        <f t="shared" si="503"/>
        <v>0</v>
      </c>
      <c r="AZ210" s="583">
        <f t="shared" si="504"/>
        <v>0</v>
      </c>
      <c r="BA210" s="583">
        <f t="shared" si="505"/>
        <v>0</v>
      </c>
      <c r="BB210" s="583">
        <f t="shared" si="506"/>
        <v>0</v>
      </c>
      <c r="BC210" s="583">
        <f t="shared" si="507"/>
        <v>0</v>
      </c>
      <c r="BD210" s="583">
        <f t="shared" si="508"/>
        <v>0</v>
      </c>
      <c r="BE210" s="583">
        <f t="shared" si="509"/>
        <v>0</v>
      </c>
      <c r="BF210" s="583">
        <f t="shared" si="510"/>
        <v>0</v>
      </c>
      <c r="BG210" s="583">
        <f t="shared" si="511"/>
        <v>0</v>
      </c>
      <c r="BH210" s="583">
        <f t="shared" si="512"/>
        <v>0</v>
      </c>
      <c r="BI210" s="583">
        <f t="shared" si="513"/>
        <v>0</v>
      </c>
      <c r="BJ210" s="583">
        <f t="shared" si="514"/>
        <v>0</v>
      </c>
      <c r="BK210" s="583">
        <f t="shared" si="515"/>
        <v>0</v>
      </c>
      <c r="BL210" s="583">
        <f t="shared" si="516"/>
        <v>0</v>
      </c>
      <c r="BM210" s="583">
        <f t="shared" si="517"/>
        <v>0</v>
      </c>
      <c r="BN210" s="583">
        <f t="shared" si="518"/>
        <v>0</v>
      </c>
      <c r="BO210" s="583">
        <f t="shared" si="519"/>
        <v>0</v>
      </c>
      <c r="BP210" s="583">
        <f t="shared" si="520"/>
        <v>0</v>
      </c>
      <c r="BQ210" s="583">
        <f t="shared" si="521"/>
        <v>0</v>
      </c>
      <c r="BR210" s="583">
        <f t="shared" si="522"/>
        <v>0</v>
      </c>
    </row>
    <row r="211" spans="1:70" s="229" customFormat="1" ht="15" customHeight="1">
      <c r="A211" s="587"/>
      <c r="D211" s="406"/>
      <c r="E211" s="576">
        <f t="shared" ref="E211:E228" si="524">IF(E$209&gt;0,E$209,"")</f>
        <v>100</v>
      </c>
      <c r="F211" s="707"/>
      <c r="G211" s="406" t="s">
        <v>3054</v>
      </c>
      <c r="H211" s="1262" t="s">
        <v>3055</v>
      </c>
      <c r="I211" s="85">
        <v>0</v>
      </c>
      <c r="J211" s="682">
        <v>1</v>
      </c>
      <c r="K211" s="579" t="str">
        <f t="shared" si="498"/>
        <v/>
      </c>
      <c r="L211" s="580" t="str">
        <f>IF(H211="Select ingredient:","",IF(G211="","",_xlfn.IFNA(VLOOKUP($H211,Ingredient_prices!$E:$U,16,FALSE),0)))</f>
        <v/>
      </c>
      <c r="M211" s="844"/>
      <c r="N211" s="844"/>
      <c r="O211" s="588"/>
      <c r="P211" s="589"/>
      <c r="Q211" s="583">
        <f t="shared" si="499"/>
        <v>0</v>
      </c>
      <c r="R211" s="583">
        <f>VLOOKUP($H211,'CO2_emission+%_food_waste'!$A:$K,6,FALSE)*$Q211/100</f>
        <v>0</v>
      </c>
      <c r="S211" s="583">
        <f t="shared" si="523"/>
        <v>0</v>
      </c>
      <c r="T211" s="583" t="str">
        <f>IF(H211="Select ingredient:","",IF(G211="Select food category:","",_xlfn.IFNA(VLOOKUP($H211,Ingredient_prices!$E:$U,16,FALSE)*$Q211/1000,"not bought")))</f>
        <v/>
      </c>
      <c r="U211" s="583" t="str">
        <f>IF(G211="Select food category:","",_xlfn.IFNA(VLOOKUP($H211,Ingredient_prices!$E:$U,16,FALSE)*$R211/1000,"not bought"))</f>
        <v/>
      </c>
      <c r="V211" s="549">
        <f>VLOOKUP($H211,'CO2_emission+%_food_waste'!$A:$K,4,FALSE)*$Q211</f>
        <v>0</v>
      </c>
      <c r="W211" s="583">
        <f>VLOOKUP($H211,Nutrition_tables!$A:$N,10,FALSE)*$Q211/100</f>
        <v>0</v>
      </c>
      <c r="X211" s="583">
        <f>VLOOKUP($H211,Nutrition_tables!$A:$N,11,FALSE)*$Q211/100</f>
        <v>0</v>
      </c>
      <c r="Y211" s="583">
        <f>VLOOKUP($H211,Nutrition_tables!$A:$N,12,FALSE)*$Q211/100</f>
        <v>0</v>
      </c>
      <c r="Z211" s="583">
        <f>VLOOKUP($H211,Nutrition_tables!$A:$N,14,FALSE)*$Q211/100</f>
        <v>0</v>
      </c>
      <c r="AA211" s="583">
        <f>VLOOKUP($H211,Nutrition_tables!$A:$AF,13,FALSE)*$Q211/100</f>
        <v>0</v>
      </c>
      <c r="AB211" s="549">
        <f>VLOOKUP($H211,Nutrition_tables!$A:$AF,15,FALSE)*$Q211/100</f>
        <v>0</v>
      </c>
      <c r="AC211" s="583">
        <f>VLOOKUP($H211,Nutrition_tables!$A:$AF,16,FALSE)*$Q211/100</f>
        <v>0</v>
      </c>
      <c r="AD211" s="583">
        <f>VLOOKUP($H211,Nutrition_tables!$A:$AF,17,FALSE)*$Q211/100</f>
        <v>0</v>
      </c>
      <c r="AE211" s="583">
        <f>VLOOKUP($H211,Nutrition_tables!$A:$AF,18,FALSE)*$Q211/100</f>
        <v>0</v>
      </c>
      <c r="AF211" s="583">
        <f>VLOOKUP($H211,Nutrition_tables!$A:$AF,19,FALSE)*$Q211/100</f>
        <v>0</v>
      </c>
      <c r="AG211" s="583">
        <f>VLOOKUP($H211,Nutrition_tables!$A:$AF,20,FALSE)*$Q211/100</f>
        <v>0</v>
      </c>
      <c r="AH211" s="583">
        <f>VLOOKUP($H211,Nutrition_tables!$A:$AF,21,FALSE)*$Q211/100</f>
        <v>0</v>
      </c>
      <c r="AI211" s="583">
        <f>VLOOKUP($H211,Nutrition_tables!$A:$AF,22,FALSE)*$Q211/100</f>
        <v>0</v>
      </c>
      <c r="AJ211" s="549">
        <f>VLOOKUP($H211,Nutrition_tables!$A:$AF,23,FALSE)*$Q211/100</f>
        <v>0</v>
      </c>
      <c r="AK211" s="583">
        <f>VLOOKUP($H211,Nutrition_tables!$A:$AF,24,FALSE)*$Q211/100</f>
        <v>0</v>
      </c>
      <c r="AL211" s="583">
        <f>VLOOKUP($H211,Nutrition_tables!$A:$AF,25,FALSE)*$Q211/100</f>
        <v>0</v>
      </c>
      <c r="AM211" s="583">
        <f>VLOOKUP($H211,Nutrition_tables!$A:$AF,26,FALSE)*$Q211/100</f>
        <v>0</v>
      </c>
      <c r="AN211" s="583">
        <f>VLOOKUP($H211,Nutrition_tables!$A:$AF,27,FALSE)*$Q211/100</f>
        <v>0</v>
      </c>
      <c r="AO211" s="583">
        <f>VLOOKUP($H211,Nutrition_tables!$A:$AF,28,FALSE)*$Q211/100</f>
        <v>0</v>
      </c>
      <c r="AP211" s="583">
        <f>VLOOKUP($H211,Nutrition_tables!$A:$AF,29,FALSE)*$Q211/100</f>
        <v>0</v>
      </c>
      <c r="AQ211" s="583">
        <f>VLOOKUP($H211,Nutrition_tables!$A:$AF,30,FALSE)*$Q211/100</f>
        <v>0</v>
      </c>
      <c r="AR211" s="583">
        <f>VLOOKUP($H211,Nutrition_tables!$A:$AF,31,FALSE)*$Q211/100</f>
        <v>0</v>
      </c>
      <c r="AS211" s="549">
        <f>VLOOKUP($H211,Nutrition_tables!$A:$AF,32,FALSE)*$Q211/100</f>
        <v>0</v>
      </c>
      <c r="AT211" s="583" t="str">
        <f>IF(H211="Select ingredient:","",IF(G211="Select food category:","",IFERROR(VLOOKUP($H211,Ingredient_prices!$E:$W,17,FALSE)*$Q211/1000,"not bought")))</f>
        <v/>
      </c>
      <c r="AU211" s="583" t="str">
        <f>IF(H211="Select ingredient:","",IF(G211="Select food category:","",IFERROR(VLOOKUP($H211,Ingredient_prices!$E:$W,18,FALSE)*$Q211/1000,"not bought")))</f>
        <v/>
      </c>
      <c r="AV211" s="583">
        <f t="shared" si="500"/>
        <v>0</v>
      </c>
      <c r="AW211" s="583">
        <f t="shared" si="501"/>
        <v>0</v>
      </c>
      <c r="AX211" s="583">
        <f t="shared" si="502"/>
        <v>0</v>
      </c>
      <c r="AY211" s="583">
        <f t="shared" si="503"/>
        <v>0</v>
      </c>
      <c r="AZ211" s="583">
        <f t="shared" si="504"/>
        <v>0</v>
      </c>
      <c r="BA211" s="583">
        <f t="shared" si="505"/>
        <v>0</v>
      </c>
      <c r="BB211" s="583">
        <f t="shared" si="506"/>
        <v>0</v>
      </c>
      <c r="BC211" s="583">
        <f t="shared" si="507"/>
        <v>0</v>
      </c>
      <c r="BD211" s="583">
        <f t="shared" si="508"/>
        <v>0</v>
      </c>
      <c r="BE211" s="583">
        <f t="shared" si="509"/>
        <v>0</v>
      </c>
      <c r="BF211" s="583">
        <f t="shared" si="510"/>
        <v>0</v>
      </c>
      <c r="BG211" s="583">
        <f t="shared" si="511"/>
        <v>0</v>
      </c>
      <c r="BH211" s="583">
        <f t="shared" si="512"/>
        <v>0</v>
      </c>
      <c r="BI211" s="583">
        <f t="shared" si="513"/>
        <v>0</v>
      </c>
      <c r="BJ211" s="583">
        <f t="shared" si="514"/>
        <v>0</v>
      </c>
      <c r="BK211" s="583">
        <f t="shared" si="515"/>
        <v>0</v>
      </c>
      <c r="BL211" s="583">
        <f t="shared" si="516"/>
        <v>0</v>
      </c>
      <c r="BM211" s="583">
        <f t="shared" si="517"/>
        <v>0</v>
      </c>
      <c r="BN211" s="583">
        <f t="shared" si="518"/>
        <v>0</v>
      </c>
      <c r="BO211" s="583">
        <f t="shared" si="519"/>
        <v>0</v>
      </c>
      <c r="BP211" s="583">
        <f t="shared" si="520"/>
        <v>0</v>
      </c>
      <c r="BQ211" s="583">
        <f t="shared" si="521"/>
        <v>0</v>
      </c>
      <c r="BR211" s="583">
        <f t="shared" si="522"/>
        <v>0</v>
      </c>
    </row>
    <row r="212" spans="1:70" s="229" customFormat="1" ht="15" customHeight="1">
      <c r="A212" s="587"/>
      <c r="D212" s="85"/>
      <c r="E212" s="576">
        <f t="shared" si="524"/>
        <v>100</v>
      </c>
      <c r="F212" s="707"/>
      <c r="G212" s="406" t="s">
        <v>3054</v>
      </c>
      <c r="H212" s="1262" t="s">
        <v>3055</v>
      </c>
      <c r="I212" s="85">
        <v>0</v>
      </c>
      <c r="J212" s="682">
        <v>1</v>
      </c>
      <c r="K212" s="579" t="str">
        <f t="shared" si="498"/>
        <v/>
      </c>
      <c r="L212" s="580" t="str">
        <f>IF(H212="Select ingredient:","",IF(G212="","",_xlfn.IFNA(VLOOKUP($H212,Ingredient_prices!$E:$U,16,FALSE),0)))</f>
        <v/>
      </c>
      <c r="M212" s="844"/>
      <c r="N212" s="844"/>
      <c r="O212" s="588"/>
      <c r="P212" s="589"/>
      <c r="Q212" s="583">
        <f t="shared" si="499"/>
        <v>0</v>
      </c>
      <c r="R212" s="583">
        <f>VLOOKUP($H212,'CO2_emission+%_food_waste'!$A:$K,6,FALSE)*$Q212/100</f>
        <v>0</v>
      </c>
      <c r="S212" s="583">
        <f t="shared" si="523"/>
        <v>0</v>
      </c>
      <c r="T212" s="583" t="str">
        <f>IF(H212="Select ingredient:","",IF(G212="Select food category:","",_xlfn.IFNA(VLOOKUP($H212,Ingredient_prices!$E:$U,16,FALSE)*$Q212/1000,"not bought")))</f>
        <v/>
      </c>
      <c r="U212" s="583" t="str">
        <f>IF(G212="Select food category:","",_xlfn.IFNA(VLOOKUP($H212,Ingredient_prices!$E:$U,16,FALSE)*$R212/1000,"not bought"))</f>
        <v/>
      </c>
      <c r="V212" s="549">
        <f>VLOOKUP($H212,'CO2_emission+%_food_waste'!$A:$K,4,FALSE)*$Q212</f>
        <v>0</v>
      </c>
      <c r="W212" s="583">
        <f>VLOOKUP($H212,Nutrition_tables!$A:$N,10,FALSE)*$Q212/100</f>
        <v>0</v>
      </c>
      <c r="X212" s="583">
        <f>VLOOKUP($H212,Nutrition_tables!$A:$N,11,FALSE)*$Q212/100</f>
        <v>0</v>
      </c>
      <c r="Y212" s="583">
        <f>VLOOKUP($H212,Nutrition_tables!$A:$N,12,FALSE)*$Q212/100</f>
        <v>0</v>
      </c>
      <c r="Z212" s="583">
        <f>VLOOKUP($H212,Nutrition_tables!$A:$N,14,FALSE)*$Q212/100</f>
        <v>0</v>
      </c>
      <c r="AA212" s="583">
        <f>VLOOKUP($H212,Nutrition_tables!$A:$AF,13,FALSE)*$Q212/100</f>
        <v>0</v>
      </c>
      <c r="AB212" s="549">
        <f>VLOOKUP($H212,Nutrition_tables!$A:$AF,15,FALSE)*$Q212/100</f>
        <v>0</v>
      </c>
      <c r="AC212" s="583">
        <f>VLOOKUP($H212,Nutrition_tables!$A:$AF,16,FALSE)*$Q212/100</f>
        <v>0</v>
      </c>
      <c r="AD212" s="583">
        <f>VLOOKUP($H212,Nutrition_tables!$A:$AF,17,FALSE)*$Q212/100</f>
        <v>0</v>
      </c>
      <c r="AE212" s="583">
        <f>VLOOKUP($H212,Nutrition_tables!$A:$AF,18,FALSE)*$Q212/100</f>
        <v>0</v>
      </c>
      <c r="AF212" s="583">
        <f>VLOOKUP($H212,Nutrition_tables!$A:$AF,19,FALSE)*$Q212/100</f>
        <v>0</v>
      </c>
      <c r="AG212" s="583">
        <f>VLOOKUP($H212,Nutrition_tables!$A:$AF,20,FALSE)*$Q212/100</f>
        <v>0</v>
      </c>
      <c r="AH212" s="583">
        <f>VLOOKUP($H212,Nutrition_tables!$A:$AF,21,FALSE)*$Q212/100</f>
        <v>0</v>
      </c>
      <c r="AI212" s="583">
        <f>VLOOKUP($H212,Nutrition_tables!$A:$AF,22,FALSE)*$Q212/100</f>
        <v>0</v>
      </c>
      <c r="AJ212" s="549">
        <f>VLOOKUP($H212,Nutrition_tables!$A:$AF,23,FALSE)*$Q212/100</f>
        <v>0</v>
      </c>
      <c r="AK212" s="583">
        <f>VLOOKUP($H212,Nutrition_tables!$A:$AF,24,FALSE)*$Q212/100</f>
        <v>0</v>
      </c>
      <c r="AL212" s="583">
        <f>VLOOKUP($H212,Nutrition_tables!$A:$AF,25,FALSE)*$Q212/100</f>
        <v>0</v>
      </c>
      <c r="AM212" s="583">
        <f>VLOOKUP($H212,Nutrition_tables!$A:$AF,26,FALSE)*$Q212/100</f>
        <v>0</v>
      </c>
      <c r="AN212" s="583">
        <f>VLOOKUP($H212,Nutrition_tables!$A:$AF,27,FALSE)*$Q212/100</f>
        <v>0</v>
      </c>
      <c r="AO212" s="583">
        <f>VLOOKUP($H212,Nutrition_tables!$A:$AF,28,FALSE)*$Q212/100</f>
        <v>0</v>
      </c>
      <c r="AP212" s="583">
        <f>VLOOKUP($H212,Nutrition_tables!$A:$AF,29,FALSE)*$Q212/100</f>
        <v>0</v>
      </c>
      <c r="AQ212" s="583">
        <f>VLOOKUP($H212,Nutrition_tables!$A:$AF,30,FALSE)*$Q212/100</f>
        <v>0</v>
      </c>
      <c r="AR212" s="583">
        <f>VLOOKUP($H212,Nutrition_tables!$A:$AF,31,FALSE)*$Q212/100</f>
        <v>0</v>
      </c>
      <c r="AS212" s="549">
        <f>VLOOKUP($H212,Nutrition_tables!$A:$AF,32,FALSE)*$Q212/100</f>
        <v>0</v>
      </c>
      <c r="AT212" s="583" t="str">
        <f>IF(H212="Select ingredient:","",IF(G212="Select food category:","",IFERROR(VLOOKUP($H212,Ingredient_prices!$E:$W,17,FALSE)*$Q212/1000,"not bought")))</f>
        <v/>
      </c>
      <c r="AU212" s="583" t="str">
        <f>IF(H212="Select ingredient:","",IF(G212="Select food category:","",IFERROR(VLOOKUP($H212,Ingredient_prices!$E:$W,18,FALSE)*$Q212/1000,"not bought")))</f>
        <v/>
      </c>
      <c r="AV212" s="583">
        <f t="shared" si="500"/>
        <v>0</v>
      </c>
      <c r="AW212" s="583">
        <f t="shared" si="501"/>
        <v>0</v>
      </c>
      <c r="AX212" s="583">
        <f t="shared" si="502"/>
        <v>0</v>
      </c>
      <c r="AY212" s="583">
        <f t="shared" si="503"/>
        <v>0</v>
      </c>
      <c r="AZ212" s="583">
        <f t="shared" si="504"/>
        <v>0</v>
      </c>
      <c r="BA212" s="583">
        <f t="shared" si="505"/>
        <v>0</v>
      </c>
      <c r="BB212" s="583">
        <f t="shared" si="506"/>
        <v>0</v>
      </c>
      <c r="BC212" s="583">
        <f t="shared" si="507"/>
        <v>0</v>
      </c>
      <c r="BD212" s="583">
        <f t="shared" si="508"/>
        <v>0</v>
      </c>
      <c r="BE212" s="583">
        <f t="shared" si="509"/>
        <v>0</v>
      </c>
      <c r="BF212" s="583">
        <f t="shared" si="510"/>
        <v>0</v>
      </c>
      <c r="BG212" s="583">
        <f t="shared" si="511"/>
        <v>0</v>
      </c>
      <c r="BH212" s="583">
        <f t="shared" si="512"/>
        <v>0</v>
      </c>
      <c r="BI212" s="583">
        <f t="shared" si="513"/>
        <v>0</v>
      </c>
      <c r="BJ212" s="583">
        <f t="shared" si="514"/>
        <v>0</v>
      </c>
      <c r="BK212" s="583">
        <f t="shared" si="515"/>
        <v>0</v>
      </c>
      <c r="BL212" s="583">
        <f t="shared" si="516"/>
        <v>0</v>
      </c>
      <c r="BM212" s="583">
        <f t="shared" si="517"/>
        <v>0</v>
      </c>
      <c r="BN212" s="583">
        <f t="shared" si="518"/>
        <v>0</v>
      </c>
      <c r="BO212" s="583">
        <f t="shared" si="519"/>
        <v>0</v>
      </c>
      <c r="BP212" s="583">
        <f t="shared" si="520"/>
        <v>0</v>
      </c>
      <c r="BQ212" s="583">
        <f t="shared" si="521"/>
        <v>0</v>
      </c>
      <c r="BR212" s="583">
        <f t="shared" si="522"/>
        <v>0</v>
      </c>
    </row>
    <row r="213" spans="1:70" s="229" customFormat="1" ht="15" customHeight="1">
      <c r="A213" s="587"/>
      <c r="D213" s="85"/>
      <c r="E213" s="576">
        <f t="shared" si="524"/>
        <v>100</v>
      </c>
      <c r="F213" s="707"/>
      <c r="G213" s="406" t="s">
        <v>3054</v>
      </c>
      <c r="H213" s="1262" t="s">
        <v>3055</v>
      </c>
      <c r="I213" s="85">
        <v>0</v>
      </c>
      <c r="J213" s="682">
        <v>1</v>
      </c>
      <c r="K213" s="579" t="str">
        <f t="shared" si="498"/>
        <v/>
      </c>
      <c r="L213" s="580" t="str">
        <f>IF(H213="Select ingredient:","",IF(G213="","",_xlfn.IFNA(VLOOKUP($H213,Ingredient_prices!$E:$U,16,FALSE),0)))</f>
        <v/>
      </c>
      <c r="M213" s="844"/>
      <c r="N213" s="844"/>
      <c r="O213" s="588"/>
      <c r="P213" s="589"/>
      <c r="Q213" s="583">
        <f t="shared" si="499"/>
        <v>0</v>
      </c>
      <c r="R213" s="583">
        <f>VLOOKUP($H213,'CO2_emission+%_food_waste'!$A:$K,6,FALSE)*$Q213/100</f>
        <v>0</v>
      </c>
      <c r="S213" s="583">
        <f t="shared" si="523"/>
        <v>0</v>
      </c>
      <c r="T213" s="583" t="str">
        <f>IF(H213="Select ingredient:","",IF(G213="Select food category:","",_xlfn.IFNA(VLOOKUP($H213,Ingredient_prices!$E:$U,16,FALSE)*$Q213/1000,"not bought")))</f>
        <v/>
      </c>
      <c r="U213" s="583" t="str">
        <f>IF(G213="Select food category:","",_xlfn.IFNA(VLOOKUP($H213,Ingredient_prices!$E:$U,16,FALSE)*$R213/1000,"not bought"))</f>
        <v/>
      </c>
      <c r="V213" s="549">
        <f>VLOOKUP($H213,'CO2_emission+%_food_waste'!$A:$K,4,FALSE)*$Q213</f>
        <v>0</v>
      </c>
      <c r="W213" s="583">
        <f>VLOOKUP($H213,Nutrition_tables!$A:$N,10,FALSE)*$Q213/100</f>
        <v>0</v>
      </c>
      <c r="X213" s="583">
        <f>VLOOKUP($H213,Nutrition_tables!$A:$N,11,FALSE)*$Q213/100</f>
        <v>0</v>
      </c>
      <c r="Y213" s="583">
        <f>VLOOKUP($H213,Nutrition_tables!$A:$N,12,FALSE)*$Q213/100</f>
        <v>0</v>
      </c>
      <c r="Z213" s="583">
        <f>VLOOKUP($H213,Nutrition_tables!$A:$N,14,FALSE)*$Q213/100</f>
        <v>0</v>
      </c>
      <c r="AA213" s="583">
        <f>VLOOKUP($H213,Nutrition_tables!$A:$AF,13,FALSE)*$Q213/100</f>
        <v>0</v>
      </c>
      <c r="AB213" s="549">
        <f>VLOOKUP($H213,Nutrition_tables!$A:$AF,15,FALSE)*$Q213/100</f>
        <v>0</v>
      </c>
      <c r="AC213" s="583">
        <f>VLOOKUP($H213,Nutrition_tables!$A:$AF,16,FALSE)*$Q213/100</f>
        <v>0</v>
      </c>
      <c r="AD213" s="583">
        <f>VLOOKUP($H213,Nutrition_tables!$A:$AF,17,FALSE)*$Q213/100</f>
        <v>0</v>
      </c>
      <c r="AE213" s="583">
        <f>VLOOKUP($H213,Nutrition_tables!$A:$AF,18,FALSE)*$Q213/100</f>
        <v>0</v>
      </c>
      <c r="AF213" s="583">
        <f>VLOOKUP($H213,Nutrition_tables!$A:$AF,19,FALSE)*$Q213/100</f>
        <v>0</v>
      </c>
      <c r="AG213" s="583">
        <f>VLOOKUP($H213,Nutrition_tables!$A:$AF,20,FALSE)*$Q213/100</f>
        <v>0</v>
      </c>
      <c r="AH213" s="583">
        <f>VLOOKUP($H213,Nutrition_tables!$A:$AF,21,FALSE)*$Q213/100</f>
        <v>0</v>
      </c>
      <c r="AI213" s="583">
        <f>VLOOKUP($H213,Nutrition_tables!$A:$AF,22,FALSE)*$Q213/100</f>
        <v>0</v>
      </c>
      <c r="AJ213" s="549">
        <f>VLOOKUP($H213,Nutrition_tables!$A:$AF,23,FALSE)*$Q213/100</f>
        <v>0</v>
      </c>
      <c r="AK213" s="583">
        <f>VLOOKUP($H213,Nutrition_tables!$A:$AF,24,FALSE)*$Q213/100</f>
        <v>0</v>
      </c>
      <c r="AL213" s="583">
        <f>VLOOKUP($H213,Nutrition_tables!$A:$AF,25,FALSE)*$Q213/100</f>
        <v>0</v>
      </c>
      <c r="AM213" s="583">
        <f>VLOOKUP($H213,Nutrition_tables!$A:$AF,26,FALSE)*$Q213/100</f>
        <v>0</v>
      </c>
      <c r="AN213" s="583">
        <f>VLOOKUP($H213,Nutrition_tables!$A:$AF,27,FALSE)*$Q213/100</f>
        <v>0</v>
      </c>
      <c r="AO213" s="583">
        <f>VLOOKUP($H213,Nutrition_tables!$A:$AF,28,FALSE)*$Q213/100</f>
        <v>0</v>
      </c>
      <c r="AP213" s="583">
        <f>VLOOKUP($H213,Nutrition_tables!$A:$AF,29,FALSE)*$Q213/100</f>
        <v>0</v>
      </c>
      <c r="AQ213" s="583">
        <f>VLOOKUP($H213,Nutrition_tables!$A:$AF,30,FALSE)*$Q213/100</f>
        <v>0</v>
      </c>
      <c r="AR213" s="583">
        <f>VLOOKUP($H213,Nutrition_tables!$A:$AF,31,FALSE)*$Q213/100</f>
        <v>0</v>
      </c>
      <c r="AS213" s="549">
        <f>VLOOKUP($H213,Nutrition_tables!$A:$AF,32,FALSE)*$Q213/100</f>
        <v>0</v>
      </c>
      <c r="AT213" s="583" t="str">
        <f>IF(H213="Select ingredient:","",IF(G213="Select food category:","",IFERROR(VLOOKUP($H213,Ingredient_prices!$E:$W,17,FALSE)*$Q213/1000,"not bought")))</f>
        <v/>
      </c>
      <c r="AU213" s="583" t="str">
        <f>IF(H213="Select ingredient:","",IF(G213="Select food category:","",IFERROR(VLOOKUP($H213,Ingredient_prices!$E:$W,18,FALSE)*$Q213/1000,"not bought")))</f>
        <v/>
      </c>
      <c r="AV213" s="583">
        <f t="shared" si="500"/>
        <v>0</v>
      </c>
      <c r="AW213" s="583">
        <f t="shared" si="501"/>
        <v>0</v>
      </c>
      <c r="AX213" s="583">
        <f t="shared" si="502"/>
        <v>0</v>
      </c>
      <c r="AY213" s="583">
        <f t="shared" si="503"/>
        <v>0</v>
      </c>
      <c r="AZ213" s="583">
        <f t="shared" si="504"/>
        <v>0</v>
      </c>
      <c r="BA213" s="583">
        <f t="shared" si="505"/>
        <v>0</v>
      </c>
      <c r="BB213" s="583">
        <f t="shared" si="506"/>
        <v>0</v>
      </c>
      <c r="BC213" s="583">
        <f t="shared" si="507"/>
        <v>0</v>
      </c>
      <c r="BD213" s="583">
        <f t="shared" si="508"/>
        <v>0</v>
      </c>
      <c r="BE213" s="583">
        <f t="shared" si="509"/>
        <v>0</v>
      </c>
      <c r="BF213" s="583">
        <f t="shared" si="510"/>
        <v>0</v>
      </c>
      <c r="BG213" s="583">
        <f t="shared" si="511"/>
        <v>0</v>
      </c>
      <c r="BH213" s="583">
        <f t="shared" si="512"/>
        <v>0</v>
      </c>
      <c r="BI213" s="583">
        <f t="shared" si="513"/>
        <v>0</v>
      </c>
      <c r="BJ213" s="583">
        <f t="shared" si="514"/>
        <v>0</v>
      </c>
      <c r="BK213" s="583">
        <f t="shared" si="515"/>
        <v>0</v>
      </c>
      <c r="BL213" s="583">
        <f t="shared" si="516"/>
        <v>0</v>
      </c>
      <c r="BM213" s="583">
        <f t="shared" si="517"/>
        <v>0</v>
      </c>
      <c r="BN213" s="583">
        <f t="shared" si="518"/>
        <v>0</v>
      </c>
      <c r="BO213" s="583">
        <f t="shared" si="519"/>
        <v>0</v>
      </c>
      <c r="BP213" s="583">
        <f t="shared" si="520"/>
        <v>0</v>
      </c>
      <c r="BQ213" s="583">
        <f t="shared" si="521"/>
        <v>0</v>
      </c>
      <c r="BR213" s="583">
        <f t="shared" si="522"/>
        <v>0</v>
      </c>
    </row>
    <row r="214" spans="1:70" s="229" customFormat="1" ht="15" customHeight="1">
      <c r="A214" s="587"/>
      <c r="D214" s="85"/>
      <c r="E214" s="576">
        <f t="shared" si="524"/>
        <v>100</v>
      </c>
      <c r="F214" s="707"/>
      <c r="G214" s="406" t="s">
        <v>3054</v>
      </c>
      <c r="H214" s="1262" t="s">
        <v>3055</v>
      </c>
      <c r="I214" s="85">
        <v>0</v>
      </c>
      <c r="J214" s="682">
        <v>1</v>
      </c>
      <c r="K214" s="579" t="str">
        <f t="shared" si="498"/>
        <v/>
      </c>
      <c r="L214" s="580" t="str">
        <f>IF(H214="Select ingredient:","",IF(G214="","",_xlfn.IFNA(VLOOKUP($H214,Ingredient_prices!$E:$U,16,FALSE),0)))</f>
        <v/>
      </c>
      <c r="M214" s="844"/>
      <c r="N214" s="844"/>
      <c r="O214" s="588"/>
      <c r="P214" s="589"/>
      <c r="Q214" s="583">
        <f t="shared" si="499"/>
        <v>0</v>
      </c>
      <c r="R214" s="583">
        <f>VLOOKUP($H214,'CO2_emission+%_food_waste'!$A:$K,6,FALSE)*$Q214/100</f>
        <v>0</v>
      </c>
      <c r="S214" s="583">
        <f t="shared" si="523"/>
        <v>0</v>
      </c>
      <c r="T214" s="583" t="str">
        <f>IF(H214="Select ingredient:","",IF(G214="Select food category:","",_xlfn.IFNA(VLOOKUP($H214,Ingredient_prices!$E:$U,16,FALSE)*$Q214/1000,"not bought")))</f>
        <v/>
      </c>
      <c r="U214" s="583" t="str">
        <f>IF(G214="Select food category:","",_xlfn.IFNA(VLOOKUP($H214,Ingredient_prices!$E:$U,16,FALSE)*$R214/1000,"not bought"))</f>
        <v/>
      </c>
      <c r="V214" s="549">
        <f>VLOOKUP($H214,'CO2_emission+%_food_waste'!$A:$K,4,FALSE)*$Q214</f>
        <v>0</v>
      </c>
      <c r="W214" s="583">
        <f>VLOOKUP($H214,Nutrition_tables!$A:$N,10,FALSE)*$Q214/100</f>
        <v>0</v>
      </c>
      <c r="X214" s="583">
        <f>VLOOKUP($H214,Nutrition_tables!$A:$N,11,FALSE)*$Q214/100</f>
        <v>0</v>
      </c>
      <c r="Y214" s="583">
        <f>VLOOKUP($H214,Nutrition_tables!$A:$N,12,FALSE)*$Q214/100</f>
        <v>0</v>
      </c>
      <c r="Z214" s="583">
        <f>VLOOKUP($H214,Nutrition_tables!$A:$N,14,FALSE)*$Q214/100</f>
        <v>0</v>
      </c>
      <c r="AA214" s="583">
        <f>VLOOKUP($H214,Nutrition_tables!$A:$AF,13,FALSE)*$Q214/100</f>
        <v>0</v>
      </c>
      <c r="AB214" s="549">
        <f>VLOOKUP($H214,Nutrition_tables!$A:$AF,15,FALSE)*$Q214/100</f>
        <v>0</v>
      </c>
      <c r="AC214" s="583">
        <f>VLOOKUP($H214,Nutrition_tables!$A:$AF,16,FALSE)*$Q214/100</f>
        <v>0</v>
      </c>
      <c r="AD214" s="583">
        <f>VLOOKUP($H214,Nutrition_tables!$A:$AF,17,FALSE)*$Q214/100</f>
        <v>0</v>
      </c>
      <c r="AE214" s="583">
        <f>VLOOKUP($H214,Nutrition_tables!$A:$AF,18,FALSE)*$Q214/100</f>
        <v>0</v>
      </c>
      <c r="AF214" s="583">
        <f>VLOOKUP($H214,Nutrition_tables!$A:$AF,19,FALSE)*$Q214/100</f>
        <v>0</v>
      </c>
      <c r="AG214" s="583">
        <f>VLOOKUP($H214,Nutrition_tables!$A:$AF,20,FALSE)*$Q214/100</f>
        <v>0</v>
      </c>
      <c r="AH214" s="583">
        <f>VLOOKUP($H214,Nutrition_tables!$A:$AF,21,FALSE)*$Q214/100</f>
        <v>0</v>
      </c>
      <c r="AI214" s="583">
        <f>VLOOKUP($H214,Nutrition_tables!$A:$AF,22,FALSE)*$Q214/100</f>
        <v>0</v>
      </c>
      <c r="AJ214" s="549">
        <f>VLOOKUP($H214,Nutrition_tables!$A:$AF,23,FALSE)*$Q214/100</f>
        <v>0</v>
      </c>
      <c r="AK214" s="583">
        <f>VLOOKUP($H214,Nutrition_tables!$A:$AF,24,FALSE)*$Q214/100</f>
        <v>0</v>
      </c>
      <c r="AL214" s="583">
        <f>VLOOKUP($H214,Nutrition_tables!$A:$AF,25,FALSE)*$Q214/100</f>
        <v>0</v>
      </c>
      <c r="AM214" s="583">
        <f>VLOOKUP($H214,Nutrition_tables!$A:$AF,26,FALSE)*$Q214/100</f>
        <v>0</v>
      </c>
      <c r="AN214" s="583">
        <f>VLOOKUP($H214,Nutrition_tables!$A:$AF,27,FALSE)*$Q214/100</f>
        <v>0</v>
      </c>
      <c r="AO214" s="583">
        <f>VLOOKUP($H214,Nutrition_tables!$A:$AF,28,FALSE)*$Q214/100</f>
        <v>0</v>
      </c>
      <c r="AP214" s="583">
        <f>VLOOKUP($H214,Nutrition_tables!$A:$AF,29,FALSE)*$Q214/100</f>
        <v>0</v>
      </c>
      <c r="AQ214" s="583">
        <f>VLOOKUP($H214,Nutrition_tables!$A:$AF,30,FALSE)*$Q214/100</f>
        <v>0</v>
      </c>
      <c r="AR214" s="583">
        <f>VLOOKUP($H214,Nutrition_tables!$A:$AF,31,FALSE)*$Q214/100</f>
        <v>0</v>
      </c>
      <c r="AS214" s="549">
        <f>VLOOKUP($H214,Nutrition_tables!$A:$AF,32,FALSE)*$Q214/100</f>
        <v>0</v>
      </c>
      <c r="AT214" s="583" t="str">
        <f>IF(H214="Select ingredient:","",IF(G214="Select food category:","",IFERROR(VLOOKUP($H214,Ingredient_prices!$E:$W,17,FALSE)*$Q214/1000,"not bought")))</f>
        <v/>
      </c>
      <c r="AU214" s="583" t="str">
        <f>IF(H214="Select ingredient:","",IF(G214="Select food category:","",IFERROR(VLOOKUP($H214,Ingredient_prices!$E:$W,18,FALSE)*$Q214/1000,"not bought")))</f>
        <v/>
      </c>
      <c r="AV214" s="583">
        <f t="shared" si="500"/>
        <v>0</v>
      </c>
      <c r="AW214" s="583">
        <f t="shared" si="501"/>
        <v>0</v>
      </c>
      <c r="AX214" s="583">
        <f t="shared" si="502"/>
        <v>0</v>
      </c>
      <c r="AY214" s="583">
        <f t="shared" si="503"/>
        <v>0</v>
      </c>
      <c r="AZ214" s="583">
        <f t="shared" si="504"/>
        <v>0</v>
      </c>
      <c r="BA214" s="583">
        <f t="shared" si="505"/>
        <v>0</v>
      </c>
      <c r="BB214" s="583">
        <f t="shared" si="506"/>
        <v>0</v>
      </c>
      <c r="BC214" s="583">
        <f t="shared" si="507"/>
        <v>0</v>
      </c>
      <c r="BD214" s="583">
        <f t="shared" si="508"/>
        <v>0</v>
      </c>
      <c r="BE214" s="583">
        <f t="shared" si="509"/>
        <v>0</v>
      </c>
      <c r="BF214" s="583">
        <f t="shared" si="510"/>
        <v>0</v>
      </c>
      <c r="BG214" s="583">
        <f t="shared" si="511"/>
        <v>0</v>
      </c>
      <c r="BH214" s="583">
        <f t="shared" si="512"/>
        <v>0</v>
      </c>
      <c r="BI214" s="583">
        <f t="shared" si="513"/>
        <v>0</v>
      </c>
      <c r="BJ214" s="583">
        <f t="shared" si="514"/>
        <v>0</v>
      </c>
      <c r="BK214" s="583">
        <f t="shared" si="515"/>
        <v>0</v>
      </c>
      <c r="BL214" s="583">
        <f t="shared" si="516"/>
        <v>0</v>
      </c>
      <c r="BM214" s="583">
        <f t="shared" si="517"/>
        <v>0</v>
      </c>
      <c r="BN214" s="583">
        <f t="shared" si="518"/>
        <v>0</v>
      </c>
      <c r="BO214" s="583">
        <f t="shared" si="519"/>
        <v>0</v>
      </c>
      <c r="BP214" s="583">
        <f t="shared" si="520"/>
        <v>0</v>
      </c>
      <c r="BQ214" s="583">
        <f t="shared" si="521"/>
        <v>0</v>
      </c>
      <c r="BR214" s="583">
        <f t="shared" si="522"/>
        <v>0</v>
      </c>
    </row>
    <row r="215" spans="1:70" s="229" customFormat="1" ht="15" customHeight="1">
      <c r="A215" s="587"/>
      <c r="D215" s="85"/>
      <c r="E215" s="576">
        <f t="shared" si="524"/>
        <v>100</v>
      </c>
      <c r="F215" s="707"/>
      <c r="G215" s="406" t="s">
        <v>3054</v>
      </c>
      <c r="H215" s="1262" t="s">
        <v>3055</v>
      </c>
      <c r="I215" s="85">
        <v>0</v>
      </c>
      <c r="J215" s="682">
        <v>1</v>
      </c>
      <c r="K215" s="579" t="str">
        <f t="shared" si="498"/>
        <v/>
      </c>
      <c r="L215" s="580" t="str">
        <f>IF(H215="Select ingredient:","",IF(G215="","",_xlfn.IFNA(VLOOKUP($H215,Ingredient_prices!$E:$U,16,FALSE),0)))</f>
        <v/>
      </c>
      <c r="M215" s="844"/>
      <c r="N215" s="844"/>
      <c r="O215" s="588"/>
      <c r="P215" s="589"/>
      <c r="Q215" s="583">
        <f t="shared" si="499"/>
        <v>0</v>
      </c>
      <c r="R215" s="583">
        <f>VLOOKUP($H215,'CO2_emission+%_food_waste'!$A:$K,6,FALSE)*$Q215/100</f>
        <v>0</v>
      </c>
      <c r="S215" s="583">
        <f t="shared" si="523"/>
        <v>0</v>
      </c>
      <c r="T215" s="583" t="str">
        <f>IF(H215="Select ingredient:","",IF(G215="Select food category:","",_xlfn.IFNA(VLOOKUP($H215,Ingredient_prices!$E:$U,16,FALSE)*$Q215/1000,"not bought")))</f>
        <v/>
      </c>
      <c r="U215" s="583" t="str">
        <f>IF(G215="Select food category:","",_xlfn.IFNA(VLOOKUP($H215,Ingredient_prices!$E:$U,16,FALSE)*$R215/1000,"not bought"))</f>
        <v/>
      </c>
      <c r="V215" s="549">
        <f>VLOOKUP($H215,'CO2_emission+%_food_waste'!$A:$K,4,FALSE)*$Q215</f>
        <v>0</v>
      </c>
      <c r="W215" s="583">
        <f>VLOOKUP($H215,Nutrition_tables!$A:$N,10,FALSE)*$Q215/100</f>
        <v>0</v>
      </c>
      <c r="X215" s="583">
        <f>VLOOKUP($H215,Nutrition_tables!$A:$N,11,FALSE)*$Q215/100</f>
        <v>0</v>
      </c>
      <c r="Y215" s="583">
        <f>VLOOKUP($H215,Nutrition_tables!$A:$N,12,FALSE)*$Q215/100</f>
        <v>0</v>
      </c>
      <c r="Z215" s="583">
        <f>VLOOKUP($H215,Nutrition_tables!$A:$N,14,FALSE)*$Q215/100</f>
        <v>0</v>
      </c>
      <c r="AA215" s="583">
        <f>VLOOKUP($H215,Nutrition_tables!$A:$AF,13,FALSE)*$Q215/100</f>
        <v>0</v>
      </c>
      <c r="AB215" s="549">
        <f>VLOOKUP($H215,Nutrition_tables!$A:$AF,15,FALSE)*$Q215/100</f>
        <v>0</v>
      </c>
      <c r="AC215" s="583">
        <f>VLOOKUP($H215,Nutrition_tables!$A:$AF,16,FALSE)*$Q215/100</f>
        <v>0</v>
      </c>
      <c r="AD215" s="583">
        <f>VLOOKUP($H215,Nutrition_tables!$A:$AF,17,FALSE)*$Q215/100</f>
        <v>0</v>
      </c>
      <c r="AE215" s="583">
        <f>VLOOKUP($H215,Nutrition_tables!$A:$AF,18,FALSE)*$Q215/100</f>
        <v>0</v>
      </c>
      <c r="AF215" s="583">
        <f>VLOOKUP($H215,Nutrition_tables!$A:$AF,19,FALSE)*$Q215/100</f>
        <v>0</v>
      </c>
      <c r="AG215" s="583">
        <f>VLOOKUP($H215,Nutrition_tables!$A:$AF,20,FALSE)*$Q215/100</f>
        <v>0</v>
      </c>
      <c r="AH215" s="583">
        <f>VLOOKUP($H215,Nutrition_tables!$A:$AF,21,FALSE)*$Q215/100</f>
        <v>0</v>
      </c>
      <c r="AI215" s="583">
        <f>VLOOKUP($H215,Nutrition_tables!$A:$AF,22,FALSE)*$Q215/100</f>
        <v>0</v>
      </c>
      <c r="AJ215" s="549">
        <f>VLOOKUP($H215,Nutrition_tables!$A:$AF,23,FALSE)*$Q215/100</f>
        <v>0</v>
      </c>
      <c r="AK215" s="583">
        <f>VLOOKUP($H215,Nutrition_tables!$A:$AF,24,FALSE)*$Q215/100</f>
        <v>0</v>
      </c>
      <c r="AL215" s="583">
        <f>VLOOKUP($H215,Nutrition_tables!$A:$AF,25,FALSE)*$Q215/100</f>
        <v>0</v>
      </c>
      <c r="AM215" s="583">
        <f>VLOOKUP($H215,Nutrition_tables!$A:$AF,26,FALSE)*$Q215/100</f>
        <v>0</v>
      </c>
      <c r="AN215" s="583">
        <f>VLOOKUP($H215,Nutrition_tables!$A:$AF,27,FALSE)*$Q215/100</f>
        <v>0</v>
      </c>
      <c r="AO215" s="583">
        <f>VLOOKUP($H215,Nutrition_tables!$A:$AF,28,FALSE)*$Q215/100</f>
        <v>0</v>
      </c>
      <c r="AP215" s="583">
        <f>VLOOKUP($H215,Nutrition_tables!$A:$AF,29,FALSE)*$Q215/100</f>
        <v>0</v>
      </c>
      <c r="AQ215" s="583">
        <f>VLOOKUP($H215,Nutrition_tables!$A:$AF,30,FALSE)*$Q215/100</f>
        <v>0</v>
      </c>
      <c r="AR215" s="583">
        <f>VLOOKUP($H215,Nutrition_tables!$A:$AF,31,FALSE)*$Q215/100</f>
        <v>0</v>
      </c>
      <c r="AS215" s="549">
        <f>VLOOKUP($H215,Nutrition_tables!$A:$AF,32,FALSE)*$Q215/100</f>
        <v>0</v>
      </c>
      <c r="AT215" s="583" t="str">
        <f>IF(H215="Select ingredient:","",IF(G215="Select food category:","",IFERROR(VLOOKUP($H215,Ingredient_prices!$E:$W,17,FALSE)*$Q215/1000,"not bought")))</f>
        <v/>
      </c>
      <c r="AU215" s="583" t="str">
        <f>IF(H215="Select ingredient:","",IF(G215="Select food category:","",IFERROR(VLOOKUP($H215,Ingredient_prices!$E:$W,18,FALSE)*$Q215/1000,"not bought")))</f>
        <v/>
      </c>
      <c r="AV215" s="583">
        <f t="shared" si="500"/>
        <v>0</v>
      </c>
      <c r="AW215" s="583">
        <f t="shared" si="501"/>
        <v>0</v>
      </c>
      <c r="AX215" s="583">
        <f t="shared" si="502"/>
        <v>0</v>
      </c>
      <c r="AY215" s="583">
        <f t="shared" si="503"/>
        <v>0</v>
      </c>
      <c r="AZ215" s="583">
        <f t="shared" si="504"/>
        <v>0</v>
      </c>
      <c r="BA215" s="583">
        <f t="shared" si="505"/>
        <v>0</v>
      </c>
      <c r="BB215" s="583">
        <f t="shared" si="506"/>
        <v>0</v>
      </c>
      <c r="BC215" s="583">
        <f t="shared" si="507"/>
        <v>0</v>
      </c>
      <c r="BD215" s="583">
        <f t="shared" si="508"/>
        <v>0</v>
      </c>
      <c r="BE215" s="583">
        <f t="shared" si="509"/>
        <v>0</v>
      </c>
      <c r="BF215" s="583">
        <f t="shared" si="510"/>
        <v>0</v>
      </c>
      <c r="BG215" s="583">
        <f t="shared" si="511"/>
        <v>0</v>
      </c>
      <c r="BH215" s="583">
        <f t="shared" si="512"/>
        <v>0</v>
      </c>
      <c r="BI215" s="583">
        <f t="shared" si="513"/>
        <v>0</v>
      </c>
      <c r="BJ215" s="583">
        <f t="shared" si="514"/>
        <v>0</v>
      </c>
      <c r="BK215" s="583">
        <f t="shared" si="515"/>
        <v>0</v>
      </c>
      <c r="BL215" s="583">
        <f t="shared" si="516"/>
        <v>0</v>
      </c>
      <c r="BM215" s="583">
        <f t="shared" si="517"/>
        <v>0</v>
      </c>
      <c r="BN215" s="583">
        <f t="shared" si="518"/>
        <v>0</v>
      </c>
      <c r="BO215" s="583">
        <f t="shared" si="519"/>
        <v>0</v>
      </c>
      <c r="BP215" s="583">
        <f t="shared" si="520"/>
        <v>0</v>
      </c>
      <c r="BQ215" s="583">
        <f t="shared" si="521"/>
        <v>0</v>
      </c>
      <c r="BR215" s="583">
        <f t="shared" si="522"/>
        <v>0</v>
      </c>
    </row>
    <row r="216" spans="1:70" s="229" customFormat="1" ht="15" customHeight="1">
      <c r="A216" s="587"/>
      <c r="D216" s="85"/>
      <c r="E216" s="576">
        <f t="shared" si="524"/>
        <v>100</v>
      </c>
      <c r="F216" s="707"/>
      <c r="G216" s="406" t="s">
        <v>3054</v>
      </c>
      <c r="H216" s="1262" t="s">
        <v>3055</v>
      </c>
      <c r="I216" s="85">
        <v>0</v>
      </c>
      <c r="J216" s="682">
        <v>1</v>
      </c>
      <c r="K216" s="579" t="str">
        <f t="shared" si="498"/>
        <v/>
      </c>
      <c r="L216" s="580" t="str">
        <f>IF(H216="Select ingredient:","",IF(G216="","",_xlfn.IFNA(VLOOKUP($H216,Ingredient_prices!$E:$U,16,FALSE),0)))</f>
        <v/>
      </c>
      <c r="M216" s="844"/>
      <c r="N216" s="844"/>
      <c r="O216" s="588"/>
      <c r="P216" s="589"/>
      <c r="Q216" s="583">
        <f t="shared" si="499"/>
        <v>0</v>
      </c>
      <c r="R216" s="583">
        <f>VLOOKUP($H216,'CO2_emission+%_food_waste'!$A:$K,6,FALSE)*$Q216/100</f>
        <v>0</v>
      </c>
      <c r="S216" s="583">
        <f t="shared" si="523"/>
        <v>0</v>
      </c>
      <c r="T216" s="583" t="str">
        <f>IF(H216="Select ingredient:","",IF(G216="Select food category:","",_xlfn.IFNA(VLOOKUP($H216,Ingredient_prices!$E:$U,16,FALSE)*$Q216/1000,"not bought")))</f>
        <v/>
      </c>
      <c r="U216" s="583" t="str">
        <f>IF(G216="Select food category:","",_xlfn.IFNA(VLOOKUP($H216,Ingredient_prices!$E:$U,16,FALSE)*$R216/1000,"not bought"))</f>
        <v/>
      </c>
      <c r="V216" s="549">
        <f>VLOOKUP($H216,'CO2_emission+%_food_waste'!$A:$K,4,FALSE)*$Q216</f>
        <v>0</v>
      </c>
      <c r="W216" s="583">
        <f>VLOOKUP($H216,Nutrition_tables!$A:$N,10,FALSE)*$Q216/100</f>
        <v>0</v>
      </c>
      <c r="X216" s="583">
        <f>VLOOKUP($H216,Nutrition_tables!$A:$N,11,FALSE)*$Q216/100</f>
        <v>0</v>
      </c>
      <c r="Y216" s="583">
        <f>VLOOKUP($H216,Nutrition_tables!$A:$N,12,FALSE)*$Q216/100</f>
        <v>0</v>
      </c>
      <c r="Z216" s="583">
        <f>VLOOKUP($H216,Nutrition_tables!$A:$N,14,FALSE)*$Q216/100</f>
        <v>0</v>
      </c>
      <c r="AA216" s="583">
        <f>VLOOKUP($H216,Nutrition_tables!$A:$AF,13,FALSE)*$Q216/100</f>
        <v>0</v>
      </c>
      <c r="AB216" s="549">
        <f>VLOOKUP($H216,Nutrition_tables!$A:$AF,15,FALSE)*$Q216/100</f>
        <v>0</v>
      </c>
      <c r="AC216" s="583">
        <f>VLOOKUP($H216,Nutrition_tables!$A:$AF,16,FALSE)*$Q216/100</f>
        <v>0</v>
      </c>
      <c r="AD216" s="583">
        <f>VLOOKUP($H216,Nutrition_tables!$A:$AF,17,FALSE)*$Q216/100</f>
        <v>0</v>
      </c>
      <c r="AE216" s="583">
        <f>VLOOKUP($H216,Nutrition_tables!$A:$AF,18,FALSE)*$Q216/100</f>
        <v>0</v>
      </c>
      <c r="AF216" s="583">
        <f>VLOOKUP($H216,Nutrition_tables!$A:$AF,19,FALSE)*$Q216/100</f>
        <v>0</v>
      </c>
      <c r="AG216" s="583">
        <f>VLOOKUP($H216,Nutrition_tables!$A:$AF,20,FALSE)*$Q216/100</f>
        <v>0</v>
      </c>
      <c r="AH216" s="583">
        <f>VLOOKUP($H216,Nutrition_tables!$A:$AF,21,FALSE)*$Q216/100</f>
        <v>0</v>
      </c>
      <c r="AI216" s="583">
        <f>VLOOKUP($H216,Nutrition_tables!$A:$AF,22,FALSE)*$Q216/100</f>
        <v>0</v>
      </c>
      <c r="AJ216" s="549">
        <f>VLOOKUP($H216,Nutrition_tables!$A:$AF,23,FALSE)*$Q216/100</f>
        <v>0</v>
      </c>
      <c r="AK216" s="583">
        <f>VLOOKUP($H216,Nutrition_tables!$A:$AF,24,FALSE)*$Q216/100</f>
        <v>0</v>
      </c>
      <c r="AL216" s="583">
        <f>VLOOKUP($H216,Nutrition_tables!$A:$AF,25,FALSE)*$Q216/100</f>
        <v>0</v>
      </c>
      <c r="AM216" s="583">
        <f>VLOOKUP($H216,Nutrition_tables!$A:$AF,26,FALSE)*$Q216/100</f>
        <v>0</v>
      </c>
      <c r="AN216" s="583">
        <f>VLOOKUP($H216,Nutrition_tables!$A:$AF,27,FALSE)*$Q216/100</f>
        <v>0</v>
      </c>
      <c r="AO216" s="583">
        <f>VLOOKUP($H216,Nutrition_tables!$A:$AF,28,FALSE)*$Q216/100</f>
        <v>0</v>
      </c>
      <c r="AP216" s="583">
        <f>VLOOKUP($H216,Nutrition_tables!$A:$AF,29,FALSE)*$Q216/100</f>
        <v>0</v>
      </c>
      <c r="AQ216" s="583">
        <f>VLOOKUP($H216,Nutrition_tables!$A:$AF,30,FALSE)*$Q216/100</f>
        <v>0</v>
      </c>
      <c r="AR216" s="583">
        <f>VLOOKUP($H216,Nutrition_tables!$A:$AF,31,FALSE)*$Q216/100</f>
        <v>0</v>
      </c>
      <c r="AS216" s="549">
        <f>VLOOKUP($H216,Nutrition_tables!$A:$AF,32,FALSE)*$Q216/100</f>
        <v>0</v>
      </c>
      <c r="AT216" s="583" t="str">
        <f>IF(H216="Select ingredient:","",IF(G216="Select food category:","",IFERROR(VLOOKUP($H216,Ingredient_prices!$E:$W,17,FALSE)*$Q216/1000,"not bought")))</f>
        <v/>
      </c>
      <c r="AU216" s="583" t="str">
        <f>IF(H216="Select ingredient:","",IF(G216="Select food category:","",IFERROR(VLOOKUP($H216,Ingredient_prices!$E:$W,18,FALSE)*$Q216/1000,"not bought")))</f>
        <v/>
      </c>
      <c r="AV216" s="583">
        <f t="shared" si="500"/>
        <v>0</v>
      </c>
      <c r="AW216" s="583">
        <f t="shared" si="501"/>
        <v>0</v>
      </c>
      <c r="AX216" s="583">
        <f t="shared" si="502"/>
        <v>0</v>
      </c>
      <c r="AY216" s="583">
        <f t="shared" si="503"/>
        <v>0</v>
      </c>
      <c r="AZ216" s="583">
        <f t="shared" si="504"/>
        <v>0</v>
      </c>
      <c r="BA216" s="583">
        <f t="shared" si="505"/>
        <v>0</v>
      </c>
      <c r="BB216" s="583">
        <f t="shared" si="506"/>
        <v>0</v>
      </c>
      <c r="BC216" s="583">
        <f t="shared" si="507"/>
        <v>0</v>
      </c>
      <c r="BD216" s="583">
        <f t="shared" si="508"/>
        <v>0</v>
      </c>
      <c r="BE216" s="583">
        <f t="shared" si="509"/>
        <v>0</v>
      </c>
      <c r="BF216" s="583">
        <f t="shared" si="510"/>
        <v>0</v>
      </c>
      <c r="BG216" s="583">
        <f t="shared" si="511"/>
        <v>0</v>
      </c>
      <c r="BH216" s="583">
        <f t="shared" si="512"/>
        <v>0</v>
      </c>
      <c r="BI216" s="583">
        <f t="shared" si="513"/>
        <v>0</v>
      </c>
      <c r="BJ216" s="583">
        <f t="shared" si="514"/>
        <v>0</v>
      </c>
      <c r="BK216" s="583">
        <f t="shared" si="515"/>
        <v>0</v>
      </c>
      <c r="BL216" s="583">
        <f t="shared" si="516"/>
        <v>0</v>
      </c>
      <c r="BM216" s="583">
        <f t="shared" si="517"/>
        <v>0</v>
      </c>
      <c r="BN216" s="583">
        <f t="shared" si="518"/>
        <v>0</v>
      </c>
      <c r="BO216" s="583">
        <f t="shared" si="519"/>
        <v>0</v>
      </c>
      <c r="BP216" s="583">
        <f t="shared" si="520"/>
        <v>0</v>
      </c>
      <c r="BQ216" s="583">
        <f t="shared" si="521"/>
        <v>0</v>
      </c>
      <c r="BR216" s="583">
        <f t="shared" si="522"/>
        <v>0</v>
      </c>
    </row>
    <row r="217" spans="1:70" s="229" customFormat="1" ht="15" customHeight="1">
      <c r="A217" s="587"/>
      <c r="D217" s="85"/>
      <c r="E217" s="576">
        <f t="shared" si="524"/>
        <v>100</v>
      </c>
      <c r="F217" s="707"/>
      <c r="G217" s="406" t="s">
        <v>3054</v>
      </c>
      <c r="H217" s="1262" t="s">
        <v>3055</v>
      </c>
      <c r="I217" s="85">
        <v>0</v>
      </c>
      <c r="J217" s="682">
        <v>1</v>
      </c>
      <c r="K217" s="579" t="str">
        <f t="shared" si="498"/>
        <v/>
      </c>
      <c r="L217" s="580" t="str">
        <f>IF(H217="Select ingredient:","",IF(G217="","",_xlfn.IFNA(VLOOKUP($H217,Ingredient_prices!$E:$U,16,FALSE),0)))</f>
        <v/>
      </c>
      <c r="M217" s="844"/>
      <c r="N217" s="844"/>
      <c r="O217" s="588"/>
      <c r="P217" s="589"/>
      <c r="Q217" s="583">
        <f t="shared" si="499"/>
        <v>0</v>
      </c>
      <c r="R217" s="583">
        <f>VLOOKUP($H217,'CO2_emission+%_food_waste'!$A:$K,6,FALSE)*$Q217/100</f>
        <v>0</v>
      </c>
      <c r="S217" s="583">
        <f t="shared" si="523"/>
        <v>0</v>
      </c>
      <c r="T217" s="583" t="str">
        <f>IF(H217="Select ingredient:","",IF(G217="Select food category:","",_xlfn.IFNA(VLOOKUP($H217,Ingredient_prices!$E:$U,16,FALSE)*$Q217/1000,"not bought")))</f>
        <v/>
      </c>
      <c r="U217" s="583" t="str">
        <f>IF(G217="Select food category:","",_xlfn.IFNA(VLOOKUP($H217,Ingredient_prices!$E:$U,16,FALSE)*$R217/1000,"not bought"))</f>
        <v/>
      </c>
      <c r="V217" s="549">
        <f>VLOOKUP($H217,'CO2_emission+%_food_waste'!$A:$K,4,FALSE)*$Q217</f>
        <v>0</v>
      </c>
      <c r="W217" s="583">
        <f>VLOOKUP($H217,Nutrition_tables!$A:$N,10,FALSE)*$Q217/100</f>
        <v>0</v>
      </c>
      <c r="X217" s="583">
        <f>VLOOKUP($H217,Nutrition_tables!$A:$N,11,FALSE)*$Q217/100</f>
        <v>0</v>
      </c>
      <c r="Y217" s="583">
        <f>VLOOKUP($H217,Nutrition_tables!$A:$N,12,FALSE)*$Q217/100</f>
        <v>0</v>
      </c>
      <c r="Z217" s="583">
        <f>VLOOKUP($H217,Nutrition_tables!$A:$N,14,FALSE)*$Q217/100</f>
        <v>0</v>
      </c>
      <c r="AA217" s="583">
        <f>VLOOKUP($H217,Nutrition_tables!$A:$AF,13,FALSE)*$Q217/100</f>
        <v>0</v>
      </c>
      <c r="AB217" s="549">
        <f>VLOOKUP($H217,Nutrition_tables!$A:$AF,15,FALSE)*$Q217/100</f>
        <v>0</v>
      </c>
      <c r="AC217" s="583">
        <f>VLOOKUP($H217,Nutrition_tables!$A:$AF,16,FALSE)*$Q217/100</f>
        <v>0</v>
      </c>
      <c r="AD217" s="583">
        <f>VLOOKUP($H217,Nutrition_tables!$A:$AF,17,FALSE)*$Q217/100</f>
        <v>0</v>
      </c>
      <c r="AE217" s="583">
        <f>VLOOKUP($H217,Nutrition_tables!$A:$AF,18,FALSE)*$Q217/100</f>
        <v>0</v>
      </c>
      <c r="AF217" s="583">
        <f>VLOOKUP($H217,Nutrition_tables!$A:$AF,19,FALSE)*$Q217/100</f>
        <v>0</v>
      </c>
      <c r="AG217" s="583">
        <f>VLOOKUP($H217,Nutrition_tables!$A:$AF,20,FALSE)*$Q217/100</f>
        <v>0</v>
      </c>
      <c r="AH217" s="583">
        <f>VLOOKUP($H217,Nutrition_tables!$A:$AF,21,FALSE)*$Q217/100</f>
        <v>0</v>
      </c>
      <c r="AI217" s="583">
        <f>VLOOKUP($H217,Nutrition_tables!$A:$AF,22,FALSE)*$Q217/100</f>
        <v>0</v>
      </c>
      <c r="AJ217" s="549">
        <f>VLOOKUP($H217,Nutrition_tables!$A:$AF,23,FALSE)*$Q217/100</f>
        <v>0</v>
      </c>
      <c r="AK217" s="583">
        <f>VLOOKUP($H217,Nutrition_tables!$A:$AF,24,FALSE)*$Q217/100</f>
        <v>0</v>
      </c>
      <c r="AL217" s="583">
        <f>VLOOKUP($H217,Nutrition_tables!$A:$AF,25,FALSE)*$Q217/100</f>
        <v>0</v>
      </c>
      <c r="AM217" s="583">
        <f>VLOOKUP($H217,Nutrition_tables!$A:$AF,26,FALSE)*$Q217/100</f>
        <v>0</v>
      </c>
      <c r="AN217" s="583">
        <f>VLOOKUP($H217,Nutrition_tables!$A:$AF,27,FALSE)*$Q217/100</f>
        <v>0</v>
      </c>
      <c r="AO217" s="583">
        <f>VLOOKUP($H217,Nutrition_tables!$A:$AF,28,FALSE)*$Q217/100</f>
        <v>0</v>
      </c>
      <c r="AP217" s="583">
        <f>VLOOKUP($H217,Nutrition_tables!$A:$AF,29,FALSE)*$Q217/100</f>
        <v>0</v>
      </c>
      <c r="AQ217" s="583">
        <f>VLOOKUP($H217,Nutrition_tables!$A:$AF,30,FALSE)*$Q217/100</f>
        <v>0</v>
      </c>
      <c r="AR217" s="583">
        <f>VLOOKUP($H217,Nutrition_tables!$A:$AF,31,FALSE)*$Q217/100</f>
        <v>0</v>
      </c>
      <c r="AS217" s="549">
        <f>VLOOKUP($H217,Nutrition_tables!$A:$AF,32,FALSE)*$Q217/100</f>
        <v>0</v>
      </c>
      <c r="AT217" s="583" t="str">
        <f>IF(H217="Select ingredient:","",IF(G217="Select food category:","",IFERROR(VLOOKUP($H217,Ingredient_prices!$E:$W,17,FALSE)*$Q217/1000,"not bought")))</f>
        <v/>
      </c>
      <c r="AU217" s="583" t="str">
        <f>IF(H217="Select ingredient:","",IF(G217="Select food category:","",IFERROR(VLOOKUP($H217,Ingredient_prices!$E:$W,18,FALSE)*$Q217/1000,"not bought")))</f>
        <v/>
      </c>
      <c r="AV217" s="583">
        <f t="shared" si="500"/>
        <v>0</v>
      </c>
      <c r="AW217" s="583">
        <f t="shared" si="501"/>
        <v>0</v>
      </c>
      <c r="AX217" s="583">
        <f t="shared" si="502"/>
        <v>0</v>
      </c>
      <c r="AY217" s="583">
        <f t="shared" si="503"/>
        <v>0</v>
      </c>
      <c r="AZ217" s="583">
        <f t="shared" si="504"/>
        <v>0</v>
      </c>
      <c r="BA217" s="583">
        <f t="shared" si="505"/>
        <v>0</v>
      </c>
      <c r="BB217" s="583">
        <f t="shared" si="506"/>
        <v>0</v>
      </c>
      <c r="BC217" s="583">
        <f t="shared" si="507"/>
        <v>0</v>
      </c>
      <c r="BD217" s="583">
        <f t="shared" si="508"/>
        <v>0</v>
      </c>
      <c r="BE217" s="583">
        <f t="shared" si="509"/>
        <v>0</v>
      </c>
      <c r="BF217" s="583">
        <f t="shared" si="510"/>
        <v>0</v>
      </c>
      <c r="BG217" s="583">
        <f t="shared" si="511"/>
        <v>0</v>
      </c>
      <c r="BH217" s="583">
        <f t="shared" si="512"/>
        <v>0</v>
      </c>
      <c r="BI217" s="583">
        <f t="shared" si="513"/>
        <v>0</v>
      </c>
      <c r="BJ217" s="583">
        <f t="shared" si="514"/>
        <v>0</v>
      </c>
      <c r="BK217" s="583">
        <f t="shared" si="515"/>
        <v>0</v>
      </c>
      <c r="BL217" s="583">
        <f t="shared" si="516"/>
        <v>0</v>
      </c>
      <c r="BM217" s="583">
        <f t="shared" si="517"/>
        <v>0</v>
      </c>
      <c r="BN217" s="583">
        <f t="shared" si="518"/>
        <v>0</v>
      </c>
      <c r="BO217" s="583">
        <f t="shared" si="519"/>
        <v>0</v>
      </c>
      <c r="BP217" s="583">
        <f t="shared" si="520"/>
        <v>0</v>
      </c>
      <c r="BQ217" s="583">
        <f t="shared" si="521"/>
        <v>0</v>
      </c>
      <c r="BR217" s="583">
        <f t="shared" si="522"/>
        <v>0</v>
      </c>
    </row>
    <row r="218" spans="1:70" s="229" customFormat="1" ht="15" customHeight="1">
      <c r="A218" s="587"/>
      <c r="D218" s="85"/>
      <c r="E218" s="576">
        <f t="shared" si="524"/>
        <v>100</v>
      </c>
      <c r="F218" s="707"/>
      <c r="G218" s="406" t="s">
        <v>3054</v>
      </c>
      <c r="H218" s="1262" t="s">
        <v>3055</v>
      </c>
      <c r="I218" s="85">
        <v>0</v>
      </c>
      <c r="J218" s="682">
        <v>1</v>
      </c>
      <c r="K218" s="579" t="str">
        <f t="shared" si="498"/>
        <v/>
      </c>
      <c r="L218" s="580" t="str">
        <f>IF(H218="Select ingredient:","",IF(G218="","",_xlfn.IFNA(VLOOKUP($H218,Ingredient_prices!$E:$U,16,FALSE),0)))</f>
        <v/>
      </c>
      <c r="M218" s="844"/>
      <c r="N218" s="844"/>
      <c r="O218" s="588"/>
      <c r="P218" s="589"/>
      <c r="Q218" s="583">
        <f t="shared" si="499"/>
        <v>0</v>
      </c>
      <c r="R218" s="583">
        <f>VLOOKUP($H218,'CO2_emission+%_food_waste'!$A:$K,6,FALSE)*$Q218/100</f>
        <v>0</v>
      </c>
      <c r="S218" s="583">
        <f t="shared" si="523"/>
        <v>0</v>
      </c>
      <c r="T218" s="583" t="str">
        <f>IF(H218="Select ingredient:","",IF(G218="Select food category:","",_xlfn.IFNA(VLOOKUP($H218,Ingredient_prices!$E:$U,16,FALSE)*$Q218/1000,"not bought")))</f>
        <v/>
      </c>
      <c r="U218" s="583" t="str">
        <f>IF(G218="Select food category:","",_xlfn.IFNA(VLOOKUP($H218,Ingredient_prices!$E:$U,16,FALSE)*$R218/1000,"not bought"))</f>
        <v/>
      </c>
      <c r="V218" s="549">
        <f>VLOOKUP($H218,'CO2_emission+%_food_waste'!$A:$K,4,FALSE)*$Q218</f>
        <v>0</v>
      </c>
      <c r="W218" s="583">
        <f>VLOOKUP($H218,Nutrition_tables!$A:$N,10,FALSE)*$Q218/100</f>
        <v>0</v>
      </c>
      <c r="X218" s="583">
        <f>VLOOKUP($H218,Nutrition_tables!$A:$N,11,FALSE)*$Q218/100</f>
        <v>0</v>
      </c>
      <c r="Y218" s="583">
        <f>VLOOKUP($H218,Nutrition_tables!$A:$N,12,FALSE)*$Q218/100</f>
        <v>0</v>
      </c>
      <c r="Z218" s="583">
        <f>VLOOKUP($H218,Nutrition_tables!$A:$N,14,FALSE)*$Q218/100</f>
        <v>0</v>
      </c>
      <c r="AA218" s="583">
        <f>VLOOKUP($H218,Nutrition_tables!$A:$AF,13,FALSE)*$Q218/100</f>
        <v>0</v>
      </c>
      <c r="AB218" s="549">
        <f>VLOOKUP($H218,Nutrition_tables!$A:$AF,15,FALSE)*$Q218/100</f>
        <v>0</v>
      </c>
      <c r="AC218" s="583">
        <f>VLOOKUP($H218,Nutrition_tables!$A:$AF,16,FALSE)*$Q218/100</f>
        <v>0</v>
      </c>
      <c r="AD218" s="583">
        <f>VLOOKUP($H218,Nutrition_tables!$A:$AF,17,FALSE)*$Q218/100</f>
        <v>0</v>
      </c>
      <c r="AE218" s="583">
        <f>VLOOKUP($H218,Nutrition_tables!$A:$AF,18,FALSE)*$Q218/100</f>
        <v>0</v>
      </c>
      <c r="AF218" s="583">
        <f>VLOOKUP($H218,Nutrition_tables!$A:$AF,19,FALSE)*$Q218/100</f>
        <v>0</v>
      </c>
      <c r="AG218" s="583">
        <f>VLOOKUP($H218,Nutrition_tables!$A:$AF,20,FALSE)*$Q218/100</f>
        <v>0</v>
      </c>
      <c r="AH218" s="583">
        <f>VLOOKUP($H218,Nutrition_tables!$A:$AF,21,FALSE)*$Q218/100</f>
        <v>0</v>
      </c>
      <c r="AI218" s="583">
        <f>VLOOKUP($H218,Nutrition_tables!$A:$AF,22,FALSE)*$Q218/100</f>
        <v>0</v>
      </c>
      <c r="AJ218" s="549">
        <f>VLOOKUP($H218,Nutrition_tables!$A:$AF,23,FALSE)*$Q218/100</f>
        <v>0</v>
      </c>
      <c r="AK218" s="583">
        <f>VLOOKUP($H218,Nutrition_tables!$A:$AF,24,FALSE)*$Q218/100</f>
        <v>0</v>
      </c>
      <c r="AL218" s="583">
        <f>VLOOKUP($H218,Nutrition_tables!$A:$AF,25,FALSE)*$Q218/100</f>
        <v>0</v>
      </c>
      <c r="AM218" s="583">
        <f>VLOOKUP($H218,Nutrition_tables!$A:$AF,26,FALSE)*$Q218/100</f>
        <v>0</v>
      </c>
      <c r="AN218" s="583">
        <f>VLOOKUP($H218,Nutrition_tables!$A:$AF,27,FALSE)*$Q218/100</f>
        <v>0</v>
      </c>
      <c r="AO218" s="583">
        <f>VLOOKUP($H218,Nutrition_tables!$A:$AF,28,FALSE)*$Q218/100</f>
        <v>0</v>
      </c>
      <c r="AP218" s="583">
        <f>VLOOKUP($H218,Nutrition_tables!$A:$AF,29,FALSE)*$Q218/100</f>
        <v>0</v>
      </c>
      <c r="AQ218" s="583">
        <f>VLOOKUP($H218,Nutrition_tables!$A:$AF,30,FALSE)*$Q218/100</f>
        <v>0</v>
      </c>
      <c r="AR218" s="583">
        <f>VLOOKUP($H218,Nutrition_tables!$A:$AF,31,FALSE)*$Q218/100</f>
        <v>0</v>
      </c>
      <c r="AS218" s="549">
        <f>VLOOKUP($H218,Nutrition_tables!$A:$AF,32,FALSE)*$Q218/100</f>
        <v>0</v>
      </c>
      <c r="AT218" s="583" t="str">
        <f>IF(H218="Select ingredient:","",IF(G218="Select food category:","",IFERROR(VLOOKUP($H218,Ingredient_prices!$E:$W,17,FALSE)*$Q218/1000,"not bought")))</f>
        <v/>
      </c>
      <c r="AU218" s="583" t="str">
        <f>IF(H218="Select ingredient:","",IF(G218="Select food category:","",IFERROR(VLOOKUP($H218,Ingredient_prices!$E:$W,18,FALSE)*$Q218/1000,"not bought")))</f>
        <v/>
      </c>
      <c r="AV218" s="583">
        <f t="shared" si="500"/>
        <v>0</v>
      </c>
      <c r="AW218" s="583">
        <f t="shared" si="501"/>
        <v>0</v>
      </c>
      <c r="AX218" s="583">
        <f t="shared" si="502"/>
        <v>0</v>
      </c>
      <c r="AY218" s="583">
        <f t="shared" si="503"/>
        <v>0</v>
      </c>
      <c r="AZ218" s="583">
        <f t="shared" si="504"/>
        <v>0</v>
      </c>
      <c r="BA218" s="583">
        <f t="shared" si="505"/>
        <v>0</v>
      </c>
      <c r="BB218" s="583">
        <f t="shared" si="506"/>
        <v>0</v>
      </c>
      <c r="BC218" s="583">
        <f t="shared" si="507"/>
        <v>0</v>
      </c>
      <c r="BD218" s="583">
        <f t="shared" si="508"/>
        <v>0</v>
      </c>
      <c r="BE218" s="583">
        <f t="shared" si="509"/>
        <v>0</v>
      </c>
      <c r="BF218" s="583">
        <f t="shared" si="510"/>
        <v>0</v>
      </c>
      <c r="BG218" s="583">
        <f t="shared" si="511"/>
        <v>0</v>
      </c>
      <c r="BH218" s="583">
        <f t="shared" si="512"/>
        <v>0</v>
      </c>
      <c r="BI218" s="583">
        <f t="shared" si="513"/>
        <v>0</v>
      </c>
      <c r="BJ218" s="583">
        <f t="shared" si="514"/>
        <v>0</v>
      </c>
      <c r="BK218" s="583">
        <f t="shared" si="515"/>
        <v>0</v>
      </c>
      <c r="BL218" s="583">
        <f t="shared" si="516"/>
        <v>0</v>
      </c>
      <c r="BM218" s="583">
        <f t="shared" si="517"/>
        <v>0</v>
      </c>
      <c r="BN218" s="583">
        <f t="shared" si="518"/>
        <v>0</v>
      </c>
      <c r="BO218" s="583">
        <f t="shared" si="519"/>
        <v>0</v>
      </c>
      <c r="BP218" s="583">
        <f t="shared" si="520"/>
        <v>0</v>
      </c>
      <c r="BQ218" s="583">
        <f t="shared" si="521"/>
        <v>0</v>
      </c>
      <c r="BR218" s="583">
        <f t="shared" si="522"/>
        <v>0</v>
      </c>
    </row>
    <row r="219" spans="1:70" s="229" customFormat="1" ht="15" customHeight="1">
      <c r="A219" s="587"/>
      <c r="D219" s="85"/>
      <c r="E219" s="576">
        <f t="shared" si="524"/>
        <v>100</v>
      </c>
      <c r="F219" s="707"/>
      <c r="G219" s="406" t="s">
        <v>3054</v>
      </c>
      <c r="H219" s="1262" t="s">
        <v>3055</v>
      </c>
      <c r="I219" s="85">
        <v>0</v>
      </c>
      <c r="J219" s="682">
        <v>1</v>
      </c>
      <c r="K219" s="579" t="str">
        <f t="shared" si="498"/>
        <v/>
      </c>
      <c r="L219" s="580" t="str">
        <f>IF(H219="Select ingredient:","",IF(G219="","",_xlfn.IFNA(VLOOKUP($H219,Ingredient_prices!$E:$U,16,FALSE),0)))</f>
        <v/>
      </c>
      <c r="M219" s="844"/>
      <c r="N219" s="844"/>
      <c r="O219" s="588"/>
      <c r="P219" s="589"/>
      <c r="Q219" s="583">
        <f t="shared" si="499"/>
        <v>0</v>
      </c>
      <c r="R219" s="583">
        <f>VLOOKUP($H219,'CO2_emission+%_food_waste'!$A:$K,6,FALSE)*$Q219/100</f>
        <v>0</v>
      </c>
      <c r="S219" s="583">
        <f t="shared" si="523"/>
        <v>0</v>
      </c>
      <c r="T219" s="583" t="str">
        <f>IF(H219="Select ingredient:","",IF(G219="Select food category:","",_xlfn.IFNA(VLOOKUP($H219,Ingredient_prices!$E:$U,16,FALSE)*$Q219/1000,"not bought")))</f>
        <v/>
      </c>
      <c r="U219" s="583" t="str">
        <f>IF(G219="Select food category:","",_xlfn.IFNA(VLOOKUP($H219,Ingredient_prices!$E:$U,16,FALSE)*$R219/1000,"not bought"))</f>
        <v/>
      </c>
      <c r="V219" s="549">
        <f>VLOOKUP($H219,'CO2_emission+%_food_waste'!$A:$K,4,FALSE)*$Q219</f>
        <v>0</v>
      </c>
      <c r="W219" s="583">
        <f>VLOOKUP($H219,Nutrition_tables!$A:$N,10,FALSE)*$Q219/100</f>
        <v>0</v>
      </c>
      <c r="X219" s="583">
        <f>VLOOKUP($H219,Nutrition_tables!$A:$N,11,FALSE)*$Q219/100</f>
        <v>0</v>
      </c>
      <c r="Y219" s="583">
        <f>VLOOKUP($H219,Nutrition_tables!$A:$N,12,FALSE)*$Q219/100</f>
        <v>0</v>
      </c>
      <c r="Z219" s="583">
        <f>VLOOKUP($H219,Nutrition_tables!$A:$N,14,FALSE)*$Q219/100</f>
        <v>0</v>
      </c>
      <c r="AA219" s="583">
        <f>VLOOKUP($H219,Nutrition_tables!$A:$AF,13,FALSE)*$Q219/100</f>
        <v>0</v>
      </c>
      <c r="AB219" s="549">
        <f>VLOOKUP($H219,Nutrition_tables!$A:$AF,15,FALSE)*$Q219/100</f>
        <v>0</v>
      </c>
      <c r="AC219" s="583">
        <f>VLOOKUP($H219,Nutrition_tables!$A:$AF,16,FALSE)*$Q219/100</f>
        <v>0</v>
      </c>
      <c r="AD219" s="583">
        <f>VLOOKUP($H219,Nutrition_tables!$A:$AF,17,FALSE)*$Q219/100</f>
        <v>0</v>
      </c>
      <c r="AE219" s="583">
        <f>VLOOKUP($H219,Nutrition_tables!$A:$AF,18,FALSE)*$Q219/100</f>
        <v>0</v>
      </c>
      <c r="AF219" s="583">
        <f>VLOOKUP($H219,Nutrition_tables!$A:$AF,19,FALSE)*$Q219/100</f>
        <v>0</v>
      </c>
      <c r="AG219" s="583">
        <f>VLOOKUP($H219,Nutrition_tables!$A:$AF,20,FALSE)*$Q219/100</f>
        <v>0</v>
      </c>
      <c r="AH219" s="583">
        <f>VLOOKUP($H219,Nutrition_tables!$A:$AF,21,FALSE)*$Q219/100</f>
        <v>0</v>
      </c>
      <c r="AI219" s="583">
        <f>VLOOKUP($H219,Nutrition_tables!$A:$AF,22,FALSE)*$Q219/100</f>
        <v>0</v>
      </c>
      <c r="AJ219" s="549">
        <f>VLOOKUP($H219,Nutrition_tables!$A:$AF,23,FALSE)*$Q219/100</f>
        <v>0</v>
      </c>
      <c r="AK219" s="583">
        <f>VLOOKUP($H219,Nutrition_tables!$A:$AF,24,FALSE)*$Q219/100</f>
        <v>0</v>
      </c>
      <c r="AL219" s="583">
        <f>VLOOKUP($H219,Nutrition_tables!$A:$AF,25,FALSE)*$Q219/100</f>
        <v>0</v>
      </c>
      <c r="AM219" s="583">
        <f>VLOOKUP($H219,Nutrition_tables!$A:$AF,26,FALSE)*$Q219/100</f>
        <v>0</v>
      </c>
      <c r="AN219" s="583">
        <f>VLOOKUP($H219,Nutrition_tables!$A:$AF,27,FALSE)*$Q219/100</f>
        <v>0</v>
      </c>
      <c r="AO219" s="583">
        <f>VLOOKUP($H219,Nutrition_tables!$A:$AF,28,FALSE)*$Q219/100</f>
        <v>0</v>
      </c>
      <c r="AP219" s="583">
        <f>VLOOKUP($H219,Nutrition_tables!$A:$AF,29,FALSE)*$Q219/100</f>
        <v>0</v>
      </c>
      <c r="AQ219" s="583">
        <f>VLOOKUP($H219,Nutrition_tables!$A:$AF,30,FALSE)*$Q219/100</f>
        <v>0</v>
      </c>
      <c r="AR219" s="583">
        <f>VLOOKUP($H219,Nutrition_tables!$A:$AF,31,FALSE)*$Q219/100</f>
        <v>0</v>
      </c>
      <c r="AS219" s="549">
        <f>VLOOKUP($H219,Nutrition_tables!$A:$AF,32,FALSE)*$Q219/100</f>
        <v>0</v>
      </c>
      <c r="AT219" s="583" t="str">
        <f>IF(H219="Select ingredient:","",IF(G219="Select food category:","",IFERROR(VLOOKUP($H219,Ingredient_prices!$E:$W,17,FALSE)*$Q219/1000,"not bought")))</f>
        <v/>
      </c>
      <c r="AU219" s="583" t="str">
        <f>IF(H219="Select ingredient:","",IF(G219="Select food category:","",IFERROR(VLOOKUP($H219,Ingredient_prices!$E:$W,18,FALSE)*$Q219/1000,"not bought")))</f>
        <v/>
      </c>
      <c r="AV219" s="583">
        <f t="shared" si="500"/>
        <v>0</v>
      </c>
      <c r="AW219" s="583">
        <f t="shared" si="501"/>
        <v>0</v>
      </c>
      <c r="AX219" s="583">
        <f t="shared" si="502"/>
        <v>0</v>
      </c>
      <c r="AY219" s="583">
        <f t="shared" si="503"/>
        <v>0</v>
      </c>
      <c r="AZ219" s="583">
        <f t="shared" si="504"/>
        <v>0</v>
      </c>
      <c r="BA219" s="583">
        <f t="shared" si="505"/>
        <v>0</v>
      </c>
      <c r="BB219" s="583">
        <f t="shared" si="506"/>
        <v>0</v>
      </c>
      <c r="BC219" s="583">
        <f t="shared" si="507"/>
        <v>0</v>
      </c>
      <c r="BD219" s="583">
        <f t="shared" si="508"/>
        <v>0</v>
      </c>
      <c r="BE219" s="583">
        <f t="shared" si="509"/>
        <v>0</v>
      </c>
      <c r="BF219" s="583">
        <f t="shared" si="510"/>
        <v>0</v>
      </c>
      <c r="BG219" s="583">
        <f t="shared" si="511"/>
        <v>0</v>
      </c>
      <c r="BH219" s="583">
        <f t="shared" si="512"/>
        <v>0</v>
      </c>
      <c r="BI219" s="583">
        <f t="shared" si="513"/>
        <v>0</v>
      </c>
      <c r="BJ219" s="583">
        <f t="shared" si="514"/>
        <v>0</v>
      </c>
      <c r="BK219" s="583">
        <f t="shared" si="515"/>
        <v>0</v>
      </c>
      <c r="BL219" s="583">
        <f t="shared" si="516"/>
        <v>0</v>
      </c>
      <c r="BM219" s="583">
        <f t="shared" si="517"/>
        <v>0</v>
      </c>
      <c r="BN219" s="583">
        <f t="shared" si="518"/>
        <v>0</v>
      </c>
      <c r="BO219" s="583">
        <f t="shared" si="519"/>
        <v>0</v>
      </c>
      <c r="BP219" s="583">
        <f t="shared" si="520"/>
        <v>0</v>
      </c>
      <c r="BQ219" s="583">
        <f t="shared" si="521"/>
        <v>0</v>
      </c>
      <c r="BR219" s="583">
        <f t="shared" si="522"/>
        <v>0</v>
      </c>
    </row>
    <row r="220" spans="1:70" s="229" customFormat="1" ht="15" customHeight="1">
      <c r="A220" s="587"/>
      <c r="D220" s="85"/>
      <c r="E220" s="576">
        <f t="shared" si="524"/>
        <v>100</v>
      </c>
      <c r="F220" s="707"/>
      <c r="G220" s="406" t="s">
        <v>3054</v>
      </c>
      <c r="H220" s="1262" t="s">
        <v>3055</v>
      </c>
      <c r="I220" s="85">
        <v>0</v>
      </c>
      <c r="J220" s="682">
        <v>1</v>
      </c>
      <c r="K220" s="579" t="str">
        <f t="shared" si="498"/>
        <v/>
      </c>
      <c r="L220" s="580" t="str">
        <f>IF(H220="Select ingredient:","",IF(G220="","",_xlfn.IFNA(VLOOKUP($H220,Ingredient_prices!$E:$U,16,FALSE),0)))</f>
        <v/>
      </c>
      <c r="M220" s="844"/>
      <c r="N220" s="844"/>
      <c r="O220" s="588"/>
      <c r="P220" s="589"/>
      <c r="Q220" s="583">
        <f t="shared" si="499"/>
        <v>0</v>
      </c>
      <c r="R220" s="583">
        <f>VLOOKUP($H220,'CO2_emission+%_food_waste'!$A:$K,6,FALSE)*$Q220/100</f>
        <v>0</v>
      </c>
      <c r="S220" s="583">
        <f t="shared" si="523"/>
        <v>0</v>
      </c>
      <c r="T220" s="583" t="str">
        <f>IF(H220="Select ingredient:","",IF(G220="Select food category:","",_xlfn.IFNA(VLOOKUP($H220,Ingredient_prices!$E:$U,16,FALSE)*$Q220/1000,"not bought")))</f>
        <v/>
      </c>
      <c r="U220" s="583" t="str">
        <f>IF(G220="Select food category:","",_xlfn.IFNA(VLOOKUP($H220,Ingredient_prices!$E:$U,16,FALSE)*$R220/1000,"not bought"))</f>
        <v/>
      </c>
      <c r="V220" s="549">
        <f>VLOOKUP($H220,'CO2_emission+%_food_waste'!$A:$K,4,FALSE)*$Q220</f>
        <v>0</v>
      </c>
      <c r="W220" s="583">
        <f>VLOOKUP($H220,Nutrition_tables!$A:$N,10,FALSE)*$Q220/100</f>
        <v>0</v>
      </c>
      <c r="X220" s="583">
        <f>VLOOKUP($H220,Nutrition_tables!$A:$N,11,FALSE)*$Q220/100</f>
        <v>0</v>
      </c>
      <c r="Y220" s="583">
        <f>VLOOKUP($H220,Nutrition_tables!$A:$N,12,FALSE)*$Q220/100</f>
        <v>0</v>
      </c>
      <c r="Z220" s="583">
        <f>VLOOKUP($H220,Nutrition_tables!$A:$N,14,FALSE)*$Q220/100</f>
        <v>0</v>
      </c>
      <c r="AA220" s="583">
        <f>VLOOKUP($H220,Nutrition_tables!$A:$AF,13,FALSE)*$Q220/100</f>
        <v>0</v>
      </c>
      <c r="AB220" s="549">
        <f>VLOOKUP($H220,Nutrition_tables!$A:$AF,15,FALSE)*$Q220/100</f>
        <v>0</v>
      </c>
      <c r="AC220" s="583">
        <f>VLOOKUP($H220,Nutrition_tables!$A:$AF,16,FALSE)*$Q220/100</f>
        <v>0</v>
      </c>
      <c r="AD220" s="583">
        <f>VLOOKUP($H220,Nutrition_tables!$A:$AF,17,FALSE)*$Q220/100</f>
        <v>0</v>
      </c>
      <c r="AE220" s="583">
        <f>VLOOKUP($H220,Nutrition_tables!$A:$AF,18,FALSE)*$Q220/100</f>
        <v>0</v>
      </c>
      <c r="AF220" s="583">
        <f>VLOOKUP($H220,Nutrition_tables!$A:$AF,19,FALSE)*$Q220/100</f>
        <v>0</v>
      </c>
      <c r="AG220" s="583">
        <f>VLOOKUP($H220,Nutrition_tables!$A:$AF,20,FALSE)*$Q220/100</f>
        <v>0</v>
      </c>
      <c r="AH220" s="583">
        <f>VLOOKUP($H220,Nutrition_tables!$A:$AF,21,FALSE)*$Q220/100</f>
        <v>0</v>
      </c>
      <c r="AI220" s="583">
        <f>VLOOKUP($H220,Nutrition_tables!$A:$AF,22,FALSE)*$Q220/100</f>
        <v>0</v>
      </c>
      <c r="AJ220" s="549">
        <f>VLOOKUP($H220,Nutrition_tables!$A:$AF,23,FALSE)*$Q220/100</f>
        <v>0</v>
      </c>
      <c r="AK220" s="583">
        <f>VLOOKUP($H220,Nutrition_tables!$A:$AF,24,FALSE)*$Q220/100</f>
        <v>0</v>
      </c>
      <c r="AL220" s="583">
        <f>VLOOKUP($H220,Nutrition_tables!$A:$AF,25,FALSE)*$Q220/100</f>
        <v>0</v>
      </c>
      <c r="AM220" s="583">
        <f>VLOOKUP($H220,Nutrition_tables!$A:$AF,26,FALSE)*$Q220/100</f>
        <v>0</v>
      </c>
      <c r="AN220" s="583">
        <f>VLOOKUP($H220,Nutrition_tables!$A:$AF,27,FALSE)*$Q220/100</f>
        <v>0</v>
      </c>
      <c r="AO220" s="583">
        <f>VLOOKUP($H220,Nutrition_tables!$A:$AF,28,FALSE)*$Q220/100</f>
        <v>0</v>
      </c>
      <c r="AP220" s="583">
        <f>VLOOKUP($H220,Nutrition_tables!$A:$AF,29,FALSE)*$Q220/100</f>
        <v>0</v>
      </c>
      <c r="AQ220" s="583">
        <f>VLOOKUP($H220,Nutrition_tables!$A:$AF,30,FALSE)*$Q220/100</f>
        <v>0</v>
      </c>
      <c r="AR220" s="583">
        <f>VLOOKUP($H220,Nutrition_tables!$A:$AF,31,FALSE)*$Q220/100</f>
        <v>0</v>
      </c>
      <c r="AS220" s="549">
        <f>VLOOKUP($H220,Nutrition_tables!$A:$AF,32,FALSE)*$Q220/100</f>
        <v>0</v>
      </c>
      <c r="AT220" s="583" t="str">
        <f>IF(H220="Select ingredient:","",IF(G220="Select food category:","",IFERROR(VLOOKUP($H220,Ingredient_prices!$E:$W,17,FALSE)*$Q220/1000,"not bought")))</f>
        <v/>
      </c>
      <c r="AU220" s="583" t="str">
        <f>IF(H220="Select ingredient:","",IF(G220="Select food category:","",IFERROR(VLOOKUP($H220,Ingredient_prices!$E:$W,18,FALSE)*$Q220/1000,"not bought")))</f>
        <v/>
      </c>
      <c r="AV220" s="583">
        <f t="shared" si="500"/>
        <v>0</v>
      </c>
      <c r="AW220" s="583">
        <f t="shared" si="501"/>
        <v>0</v>
      </c>
      <c r="AX220" s="583">
        <f t="shared" si="502"/>
        <v>0</v>
      </c>
      <c r="AY220" s="583">
        <f t="shared" si="503"/>
        <v>0</v>
      </c>
      <c r="AZ220" s="583">
        <f t="shared" si="504"/>
        <v>0</v>
      </c>
      <c r="BA220" s="583">
        <f t="shared" si="505"/>
        <v>0</v>
      </c>
      <c r="BB220" s="583">
        <f t="shared" si="506"/>
        <v>0</v>
      </c>
      <c r="BC220" s="583">
        <f t="shared" si="507"/>
        <v>0</v>
      </c>
      <c r="BD220" s="583">
        <f t="shared" si="508"/>
        <v>0</v>
      </c>
      <c r="BE220" s="583">
        <f t="shared" si="509"/>
        <v>0</v>
      </c>
      <c r="BF220" s="583">
        <f t="shared" si="510"/>
        <v>0</v>
      </c>
      <c r="BG220" s="583">
        <f t="shared" si="511"/>
        <v>0</v>
      </c>
      <c r="BH220" s="583">
        <f t="shared" si="512"/>
        <v>0</v>
      </c>
      <c r="BI220" s="583">
        <f t="shared" si="513"/>
        <v>0</v>
      </c>
      <c r="BJ220" s="583">
        <f t="shared" si="514"/>
        <v>0</v>
      </c>
      <c r="BK220" s="583">
        <f t="shared" si="515"/>
        <v>0</v>
      </c>
      <c r="BL220" s="583">
        <f t="shared" si="516"/>
        <v>0</v>
      </c>
      <c r="BM220" s="583">
        <f t="shared" si="517"/>
        <v>0</v>
      </c>
      <c r="BN220" s="583">
        <f t="shared" si="518"/>
        <v>0</v>
      </c>
      <c r="BO220" s="583">
        <f t="shared" si="519"/>
        <v>0</v>
      </c>
      <c r="BP220" s="583">
        <f t="shared" si="520"/>
        <v>0</v>
      </c>
      <c r="BQ220" s="583">
        <f t="shared" si="521"/>
        <v>0</v>
      </c>
      <c r="BR220" s="583">
        <f t="shared" si="522"/>
        <v>0</v>
      </c>
    </row>
    <row r="221" spans="1:70" s="229" customFormat="1" ht="15" customHeight="1">
      <c r="A221" s="587"/>
      <c r="D221" s="85"/>
      <c r="E221" s="576">
        <f t="shared" si="524"/>
        <v>100</v>
      </c>
      <c r="F221" s="707"/>
      <c r="G221" s="406" t="s">
        <v>3054</v>
      </c>
      <c r="H221" s="1262" t="s">
        <v>3055</v>
      </c>
      <c r="I221" s="85">
        <v>0</v>
      </c>
      <c r="J221" s="682">
        <v>1</v>
      </c>
      <c r="K221" s="579" t="str">
        <f t="shared" si="498"/>
        <v/>
      </c>
      <c r="L221" s="580" t="str">
        <f>IF(H221="Select ingredient:","",IF(G221="","",_xlfn.IFNA(VLOOKUP($H221,Ingredient_prices!$E:$U,16,FALSE),0)))</f>
        <v/>
      </c>
      <c r="M221" s="844"/>
      <c r="N221" s="844"/>
      <c r="O221" s="588"/>
      <c r="P221" s="589"/>
      <c r="Q221" s="583">
        <f t="shared" si="499"/>
        <v>0</v>
      </c>
      <c r="R221" s="583">
        <f>VLOOKUP($H221,'CO2_emission+%_food_waste'!$A:$K,6,FALSE)*$Q221/100</f>
        <v>0</v>
      </c>
      <c r="S221" s="583">
        <f t="shared" si="523"/>
        <v>0</v>
      </c>
      <c r="T221" s="583" t="str">
        <f>IF(H221="Select ingredient:","",IF(G221="Select food category:","",_xlfn.IFNA(VLOOKUP($H221,Ingredient_prices!$E:$U,16,FALSE)*$Q221/1000,"not bought")))</f>
        <v/>
      </c>
      <c r="U221" s="583" t="str">
        <f>IF(G221="Select food category:","",_xlfn.IFNA(VLOOKUP($H221,Ingredient_prices!$E:$U,16,FALSE)*$R221/1000,"not bought"))</f>
        <v/>
      </c>
      <c r="V221" s="549">
        <f>VLOOKUP($H221,'CO2_emission+%_food_waste'!$A:$K,4,FALSE)*$Q221</f>
        <v>0</v>
      </c>
      <c r="W221" s="583">
        <f>VLOOKUP($H221,Nutrition_tables!$A:$N,10,FALSE)*$Q221/100</f>
        <v>0</v>
      </c>
      <c r="X221" s="583">
        <f>VLOOKUP($H221,Nutrition_tables!$A:$N,11,FALSE)*$Q221/100</f>
        <v>0</v>
      </c>
      <c r="Y221" s="583">
        <f>VLOOKUP($H221,Nutrition_tables!$A:$N,12,FALSE)*$Q221/100</f>
        <v>0</v>
      </c>
      <c r="Z221" s="583">
        <f>VLOOKUP($H221,Nutrition_tables!$A:$N,14,FALSE)*$Q221/100</f>
        <v>0</v>
      </c>
      <c r="AA221" s="583">
        <f>VLOOKUP($H221,Nutrition_tables!$A:$AF,13,FALSE)*$Q221/100</f>
        <v>0</v>
      </c>
      <c r="AB221" s="549">
        <f>VLOOKUP($H221,Nutrition_tables!$A:$AF,15,FALSE)*$Q221/100</f>
        <v>0</v>
      </c>
      <c r="AC221" s="583">
        <f>VLOOKUP($H221,Nutrition_tables!$A:$AF,16,FALSE)*$Q221/100</f>
        <v>0</v>
      </c>
      <c r="AD221" s="583">
        <f>VLOOKUP($H221,Nutrition_tables!$A:$AF,17,FALSE)*$Q221/100</f>
        <v>0</v>
      </c>
      <c r="AE221" s="583">
        <f>VLOOKUP($H221,Nutrition_tables!$A:$AF,18,FALSE)*$Q221/100</f>
        <v>0</v>
      </c>
      <c r="AF221" s="583">
        <f>VLOOKUP($H221,Nutrition_tables!$A:$AF,19,FALSE)*$Q221/100</f>
        <v>0</v>
      </c>
      <c r="AG221" s="583">
        <f>VLOOKUP($H221,Nutrition_tables!$A:$AF,20,FALSE)*$Q221/100</f>
        <v>0</v>
      </c>
      <c r="AH221" s="583">
        <f>VLOOKUP($H221,Nutrition_tables!$A:$AF,21,FALSE)*$Q221/100</f>
        <v>0</v>
      </c>
      <c r="AI221" s="583">
        <f>VLOOKUP($H221,Nutrition_tables!$A:$AF,22,FALSE)*$Q221/100</f>
        <v>0</v>
      </c>
      <c r="AJ221" s="549">
        <f>VLOOKUP($H221,Nutrition_tables!$A:$AF,23,FALSE)*$Q221/100</f>
        <v>0</v>
      </c>
      <c r="AK221" s="583">
        <f>VLOOKUP($H221,Nutrition_tables!$A:$AF,24,FALSE)*$Q221/100</f>
        <v>0</v>
      </c>
      <c r="AL221" s="583">
        <f>VLOOKUP($H221,Nutrition_tables!$A:$AF,25,FALSE)*$Q221/100</f>
        <v>0</v>
      </c>
      <c r="AM221" s="583">
        <f>VLOOKUP($H221,Nutrition_tables!$A:$AF,26,FALSE)*$Q221/100</f>
        <v>0</v>
      </c>
      <c r="AN221" s="583">
        <f>VLOOKUP($H221,Nutrition_tables!$A:$AF,27,FALSE)*$Q221/100</f>
        <v>0</v>
      </c>
      <c r="AO221" s="583">
        <f>VLOOKUP($H221,Nutrition_tables!$A:$AF,28,FALSE)*$Q221/100</f>
        <v>0</v>
      </c>
      <c r="AP221" s="583">
        <f>VLOOKUP($H221,Nutrition_tables!$A:$AF,29,FALSE)*$Q221/100</f>
        <v>0</v>
      </c>
      <c r="AQ221" s="583">
        <f>VLOOKUP($H221,Nutrition_tables!$A:$AF,30,FALSE)*$Q221/100</f>
        <v>0</v>
      </c>
      <c r="AR221" s="583">
        <f>VLOOKUP($H221,Nutrition_tables!$A:$AF,31,FALSE)*$Q221/100</f>
        <v>0</v>
      </c>
      <c r="AS221" s="549">
        <f>VLOOKUP($H221,Nutrition_tables!$A:$AF,32,FALSE)*$Q221/100</f>
        <v>0</v>
      </c>
      <c r="AT221" s="583" t="str">
        <f>IF(H221="Select ingredient:","",IF(G221="Select food category:","",IFERROR(VLOOKUP($H221,Ingredient_prices!$E:$W,17,FALSE)*$Q221/1000,"not bought")))</f>
        <v/>
      </c>
      <c r="AU221" s="583" t="str">
        <f>IF(H221="Select ingredient:","",IF(G221="Select food category:","",IFERROR(VLOOKUP($H221,Ingredient_prices!$E:$W,18,FALSE)*$Q221/1000,"not bought")))</f>
        <v/>
      </c>
      <c r="AV221" s="583">
        <f t="shared" si="500"/>
        <v>0</v>
      </c>
      <c r="AW221" s="583">
        <f t="shared" si="501"/>
        <v>0</v>
      </c>
      <c r="AX221" s="583">
        <f t="shared" si="502"/>
        <v>0</v>
      </c>
      <c r="AY221" s="583">
        <f t="shared" si="503"/>
        <v>0</v>
      </c>
      <c r="AZ221" s="583">
        <f t="shared" si="504"/>
        <v>0</v>
      </c>
      <c r="BA221" s="583">
        <f t="shared" si="505"/>
        <v>0</v>
      </c>
      <c r="BB221" s="583">
        <f t="shared" si="506"/>
        <v>0</v>
      </c>
      <c r="BC221" s="583">
        <f t="shared" si="507"/>
        <v>0</v>
      </c>
      <c r="BD221" s="583">
        <f t="shared" si="508"/>
        <v>0</v>
      </c>
      <c r="BE221" s="583">
        <f t="shared" si="509"/>
        <v>0</v>
      </c>
      <c r="BF221" s="583">
        <f t="shared" si="510"/>
        <v>0</v>
      </c>
      <c r="BG221" s="583">
        <f t="shared" si="511"/>
        <v>0</v>
      </c>
      <c r="BH221" s="583">
        <f t="shared" si="512"/>
        <v>0</v>
      </c>
      <c r="BI221" s="583">
        <f t="shared" si="513"/>
        <v>0</v>
      </c>
      <c r="BJ221" s="583">
        <f t="shared" si="514"/>
        <v>0</v>
      </c>
      <c r="BK221" s="583">
        <f t="shared" si="515"/>
        <v>0</v>
      </c>
      <c r="BL221" s="583">
        <f t="shared" si="516"/>
        <v>0</v>
      </c>
      <c r="BM221" s="583">
        <f t="shared" si="517"/>
        <v>0</v>
      </c>
      <c r="BN221" s="583">
        <f t="shared" si="518"/>
        <v>0</v>
      </c>
      <c r="BO221" s="583">
        <f t="shared" si="519"/>
        <v>0</v>
      </c>
      <c r="BP221" s="583">
        <f t="shared" si="520"/>
        <v>0</v>
      </c>
      <c r="BQ221" s="583">
        <f t="shared" si="521"/>
        <v>0</v>
      </c>
      <c r="BR221" s="583">
        <f t="shared" si="522"/>
        <v>0</v>
      </c>
    </row>
    <row r="222" spans="1:70" s="229" customFormat="1" ht="15" customHeight="1">
      <c r="A222" s="587"/>
      <c r="D222" s="85"/>
      <c r="E222" s="576">
        <f t="shared" si="524"/>
        <v>100</v>
      </c>
      <c r="F222" s="707"/>
      <c r="G222" s="406" t="s">
        <v>3054</v>
      </c>
      <c r="H222" s="1262" t="s">
        <v>3055</v>
      </c>
      <c r="I222" s="85">
        <v>0</v>
      </c>
      <c r="J222" s="682">
        <v>1</v>
      </c>
      <c r="K222" s="579" t="str">
        <f t="shared" si="498"/>
        <v/>
      </c>
      <c r="L222" s="580" t="str">
        <f>IF(H222="Select ingredient:","",IF(G222="","",_xlfn.IFNA(VLOOKUP($H222,Ingredient_prices!$E:$U,16,FALSE),0)))</f>
        <v/>
      </c>
      <c r="M222" s="844"/>
      <c r="N222" s="844"/>
      <c r="O222" s="588"/>
      <c r="P222" s="589"/>
      <c r="Q222" s="583">
        <f t="shared" si="499"/>
        <v>0</v>
      </c>
      <c r="R222" s="583">
        <f>VLOOKUP($H222,'CO2_emission+%_food_waste'!$A:$K,6,FALSE)*$Q222/100</f>
        <v>0</v>
      </c>
      <c r="S222" s="583">
        <f t="shared" si="523"/>
        <v>0</v>
      </c>
      <c r="T222" s="583" t="str">
        <f>IF(H222="Select ingredient:","",IF(G222="Select food category:","",_xlfn.IFNA(VLOOKUP($H222,Ingredient_prices!$E:$U,16,FALSE)*$Q222/1000,"not bought")))</f>
        <v/>
      </c>
      <c r="U222" s="583" t="str">
        <f>IF(G222="Select food category:","",_xlfn.IFNA(VLOOKUP($H222,Ingredient_prices!$E:$U,16,FALSE)*$R222/1000,"not bought"))</f>
        <v/>
      </c>
      <c r="V222" s="549">
        <f>VLOOKUP($H222,'CO2_emission+%_food_waste'!$A:$K,4,FALSE)*$Q222</f>
        <v>0</v>
      </c>
      <c r="W222" s="583">
        <f>VLOOKUP($H222,Nutrition_tables!$A:$N,10,FALSE)*$Q222/100</f>
        <v>0</v>
      </c>
      <c r="X222" s="583">
        <f>VLOOKUP($H222,Nutrition_tables!$A:$N,11,FALSE)*$Q222/100</f>
        <v>0</v>
      </c>
      <c r="Y222" s="583">
        <f>VLOOKUP($H222,Nutrition_tables!$A:$N,12,FALSE)*$Q222/100</f>
        <v>0</v>
      </c>
      <c r="Z222" s="583">
        <f>VLOOKUP($H222,Nutrition_tables!$A:$N,14,FALSE)*$Q222/100</f>
        <v>0</v>
      </c>
      <c r="AA222" s="583">
        <f>VLOOKUP($H222,Nutrition_tables!$A:$AF,13,FALSE)*$Q222/100</f>
        <v>0</v>
      </c>
      <c r="AB222" s="549">
        <f>VLOOKUP($H222,Nutrition_tables!$A:$AF,15,FALSE)*$Q222/100</f>
        <v>0</v>
      </c>
      <c r="AC222" s="583">
        <f>VLOOKUP($H222,Nutrition_tables!$A:$AF,16,FALSE)*$Q222/100</f>
        <v>0</v>
      </c>
      <c r="AD222" s="583">
        <f>VLOOKUP($H222,Nutrition_tables!$A:$AF,17,FALSE)*$Q222/100</f>
        <v>0</v>
      </c>
      <c r="AE222" s="583">
        <f>VLOOKUP($H222,Nutrition_tables!$A:$AF,18,FALSE)*$Q222/100</f>
        <v>0</v>
      </c>
      <c r="AF222" s="583">
        <f>VLOOKUP($H222,Nutrition_tables!$A:$AF,19,FALSE)*$Q222/100</f>
        <v>0</v>
      </c>
      <c r="AG222" s="583">
        <f>VLOOKUP($H222,Nutrition_tables!$A:$AF,20,FALSE)*$Q222/100</f>
        <v>0</v>
      </c>
      <c r="AH222" s="583">
        <f>VLOOKUP($H222,Nutrition_tables!$A:$AF,21,FALSE)*$Q222/100</f>
        <v>0</v>
      </c>
      <c r="AI222" s="583">
        <f>VLOOKUP($H222,Nutrition_tables!$A:$AF,22,FALSE)*$Q222/100</f>
        <v>0</v>
      </c>
      <c r="AJ222" s="549">
        <f>VLOOKUP($H222,Nutrition_tables!$A:$AF,23,FALSE)*$Q222/100</f>
        <v>0</v>
      </c>
      <c r="AK222" s="583">
        <f>VLOOKUP($H222,Nutrition_tables!$A:$AF,24,FALSE)*$Q222/100</f>
        <v>0</v>
      </c>
      <c r="AL222" s="583">
        <f>VLOOKUP($H222,Nutrition_tables!$A:$AF,25,FALSE)*$Q222/100</f>
        <v>0</v>
      </c>
      <c r="AM222" s="583">
        <f>VLOOKUP($H222,Nutrition_tables!$A:$AF,26,FALSE)*$Q222/100</f>
        <v>0</v>
      </c>
      <c r="AN222" s="583">
        <f>VLOOKUP($H222,Nutrition_tables!$A:$AF,27,FALSE)*$Q222/100</f>
        <v>0</v>
      </c>
      <c r="AO222" s="583">
        <f>VLOOKUP($H222,Nutrition_tables!$A:$AF,28,FALSE)*$Q222/100</f>
        <v>0</v>
      </c>
      <c r="AP222" s="583">
        <f>VLOOKUP($H222,Nutrition_tables!$A:$AF,29,FALSE)*$Q222/100</f>
        <v>0</v>
      </c>
      <c r="AQ222" s="583">
        <f>VLOOKUP($H222,Nutrition_tables!$A:$AF,30,FALSE)*$Q222/100</f>
        <v>0</v>
      </c>
      <c r="AR222" s="583">
        <f>VLOOKUP($H222,Nutrition_tables!$A:$AF,31,FALSE)*$Q222/100</f>
        <v>0</v>
      </c>
      <c r="AS222" s="549">
        <f>VLOOKUP($H222,Nutrition_tables!$A:$AF,32,FALSE)*$Q222/100</f>
        <v>0</v>
      </c>
      <c r="AT222" s="583" t="str">
        <f>IF(H222="Select ingredient:","",IF(G222="Select food category:","",IFERROR(VLOOKUP($H222,Ingredient_prices!$E:$W,17,FALSE)*$Q222/1000,"not bought")))</f>
        <v/>
      </c>
      <c r="AU222" s="583" t="str">
        <f>IF(H222="Select ingredient:","",IF(G222="Select food category:","",IFERROR(VLOOKUP($H222,Ingredient_prices!$E:$W,18,FALSE)*$Q222/1000,"not bought")))</f>
        <v/>
      </c>
      <c r="AV222" s="583">
        <f t="shared" si="500"/>
        <v>0</v>
      </c>
      <c r="AW222" s="583">
        <f t="shared" si="501"/>
        <v>0</v>
      </c>
      <c r="AX222" s="583">
        <f t="shared" si="502"/>
        <v>0</v>
      </c>
      <c r="AY222" s="583">
        <f t="shared" si="503"/>
        <v>0</v>
      </c>
      <c r="AZ222" s="583">
        <f t="shared" si="504"/>
        <v>0</v>
      </c>
      <c r="BA222" s="583">
        <f t="shared" si="505"/>
        <v>0</v>
      </c>
      <c r="BB222" s="583">
        <f t="shared" si="506"/>
        <v>0</v>
      </c>
      <c r="BC222" s="583">
        <f t="shared" si="507"/>
        <v>0</v>
      </c>
      <c r="BD222" s="583">
        <f t="shared" si="508"/>
        <v>0</v>
      </c>
      <c r="BE222" s="583">
        <f t="shared" si="509"/>
        <v>0</v>
      </c>
      <c r="BF222" s="583">
        <f t="shared" si="510"/>
        <v>0</v>
      </c>
      <c r="BG222" s="583">
        <f t="shared" si="511"/>
        <v>0</v>
      </c>
      <c r="BH222" s="583">
        <f t="shared" si="512"/>
        <v>0</v>
      </c>
      <c r="BI222" s="583">
        <f t="shared" si="513"/>
        <v>0</v>
      </c>
      <c r="BJ222" s="583">
        <f t="shared" si="514"/>
        <v>0</v>
      </c>
      <c r="BK222" s="583">
        <f t="shared" si="515"/>
        <v>0</v>
      </c>
      <c r="BL222" s="583">
        <f t="shared" si="516"/>
        <v>0</v>
      </c>
      <c r="BM222" s="583">
        <f t="shared" si="517"/>
        <v>0</v>
      </c>
      <c r="BN222" s="583">
        <f t="shared" si="518"/>
        <v>0</v>
      </c>
      <c r="BO222" s="583">
        <f t="shared" si="519"/>
        <v>0</v>
      </c>
      <c r="BP222" s="583">
        <f t="shared" si="520"/>
        <v>0</v>
      </c>
      <c r="BQ222" s="583">
        <f t="shared" si="521"/>
        <v>0</v>
      </c>
      <c r="BR222" s="583">
        <f t="shared" si="522"/>
        <v>0</v>
      </c>
    </row>
    <row r="223" spans="1:70" s="229" customFormat="1" ht="15" customHeight="1">
      <c r="A223" s="587"/>
      <c r="D223" s="85"/>
      <c r="E223" s="576">
        <f t="shared" si="524"/>
        <v>100</v>
      </c>
      <c r="F223" s="707"/>
      <c r="G223" s="406" t="s">
        <v>3054</v>
      </c>
      <c r="H223" s="1262" t="s">
        <v>3055</v>
      </c>
      <c r="I223" s="85">
        <v>0</v>
      </c>
      <c r="J223" s="682">
        <v>1</v>
      </c>
      <c r="K223" s="579" t="str">
        <f t="shared" si="498"/>
        <v/>
      </c>
      <c r="L223" s="580" t="str">
        <f>IF(H223="Select ingredient:","",IF(G223="","",_xlfn.IFNA(VLOOKUP($H223,Ingredient_prices!$E:$U,16,FALSE),0)))</f>
        <v/>
      </c>
      <c r="M223" s="844"/>
      <c r="N223" s="844"/>
      <c r="O223" s="588"/>
      <c r="P223" s="589"/>
      <c r="Q223" s="583">
        <f t="shared" si="499"/>
        <v>0</v>
      </c>
      <c r="R223" s="583">
        <f>VLOOKUP($H223,'CO2_emission+%_food_waste'!$A:$K,6,FALSE)*$Q223/100</f>
        <v>0</v>
      </c>
      <c r="S223" s="583">
        <f t="shared" si="523"/>
        <v>0</v>
      </c>
      <c r="T223" s="583" t="str">
        <f>IF(H223="Select ingredient:","",IF(G223="Select food category:","",_xlfn.IFNA(VLOOKUP($H223,Ingredient_prices!$E:$U,16,FALSE)*$Q223/1000,"not bought")))</f>
        <v/>
      </c>
      <c r="U223" s="583" t="str">
        <f>IF(G223="Select food category:","",_xlfn.IFNA(VLOOKUP($H223,Ingredient_prices!$E:$U,16,FALSE)*$R223/1000,"not bought"))</f>
        <v/>
      </c>
      <c r="V223" s="549">
        <f>VLOOKUP($H223,'CO2_emission+%_food_waste'!$A:$K,4,FALSE)*$Q223</f>
        <v>0</v>
      </c>
      <c r="W223" s="583">
        <f>VLOOKUP($H223,Nutrition_tables!$A:$N,10,FALSE)*$Q223/100</f>
        <v>0</v>
      </c>
      <c r="X223" s="583">
        <f>VLOOKUP($H223,Nutrition_tables!$A:$N,11,FALSE)*$Q223/100</f>
        <v>0</v>
      </c>
      <c r="Y223" s="583">
        <f>VLOOKUP($H223,Nutrition_tables!$A:$N,12,FALSE)*$Q223/100</f>
        <v>0</v>
      </c>
      <c r="Z223" s="583">
        <f>VLOOKUP($H223,Nutrition_tables!$A:$N,14,FALSE)*$Q223/100</f>
        <v>0</v>
      </c>
      <c r="AA223" s="583">
        <f>VLOOKUP($H223,Nutrition_tables!$A:$AF,13,FALSE)*$Q223/100</f>
        <v>0</v>
      </c>
      <c r="AB223" s="549">
        <f>VLOOKUP($H223,Nutrition_tables!$A:$AF,15,FALSE)*$Q223/100</f>
        <v>0</v>
      </c>
      <c r="AC223" s="583">
        <f>VLOOKUP($H223,Nutrition_tables!$A:$AF,16,FALSE)*$Q223/100</f>
        <v>0</v>
      </c>
      <c r="AD223" s="583">
        <f>VLOOKUP($H223,Nutrition_tables!$A:$AF,17,FALSE)*$Q223/100</f>
        <v>0</v>
      </c>
      <c r="AE223" s="583">
        <f>VLOOKUP($H223,Nutrition_tables!$A:$AF,18,FALSE)*$Q223/100</f>
        <v>0</v>
      </c>
      <c r="AF223" s="583">
        <f>VLOOKUP($H223,Nutrition_tables!$A:$AF,19,FALSE)*$Q223/100</f>
        <v>0</v>
      </c>
      <c r="AG223" s="583">
        <f>VLOOKUP($H223,Nutrition_tables!$A:$AF,20,FALSE)*$Q223/100</f>
        <v>0</v>
      </c>
      <c r="AH223" s="583">
        <f>VLOOKUP($H223,Nutrition_tables!$A:$AF,21,FALSE)*$Q223/100</f>
        <v>0</v>
      </c>
      <c r="AI223" s="583">
        <f>VLOOKUP($H223,Nutrition_tables!$A:$AF,22,FALSE)*$Q223/100</f>
        <v>0</v>
      </c>
      <c r="AJ223" s="549">
        <f>VLOOKUP($H223,Nutrition_tables!$A:$AF,23,FALSE)*$Q223/100</f>
        <v>0</v>
      </c>
      <c r="AK223" s="583">
        <f>VLOOKUP($H223,Nutrition_tables!$A:$AF,24,FALSE)*$Q223/100</f>
        <v>0</v>
      </c>
      <c r="AL223" s="583">
        <f>VLOOKUP($H223,Nutrition_tables!$A:$AF,25,FALSE)*$Q223/100</f>
        <v>0</v>
      </c>
      <c r="AM223" s="583">
        <f>VLOOKUP($H223,Nutrition_tables!$A:$AF,26,FALSE)*$Q223/100</f>
        <v>0</v>
      </c>
      <c r="AN223" s="583">
        <f>VLOOKUP($H223,Nutrition_tables!$A:$AF,27,FALSE)*$Q223/100</f>
        <v>0</v>
      </c>
      <c r="AO223" s="583">
        <f>VLOOKUP($H223,Nutrition_tables!$A:$AF,28,FALSE)*$Q223/100</f>
        <v>0</v>
      </c>
      <c r="AP223" s="583">
        <f>VLOOKUP($H223,Nutrition_tables!$A:$AF,29,FALSE)*$Q223/100</f>
        <v>0</v>
      </c>
      <c r="AQ223" s="583">
        <f>VLOOKUP($H223,Nutrition_tables!$A:$AF,30,FALSE)*$Q223/100</f>
        <v>0</v>
      </c>
      <c r="AR223" s="583">
        <f>VLOOKUP($H223,Nutrition_tables!$A:$AF,31,FALSE)*$Q223/100</f>
        <v>0</v>
      </c>
      <c r="AS223" s="549">
        <f>VLOOKUP($H223,Nutrition_tables!$A:$AF,32,FALSE)*$Q223/100</f>
        <v>0</v>
      </c>
      <c r="AT223" s="583" t="str">
        <f>IF(H223="Select ingredient:","",IF(G223="Select food category:","",IFERROR(VLOOKUP($H223,Ingredient_prices!$E:$W,17,FALSE)*$Q223/1000,"not bought")))</f>
        <v/>
      </c>
      <c r="AU223" s="583" t="str">
        <f>IF(H223="Select ingredient:","",IF(G223="Select food category:","",IFERROR(VLOOKUP($H223,Ingredient_prices!$E:$W,18,FALSE)*$Q223/1000,"not bought")))</f>
        <v/>
      </c>
      <c r="AV223" s="583">
        <f t="shared" si="500"/>
        <v>0</v>
      </c>
      <c r="AW223" s="583">
        <f t="shared" si="501"/>
        <v>0</v>
      </c>
      <c r="AX223" s="583">
        <f t="shared" si="502"/>
        <v>0</v>
      </c>
      <c r="AY223" s="583">
        <f t="shared" si="503"/>
        <v>0</v>
      </c>
      <c r="AZ223" s="583">
        <f t="shared" si="504"/>
        <v>0</v>
      </c>
      <c r="BA223" s="583">
        <f t="shared" si="505"/>
        <v>0</v>
      </c>
      <c r="BB223" s="583">
        <f t="shared" si="506"/>
        <v>0</v>
      </c>
      <c r="BC223" s="583">
        <f t="shared" si="507"/>
        <v>0</v>
      </c>
      <c r="BD223" s="583">
        <f t="shared" si="508"/>
        <v>0</v>
      </c>
      <c r="BE223" s="583">
        <f t="shared" si="509"/>
        <v>0</v>
      </c>
      <c r="BF223" s="583">
        <f t="shared" si="510"/>
        <v>0</v>
      </c>
      <c r="BG223" s="583">
        <f t="shared" si="511"/>
        <v>0</v>
      </c>
      <c r="BH223" s="583">
        <f t="shared" si="512"/>
        <v>0</v>
      </c>
      <c r="BI223" s="583">
        <f t="shared" si="513"/>
        <v>0</v>
      </c>
      <c r="BJ223" s="583">
        <f t="shared" si="514"/>
        <v>0</v>
      </c>
      <c r="BK223" s="583">
        <f t="shared" si="515"/>
        <v>0</v>
      </c>
      <c r="BL223" s="583">
        <f t="shared" si="516"/>
        <v>0</v>
      </c>
      <c r="BM223" s="583">
        <f t="shared" si="517"/>
        <v>0</v>
      </c>
      <c r="BN223" s="583">
        <f t="shared" si="518"/>
        <v>0</v>
      </c>
      <c r="BO223" s="583">
        <f t="shared" si="519"/>
        <v>0</v>
      </c>
      <c r="BP223" s="583">
        <f t="shared" si="520"/>
        <v>0</v>
      </c>
      <c r="BQ223" s="583">
        <f t="shared" si="521"/>
        <v>0</v>
      </c>
      <c r="BR223" s="583">
        <f t="shared" si="522"/>
        <v>0</v>
      </c>
    </row>
    <row r="224" spans="1:70" s="229" customFormat="1" ht="15" customHeight="1">
      <c r="A224" s="587"/>
      <c r="D224" s="85"/>
      <c r="E224" s="576">
        <f t="shared" si="524"/>
        <v>100</v>
      </c>
      <c r="F224" s="707"/>
      <c r="G224" s="406" t="s">
        <v>3054</v>
      </c>
      <c r="H224" s="1262" t="s">
        <v>3055</v>
      </c>
      <c r="I224" s="85">
        <v>0</v>
      </c>
      <c r="J224" s="682">
        <v>1</v>
      </c>
      <c r="K224" s="579" t="str">
        <f t="shared" si="498"/>
        <v/>
      </c>
      <c r="L224" s="580" t="str">
        <f>IF(H224="Select ingredient:","",IF(G224="","",_xlfn.IFNA(VLOOKUP($H224,Ingredient_prices!$E:$U,16,FALSE),0)))</f>
        <v/>
      </c>
      <c r="M224" s="844"/>
      <c r="N224" s="844"/>
      <c r="O224" s="588"/>
      <c r="P224" s="589"/>
      <c r="Q224" s="583">
        <f t="shared" si="499"/>
        <v>0</v>
      </c>
      <c r="R224" s="583">
        <f>VLOOKUP($H224,'CO2_emission+%_food_waste'!$A:$K,6,FALSE)*$Q224/100</f>
        <v>0</v>
      </c>
      <c r="S224" s="583">
        <f t="shared" si="523"/>
        <v>0</v>
      </c>
      <c r="T224" s="583" t="str">
        <f>IF(H224="Select ingredient:","",IF(G224="Select food category:","",_xlfn.IFNA(VLOOKUP($H224,Ingredient_prices!$E:$U,16,FALSE)*$Q224/1000,"not bought")))</f>
        <v/>
      </c>
      <c r="U224" s="583" t="str">
        <f>IF(G224="Select food category:","",_xlfn.IFNA(VLOOKUP($H224,Ingredient_prices!$E:$U,16,FALSE)*$R224/1000,"not bought"))</f>
        <v/>
      </c>
      <c r="V224" s="549">
        <f>VLOOKUP($H224,'CO2_emission+%_food_waste'!$A:$K,4,FALSE)*$Q224</f>
        <v>0</v>
      </c>
      <c r="W224" s="583">
        <f>VLOOKUP($H224,Nutrition_tables!$A:$N,10,FALSE)*$Q224/100</f>
        <v>0</v>
      </c>
      <c r="X224" s="583">
        <f>VLOOKUP($H224,Nutrition_tables!$A:$N,11,FALSE)*$Q224/100</f>
        <v>0</v>
      </c>
      <c r="Y224" s="583">
        <f>VLOOKUP($H224,Nutrition_tables!$A:$N,12,FALSE)*$Q224/100</f>
        <v>0</v>
      </c>
      <c r="Z224" s="583">
        <f>VLOOKUP($H224,Nutrition_tables!$A:$N,14,FALSE)*$Q224/100</f>
        <v>0</v>
      </c>
      <c r="AA224" s="583">
        <f>VLOOKUP($H224,Nutrition_tables!$A:$AF,13,FALSE)*$Q224/100</f>
        <v>0</v>
      </c>
      <c r="AB224" s="549">
        <f>VLOOKUP($H224,Nutrition_tables!$A:$AF,15,FALSE)*$Q224/100</f>
        <v>0</v>
      </c>
      <c r="AC224" s="583">
        <f>VLOOKUP($H224,Nutrition_tables!$A:$AF,16,FALSE)*$Q224/100</f>
        <v>0</v>
      </c>
      <c r="AD224" s="583">
        <f>VLOOKUP($H224,Nutrition_tables!$A:$AF,17,FALSE)*$Q224/100</f>
        <v>0</v>
      </c>
      <c r="AE224" s="583">
        <f>VLOOKUP($H224,Nutrition_tables!$A:$AF,18,FALSE)*$Q224/100</f>
        <v>0</v>
      </c>
      <c r="AF224" s="583">
        <f>VLOOKUP($H224,Nutrition_tables!$A:$AF,19,FALSE)*$Q224/100</f>
        <v>0</v>
      </c>
      <c r="AG224" s="583">
        <f>VLOOKUP($H224,Nutrition_tables!$A:$AF,20,FALSE)*$Q224/100</f>
        <v>0</v>
      </c>
      <c r="AH224" s="583">
        <f>VLOOKUP($H224,Nutrition_tables!$A:$AF,21,FALSE)*$Q224/100</f>
        <v>0</v>
      </c>
      <c r="AI224" s="583">
        <f>VLOOKUP($H224,Nutrition_tables!$A:$AF,22,FALSE)*$Q224/100</f>
        <v>0</v>
      </c>
      <c r="AJ224" s="549">
        <f>VLOOKUP($H224,Nutrition_tables!$A:$AF,23,FALSE)*$Q224/100</f>
        <v>0</v>
      </c>
      <c r="AK224" s="583">
        <f>VLOOKUP($H224,Nutrition_tables!$A:$AF,24,FALSE)*$Q224/100</f>
        <v>0</v>
      </c>
      <c r="AL224" s="583">
        <f>VLOOKUP($H224,Nutrition_tables!$A:$AF,25,FALSE)*$Q224/100</f>
        <v>0</v>
      </c>
      <c r="AM224" s="583">
        <f>VLOOKUP($H224,Nutrition_tables!$A:$AF,26,FALSE)*$Q224/100</f>
        <v>0</v>
      </c>
      <c r="AN224" s="583">
        <f>VLOOKUP($H224,Nutrition_tables!$A:$AF,27,FALSE)*$Q224/100</f>
        <v>0</v>
      </c>
      <c r="AO224" s="583">
        <f>VLOOKUP($H224,Nutrition_tables!$A:$AF,28,FALSE)*$Q224/100</f>
        <v>0</v>
      </c>
      <c r="AP224" s="583">
        <f>VLOOKUP($H224,Nutrition_tables!$A:$AF,29,FALSE)*$Q224/100</f>
        <v>0</v>
      </c>
      <c r="AQ224" s="583">
        <f>VLOOKUP($H224,Nutrition_tables!$A:$AF,30,FALSE)*$Q224/100</f>
        <v>0</v>
      </c>
      <c r="AR224" s="583">
        <f>VLOOKUP($H224,Nutrition_tables!$A:$AF,31,FALSE)*$Q224/100</f>
        <v>0</v>
      </c>
      <c r="AS224" s="549">
        <f>VLOOKUP($H224,Nutrition_tables!$A:$AF,32,FALSE)*$Q224/100</f>
        <v>0</v>
      </c>
      <c r="AT224" s="583" t="str">
        <f>IF(H224="Select ingredient:","",IF(G224="Select food category:","",IFERROR(VLOOKUP($H224,Ingredient_prices!$E:$W,17,FALSE)*$Q224/1000,"not bought")))</f>
        <v/>
      </c>
      <c r="AU224" s="583" t="str">
        <f>IF(H224="Select ingredient:","",IF(G224="Select food category:","",IFERROR(VLOOKUP($H224,Ingredient_prices!$E:$W,18,FALSE)*$Q224/1000,"not bought")))</f>
        <v/>
      </c>
      <c r="AV224" s="583">
        <f t="shared" si="500"/>
        <v>0</v>
      </c>
      <c r="AW224" s="583">
        <f t="shared" si="501"/>
        <v>0</v>
      </c>
      <c r="AX224" s="583">
        <f t="shared" si="502"/>
        <v>0</v>
      </c>
      <c r="AY224" s="583">
        <f t="shared" si="503"/>
        <v>0</v>
      </c>
      <c r="AZ224" s="583">
        <f t="shared" si="504"/>
        <v>0</v>
      </c>
      <c r="BA224" s="583">
        <f t="shared" si="505"/>
        <v>0</v>
      </c>
      <c r="BB224" s="583">
        <f t="shared" si="506"/>
        <v>0</v>
      </c>
      <c r="BC224" s="583">
        <f t="shared" si="507"/>
        <v>0</v>
      </c>
      <c r="BD224" s="583">
        <f t="shared" ref="BD224:BJ228" si="525">AE224*($Q224-$R224)/($Q224+0.00001)</f>
        <v>0</v>
      </c>
      <c r="BE224" s="583">
        <f t="shared" si="525"/>
        <v>0</v>
      </c>
      <c r="BF224" s="583">
        <f t="shared" si="525"/>
        <v>0</v>
      </c>
      <c r="BG224" s="583">
        <f t="shared" si="525"/>
        <v>0</v>
      </c>
      <c r="BH224" s="583">
        <f t="shared" si="525"/>
        <v>0</v>
      </c>
      <c r="BI224" s="583">
        <f t="shared" si="525"/>
        <v>0</v>
      </c>
      <c r="BJ224" s="583">
        <f t="shared" si="525"/>
        <v>0</v>
      </c>
      <c r="BK224" s="583">
        <f t="shared" ref="BK224:BK228" si="526">AL224*($Q224-$R224)/($Q224+0.00001)</f>
        <v>0</v>
      </c>
      <c r="BL224" s="583">
        <f t="shared" ref="BL224:BR228" si="527">AM224*($Q224-$R224)/($Q224+0.00001)</f>
        <v>0</v>
      </c>
      <c r="BM224" s="583">
        <f t="shared" si="527"/>
        <v>0</v>
      </c>
      <c r="BN224" s="583">
        <f t="shared" si="527"/>
        <v>0</v>
      </c>
      <c r="BO224" s="583">
        <f t="shared" si="527"/>
        <v>0</v>
      </c>
      <c r="BP224" s="583">
        <f t="shared" si="527"/>
        <v>0</v>
      </c>
      <c r="BQ224" s="583">
        <f t="shared" si="527"/>
        <v>0</v>
      </c>
      <c r="BR224" s="583">
        <f t="shared" si="527"/>
        <v>0</v>
      </c>
    </row>
    <row r="225" spans="1:70" s="229" customFormat="1" ht="15" customHeight="1">
      <c r="A225" s="587"/>
      <c r="D225" s="85"/>
      <c r="E225" s="576">
        <f t="shared" si="524"/>
        <v>100</v>
      </c>
      <c r="F225" s="707"/>
      <c r="G225" s="406" t="s">
        <v>3054</v>
      </c>
      <c r="H225" s="1262" t="s">
        <v>3055</v>
      </c>
      <c r="I225" s="85">
        <v>0</v>
      </c>
      <c r="J225" s="682">
        <v>1</v>
      </c>
      <c r="K225" s="579" t="str">
        <f t="shared" si="498"/>
        <v/>
      </c>
      <c r="L225" s="580" t="str">
        <f>IF(H225="Select ingredient:","",IF(G225="","",_xlfn.IFNA(VLOOKUP($H225,Ingredient_prices!$E:$U,16,FALSE),0)))</f>
        <v/>
      </c>
      <c r="M225" s="844"/>
      <c r="N225" s="844"/>
      <c r="O225" s="588"/>
      <c r="P225" s="589"/>
      <c r="Q225" s="583">
        <f t="shared" si="499"/>
        <v>0</v>
      </c>
      <c r="R225" s="583">
        <f>VLOOKUP($H225,'CO2_emission+%_food_waste'!$A:$K,6,FALSE)*$Q225/100</f>
        <v>0</v>
      </c>
      <c r="S225" s="583">
        <f t="shared" si="523"/>
        <v>0</v>
      </c>
      <c r="T225" s="583" t="str">
        <f>IF(H225="Select ingredient:","",IF(G225="Select food category:","",_xlfn.IFNA(VLOOKUP($H225,Ingredient_prices!$E:$U,16,FALSE)*$Q225/1000,"not bought")))</f>
        <v/>
      </c>
      <c r="U225" s="583" t="str">
        <f>IF(G225="Select food category:","",_xlfn.IFNA(VLOOKUP($H225,Ingredient_prices!$E:$U,16,FALSE)*$R225/1000,"not bought"))</f>
        <v/>
      </c>
      <c r="V225" s="549">
        <f>VLOOKUP($H225,'CO2_emission+%_food_waste'!$A:$K,4,FALSE)*$Q225</f>
        <v>0</v>
      </c>
      <c r="W225" s="583">
        <f>VLOOKUP($H225,Nutrition_tables!$A:$N,10,FALSE)*$Q225/100</f>
        <v>0</v>
      </c>
      <c r="X225" s="583">
        <f>VLOOKUP($H225,Nutrition_tables!$A:$N,11,FALSE)*$Q225/100</f>
        <v>0</v>
      </c>
      <c r="Y225" s="583">
        <f>VLOOKUP($H225,Nutrition_tables!$A:$N,12,FALSE)*$Q225/100</f>
        <v>0</v>
      </c>
      <c r="Z225" s="583">
        <f>VLOOKUP($H225,Nutrition_tables!$A:$N,14,FALSE)*$Q225/100</f>
        <v>0</v>
      </c>
      <c r="AA225" s="583">
        <f>VLOOKUP($H225,Nutrition_tables!$A:$AF,13,FALSE)*$Q225/100</f>
        <v>0</v>
      </c>
      <c r="AB225" s="549">
        <f>VLOOKUP($H225,Nutrition_tables!$A:$AF,15,FALSE)*$Q225/100</f>
        <v>0</v>
      </c>
      <c r="AC225" s="583">
        <f>VLOOKUP($H225,Nutrition_tables!$A:$AF,16,FALSE)*$Q225/100</f>
        <v>0</v>
      </c>
      <c r="AD225" s="583">
        <f>VLOOKUP($H225,Nutrition_tables!$A:$AF,17,FALSE)*$Q225/100</f>
        <v>0</v>
      </c>
      <c r="AE225" s="583">
        <f>VLOOKUP($H225,Nutrition_tables!$A:$AF,18,FALSE)*$Q225/100</f>
        <v>0</v>
      </c>
      <c r="AF225" s="583">
        <f>VLOOKUP($H225,Nutrition_tables!$A:$AF,19,FALSE)*$Q225/100</f>
        <v>0</v>
      </c>
      <c r="AG225" s="583">
        <f>VLOOKUP($H225,Nutrition_tables!$A:$AF,20,FALSE)*$Q225/100</f>
        <v>0</v>
      </c>
      <c r="AH225" s="583">
        <f>VLOOKUP($H225,Nutrition_tables!$A:$AF,21,FALSE)*$Q225/100</f>
        <v>0</v>
      </c>
      <c r="AI225" s="583">
        <f>VLOOKUP($H225,Nutrition_tables!$A:$AF,22,FALSE)*$Q225/100</f>
        <v>0</v>
      </c>
      <c r="AJ225" s="549">
        <f>VLOOKUP($H225,Nutrition_tables!$A:$AF,23,FALSE)*$Q225/100</f>
        <v>0</v>
      </c>
      <c r="AK225" s="583">
        <f>VLOOKUP($H225,Nutrition_tables!$A:$AF,24,FALSE)*$Q225/100</f>
        <v>0</v>
      </c>
      <c r="AL225" s="583">
        <f>VLOOKUP($H225,Nutrition_tables!$A:$AF,25,FALSE)*$Q225/100</f>
        <v>0</v>
      </c>
      <c r="AM225" s="583">
        <f>VLOOKUP($H225,Nutrition_tables!$A:$AF,26,FALSE)*$Q225/100</f>
        <v>0</v>
      </c>
      <c r="AN225" s="583">
        <f>VLOOKUP($H225,Nutrition_tables!$A:$AF,27,FALSE)*$Q225/100</f>
        <v>0</v>
      </c>
      <c r="AO225" s="583">
        <f>VLOOKUP($H225,Nutrition_tables!$A:$AF,28,FALSE)*$Q225/100</f>
        <v>0</v>
      </c>
      <c r="AP225" s="583">
        <f>VLOOKUP($H225,Nutrition_tables!$A:$AF,29,FALSE)*$Q225/100</f>
        <v>0</v>
      </c>
      <c r="AQ225" s="583">
        <f>VLOOKUP($H225,Nutrition_tables!$A:$AF,30,FALSE)*$Q225/100</f>
        <v>0</v>
      </c>
      <c r="AR225" s="583">
        <f>VLOOKUP($H225,Nutrition_tables!$A:$AF,31,FALSE)*$Q225/100</f>
        <v>0</v>
      </c>
      <c r="AS225" s="549">
        <f>VLOOKUP($H225,Nutrition_tables!$A:$AF,32,FALSE)*$Q225/100</f>
        <v>0</v>
      </c>
      <c r="AT225" s="583" t="str">
        <f>IF(H225="Select ingredient:","",IF(G225="Select food category:","",IFERROR(VLOOKUP($H225,Ingredient_prices!$E:$W,17,FALSE)*$Q225/1000,"not bought")))</f>
        <v/>
      </c>
      <c r="AU225" s="583" t="str">
        <f>IF(H225="Select ingredient:","",IF(G225="Select food category:","",IFERROR(VLOOKUP($H225,Ingredient_prices!$E:$W,18,FALSE)*$Q225/1000,"not bought")))</f>
        <v/>
      </c>
      <c r="AV225" s="583">
        <f t="shared" si="500"/>
        <v>0</v>
      </c>
      <c r="AW225" s="583">
        <f t="shared" si="501"/>
        <v>0</v>
      </c>
      <c r="AX225" s="583">
        <f t="shared" si="502"/>
        <v>0</v>
      </c>
      <c r="AY225" s="583">
        <f t="shared" si="503"/>
        <v>0</v>
      </c>
      <c r="AZ225" s="583">
        <f t="shared" si="504"/>
        <v>0</v>
      </c>
      <c r="BA225" s="583">
        <f t="shared" si="505"/>
        <v>0</v>
      </c>
      <c r="BB225" s="583">
        <f t="shared" si="506"/>
        <v>0</v>
      </c>
      <c r="BC225" s="583">
        <f t="shared" si="507"/>
        <v>0</v>
      </c>
      <c r="BD225" s="583">
        <f t="shared" si="525"/>
        <v>0</v>
      </c>
      <c r="BE225" s="583">
        <f t="shared" si="525"/>
        <v>0</v>
      </c>
      <c r="BF225" s="583">
        <f t="shared" si="525"/>
        <v>0</v>
      </c>
      <c r="BG225" s="583">
        <f t="shared" si="525"/>
        <v>0</v>
      </c>
      <c r="BH225" s="583">
        <f t="shared" si="525"/>
        <v>0</v>
      </c>
      <c r="BI225" s="583">
        <f t="shared" si="525"/>
        <v>0</v>
      </c>
      <c r="BJ225" s="583">
        <f t="shared" si="525"/>
        <v>0</v>
      </c>
      <c r="BK225" s="583">
        <f t="shared" si="526"/>
        <v>0</v>
      </c>
      <c r="BL225" s="583">
        <f t="shared" si="527"/>
        <v>0</v>
      </c>
      <c r="BM225" s="583">
        <f t="shared" si="527"/>
        <v>0</v>
      </c>
      <c r="BN225" s="583">
        <f t="shared" si="527"/>
        <v>0</v>
      </c>
      <c r="BO225" s="583">
        <f t="shared" si="527"/>
        <v>0</v>
      </c>
      <c r="BP225" s="583">
        <f t="shared" si="527"/>
        <v>0</v>
      </c>
      <c r="BQ225" s="583">
        <f t="shared" si="527"/>
        <v>0</v>
      </c>
      <c r="BR225" s="583">
        <f t="shared" si="527"/>
        <v>0</v>
      </c>
    </row>
    <row r="226" spans="1:70" s="229" customFormat="1" ht="15" customHeight="1">
      <c r="A226" s="587"/>
      <c r="D226" s="85"/>
      <c r="E226" s="576">
        <f t="shared" si="524"/>
        <v>100</v>
      </c>
      <c r="F226" s="707"/>
      <c r="G226" s="406" t="s">
        <v>3054</v>
      </c>
      <c r="H226" s="1262" t="s">
        <v>3055</v>
      </c>
      <c r="I226" s="85">
        <v>0</v>
      </c>
      <c r="J226" s="682">
        <v>1</v>
      </c>
      <c r="K226" s="579" t="str">
        <f t="shared" si="498"/>
        <v/>
      </c>
      <c r="L226" s="580" t="str">
        <f>IF(H226="Select ingredient:","",IF(G226="","",_xlfn.IFNA(VLOOKUP($H226,Ingredient_prices!$E:$U,16,FALSE),0)))</f>
        <v/>
      </c>
      <c r="M226" s="844"/>
      <c r="N226" s="844"/>
      <c r="O226" s="588"/>
      <c r="P226" s="589"/>
      <c r="Q226" s="583">
        <f t="shared" si="499"/>
        <v>0</v>
      </c>
      <c r="R226" s="583">
        <f>VLOOKUP($H226,'CO2_emission+%_food_waste'!$A:$K,6,FALSE)*$Q226/100</f>
        <v>0</v>
      </c>
      <c r="S226" s="583">
        <f t="shared" si="523"/>
        <v>0</v>
      </c>
      <c r="T226" s="583" t="str">
        <f>IF(H226="Select ingredient:","",IF(G226="Select food category:","",_xlfn.IFNA(VLOOKUP($H226,Ingredient_prices!$E:$U,16,FALSE)*$Q226/1000,"not bought")))</f>
        <v/>
      </c>
      <c r="U226" s="583" t="str">
        <f>IF(G226="Select food category:","",_xlfn.IFNA(VLOOKUP($H226,Ingredient_prices!$E:$U,16,FALSE)*$R226/1000,"not bought"))</f>
        <v/>
      </c>
      <c r="V226" s="549">
        <f>VLOOKUP($H226,'CO2_emission+%_food_waste'!$A:$K,4,FALSE)*$Q226</f>
        <v>0</v>
      </c>
      <c r="W226" s="583">
        <f>VLOOKUP($H226,Nutrition_tables!$A:$N,10,FALSE)*$Q226/100</f>
        <v>0</v>
      </c>
      <c r="X226" s="583">
        <f>VLOOKUP($H226,Nutrition_tables!$A:$N,11,FALSE)*$Q226/100</f>
        <v>0</v>
      </c>
      <c r="Y226" s="583">
        <f>VLOOKUP($H226,Nutrition_tables!$A:$N,12,FALSE)*$Q226/100</f>
        <v>0</v>
      </c>
      <c r="Z226" s="583">
        <f>VLOOKUP($H226,Nutrition_tables!$A:$N,14,FALSE)*$Q226/100</f>
        <v>0</v>
      </c>
      <c r="AA226" s="583">
        <f>VLOOKUP($H226,Nutrition_tables!$A:$AF,13,FALSE)*$Q226/100</f>
        <v>0</v>
      </c>
      <c r="AB226" s="549">
        <f>VLOOKUP($H226,Nutrition_tables!$A:$AF,15,FALSE)*$Q226/100</f>
        <v>0</v>
      </c>
      <c r="AC226" s="583">
        <f>VLOOKUP($H226,Nutrition_tables!$A:$AF,16,FALSE)*$Q226/100</f>
        <v>0</v>
      </c>
      <c r="AD226" s="583">
        <f>VLOOKUP($H226,Nutrition_tables!$A:$AF,17,FALSE)*$Q226/100</f>
        <v>0</v>
      </c>
      <c r="AE226" s="583">
        <f>VLOOKUP($H226,Nutrition_tables!$A:$AF,18,FALSE)*$Q226/100</f>
        <v>0</v>
      </c>
      <c r="AF226" s="583">
        <f>VLOOKUP($H226,Nutrition_tables!$A:$AF,19,FALSE)*$Q226/100</f>
        <v>0</v>
      </c>
      <c r="AG226" s="583">
        <f>VLOOKUP($H226,Nutrition_tables!$A:$AF,20,FALSE)*$Q226/100</f>
        <v>0</v>
      </c>
      <c r="AH226" s="583">
        <f>VLOOKUP($H226,Nutrition_tables!$A:$AF,21,FALSE)*$Q226/100</f>
        <v>0</v>
      </c>
      <c r="AI226" s="583">
        <f>VLOOKUP($H226,Nutrition_tables!$A:$AF,22,FALSE)*$Q226/100</f>
        <v>0</v>
      </c>
      <c r="AJ226" s="549">
        <f>VLOOKUP($H226,Nutrition_tables!$A:$AF,23,FALSE)*$Q226/100</f>
        <v>0</v>
      </c>
      <c r="AK226" s="583">
        <f>VLOOKUP($H226,Nutrition_tables!$A:$AF,24,FALSE)*$Q226/100</f>
        <v>0</v>
      </c>
      <c r="AL226" s="583">
        <f>VLOOKUP($H226,Nutrition_tables!$A:$AF,25,FALSE)*$Q226/100</f>
        <v>0</v>
      </c>
      <c r="AM226" s="583">
        <f>VLOOKUP($H226,Nutrition_tables!$A:$AF,26,FALSE)*$Q226/100</f>
        <v>0</v>
      </c>
      <c r="AN226" s="583">
        <f>VLOOKUP($H226,Nutrition_tables!$A:$AF,27,FALSE)*$Q226/100</f>
        <v>0</v>
      </c>
      <c r="AO226" s="583">
        <f>VLOOKUP($H226,Nutrition_tables!$A:$AF,28,FALSE)*$Q226/100</f>
        <v>0</v>
      </c>
      <c r="AP226" s="583">
        <f>VLOOKUP($H226,Nutrition_tables!$A:$AF,29,FALSE)*$Q226/100</f>
        <v>0</v>
      </c>
      <c r="AQ226" s="583">
        <f>VLOOKUP($H226,Nutrition_tables!$A:$AF,30,FALSE)*$Q226/100</f>
        <v>0</v>
      </c>
      <c r="AR226" s="583">
        <f>VLOOKUP($H226,Nutrition_tables!$A:$AF,31,FALSE)*$Q226/100</f>
        <v>0</v>
      </c>
      <c r="AS226" s="549">
        <f>VLOOKUP($H226,Nutrition_tables!$A:$AF,32,FALSE)*$Q226/100</f>
        <v>0</v>
      </c>
      <c r="AT226" s="583" t="str">
        <f>IF(H226="Select ingredient:","",IF(G226="Select food category:","",IFERROR(VLOOKUP($H226,Ingredient_prices!$E:$W,17,FALSE)*$Q226/1000,"not bought")))</f>
        <v/>
      </c>
      <c r="AU226" s="583" t="str">
        <f>IF(H226="Select ingredient:","",IF(G226="Select food category:","",IFERROR(VLOOKUP($H226,Ingredient_prices!$E:$W,18,FALSE)*$Q226/1000,"not bought")))</f>
        <v/>
      </c>
      <c r="AV226" s="583">
        <f t="shared" si="500"/>
        <v>0</v>
      </c>
      <c r="AW226" s="583">
        <f t="shared" si="501"/>
        <v>0</v>
      </c>
      <c r="AX226" s="583">
        <f t="shared" si="502"/>
        <v>0</v>
      </c>
      <c r="AY226" s="583">
        <f t="shared" si="503"/>
        <v>0</v>
      </c>
      <c r="AZ226" s="583">
        <f t="shared" si="504"/>
        <v>0</v>
      </c>
      <c r="BA226" s="583">
        <f t="shared" si="505"/>
        <v>0</v>
      </c>
      <c r="BB226" s="583">
        <f t="shared" si="506"/>
        <v>0</v>
      </c>
      <c r="BC226" s="583">
        <f t="shared" si="507"/>
        <v>0</v>
      </c>
      <c r="BD226" s="583">
        <f t="shared" si="525"/>
        <v>0</v>
      </c>
      <c r="BE226" s="583">
        <f t="shared" si="525"/>
        <v>0</v>
      </c>
      <c r="BF226" s="583">
        <f t="shared" si="525"/>
        <v>0</v>
      </c>
      <c r="BG226" s="583">
        <f t="shared" si="525"/>
        <v>0</v>
      </c>
      <c r="BH226" s="583">
        <f t="shared" si="525"/>
        <v>0</v>
      </c>
      <c r="BI226" s="583">
        <f t="shared" si="525"/>
        <v>0</v>
      </c>
      <c r="BJ226" s="583">
        <f t="shared" si="525"/>
        <v>0</v>
      </c>
      <c r="BK226" s="583">
        <f t="shared" si="526"/>
        <v>0</v>
      </c>
      <c r="BL226" s="583">
        <f t="shared" si="527"/>
        <v>0</v>
      </c>
      <c r="BM226" s="583">
        <f t="shared" si="527"/>
        <v>0</v>
      </c>
      <c r="BN226" s="583">
        <f t="shared" si="527"/>
        <v>0</v>
      </c>
      <c r="BO226" s="583">
        <f t="shared" si="527"/>
        <v>0</v>
      </c>
      <c r="BP226" s="583">
        <f t="shared" si="527"/>
        <v>0</v>
      </c>
      <c r="BQ226" s="583">
        <f t="shared" si="527"/>
        <v>0</v>
      </c>
      <c r="BR226" s="583">
        <f t="shared" si="527"/>
        <v>0</v>
      </c>
    </row>
    <row r="227" spans="1:70" s="229" customFormat="1" ht="15" customHeight="1">
      <c r="A227" s="587"/>
      <c r="D227" s="85"/>
      <c r="E227" s="576">
        <f t="shared" si="524"/>
        <v>100</v>
      </c>
      <c r="F227" s="707"/>
      <c r="G227" s="406" t="s">
        <v>3054</v>
      </c>
      <c r="H227" s="1262" t="s">
        <v>3055</v>
      </c>
      <c r="I227" s="85">
        <v>0</v>
      </c>
      <c r="J227" s="682">
        <v>1</v>
      </c>
      <c r="K227" s="579" t="str">
        <f t="shared" si="498"/>
        <v/>
      </c>
      <c r="L227" s="580" t="str">
        <f>IF(H227="Select ingredient:","",IF(G227="","",_xlfn.IFNA(VLOOKUP($H227,Ingredient_prices!$E:$U,16,FALSE),0)))</f>
        <v/>
      </c>
      <c r="M227" s="844"/>
      <c r="N227" s="844"/>
      <c r="O227" s="588"/>
      <c r="P227" s="589"/>
      <c r="Q227" s="583">
        <f t="shared" si="499"/>
        <v>0</v>
      </c>
      <c r="R227" s="583">
        <f>VLOOKUP($H227,'CO2_emission+%_food_waste'!$A:$K,6,FALSE)*$Q227/100</f>
        <v>0</v>
      </c>
      <c r="S227" s="583">
        <f t="shared" si="523"/>
        <v>0</v>
      </c>
      <c r="T227" s="583" t="str">
        <f>IF(H227="Select ingredient:","",IF(G227="Select food category:","",_xlfn.IFNA(VLOOKUP($H227,Ingredient_prices!$E:$U,16,FALSE)*$Q227/1000,"not bought")))</f>
        <v/>
      </c>
      <c r="U227" s="583" t="str">
        <f>IF(G227="Select food category:","",_xlfn.IFNA(VLOOKUP($H227,Ingredient_prices!$E:$U,16,FALSE)*$R227/1000,"not bought"))</f>
        <v/>
      </c>
      <c r="V227" s="549">
        <f>VLOOKUP($H227,'CO2_emission+%_food_waste'!$A:$K,4,FALSE)*$Q227</f>
        <v>0</v>
      </c>
      <c r="W227" s="583">
        <f>VLOOKUP($H227,Nutrition_tables!$A:$N,10,FALSE)*$Q227/100</f>
        <v>0</v>
      </c>
      <c r="X227" s="583">
        <f>VLOOKUP($H227,Nutrition_tables!$A:$N,11,FALSE)*$Q227/100</f>
        <v>0</v>
      </c>
      <c r="Y227" s="583">
        <f>VLOOKUP($H227,Nutrition_tables!$A:$N,12,FALSE)*$Q227/100</f>
        <v>0</v>
      </c>
      <c r="Z227" s="583">
        <f>VLOOKUP($H227,Nutrition_tables!$A:$N,14,FALSE)*$Q227/100</f>
        <v>0</v>
      </c>
      <c r="AA227" s="583">
        <f>VLOOKUP($H227,Nutrition_tables!$A:$AF,13,FALSE)*$Q227/100</f>
        <v>0</v>
      </c>
      <c r="AB227" s="549">
        <f>VLOOKUP($H227,Nutrition_tables!$A:$AF,15,FALSE)*$Q227/100</f>
        <v>0</v>
      </c>
      <c r="AC227" s="583">
        <f>VLOOKUP($H227,Nutrition_tables!$A:$AF,16,FALSE)*$Q227/100</f>
        <v>0</v>
      </c>
      <c r="AD227" s="583">
        <f>VLOOKUP($H227,Nutrition_tables!$A:$AF,17,FALSE)*$Q227/100</f>
        <v>0</v>
      </c>
      <c r="AE227" s="583">
        <f>VLOOKUP($H227,Nutrition_tables!$A:$AF,18,FALSE)*$Q227/100</f>
        <v>0</v>
      </c>
      <c r="AF227" s="583">
        <f>VLOOKUP($H227,Nutrition_tables!$A:$AF,19,FALSE)*$Q227/100</f>
        <v>0</v>
      </c>
      <c r="AG227" s="583">
        <f>VLOOKUP($H227,Nutrition_tables!$A:$AF,20,FALSE)*$Q227/100</f>
        <v>0</v>
      </c>
      <c r="AH227" s="583">
        <f>VLOOKUP($H227,Nutrition_tables!$A:$AF,21,FALSE)*$Q227/100</f>
        <v>0</v>
      </c>
      <c r="AI227" s="583">
        <f>VLOOKUP($H227,Nutrition_tables!$A:$AF,22,FALSE)*$Q227/100</f>
        <v>0</v>
      </c>
      <c r="AJ227" s="549">
        <f>VLOOKUP($H227,Nutrition_tables!$A:$AF,23,FALSE)*$Q227/100</f>
        <v>0</v>
      </c>
      <c r="AK227" s="583">
        <f>VLOOKUP($H227,Nutrition_tables!$A:$AF,24,FALSE)*$Q227/100</f>
        <v>0</v>
      </c>
      <c r="AL227" s="583">
        <f>VLOOKUP($H227,Nutrition_tables!$A:$AF,25,FALSE)*$Q227/100</f>
        <v>0</v>
      </c>
      <c r="AM227" s="583">
        <f>VLOOKUP($H227,Nutrition_tables!$A:$AF,26,FALSE)*$Q227/100</f>
        <v>0</v>
      </c>
      <c r="AN227" s="583">
        <f>VLOOKUP($H227,Nutrition_tables!$A:$AF,27,FALSE)*$Q227/100</f>
        <v>0</v>
      </c>
      <c r="AO227" s="583">
        <f>VLOOKUP($H227,Nutrition_tables!$A:$AF,28,FALSE)*$Q227/100</f>
        <v>0</v>
      </c>
      <c r="AP227" s="583">
        <f>VLOOKUP($H227,Nutrition_tables!$A:$AF,29,FALSE)*$Q227/100</f>
        <v>0</v>
      </c>
      <c r="AQ227" s="583">
        <f>VLOOKUP($H227,Nutrition_tables!$A:$AF,30,FALSE)*$Q227/100</f>
        <v>0</v>
      </c>
      <c r="AR227" s="583">
        <f>VLOOKUP($H227,Nutrition_tables!$A:$AF,31,FALSE)*$Q227/100</f>
        <v>0</v>
      </c>
      <c r="AS227" s="549">
        <f>VLOOKUP($H227,Nutrition_tables!$A:$AF,32,FALSE)*$Q227/100</f>
        <v>0</v>
      </c>
      <c r="AT227" s="583" t="str">
        <f>IF(H227="Select ingredient:","",IF(G227="Select food category:","",IFERROR(VLOOKUP($H227,Ingredient_prices!$E:$W,17,FALSE)*$Q227/1000,"not bought")))</f>
        <v/>
      </c>
      <c r="AU227" s="583" t="str">
        <f>IF(H227="Select ingredient:","",IF(G227="Select food category:","",IFERROR(VLOOKUP($H227,Ingredient_prices!$E:$W,18,FALSE)*$Q227/1000,"not bought")))</f>
        <v/>
      </c>
      <c r="AV227" s="583">
        <f t="shared" si="500"/>
        <v>0</v>
      </c>
      <c r="AW227" s="583">
        <f t="shared" si="501"/>
        <v>0</v>
      </c>
      <c r="AX227" s="583">
        <f t="shared" si="502"/>
        <v>0</v>
      </c>
      <c r="AY227" s="583">
        <f t="shared" si="503"/>
        <v>0</v>
      </c>
      <c r="AZ227" s="583">
        <f t="shared" si="504"/>
        <v>0</v>
      </c>
      <c r="BA227" s="583">
        <f t="shared" si="505"/>
        <v>0</v>
      </c>
      <c r="BB227" s="583">
        <f t="shared" si="506"/>
        <v>0</v>
      </c>
      <c r="BC227" s="583">
        <f t="shared" si="507"/>
        <v>0</v>
      </c>
      <c r="BD227" s="583">
        <f t="shared" si="525"/>
        <v>0</v>
      </c>
      <c r="BE227" s="583">
        <f t="shared" si="525"/>
        <v>0</v>
      </c>
      <c r="BF227" s="583">
        <f t="shared" si="525"/>
        <v>0</v>
      </c>
      <c r="BG227" s="583">
        <f t="shared" si="525"/>
        <v>0</v>
      </c>
      <c r="BH227" s="583">
        <f t="shared" si="525"/>
        <v>0</v>
      </c>
      <c r="BI227" s="583">
        <f t="shared" si="525"/>
        <v>0</v>
      </c>
      <c r="BJ227" s="583">
        <f t="shared" si="525"/>
        <v>0</v>
      </c>
      <c r="BK227" s="583">
        <f t="shared" si="526"/>
        <v>0</v>
      </c>
      <c r="BL227" s="583">
        <f t="shared" si="527"/>
        <v>0</v>
      </c>
      <c r="BM227" s="583">
        <f t="shared" si="527"/>
        <v>0</v>
      </c>
      <c r="BN227" s="583">
        <f t="shared" si="527"/>
        <v>0</v>
      </c>
      <c r="BO227" s="583">
        <f t="shared" si="527"/>
        <v>0</v>
      </c>
      <c r="BP227" s="583">
        <f t="shared" si="527"/>
        <v>0</v>
      </c>
      <c r="BQ227" s="583">
        <f t="shared" si="527"/>
        <v>0</v>
      </c>
      <c r="BR227" s="583">
        <f t="shared" si="527"/>
        <v>0</v>
      </c>
    </row>
    <row r="228" spans="1:70" s="229" customFormat="1" ht="15" customHeight="1">
      <c r="A228" s="587"/>
      <c r="D228" s="85"/>
      <c r="E228" s="576">
        <f t="shared" si="524"/>
        <v>100</v>
      </c>
      <c r="F228" s="707"/>
      <c r="G228" s="406" t="s">
        <v>3054</v>
      </c>
      <c r="H228" s="1262" t="s">
        <v>3055</v>
      </c>
      <c r="I228" s="85">
        <v>0</v>
      </c>
      <c r="J228" s="682">
        <v>1</v>
      </c>
      <c r="K228" s="579" t="str">
        <f t="shared" si="498"/>
        <v/>
      </c>
      <c r="L228" s="580" t="str">
        <f>IF(H228="Select ingredient:","",IF(G228="","",_xlfn.IFNA(VLOOKUP($H228,Ingredient_prices!$E:$U,16,FALSE),0)))</f>
        <v/>
      </c>
      <c r="M228" s="844"/>
      <c r="N228" s="844"/>
      <c r="O228" s="588"/>
      <c r="P228" s="589"/>
      <c r="Q228" s="583">
        <f t="shared" si="499"/>
        <v>0</v>
      </c>
      <c r="R228" s="583">
        <f>VLOOKUP($H228,'CO2_emission+%_food_waste'!$A:$K,6,FALSE)*$Q228/100</f>
        <v>0</v>
      </c>
      <c r="S228" s="583">
        <f t="shared" si="523"/>
        <v>0</v>
      </c>
      <c r="T228" s="583" t="str">
        <f>IF(H228="Select ingredient:","",IF(G228="Select food category:","",_xlfn.IFNA(VLOOKUP($H228,Ingredient_prices!$E:$U,16,FALSE)*$Q228/1000,"not bought")))</f>
        <v/>
      </c>
      <c r="U228" s="583" t="str">
        <f>IF(G228="Select food category:","",_xlfn.IFNA(VLOOKUP($H228,Ingredient_prices!$E:$U,16,FALSE)*$R228/1000,"not bought"))</f>
        <v/>
      </c>
      <c r="V228" s="549">
        <f>VLOOKUP($H228,'CO2_emission+%_food_waste'!$A:$K,4,FALSE)*$Q228</f>
        <v>0</v>
      </c>
      <c r="W228" s="583">
        <f>VLOOKUP($H228,Nutrition_tables!$A:$N,10,FALSE)*$Q228/100</f>
        <v>0</v>
      </c>
      <c r="X228" s="583">
        <f>VLOOKUP($H228,Nutrition_tables!$A:$N,11,FALSE)*$Q228/100</f>
        <v>0</v>
      </c>
      <c r="Y228" s="583">
        <f>VLOOKUP($H228,Nutrition_tables!$A:$N,12,FALSE)*$Q228/100</f>
        <v>0</v>
      </c>
      <c r="Z228" s="583">
        <f>VLOOKUP($H228,Nutrition_tables!$A:$N,14,FALSE)*$Q228/100</f>
        <v>0</v>
      </c>
      <c r="AA228" s="583">
        <f>VLOOKUP($H228,Nutrition_tables!$A:$AF,13,FALSE)*$Q228/100</f>
        <v>0</v>
      </c>
      <c r="AB228" s="549">
        <f>VLOOKUP($H228,Nutrition_tables!$A:$AF,15,FALSE)*$Q228/100</f>
        <v>0</v>
      </c>
      <c r="AC228" s="583">
        <f>VLOOKUP($H228,Nutrition_tables!$A:$AF,16,FALSE)*$Q228/100</f>
        <v>0</v>
      </c>
      <c r="AD228" s="583">
        <f>VLOOKUP($H228,Nutrition_tables!$A:$AF,17,FALSE)*$Q228/100</f>
        <v>0</v>
      </c>
      <c r="AE228" s="583">
        <f>VLOOKUP($H228,Nutrition_tables!$A:$AF,18,FALSE)*$Q228/100</f>
        <v>0</v>
      </c>
      <c r="AF228" s="583">
        <f>VLOOKUP($H228,Nutrition_tables!$A:$AF,19,FALSE)*$Q228/100</f>
        <v>0</v>
      </c>
      <c r="AG228" s="583">
        <f>VLOOKUP($H228,Nutrition_tables!$A:$AF,20,FALSE)*$Q228/100</f>
        <v>0</v>
      </c>
      <c r="AH228" s="583">
        <f>VLOOKUP($H228,Nutrition_tables!$A:$AF,21,FALSE)*$Q228/100</f>
        <v>0</v>
      </c>
      <c r="AI228" s="583">
        <f>VLOOKUP($H228,Nutrition_tables!$A:$AF,22,FALSE)*$Q228/100</f>
        <v>0</v>
      </c>
      <c r="AJ228" s="549">
        <f>VLOOKUP($H228,Nutrition_tables!$A:$AF,23,FALSE)*$Q228/100</f>
        <v>0</v>
      </c>
      <c r="AK228" s="583">
        <f>VLOOKUP($H228,Nutrition_tables!$A:$AF,24,FALSE)*$Q228/100</f>
        <v>0</v>
      </c>
      <c r="AL228" s="583">
        <f>VLOOKUP($H228,Nutrition_tables!$A:$AF,25,FALSE)*$Q228/100</f>
        <v>0</v>
      </c>
      <c r="AM228" s="583">
        <f>VLOOKUP($H228,Nutrition_tables!$A:$AF,26,FALSE)*$Q228/100</f>
        <v>0</v>
      </c>
      <c r="AN228" s="583">
        <f>VLOOKUP($H228,Nutrition_tables!$A:$AF,27,FALSE)*$Q228/100</f>
        <v>0</v>
      </c>
      <c r="AO228" s="583">
        <f>VLOOKUP($H228,Nutrition_tables!$A:$AF,28,FALSE)*$Q228/100</f>
        <v>0</v>
      </c>
      <c r="AP228" s="583">
        <f>VLOOKUP($H228,Nutrition_tables!$A:$AF,29,FALSE)*$Q228/100</f>
        <v>0</v>
      </c>
      <c r="AQ228" s="583">
        <f>VLOOKUP($H228,Nutrition_tables!$A:$AF,30,FALSE)*$Q228/100</f>
        <v>0</v>
      </c>
      <c r="AR228" s="583">
        <f>VLOOKUP($H228,Nutrition_tables!$A:$AF,31,FALSE)*$Q228/100</f>
        <v>0</v>
      </c>
      <c r="AS228" s="549">
        <f>VLOOKUP($H228,Nutrition_tables!$A:$AF,32,FALSE)*$Q228/100</f>
        <v>0</v>
      </c>
      <c r="AT228" s="583" t="str">
        <f>IF(H228="Select ingredient:","",IF(G228="Select food category:","",IFERROR(VLOOKUP($H228,Ingredient_prices!$E:$W,17,FALSE)*$Q228/1000,"not bought")))</f>
        <v/>
      </c>
      <c r="AU228" s="583" t="str">
        <f>IF(H228="Select ingredient:","",IF(G228="Select food category:","",IFERROR(VLOOKUP($H228,Ingredient_prices!$E:$W,18,FALSE)*$Q228/1000,"not bought")))</f>
        <v/>
      </c>
      <c r="AV228" s="583">
        <f t="shared" si="500"/>
        <v>0</v>
      </c>
      <c r="AW228" s="583">
        <f t="shared" si="501"/>
        <v>0</v>
      </c>
      <c r="AX228" s="583">
        <f t="shared" si="502"/>
        <v>0</v>
      </c>
      <c r="AY228" s="583">
        <f t="shared" si="503"/>
        <v>0</v>
      </c>
      <c r="AZ228" s="583">
        <f t="shared" si="504"/>
        <v>0</v>
      </c>
      <c r="BA228" s="583">
        <f t="shared" si="505"/>
        <v>0</v>
      </c>
      <c r="BB228" s="583">
        <f t="shared" si="506"/>
        <v>0</v>
      </c>
      <c r="BC228" s="583">
        <f t="shared" si="507"/>
        <v>0</v>
      </c>
      <c r="BD228" s="583">
        <f t="shared" si="525"/>
        <v>0</v>
      </c>
      <c r="BE228" s="583">
        <f t="shared" si="525"/>
        <v>0</v>
      </c>
      <c r="BF228" s="583">
        <f t="shared" si="525"/>
        <v>0</v>
      </c>
      <c r="BG228" s="583">
        <f t="shared" si="525"/>
        <v>0</v>
      </c>
      <c r="BH228" s="583">
        <f t="shared" si="525"/>
        <v>0</v>
      </c>
      <c r="BI228" s="583">
        <f t="shared" si="525"/>
        <v>0</v>
      </c>
      <c r="BJ228" s="583">
        <f t="shared" si="525"/>
        <v>0</v>
      </c>
      <c r="BK228" s="583">
        <f t="shared" si="526"/>
        <v>0</v>
      </c>
      <c r="BL228" s="583">
        <f t="shared" si="527"/>
        <v>0</v>
      </c>
      <c r="BM228" s="583">
        <f t="shared" si="527"/>
        <v>0</v>
      </c>
      <c r="BN228" s="583">
        <f t="shared" si="527"/>
        <v>0</v>
      </c>
      <c r="BO228" s="583">
        <f t="shared" si="527"/>
        <v>0</v>
      </c>
      <c r="BP228" s="583">
        <f t="shared" si="527"/>
        <v>0</v>
      </c>
      <c r="BQ228" s="583">
        <f t="shared" si="527"/>
        <v>0</v>
      </c>
      <c r="BR228" s="583">
        <f t="shared" si="527"/>
        <v>0</v>
      </c>
    </row>
    <row r="229" spans="1:70" s="603" customFormat="1" ht="56">
      <c r="A229" s="587"/>
      <c r="B229" s="593"/>
      <c r="C229" s="522"/>
      <c r="D229" s="141"/>
      <c r="E229" s="594"/>
      <c r="F229" s="708"/>
      <c r="G229" s="522"/>
      <c r="H229" s="522"/>
      <c r="I229" s="86"/>
      <c r="J229" s="87"/>
      <c r="K229" s="595"/>
      <c r="L229" s="596"/>
      <c r="M229" s="845"/>
      <c r="N229" s="845"/>
      <c r="O229" s="588"/>
      <c r="P229" s="638"/>
      <c r="Q229" s="599" t="s">
        <v>384</v>
      </c>
      <c r="R229" s="600" t="s">
        <v>455</v>
      </c>
      <c r="S229" s="600" t="s">
        <v>2087</v>
      </c>
      <c r="T229" s="600" t="s">
        <v>456</v>
      </c>
      <c r="U229" s="600" t="s">
        <v>535</v>
      </c>
      <c r="V229" s="601" t="s">
        <v>457</v>
      </c>
      <c r="W229" s="600" t="s">
        <v>75</v>
      </c>
      <c r="X229" s="600" t="s">
        <v>385</v>
      </c>
      <c r="Y229" s="600" t="s">
        <v>386</v>
      </c>
      <c r="Z229" s="600" t="s">
        <v>387</v>
      </c>
      <c r="AA229" s="600" t="s">
        <v>388</v>
      </c>
      <c r="AB229" s="601" t="s">
        <v>389</v>
      </c>
      <c r="AC229" s="602" t="s">
        <v>390</v>
      </c>
      <c r="AD229" s="600" t="s">
        <v>391</v>
      </c>
      <c r="AE229" s="600" t="s">
        <v>392</v>
      </c>
      <c r="AF229" s="600" t="s">
        <v>393</v>
      </c>
      <c r="AG229" s="600" t="s">
        <v>394</v>
      </c>
      <c r="AH229" s="600" t="s">
        <v>395</v>
      </c>
      <c r="AI229" s="600" t="s">
        <v>396</v>
      </c>
      <c r="AJ229" s="601" t="s">
        <v>397</v>
      </c>
      <c r="AK229" s="602" t="s">
        <v>398</v>
      </c>
      <c r="AL229" s="600" t="s">
        <v>399</v>
      </c>
      <c r="AM229" s="600" t="s">
        <v>400</v>
      </c>
      <c r="AN229" s="600" t="s">
        <v>401</v>
      </c>
      <c r="AO229" s="600" t="s">
        <v>402</v>
      </c>
      <c r="AP229" s="600" t="s">
        <v>406</v>
      </c>
      <c r="AQ229" s="600" t="s">
        <v>405</v>
      </c>
      <c r="AR229" s="600" t="s">
        <v>403</v>
      </c>
      <c r="AS229" s="601" t="s">
        <v>404</v>
      </c>
      <c r="AT229" s="593"/>
      <c r="AU229" s="593"/>
    </row>
    <row r="230" spans="1:70" s="229" customFormat="1">
      <c r="A230" s="587"/>
      <c r="B230" s="522"/>
      <c r="C230" s="522"/>
      <c r="D230" s="141"/>
      <c r="E230" s="594"/>
      <c r="F230" s="708"/>
      <c r="G230" s="522"/>
      <c r="H230" s="522"/>
      <c r="I230" s="86"/>
      <c r="J230" s="87"/>
      <c r="K230" s="595"/>
      <c r="L230" s="604"/>
      <c r="M230" s="846"/>
      <c r="N230" s="846"/>
      <c r="O230" s="588"/>
      <c r="P230" s="639" t="s">
        <v>383</v>
      </c>
      <c r="Q230" s="583">
        <f>SUM(Q209:Q228)</f>
        <v>0</v>
      </c>
      <c r="R230" s="583">
        <f t="shared" ref="R230:V230" si="528">SUM(R209:R228)</f>
        <v>0</v>
      </c>
      <c r="S230" s="583">
        <f>SUM(S209:S228)</f>
        <v>0</v>
      </c>
      <c r="T230" s="583">
        <f t="shared" ref="T230:U230" si="529">SUM(T209:T228)</f>
        <v>0</v>
      </c>
      <c r="U230" s="583">
        <f t="shared" si="529"/>
        <v>0</v>
      </c>
      <c r="V230" s="549">
        <f t="shared" si="528"/>
        <v>0</v>
      </c>
      <c r="W230" s="583">
        <f t="shared" ref="W230:AU230" si="530">SUM(W209:W228)</f>
        <v>0</v>
      </c>
      <c r="X230" s="583">
        <f t="shared" si="530"/>
        <v>0</v>
      </c>
      <c r="Y230" s="583">
        <f t="shared" si="530"/>
        <v>0</v>
      </c>
      <c r="Z230" s="583">
        <f t="shared" si="530"/>
        <v>0</v>
      </c>
      <c r="AA230" s="583">
        <f t="shared" si="530"/>
        <v>0</v>
      </c>
      <c r="AB230" s="549">
        <f t="shared" si="530"/>
        <v>0</v>
      </c>
      <c r="AC230" s="583">
        <f t="shared" si="530"/>
        <v>0</v>
      </c>
      <c r="AD230" s="583">
        <f t="shared" si="530"/>
        <v>0</v>
      </c>
      <c r="AE230" s="583">
        <f t="shared" si="530"/>
        <v>0</v>
      </c>
      <c r="AF230" s="583">
        <f t="shared" si="530"/>
        <v>0</v>
      </c>
      <c r="AG230" s="583">
        <f t="shared" si="530"/>
        <v>0</v>
      </c>
      <c r="AH230" s="583">
        <f t="shared" si="530"/>
        <v>0</v>
      </c>
      <c r="AI230" s="583">
        <f t="shared" si="530"/>
        <v>0</v>
      </c>
      <c r="AJ230" s="549">
        <f t="shared" si="530"/>
        <v>0</v>
      </c>
      <c r="AK230" s="583">
        <f t="shared" si="530"/>
        <v>0</v>
      </c>
      <c r="AL230" s="583">
        <f t="shared" si="530"/>
        <v>0</v>
      </c>
      <c r="AM230" s="583">
        <f t="shared" si="530"/>
        <v>0</v>
      </c>
      <c r="AN230" s="583">
        <f t="shared" si="530"/>
        <v>0</v>
      </c>
      <c r="AO230" s="583">
        <f t="shared" si="530"/>
        <v>0</v>
      </c>
      <c r="AP230" s="583">
        <f t="shared" si="530"/>
        <v>0</v>
      </c>
      <c r="AQ230" s="583">
        <f t="shared" si="530"/>
        <v>0</v>
      </c>
      <c r="AR230" s="583">
        <f t="shared" si="530"/>
        <v>0</v>
      </c>
      <c r="AS230" s="549">
        <f t="shared" si="530"/>
        <v>0</v>
      </c>
      <c r="AT230" s="583">
        <f t="shared" si="530"/>
        <v>0</v>
      </c>
      <c r="AU230" s="583">
        <f t="shared" si="530"/>
        <v>0</v>
      </c>
      <c r="AV230" s="583">
        <f>SUM(AV209:AV228)</f>
        <v>0</v>
      </c>
      <c r="AW230" s="583">
        <f t="shared" ref="AW230:BR230" si="531">SUM(AW209:AW228)</f>
        <v>0</v>
      </c>
      <c r="AX230" s="583">
        <f t="shared" si="531"/>
        <v>0</v>
      </c>
      <c r="AY230" s="583">
        <f t="shared" si="531"/>
        <v>0</v>
      </c>
      <c r="AZ230" s="583">
        <f t="shared" si="531"/>
        <v>0</v>
      </c>
      <c r="BA230" s="583">
        <f t="shared" si="531"/>
        <v>0</v>
      </c>
      <c r="BB230" s="583">
        <f t="shared" si="531"/>
        <v>0</v>
      </c>
      <c r="BC230" s="583">
        <f t="shared" si="531"/>
        <v>0</v>
      </c>
      <c r="BD230" s="583">
        <f t="shared" si="531"/>
        <v>0</v>
      </c>
      <c r="BE230" s="583">
        <f t="shared" si="531"/>
        <v>0</v>
      </c>
      <c r="BF230" s="583">
        <f t="shared" si="531"/>
        <v>0</v>
      </c>
      <c r="BG230" s="583">
        <f t="shared" si="531"/>
        <v>0</v>
      </c>
      <c r="BH230" s="583">
        <f t="shared" si="531"/>
        <v>0</v>
      </c>
      <c r="BI230" s="583">
        <f t="shared" si="531"/>
        <v>0</v>
      </c>
      <c r="BJ230" s="583">
        <f t="shared" si="531"/>
        <v>0</v>
      </c>
      <c r="BK230" s="583">
        <f t="shared" si="531"/>
        <v>0</v>
      </c>
      <c r="BL230" s="583">
        <f t="shared" si="531"/>
        <v>0</v>
      </c>
      <c r="BM230" s="583">
        <f t="shared" si="531"/>
        <v>0</v>
      </c>
      <c r="BN230" s="583">
        <f t="shared" si="531"/>
        <v>0</v>
      </c>
      <c r="BO230" s="583">
        <f t="shared" si="531"/>
        <v>0</v>
      </c>
      <c r="BP230" s="583">
        <f t="shared" si="531"/>
        <v>0</v>
      </c>
      <c r="BQ230" s="583">
        <f t="shared" si="531"/>
        <v>0</v>
      </c>
      <c r="BR230" s="583">
        <f t="shared" si="531"/>
        <v>0</v>
      </c>
    </row>
    <row r="231" spans="1:70" s="229" customFormat="1">
      <c r="A231" s="587"/>
      <c r="B231" s="522"/>
      <c r="C231" s="522"/>
      <c r="D231" s="141"/>
      <c r="E231" s="594"/>
      <c r="F231" s="708"/>
      <c r="G231" s="522"/>
      <c r="H231" s="522"/>
      <c r="I231" s="86"/>
      <c r="J231" s="87"/>
      <c r="K231" s="595"/>
      <c r="L231" s="604"/>
      <c r="M231" s="846"/>
      <c r="N231" s="846"/>
      <c r="O231" s="588"/>
      <c r="P231" s="639" t="s">
        <v>538</v>
      </c>
      <c r="V231" s="526"/>
      <c r="W231" s="229">
        <v>649.25</v>
      </c>
      <c r="X231" s="229">
        <v>81.199999999999989</v>
      </c>
      <c r="Y231" s="229">
        <v>20.299999999999997</v>
      </c>
      <c r="Z231" s="229">
        <v>21.7</v>
      </c>
      <c r="AA231" s="229">
        <v>6.6499999999999995</v>
      </c>
      <c r="AB231" s="526">
        <v>7</v>
      </c>
      <c r="AC231" s="229">
        <v>482.99999999999994</v>
      </c>
      <c r="AD231" s="229">
        <v>630</v>
      </c>
      <c r="AE231" s="229">
        <v>315</v>
      </c>
      <c r="AF231" s="229">
        <v>59.499999999999993</v>
      </c>
      <c r="AG231" s="229">
        <v>280</v>
      </c>
      <c r="AH231" s="229">
        <v>3.5</v>
      </c>
      <c r="AI231" s="229">
        <v>2.4499999999999997</v>
      </c>
      <c r="AJ231" s="526">
        <v>0.4375</v>
      </c>
      <c r="AK231" s="229">
        <v>280</v>
      </c>
      <c r="AL231" s="229">
        <v>0.35</v>
      </c>
      <c r="AM231" s="229">
        <v>0.38500000000000001</v>
      </c>
      <c r="AN231" s="229">
        <v>4.1999999999999993</v>
      </c>
      <c r="AO231" s="229">
        <v>0.24499999999999997</v>
      </c>
      <c r="AP231" s="229">
        <v>105</v>
      </c>
      <c r="AQ231" s="229">
        <v>0.63</v>
      </c>
      <c r="AR231" s="229">
        <v>28</v>
      </c>
      <c r="AS231" s="526">
        <v>1.75</v>
      </c>
      <c r="AV231" s="229">
        <v>649.25</v>
      </c>
      <c r="AW231" s="229">
        <v>81.199999999999989</v>
      </c>
      <c r="AX231" s="229">
        <v>20.299999999999997</v>
      </c>
      <c r="AY231" s="229">
        <v>21.7</v>
      </c>
      <c r="AZ231" s="229">
        <v>6.6499999999999995</v>
      </c>
      <c r="BA231" s="526">
        <v>7</v>
      </c>
      <c r="BB231" s="229">
        <v>482.99999999999994</v>
      </c>
      <c r="BC231" s="229">
        <v>630</v>
      </c>
      <c r="BD231" s="229">
        <v>315</v>
      </c>
      <c r="BE231" s="229">
        <v>59.499999999999993</v>
      </c>
      <c r="BF231" s="229">
        <v>280</v>
      </c>
      <c r="BG231" s="229">
        <v>3.5</v>
      </c>
      <c r="BH231" s="229">
        <v>2.4499999999999997</v>
      </c>
      <c r="BI231" s="526">
        <v>0.4375</v>
      </c>
      <c r="BJ231" s="229">
        <v>280</v>
      </c>
      <c r="BK231" s="229">
        <v>0.35</v>
      </c>
      <c r="BL231" s="229">
        <v>0.38500000000000001</v>
      </c>
      <c r="BM231" s="229">
        <v>4.1999999999999993</v>
      </c>
      <c r="BN231" s="229">
        <v>0.24499999999999997</v>
      </c>
      <c r="BO231" s="229">
        <v>105</v>
      </c>
      <c r="BP231" s="229">
        <v>0.63</v>
      </c>
      <c r="BQ231" s="229">
        <v>28</v>
      </c>
      <c r="BR231" s="526">
        <v>1.75</v>
      </c>
    </row>
    <row r="232" spans="1:70" s="229" customFormat="1">
      <c r="A232" s="587"/>
      <c r="B232" s="522"/>
      <c r="C232" s="522"/>
      <c r="D232" s="141"/>
      <c r="E232" s="594"/>
      <c r="F232" s="708"/>
      <c r="G232" s="522"/>
      <c r="H232" s="522"/>
      <c r="I232" s="86"/>
      <c r="J232" s="87"/>
      <c r="K232" s="595"/>
      <c r="L232" s="604"/>
      <c r="M232" s="846"/>
      <c r="N232" s="846"/>
      <c r="O232" s="588"/>
      <c r="P232" s="639" t="s">
        <v>407</v>
      </c>
      <c r="V232" s="526"/>
      <c r="W232" s="514">
        <f t="shared" ref="W232:AS232" si="532">100*W230/W231</f>
        <v>0</v>
      </c>
      <c r="X232" s="514">
        <f t="shared" si="532"/>
        <v>0</v>
      </c>
      <c r="Y232" s="514">
        <f t="shared" si="532"/>
        <v>0</v>
      </c>
      <c r="Z232" s="514">
        <f t="shared" si="532"/>
        <v>0</v>
      </c>
      <c r="AA232" s="514">
        <f t="shared" si="532"/>
        <v>0</v>
      </c>
      <c r="AB232" s="506">
        <f t="shared" si="532"/>
        <v>0</v>
      </c>
      <c r="AC232" s="514">
        <f t="shared" si="532"/>
        <v>0</v>
      </c>
      <c r="AD232" s="514">
        <f t="shared" si="532"/>
        <v>0</v>
      </c>
      <c r="AE232" s="514">
        <f t="shared" si="532"/>
        <v>0</v>
      </c>
      <c r="AF232" s="514">
        <f t="shared" si="532"/>
        <v>0</v>
      </c>
      <c r="AG232" s="514">
        <f t="shared" si="532"/>
        <v>0</v>
      </c>
      <c r="AH232" s="514">
        <f t="shared" si="532"/>
        <v>0</v>
      </c>
      <c r="AI232" s="514">
        <f t="shared" si="532"/>
        <v>0</v>
      </c>
      <c r="AJ232" s="506">
        <f t="shared" si="532"/>
        <v>0</v>
      </c>
      <c r="AK232" s="514">
        <f t="shared" si="532"/>
        <v>0</v>
      </c>
      <c r="AL232" s="514">
        <f t="shared" si="532"/>
        <v>0</v>
      </c>
      <c r="AM232" s="514">
        <f t="shared" si="532"/>
        <v>0</v>
      </c>
      <c r="AN232" s="514">
        <f t="shared" si="532"/>
        <v>0</v>
      </c>
      <c r="AO232" s="514">
        <f t="shared" si="532"/>
        <v>0</v>
      </c>
      <c r="AP232" s="514">
        <f t="shared" si="532"/>
        <v>0</v>
      </c>
      <c r="AQ232" s="514">
        <f t="shared" si="532"/>
        <v>0</v>
      </c>
      <c r="AR232" s="514">
        <f t="shared" si="532"/>
        <v>0</v>
      </c>
      <c r="AS232" s="506">
        <f t="shared" si="532"/>
        <v>0</v>
      </c>
      <c r="AV232" s="514">
        <f t="shared" ref="AV232:BR232" si="533">100*AV230/AV231</f>
        <v>0</v>
      </c>
      <c r="AW232" s="514">
        <f t="shared" si="533"/>
        <v>0</v>
      </c>
      <c r="AX232" s="514">
        <f t="shared" si="533"/>
        <v>0</v>
      </c>
      <c r="AY232" s="514">
        <f t="shared" si="533"/>
        <v>0</v>
      </c>
      <c r="AZ232" s="514">
        <f t="shared" si="533"/>
        <v>0</v>
      </c>
      <c r="BA232" s="506">
        <f t="shared" si="533"/>
        <v>0</v>
      </c>
      <c r="BB232" s="514">
        <f t="shared" si="533"/>
        <v>0</v>
      </c>
      <c r="BC232" s="514">
        <f t="shared" si="533"/>
        <v>0</v>
      </c>
      <c r="BD232" s="514">
        <f t="shared" si="533"/>
        <v>0</v>
      </c>
      <c r="BE232" s="514">
        <f t="shared" si="533"/>
        <v>0</v>
      </c>
      <c r="BF232" s="514">
        <f t="shared" si="533"/>
        <v>0</v>
      </c>
      <c r="BG232" s="514">
        <f t="shared" si="533"/>
        <v>0</v>
      </c>
      <c r="BH232" s="514">
        <f t="shared" si="533"/>
        <v>0</v>
      </c>
      <c r="BI232" s="506">
        <f t="shared" si="533"/>
        <v>0</v>
      </c>
      <c r="BJ232" s="514">
        <f t="shared" si="533"/>
        <v>0</v>
      </c>
      <c r="BK232" s="514">
        <f t="shared" si="533"/>
        <v>0</v>
      </c>
      <c r="BL232" s="514">
        <f t="shared" si="533"/>
        <v>0</v>
      </c>
      <c r="BM232" s="514">
        <f t="shared" si="533"/>
        <v>0</v>
      </c>
      <c r="BN232" s="514">
        <f t="shared" si="533"/>
        <v>0</v>
      </c>
      <c r="BO232" s="514">
        <f t="shared" si="533"/>
        <v>0</v>
      </c>
      <c r="BP232" s="514">
        <f t="shared" si="533"/>
        <v>0</v>
      </c>
      <c r="BQ232" s="514">
        <f t="shared" si="533"/>
        <v>0</v>
      </c>
      <c r="BR232" s="506">
        <f t="shared" si="533"/>
        <v>0</v>
      </c>
    </row>
    <row r="233" spans="1:70" s="229" customFormat="1">
      <c r="A233" s="587"/>
      <c r="B233" s="522"/>
      <c r="C233" s="522"/>
      <c r="D233" s="141"/>
      <c r="E233" s="594"/>
      <c r="F233" s="708"/>
      <c r="G233" s="522"/>
      <c r="H233" s="522"/>
      <c r="I233" s="86"/>
      <c r="J233" s="87"/>
      <c r="K233" s="595"/>
      <c r="L233" s="604"/>
      <c r="M233" s="846"/>
      <c r="N233" s="846"/>
      <c r="O233" s="588"/>
      <c r="P233" s="639" t="s">
        <v>548</v>
      </c>
      <c r="V233" s="526"/>
      <c r="W233" s="583">
        <f>AV230</f>
        <v>0</v>
      </c>
      <c r="X233" s="583">
        <f t="shared" ref="X233:AM233" si="534">AW230</f>
        <v>0</v>
      </c>
      <c r="Y233" s="583">
        <f t="shared" si="534"/>
        <v>0</v>
      </c>
      <c r="Z233" s="583">
        <f t="shared" si="534"/>
        <v>0</v>
      </c>
      <c r="AA233" s="583">
        <f t="shared" si="534"/>
        <v>0</v>
      </c>
      <c r="AB233" s="549">
        <f t="shared" si="534"/>
        <v>0</v>
      </c>
      <c r="AC233" s="583">
        <f t="shared" si="534"/>
        <v>0</v>
      </c>
      <c r="AD233" s="583">
        <f t="shared" si="534"/>
        <v>0</v>
      </c>
      <c r="AE233" s="583">
        <f t="shared" si="534"/>
        <v>0</v>
      </c>
      <c r="AF233" s="583">
        <f t="shared" si="534"/>
        <v>0</v>
      </c>
      <c r="AG233" s="583">
        <f t="shared" si="534"/>
        <v>0</v>
      </c>
      <c r="AH233" s="583">
        <f t="shared" si="534"/>
        <v>0</v>
      </c>
      <c r="AI233" s="583">
        <f t="shared" si="534"/>
        <v>0</v>
      </c>
      <c r="AJ233" s="549">
        <f t="shared" si="534"/>
        <v>0</v>
      </c>
      <c r="AK233" s="583">
        <f t="shared" si="534"/>
        <v>0</v>
      </c>
      <c r="AL233" s="583">
        <f t="shared" si="534"/>
        <v>0</v>
      </c>
      <c r="AM233" s="583">
        <f t="shared" si="534"/>
        <v>0</v>
      </c>
      <c r="AN233" s="583">
        <f>BM230</f>
        <v>0</v>
      </c>
      <c r="AO233" s="583">
        <f t="shared" ref="AO233:AR233" si="535">BN230</f>
        <v>0</v>
      </c>
      <c r="AP233" s="583">
        <f t="shared" si="535"/>
        <v>0</v>
      </c>
      <c r="AQ233" s="583">
        <f t="shared" si="535"/>
        <v>0</v>
      </c>
      <c r="AR233" s="583">
        <f t="shared" si="535"/>
        <v>0</v>
      </c>
      <c r="AS233" s="549">
        <f>BR230</f>
        <v>0</v>
      </c>
    </row>
    <row r="234" spans="1:70" s="229" customFormat="1">
      <c r="A234" s="587"/>
      <c r="B234" s="522"/>
      <c r="C234" s="522"/>
      <c r="D234" s="141"/>
      <c r="E234" s="594"/>
      <c r="F234" s="708"/>
      <c r="G234" s="522"/>
      <c r="H234" s="522"/>
      <c r="I234" s="86"/>
      <c r="J234" s="87"/>
      <c r="K234" s="595"/>
      <c r="L234" s="604"/>
      <c r="M234" s="846"/>
      <c r="N234" s="846"/>
      <c r="O234" s="588"/>
      <c r="P234" s="639" t="s">
        <v>543</v>
      </c>
      <c r="V234" s="526"/>
      <c r="W234" s="514">
        <f t="shared" ref="W234:AS234" si="536">AV232</f>
        <v>0</v>
      </c>
      <c r="X234" s="514">
        <f t="shared" si="536"/>
        <v>0</v>
      </c>
      <c r="Y234" s="514">
        <f t="shared" si="536"/>
        <v>0</v>
      </c>
      <c r="Z234" s="514">
        <f t="shared" si="536"/>
        <v>0</v>
      </c>
      <c r="AA234" s="514">
        <f t="shared" si="536"/>
        <v>0</v>
      </c>
      <c r="AB234" s="506">
        <f t="shared" si="536"/>
        <v>0</v>
      </c>
      <c r="AC234" s="514">
        <f t="shared" si="536"/>
        <v>0</v>
      </c>
      <c r="AD234" s="514">
        <f t="shared" si="536"/>
        <v>0</v>
      </c>
      <c r="AE234" s="514">
        <f t="shared" si="536"/>
        <v>0</v>
      </c>
      <c r="AF234" s="514">
        <f t="shared" si="536"/>
        <v>0</v>
      </c>
      <c r="AG234" s="514">
        <f t="shared" si="536"/>
        <v>0</v>
      </c>
      <c r="AH234" s="514">
        <f t="shared" si="536"/>
        <v>0</v>
      </c>
      <c r="AI234" s="514">
        <f t="shared" si="536"/>
        <v>0</v>
      </c>
      <c r="AJ234" s="506">
        <f t="shared" si="536"/>
        <v>0</v>
      </c>
      <c r="AK234" s="514">
        <f t="shared" si="536"/>
        <v>0</v>
      </c>
      <c r="AL234" s="514">
        <f t="shared" si="536"/>
        <v>0</v>
      </c>
      <c r="AM234" s="514">
        <f t="shared" si="536"/>
        <v>0</v>
      </c>
      <c r="AN234" s="514">
        <f t="shared" si="536"/>
        <v>0</v>
      </c>
      <c r="AO234" s="514">
        <f t="shared" si="536"/>
        <v>0</v>
      </c>
      <c r="AP234" s="514">
        <f t="shared" si="536"/>
        <v>0</v>
      </c>
      <c r="AQ234" s="514">
        <f t="shared" si="536"/>
        <v>0</v>
      </c>
      <c r="AR234" s="514">
        <f t="shared" si="536"/>
        <v>0</v>
      </c>
      <c r="AS234" s="506">
        <f t="shared" si="536"/>
        <v>0</v>
      </c>
      <c r="AV234" s="514"/>
      <c r="AW234" s="514"/>
      <c r="AX234" s="514"/>
      <c r="AY234" s="514"/>
      <c r="AZ234" s="514"/>
      <c r="BA234" s="505"/>
      <c r="BB234" s="514"/>
      <c r="BC234" s="514"/>
      <c r="BD234" s="514"/>
      <c r="BE234" s="514"/>
      <c r="BF234" s="514"/>
      <c r="BG234" s="514"/>
      <c r="BH234" s="514"/>
      <c r="BI234" s="505"/>
      <c r="BJ234" s="514"/>
      <c r="BK234" s="514"/>
      <c r="BL234" s="514"/>
      <c r="BM234" s="514"/>
      <c r="BN234" s="514"/>
      <c r="BO234" s="514"/>
      <c r="BP234" s="514"/>
      <c r="BQ234" s="514"/>
      <c r="BR234" s="505"/>
    </row>
    <row r="235" spans="1:70" s="229" customFormat="1" ht="16" thickBot="1">
      <c r="A235" s="587"/>
      <c r="B235" s="587"/>
      <c r="C235" s="587"/>
      <c r="D235" s="111"/>
      <c r="E235" s="631"/>
      <c r="F235" s="712"/>
      <c r="G235" s="632" t="s">
        <v>795</v>
      </c>
      <c r="H235" s="633"/>
      <c r="I235" s="686"/>
      <c r="J235" s="686"/>
      <c r="K235" s="587"/>
      <c r="L235" s="634"/>
      <c r="M235" s="843"/>
      <c r="N235" s="843"/>
      <c r="O235" s="588"/>
      <c r="P235" s="587"/>
      <c r="Q235" s="587"/>
      <c r="R235" s="587"/>
      <c r="S235" s="587"/>
      <c r="T235" s="587"/>
      <c r="U235" s="635"/>
      <c r="V235" s="636"/>
      <c r="W235" s="587"/>
      <c r="X235" s="587"/>
      <c r="Y235" s="587"/>
      <c r="Z235" s="587"/>
      <c r="AA235" s="637">
        <f>COUNTIF(AA236:AA247,"&lt;0")</f>
        <v>3</v>
      </c>
      <c r="AB235" s="637">
        <f t="shared" ref="AB235" si="537">COUNTIF(AB236:AB247,"&lt;0")</f>
        <v>3</v>
      </c>
      <c r="AC235" s="637">
        <f t="shared" ref="AC235" si="538">COUNTIF(AC236:AC247,"&lt;0")</f>
        <v>3</v>
      </c>
      <c r="AD235" s="637">
        <f t="shared" ref="AD235" si="539">COUNTIF(AD236:AD247,"&lt;0")</f>
        <v>3</v>
      </c>
      <c r="AE235" s="637">
        <f t="shared" ref="AE235" si="540">COUNTIF(AE236:AE247,"&lt;0")</f>
        <v>3</v>
      </c>
      <c r="AF235" s="637">
        <f t="shared" ref="AF235" si="541">COUNTIF(AF236:AF247,"&lt;0")</f>
        <v>3</v>
      </c>
      <c r="AG235" s="637">
        <f t="shared" ref="AG235" si="542">COUNTIF(AG236:AG247,"&lt;0")</f>
        <v>3</v>
      </c>
      <c r="AH235" s="637">
        <f t="shared" ref="AH235" si="543">COUNTIF(AH236:AH247,"&lt;0")</f>
        <v>3</v>
      </c>
      <c r="AI235" s="637">
        <f t="shared" ref="AI235" si="544">COUNTIF(AI236:AI247,"&lt;0")</f>
        <v>3</v>
      </c>
      <c r="AJ235" s="637">
        <f t="shared" ref="AJ235" si="545">COUNTIF(AJ236:AJ247,"&lt;0")</f>
        <v>3</v>
      </c>
      <c r="AK235" s="637">
        <f t="shared" ref="AK235" si="546">COUNTIF(AK236:AK247,"&lt;0")</f>
        <v>3</v>
      </c>
      <c r="AL235" s="637">
        <f t="shared" ref="AL235" si="547">COUNTIF(AL236:AL247,"&lt;0")</f>
        <v>3</v>
      </c>
      <c r="AM235" s="637">
        <f t="shared" ref="AM235" si="548">COUNTIF(AM236:AM247,"&lt;0")</f>
        <v>3</v>
      </c>
      <c r="AN235" s="637">
        <f t="shared" ref="AN235" si="549">COUNTIF(AN236:AN247,"&lt;0")</f>
        <v>3</v>
      </c>
      <c r="AO235" s="637">
        <f t="shared" ref="AO235" si="550">COUNTIF(AO236:AO247,"&lt;0")</f>
        <v>3</v>
      </c>
      <c r="AP235" s="637">
        <f t="shared" ref="AP235" si="551">COUNTIF(AP236:AP247,"&lt;0")</f>
        <v>3</v>
      </c>
      <c r="AQ235" s="637">
        <f t="shared" ref="AQ235" si="552">COUNTIF(AQ236:AQ247,"&lt;0")</f>
        <v>3</v>
      </c>
      <c r="AR235" s="637">
        <f t="shared" ref="AR235" si="553">COUNTIF(AR236:AR247,"&lt;0")</f>
        <v>3</v>
      </c>
      <c r="AS235" s="637">
        <f t="shared" ref="AS235" si="554">COUNTIF(AS236:AS247,"&lt;0")</f>
        <v>3</v>
      </c>
      <c r="AT235" s="1298"/>
      <c r="AU235" s="1298"/>
    </row>
    <row r="236" spans="1:70" s="229" customFormat="1" ht="15" customHeight="1" thickBot="1">
      <c r="A236" s="587"/>
      <c r="B236" s="575" t="s">
        <v>3066</v>
      </c>
      <c r="C236" s="229" t="s">
        <v>1362</v>
      </c>
      <c r="D236" s="85" t="s">
        <v>2740</v>
      </c>
      <c r="E236" s="577">
        <v>100</v>
      </c>
      <c r="F236" s="85" t="s">
        <v>3038</v>
      </c>
      <c r="G236" s="406" t="s">
        <v>3083</v>
      </c>
      <c r="H236" s="578" t="s">
        <v>3517</v>
      </c>
      <c r="I236" s="85">
        <v>25</v>
      </c>
      <c r="J236" s="682">
        <v>1</v>
      </c>
      <c r="K236" s="579">
        <f t="shared" ref="K236:K247" si="555">IF(I236&gt;0,1.1*Q236*E236/1000,"")</f>
        <v>2.7500000000000004</v>
      </c>
      <c r="L236" s="580">
        <f>IF(H236="Select ingredient:","",IF(G236="","",_xlfn.IFNA(VLOOKUP($H236,Ingredient_prices!$E:$U,16,FALSE),0)))</f>
        <v>564</v>
      </c>
      <c r="M236" s="844"/>
      <c r="N236" s="1228">
        <f>$W249</f>
        <v>271.25</v>
      </c>
      <c r="O236" s="588"/>
      <c r="P236" s="589"/>
      <c r="Q236" s="583">
        <f t="shared" ref="Q236:Q247" si="556">I236/J236</f>
        <v>25</v>
      </c>
      <c r="R236" s="583">
        <f>VLOOKUP($H236,'CO2_emission+%_food_waste'!$A:$K,6,FALSE)*$Q236/100</f>
        <v>-2.5000000000000001E-5</v>
      </c>
      <c r="S236" s="583">
        <f t="shared" ref="S236:S247" si="557">Q236-R236</f>
        <v>25.000025000000001</v>
      </c>
      <c r="T236" s="583">
        <f>IF(H236="Select ingredient:","",IF(G236="Select food category:","",_xlfn.IFNA(VLOOKUP($H236,Ingredient_prices!$E:$U,16,FALSE)*$Q236/1000,"not bought")))</f>
        <v>14.1</v>
      </c>
      <c r="U236" s="583">
        <f>IF(G236="Select food category:","",_xlfn.IFNA(VLOOKUP($H236,Ingredient_prices!$E:$U,16,FALSE)*$R236/1000,"not bought"))</f>
        <v>-1.4100000000000002E-5</v>
      </c>
      <c r="V236" s="549">
        <f>VLOOKUP($H236,'CO2_emission+%_food_waste'!$A:$K,4,FALSE)*$Q236</f>
        <v>30</v>
      </c>
      <c r="W236" s="583">
        <f>VLOOKUP($H236,Nutrition_tables!$A:$N,10,FALSE)*$Q236/100</f>
        <v>11</v>
      </c>
      <c r="X236" s="583">
        <f>VLOOKUP($H236,Nutrition_tables!$A:$N,11,FALSE)*$Q236/100</f>
        <v>3</v>
      </c>
      <c r="Y236" s="583">
        <f>VLOOKUP($H236,Nutrition_tables!$A:$N,12,FALSE)*$Q236/100</f>
        <v>0</v>
      </c>
      <c r="Z236" s="583">
        <f>VLOOKUP($H236,Nutrition_tables!$A:$N,14,FALSE)*$Q236/100</f>
        <v>0</v>
      </c>
      <c r="AA236" s="583">
        <f>VLOOKUP($H236,Nutrition_tables!$A:$AF,13,FALSE)*$Q236/100</f>
        <v>-1E-4</v>
      </c>
      <c r="AB236" s="549">
        <f>VLOOKUP($H236,Nutrition_tables!$A:$AF,15,FALSE)*$Q236/100</f>
        <v>-1E-4</v>
      </c>
      <c r="AC236" s="583">
        <f>VLOOKUP($H236,Nutrition_tables!$A:$AF,16,FALSE)*$Q236/100</f>
        <v>-1E-4</v>
      </c>
      <c r="AD236" s="583">
        <f>VLOOKUP($H236,Nutrition_tables!$A:$AF,17,FALSE)*$Q236/100</f>
        <v>-1E-4</v>
      </c>
      <c r="AE236" s="583">
        <f>VLOOKUP($H236,Nutrition_tables!$A:$AF,18,FALSE)*$Q236/100</f>
        <v>-1E-4</v>
      </c>
      <c r="AF236" s="583">
        <f>VLOOKUP($H236,Nutrition_tables!$A:$AF,19,FALSE)*$Q236/100</f>
        <v>-1E-4</v>
      </c>
      <c r="AG236" s="583">
        <f>VLOOKUP($H236,Nutrition_tables!$A:$AF,20,FALSE)*$Q236/100</f>
        <v>-1E-4</v>
      </c>
      <c r="AH236" s="583">
        <f>VLOOKUP($H236,Nutrition_tables!$A:$AF,21,FALSE)*$Q236/100</f>
        <v>-1E-4</v>
      </c>
      <c r="AI236" s="583">
        <f>VLOOKUP($H236,Nutrition_tables!$A:$AF,22,FALSE)*$Q236/100</f>
        <v>-1E-4</v>
      </c>
      <c r="AJ236" s="549">
        <f>VLOOKUP($H236,Nutrition_tables!$A:$AF,23,FALSE)*$Q236/100</f>
        <v>-1E-4</v>
      </c>
      <c r="AK236" s="583">
        <f>VLOOKUP($H236,Nutrition_tables!$A:$AF,24,FALSE)*$Q236/100</f>
        <v>-1E-4</v>
      </c>
      <c r="AL236" s="583">
        <f>VLOOKUP($H236,Nutrition_tables!$A:$AF,25,FALSE)*$Q236/100</f>
        <v>-1E-4</v>
      </c>
      <c r="AM236" s="583">
        <f>VLOOKUP($H236,Nutrition_tables!$A:$AF,26,FALSE)*$Q236/100</f>
        <v>-1E-4</v>
      </c>
      <c r="AN236" s="583">
        <f>VLOOKUP($H236,Nutrition_tables!$A:$AF,27,FALSE)*$Q236/100</f>
        <v>-1E-4</v>
      </c>
      <c r="AO236" s="583">
        <f>VLOOKUP($H236,Nutrition_tables!$A:$AF,28,FALSE)*$Q236/100</f>
        <v>-1E-4</v>
      </c>
      <c r="AP236" s="583">
        <f>VLOOKUP($H236,Nutrition_tables!$A:$AF,29,FALSE)*$Q236/100</f>
        <v>-1E-4</v>
      </c>
      <c r="AQ236" s="583">
        <f>VLOOKUP($H236,Nutrition_tables!$A:$AF,30,FALSE)*$Q236/100</f>
        <v>-1E-4</v>
      </c>
      <c r="AR236" s="583">
        <f>VLOOKUP($H236,Nutrition_tables!$A:$AF,31,FALSE)*$Q236/100</f>
        <v>-1E-4</v>
      </c>
      <c r="AS236" s="549">
        <f>VLOOKUP($H236,Nutrition_tables!$A:$AF,32,FALSE)*$Q236/100</f>
        <v>-1E-4</v>
      </c>
      <c r="AT236" s="583">
        <f>IF(H236="Select ingredient:","",IF(G236="Select food category:","",IFERROR(VLOOKUP($H236,Ingredient_prices!$E:$W,17,FALSE)*$Q236/1000,"not bought")))</f>
        <v>14.1</v>
      </c>
      <c r="AU236" s="583">
        <f>IF(H236="Select ingredient:","",IF(G236="Select food category:","",IFERROR(VLOOKUP($H236,Ingredient_prices!$E:$W,18,FALSE)*$Q236/1000,"not bought")))</f>
        <v>14.1</v>
      </c>
      <c r="AV236" s="583">
        <f t="shared" ref="AV236:AV247" si="558">W236*($Q236-$R236)/($Q236+0.00001)</f>
        <v>11.000006599997359</v>
      </c>
      <c r="AW236" s="583">
        <f t="shared" ref="AW236:AW247" si="559">X236*($Q236-$R236)/($Q236+0.00001)</f>
        <v>3.0000017999992803</v>
      </c>
      <c r="AX236" s="583">
        <f t="shared" ref="AX236:AX247" si="560">Y236*($Q236-$R236)/($Q236+0.00001)</f>
        <v>0</v>
      </c>
      <c r="AY236" s="583">
        <f t="shared" ref="AY236:AY247" si="561">Z236*($Q236-$R236)/($Q236+0.00001)</f>
        <v>0</v>
      </c>
      <c r="AZ236" s="583">
        <f t="shared" ref="AZ236:AZ247" si="562">AA236*($Q236-$R236)/($Q236+0.00001)</f>
        <v>-1.0000005999997601E-4</v>
      </c>
      <c r="BA236" s="583">
        <f t="shared" ref="BA236:BA247" si="563">AB236*($Q236-$R236)/($Q236+0.00001)</f>
        <v>-1.0000005999997601E-4</v>
      </c>
      <c r="BB236" s="583">
        <f t="shared" ref="BB236:BB247" si="564">AC236*($Q236-$R236)/($Q236+0.00001)</f>
        <v>-1.0000005999997601E-4</v>
      </c>
      <c r="BC236" s="583">
        <f t="shared" ref="BC236:BC247" si="565">AD236*($Q236-$R236)/($Q236+0.00001)</f>
        <v>-1.0000005999997601E-4</v>
      </c>
      <c r="BD236" s="583">
        <f t="shared" ref="BD236:BD247" si="566">AE236*($Q236-$R236)/($Q236+0.00001)</f>
        <v>-1.0000005999997601E-4</v>
      </c>
      <c r="BE236" s="583">
        <f t="shared" ref="BE236:BE247" si="567">AF236*($Q236-$R236)/($Q236+0.00001)</f>
        <v>-1.0000005999997601E-4</v>
      </c>
      <c r="BF236" s="583">
        <f t="shared" ref="BF236:BF247" si="568">AG236*($Q236-$R236)/($Q236+0.00001)</f>
        <v>-1.0000005999997601E-4</v>
      </c>
      <c r="BG236" s="583">
        <f t="shared" ref="BG236:BG247" si="569">AH236*($Q236-$R236)/($Q236+0.00001)</f>
        <v>-1.0000005999997601E-4</v>
      </c>
      <c r="BH236" s="583">
        <f t="shared" ref="BH236:BH247" si="570">AI236*($Q236-$R236)/($Q236+0.00001)</f>
        <v>-1.0000005999997601E-4</v>
      </c>
      <c r="BI236" s="583">
        <f t="shared" ref="BI236:BI247" si="571">AJ236*($Q236-$R236)/($Q236+0.00001)</f>
        <v>-1.0000005999997601E-4</v>
      </c>
      <c r="BJ236" s="583">
        <f t="shared" ref="BJ236:BJ247" si="572">AK236*($Q236-$R236)/($Q236+0.00001)</f>
        <v>-1.0000005999997601E-4</v>
      </c>
      <c r="BK236" s="583">
        <f t="shared" ref="BK236:BK247" si="573">AL236*($Q236-$R236)/($Q236+0.00001)</f>
        <v>-1.0000005999997601E-4</v>
      </c>
      <c r="BL236" s="583">
        <f t="shared" ref="BL236:BL247" si="574">AM236*($Q236-$R236)/($Q236+0.00001)</f>
        <v>-1.0000005999997601E-4</v>
      </c>
      <c r="BM236" s="583">
        <f t="shared" ref="BM236:BM247" si="575">AN236*($Q236-$R236)/($Q236+0.00001)</f>
        <v>-1.0000005999997601E-4</v>
      </c>
      <c r="BN236" s="583">
        <f t="shared" ref="BN236:BN247" si="576">AO236*($Q236-$R236)/($Q236+0.00001)</f>
        <v>-1.0000005999997601E-4</v>
      </c>
      <c r="BO236" s="583">
        <f t="shared" ref="BO236:BO247" si="577">AP236*($Q236-$R236)/($Q236+0.00001)</f>
        <v>-1.0000005999997601E-4</v>
      </c>
      <c r="BP236" s="583">
        <f t="shared" ref="BP236:BP247" si="578">AQ236*($Q236-$R236)/($Q236+0.00001)</f>
        <v>-1.0000005999997601E-4</v>
      </c>
      <c r="BQ236" s="583">
        <f t="shared" ref="BQ236:BQ247" si="579">AR236*($Q236-$R236)/($Q236+0.00001)</f>
        <v>-1.0000005999997601E-4</v>
      </c>
      <c r="BR236" s="583">
        <f t="shared" ref="BR236:BR247" si="580">AS236*($Q236-$R236)/($Q236+0.00001)</f>
        <v>-1.0000005999997601E-4</v>
      </c>
    </row>
    <row r="237" spans="1:70" s="229" customFormat="1" ht="15" customHeight="1">
      <c r="A237" s="587"/>
      <c r="D237" s="406" t="s">
        <v>3037</v>
      </c>
      <c r="E237" s="576">
        <f>IF(E$236&gt;0,E$236,"")</f>
        <v>100</v>
      </c>
      <c r="F237" s="85"/>
      <c r="G237" s="406" t="s">
        <v>3080</v>
      </c>
      <c r="H237" s="578" t="s">
        <v>3388</v>
      </c>
      <c r="I237" s="85">
        <v>50</v>
      </c>
      <c r="J237" s="682">
        <v>1</v>
      </c>
      <c r="K237" s="579">
        <f t="shared" si="555"/>
        <v>5.5000000000000009</v>
      </c>
      <c r="L237" s="580">
        <f>IF(H237="Select ingredient:","",IF(G237="","",_xlfn.IFNA(VLOOKUP($H237,Ingredient_prices!$E:$U,16,FALSE),0)))</f>
        <v>134.75</v>
      </c>
      <c r="M237" s="844"/>
      <c r="N237" s="844"/>
      <c r="O237" s="588"/>
      <c r="P237" s="589"/>
      <c r="Q237" s="583">
        <f t="shared" si="556"/>
        <v>50</v>
      </c>
      <c r="R237" s="583">
        <f>VLOOKUP($H237,'CO2_emission+%_food_waste'!$A:$K,6,FALSE)*$Q237/100</f>
        <v>-5.0000000000000002E-5</v>
      </c>
      <c r="S237" s="583">
        <f t="shared" si="557"/>
        <v>50.000050000000002</v>
      </c>
      <c r="T237" s="583">
        <f>IF(H237="Select ingredient:","",IF(G237="Select food category:","",_xlfn.IFNA(VLOOKUP($H237,Ingredient_prices!$E:$U,16,FALSE)*$Q237/1000,"not bought")))</f>
        <v>6.7374999999999998</v>
      </c>
      <c r="U237" s="583">
        <f>IF(G237="Select food category:","",_xlfn.IFNA(VLOOKUP($H237,Ingredient_prices!$E:$U,16,FALSE)*$R237/1000,"not bought"))</f>
        <v>-6.7375000000000003E-6</v>
      </c>
      <c r="V237" s="549">
        <f>VLOOKUP($H237,'CO2_emission+%_food_waste'!$A:$K,4,FALSE)*$Q237</f>
        <v>81</v>
      </c>
      <c r="W237" s="583">
        <f>VLOOKUP($H237,Nutrition_tables!$A:$N,10,FALSE)*$Q237/100</f>
        <v>155.85</v>
      </c>
      <c r="X237" s="583">
        <f>VLOOKUP($H237,Nutrition_tables!$A:$N,11,FALSE)*$Q237/100</f>
        <v>26.15</v>
      </c>
      <c r="Y237" s="583">
        <f>VLOOKUP($H237,Nutrition_tables!$A:$N,12,FALSE)*$Q237/100</f>
        <v>7.5</v>
      </c>
      <c r="Z237" s="583">
        <f>VLOOKUP($H237,Nutrition_tables!$A:$N,14,FALSE)*$Q237/100</f>
        <v>3</v>
      </c>
      <c r="AA237" s="583">
        <f>VLOOKUP($H237,Nutrition_tables!$A:$AF,13,FALSE)*$Q237/100</f>
        <v>-2E-3</v>
      </c>
      <c r="AB237" s="549">
        <f>VLOOKUP($H237,Nutrition_tables!$A:$AF,15,FALSE)*$Q237/100</f>
        <v>-2E-3</v>
      </c>
      <c r="AC237" s="583">
        <f>VLOOKUP($H237,Nutrition_tables!$A:$AF,16,FALSE)*$Q237/100</f>
        <v>-2E-3</v>
      </c>
      <c r="AD237" s="583">
        <f>VLOOKUP($H237,Nutrition_tables!$A:$AF,17,FALSE)*$Q237/100</f>
        <v>-2E-3</v>
      </c>
      <c r="AE237" s="583">
        <f>VLOOKUP($H237,Nutrition_tables!$A:$AF,18,FALSE)*$Q237/100</f>
        <v>-2E-3</v>
      </c>
      <c r="AF237" s="583">
        <f>VLOOKUP($H237,Nutrition_tables!$A:$AF,19,FALSE)*$Q237/100</f>
        <v>-2E-3</v>
      </c>
      <c r="AG237" s="583">
        <f>VLOOKUP($H237,Nutrition_tables!$A:$AF,20,FALSE)*$Q237/100</f>
        <v>-2E-3</v>
      </c>
      <c r="AH237" s="583">
        <f>VLOOKUP($H237,Nutrition_tables!$A:$AF,21,FALSE)*$Q237/100</f>
        <v>-2E-3</v>
      </c>
      <c r="AI237" s="583">
        <f>VLOOKUP($H237,Nutrition_tables!$A:$AF,22,FALSE)*$Q237/100</f>
        <v>-2E-3</v>
      </c>
      <c r="AJ237" s="549">
        <f>VLOOKUP($H237,Nutrition_tables!$A:$AF,23,FALSE)*$Q237/100</f>
        <v>-2.0000000000000001E-4</v>
      </c>
      <c r="AK237" s="583">
        <f>VLOOKUP($H237,Nutrition_tables!$A:$AF,24,FALSE)*$Q237/100</f>
        <v>-2E-3</v>
      </c>
      <c r="AL237" s="583">
        <f>VLOOKUP($H237,Nutrition_tables!$A:$AF,25,FALSE)*$Q237/100</f>
        <v>-2E-3</v>
      </c>
      <c r="AM237" s="583">
        <f>VLOOKUP($H237,Nutrition_tables!$A:$AF,26,FALSE)*$Q237/100</f>
        <v>-2E-3</v>
      </c>
      <c r="AN237" s="583">
        <f>VLOOKUP($H237,Nutrition_tables!$A:$AF,27,FALSE)*$Q237/100</f>
        <v>-2E-3</v>
      </c>
      <c r="AO237" s="583">
        <f>VLOOKUP($H237,Nutrition_tables!$A:$AF,28,FALSE)*$Q237/100</f>
        <v>-2E-3</v>
      </c>
      <c r="AP237" s="583">
        <f>VLOOKUP($H237,Nutrition_tables!$A:$AF,29,FALSE)*$Q237/100</f>
        <v>-2E-3</v>
      </c>
      <c r="AQ237" s="583">
        <f>VLOOKUP($H237,Nutrition_tables!$A:$AF,30,FALSE)*$Q237/100</f>
        <v>-2.0000000000000001E-4</v>
      </c>
      <c r="AR237" s="583">
        <f>VLOOKUP($H237,Nutrition_tables!$A:$AF,31,FALSE)*$Q237/100</f>
        <v>-2E-3</v>
      </c>
      <c r="AS237" s="549">
        <f>VLOOKUP($H237,Nutrition_tables!$A:$AF,32,FALSE)*$Q237/100</f>
        <v>-2.0000000000000001E-4</v>
      </c>
      <c r="AT237" s="583">
        <f>IF(H237="Select ingredient:","",IF(G237="Select food category:","",IFERROR(VLOOKUP($H237,Ingredient_prices!$E:$W,17,FALSE)*$Q237/1000,"not bought")))</f>
        <v>6.7374999999999998</v>
      </c>
      <c r="AU237" s="583">
        <f>IF(H237="Select ingredient:","",IF(G237="Select food category:","",IFERROR(VLOOKUP($H237,Ingredient_prices!$E:$W,18,FALSE)*$Q237/1000,"not bought")))</f>
        <v>6.7374999999999998</v>
      </c>
      <c r="AV237" s="583">
        <f t="shared" si="558"/>
        <v>155.85012467997504</v>
      </c>
      <c r="AW237" s="583">
        <f t="shared" si="559"/>
        <v>26.150020919995814</v>
      </c>
      <c r="AX237" s="583">
        <f t="shared" si="560"/>
        <v>7.5000059999988</v>
      </c>
      <c r="AY237" s="583">
        <f t="shared" si="561"/>
        <v>3.00000239999952</v>
      </c>
      <c r="AZ237" s="583">
        <f t="shared" si="562"/>
        <v>-2.0000015999996801E-3</v>
      </c>
      <c r="BA237" s="583">
        <f t="shared" si="563"/>
        <v>-2.0000015999996801E-3</v>
      </c>
      <c r="BB237" s="583">
        <f t="shared" si="564"/>
        <v>-2.0000015999996801E-3</v>
      </c>
      <c r="BC237" s="583">
        <f t="shared" si="565"/>
        <v>-2.0000015999996801E-3</v>
      </c>
      <c r="BD237" s="583">
        <f t="shared" si="566"/>
        <v>-2.0000015999996801E-3</v>
      </c>
      <c r="BE237" s="583">
        <f t="shared" si="567"/>
        <v>-2.0000015999996801E-3</v>
      </c>
      <c r="BF237" s="583">
        <f t="shared" si="568"/>
        <v>-2.0000015999996801E-3</v>
      </c>
      <c r="BG237" s="583">
        <f t="shared" si="569"/>
        <v>-2.0000015999996801E-3</v>
      </c>
      <c r="BH237" s="583">
        <f t="shared" si="570"/>
        <v>-2.0000015999996801E-3</v>
      </c>
      <c r="BI237" s="583">
        <f t="shared" si="571"/>
        <v>-2.0000015999996798E-4</v>
      </c>
      <c r="BJ237" s="583">
        <f t="shared" si="572"/>
        <v>-2.0000015999996801E-3</v>
      </c>
      <c r="BK237" s="583">
        <f t="shared" si="573"/>
        <v>-2.0000015999996801E-3</v>
      </c>
      <c r="BL237" s="583">
        <f t="shared" si="574"/>
        <v>-2.0000015999996801E-3</v>
      </c>
      <c r="BM237" s="583">
        <f t="shared" si="575"/>
        <v>-2.0000015999996801E-3</v>
      </c>
      <c r="BN237" s="583">
        <f t="shared" si="576"/>
        <v>-2.0000015999996801E-3</v>
      </c>
      <c r="BO237" s="583">
        <f t="shared" si="577"/>
        <v>-2.0000015999996801E-3</v>
      </c>
      <c r="BP237" s="583">
        <f t="shared" si="578"/>
        <v>-2.0000015999996798E-4</v>
      </c>
      <c r="BQ237" s="583">
        <f t="shared" si="579"/>
        <v>-2.0000015999996801E-3</v>
      </c>
      <c r="BR237" s="583">
        <f t="shared" si="580"/>
        <v>-2.0000015999996798E-4</v>
      </c>
    </row>
    <row r="238" spans="1:70" s="229" customFormat="1" ht="15" customHeight="1">
      <c r="A238" s="587"/>
      <c r="D238" s="406"/>
      <c r="E238" s="576">
        <f t="shared" ref="E238:E247" si="581">IF(E$236&gt;0,E$236,"")</f>
        <v>100</v>
      </c>
      <c r="F238" s="85"/>
      <c r="G238" s="406" t="s">
        <v>3142</v>
      </c>
      <c r="H238" s="578" t="s">
        <v>3280</v>
      </c>
      <c r="I238" s="85">
        <v>20</v>
      </c>
      <c r="J238" s="682">
        <v>1</v>
      </c>
      <c r="K238" s="579">
        <f t="shared" si="555"/>
        <v>2.2000000000000002</v>
      </c>
      <c r="L238" s="580">
        <f>IF(H238="Select ingredient:","",IF(G238="","",_xlfn.IFNA(VLOOKUP($H238,Ingredient_prices!$E:$U,16,FALSE),0)))</f>
        <v>110.4</v>
      </c>
      <c r="M238" s="844"/>
      <c r="N238" s="844"/>
      <c r="O238" s="588"/>
      <c r="P238" s="589"/>
      <c r="Q238" s="583">
        <f t="shared" si="556"/>
        <v>20</v>
      </c>
      <c r="R238" s="583">
        <f>VLOOKUP($H238,'CO2_emission+%_food_waste'!$A:$K,6,FALSE)*$Q238/100</f>
        <v>-2.0000000000000002E-5</v>
      </c>
      <c r="S238" s="583">
        <f t="shared" si="557"/>
        <v>20.000019999999999</v>
      </c>
      <c r="T238" s="583">
        <f>IF(H238="Select ingredient:","",IF(G238="Select food category:","",_xlfn.IFNA(VLOOKUP($H238,Ingredient_prices!$E:$U,16,FALSE)*$Q238/1000,"not bought")))</f>
        <v>2.2080000000000002</v>
      </c>
      <c r="U238" s="583">
        <f>IF(G238="Select food category:","",_xlfn.IFNA(VLOOKUP($H238,Ingredient_prices!$E:$U,16,FALSE)*$R238/1000,"not bought"))</f>
        <v>-2.2080000000000003E-6</v>
      </c>
      <c r="V238" s="549">
        <f>VLOOKUP($H238,'CO2_emission+%_food_waste'!$A:$K,4,FALSE)*$Q238</f>
        <v>24</v>
      </c>
      <c r="W238" s="583">
        <f>VLOOKUP($H238,Nutrition_tables!$A:$N,10,FALSE)*$Q238/100</f>
        <v>22.8</v>
      </c>
      <c r="X238" s="583">
        <f>VLOOKUP($H238,Nutrition_tables!$A:$N,11,FALSE)*$Q238/100</f>
        <v>4.34</v>
      </c>
      <c r="Y238" s="583">
        <f>VLOOKUP($H238,Nutrition_tables!$A:$N,12,FALSE)*$Q238/100</f>
        <v>0.6</v>
      </c>
      <c r="Z238" s="583">
        <f>VLOOKUP($H238,Nutrition_tables!$A:$N,14,FALSE)*$Q238/100</f>
        <v>0.48</v>
      </c>
      <c r="AA238" s="583">
        <f>VLOOKUP($H238,Nutrition_tables!$A:$AF,13,FALSE)*$Q238/100</f>
        <v>0.66</v>
      </c>
      <c r="AB238" s="549">
        <f>VLOOKUP($H238,Nutrition_tables!$A:$AF,15,FALSE)*$Q238/100</f>
        <v>8.8000000000000009E-2</v>
      </c>
      <c r="AC238" s="583">
        <f>VLOOKUP($H238,Nutrition_tables!$A:$AF,16,FALSE)*$Q238/100</f>
        <v>218</v>
      </c>
      <c r="AD238" s="583">
        <f>VLOOKUP($H238,Nutrition_tables!$A:$AF,17,FALSE)*$Q238/100</f>
        <v>75.2</v>
      </c>
      <c r="AE238" s="583">
        <f>VLOOKUP($H238,Nutrition_tables!$A:$AF,18,FALSE)*$Q238/100</f>
        <v>3.7</v>
      </c>
      <c r="AF238" s="583">
        <f>VLOOKUP($H238,Nutrition_tables!$A:$AF,19,FALSE)*$Q238/100</f>
        <v>3.6</v>
      </c>
      <c r="AG238" s="583">
        <f>VLOOKUP($H238,Nutrition_tables!$A:$AF,20,FALSE)*$Q238/100</f>
        <v>6.88</v>
      </c>
      <c r="AH238" s="583">
        <f>VLOOKUP($H238,Nutrition_tables!$A:$AF,21,FALSE)*$Q238/100</f>
        <v>0.12</v>
      </c>
      <c r="AI238" s="583">
        <f>VLOOKUP($H238,Nutrition_tables!$A:$AF,22,FALSE)*$Q238/100</f>
        <v>0.04</v>
      </c>
      <c r="AJ238" s="549">
        <f>VLOOKUP($H238,Nutrition_tables!$A:$AF,23,FALSE)*$Q238/100</f>
        <v>1.32E-2</v>
      </c>
      <c r="AK238" s="583">
        <f>VLOOKUP($H238,Nutrition_tables!$A:$AF,24,FALSE)*$Q238/100</f>
        <v>9.98</v>
      </c>
      <c r="AL238" s="583">
        <f>VLOOKUP($H238,Nutrition_tables!$A:$AF,25,FALSE)*$Q238/100</f>
        <v>8.0000000000000002E-3</v>
      </c>
      <c r="AM238" s="583">
        <f>VLOOKUP($H238,Nutrition_tables!$A:$AF,26,FALSE)*$Q238/100</f>
        <v>0.01</v>
      </c>
      <c r="AN238" s="583">
        <f>VLOOKUP($H238,Nutrition_tables!$A:$AF,27,FALSE)*$Q238/100</f>
        <v>0.12</v>
      </c>
      <c r="AO238" s="583">
        <f>VLOOKUP($H238,Nutrition_tables!$A:$AF,28,FALSE)*$Q238/100</f>
        <v>3.1200000000000002E-2</v>
      </c>
      <c r="AP238" s="583">
        <f>VLOOKUP($H238,Nutrition_tables!$A:$AF,29,FALSE)*$Q238/100</f>
        <v>1.8</v>
      </c>
      <c r="AQ238" s="583">
        <f>VLOOKUP($H238,Nutrition_tables!$A:$AF,30,FALSE)*$Q238/100</f>
        <v>0</v>
      </c>
      <c r="AR238" s="583">
        <f>VLOOKUP($H238,Nutrition_tables!$A:$AF,31,FALSE)*$Q238/100</f>
        <v>0.78</v>
      </c>
      <c r="AS238" s="549">
        <f>VLOOKUP($H238,Nutrition_tables!$A:$AF,32,FALSE)*$Q238/100</f>
        <v>0</v>
      </c>
      <c r="AT238" s="583">
        <f>IF(H238="Select ingredient:","",IF(G238="Select food category:","",IFERROR(VLOOKUP($H238,Ingredient_prices!$E:$W,17,FALSE)*$Q238/1000,"not bought")))</f>
        <v>2.2080000000000002</v>
      </c>
      <c r="AU238" s="583">
        <f>IF(H238="Select ingredient:","",IF(G238="Select food category:","",IFERROR(VLOOKUP($H238,Ingredient_prices!$E:$W,18,FALSE)*$Q238/1000,"not bought")))</f>
        <v>2.2080000000000002</v>
      </c>
      <c r="AV238" s="583">
        <f t="shared" si="558"/>
        <v>22.8000113999943</v>
      </c>
      <c r="AW238" s="583">
        <f t="shared" si="559"/>
        <v>4.3400021699989146</v>
      </c>
      <c r="AX238" s="583">
        <f t="shared" si="560"/>
        <v>0.60000029999985005</v>
      </c>
      <c r="AY238" s="583">
        <f t="shared" si="561"/>
        <v>0.48000023999988001</v>
      </c>
      <c r="AZ238" s="583">
        <f t="shared" si="562"/>
        <v>0.66000032999983504</v>
      </c>
      <c r="BA238" s="583">
        <f t="shared" si="563"/>
        <v>8.8000043999978017E-2</v>
      </c>
      <c r="BB238" s="583">
        <f t="shared" si="564"/>
        <v>218.0001089999455</v>
      </c>
      <c r="BC238" s="583">
        <f t="shared" si="565"/>
        <v>75.200037599981201</v>
      </c>
      <c r="BD238" s="583">
        <f t="shared" si="566"/>
        <v>3.700001849999075</v>
      </c>
      <c r="BE238" s="583">
        <f t="shared" si="567"/>
        <v>3.6000017999991001</v>
      </c>
      <c r="BF238" s="583">
        <f t="shared" si="568"/>
        <v>6.880003439998279</v>
      </c>
      <c r="BG238" s="583">
        <f t="shared" si="569"/>
        <v>0.12000005999997</v>
      </c>
      <c r="BH238" s="583">
        <f t="shared" si="570"/>
        <v>4.0000019999989998E-2</v>
      </c>
      <c r="BI238" s="583">
        <f t="shared" si="571"/>
        <v>1.32000065999967E-2</v>
      </c>
      <c r="BJ238" s="583">
        <f t="shared" si="572"/>
        <v>9.9800049899975054</v>
      </c>
      <c r="BK238" s="583">
        <f t="shared" si="573"/>
        <v>8.0000039999979997E-3</v>
      </c>
      <c r="BL238" s="583">
        <f t="shared" si="574"/>
        <v>1.00000049999975E-2</v>
      </c>
      <c r="BM238" s="583">
        <f t="shared" si="575"/>
        <v>0.12000005999997</v>
      </c>
      <c r="BN238" s="583">
        <f t="shared" si="576"/>
        <v>3.1200015599992199E-2</v>
      </c>
      <c r="BO238" s="583">
        <f t="shared" si="577"/>
        <v>1.80000089999955</v>
      </c>
      <c r="BP238" s="583">
        <f t="shared" si="578"/>
        <v>0</v>
      </c>
      <c r="BQ238" s="583">
        <f t="shared" si="579"/>
        <v>0.78000038999980503</v>
      </c>
      <c r="BR238" s="583">
        <f t="shared" si="580"/>
        <v>0</v>
      </c>
    </row>
    <row r="239" spans="1:70" s="229" customFormat="1" ht="15" customHeight="1">
      <c r="A239" s="587"/>
      <c r="D239" s="85"/>
      <c r="E239" s="576">
        <f t="shared" si="581"/>
        <v>100</v>
      </c>
      <c r="F239" s="85"/>
      <c r="G239" s="406" t="s">
        <v>3070</v>
      </c>
      <c r="H239" s="578" t="s">
        <v>3192</v>
      </c>
      <c r="I239" s="85">
        <v>20</v>
      </c>
      <c r="J239" s="682">
        <v>1</v>
      </c>
      <c r="K239" s="579">
        <f t="shared" si="555"/>
        <v>2.2000000000000002</v>
      </c>
      <c r="L239" s="580">
        <f>IF(H239="Select ingredient:","",IF(G239="","",_xlfn.IFNA(VLOOKUP($H239,Ingredient_prices!$E:$U,16,FALSE),0)))</f>
        <v>300</v>
      </c>
      <c r="M239" s="844"/>
      <c r="N239" s="844"/>
      <c r="O239" s="588"/>
      <c r="P239" s="589"/>
      <c r="Q239" s="583">
        <f t="shared" si="556"/>
        <v>20</v>
      </c>
      <c r="R239" s="583">
        <f>VLOOKUP($H239,'CO2_emission+%_food_waste'!$A:$K,6,FALSE)*$Q239/100</f>
        <v>-2.0000000000000002E-5</v>
      </c>
      <c r="S239" s="583">
        <f t="shared" si="557"/>
        <v>20.000019999999999</v>
      </c>
      <c r="T239" s="583">
        <f>IF(H239="Select ingredient:","",IF(G239="Select food category:","",_xlfn.IFNA(VLOOKUP($H239,Ingredient_prices!$E:$U,16,FALSE)*$Q239/1000,"not bought")))</f>
        <v>6</v>
      </c>
      <c r="U239" s="583">
        <f>IF(G239="Select food category:","",_xlfn.IFNA(VLOOKUP($H239,Ingredient_prices!$E:$U,16,FALSE)*$R239/1000,"not bought"))</f>
        <v>-6.0000000000000002E-6</v>
      </c>
      <c r="V239" s="549">
        <f>VLOOKUP($H239,'CO2_emission+%_food_waste'!$A:$K,4,FALSE)*$Q239</f>
        <v>98</v>
      </c>
      <c r="W239" s="583">
        <f>VLOOKUP($H239,Nutrition_tables!$A:$N,10,FALSE)*$Q239/100</f>
        <v>22.4</v>
      </c>
      <c r="X239" s="583">
        <f>VLOOKUP($H239,Nutrition_tables!$A:$N,11,FALSE)*$Q239/100</f>
        <v>1.22</v>
      </c>
      <c r="Y239" s="583">
        <f>VLOOKUP($H239,Nutrition_tables!$A:$N,12,FALSE)*$Q239/100</f>
        <v>1.62</v>
      </c>
      <c r="Z239" s="583">
        <f>VLOOKUP($H239,Nutrition_tables!$A:$N,14,FALSE)*$Q239/100</f>
        <v>1.24</v>
      </c>
      <c r="AA239" s="583">
        <f>VLOOKUP($H239,Nutrition_tables!$A:$AF,13,FALSE)*$Q239/100</f>
        <v>-8.0000000000000004E-4</v>
      </c>
      <c r="AB239" s="549">
        <f>VLOOKUP($H239,Nutrition_tables!$A:$AF,15,FALSE)*$Q239/100</f>
        <v>-8.0000000000000004E-4</v>
      </c>
      <c r="AC239" s="583">
        <f>VLOOKUP($H239,Nutrition_tables!$A:$AF,16,FALSE)*$Q239/100</f>
        <v>-8.0000000000000004E-4</v>
      </c>
      <c r="AD239" s="583">
        <f>VLOOKUP($H239,Nutrition_tables!$A:$AF,17,FALSE)*$Q239/100</f>
        <v>-8.0000000000000004E-4</v>
      </c>
      <c r="AE239" s="583">
        <f>VLOOKUP($H239,Nutrition_tables!$A:$AF,18,FALSE)*$Q239/100</f>
        <v>-8.0000000000000004E-4</v>
      </c>
      <c r="AF239" s="583">
        <f>VLOOKUP($H239,Nutrition_tables!$A:$AF,19,FALSE)*$Q239/100</f>
        <v>-8.0000000000000004E-4</v>
      </c>
      <c r="AG239" s="583">
        <f>VLOOKUP($H239,Nutrition_tables!$A:$AF,20,FALSE)*$Q239/100</f>
        <v>-8.0000000000000004E-4</v>
      </c>
      <c r="AH239" s="583">
        <f>VLOOKUP($H239,Nutrition_tables!$A:$AF,21,FALSE)*$Q239/100</f>
        <v>-8.0000000000000004E-4</v>
      </c>
      <c r="AI239" s="583">
        <f>VLOOKUP($H239,Nutrition_tables!$A:$AF,22,FALSE)*$Q239/100</f>
        <v>-8.0000000000000004E-4</v>
      </c>
      <c r="AJ239" s="549">
        <f>VLOOKUP($H239,Nutrition_tables!$A:$AF,23,FALSE)*$Q239/100</f>
        <v>-8.0000000000000007E-5</v>
      </c>
      <c r="AK239" s="583">
        <f>VLOOKUP($H239,Nutrition_tables!$A:$AF,24,FALSE)*$Q239/100</f>
        <v>-8.0000000000000004E-4</v>
      </c>
      <c r="AL239" s="583">
        <f>VLOOKUP($H239,Nutrition_tables!$A:$AF,25,FALSE)*$Q239/100</f>
        <v>-8.0000000000000004E-4</v>
      </c>
      <c r="AM239" s="583">
        <f>VLOOKUP($H239,Nutrition_tables!$A:$AF,26,FALSE)*$Q239/100</f>
        <v>-8.0000000000000004E-4</v>
      </c>
      <c r="AN239" s="583">
        <f>VLOOKUP($H239,Nutrition_tables!$A:$AF,27,FALSE)*$Q239/100</f>
        <v>-8.0000000000000004E-4</v>
      </c>
      <c r="AO239" s="583">
        <f>VLOOKUP($H239,Nutrition_tables!$A:$AF,28,FALSE)*$Q239/100</f>
        <v>-8.0000000000000004E-4</v>
      </c>
      <c r="AP239" s="583">
        <f>VLOOKUP($H239,Nutrition_tables!$A:$AF,29,FALSE)*$Q239/100</f>
        <v>-8.0000000000000004E-4</v>
      </c>
      <c r="AQ239" s="583">
        <f>VLOOKUP($H239,Nutrition_tables!$A:$AF,30,FALSE)*$Q239/100</f>
        <v>-8.0000000000000007E-5</v>
      </c>
      <c r="AR239" s="583">
        <f>VLOOKUP($H239,Nutrition_tables!$A:$AF,31,FALSE)*$Q239/100</f>
        <v>-8.0000000000000004E-4</v>
      </c>
      <c r="AS239" s="549">
        <f>VLOOKUP($H239,Nutrition_tables!$A:$AF,32,FALSE)*$Q239/100</f>
        <v>-8.0000000000000007E-5</v>
      </c>
      <c r="AT239" s="583">
        <f>IF(H239="Select ingredient:","",IF(G239="Select food category:","",IFERROR(VLOOKUP($H239,Ingredient_prices!$E:$W,17,FALSE)*$Q239/1000,"not bought")))</f>
        <v>6</v>
      </c>
      <c r="AU239" s="583">
        <f>IF(H239="Select ingredient:","",IF(G239="Select food category:","",IFERROR(VLOOKUP($H239,Ingredient_prices!$E:$W,18,FALSE)*$Q239/1000,"not bought")))</f>
        <v>6</v>
      </c>
      <c r="AV239" s="583">
        <f t="shared" si="558"/>
        <v>22.400011199994399</v>
      </c>
      <c r="AW239" s="583">
        <f t="shared" si="559"/>
        <v>1.220000609999695</v>
      </c>
      <c r="AX239" s="583">
        <f t="shared" si="560"/>
        <v>1.6200008099995951</v>
      </c>
      <c r="AY239" s="583">
        <f t="shared" si="561"/>
        <v>1.24000061999969</v>
      </c>
      <c r="AZ239" s="583">
        <f t="shared" si="562"/>
        <v>-8.0000039999979992E-4</v>
      </c>
      <c r="BA239" s="583">
        <f t="shared" si="563"/>
        <v>-8.0000039999979992E-4</v>
      </c>
      <c r="BB239" s="583">
        <f t="shared" si="564"/>
        <v>-8.0000039999979992E-4</v>
      </c>
      <c r="BC239" s="583">
        <f t="shared" si="565"/>
        <v>-8.0000039999979992E-4</v>
      </c>
      <c r="BD239" s="583">
        <f t="shared" si="566"/>
        <v>-8.0000039999979992E-4</v>
      </c>
      <c r="BE239" s="583">
        <f t="shared" si="567"/>
        <v>-8.0000039999979992E-4</v>
      </c>
      <c r="BF239" s="583">
        <f t="shared" si="568"/>
        <v>-8.0000039999979992E-4</v>
      </c>
      <c r="BG239" s="583">
        <f t="shared" si="569"/>
        <v>-8.0000039999979992E-4</v>
      </c>
      <c r="BH239" s="583">
        <f t="shared" si="570"/>
        <v>-8.0000039999979992E-4</v>
      </c>
      <c r="BI239" s="583">
        <f t="shared" si="571"/>
        <v>-8.0000039999980006E-5</v>
      </c>
      <c r="BJ239" s="583">
        <f t="shared" si="572"/>
        <v>-8.0000039999979992E-4</v>
      </c>
      <c r="BK239" s="583">
        <f t="shared" si="573"/>
        <v>-8.0000039999979992E-4</v>
      </c>
      <c r="BL239" s="583">
        <f t="shared" si="574"/>
        <v>-8.0000039999979992E-4</v>
      </c>
      <c r="BM239" s="583">
        <f t="shared" si="575"/>
        <v>-8.0000039999979992E-4</v>
      </c>
      <c r="BN239" s="583">
        <f t="shared" si="576"/>
        <v>-8.0000039999979992E-4</v>
      </c>
      <c r="BO239" s="583">
        <f t="shared" si="577"/>
        <v>-8.0000039999979992E-4</v>
      </c>
      <c r="BP239" s="583">
        <f t="shared" si="578"/>
        <v>-8.0000039999980006E-5</v>
      </c>
      <c r="BQ239" s="583">
        <f t="shared" si="579"/>
        <v>-8.0000039999979992E-4</v>
      </c>
      <c r="BR239" s="583">
        <f t="shared" si="580"/>
        <v>-8.0000039999980006E-5</v>
      </c>
    </row>
    <row r="240" spans="1:70" s="229" customFormat="1" ht="15" customHeight="1">
      <c r="A240" s="587"/>
      <c r="D240" s="85"/>
      <c r="E240" s="576">
        <f t="shared" si="581"/>
        <v>100</v>
      </c>
      <c r="F240" s="85"/>
      <c r="G240" s="406" t="s">
        <v>3085</v>
      </c>
      <c r="H240" s="578" t="s">
        <v>3460</v>
      </c>
      <c r="I240" s="85">
        <v>20</v>
      </c>
      <c r="J240" s="682">
        <v>1</v>
      </c>
      <c r="K240" s="579">
        <f t="shared" si="555"/>
        <v>2.2000000000000002</v>
      </c>
      <c r="L240" s="580">
        <f>IF(H240="Select ingredient:","",IF(G240="","",_xlfn.IFNA(VLOOKUP($H240,Ingredient_prices!$E:$U,16,FALSE),0)))</f>
        <v>570</v>
      </c>
      <c r="M240" s="844"/>
      <c r="N240" s="844"/>
      <c r="O240" s="588"/>
      <c r="P240" s="589"/>
      <c r="Q240" s="583">
        <f t="shared" si="556"/>
        <v>20</v>
      </c>
      <c r="R240" s="583">
        <f>VLOOKUP($H240,'CO2_emission+%_food_waste'!$A:$K,6,FALSE)*$Q240/100</f>
        <v>5.5</v>
      </c>
      <c r="S240" s="583">
        <f t="shared" si="557"/>
        <v>14.5</v>
      </c>
      <c r="T240" s="583">
        <f>IF(H240="Select ingredient:","",IF(G240="Select food category:","",_xlfn.IFNA(VLOOKUP($H240,Ingredient_prices!$E:$U,16,FALSE)*$Q240/1000,"not bought")))</f>
        <v>11.4</v>
      </c>
      <c r="U240" s="583">
        <f>IF(G240="Select food category:","",_xlfn.IFNA(VLOOKUP($H240,Ingredient_prices!$E:$U,16,FALSE)*$R240/1000,"not bought"))</f>
        <v>3.1349999999999998</v>
      </c>
      <c r="V240" s="549">
        <f>VLOOKUP($H240,'CO2_emission+%_food_waste'!$A:$K,4,FALSE)*$Q240</f>
        <v>162</v>
      </c>
      <c r="W240" s="583">
        <f>VLOOKUP($H240,Nutrition_tables!$A:$N,10,FALSE)*$Q240/100</f>
        <v>59.2</v>
      </c>
      <c r="X240" s="583">
        <f>VLOOKUP($H240,Nutrition_tables!$A:$N,11,FALSE)*$Q240/100</f>
        <v>0.28000000000000003</v>
      </c>
      <c r="Y240" s="583">
        <f>VLOOKUP($H240,Nutrition_tables!$A:$N,12,FALSE)*$Q240/100</f>
        <v>5.4</v>
      </c>
      <c r="Z240" s="583">
        <f>VLOOKUP($H240,Nutrition_tables!$A:$N,14,FALSE)*$Q240/100</f>
        <v>6.6</v>
      </c>
      <c r="AA240" s="583">
        <f>VLOOKUP($H240,Nutrition_tables!$A:$AF,13,FALSE)*$Q240/100</f>
        <v>0</v>
      </c>
      <c r="AB240" s="549">
        <f>VLOOKUP($H240,Nutrition_tables!$A:$AF,15,FALSE)*$Q240/100</f>
        <v>4.4000000000000004</v>
      </c>
      <c r="AC240" s="583">
        <f>VLOOKUP($H240,Nutrition_tables!$A:$AF,16,FALSE)*$Q240/100</f>
        <v>157.19999999999999</v>
      </c>
      <c r="AD240" s="583">
        <f>VLOOKUP($H240,Nutrition_tables!$A:$AF,17,FALSE)*$Q240/100</f>
        <v>13</v>
      </c>
      <c r="AE240" s="583">
        <f>VLOOKUP($H240,Nutrition_tables!$A:$AF,18,FALSE)*$Q240/100</f>
        <v>140</v>
      </c>
      <c r="AF240" s="583">
        <f>VLOOKUP($H240,Nutrition_tables!$A:$AF,19,FALSE)*$Q240/100</f>
        <v>6.8</v>
      </c>
      <c r="AG240" s="583">
        <f>VLOOKUP($H240,Nutrition_tables!$A:$AF,20,FALSE)*$Q240/100</f>
        <v>106</v>
      </c>
      <c r="AH240" s="583">
        <f>VLOOKUP($H240,Nutrition_tables!$A:$AF,21,FALSE)*$Q240/100</f>
        <v>7.400000000000001E-2</v>
      </c>
      <c r="AI240" s="583">
        <f>VLOOKUP($H240,Nutrition_tables!$A:$AF,22,FALSE)*$Q240/100</f>
        <v>0.82</v>
      </c>
      <c r="AJ240" s="549">
        <f>VLOOKUP($H240,Nutrition_tables!$A:$AF,23,FALSE)*$Q240/100</f>
        <v>0.17199999999999999</v>
      </c>
      <c r="AK240" s="583">
        <f>VLOOKUP($H240,Nutrition_tables!$A:$AF,24,FALSE)*$Q240/100</f>
        <v>5.2000000000000005E-2</v>
      </c>
      <c r="AL240" s="583">
        <f>VLOOKUP($H240,Nutrition_tables!$A:$AF,25,FALSE)*$Q240/100</f>
        <v>1.4000000000000002E-2</v>
      </c>
      <c r="AM240" s="583">
        <f>VLOOKUP($H240,Nutrition_tables!$A:$AF,26,FALSE)*$Q240/100</f>
        <v>6.8000000000000005E-2</v>
      </c>
      <c r="AN240" s="583">
        <f>VLOOKUP($H240,Nutrition_tables!$A:$AF,27,FALSE)*$Q240/100</f>
        <v>0.02</v>
      </c>
      <c r="AO240" s="583">
        <f>VLOOKUP($H240,Nutrition_tables!$A:$AF,28,FALSE)*$Q240/100</f>
        <v>1.7999999999999999E-2</v>
      </c>
      <c r="AP240" s="583">
        <f>VLOOKUP($H240,Nutrition_tables!$A:$AF,29,FALSE)*$Q240/100</f>
        <v>4</v>
      </c>
      <c r="AQ240" s="583">
        <f>VLOOKUP($H240,Nutrition_tables!$A:$AF,30,FALSE)*$Q240/100</f>
        <v>0.4</v>
      </c>
      <c r="AR240" s="583">
        <f>VLOOKUP($H240,Nutrition_tables!$A:$AF,31,FALSE)*$Q240/100</f>
        <v>0</v>
      </c>
      <c r="AS240" s="549">
        <f>VLOOKUP($H240,Nutrition_tables!$A:$AF,32,FALSE)*$Q240/100</f>
        <v>0.13</v>
      </c>
      <c r="AT240" s="583">
        <f>IF(H240="Select ingredient:","",IF(G240="Select food category:","",IFERROR(VLOOKUP($H240,Ingredient_prices!$E:$W,17,FALSE)*$Q240/1000,"not bought")))</f>
        <v>11.4</v>
      </c>
      <c r="AU240" s="583">
        <f>IF(H240="Select ingredient:","",IF(G240="Select food category:","",IFERROR(VLOOKUP($H240,Ingredient_prices!$E:$W,18,FALSE)*$Q240/1000,"not bought")))</f>
        <v>11.4</v>
      </c>
      <c r="AV240" s="583">
        <f t="shared" si="558"/>
        <v>42.919978540010739</v>
      </c>
      <c r="AW240" s="583">
        <f t="shared" si="559"/>
        <v>0.20299989850005079</v>
      </c>
      <c r="AX240" s="583">
        <f t="shared" si="560"/>
        <v>3.9149980425009794</v>
      </c>
      <c r="AY240" s="583">
        <f t="shared" si="561"/>
        <v>4.7849976075011957</v>
      </c>
      <c r="AZ240" s="583">
        <f t="shared" si="562"/>
        <v>0</v>
      </c>
      <c r="BA240" s="583">
        <f t="shared" si="563"/>
        <v>3.1899984050007979</v>
      </c>
      <c r="BB240" s="583">
        <f t="shared" si="564"/>
        <v>113.96994301502848</v>
      </c>
      <c r="BC240" s="583">
        <f t="shared" si="565"/>
        <v>9.424995287502357</v>
      </c>
      <c r="BD240" s="583">
        <f t="shared" si="566"/>
        <v>101.49994925002538</v>
      </c>
      <c r="BE240" s="583">
        <f t="shared" si="567"/>
        <v>4.9299975350012319</v>
      </c>
      <c r="BF240" s="583">
        <f t="shared" si="568"/>
        <v>76.849961575019208</v>
      </c>
      <c r="BG240" s="583">
        <f t="shared" si="569"/>
        <v>5.3649973175013424E-2</v>
      </c>
      <c r="BH240" s="583">
        <f t="shared" si="570"/>
        <v>0.59449970275014863</v>
      </c>
      <c r="BI240" s="583">
        <f t="shared" si="571"/>
        <v>0.12469993765003116</v>
      </c>
      <c r="BJ240" s="583">
        <f t="shared" si="572"/>
        <v>3.7699981150009429E-2</v>
      </c>
      <c r="BK240" s="583">
        <f t="shared" si="573"/>
        <v>1.0149994925002541E-2</v>
      </c>
      <c r="BL240" s="583">
        <f t="shared" si="574"/>
        <v>4.9299975350012328E-2</v>
      </c>
      <c r="BM240" s="583">
        <f t="shared" si="575"/>
        <v>1.4499992750003625E-2</v>
      </c>
      <c r="BN240" s="583">
        <f t="shared" si="576"/>
        <v>1.304999347500326E-2</v>
      </c>
      <c r="BO240" s="583">
        <f t="shared" si="577"/>
        <v>2.899998550000725</v>
      </c>
      <c r="BP240" s="583">
        <f t="shared" si="578"/>
        <v>0.28999985500007253</v>
      </c>
      <c r="BQ240" s="583">
        <f t="shared" si="579"/>
        <v>0</v>
      </c>
      <c r="BR240" s="583">
        <f t="shared" si="580"/>
        <v>9.4249952875023565E-2</v>
      </c>
    </row>
    <row r="241" spans="1:70" s="229" customFormat="1" ht="15" customHeight="1">
      <c r="A241" s="587"/>
      <c r="D241" s="85"/>
      <c r="E241" s="576">
        <f t="shared" si="581"/>
        <v>100</v>
      </c>
      <c r="F241" s="85"/>
      <c r="G241" s="406" t="s">
        <v>3054</v>
      </c>
      <c r="H241" s="1262" t="s">
        <v>3055</v>
      </c>
      <c r="I241" s="85">
        <v>0</v>
      </c>
      <c r="J241" s="682">
        <v>1</v>
      </c>
      <c r="K241" s="579" t="str">
        <f t="shared" si="555"/>
        <v/>
      </c>
      <c r="L241" s="580" t="str">
        <f>IF(H241="Select ingredient:","",IF(G241="","",_xlfn.IFNA(VLOOKUP($H241,Ingredient_prices!$E:$U,16,FALSE),0)))</f>
        <v/>
      </c>
      <c r="M241" s="844"/>
      <c r="N241" s="844"/>
      <c r="O241" s="588"/>
      <c r="P241" s="589"/>
      <c r="Q241" s="583">
        <f t="shared" si="556"/>
        <v>0</v>
      </c>
      <c r="R241" s="583">
        <f>VLOOKUP($H241,'CO2_emission+%_food_waste'!$A:$K,6,FALSE)*$Q241/100</f>
        <v>0</v>
      </c>
      <c r="S241" s="583">
        <f t="shared" si="557"/>
        <v>0</v>
      </c>
      <c r="T241" s="583" t="str">
        <f>IF(H241="Select ingredient:","",IF(G241="Select food category:","",_xlfn.IFNA(VLOOKUP($H241,Ingredient_prices!$E:$U,16,FALSE)*$Q241/1000,"not bought")))</f>
        <v/>
      </c>
      <c r="U241" s="583" t="str">
        <f>IF(G241="Select food category:","",_xlfn.IFNA(VLOOKUP($H241,Ingredient_prices!$E:$U,16,FALSE)*$R241/1000,"not bought"))</f>
        <v/>
      </c>
      <c r="V241" s="549">
        <f>VLOOKUP($H241,'CO2_emission+%_food_waste'!$A:$K,4,FALSE)*$Q241</f>
        <v>0</v>
      </c>
      <c r="W241" s="583">
        <f>VLOOKUP($H241,Nutrition_tables!$A:$N,10,FALSE)*$Q241/100</f>
        <v>0</v>
      </c>
      <c r="X241" s="583">
        <f>VLOOKUP($H241,Nutrition_tables!$A:$N,11,FALSE)*$Q241/100</f>
        <v>0</v>
      </c>
      <c r="Y241" s="583">
        <f>VLOOKUP($H241,Nutrition_tables!$A:$N,12,FALSE)*$Q241/100</f>
        <v>0</v>
      </c>
      <c r="Z241" s="583">
        <f>VLOOKUP($H241,Nutrition_tables!$A:$N,14,FALSE)*$Q241/100</f>
        <v>0</v>
      </c>
      <c r="AA241" s="583">
        <f>VLOOKUP($H241,Nutrition_tables!$A:$AF,13,FALSE)*$Q241/100</f>
        <v>0</v>
      </c>
      <c r="AB241" s="549">
        <f>VLOOKUP($H241,Nutrition_tables!$A:$AF,15,FALSE)*$Q241/100</f>
        <v>0</v>
      </c>
      <c r="AC241" s="583">
        <f>VLOOKUP($H241,Nutrition_tables!$A:$AF,16,FALSE)*$Q241/100</f>
        <v>0</v>
      </c>
      <c r="AD241" s="583">
        <f>VLOOKUP($H241,Nutrition_tables!$A:$AF,17,FALSE)*$Q241/100</f>
        <v>0</v>
      </c>
      <c r="AE241" s="583">
        <f>VLOOKUP($H241,Nutrition_tables!$A:$AF,18,FALSE)*$Q241/100</f>
        <v>0</v>
      </c>
      <c r="AF241" s="583">
        <f>VLOOKUP($H241,Nutrition_tables!$A:$AF,19,FALSE)*$Q241/100</f>
        <v>0</v>
      </c>
      <c r="AG241" s="583">
        <f>VLOOKUP($H241,Nutrition_tables!$A:$AF,20,FALSE)*$Q241/100</f>
        <v>0</v>
      </c>
      <c r="AH241" s="583">
        <f>VLOOKUP($H241,Nutrition_tables!$A:$AF,21,FALSE)*$Q241/100</f>
        <v>0</v>
      </c>
      <c r="AI241" s="583">
        <f>VLOOKUP($H241,Nutrition_tables!$A:$AF,22,FALSE)*$Q241/100</f>
        <v>0</v>
      </c>
      <c r="AJ241" s="549">
        <f>VLOOKUP($H241,Nutrition_tables!$A:$AF,23,FALSE)*$Q241/100</f>
        <v>0</v>
      </c>
      <c r="AK241" s="583">
        <f>VLOOKUP($H241,Nutrition_tables!$A:$AF,24,FALSE)*$Q241/100</f>
        <v>0</v>
      </c>
      <c r="AL241" s="583">
        <f>VLOOKUP($H241,Nutrition_tables!$A:$AF,25,FALSE)*$Q241/100</f>
        <v>0</v>
      </c>
      <c r="AM241" s="583">
        <f>VLOOKUP($H241,Nutrition_tables!$A:$AF,26,FALSE)*$Q241/100</f>
        <v>0</v>
      </c>
      <c r="AN241" s="583">
        <f>VLOOKUP($H241,Nutrition_tables!$A:$AF,27,FALSE)*$Q241/100</f>
        <v>0</v>
      </c>
      <c r="AO241" s="583">
        <f>VLOOKUP($H241,Nutrition_tables!$A:$AF,28,FALSE)*$Q241/100</f>
        <v>0</v>
      </c>
      <c r="AP241" s="583">
        <f>VLOOKUP($H241,Nutrition_tables!$A:$AF,29,FALSE)*$Q241/100</f>
        <v>0</v>
      </c>
      <c r="AQ241" s="583">
        <f>VLOOKUP($H241,Nutrition_tables!$A:$AF,30,FALSE)*$Q241/100</f>
        <v>0</v>
      </c>
      <c r="AR241" s="583">
        <f>VLOOKUP($H241,Nutrition_tables!$A:$AF,31,FALSE)*$Q241/100</f>
        <v>0</v>
      </c>
      <c r="AS241" s="549">
        <f>VLOOKUP($H241,Nutrition_tables!$A:$AF,32,FALSE)*$Q241/100</f>
        <v>0</v>
      </c>
      <c r="AT241" s="583" t="str">
        <f>IF(H241="Select ingredient:","",IF(G241="Select food category:","",IFERROR(VLOOKUP($H241,Ingredient_prices!$E:$W,17,FALSE)*$Q241/1000,"not bought")))</f>
        <v/>
      </c>
      <c r="AU241" s="583" t="str">
        <f>IF(H241="Select ingredient:","",IF(G241="Select food category:","",IFERROR(VLOOKUP($H241,Ingredient_prices!$E:$W,18,FALSE)*$Q241/1000,"not bought")))</f>
        <v/>
      </c>
      <c r="AV241" s="583">
        <f t="shared" si="558"/>
        <v>0</v>
      </c>
      <c r="AW241" s="583">
        <f t="shared" si="559"/>
        <v>0</v>
      </c>
      <c r="AX241" s="583">
        <f t="shared" si="560"/>
        <v>0</v>
      </c>
      <c r="AY241" s="583">
        <f t="shared" si="561"/>
        <v>0</v>
      </c>
      <c r="AZ241" s="583">
        <f t="shared" si="562"/>
        <v>0</v>
      </c>
      <c r="BA241" s="583">
        <f t="shared" si="563"/>
        <v>0</v>
      </c>
      <c r="BB241" s="583">
        <f t="shared" si="564"/>
        <v>0</v>
      </c>
      <c r="BC241" s="583">
        <f t="shared" si="565"/>
        <v>0</v>
      </c>
      <c r="BD241" s="583">
        <f t="shared" si="566"/>
        <v>0</v>
      </c>
      <c r="BE241" s="583">
        <f t="shared" si="567"/>
        <v>0</v>
      </c>
      <c r="BF241" s="583">
        <f t="shared" si="568"/>
        <v>0</v>
      </c>
      <c r="BG241" s="583">
        <f t="shared" si="569"/>
        <v>0</v>
      </c>
      <c r="BH241" s="583">
        <f t="shared" si="570"/>
        <v>0</v>
      </c>
      <c r="BI241" s="583">
        <f t="shared" si="571"/>
        <v>0</v>
      </c>
      <c r="BJ241" s="583">
        <f t="shared" si="572"/>
        <v>0</v>
      </c>
      <c r="BK241" s="583">
        <f t="shared" si="573"/>
        <v>0</v>
      </c>
      <c r="BL241" s="583">
        <f t="shared" si="574"/>
        <v>0</v>
      </c>
      <c r="BM241" s="583">
        <f t="shared" si="575"/>
        <v>0</v>
      </c>
      <c r="BN241" s="583">
        <f t="shared" si="576"/>
        <v>0</v>
      </c>
      <c r="BO241" s="583">
        <f t="shared" si="577"/>
        <v>0</v>
      </c>
      <c r="BP241" s="583">
        <f t="shared" si="578"/>
        <v>0</v>
      </c>
      <c r="BQ241" s="583">
        <f t="shared" si="579"/>
        <v>0</v>
      </c>
      <c r="BR241" s="583">
        <f t="shared" si="580"/>
        <v>0</v>
      </c>
    </row>
    <row r="242" spans="1:70" s="229" customFormat="1" ht="15" customHeight="1">
      <c r="A242" s="587"/>
      <c r="D242" s="85"/>
      <c r="E242" s="576">
        <f t="shared" si="581"/>
        <v>100</v>
      </c>
      <c r="F242" s="85"/>
      <c r="G242" s="406" t="s">
        <v>3054</v>
      </c>
      <c r="H242" s="1262" t="s">
        <v>3055</v>
      </c>
      <c r="I242" s="85">
        <v>0</v>
      </c>
      <c r="J242" s="682">
        <v>1</v>
      </c>
      <c r="K242" s="579" t="str">
        <f t="shared" si="555"/>
        <v/>
      </c>
      <c r="L242" s="580" t="str">
        <f>IF(H242="Select ingredient:","",IF(G242="","",_xlfn.IFNA(VLOOKUP($H242,Ingredient_prices!$E:$U,16,FALSE),0)))</f>
        <v/>
      </c>
      <c r="M242" s="844"/>
      <c r="N242" s="844"/>
      <c r="O242" s="588"/>
      <c r="P242" s="589"/>
      <c r="Q242" s="583">
        <f t="shared" si="556"/>
        <v>0</v>
      </c>
      <c r="R242" s="583">
        <f>VLOOKUP($H242,'CO2_emission+%_food_waste'!$A:$K,6,FALSE)*$Q242/100</f>
        <v>0</v>
      </c>
      <c r="S242" s="583">
        <f t="shared" si="557"/>
        <v>0</v>
      </c>
      <c r="T242" s="583" t="str">
        <f>IF(H242="Select ingredient:","",IF(G242="Select food category:","",_xlfn.IFNA(VLOOKUP($H242,Ingredient_prices!$E:$U,16,FALSE)*$Q242/1000,"not bought")))</f>
        <v/>
      </c>
      <c r="U242" s="583" t="str">
        <f>IF(G242="Select food category:","",_xlfn.IFNA(VLOOKUP($H242,Ingredient_prices!$E:$U,16,FALSE)*$R242/1000,"not bought"))</f>
        <v/>
      </c>
      <c r="V242" s="549">
        <f>VLOOKUP($H242,'CO2_emission+%_food_waste'!$A:$K,4,FALSE)*$Q242</f>
        <v>0</v>
      </c>
      <c r="W242" s="583">
        <f>VLOOKUP($H242,Nutrition_tables!$A:$N,10,FALSE)*$Q242/100</f>
        <v>0</v>
      </c>
      <c r="X242" s="583">
        <f>VLOOKUP($H242,Nutrition_tables!$A:$N,11,FALSE)*$Q242/100</f>
        <v>0</v>
      </c>
      <c r="Y242" s="583">
        <f>VLOOKUP($H242,Nutrition_tables!$A:$N,12,FALSE)*$Q242/100</f>
        <v>0</v>
      </c>
      <c r="Z242" s="583">
        <f>VLOOKUP($H242,Nutrition_tables!$A:$N,14,FALSE)*$Q242/100</f>
        <v>0</v>
      </c>
      <c r="AA242" s="583">
        <f>VLOOKUP($H242,Nutrition_tables!$A:$AF,13,FALSE)*$Q242/100</f>
        <v>0</v>
      </c>
      <c r="AB242" s="549">
        <f>VLOOKUP($H242,Nutrition_tables!$A:$AF,15,FALSE)*$Q242/100</f>
        <v>0</v>
      </c>
      <c r="AC242" s="583">
        <f>VLOOKUP($H242,Nutrition_tables!$A:$AF,16,FALSE)*$Q242/100</f>
        <v>0</v>
      </c>
      <c r="AD242" s="583">
        <f>VLOOKUP($H242,Nutrition_tables!$A:$AF,17,FALSE)*$Q242/100</f>
        <v>0</v>
      </c>
      <c r="AE242" s="583">
        <f>VLOOKUP($H242,Nutrition_tables!$A:$AF,18,FALSE)*$Q242/100</f>
        <v>0</v>
      </c>
      <c r="AF242" s="583">
        <f>VLOOKUP($H242,Nutrition_tables!$A:$AF,19,FALSE)*$Q242/100</f>
        <v>0</v>
      </c>
      <c r="AG242" s="583">
        <f>VLOOKUP($H242,Nutrition_tables!$A:$AF,20,FALSE)*$Q242/100</f>
        <v>0</v>
      </c>
      <c r="AH242" s="583">
        <f>VLOOKUP($H242,Nutrition_tables!$A:$AF,21,FALSE)*$Q242/100</f>
        <v>0</v>
      </c>
      <c r="AI242" s="583">
        <f>VLOOKUP($H242,Nutrition_tables!$A:$AF,22,FALSE)*$Q242/100</f>
        <v>0</v>
      </c>
      <c r="AJ242" s="549">
        <f>VLOOKUP($H242,Nutrition_tables!$A:$AF,23,FALSE)*$Q242/100</f>
        <v>0</v>
      </c>
      <c r="AK242" s="583">
        <f>VLOOKUP($H242,Nutrition_tables!$A:$AF,24,FALSE)*$Q242/100</f>
        <v>0</v>
      </c>
      <c r="AL242" s="583">
        <f>VLOOKUP($H242,Nutrition_tables!$A:$AF,25,FALSE)*$Q242/100</f>
        <v>0</v>
      </c>
      <c r="AM242" s="583">
        <f>VLOOKUP($H242,Nutrition_tables!$A:$AF,26,FALSE)*$Q242/100</f>
        <v>0</v>
      </c>
      <c r="AN242" s="583">
        <f>VLOOKUP($H242,Nutrition_tables!$A:$AF,27,FALSE)*$Q242/100</f>
        <v>0</v>
      </c>
      <c r="AO242" s="583">
        <f>VLOOKUP($H242,Nutrition_tables!$A:$AF,28,FALSE)*$Q242/100</f>
        <v>0</v>
      </c>
      <c r="AP242" s="583">
        <f>VLOOKUP($H242,Nutrition_tables!$A:$AF,29,FALSE)*$Q242/100</f>
        <v>0</v>
      </c>
      <c r="AQ242" s="583">
        <f>VLOOKUP($H242,Nutrition_tables!$A:$AF,30,FALSE)*$Q242/100</f>
        <v>0</v>
      </c>
      <c r="AR242" s="583">
        <f>VLOOKUP($H242,Nutrition_tables!$A:$AF,31,FALSE)*$Q242/100</f>
        <v>0</v>
      </c>
      <c r="AS242" s="549">
        <f>VLOOKUP($H242,Nutrition_tables!$A:$AF,32,FALSE)*$Q242/100</f>
        <v>0</v>
      </c>
      <c r="AT242" s="583" t="str">
        <f>IF(H242="Select ingredient:","",IF(G242="Select food category:","",IFERROR(VLOOKUP($H242,Ingredient_prices!$E:$W,17,FALSE)*$Q242/1000,"not bought")))</f>
        <v/>
      </c>
      <c r="AU242" s="583" t="str">
        <f>IF(H242="Select ingredient:","",IF(G242="Select food category:","",IFERROR(VLOOKUP($H242,Ingredient_prices!$E:$W,18,FALSE)*$Q242/1000,"not bought")))</f>
        <v/>
      </c>
      <c r="AV242" s="583">
        <f t="shared" si="558"/>
        <v>0</v>
      </c>
      <c r="AW242" s="583">
        <f t="shared" si="559"/>
        <v>0</v>
      </c>
      <c r="AX242" s="583">
        <f t="shared" si="560"/>
        <v>0</v>
      </c>
      <c r="AY242" s="583">
        <f t="shared" si="561"/>
        <v>0</v>
      </c>
      <c r="AZ242" s="583">
        <f t="shared" si="562"/>
        <v>0</v>
      </c>
      <c r="BA242" s="583">
        <f t="shared" si="563"/>
        <v>0</v>
      </c>
      <c r="BB242" s="583">
        <f t="shared" si="564"/>
        <v>0</v>
      </c>
      <c r="BC242" s="583">
        <f t="shared" si="565"/>
        <v>0</v>
      </c>
      <c r="BD242" s="583">
        <f t="shared" si="566"/>
        <v>0</v>
      </c>
      <c r="BE242" s="583">
        <f t="shared" si="567"/>
        <v>0</v>
      </c>
      <c r="BF242" s="583">
        <f t="shared" si="568"/>
        <v>0</v>
      </c>
      <c r="BG242" s="583">
        <f t="shared" si="569"/>
        <v>0</v>
      </c>
      <c r="BH242" s="583">
        <f t="shared" si="570"/>
        <v>0</v>
      </c>
      <c r="BI242" s="583">
        <f t="shared" si="571"/>
        <v>0</v>
      </c>
      <c r="BJ242" s="583">
        <f t="shared" si="572"/>
        <v>0</v>
      </c>
      <c r="BK242" s="583">
        <f t="shared" si="573"/>
        <v>0</v>
      </c>
      <c r="BL242" s="583">
        <f t="shared" si="574"/>
        <v>0</v>
      </c>
      <c r="BM242" s="583">
        <f t="shared" si="575"/>
        <v>0</v>
      </c>
      <c r="BN242" s="583">
        <f t="shared" si="576"/>
        <v>0</v>
      </c>
      <c r="BO242" s="583">
        <f t="shared" si="577"/>
        <v>0</v>
      </c>
      <c r="BP242" s="583">
        <f t="shared" si="578"/>
        <v>0</v>
      </c>
      <c r="BQ242" s="583">
        <f t="shared" si="579"/>
        <v>0</v>
      </c>
      <c r="BR242" s="583">
        <f t="shared" si="580"/>
        <v>0</v>
      </c>
    </row>
    <row r="243" spans="1:70" s="229" customFormat="1" ht="15" customHeight="1">
      <c r="A243" s="587"/>
      <c r="D243" s="85"/>
      <c r="E243" s="576">
        <f t="shared" si="581"/>
        <v>100</v>
      </c>
      <c r="F243" s="85"/>
      <c r="G243" s="406" t="s">
        <v>3054</v>
      </c>
      <c r="H243" s="1262" t="s">
        <v>3055</v>
      </c>
      <c r="I243" s="85">
        <v>0</v>
      </c>
      <c r="J243" s="682">
        <v>1</v>
      </c>
      <c r="K243" s="579" t="str">
        <f t="shared" si="555"/>
        <v/>
      </c>
      <c r="L243" s="580" t="str">
        <f>IF(H243="Select ingredient:","",IF(G243="","",_xlfn.IFNA(VLOOKUP($H243,Ingredient_prices!$E:$U,16,FALSE),0)))</f>
        <v/>
      </c>
      <c r="M243" s="844"/>
      <c r="N243" s="844"/>
      <c r="O243" s="588"/>
      <c r="P243" s="589"/>
      <c r="Q243" s="583">
        <f t="shared" si="556"/>
        <v>0</v>
      </c>
      <c r="R243" s="583">
        <f>VLOOKUP($H243,'CO2_emission+%_food_waste'!$A:$K,6,FALSE)*$Q243/100</f>
        <v>0</v>
      </c>
      <c r="S243" s="583">
        <f t="shared" si="557"/>
        <v>0</v>
      </c>
      <c r="T243" s="583" t="str">
        <f>IF(H243="Select ingredient:","",IF(G243="Select food category:","",_xlfn.IFNA(VLOOKUP($H243,Ingredient_prices!$E:$U,16,FALSE)*$Q243/1000,"not bought")))</f>
        <v/>
      </c>
      <c r="U243" s="583" t="str">
        <f>IF(G243="Select food category:","",_xlfn.IFNA(VLOOKUP($H243,Ingredient_prices!$E:$U,16,FALSE)*$R243/1000,"not bought"))</f>
        <v/>
      </c>
      <c r="V243" s="549">
        <f>VLOOKUP($H243,'CO2_emission+%_food_waste'!$A:$K,4,FALSE)*$Q243</f>
        <v>0</v>
      </c>
      <c r="W243" s="583">
        <f>VLOOKUP($H243,Nutrition_tables!$A:$N,10,FALSE)*$Q243/100</f>
        <v>0</v>
      </c>
      <c r="X243" s="583">
        <f>VLOOKUP($H243,Nutrition_tables!$A:$N,11,FALSE)*$Q243/100</f>
        <v>0</v>
      </c>
      <c r="Y243" s="583">
        <f>VLOOKUP($H243,Nutrition_tables!$A:$N,12,FALSE)*$Q243/100</f>
        <v>0</v>
      </c>
      <c r="Z243" s="583">
        <f>VLOOKUP($H243,Nutrition_tables!$A:$N,14,FALSE)*$Q243/100</f>
        <v>0</v>
      </c>
      <c r="AA243" s="583">
        <f>VLOOKUP($H243,Nutrition_tables!$A:$AF,13,FALSE)*$Q243/100</f>
        <v>0</v>
      </c>
      <c r="AB243" s="549">
        <f>VLOOKUP($H243,Nutrition_tables!$A:$AF,15,FALSE)*$Q243/100</f>
        <v>0</v>
      </c>
      <c r="AC243" s="583">
        <f>VLOOKUP($H243,Nutrition_tables!$A:$AF,16,FALSE)*$Q243/100</f>
        <v>0</v>
      </c>
      <c r="AD243" s="583">
        <f>VLOOKUP($H243,Nutrition_tables!$A:$AF,17,FALSE)*$Q243/100</f>
        <v>0</v>
      </c>
      <c r="AE243" s="583">
        <f>VLOOKUP($H243,Nutrition_tables!$A:$AF,18,FALSE)*$Q243/100</f>
        <v>0</v>
      </c>
      <c r="AF243" s="583">
        <f>VLOOKUP($H243,Nutrition_tables!$A:$AF,19,FALSE)*$Q243/100</f>
        <v>0</v>
      </c>
      <c r="AG243" s="583">
        <f>VLOOKUP($H243,Nutrition_tables!$A:$AF,20,FALSE)*$Q243/100</f>
        <v>0</v>
      </c>
      <c r="AH243" s="583">
        <f>VLOOKUP($H243,Nutrition_tables!$A:$AF,21,FALSE)*$Q243/100</f>
        <v>0</v>
      </c>
      <c r="AI243" s="583">
        <f>VLOOKUP($H243,Nutrition_tables!$A:$AF,22,FALSE)*$Q243/100</f>
        <v>0</v>
      </c>
      <c r="AJ243" s="549">
        <f>VLOOKUP($H243,Nutrition_tables!$A:$AF,23,FALSE)*$Q243/100</f>
        <v>0</v>
      </c>
      <c r="AK243" s="583">
        <f>VLOOKUP($H243,Nutrition_tables!$A:$AF,24,FALSE)*$Q243/100</f>
        <v>0</v>
      </c>
      <c r="AL243" s="583">
        <f>VLOOKUP($H243,Nutrition_tables!$A:$AF,25,FALSE)*$Q243/100</f>
        <v>0</v>
      </c>
      <c r="AM243" s="583">
        <f>VLOOKUP($H243,Nutrition_tables!$A:$AF,26,FALSE)*$Q243/100</f>
        <v>0</v>
      </c>
      <c r="AN243" s="583">
        <f>VLOOKUP($H243,Nutrition_tables!$A:$AF,27,FALSE)*$Q243/100</f>
        <v>0</v>
      </c>
      <c r="AO243" s="583">
        <f>VLOOKUP($H243,Nutrition_tables!$A:$AF,28,FALSE)*$Q243/100</f>
        <v>0</v>
      </c>
      <c r="AP243" s="583">
        <f>VLOOKUP($H243,Nutrition_tables!$A:$AF,29,FALSE)*$Q243/100</f>
        <v>0</v>
      </c>
      <c r="AQ243" s="583">
        <f>VLOOKUP($H243,Nutrition_tables!$A:$AF,30,FALSE)*$Q243/100</f>
        <v>0</v>
      </c>
      <c r="AR243" s="583">
        <f>VLOOKUP($H243,Nutrition_tables!$A:$AF,31,FALSE)*$Q243/100</f>
        <v>0</v>
      </c>
      <c r="AS243" s="549">
        <f>VLOOKUP($H243,Nutrition_tables!$A:$AF,32,FALSE)*$Q243/100</f>
        <v>0</v>
      </c>
      <c r="AT243" s="583" t="str">
        <f>IF(H243="Select ingredient:","",IF(G243="Select food category:","",IFERROR(VLOOKUP($H243,Ingredient_prices!$E:$W,17,FALSE)*$Q243/1000,"not bought")))</f>
        <v/>
      </c>
      <c r="AU243" s="583" t="str">
        <f>IF(H243="Select ingredient:","",IF(G243="Select food category:","",IFERROR(VLOOKUP($H243,Ingredient_prices!$E:$W,18,FALSE)*$Q243/1000,"not bought")))</f>
        <v/>
      </c>
      <c r="AV243" s="583">
        <f t="shared" si="558"/>
        <v>0</v>
      </c>
      <c r="AW243" s="583">
        <f t="shared" si="559"/>
        <v>0</v>
      </c>
      <c r="AX243" s="583">
        <f t="shared" si="560"/>
        <v>0</v>
      </c>
      <c r="AY243" s="583">
        <f t="shared" si="561"/>
        <v>0</v>
      </c>
      <c r="AZ243" s="583">
        <f t="shared" si="562"/>
        <v>0</v>
      </c>
      <c r="BA243" s="583">
        <f t="shared" si="563"/>
        <v>0</v>
      </c>
      <c r="BB243" s="583">
        <f t="shared" si="564"/>
        <v>0</v>
      </c>
      <c r="BC243" s="583">
        <f t="shared" si="565"/>
        <v>0</v>
      </c>
      <c r="BD243" s="583">
        <f t="shared" si="566"/>
        <v>0</v>
      </c>
      <c r="BE243" s="583">
        <f t="shared" si="567"/>
        <v>0</v>
      </c>
      <c r="BF243" s="583">
        <f t="shared" si="568"/>
        <v>0</v>
      </c>
      <c r="BG243" s="583">
        <f t="shared" si="569"/>
        <v>0</v>
      </c>
      <c r="BH243" s="583">
        <f t="shared" si="570"/>
        <v>0</v>
      </c>
      <c r="BI243" s="583">
        <f t="shared" si="571"/>
        <v>0</v>
      </c>
      <c r="BJ243" s="583">
        <f t="shared" si="572"/>
        <v>0</v>
      </c>
      <c r="BK243" s="583">
        <f t="shared" si="573"/>
        <v>0</v>
      </c>
      <c r="BL243" s="583">
        <f t="shared" si="574"/>
        <v>0</v>
      </c>
      <c r="BM243" s="583">
        <f t="shared" si="575"/>
        <v>0</v>
      </c>
      <c r="BN243" s="583">
        <f t="shared" si="576"/>
        <v>0</v>
      </c>
      <c r="BO243" s="583">
        <f t="shared" si="577"/>
        <v>0</v>
      </c>
      <c r="BP243" s="583">
        <f t="shared" si="578"/>
        <v>0</v>
      </c>
      <c r="BQ243" s="583">
        <f t="shared" si="579"/>
        <v>0</v>
      </c>
      <c r="BR243" s="583">
        <f t="shared" si="580"/>
        <v>0</v>
      </c>
    </row>
    <row r="244" spans="1:70" s="229" customFormat="1" ht="15" customHeight="1">
      <c r="A244" s="587"/>
      <c r="D244" s="85"/>
      <c r="E244" s="576">
        <f t="shared" si="581"/>
        <v>100</v>
      </c>
      <c r="F244" s="85"/>
      <c r="G244" s="406" t="s">
        <v>3054</v>
      </c>
      <c r="H244" s="1262" t="s">
        <v>3055</v>
      </c>
      <c r="I244" s="85">
        <v>0</v>
      </c>
      <c r="J244" s="682">
        <v>1</v>
      </c>
      <c r="K244" s="579" t="str">
        <f t="shared" si="555"/>
        <v/>
      </c>
      <c r="L244" s="580" t="str">
        <f>IF(H244="Select ingredient:","",IF(G244="","",_xlfn.IFNA(VLOOKUP($H244,Ingredient_prices!$E:$U,16,FALSE),0)))</f>
        <v/>
      </c>
      <c r="M244" s="844"/>
      <c r="N244" s="844"/>
      <c r="O244" s="588"/>
      <c r="P244" s="589"/>
      <c r="Q244" s="583">
        <f t="shared" si="556"/>
        <v>0</v>
      </c>
      <c r="R244" s="583">
        <f>VLOOKUP($H244,'CO2_emission+%_food_waste'!$A:$K,6,FALSE)*$Q244/100</f>
        <v>0</v>
      </c>
      <c r="S244" s="583">
        <f t="shared" si="557"/>
        <v>0</v>
      </c>
      <c r="T244" s="583" t="str">
        <f>IF(H244="Select ingredient:","",IF(G244="Select food category:","",_xlfn.IFNA(VLOOKUP($H244,Ingredient_prices!$E:$U,16,FALSE)*$Q244/1000,"not bought")))</f>
        <v/>
      </c>
      <c r="U244" s="583" t="str">
        <f>IF(G244="Select food category:","",_xlfn.IFNA(VLOOKUP($H244,Ingredient_prices!$E:$U,16,FALSE)*$R244/1000,"not bought"))</f>
        <v/>
      </c>
      <c r="V244" s="549">
        <f>VLOOKUP($H244,'CO2_emission+%_food_waste'!$A:$K,4,FALSE)*$Q244</f>
        <v>0</v>
      </c>
      <c r="W244" s="583">
        <f>VLOOKUP($H244,Nutrition_tables!$A:$N,10,FALSE)*$Q244/100</f>
        <v>0</v>
      </c>
      <c r="X244" s="583">
        <f>VLOOKUP($H244,Nutrition_tables!$A:$N,11,FALSE)*$Q244/100</f>
        <v>0</v>
      </c>
      <c r="Y244" s="583">
        <f>VLOOKUP($H244,Nutrition_tables!$A:$N,12,FALSE)*$Q244/100</f>
        <v>0</v>
      </c>
      <c r="Z244" s="583">
        <f>VLOOKUP($H244,Nutrition_tables!$A:$N,14,FALSE)*$Q244/100</f>
        <v>0</v>
      </c>
      <c r="AA244" s="583">
        <f>VLOOKUP($H244,Nutrition_tables!$A:$AF,13,FALSE)*$Q244/100</f>
        <v>0</v>
      </c>
      <c r="AB244" s="549">
        <f>VLOOKUP($H244,Nutrition_tables!$A:$AF,15,FALSE)*$Q244/100</f>
        <v>0</v>
      </c>
      <c r="AC244" s="583">
        <f>VLOOKUP($H244,Nutrition_tables!$A:$AF,16,FALSE)*$Q244/100</f>
        <v>0</v>
      </c>
      <c r="AD244" s="583">
        <f>VLOOKUP($H244,Nutrition_tables!$A:$AF,17,FALSE)*$Q244/100</f>
        <v>0</v>
      </c>
      <c r="AE244" s="583">
        <f>VLOOKUP($H244,Nutrition_tables!$A:$AF,18,FALSE)*$Q244/100</f>
        <v>0</v>
      </c>
      <c r="AF244" s="583">
        <f>VLOOKUP($H244,Nutrition_tables!$A:$AF,19,FALSE)*$Q244/100</f>
        <v>0</v>
      </c>
      <c r="AG244" s="583">
        <f>VLOOKUP($H244,Nutrition_tables!$A:$AF,20,FALSE)*$Q244/100</f>
        <v>0</v>
      </c>
      <c r="AH244" s="583">
        <f>VLOOKUP($H244,Nutrition_tables!$A:$AF,21,FALSE)*$Q244/100</f>
        <v>0</v>
      </c>
      <c r="AI244" s="583">
        <f>VLOOKUP($H244,Nutrition_tables!$A:$AF,22,FALSE)*$Q244/100</f>
        <v>0</v>
      </c>
      <c r="AJ244" s="549">
        <f>VLOOKUP($H244,Nutrition_tables!$A:$AF,23,FALSE)*$Q244/100</f>
        <v>0</v>
      </c>
      <c r="AK244" s="583">
        <f>VLOOKUP($H244,Nutrition_tables!$A:$AF,24,FALSE)*$Q244/100</f>
        <v>0</v>
      </c>
      <c r="AL244" s="583">
        <f>VLOOKUP($H244,Nutrition_tables!$A:$AF,25,FALSE)*$Q244/100</f>
        <v>0</v>
      </c>
      <c r="AM244" s="583">
        <f>VLOOKUP($H244,Nutrition_tables!$A:$AF,26,FALSE)*$Q244/100</f>
        <v>0</v>
      </c>
      <c r="AN244" s="583">
        <f>VLOOKUP($H244,Nutrition_tables!$A:$AF,27,FALSE)*$Q244/100</f>
        <v>0</v>
      </c>
      <c r="AO244" s="583">
        <f>VLOOKUP($H244,Nutrition_tables!$A:$AF,28,FALSE)*$Q244/100</f>
        <v>0</v>
      </c>
      <c r="AP244" s="583">
        <f>VLOOKUP($H244,Nutrition_tables!$A:$AF,29,FALSE)*$Q244/100</f>
        <v>0</v>
      </c>
      <c r="AQ244" s="583">
        <f>VLOOKUP($H244,Nutrition_tables!$A:$AF,30,FALSE)*$Q244/100</f>
        <v>0</v>
      </c>
      <c r="AR244" s="583">
        <f>VLOOKUP($H244,Nutrition_tables!$A:$AF,31,FALSE)*$Q244/100</f>
        <v>0</v>
      </c>
      <c r="AS244" s="549">
        <f>VLOOKUP($H244,Nutrition_tables!$A:$AF,32,FALSE)*$Q244/100</f>
        <v>0</v>
      </c>
      <c r="AT244" s="583" t="str">
        <f>IF(H244="Select ingredient:","",IF(G244="Select food category:","",IFERROR(VLOOKUP($H244,Ingredient_prices!$E:$W,17,FALSE)*$Q244/1000,"not bought")))</f>
        <v/>
      </c>
      <c r="AU244" s="583" t="str">
        <f>IF(H244="Select ingredient:","",IF(G244="Select food category:","",IFERROR(VLOOKUP($H244,Ingredient_prices!$E:$W,18,FALSE)*$Q244/1000,"not bought")))</f>
        <v/>
      </c>
      <c r="AV244" s="583">
        <f t="shared" si="558"/>
        <v>0</v>
      </c>
      <c r="AW244" s="583">
        <f t="shared" si="559"/>
        <v>0</v>
      </c>
      <c r="AX244" s="583">
        <f t="shared" si="560"/>
        <v>0</v>
      </c>
      <c r="AY244" s="583">
        <f t="shared" si="561"/>
        <v>0</v>
      </c>
      <c r="AZ244" s="583">
        <f t="shared" si="562"/>
        <v>0</v>
      </c>
      <c r="BA244" s="583">
        <f t="shared" si="563"/>
        <v>0</v>
      </c>
      <c r="BB244" s="583">
        <f t="shared" si="564"/>
        <v>0</v>
      </c>
      <c r="BC244" s="583">
        <f t="shared" si="565"/>
        <v>0</v>
      </c>
      <c r="BD244" s="583">
        <f t="shared" si="566"/>
        <v>0</v>
      </c>
      <c r="BE244" s="583">
        <f t="shared" si="567"/>
        <v>0</v>
      </c>
      <c r="BF244" s="583">
        <f t="shared" si="568"/>
        <v>0</v>
      </c>
      <c r="BG244" s="583">
        <f t="shared" si="569"/>
        <v>0</v>
      </c>
      <c r="BH244" s="583">
        <f t="shared" si="570"/>
        <v>0</v>
      </c>
      <c r="BI244" s="583">
        <f t="shared" si="571"/>
        <v>0</v>
      </c>
      <c r="BJ244" s="583">
        <f t="shared" si="572"/>
        <v>0</v>
      </c>
      <c r="BK244" s="583">
        <f t="shared" si="573"/>
        <v>0</v>
      </c>
      <c r="BL244" s="583">
        <f t="shared" si="574"/>
        <v>0</v>
      </c>
      <c r="BM244" s="583">
        <f t="shared" si="575"/>
        <v>0</v>
      </c>
      <c r="BN244" s="583">
        <f t="shared" si="576"/>
        <v>0</v>
      </c>
      <c r="BO244" s="583">
        <f t="shared" si="577"/>
        <v>0</v>
      </c>
      <c r="BP244" s="583">
        <f t="shared" si="578"/>
        <v>0</v>
      </c>
      <c r="BQ244" s="583">
        <f t="shared" si="579"/>
        <v>0</v>
      </c>
      <c r="BR244" s="583">
        <f t="shared" si="580"/>
        <v>0</v>
      </c>
    </row>
    <row r="245" spans="1:70" s="229" customFormat="1" ht="15" customHeight="1">
      <c r="A245" s="587"/>
      <c r="D245" s="85"/>
      <c r="E245" s="576">
        <f t="shared" si="581"/>
        <v>100</v>
      </c>
      <c r="F245" s="85"/>
      <c r="G245" s="406" t="s">
        <v>3054</v>
      </c>
      <c r="H245" s="1262" t="s">
        <v>3055</v>
      </c>
      <c r="I245" s="85">
        <v>0</v>
      </c>
      <c r="J245" s="682">
        <v>1</v>
      </c>
      <c r="K245" s="579" t="str">
        <f t="shared" si="555"/>
        <v/>
      </c>
      <c r="L245" s="580" t="str">
        <f>IF(H245="Select ingredient:","",IF(G245="","",_xlfn.IFNA(VLOOKUP($H245,Ingredient_prices!$E:$U,16,FALSE),0)))</f>
        <v/>
      </c>
      <c r="M245" s="844"/>
      <c r="N245" s="844"/>
      <c r="O245" s="588"/>
      <c r="P245" s="589"/>
      <c r="Q245" s="583">
        <f t="shared" si="556"/>
        <v>0</v>
      </c>
      <c r="R245" s="583">
        <f>VLOOKUP($H245,'CO2_emission+%_food_waste'!$A:$K,6,FALSE)*$Q245/100</f>
        <v>0</v>
      </c>
      <c r="S245" s="583">
        <f t="shared" si="557"/>
        <v>0</v>
      </c>
      <c r="T245" s="583" t="str">
        <f>IF(H245="Select ingredient:","",IF(G245="Select food category:","",_xlfn.IFNA(VLOOKUP($H245,Ingredient_prices!$E:$U,16,FALSE)*$Q245/1000,"not bought")))</f>
        <v/>
      </c>
      <c r="U245" s="583" t="str">
        <f>IF(G245="Select food category:","",_xlfn.IFNA(VLOOKUP($H245,Ingredient_prices!$E:$U,16,FALSE)*$R245/1000,"not bought"))</f>
        <v/>
      </c>
      <c r="V245" s="549">
        <f>VLOOKUP($H245,'CO2_emission+%_food_waste'!$A:$K,4,FALSE)*$Q245</f>
        <v>0</v>
      </c>
      <c r="W245" s="583">
        <f>VLOOKUP($H245,Nutrition_tables!$A:$N,10,FALSE)*$Q245/100</f>
        <v>0</v>
      </c>
      <c r="X245" s="583">
        <f>VLOOKUP($H245,Nutrition_tables!$A:$N,11,FALSE)*$Q245/100</f>
        <v>0</v>
      </c>
      <c r="Y245" s="583">
        <f>VLOOKUP($H245,Nutrition_tables!$A:$N,12,FALSE)*$Q245/100</f>
        <v>0</v>
      </c>
      <c r="Z245" s="583">
        <f>VLOOKUP($H245,Nutrition_tables!$A:$N,14,FALSE)*$Q245/100</f>
        <v>0</v>
      </c>
      <c r="AA245" s="583">
        <f>VLOOKUP($H245,Nutrition_tables!$A:$AF,13,FALSE)*$Q245/100</f>
        <v>0</v>
      </c>
      <c r="AB245" s="549">
        <f>VLOOKUP($H245,Nutrition_tables!$A:$AF,15,FALSE)*$Q245/100</f>
        <v>0</v>
      </c>
      <c r="AC245" s="583">
        <f>VLOOKUP($H245,Nutrition_tables!$A:$AF,16,FALSE)*$Q245/100</f>
        <v>0</v>
      </c>
      <c r="AD245" s="583">
        <f>VLOOKUP($H245,Nutrition_tables!$A:$AF,17,FALSE)*$Q245/100</f>
        <v>0</v>
      </c>
      <c r="AE245" s="583">
        <f>VLOOKUP($H245,Nutrition_tables!$A:$AF,18,FALSE)*$Q245/100</f>
        <v>0</v>
      </c>
      <c r="AF245" s="583">
        <f>VLOOKUP($H245,Nutrition_tables!$A:$AF,19,FALSE)*$Q245/100</f>
        <v>0</v>
      </c>
      <c r="AG245" s="583">
        <f>VLOOKUP($H245,Nutrition_tables!$A:$AF,20,FALSE)*$Q245/100</f>
        <v>0</v>
      </c>
      <c r="AH245" s="583">
        <f>VLOOKUP($H245,Nutrition_tables!$A:$AF,21,FALSE)*$Q245/100</f>
        <v>0</v>
      </c>
      <c r="AI245" s="583">
        <f>VLOOKUP($H245,Nutrition_tables!$A:$AF,22,FALSE)*$Q245/100</f>
        <v>0</v>
      </c>
      <c r="AJ245" s="549">
        <f>VLOOKUP($H245,Nutrition_tables!$A:$AF,23,FALSE)*$Q245/100</f>
        <v>0</v>
      </c>
      <c r="AK245" s="583">
        <f>VLOOKUP($H245,Nutrition_tables!$A:$AF,24,FALSE)*$Q245/100</f>
        <v>0</v>
      </c>
      <c r="AL245" s="583">
        <f>VLOOKUP($H245,Nutrition_tables!$A:$AF,25,FALSE)*$Q245/100</f>
        <v>0</v>
      </c>
      <c r="AM245" s="583">
        <f>VLOOKUP($H245,Nutrition_tables!$A:$AF,26,FALSE)*$Q245/100</f>
        <v>0</v>
      </c>
      <c r="AN245" s="583">
        <f>VLOOKUP($H245,Nutrition_tables!$A:$AF,27,FALSE)*$Q245/100</f>
        <v>0</v>
      </c>
      <c r="AO245" s="583">
        <f>VLOOKUP($H245,Nutrition_tables!$A:$AF,28,FALSE)*$Q245/100</f>
        <v>0</v>
      </c>
      <c r="AP245" s="583">
        <f>VLOOKUP($H245,Nutrition_tables!$A:$AF,29,FALSE)*$Q245/100</f>
        <v>0</v>
      </c>
      <c r="AQ245" s="583">
        <f>VLOOKUP($H245,Nutrition_tables!$A:$AF,30,FALSE)*$Q245/100</f>
        <v>0</v>
      </c>
      <c r="AR245" s="583">
        <f>VLOOKUP($H245,Nutrition_tables!$A:$AF,31,FALSE)*$Q245/100</f>
        <v>0</v>
      </c>
      <c r="AS245" s="549">
        <f>VLOOKUP($H245,Nutrition_tables!$A:$AF,32,FALSE)*$Q245/100</f>
        <v>0</v>
      </c>
      <c r="AT245" s="583" t="str">
        <f>IF(H245="Select ingredient:","",IF(G245="Select food category:","",IFERROR(VLOOKUP($H245,Ingredient_prices!$E:$W,17,FALSE)*$Q245/1000,"not bought")))</f>
        <v/>
      </c>
      <c r="AU245" s="583" t="str">
        <f>IF(H245="Select ingredient:","",IF(G245="Select food category:","",IFERROR(VLOOKUP($H245,Ingredient_prices!$E:$W,18,FALSE)*$Q245/1000,"not bought")))</f>
        <v/>
      </c>
      <c r="AV245" s="583">
        <f t="shared" si="558"/>
        <v>0</v>
      </c>
      <c r="AW245" s="583">
        <f t="shared" si="559"/>
        <v>0</v>
      </c>
      <c r="AX245" s="583">
        <f t="shared" si="560"/>
        <v>0</v>
      </c>
      <c r="AY245" s="583">
        <f t="shared" si="561"/>
        <v>0</v>
      </c>
      <c r="AZ245" s="583">
        <f t="shared" si="562"/>
        <v>0</v>
      </c>
      <c r="BA245" s="583">
        <f t="shared" si="563"/>
        <v>0</v>
      </c>
      <c r="BB245" s="583">
        <f t="shared" si="564"/>
        <v>0</v>
      </c>
      <c r="BC245" s="583">
        <f t="shared" si="565"/>
        <v>0</v>
      </c>
      <c r="BD245" s="583">
        <f t="shared" si="566"/>
        <v>0</v>
      </c>
      <c r="BE245" s="583">
        <f t="shared" si="567"/>
        <v>0</v>
      </c>
      <c r="BF245" s="583">
        <f t="shared" si="568"/>
        <v>0</v>
      </c>
      <c r="BG245" s="583">
        <f t="shared" si="569"/>
        <v>0</v>
      </c>
      <c r="BH245" s="583">
        <f t="shared" si="570"/>
        <v>0</v>
      </c>
      <c r="BI245" s="583">
        <f t="shared" si="571"/>
        <v>0</v>
      </c>
      <c r="BJ245" s="583">
        <f t="shared" si="572"/>
        <v>0</v>
      </c>
      <c r="BK245" s="583">
        <f t="shared" si="573"/>
        <v>0</v>
      </c>
      <c r="BL245" s="583">
        <f t="shared" si="574"/>
        <v>0</v>
      </c>
      <c r="BM245" s="583">
        <f t="shared" si="575"/>
        <v>0</v>
      </c>
      <c r="BN245" s="583">
        <f t="shared" si="576"/>
        <v>0</v>
      </c>
      <c r="BO245" s="583">
        <f t="shared" si="577"/>
        <v>0</v>
      </c>
      <c r="BP245" s="583">
        <f t="shared" si="578"/>
        <v>0</v>
      </c>
      <c r="BQ245" s="583">
        <f t="shared" si="579"/>
        <v>0</v>
      </c>
      <c r="BR245" s="583">
        <f t="shared" si="580"/>
        <v>0</v>
      </c>
    </row>
    <row r="246" spans="1:70" s="229" customFormat="1" ht="15" customHeight="1">
      <c r="A246" s="587"/>
      <c r="D246" s="85"/>
      <c r="E246" s="576">
        <f t="shared" si="581"/>
        <v>100</v>
      </c>
      <c r="F246" s="710"/>
      <c r="G246" s="406" t="s">
        <v>3054</v>
      </c>
      <c r="H246" s="1262" t="s">
        <v>3055</v>
      </c>
      <c r="I246" s="85">
        <v>0</v>
      </c>
      <c r="J246" s="682">
        <v>1</v>
      </c>
      <c r="K246" s="579" t="str">
        <f t="shared" si="555"/>
        <v/>
      </c>
      <c r="L246" s="580" t="str">
        <f>IF(H246="Select ingredient:","",IF(G246="","",_xlfn.IFNA(VLOOKUP($H246,Ingredient_prices!$E:$U,16,FALSE),0)))</f>
        <v/>
      </c>
      <c r="M246" s="844"/>
      <c r="N246" s="844"/>
      <c r="O246" s="588"/>
      <c r="P246" s="589"/>
      <c r="Q246" s="583">
        <f t="shared" si="556"/>
        <v>0</v>
      </c>
      <c r="R246" s="583">
        <f>VLOOKUP($H246,'CO2_emission+%_food_waste'!$A:$K,6,FALSE)*$Q246/100</f>
        <v>0</v>
      </c>
      <c r="S246" s="583">
        <f t="shared" si="557"/>
        <v>0</v>
      </c>
      <c r="T246" s="583" t="str">
        <f>IF(H246="Select ingredient:","",IF(G246="Select food category:","",_xlfn.IFNA(VLOOKUP($H246,Ingredient_prices!$E:$U,16,FALSE)*$Q246/1000,"not bought")))</f>
        <v/>
      </c>
      <c r="U246" s="583" t="str">
        <f>IF(G246="Select food category:","",_xlfn.IFNA(VLOOKUP($H246,Ingredient_prices!$E:$U,16,FALSE)*$R246/1000,"not bought"))</f>
        <v/>
      </c>
      <c r="V246" s="549">
        <f>VLOOKUP($H246,'CO2_emission+%_food_waste'!$A:$K,4,FALSE)*$Q246</f>
        <v>0</v>
      </c>
      <c r="W246" s="583">
        <f>VLOOKUP($H246,Nutrition_tables!$A:$N,10,FALSE)*$Q246/100</f>
        <v>0</v>
      </c>
      <c r="X246" s="583">
        <f>VLOOKUP($H246,Nutrition_tables!$A:$N,11,FALSE)*$Q246/100</f>
        <v>0</v>
      </c>
      <c r="Y246" s="583">
        <f>VLOOKUP($H246,Nutrition_tables!$A:$N,12,FALSE)*$Q246/100</f>
        <v>0</v>
      </c>
      <c r="Z246" s="583">
        <f>VLOOKUP($H246,Nutrition_tables!$A:$N,14,FALSE)*$Q246/100</f>
        <v>0</v>
      </c>
      <c r="AA246" s="583">
        <f>VLOOKUP($H246,Nutrition_tables!$A:$AF,13,FALSE)*$Q246/100</f>
        <v>0</v>
      </c>
      <c r="AB246" s="549">
        <f>VLOOKUP($H246,Nutrition_tables!$A:$AF,15,FALSE)*$Q246/100</f>
        <v>0</v>
      </c>
      <c r="AC246" s="583">
        <f>VLOOKUP($H246,Nutrition_tables!$A:$AF,16,FALSE)*$Q246/100</f>
        <v>0</v>
      </c>
      <c r="AD246" s="583">
        <f>VLOOKUP($H246,Nutrition_tables!$A:$AF,17,FALSE)*$Q246/100</f>
        <v>0</v>
      </c>
      <c r="AE246" s="583">
        <f>VLOOKUP($H246,Nutrition_tables!$A:$AF,18,FALSE)*$Q246/100</f>
        <v>0</v>
      </c>
      <c r="AF246" s="583">
        <f>VLOOKUP($H246,Nutrition_tables!$A:$AF,19,FALSE)*$Q246/100</f>
        <v>0</v>
      </c>
      <c r="AG246" s="583">
        <f>VLOOKUP($H246,Nutrition_tables!$A:$AF,20,FALSE)*$Q246/100</f>
        <v>0</v>
      </c>
      <c r="AH246" s="583">
        <f>VLOOKUP($H246,Nutrition_tables!$A:$AF,21,FALSE)*$Q246/100</f>
        <v>0</v>
      </c>
      <c r="AI246" s="583">
        <f>VLOOKUP($H246,Nutrition_tables!$A:$AF,22,FALSE)*$Q246/100</f>
        <v>0</v>
      </c>
      <c r="AJ246" s="549">
        <f>VLOOKUP($H246,Nutrition_tables!$A:$AF,23,FALSE)*$Q246/100</f>
        <v>0</v>
      </c>
      <c r="AK246" s="583">
        <f>VLOOKUP($H246,Nutrition_tables!$A:$AF,24,FALSE)*$Q246/100</f>
        <v>0</v>
      </c>
      <c r="AL246" s="583">
        <f>VLOOKUP($H246,Nutrition_tables!$A:$AF,25,FALSE)*$Q246/100</f>
        <v>0</v>
      </c>
      <c r="AM246" s="583">
        <f>VLOOKUP($H246,Nutrition_tables!$A:$AF,26,FALSE)*$Q246/100</f>
        <v>0</v>
      </c>
      <c r="AN246" s="583">
        <f>VLOOKUP($H246,Nutrition_tables!$A:$AF,27,FALSE)*$Q246/100</f>
        <v>0</v>
      </c>
      <c r="AO246" s="583">
        <f>VLOOKUP($H246,Nutrition_tables!$A:$AF,28,FALSE)*$Q246/100</f>
        <v>0</v>
      </c>
      <c r="AP246" s="583">
        <f>VLOOKUP($H246,Nutrition_tables!$A:$AF,29,FALSE)*$Q246/100</f>
        <v>0</v>
      </c>
      <c r="AQ246" s="583">
        <f>VLOOKUP($H246,Nutrition_tables!$A:$AF,30,FALSE)*$Q246/100</f>
        <v>0</v>
      </c>
      <c r="AR246" s="583">
        <f>VLOOKUP($H246,Nutrition_tables!$A:$AF,31,FALSE)*$Q246/100</f>
        <v>0</v>
      </c>
      <c r="AS246" s="549">
        <f>VLOOKUP($H246,Nutrition_tables!$A:$AF,32,FALSE)*$Q246/100</f>
        <v>0</v>
      </c>
      <c r="AT246" s="583" t="str">
        <f>IF(H246="Select ingredient:","",IF(G246="Select food category:","",IFERROR(VLOOKUP($H246,Ingredient_prices!$E:$W,17,FALSE)*$Q246/1000,"not bought")))</f>
        <v/>
      </c>
      <c r="AU246" s="583" t="str">
        <f>IF(H246="Select ingredient:","",IF(G246="Select food category:","",IFERROR(VLOOKUP($H246,Ingredient_prices!$E:$W,18,FALSE)*$Q246/1000,"not bought")))</f>
        <v/>
      </c>
      <c r="AV246" s="583">
        <f t="shared" si="558"/>
        <v>0</v>
      </c>
      <c r="AW246" s="583">
        <f t="shared" si="559"/>
        <v>0</v>
      </c>
      <c r="AX246" s="583">
        <f t="shared" si="560"/>
        <v>0</v>
      </c>
      <c r="AY246" s="583">
        <f t="shared" si="561"/>
        <v>0</v>
      </c>
      <c r="AZ246" s="583">
        <f t="shared" si="562"/>
        <v>0</v>
      </c>
      <c r="BA246" s="583">
        <f t="shared" si="563"/>
        <v>0</v>
      </c>
      <c r="BB246" s="583">
        <f t="shared" si="564"/>
        <v>0</v>
      </c>
      <c r="BC246" s="583">
        <f t="shared" si="565"/>
        <v>0</v>
      </c>
      <c r="BD246" s="583">
        <f t="shared" si="566"/>
        <v>0</v>
      </c>
      <c r="BE246" s="583">
        <f t="shared" si="567"/>
        <v>0</v>
      </c>
      <c r="BF246" s="583">
        <f t="shared" si="568"/>
        <v>0</v>
      </c>
      <c r="BG246" s="583">
        <f t="shared" si="569"/>
        <v>0</v>
      </c>
      <c r="BH246" s="583">
        <f t="shared" si="570"/>
        <v>0</v>
      </c>
      <c r="BI246" s="583">
        <f t="shared" si="571"/>
        <v>0</v>
      </c>
      <c r="BJ246" s="583">
        <f t="shared" si="572"/>
        <v>0</v>
      </c>
      <c r="BK246" s="583">
        <f t="shared" si="573"/>
        <v>0</v>
      </c>
      <c r="BL246" s="583">
        <f t="shared" si="574"/>
        <v>0</v>
      </c>
      <c r="BM246" s="583">
        <f t="shared" si="575"/>
        <v>0</v>
      </c>
      <c r="BN246" s="583">
        <f t="shared" si="576"/>
        <v>0</v>
      </c>
      <c r="BO246" s="583">
        <f t="shared" si="577"/>
        <v>0</v>
      </c>
      <c r="BP246" s="583">
        <f t="shared" si="578"/>
        <v>0</v>
      </c>
      <c r="BQ246" s="583">
        <f t="shared" si="579"/>
        <v>0</v>
      </c>
      <c r="BR246" s="583">
        <f t="shared" si="580"/>
        <v>0</v>
      </c>
    </row>
    <row r="247" spans="1:70" s="229" customFormat="1" ht="15" customHeight="1">
      <c r="A247" s="587"/>
      <c r="D247" s="85"/>
      <c r="E247" s="576">
        <f t="shared" si="581"/>
        <v>100</v>
      </c>
      <c r="F247" s="710"/>
      <c r="G247" s="406" t="s">
        <v>3054</v>
      </c>
      <c r="H247" s="1262" t="s">
        <v>3055</v>
      </c>
      <c r="I247" s="85">
        <v>0</v>
      </c>
      <c r="J247" s="682">
        <v>1</v>
      </c>
      <c r="K247" s="579" t="str">
        <f t="shared" si="555"/>
        <v/>
      </c>
      <c r="L247" s="580" t="str">
        <f>IF(H247="Select ingredient:","",IF(G247="","",_xlfn.IFNA(VLOOKUP($H247,Ingredient_prices!$E:$U,16,FALSE),0)))</f>
        <v/>
      </c>
      <c r="M247" s="844"/>
      <c r="N247" s="844"/>
      <c r="O247" s="588"/>
      <c r="P247" s="589"/>
      <c r="Q247" s="583">
        <f t="shared" si="556"/>
        <v>0</v>
      </c>
      <c r="R247" s="583">
        <f>VLOOKUP($H247,'CO2_emission+%_food_waste'!$A:$K,6,FALSE)*$Q247/100</f>
        <v>0</v>
      </c>
      <c r="S247" s="583">
        <f t="shared" si="557"/>
        <v>0</v>
      </c>
      <c r="T247" s="583" t="str">
        <f>IF(H247="Select ingredient:","",IF(G247="Select food category:","",_xlfn.IFNA(VLOOKUP($H247,Ingredient_prices!$E:$U,16,FALSE)*$Q247/1000,"not bought")))</f>
        <v/>
      </c>
      <c r="U247" s="583" t="str">
        <f>IF(G247="Select food category:","",_xlfn.IFNA(VLOOKUP($H247,Ingredient_prices!$E:$U,16,FALSE)*$R247/1000,"not bought"))</f>
        <v/>
      </c>
      <c r="V247" s="549">
        <f>VLOOKUP($H247,'CO2_emission+%_food_waste'!$A:$K,4,FALSE)*$Q247</f>
        <v>0</v>
      </c>
      <c r="W247" s="583">
        <f>VLOOKUP($H247,Nutrition_tables!$A:$N,10,FALSE)*$Q247/100</f>
        <v>0</v>
      </c>
      <c r="X247" s="583">
        <f>VLOOKUP($H247,Nutrition_tables!$A:$N,11,FALSE)*$Q247/100</f>
        <v>0</v>
      </c>
      <c r="Y247" s="583">
        <f>VLOOKUP($H247,Nutrition_tables!$A:$N,12,FALSE)*$Q247/100</f>
        <v>0</v>
      </c>
      <c r="Z247" s="583">
        <f>VLOOKUP($H247,Nutrition_tables!$A:$N,14,FALSE)*$Q247/100</f>
        <v>0</v>
      </c>
      <c r="AA247" s="583">
        <f>VLOOKUP($H247,Nutrition_tables!$A:$AF,13,FALSE)*$Q247/100</f>
        <v>0</v>
      </c>
      <c r="AB247" s="549">
        <f>VLOOKUP($H247,Nutrition_tables!$A:$AF,15,FALSE)*$Q247/100</f>
        <v>0</v>
      </c>
      <c r="AC247" s="583">
        <f>VLOOKUP($H247,Nutrition_tables!$A:$AF,16,FALSE)*$Q247/100</f>
        <v>0</v>
      </c>
      <c r="AD247" s="583">
        <f>VLOOKUP($H247,Nutrition_tables!$A:$AF,17,FALSE)*$Q247/100</f>
        <v>0</v>
      </c>
      <c r="AE247" s="583">
        <f>VLOOKUP($H247,Nutrition_tables!$A:$AF,18,FALSE)*$Q247/100</f>
        <v>0</v>
      </c>
      <c r="AF247" s="583">
        <f>VLOOKUP($H247,Nutrition_tables!$A:$AF,19,FALSE)*$Q247/100</f>
        <v>0</v>
      </c>
      <c r="AG247" s="583">
        <f>VLOOKUP($H247,Nutrition_tables!$A:$AF,20,FALSE)*$Q247/100</f>
        <v>0</v>
      </c>
      <c r="AH247" s="583">
        <f>VLOOKUP($H247,Nutrition_tables!$A:$AF,21,FALSE)*$Q247/100</f>
        <v>0</v>
      </c>
      <c r="AI247" s="583">
        <f>VLOOKUP($H247,Nutrition_tables!$A:$AF,22,FALSE)*$Q247/100</f>
        <v>0</v>
      </c>
      <c r="AJ247" s="549">
        <f>VLOOKUP($H247,Nutrition_tables!$A:$AF,23,FALSE)*$Q247/100</f>
        <v>0</v>
      </c>
      <c r="AK247" s="583">
        <f>VLOOKUP($H247,Nutrition_tables!$A:$AF,24,FALSE)*$Q247/100</f>
        <v>0</v>
      </c>
      <c r="AL247" s="583">
        <f>VLOOKUP($H247,Nutrition_tables!$A:$AF,25,FALSE)*$Q247/100</f>
        <v>0</v>
      </c>
      <c r="AM247" s="583">
        <f>VLOOKUP($H247,Nutrition_tables!$A:$AF,26,FALSE)*$Q247/100</f>
        <v>0</v>
      </c>
      <c r="AN247" s="583">
        <f>VLOOKUP($H247,Nutrition_tables!$A:$AF,27,FALSE)*$Q247/100</f>
        <v>0</v>
      </c>
      <c r="AO247" s="583">
        <f>VLOOKUP($H247,Nutrition_tables!$A:$AF,28,FALSE)*$Q247/100</f>
        <v>0</v>
      </c>
      <c r="AP247" s="583">
        <f>VLOOKUP($H247,Nutrition_tables!$A:$AF,29,FALSE)*$Q247/100</f>
        <v>0</v>
      </c>
      <c r="AQ247" s="583">
        <f>VLOOKUP($H247,Nutrition_tables!$A:$AF,30,FALSE)*$Q247/100</f>
        <v>0</v>
      </c>
      <c r="AR247" s="583">
        <f>VLOOKUP($H247,Nutrition_tables!$A:$AF,31,FALSE)*$Q247/100</f>
        <v>0</v>
      </c>
      <c r="AS247" s="549">
        <f>VLOOKUP($H247,Nutrition_tables!$A:$AF,32,FALSE)*$Q247/100</f>
        <v>0</v>
      </c>
      <c r="AT247" s="583" t="str">
        <f>IF(H247="Select ingredient:","",IF(G247="Select food category:","",IFERROR(VLOOKUP($H247,Ingredient_prices!$E:$W,17,FALSE)*$Q247/1000,"not bought")))</f>
        <v/>
      </c>
      <c r="AU247" s="583" t="str">
        <f>IF(H247="Select ingredient:","",IF(G247="Select food category:","",IFERROR(VLOOKUP($H247,Ingredient_prices!$E:$W,18,FALSE)*$Q247/1000,"not bought")))</f>
        <v/>
      </c>
      <c r="AV247" s="583">
        <f t="shared" si="558"/>
        <v>0</v>
      </c>
      <c r="AW247" s="583">
        <f t="shared" si="559"/>
        <v>0</v>
      </c>
      <c r="AX247" s="583">
        <f t="shared" si="560"/>
        <v>0</v>
      </c>
      <c r="AY247" s="583">
        <f t="shared" si="561"/>
        <v>0</v>
      </c>
      <c r="AZ247" s="583">
        <f t="shared" si="562"/>
        <v>0</v>
      </c>
      <c r="BA247" s="583">
        <f t="shared" si="563"/>
        <v>0</v>
      </c>
      <c r="BB247" s="583">
        <f t="shared" si="564"/>
        <v>0</v>
      </c>
      <c r="BC247" s="583">
        <f t="shared" si="565"/>
        <v>0</v>
      </c>
      <c r="BD247" s="583">
        <f t="shared" si="566"/>
        <v>0</v>
      </c>
      <c r="BE247" s="583">
        <f t="shared" si="567"/>
        <v>0</v>
      </c>
      <c r="BF247" s="583">
        <f t="shared" si="568"/>
        <v>0</v>
      </c>
      <c r="BG247" s="583">
        <f t="shared" si="569"/>
        <v>0</v>
      </c>
      <c r="BH247" s="583">
        <f t="shared" si="570"/>
        <v>0</v>
      </c>
      <c r="BI247" s="583">
        <f t="shared" si="571"/>
        <v>0</v>
      </c>
      <c r="BJ247" s="583">
        <f t="shared" si="572"/>
        <v>0</v>
      </c>
      <c r="BK247" s="583">
        <f t="shared" si="573"/>
        <v>0</v>
      </c>
      <c r="BL247" s="583">
        <f t="shared" si="574"/>
        <v>0</v>
      </c>
      <c r="BM247" s="583">
        <f t="shared" si="575"/>
        <v>0</v>
      </c>
      <c r="BN247" s="583">
        <f t="shared" si="576"/>
        <v>0</v>
      </c>
      <c r="BO247" s="583">
        <f t="shared" si="577"/>
        <v>0</v>
      </c>
      <c r="BP247" s="583">
        <f t="shared" si="578"/>
        <v>0</v>
      </c>
      <c r="BQ247" s="583">
        <f t="shared" si="579"/>
        <v>0</v>
      </c>
      <c r="BR247" s="583">
        <f t="shared" si="580"/>
        <v>0</v>
      </c>
    </row>
    <row r="248" spans="1:70" s="603" customFormat="1" ht="56">
      <c r="A248" s="587"/>
      <c r="B248" s="593"/>
      <c r="C248" s="522"/>
      <c r="D248" s="141"/>
      <c r="E248" s="594"/>
      <c r="F248" s="708"/>
      <c r="G248" s="522"/>
      <c r="H248" s="522"/>
      <c r="I248" s="86"/>
      <c r="J248" s="87"/>
      <c r="K248" s="595"/>
      <c r="L248" s="596"/>
      <c r="M248" s="845"/>
      <c r="N248" s="845"/>
      <c r="O248" s="588"/>
      <c r="P248" s="638"/>
      <c r="Q248" s="599" t="s">
        <v>384</v>
      </c>
      <c r="R248" s="600" t="s">
        <v>455</v>
      </c>
      <c r="S248" s="600" t="s">
        <v>2087</v>
      </c>
      <c r="T248" s="600" t="s">
        <v>456</v>
      </c>
      <c r="U248" s="600" t="s">
        <v>535</v>
      </c>
      <c r="V248" s="601" t="s">
        <v>457</v>
      </c>
      <c r="W248" s="600" t="s">
        <v>75</v>
      </c>
      <c r="X248" s="600" t="s">
        <v>385</v>
      </c>
      <c r="Y248" s="600" t="s">
        <v>386</v>
      </c>
      <c r="Z248" s="600" t="s">
        <v>387</v>
      </c>
      <c r="AA248" s="600" t="s">
        <v>388</v>
      </c>
      <c r="AB248" s="601" t="s">
        <v>389</v>
      </c>
      <c r="AC248" s="602" t="s">
        <v>390</v>
      </c>
      <c r="AD248" s="600" t="s">
        <v>391</v>
      </c>
      <c r="AE248" s="600" t="s">
        <v>392</v>
      </c>
      <c r="AF248" s="600" t="s">
        <v>393</v>
      </c>
      <c r="AG248" s="600" t="s">
        <v>394</v>
      </c>
      <c r="AH248" s="600" t="s">
        <v>395</v>
      </c>
      <c r="AI248" s="600" t="s">
        <v>396</v>
      </c>
      <c r="AJ248" s="601" t="s">
        <v>397</v>
      </c>
      <c r="AK248" s="602" t="s">
        <v>398</v>
      </c>
      <c r="AL248" s="600" t="s">
        <v>399</v>
      </c>
      <c r="AM248" s="600" t="s">
        <v>400</v>
      </c>
      <c r="AN248" s="600" t="s">
        <v>401</v>
      </c>
      <c r="AO248" s="600" t="s">
        <v>402</v>
      </c>
      <c r="AP248" s="600" t="s">
        <v>406</v>
      </c>
      <c r="AQ248" s="600" t="s">
        <v>405</v>
      </c>
      <c r="AR248" s="600" t="s">
        <v>403</v>
      </c>
      <c r="AS248" s="601" t="s">
        <v>404</v>
      </c>
      <c r="AT248" s="593"/>
      <c r="AU248" s="593"/>
    </row>
    <row r="249" spans="1:70" s="229" customFormat="1">
      <c r="A249" s="587"/>
      <c r="B249" s="522"/>
      <c r="C249" s="522"/>
      <c r="D249" s="141"/>
      <c r="E249" s="594"/>
      <c r="F249" s="708"/>
      <c r="G249" s="522"/>
      <c r="H249" s="522"/>
      <c r="I249" s="86"/>
      <c r="J249" s="87"/>
      <c r="K249" s="595"/>
      <c r="L249" s="604"/>
      <c r="M249" s="846"/>
      <c r="N249" s="846"/>
      <c r="O249" s="588"/>
      <c r="P249" s="639" t="s">
        <v>383</v>
      </c>
      <c r="Q249" s="583">
        <f t="shared" ref="Q249:AU249" si="582">SUM(Q236:Q247)</f>
        <v>135</v>
      </c>
      <c r="R249" s="583">
        <f t="shared" si="582"/>
        <v>5.4998849999999999</v>
      </c>
      <c r="S249" s="583">
        <f>SUM(S236:S247)</f>
        <v>129.50011500000002</v>
      </c>
      <c r="T249" s="583">
        <f t="shared" ref="T249:U249" si="583">SUM(T236:T247)</f>
        <v>40.445499999999996</v>
      </c>
      <c r="U249" s="583">
        <f t="shared" si="583"/>
        <v>3.1349709545</v>
      </c>
      <c r="V249" s="549">
        <f t="shared" si="582"/>
        <v>395</v>
      </c>
      <c r="W249" s="583">
        <f t="shared" si="582"/>
        <v>271.25</v>
      </c>
      <c r="X249" s="583">
        <f t="shared" si="582"/>
        <v>34.989999999999995</v>
      </c>
      <c r="Y249" s="583">
        <f t="shared" si="582"/>
        <v>15.12</v>
      </c>
      <c r="Z249" s="583">
        <f t="shared" si="582"/>
        <v>11.32</v>
      </c>
      <c r="AA249" s="583">
        <f t="shared" si="582"/>
        <v>0.65710000000000002</v>
      </c>
      <c r="AB249" s="549">
        <f t="shared" si="582"/>
        <v>4.4851000000000001</v>
      </c>
      <c r="AC249" s="583">
        <f t="shared" si="582"/>
        <v>375.19709999999998</v>
      </c>
      <c r="AD249" s="583">
        <f t="shared" si="582"/>
        <v>88.197100000000006</v>
      </c>
      <c r="AE249" s="583">
        <f t="shared" si="582"/>
        <v>143.69710000000001</v>
      </c>
      <c r="AF249" s="583">
        <f t="shared" si="582"/>
        <v>10.3971</v>
      </c>
      <c r="AG249" s="583">
        <f t="shared" si="582"/>
        <v>112.8771</v>
      </c>
      <c r="AH249" s="583">
        <f t="shared" si="582"/>
        <v>0.19109999999999999</v>
      </c>
      <c r="AI249" s="583">
        <f t="shared" si="582"/>
        <v>0.85709999999999997</v>
      </c>
      <c r="AJ249" s="549">
        <f t="shared" si="582"/>
        <v>0.18481999999999998</v>
      </c>
      <c r="AK249" s="583">
        <f t="shared" si="582"/>
        <v>10.0291</v>
      </c>
      <c r="AL249" s="583">
        <f t="shared" si="582"/>
        <v>1.9100000000000002E-2</v>
      </c>
      <c r="AM249" s="583">
        <f t="shared" si="582"/>
        <v>7.51E-2</v>
      </c>
      <c r="AN249" s="583">
        <f t="shared" si="582"/>
        <v>0.1371</v>
      </c>
      <c r="AO249" s="583">
        <f t="shared" si="582"/>
        <v>4.6300000000000001E-2</v>
      </c>
      <c r="AP249" s="583">
        <f t="shared" si="582"/>
        <v>5.7971000000000004</v>
      </c>
      <c r="AQ249" s="583">
        <f t="shared" si="582"/>
        <v>0.39962000000000003</v>
      </c>
      <c r="AR249" s="583">
        <f t="shared" si="582"/>
        <v>0.77710000000000001</v>
      </c>
      <c r="AS249" s="549">
        <f t="shared" si="582"/>
        <v>0.12962000000000001</v>
      </c>
      <c r="AT249" s="583">
        <f t="shared" si="582"/>
        <v>40.445499999999996</v>
      </c>
      <c r="AU249" s="583">
        <f t="shared" si="582"/>
        <v>40.445499999999996</v>
      </c>
      <c r="AV249" s="545">
        <f t="shared" ref="AV249:BR249" si="584">SUM(AV236:AV247)</f>
        <v>254.97013241997183</v>
      </c>
      <c r="AW249" s="545">
        <f t="shared" si="584"/>
        <v>34.913025398493751</v>
      </c>
      <c r="AX249" s="545">
        <f t="shared" si="584"/>
        <v>13.635005152499225</v>
      </c>
      <c r="AY249" s="545">
        <f t="shared" si="584"/>
        <v>9.5050008675002857</v>
      </c>
      <c r="AZ249" s="545">
        <f t="shared" si="584"/>
        <v>0.65710032793983553</v>
      </c>
      <c r="BA249" s="545">
        <f t="shared" si="584"/>
        <v>3.2750984469407767</v>
      </c>
      <c r="BB249" s="545">
        <f t="shared" si="584"/>
        <v>331.96715201291397</v>
      </c>
      <c r="BC249" s="545">
        <f t="shared" si="584"/>
        <v>84.622132885423554</v>
      </c>
      <c r="BD249" s="545">
        <f t="shared" si="584"/>
        <v>105.19705109796446</v>
      </c>
      <c r="BE249" s="545">
        <f t="shared" si="584"/>
        <v>8.5270993329403328</v>
      </c>
      <c r="BF249" s="545">
        <f t="shared" si="584"/>
        <v>83.727065012957482</v>
      </c>
      <c r="BG249" s="545">
        <f t="shared" si="584"/>
        <v>0.17075003111498396</v>
      </c>
      <c r="BH249" s="545">
        <f t="shared" si="584"/>
        <v>0.63159972069013914</v>
      </c>
      <c r="BI249" s="545">
        <f t="shared" si="584"/>
        <v>0.13751994399002795</v>
      </c>
      <c r="BJ249" s="545">
        <f t="shared" si="584"/>
        <v>10.014804969087516</v>
      </c>
      <c r="BK249" s="545">
        <f t="shared" si="584"/>
        <v>1.5249996865001083E-2</v>
      </c>
      <c r="BL249" s="545">
        <f t="shared" si="584"/>
        <v>5.6399978290010373E-2</v>
      </c>
      <c r="BM249" s="545">
        <f t="shared" si="584"/>
        <v>0.13160005068997416</v>
      </c>
      <c r="BN249" s="545">
        <f t="shared" si="584"/>
        <v>4.1350007014996006E-2</v>
      </c>
      <c r="BO249" s="545">
        <f t="shared" si="584"/>
        <v>4.6970994479402757</v>
      </c>
      <c r="BP249" s="545">
        <f t="shared" si="584"/>
        <v>0.28961985474007262</v>
      </c>
      <c r="BQ249" s="545">
        <f t="shared" si="584"/>
        <v>0.77710038793980551</v>
      </c>
      <c r="BR249" s="545">
        <f t="shared" si="584"/>
        <v>9.3869952615023636E-2</v>
      </c>
    </row>
    <row r="250" spans="1:70" s="229" customFormat="1">
      <c r="A250" s="587"/>
      <c r="B250" s="522"/>
      <c r="C250" s="522"/>
      <c r="D250" s="141"/>
      <c r="E250" s="594"/>
      <c r="F250" s="708"/>
      <c r="G250" s="522"/>
      <c r="H250" s="522"/>
      <c r="I250" s="86"/>
      <c r="J250" s="87"/>
      <c r="K250" s="595"/>
      <c r="L250" s="604"/>
      <c r="M250" s="846"/>
      <c r="N250" s="846"/>
      <c r="O250" s="588"/>
      <c r="P250" s="639" t="s">
        <v>537</v>
      </c>
      <c r="V250" s="526"/>
      <c r="W250" s="229">
        <v>185.5</v>
      </c>
      <c r="X250" s="229">
        <v>23.200000000000003</v>
      </c>
      <c r="Y250" s="229">
        <v>5.8000000000000007</v>
      </c>
      <c r="Z250" s="229">
        <v>6.2</v>
      </c>
      <c r="AA250" s="229">
        <v>1.9000000000000001</v>
      </c>
      <c r="AB250" s="526">
        <v>2</v>
      </c>
      <c r="AC250" s="229">
        <v>138</v>
      </c>
      <c r="AD250" s="229">
        <v>180</v>
      </c>
      <c r="AE250" s="229">
        <v>90</v>
      </c>
      <c r="AF250" s="229">
        <v>17</v>
      </c>
      <c r="AG250" s="229">
        <v>80</v>
      </c>
      <c r="AH250" s="229">
        <v>1</v>
      </c>
      <c r="AI250" s="229">
        <v>0.70000000000000007</v>
      </c>
      <c r="AJ250" s="526">
        <v>0.125</v>
      </c>
      <c r="AK250" s="229">
        <v>80</v>
      </c>
      <c r="AL250" s="229">
        <v>0.1</v>
      </c>
      <c r="AM250" s="229">
        <v>0.11000000000000001</v>
      </c>
      <c r="AN250" s="229">
        <v>1.2000000000000002</v>
      </c>
      <c r="AO250" s="229">
        <v>6.9999999999999993E-2</v>
      </c>
      <c r="AP250" s="229">
        <v>30</v>
      </c>
      <c r="AQ250" s="229">
        <v>0.18000000000000002</v>
      </c>
      <c r="AR250" s="229">
        <v>8</v>
      </c>
      <c r="AS250" s="526">
        <v>0.5</v>
      </c>
      <c r="AV250" s="229">
        <v>185.5</v>
      </c>
      <c r="AW250" s="229">
        <v>23.200000000000003</v>
      </c>
      <c r="AX250" s="229">
        <v>5.8000000000000007</v>
      </c>
      <c r="AY250" s="229">
        <v>6.2</v>
      </c>
      <c r="AZ250" s="229">
        <v>1.9000000000000001</v>
      </c>
      <c r="BA250" s="526">
        <v>2</v>
      </c>
      <c r="BB250" s="229">
        <v>138</v>
      </c>
      <c r="BC250" s="229">
        <v>180</v>
      </c>
      <c r="BD250" s="229">
        <v>90</v>
      </c>
      <c r="BE250" s="229">
        <v>17</v>
      </c>
      <c r="BF250" s="229">
        <v>80</v>
      </c>
      <c r="BG250" s="229">
        <v>1</v>
      </c>
      <c r="BH250" s="229">
        <v>0.70000000000000007</v>
      </c>
      <c r="BI250" s="526">
        <v>0.125</v>
      </c>
      <c r="BJ250" s="229">
        <v>80</v>
      </c>
      <c r="BK250" s="229">
        <v>0.1</v>
      </c>
      <c r="BL250" s="229">
        <v>0.11000000000000001</v>
      </c>
      <c r="BM250" s="229">
        <v>1.2000000000000002</v>
      </c>
      <c r="BN250" s="229">
        <v>6.9999999999999993E-2</v>
      </c>
      <c r="BO250" s="229">
        <v>30</v>
      </c>
      <c r="BP250" s="229">
        <v>0.18000000000000002</v>
      </c>
      <c r="BQ250" s="229">
        <v>8</v>
      </c>
      <c r="BR250" s="526">
        <v>0.5</v>
      </c>
    </row>
    <row r="251" spans="1:70" s="229" customFormat="1">
      <c r="A251" s="587"/>
      <c r="B251" s="522"/>
      <c r="C251" s="522"/>
      <c r="D251" s="141"/>
      <c r="E251" s="594"/>
      <c r="F251" s="708"/>
      <c r="G251" s="522"/>
      <c r="H251" s="522"/>
      <c r="I251" s="86"/>
      <c r="J251" s="87"/>
      <c r="K251" s="595"/>
      <c r="L251" s="604"/>
      <c r="M251" s="846"/>
      <c r="N251" s="846"/>
      <c r="O251" s="588"/>
      <c r="P251" s="639" t="s">
        <v>407</v>
      </c>
      <c r="V251" s="526"/>
      <c r="W251" s="514">
        <f t="shared" ref="W251:AS251" si="585">100*W249/W250</f>
        <v>146.22641509433961</v>
      </c>
      <c r="X251" s="514">
        <f t="shared" si="585"/>
        <v>150.81896551724134</v>
      </c>
      <c r="Y251" s="514">
        <f t="shared" si="585"/>
        <v>260.68965517241378</v>
      </c>
      <c r="Z251" s="514">
        <f t="shared" si="585"/>
        <v>182.58064516129031</v>
      </c>
      <c r="AA251" s="514">
        <f t="shared" si="585"/>
        <v>34.584210526315793</v>
      </c>
      <c r="AB251" s="506">
        <f t="shared" si="585"/>
        <v>224.255</v>
      </c>
      <c r="AC251" s="514">
        <f t="shared" si="585"/>
        <v>271.88195652173914</v>
      </c>
      <c r="AD251" s="514">
        <f t="shared" si="585"/>
        <v>48.998388888888897</v>
      </c>
      <c r="AE251" s="514">
        <f t="shared" si="585"/>
        <v>159.66344444444445</v>
      </c>
      <c r="AF251" s="514">
        <f t="shared" si="585"/>
        <v>61.159411764705887</v>
      </c>
      <c r="AG251" s="514">
        <f t="shared" si="585"/>
        <v>141.09637499999999</v>
      </c>
      <c r="AH251" s="514">
        <f t="shared" si="585"/>
        <v>19.11</v>
      </c>
      <c r="AI251" s="514">
        <f t="shared" si="585"/>
        <v>122.44285714285712</v>
      </c>
      <c r="AJ251" s="506">
        <f t="shared" si="585"/>
        <v>147.85599999999999</v>
      </c>
      <c r="AK251" s="514">
        <f t="shared" si="585"/>
        <v>12.536375</v>
      </c>
      <c r="AL251" s="514">
        <f t="shared" si="585"/>
        <v>19.100000000000001</v>
      </c>
      <c r="AM251" s="514">
        <f t="shared" si="585"/>
        <v>68.272727272727266</v>
      </c>
      <c r="AN251" s="514">
        <f t="shared" si="585"/>
        <v>11.424999999999999</v>
      </c>
      <c r="AO251" s="514">
        <f t="shared" si="585"/>
        <v>66.142857142857153</v>
      </c>
      <c r="AP251" s="514">
        <f t="shared" si="585"/>
        <v>19.323666666666668</v>
      </c>
      <c r="AQ251" s="514">
        <f t="shared" si="585"/>
        <v>222.01111111111109</v>
      </c>
      <c r="AR251" s="514">
        <f t="shared" si="585"/>
        <v>9.713750000000001</v>
      </c>
      <c r="AS251" s="506">
        <f t="shared" si="585"/>
        <v>25.924000000000003</v>
      </c>
      <c r="AV251" s="505">
        <f t="shared" ref="AV251:BR251" si="586">100*AV249/AV250</f>
        <v>137.45020615631907</v>
      </c>
      <c r="AW251" s="505">
        <f t="shared" si="586"/>
        <v>150.48717844178339</v>
      </c>
      <c r="AX251" s="505">
        <f t="shared" si="586"/>
        <v>235.08629573274524</v>
      </c>
      <c r="AY251" s="505">
        <f t="shared" si="586"/>
        <v>153.30646560484331</v>
      </c>
      <c r="AZ251" s="505">
        <f t="shared" si="586"/>
        <v>34.584227786307132</v>
      </c>
      <c r="BA251" s="505">
        <f t="shared" si="586"/>
        <v>163.75492234703884</v>
      </c>
      <c r="BB251" s="505">
        <f t="shared" si="586"/>
        <v>240.55590725573475</v>
      </c>
      <c r="BC251" s="505">
        <f t="shared" si="586"/>
        <v>47.012296047457532</v>
      </c>
      <c r="BD251" s="505">
        <f t="shared" si="586"/>
        <v>116.88561233107163</v>
      </c>
      <c r="BE251" s="505">
        <f t="shared" si="586"/>
        <v>50.159407840825487</v>
      </c>
      <c r="BF251" s="505">
        <f t="shared" si="586"/>
        <v>104.65883126619686</v>
      </c>
      <c r="BG251" s="505">
        <f t="shared" si="586"/>
        <v>17.075003111498397</v>
      </c>
      <c r="BH251" s="505">
        <f t="shared" si="586"/>
        <v>90.22853152716273</v>
      </c>
      <c r="BI251" s="505">
        <f t="shared" si="586"/>
        <v>110.01595519202236</v>
      </c>
      <c r="BJ251" s="505">
        <f t="shared" si="586"/>
        <v>12.518506211359394</v>
      </c>
      <c r="BK251" s="505">
        <f t="shared" si="586"/>
        <v>15.249996865001082</v>
      </c>
      <c r="BL251" s="505">
        <f t="shared" si="586"/>
        <v>51.272707536373062</v>
      </c>
      <c r="BM251" s="505">
        <f t="shared" si="586"/>
        <v>10.966670890831178</v>
      </c>
      <c r="BN251" s="505">
        <f t="shared" si="586"/>
        <v>59.071438592851443</v>
      </c>
      <c r="BO251" s="505">
        <f t="shared" si="586"/>
        <v>15.656998159800919</v>
      </c>
      <c r="BP251" s="505">
        <f t="shared" si="586"/>
        <v>160.89991930004032</v>
      </c>
      <c r="BQ251" s="505">
        <f t="shared" si="586"/>
        <v>9.713754849247568</v>
      </c>
      <c r="BR251" s="505">
        <f t="shared" si="586"/>
        <v>18.773990523004727</v>
      </c>
    </row>
    <row r="252" spans="1:70" s="229" customFormat="1">
      <c r="A252" s="587"/>
      <c r="B252" s="522"/>
      <c r="C252" s="522"/>
      <c r="D252" s="141"/>
      <c r="E252" s="594"/>
      <c r="F252" s="708"/>
      <c r="G252" s="522"/>
      <c r="H252" s="522"/>
      <c r="I252" s="86"/>
      <c r="J252" s="87"/>
      <c r="K252" s="595"/>
      <c r="L252" s="604"/>
      <c r="M252" s="846"/>
      <c r="N252" s="846"/>
      <c r="O252" s="588"/>
      <c r="P252" s="639" t="s">
        <v>548</v>
      </c>
      <c r="V252" s="526"/>
      <c r="W252" s="583">
        <f>AV249</f>
        <v>254.97013241997183</v>
      </c>
      <c r="X252" s="583">
        <f t="shared" ref="X252:AH252" si="587">AW249</f>
        <v>34.913025398493751</v>
      </c>
      <c r="Y252" s="583">
        <f t="shared" si="587"/>
        <v>13.635005152499225</v>
      </c>
      <c r="Z252" s="583">
        <f t="shared" si="587"/>
        <v>9.5050008675002857</v>
      </c>
      <c r="AA252" s="583">
        <f t="shared" si="587"/>
        <v>0.65710032793983553</v>
      </c>
      <c r="AB252" s="549">
        <f t="shared" si="587"/>
        <v>3.2750984469407767</v>
      </c>
      <c r="AC252" s="583">
        <f t="shared" si="587"/>
        <v>331.96715201291397</v>
      </c>
      <c r="AD252" s="583">
        <f t="shared" si="587"/>
        <v>84.622132885423554</v>
      </c>
      <c r="AE252" s="583">
        <f t="shared" si="587"/>
        <v>105.19705109796446</v>
      </c>
      <c r="AF252" s="583">
        <f t="shared" si="587"/>
        <v>8.5270993329403328</v>
      </c>
      <c r="AG252" s="583">
        <f t="shared" si="587"/>
        <v>83.727065012957482</v>
      </c>
      <c r="AH252" s="583">
        <f t="shared" si="587"/>
        <v>0.17075003111498396</v>
      </c>
      <c r="AI252" s="583">
        <f>BH249</f>
        <v>0.63159972069013914</v>
      </c>
      <c r="AJ252" s="549">
        <f t="shared" ref="AJ252:AM252" si="588">BI249</f>
        <v>0.13751994399002795</v>
      </c>
      <c r="AK252" s="583">
        <f t="shared" si="588"/>
        <v>10.014804969087516</v>
      </c>
      <c r="AL252" s="583">
        <f t="shared" si="588"/>
        <v>1.5249996865001083E-2</v>
      </c>
      <c r="AM252" s="583">
        <f t="shared" si="588"/>
        <v>5.6399978290010373E-2</v>
      </c>
      <c r="AN252" s="583">
        <f>BM249</f>
        <v>0.13160005068997416</v>
      </c>
      <c r="AO252" s="583">
        <f t="shared" ref="AO252:AR252" si="589">BN249</f>
        <v>4.1350007014996006E-2</v>
      </c>
      <c r="AP252" s="583">
        <f t="shared" si="589"/>
        <v>4.6970994479402757</v>
      </c>
      <c r="AQ252" s="583">
        <f t="shared" si="589"/>
        <v>0.28961985474007262</v>
      </c>
      <c r="AR252" s="583">
        <f t="shared" si="589"/>
        <v>0.77710038793980551</v>
      </c>
      <c r="AS252" s="549">
        <f>BR249</f>
        <v>9.3869952615023636E-2</v>
      </c>
    </row>
    <row r="253" spans="1:70" s="229" customFormat="1">
      <c r="A253" s="587"/>
      <c r="B253" s="522"/>
      <c r="C253" s="522"/>
      <c r="D253" s="141"/>
      <c r="E253" s="594"/>
      <c r="F253" s="708"/>
      <c r="G253" s="522"/>
      <c r="H253" s="522"/>
      <c r="I253" s="86"/>
      <c r="J253" s="87"/>
      <c r="K253" s="595"/>
      <c r="L253" s="604"/>
      <c r="M253" s="846"/>
      <c r="N253" s="846"/>
      <c r="O253" s="588"/>
      <c r="P253" s="639" t="s">
        <v>543</v>
      </c>
      <c r="V253" s="526"/>
      <c r="W253" s="514">
        <f t="shared" ref="W253:AS253" si="590">AV251</f>
        <v>137.45020615631907</v>
      </c>
      <c r="X253" s="514">
        <f t="shared" si="590"/>
        <v>150.48717844178339</v>
      </c>
      <c r="Y253" s="514">
        <f t="shared" si="590"/>
        <v>235.08629573274524</v>
      </c>
      <c r="Z253" s="514">
        <f t="shared" si="590"/>
        <v>153.30646560484331</v>
      </c>
      <c r="AA253" s="514">
        <f t="shared" si="590"/>
        <v>34.584227786307132</v>
      </c>
      <c r="AB253" s="506">
        <f t="shared" si="590"/>
        <v>163.75492234703884</v>
      </c>
      <c r="AC253" s="514">
        <f t="shared" si="590"/>
        <v>240.55590725573475</v>
      </c>
      <c r="AD253" s="514">
        <f t="shared" si="590"/>
        <v>47.012296047457532</v>
      </c>
      <c r="AE253" s="514">
        <f t="shared" si="590"/>
        <v>116.88561233107163</v>
      </c>
      <c r="AF253" s="514">
        <f t="shared" si="590"/>
        <v>50.159407840825487</v>
      </c>
      <c r="AG253" s="514">
        <f t="shared" si="590"/>
        <v>104.65883126619686</v>
      </c>
      <c r="AH253" s="514">
        <f t="shared" si="590"/>
        <v>17.075003111498397</v>
      </c>
      <c r="AI253" s="514">
        <f t="shared" si="590"/>
        <v>90.22853152716273</v>
      </c>
      <c r="AJ253" s="506">
        <f t="shared" si="590"/>
        <v>110.01595519202236</v>
      </c>
      <c r="AK253" s="514">
        <f t="shared" si="590"/>
        <v>12.518506211359394</v>
      </c>
      <c r="AL253" s="514">
        <f t="shared" si="590"/>
        <v>15.249996865001082</v>
      </c>
      <c r="AM253" s="514">
        <f t="shared" si="590"/>
        <v>51.272707536373062</v>
      </c>
      <c r="AN253" s="514">
        <f t="shared" si="590"/>
        <v>10.966670890831178</v>
      </c>
      <c r="AO253" s="514">
        <f t="shared" si="590"/>
        <v>59.071438592851443</v>
      </c>
      <c r="AP253" s="514">
        <f t="shared" si="590"/>
        <v>15.656998159800919</v>
      </c>
      <c r="AQ253" s="514">
        <f t="shared" si="590"/>
        <v>160.89991930004032</v>
      </c>
      <c r="AR253" s="514">
        <f t="shared" si="590"/>
        <v>9.713754849247568</v>
      </c>
      <c r="AS253" s="506">
        <f t="shared" si="590"/>
        <v>18.773990523004727</v>
      </c>
      <c r="AV253" s="514"/>
      <c r="AW253" s="514"/>
      <c r="AX253" s="514"/>
      <c r="AY253" s="514"/>
      <c r="AZ253" s="514"/>
      <c r="BA253" s="505"/>
      <c r="BB253" s="514"/>
      <c r="BC253" s="514"/>
      <c r="BD253" s="514"/>
      <c r="BE253" s="514"/>
      <c r="BF253" s="514"/>
      <c r="BG253" s="514"/>
      <c r="BH253" s="514"/>
      <c r="BI253" s="505"/>
      <c r="BJ253" s="514"/>
      <c r="BK253" s="514"/>
      <c r="BL253" s="514"/>
      <c r="BM253" s="514"/>
      <c r="BN253" s="514"/>
      <c r="BO253" s="514"/>
      <c r="BP253" s="514"/>
      <c r="BQ253" s="514"/>
      <c r="BR253" s="505"/>
    </row>
    <row r="254" spans="1:70" s="229" customFormat="1" ht="16" thickBot="1">
      <c r="A254" s="587"/>
      <c r="B254" s="587"/>
      <c r="C254" s="587"/>
      <c r="D254" s="111"/>
      <c r="E254" s="631"/>
      <c r="F254" s="712"/>
      <c r="G254" s="632" t="s">
        <v>795</v>
      </c>
      <c r="H254" s="633"/>
      <c r="I254" s="686"/>
      <c r="J254" s="686"/>
      <c r="K254" s="587"/>
      <c r="L254" s="634"/>
      <c r="M254" s="843"/>
      <c r="N254" s="843"/>
      <c r="O254" s="588"/>
      <c r="P254" s="587"/>
      <c r="Q254" s="587"/>
      <c r="R254" s="587"/>
      <c r="S254" s="587"/>
      <c r="T254" s="587"/>
      <c r="U254" s="635"/>
      <c r="V254" s="636"/>
      <c r="W254" s="587"/>
      <c r="X254" s="587"/>
      <c r="Y254" s="587"/>
      <c r="Z254" s="587"/>
      <c r="AA254" s="637">
        <f>COUNTIF(AA255:AA279,"&lt;0")</f>
        <v>0</v>
      </c>
      <c r="AB254" s="637">
        <f t="shared" ref="AB254" si="591">COUNTIF(AB255:AB279,"&lt;0")</f>
        <v>0</v>
      </c>
      <c r="AC254" s="637">
        <f t="shared" ref="AC254" si="592">COUNTIF(AC255:AC279,"&lt;0")</f>
        <v>0</v>
      </c>
      <c r="AD254" s="637">
        <f t="shared" ref="AD254" si="593">COUNTIF(AD255:AD279,"&lt;0")</f>
        <v>0</v>
      </c>
      <c r="AE254" s="637">
        <f t="shared" ref="AE254" si="594">COUNTIF(AE255:AE279,"&lt;0")</f>
        <v>0</v>
      </c>
      <c r="AF254" s="637">
        <f t="shared" ref="AF254" si="595">COUNTIF(AF255:AF279,"&lt;0")</f>
        <v>0</v>
      </c>
      <c r="AG254" s="637">
        <f t="shared" ref="AG254" si="596">COUNTIF(AG255:AG279,"&lt;0")</f>
        <v>0</v>
      </c>
      <c r="AH254" s="637">
        <f t="shared" ref="AH254" si="597">COUNTIF(AH255:AH279,"&lt;0")</f>
        <v>0</v>
      </c>
      <c r="AI254" s="637">
        <f t="shared" ref="AI254" si="598">COUNTIF(AI255:AI279,"&lt;0")</f>
        <v>0</v>
      </c>
      <c r="AJ254" s="637">
        <f t="shared" ref="AJ254" si="599">COUNTIF(AJ255:AJ279,"&lt;0")</f>
        <v>0</v>
      </c>
      <c r="AK254" s="637">
        <f t="shared" ref="AK254" si="600">COUNTIF(AK255:AK279,"&lt;0")</f>
        <v>0</v>
      </c>
      <c r="AL254" s="637">
        <f t="shared" ref="AL254" si="601">COUNTIF(AL255:AL279,"&lt;0")</f>
        <v>0</v>
      </c>
      <c r="AM254" s="637">
        <f t="shared" ref="AM254" si="602">COUNTIF(AM255:AM279,"&lt;0")</f>
        <v>0</v>
      </c>
      <c r="AN254" s="637">
        <f t="shared" ref="AN254" si="603">COUNTIF(AN255:AN279,"&lt;0")</f>
        <v>0</v>
      </c>
      <c r="AO254" s="637">
        <f t="shared" ref="AO254" si="604">COUNTIF(AO255:AO279,"&lt;0")</f>
        <v>0</v>
      </c>
      <c r="AP254" s="637">
        <f t="shared" ref="AP254" si="605">COUNTIF(AP255:AP279,"&lt;0")</f>
        <v>0</v>
      </c>
      <c r="AQ254" s="637">
        <f t="shared" ref="AQ254" si="606">COUNTIF(AQ255:AQ279,"&lt;0")</f>
        <v>0</v>
      </c>
      <c r="AR254" s="637">
        <f t="shared" ref="AR254" si="607">COUNTIF(AR255:AR279,"&lt;0")</f>
        <v>0</v>
      </c>
      <c r="AS254" s="637">
        <f t="shared" ref="AS254" si="608">COUNTIF(AS255:AS279,"&lt;0")</f>
        <v>0</v>
      </c>
      <c r="AT254" s="1298"/>
      <c r="AU254" s="1298"/>
    </row>
    <row r="255" spans="1:70" s="229" customFormat="1" ht="15" customHeight="1" thickBot="1">
      <c r="A255" s="587"/>
      <c r="B255" s="575" t="s">
        <v>3066</v>
      </c>
      <c r="C255" s="229" t="s">
        <v>69</v>
      </c>
      <c r="D255" s="85"/>
      <c r="E255" s="577">
        <v>100</v>
      </c>
      <c r="F255" s="707" t="s">
        <v>3046</v>
      </c>
      <c r="G255" s="406" t="s">
        <v>3140</v>
      </c>
      <c r="H255" s="578" t="s">
        <v>3134</v>
      </c>
      <c r="I255" s="85">
        <v>50</v>
      </c>
      <c r="J255" s="682">
        <v>1</v>
      </c>
      <c r="K255" s="579">
        <f t="shared" ref="K255:K279" si="609">IF(I255&gt;0,1.1*Q255*E255/1000,"")</f>
        <v>5.5000000000000009</v>
      </c>
      <c r="L255" s="580">
        <f>IF(H255="Select ingredient:","",IF(G255="","",_xlfn.IFNA(VLOOKUP($H255,Ingredient_prices!$E:$U,16,FALSE),0)))</f>
        <v>500</v>
      </c>
      <c r="M255" s="844"/>
      <c r="N255" s="1228">
        <f>$W281</f>
        <v>886.37926739417242</v>
      </c>
      <c r="O255" s="588"/>
      <c r="P255" s="589"/>
      <c r="Q255" s="583">
        <f t="shared" ref="Q255:Q279" si="610">I255/J255</f>
        <v>50</v>
      </c>
      <c r="R255" s="583">
        <f>VLOOKUP($H255,'CO2_emission+%_food_waste'!$A:$K,6,FALSE)*$Q255/100</f>
        <v>12.75</v>
      </c>
      <c r="S255" s="583">
        <f t="shared" ref="S255:S279" si="611">Q255-R255</f>
        <v>37.25</v>
      </c>
      <c r="T255" s="583">
        <f>IF(H255="Select ingredient:","",IF(G255="Select food category:","",_xlfn.IFNA(VLOOKUP($H255,Ingredient_prices!$E:$U,16,FALSE)*$Q255/1000,"not bought")))</f>
        <v>25</v>
      </c>
      <c r="U255" s="583">
        <f>IF(G255="Select food category:","",_xlfn.IFNA(VLOOKUP($H255,Ingredient_prices!$E:$U,16,FALSE)*$R255/1000,"not bought"))</f>
        <v>6.375</v>
      </c>
      <c r="V255" s="549">
        <f>VLOOKUP($H255,'CO2_emission+%_food_waste'!$A:$K,4,FALSE)*$Q255</f>
        <v>30.5</v>
      </c>
      <c r="W255" s="583">
        <f>VLOOKUP($H255,Nutrition_tables!$A:$N,10,FALSE)*$Q255/100</f>
        <v>162.0458469435371</v>
      </c>
      <c r="X255" s="583">
        <f>VLOOKUP($H255,Nutrition_tables!$A:$N,11,FALSE)*$Q255/100</f>
        <v>31.150023331777881</v>
      </c>
      <c r="Y255" s="583">
        <f>VLOOKUP($H255,Nutrition_tables!$A:$N,12,FALSE)*$Q255/100</f>
        <v>10.650023331777881</v>
      </c>
      <c r="Z255" s="583">
        <f>VLOOKUP($H255,Nutrition_tables!$A:$N,14,FALSE)*$Q255/100</f>
        <v>0.80004666355576293</v>
      </c>
      <c r="AA255" s="583">
        <f>VLOOKUP($H255,Nutrition_tables!$A:$AF,13,FALSE)*$Q255/100</f>
        <v>9.1999533364442367</v>
      </c>
      <c r="AB255" s="549">
        <f>VLOOKUP($H255,Nutrition_tables!$A:$AF,15,FALSE)*$Q255/100</f>
        <v>9.6476901539897339E-2</v>
      </c>
      <c r="AC255" s="583">
        <f>VLOOKUP($H255,Nutrition_tables!$A:$AF,16,FALSE)*$Q255/100</f>
        <v>3.0000000000000004</v>
      </c>
      <c r="AD255" s="583">
        <f>VLOOKUP($H255,Nutrition_tables!$A:$AF,17,FALSE)*$Q255/100</f>
        <v>765</v>
      </c>
      <c r="AE255" s="583">
        <f>VLOOKUP($H255,Nutrition_tables!$A:$AF,18,FALSE)*$Q255/100</f>
        <v>63</v>
      </c>
      <c r="AF255" s="583">
        <f>VLOOKUP($H255,Nutrition_tables!$A:$AF,19,FALSE)*$Q255/100</f>
        <v>92</v>
      </c>
      <c r="AG255" s="583">
        <f>VLOOKUP($H255,Nutrition_tables!$A:$AF,20,FALSE)*$Q255/100</f>
        <v>212.5</v>
      </c>
      <c r="AH255" s="583">
        <f>VLOOKUP($H255,Nutrition_tables!$A:$AF,21,FALSE)*$Q255/100</f>
        <v>2.75</v>
      </c>
      <c r="AI255" s="583">
        <f>VLOOKUP($H255,Nutrition_tables!$A:$AF,22,FALSE)*$Q255/100</f>
        <v>1.3899906672888478</v>
      </c>
      <c r="AJ255" s="549">
        <f>VLOOKUP($H255,Nutrition_tables!$A:$AF,23,FALSE)*$Q255/100</f>
        <v>0.23495100326644891</v>
      </c>
      <c r="AK255" s="583">
        <f>VLOOKUP($H255,Nutrition_tables!$A:$AF,24,FALSE)*$Q255/100</f>
        <v>0.54001399906672887</v>
      </c>
      <c r="AL255" s="583">
        <f>VLOOKUP($H255,Nutrition_tables!$A:$AF,25,FALSE)*$Q255/100</f>
        <v>0.21850209986000935</v>
      </c>
      <c r="AM255" s="583">
        <f>VLOOKUP($H255,Nutrition_tables!$A:$AF,26,FALSE)*$Q255/100</f>
        <v>7.3028464769015408E-2</v>
      </c>
      <c r="AN255" s="583">
        <f>VLOOKUP($H255,Nutrition_tables!$A:$AF,27,FALSE)*$Q255/100</f>
        <v>1.050046663555763</v>
      </c>
      <c r="AO255" s="583">
        <f>VLOOKUP($H255,Nutrition_tables!$A:$AF,28,FALSE)*$Q255/100</f>
        <v>0.25396640223985067</v>
      </c>
      <c r="AP255" s="583">
        <f>VLOOKUP($H255,Nutrition_tables!$A:$AF,29,FALSE)*$Q255/100</f>
        <v>113.00000000000001</v>
      </c>
      <c r="AQ255" s="583">
        <f>VLOOKUP($H255,Nutrition_tables!$A:$AF,30,FALSE)*$Q255/100</f>
        <v>0</v>
      </c>
      <c r="AR255" s="583">
        <f>VLOOKUP($H255,Nutrition_tables!$A:$AF,31,FALSE)*$Q255/100</f>
        <v>1.0199486700886606</v>
      </c>
      <c r="AS255" s="549">
        <f>VLOOKUP($H255,Nutrition_tables!$A:$AF,32,FALSE)*$Q255/100</f>
        <v>0</v>
      </c>
      <c r="AT255" s="583">
        <f>IF(H255="Select ingredient:","",IF(G255="Select food category:","",IFERROR(VLOOKUP($H255,Ingredient_prices!$E:$W,17,FALSE)*$Q255/1000,"not bought")))</f>
        <v>9.9</v>
      </c>
      <c r="AU255" s="583">
        <f>IF(H255="Select ingredient:","",IF(G255="Select food category:","",IFERROR(VLOOKUP($H255,Ingredient_prices!$E:$W,18,FALSE)*$Q255/1000,"not bought")))</f>
        <v>25</v>
      </c>
      <c r="AV255" s="583">
        <f t="shared" ref="AV255:AV279" si="612">W255*($Q255-$R255)/($Q255+0.00001)</f>
        <v>120.72413182810875</v>
      </c>
      <c r="AW255" s="583">
        <f t="shared" ref="AW255:AW279" si="613">X255*($Q255-$R255)/($Q255+0.00001)</f>
        <v>23.206762740821972</v>
      </c>
      <c r="AX255" s="583">
        <f t="shared" ref="AX255:AX279" si="614">Y255*($Q255-$R255)/($Q255+0.00001)</f>
        <v>7.9342657953213616</v>
      </c>
      <c r="AY255" s="583">
        <f t="shared" ref="AY255:AY279" si="615">Z255*($Q255-$R255)/($Q255+0.00001)</f>
        <v>0.59603464514211435</v>
      </c>
      <c r="AZ255" s="583">
        <f t="shared" ref="AZ255:AZ279" si="616">AA255*($Q255-$R255)/($Q255+0.00001)</f>
        <v>6.8539638648581835</v>
      </c>
      <c r="BA255" s="583">
        <f t="shared" ref="BA255:BA279" si="617">AB255*($Q255-$R255)/($Q255+0.00001)</f>
        <v>7.1875277272168053E-2</v>
      </c>
      <c r="BB255" s="583">
        <f t="shared" ref="BB255:BB279" si="618">AC255*($Q255-$R255)/($Q255+0.00001)</f>
        <v>2.2349995530000895</v>
      </c>
      <c r="BC255" s="583">
        <f t="shared" ref="BC255:BC279" si="619">AD255*($Q255-$R255)/($Q255+0.00001)</f>
        <v>569.92488601502271</v>
      </c>
      <c r="BD255" s="583">
        <f t="shared" ref="BD255:BD269" si="620">AE255*($Q255-$R255)/($Q255+0.00001)</f>
        <v>46.934990613001872</v>
      </c>
      <c r="BE255" s="583">
        <f t="shared" ref="BE255:BE269" si="621">AF255*($Q255-$R255)/($Q255+0.00001)</f>
        <v>68.539986292002737</v>
      </c>
      <c r="BF255" s="583">
        <f t="shared" ref="BF255:BF269" si="622">AG255*($Q255-$R255)/($Q255+0.00001)</f>
        <v>158.31246833750632</v>
      </c>
      <c r="BG255" s="583">
        <f t="shared" ref="BG255:BG269" si="623">AH255*($Q255-$R255)/($Q255+0.00001)</f>
        <v>2.0487495902500816</v>
      </c>
      <c r="BH255" s="583">
        <f t="shared" ref="BH255:BH269" si="624">AI255*($Q255-$R255)/($Q255+0.00001)</f>
        <v>1.0355428400216236</v>
      </c>
      <c r="BI255" s="583">
        <f t="shared" ref="BI255:BI269" si="625">AJ255*($Q255-$R255)/($Q255+0.00001)</f>
        <v>0.17503846242581195</v>
      </c>
      <c r="BJ255" s="583">
        <f t="shared" ref="BJ255:BJ269" si="626">AK255*($Q255-$R255)/($Q255+0.00001)</f>
        <v>0.40231034884264327</v>
      </c>
      <c r="BK255" s="583">
        <f t="shared" ref="BK255:BK269" si="627">AL255*($Q255-$R255)/($Q255+0.00001)</f>
        <v>0.16278403183890058</v>
      </c>
      <c r="BL255" s="583">
        <f t="shared" ref="BL255:BL269" si="628">AM255*($Q255-$R255)/($Q255+0.00001)</f>
        <v>5.4406195371677402E-2</v>
      </c>
      <c r="BM255" s="583">
        <f t="shared" ref="BM255:BM269" si="629">AN255*($Q255-$R255)/($Q255+0.00001)</f>
        <v>0.78228460789212184</v>
      </c>
      <c r="BN255" s="583">
        <f t="shared" ref="BN255:BN269" si="630">AO255*($Q255-$R255)/($Q255+0.00001)</f>
        <v>0.18920493182770237</v>
      </c>
      <c r="BO255" s="583">
        <f t="shared" ref="BO255:BO269" si="631">AP255*($Q255-$R255)/($Q255+0.00001)</f>
        <v>84.18498316300338</v>
      </c>
      <c r="BP255" s="583">
        <f t="shared" ref="BP255:BP269" si="632">AQ255*($Q255-$R255)/($Q255+0.00001)</f>
        <v>0</v>
      </c>
      <c r="BQ255" s="583">
        <f t="shared" ref="BQ255:BQ269" si="633">AR255*($Q255-$R255)/($Q255+0.00001)</f>
        <v>0.75986160724373075</v>
      </c>
      <c r="BR255" s="583">
        <f t="shared" ref="BR255:BR269" si="634">AS255*($Q255-$R255)/($Q255+0.00001)</f>
        <v>0</v>
      </c>
    </row>
    <row r="256" spans="1:70" s="229" customFormat="1" ht="15" customHeight="1">
      <c r="A256" s="587"/>
      <c r="D256" s="749"/>
      <c r="E256" s="576">
        <f>IF(E$255&gt;0,E$255,"")</f>
        <v>100</v>
      </c>
      <c r="F256" s="85"/>
      <c r="G256" s="406" t="s">
        <v>3070</v>
      </c>
      <c r="H256" s="578" t="s">
        <v>3194</v>
      </c>
      <c r="I256" s="85">
        <v>30</v>
      </c>
      <c r="J256" s="682">
        <v>1</v>
      </c>
      <c r="K256" s="579">
        <f t="shared" si="609"/>
        <v>3.3</v>
      </c>
      <c r="L256" s="580">
        <f>IF(H256="Select ingredient:","",IF(G256="","",_xlfn.IFNA(VLOOKUP($H256,Ingredient_prices!$E:$U,16,FALSE),0)))</f>
        <v>372</v>
      </c>
      <c r="M256" s="844"/>
      <c r="N256" s="844"/>
      <c r="O256" s="588"/>
      <c r="P256" s="589"/>
      <c r="Q256" s="583">
        <f t="shared" si="610"/>
        <v>30</v>
      </c>
      <c r="R256" s="583">
        <f>VLOOKUP($H256,'CO2_emission+%_food_waste'!$A:$K,6,FALSE)*$Q256/100</f>
        <v>16.218000000000004</v>
      </c>
      <c r="S256" s="583">
        <f t="shared" si="611"/>
        <v>13.781999999999996</v>
      </c>
      <c r="T256" s="583">
        <f>IF(H256="Select ingredient:","",IF(G256="Select food category:","",_xlfn.IFNA(VLOOKUP($H256,Ingredient_prices!$E:$U,16,FALSE)*$Q256/1000,"not bought")))</f>
        <v>11.16</v>
      </c>
      <c r="U256" s="583">
        <f>IF(G256="Select food category:","",_xlfn.IFNA(VLOOKUP($H256,Ingredient_prices!$E:$U,16,FALSE)*$R256/1000,"not bought"))</f>
        <v>6.0330960000000013</v>
      </c>
      <c r="V256" s="549">
        <f>VLOOKUP($H256,'CO2_emission+%_food_waste'!$A:$K,4,FALSE)*$Q256</f>
        <v>271.2</v>
      </c>
      <c r="W256" s="583">
        <f>VLOOKUP($H256,Nutrition_tables!$A:$N,10,FALSE)*$Q256/100</f>
        <v>108.3</v>
      </c>
      <c r="X256" s="583">
        <f>VLOOKUP($H256,Nutrition_tables!$A:$N,11,FALSE)*$Q256/100</f>
        <v>0</v>
      </c>
      <c r="Y256" s="583">
        <f>VLOOKUP($H256,Nutrition_tables!$A:$N,12,FALSE)*$Q256/100</f>
        <v>6.2670000000000003</v>
      </c>
      <c r="Z256" s="583">
        <f>VLOOKUP($H256,Nutrition_tables!$A:$N,14,FALSE)*$Q256/100</f>
        <v>9.2579999999999991</v>
      </c>
      <c r="AA256" s="583">
        <f>VLOOKUP($H256,Nutrition_tables!$A:$AF,13,FALSE)*$Q256/100</f>
        <v>0</v>
      </c>
      <c r="AB256" s="549">
        <f>VLOOKUP($H256,Nutrition_tables!$A:$AF,15,FALSE)*$Q256/100</f>
        <v>2.7726000000000006</v>
      </c>
      <c r="AC256" s="583">
        <f>VLOOKUP($H256,Nutrition_tables!$A:$AF,16,FALSE)*$Q256/100</f>
        <v>27.3</v>
      </c>
      <c r="AD256" s="583">
        <f>VLOOKUP($H256,Nutrition_tables!$A:$AF,17,FALSE)*$Q256/100</f>
        <v>79.5</v>
      </c>
      <c r="AE256" s="583">
        <f>VLOOKUP($H256,Nutrition_tables!$A:$AF,18,FALSE)*$Q256/100</f>
        <v>5.7</v>
      </c>
      <c r="AF256" s="583">
        <f>VLOOKUP($H256,Nutrition_tables!$A:$AF,19,FALSE)*$Q256/100</f>
        <v>5.4</v>
      </c>
      <c r="AG256" s="583">
        <f>VLOOKUP($H256,Nutrition_tables!$A:$AF,20,FALSE)*$Q256/100</f>
        <v>48.6</v>
      </c>
      <c r="AH256" s="583">
        <f>VLOOKUP($H256,Nutrition_tables!$A:$AF,21,FALSE)*$Q256/100</f>
        <v>0.42899999999999999</v>
      </c>
      <c r="AI256" s="583">
        <f>VLOOKUP($H256,Nutrition_tables!$A:$AF,22,FALSE)*$Q256/100</f>
        <v>0.97800000000000009</v>
      </c>
      <c r="AJ256" s="549">
        <f>VLOOKUP($H256,Nutrition_tables!$A:$AF,23,FALSE)*$Q256/100</f>
        <v>3.4200000000000001E-2</v>
      </c>
      <c r="AK256" s="583">
        <f>VLOOKUP($H256,Nutrition_tables!$A:$AF,24,FALSE)*$Q256/100</f>
        <v>0.15</v>
      </c>
      <c r="AL256" s="583">
        <f>VLOOKUP($H256,Nutrition_tables!$A:$AF,25,FALSE)*$Q256/100</f>
        <v>0.12539999999999998</v>
      </c>
      <c r="AM256" s="583">
        <f>VLOOKUP($H256,Nutrition_tables!$A:$AF,26,FALSE)*$Q256/100</f>
        <v>9.8400000000000001E-2</v>
      </c>
      <c r="AN256" s="583">
        <f>VLOOKUP($H256,Nutrition_tables!$A:$AF,27,FALSE)*$Q256/100</f>
        <v>0.474825</v>
      </c>
      <c r="AO256" s="583">
        <f>VLOOKUP($H256,Nutrition_tables!$A:$AF,28,FALSE)*$Q256/100</f>
        <v>0.17699999999999999</v>
      </c>
      <c r="AP256" s="583">
        <f>VLOOKUP($H256,Nutrition_tables!$A:$AF,29,FALSE)*$Q256/100</f>
        <v>0</v>
      </c>
      <c r="AQ256" s="583">
        <f>VLOOKUP($H256,Nutrition_tables!$A:$AF,30,FALSE)*$Q256/100</f>
        <v>0.13500000000000001</v>
      </c>
      <c r="AR256" s="583">
        <f>VLOOKUP($H256,Nutrition_tables!$A:$AF,31,FALSE)*$Q256/100</f>
        <v>0</v>
      </c>
      <c r="AS256" s="549">
        <f>VLOOKUP($H256,Nutrition_tables!$A:$AF,32,FALSE)*$Q256/100</f>
        <v>0.66</v>
      </c>
      <c r="AT256" s="583">
        <f>IF(H256="Select ingredient:","",IF(G256="Select food category:","",IFERROR(VLOOKUP($H256,Ingredient_prices!$E:$W,17,FALSE)*$Q256/1000,"not bought")))</f>
        <v>11.16</v>
      </c>
      <c r="AU256" s="583">
        <f>IF(H256="Select ingredient:","",IF(G256="Select food category:","",IFERROR(VLOOKUP($H256,Ingredient_prices!$E:$W,18,FALSE)*$Q256/1000,"not bought")))</f>
        <v>11.16</v>
      </c>
      <c r="AV256" s="583">
        <f t="shared" si="612"/>
        <v>49.753003415665511</v>
      </c>
      <c r="AW256" s="583">
        <f t="shared" si="613"/>
        <v>0</v>
      </c>
      <c r="AX256" s="583">
        <f t="shared" si="614"/>
        <v>2.8790588403137192</v>
      </c>
      <c r="AY256" s="583">
        <f t="shared" si="615"/>
        <v>4.2531237822920716</v>
      </c>
      <c r="AZ256" s="583">
        <f t="shared" si="616"/>
        <v>0</v>
      </c>
      <c r="BA256" s="583">
        <f t="shared" si="617"/>
        <v>1.2737320154226615</v>
      </c>
      <c r="BB256" s="583">
        <f t="shared" si="618"/>
        <v>12.54161581946139</v>
      </c>
      <c r="BC256" s="583">
        <f t="shared" si="619"/>
        <v>36.522287825904044</v>
      </c>
      <c r="BD256" s="583">
        <f t="shared" si="620"/>
        <v>2.6185791271402907</v>
      </c>
      <c r="BE256" s="583">
        <f t="shared" si="621"/>
        <v>2.4807591730802749</v>
      </c>
      <c r="BF256" s="583">
        <f t="shared" si="622"/>
        <v>22.326832557722479</v>
      </c>
      <c r="BG256" s="583">
        <f t="shared" si="623"/>
        <v>0.19708253430582184</v>
      </c>
      <c r="BH256" s="583">
        <f t="shared" si="624"/>
        <v>0.44929305023564986</v>
      </c>
      <c r="BI256" s="583">
        <f t="shared" si="625"/>
        <v>1.5711474762841741E-2</v>
      </c>
      <c r="BJ256" s="583">
        <f t="shared" si="626"/>
        <v>6.8909977030007646E-2</v>
      </c>
      <c r="BK256" s="583">
        <f t="shared" si="627"/>
        <v>5.7608740797086382E-2</v>
      </c>
      <c r="BL256" s="583">
        <f t="shared" si="628"/>
        <v>4.5204944931685011E-2</v>
      </c>
      <c r="BM256" s="583">
        <f t="shared" si="629"/>
        <v>0.2181345322884892</v>
      </c>
      <c r="BN256" s="583">
        <f t="shared" si="630"/>
        <v>8.1313772895409017E-2</v>
      </c>
      <c r="BO256" s="583">
        <f t="shared" si="631"/>
        <v>0</v>
      </c>
      <c r="BP256" s="583">
        <f t="shared" si="632"/>
        <v>6.2018979327006882E-2</v>
      </c>
      <c r="BQ256" s="583">
        <f t="shared" si="633"/>
        <v>0</v>
      </c>
      <c r="BR256" s="583">
        <f t="shared" si="634"/>
        <v>0.30320389893203359</v>
      </c>
    </row>
    <row r="257" spans="1:70" s="229" customFormat="1" ht="15" customHeight="1">
      <c r="A257" s="587"/>
      <c r="D257" s="406"/>
      <c r="E257" s="576">
        <f t="shared" ref="E257:E279" si="635">IF(E$255&gt;0,E$255,"")</f>
        <v>100</v>
      </c>
      <c r="F257" s="85"/>
      <c r="G257" s="406" t="s">
        <v>3140</v>
      </c>
      <c r="H257" s="578" t="s">
        <v>3100</v>
      </c>
      <c r="I257" s="85">
        <v>12</v>
      </c>
      <c r="J257" s="682">
        <v>1</v>
      </c>
      <c r="K257" s="579">
        <f t="shared" si="609"/>
        <v>1.32</v>
      </c>
      <c r="L257" s="580">
        <f>IF(H257="Select ingredient:","",IF(G257="","",_xlfn.IFNA(VLOOKUP($H257,Ingredient_prices!$E:$U,16,FALSE),0)))</f>
        <v>120</v>
      </c>
      <c r="M257" s="844"/>
      <c r="N257" s="844"/>
      <c r="O257" s="588"/>
      <c r="P257" s="589"/>
      <c r="Q257" s="583">
        <f t="shared" si="610"/>
        <v>12</v>
      </c>
      <c r="R257" s="583">
        <f>VLOOKUP($H257,'CO2_emission+%_food_waste'!$A:$K,6,FALSE)*$Q257/100</f>
        <v>3.18</v>
      </c>
      <c r="S257" s="583">
        <f t="shared" si="611"/>
        <v>8.82</v>
      </c>
      <c r="T257" s="583">
        <f>IF(H257="Select ingredient:","",IF(G257="Select food category:","",_xlfn.IFNA(VLOOKUP($H257,Ingredient_prices!$E:$U,16,FALSE)*$Q257/1000,"not bought")))</f>
        <v>1.44</v>
      </c>
      <c r="U257" s="583">
        <f>IF(G257="Select food category:","",_xlfn.IFNA(VLOOKUP($H257,Ingredient_prices!$E:$U,16,FALSE)*$R257/1000,"not bought"))</f>
        <v>0.38160000000000005</v>
      </c>
      <c r="V257" s="549">
        <f>VLOOKUP($H257,'CO2_emission+%_food_waste'!$A:$K,4,FALSE)*$Q257</f>
        <v>5.76</v>
      </c>
      <c r="W257" s="583">
        <f>VLOOKUP($H257,Nutrition_tables!$A:$N,10,FALSE)*$Q257/100</f>
        <v>3.36</v>
      </c>
      <c r="X257" s="583">
        <f>VLOOKUP($H257,Nutrition_tables!$A:$N,11,FALSE)*$Q257/100</f>
        <v>1.2</v>
      </c>
      <c r="Y257" s="583">
        <f>VLOOKUP($H257,Nutrition_tables!$A:$N,12,FALSE)*$Q257/100</f>
        <v>0.14119999999999996</v>
      </c>
      <c r="Z257" s="583">
        <f>VLOOKUP($H257,Nutrition_tables!$A:$N,14,FALSE)*$Q257/100</f>
        <v>0.03</v>
      </c>
      <c r="AA257" s="583">
        <f>VLOOKUP($H257,Nutrition_tables!$A:$AF,13,FALSE)*$Q257/100</f>
        <v>0.20399999999999999</v>
      </c>
      <c r="AB257" s="549">
        <f>VLOOKUP($H257,Nutrition_tables!$A:$AF,15,FALSE)*$Q257/100</f>
        <v>1.14E-2</v>
      </c>
      <c r="AC257" s="583">
        <f>VLOOKUP($H257,Nutrition_tables!$A:$AF,16,FALSE)*$Q257/100</f>
        <v>0.48</v>
      </c>
      <c r="AD257" s="583">
        <f>VLOOKUP($H257,Nutrition_tables!$A:$AF,17,FALSE)*$Q257/100</f>
        <v>17.52</v>
      </c>
      <c r="AE257" s="583">
        <f>VLOOKUP($H257,Nutrition_tables!$A:$AF,18,FALSE)*$Q257/100</f>
        <v>2.76</v>
      </c>
      <c r="AF257" s="583">
        <f>VLOOKUP($H257,Nutrition_tables!$A:$AF,19,FALSE)*$Q257/100</f>
        <v>1.2</v>
      </c>
      <c r="AG257" s="583">
        <f>VLOOKUP($H257,Nutrition_tables!$A:$AF,20,FALSE)*$Q257/100</f>
        <v>3.48</v>
      </c>
      <c r="AH257" s="583">
        <f>VLOOKUP($H257,Nutrition_tables!$A:$AF,21,FALSE)*$Q257/100</f>
        <v>2.52E-2</v>
      </c>
      <c r="AI257" s="583">
        <f>VLOOKUP($H257,Nutrition_tables!$A:$AF,22,FALSE)*$Q257/100</f>
        <v>2.0400000000000001E-2</v>
      </c>
      <c r="AJ257" s="549">
        <f>VLOOKUP($H257,Nutrition_tables!$A:$AF,23,FALSE)*$Q257/100</f>
        <v>4.7999999999999996E-3</v>
      </c>
      <c r="AK257" s="583">
        <f>VLOOKUP($H257,Nutrition_tables!$A:$AF,24,FALSE)*$Q257/100</f>
        <v>0</v>
      </c>
      <c r="AL257" s="583">
        <f>VLOOKUP($H257,Nutrition_tables!$A:$AF,25,FALSE)*$Q257/100</f>
        <v>6.0000000000000001E-3</v>
      </c>
      <c r="AM257" s="583">
        <f>VLOOKUP($H257,Nutrition_tables!$A:$AF,26,FALSE)*$Q257/100</f>
        <v>3.5999999999999999E-3</v>
      </c>
      <c r="AN257" s="583">
        <f>VLOOKUP($H257,Nutrition_tables!$A:$AF,27,FALSE)*$Q257/100</f>
        <v>1.44E-2</v>
      </c>
      <c r="AO257" s="583">
        <f>VLOOKUP($H257,Nutrition_tables!$A:$AF,28,FALSE)*$Q257/100</f>
        <v>8.6400000000000008E-4</v>
      </c>
      <c r="AP257" s="583">
        <f>VLOOKUP($H257,Nutrition_tables!$A:$AF,29,FALSE)*$Q257/100</f>
        <v>4.32</v>
      </c>
      <c r="AQ257" s="583">
        <f>VLOOKUP($H257,Nutrition_tables!$A:$AF,30,FALSE)*$Q257/100</f>
        <v>0</v>
      </c>
      <c r="AR257" s="583">
        <f>VLOOKUP($H257,Nutrition_tables!$A:$AF,31,FALSE)*$Q257/100</f>
        <v>0.88800000000000001</v>
      </c>
      <c r="AS257" s="549">
        <f>VLOOKUP($H257,Nutrition_tables!$A:$AF,32,FALSE)*$Q257/100</f>
        <v>0</v>
      </c>
      <c r="AT257" s="583">
        <f>IF(H257="Select ingredient:","",IF(G257="Select food category:","",IFERROR(VLOOKUP($H257,Ingredient_prices!$E:$W,17,FALSE)*$Q257/1000,"not bought")))</f>
        <v>1.1220000000000001</v>
      </c>
      <c r="AU257" s="583">
        <f>IF(H257="Select ingredient:","",IF(G257="Select food category:","",IFERROR(VLOOKUP($H257,Ingredient_prices!$E:$W,18,FALSE)*$Q257/1000,"not bought")))</f>
        <v>1.44</v>
      </c>
      <c r="AV257" s="583">
        <f t="shared" si="612"/>
        <v>2.4695979420017151</v>
      </c>
      <c r="AW257" s="583">
        <f t="shared" si="613"/>
        <v>0.88199926500061254</v>
      </c>
      <c r="AX257" s="583">
        <f t="shared" si="614"/>
        <v>0.10378191351507206</v>
      </c>
      <c r="AY257" s="583">
        <f t="shared" si="615"/>
        <v>2.2049981625015314E-2</v>
      </c>
      <c r="AZ257" s="583">
        <f t="shared" si="616"/>
        <v>0.14993987505010412</v>
      </c>
      <c r="BA257" s="583">
        <f t="shared" si="617"/>
        <v>8.3789930175058192E-3</v>
      </c>
      <c r="BB257" s="583">
        <f t="shared" si="618"/>
        <v>0.35279970600024502</v>
      </c>
      <c r="BC257" s="583">
        <f t="shared" si="619"/>
        <v>12.877189269008943</v>
      </c>
      <c r="BD257" s="583">
        <f t="shared" si="620"/>
        <v>2.0285983095014086</v>
      </c>
      <c r="BE257" s="583">
        <f t="shared" si="621"/>
        <v>0.88199926500061254</v>
      </c>
      <c r="BF257" s="583">
        <f t="shared" si="622"/>
        <v>2.5577978685017762</v>
      </c>
      <c r="BG257" s="583">
        <f t="shared" si="623"/>
        <v>1.8521984565012865E-2</v>
      </c>
      <c r="BH257" s="583">
        <f t="shared" si="624"/>
        <v>1.4993987505010416E-2</v>
      </c>
      <c r="BI257" s="583">
        <f t="shared" si="625"/>
        <v>3.5279970600024498E-3</v>
      </c>
      <c r="BJ257" s="583">
        <f t="shared" si="626"/>
        <v>0</v>
      </c>
      <c r="BK257" s="583">
        <f t="shared" si="627"/>
        <v>4.4099963250030629E-3</v>
      </c>
      <c r="BL257" s="583">
        <f t="shared" si="628"/>
        <v>2.645997795001838E-3</v>
      </c>
      <c r="BM257" s="583">
        <f t="shared" si="629"/>
        <v>1.0583991180007352E-2</v>
      </c>
      <c r="BN257" s="583">
        <f t="shared" si="630"/>
        <v>6.3503947080044106E-4</v>
      </c>
      <c r="BO257" s="583">
        <f t="shared" si="631"/>
        <v>3.1751973540022052</v>
      </c>
      <c r="BP257" s="583">
        <f t="shared" si="632"/>
        <v>0</v>
      </c>
      <c r="BQ257" s="583">
        <f t="shared" si="633"/>
        <v>0.6526794561004533</v>
      </c>
      <c r="BR257" s="583">
        <f t="shared" si="634"/>
        <v>0</v>
      </c>
    </row>
    <row r="258" spans="1:70" s="229" customFormat="1" ht="15" customHeight="1">
      <c r="A258" s="587"/>
      <c r="D258" s="85"/>
      <c r="E258" s="576">
        <f t="shared" si="635"/>
        <v>100</v>
      </c>
      <c r="F258" s="85"/>
      <c r="G258" s="406" t="s">
        <v>3075</v>
      </c>
      <c r="H258" s="578" t="s">
        <v>3239</v>
      </c>
      <c r="I258" s="85">
        <v>4.8</v>
      </c>
      <c r="J258" s="682">
        <v>1</v>
      </c>
      <c r="K258" s="579">
        <f t="shared" si="609"/>
        <v>0.52800000000000002</v>
      </c>
      <c r="L258" s="580">
        <f>IF(H258="Select ingredient:","",IF(G258="","",_xlfn.IFNA(VLOOKUP($H258,Ingredient_prices!$E:$U,16,FALSE),0)))</f>
        <v>121</v>
      </c>
      <c r="M258" s="844"/>
      <c r="N258" s="844"/>
      <c r="O258" s="588"/>
      <c r="P258" s="589"/>
      <c r="Q258" s="583">
        <f t="shared" si="610"/>
        <v>4.8</v>
      </c>
      <c r="R258" s="583">
        <f>VLOOKUP($H258,'CO2_emission+%_food_waste'!$A:$K,6,FALSE)*$Q258/100</f>
        <v>1.3344</v>
      </c>
      <c r="S258" s="583">
        <f t="shared" si="611"/>
        <v>3.4655999999999998</v>
      </c>
      <c r="T258" s="583">
        <f>IF(H258="Select ingredient:","",IF(G258="Select food category:","",_xlfn.IFNA(VLOOKUP($H258,Ingredient_prices!$E:$U,16,FALSE)*$Q258/1000,"not bought")))</f>
        <v>0.58079999999999998</v>
      </c>
      <c r="U258" s="583">
        <f>IF(G258="Select food category:","",_xlfn.IFNA(VLOOKUP($H258,Ingredient_prices!$E:$U,16,FALSE)*$R258/1000,"not bought"))</f>
        <v>0.16146240000000001</v>
      </c>
      <c r="V258" s="549">
        <f>VLOOKUP($H258,'CO2_emission+%_food_waste'!$A:$K,4,FALSE)*$Q258</f>
        <v>22.704000000000001</v>
      </c>
      <c r="W258" s="583">
        <f>VLOOKUP($H258,Nutrition_tables!$A:$N,10,FALSE)*$Q258/100</f>
        <v>42.447408000000003</v>
      </c>
      <c r="X258" s="583">
        <f>VLOOKUP($H258,Nutrition_tables!$A:$N,11,FALSE)*$Q258/100</f>
        <v>4.7999999999999996E-3</v>
      </c>
      <c r="Y258" s="583">
        <f>VLOOKUP($H258,Nutrition_tables!$A:$N,12,FALSE)*$Q258/100</f>
        <v>4.7999999999999996E-3</v>
      </c>
      <c r="Z258" s="583">
        <f>VLOOKUP($H258,Nutrition_tables!$A:$N,14,FALSE)*$Q258/100</f>
        <v>4.7759999999999989</v>
      </c>
      <c r="AA258" s="583">
        <f>VLOOKUP($H258,Nutrition_tables!$A:$AF,13,FALSE)*$Q258/100</f>
        <v>0</v>
      </c>
      <c r="AB258" s="549">
        <f>VLOOKUP($H258,Nutrition_tables!$A:$AF,15,FALSE)*$Q258/100</f>
        <v>0.32592000000000004</v>
      </c>
      <c r="AC258" s="583">
        <f>VLOOKUP($H258,Nutrition_tables!$A:$AF,16,FALSE)*$Q258/100</f>
        <v>4.7999999999999996E-3</v>
      </c>
      <c r="AD258" s="583">
        <f>VLOOKUP($H258,Nutrition_tables!$A:$AF,17,FALSE)*$Q258/100</f>
        <v>0</v>
      </c>
      <c r="AE258" s="583">
        <f>VLOOKUP($H258,Nutrition_tables!$A:$AF,18,FALSE)*$Q258/100</f>
        <v>9.5999999999999992E-3</v>
      </c>
      <c r="AF258" s="583">
        <f>VLOOKUP($H258,Nutrition_tables!$A:$AF,19,FALSE)*$Q258/100</f>
        <v>4.8000000000000001E-2</v>
      </c>
      <c r="AG258" s="583">
        <f>VLOOKUP($H258,Nutrition_tables!$A:$AF,20,FALSE)*$Q258/100</f>
        <v>0</v>
      </c>
      <c r="AH258" s="583">
        <f>VLOOKUP($H258,Nutrition_tables!$A:$AF,21,FALSE)*$Q258/100</f>
        <v>4.7999999999999996E-3</v>
      </c>
      <c r="AI258" s="583">
        <f>VLOOKUP($H258,Nutrition_tables!$A:$AF,22,FALSE)*$Q258/100</f>
        <v>0</v>
      </c>
      <c r="AJ258" s="549">
        <f>VLOOKUP($H258,Nutrition_tables!$A:$AF,23,FALSE)*$Q258/100</f>
        <v>0</v>
      </c>
      <c r="AK258" s="583">
        <f>VLOOKUP($H258,Nutrition_tables!$A:$AF,24,FALSE)*$Q258/100</f>
        <v>0</v>
      </c>
      <c r="AL258" s="583">
        <f>VLOOKUP($H258,Nutrition_tables!$A:$AF,25,FALSE)*$Q258/100</f>
        <v>0</v>
      </c>
      <c r="AM258" s="583">
        <f>VLOOKUP($H258,Nutrition_tables!$A:$AF,26,FALSE)*$Q258/100</f>
        <v>0</v>
      </c>
      <c r="AN258" s="583">
        <f>VLOOKUP($H258,Nutrition_tables!$A:$AF,27,FALSE)*$Q258/100</f>
        <v>0</v>
      </c>
      <c r="AO258" s="583">
        <f>VLOOKUP($H258,Nutrition_tables!$A:$AF,28,FALSE)*$Q258/100</f>
        <v>0</v>
      </c>
      <c r="AP258" s="583">
        <f>VLOOKUP($H258,Nutrition_tables!$A:$AF,29,FALSE)*$Q258/100</f>
        <v>0</v>
      </c>
      <c r="AQ258" s="583">
        <f>VLOOKUP($H258,Nutrition_tables!$A:$AF,30,FALSE)*$Q258/100</f>
        <v>0</v>
      </c>
      <c r="AR258" s="583">
        <f>VLOOKUP($H258,Nutrition_tables!$A:$AF,31,FALSE)*$Q258/100</f>
        <v>0</v>
      </c>
      <c r="AS258" s="549">
        <f>VLOOKUP($H258,Nutrition_tables!$A:$AF,32,FALSE)*$Q258/100</f>
        <v>0</v>
      </c>
      <c r="AT258" s="583">
        <f>IF(H258="Select ingredient:","",IF(G258="Select food category:","",IFERROR(VLOOKUP($H258,Ingredient_prices!$E:$W,17,FALSE)*$Q258/1000,"not bought")))</f>
        <v>0.58079999999999998</v>
      </c>
      <c r="AU258" s="583">
        <f>IF(H258="Select ingredient:","",IF(G258="Select food category:","",IFERROR(VLOOKUP($H258,Ingredient_prices!$E:$W,18,FALSE)*$Q258/1000,"not bought")))</f>
        <v>0.58079999999999998</v>
      </c>
      <c r="AV258" s="583">
        <f t="shared" si="612"/>
        <v>30.646964728156817</v>
      </c>
      <c r="AW258" s="583">
        <f t="shared" si="613"/>
        <v>3.4655927800150417E-3</v>
      </c>
      <c r="AX258" s="583">
        <f t="shared" si="614"/>
        <v>3.4655927800150417E-3</v>
      </c>
      <c r="AY258" s="583">
        <f t="shared" si="615"/>
        <v>3.4482648161149658</v>
      </c>
      <c r="AZ258" s="583">
        <f t="shared" si="616"/>
        <v>0</v>
      </c>
      <c r="BA258" s="583">
        <f t="shared" si="617"/>
        <v>0.23531374976302136</v>
      </c>
      <c r="BB258" s="583">
        <f t="shared" si="618"/>
        <v>3.4655927800150417E-3</v>
      </c>
      <c r="BC258" s="583">
        <f t="shared" si="619"/>
        <v>0</v>
      </c>
      <c r="BD258" s="583">
        <f t="shared" si="620"/>
        <v>6.9311855600300834E-3</v>
      </c>
      <c r="BE258" s="583">
        <f t="shared" si="621"/>
        <v>3.4655927800150421E-2</v>
      </c>
      <c r="BF258" s="583">
        <f t="shared" si="622"/>
        <v>0</v>
      </c>
      <c r="BG258" s="583">
        <f t="shared" si="623"/>
        <v>3.4655927800150417E-3</v>
      </c>
      <c r="BH258" s="583">
        <f t="shared" si="624"/>
        <v>0</v>
      </c>
      <c r="BI258" s="583">
        <f t="shared" si="625"/>
        <v>0</v>
      </c>
      <c r="BJ258" s="583">
        <f t="shared" si="626"/>
        <v>0</v>
      </c>
      <c r="BK258" s="583">
        <f t="shared" si="627"/>
        <v>0</v>
      </c>
      <c r="BL258" s="583">
        <f t="shared" si="628"/>
        <v>0</v>
      </c>
      <c r="BM258" s="583">
        <f t="shared" si="629"/>
        <v>0</v>
      </c>
      <c r="BN258" s="583">
        <f t="shared" si="630"/>
        <v>0</v>
      </c>
      <c r="BO258" s="583">
        <f t="shared" si="631"/>
        <v>0</v>
      </c>
      <c r="BP258" s="583">
        <f t="shared" si="632"/>
        <v>0</v>
      </c>
      <c r="BQ258" s="583">
        <f t="shared" si="633"/>
        <v>0</v>
      </c>
      <c r="BR258" s="583">
        <f t="shared" si="634"/>
        <v>0</v>
      </c>
    </row>
    <row r="259" spans="1:70" s="229" customFormat="1" ht="15" customHeight="1">
      <c r="A259" s="587"/>
      <c r="D259" s="85"/>
      <c r="E259" s="576">
        <f t="shared" si="635"/>
        <v>100</v>
      </c>
      <c r="F259" s="85"/>
      <c r="G259" s="406" t="s">
        <v>3141</v>
      </c>
      <c r="H259" s="578" t="s">
        <v>3245</v>
      </c>
      <c r="I259" s="85">
        <v>5</v>
      </c>
      <c r="J259" s="682">
        <v>1</v>
      </c>
      <c r="K259" s="579">
        <f t="shared" si="609"/>
        <v>0.55000000000000004</v>
      </c>
      <c r="L259" s="580">
        <f>IF(H259="Select ingredient:","",IF(G259="","",_xlfn.IFNA(VLOOKUP($H259,Ingredient_prices!$E:$U,16,FALSE),0)))</f>
        <v>43.12</v>
      </c>
      <c r="M259" s="844"/>
      <c r="N259" s="844"/>
      <c r="O259" s="588"/>
      <c r="P259" s="589"/>
      <c r="Q259" s="583">
        <f t="shared" si="610"/>
        <v>5</v>
      </c>
      <c r="R259" s="583">
        <f>VLOOKUP($H259,'CO2_emission+%_food_waste'!$A:$K,6,FALSE)*$Q259/100</f>
        <v>1.085</v>
      </c>
      <c r="S259" s="583">
        <f t="shared" si="611"/>
        <v>3.915</v>
      </c>
      <c r="T259" s="583">
        <f>IF(H259="Select ingredient:","",IF(G259="Select food category:","",_xlfn.IFNA(VLOOKUP($H259,Ingredient_prices!$E:$U,16,FALSE)*$Q259/1000,"not bought")))</f>
        <v>0.21559999999999999</v>
      </c>
      <c r="U259" s="583">
        <f>IF(G259="Select food category:","",_xlfn.IFNA(VLOOKUP($H259,Ingredient_prices!$E:$U,16,FALSE)*$R259/1000,"not bought"))</f>
        <v>4.6785199999999999E-2</v>
      </c>
      <c r="V259" s="549">
        <f>VLOOKUP($H259,'CO2_emission+%_food_waste'!$A:$K,4,FALSE)*$Q259</f>
        <v>8.1000000000000014</v>
      </c>
      <c r="W259" s="583">
        <f>VLOOKUP($H259,Nutrition_tables!$A:$N,10,FALSE)*$Q259/100</f>
        <v>17.79498834498834</v>
      </c>
      <c r="X259" s="583">
        <f>VLOOKUP($H259,Nutrition_tables!$A:$N,11,FALSE)*$Q259/100</f>
        <v>3.8949883449883451</v>
      </c>
      <c r="Y259" s="583">
        <f>VLOOKUP($H259,Nutrition_tables!$A:$N,12,FALSE)*$Q259/100</f>
        <v>0.47499999999999998</v>
      </c>
      <c r="Z259" s="583">
        <f>VLOOKUP($H259,Nutrition_tables!$A:$N,14,FALSE)*$Q259/100</f>
        <v>5.5011655011655003E-2</v>
      </c>
      <c r="AA259" s="583">
        <f>VLOOKUP($H259,Nutrition_tables!$A:$AF,13,FALSE)*$Q259/100</f>
        <v>0.12505827505827508</v>
      </c>
      <c r="AB259" s="549">
        <f>VLOOKUP($H259,Nutrition_tables!$A:$AF,15,FALSE)*$Q259/100</f>
        <v>8.0419580419580413E-3</v>
      </c>
      <c r="AC259" s="583">
        <f>VLOOKUP($H259,Nutrition_tables!$A:$AF,16,FALSE)*$Q259/100</f>
        <v>0.14498834498834498</v>
      </c>
      <c r="AD259" s="583">
        <f>VLOOKUP($H259,Nutrition_tables!$A:$AF,17,FALSE)*$Q259/100</f>
        <v>7.9</v>
      </c>
      <c r="AE259" s="583">
        <f>VLOOKUP($H259,Nutrition_tables!$A:$AF,18,FALSE)*$Q259/100</f>
        <v>1.2</v>
      </c>
      <c r="AF259" s="583">
        <f>VLOOKUP($H259,Nutrition_tables!$A:$AF,19,FALSE)*$Q259/100</f>
        <v>1.2399766899766902</v>
      </c>
      <c r="AG259" s="583">
        <f>VLOOKUP($H259,Nutrition_tables!$A:$AF,20,FALSE)*$Q259/100</f>
        <v>5.2999999999999989</v>
      </c>
      <c r="AH259" s="583">
        <f>VLOOKUP($H259,Nutrition_tables!$A:$AF,21,FALSE)*$Q259/100</f>
        <v>4.4522144522144522E-2</v>
      </c>
      <c r="AI259" s="583">
        <f>VLOOKUP($H259,Nutrition_tables!$A:$AF,22,FALSE)*$Q259/100</f>
        <v>3.4965034965034961E-2</v>
      </c>
      <c r="AJ259" s="549">
        <f>VLOOKUP($H259,Nutrition_tables!$A:$AF,23,FALSE)*$Q259/100</f>
        <v>2.505827505827506E-2</v>
      </c>
      <c r="AK259" s="583">
        <f>VLOOKUP($H259,Nutrition_tables!$A:$AF,24,FALSE)*$Q259/100</f>
        <v>0</v>
      </c>
      <c r="AL259" s="583">
        <f>VLOOKUP($H259,Nutrition_tables!$A:$AF,25,FALSE)*$Q259/100</f>
        <v>7.4592074592074601E-3</v>
      </c>
      <c r="AM259" s="583">
        <f>VLOOKUP($H259,Nutrition_tables!$A:$AF,26,FALSE)*$Q259/100</f>
        <v>1.9813519813519811E-3</v>
      </c>
      <c r="AN259" s="583">
        <f>VLOOKUP($H259,Nutrition_tables!$A:$AF,27,FALSE)*$Q259/100</f>
        <v>6.5501165501165512E-2</v>
      </c>
      <c r="AO259" s="583">
        <f>VLOOKUP($H259,Nutrition_tables!$A:$AF,28,FALSE)*$Q259/100</f>
        <v>3.4965034965034956E-3</v>
      </c>
      <c r="AP259" s="583">
        <f>VLOOKUP($H259,Nutrition_tables!$A:$AF,29,FALSE)*$Q259/100</f>
        <v>0.8200466200466201</v>
      </c>
      <c r="AQ259" s="583">
        <f>VLOOKUP($H259,Nutrition_tables!$A:$AF,30,FALSE)*$Q259/100</f>
        <v>4.5454545454545444E-3</v>
      </c>
      <c r="AR259" s="583">
        <f>VLOOKUP($H259,Nutrition_tables!$A:$AF,31,FALSE)*$Q259/100</f>
        <v>0</v>
      </c>
      <c r="AS259" s="549">
        <f>VLOOKUP($H259,Nutrition_tables!$A:$AF,32,FALSE)*$Q259/100</f>
        <v>0</v>
      </c>
      <c r="AT259" s="583">
        <f>IF(H259="Select ingredient:","",IF(G259="Select food category:","",IFERROR(VLOOKUP($H259,Ingredient_prices!$E:$W,17,FALSE)*$Q259/1000,"not bought")))</f>
        <v>0.21559999999999999</v>
      </c>
      <c r="AU259" s="583">
        <f>IF(H259="Select ingredient:","",IF(G259="Select food category:","",IFERROR(VLOOKUP($H259,Ingredient_prices!$E:$W,18,FALSE)*$Q259/1000,"not bought")))</f>
        <v>0.21559999999999999</v>
      </c>
      <c r="AV259" s="583">
        <f t="shared" si="612"/>
        <v>13.933448007229856</v>
      </c>
      <c r="AW259" s="583">
        <f t="shared" si="613"/>
        <v>3.0497697745863253</v>
      </c>
      <c r="AX259" s="583">
        <f t="shared" si="614"/>
        <v>0.37192425615148772</v>
      </c>
      <c r="AY259" s="583">
        <f t="shared" si="615"/>
        <v>4.3074039726046419E-2</v>
      </c>
      <c r="AZ259" s="583">
        <f t="shared" si="616"/>
        <v>9.7920433529762332E-2</v>
      </c>
      <c r="BA259" s="583">
        <f t="shared" si="617"/>
        <v>6.29684055317204E-3</v>
      </c>
      <c r="BB259" s="583">
        <f t="shared" si="618"/>
        <v>0.11352564707457997</v>
      </c>
      <c r="BC259" s="583">
        <f t="shared" si="619"/>
        <v>6.185687628624744</v>
      </c>
      <c r="BD259" s="583">
        <f t="shared" si="620"/>
        <v>0.93959812080375837</v>
      </c>
      <c r="BE259" s="583">
        <f t="shared" si="621"/>
        <v>0.97089980645213569</v>
      </c>
      <c r="BF259" s="583">
        <f t="shared" si="622"/>
        <v>4.1498917002165996</v>
      </c>
      <c r="BG259" s="583">
        <f t="shared" si="623"/>
        <v>3.486076943930029E-2</v>
      </c>
      <c r="BH259" s="583">
        <f t="shared" si="624"/>
        <v>2.737756762248713E-2</v>
      </c>
      <c r="BI259" s="583">
        <f t="shared" si="625"/>
        <v>1.9620590129449115E-2</v>
      </c>
      <c r="BJ259" s="583">
        <f t="shared" si="626"/>
        <v>0</v>
      </c>
      <c r="BK259" s="583">
        <f t="shared" si="627"/>
        <v>5.8405477594639229E-3</v>
      </c>
      <c r="BL259" s="583">
        <f t="shared" si="628"/>
        <v>1.5513954986076041E-3</v>
      </c>
      <c r="BM259" s="583">
        <f t="shared" si="629"/>
        <v>5.1287310012792575E-2</v>
      </c>
      <c r="BN259" s="583">
        <f t="shared" si="630"/>
        <v>2.737756762248713E-3</v>
      </c>
      <c r="BO259" s="583">
        <f t="shared" si="631"/>
        <v>0.64209521930606495</v>
      </c>
      <c r="BP259" s="583">
        <f t="shared" si="632"/>
        <v>3.5590837909233266E-3</v>
      </c>
      <c r="BQ259" s="583">
        <f t="shared" si="633"/>
        <v>0</v>
      </c>
      <c r="BR259" s="583">
        <f t="shared" si="634"/>
        <v>0</v>
      </c>
    </row>
    <row r="260" spans="1:70" s="229" customFormat="1" ht="15" customHeight="1">
      <c r="A260" s="587"/>
      <c r="D260" s="85"/>
      <c r="E260" s="576">
        <f t="shared" si="635"/>
        <v>100</v>
      </c>
      <c r="F260" s="85"/>
      <c r="G260" s="406" t="s">
        <v>3076</v>
      </c>
      <c r="H260" s="578" t="s">
        <v>495</v>
      </c>
      <c r="I260" s="85">
        <v>0.2</v>
      </c>
      <c r="J260" s="682">
        <v>1</v>
      </c>
      <c r="K260" s="579">
        <f t="shared" si="609"/>
        <v>2.2000000000000002E-2</v>
      </c>
      <c r="L260" s="580">
        <f>IF(H260="Select ingredient:","",IF(G260="","",_xlfn.IFNA(VLOOKUP($H260,Ingredient_prices!$E:$U,16,FALSE),0)))</f>
        <v>33.6</v>
      </c>
      <c r="M260" s="844"/>
      <c r="N260" s="844"/>
      <c r="O260" s="588"/>
      <c r="P260" s="589"/>
      <c r="Q260" s="583">
        <f t="shared" si="610"/>
        <v>0.2</v>
      </c>
      <c r="R260" s="583">
        <f>VLOOKUP($H260,'CO2_emission+%_food_waste'!$A:$K,6,FALSE)*$Q260/100</f>
        <v>6.2E-2</v>
      </c>
      <c r="S260" s="583">
        <f t="shared" si="611"/>
        <v>0.13800000000000001</v>
      </c>
      <c r="T260" s="583">
        <f>IF(H260="Select ingredient:","",IF(G260="Select food category:","",_xlfn.IFNA(VLOOKUP($H260,Ingredient_prices!$E:$U,16,FALSE)*$Q260/1000,"not bought")))</f>
        <v>6.7200000000000003E-3</v>
      </c>
      <c r="U260" s="583">
        <f>IF(G260="Select food category:","",_xlfn.IFNA(VLOOKUP($H260,Ingredient_prices!$E:$U,16,FALSE)*$R260/1000,"not bought"))</f>
        <v>2.0832000000000003E-3</v>
      </c>
      <c r="V260" s="549">
        <f>VLOOKUP($H260,'CO2_emission+%_food_waste'!$A:$K,4,FALSE)*$Q260</f>
        <v>3.5999999999999997E-2</v>
      </c>
      <c r="W260" s="583">
        <f>VLOOKUP($H260,Nutrition_tables!$A:$N,10,FALSE)*$Q260/100</f>
        <v>0</v>
      </c>
      <c r="X260" s="583">
        <f>VLOOKUP($H260,Nutrition_tables!$A:$N,11,FALSE)*$Q260/100</f>
        <v>0</v>
      </c>
      <c r="Y260" s="583">
        <f>VLOOKUP($H260,Nutrition_tables!$A:$N,12,FALSE)*$Q260/100</f>
        <v>0</v>
      </c>
      <c r="Z260" s="583">
        <f>VLOOKUP($H260,Nutrition_tables!$A:$N,14,FALSE)*$Q260/100</f>
        <v>0</v>
      </c>
      <c r="AA260" s="583">
        <f>VLOOKUP($H260,Nutrition_tables!$A:$AF,13,FALSE)*$Q260/100</f>
        <v>0</v>
      </c>
      <c r="AB260" s="549">
        <f>VLOOKUP($H260,Nutrition_tables!$A:$AF,15,FALSE)*$Q260/100</f>
        <v>0</v>
      </c>
      <c r="AC260" s="583">
        <f>VLOOKUP($H260,Nutrition_tables!$A:$AF,16,FALSE)*$Q260/100</f>
        <v>77.7</v>
      </c>
      <c r="AD260" s="583">
        <f>VLOOKUP($H260,Nutrition_tables!$A:$AF,17,FALSE)*$Q260/100</f>
        <v>0.23199999999999998</v>
      </c>
      <c r="AE260" s="583">
        <f>VLOOKUP($H260,Nutrition_tables!$A:$AF,18,FALSE)*$Q260/100</f>
        <v>3.8000000000000006E-2</v>
      </c>
      <c r="AF260" s="583">
        <f>VLOOKUP($H260,Nutrition_tables!$A:$AF,19,FALSE)*$Q260/100</f>
        <v>0.53</v>
      </c>
      <c r="AG260" s="583">
        <f>VLOOKUP($H260,Nutrition_tables!$A:$AF,20,FALSE)*$Q260/100</f>
        <v>1.6E-2</v>
      </c>
      <c r="AH260" s="583">
        <f>VLOOKUP($H260,Nutrition_tables!$A:$AF,21,FALSE)*$Q260/100</f>
        <v>4.0000000000000003E-5</v>
      </c>
      <c r="AI260" s="583">
        <f>VLOOKUP($H260,Nutrition_tables!$A:$AF,22,FALSE)*$Q260/100</f>
        <v>2.0000000000000004E-4</v>
      </c>
      <c r="AJ260" s="549">
        <f>VLOOKUP($H260,Nutrition_tables!$A:$AF,23,FALSE)*$Q260/100</f>
        <v>6.0000000000000002E-5</v>
      </c>
      <c r="AK260" s="583">
        <f>VLOOKUP($H260,Nutrition_tables!$A:$AF,24,FALSE)*$Q260/100</f>
        <v>0</v>
      </c>
      <c r="AL260" s="583">
        <f>VLOOKUP($H260,Nutrition_tables!$A:$AF,25,FALSE)*$Q260/100</f>
        <v>0</v>
      </c>
      <c r="AM260" s="583">
        <f>VLOOKUP($H260,Nutrition_tables!$A:$AF,26,FALSE)*$Q260/100</f>
        <v>0</v>
      </c>
      <c r="AN260" s="583">
        <f>VLOOKUP($H260,Nutrition_tables!$A:$AF,27,FALSE)*$Q260/100</f>
        <v>0</v>
      </c>
      <c r="AO260" s="583">
        <f>VLOOKUP($H260,Nutrition_tables!$A:$AF,28,FALSE)*$Q260/100</f>
        <v>0</v>
      </c>
      <c r="AP260" s="583">
        <f>VLOOKUP($H260,Nutrition_tables!$A:$AF,29,FALSE)*$Q260/100</f>
        <v>0</v>
      </c>
      <c r="AQ260" s="583">
        <f>VLOOKUP($H260,Nutrition_tables!$A:$AF,30,FALSE)*$Q260/100</f>
        <v>0</v>
      </c>
      <c r="AR260" s="583">
        <f>VLOOKUP($H260,Nutrition_tables!$A:$AF,31,FALSE)*$Q260/100</f>
        <v>0</v>
      </c>
      <c r="AS260" s="549">
        <f>VLOOKUP($H260,Nutrition_tables!$A:$AF,32,FALSE)*$Q260/100</f>
        <v>0</v>
      </c>
      <c r="AT260" s="583">
        <f>IF(H260="Select ingredient:","",IF(G260="Select food category:","",IFERROR(VLOOKUP($H260,Ingredient_prices!$E:$W,17,FALSE)*$Q260/1000,"not bought")))</f>
        <v>6.7200000000000003E-3</v>
      </c>
      <c r="AU260" s="583">
        <f>IF(H260="Select ingredient:","",IF(G260="Select food category:","",IFERROR(VLOOKUP($H260,Ingredient_prices!$E:$W,18,FALSE)*$Q260/1000,"not bought")))</f>
        <v>6.7200000000000003E-3</v>
      </c>
      <c r="AV260" s="583">
        <f t="shared" si="612"/>
        <v>0</v>
      </c>
      <c r="AW260" s="583">
        <f t="shared" si="613"/>
        <v>0</v>
      </c>
      <c r="AX260" s="583">
        <f t="shared" si="614"/>
        <v>0</v>
      </c>
      <c r="AY260" s="583">
        <f t="shared" si="615"/>
        <v>0</v>
      </c>
      <c r="AZ260" s="583">
        <f t="shared" si="616"/>
        <v>0</v>
      </c>
      <c r="BA260" s="583">
        <f t="shared" si="617"/>
        <v>0</v>
      </c>
      <c r="BB260" s="583">
        <f t="shared" si="618"/>
        <v>53.610319484025801</v>
      </c>
      <c r="BC260" s="583">
        <f t="shared" si="619"/>
        <v>0.16007199640017999</v>
      </c>
      <c r="BD260" s="583">
        <f t="shared" si="620"/>
        <v>2.6218689065546728E-2</v>
      </c>
      <c r="BE260" s="583">
        <f t="shared" si="621"/>
        <v>0.36568171591420429</v>
      </c>
      <c r="BF260" s="583">
        <f t="shared" si="622"/>
        <v>1.103944802759862E-2</v>
      </c>
      <c r="BG260" s="583">
        <f t="shared" si="623"/>
        <v>2.7598620068996551E-5</v>
      </c>
      <c r="BH260" s="583">
        <f t="shared" si="624"/>
        <v>1.3799310034498278E-4</v>
      </c>
      <c r="BI260" s="583">
        <f t="shared" si="625"/>
        <v>4.1397930103494823E-5</v>
      </c>
      <c r="BJ260" s="583">
        <f t="shared" si="626"/>
        <v>0</v>
      </c>
      <c r="BK260" s="583">
        <f t="shared" si="627"/>
        <v>0</v>
      </c>
      <c r="BL260" s="583">
        <f t="shared" si="628"/>
        <v>0</v>
      </c>
      <c r="BM260" s="583">
        <f t="shared" si="629"/>
        <v>0</v>
      </c>
      <c r="BN260" s="583">
        <f t="shared" si="630"/>
        <v>0</v>
      </c>
      <c r="BO260" s="583">
        <f t="shared" si="631"/>
        <v>0</v>
      </c>
      <c r="BP260" s="583">
        <f t="shared" si="632"/>
        <v>0</v>
      </c>
      <c r="BQ260" s="583">
        <f t="shared" si="633"/>
        <v>0</v>
      </c>
      <c r="BR260" s="583">
        <f t="shared" si="634"/>
        <v>0</v>
      </c>
    </row>
    <row r="261" spans="1:70" s="229" customFormat="1" ht="15" customHeight="1">
      <c r="A261" s="587"/>
      <c r="D261" s="85"/>
      <c r="E261" s="576">
        <f t="shared" si="635"/>
        <v>100</v>
      </c>
      <c r="F261" s="85"/>
      <c r="G261" s="406" t="s">
        <v>3140</v>
      </c>
      <c r="H261" s="578" t="s">
        <v>3115</v>
      </c>
      <c r="I261" s="85">
        <v>30</v>
      </c>
      <c r="J261" s="682">
        <v>1</v>
      </c>
      <c r="K261" s="579">
        <f t="shared" si="609"/>
        <v>3.3</v>
      </c>
      <c r="L261" s="580">
        <f>IF(H261="Select ingredient:","",IF(G261="","",_xlfn.IFNA(VLOOKUP($H261,Ingredient_prices!$E:$U,16,FALSE),0)))</f>
        <v>110</v>
      </c>
      <c r="M261" s="844"/>
      <c r="N261" s="844"/>
      <c r="O261" s="588"/>
      <c r="P261" s="589"/>
      <c r="Q261" s="583">
        <f t="shared" si="610"/>
        <v>30</v>
      </c>
      <c r="R261" s="583">
        <f>VLOOKUP($H261,'CO2_emission+%_food_waste'!$A:$K,6,FALSE)*$Q261/100</f>
        <v>9.0090000000000003</v>
      </c>
      <c r="S261" s="583">
        <f t="shared" si="611"/>
        <v>20.991</v>
      </c>
      <c r="T261" s="583">
        <f>IF(H261="Select ingredient:","",IF(G261="Select food category:","",_xlfn.IFNA(VLOOKUP($H261,Ingredient_prices!$E:$U,16,FALSE)*$Q261/1000,"not bought")))</f>
        <v>3.3</v>
      </c>
      <c r="U261" s="583">
        <f>IF(G261="Select food category:","",_xlfn.IFNA(VLOOKUP($H261,Ingredient_prices!$E:$U,16,FALSE)*$R261/1000,"not bought"))</f>
        <v>0.99099000000000004</v>
      </c>
      <c r="V261" s="549">
        <f>VLOOKUP($H261,'CO2_emission+%_food_waste'!$A:$K,4,FALSE)*$Q261</f>
        <v>13.8</v>
      </c>
      <c r="W261" s="583">
        <f>VLOOKUP($H261,Nutrition_tables!$A:$N,10,FALSE)*$Q261/100</f>
        <v>9.5399999999999991</v>
      </c>
      <c r="X261" s="583">
        <f>VLOOKUP($H261,Nutrition_tables!$A:$N,11,FALSE)*$Q261/100</f>
        <v>1.98</v>
      </c>
      <c r="Y261" s="583">
        <f>VLOOKUP($H261,Nutrition_tables!$A:$N,12,FALSE)*$Q261/100</f>
        <v>0.252</v>
      </c>
      <c r="Z261" s="583">
        <f>VLOOKUP($H261,Nutrition_tables!$A:$N,14,FALSE)*$Q261/100</f>
        <v>8.1000000000000016E-2</v>
      </c>
      <c r="AA261" s="583">
        <f>VLOOKUP($H261,Nutrition_tables!$A:$AF,13,FALSE)*$Q261/100</f>
        <v>0.65099999999999991</v>
      </c>
      <c r="AB261" s="549">
        <f>VLOOKUP($H261,Nutrition_tables!$A:$AF,15,FALSE)*$Q261/100</f>
        <v>1.2E-2</v>
      </c>
      <c r="AC261" s="583">
        <f>VLOOKUP($H261,Nutrition_tables!$A:$AF,16,FALSE)*$Q261/100</f>
        <v>11.28</v>
      </c>
      <c r="AD261" s="583">
        <f>VLOOKUP($H261,Nutrition_tables!$A:$AF,17,FALSE)*$Q261/100</f>
        <v>94.5</v>
      </c>
      <c r="AE261" s="583">
        <f>VLOOKUP($H261,Nutrition_tables!$A:$AF,18,FALSE)*$Q261/100</f>
        <v>9.57</v>
      </c>
      <c r="AF261" s="583">
        <f>VLOOKUP($H261,Nutrition_tables!$A:$AF,19,FALSE)*$Q261/100</f>
        <v>3.54</v>
      </c>
      <c r="AG261" s="583">
        <f>VLOOKUP($H261,Nutrition_tables!$A:$AF,20,FALSE)*$Q261/100</f>
        <v>4.919999999999999</v>
      </c>
      <c r="AH261" s="583">
        <f>VLOOKUP($H261,Nutrition_tables!$A:$AF,21,FALSE)*$Q261/100</f>
        <v>6.3E-2</v>
      </c>
      <c r="AI261" s="583">
        <f>VLOOKUP($H261,Nutrition_tables!$A:$AF,22,FALSE)*$Q261/100</f>
        <v>6.6000000000000003E-2</v>
      </c>
      <c r="AJ261" s="549">
        <f>VLOOKUP($H261,Nutrition_tables!$A:$AF,23,FALSE)*$Q261/100</f>
        <v>1.3499999999999999E-3</v>
      </c>
      <c r="AK261" s="583">
        <f>VLOOKUP($H261,Nutrition_tables!$A:$AF,24,FALSE)*$Q261/100</f>
        <v>255.6</v>
      </c>
      <c r="AL261" s="583">
        <f>VLOOKUP($H261,Nutrition_tables!$A:$AF,25,FALSE)*$Q261/100</f>
        <v>1.4999999999999999E-2</v>
      </c>
      <c r="AM261" s="583">
        <f>VLOOKUP($H261,Nutrition_tables!$A:$AF,26,FALSE)*$Q261/100</f>
        <v>1.2E-2</v>
      </c>
      <c r="AN261" s="583">
        <f>VLOOKUP($H261,Nutrition_tables!$A:$AF,27,FALSE)*$Q261/100</f>
        <v>0.29400000000000004</v>
      </c>
      <c r="AO261" s="583">
        <f>VLOOKUP($H261,Nutrition_tables!$A:$AF,28,FALSE)*$Q261/100</f>
        <v>3.5999999999999997E-2</v>
      </c>
      <c r="AP261" s="583">
        <f>VLOOKUP($H261,Nutrition_tables!$A:$AF,29,FALSE)*$Q261/100</f>
        <v>13.919999999999998</v>
      </c>
      <c r="AQ261" s="583">
        <f>VLOOKUP($H261,Nutrition_tables!$A:$AF,30,FALSE)*$Q261/100</f>
        <v>0</v>
      </c>
      <c r="AR261" s="583">
        <f>VLOOKUP($H261,Nutrition_tables!$A:$AF,31,FALSE)*$Q261/100</f>
        <v>1.6320000000000001</v>
      </c>
      <c r="AS261" s="549">
        <f>VLOOKUP($H261,Nutrition_tables!$A:$AF,32,FALSE)*$Q261/100</f>
        <v>0</v>
      </c>
      <c r="AT261" s="583">
        <f>IF(H261="Select ingredient:","",IF(G261="Select food category:","",IFERROR(VLOOKUP($H261,Ingredient_prices!$E:$W,17,FALSE)*$Q261/1000,"not bought")))</f>
        <v>1.155</v>
      </c>
      <c r="AU261" s="583">
        <f>IF(H261="Select ingredient:","",IF(G261="Select food category:","",IFERROR(VLOOKUP($H261,Ingredient_prices!$E:$W,18,FALSE)*$Q261/1000,"not bought")))</f>
        <v>3.3</v>
      </c>
      <c r="AV261" s="583">
        <f t="shared" si="612"/>
        <v>6.6751357749547413</v>
      </c>
      <c r="AW261" s="583">
        <f t="shared" si="613"/>
        <v>1.3854055381981538</v>
      </c>
      <c r="AX261" s="583">
        <f t="shared" si="614"/>
        <v>0.17632434122521959</v>
      </c>
      <c r="AY261" s="583">
        <f t="shared" si="615"/>
        <v>5.6675681108106307E-2</v>
      </c>
      <c r="AZ261" s="583">
        <f t="shared" si="616"/>
        <v>0.45550454816515057</v>
      </c>
      <c r="BA261" s="583">
        <f t="shared" si="617"/>
        <v>8.3963972012009325E-3</v>
      </c>
      <c r="BB261" s="583">
        <f t="shared" si="618"/>
        <v>7.8926133691288758</v>
      </c>
      <c r="BC261" s="583">
        <f t="shared" si="619"/>
        <v>66.121627959457342</v>
      </c>
      <c r="BD261" s="583">
        <f t="shared" si="620"/>
        <v>6.6961267679577441</v>
      </c>
      <c r="BE261" s="583">
        <f t="shared" si="621"/>
        <v>2.476937174354275</v>
      </c>
      <c r="BF261" s="583">
        <f t="shared" si="622"/>
        <v>3.4425228524923819</v>
      </c>
      <c r="BG261" s="583">
        <f t="shared" si="623"/>
        <v>4.4081085306304897E-2</v>
      </c>
      <c r="BH261" s="583">
        <f t="shared" si="624"/>
        <v>4.6180184606605133E-2</v>
      </c>
      <c r="BI261" s="583">
        <f t="shared" si="625"/>
        <v>9.4459468513510489E-4</v>
      </c>
      <c r="BJ261" s="583">
        <f t="shared" si="626"/>
        <v>178.84326038557984</v>
      </c>
      <c r="BK261" s="583">
        <f t="shared" si="627"/>
        <v>1.0495496501501167E-2</v>
      </c>
      <c r="BL261" s="583">
        <f t="shared" si="628"/>
        <v>8.3963972012009325E-3</v>
      </c>
      <c r="BM261" s="583">
        <f t="shared" si="629"/>
        <v>0.20571173142942289</v>
      </c>
      <c r="BN261" s="583">
        <f t="shared" si="630"/>
        <v>2.5189191603602796E-2</v>
      </c>
      <c r="BO261" s="583">
        <f t="shared" si="631"/>
        <v>9.7398207533930812</v>
      </c>
      <c r="BP261" s="583">
        <f t="shared" si="632"/>
        <v>0</v>
      </c>
      <c r="BQ261" s="583">
        <f t="shared" si="633"/>
        <v>1.1419100193633269</v>
      </c>
      <c r="BR261" s="583">
        <f t="shared" si="634"/>
        <v>0</v>
      </c>
    </row>
    <row r="262" spans="1:70" s="229" customFormat="1" ht="15" customHeight="1">
      <c r="A262" s="587"/>
      <c r="D262" s="85"/>
      <c r="E262" s="576">
        <f t="shared" si="635"/>
        <v>100</v>
      </c>
      <c r="F262" s="707"/>
      <c r="G262" s="406" t="s">
        <v>3140</v>
      </c>
      <c r="H262" s="578" t="s">
        <v>518</v>
      </c>
      <c r="I262" s="85">
        <v>10</v>
      </c>
      <c r="J262" s="682">
        <v>1</v>
      </c>
      <c r="K262" s="579">
        <f t="shared" si="609"/>
        <v>1.1000000000000001</v>
      </c>
      <c r="L262" s="580">
        <f>IF(H262="Select ingredient:","",IF(G262="","",_xlfn.IFNA(VLOOKUP($H262,Ingredient_prices!$E:$U,16,FALSE),0)))</f>
        <v>246</v>
      </c>
      <c r="M262" s="844"/>
      <c r="N262" s="844"/>
      <c r="O262" s="588"/>
      <c r="P262" s="589"/>
      <c r="Q262" s="583">
        <f t="shared" si="610"/>
        <v>10</v>
      </c>
      <c r="R262" s="583">
        <f>VLOOKUP($H262,'CO2_emission+%_food_waste'!$A:$K,6,FALSE)*$Q262/100</f>
        <v>2.91</v>
      </c>
      <c r="S262" s="583">
        <f t="shared" si="611"/>
        <v>7.09</v>
      </c>
      <c r="T262" s="583">
        <f>IF(H262="Select ingredient:","",IF(G262="Select food category:","",_xlfn.IFNA(VLOOKUP($H262,Ingredient_prices!$E:$U,16,FALSE)*$Q262/1000,"not bought")))</f>
        <v>2.46</v>
      </c>
      <c r="U262" s="583">
        <f>IF(G262="Select food category:","",_xlfn.IFNA(VLOOKUP($H262,Ingredient_prices!$E:$U,16,FALSE)*$R262/1000,"not bought"))</f>
        <v>0.71586000000000005</v>
      </c>
      <c r="V262" s="549">
        <f>VLOOKUP($H262,'CO2_emission+%_food_waste'!$A:$K,4,FALSE)*$Q262</f>
        <v>10.600000000000001</v>
      </c>
      <c r="W262" s="583">
        <f>VLOOKUP($H262,Nutrition_tables!$A:$N,10,FALSE)*$Q262/100</f>
        <v>33.999999999999993</v>
      </c>
      <c r="X262" s="583">
        <f>VLOOKUP($H262,Nutrition_tables!$A:$N,11,FALSE)*$Q262/100</f>
        <v>6.01</v>
      </c>
      <c r="Y262" s="583">
        <f>VLOOKUP($H262,Nutrition_tables!$A:$N,12,FALSE)*$Q262/100</f>
        <v>2.4400000000000004</v>
      </c>
      <c r="Z262" s="583">
        <f>VLOOKUP($H262,Nutrition_tables!$A:$N,14,FALSE)*$Q262/100</f>
        <v>0.15</v>
      </c>
      <c r="AA262" s="583">
        <f>VLOOKUP($H262,Nutrition_tables!$A:$AF,13,FALSE)*$Q262/100</f>
        <v>1.8</v>
      </c>
      <c r="AB262" s="549">
        <f>VLOOKUP($H262,Nutrition_tables!$A:$AF,15,FALSE)*$Q262/100</f>
        <v>0.03</v>
      </c>
      <c r="AC262" s="583">
        <f>VLOOKUP($H262,Nutrition_tables!$A:$AF,16,FALSE)*$Q262/100</f>
        <v>10.100000000000001</v>
      </c>
      <c r="AD262" s="583">
        <f>VLOOKUP($H262,Nutrition_tables!$A:$AF,17,FALSE)*$Q262/100</f>
        <v>94</v>
      </c>
      <c r="AE262" s="583">
        <f>VLOOKUP($H262,Nutrition_tables!$A:$AF,18,FALSE)*$Q262/100</f>
        <v>7.0100000000000016</v>
      </c>
      <c r="AF262" s="583">
        <f>VLOOKUP($H262,Nutrition_tables!$A:$AF,19,FALSE)*$Q262/100</f>
        <v>11</v>
      </c>
      <c r="AG262" s="583">
        <f>VLOOKUP($H262,Nutrition_tables!$A:$AF,20,FALSE)*$Q262/100</f>
        <v>35</v>
      </c>
      <c r="AH262" s="583">
        <f>VLOOKUP($H262,Nutrition_tables!$A:$AF,21,FALSE)*$Q262/100</f>
        <v>1.1100000000000001</v>
      </c>
      <c r="AI262" s="583">
        <f>VLOOKUP($H262,Nutrition_tables!$A:$AF,22,FALSE)*$Q262/100</f>
        <v>0.39</v>
      </c>
      <c r="AJ262" s="549">
        <f>VLOOKUP($H262,Nutrition_tables!$A:$AF,23,FALSE)*$Q262/100</f>
        <v>0.10199999999999999</v>
      </c>
      <c r="AK262" s="583">
        <f>VLOOKUP($H262,Nutrition_tables!$A:$AF,24,FALSE)*$Q262/100</f>
        <v>3</v>
      </c>
      <c r="AL262" s="583">
        <f>VLOOKUP($H262,Nutrition_tables!$A:$AF,25,FALSE)*$Q262/100</f>
        <v>4.0999999999999995E-2</v>
      </c>
      <c r="AM262" s="583">
        <f>VLOOKUP($H262,Nutrition_tables!$A:$AF,26,FALSE)*$Q262/100</f>
        <v>2.7000000000000003E-2</v>
      </c>
      <c r="AN262" s="583">
        <f>VLOOKUP($H262,Nutrition_tables!$A:$AF,27,FALSE)*$Q262/100</f>
        <v>0.55000000000000004</v>
      </c>
      <c r="AO262" s="583">
        <f>VLOOKUP($H262,Nutrition_tables!$A:$AF,28,FALSE)*$Q262/100</f>
        <v>3.5000000000000003E-2</v>
      </c>
      <c r="AP262" s="583">
        <f>VLOOKUP($H262,Nutrition_tables!$A:$AF,29,FALSE)*$Q262/100</f>
        <v>11</v>
      </c>
      <c r="AQ262" s="583">
        <f>VLOOKUP($H262,Nutrition_tables!$A:$AF,30,FALSE)*$Q262/100</f>
        <v>0</v>
      </c>
      <c r="AR262" s="583">
        <f>VLOOKUP($H262,Nutrition_tables!$A:$AF,31,FALSE)*$Q262/100</f>
        <v>0.45</v>
      </c>
      <c r="AS262" s="549">
        <f>VLOOKUP($H262,Nutrition_tables!$A:$AF,32,FALSE)*$Q262/100</f>
        <v>0</v>
      </c>
      <c r="AT262" s="583">
        <f>IF(H262="Select ingredient:","",IF(G262="Select food category:","",IFERROR(VLOOKUP($H262,Ingredient_prices!$E:$W,17,FALSE)*$Q262/1000,"not bought")))</f>
        <v>2.46</v>
      </c>
      <c r="AU262" s="583">
        <f>IF(H262="Select ingredient:","",IF(G262="Select food category:","",IFERROR(VLOOKUP($H262,Ingredient_prices!$E:$W,18,FALSE)*$Q262/1000,"not bought")))</f>
        <v>2.46</v>
      </c>
      <c r="AV262" s="583">
        <f t="shared" si="612"/>
        <v>24.105975894024102</v>
      </c>
      <c r="AW262" s="583">
        <f t="shared" si="613"/>
        <v>4.2610857389142609</v>
      </c>
      <c r="AX262" s="583">
        <f t="shared" si="614"/>
        <v>1.7299582700417302</v>
      </c>
      <c r="AY262" s="583">
        <f t="shared" si="615"/>
        <v>0.10634989365010634</v>
      </c>
      <c r="AZ262" s="583">
        <f t="shared" si="616"/>
        <v>1.2761987238012762</v>
      </c>
      <c r="BA262" s="583">
        <f t="shared" si="617"/>
        <v>2.1269978730021271E-2</v>
      </c>
      <c r="BB262" s="583">
        <f t="shared" si="618"/>
        <v>7.160892839107162</v>
      </c>
      <c r="BC262" s="583">
        <f t="shared" si="619"/>
        <v>66.645933354066656</v>
      </c>
      <c r="BD262" s="583">
        <f t="shared" si="620"/>
        <v>4.970085029914971</v>
      </c>
      <c r="BE262" s="583">
        <f t="shared" si="621"/>
        <v>7.798992201007799</v>
      </c>
      <c r="BF262" s="583">
        <f t="shared" si="622"/>
        <v>24.814975185024817</v>
      </c>
      <c r="BG262" s="583">
        <f t="shared" si="623"/>
        <v>0.78698921301078706</v>
      </c>
      <c r="BH262" s="583">
        <f t="shared" si="624"/>
        <v>0.27650972349027653</v>
      </c>
      <c r="BI262" s="583">
        <f t="shared" si="625"/>
        <v>7.2317927682072319E-2</v>
      </c>
      <c r="BJ262" s="583">
        <f t="shared" si="626"/>
        <v>2.1269978730021268</v>
      </c>
      <c r="BK262" s="583">
        <f t="shared" si="627"/>
        <v>2.9068970931029066E-2</v>
      </c>
      <c r="BL262" s="583">
        <f t="shared" si="628"/>
        <v>1.9142980857019147E-2</v>
      </c>
      <c r="BM262" s="583">
        <f t="shared" si="629"/>
        <v>0.38994961005038997</v>
      </c>
      <c r="BN262" s="583">
        <f t="shared" si="630"/>
        <v>2.4814975185024818E-2</v>
      </c>
      <c r="BO262" s="583">
        <f t="shared" si="631"/>
        <v>7.798992201007799</v>
      </c>
      <c r="BP262" s="583">
        <f t="shared" si="632"/>
        <v>0</v>
      </c>
      <c r="BQ262" s="583">
        <f t="shared" si="633"/>
        <v>0.31904968095031905</v>
      </c>
      <c r="BR262" s="583">
        <f t="shared" si="634"/>
        <v>0</v>
      </c>
    </row>
    <row r="263" spans="1:70" s="229" customFormat="1" ht="15" customHeight="1">
      <c r="A263" s="587"/>
      <c r="D263" s="406"/>
      <c r="E263" s="576">
        <f t="shared" si="635"/>
        <v>100</v>
      </c>
      <c r="F263" s="707" t="s">
        <v>3045</v>
      </c>
      <c r="G263" s="406" t="s">
        <v>3140</v>
      </c>
      <c r="H263" s="578" t="s">
        <v>3105</v>
      </c>
      <c r="I263" s="85">
        <v>80</v>
      </c>
      <c r="J263" s="682">
        <v>1</v>
      </c>
      <c r="K263" s="579">
        <f t="shared" si="609"/>
        <v>8.8000000000000007</v>
      </c>
      <c r="L263" s="580">
        <f>IF(H263="Select ingredient:","",IF(G263="","",_xlfn.IFNA(VLOOKUP($H263,Ingredient_prices!$E:$U,16,FALSE),0)))</f>
        <v>90</v>
      </c>
      <c r="M263" s="844"/>
      <c r="N263" s="844"/>
      <c r="O263" s="588"/>
      <c r="P263" s="589"/>
      <c r="Q263" s="583">
        <f t="shared" si="610"/>
        <v>80</v>
      </c>
      <c r="R263" s="583">
        <f>VLOOKUP($H263,'CO2_emission+%_food_waste'!$A:$K,6,FALSE)*$Q263/100</f>
        <v>22.8</v>
      </c>
      <c r="S263" s="583">
        <f t="shared" si="611"/>
        <v>57.2</v>
      </c>
      <c r="T263" s="583">
        <f>IF(H263="Select ingredient:","",IF(G263="Select food category:","",_xlfn.IFNA(VLOOKUP($H263,Ingredient_prices!$E:$U,16,FALSE)*$Q263/1000,"not bought")))</f>
        <v>7.2</v>
      </c>
      <c r="U263" s="583">
        <f>IF(G263="Select food category:","",_xlfn.IFNA(VLOOKUP($H263,Ingredient_prices!$E:$U,16,FALSE)*$R263/1000,"not bought"))</f>
        <v>2.052</v>
      </c>
      <c r="V263" s="549">
        <f>VLOOKUP($H263,'CO2_emission+%_food_waste'!$A:$K,4,FALSE)*$Q263</f>
        <v>38.4</v>
      </c>
      <c r="W263" s="583">
        <f>VLOOKUP($H263,Nutrition_tables!$A:$N,10,FALSE)*$Q263/100</f>
        <v>19.2</v>
      </c>
      <c r="X263" s="583">
        <f>VLOOKUP($H263,Nutrition_tables!$A:$N,11,FALSE)*$Q263/100</f>
        <v>3.28</v>
      </c>
      <c r="Y263" s="583">
        <f>VLOOKUP($H263,Nutrition_tables!$A:$N,12,FALSE)*$Q263/100</f>
        <v>0.96</v>
      </c>
      <c r="Z263" s="583">
        <f>VLOOKUP($H263,Nutrition_tables!$A:$N,14,FALSE)*$Q263/100</f>
        <v>0.16</v>
      </c>
      <c r="AA263" s="583">
        <f>VLOOKUP($H263,Nutrition_tables!$A:$AF,13,FALSE)*$Q263/100</f>
        <v>2</v>
      </c>
      <c r="AB263" s="549">
        <f>VLOOKUP($H263,Nutrition_tables!$A:$AF,15,FALSE)*$Q263/100</f>
        <v>0.08</v>
      </c>
      <c r="AC263" s="583">
        <f>VLOOKUP($H263,Nutrition_tables!$A:$AF,16,FALSE)*$Q263/100</f>
        <v>4</v>
      </c>
      <c r="AD263" s="583">
        <f>VLOOKUP($H263,Nutrition_tables!$A:$AF,17,FALSE)*$Q263/100</f>
        <v>256</v>
      </c>
      <c r="AE263" s="583">
        <f>VLOOKUP($H263,Nutrition_tables!$A:$AF,18,FALSE)*$Q263/100</f>
        <v>33.6</v>
      </c>
      <c r="AF263" s="583">
        <f>VLOOKUP($H263,Nutrition_tables!$A:$AF,19,FALSE)*$Q263/100</f>
        <v>11.2</v>
      </c>
      <c r="AG263" s="583">
        <f>VLOOKUP($H263,Nutrition_tables!$A:$AF,20,FALSE)*$Q263/100</f>
        <v>32</v>
      </c>
      <c r="AH263" s="583">
        <f>VLOOKUP($H263,Nutrition_tables!$A:$AF,21,FALSE)*$Q263/100</f>
        <v>0.32</v>
      </c>
      <c r="AI263" s="583">
        <f>VLOOKUP($H263,Nutrition_tables!$A:$AF,22,FALSE)*$Q263/100</f>
        <v>0.16</v>
      </c>
      <c r="AJ263" s="549">
        <f>VLOOKUP($H263,Nutrition_tables!$A:$AF,23,FALSE)*$Q263/100</f>
        <v>3.0666666666666665E-2</v>
      </c>
      <c r="AK263" s="583">
        <f>VLOOKUP($H263,Nutrition_tables!$A:$AF,24,FALSE)*$Q263/100</f>
        <v>4.4000000000000004</v>
      </c>
      <c r="AL263" s="583">
        <f>VLOOKUP($H263,Nutrition_tables!$A:$AF,25,FALSE)*$Q263/100</f>
        <v>5.6000000000000008E-2</v>
      </c>
      <c r="AM263" s="583">
        <f>VLOOKUP($H263,Nutrition_tables!$A:$AF,26,FALSE)*$Q263/100</f>
        <v>0.04</v>
      </c>
      <c r="AN263" s="583">
        <f>VLOOKUP($H263,Nutrition_tables!$A:$AF,27,FALSE)*$Q263/100</f>
        <v>0.64</v>
      </c>
      <c r="AO263" s="583">
        <f>VLOOKUP($H263,Nutrition_tables!$A:$AF,28,FALSE)*$Q263/100</f>
        <v>3.04E-2</v>
      </c>
      <c r="AP263" s="583">
        <f>VLOOKUP($H263,Nutrition_tables!$A:$AF,29,FALSE)*$Q263/100</f>
        <v>23.92</v>
      </c>
      <c r="AQ263" s="583">
        <f>VLOOKUP($H263,Nutrition_tables!$A:$AF,30,FALSE)*$Q263/100</f>
        <v>0</v>
      </c>
      <c r="AR263" s="583">
        <f>VLOOKUP($H263,Nutrition_tables!$A:$AF,31,FALSE)*$Q263/100</f>
        <v>29.92</v>
      </c>
      <c r="AS263" s="549">
        <f>VLOOKUP($H263,Nutrition_tables!$A:$AF,32,FALSE)*$Q263/100</f>
        <v>0</v>
      </c>
      <c r="AT263" s="583">
        <f>IF(H263="Select ingredient:","",IF(G263="Select food category:","",IFERROR(VLOOKUP($H263,Ingredient_prices!$E:$W,17,FALSE)*$Q263/1000,"not bought")))</f>
        <v>5.28</v>
      </c>
      <c r="AU263" s="583">
        <f>IF(H263="Select ingredient:","",IF(G263="Select food category:","",IFERROR(VLOOKUP($H263,Ingredient_prices!$E:$W,18,FALSE)*$Q263/1000,"not bought")))</f>
        <v>7.2</v>
      </c>
      <c r="AV263" s="583">
        <f t="shared" si="612"/>
        <v>13.727998284000215</v>
      </c>
      <c r="AW263" s="583">
        <f t="shared" si="613"/>
        <v>2.3451997068500363</v>
      </c>
      <c r="AX263" s="583">
        <f t="shared" si="614"/>
        <v>0.68639991420001067</v>
      </c>
      <c r="AY263" s="583">
        <f t="shared" si="615"/>
        <v>0.1143999857000018</v>
      </c>
      <c r="AZ263" s="583">
        <f t="shared" si="616"/>
        <v>1.4299998212500225</v>
      </c>
      <c r="BA263" s="583">
        <f t="shared" si="617"/>
        <v>5.7199992850000901E-2</v>
      </c>
      <c r="BB263" s="583">
        <f t="shared" si="618"/>
        <v>2.8599996425000449</v>
      </c>
      <c r="BC263" s="583">
        <f t="shared" si="619"/>
        <v>183.03997712000287</v>
      </c>
      <c r="BD263" s="583">
        <f t="shared" si="620"/>
        <v>24.023996997000374</v>
      </c>
      <c r="BE263" s="583">
        <f t="shared" si="621"/>
        <v>8.0079989990001241</v>
      </c>
      <c r="BF263" s="583">
        <f t="shared" si="622"/>
        <v>22.879997140000359</v>
      </c>
      <c r="BG263" s="583">
        <f t="shared" si="623"/>
        <v>0.2287999714000036</v>
      </c>
      <c r="BH263" s="583">
        <f t="shared" si="624"/>
        <v>0.1143999857000018</v>
      </c>
      <c r="BI263" s="583">
        <f t="shared" si="625"/>
        <v>2.1926663925833676E-2</v>
      </c>
      <c r="BJ263" s="583">
        <f t="shared" si="626"/>
        <v>3.1459996067500495</v>
      </c>
      <c r="BK263" s="583">
        <f t="shared" si="627"/>
        <v>4.0039994995000633E-2</v>
      </c>
      <c r="BL263" s="583">
        <f t="shared" si="628"/>
        <v>2.8599996425000451E-2</v>
      </c>
      <c r="BM263" s="583">
        <f t="shared" si="629"/>
        <v>0.45759994280000721</v>
      </c>
      <c r="BN263" s="583">
        <f t="shared" si="630"/>
        <v>2.1735997283000338E-2</v>
      </c>
      <c r="BO263" s="583">
        <f t="shared" si="631"/>
        <v>17.102797862150268</v>
      </c>
      <c r="BP263" s="583">
        <f t="shared" si="632"/>
        <v>0</v>
      </c>
      <c r="BQ263" s="583">
        <f t="shared" si="633"/>
        <v>21.392797325900336</v>
      </c>
      <c r="BR263" s="583">
        <f t="shared" si="634"/>
        <v>0</v>
      </c>
    </row>
    <row r="264" spans="1:70" s="229" customFormat="1" ht="15" customHeight="1">
      <c r="A264" s="587"/>
      <c r="D264" s="406"/>
      <c r="E264" s="576">
        <f t="shared" si="635"/>
        <v>100</v>
      </c>
      <c r="F264" s="248"/>
      <c r="G264" s="406" t="s">
        <v>3075</v>
      </c>
      <c r="H264" s="578" t="s">
        <v>3239</v>
      </c>
      <c r="I264" s="85">
        <v>6</v>
      </c>
      <c r="J264" s="682">
        <v>1</v>
      </c>
      <c r="K264" s="579">
        <f t="shared" si="609"/>
        <v>0.66</v>
      </c>
      <c r="L264" s="580">
        <f>IF(H264="Select ingredient:","",IF(G264="","",_xlfn.IFNA(VLOOKUP($H264,Ingredient_prices!$E:$U,16,FALSE),0)))</f>
        <v>121</v>
      </c>
      <c r="M264" s="844"/>
      <c r="N264" s="844"/>
      <c r="O264" s="588"/>
      <c r="P264" s="589"/>
      <c r="Q264" s="583">
        <f t="shared" si="610"/>
        <v>6</v>
      </c>
      <c r="R264" s="583">
        <f>VLOOKUP($H264,'CO2_emission+%_food_waste'!$A:$K,6,FALSE)*$Q264/100</f>
        <v>1.6680000000000001</v>
      </c>
      <c r="S264" s="583">
        <f t="shared" si="611"/>
        <v>4.3319999999999999</v>
      </c>
      <c r="T264" s="583">
        <f>IF(H264="Select ingredient:","",IF(G264="Select food category:","",_xlfn.IFNA(VLOOKUP($H264,Ingredient_prices!$E:$U,16,FALSE)*$Q264/1000,"not bought")))</f>
        <v>0.72599999999999998</v>
      </c>
      <c r="U264" s="583">
        <f>IF(G264="Select food category:","",_xlfn.IFNA(VLOOKUP($H264,Ingredient_prices!$E:$U,16,FALSE)*$R264/1000,"not bought"))</f>
        <v>0.20182800000000004</v>
      </c>
      <c r="V264" s="549">
        <f>VLOOKUP($H264,'CO2_emission+%_food_waste'!$A:$K,4,FALSE)*$Q264</f>
        <v>28.380000000000003</v>
      </c>
      <c r="W264" s="583">
        <f>VLOOKUP($H264,Nutrition_tables!$A:$N,10,FALSE)*$Q264/100</f>
        <v>53.059260000000016</v>
      </c>
      <c r="X264" s="583">
        <f>VLOOKUP($H264,Nutrition_tables!$A:$N,11,FALSE)*$Q264/100</f>
        <v>6.000000000000001E-3</v>
      </c>
      <c r="Y264" s="583">
        <f>VLOOKUP($H264,Nutrition_tables!$A:$N,12,FALSE)*$Q264/100</f>
        <v>6.000000000000001E-3</v>
      </c>
      <c r="Z264" s="583">
        <f>VLOOKUP($H264,Nutrition_tables!$A:$N,14,FALSE)*$Q264/100</f>
        <v>5.9699999999999989</v>
      </c>
      <c r="AA264" s="583">
        <f>VLOOKUP($H264,Nutrition_tables!$A:$AF,13,FALSE)*$Q264/100</f>
        <v>0</v>
      </c>
      <c r="AB264" s="549">
        <f>VLOOKUP($H264,Nutrition_tables!$A:$AF,15,FALSE)*$Q264/100</f>
        <v>0.4074000000000001</v>
      </c>
      <c r="AC264" s="583">
        <f>VLOOKUP($H264,Nutrition_tables!$A:$AF,16,FALSE)*$Q264/100</f>
        <v>6.000000000000001E-3</v>
      </c>
      <c r="AD264" s="583">
        <f>VLOOKUP($H264,Nutrition_tables!$A:$AF,17,FALSE)*$Q264/100</f>
        <v>0</v>
      </c>
      <c r="AE264" s="583">
        <f>VLOOKUP($H264,Nutrition_tables!$A:$AF,18,FALSE)*$Q264/100</f>
        <v>1.2000000000000002E-2</v>
      </c>
      <c r="AF264" s="583">
        <f>VLOOKUP($H264,Nutrition_tables!$A:$AF,19,FALSE)*$Q264/100</f>
        <v>0.06</v>
      </c>
      <c r="AG264" s="583">
        <f>VLOOKUP($H264,Nutrition_tables!$A:$AF,20,FALSE)*$Q264/100</f>
        <v>0</v>
      </c>
      <c r="AH264" s="583">
        <f>VLOOKUP($H264,Nutrition_tables!$A:$AF,21,FALSE)*$Q264/100</f>
        <v>6.000000000000001E-3</v>
      </c>
      <c r="AI264" s="583">
        <f>VLOOKUP($H264,Nutrition_tables!$A:$AF,22,FALSE)*$Q264/100</f>
        <v>0</v>
      </c>
      <c r="AJ264" s="549">
        <f>VLOOKUP($H264,Nutrition_tables!$A:$AF,23,FALSE)*$Q264/100</f>
        <v>0</v>
      </c>
      <c r="AK264" s="583">
        <f>VLOOKUP($H264,Nutrition_tables!$A:$AF,24,FALSE)*$Q264/100</f>
        <v>0</v>
      </c>
      <c r="AL264" s="583">
        <f>VLOOKUP($H264,Nutrition_tables!$A:$AF,25,FALSE)*$Q264/100</f>
        <v>0</v>
      </c>
      <c r="AM264" s="583">
        <f>VLOOKUP($H264,Nutrition_tables!$A:$AF,26,FALSE)*$Q264/100</f>
        <v>0</v>
      </c>
      <c r="AN264" s="583">
        <f>VLOOKUP($H264,Nutrition_tables!$A:$AF,27,FALSE)*$Q264/100</f>
        <v>0</v>
      </c>
      <c r="AO264" s="583">
        <f>VLOOKUP($H264,Nutrition_tables!$A:$AF,28,FALSE)*$Q264/100</f>
        <v>0</v>
      </c>
      <c r="AP264" s="583">
        <f>VLOOKUP($H264,Nutrition_tables!$A:$AF,29,FALSE)*$Q264/100</f>
        <v>0</v>
      </c>
      <c r="AQ264" s="583">
        <f>VLOOKUP($H264,Nutrition_tables!$A:$AF,30,FALSE)*$Q264/100</f>
        <v>0</v>
      </c>
      <c r="AR264" s="583">
        <f>VLOOKUP($H264,Nutrition_tables!$A:$AF,31,FALSE)*$Q264/100</f>
        <v>0</v>
      </c>
      <c r="AS264" s="549">
        <f>VLOOKUP($H264,Nutrition_tables!$A:$AF,32,FALSE)*$Q264/100</f>
        <v>0</v>
      </c>
      <c r="AT264" s="583">
        <f>IF(H264="Select ingredient:","",IF(G264="Select food category:","",IFERROR(VLOOKUP($H264,Ingredient_prices!$E:$W,17,FALSE)*$Q264/1000,"not bought")))</f>
        <v>0.72599999999999998</v>
      </c>
      <c r="AU264" s="583">
        <f>IF(H264="Select ingredient:","",IF(G264="Select food category:","",IFERROR(VLOOKUP($H264,Ingredient_prices!$E:$W,18,FALSE)*$Q264/1000,"not bought")))</f>
        <v>0.72599999999999998</v>
      </c>
      <c r="AV264" s="583">
        <f t="shared" si="612"/>
        <v>38.308721872130228</v>
      </c>
      <c r="AW264" s="583">
        <f t="shared" si="613"/>
        <v>4.3319927800120348E-3</v>
      </c>
      <c r="AX264" s="583">
        <f t="shared" si="614"/>
        <v>4.3319927800120348E-3</v>
      </c>
      <c r="AY264" s="583">
        <f t="shared" si="615"/>
        <v>4.3103328161119725</v>
      </c>
      <c r="AZ264" s="583">
        <f t="shared" si="616"/>
        <v>0</v>
      </c>
      <c r="BA264" s="583">
        <f t="shared" si="617"/>
        <v>0.29414230976281713</v>
      </c>
      <c r="BB264" s="583">
        <f t="shared" si="618"/>
        <v>4.3319927800120348E-3</v>
      </c>
      <c r="BC264" s="583">
        <f t="shared" si="619"/>
        <v>0</v>
      </c>
      <c r="BD264" s="583">
        <f t="shared" si="620"/>
        <v>8.6639855600240696E-3</v>
      </c>
      <c r="BE264" s="583">
        <f t="shared" si="621"/>
        <v>4.3319927800120332E-2</v>
      </c>
      <c r="BF264" s="583">
        <f t="shared" si="622"/>
        <v>0</v>
      </c>
      <c r="BG264" s="583">
        <f t="shared" si="623"/>
        <v>4.3319927800120348E-3</v>
      </c>
      <c r="BH264" s="583">
        <f t="shared" si="624"/>
        <v>0</v>
      </c>
      <c r="BI264" s="583">
        <f t="shared" si="625"/>
        <v>0</v>
      </c>
      <c r="BJ264" s="583">
        <f t="shared" si="626"/>
        <v>0</v>
      </c>
      <c r="BK264" s="583">
        <f t="shared" si="627"/>
        <v>0</v>
      </c>
      <c r="BL264" s="583">
        <f t="shared" si="628"/>
        <v>0</v>
      </c>
      <c r="BM264" s="583">
        <f t="shared" si="629"/>
        <v>0</v>
      </c>
      <c r="BN264" s="583">
        <f t="shared" si="630"/>
        <v>0</v>
      </c>
      <c r="BO264" s="583">
        <f t="shared" si="631"/>
        <v>0</v>
      </c>
      <c r="BP264" s="583">
        <f t="shared" si="632"/>
        <v>0</v>
      </c>
      <c r="BQ264" s="583">
        <f t="shared" si="633"/>
        <v>0</v>
      </c>
      <c r="BR264" s="583">
        <f t="shared" si="634"/>
        <v>0</v>
      </c>
    </row>
    <row r="265" spans="1:70" s="229" customFormat="1" ht="15" customHeight="1">
      <c r="A265" s="587"/>
      <c r="D265" s="85"/>
      <c r="E265" s="576">
        <f t="shared" si="635"/>
        <v>100</v>
      </c>
      <c r="F265" s="707"/>
      <c r="G265" s="406" t="s">
        <v>3142</v>
      </c>
      <c r="H265" s="578" t="s">
        <v>498</v>
      </c>
      <c r="I265" s="85">
        <v>6</v>
      </c>
      <c r="J265" s="682">
        <v>1</v>
      </c>
      <c r="K265" s="579">
        <f t="shared" si="609"/>
        <v>0.66</v>
      </c>
      <c r="L265" s="580">
        <f>IF(H265="Select ingredient:","",IF(G265="","",_xlfn.IFNA(VLOOKUP($H265,Ingredient_prices!$E:$U,16,FALSE),0)))</f>
        <v>45.6</v>
      </c>
      <c r="M265" s="844"/>
      <c r="N265" s="844"/>
      <c r="O265" s="588"/>
      <c r="P265" s="589"/>
      <c r="Q265" s="583">
        <f t="shared" si="610"/>
        <v>6</v>
      </c>
      <c r="R265" s="583">
        <f>VLOOKUP($H265,'CO2_emission+%_food_waste'!$A:$K,6,FALSE)*$Q265/100</f>
        <v>1.8480000000000001</v>
      </c>
      <c r="S265" s="583">
        <f t="shared" si="611"/>
        <v>4.1520000000000001</v>
      </c>
      <c r="T265" s="583">
        <f>IF(H265="Select ingredient:","",IF(G265="Select food category:","",_xlfn.IFNA(VLOOKUP($H265,Ingredient_prices!$E:$U,16,FALSE)*$Q265/1000,"not bought")))</f>
        <v>0.27360000000000001</v>
      </c>
      <c r="U265" s="583">
        <f>IF(G265="Select food category:","",_xlfn.IFNA(VLOOKUP($H265,Ingredient_prices!$E:$U,16,FALSE)*$R265/1000,"not bought"))</f>
        <v>8.4268800000000019E-2</v>
      </c>
      <c r="V265" s="549">
        <f>VLOOKUP($H265,'CO2_emission+%_food_waste'!$A:$K,4,FALSE)*$Q265</f>
        <v>9.6000000000000014</v>
      </c>
      <c r="W265" s="583">
        <f>VLOOKUP($H265,Nutrition_tables!$A:$N,10,FALSE)*$Q265/100</f>
        <v>1.92</v>
      </c>
      <c r="X265" s="583">
        <f>VLOOKUP($H265,Nutrition_tables!$A:$N,11,FALSE)*$Q265/100</f>
        <v>0.57599999999999985</v>
      </c>
      <c r="Y265" s="583">
        <f>VLOOKUP($H265,Nutrition_tables!$A:$N,12,FALSE)*$Q265/100</f>
        <v>1.8E-3</v>
      </c>
      <c r="Z265" s="583">
        <f>VLOOKUP($H265,Nutrition_tables!$A:$N,14,FALSE)*$Q265/100</f>
        <v>0</v>
      </c>
      <c r="AA265" s="583">
        <f>VLOOKUP($H265,Nutrition_tables!$A:$AF,13,FALSE)*$Q265/100</f>
        <v>0</v>
      </c>
      <c r="AB265" s="549">
        <f>VLOOKUP($H265,Nutrition_tables!$A:$AF,15,FALSE)*$Q265/100</f>
        <v>0</v>
      </c>
      <c r="AC265" s="583">
        <f>VLOOKUP($H265,Nutrition_tables!$A:$AF,16,FALSE)*$Q265/100</f>
        <v>1.2</v>
      </c>
      <c r="AD265" s="583">
        <f>VLOOKUP($H265,Nutrition_tables!$A:$AF,17,FALSE)*$Q265/100</f>
        <v>5.339999999999999</v>
      </c>
      <c r="AE265" s="583">
        <f>VLOOKUP($H265,Nutrition_tables!$A:$AF,18,FALSE)*$Q265/100</f>
        <v>0.89999999999999991</v>
      </c>
      <c r="AF265" s="583">
        <f>VLOOKUP($H265,Nutrition_tables!$A:$AF,19,FALSE)*$Q265/100</f>
        <v>1.32</v>
      </c>
      <c r="AG265" s="583">
        <f>VLOOKUP($H265,Nutrition_tables!$A:$AF,20,FALSE)*$Q265/100</f>
        <v>1.92</v>
      </c>
      <c r="AH265" s="583">
        <f>VLOOKUP($H265,Nutrition_tables!$A:$AF,21,FALSE)*$Q265/100</f>
        <v>0.03</v>
      </c>
      <c r="AI265" s="583">
        <f>VLOOKUP($H265,Nutrition_tables!$A:$AF,22,FALSE)*$Q265/100</f>
        <v>3.7800000000000003E-4</v>
      </c>
      <c r="AJ265" s="549">
        <f>VLOOKUP($H265,Nutrition_tables!$A:$AF,23,FALSE)*$Q265/100</f>
        <v>0</v>
      </c>
      <c r="AK265" s="583">
        <f>VLOOKUP($H265,Nutrition_tables!$A:$AF,24,FALSE)*$Q265/100</f>
        <v>0</v>
      </c>
      <c r="AL265" s="583">
        <f>VLOOKUP($H265,Nutrition_tables!$A:$AF,25,FALSE)*$Q265/100</f>
        <v>0</v>
      </c>
      <c r="AM265" s="583">
        <f>VLOOKUP($H265,Nutrition_tables!$A:$AF,26,FALSE)*$Q265/100</f>
        <v>0</v>
      </c>
      <c r="AN265" s="583">
        <f>VLOOKUP($H265,Nutrition_tables!$A:$AF,27,FALSE)*$Q265/100</f>
        <v>0</v>
      </c>
      <c r="AO265" s="583">
        <f>VLOOKUP($H265,Nutrition_tables!$A:$AF,28,FALSE)*$Q265/100</f>
        <v>0</v>
      </c>
      <c r="AP265" s="583">
        <f>VLOOKUP($H265,Nutrition_tables!$A:$AF,29,FALSE)*$Q265/100</f>
        <v>0</v>
      </c>
      <c r="AQ265" s="583">
        <f>VLOOKUP($H265,Nutrition_tables!$A:$AF,30,FALSE)*$Q265/100</f>
        <v>0</v>
      </c>
      <c r="AR265" s="583">
        <f>VLOOKUP($H265,Nutrition_tables!$A:$AF,31,FALSE)*$Q265/100</f>
        <v>0</v>
      </c>
      <c r="AS265" s="549">
        <f>VLOOKUP($H265,Nutrition_tables!$A:$AF,32,FALSE)*$Q265/100</f>
        <v>0</v>
      </c>
      <c r="AT265" s="583">
        <f>IF(H265="Select ingredient:","",IF(G265="Select food category:","",IFERROR(VLOOKUP($H265,Ingredient_prices!$E:$W,17,FALSE)*$Q265/1000,"not bought")))</f>
        <v>0.27360000000000001</v>
      </c>
      <c r="AU265" s="583">
        <f>IF(H265="Select ingredient:","",IF(G265="Select food category:","",IFERROR(VLOOKUP($H265,Ingredient_prices!$E:$W,18,FALSE)*$Q265/1000,"not bought")))</f>
        <v>0.27360000000000001</v>
      </c>
      <c r="AV265" s="583">
        <f t="shared" si="612"/>
        <v>1.3286377856036908</v>
      </c>
      <c r="AW265" s="583">
        <f t="shared" si="613"/>
        <v>0.39859133568110711</v>
      </c>
      <c r="AX265" s="583">
        <f t="shared" si="614"/>
        <v>1.2455979240034601E-3</v>
      </c>
      <c r="AY265" s="583">
        <f t="shared" si="615"/>
        <v>0</v>
      </c>
      <c r="AZ265" s="583">
        <f t="shared" si="616"/>
        <v>0</v>
      </c>
      <c r="BA265" s="583">
        <f t="shared" si="617"/>
        <v>0</v>
      </c>
      <c r="BB265" s="583">
        <f t="shared" si="618"/>
        <v>0.83039861600230669</v>
      </c>
      <c r="BC265" s="583">
        <f t="shared" si="619"/>
        <v>3.6952738412102639</v>
      </c>
      <c r="BD265" s="583">
        <f t="shared" si="620"/>
        <v>0.62279896200173002</v>
      </c>
      <c r="BE265" s="583">
        <f t="shared" si="621"/>
        <v>0.91343847760253738</v>
      </c>
      <c r="BF265" s="583">
        <f t="shared" si="622"/>
        <v>1.3286377856036908</v>
      </c>
      <c r="BG265" s="583">
        <f t="shared" si="623"/>
        <v>2.0759965400057669E-2</v>
      </c>
      <c r="BH265" s="583">
        <f t="shared" si="624"/>
        <v>2.6157556404072662E-4</v>
      </c>
      <c r="BI265" s="583">
        <f t="shared" si="625"/>
        <v>0</v>
      </c>
      <c r="BJ265" s="583">
        <f t="shared" si="626"/>
        <v>0</v>
      </c>
      <c r="BK265" s="583">
        <f t="shared" si="627"/>
        <v>0</v>
      </c>
      <c r="BL265" s="583">
        <f t="shared" si="628"/>
        <v>0</v>
      </c>
      <c r="BM265" s="583">
        <f t="shared" si="629"/>
        <v>0</v>
      </c>
      <c r="BN265" s="583">
        <f t="shared" si="630"/>
        <v>0</v>
      </c>
      <c r="BO265" s="583">
        <f t="shared" si="631"/>
        <v>0</v>
      </c>
      <c r="BP265" s="583">
        <f t="shared" si="632"/>
        <v>0</v>
      </c>
      <c r="BQ265" s="583">
        <f t="shared" si="633"/>
        <v>0</v>
      </c>
      <c r="BR265" s="583">
        <f t="shared" si="634"/>
        <v>0</v>
      </c>
    </row>
    <row r="266" spans="1:70" s="229" customFormat="1" ht="15" customHeight="1">
      <c r="A266" s="587"/>
      <c r="D266" s="85"/>
      <c r="E266" s="576">
        <f t="shared" si="635"/>
        <v>100</v>
      </c>
      <c r="F266" s="248"/>
      <c r="G266" s="406" t="s">
        <v>3076</v>
      </c>
      <c r="H266" s="578" t="s">
        <v>495</v>
      </c>
      <c r="I266" s="85">
        <v>0.3</v>
      </c>
      <c r="J266" s="682">
        <v>1</v>
      </c>
      <c r="K266" s="579">
        <f t="shared" si="609"/>
        <v>3.3000000000000002E-2</v>
      </c>
      <c r="L266" s="580">
        <f>IF(H266="Select ingredient:","",IF(G266="","",_xlfn.IFNA(VLOOKUP($H266,Ingredient_prices!$E:$U,16,FALSE),0)))</f>
        <v>33.6</v>
      </c>
      <c r="M266" s="844"/>
      <c r="N266" s="844"/>
      <c r="O266" s="588"/>
      <c r="P266" s="589"/>
      <c r="Q266" s="583">
        <f t="shared" si="610"/>
        <v>0.3</v>
      </c>
      <c r="R266" s="583">
        <f>VLOOKUP($H266,'CO2_emission+%_food_waste'!$A:$K,6,FALSE)*$Q266/100</f>
        <v>9.2999999999999985E-2</v>
      </c>
      <c r="S266" s="583">
        <f t="shared" si="611"/>
        <v>0.20700000000000002</v>
      </c>
      <c r="T266" s="583">
        <f>IF(H266="Select ingredient:","",IF(G266="Select food category:","",_xlfn.IFNA(VLOOKUP($H266,Ingredient_prices!$E:$U,16,FALSE)*$Q266/1000,"not bought")))</f>
        <v>1.008E-2</v>
      </c>
      <c r="U266" s="583">
        <f>IF(G266="Select food category:","",_xlfn.IFNA(VLOOKUP($H266,Ingredient_prices!$E:$U,16,FALSE)*$R266/1000,"not bought"))</f>
        <v>3.1247999999999996E-3</v>
      </c>
      <c r="V266" s="549">
        <f>VLOOKUP($H266,'CO2_emission+%_food_waste'!$A:$K,4,FALSE)*$Q266</f>
        <v>5.3999999999999999E-2</v>
      </c>
      <c r="W266" s="583">
        <f>VLOOKUP($H266,Nutrition_tables!$A:$N,10,FALSE)*$Q266/100</f>
        <v>0</v>
      </c>
      <c r="X266" s="583">
        <f>VLOOKUP($H266,Nutrition_tables!$A:$N,11,FALSE)*$Q266/100</f>
        <v>0</v>
      </c>
      <c r="Y266" s="583">
        <f>VLOOKUP($H266,Nutrition_tables!$A:$N,12,FALSE)*$Q266/100</f>
        <v>0</v>
      </c>
      <c r="Z266" s="583">
        <f>VLOOKUP($H266,Nutrition_tables!$A:$N,14,FALSE)*$Q266/100</f>
        <v>0</v>
      </c>
      <c r="AA266" s="583">
        <f>VLOOKUP($H266,Nutrition_tables!$A:$AF,13,FALSE)*$Q266/100</f>
        <v>0</v>
      </c>
      <c r="AB266" s="549">
        <f>VLOOKUP($H266,Nutrition_tables!$A:$AF,15,FALSE)*$Q266/100</f>
        <v>0</v>
      </c>
      <c r="AC266" s="583">
        <f>VLOOKUP($H266,Nutrition_tables!$A:$AF,16,FALSE)*$Q266/100</f>
        <v>116.55</v>
      </c>
      <c r="AD266" s="583">
        <f>VLOOKUP($H266,Nutrition_tables!$A:$AF,17,FALSE)*$Q266/100</f>
        <v>0.34799999999999998</v>
      </c>
      <c r="AE266" s="583">
        <f>VLOOKUP($H266,Nutrition_tables!$A:$AF,18,FALSE)*$Q266/100</f>
        <v>5.7000000000000002E-2</v>
      </c>
      <c r="AF266" s="583">
        <f>VLOOKUP($H266,Nutrition_tables!$A:$AF,19,FALSE)*$Q266/100</f>
        <v>0.79500000000000004</v>
      </c>
      <c r="AG266" s="583">
        <f>VLOOKUP($H266,Nutrition_tables!$A:$AF,20,FALSE)*$Q266/100</f>
        <v>2.4E-2</v>
      </c>
      <c r="AH266" s="583">
        <f>VLOOKUP($H266,Nutrition_tables!$A:$AF,21,FALSE)*$Q266/100</f>
        <v>6.0000000000000002E-5</v>
      </c>
      <c r="AI266" s="583">
        <f>VLOOKUP($H266,Nutrition_tables!$A:$AF,22,FALSE)*$Q266/100</f>
        <v>2.9999999999999997E-4</v>
      </c>
      <c r="AJ266" s="549">
        <f>VLOOKUP($H266,Nutrition_tables!$A:$AF,23,FALSE)*$Q266/100</f>
        <v>8.9999999999999992E-5</v>
      </c>
      <c r="AK266" s="583">
        <f>VLOOKUP($H266,Nutrition_tables!$A:$AF,24,FALSE)*$Q266/100</f>
        <v>0</v>
      </c>
      <c r="AL266" s="583">
        <f>VLOOKUP($H266,Nutrition_tables!$A:$AF,25,FALSE)*$Q266/100</f>
        <v>0</v>
      </c>
      <c r="AM266" s="583">
        <f>VLOOKUP($H266,Nutrition_tables!$A:$AF,26,FALSE)*$Q266/100</f>
        <v>0</v>
      </c>
      <c r="AN266" s="583">
        <f>VLOOKUP($H266,Nutrition_tables!$A:$AF,27,FALSE)*$Q266/100</f>
        <v>0</v>
      </c>
      <c r="AO266" s="583">
        <f>VLOOKUP($H266,Nutrition_tables!$A:$AF,28,FALSE)*$Q266/100</f>
        <v>0</v>
      </c>
      <c r="AP266" s="583">
        <f>VLOOKUP($H266,Nutrition_tables!$A:$AF,29,FALSE)*$Q266/100</f>
        <v>0</v>
      </c>
      <c r="AQ266" s="583">
        <f>VLOOKUP($H266,Nutrition_tables!$A:$AF,30,FALSE)*$Q266/100</f>
        <v>0</v>
      </c>
      <c r="AR266" s="583">
        <f>VLOOKUP($H266,Nutrition_tables!$A:$AF,31,FALSE)*$Q266/100</f>
        <v>0</v>
      </c>
      <c r="AS266" s="549">
        <f>VLOOKUP($H266,Nutrition_tables!$A:$AF,32,FALSE)*$Q266/100</f>
        <v>0</v>
      </c>
      <c r="AT266" s="583">
        <f>IF(H266="Select ingredient:","",IF(G266="Select food category:","",IFERROR(VLOOKUP($H266,Ingredient_prices!$E:$W,17,FALSE)*$Q266/1000,"not bought")))</f>
        <v>1.008E-2</v>
      </c>
      <c r="AU266" s="583">
        <f>IF(H266="Select ingredient:","",IF(G266="Select food category:","",IFERROR(VLOOKUP($H266,Ingredient_prices!$E:$W,18,FALSE)*$Q266/1000,"not bought")))</f>
        <v>1.008E-2</v>
      </c>
      <c r="AV266" s="583">
        <f t="shared" si="612"/>
        <v>0</v>
      </c>
      <c r="AW266" s="583">
        <f t="shared" si="613"/>
        <v>0</v>
      </c>
      <c r="AX266" s="583">
        <f t="shared" si="614"/>
        <v>0</v>
      </c>
      <c r="AY266" s="583">
        <f t="shared" si="615"/>
        <v>0</v>
      </c>
      <c r="AZ266" s="583">
        <f t="shared" si="616"/>
        <v>0</v>
      </c>
      <c r="BA266" s="583">
        <f t="shared" si="617"/>
        <v>0</v>
      </c>
      <c r="BB266" s="583">
        <f t="shared" si="618"/>
        <v>80.416819439352025</v>
      </c>
      <c r="BC266" s="583">
        <f t="shared" si="619"/>
        <v>0.24011199626679111</v>
      </c>
      <c r="BD266" s="583">
        <f t="shared" si="620"/>
        <v>3.9328689043698552E-2</v>
      </c>
      <c r="BE266" s="583">
        <f t="shared" si="621"/>
        <v>0.54853171560947978</v>
      </c>
      <c r="BF266" s="583">
        <f t="shared" si="622"/>
        <v>1.6559448018399387E-2</v>
      </c>
      <c r="BG266" s="583">
        <f t="shared" si="623"/>
        <v>4.1398620045998472E-5</v>
      </c>
      <c r="BH266" s="583">
        <f t="shared" si="624"/>
        <v>2.0699310022999234E-4</v>
      </c>
      <c r="BI266" s="583">
        <f t="shared" si="625"/>
        <v>6.2097930068997701E-5</v>
      </c>
      <c r="BJ266" s="583">
        <f t="shared" si="626"/>
        <v>0</v>
      </c>
      <c r="BK266" s="583">
        <f t="shared" si="627"/>
        <v>0</v>
      </c>
      <c r="BL266" s="583">
        <f t="shared" si="628"/>
        <v>0</v>
      </c>
      <c r="BM266" s="583">
        <f t="shared" si="629"/>
        <v>0</v>
      </c>
      <c r="BN266" s="583">
        <f t="shared" si="630"/>
        <v>0</v>
      </c>
      <c r="BO266" s="583">
        <f t="shared" si="631"/>
        <v>0</v>
      </c>
      <c r="BP266" s="583">
        <f t="shared" si="632"/>
        <v>0</v>
      </c>
      <c r="BQ266" s="583">
        <f t="shared" si="633"/>
        <v>0</v>
      </c>
      <c r="BR266" s="583">
        <f t="shared" si="634"/>
        <v>0</v>
      </c>
    </row>
    <row r="267" spans="1:70" s="229" customFormat="1" ht="15" customHeight="1">
      <c r="A267" s="587"/>
      <c r="D267" s="85"/>
      <c r="E267" s="576">
        <f t="shared" si="635"/>
        <v>100</v>
      </c>
      <c r="F267" s="707" t="s">
        <v>2503</v>
      </c>
      <c r="G267" s="406" t="s">
        <v>3079</v>
      </c>
      <c r="H267" s="578" t="s">
        <v>3365</v>
      </c>
      <c r="I267" s="85">
        <v>80</v>
      </c>
      <c r="J267" s="682">
        <v>1</v>
      </c>
      <c r="K267" s="579">
        <f t="shared" si="609"/>
        <v>8.8000000000000007</v>
      </c>
      <c r="L267" s="580">
        <f>IF(H267="Select ingredient:","",IF(G267="","",_xlfn.IFNA(VLOOKUP($H267,Ingredient_prices!$E:$U,16,FALSE),0)))</f>
        <v>70.400000000000006</v>
      </c>
      <c r="M267" s="844"/>
      <c r="N267" s="844"/>
      <c r="O267" s="588"/>
      <c r="P267" s="589"/>
      <c r="Q267" s="583">
        <f t="shared" si="610"/>
        <v>80</v>
      </c>
      <c r="R267" s="583">
        <f>VLOOKUP($H267,'CO2_emission+%_food_waste'!$A:$K,6,FALSE)*$Q267/100</f>
        <v>31.52</v>
      </c>
      <c r="S267" s="583">
        <f t="shared" si="611"/>
        <v>48.480000000000004</v>
      </c>
      <c r="T267" s="583">
        <f>IF(H267="Select ingredient:","",IF(G267="Select food category:","",_xlfn.IFNA(VLOOKUP($H267,Ingredient_prices!$E:$U,16,FALSE)*$Q267/1000,"not bought")))</f>
        <v>5.6319999999999997</v>
      </c>
      <c r="U267" s="583">
        <f>IF(G267="Select food category:","",_xlfn.IFNA(VLOOKUP($H267,Ingredient_prices!$E:$U,16,FALSE)*$R267/1000,"not bought"))</f>
        <v>2.2190080000000001</v>
      </c>
      <c r="V267" s="549">
        <f>VLOOKUP($H267,'CO2_emission+%_food_waste'!$A:$K,4,FALSE)*$Q267</f>
        <v>129.60000000000002</v>
      </c>
      <c r="W267" s="583">
        <f>VLOOKUP($H267,Nutrition_tables!$A:$N,10,FALSE)*$Q267/100</f>
        <v>210.32</v>
      </c>
      <c r="X267" s="583">
        <f>VLOOKUP($H267,Nutrition_tables!$A:$N,11,FALSE)*$Q267/100</f>
        <v>40.64</v>
      </c>
      <c r="Y267" s="583">
        <f>VLOOKUP($H267,Nutrition_tables!$A:$N,12,FALSE)*$Q267/100</f>
        <v>5.44</v>
      </c>
      <c r="Z267" s="583">
        <f>VLOOKUP($H267,Nutrition_tables!$A:$N,14,FALSE)*$Q267/100</f>
        <v>0.4</v>
      </c>
      <c r="AA267" s="583">
        <f>VLOOKUP($H267,Nutrition_tables!$A:$AF,13,FALSE)*$Q267/100</f>
        <v>3.44</v>
      </c>
      <c r="AB267" s="549">
        <f>VLOOKUP($H267,Nutrition_tables!$A:$AF,15,FALSE)*$Q267/100</f>
        <v>0.08</v>
      </c>
      <c r="AC267" s="583">
        <f>VLOOKUP($H267,Nutrition_tables!$A:$AF,16,FALSE)*$Q267/100</f>
        <v>408</v>
      </c>
      <c r="AD267" s="583">
        <f>VLOOKUP($H267,Nutrition_tables!$A:$AF,17,FALSE)*$Q267/100</f>
        <v>92</v>
      </c>
      <c r="AE267" s="583">
        <f>VLOOKUP($H267,Nutrition_tables!$A:$AF,18,FALSE)*$Q267/100</f>
        <v>77.599999999999994</v>
      </c>
      <c r="AF267" s="583">
        <f>VLOOKUP($H267,Nutrition_tables!$A:$AF,19,FALSE)*$Q267/100</f>
        <v>19.2</v>
      </c>
      <c r="AG267" s="583">
        <f>VLOOKUP($H267,Nutrition_tables!$A:$AF,20,FALSE)*$Q267/100</f>
        <v>0</v>
      </c>
      <c r="AH267" s="583">
        <f>VLOOKUP($H267,Nutrition_tables!$A:$AF,21,FALSE)*$Q267/100</f>
        <v>1.2</v>
      </c>
      <c r="AI267" s="583">
        <f>VLOOKUP($H267,Nutrition_tables!$A:$AF,22,FALSE)*$Q267/100</f>
        <v>3.04</v>
      </c>
      <c r="AJ267" s="549">
        <f>VLOOKUP($H267,Nutrition_tables!$A:$AF,23,FALSE)*$Q267/100</f>
        <v>0.25440000000000002</v>
      </c>
      <c r="AK267" s="583">
        <f>VLOOKUP($H267,Nutrition_tables!$A:$AF,24,FALSE)*$Q267/100</f>
        <v>0</v>
      </c>
      <c r="AL267" s="583">
        <f>VLOOKUP($H267,Nutrition_tables!$A:$AF,25,FALSE)*$Q267/100</f>
        <v>0.16</v>
      </c>
      <c r="AM267" s="583">
        <f>VLOOKUP($H267,Nutrition_tables!$A:$AF,26,FALSE)*$Q267/100</f>
        <v>6.4000000000000001E-2</v>
      </c>
      <c r="AN267" s="583">
        <f>VLOOKUP($H267,Nutrition_tables!$A:$AF,27,FALSE)*$Q267/100</f>
        <v>2.2480000000000002</v>
      </c>
      <c r="AO267" s="583">
        <f>VLOOKUP($H267,Nutrition_tables!$A:$AF,28,FALSE)*$Q267/100</f>
        <v>4.4800000000000006E-2</v>
      </c>
      <c r="AP267" s="583">
        <f>VLOOKUP($H267,Nutrition_tables!$A:$AF,29,FALSE)*$Q267/100</f>
        <v>21.6</v>
      </c>
      <c r="AQ267" s="583">
        <f>VLOOKUP($H267,Nutrition_tables!$A:$AF,30,FALSE)*$Q267/100</f>
        <v>0</v>
      </c>
      <c r="AR267" s="583">
        <f>VLOOKUP($H267,Nutrition_tables!$A:$AF,31,FALSE)*$Q267/100</f>
        <v>0.08</v>
      </c>
      <c r="AS267" s="549">
        <f>VLOOKUP($H267,Nutrition_tables!$A:$AF,32,FALSE)*$Q267/100</f>
        <v>8.8000000000000009E-2</v>
      </c>
      <c r="AT267" s="583">
        <f>IF(H267="Select ingredient:","",IF(G267="Select food category:","",IFERROR(VLOOKUP($H267,Ingredient_prices!$E:$W,17,FALSE)*$Q267/1000,"not bought")))</f>
        <v>5.6319999999999997</v>
      </c>
      <c r="AU267" s="583">
        <f>IF(H267="Select ingredient:","",IF(G267="Select food category:","",IFERROR(VLOOKUP($H267,Ingredient_prices!$E:$W,18,FALSE)*$Q267/1000,"not bought")))</f>
        <v>5.6319999999999997</v>
      </c>
      <c r="AV267" s="583">
        <f t="shared" si="612"/>
        <v>127.45390406826201</v>
      </c>
      <c r="AW267" s="583">
        <f t="shared" si="613"/>
        <v>24.627836921520387</v>
      </c>
      <c r="AX267" s="583">
        <f t="shared" si="614"/>
        <v>3.2966395879200521</v>
      </c>
      <c r="AY267" s="583">
        <f t="shared" si="615"/>
        <v>0.24239996970000383</v>
      </c>
      <c r="AZ267" s="583">
        <f t="shared" si="616"/>
        <v>2.0846397394200329</v>
      </c>
      <c r="BA267" s="583">
        <f t="shared" si="617"/>
        <v>4.8479993940000764E-2</v>
      </c>
      <c r="BB267" s="583">
        <f t="shared" si="618"/>
        <v>247.24796909400385</v>
      </c>
      <c r="BC267" s="583">
        <f t="shared" si="619"/>
        <v>55.751993031000879</v>
      </c>
      <c r="BD267" s="583">
        <f t="shared" si="620"/>
        <v>47.025594121800737</v>
      </c>
      <c r="BE267" s="583">
        <f t="shared" si="621"/>
        <v>11.635198545600181</v>
      </c>
      <c r="BF267" s="583">
        <f t="shared" si="622"/>
        <v>0</v>
      </c>
      <c r="BG267" s="583">
        <f t="shared" si="623"/>
        <v>0.72719990910001131</v>
      </c>
      <c r="BH267" s="583">
        <f t="shared" si="624"/>
        <v>1.842239769720029</v>
      </c>
      <c r="BI267" s="583">
        <f t="shared" si="625"/>
        <v>0.15416638072920241</v>
      </c>
      <c r="BJ267" s="583">
        <f t="shared" si="626"/>
        <v>0</v>
      </c>
      <c r="BK267" s="583">
        <f t="shared" si="627"/>
        <v>9.6959987880001527E-2</v>
      </c>
      <c r="BL267" s="583">
        <f t="shared" si="628"/>
        <v>3.8783995152000608E-2</v>
      </c>
      <c r="BM267" s="583">
        <f t="shared" si="629"/>
        <v>1.3622878297140215</v>
      </c>
      <c r="BN267" s="583">
        <f t="shared" si="630"/>
        <v>2.7148796606400429E-2</v>
      </c>
      <c r="BO267" s="583">
        <f t="shared" si="631"/>
        <v>13.089598363800205</v>
      </c>
      <c r="BP267" s="583">
        <f t="shared" si="632"/>
        <v>0</v>
      </c>
      <c r="BQ267" s="583">
        <f t="shared" si="633"/>
        <v>4.8479993940000764E-2</v>
      </c>
      <c r="BR267" s="583">
        <f t="shared" si="634"/>
        <v>5.3327993334000838E-2</v>
      </c>
    </row>
    <row r="268" spans="1:70" s="229" customFormat="1" ht="15" customHeight="1">
      <c r="A268" s="587"/>
      <c r="D268" s="85"/>
      <c r="E268" s="576">
        <f t="shared" si="635"/>
        <v>100</v>
      </c>
      <c r="F268" s="85" t="s">
        <v>3047</v>
      </c>
      <c r="G268" s="406" t="s">
        <v>3078</v>
      </c>
      <c r="H268" s="578" t="s">
        <v>3360</v>
      </c>
      <c r="I268" s="85">
        <v>1.6</v>
      </c>
      <c r="J268" s="682">
        <v>1</v>
      </c>
      <c r="K268" s="579">
        <f t="shared" si="609"/>
        <v>0.17600000000000002</v>
      </c>
      <c r="L268" s="580">
        <f>IF(H268="Select ingredient:","",IF(G268="","",_xlfn.IFNA(VLOOKUP($H268,Ingredient_prices!$E:$U,16,FALSE),0)))</f>
        <v>110</v>
      </c>
      <c r="M268" s="844"/>
      <c r="N268" s="844"/>
      <c r="O268" s="588"/>
      <c r="P268" s="589"/>
      <c r="Q268" s="583">
        <f t="shared" si="610"/>
        <v>1.6</v>
      </c>
      <c r="R268" s="583">
        <f>VLOOKUP($H268,'CO2_emission+%_food_waste'!$A:$K,6,FALSE)*$Q268/100</f>
        <v>9.1200000000000003E-2</v>
      </c>
      <c r="S268" s="583">
        <f t="shared" si="611"/>
        <v>1.5088000000000001</v>
      </c>
      <c r="T268" s="583">
        <f>IF(H268="Select ingredient:","",IF(G268="Select food category:","",_xlfn.IFNA(VLOOKUP($H268,Ingredient_prices!$E:$U,16,FALSE)*$Q268/1000,"not bought")))</f>
        <v>0.17599999999999999</v>
      </c>
      <c r="U268" s="583">
        <f>IF(G268="Select food category:","",_xlfn.IFNA(VLOOKUP($H268,Ingredient_prices!$E:$U,16,FALSE)*$R268/1000,"not bought"))</f>
        <v>1.0031999999999999E-2</v>
      </c>
      <c r="V268" s="549">
        <f>VLOOKUP($H268,'CO2_emission+%_food_waste'!$A:$K,4,FALSE)*$Q268</f>
        <v>0.6080000000000001</v>
      </c>
      <c r="W268" s="583">
        <f>VLOOKUP($H268,Nutrition_tables!$A:$N,10,FALSE)*$Q268/100</f>
        <v>6.48</v>
      </c>
      <c r="X268" s="583">
        <f>VLOOKUP($H268,Nutrition_tables!$A:$N,11,FALSE)*$Q268/100</f>
        <v>1.5968</v>
      </c>
      <c r="Y268" s="583">
        <f>VLOOKUP($H268,Nutrition_tables!$A:$N,12,FALSE)*$Q268/100</f>
        <v>0</v>
      </c>
      <c r="Z268" s="583">
        <f>VLOOKUP($H268,Nutrition_tables!$A:$N,14,FALSE)*$Q268/100</f>
        <v>1.6000000000000001E-3</v>
      </c>
      <c r="AA268" s="583">
        <f>VLOOKUP($H268,Nutrition_tables!$A:$AF,13,FALSE)*$Q268/100</f>
        <v>0</v>
      </c>
      <c r="AB268" s="549">
        <f>VLOOKUP($H268,Nutrition_tables!$A:$AF,15,FALSE)*$Q268/100</f>
        <v>0</v>
      </c>
      <c r="AC268" s="583">
        <f>VLOOKUP($H268,Nutrition_tables!$A:$AF,16,FALSE)*$Q268/100</f>
        <v>6.3999999999999997E-5</v>
      </c>
      <c r="AD268" s="583">
        <f>VLOOKUP($H268,Nutrition_tables!$A:$AF,17,FALSE)*$Q268/100</f>
        <v>3.2000000000000001E-2</v>
      </c>
      <c r="AE268" s="583">
        <f>VLOOKUP($H268,Nutrition_tables!$A:$AF,18,FALSE)*$Q268/100</f>
        <v>1.6E-2</v>
      </c>
      <c r="AF268" s="583">
        <f>VLOOKUP($H268,Nutrition_tables!$A:$AF,19,FALSE)*$Q268/100</f>
        <v>0</v>
      </c>
      <c r="AG268" s="583">
        <f>VLOOKUP($H268,Nutrition_tables!$A:$AF,20,FALSE)*$Q268/100</f>
        <v>0</v>
      </c>
      <c r="AH268" s="583">
        <f>VLOOKUP($H268,Nutrition_tables!$A:$AF,21,FALSE)*$Q268/100</f>
        <v>4.5999999999999999E-3</v>
      </c>
      <c r="AI268" s="583">
        <f>VLOOKUP($H268,Nutrition_tables!$A:$AF,22,FALSE)*$Q268/100</f>
        <v>4.0000000000000002E-4</v>
      </c>
      <c r="AJ268" s="549">
        <f>VLOOKUP($H268,Nutrition_tables!$A:$AF,23,FALSE)*$Q268/100</f>
        <v>2.0000000000000001E-4</v>
      </c>
      <c r="AK268" s="583">
        <f>VLOOKUP($H268,Nutrition_tables!$A:$AF,24,FALSE)*$Q268/100</f>
        <v>0</v>
      </c>
      <c r="AL268" s="583">
        <f>VLOOKUP($H268,Nutrition_tables!$A:$AF,25,FALSE)*$Q268/100</f>
        <v>0</v>
      </c>
      <c r="AM268" s="583">
        <f>VLOOKUP($H268,Nutrition_tables!$A:$AF,26,FALSE)*$Q268/100</f>
        <v>0</v>
      </c>
      <c r="AN268" s="583">
        <f>VLOOKUP($H268,Nutrition_tables!$A:$AF,27,FALSE)*$Q268/100</f>
        <v>0</v>
      </c>
      <c r="AO268" s="583">
        <f>VLOOKUP($H268,Nutrition_tables!$A:$AF,28,FALSE)*$Q268/100</f>
        <v>0</v>
      </c>
      <c r="AP268" s="583">
        <f>VLOOKUP($H268,Nutrition_tables!$A:$AF,29,FALSE)*$Q268/100</f>
        <v>0</v>
      </c>
      <c r="AQ268" s="583">
        <f>VLOOKUP($H268,Nutrition_tables!$A:$AF,30,FALSE)*$Q268/100</f>
        <v>0</v>
      </c>
      <c r="AR268" s="583">
        <f>VLOOKUP($H268,Nutrition_tables!$A:$AF,31,FALSE)*$Q268/100</f>
        <v>0</v>
      </c>
      <c r="AS268" s="549">
        <f>VLOOKUP($H268,Nutrition_tables!$A:$AF,32,FALSE)*$Q268/100</f>
        <v>0</v>
      </c>
      <c r="AT268" s="583">
        <f>IF(H268="Select ingredient:","",IF(G268="Select food category:","",IFERROR(VLOOKUP($H268,Ingredient_prices!$E:$W,17,FALSE)*$Q268/1000,"not bought")))</f>
        <v>0.17599999999999999</v>
      </c>
      <c r="AU268" s="583">
        <f>IF(H268="Select ingredient:","",IF(G268="Select food category:","",IFERROR(VLOOKUP($H268,Ingredient_prices!$E:$W,18,FALSE)*$Q268/1000,"not bought")))</f>
        <v>0.17599999999999999</v>
      </c>
      <c r="AV268" s="583">
        <f t="shared" si="612"/>
        <v>6.1106018087386955</v>
      </c>
      <c r="AW268" s="583">
        <f t="shared" si="613"/>
        <v>1.5057729889188192</v>
      </c>
      <c r="AX268" s="583">
        <f t="shared" si="614"/>
        <v>0</v>
      </c>
      <c r="AY268" s="583">
        <f t="shared" si="615"/>
        <v>1.5087905700589372E-3</v>
      </c>
      <c r="AZ268" s="583">
        <f t="shared" si="616"/>
        <v>0</v>
      </c>
      <c r="BA268" s="583">
        <f t="shared" si="617"/>
        <v>0</v>
      </c>
      <c r="BB268" s="583">
        <f t="shared" si="618"/>
        <v>6.0351622802357482E-5</v>
      </c>
      <c r="BC268" s="583">
        <f t="shared" si="619"/>
        <v>3.0175811401178743E-2</v>
      </c>
      <c r="BD268" s="583">
        <f t="shared" si="620"/>
        <v>1.5087905700589372E-2</v>
      </c>
      <c r="BE268" s="583">
        <f t="shared" si="621"/>
        <v>0</v>
      </c>
      <c r="BF268" s="583">
        <f t="shared" si="622"/>
        <v>0</v>
      </c>
      <c r="BG268" s="583">
        <f t="shared" si="623"/>
        <v>4.3377728889194443E-3</v>
      </c>
      <c r="BH268" s="583">
        <f t="shared" si="624"/>
        <v>3.771976425147343E-4</v>
      </c>
      <c r="BI268" s="583">
        <f t="shared" si="625"/>
        <v>1.8859882125736715E-4</v>
      </c>
      <c r="BJ268" s="583">
        <f t="shared" si="626"/>
        <v>0</v>
      </c>
      <c r="BK268" s="583">
        <f t="shared" si="627"/>
        <v>0</v>
      </c>
      <c r="BL268" s="583">
        <f t="shared" si="628"/>
        <v>0</v>
      </c>
      <c r="BM268" s="583">
        <f t="shared" si="629"/>
        <v>0</v>
      </c>
      <c r="BN268" s="583">
        <f t="shared" si="630"/>
        <v>0</v>
      </c>
      <c r="BO268" s="583">
        <f t="shared" si="631"/>
        <v>0</v>
      </c>
      <c r="BP268" s="583">
        <f t="shared" si="632"/>
        <v>0</v>
      </c>
      <c r="BQ268" s="583">
        <f t="shared" si="633"/>
        <v>0</v>
      </c>
      <c r="BR268" s="583">
        <f t="shared" si="634"/>
        <v>0</v>
      </c>
    </row>
    <row r="269" spans="1:70" s="229" customFormat="1" ht="15" customHeight="1">
      <c r="A269" s="587"/>
      <c r="D269" s="85"/>
      <c r="E269" s="576">
        <f t="shared" si="635"/>
        <v>100</v>
      </c>
      <c r="F269" s="406"/>
      <c r="G269" s="406" t="s">
        <v>3141</v>
      </c>
      <c r="H269" s="578" t="s">
        <v>3245</v>
      </c>
      <c r="I269" s="85">
        <v>13</v>
      </c>
      <c r="J269" s="682">
        <v>1</v>
      </c>
      <c r="K269" s="579">
        <f t="shared" si="609"/>
        <v>1.43</v>
      </c>
      <c r="L269" s="580">
        <f>IF(H269="Select ingredient:","",IF(G269="","",_xlfn.IFNA(VLOOKUP($H269,Ingredient_prices!$E:$U,16,FALSE),0)))</f>
        <v>43.12</v>
      </c>
      <c r="M269" s="844"/>
      <c r="N269" s="844"/>
      <c r="O269" s="588"/>
      <c r="P269" s="589"/>
      <c r="Q269" s="583">
        <f t="shared" si="610"/>
        <v>13</v>
      </c>
      <c r="R269" s="583">
        <f>VLOOKUP($H269,'CO2_emission+%_food_waste'!$A:$K,6,FALSE)*$Q269/100</f>
        <v>2.8209999999999997</v>
      </c>
      <c r="S269" s="583">
        <f t="shared" si="611"/>
        <v>10.179</v>
      </c>
      <c r="T269" s="583">
        <f>IF(H269="Select ingredient:","",IF(G269="Select food category:","",_xlfn.IFNA(VLOOKUP($H269,Ingredient_prices!$E:$U,16,FALSE)*$Q269/1000,"not bought")))</f>
        <v>0.56055999999999995</v>
      </c>
      <c r="U269" s="583">
        <f>IF(G269="Select food category:","",_xlfn.IFNA(VLOOKUP($H269,Ingredient_prices!$E:$U,16,FALSE)*$R269/1000,"not bought"))</f>
        <v>0.12164151999999999</v>
      </c>
      <c r="V269" s="549">
        <f>VLOOKUP($H269,'CO2_emission+%_food_waste'!$A:$K,4,FALSE)*$Q269</f>
        <v>21.060000000000002</v>
      </c>
      <c r="W269" s="583">
        <f>VLOOKUP($H269,Nutrition_tables!$A:$N,10,FALSE)*$Q269/100</f>
        <v>46.266969696969689</v>
      </c>
      <c r="X269" s="583">
        <f>VLOOKUP($H269,Nutrition_tables!$A:$N,11,FALSE)*$Q269/100</f>
        <v>10.126969696969697</v>
      </c>
      <c r="Y269" s="583">
        <f>VLOOKUP($H269,Nutrition_tables!$A:$N,12,FALSE)*$Q269/100</f>
        <v>1.2350000000000001</v>
      </c>
      <c r="Z269" s="583">
        <f>VLOOKUP($H269,Nutrition_tables!$A:$N,14,FALSE)*$Q269/100</f>
        <v>0.14303030303030301</v>
      </c>
      <c r="AA269" s="583">
        <f>VLOOKUP($H269,Nutrition_tables!$A:$AF,13,FALSE)*$Q269/100</f>
        <v>0.32515151515151514</v>
      </c>
      <c r="AB269" s="549">
        <f>VLOOKUP($H269,Nutrition_tables!$A:$AF,15,FALSE)*$Q269/100</f>
        <v>2.0909090909090908E-2</v>
      </c>
      <c r="AC269" s="583">
        <f>VLOOKUP($H269,Nutrition_tables!$A:$AF,16,FALSE)*$Q269/100</f>
        <v>0.37696969696969695</v>
      </c>
      <c r="AD269" s="583">
        <f>VLOOKUP($H269,Nutrition_tables!$A:$AF,17,FALSE)*$Q269/100</f>
        <v>20.54</v>
      </c>
      <c r="AE269" s="583">
        <f>VLOOKUP($H269,Nutrition_tables!$A:$AF,18,FALSE)*$Q269/100</f>
        <v>3.12</v>
      </c>
      <c r="AF269" s="583">
        <f>VLOOKUP($H269,Nutrition_tables!$A:$AF,19,FALSE)*$Q269/100</f>
        <v>3.2239393939393945</v>
      </c>
      <c r="AG269" s="583">
        <f>VLOOKUP($H269,Nutrition_tables!$A:$AF,20,FALSE)*$Q269/100</f>
        <v>13.779999999999998</v>
      </c>
      <c r="AH269" s="583">
        <f>VLOOKUP($H269,Nutrition_tables!$A:$AF,21,FALSE)*$Q269/100</f>
        <v>0.11575757575757574</v>
      </c>
      <c r="AI269" s="583">
        <f>VLOOKUP($H269,Nutrition_tables!$A:$AF,22,FALSE)*$Q269/100</f>
        <v>9.0909090909090898E-2</v>
      </c>
      <c r="AJ269" s="549">
        <f>VLOOKUP($H269,Nutrition_tables!$A:$AF,23,FALSE)*$Q269/100</f>
        <v>6.5151515151515155E-2</v>
      </c>
      <c r="AK269" s="583">
        <f>VLOOKUP($H269,Nutrition_tables!$A:$AF,24,FALSE)*$Q269/100</f>
        <v>0</v>
      </c>
      <c r="AL269" s="583">
        <f>VLOOKUP($H269,Nutrition_tables!$A:$AF,25,FALSE)*$Q269/100</f>
        <v>1.9393939393939394E-2</v>
      </c>
      <c r="AM269" s="583">
        <f>VLOOKUP($H269,Nutrition_tables!$A:$AF,26,FALSE)*$Q269/100</f>
        <v>5.1515151515151517E-3</v>
      </c>
      <c r="AN269" s="583">
        <f>VLOOKUP($H269,Nutrition_tables!$A:$AF,27,FALSE)*$Q269/100</f>
        <v>0.17030303030303032</v>
      </c>
      <c r="AO269" s="583">
        <f>VLOOKUP($H269,Nutrition_tables!$A:$AF,28,FALSE)*$Q269/100</f>
        <v>9.0909090909090887E-3</v>
      </c>
      <c r="AP269" s="583">
        <f>VLOOKUP($H269,Nutrition_tables!$A:$AF,29,FALSE)*$Q269/100</f>
        <v>2.1321212121212123</v>
      </c>
      <c r="AQ269" s="583">
        <f>VLOOKUP($H269,Nutrition_tables!$A:$AF,30,FALSE)*$Q269/100</f>
        <v>1.1818181818181816E-2</v>
      </c>
      <c r="AR269" s="583">
        <f>VLOOKUP($H269,Nutrition_tables!$A:$AF,31,FALSE)*$Q269/100</f>
        <v>0</v>
      </c>
      <c r="AS269" s="549">
        <f>VLOOKUP($H269,Nutrition_tables!$A:$AF,32,FALSE)*$Q269/100</f>
        <v>0</v>
      </c>
      <c r="AT269" s="583">
        <f>IF(H269="Select ingredient:","",IF(G269="Select food category:","",IFERROR(VLOOKUP($H269,Ingredient_prices!$E:$W,17,FALSE)*$Q269/1000,"not bought")))</f>
        <v>0.56055999999999995</v>
      </c>
      <c r="AU269" s="583">
        <f>IF(H269="Select ingredient:","",IF(G269="Select food category:","",IFERROR(VLOOKUP($H269,Ingredient_prices!$E:$W,18,FALSE)*$Q269/1000,"not bought")))</f>
        <v>0.56055999999999995</v>
      </c>
      <c r="AV269" s="583">
        <f t="shared" si="612"/>
        <v>36.227009405796956</v>
      </c>
      <c r="AW269" s="583">
        <f t="shared" si="613"/>
        <v>7.9294111731802168</v>
      </c>
      <c r="AX269" s="583">
        <f t="shared" si="614"/>
        <v>0.96700425615057228</v>
      </c>
      <c r="AY269" s="583">
        <f t="shared" si="615"/>
        <v>0.11199264112454178</v>
      </c>
      <c r="AZ269" s="583">
        <f t="shared" si="616"/>
        <v>0.2545934405225283</v>
      </c>
      <c r="BA269" s="583">
        <f t="shared" si="617"/>
        <v>1.6371805588121575E-2</v>
      </c>
      <c r="BB269" s="583">
        <f t="shared" si="618"/>
        <v>0.29516704567569912</v>
      </c>
      <c r="BC269" s="583">
        <f t="shared" si="619"/>
        <v>16.082807628609519</v>
      </c>
      <c r="BD269" s="583">
        <f t="shared" si="620"/>
        <v>2.4429581208014457</v>
      </c>
      <c r="BE269" s="583">
        <f t="shared" si="621"/>
        <v>2.5243426036525434</v>
      </c>
      <c r="BF269" s="583">
        <f t="shared" si="622"/>
        <v>10.789731700206383</v>
      </c>
      <c r="BG269" s="583">
        <f t="shared" si="623"/>
        <v>9.0638112096557116E-2</v>
      </c>
      <c r="BH269" s="583">
        <f t="shared" si="624"/>
        <v>7.1181763426615544E-2</v>
      </c>
      <c r="BI269" s="583">
        <f t="shared" si="625"/>
        <v>5.1013597122407814E-2</v>
      </c>
      <c r="BJ269" s="583">
        <f t="shared" si="626"/>
        <v>0</v>
      </c>
      <c r="BK269" s="583">
        <f t="shared" si="627"/>
        <v>1.5185442864344652E-2</v>
      </c>
      <c r="BL269" s="583">
        <f t="shared" si="628"/>
        <v>4.033633260841548E-3</v>
      </c>
      <c r="BM269" s="583">
        <f t="shared" si="629"/>
        <v>0.13334717015252648</v>
      </c>
      <c r="BN269" s="583">
        <f t="shared" si="630"/>
        <v>7.1181763426615531E-3</v>
      </c>
      <c r="BO269" s="583">
        <f t="shared" si="631"/>
        <v>1.6694496248988901</v>
      </c>
      <c r="BP269" s="583">
        <f t="shared" si="632"/>
        <v>9.2536292454600197E-3</v>
      </c>
      <c r="BQ269" s="583">
        <f t="shared" si="633"/>
        <v>0</v>
      </c>
      <c r="BR269" s="583">
        <f t="shared" si="634"/>
        <v>0</v>
      </c>
    </row>
    <row r="270" spans="1:70" s="229" customFormat="1" ht="15" customHeight="1">
      <c r="A270" s="587"/>
      <c r="D270" s="85"/>
      <c r="E270" s="576">
        <f t="shared" si="635"/>
        <v>100</v>
      </c>
      <c r="F270" s="707"/>
      <c r="G270" s="406" t="s">
        <v>3078</v>
      </c>
      <c r="H270" s="578" t="s">
        <v>3359</v>
      </c>
      <c r="I270" s="85">
        <v>14</v>
      </c>
      <c r="J270" s="682">
        <v>1</v>
      </c>
      <c r="K270" s="579">
        <f t="shared" si="609"/>
        <v>1.5400000000000003</v>
      </c>
      <c r="L270" s="580">
        <f>IF(H270="Select ingredient:","",IF(G270="","",_xlfn.IFNA(VLOOKUP($H270,Ingredient_prices!$E:$U,16,FALSE),0)))</f>
        <v>67.540000000000006</v>
      </c>
      <c r="M270" s="844"/>
      <c r="N270" s="844"/>
      <c r="O270" s="588"/>
      <c r="P270" s="589"/>
      <c r="Q270" s="583">
        <f t="shared" si="610"/>
        <v>14</v>
      </c>
      <c r="R270" s="583">
        <f>VLOOKUP($H270,'CO2_emission+%_food_waste'!$A:$K,6,FALSE)*$Q270/100</f>
        <v>1.204</v>
      </c>
      <c r="S270" s="583">
        <f t="shared" si="611"/>
        <v>12.795999999999999</v>
      </c>
      <c r="T270" s="583">
        <f>IF(H270="Select ingredient:","",IF(G270="Select food category:","",_xlfn.IFNA(VLOOKUP($H270,Ingredient_prices!$E:$U,16,FALSE)*$Q270/1000,"not bought")))</f>
        <v>0.94556000000000007</v>
      </c>
      <c r="U270" s="583">
        <f>IF(G270="Select food category:","",_xlfn.IFNA(VLOOKUP($H270,Ingredient_prices!$E:$U,16,FALSE)*$R270/1000,"not bought"))</f>
        <v>8.131816E-2</v>
      </c>
      <c r="V270" s="549">
        <f>VLOOKUP($H270,'CO2_emission+%_food_waste'!$A:$K,4,FALSE)*$Q270</f>
        <v>5.32</v>
      </c>
      <c r="W270" s="583">
        <f>VLOOKUP($H270,Nutrition_tables!$A:$N,10,FALSE)*$Q270/100</f>
        <v>57.385304408677392</v>
      </c>
      <c r="X270" s="583">
        <f>VLOOKUP($H270,Nutrition_tables!$A:$N,11,FALSE)*$Q270/100</f>
        <v>13.979034289713086</v>
      </c>
      <c r="Y270" s="583">
        <f>VLOOKUP($H270,Nutrition_tables!$A:$N,12,FALSE)*$Q270/100</f>
        <v>0</v>
      </c>
      <c r="Z270" s="583">
        <f>VLOOKUP($H270,Nutrition_tables!$A:$N,14,FALSE)*$Q270/100</f>
        <v>0</v>
      </c>
      <c r="AA270" s="583">
        <f>VLOOKUP($H270,Nutrition_tables!$A:$AF,13,FALSE)*$Q270/100</f>
        <v>0</v>
      </c>
      <c r="AB270" s="549">
        <f>VLOOKUP($H270,Nutrition_tables!$A:$AF,15,FALSE)*$Q270/100</f>
        <v>0</v>
      </c>
      <c r="AC270" s="583">
        <f>VLOOKUP($H270,Nutrition_tables!$A:$AF,16,FALSE)*$Q270/100</f>
        <v>2.0005999999999999E-2</v>
      </c>
      <c r="AD270" s="583">
        <f>VLOOKUP($H270,Nutrition_tables!$A:$AF,17,FALSE)*$Q270/100</f>
        <v>0.28000000000000003</v>
      </c>
      <c r="AE270" s="583">
        <f>VLOOKUP($H270,Nutrition_tables!$A:$AF,18,FALSE)*$Q270/100</f>
        <v>0.14000000000000001</v>
      </c>
      <c r="AF270" s="583">
        <f>VLOOKUP($H270,Nutrition_tables!$A:$AF,19,FALSE)*$Q270/100</f>
        <v>0</v>
      </c>
      <c r="AG270" s="583">
        <f>VLOOKUP($H270,Nutrition_tables!$A:$AF,20,FALSE)*$Q270/100</f>
        <v>0</v>
      </c>
      <c r="AH270" s="583">
        <f>VLOOKUP($H270,Nutrition_tables!$A:$AF,21,FALSE)*$Q270/100</f>
        <v>4.0559832050384881E-2</v>
      </c>
      <c r="AI270" s="583">
        <f>VLOOKUP($H270,Nutrition_tables!$A:$AF,22,FALSE)*$Q270/100</f>
        <v>2.841147655703289E-3</v>
      </c>
      <c r="AJ270" s="549">
        <f>VLOOKUP($H270,Nutrition_tables!$A:$AF,23,FALSE)*$Q270/100</f>
        <v>2.0573827851644508E-3</v>
      </c>
      <c r="AK270" s="583">
        <f>VLOOKUP($H270,Nutrition_tables!$A:$AF,24,FALSE)*$Q270/100</f>
        <v>0</v>
      </c>
      <c r="AL270" s="583">
        <f>VLOOKUP($H270,Nutrition_tables!$A:$AF,25,FALSE)*$Q270/100</f>
        <v>0</v>
      </c>
      <c r="AM270" s="583">
        <f>VLOOKUP($H270,Nutrition_tables!$A:$AF,26,FALSE)*$Q270/100</f>
        <v>3.8011400000000003E-4</v>
      </c>
      <c r="AN270" s="583">
        <f>VLOOKUP($H270,Nutrition_tables!$A:$AF,27,FALSE)*$Q270/100</f>
        <v>0</v>
      </c>
      <c r="AO270" s="583">
        <f>VLOOKUP($H270,Nutrition_tables!$A:$AF,28,FALSE)*$Q270/100</f>
        <v>0</v>
      </c>
      <c r="AP270" s="583">
        <f>VLOOKUP($H270,Nutrition_tables!$A:$AF,29,FALSE)*$Q270/100</f>
        <v>0</v>
      </c>
      <c r="AQ270" s="583">
        <f>VLOOKUP($H270,Nutrition_tables!$A:$AF,30,FALSE)*$Q270/100</f>
        <v>0</v>
      </c>
      <c r="AR270" s="583">
        <f>VLOOKUP($H270,Nutrition_tables!$A:$AF,31,FALSE)*$Q270/100</f>
        <v>0</v>
      </c>
      <c r="AS270" s="549">
        <f>VLOOKUP($H270,Nutrition_tables!$A:$AF,32,FALSE)*$Q270/100</f>
        <v>0</v>
      </c>
      <c r="AT270" s="583">
        <f>IF(H270="Select ingredient:","",IF(G270="Select food category:","",IFERROR(VLOOKUP($H270,Ingredient_prices!$E:$W,17,FALSE)*$Q270/1000,"not bought")))</f>
        <v>0.94556000000000007</v>
      </c>
      <c r="AU270" s="583">
        <f>IF(H270="Select ingredient:","",IF(G270="Select food category:","",IFERROR(VLOOKUP($H270,Ingredient_prices!$E:$W,18,FALSE)*$Q270/1000,"not bought")))</f>
        <v>0.94556000000000007</v>
      </c>
      <c r="AV270" s="583">
        <f t="shared" si="612"/>
        <v>52.450130765152011</v>
      </c>
      <c r="AW270" s="583">
        <f t="shared" si="613"/>
        <v>12.776828214491891</v>
      </c>
      <c r="AX270" s="583">
        <f t="shared" si="614"/>
        <v>0</v>
      </c>
      <c r="AY270" s="583">
        <f t="shared" si="615"/>
        <v>0</v>
      </c>
      <c r="AZ270" s="583">
        <f t="shared" si="616"/>
        <v>0</v>
      </c>
      <c r="BA270" s="583">
        <f t="shared" si="617"/>
        <v>0</v>
      </c>
      <c r="BB270" s="583">
        <f t="shared" si="618"/>
        <v>1.828547093894933E-2</v>
      </c>
      <c r="BC270" s="583">
        <f t="shared" si="619"/>
        <v>0.25591981720013057</v>
      </c>
      <c r="BD270" s="583">
        <f t="shared" ref="BD270:BD279" si="636">AE270*($Q270-$R270)/($Q270+0.00001)</f>
        <v>0.12795990860006529</v>
      </c>
      <c r="BE270" s="583">
        <f t="shared" ref="BE270:BE279" si="637">AF270*($Q270-$R270)/($Q270+0.00001)</f>
        <v>0</v>
      </c>
      <c r="BF270" s="583">
        <f t="shared" ref="BF270:BF279" si="638">AG270*($Q270-$R270)/($Q270+0.00001)</f>
        <v>0</v>
      </c>
      <c r="BG270" s="583">
        <f t="shared" ref="BG270:BG279" si="639">AH270*($Q270-$R270)/($Q270+0.00001)</f>
        <v>3.7071660014294627E-2</v>
      </c>
      <c r="BH270" s="583">
        <f t="shared" ref="BH270:BH279" si="640">AI270*($Q270-$R270)/($Q270+0.00001)</f>
        <v>2.5968071024505901E-3</v>
      </c>
      <c r="BI270" s="583">
        <f t="shared" ref="BI270:BI279" si="641">AJ270*($Q270-$R270)/($Q270+0.00001)</f>
        <v>1.8804465224642204E-3</v>
      </c>
      <c r="BJ270" s="583">
        <f t="shared" ref="BJ270:BJ279" si="642">AK270*($Q270-$R270)/($Q270+0.00001)</f>
        <v>0</v>
      </c>
      <c r="BK270" s="583">
        <f t="shared" ref="BK270:BK279" si="643">AL270*($Q270-$R270)/($Q270+0.00001)</f>
        <v>0</v>
      </c>
      <c r="BL270" s="583">
        <f t="shared" ref="BL270:BL279" si="644">AM270*($Q270-$R270)/($Q270+0.00001)</f>
        <v>3.4742394784003728E-4</v>
      </c>
      <c r="BM270" s="583">
        <f t="shared" ref="BM270:BM279" si="645">AN270*($Q270-$R270)/($Q270+0.00001)</f>
        <v>0</v>
      </c>
      <c r="BN270" s="583">
        <f t="shared" ref="BN270:BN279" si="646">AO270*($Q270-$R270)/($Q270+0.00001)</f>
        <v>0</v>
      </c>
      <c r="BO270" s="583">
        <f t="shared" ref="BO270:BO279" si="647">AP270*($Q270-$R270)/($Q270+0.00001)</f>
        <v>0</v>
      </c>
      <c r="BP270" s="583">
        <f t="shared" ref="BP270:BP279" si="648">AQ270*($Q270-$R270)/($Q270+0.00001)</f>
        <v>0</v>
      </c>
      <c r="BQ270" s="583">
        <f t="shared" ref="BQ270:BQ279" si="649">AR270*($Q270-$R270)/($Q270+0.00001)</f>
        <v>0</v>
      </c>
      <c r="BR270" s="583">
        <f t="shared" ref="BR270:BR279" si="650">AS270*($Q270-$R270)/($Q270+0.00001)</f>
        <v>0</v>
      </c>
    </row>
    <row r="271" spans="1:70" s="229" customFormat="1" ht="15" customHeight="1">
      <c r="A271" s="587"/>
      <c r="D271" s="85"/>
      <c r="E271" s="576">
        <f t="shared" si="635"/>
        <v>100</v>
      </c>
      <c r="F271" s="248"/>
      <c r="G271" s="406" t="s">
        <v>3072</v>
      </c>
      <c r="H271" s="578" t="s">
        <v>3208</v>
      </c>
      <c r="I271" s="85">
        <v>5</v>
      </c>
      <c r="J271" s="682">
        <v>1</v>
      </c>
      <c r="K271" s="579">
        <f t="shared" si="609"/>
        <v>0.55000000000000004</v>
      </c>
      <c r="L271" s="580">
        <f>IF(H271="Select ingredient:","",IF(G271="","",_xlfn.IFNA(VLOOKUP($H271,Ingredient_prices!$E:$U,16,FALSE),0)))</f>
        <v>183.33333333333334</v>
      </c>
      <c r="M271" s="844"/>
      <c r="N271" s="844"/>
      <c r="O271" s="588"/>
      <c r="P271" s="589"/>
      <c r="Q271" s="583">
        <f t="shared" si="610"/>
        <v>5</v>
      </c>
      <c r="R271" s="583">
        <f>VLOOKUP($H271,'CO2_emission+%_food_waste'!$A:$K,6,FALSE)*$Q271/100</f>
        <v>0.53</v>
      </c>
      <c r="S271" s="583">
        <f t="shared" si="611"/>
        <v>4.47</v>
      </c>
      <c r="T271" s="583">
        <f>IF(H271="Select ingredient:","",IF(G271="Select food category:","",_xlfn.IFNA(VLOOKUP($H271,Ingredient_prices!$E:$U,16,FALSE)*$Q271/1000,"not bought")))</f>
        <v>0.91666666666666674</v>
      </c>
      <c r="U271" s="583">
        <f>IF(G271="Select food category:","",_xlfn.IFNA(VLOOKUP($H271,Ingredient_prices!$E:$U,16,FALSE)*$R271/1000,"not bought"))</f>
        <v>9.7166666666666665E-2</v>
      </c>
      <c r="V271" s="549">
        <f>VLOOKUP($H271,'CO2_emission+%_food_waste'!$A:$K,4,FALSE)*$Q271</f>
        <v>15.2</v>
      </c>
      <c r="W271" s="583">
        <f>VLOOKUP($H271,Nutrition_tables!$A:$N,10,FALSE)*$Q271/100</f>
        <v>7.0999999999999988</v>
      </c>
      <c r="X271" s="583">
        <f>VLOOKUP($H271,Nutrition_tables!$A:$N,11,FALSE)*$Q271/100</f>
        <v>4.0009337068160594E-2</v>
      </c>
      <c r="Y271" s="583">
        <f>VLOOKUP($H271,Nutrition_tables!$A:$N,12,FALSE)*$Q271/100</f>
        <v>0.63001867413632118</v>
      </c>
      <c r="Z271" s="583">
        <f>VLOOKUP($H271,Nutrition_tables!$A:$N,14,FALSE)*$Q271/100</f>
        <v>0.49500466853408021</v>
      </c>
      <c r="AA271" s="583">
        <f>VLOOKUP($H271,Nutrition_tables!$A:$AF,13,FALSE)*$Q271/100</f>
        <v>0</v>
      </c>
      <c r="AB271" s="549">
        <f>VLOOKUP($H271,Nutrition_tables!$A:$AF,15,FALSE)*$Q271/100</f>
        <v>0.13001867413632121</v>
      </c>
      <c r="AC271" s="583">
        <f>VLOOKUP($H271,Nutrition_tables!$A:$AF,16,FALSE)*$Q271/100</f>
        <v>7</v>
      </c>
      <c r="AD271" s="583">
        <f>VLOOKUP($H271,Nutrition_tables!$A:$AF,17,FALSE)*$Q271/100</f>
        <v>6.4999999999999991</v>
      </c>
      <c r="AE271" s="583">
        <f>VLOOKUP($H271,Nutrition_tables!$A:$AF,18,FALSE)*$Q271/100</f>
        <v>1.9999999999999998</v>
      </c>
      <c r="AF271" s="583">
        <f>VLOOKUP($H271,Nutrition_tables!$A:$AF,19,FALSE)*$Q271/100</f>
        <v>0.65</v>
      </c>
      <c r="AG271" s="583">
        <f>VLOOKUP($H271,Nutrition_tables!$A:$AF,20,FALSE)*$Q271/100</f>
        <v>10.499999999999998</v>
      </c>
      <c r="AH271" s="583">
        <f>VLOOKUP($H271,Nutrition_tables!$A:$AF,21,FALSE)*$Q271/100</f>
        <v>0.1</v>
      </c>
      <c r="AI271" s="583">
        <f>VLOOKUP($H271,Nutrition_tables!$A:$AF,22,FALSE)*$Q271/100</f>
        <v>6.9981325863678806E-2</v>
      </c>
      <c r="AJ271" s="549">
        <f>VLOOKUP($H271,Nutrition_tables!$A:$AF,23,FALSE)*$Q271/100</f>
        <v>3.5014005602240893E-3</v>
      </c>
      <c r="AK271" s="583">
        <f>VLOOKUP($H271,Nutrition_tables!$A:$AF,24,FALSE)*$Q271/100</f>
        <v>9.6999999999999993</v>
      </c>
      <c r="AL271" s="583">
        <f>VLOOKUP($H271,Nutrition_tables!$A:$AF,25,FALSE)*$Q271/100</f>
        <v>3.5014005602240893E-3</v>
      </c>
      <c r="AM271" s="583">
        <f>VLOOKUP($H271,Nutrition_tables!$A:$AF,26,FALSE)*$Q271/100</f>
        <v>2.2502334267040149E-2</v>
      </c>
      <c r="AN271" s="583">
        <f>VLOOKUP($H271,Nutrition_tables!$A:$AF,27,FALSE)*$Q271/100</f>
        <v>2.5210084033613443E-3</v>
      </c>
      <c r="AO271" s="583">
        <f>VLOOKUP($H271,Nutrition_tables!$A:$AF,28,FALSE)*$Q271/100</f>
        <v>6.0224089635854336E-3</v>
      </c>
      <c r="AP271" s="583">
        <f>VLOOKUP($H271,Nutrition_tables!$A:$AF,29,FALSE)*$Q271/100</f>
        <v>1.0499999999999998</v>
      </c>
      <c r="AQ271" s="583">
        <f>VLOOKUP($H271,Nutrition_tables!$A:$AF,30,FALSE)*$Q271/100</f>
        <v>0.1</v>
      </c>
      <c r="AR271" s="583">
        <f>VLOOKUP($H271,Nutrition_tables!$A:$AF,31,FALSE)*$Q271/100</f>
        <v>0</v>
      </c>
      <c r="AS271" s="549">
        <f>VLOOKUP($H271,Nutrition_tables!$A:$AF,32,FALSE)*$Q271/100</f>
        <v>8.7488328664799261E-2</v>
      </c>
      <c r="AT271" s="583">
        <f>IF(H271="Select ingredient:","",IF(G271="Select food category:","",IFERROR(VLOOKUP($H271,Ingredient_prices!$E:$W,17,FALSE)*$Q271/1000,"not bought")))</f>
        <v>0.91666666666666674</v>
      </c>
      <c r="AU271" s="583">
        <f>IF(H271="Select ingredient:","",IF(G271="Select food category:","",IFERROR(VLOOKUP($H271,Ingredient_prices!$E:$W,18,FALSE)*$Q271/1000,"not bought")))</f>
        <v>0.91666666666666674</v>
      </c>
      <c r="AV271" s="583">
        <f t="shared" si="612"/>
        <v>6.3473873052253884</v>
      </c>
      <c r="AW271" s="583">
        <f t="shared" si="613"/>
        <v>3.5768275802383967E-2</v>
      </c>
      <c r="AX271" s="583">
        <f t="shared" si="614"/>
        <v>0.5632355682067347</v>
      </c>
      <c r="AY271" s="583">
        <f t="shared" si="615"/>
        <v>0.44253328860289054</v>
      </c>
      <c r="AZ271" s="583">
        <f t="shared" si="616"/>
        <v>0</v>
      </c>
      <c r="BA271" s="583">
        <f t="shared" si="617"/>
        <v>0.11623646220494674</v>
      </c>
      <c r="BB271" s="583">
        <f t="shared" si="618"/>
        <v>6.2579874840250325</v>
      </c>
      <c r="BC271" s="583">
        <f t="shared" si="619"/>
        <v>5.8109883780232439</v>
      </c>
      <c r="BD271" s="583">
        <f t="shared" si="636"/>
        <v>1.7879964240071518</v>
      </c>
      <c r="BE271" s="583">
        <f t="shared" si="637"/>
        <v>0.58109883780232441</v>
      </c>
      <c r="BF271" s="583">
        <f t="shared" si="638"/>
        <v>9.3869812260375465</v>
      </c>
      <c r="BG271" s="583">
        <f t="shared" si="639"/>
        <v>8.939982120035761E-2</v>
      </c>
      <c r="BH271" s="583">
        <f t="shared" si="640"/>
        <v>6.2563180195768467E-2</v>
      </c>
      <c r="BI271" s="583">
        <f t="shared" si="641"/>
        <v>3.1302458403486551E-3</v>
      </c>
      <c r="BJ271" s="583">
        <f t="shared" si="642"/>
        <v>8.6717826564346865</v>
      </c>
      <c r="BK271" s="583">
        <f t="shared" si="643"/>
        <v>3.1302458403486551E-3</v>
      </c>
      <c r="BL271" s="583">
        <f t="shared" si="644"/>
        <v>2.0117046600640693E-2</v>
      </c>
      <c r="BM271" s="583">
        <f t="shared" si="645"/>
        <v>2.2537770050510319E-3</v>
      </c>
      <c r="BN271" s="583">
        <f t="shared" si="646"/>
        <v>5.3840228453996865E-3</v>
      </c>
      <c r="BO271" s="583">
        <f t="shared" si="647"/>
        <v>0.93869812260375474</v>
      </c>
      <c r="BP271" s="583">
        <f t="shared" si="648"/>
        <v>8.939982120035761E-2</v>
      </c>
      <c r="BQ271" s="583">
        <f t="shared" si="649"/>
        <v>0</v>
      </c>
      <c r="BR271" s="583">
        <f t="shared" si="650"/>
        <v>7.8214409397511744E-2</v>
      </c>
    </row>
    <row r="272" spans="1:70" s="229" customFormat="1" ht="15" customHeight="1">
      <c r="A272" s="587"/>
      <c r="D272" s="85"/>
      <c r="E272" s="576">
        <f t="shared" si="635"/>
        <v>100</v>
      </c>
      <c r="F272" s="707"/>
      <c r="G272" s="406" t="s">
        <v>3085</v>
      </c>
      <c r="H272" s="578" t="s">
        <v>3221</v>
      </c>
      <c r="I272" s="85">
        <v>8</v>
      </c>
      <c r="J272" s="682">
        <v>1</v>
      </c>
      <c r="K272" s="579">
        <f t="shared" si="609"/>
        <v>0.88000000000000012</v>
      </c>
      <c r="L272" s="580">
        <f>IF(H272="Select ingredient:","",IF(G272="","",_xlfn.IFNA(VLOOKUP($H272,Ingredient_prices!$E:$U,16,FALSE),0)))</f>
        <v>91.3</v>
      </c>
      <c r="M272" s="844"/>
      <c r="N272" s="844"/>
      <c r="O272" s="588"/>
      <c r="P272" s="589"/>
      <c r="Q272" s="583">
        <f t="shared" si="610"/>
        <v>8</v>
      </c>
      <c r="R272" s="583">
        <f>VLOOKUP($H272,'CO2_emission+%_food_waste'!$A:$K,6,FALSE)*$Q272/100</f>
        <v>1.3840000000000001</v>
      </c>
      <c r="S272" s="583">
        <f t="shared" si="611"/>
        <v>6.6159999999999997</v>
      </c>
      <c r="T272" s="583">
        <f>IF(H272="Select ingredient:","",IF(G272="Select food category:","",_xlfn.IFNA(VLOOKUP($H272,Ingredient_prices!$E:$U,16,FALSE)*$Q272/1000,"not bought")))</f>
        <v>0.73039999999999994</v>
      </c>
      <c r="U272" s="583">
        <f>IF(G272="Select food category:","",_xlfn.IFNA(VLOOKUP($H272,Ingredient_prices!$E:$U,16,FALSE)*$R272/1000,"not bought"))</f>
        <v>0.1263592</v>
      </c>
      <c r="V272" s="549">
        <f>VLOOKUP($H272,'CO2_emission+%_food_waste'!$A:$K,4,FALSE)*$Q272</f>
        <v>11.68</v>
      </c>
      <c r="W272" s="583">
        <f>VLOOKUP($H272,Nutrition_tables!$A:$N,10,FALSE)*$Q272/100</f>
        <v>4.8</v>
      </c>
      <c r="X272" s="583">
        <f>VLOOKUP($H272,Nutrition_tables!$A:$N,11,FALSE)*$Q272/100</f>
        <v>0.38398880335899227</v>
      </c>
      <c r="Y272" s="583">
        <f>VLOOKUP($H272,Nutrition_tables!$A:$N,12,FALSE)*$Q272/100</f>
        <v>0.27202239328201544</v>
      </c>
      <c r="Z272" s="583">
        <f>VLOOKUP($H272,Nutrition_tables!$A:$N,14,FALSE)*$Q272/100</f>
        <v>0.24000000000000005</v>
      </c>
      <c r="AA272" s="583">
        <f>VLOOKUP($H272,Nutrition_tables!$A:$AF,13,FALSE)*$Q272/100</f>
        <v>0</v>
      </c>
      <c r="AB272" s="549">
        <f>VLOOKUP($H272,Nutrition_tables!$A:$AF,15,FALSE)*$Q272/100</f>
        <v>0.16</v>
      </c>
      <c r="AC272" s="583">
        <f>VLOOKUP($H272,Nutrition_tables!$A:$AF,16,FALSE)*$Q272/100</f>
        <v>3.28</v>
      </c>
      <c r="AD272" s="583">
        <f>VLOOKUP($H272,Nutrition_tables!$A:$AF,17,FALSE)*$Q272/100</f>
        <v>12.96</v>
      </c>
      <c r="AE272" s="583">
        <f>VLOOKUP($H272,Nutrition_tables!$A:$AF,18,FALSE)*$Q272/100</f>
        <v>9.2799999999999994</v>
      </c>
      <c r="AF272" s="583">
        <f>VLOOKUP($H272,Nutrition_tables!$A:$AF,19,FALSE)*$Q272/100</f>
        <v>0.96000000000000019</v>
      </c>
      <c r="AG272" s="583">
        <f>VLOOKUP($H272,Nutrition_tables!$A:$AF,20,FALSE)*$Q272/100</f>
        <v>7.28</v>
      </c>
      <c r="AH272" s="583">
        <f>VLOOKUP($H272,Nutrition_tables!$A:$AF,21,FALSE)*$Q272/100</f>
        <v>3.1910426871938425E-3</v>
      </c>
      <c r="AI272" s="583">
        <f>VLOOKUP($H272,Nutrition_tables!$A:$AF,22,FALSE)*$Q272/100</f>
        <v>3.5213435969209242E-2</v>
      </c>
      <c r="AJ272" s="549">
        <f>VLOOKUP($H272,Nutrition_tables!$A:$AF,23,FALSE)*$Q272/100</f>
        <v>8.0000000000000004E-4</v>
      </c>
      <c r="AK272" s="583">
        <f>VLOOKUP($H272,Nutrition_tables!$A:$AF,24,FALSE)*$Q272/100</f>
        <v>2.08</v>
      </c>
      <c r="AL272" s="583">
        <f>VLOOKUP($H272,Nutrition_tables!$A:$AF,25,FALSE)*$Q272/100</f>
        <v>3.1910426871938425E-3</v>
      </c>
      <c r="AM272" s="583">
        <f>VLOOKUP($H272,Nutrition_tables!$A:$AF,26,FALSE)*$Q272/100</f>
        <v>1.1196641007697692E-2</v>
      </c>
      <c r="AN272" s="583">
        <f>VLOOKUP($H272,Nutrition_tables!$A:$AF,27,FALSE)*$Q272/100</f>
        <v>7.1994401679496153E-2</v>
      </c>
      <c r="AO272" s="583">
        <f>VLOOKUP($H272,Nutrition_tables!$A:$AF,28,FALSE)*$Q272/100</f>
        <v>3.1910426871938425E-3</v>
      </c>
      <c r="AP272" s="583">
        <f>VLOOKUP($H272,Nutrition_tables!$A:$AF,29,FALSE)*$Q272/100</f>
        <v>0.40000000000000008</v>
      </c>
      <c r="AQ272" s="583">
        <f>VLOOKUP($H272,Nutrition_tables!$A:$AF,30,FALSE)*$Q272/100</f>
        <v>3.3589923023093077E-2</v>
      </c>
      <c r="AR272" s="583">
        <f>VLOOKUP($H272,Nutrition_tables!$A:$AF,31,FALSE)*$Q272/100</f>
        <v>0</v>
      </c>
      <c r="AS272" s="549">
        <f>VLOOKUP($H272,Nutrition_tables!$A:$AF,32,FALSE)*$Q272/100</f>
        <v>1.6235129461161651E-3</v>
      </c>
      <c r="AT272" s="583">
        <f>IF(H272="Select ingredient:","",IF(G272="Select food category:","",IFERROR(VLOOKUP($H272,Ingredient_prices!$E:$W,17,FALSE)*$Q272/1000,"not bought")))</f>
        <v>0.73039999999999994</v>
      </c>
      <c r="AU272" s="583">
        <f>IF(H272="Select ingredient:","",IF(G272="Select food category:","",IFERROR(VLOOKUP($H272,Ingredient_prices!$E:$W,18,FALSE)*$Q272/1000,"not bought")))</f>
        <v>0.73039999999999994</v>
      </c>
      <c r="AV272" s="583">
        <f t="shared" si="612"/>
        <v>3.9695950380062026</v>
      </c>
      <c r="AW272" s="583">
        <f t="shared" si="613"/>
        <v>0.31755834342995737</v>
      </c>
      <c r="AX272" s="583">
        <f t="shared" si="614"/>
        <v>0.2249622380414292</v>
      </c>
      <c r="AY272" s="583">
        <f t="shared" si="615"/>
        <v>0.19847975190031014</v>
      </c>
      <c r="AZ272" s="583">
        <f t="shared" si="616"/>
        <v>0</v>
      </c>
      <c r="BA272" s="583">
        <f t="shared" si="617"/>
        <v>0.13231983460020674</v>
      </c>
      <c r="BB272" s="583">
        <f t="shared" si="618"/>
        <v>2.7125566093042384</v>
      </c>
      <c r="BC272" s="583">
        <f t="shared" si="619"/>
        <v>10.717906602616747</v>
      </c>
      <c r="BD272" s="583">
        <f t="shared" si="636"/>
        <v>7.6745504068119903</v>
      </c>
      <c r="BE272" s="583">
        <f t="shared" si="637"/>
        <v>0.79391900760124057</v>
      </c>
      <c r="BF272" s="583">
        <f t="shared" si="638"/>
        <v>6.0205524743094072</v>
      </c>
      <c r="BG272" s="583">
        <f t="shared" si="639"/>
        <v>2.6389890035730533E-3</v>
      </c>
      <c r="BH272" s="583">
        <f t="shared" si="640"/>
        <v>2.9121475144692113E-2</v>
      </c>
      <c r="BI272" s="583">
        <f t="shared" si="641"/>
        <v>6.6159917300103377E-4</v>
      </c>
      <c r="BJ272" s="583">
        <f t="shared" si="642"/>
        <v>1.7201578498026877</v>
      </c>
      <c r="BK272" s="583">
        <f t="shared" si="643"/>
        <v>2.6389890035730533E-3</v>
      </c>
      <c r="BL272" s="583">
        <f t="shared" si="644"/>
        <v>9.259610538852818E-3</v>
      </c>
      <c r="BM272" s="583">
        <f t="shared" si="645"/>
        <v>5.9539295764823613E-2</v>
      </c>
      <c r="BN272" s="583">
        <f t="shared" si="646"/>
        <v>2.6389890035730533E-3</v>
      </c>
      <c r="BO272" s="583">
        <f t="shared" si="647"/>
        <v>0.33079958650051694</v>
      </c>
      <c r="BP272" s="583">
        <f t="shared" si="648"/>
        <v>2.7778831616558454E-2</v>
      </c>
      <c r="BQ272" s="583">
        <f t="shared" si="649"/>
        <v>0</v>
      </c>
      <c r="BR272" s="583">
        <f t="shared" si="650"/>
        <v>1.3426435281336583E-3</v>
      </c>
    </row>
    <row r="273" spans="1:70" s="229" customFormat="1" ht="15" customHeight="1">
      <c r="A273" s="587"/>
      <c r="D273" s="85"/>
      <c r="E273" s="576">
        <f t="shared" si="635"/>
        <v>100</v>
      </c>
      <c r="F273" s="707"/>
      <c r="G273" s="406" t="s">
        <v>3075</v>
      </c>
      <c r="H273" s="578" t="s">
        <v>3239</v>
      </c>
      <c r="I273" s="85">
        <v>9</v>
      </c>
      <c r="J273" s="682">
        <v>1</v>
      </c>
      <c r="K273" s="579">
        <f t="shared" si="609"/>
        <v>0.99</v>
      </c>
      <c r="L273" s="580">
        <f>IF(H273="Select ingredient:","",IF(G273="","",_xlfn.IFNA(VLOOKUP($H273,Ingredient_prices!$E:$U,16,FALSE),0)))</f>
        <v>121</v>
      </c>
      <c r="M273" s="844"/>
      <c r="N273" s="844"/>
      <c r="O273" s="588"/>
      <c r="P273" s="589"/>
      <c r="Q273" s="583">
        <f t="shared" si="610"/>
        <v>9</v>
      </c>
      <c r="R273" s="583">
        <f>VLOOKUP($H273,'CO2_emission+%_food_waste'!$A:$K,6,FALSE)*$Q273/100</f>
        <v>2.5020000000000002</v>
      </c>
      <c r="S273" s="583">
        <f t="shared" si="611"/>
        <v>6.4979999999999993</v>
      </c>
      <c r="T273" s="583">
        <f>IF(H273="Select ingredient:","",IF(G273="Select food category:","",_xlfn.IFNA(VLOOKUP($H273,Ingredient_prices!$E:$U,16,FALSE)*$Q273/1000,"not bought")))</f>
        <v>1.089</v>
      </c>
      <c r="U273" s="583">
        <f>IF(G273="Select food category:","",_xlfn.IFNA(VLOOKUP($H273,Ingredient_prices!$E:$U,16,FALSE)*$R273/1000,"not bought"))</f>
        <v>0.30274200000000001</v>
      </c>
      <c r="V273" s="549">
        <f>VLOOKUP($H273,'CO2_emission+%_food_waste'!$A:$K,4,FALSE)*$Q273</f>
        <v>42.570000000000007</v>
      </c>
      <c r="W273" s="583">
        <f>VLOOKUP($H273,Nutrition_tables!$A:$N,10,FALSE)*$Q273/100</f>
        <v>79.588890000000006</v>
      </c>
      <c r="X273" s="583">
        <f>VLOOKUP($H273,Nutrition_tables!$A:$N,11,FALSE)*$Q273/100</f>
        <v>9.0000000000000011E-3</v>
      </c>
      <c r="Y273" s="583">
        <f>VLOOKUP($H273,Nutrition_tables!$A:$N,12,FALSE)*$Q273/100</f>
        <v>9.0000000000000011E-3</v>
      </c>
      <c r="Z273" s="583">
        <f>VLOOKUP($H273,Nutrition_tables!$A:$N,14,FALSE)*$Q273/100</f>
        <v>8.9549999999999983</v>
      </c>
      <c r="AA273" s="583">
        <f>VLOOKUP($H273,Nutrition_tables!$A:$AF,13,FALSE)*$Q273/100</f>
        <v>0</v>
      </c>
      <c r="AB273" s="549">
        <f>VLOOKUP($H273,Nutrition_tables!$A:$AF,15,FALSE)*$Q273/100</f>
        <v>0.61110000000000009</v>
      </c>
      <c r="AC273" s="583">
        <f>VLOOKUP($H273,Nutrition_tables!$A:$AF,16,FALSE)*$Q273/100</f>
        <v>9.0000000000000011E-3</v>
      </c>
      <c r="AD273" s="583">
        <f>VLOOKUP($H273,Nutrition_tables!$A:$AF,17,FALSE)*$Q273/100</f>
        <v>0</v>
      </c>
      <c r="AE273" s="583">
        <f>VLOOKUP($H273,Nutrition_tables!$A:$AF,18,FALSE)*$Q273/100</f>
        <v>1.8000000000000002E-2</v>
      </c>
      <c r="AF273" s="583">
        <f>VLOOKUP($H273,Nutrition_tables!$A:$AF,19,FALSE)*$Q273/100</f>
        <v>0.09</v>
      </c>
      <c r="AG273" s="583">
        <f>VLOOKUP($H273,Nutrition_tables!$A:$AF,20,FALSE)*$Q273/100</f>
        <v>0</v>
      </c>
      <c r="AH273" s="583">
        <f>VLOOKUP($H273,Nutrition_tables!$A:$AF,21,FALSE)*$Q273/100</f>
        <v>9.0000000000000011E-3</v>
      </c>
      <c r="AI273" s="583">
        <f>VLOOKUP($H273,Nutrition_tables!$A:$AF,22,FALSE)*$Q273/100</f>
        <v>0</v>
      </c>
      <c r="AJ273" s="549">
        <f>VLOOKUP($H273,Nutrition_tables!$A:$AF,23,FALSE)*$Q273/100</f>
        <v>0</v>
      </c>
      <c r="AK273" s="583">
        <f>VLOOKUP($H273,Nutrition_tables!$A:$AF,24,FALSE)*$Q273/100</f>
        <v>0</v>
      </c>
      <c r="AL273" s="583">
        <f>VLOOKUP($H273,Nutrition_tables!$A:$AF,25,FALSE)*$Q273/100</f>
        <v>0</v>
      </c>
      <c r="AM273" s="583">
        <f>VLOOKUP($H273,Nutrition_tables!$A:$AF,26,FALSE)*$Q273/100</f>
        <v>0</v>
      </c>
      <c r="AN273" s="583">
        <f>VLOOKUP($H273,Nutrition_tables!$A:$AF,27,FALSE)*$Q273/100</f>
        <v>0</v>
      </c>
      <c r="AO273" s="583">
        <f>VLOOKUP($H273,Nutrition_tables!$A:$AF,28,FALSE)*$Q273/100</f>
        <v>0</v>
      </c>
      <c r="AP273" s="583">
        <f>VLOOKUP($H273,Nutrition_tables!$A:$AF,29,FALSE)*$Q273/100</f>
        <v>0</v>
      </c>
      <c r="AQ273" s="583">
        <f>VLOOKUP($H273,Nutrition_tables!$A:$AF,30,FALSE)*$Q273/100</f>
        <v>0</v>
      </c>
      <c r="AR273" s="583">
        <f>VLOOKUP($H273,Nutrition_tables!$A:$AF,31,FALSE)*$Q273/100</f>
        <v>0</v>
      </c>
      <c r="AS273" s="549">
        <f>VLOOKUP($H273,Nutrition_tables!$A:$AF,32,FALSE)*$Q273/100</f>
        <v>0</v>
      </c>
      <c r="AT273" s="583">
        <f>IF(H273="Select ingredient:","",IF(G273="Select food category:","",IFERROR(VLOOKUP($H273,Ingredient_prices!$E:$W,17,FALSE)*$Q273/1000,"not bought")))</f>
        <v>1.089</v>
      </c>
      <c r="AU273" s="583">
        <f>IF(H273="Select ingredient:","",IF(G273="Select food category:","",IFERROR(VLOOKUP($H273,Ingredient_prices!$E:$W,18,FALSE)*$Q273/1000,"not bought")))</f>
        <v>1.089</v>
      </c>
      <c r="AV273" s="583">
        <f t="shared" si="612"/>
        <v>57.463114732094745</v>
      </c>
      <c r="AW273" s="583">
        <f t="shared" si="613"/>
        <v>6.4979927800080228E-3</v>
      </c>
      <c r="AX273" s="583">
        <f t="shared" si="614"/>
        <v>6.4979927800080228E-3</v>
      </c>
      <c r="AY273" s="583">
        <f t="shared" si="615"/>
        <v>6.4655028161079802</v>
      </c>
      <c r="AZ273" s="583">
        <f t="shared" si="616"/>
        <v>0</v>
      </c>
      <c r="BA273" s="583">
        <f t="shared" si="617"/>
        <v>0.44121370976254476</v>
      </c>
      <c r="BB273" s="583">
        <f t="shared" si="618"/>
        <v>6.4979927800080228E-3</v>
      </c>
      <c r="BC273" s="583">
        <f t="shared" si="619"/>
        <v>0</v>
      </c>
      <c r="BD273" s="583">
        <f t="shared" si="636"/>
        <v>1.2995985560016046E-2</v>
      </c>
      <c r="BE273" s="583">
        <f t="shared" si="637"/>
        <v>6.4979927800080217E-2</v>
      </c>
      <c r="BF273" s="583">
        <f t="shared" si="638"/>
        <v>0</v>
      </c>
      <c r="BG273" s="583">
        <f t="shared" si="639"/>
        <v>6.4979927800080228E-3</v>
      </c>
      <c r="BH273" s="583">
        <f t="shared" si="640"/>
        <v>0</v>
      </c>
      <c r="BI273" s="583">
        <f t="shared" si="641"/>
        <v>0</v>
      </c>
      <c r="BJ273" s="583">
        <f t="shared" si="642"/>
        <v>0</v>
      </c>
      <c r="BK273" s="583">
        <f t="shared" si="643"/>
        <v>0</v>
      </c>
      <c r="BL273" s="583">
        <f t="shared" si="644"/>
        <v>0</v>
      </c>
      <c r="BM273" s="583">
        <f t="shared" si="645"/>
        <v>0</v>
      </c>
      <c r="BN273" s="583">
        <f t="shared" si="646"/>
        <v>0</v>
      </c>
      <c r="BO273" s="583">
        <f t="shared" si="647"/>
        <v>0</v>
      </c>
      <c r="BP273" s="583">
        <f t="shared" si="648"/>
        <v>0</v>
      </c>
      <c r="BQ273" s="583">
        <f t="shared" si="649"/>
        <v>0</v>
      </c>
      <c r="BR273" s="583">
        <f t="shared" si="650"/>
        <v>0</v>
      </c>
    </row>
    <row r="274" spans="1:70" s="229" customFormat="1" ht="15" customHeight="1">
      <c r="A274" s="587"/>
      <c r="D274" s="85"/>
      <c r="E274" s="576">
        <f t="shared" si="635"/>
        <v>100</v>
      </c>
      <c r="F274" s="707"/>
      <c r="G274" s="406" t="s">
        <v>3142</v>
      </c>
      <c r="H274" s="578" t="s">
        <v>3283</v>
      </c>
      <c r="I274" s="85">
        <v>0.33</v>
      </c>
      <c r="J274" s="682">
        <v>1</v>
      </c>
      <c r="K274" s="579">
        <f t="shared" si="609"/>
        <v>3.6300000000000006E-2</v>
      </c>
      <c r="L274" s="580">
        <f>IF(H274="Select ingredient:","",IF(G274="","",_xlfn.IFNA(VLOOKUP($H274,Ingredient_prices!$E:$U,16,FALSE),0)))</f>
        <v>250</v>
      </c>
      <c r="M274" s="844"/>
      <c r="N274" s="844"/>
      <c r="O274" s="588"/>
      <c r="P274" s="589"/>
      <c r="Q274" s="583">
        <f t="shared" si="610"/>
        <v>0.33</v>
      </c>
      <c r="R274" s="583">
        <f>VLOOKUP($H274,'CO2_emission+%_food_waste'!$A:$K,6,FALSE)*$Q274/100</f>
        <v>-3.3000000000000003E-5</v>
      </c>
      <c r="S274" s="583">
        <f t="shared" si="611"/>
        <v>0.33003300000000002</v>
      </c>
      <c r="T274" s="583">
        <f>IF(H274="Select ingredient:","",IF(G274="Select food category:","",_xlfn.IFNA(VLOOKUP($H274,Ingredient_prices!$E:$U,16,FALSE)*$Q274/1000,"not bought")))</f>
        <v>8.2500000000000004E-2</v>
      </c>
      <c r="U274" s="583">
        <f>IF(G274="Select food category:","",_xlfn.IFNA(VLOOKUP($H274,Ingredient_prices!$E:$U,16,FALSE)*$R274/1000,"not bought"))</f>
        <v>-8.2500000000000006E-6</v>
      </c>
      <c r="V274" s="549">
        <f>VLOOKUP($H274,'CO2_emission+%_food_waste'!$A:$K,4,FALSE)*$Q274</f>
        <v>0.33</v>
      </c>
      <c r="W274" s="583">
        <f>VLOOKUP($H274,Nutrition_tables!$A:$N,10,FALSE)*$Q274/100</f>
        <v>0.27060000000000001</v>
      </c>
      <c r="X274" s="583">
        <f>VLOOKUP($H274,Nutrition_tables!$A:$N,11,FALSE)*$Q274/100</f>
        <v>6.5670000000000006E-2</v>
      </c>
      <c r="Y274" s="583">
        <f>VLOOKUP($H274,Nutrition_tables!$A:$N,12,FALSE)*$Q274/100</f>
        <v>6.6E-4</v>
      </c>
      <c r="Z274" s="583">
        <f>VLOOKUP($H274,Nutrition_tables!$A:$N,14,FALSE)*$Q274/100</f>
        <v>0</v>
      </c>
      <c r="AA274" s="583">
        <f>VLOOKUP($H274,Nutrition_tables!$A:$AF,13,FALSE)*$Q274/100</f>
        <v>1.3200000000000003E-6</v>
      </c>
      <c r="AB274" s="549">
        <f>VLOOKUP($H274,Nutrition_tables!$A:$AF,15,FALSE)*$Q274/100</f>
        <v>0</v>
      </c>
      <c r="AC274" s="583">
        <f>VLOOKUP($H274,Nutrition_tables!$A:$AF,16,FALSE)*$Q274/100</f>
        <v>38.94</v>
      </c>
      <c r="AD274" s="583">
        <f>VLOOKUP($H274,Nutrition_tables!$A:$AF,17,FALSE)*$Q274/100</f>
        <v>0.16170000000000001</v>
      </c>
      <c r="AE274" s="583">
        <f>VLOOKUP($H274,Nutrition_tables!$A:$AF,18,FALSE)*$Q274/100</f>
        <v>2.9699999999999997E-2</v>
      </c>
      <c r="AF274" s="583">
        <f>VLOOKUP($H274,Nutrition_tables!$A:$AF,19,FALSE)*$Q274/100</f>
        <v>2.9370000000000004E-2</v>
      </c>
      <c r="AG274" s="583">
        <f>VLOOKUP($H274,Nutrition_tables!$A:$AF,20,FALSE)*$Q274/100</f>
        <v>2.64E-2</v>
      </c>
      <c r="AH274" s="583">
        <f>VLOOKUP($H274,Nutrition_tables!$A:$AF,21,FALSE)*$Q274/100</f>
        <v>7.4382000000000007E-5</v>
      </c>
      <c r="AI274" s="583">
        <f>VLOOKUP($H274,Nutrition_tables!$A:$AF,22,FALSE)*$Q274/100</f>
        <v>1.3200000000000002E-7</v>
      </c>
      <c r="AJ274" s="549">
        <f>VLOOKUP($H274,Nutrition_tables!$A:$AF,23,FALSE)*$Q274/100</f>
        <v>8.5799999999999987E-8</v>
      </c>
      <c r="AK274" s="583">
        <f>VLOOKUP($H274,Nutrition_tables!$A:$AF,24,FALSE)*$Q274/100</f>
        <v>0</v>
      </c>
      <c r="AL274" s="583">
        <f>VLOOKUP($H274,Nutrition_tables!$A:$AF,25,FALSE)*$Q274/100</f>
        <v>0</v>
      </c>
      <c r="AM274" s="583">
        <f>VLOOKUP($H274,Nutrition_tables!$A:$AF,26,FALSE)*$Q274/100</f>
        <v>0</v>
      </c>
      <c r="AN274" s="583">
        <f>VLOOKUP($H274,Nutrition_tables!$A:$AF,27,FALSE)*$Q274/100</f>
        <v>0</v>
      </c>
      <c r="AO274" s="583">
        <f>VLOOKUP($H274,Nutrition_tables!$A:$AF,28,FALSE)*$Q274/100</f>
        <v>0</v>
      </c>
      <c r="AP274" s="583">
        <f>VLOOKUP($H274,Nutrition_tables!$A:$AF,29,FALSE)*$Q274/100</f>
        <v>0</v>
      </c>
      <c r="AQ274" s="583">
        <f>VLOOKUP($H274,Nutrition_tables!$A:$AF,30,FALSE)*$Q274/100</f>
        <v>0</v>
      </c>
      <c r="AR274" s="583">
        <f>VLOOKUP($H274,Nutrition_tables!$A:$AF,31,FALSE)*$Q274/100</f>
        <v>0</v>
      </c>
      <c r="AS274" s="549">
        <f>VLOOKUP($H274,Nutrition_tables!$A:$AF,32,FALSE)*$Q274/100</f>
        <v>0</v>
      </c>
      <c r="AT274" s="583">
        <f>IF(H274="Select ingredient:","",IF(G274="Select food category:","",IFERROR(VLOOKUP($H274,Ingredient_prices!$E:$W,17,FALSE)*$Q274/1000,"not bought")))</f>
        <v>8.2500000000000004E-2</v>
      </c>
      <c r="AU274" s="583">
        <f>IF(H274="Select ingredient:","",IF(G274="Select food category:","",IFERROR(VLOOKUP($H274,Ingredient_prices!$E:$W,18,FALSE)*$Q274/1000,"not bought")))</f>
        <v>8.2500000000000004E-2</v>
      </c>
      <c r="AV274" s="583">
        <f t="shared" si="612"/>
        <v>0.27061885942850217</v>
      </c>
      <c r="AW274" s="583">
        <f t="shared" si="613"/>
        <v>6.5674576861307232E-2</v>
      </c>
      <c r="AX274" s="583">
        <f t="shared" si="614"/>
        <v>6.6004599860610281E-4</v>
      </c>
      <c r="AY274" s="583">
        <f t="shared" si="615"/>
        <v>0</v>
      </c>
      <c r="AZ274" s="583">
        <f t="shared" si="616"/>
        <v>1.3200919972122058E-6</v>
      </c>
      <c r="BA274" s="583">
        <f t="shared" si="617"/>
        <v>0</v>
      </c>
      <c r="BB274" s="583">
        <f t="shared" si="618"/>
        <v>38.942713917760067</v>
      </c>
      <c r="BC274" s="583">
        <f t="shared" si="619"/>
        <v>0.16171126965849522</v>
      </c>
      <c r="BD274" s="583">
        <f t="shared" si="636"/>
        <v>2.9702069937274624E-2</v>
      </c>
      <c r="BE274" s="583">
        <f t="shared" si="637"/>
        <v>2.9372046937971581E-2</v>
      </c>
      <c r="BF274" s="583">
        <f t="shared" si="638"/>
        <v>2.640183994424411E-2</v>
      </c>
      <c r="BG274" s="583">
        <f t="shared" si="639"/>
        <v>7.438718404290779E-5</v>
      </c>
      <c r="BH274" s="583">
        <f t="shared" si="640"/>
        <v>1.3200919972122058E-7</v>
      </c>
      <c r="BI274" s="583">
        <f t="shared" si="641"/>
        <v>8.5805979818793356E-8</v>
      </c>
      <c r="BJ274" s="583">
        <f t="shared" si="642"/>
        <v>0</v>
      </c>
      <c r="BK274" s="583">
        <f t="shared" si="643"/>
        <v>0</v>
      </c>
      <c r="BL274" s="583">
        <f t="shared" si="644"/>
        <v>0</v>
      </c>
      <c r="BM274" s="583">
        <f t="shared" si="645"/>
        <v>0</v>
      </c>
      <c r="BN274" s="583">
        <f t="shared" si="646"/>
        <v>0</v>
      </c>
      <c r="BO274" s="583">
        <f t="shared" si="647"/>
        <v>0</v>
      </c>
      <c r="BP274" s="583">
        <f t="shared" si="648"/>
        <v>0</v>
      </c>
      <c r="BQ274" s="583">
        <f t="shared" si="649"/>
        <v>0</v>
      </c>
      <c r="BR274" s="583">
        <f t="shared" si="650"/>
        <v>0</v>
      </c>
    </row>
    <row r="275" spans="1:70" s="229" customFormat="1" ht="15" customHeight="1">
      <c r="A275" s="587"/>
      <c r="D275" s="85"/>
      <c r="E275" s="576">
        <f t="shared" si="635"/>
        <v>100</v>
      </c>
      <c r="F275" s="707"/>
      <c r="G275" s="406" t="s">
        <v>3077</v>
      </c>
      <c r="H275" s="578" t="s">
        <v>3308</v>
      </c>
      <c r="I275" s="85">
        <v>50</v>
      </c>
      <c r="J275" s="682">
        <v>1</v>
      </c>
      <c r="K275" s="579">
        <f t="shared" si="609"/>
        <v>5.5000000000000009</v>
      </c>
      <c r="L275" s="580">
        <f>IF(H275="Select ingredient:","",IF(G275="","",_xlfn.IFNA(VLOOKUP($H275,Ingredient_prices!$E:$U,16,FALSE),0)))</f>
        <v>49.5</v>
      </c>
      <c r="M275" s="844"/>
      <c r="N275" s="844"/>
      <c r="O275" s="588"/>
      <c r="P275" s="589"/>
      <c r="Q275" s="583">
        <f t="shared" si="610"/>
        <v>50</v>
      </c>
      <c r="R275" s="583">
        <f>VLOOKUP($H275,'CO2_emission+%_food_waste'!$A:$K,6,FALSE)*$Q275/100</f>
        <v>10.83</v>
      </c>
      <c r="S275" s="583">
        <f t="shared" si="611"/>
        <v>39.17</v>
      </c>
      <c r="T275" s="583">
        <f>IF(H275="Select ingredient:","",IF(G275="Select food category:","",_xlfn.IFNA(VLOOKUP($H275,Ingredient_prices!$E:$U,16,FALSE)*$Q275/1000,"not bought")))</f>
        <v>2.4750000000000001</v>
      </c>
      <c r="U275" s="583">
        <f>IF(G275="Select food category:","",_xlfn.IFNA(VLOOKUP($H275,Ingredient_prices!$E:$U,16,FALSE)*$R275/1000,"not bought"))</f>
        <v>0.53608500000000003</v>
      </c>
      <c r="V275" s="549">
        <f>VLOOKUP($H275,'CO2_emission+%_food_waste'!$A:$K,4,FALSE)*$Q275</f>
        <v>21.5</v>
      </c>
      <c r="W275" s="583">
        <f>VLOOKUP($H275,Nutrition_tables!$A:$N,10,FALSE)*$Q275/100</f>
        <v>22.5</v>
      </c>
      <c r="X275" s="583">
        <f>VLOOKUP($H275,Nutrition_tables!$A:$N,11,FALSE)*$Q275/100</f>
        <v>5</v>
      </c>
      <c r="Y275" s="583">
        <f>VLOOKUP($H275,Nutrition_tables!$A:$N,12,FALSE)*$Q275/100</f>
        <v>0.1</v>
      </c>
      <c r="Z275" s="583">
        <f>VLOOKUP($H275,Nutrition_tables!$A:$N,14,FALSE)*$Q275/100</f>
        <v>0.15</v>
      </c>
      <c r="AA275" s="583">
        <f>VLOOKUP($H275,Nutrition_tables!$A:$AF,13,FALSE)*$Q275/100</f>
        <v>1.2</v>
      </c>
      <c r="AB275" s="549">
        <f>VLOOKUP($H275,Nutrition_tables!$A:$AF,15,FALSE)*$Q275/100</f>
        <v>3.5000000000000003E-2</v>
      </c>
      <c r="AC275" s="583">
        <f>VLOOKUP($H275,Nutrition_tables!$A:$AF,16,FALSE)*$Q275/100</f>
        <v>1</v>
      </c>
      <c r="AD275" s="583">
        <f>VLOOKUP($H275,Nutrition_tables!$A:$AF,17,FALSE)*$Q275/100</f>
        <v>60</v>
      </c>
      <c r="AE275" s="583">
        <f>VLOOKUP($H275,Nutrition_tables!$A:$AF,18,FALSE)*$Q275/100</f>
        <v>3</v>
      </c>
      <c r="AF275" s="583">
        <f>VLOOKUP($H275,Nutrition_tables!$A:$AF,19,FALSE)*$Q275/100</f>
        <v>4.3250000000000002</v>
      </c>
      <c r="AG275" s="583">
        <f>VLOOKUP($H275,Nutrition_tables!$A:$AF,20,FALSE)*$Q275/100</f>
        <v>6</v>
      </c>
      <c r="AH275" s="583">
        <f>VLOOKUP($H275,Nutrition_tables!$A:$AF,21,FALSE)*$Q275/100</f>
        <v>0.15</v>
      </c>
      <c r="AI275" s="583">
        <f>VLOOKUP($H275,Nutrition_tables!$A:$AF,22,FALSE)*$Q275/100</f>
        <v>0.05</v>
      </c>
      <c r="AJ275" s="549">
        <f>VLOOKUP($H275,Nutrition_tables!$A:$AF,23,FALSE)*$Q275/100</f>
        <v>1.8165000000000001E-2</v>
      </c>
      <c r="AK275" s="583">
        <f>VLOOKUP($H275,Nutrition_tables!$A:$AF,24,FALSE)*$Q275/100</f>
        <v>1.5</v>
      </c>
      <c r="AL275" s="583">
        <f>VLOOKUP($H275,Nutrition_tables!$A:$AF,25,FALSE)*$Q275/100</f>
        <v>0.01</v>
      </c>
      <c r="AM275" s="583">
        <f>VLOOKUP($H275,Nutrition_tables!$A:$AF,26,FALSE)*$Q275/100</f>
        <v>0.01</v>
      </c>
      <c r="AN275" s="583">
        <f>VLOOKUP($H275,Nutrition_tables!$A:$AF,27,FALSE)*$Q275/100</f>
        <v>0.15</v>
      </c>
      <c r="AO275" s="583">
        <f>VLOOKUP($H275,Nutrition_tables!$A:$AF,28,FALSE)*$Q275/100</f>
        <v>5.5E-2</v>
      </c>
      <c r="AP275" s="583">
        <f>VLOOKUP($H275,Nutrition_tables!$A:$AF,29,FALSE)*$Q275/100</f>
        <v>0.5</v>
      </c>
      <c r="AQ275" s="583">
        <f>VLOOKUP($H275,Nutrition_tables!$A:$AF,30,FALSE)*$Q275/100</f>
        <v>0</v>
      </c>
      <c r="AR275" s="583">
        <f>VLOOKUP($H275,Nutrition_tables!$A:$AF,31,FALSE)*$Q275/100</f>
        <v>5</v>
      </c>
      <c r="AS275" s="549">
        <f>VLOOKUP($H275,Nutrition_tables!$A:$AF,32,FALSE)*$Q275/100</f>
        <v>0</v>
      </c>
      <c r="AT275" s="583">
        <f>IF(H275="Select ingredient:","",IF(G275="Select food category:","",IFERROR(VLOOKUP($H275,Ingredient_prices!$E:$W,17,FALSE)*$Q275/1000,"not bought")))</f>
        <v>2.4750000000000001</v>
      </c>
      <c r="AU275" s="583">
        <f>IF(H275="Select ingredient:","",IF(G275="Select food category:","",IFERROR(VLOOKUP($H275,Ingredient_prices!$E:$W,18,FALSE)*$Q275/1000,"not bought")))</f>
        <v>2.4750000000000001</v>
      </c>
      <c r="AV275" s="583">
        <f t="shared" si="612"/>
        <v>17.626496474700705</v>
      </c>
      <c r="AW275" s="583">
        <f t="shared" si="613"/>
        <v>3.916999216600157</v>
      </c>
      <c r="AX275" s="583">
        <f t="shared" si="614"/>
        <v>7.8339984332003135E-2</v>
      </c>
      <c r="AY275" s="583">
        <f t="shared" si="615"/>
        <v>0.11750997649800468</v>
      </c>
      <c r="AZ275" s="583">
        <f t="shared" si="616"/>
        <v>0.94007981198403745</v>
      </c>
      <c r="BA275" s="583">
        <f t="shared" si="617"/>
        <v>2.7418994516201098E-2</v>
      </c>
      <c r="BB275" s="583">
        <f t="shared" si="618"/>
        <v>0.78339984332003132</v>
      </c>
      <c r="BC275" s="583">
        <f t="shared" si="619"/>
        <v>47.003990599201884</v>
      </c>
      <c r="BD275" s="583">
        <f t="shared" si="636"/>
        <v>2.350199529960094</v>
      </c>
      <c r="BE275" s="583">
        <f t="shared" si="637"/>
        <v>3.3882043223591358</v>
      </c>
      <c r="BF275" s="583">
        <f t="shared" si="638"/>
        <v>4.7003990599201879</v>
      </c>
      <c r="BG275" s="583">
        <f t="shared" si="639"/>
        <v>0.11750997649800468</v>
      </c>
      <c r="BH275" s="583">
        <f t="shared" si="640"/>
        <v>3.9169992166001567E-2</v>
      </c>
      <c r="BI275" s="583">
        <f t="shared" si="641"/>
        <v>1.423045815390837E-2</v>
      </c>
      <c r="BJ275" s="583">
        <f t="shared" si="642"/>
        <v>1.175099764980047</v>
      </c>
      <c r="BK275" s="583">
        <f t="shared" si="643"/>
        <v>7.8339984332003142E-3</v>
      </c>
      <c r="BL275" s="583">
        <f t="shared" si="644"/>
        <v>7.8339984332003142E-3</v>
      </c>
      <c r="BM275" s="583">
        <f t="shared" si="645"/>
        <v>0.11750997649800468</v>
      </c>
      <c r="BN275" s="583">
        <f t="shared" si="646"/>
        <v>4.3086991382601719E-2</v>
      </c>
      <c r="BO275" s="583">
        <f t="shared" si="647"/>
        <v>0.39169992166001566</v>
      </c>
      <c r="BP275" s="583">
        <f t="shared" si="648"/>
        <v>0</v>
      </c>
      <c r="BQ275" s="583">
        <f t="shared" si="649"/>
        <v>3.916999216600157</v>
      </c>
      <c r="BR275" s="583">
        <f t="shared" si="650"/>
        <v>0</v>
      </c>
    </row>
    <row r="276" spans="1:70" s="229" customFormat="1" ht="15" customHeight="1">
      <c r="A276" s="587"/>
      <c r="D276" s="85"/>
      <c r="E276" s="576">
        <f t="shared" si="635"/>
        <v>100</v>
      </c>
      <c r="F276" s="707"/>
      <c r="G276" s="406" t="s">
        <v>3054</v>
      </c>
      <c r="H276" s="1262" t="s">
        <v>3055</v>
      </c>
      <c r="I276" s="85">
        <v>0</v>
      </c>
      <c r="J276" s="682">
        <v>1</v>
      </c>
      <c r="K276" s="579" t="str">
        <f t="shared" si="609"/>
        <v/>
      </c>
      <c r="L276" s="580" t="str">
        <f>IF(H276="Select ingredient:","",IF(G276="","",_xlfn.IFNA(VLOOKUP($H276,Ingredient_prices!$E:$U,16,FALSE),0)))</f>
        <v/>
      </c>
      <c r="M276" s="844"/>
      <c r="N276" s="844"/>
      <c r="O276" s="588"/>
      <c r="P276" s="589"/>
      <c r="Q276" s="583">
        <f t="shared" si="610"/>
        <v>0</v>
      </c>
      <c r="R276" s="583">
        <f>VLOOKUP($H276,'CO2_emission+%_food_waste'!$A:$K,6,FALSE)*$Q276/100</f>
        <v>0</v>
      </c>
      <c r="S276" s="583">
        <f t="shared" si="611"/>
        <v>0</v>
      </c>
      <c r="T276" s="583" t="str">
        <f>IF(H276="Select ingredient:","",IF(G276="Select food category:","",_xlfn.IFNA(VLOOKUP($H276,Ingredient_prices!$E:$U,16,FALSE)*$Q276/1000,"not bought")))</f>
        <v/>
      </c>
      <c r="U276" s="583" t="str">
        <f>IF(G276="Select food category:","",_xlfn.IFNA(VLOOKUP($H276,Ingredient_prices!$E:$U,16,FALSE)*$R276/1000,"not bought"))</f>
        <v/>
      </c>
      <c r="V276" s="549">
        <f>VLOOKUP($H276,'CO2_emission+%_food_waste'!$A:$K,4,FALSE)*$Q276</f>
        <v>0</v>
      </c>
      <c r="W276" s="583">
        <f>VLOOKUP($H276,Nutrition_tables!$A:$N,10,FALSE)*$Q276/100</f>
        <v>0</v>
      </c>
      <c r="X276" s="583">
        <f>VLOOKUP($H276,Nutrition_tables!$A:$N,11,FALSE)*$Q276/100</f>
        <v>0</v>
      </c>
      <c r="Y276" s="583">
        <f>VLOOKUP($H276,Nutrition_tables!$A:$N,12,FALSE)*$Q276/100</f>
        <v>0</v>
      </c>
      <c r="Z276" s="583">
        <f>VLOOKUP($H276,Nutrition_tables!$A:$N,14,FALSE)*$Q276/100</f>
        <v>0</v>
      </c>
      <c r="AA276" s="583">
        <f>VLOOKUP($H276,Nutrition_tables!$A:$AF,13,FALSE)*$Q276/100</f>
        <v>0</v>
      </c>
      <c r="AB276" s="549">
        <f>VLOOKUP($H276,Nutrition_tables!$A:$AF,15,FALSE)*$Q276/100</f>
        <v>0</v>
      </c>
      <c r="AC276" s="583">
        <f>VLOOKUP($H276,Nutrition_tables!$A:$AF,16,FALSE)*$Q276/100</f>
        <v>0</v>
      </c>
      <c r="AD276" s="583">
        <f>VLOOKUP($H276,Nutrition_tables!$A:$AF,17,FALSE)*$Q276/100</f>
        <v>0</v>
      </c>
      <c r="AE276" s="583">
        <f>VLOOKUP($H276,Nutrition_tables!$A:$AF,18,FALSE)*$Q276/100</f>
        <v>0</v>
      </c>
      <c r="AF276" s="583">
        <f>VLOOKUP($H276,Nutrition_tables!$A:$AF,19,FALSE)*$Q276/100</f>
        <v>0</v>
      </c>
      <c r="AG276" s="583">
        <f>VLOOKUP($H276,Nutrition_tables!$A:$AF,20,FALSE)*$Q276/100</f>
        <v>0</v>
      </c>
      <c r="AH276" s="583">
        <f>VLOOKUP($H276,Nutrition_tables!$A:$AF,21,FALSE)*$Q276/100</f>
        <v>0</v>
      </c>
      <c r="AI276" s="583">
        <f>VLOOKUP($H276,Nutrition_tables!$A:$AF,22,FALSE)*$Q276/100</f>
        <v>0</v>
      </c>
      <c r="AJ276" s="549">
        <f>VLOOKUP($H276,Nutrition_tables!$A:$AF,23,FALSE)*$Q276/100</f>
        <v>0</v>
      </c>
      <c r="AK276" s="583">
        <f>VLOOKUP($H276,Nutrition_tables!$A:$AF,24,FALSE)*$Q276/100</f>
        <v>0</v>
      </c>
      <c r="AL276" s="583">
        <f>VLOOKUP($H276,Nutrition_tables!$A:$AF,25,FALSE)*$Q276/100</f>
        <v>0</v>
      </c>
      <c r="AM276" s="583">
        <f>VLOOKUP($H276,Nutrition_tables!$A:$AF,26,FALSE)*$Q276/100</f>
        <v>0</v>
      </c>
      <c r="AN276" s="583">
        <f>VLOOKUP($H276,Nutrition_tables!$A:$AF,27,FALSE)*$Q276/100</f>
        <v>0</v>
      </c>
      <c r="AO276" s="583">
        <f>VLOOKUP($H276,Nutrition_tables!$A:$AF,28,FALSE)*$Q276/100</f>
        <v>0</v>
      </c>
      <c r="AP276" s="583">
        <f>VLOOKUP($H276,Nutrition_tables!$A:$AF,29,FALSE)*$Q276/100</f>
        <v>0</v>
      </c>
      <c r="AQ276" s="583">
        <f>VLOOKUP($H276,Nutrition_tables!$A:$AF,30,FALSE)*$Q276/100</f>
        <v>0</v>
      </c>
      <c r="AR276" s="583">
        <f>VLOOKUP($H276,Nutrition_tables!$A:$AF,31,FALSE)*$Q276/100</f>
        <v>0</v>
      </c>
      <c r="AS276" s="549">
        <f>VLOOKUP($H276,Nutrition_tables!$A:$AF,32,FALSE)*$Q276/100</f>
        <v>0</v>
      </c>
      <c r="AT276" s="583" t="str">
        <f>IF(H276="Select ingredient:","",IF(G276="Select food category:","",IFERROR(VLOOKUP($H276,Ingredient_prices!$E:$W,17,FALSE)*$Q276/1000,"not bought")))</f>
        <v/>
      </c>
      <c r="AU276" s="583" t="str">
        <f>IF(H276="Select ingredient:","",IF(G276="Select food category:","",IFERROR(VLOOKUP($H276,Ingredient_prices!$E:$W,18,FALSE)*$Q276/1000,"not bought")))</f>
        <v/>
      </c>
      <c r="AV276" s="583">
        <f t="shared" si="612"/>
        <v>0</v>
      </c>
      <c r="AW276" s="583">
        <f t="shared" si="613"/>
        <v>0</v>
      </c>
      <c r="AX276" s="583">
        <f t="shared" si="614"/>
        <v>0</v>
      </c>
      <c r="AY276" s="583">
        <f t="shared" si="615"/>
        <v>0</v>
      </c>
      <c r="AZ276" s="583">
        <f t="shared" si="616"/>
        <v>0</v>
      </c>
      <c r="BA276" s="583">
        <f t="shared" si="617"/>
        <v>0</v>
      </c>
      <c r="BB276" s="583">
        <f t="shared" si="618"/>
        <v>0</v>
      </c>
      <c r="BC276" s="583">
        <f t="shared" si="619"/>
        <v>0</v>
      </c>
      <c r="BD276" s="583">
        <f t="shared" si="636"/>
        <v>0</v>
      </c>
      <c r="BE276" s="583">
        <f t="shared" si="637"/>
        <v>0</v>
      </c>
      <c r="BF276" s="583">
        <f t="shared" si="638"/>
        <v>0</v>
      </c>
      <c r="BG276" s="583">
        <f t="shared" si="639"/>
        <v>0</v>
      </c>
      <c r="BH276" s="583">
        <f t="shared" si="640"/>
        <v>0</v>
      </c>
      <c r="BI276" s="583">
        <f t="shared" si="641"/>
        <v>0</v>
      </c>
      <c r="BJ276" s="583">
        <f t="shared" si="642"/>
        <v>0</v>
      </c>
      <c r="BK276" s="583">
        <f t="shared" si="643"/>
        <v>0</v>
      </c>
      <c r="BL276" s="583">
        <f t="shared" si="644"/>
        <v>0</v>
      </c>
      <c r="BM276" s="583">
        <f t="shared" si="645"/>
        <v>0</v>
      </c>
      <c r="BN276" s="583">
        <f t="shared" si="646"/>
        <v>0</v>
      </c>
      <c r="BO276" s="583">
        <f t="shared" si="647"/>
        <v>0</v>
      </c>
      <c r="BP276" s="583">
        <f t="shared" si="648"/>
        <v>0</v>
      </c>
      <c r="BQ276" s="583">
        <f t="shared" si="649"/>
        <v>0</v>
      </c>
      <c r="BR276" s="583">
        <f t="shared" si="650"/>
        <v>0</v>
      </c>
    </row>
    <row r="277" spans="1:70" s="229" customFormat="1" ht="15" customHeight="1">
      <c r="A277" s="587"/>
      <c r="D277" s="85"/>
      <c r="E277" s="576">
        <f t="shared" si="635"/>
        <v>100</v>
      </c>
      <c r="F277" s="707"/>
      <c r="G277" s="406" t="s">
        <v>3054</v>
      </c>
      <c r="H277" s="1262" t="s">
        <v>3055</v>
      </c>
      <c r="I277" s="85">
        <v>0</v>
      </c>
      <c r="J277" s="682">
        <v>1</v>
      </c>
      <c r="K277" s="579" t="str">
        <f t="shared" si="609"/>
        <v/>
      </c>
      <c r="L277" s="580" t="str">
        <f>IF(H277="Select ingredient:","",IF(G277="","",_xlfn.IFNA(VLOOKUP($H277,Ingredient_prices!$E:$U,16,FALSE),0)))</f>
        <v/>
      </c>
      <c r="M277" s="844"/>
      <c r="N277" s="844"/>
      <c r="O277" s="588"/>
      <c r="P277" s="589"/>
      <c r="Q277" s="583">
        <f t="shared" si="610"/>
        <v>0</v>
      </c>
      <c r="R277" s="583">
        <f>VLOOKUP($H277,'CO2_emission+%_food_waste'!$A:$K,6,FALSE)*$Q277/100</f>
        <v>0</v>
      </c>
      <c r="S277" s="583">
        <f t="shared" si="611"/>
        <v>0</v>
      </c>
      <c r="T277" s="583" t="str">
        <f>IF(H277="Select ingredient:","",IF(G277="Select food category:","",_xlfn.IFNA(VLOOKUP($H277,Ingredient_prices!$E:$U,16,FALSE)*$Q277/1000,"not bought")))</f>
        <v/>
      </c>
      <c r="U277" s="583" t="str">
        <f>IF(G277="Select food category:","",_xlfn.IFNA(VLOOKUP($H277,Ingredient_prices!$E:$U,16,FALSE)*$R277/1000,"not bought"))</f>
        <v/>
      </c>
      <c r="V277" s="549">
        <f>VLOOKUP($H277,'CO2_emission+%_food_waste'!$A:$K,4,FALSE)*$Q277</f>
        <v>0</v>
      </c>
      <c r="W277" s="583">
        <f>VLOOKUP($H277,Nutrition_tables!$A:$N,10,FALSE)*$Q277/100</f>
        <v>0</v>
      </c>
      <c r="X277" s="583">
        <f>VLOOKUP($H277,Nutrition_tables!$A:$N,11,FALSE)*$Q277/100</f>
        <v>0</v>
      </c>
      <c r="Y277" s="583">
        <f>VLOOKUP($H277,Nutrition_tables!$A:$N,12,FALSE)*$Q277/100</f>
        <v>0</v>
      </c>
      <c r="Z277" s="583">
        <f>VLOOKUP($H277,Nutrition_tables!$A:$N,14,FALSE)*$Q277/100</f>
        <v>0</v>
      </c>
      <c r="AA277" s="583">
        <f>VLOOKUP($H277,Nutrition_tables!$A:$AF,13,FALSE)*$Q277/100</f>
        <v>0</v>
      </c>
      <c r="AB277" s="549">
        <f>VLOOKUP($H277,Nutrition_tables!$A:$AF,15,FALSE)*$Q277/100</f>
        <v>0</v>
      </c>
      <c r="AC277" s="583">
        <f>VLOOKUP($H277,Nutrition_tables!$A:$AF,16,FALSE)*$Q277/100</f>
        <v>0</v>
      </c>
      <c r="AD277" s="583">
        <f>VLOOKUP($H277,Nutrition_tables!$A:$AF,17,FALSE)*$Q277/100</f>
        <v>0</v>
      </c>
      <c r="AE277" s="583">
        <f>VLOOKUP($H277,Nutrition_tables!$A:$AF,18,FALSE)*$Q277/100</f>
        <v>0</v>
      </c>
      <c r="AF277" s="583">
        <f>VLOOKUP($H277,Nutrition_tables!$A:$AF,19,FALSE)*$Q277/100</f>
        <v>0</v>
      </c>
      <c r="AG277" s="583">
        <f>VLOOKUP($H277,Nutrition_tables!$A:$AF,20,FALSE)*$Q277/100</f>
        <v>0</v>
      </c>
      <c r="AH277" s="583">
        <f>VLOOKUP($H277,Nutrition_tables!$A:$AF,21,FALSE)*$Q277/100</f>
        <v>0</v>
      </c>
      <c r="AI277" s="583">
        <f>VLOOKUP($H277,Nutrition_tables!$A:$AF,22,FALSE)*$Q277/100</f>
        <v>0</v>
      </c>
      <c r="AJ277" s="549">
        <f>VLOOKUP($H277,Nutrition_tables!$A:$AF,23,FALSE)*$Q277/100</f>
        <v>0</v>
      </c>
      <c r="AK277" s="583">
        <f>VLOOKUP($H277,Nutrition_tables!$A:$AF,24,FALSE)*$Q277/100</f>
        <v>0</v>
      </c>
      <c r="AL277" s="583">
        <f>VLOOKUP($H277,Nutrition_tables!$A:$AF,25,FALSE)*$Q277/100</f>
        <v>0</v>
      </c>
      <c r="AM277" s="583">
        <f>VLOOKUP($H277,Nutrition_tables!$A:$AF,26,FALSE)*$Q277/100</f>
        <v>0</v>
      </c>
      <c r="AN277" s="583">
        <f>VLOOKUP($H277,Nutrition_tables!$A:$AF,27,FALSE)*$Q277/100</f>
        <v>0</v>
      </c>
      <c r="AO277" s="583">
        <f>VLOOKUP($H277,Nutrition_tables!$A:$AF,28,FALSE)*$Q277/100</f>
        <v>0</v>
      </c>
      <c r="AP277" s="583">
        <f>VLOOKUP($H277,Nutrition_tables!$A:$AF,29,FALSE)*$Q277/100</f>
        <v>0</v>
      </c>
      <c r="AQ277" s="583">
        <f>VLOOKUP($H277,Nutrition_tables!$A:$AF,30,FALSE)*$Q277/100</f>
        <v>0</v>
      </c>
      <c r="AR277" s="583">
        <f>VLOOKUP($H277,Nutrition_tables!$A:$AF,31,FALSE)*$Q277/100</f>
        <v>0</v>
      </c>
      <c r="AS277" s="549">
        <f>VLOOKUP($H277,Nutrition_tables!$A:$AF,32,FALSE)*$Q277/100</f>
        <v>0</v>
      </c>
      <c r="AT277" s="583" t="str">
        <f>IF(H277="Select ingredient:","",IF(G277="Select food category:","",IFERROR(VLOOKUP($H277,Ingredient_prices!$E:$W,17,FALSE)*$Q277/1000,"not bought")))</f>
        <v/>
      </c>
      <c r="AU277" s="583" t="str">
        <f>IF(H277="Select ingredient:","",IF(G277="Select food category:","",IFERROR(VLOOKUP($H277,Ingredient_prices!$E:$W,18,FALSE)*$Q277/1000,"not bought")))</f>
        <v/>
      </c>
      <c r="AV277" s="583">
        <f t="shared" si="612"/>
        <v>0</v>
      </c>
      <c r="AW277" s="583">
        <f t="shared" si="613"/>
        <v>0</v>
      </c>
      <c r="AX277" s="583">
        <f t="shared" si="614"/>
        <v>0</v>
      </c>
      <c r="AY277" s="583">
        <f t="shared" si="615"/>
        <v>0</v>
      </c>
      <c r="AZ277" s="583">
        <f t="shared" si="616"/>
        <v>0</v>
      </c>
      <c r="BA277" s="583">
        <f t="shared" si="617"/>
        <v>0</v>
      </c>
      <c r="BB277" s="583">
        <f t="shared" si="618"/>
        <v>0</v>
      </c>
      <c r="BC277" s="583">
        <f t="shared" si="619"/>
        <v>0</v>
      </c>
      <c r="BD277" s="583">
        <f t="shared" si="636"/>
        <v>0</v>
      </c>
      <c r="BE277" s="583">
        <f t="shared" si="637"/>
        <v>0</v>
      </c>
      <c r="BF277" s="583">
        <f t="shared" si="638"/>
        <v>0</v>
      </c>
      <c r="BG277" s="583">
        <f t="shared" si="639"/>
        <v>0</v>
      </c>
      <c r="BH277" s="583">
        <f t="shared" si="640"/>
        <v>0</v>
      </c>
      <c r="BI277" s="583">
        <f t="shared" si="641"/>
        <v>0</v>
      </c>
      <c r="BJ277" s="583">
        <f t="shared" si="642"/>
        <v>0</v>
      </c>
      <c r="BK277" s="583">
        <f t="shared" si="643"/>
        <v>0</v>
      </c>
      <c r="BL277" s="583">
        <f t="shared" si="644"/>
        <v>0</v>
      </c>
      <c r="BM277" s="583">
        <f t="shared" si="645"/>
        <v>0</v>
      </c>
      <c r="BN277" s="583">
        <f t="shared" si="646"/>
        <v>0</v>
      </c>
      <c r="BO277" s="583">
        <f t="shared" si="647"/>
        <v>0</v>
      </c>
      <c r="BP277" s="583">
        <f t="shared" si="648"/>
        <v>0</v>
      </c>
      <c r="BQ277" s="583">
        <f t="shared" si="649"/>
        <v>0</v>
      </c>
      <c r="BR277" s="583">
        <f t="shared" si="650"/>
        <v>0</v>
      </c>
    </row>
    <row r="278" spans="1:70" s="229" customFormat="1" ht="15" customHeight="1">
      <c r="A278" s="587"/>
      <c r="D278" s="85"/>
      <c r="E278" s="576">
        <f t="shared" si="635"/>
        <v>100</v>
      </c>
      <c r="F278" s="707"/>
      <c r="G278" s="406" t="s">
        <v>3054</v>
      </c>
      <c r="H278" s="1262" t="s">
        <v>3055</v>
      </c>
      <c r="I278" s="85">
        <v>0</v>
      </c>
      <c r="J278" s="682">
        <v>1</v>
      </c>
      <c r="K278" s="579" t="str">
        <f t="shared" si="609"/>
        <v/>
      </c>
      <c r="L278" s="580" t="str">
        <f>IF(H278="Select ingredient:","",IF(G278="","",_xlfn.IFNA(VLOOKUP($H278,Ingredient_prices!$E:$U,16,FALSE),0)))</f>
        <v/>
      </c>
      <c r="M278" s="844"/>
      <c r="N278" s="844"/>
      <c r="O278" s="588"/>
      <c r="P278" s="589"/>
      <c r="Q278" s="583">
        <f t="shared" si="610"/>
        <v>0</v>
      </c>
      <c r="R278" s="583">
        <f>VLOOKUP($H278,'CO2_emission+%_food_waste'!$A:$K,6,FALSE)*$Q278/100</f>
        <v>0</v>
      </c>
      <c r="S278" s="583">
        <f t="shared" si="611"/>
        <v>0</v>
      </c>
      <c r="T278" s="583" t="str">
        <f>IF(H278="Select ingredient:","",IF(G278="Select food category:","",_xlfn.IFNA(VLOOKUP($H278,Ingredient_prices!$E:$U,16,FALSE)*$Q278/1000,"not bought")))</f>
        <v/>
      </c>
      <c r="U278" s="583" t="str">
        <f>IF(G278="Select food category:","",_xlfn.IFNA(VLOOKUP($H278,Ingredient_prices!$E:$U,16,FALSE)*$R278/1000,"not bought"))</f>
        <v/>
      </c>
      <c r="V278" s="549">
        <f>VLOOKUP($H278,'CO2_emission+%_food_waste'!$A:$K,4,FALSE)*$Q278</f>
        <v>0</v>
      </c>
      <c r="W278" s="583">
        <f>VLOOKUP($H278,Nutrition_tables!$A:$N,10,FALSE)*$Q278/100</f>
        <v>0</v>
      </c>
      <c r="X278" s="583">
        <f>VLOOKUP($H278,Nutrition_tables!$A:$N,11,FALSE)*$Q278/100</f>
        <v>0</v>
      </c>
      <c r="Y278" s="583">
        <f>VLOOKUP($H278,Nutrition_tables!$A:$N,12,FALSE)*$Q278/100</f>
        <v>0</v>
      </c>
      <c r="Z278" s="583">
        <f>VLOOKUP($H278,Nutrition_tables!$A:$N,14,FALSE)*$Q278/100</f>
        <v>0</v>
      </c>
      <c r="AA278" s="583">
        <f>VLOOKUP($H278,Nutrition_tables!$A:$AF,13,FALSE)*$Q278/100</f>
        <v>0</v>
      </c>
      <c r="AB278" s="549">
        <f>VLOOKUP($H278,Nutrition_tables!$A:$AF,15,FALSE)*$Q278/100</f>
        <v>0</v>
      </c>
      <c r="AC278" s="583">
        <f>VLOOKUP($H278,Nutrition_tables!$A:$AF,16,FALSE)*$Q278/100</f>
        <v>0</v>
      </c>
      <c r="AD278" s="583">
        <f>VLOOKUP($H278,Nutrition_tables!$A:$AF,17,FALSE)*$Q278/100</f>
        <v>0</v>
      </c>
      <c r="AE278" s="583">
        <f>VLOOKUP($H278,Nutrition_tables!$A:$AF,18,FALSE)*$Q278/100</f>
        <v>0</v>
      </c>
      <c r="AF278" s="583">
        <f>VLOOKUP($H278,Nutrition_tables!$A:$AF,19,FALSE)*$Q278/100</f>
        <v>0</v>
      </c>
      <c r="AG278" s="583">
        <f>VLOOKUP($H278,Nutrition_tables!$A:$AF,20,FALSE)*$Q278/100</f>
        <v>0</v>
      </c>
      <c r="AH278" s="583">
        <f>VLOOKUP($H278,Nutrition_tables!$A:$AF,21,FALSE)*$Q278/100</f>
        <v>0</v>
      </c>
      <c r="AI278" s="583">
        <f>VLOOKUP($H278,Nutrition_tables!$A:$AF,22,FALSE)*$Q278/100</f>
        <v>0</v>
      </c>
      <c r="AJ278" s="549">
        <f>VLOOKUP($H278,Nutrition_tables!$A:$AF,23,FALSE)*$Q278/100</f>
        <v>0</v>
      </c>
      <c r="AK278" s="583">
        <f>VLOOKUP($H278,Nutrition_tables!$A:$AF,24,FALSE)*$Q278/100</f>
        <v>0</v>
      </c>
      <c r="AL278" s="583">
        <f>VLOOKUP($H278,Nutrition_tables!$A:$AF,25,FALSE)*$Q278/100</f>
        <v>0</v>
      </c>
      <c r="AM278" s="583">
        <f>VLOOKUP($H278,Nutrition_tables!$A:$AF,26,FALSE)*$Q278/100</f>
        <v>0</v>
      </c>
      <c r="AN278" s="583">
        <f>VLOOKUP($H278,Nutrition_tables!$A:$AF,27,FALSE)*$Q278/100</f>
        <v>0</v>
      </c>
      <c r="AO278" s="583">
        <f>VLOOKUP($H278,Nutrition_tables!$A:$AF,28,FALSE)*$Q278/100</f>
        <v>0</v>
      </c>
      <c r="AP278" s="583">
        <f>VLOOKUP($H278,Nutrition_tables!$A:$AF,29,FALSE)*$Q278/100</f>
        <v>0</v>
      </c>
      <c r="AQ278" s="583">
        <f>VLOOKUP($H278,Nutrition_tables!$A:$AF,30,FALSE)*$Q278/100</f>
        <v>0</v>
      </c>
      <c r="AR278" s="583">
        <f>VLOOKUP($H278,Nutrition_tables!$A:$AF,31,FALSE)*$Q278/100</f>
        <v>0</v>
      </c>
      <c r="AS278" s="549">
        <f>VLOOKUP($H278,Nutrition_tables!$A:$AF,32,FALSE)*$Q278/100</f>
        <v>0</v>
      </c>
      <c r="AT278" s="583" t="str">
        <f>IF(H278="Select ingredient:","",IF(G278="Select food category:","",IFERROR(VLOOKUP($H278,Ingredient_prices!$E:$W,17,FALSE)*$Q278/1000,"not bought")))</f>
        <v/>
      </c>
      <c r="AU278" s="583" t="str">
        <f>IF(H278="Select ingredient:","",IF(G278="Select food category:","",IFERROR(VLOOKUP($H278,Ingredient_prices!$E:$W,18,FALSE)*$Q278/1000,"not bought")))</f>
        <v/>
      </c>
      <c r="AV278" s="583">
        <f t="shared" si="612"/>
        <v>0</v>
      </c>
      <c r="AW278" s="583">
        <f t="shared" si="613"/>
        <v>0</v>
      </c>
      <c r="AX278" s="583">
        <f t="shared" si="614"/>
        <v>0</v>
      </c>
      <c r="AY278" s="583">
        <f t="shared" si="615"/>
        <v>0</v>
      </c>
      <c r="AZ278" s="583">
        <f t="shared" si="616"/>
        <v>0</v>
      </c>
      <c r="BA278" s="583">
        <f t="shared" si="617"/>
        <v>0</v>
      </c>
      <c r="BB278" s="583">
        <f t="shared" si="618"/>
        <v>0</v>
      </c>
      <c r="BC278" s="583">
        <f t="shared" si="619"/>
        <v>0</v>
      </c>
      <c r="BD278" s="583">
        <f t="shared" si="636"/>
        <v>0</v>
      </c>
      <c r="BE278" s="583">
        <f t="shared" si="637"/>
        <v>0</v>
      </c>
      <c r="BF278" s="583">
        <f t="shared" si="638"/>
        <v>0</v>
      </c>
      <c r="BG278" s="583">
        <f t="shared" si="639"/>
        <v>0</v>
      </c>
      <c r="BH278" s="583">
        <f t="shared" si="640"/>
        <v>0</v>
      </c>
      <c r="BI278" s="583">
        <f t="shared" si="641"/>
        <v>0</v>
      </c>
      <c r="BJ278" s="583">
        <f t="shared" si="642"/>
        <v>0</v>
      </c>
      <c r="BK278" s="583">
        <f t="shared" si="643"/>
        <v>0</v>
      </c>
      <c r="BL278" s="583">
        <f t="shared" si="644"/>
        <v>0</v>
      </c>
      <c r="BM278" s="583">
        <f t="shared" si="645"/>
        <v>0</v>
      </c>
      <c r="BN278" s="583">
        <f t="shared" si="646"/>
        <v>0</v>
      </c>
      <c r="BO278" s="583">
        <f t="shared" si="647"/>
        <v>0</v>
      </c>
      <c r="BP278" s="583">
        <f t="shared" si="648"/>
        <v>0</v>
      </c>
      <c r="BQ278" s="583">
        <f t="shared" si="649"/>
        <v>0</v>
      </c>
      <c r="BR278" s="583">
        <f t="shared" si="650"/>
        <v>0</v>
      </c>
    </row>
    <row r="279" spans="1:70" s="229" customFormat="1" ht="15" customHeight="1">
      <c r="A279" s="587"/>
      <c r="D279" s="85"/>
      <c r="E279" s="576">
        <f t="shared" si="635"/>
        <v>100</v>
      </c>
      <c r="F279" s="707"/>
      <c r="G279" s="406" t="s">
        <v>3054</v>
      </c>
      <c r="H279" s="1262" t="s">
        <v>3055</v>
      </c>
      <c r="I279" s="85">
        <v>0</v>
      </c>
      <c r="J279" s="682">
        <v>1</v>
      </c>
      <c r="K279" s="579" t="str">
        <f t="shared" si="609"/>
        <v/>
      </c>
      <c r="L279" s="580" t="str">
        <f>IF(H279="Select ingredient:","",IF(G279="","",_xlfn.IFNA(VLOOKUP($H279,Ingredient_prices!$E:$U,16,FALSE),0)))</f>
        <v/>
      </c>
      <c r="M279" s="844"/>
      <c r="N279" s="844"/>
      <c r="O279" s="588"/>
      <c r="P279" s="589"/>
      <c r="Q279" s="583">
        <f t="shared" si="610"/>
        <v>0</v>
      </c>
      <c r="R279" s="583">
        <f>VLOOKUP($H279,'CO2_emission+%_food_waste'!$A:$K,6,FALSE)*$Q279/100</f>
        <v>0</v>
      </c>
      <c r="S279" s="583">
        <f t="shared" si="611"/>
        <v>0</v>
      </c>
      <c r="T279" s="583" t="str">
        <f>IF(H279="Select ingredient:","",IF(G279="Select food category:","",_xlfn.IFNA(VLOOKUP($H279,Ingredient_prices!$E:$U,16,FALSE)*$Q279/1000,"not bought")))</f>
        <v/>
      </c>
      <c r="U279" s="583" t="str">
        <f>IF(G279="Select food category:","",_xlfn.IFNA(VLOOKUP($H279,Ingredient_prices!$E:$U,16,FALSE)*$R279/1000,"not bought"))</f>
        <v/>
      </c>
      <c r="V279" s="549">
        <f>VLOOKUP($H279,'CO2_emission+%_food_waste'!$A:$K,4,FALSE)*$Q279</f>
        <v>0</v>
      </c>
      <c r="W279" s="583">
        <f>VLOOKUP($H279,Nutrition_tables!$A:$N,10,FALSE)*$Q279/100</f>
        <v>0</v>
      </c>
      <c r="X279" s="583">
        <f>VLOOKUP($H279,Nutrition_tables!$A:$N,11,FALSE)*$Q279/100</f>
        <v>0</v>
      </c>
      <c r="Y279" s="583">
        <f>VLOOKUP($H279,Nutrition_tables!$A:$N,12,FALSE)*$Q279/100</f>
        <v>0</v>
      </c>
      <c r="Z279" s="583">
        <f>VLOOKUP($H279,Nutrition_tables!$A:$N,14,FALSE)*$Q279/100</f>
        <v>0</v>
      </c>
      <c r="AA279" s="583">
        <f>VLOOKUP($H279,Nutrition_tables!$A:$AF,13,FALSE)*$Q279/100</f>
        <v>0</v>
      </c>
      <c r="AB279" s="549">
        <f>VLOOKUP($H279,Nutrition_tables!$A:$AF,15,FALSE)*$Q279/100</f>
        <v>0</v>
      </c>
      <c r="AC279" s="583">
        <f>VLOOKUP($H279,Nutrition_tables!$A:$AF,16,FALSE)*$Q279/100</f>
        <v>0</v>
      </c>
      <c r="AD279" s="583">
        <f>VLOOKUP($H279,Nutrition_tables!$A:$AF,17,FALSE)*$Q279/100</f>
        <v>0</v>
      </c>
      <c r="AE279" s="583">
        <f>VLOOKUP($H279,Nutrition_tables!$A:$AF,18,FALSE)*$Q279/100</f>
        <v>0</v>
      </c>
      <c r="AF279" s="583">
        <f>VLOOKUP($H279,Nutrition_tables!$A:$AF,19,FALSE)*$Q279/100</f>
        <v>0</v>
      </c>
      <c r="AG279" s="583">
        <f>VLOOKUP($H279,Nutrition_tables!$A:$AF,20,FALSE)*$Q279/100</f>
        <v>0</v>
      </c>
      <c r="AH279" s="583">
        <f>VLOOKUP($H279,Nutrition_tables!$A:$AF,21,FALSE)*$Q279/100</f>
        <v>0</v>
      </c>
      <c r="AI279" s="583">
        <f>VLOOKUP($H279,Nutrition_tables!$A:$AF,22,FALSE)*$Q279/100</f>
        <v>0</v>
      </c>
      <c r="AJ279" s="549">
        <f>VLOOKUP($H279,Nutrition_tables!$A:$AF,23,FALSE)*$Q279/100</f>
        <v>0</v>
      </c>
      <c r="AK279" s="583">
        <f>VLOOKUP($H279,Nutrition_tables!$A:$AF,24,FALSE)*$Q279/100</f>
        <v>0</v>
      </c>
      <c r="AL279" s="583">
        <f>VLOOKUP($H279,Nutrition_tables!$A:$AF,25,FALSE)*$Q279/100</f>
        <v>0</v>
      </c>
      <c r="AM279" s="583">
        <f>VLOOKUP($H279,Nutrition_tables!$A:$AF,26,FALSE)*$Q279/100</f>
        <v>0</v>
      </c>
      <c r="AN279" s="583">
        <f>VLOOKUP($H279,Nutrition_tables!$A:$AF,27,FALSE)*$Q279/100</f>
        <v>0</v>
      </c>
      <c r="AO279" s="583">
        <f>VLOOKUP($H279,Nutrition_tables!$A:$AF,28,FALSE)*$Q279/100</f>
        <v>0</v>
      </c>
      <c r="AP279" s="583">
        <f>VLOOKUP($H279,Nutrition_tables!$A:$AF,29,FALSE)*$Q279/100</f>
        <v>0</v>
      </c>
      <c r="AQ279" s="583">
        <f>VLOOKUP($H279,Nutrition_tables!$A:$AF,30,FALSE)*$Q279/100</f>
        <v>0</v>
      </c>
      <c r="AR279" s="583">
        <f>VLOOKUP($H279,Nutrition_tables!$A:$AF,31,FALSE)*$Q279/100</f>
        <v>0</v>
      </c>
      <c r="AS279" s="549">
        <f>VLOOKUP($H279,Nutrition_tables!$A:$AF,32,FALSE)*$Q279/100</f>
        <v>0</v>
      </c>
      <c r="AT279" s="583" t="str">
        <f>IF(H279="Select ingredient:","",IF(G279="Select food category:","",IFERROR(VLOOKUP($H279,Ingredient_prices!$E:$W,17,FALSE)*$Q279/1000,"not bought")))</f>
        <v/>
      </c>
      <c r="AU279" s="583" t="str">
        <f>IF(H279="Select ingredient:","",IF(G279="Select food category:","",IFERROR(VLOOKUP($H279,Ingredient_prices!$E:$W,18,FALSE)*$Q279/1000,"not bought")))</f>
        <v/>
      </c>
      <c r="AV279" s="583">
        <f t="shared" si="612"/>
        <v>0</v>
      </c>
      <c r="AW279" s="583">
        <f t="shared" si="613"/>
        <v>0</v>
      </c>
      <c r="AX279" s="583">
        <f t="shared" si="614"/>
        <v>0</v>
      </c>
      <c r="AY279" s="583">
        <f t="shared" si="615"/>
        <v>0</v>
      </c>
      <c r="AZ279" s="583">
        <f t="shared" si="616"/>
        <v>0</v>
      </c>
      <c r="BA279" s="583">
        <f t="shared" si="617"/>
        <v>0</v>
      </c>
      <c r="BB279" s="583">
        <f t="shared" si="618"/>
        <v>0</v>
      </c>
      <c r="BC279" s="583">
        <f t="shared" si="619"/>
        <v>0</v>
      </c>
      <c r="BD279" s="583">
        <f t="shared" si="636"/>
        <v>0</v>
      </c>
      <c r="BE279" s="583">
        <f t="shared" si="637"/>
        <v>0</v>
      </c>
      <c r="BF279" s="583">
        <f t="shared" si="638"/>
        <v>0</v>
      </c>
      <c r="BG279" s="583">
        <f t="shared" si="639"/>
        <v>0</v>
      </c>
      <c r="BH279" s="583">
        <f t="shared" si="640"/>
        <v>0</v>
      </c>
      <c r="BI279" s="583">
        <f t="shared" si="641"/>
        <v>0</v>
      </c>
      <c r="BJ279" s="583">
        <f t="shared" si="642"/>
        <v>0</v>
      </c>
      <c r="BK279" s="583">
        <f t="shared" si="643"/>
        <v>0</v>
      </c>
      <c r="BL279" s="583">
        <f t="shared" si="644"/>
        <v>0</v>
      </c>
      <c r="BM279" s="583">
        <f t="shared" si="645"/>
        <v>0</v>
      </c>
      <c r="BN279" s="583">
        <f t="shared" si="646"/>
        <v>0</v>
      </c>
      <c r="BO279" s="583">
        <f t="shared" si="647"/>
        <v>0</v>
      </c>
      <c r="BP279" s="583">
        <f t="shared" si="648"/>
        <v>0</v>
      </c>
      <c r="BQ279" s="583">
        <f t="shared" si="649"/>
        <v>0</v>
      </c>
      <c r="BR279" s="583">
        <f t="shared" si="650"/>
        <v>0</v>
      </c>
    </row>
    <row r="280" spans="1:70" s="603" customFormat="1" ht="56">
      <c r="A280" s="587"/>
      <c r="B280" s="593"/>
      <c r="C280" s="522"/>
      <c r="D280" s="141"/>
      <c r="E280" s="594"/>
      <c r="F280" s="708"/>
      <c r="G280" s="522"/>
      <c r="H280" s="522"/>
      <c r="I280" s="86"/>
      <c r="J280" s="87"/>
      <c r="K280" s="595"/>
      <c r="L280" s="596"/>
      <c r="M280" s="845"/>
      <c r="N280" s="845"/>
      <c r="O280" s="588"/>
      <c r="P280" s="638"/>
      <c r="Q280" s="599" t="s">
        <v>384</v>
      </c>
      <c r="R280" s="600" t="s">
        <v>455</v>
      </c>
      <c r="S280" s="600" t="s">
        <v>2087</v>
      </c>
      <c r="T280" s="600" t="s">
        <v>456</v>
      </c>
      <c r="U280" s="600" t="s">
        <v>535</v>
      </c>
      <c r="V280" s="601" t="s">
        <v>457</v>
      </c>
      <c r="W280" s="600" t="s">
        <v>75</v>
      </c>
      <c r="X280" s="600" t="s">
        <v>385</v>
      </c>
      <c r="Y280" s="600" t="s">
        <v>386</v>
      </c>
      <c r="Z280" s="600" t="s">
        <v>387</v>
      </c>
      <c r="AA280" s="600" t="s">
        <v>388</v>
      </c>
      <c r="AB280" s="601" t="s">
        <v>389</v>
      </c>
      <c r="AC280" s="602" t="s">
        <v>390</v>
      </c>
      <c r="AD280" s="600" t="s">
        <v>391</v>
      </c>
      <c r="AE280" s="600" t="s">
        <v>392</v>
      </c>
      <c r="AF280" s="600" t="s">
        <v>393</v>
      </c>
      <c r="AG280" s="600" t="s">
        <v>394</v>
      </c>
      <c r="AH280" s="600" t="s">
        <v>395</v>
      </c>
      <c r="AI280" s="600" t="s">
        <v>396</v>
      </c>
      <c r="AJ280" s="601" t="s">
        <v>397</v>
      </c>
      <c r="AK280" s="602" t="s">
        <v>398</v>
      </c>
      <c r="AL280" s="600" t="s">
        <v>399</v>
      </c>
      <c r="AM280" s="600" t="s">
        <v>400</v>
      </c>
      <c r="AN280" s="600" t="s">
        <v>401</v>
      </c>
      <c r="AO280" s="600" t="s">
        <v>402</v>
      </c>
      <c r="AP280" s="600" t="s">
        <v>406</v>
      </c>
      <c r="AQ280" s="600" t="s">
        <v>405</v>
      </c>
      <c r="AR280" s="600" t="s">
        <v>403</v>
      </c>
      <c r="AS280" s="601" t="s">
        <v>404</v>
      </c>
      <c r="AT280" s="593"/>
      <c r="AU280" s="593"/>
    </row>
    <row r="281" spans="1:70" s="229" customFormat="1">
      <c r="A281" s="587"/>
      <c r="B281" s="522"/>
      <c r="C281" s="522"/>
      <c r="D281" s="141"/>
      <c r="E281" s="594"/>
      <c r="F281" s="708"/>
      <c r="G281" s="522"/>
      <c r="H281" s="522"/>
      <c r="I281" s="86"/>
      <c r="J281" s="87"/>
      <c r="K281" s="595"/>
      <c r="L281" s="604"/>
      <c r="M281" s="846"/>
      <c r="N281" s="846"/>
      <c r="O281" s="588"/>
      <c r="P281" s="639" t="s">
        <v>383</v>
      </c>
      <c r="Q281" s="583">
        <f t="shared" ref="Q281:V281" si="651">SUM(Q255:Q279)</f>
        <v>415.23</v>
      </c>
      <c r="R281" s="583">
        <f t="shared" si="651"/>
        <v>123.83956699999999</v>
      </c>
      <c r="S281" s="583">
        <f t="shared" si="651"/>
        <v>291.39043299999997</v>
      </c>
      <c r="T281" s="583">
        <f t="shared" si="651"/>
        <v>64.980486666666664</v>
      </c>
      <c r="U281" s="583">
        <f t="shared" si="651"/>
        <v>20.542442696666658</v>
      </c>
      <c r="V281" s="549">
        <f t="shared" si="651"/>
        <v>687.00200000000018</v>
      </c>
      <c r="W281" s="583">
        <f>SUM(W255:W279)</f>
        <v>886.37926739417242</v>
      </c>
      <c r="X281" s="583">
        <f t="shared" ref="X281:AS281" si="652">SUM(X255:X279)</f>
        <v>119.94328380387614</v>
      </c>
      <c r="Y281" s="583">
        <f t="shared" si="652"/>
        <v>28.88452439919622</v>
      </c>
      <c r="Z281" s="583">
        <f t="shared" si="652"/>
        <v>31.66469329013179</v>
      </c>
      <c r="AA281" s="583">
        <f t="shared" si="652"/>
        <v>18.945164446654026</v>
      </c>
      <c r="AB281" s="549">
        <f t="shared" si="652"/>
        <v>4.7808666246272686</v>
      </c>
      <c r="AC281" s="583">
        <f t="shared" si="652"/>
        <v>710.39182804195798</v>
      </c>
      <c r="AD281" s="583">
        <f t="shared" si="652"/>
        <v>1512.8136999999999</v>
      </c>
      <c r="AE281" s="583">
        <f t="shared" si="652"/>
        <v>219.06030000000001</v>
      </c>
      <c r="AF281" s="583">
        <f t="shared" si="652"/>
        <v>156.81128608391609</v>
      </c>
      <c r="AG281" s="583">
        <f t="shared" si="652"/>
        <v>381.34640000000007</v>
      </c>
      <c r="AH281" s="583">
        <f t="shared" si="652"/>
        <v>6.4058049770173007</v>
      </c>
      <c r="AI281" s="583">
        <f t="shared" si="652"/>
        <v>6.3295788346515645</v>
      </c>
      <c r="AJ281" s="549">
        <f t="shared" si="652"/>
        <v>0.77745132928829441</v>
      </c>
      <c r="AK281" s="583">
        <f t="shared" si="652"/>
        <v>276.97001399906668</v>
      </c>
      <c r="AL281" s="583">
        <f t="shared" si="652"/>
        <v>0.66544768996057413</v>
      </c>
      <c r="AM281" s="583">
        <f t="shared" si="652"/>
        <v>0.36924042117662031</v>
      </c>
      <c r="AN281" s="583">
        <f t="shared" si="652"/>
        <v>5.7315912694428173</v>
      </c>
      <c r="AO281" s="583">
        <f t="shared" si="652"/>
        <v>0.65483126647804246</v>
      </c>
      <c r="AP281" s="583">
        <f t="shared" si="652"/>
        <v>192.66216783216788</v>
      </c>
      <c r="AQ281" s="583">
        <f t="shared" si="652"/>
        <v>0.28495355938672939</v>
      </c>
      <c r="AR281" s="583">
        <f t="shared" si="652"/>
        <v>38.989948670088658</v>
      </c>
      <c r="AS281" s="549">
        <f t="shared" si="652"/>
        <v>0.83711184161091545</v>
      </c>
      <c r="AT281" s="583">
        <f t="shared" ref="AT281:AU281" si="653">SUM(AT255:AT279)</f>
        <v>45.497486666666681</v>
      </c>
      <c r="AU281" s="583">
        <f t="shared" si="653"/>
        <v>64.980486666666664</v>
      </c>
      <c r="AV281" s="583">
        <f t="shared" ref="AV281:BR281" si="654">SUM(AV255:AV279)</f>
        <v>609.59247398928085</v>
      </c>
      <c r="AW281" s="583">
        <f t="shared" si="654"/>
        <v>86.718959389197607</v>
      </c>
      <c r="AX281" s="583">
        <f t="shared" si="654"/>
        <v>19.028096187682042</v>
      </c>
      <c r="AY281" s="583">
        <f t="shared" si="654"/>
        <v>20.530232875974196</v>
      </c>
      <c r="AZ281" s="583">
        <f t="shared" si="654"/>
        <v>13.542841578673096</v>
      </c>
      <c r="BA281" s="583">
        <f t="shared" si="654"/>
        <v>2.7586463551845894</v>
      </c>
      <c r="BB281" s="583">
        <f t="shared" si="654"/>
        <v>464.28641951064316</v>
      </c>
      <c r="BC281" s="583">
        <f t="shared" si="654"/>
        <v>1081.2285401436766</v>
      </c>
      <c r="BD281" s="583">
        <f t="shared" si="654"/>
        <v>150.38296094973086</v>
      </c>
      <c r="BE281" s="583">
        <f t="shared" si="654"/>
        <v>112.08031596737794</v>
      </c>
      <c r="BF281" s="583">
        <f t="shared" si="654"/>
        <v>270.76478862353218</v>
      </c>
      <c r="BG281" s="583">
        <f t="shared" si="654"/>
        <v>4.4630803172432802</v>
      </c>
      <c r="BH281" s="583">
        <f t="shared" si="654"/>
        <v>4.0121542183535412</v>
      </c>
      <c r="BI281" s="583">
        <f t="shared" si="654"/>
        <v>0.53446261869988843</v>
      </c>
      <c r="BJ281" s="583">
        <f t="shared" si="654"/>
        <v>196.15451846242209</v>
      </c>
      <c r="BK281" s="583">
        <f t="shared" si="654"/>
        <v>0.43599644316945307</v>
      </c>
      <c r="BL281" s="583">
        <f t="shared" si="654"/>
        <v>0.24032361601356841</v>
      </c>
      <c r="BM281" s="583">
        <f t="shared" si="654"/>
        <v>3.790489774787658</v>
      </c>
      <c r="BN281" s="583">
        <f t="shared" si="654"/>
        <v>0.43100864120842497</v>
      </c>
      <c r="BO281" s="583">
        <f t="shared" si="654"/>
        <v>139.0641321723262</v>
      </c>
      <c r="BP281" s="583">
        <f t="shared" si="654"/>
        <v>0.1920103451803063</v>
      </c>
      <c r="BQ281" s="583">
        <f t="shared" si="654"/>
        <v>28.231777300098322</v>
      </c>
      <c r="BR281" s="583">
        <f t="shared" si="654"/>
        <v>0.43608894519167984</v>
      </c>
    </row>
    <row r="282" spans="1:70" s="229" customFormat="1">
      <c r="A282" s="587"/>
      <c r="B282" s="522"/>
      <c r="C282" s="522"/>
      <c r="D282" s="141"/>
      <c r="E282" s="594"/>
      <c r="F282" s="708"/>
      <c r="G282" s="522"/>
      <c r="H282" s="522"/>
      <c r="I282" s="86"/>
      <c r="J282" s="87"/>
      <c r="K282" s="595"/>
      <c r="L282" s="604"/>
      <c r="M282" s="846"/>
      <c r="N282" s="846"/>
      <c r="O282" s="588"/>
      <c r="P282" s="639" t="s">
        <v>545</v>
      </c>
      <c r="V282" s="526"/>
      <c r="W282" s="229">
        <v>556.5</v>
      </c>
      <c r="X282" s="229">
        <v>69.599999999999994</v>
      </c>
      <c r="Y282" s="229">
        <v>17.399999999999999</v>
      </c>
      <c r="Z282" s="229">
        <v>18.599999999999998</v>
      </c>
      <c r="AA282" s="229">
        <v>5.7</v>
      </c>
      <c r="AB282" s="526">
        <v>6</v>
      </c>
      <c r="AC282" s="229">
        <v>414</v>
      </c>
      <c r="AD282" s="229">
        <v>540</v>
      </c>
      <c r="AE282" s="229">
        <v>270</v>
      </c>
      <c r="AF282" s="229">
        <v>51</v>
      </c>
      <c r="AG282" s="229">
        <v>240</v>
      </c>
      <c r="AH282" s="229">
        <v>3</v>
      </c>
      <c r="AI282" s="229">
        <v>2.1</v>
      </c>
      <c r="AJ282" s="526">
        <v>0.375</v>
      </c>
      <c r="AK282" s="229">
        <v>240</v>
      </c>
      <c r="AL282" s="229">
        <v>0.3</v>
      </c>
      <c r="AM282" s="229">
        <v>0.33</v>
      </c>
      <c r="AN282" s="229">
        <v>3.5999999999999996</v>
      </c>
      <c r="AO282" s="229">
        <v>0.21</v>
      </c>
      <c r="AP282" s="229">
        <v>90</v>
      </c>
      <c r="AQ282" s="229">
        <v>0.54</v>
      </c>
      <c r="AR282" s="229">
        <v>24</v>
      </c>
      <c r="AS282" s="526">
        <v>1.5</v>
      </c>
      <c r="AV282" s="229">
        <v>556.5</v>
      </c>
      <c r="AW282" s="229">
        <v>69.599999999999994</v>
      </c>
      <c r="AX282" s="229">
        <v>17.399999999999999</v>
      </c>
      <c r="AY282" s="229">
        <v>18.599999999999998</v>
      </c>
      <c r="AZ282" s="229">
        <v>5.7</v>
      </c>
      <c r="BA282" s="526">
        <v>6</v>
      </c>
      <c r="BB282" s="229">
        <v>414</v>
      </c>
      <c r="BC282" s="229">
        <v>540</v>
      </c>
      <c r="BD282" s="229">
        <v>270</v>
      </c>
      <c r="BE282" s="229">
        <v>51</v>
      </c>
      <c r="BF282" s="229">
        <v>240</v>
      </c>
      <c r="BG282" s="229">
        <v>3</v>
      </c>
      <c r="BH282" s="229">
        <v>2.1</v>
      </c>
      <c r="BI282" s="526">
        <v>0.375</v>
      </c>
      <c r="BJ282" s="229">
        <v>240</v>
      </c>
      <c r="BK282" s="229">
        <v>0.3</v>
      </c>
      <c r="BL282" s="229">
        <v>0.33</v>
      </c>
      <c r="BM282" s="229">
        <v>3.5999999999999996</v>
      </c>
      <c r="BN282" s="229">
        <v>0.21</v>
      </c>
      <c r="BO282" s="229">
        <v>90</v>
      </c>
      <c r="BP282" s="229">
        <v>0.54</v>
      </c>
      <c r="BQ282" s="229">
        <v>24</v>
      </c>
      <c r="BR282" s="526">
        <v>1.5</v>
      </c>
    </row>
    <row r="283" spans="1:70" s="229" customFormat="1">
      <c r="A283" s="587"/>
      <c r="B283" s="522"/>
      <c r="C283" s="522"/>
      <c r="D283" s="141"/>
      <c r="E283" s="594"/>
      <c r="F283" s="708"/>
      <c r="G283" s="522"/>
      <c r="H283" s="522"/>
      <c r="I283" s="86"/>
      <c r="J283" s="87"/>
      <c r="K283" s="595"/>
      <c r="L283" s="604"/>
      <c r="M283" s="846"/>
      <c r="N283" s="846"/>
      <c r="O283" s="588"/>
      <c r="P283" s="639" t="s">
        <v>407</v>
      </c>
      <c r="V283" s="526"/>
      <c r="W283" s="514">
        <f t="shared" ref="W283:AS283" si="655">100*W281/W282</f>
        <v>159.27749638709295</v>
      </c>
      <c r="X283" s="514">
        <f t="shared" si="655"/>
        <v>172.33230431591403</v>
      </c>
      <c r="Y283" s="514">
        <f t="shared" si="655"/>
        <v>166.00301378848405</v>
      </c>
      <c r="Z283" s="514">
        <f t="shared" si="655"/>
        <v>170.24028650608491</v>
      </c>
      <c r="AA283" s="514">
        <f t="shared" si="655"/>
        <v>332.37130608164955</v>
      </c>
      <c r="AB283" s="506">
        <f t="shared" si="655"/>
        <v>79.68111041045448</v>
      </c>
      <c r="AC283" s="514">
        <f t="shared" si="655"/>
        <v>171.59222899564202</v>
      </c>
      <c r="AD283" s="514">
        <f t="shared" si="655"/>
        <v>280.15068518518518</v>
      </c>
      <c r="AE283" s="514">
        <f t="shared" si="655"/>
        <v>81.13344444444445</v>
      </c>
      <c r="AF283" s="514">
        <f t="shared" si="655"/>
        <v>307.47310996846295</v>
      </c>
      <c r="AG283" s="514">
        <f t="shared" si="655"/>
        <v>158.89433333333335</v>
      </c>
      <c r="AH283" s="514">
        <f t="shared" si="655"/>
        <v>213.52683256724336</v>
      </c>
      <c r="AI283" s="514">
        <f t="shared" si="655"/>
        <v>301.40851593578878</v>
      </c>
      <c r="AJ283" s="506">
        <f t="shared" si="655"/>
        <v>207.32035447687849</v>
      </c>
      <c r="AK283" s="514">
        <f t="shared" si="655"/>
        <v>115.40417249961112</v>
      </c>
      <c r="AL283" s="514">
        <f t="shared" si="655"/>
        <v>221.81589665352473</v>
      </c>
      <c r="AM283" s="514">
        <f t="shared" si="655"/>
        <v>111.89103672018797</v>
      </c>
      <c r="AN283" s="514">
        <f t="shared" si="655"/>
        <v>159.21086859563383</v>
      </c>
      <c r="AO283" s="514">
        <f t="shared" si="655"/>
        <v>311.82441260859162</v>
      </c>
      <c r="AP283" s="514">
        <f t="shared" si="655"/>
        <v>214.06907536907542</v>
      </c>
      <c r="AQ283" s="514">
        <f t="shared" si="655"/>
        <v>52.769177664209145</v>
      </c>
      <c r="AR283" s="514">
        <f t="shared" si="655"/>
        <v>162.45811945870273</v>
      </c>
      <c r="AS283" s="506">
        <f t="shared" si="655"/>
        <v>55.807456107394366</v>
      </c>
      <c r="AV283" s="514">
        <f t="shared" ref="AV283:BR283" si="656">100*AV281/AV282</f>
        <v>109.54042659286269</v>
      </c>
      <c r="AW283" s="514">
        <f t="shared" si="656"/>
        <v>124.59620601896209</v>
      </c>
      <c r="AX283" s="514">
        <f t="shared" si="656"/>
        <v>109.35687464185082</v>
      </c>
      <c r="AY283" s="514">
        <f t="shared" si="656"/>
        <v>110.37759610738817</v>
      </c>
      <c r="AZ283" s="514">
        <f t="shared" si="656"/>
        <v>237.59371190654554</v>
      </c>
      <c r="BA283" s="506">
        <f t="shared" si="656"/>
        <v>45.97743925307649</v>
      </c>
      <c r="BB283" s="514">
        <f t="shared" si="656"/>
        <v>112.14647814266743</v>
      </c>
      <c r="BC283" s="514">
        <f t="shared" si="656"/>
        <v>200.22750743401417</v>
      </c>
      <c r="BD283" s="514">
        <f t="shared" si="656"/>
        <v>55.697392944344763</v>
      </c>
      <c r="BE283" s="514">
        <f t="shared" si="656"/>
        <v>219.76532542623124</v>
      </c>
      <c r="BF283" s="514">
        <f t="shared" si="656"/>
        <v>112.81866192647175</v>
      </c>
      <c r="BG283" s="514">
        <f t="shared" si="656"/>
        <v>148.76934390810933</v>
      </c>
      <c r="BH283" s="514">
        <f t="shared" si="656"/>
        <v>191.05496277874005</v>
      </c>
      <c r="BI283" s="506">
        <f t="shared" si="656"/>
        <v>142.52336498663692</v>
      </c>
      <c r="BJ283" s="514">
        <f t="shared" si="656"/>
        <v>81.731049359342535</v>
      </c>
      <c r="BK283" s="514">
        <f t="shared" si="656"/>
        <v>145.33214772315102</v>
      </c>
      <c r="BL283" s="514">
        <f t="shared" si="656"/>
        <v>72.825338185929809</v>
      </c>
      <c r="BM283" s="514">
        <f t="shared" si="656"/>
        <v>105.2913826329905</v>
      </c>
      <c r="BN283" s="514">
        <f t="shared" si="656"/>
        <v>205.24221009924997</v>
      </c>
      <c r="BO283" s="514">
        <f t="shared" si="656"/>
        <v>154.51570241369578</v>
      </c>
      <c r="BP283" s="514">
        <f t="shared" si="656"/>
        <v>35.557471329686344</v>
      </c>
      <c r="BQ283" s="514">
        <f t="shared" si="656"/>
        <v>117.63240541707636</v>
      </c>
      <c r="BR283" s="506">
        <f t="shared" si="656"/>
        <v>29.07259634611199</v>
      </c>
    </row>
    <row r="284" spans="1:70" s="229" customFormat="1">
      <c r="A284" s="587"/>
      <c r="B284" s="522"/>
      <c r="C284" s="522"/>
      <c r="D284" s="141"/>
      <c r="E284" s="594"/>
      <c r="F284" s="708"/>
      <c r="G284" s="522"/>
      <c r="H284" s="522"/>
      <c r="I284" s="86"/>
      <c r="J284" s="87"/>
      <c r="K284" s="595"/>
      <c r="L284" s="604"/>
      <c r="M284" s="846"/>
      <c r="N284" s="846"/>
      <c r="O284" s="588"/>
      <c r="P284" s="639" t="s">
        <v>548</v>
      </c>
      <c r="V284" s="526"/>
      <c r="W284" s="583">
        <f>AV281</f>
        <v>609.59247398928085</v>
      </c>
      <c r="X284" s="583">
        <f t="shared" ref="X284:AD284" si="657">AW281</f>
        <v>86.718959389197607</v>
      </c>
      <c r="Y284" s="583">
        <f t="shared" si="657"/>
        <v>19.028096187682042</v>
      </c>
      <c r="Z284" s="583">
        <f t="shared" si="657"/>
        <v>20.530232875974196</v>
      </c>
      <c r="AA284" s="583">
        <f t="shared" si="657"/>
        <v>13.542841578673096</v>
      </c>
      <c r="AB284" s="549">
        <f t="shared" si="657"/>
        <v>2.7586463551845894</v>
      </c>
      <c r="AC284" s="583">
        <f t="shared" si="657"/>
        <v>464.28641951064316</v>
      </c>
      <c r="AD284" s="583">
        <f t="shared" si="657"/>
        <v>1081.2285401436766</v>
      </c>
      <c r="AE284" s="583">
        <f>BD281</f>
        <v>150.38296094973086</v>
      </c>
      <c r="AF284" s="583">
        <f t="shared" ref="AF284:AM284" si="658">BE281</f>
        <v>112.08031596737794</v>
      </c>
      <c r="AG284" s="583">
        <f t="shared" si="658"/>
        <v>270.76478862353218</v>
      </c>
      <c r="AH284" s="583">
        <f t="shared" si="658"/>
        <v>4.4630803172432802</v>
      </c>
      <c r="AI284" s="583">
        <f t="shared" si="658"/>
        <v>4.0121542183535412</v>
      </c>
      <c r="AJ284" s="549">
        <f t="shared" si="658"/>
        <v>0.53446261869988843</v>
      </c>
      <c r="AK284" s="583">
        <f t="shared" si="658"/>
        <v>196.15451846242209</v>
      </c>
      <c r="AL284" s="583">
        <f t="shared" si="658"/>
        <v>0.43599644316945307</v>
      </c>
      <c r="AM284" s="583">
        <f t="shared" si="658"/>
        <v>0.24032361601356841</v>
      </c>
      <c r="AN284" s="583">
        <f>BM281</f>
        <v>3.790489774787658</v>
      </c>
      <c r="AO284" s="583">
        <f t="shared" ref="AO284:AR284" si="659">BN281</f>
        <v>0.43100864120842497</v>
      </c>
      <c r="AP284" s="583">
        <f t="shared" si="659"/>
        <v>139.0641321723262</v>
      </c>
      <c r="AQ284" s="583">
        <f t="shared" si="659"/>
        <v>0.1920103451803063</v>
      </c>
      <c r="AR284" s="583">
        <f t="shared" si="659"/>
        <v>28.231777300098322</v>
      </c>
      <c r="AS284" s="549">
        <f>BR281</f>
        <v>0.43608894519167984</v>
      </c>
    </row>
    <row r="285" spans="1:70" s="229" customFormat="1">
      <c r="A285" s="587"/>
      <c r="B285" s="522"/>
      <c r="C285" s="522"/>
      <c r="D285" s="141"/>
      <c r="E285" s="594"/>
      <c r="F285" s="708"/>
      <c r="G285" s="522"/>
      <c r="H285" s="522"/>
      <c r="I285" s="86"/>
      <c r="J285" s="87"/>
      <c r="K285" s="595"/>
      <c r="L285" s="604"/>
      <c r="M285" s="846"/>
      <c r="N285" s="846"/>
      <c r="O285" s="588"/>
      <c r="P285" s="639" t="s">
        <v>543</v>
      </c>
      <c r="V285" s="526"/>
      <c r="W285" s="514">
        <f t="shared" ref="W285:AS285" si="660">AV283</f>
        <v>109.54042659286269</v>
      </c>
      <c r="X285" s="514">
        <f t="shared" si="660"/>
        <v>124.59620601896209</v>
      </c>
      <c r="Y285" s="514">
        <f t="shared" si="660"/>
        <v>109.35687464185082</v>
      </c>
      <c r="Z285" s="514">
        <f t="shared" si="660"/>
        <v>110.37759610738817</v>
      </c>
      <c r="AA285" s="514">
        <f t="shared" si="660"/>
        <v>237.59371190654554</v>
      </c>
      <c r="AB285" s="506">
        <f t="shared" si="660"/>
        <v>45.97743925307649</v>
      </c>
      <c r="AC285" s="514">
        <f t="shared" si="660"/>
        <v>112.14647814266743</v>
      </c>
      <c r="AD285" s="514">
        <f t="shared" si="660"/>
        <v>200.22750743401417</v>
      </c>
      <c r="AE285" s="514">
        <f t="shared" si="660"/>
        <v>55.697392944344763</v>
      </c>
      <c r="AF285" s="514">
        <f t="shared" si="660"/>
        <v>219.76532542623124</v>
      </c>
      <c r="AG285" s="514">
        <f t="shared" si="660"/>
        <v>112.81866192647175</v>
      </c>
      <c r="AH285" s="514">
        <f t="shared" si="660"/>
        <v>148.76934390810933</v>
      </c>
      <c r="AI285" s="514">
        <f t="shared" si="660"/>
        <v>191.05496277874005</v>
      </c>
      <c r="AJ285" s="506">
        <f t="shared" si="660"/>
        <v>142.52336498663692</v>
      </c>
      <c r="AK285" s="514">
        <f t="shared" si="660"/>
        <v>81.731049359342535</v>
      </c>
      <c r="AL285" s="514">
        <f t="shared" si="660"/>
        <v>145.33214772315102</v>
      </c>
      <c r="AM285" s="514">
        <f t="shared" si="660"/>
        <v>72.825338185929809</v>
      </c>
      <c r="AN285" s="514">
        <f t="shared" si="660"/>
        <v>105.2913826329905</v>
      </c>
      <c r="AO285" s="514">
        <f t="shared" si="660"/>
        <v>205.24221009924997</v>
      </c>
      <c r="AP285" s="514">
        <f t="shared" si="660"/>
        <v>154.51570241369578</v>
      </c>
      <c r="AQ285" s="514">
        <f t="shared" si="660"/>
        <v>35.557471329686344</v>
      </c>
      <c r="AR285" s="514">
        <f t="shared" si="660"/>
        <v>117.63240541707636</v>
      </c>
      <c r="AS285" s="506">
        <f t="shared" si="660"/>
        <v>29.07259634611199</v>
      </c>
      <c r="AV285" s="514"/>
      <c r="AW285" s="514"/>
      <c r="AX285" s="514"/>
      <c r="AY285" s="514"/>
      <c r="AZ285" s="514"/>
      <c r="BA285" s="505"/>
      <c r="BB285" s="514"/>
      <c r="BC285" s="514"/>
      <c r="BD285" s="514"/>
      <c r="BE285" s="514"/>
      <c r="BF285" s="514"/>
      <c r="BG285" s="514"/>
      <c r="BH285" s="514"/>
      <c r="BI285" s="505"/>
      <c r="BJ285" s="514"/>
      <c r="BK285" s="514"/>
      <c r="BL285" s="514"/>
      <c r="BM285" s="514"/>
      <c r="BN285" s="514"/>
      <c r="BO285" s="514"/>
      <c r="BP285" s="514"/>
      <c r="BQ285" s="514"/>
      <c r="BR285" s="505"/>
    </row>
    <row r="286" spans="1:70" s="229" customFormat="1" ht="16" thickBot="1">
      <c r="A286" s="587"/>
      <c r="B286" s="587"/>
      <c r="C286" s="587"/>
      <c r="D286" s="111"/>
      <c r="E286" s="631"/>
      <c r="F286" s="712"/>
      <c r="G286" s="632" t="s">
        <v>795</v>
      </c>
      <c r="H286" s="633"/>
      <c r="I286" s="686"/>
      <c r="J286" s="686"/>
      <c r="K286" s="587"/>
      <c r="L286" s="634"/>
      <c r="M286" s="843"/>
      <c r="N286" s="843"/>
      <c r="O286" s="588"/>
      <c r="P286" s="587"/>
      <c r="Q286" s="587"/>
      <c r="R286" s="587"/>
      <c r="S286" s="587"/>
      <c r="T286" s="587"/>
      <c r="U286" s="635"/>
      <c r="V286" s="636"/>
      <c r="W286" s="587"/>
      <c r="X286" s="587"/>
      <c r="Y286" s="587"/>
      <c r="Z286" s="587"/>
      <c r="AA286" s="637">
        <f>COUNTIF(AA287:AA298,"&lt;0")</f>
        <v>0</v>
      </c>
      <c r="AB286" s="637">
        <f t="shared" ref="AB286" si="661">COUNTIF(AB287:AB298,"&lt;0")</f>
        <v>0</v>
      </c>
      <c r="AC286" s="637">
        <f t="shared" ref="AC286" si="662">COUNTIF(AC287:AC298,"&lt;0")</f>
        <v>0</v>
      </c>
      <c r="AD286" s="637">
        <f t="shared" ref="AD286" si="663">COUNTIF(AD287:AD298,"&lt;0")</f>
        <v>0</v>
      </c>
      <c r="AE286" s="637">
        <f t="shared" ref="AE286" si="664">COUNTIF(AE287:AE298,"&lt;0")</f>
        <v>0</v>
      </c>
      <c r="AF286" s="637">
        <f t="shared" ref="AF286" si="665">COUNTIF(AF287:AF298,"&lt;0")</f>
        <v>0</v>
      </c>
      <c r="AG286" s="637">
        <f t="shared" ref="AG286" si="666">COUNTIF(AG287:AG298,"&lt;0")</f>
        <v>0</v>
      </c>
      <c r="AH286" s="637">
        <f t="shared" ref="AH286" si="667">COUNTIF(AH287:AH298,"&lt;0")</f>
        <v>0</v>
      </c>
      <c r="AI286" s="637">
        <f t="shared" ref="AI286" si="668">COUNTIF(AI287:AI298,"&lt;0")</f>
        <v>0</v>
      </c>
      <c r="AJ286" s="637">
        <f t="shared" ref="AJ286" si="669">COUNTIF(AJ287:AJ298,"&lt;0")</f>
        <v>0</v>
      </c>
      <c r="AK286" s="637">
        <f t="shared" ref="AK286" si="670">COUNTIF(AK287:AK298,"&lt;0")</f>
        <v>0</v>
      </c>
      <c r="AL286" s="637">
        <f t="shared" ref="AL286" si="671">COUNTIF(AL287:AL298,"&lt;0")</f>
        <v>0</v>
      </c>
      <c r="AM286" s="637">
        <f t="shared" ref="AM286" si="672">COUNTIF(AM287:AM298,"&lt;0")</f>
        <v>0</v>
      </c>
      <c r="AN286" s="637">
        <f t="shared" ref="AN286" si="673">COUNTIF(AN287:AN298,"&lt;0")</f>
        <v>0</v>
      </c>
      <c r="AO286" s="637">
        <f>COUNTIF(AO287:AO298,"&lt;0")</f>
        <v>0</v>
      </c>
      <c r="AP286" s="637">
        <f t="shared" ref="AP286" si="674">COUNTIF(AP287:AP298,"&lt;0")</f>
        <v>0</v>
      </c>
      <c r="AQ286" s="637">
        <f t="shared" ref="AQ286" si="675">COUNTIF(AQ287:AQ298,"&lt;0")</f>
        <v>0</v>
      </c>
      <c r="AR286" s="637">
        <f t="shared" ref="AR286" si="676">COUNTIF(AR287:AR298,"&lt;0")</f>
        <v>0</v>
      </c>
      <c r="AS286" s="637">
        <f t="shared" ref="AS286" si="677">COUNTIF(AS287:AS298,"&lt;0")</f>
        <v>0</v>
      </c>
      <c r="AT286" s="1298"/>
      <c r="AU286" s="1298"/>
    </row>
    <row r="287" spans="1:70" s="229" customFormat="1" ht="15" customHeight="1" thickBot="1">
      <c r="A287" s="587"/>
      <c r="B287" s="575" t="s">
        <v>3066</v>
      </c>
      <c r="C287" s="229" t="s">
        <v>1364</v>
      </c>
      <c r="D287" s="85"/>
      <c r="E287" s="577">
        <v>0</v>
      </c>
      <c r="F287" s="1131"/>
      <c r="G287" s="406" t="s">
        <v>3054</v>
      </c>
      <c r="H287" s="1262" t="s">
        <v>3055</v>
      </c>
      <c r="I287" s="85">
        <v>0</v>
      </c>
      <c r="J287" s="682">
        <v>1</v>
      </c>
      <c r="K287" s="579" t="str">
        <f t="shared" ref="K287:K298" si="678">IF(I287&gt;0,1.1*Q287*E287/1000,"")</f>
        <v/>
      </c>
      <c r="L287" s="580" t="str">
        <f>IF(H287="Select ingredient:","",IF(G287="","",_xlfn.IFNA(VLOOKUP($H287,Ingredient_prices!$E:$U,16,FALSE),0)))</f>
        <v/>
      </c>
      <c r="M287" s="844"/>
      <c r="N287" s="1228">
        <f>$W300</f>
        <v>0</v>
      </c>
      <c r="O287" s="588"/>
      <c r="P287" s="640"/>
      <c r="Q287" s="583">
        <f t="shared" ref="Q287:Q298" si="679">I287/J287</f>
        <v>0</v>
      </c>
      <c r="R287" s="583">
        <f>VLOOKUP($H287,'CO2_emission+%_food_waste'!$A:$K,6,FALSE)*$Q287/100</f>
        <v>0</v>
      </c>
      <c r="S287" s="583">
        <f t="shared" ref="S287:S298" si="680">Q287-R287</f>
        <v>0</v>
      </c>
      <c r="T287" s="583" t="str">
        <f>IF(H287="Select ingredient:","",IF(G287="Select food category:","",_xlfn.IFNA(VLOOKUP($H287,Ingredient_prices!$E:$U,16,FALSE)*$Q287/1000,"not bought")))</f>
        <v/>
      </c>
      <c r="U287" s="583" t="str">
        <f>IF(G287="Select food category:","",_xlfn.IFNA(VLOOKUP($H287,Ingredient_prices!$E:$U,16,FALSE)*$R287/1000,"not bought"))</f>
        <v/>
      </c>
      <c r="V287" s="549">
        <f>VLOOKUP($H287,'CO2_emission+%_food_waste'!$A:$K,4,FALSE)*$Q287</f>
        <v>0</v>
      </c>
      <c r="W287" s="583">
        <f>VLOOKUP($H287,Nutrition_tables!$A:$N,10,FALSE)*$Q287/100</f>
        <v>0</v>
      </c>
      <c r="X287" s="583">
        <f>VLOOKUP($H287,Nutrition_tables!$A:$N,11,FALSE)*$Q287/100</f>
        <v>0</v>
      </c>
      <c r="Y287" s="583">
        <f>VLOOKUP($H287,Nutrition_tables!$A:$N,12,FALSE)*$Q287/100</f>
        <v>0</v>
      </c>
      <c r="Z287" s="583">
        <f>VLOOKUP($H287,Nutrition_tables!$A:$N,14,FALSE)*$Q287/100</f>
        <v>0</v>
      </c>
      <c r="AA287" s="583">
        <f>VLOOKUP($H287,Nutrition_tables!$A:$AF,13,FALSE)*$Q287/100</f>
        <v>0</v>
      </c>
      <c r="AB287" s="549">
        <f>VLOOKUP($H287,Nutrition_tables!$A:$AF,15,FALSE)*$Q287/100</f>
        <v>0</v>
      </c>
      <c r="AC287" s="583">
        <f>VLOOKUP($H287,Nutrition_tables!$A:$AF,16,FALSE)*$Q287/100</f>
        <v>0</v>
      </c>
      <c r="AD287" s="583">
        <f>VLOOKUP($H287,Nutrition_tables!$A:$AF,17,FALSE)*$Q287/100</f>
        <v>0</v>
      </c>
      <c r="AE287" s="583">
        <f>VLOOKUP($H287,Nutrition_tables!$A:$AF,18,FALSE)*$Q287/100</f>
        <v>0</v>
      </c>
      <c r="AF287" s="583">
        <f>VLOOKUP($H287,Nutrition_tables!$A:$AF,19,FALSE)*$Q287/100</f>
        <v>0</v>
      </c>
      <c r="AG287" s="583">
        <f>VLOOKUP($H287,Nutrition_tables!$A:$AF,20,FALSE)*$Q287/100</f>
        <v>0</v>
      </c>
      <c r="AH287" s="583">
        <f>VLOOKUP($H287,Nutrition_tables!$A:$AF,21,FALSE)*$Q287/100</f>
        <v>0</v>
      </c>
      <c r="AI287" s="583">
        <f>VLOOKUP($H287,Nutrition_tables!$A:$AF,22,FALSE)*$Q287/100</f>
        <v>0</v>
      </c>
      <c r="AJ287" s="549">
        <f>VLOOKUP($H287,Nutrition_tables!$A:$AF,23,FALSE)*$Q287/100</f>
        <v>0</v>
      </c>
      <c r="AK287" s="583">
        <f>VLOOKUP($H287,Nutrition_tables!$A:$AF,24,FALSE)*$Q287/100</f>
        <v>0</v>
      </c>
      <c r="AL287" s="583">
        <f>VLOOKUP($H287,Nutrition_tables!$A:$AF,25,FALSE)*$Q287/100</f>
        <v>0</v>
      </c>
      <c r="AM287" s="583">
        <f>VLOOKUP($H287,Nutrition_tables!$A:$AF,26,FALSE)*$Q287/100</f>
        <v>0</v>
      </c>
      <c r="AN287" s="583">
        <f>VLOOKUP($H287,Nutrition_tables!$A:$AF,27,FALSE)*$Q287/100</f>
        <v>0</v>
      </c>
      <c r="AO287" s="583">
        <f>VLOOKUP($H287,Nutrition_tables!$A:$AF,28,FALSE)*$Q287/100</f>
        <v>0</v>
      </c>
      <c r="AP287" s="583">
        <f>VLOOKUP($H287,Nutrition_tables!$A:$AF,29,FALSE)*$Q287/100</f>
        <v>0</v>
      </c>
      <c r="AQ287" s="583">
        <f>VLOOKUP($H287,Nutrition_tables!$A:$AF,30,FALSE)*$Q287/100</f>
        <v>0</v>
      </c>
      <c r="AR287" s="583">
        <f>VLOOKUP($H287,Nutrition_tables!$A:$AF,31,FALSE)*$Q287/100</f>
        <v>0</v>
      </c>
      <c r="AS287" s="549">
        <f>VLOOKUP($H287,Nutrition_tables!$A:$AF,32,FALSE)*$Q287/100</f>
        <v>0</v>
      </c>
      <c r="AT287" s="583" t="str">
        <f>IF(H287="Select ingredient:","",IF(G287="Select food category:","",IFERROR(VLOOKUP($H287,Ingredient_prices!$E:$W,17,FALSE)*$Q287/1000,"not bought")))</f>
        <v/>
      </c>
      <c r="AU287" s="583" t="str">
        <f>IF(H287="Select ingredient:","",IF(G287="Select food category:","",IFERROR(VLOOKUP($H287,Ingredient_prices!$E:$W,18,FALSE)*$Q287/1000,"not bought")))</f>
        <v/>
      </c>
      <c r="AV287" s="583">
        <f t="shared" ref="AV287:AV298" si="681">W287*($Q287-$R287)/($Q287+0.00001)</f>
        <v>0</v>
      </c>
      <c r="AW287" s="583">
        <f t="shared" ref="AW287:AW298" si="682">X287*($Q287-$R287)/($Q287+0.00001)</f>
        <v>0</v>
      </c>
      <c r="AX287" s="583">
        <f t="shared" ref="AX287:AX298" si="683">Y287*($Q287-$R287)/($Q287+0.00001)</f>
        <v>0</v>
      </c>
      <c r="AY287" s="583">
        <f t="shared" ref="AY287:AY298" si="684">Z287*($Q287-$R287)/($Q287+0.00001)</f>
        <v>0</v>
      </c>
      <c r="AZ287" s="583">
        <f t="shared" ref="AZ287:AZ298" si="685">AA287*($Q287-$R287)/($Q287+0.00001)</f>
        <v>0</v>
      </c>
      <c r="BA287" s="583">
        <f t="shared" ref="BA287:BA298" si="686">AB287*($Q287-$R287)/($Q287+0.00001)</f>
        <v>0</v>
      </c>
      <c r="BB287" s="583">
        <f t="shared" ref="BB287:BB298" si="687">AC287*($Q287-$R287)/($Q287+0.00001)</f>
        <v>0</v>
      </c>
      <c r="BC287" s="583">
        <f t="shared" ref="BC287:BC298" si="688">AD287*($Q287-$R287)/($Q287+0.00001)</f>
        <v>0</v>
      </c>
      <c r="BD287" s="583">
        <f t="shared" ref="BD287:BD298" si="689">AE287*($Q287-$R287)/($Q287+0.00001)</f>
        <v>0</v>
      </c>
      <c r="BE287" s="583">
        <f t="shared" ref="BE287:BE298" si="690">AF287*($Q287-$R287)/($Q287+0.00001)</f>
        <v>0</v>
      </c>
      <c r="BF287" s="583">
        <f t="shared" ref="BF287:BF298" si="691">AG287*($Q287-$R287)/($Q287+0.00001)</f>
        <v>0</v>
      </c>
      <c r="BG287" s="583">
        <f t="shared" ref="BG287:BG298" si="692">AH287*($Q287-$R287)/($Q287+0.00001)</f>
        <v>0</v>
      </c>
      <c r="BH287" s="583">
        <f t="shared" ref="BH287:BH298" si="693">AI287*($Q287-$R287)/($Q287+0.00001)</f>
        <v>0</v>
      </c>
      <c r="BI287" s="583">
        <f t="shared" ref="BI287:BI298" si="694">AJ287*($Q287-$R287)/($Q287+0.00001)</f>
        <v>0</v>
      </c>
      <c r="BJ287" s="583">
        <f t="shared" ref="BJ287:BJ298" si="695">AK287*($Q287-$R287)/($Q287+0.00001)</f>
        <v>0</v>
      </c>
      <c r="BK287" s="583">
        <f t="shared" ref="BK287:BK298" si="696">AL287*($Q287-$R287)/($Q287+0.00001)</f>
        <v>0</v>
      </c>
      <c r="BL287" s="583">
        <f t="shared" ref="BL287:BL298" si="697">AM287*($Q287-$R287)/($Q287+0.00001)</f>
        <v>0</v>
      </c>
      <c r="BM287" s="583">
        <f t="shared" ref="BM287:BM298" si="698">AN287*($Q287-$R287)/($Q287+0.00001)</f>
        <v>0</v>
      </c>
      <c r="BN287" s="583">
        <f t="shared" ref="BN287:BN298" si="699">AO287*($Q287-$R287)/($Q287+0.00001)</f>
        <v>0</v>
      </c>
      <c r="BO287" s="583">
        <f t="shared" ref="BO287:BO298" si="700">AP287*($Q287-$R287)/($Q287+0.00001)</f>
        <v>0</v>
      </c>
      <c r="BP287" s="583">
        <f t="shared" ref="BP287:BP298" si="701">AQ287*($Q287-$R287)/($Q287+0.00001)</f>
        <v>0</v>
      </c>
      <c r="BQ287" s="583">
        <f t="shared" ref="BQ287:BQ298" si="702">AR287*($Q287-$R287)/($Q287+0.00001)</f>
        <v>0</v>
      </c>
      <c r="BR287" s="583">
        <f t="shared" ref="BR287:BR298" si="703">AS287*($Q287-$R287)/($Q287+0.00001)</f>
        <v>0</v>
      </c>
    </row>
    <row r="288" spans="1:70" s="229" customFormat="1" ht="15" customHeight="1">
      <c r="A288" s="587"/>
      <c r="D288" s="85"/>
      <c r="E288" s="576" t="str">
        <f>IF(E$287&gt;0,E$287,"")</f>
        <v/>
      </c>
      <c r="F288" s="707"/>
      <c r="G288" s="406" t="s">
        <v>3054</v>
      </c>
      <c r="H288" s="1262" t="s">
        <v>3055</v>
      </c>
      <c r="I288" s="85">
        <v>0</v>
      </c>
      <c r="J288" s="682">
        <v>1</v>
      </c>
      <c r="K288" s="579" t="str">
        <f t="shared" si="678"/>
        <v/>
      </c>
      <c r="L288" s="580" t="str">
        <f>IF(H288="Select ingredient:","",IF(G288="","",_xlfn.IFNA(VLOOKUP($H288,Ingredient_prices!$E:$U,16,FALSE),0)))</f>
        <v/>
      </c>
      <c r="M288" s="844"/>
      <c r="N288" s="844"/>
      <c r="O288" s="588"/>
      <c r="P288" s="640"/>
      <c r="Q288" s="583">
        <f t="shared" si="679"/>
        <v>0</v>
      </c>
      <c r="R288" s="583">
        <f>VLOOKUP($H288,'CO2_emission+%_food_waste'!$A:$K,6,FALSE)*$Q288/100</f>
        <v>0</v>
      </c>
      <c r="S288" s="583">
        <f t="shared" si="680"/>
        <v>0</v>
      </c>
      <c r="T288" s="583" t="str">
        <f>IF(H288="Select ingredient:","",IF(G288="Select food category:","",_xlfn.IFNA(VLOOKUP($H288,Ingredient_prices!$E:$U,16,FALSE)*$Q288/1000,"not bought")))</f>
        <v/>
      </c>
      <c r="U288" s="583" t="str">
        <f>IF(G288="Select food category:","",_xlfn.IFNA(VLOOKUP($H288,Ingredient_prices!$E:$U,16,FALSE)*$R288/1000,"not bought"))</f>
        <v/>
      </c>
      <c r="V288" s="549">
        <f>VLOOKUP($H288,'CO2_emission+%_food_waste'!$A:$K,4,FALSE)*$Q288</f>
        <v>0</v>
      </c>
      <c r="W288" s="583">
        <f>VLOOKUP($H288,Nutrition_tables!$A:$N,10,FALSE)*$Q288/100</f>
        <v>0</v>
      </c>
      <c r="X288" s="583">
        <f>VLOOKUP($H288,Nutrition_tables!$A:$N,11,FALSE)*$Q288/100</f>
        <v>0</v>
      </c>
      <c r="Y288" s="583">
        <f>VLOOKUP($H288,Nutrition_tables!$A:$N,12,FALSE)*$Q288/100</f>
        <v>0</v>
      </c>
      <c r="Z288" s="583">
        <f>VLOOKUP($H288,Nutrition_tables!$A:$N,14,FALSE)*$Q288/100</f>
        <v>0</v>
      </c>
      <c r="AA288" s="583">
        <f>VLOOKUP($H288,Nutrition_tables!$A:$AF,13,FALSE)*$Q288/100</f>
        <v>0</v>
      </c>
      <c r="AB288" s="549">
        <f>VLOOKUP($H288,Nutrition_tables!$A:$AF,15,FALSE)*$Q288/100</f>
        <v>0</v>
      </c>
      <c r="AC288" s="583">
        <f>VLOOKUP($H288,Nutrition_tables!$A:$AF,16,FALSE)*$Q288/100</f>
        <v>0</v>
      </c>
      <c r="AD288" s="583">
        <f>VLOOKUP($H288,Nutrition_tables!$A:$AF,17,FALSE)*$Q288/100</f>
        <v>0</v>
      </c>
      <c r="AE288" s="583">
        <f>VLOOKUP($H288,Nutrition_tables!$A:$AF,18,FALSE)*$Q288/100</f>
        <v>0</v>
      </c>
      <c r="AF288" s="583">
        <f>VLOOKUP($H288,Nutrition_tables!$A:$AF,19,FALSE)*$Q288/100</f>
        <v>0</v>
      </c>
      <c r="AG288" s="583">
        <f>VLOOKUP($H288,Nutrition_tables!$A:$AF,20,FALSE)*$Q288/100</f>
        <v>0</v>
      </c>
      <c r="AH288" s="583">
        <f>VLOOKUP($H288,Nutrition_tables!$A:$AF,21,FALSE)*$Q288/100</f>
        <v>0</v>
      </c>
      <c r="AI288" s="583">
        <f>VLOOKUP($H288,Nutrition_tables!$A:$AF,22,FALSE)*$Q288/100</f>
        <v>0</v>
      </c>
      <c r="AJ288" s="549">
        <f>VLOOKUP($H288,Nutrition_tables!$A:$AF,23,FALSE)*$Q288/100</f>
        <v>0</v>
      </c>
      <c r="AK288" s="583">
        <f>VLOOKUP($H288,Nutrition_tables!$A:$AF,24,FALSE)*$Q288/100</f>
        <v>0</v>
      </c>
      <c r="AL288" s="583">
        <f>VLOOKUP($H288,Nutrition_tables!$A:$AF,25,FALSE)*$Q288/100</f>
        <v>0</v>
      </c>
      <c r="AM288" s="583">
        <f>VLOOKUP($H288,Nutrition_tables!$A:$AF,26,FALSE)*$Q288/100</f>
        <v>0</v>
      </c>
      <c r="AN288" s="583">
        <f>VLOOKUP($H288,Nutrition_tables!$A:$AF,27,FALSE)*$Q288/100</f>
        <v>0</v>
      </c>
      <c r="AO288" s="583">
        <f>VLOOKUP($H288,Nutrition_tables!$A:$AF,28,FALSE)*$Q288/100</f>
        <v>0</v>
      </c>
      <c r="AP288" s="583">
        <f>VLOOKUP($H288,Nutrition_tables!$A:$AF,29,FALSE)*$Q288/100</f>
        <v>0</v>
      </c>
      <c r="AQ288" s="583">
        <f>VLOOKUP($H288,Nutrition_tables!$A:$AF,30,FALSE)*$Q288/100</f>
        <v>0</v>
      </c>
      <c r="AR288" s="583">
        <f>VLOOKUP($H288,Nutrition_tables!$A:$AF,31,FALSE)*$Q288/100</f>
        <v>0</v>
      </c>
      <c r="AS288" s="549">
        <f>VLOOKUP($H288,Nutrition_tables!$A:$AF,32,FALSE)*$Q288/100</f>
        <v>0</v>
      </c>
      <c r="AT288" s="583" t="str">
        <f>IF(H288="Select ingredient:","",IF(G288="Select food category:","",IFERROR(VLOOKUP($H288,Ingredient_prices!$E:$W,17,FALSE)*$Q288/1000,"not bought")))</f>
        <v/>
      </c>
      <c r="AU288" s="583" t="str">
        <f>IF(H288="Select ingredient:","",IF(G288="Select food category:","",IFERROR(VLOOKUP($H288,Ingredient_prices!$E:$W,18,FALSE)*$Q288/1000,"not bought")))</f>
        <v/>
      </c>
      <c r="AV288" s="583">
        <f t="shared" si="681"/>
        <v>0</v>
      </c>
      <c r="AW288" s="583">
        <f t="shared" si="682"/>
        <v>0</v>
      </c>
      <c r="AX288" s="583">
        <f t="shared" si="683"/>
        <v>0</v>
      </c>
      <c r="AY288" s="583">
        <f t="shared" si="684"/>
        <v>0</v>
      </c>
      <c r="AZ288" s="583">
        <f t="shared" si="685"/>
        <v>0</v>
      </c>
      <c r="BA288" s="583">
        <f t="shared" si="686"/>
        <v>0</v>
      </c>
      <c r="BB288" s="583">
        <f t="shared" si="687"/>
        <v>0</v>
      </c>
      <c r="BC288" s="583">
        <f t="shared" si="688"/>
        <v>0</v>
      </c>
      <c r="BD288" s="583">
        <f t="shared" si="689"/>
        <v>0</v>
      </c>
      <c r="BE288" s="583">
        <f t="shared" si="690"/>
        <v>0</v>
      </c>
      <c r="BF288" s="583">
        <f t="shared" si="691"/>
        <v>0</v>
      </c>
      <c r="BG288" s="583">
        <f t="shared" si="692"/>
        <v>0</v>
      </c>
      <c r="BH288" s="583">
        <f t="shared" si="693"/>
        <v>0</v>
      </c>
      <c r="BI288" s="583">
        <f t="shared" si="694"/>
        <v>0</v>
      </c>
      <c r="BJ288" s="583">
        <f t="shared" si="695"/>
        <v>0</v>
      </c>
      <c r="BK288" s="583">
        <f t="shared" si="696"/>
        <v>0</v>
      </c>
      <c r="BL288" s="583">
        <f t="shared" si="697"/>
        <v>0</v>
      </c>
      <c r="BM288" s="583">
        <f t="shared" si="698"/>
        <v>0</v>
      </c>
      <c r="BN288" s="583">
        <f t="shared" si="699"/>
        <v>0</v>
      </c>
      <c r="BO288" s="583">
        <f t="shared" si="700"/>
        <v>0</v>
      </c>
      <c r="BP288" s="583">
        <f t="shared" si="701"/>
        <v>0</v>
      </c>
      <c r="BQ288" s="583">
        <f t="shared" si="702"/>
        <v>0</v>
      </c>
      <c r="BR288" s="583">
        <f t="shared" si="703"/>
        <v>0</v>
      </c>
    </row>
    <row r="289" spans="1:70" s="229" customFormat="1" ht="15" customHeight="1">
      <c r="A289" s="587"/>
      <c r="D289" s="85"/>
      <c r="E289" s="576" t="str">
        <f t="shared" ref="E289:E298" si="704">IF(E$287&gt;0,E$287,"")</f>
        <v/>
      </c>
      <c r="F289" s="707"/>
      <c r="G289" s="406" t="s">
        <v>3054</v>
      </c>
      <c r="H289" s="1262" t="s">
        <v>3055</v>
      </c>
      <c r="I289" s="85">
        <v>0</v>
      </c>
      <c r="J289" s="682">
        <v>1</v>
      </c>
      <c r="K289" s="579" t="str">
        <f t="shared" si="678"/>
        <v/>
      </c>
      <c r="L289" s="580" t="str">
        <f>IF(H289="Select ingredient:","",IF(G289="","",_xlfn.IFNA(VLOOKUP($H289,Ingredient_prices!$E:$U,16,FALSE),0)))</f>
        <v/>
      </c>
      <c r="M289" s="844"/>
      <c r="N289" s="844"/>
      <c r="O289" s="588"/>
      <c r="P289" s="640"/>
      <c r="Q289" s="583">
        <f t="shared" si="679"/>
        <v>0</v>
      </c>
      <c r="R289" s="583">
        <f>VLOOKUP($H289,'CO2_emission+%_food_waste'!$A:$K,6,FALSE)*$Q289/100</f>
        <v>0</v>
      </c>
      <c r="S289" s="583">
        <f t="shared" si="680"/>
        <v>0</v>
      </c>
      <c r="T289" s="583" t="str">
        <f>IF(H289="Select ingredient:","",IF(G289="Select food category:","",_xlfn.IFNA(VLOOKUP($H289,Ingredient_prices!$E:$U,16,FALSE)*$Q289/1000,"not bought")))</f>
        <v/>
      </c>
      <c r="U289" s="583" t="str">
        <f>IF(G289="Select food category:","",_xlfn.IFNA(VLOOKUP($H289,Ingredient_prices!$E:$U,16,FALSE)*$R289/1000,"not bought"))</f>
        <v/>
      </c>
      <c r="V289" s="549">
        <f>VLOOKUP($H289,'CO2_emission+%_food_waste'!$A:$K,4,FALSE)*$Q289</f>
        <v>0</v>
      </c>
      <c r="W289" s="583">
        <f>VLOOKUP($H289,Nutrition_tables!$A:$N,10,FALSE)*$Q289/100</f>
        <v>0</v>
      </c>
      <c r="X289" s="583">
        <f>VLOOKUP($H289,Nutrition_tables!$A:$N,11,FALSE)*$Q289/100</f>
        <v>0</v>
      </c>
      <c r="Y289" s="583">
        <f>VLOOKUP($H289,Nutrition_tables!$A:$N,12,FALSE)*$Q289/100</f>
        <v>0</v>
      </c>
      <c r="Z289" s="583">
        <f>VLOOKUP($H289,Nutrition_tables!$A:$N,14,FALSE)*$Q289/100</f>
        <v>0</v>
      </c>
      <c r="AA289" s="583">
        <f>VLOOKUP($H289,Nutrition_tables!$A:$AF,13,FALSE)*$Q289/100</f>
        <v>0</v>
      </c>
      <c r="AB289" s="549">
        <f>VLOOKUP($H289,Nutrition_tables!$A:$AF,15,FALSE)*$Q289/100</f>
        <v>0</v>
      </c>
      <c r="AC289" s="583">
        <f>VLOOKUP($H289,Nutrition_tables!$A:$AF,16,FALSE)*$Q289/100</f>
        <v>0</v>
      </c>
      <c r="AD289" s="583">
        <f>VLOOKUP($H289,Nutrition_tables!$A:$AF,17,FALSE)*$Q289/100</f>
        <v>0</v>
      </c>
      <c r="AE289" s="583">
        <f>VLOOKUP($H289,Nutrition_tables!$A:$AF,18,FALSE)*$Q289/100</f>
        <v>0</v>
      </c>
      <c r="AF289" s="583">
        <f>VLOOKUP($H289,Nutrition_tables!$A:$AF,19,FALSE)*$Q289/100</f>
        <v>0</v>
      </c>
      <c r="AG289" s="583">
        <f>VLOOKUP($H289,Nutrition_tables!$A:$AF,20,FALSE)*$Q289/100</f>
        <v>0</v>
      </c>
      <c r="AH289" s="583">
        <f>VLOOKUP($H289,Nutrition_tables!$A:$AF,21,FALSE)*$Q289/100</f>
        <v>0</v>
      </c>
      <c r="AI289" s="583">
        <f>VLOOKUP($H289,Nutrition_tables!$A:$AF,22,FALSE)*$Q289/100</f>
        <v>0</v>
      </c>
      <c r="AJ289" s="549">
        <f>VLOOKUP($H289,Nutrition_tables!$A:$AF,23,FALSE)*$Q289/100</f>
        <v>0</v>
      </c>
      <c r="AK289" s="583">
        <f>VLOOKUP($H289,Nutrition_tables!$A:$AF,24,FALSE)*$Q289/100</f>
        <v>0</v>
      </c>
      <c r="AL289" s="583">
        <f>VLOOKUP($H289,Nutrition_tables!$A:$AF,25,FALSE)*$Q289/100</f>
        <v>0</v>
      </c>
      <c r="AM289" s="583">
        <f>VLOOKUP($H289,Nutrition_tables!$A:$AF,26,FALSE)*$Q289/100</f>
        <v>0</v>
      </c>
      <c r="AN289" s="583">
        <f>VLOOKUP($H289,Nutrition_tables!$A:$AF,27,FALSE)*$Q289/100</f>
        <v>0</v>
      </c>
      <c r="AO289" s="583">
        <f>VLOOKUP($H289,Nutrition_tables!$A:$AF,28,FALSE)*$Q289/100</f>
        <v>0</v>
      </c>
      <c r="AP289" s="583">
        <f>VLOOKUP($H289,Nutrition_tables!$A:$AF,29,FALSE)*$Q289/100</f>
        <v>0</v>
      </c>
      <c r="AQ289" s="583">
        <f>VLOOKUP($H289,Nutrition_tables!$A:$AF,30,FALSE)*$Q289/100</f>
        <v>0</v>
      </c>
      <c r="AR289" s="583">
        <f>VLOOKUP($H289,Nutrition_tables!$A:$AF,31,FALSE)*$Q289/100</f>
        <v>0</v>
      </c>
      <c r="AS289" s="549">
        <f>VLOOKUP($H289,Nutrition_tables!$A:$AF,32,FALSE)*$Q289/100</f>
        <v>0</v>
      </c>
      <c r="AT289" s="583" t="str">
        <f>IF(H289="Select ingredient:","",IF(G289="Select food category:","",IFERROR(VLOOKUP($H289,Ingredient_prices!$E:$W,17,FALSE)*$Q289/1000,"not bought")))</f>
        <v/>
      </c>
      <c r="AU289" s="583" t="str">
        <f>IF(H289="Select ingredient:","",IF(G289="Select food category:","",IFERROR(VLOOKUP($H289,Ingredient_prices!$E:$W,18,FALSE)*$Q289/1000,"not bought")))</f>
        <v/>
      </c>
      <c r="AV289" s="583">
        <f t="shared" si="681"/>
        <v>0</v>
      </c>
      <c r="AW289" s="583">
        <f t="shared" si="682"/>
        <v>0</v>
      </c>
      <c r="AX289" s="583">
        <f t="shared" si="683"/>
        <v>0</v>
      </c>
      <c r="AY289" s="583">
        <f t="shared" si="684"/>
        <v>0</v>
      </c>
      <c r="AZ289" s="583">
        <f t="shared" si="685"/>
        <v>0</v>
      </c>
      <c r="BA289" s="583">
        <f t="shared" si="686"/>
        <v>0</v>
      </c>
      <c r="BB289" s="583">
        <f t="shared" si="687"/>
        <v>0</v>
      </c>
      <c r="BC289" s="583">
        <f t="shared" si="688"/>
        <v>0</v>
      </c>
      <c r="BD289" s="583">
        <f t="shared" si="689"/>
        <v>0</v>
      </c>
      <c r="BE289" s="583">
        <f t="shared" si="690"/>
        <v>0</v>
      </c>
      <c r="BF289" s="583">
        <f t="shared" si="691"/>
        <v>0</v>
      </c>
      <c r="BG289" s="583">
        <f t="shared" si="692"/>
        <v>0</v>
      </c>
      <c r="BH289" s="583">
        <f t="shared" si="693"/>
        <v>0</v>
      </c>
      <c r="BI289" s="583">
        <f t="shared" si="694"/>
        <v>0</v>
      </c>
      <c r="BJ289" s="583">
        <f t="shared" si="695"/>
        <v>0</v>
      </c>
      <c r="BK289" s="583">
        <f t="shared" si="696"/>
        <v>0</v>
      </c>
      <c r="BL289" s="583">
        <f t="shared" si="697"/>
        <v>0</v>
      </c>
      <c r="BM289" s="583">
        <f t="shared" si="698"/>
        <v>0</v>
      </c>
      <c r="BN289" s="583">
        <f t="shared" si="699"/>
        <v>0</v>
      </c>
      <c r="BO289" s="583">
        <f t="shared" si="700"/>
        <v>0</v>
      </c>
      <c r="BP289" s="583">
        <f t="shared" si="701"/>
        <v>0</v>
      </c>
      <c r="BQ289" s="583">
        <f t="shared" si="702"/>
        <v>0</v>
      </c>
      <c r="BR289" s="583">
        <f t="shared" si="703"/>
        <v>0</v>
      </c>
    </row>
    <row r="290" spans="1:70" s="229" customFormat="1" ht="15" customHeight="1">
      <c r="A290" s="587"/>
      <c r="D290" s="85"/>
      <c r="E290" s="576" t="str">
        <f t="shared" si="704"/>
        <v/>
      </c>
      <c r="F290" s="707"/>
      <c r="G290" s="406" t="s">
        <v>3054</v>
      </c>
      <c r="H290" s="1262" t="s">
        <v>3055</v>
      </c>
      <c r="I290" s="85">
        <v>0</v>
      </c>
      <c r="J290" s="682">
        <v>1</v>
      </c>
      <c r="K290" s="579" t="str">
        <f t="shared" si="678"/>
        <v/>
      </c>
      <c r="L290" s="580" t="str">
        <f>IF(H290="Select ingredient:","",IF(G290="","",_xlfn.IFNA(VLOOKUP($H290,Ingredient_prices!$E:$U,16,FALSE),0)))</f>
        <v/>
      </c>
      <c r="M290" s="844"/>
      <c r="N290" s="844"/>
      <c r="O290" s="588"/>
      <c r="P290" s="640"/>
      <c r="Q290" s="583">
        <f t="shared" si="679"/>
        <v>0</v>
      </c>
      <c r="R290" s="583">
        <f>VLOOKUP($H290,'CO2_emission+%_food_waste'!$A:$K,6,FALSE)*$Q290/100</f>
        <v>0</v>
      </c>
      <c r="S290" s="583">
        <f t="shared" si="680"/>
        <v>0</v>
      </c>
      <c r="T290" s="583" t="str">
        <f>IF(H290="Select ingredient:","",IF(G290="Select food category:","",_xlfn.IFNA(VLOOKUP($H290,Ingredient_prices!$E:$U,16,FALSE)*$Q290/1000,"not bought")))</f>
        <v/>
      </c>
      <c r="U290" s="583" t="str">
        <f>IF(G290="Select food category:","",_xlfn.IFNA(VLOOKUP($H290,Ingredient_prices!$E:$U,16,FALSE)*$R290/1000,"not bought"))</f>
        <v/>
      </c>
      <c r="V290" s="549">
        <f>VLOOKUP($H290,'CO2_emission+%_food_waste'!$A:$K,4,FALSE)*$Q290</f>
        <v>0</v>
      </c>
      <c r="W290" s="583">
        <f>VLOOKUP($H290,Nutrition_tables!$A:$N,10,FALSE)*$Q290/100</f>
        <v>0</v>
      </c>
      <c r="X290" s="583">
        <f>VLOOKUP($H290,Nutrition_tables!$A:$N,11,FALSE)*$Q290/100</f>
        <v>0</v>
      </c>
      <c r="Y290" s="583">
        <f>VLOOKUP($H290,Nutrition_tables!$A:$N,12,FALSE)*$Q290/100</f>
        <v>0</v>
      </c>
      <c r="Z290" s="583">
        <f>VLOOKUP($H290,Nutrition_tables!$A:$N,14,FALSE)*$Q290/100</f>
        <v>0</v>
      </c>
      <c r="AA290" s="583">
        <f>VLOOKUP($H290,Nutrition_tables!$A:$AF,13,FALSE)*$Q290/100</f>
        <v>0</v>
      </c>
      <c r="AB290" s="549">
        <f>VLOOKUP($H290,Nutrition_tables!$A:$AF,15,FALSE)*$Q290/100</f>
        <v>0</v>
      </c>
      <c r="AC290" s="583">
        <f>VLOOKUP($H290,Nutrition_tables!$A:$AF,16,FALSE)*$Q290/100</f>
        <v>0</v>
      </c>
      <c r="AD290" s="583">
        <f>VLOOKUP($H290,Nutrition_tables!$A:$AF,17,FALSE)*$Q290/100</f>
        <v>0</v>
      </c>
      <c r="AE290" s="583">
        <f>VLOOKUP($H290,Nutrition_tables!$A:$AF,18,FALSE)*$Q290/100</f>
        <v>0</v>
      </c>
      <c r="AF290" s="583">
        <f>VLOOKUP($H290,Nutrition_tables!$A:$AF,19,FALSE)*$Q290/100</f>
        <v>0</v>
      </c>
      <c r="AG290" s="583">
        <f>VLOOKUP($H290,Nutrition_tables!$A:$AF,20,FALSE)*$Q290/100</f>
        <v>0</v>
      </c>
      <c r="AH290" s="583">
        <f>VLOOKUP($H290,Nutrition_tables!$A:$AF,21,FALSE)*$Q290/100</f>
        <v>0</v>
      </c>
      <c r="AI290" s="583">
        <f>VLOOKUP($H290,Nutrition_tables!$A:$AF,22,FALSE)*$Q290/100</f>
        <v>0</v>
      </c>
      <c r="AJ290" s="549">
        <f>VLOOKUP($H290,Nutrition_tables!$A:$AF,23,FALSE)*$Q290/100</f>
        <v>0</v>
      </c>
      <c r="AK290" s="583">
        <f>VLOOKUP($H290,Nutrition_tables!$A:$AF,24,FALSE)*$Q290/100</f>
        <v>0</v>
      </c>
      <c r="AL290" s="583">
        <f>VLOOKUP($H290,Nutrition_tables!$A:$AF,25,FALSE)*$Q290/100</f>
        <v>0</v>
      </c>
      <c r="AM290" s="583">
        <f>VLOOKUP($H290,Nutrition_tables!$A:$AF,26,FALSE)*$Q290/100</f>
        <v>0</v>
      </c>
      <c r="AN290" s="583">
        <f>VLOOKUP($H290,Nutrition_tables!$A:$AF,27,FALSE)*$Q290/100</f>
        <v>0</v>
      </c>
      <c r="AO290" s="583">
        <f>VLOOKUP($H290,Nutrition_tables!$A:$AF,28,FALSE)*$Q290/100</f>
        <v>0</v>
      </c>
      <c r="AP290" s="583">
        <f>VLOOKUP($H290,Nutrition_tables!$A:$AF,29,FALSE)*$Q290/100</f>
        <v>0</v>
      </c>
      <c r="AQ290" s="583">
        <f>VLOOKUP($H290,Nutrition_tables!$A:$AF,30,FALSE)*$Q290/100</f>
        <v>0</v>
      </c>
      <c r="AR290" s="583">
        <f>VLOOKUP($H290,Nutrition_tables!$A:$AF,31,FALSE)*$Q290/100</f>
        <v>0</v>
      </c>
      <c r="AS290" s="549">
        <f>VLOOKUP($H290,Nutrition_tables!$A:$AF,32,FALSE)*$Q290/100</f>
        <v>0</v>
      </c>
      <c r="AT290" s="583" t="str">
        <f>IF(H290="Select ingredient:","",IF(G290="Select food category:","",IFERROR(VLOOKUP($H290,Ingredient_prices!$E:$W,17,FALSE)*$Q290/1000,"not bought")))</f>
        <v/>
      </c>
      <c r="AU290" s="583" t="str">
        <f>IF(H290="Select ingredient:","",IF(G290="Select food category:","",IFERROR(VLOOKUP($H290,Ingredient_prices!$E:$W,18,FALSE)*$Q290/1000,"not bought")))</f>
        <v/>
      </c>
      <c r="AV290" s="583">
        <f t="shared" si="681"/>
        <v>0</v>
      </c>
      <c r="AW290" s="583">
        <f t="shared" si="682"/>
        <v>0</v>
      </c>
      <c r="AX290" s="583">
        <f t="shared" si="683"/>
        <v>0</v>
      </c>
      <c r="AY290" s="583">
        <f t="shared" si="684"/>
        <v>0</v>
      </c>
      <c r="AZ290" s="583">
        <f t="shared" si="685"/>
        <v>0</v>
      </c>
      <c r="BA290" s="583">
        <f t="shared" si="686"/>
        <v>0</v>
      </c>
      <c r="BB290" s="583">
        <f t="shared" si="687"/>
        <v>0</v>
      </c>
      <c r="BC290" s="583">
        <f t="shared" si="688"/>
        <v>0</v>
      </c>
      <c r="BD290" s="583">
        <f t="shared" si="689"/>
        <v>0</v>
      </c>
      <c r="BE290" s="583">
        <f t="shared" si="690"/>
        <v>0</v>
      </c>
      <c r="BF290" s="583">
        <f t="shared" si="691"/>
        <v>0</v>
      </c>
      <c r="BG290" s="583">
        <f t="shared" si="692"/>
        <v>0</v>
      </c>
      <c r="BH290" s="583">
        <f t="shared" si="693"/>
        <v>0</v>
      </c>
      <c r="BI290" s="583">
        <f t="shared" si="694"/>
        <v>0</v>
      </c>
      <c r="BJ290" s="583">
        <f t="shared" si="695"/>
        <v>0</v>
      </c>
      <c r="BK290" s="583">
        <f t="shared" si="696"/>
        <v>0</v>
      </c>
      <c r="BL290" s="583">
        <f t="shared" si="697"/>
        <v>0</v>
      </c>
      <c r="BM290" s="583">
        <f t="shared" si="698"/>
        <v>0</v>
      </c>
      <c r="BN290" s="583">
        <f t="shared" si="699"/>
        <v>0</v>
      </c>
      <c r="BO290" s="583">
        <f t="shared" si="700"/>
        <v>0</v>
      </c>
      <c r="BP290" s="583">
        <f t="shared" si="701"/>
        <v>0</v>
      </c>
      <c r="BQ290" s="583">
        <f t="shared" si="702"/>
        <v>0</v>
      </c>
      <c r="BR290" s="583">
        <f t="shared" si="703"/>
        <v>0</v>
      </c>
    </row>
    <row r="291" spans="1:70" s="229" customFormat="1" ht="15" customHeight="1">
      <c r="A291" s="587"/>
      <c r="D291" s="85"/>
      <c r="E291" s="576" t="str">
        <f t="shared" si="704"/>
        <v/>
      </c>
      <c r="F291" s="707"/>
      <c r="G291" s="406" t="s">
        <v>3054</v>
      </c>
      <c r="H291" s="1262" t="s">
        <v>3055</v>
      </c>
      <c r="I291" s="85">
        <v>0</v>
      </c>
      <c r="J291" s="682">
        <v>1</v>
      </c>
      <c r="K291" s="579" t="str">
        <f t="shared" si="678"/>
        <v/>
      </c>
      <c r="L291" s="580" t="str">
        <f>IF(H291="Select ingredient:","",IF(G291="","",_xlfn.IFNA(VLOOKUP($H291,Ingredient_prices!$E:$U,16,FALSE),0)))</f>
        <v/>
      </c>
      <c r="M291" s="844"/>
      <c r="N291" s="844"/>
      <c r="O291" s="588"/>
      <c r="P291" s="640"/>
      <c r="Q291" s="583">
        <f t="shared" si="679"/>
        <v>0</v>
      </c>
      <c r="R291" s="583">
        <f>VLOOKUP($H291,'CO2_emission+%_food_waste'!$A:$K,6,FALSE)*$Q291/100</f>
        <v>0</v>
      </c>
      <c r="S291" s="583">
        <f t="shared" si="680"/>
        <v>0</v>
      </c>
      <c r="T291" s="583" t="str">
        <f>IF(H291="Select ingredient:","",IF(G291="Select food category:","",_xlfn.IFNA(VLOOKUP($H291,Ingredient_prices!$E:$U,16,FALSE)*$Q291/1000,"not bought")))</f>
        <v/>
      </c>
      <c r="U291" s="583" t="str">
        <f>IF(G291="Select food category:","",_xlfn.IFNA(VLOOKUP($H291,Ingredient_prices!$E:$U,16,FALSE)*$R291/1000,"not bought"))</f>
        <v/>
      </c>
      <c r="V291" s="549">
        <f>VLOOKUP($H291,'CO2_emission+%_food_waste'!$A:$K,4,FALSE)*$Q291</f>
        <v>0</v>
      </c>
      <c r="W291" s="583">
        <f>VLOOKUP($H291,Nutrition_tables!$A:$N,10,FALSE)*$Q291/100</f>
        <v>0</v>
      </c>
      <c r="X291" s="583">
        <f>VLOOKUP($H291,Nutrition_tables!$A:$N,11,FALSE)*$Q291/100</f>
        <v>0</v>
      </c>
      <c r="Y291" s="583">
        <f>VLOOKUP($H291,Nutrition_tables!$A:$N,12,FALSE)*$Q291/100</f>
        <v>0</v>
      </c>
      <c r="Z291" s="583">
        <f>VLOOKUP($H291,Nutrition_tables!$A:$N,14,FALSE)*$Q291/100</f>
        <v>0</v>
      </c>
      <c r="AA291" s="583">
        <f>VLOOKUP($H291,Nutrition_tables!$A:$AF,13,FALSE)*$Q291/100</f>
        <v>0</v>
      </c>
      <c r="AB291" s="549">
        <f>VLOOKUP($H291,Nutrition_tables!$A:$AF,15,FALSE)*$Q291/100</f>
        <v>0</v>
      </c>
      <c r="AC291" s="583">
        <f>VLOOKUP($H291,Nutrition_tables!$A:$AF,16,FALSE)*$Q291/100</f>
        <v>0</v>
      </c>
      <c r="AD291" s="583">
        <f>VLOOKUP($H291,Nutrition_tables!$A:$AF,17,FALSE)*$Q291/100</f>
        <v>0</v>
      </c>
      <c r="AE291" s="583">
        <f>VLOOKUP($H291,Nutrition_tables!$A:$AF,18,FALSE)*$Q291/100</f>
        <v>0</v>
      </c>
      <c r="AF291" s="583">
        <f>VLOOKUP($H291,Nutrition_tables!$A:$AF,19,FALSE)*$Q291/100</f>
        <v>0</v>
      </c>
      <c r="AG291" s="583">
        <f>VLOOKUP($H291,Nutrition_tables!$A:$AF,20,FALSE)*$Q291/100</f>
        <v>0</v>
      </c>
      <c r="AH291" s="583">
        <f>VLOOKUP($H291,Nutrition_tables!$A:$AF,21,FALSE)*$Q291/100</f>
        <v>0</v>
      </c>
      <c r="AI291" s="583">
        <f>VLOOKUP($H291,Nutrition_tables!$A:$AF,22,FALSE)*$Q291/100</f>
        <v>0</v>
      </c>
      <c r="AJ291" s="549">
        <f>VLOOKUP($H291,Nutrition_tables!$A:$AF,23,FALSE)*$Q291/100</f>
        <v>0</v>
      </c>
      <c r="AK291" s="583">
        <f>VLOOKUP($H291,Nutrition_tables!$A:$AF,24,FALSE)*$Q291/100</f>
        <v>0</v>
      </c>
      <c r="AL291" s="583">
        <f>VLOOKUP($H291,Nutrition_tables!$A:$AF,25,FALSE)*$Q291/100</f>
        <v>0</v>
      </c>
      <c r="AM291" s="583">
        <f>VLOOKUP($H291,Nutrition_tables!$A:$AF,26,FALSE)*$Q291/100</f>
        <v>0</v>
      </c>
      <c r="AN291" s="583">
        <f>VLOOKUP($H291,Nutrition_tables!$A:$AF,27,FALSE)*$Q291/100</f>
        <v>0</v>
      </c>
      <c r="AO291" s="583">
        <f>VLOOKUP($H291,Nutrition_tables!$A:$AF,28,FALSE)*$Q291/100</f>
        <v>0</v>
      </c>
      <c r="AP291" s="583">
        <f>VLOOKUP($H291,Nutrition_tables!$A:$AF,29,FALSE)*$Q291/100</f>
        <v>0</v>
      </c>
      <c r="AQ291" s="583">
        <f>VLOOKUP($H291,Nutrition_tables!$A:$AF,30,FALSE)*$Q291/100</f>
        <v>0</v>
      </c>
      <c r="AR291" s="583">
        <f>VLOOKUP($H291,Nutrition_tables!$A:$AF,31,FALSE)*$Q291/100</f>
        <v>0</v>
      </c>
      <c r="AS291" s="549">
        <f>VLOOKUP($H291,Nutrition_tables!$A:$AF,32,FALSE)*$Q291/100</f>
        <v>0</v>
      </c>
      <c r="AT291" s="583" t="str">
        <f>IF(H291="Select ingredient:","",IF(G291="Select food category:","",IFERROR(VLOOKUP($H291,Ingredient_prices!$E:$W,17,FALSE)*$Q291/1000,"not bought")))</f>
        <v/>
      </c>
      <c r="AU291" s="583" t="str">
        <f>IF(H291="Select ingredient:","",IF(G291="Select food category:","",IFERROR(VLOOKUP($H291,Ingredient_prices!$E:$W,18,FALSE)*$Q291/1000,"not bought")))</f>
        <v/>
      </c>
      <c r="AV291" s="583">
        <f t="shared" si="681"/>
        <v>0</v>
      </c>
      <c r="AW291" s="583">
        <f t="shared" si="682"/>
        <v>0</v>
      </c>
      <c r="AX291" s="583">
        <f t="shared" si="683"/>
        <v>0</v>
      </c>
      <c r="AY291" s="583">
        <f t="shared" si="684"/>
        <v>0</v>
      </c>
      <c r="AZ291" s="583">
        <f t="shared" si="685"/>
        <v>0</v>
      </c>
      <c r="BA291" s="583">
        <f t="shared" si="686"/>
        <v>0</v>
      </c>
      <c r="BB291" s="583">
        <f t="shared" si="687"/>
        <v>0</v>
      </c>
      <c r="BC291" s="583">
        <f t="shared" si="688"/>
        <v>0</v>
      </c>
      <c r="BD291" s="583">
        <f t="shared" si="689"/>
        <v>0</v>
      </c>
      <c r="BE291" s="583">
        <f t="shared" si="690"/>
        <v>0</v>
      </c>
      <c r="BF291" s="583">
        <f t="shared" si="691"/>
        <v>0</v>
      </c>
      <c r="BG291" s="583">
        <f t="shared" si="692"/>
        <v>0</v>
      </c>
      <c r="BH291" s="583">
        <f t="shared" si="693"/>
        <v>0</v>
      </c>
      <c r="BI291" s="583">
        <f t="shared" si="694"/>
        <v>0</v>
      </c>
      <c r="BJ291" s="583">
        <f t="shared" si="695"/>
        <v>0</v>
      </c>
      <c r="BK291" s="583">
        <f t="shared" si="696"/>
        <v>0</v>
      </c>
      <c r="BL291" s="583">
        <f t="shared" si="697"/>
        <v>0</v>
      </c>
      <c r="BM291" s="583">
        <f t="shared" si="698"/>
        <v>0</v>
      </c>
      <c r="BN291" s="583">
        <f t="shared" si="699"/>
        <v>0</v>
      </c>
      <c r="BO291" s="583">
        <f t="shared" si="700"/>
        <v>0</v>
      </c>
      <c r="BP291" s="583">
        <f t="shared" si="701"/>
        <v>0</v>
      </c>
      <c r="BQ291" s="583">
        <f t="shared" si="702"/>
        <v>0</v>
      </c>
      <c r="BR291" s="583">
        <f t="shared" si="703"/>
        <v>0</v>
      </c>
    </row>
    <row r="292" spans="1:70" s="229" customFormat="1" ht="15" customHeight="1">
      <c r="A292" s="587"/>
      <c r="D292" s="85"/>
      <c r="E292" s="576" t="str">
        <f t="shared" si="704"/>
        <v/>
      </c>
      <c r="F292" s="707"/>
      <c r="G292" s="406" t="s">
        <v>3054</v>
      </c>
      <c r="H292" s="1262" t="s">
        <v>3055</v>
      </c>
      <c r="I292" s="85">
        <v>0</v>
      </c>
      <c r="J292" s="682">
        <v>1</v>
      </c>
      <c r="K292" s="579" t="str">
        <f t="shared" si="678"/>
        <v/>
      </c>
      <c r="L292" s="580" t="str">
        <f>IF(H292="Select ingredient:","",IF(G292="","",_xlfn.IFNA(VLOOKUP($H292,Ingredient_prices!$E:$U,16,FALSE),0)))</f>
        <v/>
      </c>
      <c r="M292" s="844"/>
      <c r="N292" s="844"/>
      <c r="O292" s="588"/>
      <c r="P292" s="640"/>
      <c r="Q292" s="583">
        <f t="shared" si="679"/>
        <v>0</v>
      </c>
      <c r="R292" s="583">
        <f>VLOOKUP($H292,'CO2_emission+%_food_waste'!$A:$K,6,FALSE)*$Q292/100</f>
        <v>0</v>
      </c>
      <c r="S292" s="583">
        <f t="shared" si="680"/>
        <v>0</v>
      </c>
      <c r="T292" s="583" t="str">
        <f>IF(H292="Select ingredient:","",IF(G292="Select food category:","",_xlfn.IFNA(VLOOKUP($H292,Ingredient_prices!$E:$U,16,FALSE)*$Q292/1000,"not bought")))</f>
        <v/>
      </c>
      <c r="U292" s="583" t="str">
        <f>IF(G292="Select food category:","",_xlfn.IFNA(VLOOKUP($H292,Ingredient_prices!$E:$U,16,FALSE)*$R292/1000,"not bought"))</f>
        <v/>
      </c>
      <c r="V292" s="549">
        <f>VLOOKUP($H292,'CO2_emission+%_food_waste'!$A:$K,4,FALSE)*$Q292</f>
        <v>0</v>
      </c>
      <c r="W292" s="583">
        <f>VLOOKUP($H292,Nutrition_tables!$A:$N,10,FALSE)*$Q292/100</f>
        <v>0</v>
      </c>
      <c r="X292" s="583">
        <f>VLOOKUP($H292,Nutrition_tables!$A:$N,11,FALSE)*$Q292/100</f>
        <v>0</v>
      </c>
      <c r="Y292" s="583">
        <f>VLOOKUP($H292,Nutrition_tables!$A:$N,12,FALSE)*$Q292/100</f>
        <v>0</v>
      </c>
      <c r="Z292" s="583">
        <f>VLOOKUP($H292,Nutrition_tables!$A:$N,14,FALSE)*$Q292/100</f>
        <v>0</v>
      </c>
      <c r="AA292" s="583">
        <f>VLOOKUP($H292,Nutrition_tables!$A:$AF,13,FALSE)*$Q292/100</f>
        <v>0</v>
      </c>
      <c r="AB292" s="549">
        <f>VLOOKUP($H292,Nutrition_tables!$A:$AF,15,FALSE)*$Q292/100</f>
        <v>0</v>
      </c>
      <c r="AC292" s="583">
        <f>VLOOKUP($H292,Nutrition_tables!$A:$AF,16,FALSE)*$Q292/100</f>
        <v>0</v>
      </c>
      <c r="AD292" s="583">
        <f>VLOOKUP($H292,Nutrition_tables!$A:$AF,17,FALSE)*$Q292/100</f>
        <v>0</v>
      </c>
      <c r="AE292" s="583">
        <f>VLOOKUP($H292,Nutrition_tables!$A:$AF,18,FALSE)*$Q292/100</f>
        <v>0</v>
      </c>
      <c r="AF292" s="583">
        <f>VLOOKUP($H292,Nutrition_tables!$A:$AF,19,FALSE)*$Q292/100</f>
        <v>0</v>
      </c>
      <c r="AG292" s="583">
        <f>VLOOKUP($H292,Nutrition_tables!$A:$AF,20,FALSE)*$Q292/100</f>
        <v>0</v>
      </c>
      <c r="AH292" s="583">
        <f>VLOOKUP($H292,Nutrition_tables!$A:$AF,21,FALSE)*$Q292/100</f>
        <v>0</v>
      </c>
      <c r="AI292" s="583">
        <f>VLOOKUP($H292,Nutrition_tables!$A:$AF,22,FALSE)*$Q292/100</f>
        <v>0</v>
      </c>
      <c r="AJ292" s="549">
        <f>VLOOKUP($H292,Nutrition_tables!$A:$AF,23,FALSE)*$Q292/100</f>
        <v>0</v>
      </c>
      <c r="AK292" s="583">
        <f>VLOOKUP($H292,Nutrition_tables!$A:$AF,24,FALSE)*$Q292/100</f>
        <v>0</v>
      </c>
      <c r="AL292" s="583">
        <f>VLOOKUP($H292,Nutrition_tables!$A:$AF,25,FALSE)*$Q292/100</f>
        <v>0</v>
      </c>
      <c r="AM292" s="583">
        <f>VLOOKUP($H292,Nutrition_tables!$A:$AF,26,FALSE)*$Q292/100</f>
        <v>0</v>
      </c>
      <c r="AN292" s="583">
        <f>VLOOKUP($H292,Nutrition_tables!$A:$AF,27,FALSE)*$Q292/100</f>
        <v>0</v>
      </c>
      <c r="AO292" s="583">
        <f>VLOOKUP($H292,Nutrition_tables!$A:$AF,28,FALSE)*$Q292/100</f>
        <v>0</v>
      </c>
      <c r="AP292" s="583">
        <f>VLOOKUP($H292,Nutrition_tables!$A:$AF,29,FALSE)*$Q292/100</f>
        <v>0</v>
      </c>
      <c r="AQ292" s="583">
        <f>VLOOKUP($H292,Nutrition_tables!$A:$AF,30,FALSE)*$Q292/100</f>
        <v>0</v>
      </c>
      <c r="AR292" s="583">
        <f>VLOOKUP($H292,Nutrition_tables!$A:$AF,31,FALSE)*$Q292/100</f>
        <v>0</v>
      </c>
      <c r="AS292" s="549">
        <f>VLOOKUP($H292,Nutrition_tables!$A:$AF,32,FALSE)*$Q292/100</f>
        <v>0</v>
      </c>
      <c r="AT292" s="583" t="str">
        <f>IF(H292="Select ingredient:","",IF(G292="Select food category:","",IFERROR(VLOOKUP($H292,Ingredient_prices!$E:$W,17,FALSE)*$Q292/1000,"not bought")))</f>
        <v/>
      </c>
      <c r="AU292" s="583" t="str">
        <f>IF(H292="Select ingredient:","",IF(G292="Select food category:","",IFERROR(VLOOKUP($H292,Ingredient_prices!$E:$W,18,FALSE)*$Q292/1000,"not bought")))</f>
        <v/>
      </c>
      <c r="AV292" s="583">
        <f t="shared" si="681"/>
        <v>0</v>
      </c>
      <c r="AW292" s="583">
        <f t="shared" si="682"/>
        <v>0</v>
      </c>
      <c r="AX292" s="583">
        <f t="shared" si="683"/>
        <v>0</v>
      </c>
      <c r="AY292" s="583">
        <f t="shared" si="684"/>
        <v>0</v>
      </c>
      <c r="AZ292" s="583">
        <f t="shared" si="685"/>
        <v>0</v>
      </c>
      <c r="BA292" s="583">
        <f t="shared" si="686"/>
        <v>0</v>
      </c>
      <c r="BB292" s="583">
        <f t="shared" si="687"/>
        <v>0</v>
      </c>
      <c r="BC292" s="583">
        <f t="shared" si="688"/>
        <v>0</v>
      </c>
      <c r="BD292" s="583">
        <f t="shared" si="689"/>
        <v>0</v>
      </c>
      <c r="BE292" s="583">
        <f t="shared" si="690"/>
        <v>0</v>
      </c>
      <c r="BF292" s="583">
        <f t="shared" si="691"/>
        <v>0</v>
      </c>
      <c r="BG292" s="583">
        <f t="shared" si="692"/>
        <v>0</v>
      </c>
      <c r="BH292" s="583">
        <f t="shared" si="693"/>
        <v>0</v>
      </c>
      <c r="BI292" s="583">
        <f t="shared" si="694"/>
        <v>0</v>
      </c>
      <c r="BJ292" s="583">
        <f t="shared" si="695"/>
        <v>0</v>
      </c>
      <c r="BK292" s="583">
        <f t="shared" si="696"/>
        <v>0</v>
      </c>
      <c r="BL292" s="583">
        <f t="shared" si="697"/>
        <v>0</v>
      </c>
      <c r="BM292" s="583">
        <f t="shared" si="698"/>
        <v>0</v>
      </c>
      <c r="BN292" s="583">
        <f t="shared" si="699"/>
        <v>0</v>
      </c>
      <c r="BO292" s="583">
        <f t="shared" si="700"/>
        <v>0</v>
      </c>
      <c r="BP292" s="583">
        <f t="shared" si="701"/>
        <v>0</v>
      </c>
      <c r="BQ292" s="583">
        <f t="shared" si="702"/>
        <v>0</v>
      </c>
      <c r="BR292" s="583">
        <f t="shared" si="703"/>
        <v>0</v>
      </c>
    </row>
    <row r="293" spans="1:70" s="229" customFormat="1" ht="15" customHeight="1">
      <c r="A293" s="587"/>
      <c r="D293" s="85"/>
      <c r="E293" s="576" t="str">
        <f t="shared" si="704"/>
        <v/>
      </c>
      <c r="F293" s="707"/>
      <c r="G293" s="406" t="s">
        <v>3054</v>
      </c>
      <c r="H293" s="1262" t="s">
        <v>3055</v>
      </c>
      <c r="I293" s="85">
        <v>0</v>
      </c>
      <c r="J293" s="682">
        <v>1</v>
      </c>
      <c r="K293" s="579" t="str">
        <f t="shared" si="678"/>
        <v/>
      </c>
      <c r="L293" s="580" t="str">
        <f>IF(H293="Select ingredient:","",IF(G293="","",_xlfn.IFNA(VLOOKUP($H293,Ingredient_prices!$E:$U,16,FALSE),0)))</f>
        <v/>
      </c>
      <c r="M293" s="844"/>
      <c r="N293" s="844"/>
      <c r="O293" s="588"/>
      <c r="P293" s="640"/>
      <c r="Q293" s="583">
        <f t="shared" si="679"/>
        <v>0</v>
      </c>
      <c r="R293" s="583">
        <f>VLOOKUP($H293,'CO2_emission+%_food_waste'!$A:$K,6,FALSE)*$Q293/100</f>
        <v>0</v>
      </c>
      <c r="S293" s="583">
        <f t="shared" si="680"/>
        <v>0</v>
      </c>
      <c r="T293" s="583" t="str">
        <f>IF(H293="Select ingredient:","",IF(G293="Select food category:","",_xlfn.IFNA(VLOOKUP($H293,Ingredient_prices!$E:$U,16,FALSE)*$Q293/1000,"not bought")))</f>
        <v/>
      </c>
      <c r="U293" s="583" t="str">
        <f>IF(G293="Select food category:","",_xlfn.IFNA(VLOOKUP($H293,Ingredient_prices!$E:$U,16,FALSE)*$R293/1000,"not bought"))</f>
        <v/>
      </c>
      <c r="V293" s="549">
        <f>VLOOKUP($H293,'CO2_emission+%_food_waste'!$A:$K,4,FALSE)*$Q293</f>
        <v>0</v>
      </c>
      <c r="W293" s="583">
        <f>VLOOKUP($H293,Nutrition_tables!$A:$N,10,FALSE)*$Q293/100</f>
        <v>0</v>
      </c>
      <c r="X293" s="583">
        <f>VLOOKUP($H293,Nutrition_tables!$A:$N,11,FALSE)*$Q293/100</f>
        <v>0</v>
      </c>
      <c r="Y293" s="583">
        <f>VLOOKUP($H293,Nutrition_tables!$A:$N,12,FALSE)*$Q293/100</f>
        <v>0</v>
      </c>
      <c r="Z293" s="583">
        <f>VLOOKUP($H293,Nutrition_tables!$A:$N,14,FALSE)*$Q293/100</f>
        <v>0</v>
      </c>
      <c r="AA293" s="583">
        <f>VLOOKUP($H293,Nutrition_tables!$A:$AF,13,FALSE)*$Q293/100</f>
        <v>0</v>
      </c>
      <c r="AB293" s="549">
        <f>VLOOKUP($H293,Nutrition_tables!$A:$AF,15,FALSE)*$Q293/100</f>
        <v>0</v>
      </c>
      <c r="AC293" s="583">
        <f>VLOOKUP($H293,Nutrition_tables!$A:$AF,16,FALSE)*$Q293/100</f>
        <v>0</v>
      </c>
      <c r="AD293" s="583">
        <f>VLOOKUP($H293,Nutrition_tables!$A:$AF,17,FALSE)*$Q293/100</f>
        <v>0</v>
      </c>
      <c r="AE293" s="583">
        <f>VLOOKUP($H293,Nutrition_tables!$A:$AF,18,FALSE)*$Q293/100</f>
        <v>0</v>
      </c>
      <c r="AF293" s="583">
        <f>VLOOKUP($H293,Nutrition_tables!$A:$AF,19,FALSE)*$Q293/100</f>
        <v>0</v>
      </c>
      <c r="AG293" s="583">
        <f>VLOOKUP($H293,Nutrition_tables!$A:$AF,20,FALSE)*$Q293/100</f>
        <v>0</v>
      </c>
      <c r="AH293" s="583">
        <f>VLOOKUP($H293,Nutrition_tables!$A:$AF,21,FALSE)*$Q293/100</f>
        <v>0</v>
      </c>
      <c r="AI293" s="583">
        <f>VLOOKUP($H293,Nutrition_tables!$A:$AF,22,FALSE)*$Q293/100</f>
        <v>0</v>
      </c>
      <c r="AJ293" s="549">
        <f>VLOOKUP($H293,Nutrition_tables!$A:$AF,23,FALSE)*$Q293/100</f>
        <v>0</v>
      </c>
      <c r="AK293" s="583">
        <f>VLOOKUP($H293,Nutrition_tables!$A:$AF,24,FALSE)*$Q293/100</f>
        <v>0</v>
      </c>
      <c r="AL293" s="583">
        <f>VLOOKUP($H293,Nutrition_tables!$A:$AF,25,FALSE)*$Q293/100</f>
        <v>0</v>
      </c>
      <c r="AM293" s="583">
        <f>VLOOKUP($H293,Nutrition_tables!$A:$AF,26,FALSE)*$Q293/100</f>
        <v>0</v>
      </c>
      <c r="AN293" s="583">
        <f>VLOOKUP($H293,Nutrition_tables!$A:$AF,27,FALSE)*$Q293/100</f>
        <v>0</v>
      </c>
      <c r="AO293" s="583">
        <f>VLOOKUP($H293,Nutrition_tables!$A:$AF,28,FALSE)*$Q293/100</f>
        <v>0</v>
      </c>
      <c r="AP293" s="583">
        <f>VLOOKUP($H293,Nutrition_tables!$A:$AF,29,FALSE)*$Q293/100</f>
        <v>0</v>
      </c>
      <c r="AQ293" s="583">
        <f>VLOOKUP($H293,Nutrition_tables!$A:$AF,30,FALSE)*$Q293/100</f>
        <v>0</v>
      </c>
      <c r="AR293" s="583">
        <f>VLOOKUP($H293,Nutrition_tables!$A:$AF,31,FALSE)*$Q293/100</f>
        <v>0</v>
      </c>
      <c r="AS293" s="549">
        <f>VLOOKUP($H293,Nutrition_tables!$A:$AF,32,FALSE)*$Q293/100</f>
        <v>0</v>
      </c>
      <c r="AT293" s="583" t="str">
        <f>IF(H293="Select ingredient:","",IF(G293="Select food category:","",IFERROR(VLOOKUP($H293,Ingredient_prices!$E:$W,17,FALSE)*$Q293/1000,"not bought")))</f>
        <v/>
      </c>
      <c r="AU293" s="583" t="str">
        <f>IF(H293="Select ingredient:","",IF(G293="Select food category:","",IFERROR(VLOOKUP($H293,Ingredient_prices!$E:$W,18,FALSE)*$Q293/1000,"not bought")))</f>
        <v/>
      </c>
      <c r="AV293" s="583">
        <f t="shared" si="681"/>
        <v>0</v>
      </c>
      <c r="AW293" s="583">
        <f t="shared" si="682"/>
        <v>0</v>
      </c>
      <c r="AX293" s="583">
        <f t="shared" si="683"/>
        <v>0</v>
      </c>
      <c r="AY293" s="583">
        <f t="shared" si="684"/>
        <v>0</v>
      </c>
      <c r="AZ293" s="583">
        <f t="shared" si="685"/>
        <v>0</v>
      </c>
      <c r="BA293" s="583">
        <f t="shared" si="686"/>
        <v>0</v>
      </c>
      <c r="BB293" s="583">
        <f t="shared" si="687"/>
        <v>0</v>
      </c>
      <c r="BC293" s="583">
        <f t="shared" si="688"/>
        <v>0</v>
      </c>
      <c r="BD293" s="583">
        <f t="shared" si="689"/>
        <v>0</v>
      </c>
      <c r="BE293" s="583">
        <f t="shared" si="690"/>
        <v>0</v>
      </c>
      <c r="BF293" s="583">
        <f t="shared" si="691"/>
        <v>0</v>
      </c>
      <c r="BG293" s="583">
        <f t="shared" si="692"/>
        <v>0</v>
      </c>
      <c r="BH293" s="583">
        <f t="shared" si="693"/>
        <v>0</v>
      </c>
      <c r="BI293" s="583">
        <f t="shared" si="694"/>
        <v>0</v>
      </c>
      <c r="BJ293" s="583">
        <f t="shared" si="695"/>
        <v>0</v>
      </c>
      <c r="BK293" s="583">
        <f t="shared" si="696"/>
        <v>0</v>
      </c>
      <c r="BL293" s="583">
        <f t="shared" si="697"/>
        <v>0</v>
      </c>
      <c r="BM293" s="583">
        <f t="shared" si="698"/>
        <v>0</v>
      </c>
      <c r="BN293" s="583">
        <f t="shared" si="699"/>
        <v>0</v>
      </c>
      <c r="BO293" s="583">
        <f t="shared" si="700"/>
        <v>0</v>
      </c>
      <c r="BP293" s="583">
        <f t="shared" si="701"/>
        <v>0</v>
      </c>
      <c r="BQ293" s="583">
        <f t="shared" si="702"/>
        <v>0</v>
      </c>
      <c r="BR293" s="583">
        <f t="shared" si="703"/>
        <v>0</v>
      </c>
    </row>
    <row r="294" spans="1:70" s="229" customFormat="1" ht="15" customHeight="1">
      <c r="A294" s="587"/>
      <c r="D294" s="85"/>
      <c r="E294" s="576" t="str">
        <f t="shared" si="704"/>
        <v/>
      </c>
      <c r="F294" s="707"/>
      <c r="G294" s="406" t="s">
        <v>3054</v>
      </c>
      <c r="H294" s="1262" t="s">
        <v>3055</v>
      </c>
      <c r="I294" s="85">
        <v>0</v>
      </c>
      <c r="J294" s="682">
        <v>1</v>
      </c>
      <c r="K294" s="579" t="str">
        <f t="shared" si="678"/>
        <v/>
      </c>
      <c r="L294" s="580" t="str">
        <f>IF(H294="Select ingredient:","",IF(G294="","",_xlfn.IFNA(VLOOKUP($H294,Ingredient_prices!$E:$U,16,FALSE),0)))</f>
        <v/>
      </c>
      <c r="M294" s="844"/>
      <c r="N294" s="844"/>
      <c r="O294" s="588"/>
      <c r="P294" s="640"/>
      <c r="Q294" s="583">
        <f t="shared" si="679"/>
        <v>0</v>
      </c>
      <c r="R294" s="583">
        <f>VLOOKUP($H294,'CO2_emission+%_food_waste'!$A:$K,6,FALSE)*$Q294/100</f>
        <v>0</v>
      </c>
      <c r="S294" s="583">
        <f t="shared" si="680"/>
        <v>0</v>
      </c>
      <c r="T294" s="583" t="str">
        <f>IF(H294="Select ingredient:","",IF(G294="Select food category:","",_xlfn.IFNA(VLOOKUP($H294,Ingredient_prices!$E:$U,16,FALSE)*$Q294/1000,"not bought")))</f>
        <v/>
      </c>
      <c r="U294" s="583" t="str">
        <f>IF(G294="Select food category:","",_xlfn.IFNA(VLOOKUP($H294,Ingredient_prices!$E:$U,16,FALSE)*$R294/1000,"not bought"))</f>
        <v/>
      </c>
      <c r="V294" s="549">
        <f>VLOOKUP($H294,'CO2_emission+%_food_waste'!$A:$K,4,FALSE)*$Q294</f>
        <v>0</v>
      </c>
      <c r="W294" s="583">
        <f>VLOOKUP($H294,Nutrition_tables!$A:$N,10,FALSE)*$Q294/100</f>
        <v>0</v>
      </c>
      <c r="X294" s="583">
        <f>VLOOKUP($H294,Nutrition_tables!$A:$N,11,FALSE)*$Q294/100</f>
        <v>0</v>
      </c>
      <c r="Y294" s="583">
        <f>VLOOKUP($H294,Nutrition_tables!$A:$N,12,FALSE)*$Q294/100</f>
        <v>0</v>
      </c>
      <c r="Z294" s="583">
        <f>VLOOKUP($H294,Nutrition_tables!$A:$N,14,FALSE)*$Q294/100</f>
        <v>0</v>
      </c>
      <c r="AA294" s="583">
        <f>VLOOKUP($H294,Nutrition_tables!$A:$AF,13,FALSE)*$Q294/100</f>
        <v>0</v>
      </c>
      <c r="AB294" s="549">
        <f>VLOOKUP($H294,Nutrition_tables!$A:$AF,15,FALSE)*$Q294/100</f>
        <v>0</v>
      </c>
      <c r="AC294" s="583">
        <f>VLOOKUP($H294,Nutrition_tables!$A:$AF,16,FALSE)*$Q294/100</f>
        <v>0</v>
      </c>
      <c r="AD294" s="583">
        <f>VLOOKUP($H294,Nutrition_tables!$A:$AF,17,FALSE)*$Q294/100</f>
        <v>0</v>
      </c>
      <c r="AE294" s="583">
        <f>VLOOKUP($H294,Nutrition_tables!$A:$AF,18,FALSE)*$Q294/100</f>
        <v>0</v>
      </c>
      <c r="AF294" s="583">
        <f>VLOOKUP($H294,Nutrition_tables!$A:$AF,19,FALSE)*$Q294/100</f>
        <v>0</v>
      </c>
      <c r="AG294" s="583">
        <f>VLOOKUP($H294,Nutrition_tables!$A:$AF,20,FALSE)*$Q294/100</f>
        <v>0</v>
      </c>
      <c r="AH294" s="583">
        <f>VLOOKUP($H294,Nutrition_tables!$A:$AF,21,FALSE)*$Q294/100</f>
        <v>0</v>
      </c>
      <c r="AI294" s="583">
        <f>VLOOKUP($H294,Nutrition_tables!$A:$AF,22,FALSE)*$Q294/100</f>
        <v>0</v>
      </c>
      <c r="AJ294" s="549">
        <f>VLOOKUP($H294,Nutrition_tables!$A:$AF,23,FALSE)*$Q294/100</f>
        <v>0</v>
      </c>
      <c r="AK294" s="583">
        <f>VLOOKUP($H294,Nutrition_tables!$A:$AF,24,FALSE)*$Q294/100</f>
        <v>0</v>
      </c>
      <c r="AL294" s="583">
        <f>VLOOKUP($H294,Nutrition_tables!$A:$AF,25,FALSE)*$Q294/100</f>
        <v>0</v>
      </c>
      <c r="AM294" s="583">
        <f>VLOOKUP($H294,Nutrition_tables!$A:$AF,26,FALSE)*$Q294/100</f>
        <v>0</v>
      </c>
      <c r="AN294" s="583">
        <f>VLOOKUP($H294,Nutrition_tables!$A:$AF,27,FALSE)*$Q294/100</f>
        <v>0</v>
      </c>
      <c r="AO294" s="583">
        <f>VLOOKUP($H294,Nutrition_tables!$A:$AF,28,FALSE)*$Q294/100</f>
        <v>0</v>
      </c>
      <c r="AP294" s="583">
        <f>VLOOKUP($H294,Nutrition_tables!$A:$AF,29,FALSE)*$Q294/100</f>
        <v>0</v>
      </c>
      <c r="AQ294" s="583">
        <f>VLOOKUP($H294,Nutrition_tables!$A:$AF,30,FALSE)*$Q294/100</f>
        <v>0</v>
      </c>
      <c r="AR294" s="583">
        <f>VLOOKUP($H294,Nutrition_tables!$A:$AF,31,FALSE)*$Q294/100</f>
        <v>0</v>
      </c>
      <c r="AS294" s="549">
        <f>VLOOKUP($H294,Nutrition_tables!$A:$AF,32,FALSE)*$Q294/100</f>
        <v>0</v>
      </c>
      <c r="AT294" s="583" t="str">
        <f>IF(H294="Select ingredient:","",IF(G294="Select food category:","",IFERROR(VLOOKUP($H294,Ingredient_prices!$E:$W,17,FALSE)*$Q294/1000,"not bought")))</f>
        <v/>
      </c>
      <c r="AU294" s="583" t="str">
        <f>IF(H294="Select ingredient:","",IF(G294="Select food category:","",IFERROR(VLOOKUP($H294,Ingredient_prices!$E:$W,18,FALSE)*$Q294/1000,"not bought")))</f>
        <v/>
      </c>
      <c r="AV294" s="583">
        <f t="shared" si="681"/>
        <v>0</v>
      </c>
      <c r="AW294" s="583">
        <f t="shared" si="682"/>
        <v>0</v>
      </c>
      <c r="AX294" s="583">
        <f t="shared" si="683"/>
        <v>0</v>
      </c>
      <c r="AY294" s="583">
        <f t="shared" si="684"/>
        <v>0</v>
      </c>
      <c r="AZ294" s="583">
        <f t="shared" si="685"/>
        <v>0</v>
      </c>
      <c r="BA294" s="583">
        <f t="shared" si="686"/>
        <v>0</v>
      </c>
      <c r="BB294" s="583">
        <f t="shared" si="687"/>
        <v>0</v>
      </c>
      <c r="BC294" s="583">
        <f t="shared" si="688"/>
        <v>0</v>
      </c>
      <c r="BD294" s="583">
        <f t="shared" si="689"/>
        <v>0</v>
      </c>
      <c r="BE294" s="583">
        <f t="shared" si="690"/>
        <v>0</v>
      </c>
      <c r="BF294" s="583">
        <f t="shared" si="691"/>
        <v>0</v>
      </c>
      <c r="BG294" s="583">
        <f t="shared" si="692"/>
        <v>0</v>
      </c>
      <c r="BH294" s="583">
        <f t="shared" si="693"/>
        <v>0</v>
      </c>
      <c r="BI294" s="583">
        <f t="shared" si="694"/>
        <v>0</v>
      </c>
      <c r="BJ294" s="583">
        <f t="shared" si="695"/>
        <v>0</v>
      </c>
      <c r="BK294" s="583">
        <f t="shared" si="696"/>
        <v>0</v>
      </c>
      <c r="BL294" s="583">
        <f t="shared" si="697"/>
        <v>0</v>
      </c>
      <c r="BM294" s="583">
        <f t="shared" si="698"/>
        <v>0</v>
      </c>
      <c r="BN294" s="583">
        <f t="shared" si="699"/>
        <v>0</v>
      </c>
      <c r="BO294" s="583">
        <f t="shared" si="700"/>
        <v>0</v>
      </c>
      <c r="BP294" s="583">
        <f t="shared" si="701"/>
        <v>0</v>
      </c>
      <c r="BQ294" s="583">
        <f t="shared" si="702"/>
        <v>0</v>
      </c>
      <c r="BR294" s="583">
        <f t="shared" si="703"/>
        <v>0</v>
      </c>
    </row>
    <row r="295" spans="1:70" s="229" customFormat="1" ht="15" customHeight="1">
      <c r="A295" s="587"/>
      <c r="D295" s="85"/>
      <c r="E295" s="576" t="str">
        <f t="shared" si="704"/>
        <v/>
      </c>
      <c r="F295" s="707"/>
      <c r="G295" s="406" t="s">
        <v>3054</v>
      </c>
      <c r="H295" s="1262" t="s">
        <v>3055</v>
      </c>
      <c r="I295" s="85">
        <v>0</v>
      </c>
      <c r="J295" s="682">
        <v>1</v>
      </c>
      <c r="K295" s="579" t="str">
        <f t="shared" si="678"/>
        <v/>
      </c>
      <c r="L295" s="580" t="str">
        <f>IF(H295="Select ingredient:","",IF(G295="","",_xlfn.IFNA(VLOOKUP($H295,Ingredient_prices!$E:$U,16,FALSE),0)))</f>
        <v/>
      </c>
      <c r="M295" s="844"/>
      <c r="N295" s="844"/>
      <c r="O295" s="588"/>
      <c r="P295" s="640"/>
      <c r="Q295" s="583">
        <f t="shared" si="679"/>
        <v>0</v>
      </c>
      <c r="R295" s="583">
        <f>VLOOKUP($H295,'CO2_emission+%_food_waste'!$A:$K,6,FALSE)*$Q295/100</f>
        <v>0</v>
      </c>
      <c r="S295" s="583">
        <f t="shared" si="680"/>
        <v>0</v>
      </c>
      <c r="T295" s="583" t="str">
        <f>IF(H295="Select ingredient:","",IF(G295="Select food category:","",_xlfn.IFNA(VLOOKUP($H295,Ingredient_prices!$E:$U,16,FALSE)*$Q295/1000,"not bought")))</f>
        <v/>
      </c>
      <c r="U295" s="583" t="str">
        <f>IF(G295="Select food category:","",_xlfn.IFNA(VLOOKUP($H295,Ingredient_prices!$E:$U,16,FALSE)*$R295/1000,"not bought"))</f>
        <v/>
      </c>
      <c r="V295" s="549">
        <f>VLOOKUP($H295,'CO2_emission+%_food_waste'!$A:$K,4,FALSE)*$Q295</f>
        <v>0</v>
      </c>
      <c r="W295" s="583">
        <f>VLOOKUP($H295,Nutrition_tables!$A:$N,10,FALSE)*$Q295/100</f>
        <v>0</v>
      </c>
      <c r="X295" s="583">
        <f>VLOOKUP($H295,Nutrition_tables!$A:$N,11,FALSE)*$Q295/100</f>
        <v>0</v>
      </c>
      <c r="Y295" s="583">
        <f>VLOOKUP($H295,Nutrition_tables!$A:$N,12,FALSE)*$Q295/100</f>
        <v>0</v>
      </c>
      <c r="Z295" s="583">
        <f>VLOOKUP($H295,Nutrition_tables!$A:$N,14,FALSE)*$Q295/100</f>
        <v>0</v>
      </c>
      <c r="AA295" s="583">
        <f>VLOOKUP($H295,Nutrition_tables!$A:$AF,13,FALSE)*$Q295/100</f>
        <v>0</v>
      </c>
      <c r="AB295" s="549">
        <f>VLOOKUP($H295,Nutrition_tables!$A:$AF,15,FALSE)*$Q295/100</f>
        <v>0</v>
      </c>
      <c r="AC295" s="583">
        <f>VLOOKUP($H295,Nutrition_tables!$A:$AF,16,FALSE)*$Q295/100</f>
        <v>0</v>
      </c>
      <c r="AD295" s="583">
        <f>VLOOKUP($H295,Nutrition_tables!$A:$AF,17,FALSE)*$Q295/100</f>
        <v>0</v>
      </c>
      <c r="AE295" s="583">
        <f>VLOOKUP($H295,Nutrition_tables!$A:$AF,18,FALSE)*$Q295/100</f>
        <v>0</v>
      </c>
      <c r="AF295" s="583">
        <f>VLOOKUP($H295,Nutrition_tables!$A:$AF,19,FALSE)*$Q295/100</f>
        <v>0</v>
      </c>
      <c r="AG295" s="583">
        <f>VLOOKUP($H295,Nutrition_tables!$A:$AF,20,FALSE)*$Q295/100</f>
        <v>0</v>
      </c>
      <c r="AH295" s="583">
        <f>VLOOKUP($H295,Nutrition_tables!$A:$AF,21,FALSE)*$Q295/100</f>
        <v>0</v>
      </c>
      <c r="AI295" s="583">
        <f>VLOOKUP($H295,Nutrition_tables!$A:$AF,22,FALSE)*$Q295/100</f>
        <v>0</v>
      </c>
      <c r="AJ295" s="549">
        <f>VLOOKUP($H295,Nutrition_tables!$A:$AF,23,FALSE)*$Q295/100</f>
        <v>0</v>
      </c>
      <c r="AK295" s="583">
        <f>VLOOKUP($H295,Nutrition_tables!$A:$AF,24,FALSE)*$Q295/100</f>
        <v>0</v>
      </c>
      <c r="AL295" s="583">
        <f>VLOOKUP($H295,Nutrition_tables!$A:$AF,25,FALSE)*$Q295/100</f>
        <v>0</v>
      </c>
      <c r="AM295" s="583">
        <f>VLOOKUP($H295,Nutrition_tables!$A:$AF,26,FALSE)*$Q295/100</f>
        <v>0</v>
      </c>
      <c r="AN295" s="583">
        <f>VLOOKUP($H295,Nutrition_tables!$A:$AF,27,FALSE)*$Q295/100</f>
        <v>0</v>
      </c>
      <c r="AO295" s="583">
        <f>VLOOKUP($H295,Nutrition_tables!$A:$AF,28,FALSE)*$Q295/100</f>
        <v>0</v>
      </c>
      <c r="AP295" s="583">
        <f>VLOOKUP($H295,Nutrition_tables!$A:$AF,29,FALSE)*$Q295/100</f>
        <v>0</v>
      </c>
      <c r="AQ295" s="583">
        <f>VLOOKUP($H295,Nutrition_tables!$A:$AF,30,FALSE)*$Q295/100</f>
        <v>0</v>
      </c>
      <c r="AR295" s="583">
        <f>VLOOKUP($H295,Nutrition_tables!$A:$AF,31,FALSE)*$Q295/100</f>
        <v>0</v>
      </c>
      <c r="AS295" s="549">
        <f>VLOOKUP($H295,Nutrition_tables!$A:$AF,32,FALSE)*$Q295/100</f>
        <v>0</v>
      </c>
      <c r="AT295" s="583" t="str">
        <f>IF(H295="Select ingredient:","",IF(G295="Select food category:","",IFERROR(VLOOKUP($H295,Ingredient_prices!$E:$W,17,FALSE)*$Q295/1000,"not bought")))</f>
        <v/>
      </c>
      <c r="AU295" s="583" t="str">
        <f>IF(H295="Select ingredient:","",IF(G295="Select food category:","",IFERROR(VLOOKUP($H295,Ingredient_prices!$E:$W,18,FALSE)*$Q295/1000,"not bought")))</f>
        <v/>
      </c>
      <c r="AV295" s="583">
        <f t="shared" si="681"/>
        <v>0</v>
      </c>
      <c r="AW295" s="583">
        <f t="shared" si="682"/>
        <v>0</v>
      </c>
      <c r="AX295" s="583">
        <f t="shared" si="683"/>
        <v>0</v>
      </c>
      <c r="AY295" s="583">
        <f t="shared" si="684"/>
        <v>0</v>
      </c>
      <c r="AZ295" s="583">
        <f t="shared" si="685"/>
        <v>0</v>
      </c>
      <c r="BA295" s="583">
        <f t="shared" si="686"/>
        <v>0</v>
      </c>
      <c r="BB295" s="583">
        <f t="shared" si="687"/>
        <v>0</v>
      </c>
      <c r="BC295" s="583">
        <f t="shared" si="688"/>
        <v>0</v>
      </c>
      <c r="BD295" s="583">
        <f t="shared" si="689"/>
        <v>0</v>
      </c>
      <c r="BE295" s="583">
        <f t="shared" si="690"/>
        <v>0</v>
      </c>
      <c r="BF295" s="583">
        <f t="shared" si="691"/>
        <v>0</v>
      </c>
      <c r="BG295" s="583">
        <f t="shared" si="692"/>
        <v>0</v>
      </c>
      <c r="BH295" s="583">
        <f t="shared" si="693"/>
        <v>0</v>
      </c>
      <c r="BI295" s="583">
        <f t="shared" si="694"/>
        <v>0</v>
      </c>
      <c r="BJ295" s="583">
        <f t="shared" si="695"/>
        <v>0</v>
      </c>
      <c r="BK295" s="583">
        <f t="shared" si="696"/>
        <v>0</v>
      </c>
      <c r="BL295" s="583">
        <f t="shared" si="697"/>
        <v>0</v>
      </c>
      <c r="BM295" s="583">
        <f t="shared" si="698"/>
        <v>0</v>
      </c>
      <c r="BN295" s="583">
        <f t="shared" si="699"/>
        <v>0</v>
      </c>
      <c r="BO295" s="583">
        <f t="shared" si="700"/>
        <v>0</v>
      </c>
      <c r="BP295" s="583">
        <f t="shared" si="701"/>
        <v>0</v>
      </c>
      <c r="BQ295" s="583">
        <f t="shared" si="702"/>
        <v>0</v>
      </c>
      <c r="BR295" s="583">
        <f t="shared" si="703"/>
        <v>0</v>
      </c>
    </row>
    <row r="296" spans="1:70" s="229" customFormat="1" ht="15" customHeight="1">
      <c r="A296" s="587"/>
      <c r="D296" s="85"/>
      <c r="E296" s="576" t="str">
        <f t="shared" si="704"/>
        <v/>
      </c>
      <c r="F296" s="707"/>
      <c r="G296" s="406" t="s">
        <v>3054</v>
      </c>
      <c r="H296" s="1262" t="s">
        <v>3055</v>
      </c>
      <c r="I296" s="85">
        <v>0</v>
      </c>
      <c r="J296" s="682">
        <v>1</v>
      </c>
      <c r="K296" s="579" t="str">
        <f t="shared" si="678"/>
        <v/>
      </c>
      <c r="L296" s="580" t="str">
        <f>IF(H296="Select ingredient:","",IF(G296="","",_xlfn.IFNA(VLOOKUP($H296,Ingredient_prices!$E:$U,16,FALSE),0)))</f>
        <v/>
      </c>
      <c r="M296" s="844"/>
      <c r="N296" s="844"/>
      <c r="O296" s="588"/>
      <c r="P296" s="640"/>
      <c r="Q296" s="583">
        <f t="shared" si="679"/>
        <v>0</v>
      </c>
      <c r="R296" s="583">
        <f>VLOOKUP($H296,'CO2_emission+%_food_waste'!$A:$K,6,FALSE)*$Q296/100</f>
        <v>0</v>
      </c>
      <c r="S296" s="583">
        <f t="shared" si="680"/>
        <v>0</v>
      </c>
      <c r="T296" s="583" t="str">
        <f>IF(H296="Select ingredient:","",IF(G296="Select food category:","",_xlfn.IFNA(VLOOKUP($H296,Ingredient_prices!$E:$U,16,FALSE)*$Q296/1000,"not bought")))</f>
        <v/>
      </c>
      <c r="U296" s="583" t="str">
        <f>IF(G296="Select food category:","",_xlfn.IFNA(VLOOKUP($H296,Ingredient_prices!$E:$U,16,FALSE)*$R296/1000,"not bought"))</f>
        <v/>
      </c>
      <c r="V296" s="549">
        <f>VLOOKUP($H296,'CO2_emission+%_food_waste'!$A:$K,4,FALSE)*$Q296</f>
        <v>0</v>
      </c>
      <c r="W296" s="583">
        <f>VLOOKUP($H296,Nutrition_tables!$A:$N,10,FALSE)*$Q296/100</f>
        <v>0</v>
      </c>
      <c r="X296" s="583">
        <f>VLOOKUP($H296,Nutrition_tables!$A:$N,11,FALSE)*$Q296/100</f>
        <v>0</v>
      </c>
      <c r="Y296" s="583">
        <f>VLOOKUP($H296,Nutrition_tables!$A:$N,12,FALSE)*$Q296/100</f>
        <v>0</v>
      </c>
      <c r="Z296" s="583">
        <f>VLOOKUP($H296,Nutrition_tables!$A:$N,14,FALSE)*$Q296/100</f>
        <v>0</v>
      </c>
      <c r="AA296" s="583">
        <f>VLOOKUP($H296,Nutrition_tables!$A:$AF,13,FALSE)*$Q296/100</f>
        <v>0</v>
      </c>
      <c r="AB296" s="549">
        <f>VLOOKUP($H296,Nutrition_tables!$A:$AF,15,FALSE)*$Q296/100</f>
        <v>0</v>
      </c>
      <c r="AC296" s="583">
        <f>VLOOKUP($H296,Nutrition_tables!$A:$AF,16,FALSE)*$Q296/100</f>
        <v>0</v>
      </c>
      <c r="AD296" s="583">
        <f>VLOOKUP($H296,Nutrition_tables!$A:$AF,17,FALSE)*$Q296/100</f>
        <v>0</v>
      </c>
      <c r="AE296" s="583">
        <f>VLOOKUP($H296,Nutrition_tables!$A:$AF,18,FALSE)*$Q296/100</f>
        <v>0</v>
      </c>
      <c r="AF296" s="583">
        <f>VLOOKUP($H296,Nutrition_tables!$A:$AF,19,FALSE)*$Q296/100</f>
        <v>0</v>
      </c>
      <c r="AG296" s="583">
        <f>VLOOKUP($H296,Nutrition_tables!$A:$AF,20,FALSE)*$Q296/100</f>
        <v>0</v>
      </c>
      <c r="AH296" s="583">
        <f>VLOOKUP($H296,Nutrition_tables!$A:$AF,21,FALSE)*$Q296/100</f>
        <v>0</v>
      </c>
      <c r="AI296" s="583">
        <f>VLOOKUP($H296,Nutrition_tables!$A:$AF,22,FALSE)*$Q296/100</f>
        <v>0</v>
      </c>
      <c r="AJ296" s="549">
        <f>VLOOKUP($H296,Nutrition_tables!$A:$AF,23,FALSE)*$Q296/100</f>
        <v>0</v>
      </c>
      <c r="AK296" s="583">
        <f>VLOOKUP($H296,Nutrition_tables!$A:$AF,24,FALSE)*$Q296/100</f>
        <v>0</v>
      </c>
      <c r="AL296" s="583">
        <f>VLOOKUP($H296,Nutrition_tables!$A:$AF,25,FALSE)*$Q296/100</f>
        <v>0</v>
      </c>
      <c r="AM296" s="583">
        <f>VLOOKUP($H296,Nutrition_tables!$A:$AF,26,FALSE)*$Q296/100</f>
        <v>0</v>
      </c>
      <c r="AN296" s="583">
        <f>VLOOKUP($H296,Nutrition_tables!$A:$AF,27,FALSE)*$Q296/100</f>
        <v>0</v>
      </c>
      <c r="AO296" s="583">
        <f>VLOOKUP($H296,Nutrition_tables!$A:$AF,28,FALSE)*$Q296/100</f>
        <v>0</v>
      </c>
      <c r="AP296" s="583">
        <f>VLOOKUP($H296,Nutrition_tables!$A:$AF,29,FALSE)*$Q296/100</f>
        <v>0</v>
      </c>
      <c r="AQ296" s="583">
        <f>VLOOKUP($H296,Nutrition_tables!$A:$AF,30,FALSE)*$Q296/100</f>
        <v>0</v>
      </c>
      <c r="AR296" s="583">
        <f>VLOOKUP($H296,Nutrition_tables!$A:$AF,31,FALSE)*$Q296/100</f>
        <v>0</v>
      </c>
      <c r="AS296" s="549">
        <f>VLOOKUP($H296,Nutrition_tables!$A:$AF,32,FALSE)*$Q296/100</f>
        <v>0</v>
      </c>
      <c r="AT296" s="583" t="str">
        <f>IF(H296="Select ingredient:","",IF(G296="Select food category:","",IFERROR(VLOOKUP($H296,Ingredient_prices!$E:$W,17,FALSE)*$Q296/1000,"not bought")))</f>
        <v/>
      </c>
      <c r="AU296" s="583" t="str">
        <f>IF(H296="Select ingredient:","",IF(G296="Select food category:","",IFERROR(VLOOKUP($H296,Ingredient_prices!$E:$W,18,FALSE)*$Q296/1000,"not bought")))</f>
        <v/>
      </c>
      <c r="AV296" s="583">
        <f t="shared" si="681"/>
        <v>0</v>
      </c>
      <c r="AW296" s="583">
        <f t="shared" si="682"/>
        <v>0</v>
      </c>
      <c r="AX296" s="583">
        <f t="shared" si="683"/>
        <v>0</v>
      </c>
      <c r="AY296" s="583">
        <f t="shared" si="684"/>
        <v>0</v>
      </c>
      <c r="AZ296" s="583">
        <f t="shared" si="685"/>
        <v>0</v>
      </c>
      <c r="BA296" s="583">
        <f t="shared" si="686"/>
        <v>0</v>
      </c>
      <c r="BB296" s="583">
        <f t="shared" si="687"/>
        <v>0</v>
      </c>
      <c r="BC296" s="583">
        <f t="shared" si="688"/>
        <v>0</v>
      </c>
      <c r="BD296" s="583">
        <f t="shared" si="689"/>
        <v>0</v>
      </c>
      <c r="BE296" s="583">
        <f t="shared" si="690"/>
        <v>0</v>
      </c>
      <c r="BF296" s="583">
        <f t="shared" si="691"/>
        <v>0</v>
      </c>
      <c r="BG296" s="583">
        <f t="shared" si="692"/>
        <v>0</v>
      </c>
      <c r="BH296" s="583">
        <f t="shared" si="693"/>
        <v>0</v>
      </c>
      <c r="BI296" s="583">
        <f t="shared" si="694"/>
        <v>0</v>
      </c>
      <c r="BJ296" s="583">
        <f t="shared" si="695"/>
        <v>0</v>
      </c>
      <c r="BK296" s="583">
        <f t="shared" si="696"/>
        <v>0</v>
      </c>
      <c r="BL296" s="583">
        <f t="shared" si="697"/>
        <v>0</v>
      </c>
      <c r="BM296" s="583">
        <f t="shared" si="698"/>
        <v>0</v>
      </c>
      <c r="BN296" s="583">
        <f t="shared" si="699"/>
        <v>0</v>
      </c>
      <c r="BO296" s="583">
        <f t="shared" si="700"/>
        <v>0</v>
      </c>
      <c r="BP296" s="583">
        <f t="shared" si="701"/>
        <v>0</v>
      </c>
      <c r="BQ296" s="583">
        <f t="shared" si="702"/>
        <v>0</v>
      </c>
      <c r="BR296" s="583">
        <f t="shared" si="703"/>
        <v>0</v>
      </c>
    </row>
    <row r="297" spans="1:70" s="229" customFormat="1" ht="15" customHeight="1">
      <c r="A297" s="587"/>
      <c r="D297" s="85"/>
      <c r="E297" s="576" t="str">
        <f t="shared" si="704"/>
        <v/>
      </c>
      <c r="F297" s="707"/>
      <c r="G297" s="406" t="s">
        <v>3054</v>
      </c>
      <c r="H297" s="1262" t="s">
        <v>3055</v>
      </c>
      <c r="I297" s="85">
        <v>0</v>
      </c>
      <c r="J297" s="682">
        <v>1</v>
      </c>
      <c r="K297" s="579" t="str">
        <f t="shared" si="678"/>
        <v/>
      </c>
      <c r="L297" s="580" t="str">
        <f>IF(H297="Select ingredient:","",IF(G297="","",_xlfn.IFNA(VLOOKUP($H297,Ingredient_prices!$E:$U,16,FALSE),0)))</f>
        <v/>
      </c>
      <c r="M297" s="844"/>
      <c r="N297" s="844"/>
      <c r="O297" s="588"/>
      <c r="P297" s="640"/>
      <c r="Q297" s="583">
        <f t="shared" si="679"/>
        <v>0</v>
      </c>
      <c r="R297" s="583">
        <f>VLOOKUP($H297,'CO2_emission+%_food_waste'!$A:$K,6,FALSE)*$Q297/100</f>
        <v>0</v>
      </c>
      <c r="S297" s="583">
        <f t="shared" si="680"/>
        <v>0</v>
      </c>
      <c r="T297" s="583" t="str">
        <f>IF(H297="Select ingredient:","",IF(G297="Select food category:","",_xlfn.IFNA(VLOOKUP($H297,Ingredient_prices!$E:$U,16,FALSE)*$Q297/1000,"not bought")))</f>
        <v/>
      </c>
      <c r="U297" s="583" t="str">
        <f>IF(G297="Select food category:","",_xlfn.IFNA(VLOOKUP($H297,Ingredient_prices!$E:$U,16,FALSE)*$R297/1000,"not bought"))</f>
        <v/>
      </c>
      <c r="V297" s="549">
        <f>VLOOKUP($H297,'CO2_emission+%_food_waste'!$A:$K,4,FALSE)*$Q297</f>
        <v>0</v>
      </c>
      <c r="W297" s="583">
        <f>VLOOKUP($H297,Nutrition_tables!$A:$N,10,FALSE)*$Q297/100</f>
        <v>0</v>
      </c>
      <c r="X297" s="583">
        <f>VLOOKUP($H297,Nutrition_tables!$A:$N,11,FALSE)*$Q297/100</f>
        <v>0</v>
      </c>
      <c r="Y297" s="583">
        <f>VLOOKUP($H297,Nutrition_tables!$A:$N,12,FALSE)*$Q297/100</f>
        <v>0</v>
      </c>
      <c r="Z297" s="583">
        <f>VLOOKUP($H297,Nutrition_tables!$A:$N,14,FALSE)*$Q297/100</f>
        <v>0</v>
      </c>
      <c r="AA297" s="583">
        <f>VLOOKUP($H297,Nutrition_tables!$A:$AF,13,FALSE)*$Q297/100</f>
        <v>0</v>
      </c>
      <c r="AB297" s="549">
        <f>VLOOKUP($H297,Nutrition_tables!$A:$AF,15,FALSE)*$Q297/100</f>
        <v>0</v>
      </c>
      <c r="AC297" s="583">
        <f>VLOOKUP($H297,Nutrition_tables!$A:$AF,16,FALSE)*$Q297/100</f>
        <v>0</v>
      </c>
      <c r="AD297" s="583">
        <f>VLOOKUP($H297,Nutrition_tables!$A:$AF,17,FALSE)*$Q297/100</f>
        <v>0</v>
      </c>
      <c r="AE297" s="583">
        <f>VLOOKUP($H297,Nutrition_tables!$A:$AF,18,FALSE)*$Q297/100</f>
        <v>0</v>
      </c>
      <c r="AF297" s="583">
        <f>VLOOKUP($H297,Nutrition_tables!$A:$AF,19,FALSE)*$Q297/100</f>
        <v>0</v>
      </c>
      <c r="AG297" s="583">
        <f>VLOOKUP($H297,Nutrition_tables!$A:$AF,20,FALSE)*$Q297/100</f>
        <v>0</v>
      </c>
      <c r="AH297" s="583">
        <f>VLOOKUP($H297,Nutrition_tables!$A:$AF,21,FALSE)*$Q297/100</f>
        <v>0</v>
      </c>
      <c r="AI297" s="583">
        <f>VLOOKUP($H297,Nutrition_tables!$A:$AF,22,FALSE)*$Q297/100</f>
        <v>0</v>
      </c>
      <c r="AJ297" s="549">
        <f>VLOOKUP($H297,Nutrition_tables!$A:$AF,23,FALSE)*$Q297/100</f>
        <v>0</v>
      </c>
      <c r="AK297" s="583">
        <f>VLOOKUP($H297,Nutrition_tables!$A:$AF,24,FALSE)*$Q297/100</f>
        <v>0</v>
      </c>
      <c r="AL297" s="583">
        <f>VLOOKUP($H297,Nutrition_tables!$A:$AF,25,FALSE)*$Q297/100</f>
        <v>0</v>
      </c>
      <c r="AM297" s="583">
        <f>VLOOKUP($H297,Nutrition_tables!$A:$AF,26,FALSE)*$Q297/100</f>
        <v>0</v>
      </c>
      <c r="AN297" s="583">
        <f>VLOOKUP($H297,Nutrition_tables!$A:$AF,27,FALSE)*$Q297/100</f>
        <v>0</v>
      </c>
      <c r="AO297" s="583">
        <f>VLOOKUP($H297,Nutrition_tables!$A:$AF,28,FALSE)*$Q297/100</f>
        <v>0</v>
      </c>
      <c r="AP297" s="583">
        <f>VLOOKUP($H297,Nutrition_tables!$A:$AF,29,FALSE)*$Q297/100</f>
        <v>0</v>
      </c>
      <c r="AQ297" s="583">
        <f>VLOOKUP($H297,Nutrition_tables!$A:$AF,30,FALSE)*$Q297/100</f>
        <v>0</v>
      </c>
      <c r="AR297" s="583">
        <f>VLOOKUP($H297,Nutrition_tables!$A:$AF,31,FALSE)*$Q297/100</f>
        <v>0</v>
      </c>
      <c r="AS297" s="549">
        <f>VLOOKUP($H297,Nutrition_tables!$A:$AF,32,FALSE)*$Q297/100</f>
        <v>0</v>
      </c>
      <c r="AT297" s="583" t="str">
        <f>IF(H297="Select ingredient:","",IF(G297="Select food category:","",IFERROR(VLOOKUP($H297,Ingredient_prices!$E:$W,17,FALSE)*$Q297/1000,"not bought")))</f>
        <v/>
      </c>
      <c r="AU297" s="583" t="str">
        <f>IF(H297="Select ingredient:","",IF(G297="Select food category:","",IFERROR(VLOOKUP($H297,Ingredient_prices!$E:$W,18,FALSE)*$Q297/1000,"not bought")))</f>
        <v/>
      </c>
      <c r="AV297" s="583">
        <f t="shared" si="681"/>
        <v>0</v>
      </c>
      <c r="AW297" s="583">
        <f t="shared" si="682"/>
        <v>0</v>
      </c>
      <c r="AX297" s="583">
        <f t="shared" si="683"/>
        <v>0</v>
      </c>
      <c r="AY297" s="583">
        <f t="shared" si="684"/>
        <v>0</v>
      </c>
      <c r="AZ297" s="583">
        <f t="shared" si="685"/>
        <v>0</v>
      </c>
      <c r="BA297" s="583">
        <f t="shared" si="686"/>
        <v>0</v>
      </c>
      <c r="BB297" s="583">
        <f t="shared" si="687"/>
        <v>0</v>
      </c>
      <c r="BC297" s="583">
        <f t="shared" si="688"/>
        <v>0</v>
      </c>
      <c r="BD297" s="583">
        <f t="shared" si="689"/>
        <v>0</v>
      </c>
      <c r="BE297" s="583">
        <f t="shared" si="690"/>
        <v>0</v>
      </c>
      <c r="BF297" s="583">
        <f t="shared" si="691"/>
        <v>0</v>
      </c>
      <c r="BG297" s="583">
        <f t="shared" si="692"/>
        <v>0</v>
      </c>
      <c r="BH297" s="583">
        <f t="shared" si="693"/>
        <v>0</v>
      </c>
      <c r="BI297" s="583">
        <f t="shared" si="694"/>
        <v>0</v>
      </c>
      <c r="BJ297" s="583">
        <f t="shared" si="695"/>
        <v>0</v>
      </c>
      <c r="BK297" s="583">
        <f t="shared" si="696"/>
        <v>0</v>
      </c>
      <c r="BL297" s="583">
        <f t="shared" si="697"/>
        <v>0</v>
      </c>
      <c r="BM297" s="583">
        <f t="shared" si="698"/>
        <v>0</v>
      </c>
      <c r="BN297" s="583">
        <f t="shared" si="699"/>
        <v>0</v>
      </c>
      <c r="BO297" s="583">
        <f t="shared" si="700"/>
        <v>0</v>
      </c>
      <c r="BP297" s="583">
        <f t="shared" si="701"/>
        <v>0</v>
      </c>
      <c r="BQ297" s="583">
        <f t="shared" si="702"/>
        <v>0</v>
      </c>
      <c r="BR297" s="583">
        <f t="shared" si="703"/>
        <v>0</v>
      </c>
    </row>
    <row r="298" spans="1:70" s="229" customFormat="1" ht="15" customHeight="1">
      <c r="A298" s="587"/>
      <c r="D298" s="85"/>
      <c r="E298" s="576" t="str">
        <f t="shared" si="704"/>
        <v/>
      </c>
      <c r="F298" s="707"/>
      <c r="G298" s="406" t="s">
        <v>3054</v>
      </c>
      <c r="H298" s="1262" t="s">
        <v>3055</v>
      </c>
      <c r="I298" s="85">
        <v>0</v>
      </c>
      <c r="J298" s="682">
        <v>1</v>
      </c>
      <c r="K298" s="579" t="str">
        <f t="shared" si="678"/>
        <v/>
      </c>
      <c r="L298" s="580" t="str">
        <f>IF(H298="Select ingredient:","",IF(G298="","",_xlfn.IFNA(VLOOKUP($H298,Ingredient_prices!$E:$U,16,FALSE),0)))</f>
        <v/>
      </c>
      <c r="M298" s="844"/>
      <c r="N298" s="844"/>
      <c r="O298" s="588"/>
      <c r="P298" s="640"/>
      <c r="Q298" s="583">
        <f t="shared" si="679"/>
        <v>0</v>
      </c>
      <c r="R298" s="583">
        <f>VLOOKUP($H298,'CO2_emission+%_food_waste'!$A:$K,6,FALSE)*$Q298/100</f>
        <v>0</v>
      </c>
      <c r="S298" s="583">
        <f t="shared" si="680"/>
        <v>0</v>
      </c>
      <c r="T298" s="583" t="str">
        <f>IF(H298="Select ingredient:","",IF(G298="Select food category:","",_xlfn.IFNA(VLOOKUP($H298,Ingredient_prices!$E:$U,16,FALSE)*$Q298/1000,"not bought")))</f>
        <v/>
      </c>
      <c r="U298" s="583" t="str">
        <f>IF(G298="Select food category:","",_xlfn.IFNA(VLOOKUP($H298,Ingredient_prices!$E:$U,16,FALSE)*$R298/1000,"not bought"))</f>
        <v/>
      </c>
      <c r="V298" s="549">
        <f>VLOOKUP($H298,'CO2_emission+%_food_waste'!$A:$K,4,FALSE)*$Q298</f>
        <v>0</v>
      </c>
      <c r="W298" s="583">
        <f>VLOOKUP($H298,Nutrition_tables!$A:$N,10,FALSE)*$Q298/100</f>
        <v>0</v>
      </c>
      <c r="X298" s="583">
        <f>VLOOKUP($H298,Nutrition_tables!$A:$N,11,FALSE)*$Q298/100</f>
        <v>0</v>
      </c>
      <c r="Y298" s="583">
        <f>VLOOKUP($H298,Nutrition_tables!$A:$N,12,FALSE)*$Q298/100</f>
        <v>0</v>
      </c>
      <c r="Z298" s="583">
        <f>VLOOKUP($H298,Nutrition_tables!$A:$N,14,FALSE)*$Q298/100</f>
        <v>0</v>
      </c>
      <c r="AA298" s="583">
        <f>VLOOKUP($H298,Nutrition_tables!$A:$AF,13,FALSE)*$Q298/100</f>
        <v>0</v>
      </c>
      <c r="AB298" s="549">
        <f>VLOOKUP($H298,Nutrition_tables!$A:$AF,15,FALSE)*$Q298/100</f>
        <v>0</v>
      </c>
      <c r="AC298" s="583">
        <f>VLOOKUP($H298,Nutrition_tables!$A:$AF,16,FALSE)*$Q298/100</f>
        <v>0</v>
      </c>
      <c r="AD298" s="583">
        <f>VLOOKUP($H298,Nutrition_tables!$A:$AF,17,FALSE)*$Q298/100</f>
        <v>0</v>
      </c>
      <c r="AE298" s="583">
        <f>VLOOKUP($H298,Nutrition_tables!$A:$AF,18,FALSE)*$Q298/100</f>
        <v>0</v>
      </c>
      <c r="AF298" s="583">
        <f>VLOOKUP($H298,Nutrition_tables!$A:$AF,19,FALSE)*$Q298/100</f>
        <v>0</v>
      </c>
      <c r="AG298" s="583">
        <f>VLOOKUP($H298,Nutrition_tables!$A:$AF,20,FALSE)*$Q298/100</f>
        <v>0</v>
      </c>
      <c r="AH298" s="583">
        <f>VLOOKUP($H298,Nutrition_tables!$A:$AF,21,FALSE)*$Q298/100</f>
        <v>0</v>
      </c>
      <c r="AI298" s="583">
        <f>VLOOKUP($H298,Nutrition_tables!$A:$AF,22,FALSE)*$Q298/100</f>
        <v>0</v>
      </c>
      <c r="AJ298" s="549">
        <f>VLOOKUP($H298,Nutrition_tables!$A:$AF,23,FALSE)*$Q298/100</f>
        <v>0</v>
      </c>
      <c r="AK298" s="583">
        <f>VLOOKUP($H298,Nutrition_tables!$A:$AF,24,FALSE)*$Q298/100</f>
        <v>0</v>
      </c>
      <c r="AL298" s="583">
        <f>VLOOKUP($H298,Nutrition_tables!$A:$AF,25,FALSE)*$Q298/100</f>
        <v>0</v>
      </c>
      <c r="AM298" s="583">
        <f>VLOOKUP($H298,Nutrition_tables!$A:$AF,26,FALSE)*$Q298/100</f>
        <v>0</v>
      </c>
      <c r="AN298" s="583">
        <f>VLOOKUP($H298,Nutrition_tables!$A:$AF,27,FALSE)*$Q298/100</f>
        <v>0</v>
      </c>
      <c r="AO298" s="583">
        <f>VLOOKUP($H298,Nutrition_tables!$A:$AF,28,FALSE)*$Q298/100</f>
        <v>0</v>
      </c>
      <c r="AP298" s="583">
        <f>VLOOKUP($H298,Nutrition_tables!$A:$AF,29,FALSE)*$Q298/100</f>
        <v>0</v>
      </c>
      <c r="AQ298" s="583">
        <f>VLOOKUP($H298,Nutrition_tables!$A:$AF,30,FALSE)*$Q298/100</f>
        <v>0</v>
      </c>
      <c r="AR298" s="583">
        <f>VLOOKUP($H298,Nutrition_tables!$A:$AF,31,FALSE)*$Q298/100</f>
        <v>0</v>
      </c>
      <c r="AS298" s="549">
        <f>VLOOKUP($H298,Nutrition_tables!$A:$AF,32,FALSE)*$Q298/100</f>
        <v>0</v>
      </c>
      <c r="AT298" s="583" t="str">
        <f>IF(H298="Select ingredient:","",IF(G298="Select food category:","",IFERROR(VLOOKUP($H298,Ingredient_prices!$E:$W,17,FALSE)*$Q298/1000,"not bought")))</f>
        <v/>
      </c>
      <c r="AU298" s="583" t="str">
        <f>IF(H298="Select ingredient:","",IF(G298="Select food category:","",IFERROR(VLOOKUP($H298,Ingredient_prices!$E:$W,18,FALSE)*$Q298/1000,"not bought")))</f>
        <v/>
      </c>
      <c r="AV298" s="583">
        <f t="shared" si="681"/>
        <v>0</v>
      </c>
      <c r="AW298" s="583">
        <f t="shared" si="682"/>
        <v>0</v>
      </c>
      <c r="AX298" s="583">
        <f t="shared" si="683"/>
        <v>0</v>
      </c>
      <c r="AY298" s="583">
        <f t="shared" si="684"/>
        <v>0</v>
      </c>
      <c r="AZ298" s="583">
        <f t="shared" si="685"/>
        <v>0</v>
      </c>
      <c r="BA298" s="583">
        <f t="shared" si="686"/>
        <v>0</v>
      </c>
      <c r="BB298" s="583">
        <f t="shared" si="687"/>
        <v>0</v>
      </c>
      <c r="BC298" s="583">
        <f t="shared" si="688"/>
        <v>0</v>
      </c>
      <c r="BD298" s="583">
        <f t="shared" si="689"/>
        <v>0</v>
      </c>
      <c r="BE298" s="583">
        <f t="shared" si="690"/>
        <v>0</v>
      </c>
      <c r="BF298" s="583">
        <f t="shared" si="691"/>
        <v>0</v>
      </c>
      <c r="BG298" s="583">
        <f t="shared" si="692"/>
        <v>0</v>
      </c>
      <c r="BH298" s="583">
        <f t="shared" si="693"/>
        <v>0</v>
      </c>
      <c r="BI298" s="583">
        <f t="shared" si="694"/>
        <v>0</v>
      </c>
      <c r="BJ298" s="583">
        <f t="shared" si="695"/>
        <v>0</v>
      </c>
      <c r="BK298" s="583">
        <f t="shared" si="696"/>
        <v>0</v>
      </c>
      <c r="BL298" s="583">
        <f t="shared" si="697"/>
        <v>0</v>
      </c>
      <c r="BM298" s="583">
        <f t="shared" si="698"/>
        <v>0</v>
      </c>
      <c r="BN298" s="583">
        <f t="shared" si="699"/>
        <v>0</v>
      </c>
      <c r="BO298" s="583">
        <f t="shared" si="700"/>
        <v>0</v>
      </c>
      <c r="BP298" s="583">
        <f t="shared" si="701"/>
        <v>0</v>
      </c>
      <c r="BQ298" s="583">
        <f t="shared" si="702"/>
        <v>0</v>
      </c>
      <c r="BR298" s="583">
        <f t="shared" si="703"/>
        <v>0</v>
      </c>
    </row>
    <row r="299" spans="1:70" s="603" customFormat="1" ht="56">
      <c r="A299" s="587"/>
      <c r="B299" s="593"/>
      <c r="C299" s="522"/>
      <c r="D299" s="141"/>
      <c r="E299" s="594"/>
      <c r="F299" s="708"/>
      <c r="G299" s="522"/>
      <c r="H299" s="522"/>
      <c r="I299" s="86"/>
      <c r="J299" s="87"/>
      <c r="K299" s="595"/>
      <c r="L299" s="596"/>
      <c r="M299" s="845"/>
      <c r="N299" s="845"/>
      <c r="O299" s="588"/>
      <c r="P299" s="638"/>
      <c r="Q299" s="599" t="s">
        <v>384</v>
      </c>
      <c r="R299" s="600" t="s">
        <v>455</v>
      </c>
      <c r="S299" s="600" t="s">
        <v>2087</v>
      </c>
      <c r="T299" s="600" t="s">
        <v>456</v>
      </c>
      <c r="U299" s="600" t="s">
        <v>535</v>
      </c>
      <c r="V299" s="601" t="s">
        <v>457</v>
      </c>
      <c r="W299" s="600" t="s">
        <v>75</v>
      </c>
      <c r="X299" s="600" t="s">
        <v>385</v>
      </c>
      <c r="Y299" s="600" t="s">
        <v>386</v>
      </c>
      <c r="Z299" s="600" t="s">
        <v>387</v>
      </c>
      <c r="AA299" s="600" t="s">
        <v>388</v>
      </c>
      <c r="AB299" s="601" t="s">
        <v>389</v>
      </c>
      <c r="AC299" s="602" t="s">
        <v>390</v>
      </c>
      <c r="AD299" s="600" t="s">
        <v>391</v>
      </c>
      <c r="AE299" s="600" t="s">
        <v>392</v>
      </c>
      <c r="AF299" s="600" t="s">
        <v>393</v>
      </c>
      <c r="AG299" s="600" t="s">
        <v>394</v>
      </c>
      <c r="AH299" s="600" t="s">
        <v>395</v>
      </c>
      <c r="AI299" s="600" t="s">
        <v>396</v>
      </c>
      <c r="AJ299" s="601" t="s">
        <v>397</v>
      </c>
      <c r="AK299" s="602" t="s">
        <v>398</v>
      </c>
      <c r="AL299" s="600" t="s">
        <v>399</v>
      </c>
      <c r="AM299" s="600" t="s">
        <v>400</v>
      </c>
      <c r="AN299" s="600" t="s">
        <v>401</v>
      </c>
      <c r="AO299" s="600" t="s">
        <v>402</v>
      </c>
      <c r="AP299" s="600" t="s">
        <v>406</v>
      </c>
      <c r="AQ299" s="600" t="s">
        <v>405</v>
      </c>
      <c r="AR299" s="600" t="s">
        <v>403</v>
      </c>
      <c r="AS299" s="601" t="s">
        <v>404</v>
      </c>
      <c r="AT299" s="593"/>
      <c r="AU299" s="593"/>
    </row>
    <row r="300" spans="1:70" s="229" customFormat="1">
      <c r="A300" s="587"/>
      <c r="B300" s="593"/>
      <c r="C300" s="522"/>
      <c r="D300" s="141"/>
      <c r="E300" s="594"/>
      <c r="F300" s="708"/>
      <c r="G300" s="522"/>
      <c r="H300" s="522"/>
      <c r="I300" s="86"/>
      <c r="J300" s="87"/>
      <c r="K300" s="595"/>
      <c r="L300" s="604"/>
      <c r="M300" s="846"/>
      <c r="N300" s="846"/>
      <c r="O300" s="588"/>
      <c r="P300" s="639" t="s">
        <v>383</v>
      </c>
      <c r="Q300" s="583">
        <f t="shared" ref="Q300:AU300" si="705">SUM(Q287:Q298)</f>
        <v>0</v>
      </c>
      <c r="R300" s="583">
        <f t="shared" si="705"/>
        <v>0</v>
      </c>
      <c r="S300" s="583">
        <f>SUM(S287:S298)</f>
        <v>0</v>
      </c>
      <c r="T300" s="583">
        <f t="shared" ref="T300:U300" si="706">SUM(T287:T298)</f>
        <v>0</v>
      </c>
      <c r="U300" s="583">
        <f t="shared" si="706"/>
        <v>0</v>
      </c>
      <c r="V300" s="549">
        <f t="shared" si="705"/>
        <v>0</v>
      </c>
      <c r="W300" s="583">
        <f t="shared" si="705"/>
        <v>0</v>
      </c>
      <c r="X300" s="583">
        <f t="shared" si="705"/>
        <v>0</v>
      </c>
      <c r="Y300" s="583">
        <f t="shared" si="705"/>
        <v>0</v>
      </c>
      <c r="Z300" s="583">
        <f t="shared" si="705"/>
        <v>0</v>
      </c>
      <c r="AA300" s="583">
        <f t="shared" si="705"/>
        <v>0</v>
      </c>
      <c r="AB300" s="549">
        <f t="shared" si="705"/>
        <v>0</v>
      </c>
      <c r="AC300" s="583">
        <f t="shared" si="705"/>
        <v>0</v>
      </c>
      <c r="AD300" s="583">
        <f t="shared" si="705"/>
        <v>0</v>
      </c>
      <c r="AE300" s="583">
        <f t="shared" si="705"/>
        <v>0</v>
      </c>
      <c r="AF300" s="583">
        <f t="shared" si="705"/>
        <v>0</v>
      </c>
      <c r="AG300" s="583">
        <f t="shared" si="705"/>
        <v>0</v>
      </c>
      <c r="AH300" s="583">
        <f t="shared" si="705"/>
        <v>0</v>
      </c>
      <c r="AI300" s="583">
        <f t="shared" si="705"/>
        <v>0</v>
      </c>
      <c r="AJ300" s="549">
        <f t="shared" si="705"/>
        <v>0</v>
      </c>
      <c r="AK300" s="583">
        <f t="shared" si="705"/>
        <v>0</v>
      </c>
      <c r="AL300" s="583">
        <f t="shared" si="705"/>
        <v>0</v>
      </c>
      <c r="AM300" s="583">
        <f t="shared" si="705"/>
        <v>0</v>
      </c>
      <c r="AN300" s="583">
        <f t="shared" si="705"/>
        <v>0</v>
      </c>
      <c r="AO300" s="583">
        <f t="shared" si="705"/>
        <v>0</v>
      </c>
      <c r="AP300" s="583">
        <f t="shared" si="705"/>
        <v>0</v>
      </c>
      <c r="AQ300" s="583">
        <f t="shared" si="705"/>
        <v>0</v>
      </c>
      <c r="AR300" s="583">
        <f t="shared" si="705"/>
        <v>0</v>
      </c>
      <c r="AS300" s="549">
        <f t="shared" si="705"/>
        <v>0</v>
      </c>
      <c r="AT300" s="5">
        <f t="shared" si="705"/>
        <v>0</v>
      </c>
      <c r="AU300" s="5">
        <f t="shared" si="705"/>
        <v>0</v>
      </c>
      <c r="AV300" s="545">
        <f t="shared" ref="AV300:BR300" si="707">SUM(AV287:AV298)</f>
        <v>0</v>
      </c>
      <c r="AW300" s="545">
        <f t="shared" si="707"/>
        <v>0</v>
      </c>
      <c r="AX300" s="545">
        <f t="shared" si="707"/>
        <v>0</v>
      </c>
      <c r="AY300" s="545">
        <f t="shared" si="707"/>
        <v>0</v>
      </c>
      <c r="AZ300" s="545">
        <f t="shared" si="707"/>
        <v>0</v>
      </c>
      <c r="BA300" s="545">
        <f t="shared" si="707"/>
        <v>0</v>
      </c>
      <c r="BB300" s="545">
        <f t="shared" si="707"/>
        <v>0</v>
      </c>
      <c r="BC300" s="545">
        <f t="shared" si="707"/>
        <v>0</v>
      </c>
      <c r="BD300" s="545">
        <f t="shared" si="707"/>
        <v>0</v>
      </c>
      <c r="BE300" s="545">
        <f t="shared" si="707"/>
        <v>0</v>
      </c>
      <c r="BF300" s="545">
        <f t="shared" si="707"/>
        <v>0</v>
      </c>
      <c r="BG300" s="545">
        <f t="shared" si="707"/>
        <v>0</v>
      </c>
      <c r="BH300" s="545">
        <f t="shared" si="707"/>
        <v>0</v>
      </c>
      <c r="BI300" s="545">
        <f t="shared" si="707"/>
        <v>0</v>
      </c>
      <c r="BJ300" s="545">
        <f t="shared" si="707"/>
        <v>0</v>
      </c>
      <c r="BK300" s="545">
        <f t="shared" si="707"/>
        <v>0</v>
      </c>
      <c r="BL300" s="545">
        <f t="shared" si="707"/>
        <v>0</v>
      </c>
      <c r="BM300" s="545">
        <f t="shared" si="707"/>
        <v>0</v>
      </c>
      <c r="BN300" s="545">
        <f t="shared" si="707"/>
        <v>0</v>
      </c>
      <c r="BO300" s="545">
        <f t="shared" si="707"/>
        <v>0</v>
      </c>
      <c r="BP300" s="545">
        <f t="shared" si="707"/>
        <v>0</v>
      </c>
      <c r="BQ300" s="545">
        <f t="shared" si="707"/>
        <v>0</v>
      </c>
      <c r="BR300" s="545">
        <f t="shared" si="707"/>
        <v>0</v>
      </c>
    </row>
    <row r="301" spans="1:70" s="229" customFormat="1">
      <c r="A301" s="587"/>
      <c r="B301" s="593"/>
      <c r="C301" s="522"/>
      <c r="D301" s="141"/>
      <c r="E301" s="594"/>
      <c r="F301" s="708"/>
      <c r="G301" s="522"/>
      <c r="H301" s="522"/>
      <c r="I301" s="86"/>
      <c r="J301" s="87"/>
      <c r="K301" s="595"/>
      <c r="L301" s="604"/>
      <c r="M301" s="846"/>
      <c r="N301" s="846"/>
      <c r="O301" s="588"/>
      <c r="P301" s="639" t="s">
        <v>539</v>
      </c>
      <c r="V301" s="526"/>
      <c r="W301" s="229">
        <v>185.5</v>
      </c>
      <c r="X301" s="229">
        <v>23.200000000000003</v>
      </c>
      <c r="Y301" s="229">
        <v>5.8000000000000007</v>
      </c>
      <c r="Z301" s="229">
        <v>6.2</v>
      </c>
      <c r="AA301" s="229">
        <v>1.9000000000000001</v>
      </c>
      <c r="AB301" s="526">
        <v>2</v>
      </c>
      <c r="AC301" s="229">
        <v>138</v>
      </c>
      <c r="AD301" s="229">
        <v>180</v>
      </c>
      <c r="AE301" s="229">
        <v>90</v>
      </c>
      <c r="AF301" s="229">
        <v>17</v>
      </c>
      <c r="AG301" s="229">
        <v>80</v>
      </c>
      <c r="AH301" s="229">
        <v>1</v>
      </c>
      <c r="AI301" s="229">
        <v>0.70000000000000007</v>
      </c>
      <c r="AJ301" s="526">
        <v>0.125</v>
      </c>
      <c r="AK301" s="229">
        <v>80</v>
      </c>
      <c r="AL301" s="229">
        <v>0.1</v>
      </c>
      <c r="AM301" s="229">
        <v>0.11000000000000001</v>
      </c>
      <c r="AN301" s="229">
        <v>1.2000000000000002</v>
      </c>
      <c r="AO301" s="229">
        <v>6.9999999999999993E-2</v>
      </c>
      <c r="AP301" s="229">
        <v>30</v>
      </c>
      <c r="AQ301" s="229">
        <v>0.18000000000000002</v>
      </c>
      <c r="AR301" s="229">
        <v>8</v>
      </c>
      <c r="AS301" s="526">
        <v>0.5</v>
      </c>
      <c r="AV301" s="229">
        <v>185.5</v>
      </c>
      <c r="AW301" s="229">
        <v>23.200000000000003</v>
      </c>
      <c r="AX301" s="229">
        <v>5.8000000000000007</v>
      </c>
      <c r="AY301" s="229">
        <v>6.2</v>
      </c>
      <c r="AZ301" s="229">
        <v>1.9000000000000001</v>
      </c>
      <c r="BA301" s="526">
        <v>2</v>
      </c>
      <c r="BB301" s="229">
        <v>138</v>
      </c>
      <c r="BC301" s="229">
        <v>180</v>
      </c>
      <c r="BD301" s="229">
        <v>90</v>
      </c>
      <c r="BE301" s="229">
        <v>17</v>
      </c>
      <c r="BF301" s="229">
        <v>80</v>
      </c>
      <c r="BG301" s="229">
        <v>1</v>
      </c>
      <c r="BH301" s="229">
        <v>0.70000000000000007</v>
      </c>
      <c r="BI301" s="526">
        <v>0.125</v>
      </c>
      <c r="BJ301" s="229">
        <v>80</v>
      </c>
      <c r="BK301" s="229">
        <v>0.1</v>
      </c>
      <c r="BL301" s="229">
        <v>0.11000000000000001</v>
      </c>
      <c r="BM301" s="229">
        <v>1.2000000000000002</v>
      </c>
      <c r="BN301" s="229">
        <v>6.9999999999999993E-2</v>
      </c>
      <c r="BO301" s="229">
        <v>30</v>
      </c>
      <c r="BP301" s="229">
        <v>0.18000000000000002</v>
      </c>
      <c r="BQ301" s="229">
        <v>8</v>
      </c>
      <c r="BR301" s="526">
        <v>0.5</v>
      </c>
    </row>
    <row r="302" spans="1:70" s="229" customFormat="1">
      <c r="A302" s="587"/>
      <c r="B302" s="593"/>
      <c r="C302" s="522"/>
      <c r="D302" s="141"/>
      <c r="E302" s="594"/>
      <c r="F302" s="708"/>
      <c r="G302" s="522"/>
      <c r="H302" s="522"/>
      <c r="I302" s="86"/>
      <c r="J302" s="87"/>
      <c r="K302" s="595"/>
      <c r="L302" s="604"/>
      <c r="M302" s="846"/>
      <c r="N302" s="846"/>
      <c r="O302" s="588"/>
      <c r="P302" s="639" t="s">
        <v>407</v>
      </c>
      <c r="V302" s="526"/>
      <c r="W302" s="514">
        <f t="shared" ref="W302:AS302" si="708">100*W300/W301</f>
        <v>0</v>
      </c>
      <c r="X302" s="514">
        <f t="shared" si="708"/>
        <v>0</v>
      </c>
      <c r="Y302" s="514">
        <f t="shared" si="708"/>
        <v>0</v>
      </c>
      <c r="Z302" s="514">
        <f t="shared" si="708"/>
        <v>0</v>
      </c>
      <c r="AA302" s="514">
        <f t="shared" si="708"/>
        <v>0</v>
      </c>
      <c r="AB302" s="506">
        <f t="shared" si="708"/>
        <v>0</v>
      </c>
      <c r="AC302" s="514">
        <f t="shared" si="708"/>
        <v>0</v>
      </c>
      <c r="AD302" s="514">
        <f t="shared" si="708"/>
        <v>0</v>
      </c>
      <c r="AE302" s="514">
        <f t="shared" si="708"/>
        <v>0</v>
      </c>
      <c r="AF302" s="514">
        <f t="shared" si="708"/>
        <v>0</v>
      </c>
      <c r="AG302" s="514">
        <f t="shared" si="708"/>
        <v>0</v>
      </c>
      <c r="AH302" s="514">
        <f t="shared" si="708"/>
        <v>0</v>
      </c>
      <c r="AI302" s="514">
        <f t="shared" si="708"/>
        <v>0</v>
      </c>
      <c r="AJ302" s="506">
        <f t="shared" si="708"/>
        <v>0</v>
      </c>
      <c r="AK302" s="514">
        <f t="shared" si="708"/>
        <v>0</v>
      </c>
      <c r="AL302" s="514">
        <f t="shared" si="708"/>
        <v>0</v>
      </c>
      <c r="AM302" s="514">
        <f t="shared" si="708"/>
        <v>0</v>
      </c>
      <c r="AN302" s="514">
        <f t="shared" si="708"/>
        <v>0</v>
      </c>
      <c r="AO302" s="514">
        <f t="shared" si="708"/>
        <v>0</v>
      </c>
      <c r="AP302" s="514">
        <f t="shared" si="708"/>
        <v>0</v>
      </c>
      <c r="AQ302" s="514">
        <f t="shared" si="708"/>
        <v>0</v>
      </c>
      <c r="AR302" s="514">
        <f t="shared" si="708"/>
        <v>0</v>
      </c>
      <c r="AS302" s="506">
        <f t="shared" si="708"/>
        <v>0</v>
      </c>
      <c r="AV302" s="505">
        <f t="shared" ref="AV302:BR302" si="709">100*AV300/AV301</f>
        <v>0</v>
      </c>
      <c r="AW302" s="505">
        <f t="shared" si="709"/>
        <v>0</v>
      </c>
      <c r="AX302" s="505">
        <f t="shared" si="709"/>
        <v>0</v>
      </c>
      <c r="AY302" s="505">
        <f t="shared" si="709"/>
        <v>0</v>
      </c>
      <c r="AZ302" s="505">
        <f t="shared" si="709"/>
        <v>0</v>
      </c>
      <c r="BA302" s="505">
        <f t="shared" si="709"/>
        <v>0</v>
      </c>
      <c r="BB302" s="505">
        <f t="shared" si="709"/>
        <v>0</v>
      </c>
      <c r="BC302" s="505">
        <f t="shared" si="709"/>
        <v>0</v>
      </c>
      <c r="BD302" s="505">
        <f t="shared" si="709"/>
        <v>0</v>
      </c>
      <c r="BE302" s="505">
        <f t="shared" si="709"/>
        <v>0</v>
      </c>
      <c r="BF302" s="505">
        <f t="shared" si="709"/>
        <v>0</v>
      </c>
      <c r="BG302" s="505">
        <f t="shared" si="709"/>
        <v>0</v>
      </c>
      <c r="BH302" s="505">
        <f t="shared" si="709"/>
        <v>0</v>
      </c>
      <c r="BI302" s="505">
        <f t="shared" si="709"/>
        <v>0</v>
      </c>
      <c r="BJ302" s="505">
        <f t="shared" si="709"/>
        <v>0</v>
      </c>
      <c r="BK302" s="505">
        <f t="shared" si="709"/>
        <v>0</v>
      </c>
      <c r="BL302" s="505">
        <f t="shared" si="709"/>
        <v>0</v>
      </c>
      <c r="BM302" s="505">
        <f t="shared" si="709"/>
        <v>0</v>
      </c>
      <c r="BN302" s="505">
        <f t="shared" si="709"/>
        <v>0</v>
      </c>
      <c r="BO302" s="505">
        <f t="shared" si="709"/>
        <v>0</v>
      </c>
      <c r="BP302" s="505">
        <f t="shared" si="709"/>
        <v>0</v>
      </c>
      <c r="BQ302" s="505">
        <f t="shared" si="709"/>
        <v>0</v>
      </c>
      <c r="BR302" s="505">
        <f t="shared" si="709"/>
        <v>0</v>
      </c>
    </row>
    <row r="303" spans="1:70" s="229" customFormat="1">
      <c r="A303" s="587"/>
      <c r="B303" s="593"/>
      <c r="C303" s="522"/>
      <c r="D303" s="141"/>
      <c r="E303" s="594"/>
      <c r="F303" s="708"/>
      <c r="G303" s="522"/>
      <c r="H303" s="522"/>
      <c r="I303" s="86"/>
      <c r="J303" s="87"/>
      <c r="K303" s="595"/>
      <c r="L303" s="604"/>
      <c r="M303" s="846"/>
      <c r="N303" s="846"/>
      <c r="O303" s="588"/>
      <c r="P303" s="639" t="s">
        <v>548</v>
      </c>
      <c r="V303" s="526"/>
      <c r="W303" s="583">
        <f>AV300</f>
        <v>0</v>
      </c>
      <c r="X303" s="583">
        <f t="shared" ref="X303:AD303" si="710">AW300</f>
        <v>0</v>
      </c>
      <c r="Y303" s="583">
        <f t="shared" si="710"/>
        <v>0</v>
      </c>
      <c r="Z303" s="583">
        <f t="shared" si="710"/>
        <v>0</v>
      </c>
      <c r="AA303" s="583">
        <f t="shared" si="710"/>
        <v>0</v>
      </c>
      <c r="AB303" s="549">
        <f t="shared" si="710"/>
        <v>0</v>
      </c>
      <c r="AC303" s="583">
        <f t="shared" si="710"/>
        <v>0</v>
      </c>
      <c r="AD303" s="583">
        <f t="shared" si="710"/>
        <v>0</v>
      </c>
      <c r="AE303" s="583">
        <f>BD300</f>
        <v>0</v>
      </c>
      <c r="AF303" s="583">
        <f t="shared" ref="AF303:AM303" si="711">BE300</f>
        <v>0</v>
      </c>
      <c r="AG303" s="583">
        <f t="shared" si="711"/>
        <v>0</v>
      </c>
      <c r="AH303" s="583">
        <f t="shared" si="711"/>
        <v>0</v>
      </c>
      <c r="AI303" s="583">
        <f t="shared" si="711"/>
        <v>0</v>
      </c>
      <c r="AJ303" s="549">
        <f t="shared" si="711"/>
        <v>0</v>
      </c>
      <c r="AK303" s="583">
        <f t="shared" si="711"/>
        <v>0</v>
      </c>
      <c r="AL303" s="583">
        <f t="shared" si="711"/>
        <v>0</v>
      </c>
      <c r="AM303" s="583">
        <f t="shared" si="711"/>
        <v>0</v>
      </c>
      <c r="AN303" s="583">
        <f>BM300</f>
        <v>0</v>
      </c>
      <c r="AO303" s="583">
        <f t="shared" ref="AO303:AR303" si="712">BN300</f>
        <v>0</v>
      </c>
      <c r="AP303" s="583">
        <f t="shared" si="712"/>
        <v>0</v>
      </c>
      <c r="AQ303" s="583">
        <f t="shared" si="712"/>
        <v>0</v>
      </c>
      <c r="AR303" s="583">
        <f t="shared" si="712"/>
        <v>0</v>
      </c>
      <c r="AS303" s="549">
        <f>BR300</f>
        <v>0</v>
      </c>
    </row>
    <row r="304" spans="1:70" s="229" customFormat="1" ht="15" thickBot="1">
      <c r="A304" s="587"/>
      <c r="B304" s="593"/>
      <c r="C304" s="522"/>
      <c r="D304" s="141"/>
      <c r="E304" s="594"/>
      <c r="F304" s="708"/>
      <c r="G304" s="522"/>
      <c r="H304" s="522"/>
      <c r="I304" s="86"/>
      <c r="J304" s="87"/>
      <c r="K304" s="595"/>
      <c r="L304" s="616"/>
      <c r="M304" s="847"/>
      <c r="N304" s="846"/>
      <c r="O304" s="588"/>
      <c r="P304" s="641" t="s">
        <v>546</v>
      </c>
      <c r="Q304" s="546"/>
      <c r="R304" s="546"/>
      <c r="S304" s="546"/>
      <c r="T304" s="546"/>
      <c r="U304" s="546"/>
      <c r="V304" s="529"/>
      <c r="W304" s="502">
        <f t="shared" ref="W304:AS304" si="713">AV302</f>
        <v>0</v>
      </c>
      <c r="X304" s="502">
        <f t="shared" si="713"/>
        <v>0</v>
      </c>
      <c r="Y304" s="502">
        <f t="shared" si="713"/>
        <v>0</v>
      </c>
      <c r="Z304" s="502">
        <f t="shared" si="713"/>
        <v>0</v>
      </c>
      <c r="AA304" s="502">
        <f t="shared" si="713"/>
        <v>0</v>
      </c>
      <c r="AB304" s="503">
        <f t="shared" si="713"/>
        <v>0</v>
      </c>
      <c r="AC304" s="502">
        <f t="shared" si="713"/>
        <v>0</v>
      </c>
      <c r="AD304" s="502">
        <f t="shared" si="713"/>
        <v>0</v>
      </c>
      <c r="AE304" s="502">
        <f t="shared" si="713"/>
        <v>0</v>
      </c>
      <c r="AF304" s="502">
        <f t="shared" si="713"/>
        <v>0</v>
      </c>
      <c r="AG304" s="502">
        <f t="shared" si="713"/>
        <v>0</v>
      </c>
      <c r="AH304" s="502">
        <f t="shared" si="713"/>
        <v>0</v>
      </c>
      <c r="AI304" s="502">
        <f t="shared" si="713"/>
        <v>0</v>
      </c>
      <c r="AJ304" s="503">
        <f t="shared" si="713"/>
        <v>0</v>
      </c>
      <c r="AK304" s="502">
        <f t="shared" si="713"/>
        <v>0</v>
      </c>
      <c r="AL304" s="502">
        <f t="shared" si="713"/>
        <v>0</v>
      </c>
      <c r="AM304" s="502">
        <f t="shared" si="713"/>
        <v>0</v>
      </c>
      <c r="AN304" s="502">
        <f t="shared" si="713"/>
        <v>0</v>
      </c>
      <c r="AO304" s="502">
        <f t="shared" si="713"/>
        <v>0</v>
      </c>
      <c r="AP304" s="502">
        <f t="shared" si="713"/>
        <v>0</v>
      </c>
      <c r="AQ304" s="502">
        <f t="shared" si="713"/>
        <v>0</v>
      </c>
      <c r="AR304" s="502">
        <f t="shared" si="713"/>
        <v>0</v>
      </c>
      <c r="AS304" s="503">
        <f t="shared" si="713"/>
        <v>0</v>
      </c>
      <c r="AT304" s="1296"/>
      <c r="AU304" s="1296"/>
      <c r="AV304" s="514"/>
      <c r="AW304" s="514"/>
      <c r="AX304" s="514"/>
      <c r="AY304" s="514"/>
      <c r="AZ304" s="514"/>
      <c r="BA304" s="505"/>
      <c r="BB304" s="514"/>
      <c r="BC304" s="514"/>
      <c r="BD304" s="514"/>
      <c r="BE304" s="514"/>
      <c r="BF304" s="514"/>
      <c r="BG304" s="514"/>
      <c r="BH304" s="514"/>
      <c r="BI304" s="505"/>
      <c r="BJ304" s="514"/>
      <c r="BK304" s="514"/>
      <c r="BL304" s="514"/>
      <c r="BM304" s="514"/>
      <c r="BN304" s="514"/>
      <c r="BO304" s="514"/>
      <c r="BP304" s="514"/>
      <c r="BQ304" s="514"/>
      <c r="BR304" s="505"/>
    </row>
    <row r="305" spans="1:70" s="229" customFormat="1">
      <c r="A305" s="587"/>
      <c r="B305" s="593"/>
      <c r="C305" s="522"/>
      <c r="D305" s="141"/>
      <c r="E305" s="594"/>
      <c r="F305" s="708"/>
      <c r="G305" s="522"/>
      <c r="H305" s="522"/>
      <c r="I305" s="86"/>
      <c r="J305" s="87"/>
      <c r="K305" s="595"/>
      <c r="L305" s="604"/>
      <c r="M305" s="846"/>
      <c r="N305" s="846"/>
      <c r="O305" s="588"/>
      <c r="P305" s="639" t="s">
        <v>550</v>
      </c>
      <c r="Q305" s="514">
        <f t="shared" ref="Q305:R305" si="714">Q230+Q249+Q281+Q300</f>
        <v>550.23</v>
      </c>
      <c r="R305" s="514">
        <f t="shared" si="714"/>
        <v>129.33945199999999</v>
      </c>
      <c r="S305" s="514"/>
      <c r="T305" s="514">
        <f>T230+T249+T281+T300</f>
        <v>105.42598666666666</v>
      </c>
      <c r="U305" s="514">
        <f>U230+U249+U281+U300</f>
        <v>23.67741365116666</v>
      </c>
      <c r="V305" s="514">
        <f>V230+V249+V281+V300</f>
        <v>1082.0020000000002</v>
      </c>
      <c r="W305" s="514">
        <f>W230+W249+W281+W300</f>
        <v>1157.6292673941725</v>
      </c>
      <c r="X305" s="514">
        <f>X230+X249+X281+X300</f>
        <v>154.93328380387612</v>
      </c>
      <c r="Y305" s="514">
        <f t="shared" ref="Y305:AU305" si="715">Y230+Y249+Y281+Y300</f>
        <v>44.004524399196221</v>
      </c>
      <c r="Z305" s="514">
        <f t="shared" si="715"/>
        <v>42.984693290131787</v>
      </c>
      <c r="AA305" s="514">
        <f t="shared" si="715"/>
        <v>19.602264446654026</v>
      </c>
      <c r="AB305" s="506">
        <f t="shared" si="715"/>
        <v>9.2659666246272678</v>
      </c>
      <c r="AC305" s="514">
        <f t="shared" si="715"/>
        <v>1085.5889280419578</v>
      </c>
      <c r="AD305" s="514">
        <f t="shared" si="715"/>
        <v>1601.0108</v>
      </c>
      <c r="AE305" s="514">
        <f t="shared" si="715"/>
        <v>362.75740000000002</v>
      </c>
      <c r="AF305" s="514">
        <f t="shared" si="715"/>
        <v>167.20838608391608</v>
      </c>
      <c r="AG305" s="514">
        <f t="shared" si="715"/>
        <v>494.22350000000006</v>
      </c>
      <c r="AH305" s="514">
        <f t="shared" si="715"/>
        <v>6.5969049770173003</v>
      </c>
      <c r="AI305" s="514">
        <f t="shared" si="715"/>
        <v>7.1866788346515644</v>
      </c>
      <c r="AJ305" s="506">
        <f t="shared" si="715"/>
        <v>0.9622713292882944</v>
      </c>
      <c r="AK305" s="514">
        <f t="shared" si="715"/>
        <v>286.99911399906671</v>
      </c>
      <c r="AL305" s="514">
        <f t="shared" si="715"/>
        <v>0.68454768996057413</v>
      </c>
      <c r="AM305" s="514">
        <f t="shared" si="715"/>
        <v>0.44434042117662031</v>
      </c>
      <c r="AN305" s="514">
        <f t="shared" si="715"/>
        <v>5.8686912694428175</v>
      </c>
      <c r="AO305" s="514">
        <f t="shared" si="715"/>
        <v>0.70113126647804247</v>
      </c>
      <c r="AP305" s="514">
        <f t="shared" si="715"/>
        <v>198.45926783216788</v>
      </c>
      <c r="AQ305" s="514">
        <f t="shared" si="715"/>
        <v>0.68457355938672948</v>
      </c>
      <c r="AR305" s="514">
        <f t="shared" si="715"/>
        <v>39.767048670088656</v>
      </c>
      <c r="AS305" s="506">
        <f t="shared" si="715"/>
        <v>0.96673184161091541</v>
      </c>
      <c r="AT305" s="514">
        <f t="shared" si="715"/>
        <v>85.942986666666684</v>
      </c>
      <c r="AU305" s="514">
        <f t="shared" si="715"/>
        <v>105.42598666666666</v>
      </c>
      <c r="AV305" s="514"/>
      <c r="AW305" s="514"/>
      <c r="AX305" s="514"/>
      <c r="AY305" s="514"/>
      <c r="AZ305" s="514"/>
      <c r="BA305" s="505"/>
      <c r="BB305" s="514"/>
      <c r="BC305" s="514"/>
      <c r="BD305" s="514"/>
      <c r="BE305" s="514"/>
      <c r="BF305" s="514"/>
      <c r="BG305" s="514"/>
      <c r="BH305" s="514"/>
      <c r="BI305" s="505"/>
      <c r="BJ305" s="514"/>
      <c r="BK305" s="514"/>
      <c r="BL305" s="514"/>
      <c r="BM305" s="514"/>
      <c r="BN305" s="514"/>
      <c r="BO305" s="514"/>
      <c r="BP305" s="514"/>
      <c r="BQ305" s="514"/>
      <c r="BR305" s="505"/>
    </row>
    <row r="306" spans="1:70" s="229" customFormat="1">
      <c r="A306" s="587"/>
      <c r="B306" s="593"/>
      <c r="C306" s="522"/>
      <c r="D306" s="141"/>
      <c r="E306" s="594"/>
      <c r="F306" s="708"/>
      <c r="G306" s="522"/>
      <c r="H306" s="522"/>
      <c r="I306" s="86"/>
      <c r="J306" s="87"/>
      <c r="K306" s="595"/>
      <c r="L306" s="604"/>
      <c r="M306" s="846"/>
      <c r="N306" s="846"/>
      <c r="O306" s="588"/>
      <c r="P306" s="642" t="s">
        <v>549</v>
      </c>
      <c r="Q306" s="514">
        <f t="shared" ref="Q306:V306" si="716">Q233+Q252+Q284+Q303</f>
        <v>0</v>
      </c>
      <c r="R306" s="514">
        <f t="shared" si="716"/>
        <v>0</v>
      </c>
      <c r="S306" s="514"/>
      <c r="V306" s="514">
        <f t="shared" si="716"/>
        <v>0</v>
      </c>
      <c r="W306" s="514">
        <f>W233+W252+W284+W303</f>
        <v>864.56260640925268</v>
      </c>
      <c r="X306" s="514">
        <f>X233+X252+X284+X303</f>
        <v>121.63198478769135</v>
      </c>
      <c r="Y306" s="514">
        <f t="shared" ref="Y306:AS306" si="717">Y233+Y252+Y284+Y303</f>
        <v>32.663101340181271</v>
      </c>
      <c r="Z306" s="514">
        <f t="shared" si="717"/>
        <v>30.035233743474482</v>
      </c>
      <c r="AA306" s="514">
        <f t="shared" si="717"/>
        <v>14.199941906612931</v>
      </c>
      <c r="AB306" s="506">
        <f t="shared" si="717"/>
        <v>6.0337448021253657</v>
      </c>
      <c r="AC306" s="514">
        <f t="shared" si="717"/>
        <v>796.25357152355718</v>
      </c>
      <c r="AD306" s="514">
        <f t="shared" si="717"/>
        <v>1165.8506730291001</v>
      </c>
      <c r="AE306" s="514">
        <f t="shared" si="717"/>
        <v>255.58001204769533</v>
      </c>
      <c r="AF306" s="514">
        <f t="shared" si="717"/>
        <v>120.60741530031828</v>
      </c>
      <c r="AG306" s="514">
        <f t="shared" si="717"/>
        <v>354.49185363648968</v>
      </c>
      <c r="AH306" s="514">
        <f t="shared" si="717"/>
        <v>4.6338303483582646</v>
      </c>
      <c r="AI306" s="514">
        <f t="shared" si="717"/>
        <v>4.6437539390436804</v>
      </c>
      <c r="AJ306" s="506">
        <f t="shared" si="717"/>
        <v>0.67198256268991641</v>
      </c>
      <c r="AK306" s="514">
        <f t="shared" si="717"/>
        <v>206.16932343150961</v>
      </c>
      <c r="AL306" s="514">
        <f t="shared" si="717"/>
        <v>0.45124644003445413</v>
      </c>
      <c r="AM306" s="514">
        <f t="shared" si="717"/>
        <v>0.29672359430357881</v>
      </c>
      <c r="AN306" s="514">
        <f t="shared" si="717"/>
        <v>3.9220898254776322</v>
      </c>
      <c r="AO306" s="514">
        <f t="shared" si="717"/>
        <v>0.472358648223421</v>
      </c>
      <c r="AP306" s="514">
        <f t="shared" si="717"/>
        <v>143.76123162026647</v>
      </c>
      <c r="AQ306" s="514">
        <f t="shared" si="717"/>
        <v>0.48163019992037892</v>
      </c>
      <c r="AR306" s="514">
        <f t="shared" si="717"/>
        <v>29.008877688038126</v>
      </c>
      <c r="AS306" s="506">
        <f t="shared" si="717"/>
        <v>0.52995889780670347</v>
      </c>
      <c r="AV306" s="514"/>
      <c r="AW306" s="514"/>
      <c r="AX306" s="514"/>
      <c r="AY306" s="514"/>
      <c r="AZ306" s="514"/>
      <c r="BA306" s="505"/>
      <c r="BB306" s="514"/>
      <c r="BC306" s="514"/>
      <c r="BD306" s="514"/>
      <c r="BE306" s="514"/>
      <c r="BF306" s="514"/>
      <c r="BG306" s="514"/>
      <c r="BH306" s="514"/>
      <c r="BI306" s="505"/>
      <c r="BJ306" s="514"/>
      <c r="BK306" s="514"/>
      <c r="BL306" s="514"/>
      <c r="BM306" s="514"/>
      <c r="BN306" s="514"/>
      <c r="BO306" s="514"/>
      <c r="BP306" s="514"/>
      <c r="BQ306" s="514"/>
      <c r="BR306" s="505"/>
    </row>
    <row r="307" spans="1:70" s="229" customFormat="1" ht="15" thickBot="1">
      <c r="A307" s="643"/>
      <c r="B307" s="643"/>
      <c r="C307" s="643"/>
      <c r="D307" s="687"/>
      <c r="E307" s="644"/>
      <c r="F307" s="713"/>
      <c r="G307" s="645" t="s">
        <v>795</v>
      </c>
      <c r="H307" s="646"/>
      <c r="I307" s="688"/>
      <c r="J307" s="688"/>
      <c r="K307" s="643"/>
      <c r="L307" s="647"/>
      <c r="M307" s="647"/>
      <c r="N307" s="647"/>
      <c r="O307" s="648"/>
      <c r="P307" s="643"/>
      <c r="Q307" s="649"/>
      <c r="R307" s="649"/>
      <c r="S307" s="649"/>
      <c r="T307" s="649"/>
      <c r="U307" s="650"/>
      <c r="V307" s="651"/>
      <c r="W307" s="643"/>
      <c r="X307" s="643"/>
      <c r="Y307" s="643"/>
      <c r="Z307" s="643"/>
      <c r="AA307" s="652">
        <f>COUNTIF(AA308:AA327,"&lt;0")</f>
        <v>0</v>
      </c>
      <c r="AB307" s="652">
        <f t="shared" ref="AB307" si="718">COUNTIF(AB308:AB327,"&lt;0")</f>
        <v>0</v>
      </c>
      <c r="AC307" s="652">
        <f t="shared" ref="AC307" si="719">COUNTIF(AC308:AC327,"&lt;0")</f>
        <v>0</v>
      </c>
      <c r="AD307" s="652">
        <f t="shared" ref="AD307" si="720">COUNTIF(AD308:AD327,"&lt;0")</f>
        <v>0</v>
      </c>
      <c r="AE307" s="652">
        <f t="shared" ref="AE307" si="721">COUNTIF(AE308:AE327,"&lt;0")</f>
        <v>0</v>
      </c>
      <c r="AF307" s="652">
        <f t="shared" ref="AF307" si="722">COUNTIF(AF308:AF327,"&lt;0")</f>
        <v>0</v>
      </c>
      <c r="AG307" s="652">
        <f t="shared" ref="AG307" si="723">COUNTIF(AG308:AG327,"&lt;0")</f>
        <v>0</v>
      </c>
      <c r="AH307" s="652">
        <f t="shared" ref="AH307" si="724">COUNTIF(AH308:AH327,"&lt;0")</f>
        <v>0</v>
      </c>
      <c r="AI307" s="652">
        <f t="shared" ref="AI307" si="725">COUNTIF(AI308:AI327,"&lt;0")</f>
        <v>0</v>
      </c>
      <c r="AJ307" s="652">
        <f t="shared" ref="AJ307" si="726">COUNTIF(AJ308:AJ327,"&lt;0")</f>
        <v>0</v>
      </c>
      <c r="AK307" s="652">
        <f t="shared" ref="AK307" si="727">COUNTIF(AK308:AK327,"&lt;0")</f>
        <v>0</v>
      </c>
      <c r="AL307" s="652">
        <f t="shared" ref="AL307" si="728">COUNTIF(AL308:AL327,"&lt;0")</f>
        <v>0</v>
      </c>
      <c r="AM307" s="652">
        <f t="shared" ref="AM307" si="729">COUNTIF(AM308:AM327,"&lt;0")</f>
        <v>0</v>
      </c>
      <c r="AN307" s="652">
        <f t="shared" ref="AN307" si="730">COUNTIF(AN308:AN327,"&lt;0")</f>
        <v>0</v>
      </c>
      <c r="AO307" s="652">
        <f t="shared" ref="AO307" si="731">COUNTIF(AO308:AO327,"&lt;0")</f>
        <v>0</v>
      </c>
      <c r="AP307" s="652">
        <f t="shared" ref="AP307" si="732">COUNTIF(AP308:AP327,"&lt;0")</f>
        <v>0</v>
      </c>
      <c r="AQ307" s="652">
        <f t="shared" ref="AQ307" si="733">COUNTIF(AQ308:AQ327,"&lt;0")</f>
        <v>0</v>
      </c>
      <c r="AR307" s="652">
        <f t="shared" ref="AR307" si="734">COUNTIF(AR308:AR327,"&lt;0")</f>
        <v>0</v>
      </c>
      <c r="AS307" s="652">
        <f t="shared" ref="AS307" si="735">COUNTIF(AS308:AS327,"&lt;0")</f>
        <v>0</v>
      </c>
      <c r="AT307" s="1299"/>
      <c r="AU307" s="1299"/>
    </row>
    <row r="308" spans="1:70" s="229" customFormat="1" ht="15" customHeight="1" thickBot="1">
      <c r="A308" s="643"/>
      <c r="B308" s="575" t="s">
        <v>3067</v>
      </c>
      <c r="C308" s="229" t="s">
        <v>67</v>
      </c>
      <c r="D308" s="85"/>
      <c r="E308" s="577">
        <v>100</v>
      </c>
      <c r="F308" s="707"/>
      <c r="G308" s="406" t="s">
        <v>3054</v>
      </c>
      <c r="H308" s="1262" t="s">
        <v>3055</v>
      </c>
      <c r="I308" s="85">
        <v>0</v>
      </c>
      <c r="J308" s="682">
        <v>1</v>
      </c>
      <c r="K308" s="579" t="str">
        <f t="shared" ref="K308:K327" si="736">IF(I308&gt;0,1.1*Q308*E308/1000,"")</f>
        <v/>
      </c>
      <c r="L308" s="580" t="str">
        <f>IF(H308="Select ingredient:","",IF(G308="","",_xlfn.IFNA(VLOOKUP($H308,Ingredient_prices!$E:$U,16,FALSE),0)))</f>
        <v/>
      </c>
      <c r="M308" s="848"/>
      <c r="N308" s="1228">
        <f>$W329</f>
        <v>0</v>
      </c>
      <c r="O308" s="648"/>
      <c r="P308" s="653"/>
      <c r="Q308" s="583">
        <f t="shared" ref="Q308:Q327" si="737">I308/J308</f>
        <v>0</v>
      </c>
      <c r="R308" s="583">
        <f>VLOOKUP($H308,'CO2_emission+%_food_waste'!$A:$K,6,FALSE)*$Q308/100</f>
        <v>0</v>
      </c>
      <c r="S308" s="583">
        <f>Q308-R308</f>
        <v>0</v>
      </c>
      <c r="T308" s="583" t="str">
        <f>IF(H308="Select ingredient:","",IF(G308="Select food category:","",_xlfn.IFNA(VLOOKUP($H308,Ingredient_prices!$E:$U,16,FALSE)*$Q308/1000,"not bought")))</f>
        <v/>
      </c>
      <c r="U308" s="583" t="str">
        <f>IF(G308="Select food category:","",_xlfn.IFNA(VLOOKUP($H308,Ingredient_prices!$E:$U,16,FALSE)*$R308/1000,"not bought"))</f>
        <v/>
      </c>
      <c r="V308" s="549">
        <f>VLOOKUP($H308,'CO2_emission+%_food_waste'!$A:$K,4,FALSE)*$Q308</f>
        <v>0</v>
      </c>
      <c r="W308" s="583">
        <f>VLOOKUP($H308,Nutrition_tables!$A:$N,10,FALSE)*$Q308/100</f>
        <v>0</v>
      </c>
      <c r="X308" s="583">
        <f>VLOOKUP($H308,Nutrition_tables!$A:$N,11,FALSE)*$Q308/100</f>
        <v>0</v>
      </c>
      <c r="Y308" s="583">
        <f>VLOOKUP($H308,Nutrition_tables!$A:$N,12,FALSE)*$Q308/100</f>
        <v>0</v>
      </c>
      <c r="Z308" s="583">
        <f>VLOOKUP($H308,Nutrition_tables!$A:$N,14,FALSE)*$Q308/100</f>
        <v>0</v>
      </c>
      <c r="AA308" s="583">
        <f>VLOOKUP($H308,Nutrition_tables!$A:$AF,13,FALSE)*$Q308/100</f>
        <v>0</v>
      </c>
      <c r="AB308" s="549">
        <f>VLOOKUP($H308,Nutrition_tables!$A:$AF,15,FALSE)*$Q308/100</f>
        <v>0</v>
      </c>
      <c r="AC308" s="583">
        <f>VLOOKUP($H308,Nutrition_tables!$A:$AF,16,FALSE)*$Q308/100</f>
        <v>0</v>
      </c>
      <c r="AD308" s="583">
        <f>VLOOKUP($H308,Nutrition_tables!$A:$AF,17,FALSE)*$Q308/100</f>
        <v>0</v>
      </c>
      <c r="AE308" s="583">
        <f>VLOOKUP($H308,Nutrition_tables!$A:$AF,18,FALSE)*$Q308/100</f>
        <v>0</v>
      </c>
      <c r="AF308" s="583">
        <f>VLOOKUP($H308,Nutrition_tables!$A:$AF,19,FALSE)*$Q308/100</f>
        <v>0</v>
      </c>
      <c r="AG308" s="583">
        <f>VLOOKUP($H308,Nutrition_tables!$A:$AF,20,FALSE)*$Q308/100</f>
        <v>0</v>
      </c>
      <c r="AH308" s="583">
        <f>VLOOKUP($H308,Nutrition_tables!$A:$AF,21,FALSE)*$Q308/100</f>
        <v>0</v>
      </c>
      <c r="AI308" s="583">
        <f>VLOOKUP($H308,Nutrition_tables!$A:$AF,22,FALSE)*$Q308/100</f>
        <v>0</v>
      </c>
      <c r="AJ308" s="549">
        <f>VLOOKUP($H308,Nutrition_tables!$A:$AF,23,FALSE)*$Q308/100</f>
        <v>0</v>
      </c>
      <c r="AK308" s="583">
        <f>VLOOKUP($H308,Nutrition_tables!$A:$AF,24,FALSE)*$Q308/100</f>
        <v>0</v>
      </c>
      <c r="AL308" s="583">
        <f>VLOOKUP($H308,Nutrition_tables!$A:$AF,25,FALSE)*$Q308/100</f>
        <v>0</v>
      </c>
      <c r="AM308" s="583">
        <f>VLOOKUP($H308,Nutrition_tables!$A:$AF,26,FALSE)*$Q308/100</f>
        <v>0</v>
      </c>
      <c r="AN308" s="583">
        <f>VLOOKUP($H308,Nutrition_tables!$A:$AF,27,FALSE)*$Q308/100</f>
        <v>0</v>
      </c>
      <c r="AO308" s="583">
        <f>VLOOKUP($H308,Nutrition_tables!$A:$AF,28,FALSE)*$Q308/100</f>
        <v>0</v>
      </c>
      <c r="AP308" s="583">
        <f>VLOOKUP($H308,Nutrition_tables!$A:$AF,29,FALSE)*$Q308/100</f>
        <v>0</v>
      </c>
      <c r="AQ308" s="583">
        <f>VLOOKUP($H308,Nutrition_tables!$A:$AF,30,FALSE)*$Q308/100</f>
        <v>0</v>
      </c>
      <c r="AR308" s="583">
        <f>VLOOKUP($H308,Nutrition_tables!$A:$AF,31,FALSE)*$Q308/100</f>
        <v>0</v>
      </c>
      <c r="AS308" s="549">
        <f>VLOOKUP($H308,Nutrition_tables!$A:$AF,32,FALSE)*$Q308/100</f>
        <v>0</v>
      </c>
      <c r="AT308" s="583" t="str">
        <f>IF(H308="Select ingredient:","",IF(G308="Select food category:","",IFERROR(VLOOKUP($H308,Ingredient_prices!$E:$W,17,FALSE)*$Q308/1000,"not bought")))</f>
        <v/>
      </c>
      <c r="AU308" s="583" t="str">
        <f>IF(H308="Select ingredient:","",IF(G308="Select food category:","",IFERROR(VLOOKUP($H308,Ingredient_prices!$E:$W,18,FALSE)*$Q308/1000,"not bought")))</f>
        <v/>
      </c>
      <c r="AV308" s="583">
        <f t="shared" ref="AV308:AV327" si="738">W308*($Q308-$R308)/($Q308+0.00001)</f>
        <v>0</v>
      </c>
      <c r="AW308" s="583">
        <f t="shared" ref="AW308:AW327" si="739">X308*($Q308-$R308)/($Q308+0.00001)</f>
        <v>0</v>
      </c>
      <c r="AX308" s="583">
        <f t="shared" ref="AX308:AX327" si="740">Y308*($Q308-$R308)/($Q308+0.00001)</f>
        <v>0</v>
      </c>
      <c r="AY308" s="583">
        <f t="shared" ref="AY308:AY327" si="741">Z308*($Q308-$R308)/($Q308+0.00001)</f>
        <v>0</v>
      </c>
      <c r="AZ308" s="583">
        <f t="shared" ref="AZ308:AZ327" si="742">AA308*($Q308-$R308)/($Q308+0.00001)</f>
        <v>0</v>
      </c>
      <c r="BA308" s="583">
        <f t="shared" ref="BA308:BA327" si="743">AB308*($Q308-$R308)/($Q308+0.00001)</f>
        <v>0</v>
      </c>
      <c r="BB308" s="583">
        <f t="shared" ref="BB308:BB327" si="744">AC308*($Q308-$R308)/($Q308+0.00001)</f>
        <v>0</v>
      </c>
      <c r="BC308" s="583">
        <f t="shared" ref="BC308:BC327" si="745">AD308*($Q308-$R308)/($Q308+0.00001)</f>
        <v>0</v>
      </c>
      <c r="BD308" s="583">
        <f t="shared" ref="BD308:BD322" si="746">AE308*($Q308-$R308)/($Q308+0.00001)</f>
        <v>0</v>
      </c>
      <c r="BE308" s="583">
        <f t="shared" ref="BE308:BE322" si="747">AF308*($Q308-$R308)/($Q308+0.00001)</f>
        <v>0</v>
      </c>
      <c r="BF308" s="583">
        <f t="shared" ref="BF308:BF322" si="748">AG308*($Q308-$R308)/($Q308+0.00001)</f>
        <v>0</v>
      </c>
      <c r="BG308" s="583">
        <f t="shared" ref="BG308:BG322" si="749">AH308*($Q308-$R308)/($Q308+0.00001)</f>
        <v>0</v>
      </c>
      <c r="BH308" s="583">
        <f t="shared" ref="BH308:BH322" si="750">AI308*($Q308-$R308)/($Q308+0.00001)</f>
        <v>0</v>
      </c>
      <c r="BI308" s="583">
        <f t="shared" ref="BI308:BI322" si="751">AJ308*($Q308-$R308)/($Q308+0.00001)</f>
        <v>0</v>
      </c>
      <c r="BJ308" s="583">
        <f t="shared" ref="BJ308:BJ322" si="752">AK308*($Q308-$R308)/($Q308+0.00001)</f>
        <v>0</v>
      </c>
      <c r="BK308" s="583">
        <f t="shared" ref="BK308:BK322" si="753">AL308*($Q308-$R308)/($Q308+0.00001)</f>
        <v>0</v>
      </c>
      <c r="BL308" s="583">
        <f t="shared" ref="BL308:BL322" si="754">AM308*($Q308-$R308)/($Q308+0.00001)</f>
        <v>0</v>
      </c>
      <c r="BM308" s="583">
        <f t="shared" ref="BM308:BM322" si="755">AN308*($Q308-$R308)/($Q308+0.00001)</f>
        <v>0</v>
      </c>
      <c r="BN308" s="583">
        <f t="shared" ref="BN308:BN322" si="756">AO308*($Q308-$R308)/($Q308+0.00001)</f>
        <v>0</v>
      </c>
      <c r="BO308" s="583">
        <f t="shared" ref="BO308:BO322" si="757">AP308*($Q308-$R308)/($Q308+0.00001)</f>
        <v>0</v>
      </c>
      <c r="BP308" s="583">
        <f t="shared" ref="BP308:BP322" si="758">AQ308*($Q308-$R308)/($Q308+0.00001)</f>
        <v>0</v>
      </c>
      <c r="BQ308" s="583">
        <f t="shared" ref="BQ308:BQ322" si="759">AR308*($Q308-$R308)/($Q308+0.00001)</f>
        <v>0</v>
      </c>
      <c r="BR308" s="583">
        <f t="shared" ref="BR308:BR322" si="760">AS308*($Q308-$R308)/($Q308+0.00001)</f>
        <v>0</v>
      </c>
    </row>
    <row r="309" spans="1:70" s="229" customFormat="1" ht="15" customHeight="1">
      <c r="A309" s="643"/>
      <c r="D309" s="406"/>
      <c r="E309" s="576">
        <f>IF(E$308&gt;0,E$308,"")</f>
        <v>100</v>
      </c>
      <c r="F309" s="707"/>
      <c r="G309" s="406" t="s">
        <v>3054</v>
      </c>
      <c r="H309" s="1262" t="s">
        <v>3055</v>
      </c>
      <c r="I309" s="85">
        <v>0</v>
      </c>
      <c r="J309" s="682">
        <v>1</v>
      </c>
      <c r="K309" s="579" t="str">
        <f t="shared" si="736"/>
        <v/>
      </c>
      <c r="L309" s="580" t="str">
        <f>IF(H309="Select ingredient:","",IF(G309="","",_xlfn.IFNA(VLOOKUP($H309,Ingredient_prices!$E:$U,16,FALSE),0)))</f>
        <v/>
      </c>
      <c r="M309" s="848"/>
      <c r="N309" s="848"/>
      <c r="O309" s="648"/>
      <c r="P309" s="653"/>
      <c r="Q309" s="583">
        <f t="shared" si="737"/>
        <v>0</v>
      </c>
      <c r="R309" s="583">
        <f>VLOOKUP($H309,'CO2_emission+%_food_waste'!$A:$K,6,FALSE)*$Q309/100</f>
        <v>0</v>
      </c>
      <c r="S309" s="583">
        <f t="shared" ref="S309:S327" si="761">Q309-R309</f>
        <v>0</v>
      </c>
      <c r="T309" s="583" t="str">
        <f>IF(H309="Select ingredient:","",IF(G309="Select food category:","",_xlfn.IFNA(VLOOKUP($H309,Ingredient_prices!$E:$U,16,FALSE)*$Q309/1000,"not bought")))</f>
        <v/>
      </c>
      <c r="U309" s="583" t="str">
        <f>IF(G309="Select food category:","",_xlfn.IFNA(VLOOKUP($H309,Ingredient_prices!$E:$U,16,FALSE)*$R309/1000,"not bought"))</f>
        <v/>
      </c>
      <c r="V309" s="549">
        <f>VLOOKUP($H309,'CO2_emission+%_food_waste'!$A:$K,4,FALSE)*$Q309</f>
        <v>0</v>
      </c>
      <c r="W309" s="583">
        <f>VLOOKUP($H309,Nutrition_tables!$A:$N,10,FALSE)*$Q309/100</f>
        <v>0</v>
      </c>
      <c r="X309" s="583">
        <f>VLOOKUP($H309,Nutrition_tables!$A:$N,11,FALSE)*$Q309/100</f>
        <v>0</v>
      </c>
      <c r="Y309" s="583">
        <f>VLOOKUP($H309,Nutrition_tables!$A:$N,12,FALSE)*$Q309/100</f>
        <v>0</v>
      </c>
      <c r="Z309" s="583">
        <f>VLOOKUP($H309,Nutrition_tables!$A:$N,14,FALSE)*$Q309/100</f>
        <v>0</v>
      </c>
      <c r="AA309" s="583">
        <f>VLOOKUP($H309,Nutrition_tables!$A:$AF,13,FALSE)*$Q309/100</f>
        <v>0</v>
      </c>
      <c r="AB309" s="549">
        <f>VLOOKUP($H309,Nutrition_tables!$A:$AF,15,FALSE)*$Q309/100</f>
        <v>0</v>
      </c>
      <c r="AC309" s="583">
        <f>VLOOKUP($H309,Nutrition_tables!$A:$AF,16,FALSE)*$Q309/100</f>
        <v>0</v>
      </c>
      <c r="AD309" s="583">
        <f>VLOOKUP($H309,Nutrition_tables!$A:$AF,17,FALSE)*$Q309/100</f>
        <v>0</v>
      </c>
      <c r="AE309" s="583">
        <f>VLOOKUP($H309,Nutrition_tables!$A:$AF,18,FALSE)*$Q309/100</f>
        <v>0</v>
      </c>
      <c r="AF309" s="583">
        <f>VLOOKUP($H309,Nutrition_tables!$A:$AF,19,FALSE)*$Q309/100</f>
        <v>0</v>
      </c>
      <c r="AG309" s="583">
        <f>VLOOKUP($H309,Nutrition_tables!$A:$AF,20,FALSE)*$Q309/100</f>
        <v>0</v>
      </c>
      <c r="AH309" s="583">
        <f>VLOOKUP($H309,Nutrition_tables!$A:$AF,21,FALSE)*$Q309/100</f>
        <v>0</v>
      </c>
      <c r="AI309" s="583">
        <f>VLOOKUP($H309,Nutrition_tables!$A:$AF,22,FALSE)*$Q309/100</f>
        <v>0</v>
      </c>
      <c r="AJ309" s="549">
        <f>VLOOKUP($H309,Nutrition_tables!$A:$AF,23,FALSE)*$Q309/100</f>
        <v>0</v>
      </c>
      <c r="AK309" s="583">
        <f>VLOOKUP($H309,Nutrition_tables!$A:$AF,24,FALSE)*$Q309/100</f>
        <v>0</v>
      </c>
      <c r="AL309" s="583">
        <f>VLOOKUP($H309,Nutrition_tables!$A:$AF,25,FALSE)*$Q309/100</f>
        <v>0</v>
      </c>
      <c r="AM309" s="583">
        <f>VLOOKUP($H309,Nutrition_tables!$A:$AF,26,FALSE)*$Q309/100</f>
        <v>0</v>
      </c>
      <c r="AN309" s="583">
        <f>VLOOKUP($H309,Nutrition_tables!$A:$AF,27,FALSE)*$Q309/100</f>
        <v>0</v>
      </c>
      <c r="AO309" s="583">
        <f>VLOOKUP($H309,Nutrition_tables!$A:$AF,28,FALSE)*$Q309/100</f>
        <v>0</v>
      </c>
      <c r="AP309" s="583">
        <f>VLOOKUP($H309,Nutrition_tables!$A:$AF,29,FALSE)*$Q309/100</f>
        <v>0</v>
      </c>
      <c r="AQ309" s="583">
        <f>VLOOKUP($H309,Nutrition_tables!$A:$AF,30,FALSE)*$Q309/100</f>
        <v>0</v>
      </c>
      <c r="AR309" s="583">
        <f>VLOOKUP($H309,Nutrition_tables!$A:$AF,31,FALSE)*$Q309/100</f>
        <v>0</v>
      </c>
      <c r="AS309" s="549">
        <f>VLOOKUP($H309,Nutrition_tables!$A:$AF,32,FALSE)*$Q309/100</f>
        <v>0</v>
      </c>
      <c r="AT309" s="583" t="str">
        <f>IF(H309="Select ingredient:","",IF(G309="Select food category:","",IFERROR(VLOOKUP($H309,Ingredient_prices!$E:$W,17,FALSE)*$Q309/1000,"not bought")))</f>
        <v/>
      </c>
      <c r="AU309" s="583" t="str">
        <f>IF(H309="Select ingredient:","",IF(G309="Select food category:","",IFERROR(VLOOKUP($H309,Ingredient_prices!$E:$W,18,FALSE)*$Q309/1000,"not bought")))</f>
        <v/>
      </c>
      <c r="AV309" s="583">
        <f t="shared" si="738"/>
        <v>0</v>
      </c>
      <c r="AW309" s="583">
        <f t="shared" si="739"/>
        <v>0</v>
      </c>
      <c r="AX309" s="583">
        <f t="shared" si="740"/>
        <v>0</v>
      </c>
      <c r="AY309" s="583">
        <f t="shared" si="741"/>
        <v>0</v>
      </c>
      <c r="AZ309" s="583">
        <f t="shared" si="742"/>
        <v>0</v>
      </c>
      <c r="BA309" s="583">
        <f t="shared" si="743"/>
        <v>0</v>
      </c>
      <c r="BB309" s="583">
        <f t="shared" si="744"/>
        <v>0</v>
      </c>
      <c r="BC309" s="583">
        <f t="shared" si="745"/>
        <v>0</v>
      </c>
      <c r="BD309" s="583">
        <f t="shared" si="746"/>
        <v>0</v>
      </c>
      <c r="BE309" s="583">
        <f t="shared" si="747"/>
        <v>0</v>
      </c>
      <c r="BF309" s="583">
        <f t="shared" si="748"/>
        <v>0</v>
      </c>
      <c r="BG309" s="583">
        <f t="shared" si="749"/>
        <v>0</v>
      </c>
      <c r="BH309" s="583">
        <f t="shared" si="750"/>
        <v>0</v>
      </c>
      <c r="BI309" s="583">
        <f t="shared" si="751"/>
        <v>0</v>
      </c>
      <c r="BJ309" s="583">
        <f t="shared" si="752"/>
        <v>0</v>
      </c>
      <c r="BK309" s="583">
        <f t="shared" si="753"/>
        <v>0</v>
      </c>
      <c r="BL309" s="583">
        <f t="shared" si="754"/>
        <v>0</v>
      </c>
      <c r="BM309" s="583">
        <f t="shared" si="755"/>
        <v>0</v>
      </c>
      <c r="BN309" s="583">
        <f t="shared" si="756"/>
        <v>0</v>
      </c>
      <c r="BO309" s="583">
        <f t="shared" si="757"/>
        <v>0</v>
      </c>
      <c r="BP309" s="583">
        <f t="shared" si="758"/>
        <v>0</v>
      </c>
      <c r="BQ309" s="583">
        <f t="shared" si="759"/>
        <v>0</v>
      </c>
      <c r="BR309" s="583">
        <f t="shared" si="760"/>
        <v>0</v>
      </c>
    </row>
    <row r="310" spans="1:70" s="229" customFormat="1" ht="15" customHeight="1">
      <c r="A310" s="643"/>
      <c r="D310" s="406"/>
      <c r="E310" s="576">
        <f t="shared" ref="E310:E327" si="762">IF(E$308&gt;0,E$308,"")</f>
        <v>100</v>
      </c>
      <c r="F310" s="707"/>
      <c r="G310" s="406" t="s">
        <v>3054</v>
      </c>
      <c r="H310" s="1262" t="s">
        <v>3055</v>
      </c>
      <c r="I310" s="85">
        <v>0</v>
      </c>
      <c r="J310" s="682">
        <v>1</v>
      </c>
      <c r="K310" s="579" t="str">
        <f t="shared" si="736"/>
        <v/>
      </c>
      <c r="L310" s="580" t="str">
        <f>IF(H310="Select ingredient:","",IF(G310="","",_xlfn.IFNA(VLOOKUP($H310,Ingredient_prices!$E:$U,16,FALSE),0)))</f>
        <v/>
      </c>
      <c r="M310" s="848"/>
      <c r="N310" s="848"/>
      <c r="O310" s="648"/>
      <c r="P310" s="653"/>
      <c r="Q310" s="583">
        <f t="shared" si="737"/>
        <v>0</v>
      </c>
      <c r="R310" s="583">
        <f>VLOOKUP($H310,'CO2_emission+%_food_waste'!$A:$K,6,FALSE)*$Q310/100</f>
        <v>0</v>
      </c>
      <c r="S310" s="583">
        <f t="shared" si="761"/>
        <v>0</v>
      </c>
      <c r="T310" s="583" t="str">
        <f>IF(H310="Select ingredient:","",IF(G310="Select food category:","",_xlfn.IFNA(VLOOKUP($H310,Ingredient_prices!$E:$U,16,FALSE)*$Q310/1000,"not bought")))</f>
        <v/>
      </c>
      <c r="U310" s="583" t="str">
        <f>IF(G310="Select food category:","",_xlfn.IFNA(VLOOKUP($H310,Ingredient_prices!$E:$U,16,FALSE)*$R310/1000,"not bought"))</f>
        <v/>
      </c>
      <c r="V310" s="549">
        <f>VLOOKUP($H310,'CO2_emission+%_food_waste'!$A:$K,4,FALSE)*$Q310</f>
        <v>0</v>
      </c>
      <c r="W310" s="583">
        <f>VLOOKUP($H310,Nutrition_tables!$A:$N,10,FALSE)*$Q310/100</f>
        <v>0</v>
      </c>
      <c r="X310" s="583">
        <f>VLOOKUP($H310,Nutrition_tables!$A:$N,11,FALSE)*$Q310/100</f>
        <v>0</v>
      </c>
      <c r="Y310" s="583">
        <f>VLOOKUP($H310,Nutrition_tables!$A:$N,12,FALSE)*$Q310/100</f>
        <v>0</v>
      </c>
      <c r="Z310" s="583">
        <f>VLOOKUP($H310,Nutrition_tables!$A:$N,14,FALSE)*$Q310/100</f>
        <v>0</v>
      </c>
      <c r="AA310" s="583">
        <f>VLOOKUP($H310,Nutrition_tables!$A:$AF,13,FALSE)*$Q310/100</f>
        <v>0</v>
      </c>
      <c r="AB310" s="549">
        <f>VLOOKUP($H310,Nutrition_tables!$A:$AF,15,FALSE)*$Q310/100</f>
        <v>0</v>
      </c>
      <c r="AC310" s="583">
        <f>VLOOKUP($H310,Nutrition_tables!$A:$AF,16,FALSE)*$Q310/100</f>
        <v>0</v>
      </c>
      <c r="AD310" s="583">
        <f>VLOOKUP($H310,Nutrition_tables!$A:$AF,17,FALSE)*$Q310/100</f>
        <v>0</v>
      </c>
      <c r="AE310" s="583">
        <f>VLOOKUP($H310,Nutrition_tables!$A:$AF,18,FALSE)*$Q310/100</f>
        <v>0</v>
      </c>
      <c r="AF310" s="583">
        <f>VLOOKUP($H310,Nutrition_tables!$A:$AF,19,FALSE)*$Q310/100</f>
        <v>0</v>
      </c>
      <c r="AG310" s="583">
        <f>VLOOKUP($H310,Nutrition_tables!$A:$AF,20,FALSE)*$Q310/100</f>
        <v>0</v>
      </c>
      <c r="AH310" s="583">
        <f>VLOOKUP($H310,Nutrition_tables!$A:$AF,21,FALSE)*$Q310/100</f>
        <v>0</v>
      </c>
      <c r="AI310" s="583">
        <f>VLOOKUP($H310,Nutrition_tables!$A:$AF,22,FALSE)*$Q310/100</f>
        <v>0</v>
      </c>
      <c r="AJ310" s="549">
        <f>VLOOKUP($H310,Nutrition_tables!$A:$AF,23,FALSE)*$Q310/100</f>
        <v>0</v>
      </c>
      <c r="AK310" s="583">
        <f>VLOOKUP($H310,Nutrition_tables!$A:$AF,24,FALSE)*$Q310/100</f>
        <v>0</v>
      </c>
      <c r="AL310" s="583">
        <f>VLOOKUP($H310,Nutrition_tables!$A:$AF,25,FALSE)*$Q310/100</f>
        <v>0</v>
      </c>
      <c r="AM310" s="583">
        <f>VLOOKUP($H310,Nutrition_tables!$A:$AF,26,FALSE)*$Q310/100</f>
        <v>0</v>
      </c>
      <c r="AN310" s="583">
        <f>VLOOKUP($H310,Nutrition_tables!$A:$AF,27,FALSE)*$Q310/100</f>
        <v>0</v>
      </c>
      <c r="AO310" s="583">
        <f>VLOOKUP($H310,Nutrition_tables!$A:$AF,28,FALSE)*$Q310/100</f>
        <v>0</v>
      </c>
      <c r="AP310" s="583">
        <f>VLOOKUP($H310,Nutrition_tables!$A:$AF,29,FALSE)*$Q310/100</f>
        <v>0</v>
      </c>
      <c r="AQ310" s="583">
        <f>VLOOKUP($H310,Nutrition_tables!$A:$AF,30,FALSE)*$Q310/100</f>
        <v>0</v>
      </c>
      <c r="AR310" s="583">
        <f>VLOOKUP($H310,Nutrition_tables!$A:$AF,31,FALSE)*$Q310/100</f>
        <v>0</v>
      </c>
      <c r="AS310" s="549">
        <f>VLOOKUP($H310,Nutrition_tables!$A:$AF,32,FALSE)*$Q310/100</f>
        <v>0</v>
      </c>
      <c r="AT310" s="583" t="str">
        <f>IF(H310="Select ingredient:","",IF(G310="Select food category:","",IFERROR(VLOOKUP($H310,Ingredient_prices!$E:$W,17,FALSE)*$Q310/1000,"not bought")))</f>
        <v/>
      </c>
      <c r="AU310" s="583" t="str">
        <f>IF(H310="Select ingredient:","",IF(G310="Select food category:","",IFERROR(VLOOKUP($H310,Ingredient_prices!$E:$W,18,FALSE)*$Q310/1000,"not bought")))</f>
        <v/>
      </c>
      <c r="AV310" s="583">
        <f t="shared" si="738"/>
        <v>0</v>
      </c>
      <c r="AW310" s="583">
        <f t="shared" si="739"/>
        <v>0</v>
      </c>
      <c r="AX310" s="583">
        <f t="shared" si="740"/>
        <v>0</v>
      </c>
      <c r="AY310" s="583">
        <f t="shared" si="741"/>
        <v>0</v>
      </c>
      <c r="AZ310" s="583">
        <f t="shared" si="742"/>
        <v>0</v>
      </c>
      <c r="BA310" s="583">
        <f t="shared" si="743"/>
        <v>0</v>
      </c>
      <c r="BB310" s="583">
        <f t="shared" si="744"/>
        <v>0</v>
      </c>
      <c r="BC310" s="583">
        <f t="shared" si="745"/>
        <v>0</v>
      </c>
      <c r="BD310" s="583">
        <f t="shared" si="746"/>
        <v>0</v>
      </c>
      <c r="BE310" s="583">
        <f t="shared" si="747"/>
        <v>0</v>
      </c>
      <c r="BF310" s="583">
        <f t="shared" si="748"/>
        <v>0</v>
      </c>
      <c r="BG310" s="583">
        <f t="shared" si="749"/>
        <v>0</v>
      </c>
      <c r="BH310" s="583">
        <f t="shared" si="750"/>
        <v>0</v>
      </c>
      <c r="BI310" s="583">
        <f t="shared" si="751"/>
        <v>0</v>
      </c>
      <c r="BJ310" s="583">
        <f t="shared" si="752"/>
        <v>0</v>
      </c>
      <c r="BK310" s="583">
        <f t="shared" si="753"/>
        <v>0</v>
      </c>
      <c r="BL310" s="583">
        <f t="shared" si="754"/>
        <v>0</v>
      </c>
      <c r="BM310" s="583">
        <f t="shared" si="755"/>
        <v>0</v>
      </c>
      <c r="BN310" s="583">
        <f t="shared" si="756"/>
        <v>0</v>
      </c>
      <c r="BO310" s="583">
        <f t="shared" si="757"/>
        <v>0</v>
      </c>
      <c r="BP310" s="583">
        <f t="shared" si="758"/>
        <v>0</v>
      </c>
      <c r="BQ310" s="583">
        <f t="shared" si="759"/>
        <v>0</v>
      </c>
      <c r="BR310" s="583">
        <f t="shared" si="760"/>
        <v>0</v>
      </c>
    </row>
    <row r="311" spans="1:70" s="229" customFormat="1" ht="15" customHeight="1">
      <c r="A311" s="643"/>
      <c r="D311" s="85"/>
      <c r="E311" s="576">
        <f t="shared" si="762"/>
        <v>100</v>
      </c>
      <c r="F311" s="707"/>
      <c r="G311" s="406" t="s">
        <v>3054</v>
      </c>
      <c r="H311" s="1262" t="s">
        <v>3055</v>
      </c>
      <c r="I311" s="85">
        <v>0</v>
      </c>
      <c r="J311" s="682">
        <v>1</v>
      </c>
      <c r="K311" s="579" t="str">
        <f t="shared" si="736"/>
        <v/>
      </c>
      <c r="L311" s="580" t="str">
        <f>IF(H311="Select ingredient:","",IF(G311="","",_xlfn.IFNA(VLOOKUP($H311,Ingredient_prices!$E:$U,16,FALSE),0)))</f>
        <v/>
      </c>
      <c r="M311" s="848"/>
      <c r="N311" s="848"/>
      <c r="O311" s="648"/>
      <c r="P311" s="653"/>
      <c r="Q311" s="583">
        <f t="shared" si="737"/>
        <v>0</v>
      </c>
      <c r="R311" s="583">
        <f>VLOOKUP($H311,'CO2_emission+%_food_waste'!$A:$K,6,FALSE)*$Q311/100</f>
        <v>0</v>
      </c>
      <c r="S311" s="583">
        <f t="shared" si="761"/>
        <v>0</v>
      </c>
      <c r="T311" s="583" t="str">
        <f>IF(H311="Select ingredient:","",IF(G311="Select food category:","",_xlfn.IFNA(VLOOKUP($H311,Ingredient_prices!$E:$U,16,FALSE)*$Q311/1000,"not bought")))</f>
        <v/>
      </c>
      <c r="U311" s="583" t="str">
        <f>IF(G311="Select food category:","",_xlfn.IFNA(VLOOKUP($H311,Ingredient_prices!$E:$U,16,FALSE)*$R311/1000,"not bought"))</f>
        <v/>
      </c>
      <c r="V311" s="549">
        <f>VLOOKUP($H311,'CO2_emission+%_food_waste'!$A:$K,4,FALSE)*$Q311</f>
        <v>0</v>
      </c>
      <c r="W311" s="583">
        <f>VLOOKUP($H311,Nutrition_tables!$A:$N,10,FALSE)*$Q311/100</f>
        <v>0</v>
      </c>
      <c r="X311" s="583">
        <f>VLOOKUP($H311,Nutrition_tables!$A:$N,11,FALSE)*$Q311/100</f>
        <v>0</v>
      </c>
      <c r="Y311" s="583">
        <f>VLOOKUP($H311,Nutrition_tables!$A:$N,12,FALSE)*$Q311/100</f>
        <v>0</v>
      </c>
      <c r="Z311" s="583">
        <f>VLOOKUP($H311,Nutrition_tables!$A:$N,14,FALSE)*$Q311/100</f>
        <v>0</v>
      </c>
      <c r="AA311" s="583">
        <f>VLOOKUP($H311,Nutrition_tables!$A:$AF,13,FALSE)*$Q311/100</f>
        <v>0</v>
      </c>
      <c r="AB311" s="549">
        <f>VLOOKUP($H311,Nutrition_tables!$A:$AF,15,FALSE)*$Q311/100</f>
        <v>0</v>
      </c>
      <c r="AC311" s="583">
        <f>VLOOKUP($H311,Nutrition_tables!$A:$AF,16,FALSE)*$Q311/100</f>
        <v>0</v>
      </c>
      <c r="AD311" s="583">
        <f>VLOOKUP($H311,Nutrition_tables!$A:$AF,17,FALSE)*$Q311/100</f>
        <v>0</v>
      </c>
      <c r="AE311" s="583">
        <f>VLOOKUP($H311,Nutrition_tables!$A:$AF,18,FALSE)*$Q311/100</f>
        <v>0</v>
      </c>
      <c r="AF311" s="583">
        <f>VLOOKUP($H311,Nutrition_tables!$A:$AF,19,FALSE)*$Q311/100</f>
        <v>0</v>
      </c>
      <c r="AG311" s="583">
        <f>VLOOKUP($H311,Nutrition_tables!$A:$AF,20,FALSE)*$Q311/100</f>
        <v>0</v>
      </c>
      <c r="AH311" s="583">
        <f>VLOOKUP($H311,Nutrition_tables!$A:$AF,21,FALSE)*$Q311/100</f>
        <v>0</v>
      </c>
      <c r="AI311" s="583">
        <f>VLOOKUP($H311,Nutrition_tables!$A:$AF,22,FALSE)*$Q311/100</f>
        <v>0</v>
      </c>
      <c r="AJ311" s="549">
        <f>VLOOKUP($H311,Nutrition_tables!$A:$AF,23,FALSE)*$Q311/100</f>
        <v>0</v>
      </c>
      <c r="AK311" s="583">
        <f>VLOOKUP($H311,Nutrition_tables!$A:$AF,24,FALSE)*$Q311/100</f>
        <v>0</v>
      </c>
      <c r="AL311" s="583">
        <f>VLOOKUP($H311,Nutrition_tables!$A:$AF,25,FALSE)*$Q311/100</f>
        <v>0</v>
      </c>
      <c r="AM311" s="583">
        <f>VLOOKUP($H311,Nutrition_tables!$A:$AF,26,FALSE)*$Q311/100</f>
        <v>0</v>
      </c>
      <c r="AN311" s="583">
        <f>VLOOKUP($H311,Nutrition_tables!$A:$AF,27,FALSE)*$Q311/100</f>
        <v>0</v>
      </c>
      <c r="AO311" s="583">
        <f>VLOOKUP($H311,Nutrition_tables!$A:$AF,28,FALSE)*$Q311/100</f>
        <v>0</v>
      </c>
      <c r="AP311" s="583">
        <f>VLOOKUP($H311,Nutrition_tables!$A:$AF,29,FALSE)*$Q311/100</f>
        <v>0</v>
      </c>
      <c r="AQ311" s="583">
        <f>VLOOKUP($H311,Nutrition_tables!$A:$AF,30,FALSE)*$Q311/100</f>
        <v>0</v>
      </c>
      <c r="AR311" s="583">
        <f>VLOOKUP($H311,Nutrition_tables!$A:$AF,31,FALSE)*$Q311/100</f>
        <v>0</v>
      </c>
      <c r="AS311" s="549">
        <f>VLOOKUP($H311,Nutrition_tables!$A:$AF,32,FALSE)*$Q311/100</f>
        <v>0</v>
      </c>
      <c r="AT311" s="583" t="str">
        <f>IF(H311="Select ingredient:","",IF(G311="Select food category:","",IFERROR(VLOOKUP($H311,Ingredient_prices!$E:$W,17,FALSE)*$Q311/1000,"not bought")))</f>
        <v/>
      </c>
      <c r="AU311" s="583" t="str">
        <f>IF(H311="Select ingredient:","",IF(G311="Select food category:","",IFERROR(VLOOKUP($H311,Ingredient_prices!$E:$W,18,FALSE)*$Q311/1000,"not bought")))</f>
        <v/>
      </c>
      <c r="AV311" s="583">
        <f t="shared" si="738"/>
        <v>0</v>
      </c>
      <c r="AW311" s="583">
        <f t="shared" si="739"/>
        <v>0</v>
      </c>
      <c r="AX311" s="583">
        <f t="shared" si="740"/>
        <v>0</v>
      </c>
      <c r="AY311" s="583">
        <f t="shared" si="741"/>
        <v>0</v>
      </c>
      <c r="AZ311" s="583">
        <f t="shared" si="742"/>
        <v>0</v>
      </c>
      <c r="BA311" s="583">
        <f t="shared" si="743"/>
        <v>0</v>
      </c>
      <c r="BB311" s="583">
        <f t="shared" si="744"/>
        <v>0</v>
      </c>
      <c r="BC311" s="583">
        <f t="shared" si="745"/>
        <v>0</v>
      </c>
      <c r="BD311" s="583">
        <f t="shared" si="746"/>
        <v>0</v>
      </c>
      <c r="BE311" s="583">
        <f t="shared" si="747"/>
        <v>0</v>
      </c>
      <c r="BF311" s="583">
        <f t="shared" si="748"/>
        <v>0</v>
      </c>
      <c r="BG311" s="583">
        <f t="shared" si="749"/>
        <v>0</v>
      </c>
      <c r="BH311" s="583">
        <f t="shared" si="750"/>
        <v>0</v>
      </c>
      <c r="BI311" s="583">
        <f t="shared" si="751"/>
        <v>0</v>
      </c>
      <c r="BJ311" s="583">
        <f t="shared" si="752"/>
        <v>0</v>
      </c>
      <c r="BK311" s="583">
        <f t="shared" si="753"/>
        <v>0</v>
      </c>
      <c r="BL311" s="583">
        <f t="shared" si="754"/>
        <v>0</v>
      </c>
      <c r="BM311" s="583">
        <f t="shared" si="755"/>
        <v>0</v>
      </c>
      <c r="BN311" s="583">
        <f t="shared" si="756"/>
        <v>0</v>
      </c>
      <c r="BO311" s="583">
        <f t="shared" si="757"/>
        <v>0</v>
      </c>
      <c r="BP311" s="583">
        <f t="shared" si="758"/>
        <v>0</v>
      </c>
      <c r="BQ311" s="583">
        <f t="shared" si="759"/>
        <v>0</v>
      </c>
      <c r="BR311" s="583">
        <f t="shared" si="760"/>
        <v>0</v>
      </c>
    </row>
    <row r="312" spans="1:70" s="229" customFormat="1" ht="15" customHeight="1">
      <c r="A312" s="643"/>
      <c r="D312" s="85"/>
      <c r="E312" s="576">
        <f t="shared" si="762"/>
        <v>100</v>
      </c>
      <c r="F312" s="707"/>
      <c r="G312" s="406" t="s">
        <v>3054</v>
      </c>
      <c r="H312" s="1262" t="s">
        <v>3055</v>
      </c>
      <c r="I312" s="85">
        <v>0</v>
      </c>
      <c r="J312" s="682">
        <v>1</v>
      </c>
      <c r="K312" s="579" t="str">
        <f t="shared" si="736"/>
        <v/>
      </c>
      <c r="L312" s="580" t="str">
        <f>IF(H312="Select ingredient:","",IF(G312="","",_xlfn.IFNA(VLOOKUP($H312,Ingredient_prices!$E:$U,16,FALSE),0)))</f>
        <v/>
      </c>
      <c r="M312" s="848"/>
      <c r="N312" s="848"/>
      <c r="O312" s="648"/>
      <c r="P312" s="653"/>
      <c r="Q312" s="583">
        <f t="shared" si="737"/>
        <v>0</v>
      </c>
      <c r="R312" s="583">
        <f>VLOOKUP($H312,'CO2_emission+%_food_waste'!$A:$K,6,FALSE)*$Q312/100</f>
        <v>0</v>
      </c>
      <c r="S312" s="583">
        <f t="shared" si="761"/>
        <v>0</v>
      </c>
      <c r="T312" s="583" t="str">
        <f>IF(H312="Select ingredient:","",IF(G312="Select food category:","",_xlfn.IFNA(VLOOKUP($H312,Ingredient_prices!$E:$U,16,FALSE)*$Q312/1000,"not bought")))</f>
        <v/>
      </c>
      <c r="U312" s="583" t="str">
        <f>IF(G312="Select food category:","",_xlfn.IFNA(VLOOKUP($H312,Ingredient_prices!$E:$U,16,FALSE)*$R312/1000,"not bought"))</f>
        <v/>
      </c>
      <c r="V312" s="549">
        <f>VLOOKUP($H312,'CO2_emission+%_food_waste'!$A:$K,4,FALSE)*$Q312</f>
        <v>0</v>
      </c>
      <c r="W312" s="583">
        <f>VLOOKUP($H312,Nutrition_tables!$A:$N,10,FALSE)*$Q312/100</f>
        <v>0</v>
      </c>
      <c r="X312" s="583">
        <f>VLOOKUP($H312,Nutrition_tables!$A:$N,11,FALSE)*$Q312/100</f>
        <v>0</v>
      </c>
      <c r="Y312" s="583">
        <f>VLOOKUP($H312,Nutrition_tables!$A:$N,12,FALSE)*$Q312/100</f>
        <v>0</v>
      </c>
      <c r="Z312" s="583">
        <f>VLOOKUP($H312,Nutrition_tables!$A:$N,14,FALSE)*$Q312/100</f>
        <v>0</v>
      </c>
      <c r="AA312" s="583">
        <f>VLOOKUP($H312,Nutrition_tables!$A:$AF,13,FALSE)*$Q312/100</f>
        <v>0</v>
      </c>
      <c r="AB312" s="549">
        <f>VLOOKUP($H312,Nutrition_tables!$A:$AF,15,FALSE)*$Q312/100</f>
        <v>0</v>
      </c>
      <c r="AC312" s="583">
        <f>VLOOKUP($H312,Nutrition_tables!$A:$AF,16,FALSE)*$Q312/100</f>
        <v>0</v>
      </c>
      <c r="AD312" s="583">
        <f>VLOOKUP($H312,Nutrition_tables!$A:$AF,17,FALSE)*$Q312/100</f>
        <v>0</v>
      </c>
      <c r="AE312" s="583">
        <f>VLOOKUP($H312,Nutrition_tables!$A:$AF,18,FALSE)*$Q312/100</f>
        <v>0</v>
      </c>
      <c r="AF312" s="583">
        <f>VLOOKUP($H312,Nutrition_tables!$A:$AF,19,FALSE)*$Q312/100</f>
        <v>0</v>
      </c>
      <c r="AG312" s="583">
        <f>VLOOKUP($H312,Nutrition_tables!$A:$AF,20,FALSE)*$Q312/100</f>
        <v>0</v>
      </c>
      <c r="AH312" s="583">
        <f>VLOOKUP($H312,Nutrition_tables!$A:$AF,21,FALSE)*$Q312/100</f>
        <v>0</v>
      </c>
      <c r="AI312" s="583">
        <f>VLOOKUP($H312,Nutrition_tables!$A:$AF,22,FALSE)*$Q312/100</f>
        <v>0</v>
      </c>
      <c r="AJ312" s="549">
        <f>VLOOKUP($H312,Nutrition_tables!$A:$AF,23,FALSE)*$Q312/100</f>
        <v>0</v>
      </c>
      <c r="AK312" s="583">
        <f>VLOOKUP($H312,Nutrition_tables!$A:$AF,24,FALSE)*$Q312/100</f>
        <v>0</v>
      </c>
      <c r="AL312" s="583">
        <f>VLOOKUP($H312,Nutrition_tables!$A:$AF,25,FALSE)*$Q312/100</f>
        <v>0</v>
      </c>
      <c r="AM312" s="583">
        <f>VLOOKUP($H312,Nutrition_tables!$A:$AF,26,FALSE)*$Q312/100</f>
        <v>0</v>
      </c>
      <c r="AN312" s="583">
        <f>VLOOKUP($H312,Nutrition_tables!$A:$AF,27,FALSE)*$Q312/100</f>
        <v>0</v>
      </c>
      <c r="AO312" s="583">
        <f>VLOOKUP($H312,Nutrition_tables!$A:$AF,28,FALSE)*$Q312/100</f>
        <v>0</v>
      </c>
      <c r="AP312" s="583">
        <f>VLOOKUP($H312,Nutrition_tables!$A:$AF,29,FALSE)*$Q312/100</f>
        <v>0</v>
      </c>
      <c r="AQ312" s="583">
        <f>VLOOKUP($H312,Nutrition_tables!$A:$AF,30,FALSE)*$Q312/100</f>
        <v>0</v>
      </c>
      <c r="AR312" s="583">
        <f>VLOOKUP($H312,Nutrition_tables!$A:$AF,31,FALSE)*$Q312/100</f>
        <v>0</v>
      </c>
      <c r="AS312" s="549">
        <f>VLOOKUP($H312,Nutrition_tables!$A:$AF,32,FALSE)*$Q312/100</f>
        <v>0</v>
      </c>
      <c r="AT312" s="583" t="str">
        <f>IF(H312="Select ingredient:","",IF(G312="Select food category:","",IFERROR(VLOOKUP($H312,Ingredient_prices!$E:$W,17,FALSE)*$Q312/1000,"not bought")))</f>
        <v/>
      </c>
      <c r="AU312" s="583" t="str">
        <f>IF(H312="Select ingredient:","",IF(G312="Select food category:","",IFERROR(VLOOKUP($H312,Ingredient_prices!$E:$W,18,FALSE)*$Q312/1000,"not bought")))</f>
        <v/>
      </c>
      <c r="AV312" s="583">
        <f t="shared" si="738"/>
        <v>0</v>
      </c>
      <c r="AW312" s="583">
        <f t="shared" si="739"/>
        <v>0</v>
      </c>
      <c r="AX312" s="583">
        <f t="shared" si="740"/>
        <v>0</v>
      </c>
      <c r="AY312" s="583">
        <f t="shared" si="741"/>
        <v>0</v>
      </c>
      <c r="AZ312" s="583">
        <f t="shared" si="742"/>
        <v>0</v>
      </c>
      <c r="BA312" s="583">
        <f t="shared" si="743"/>
        <v>0</v>
      </c>
      <c r="BB312" s="583">
        <f t="shared" si="744"/>
        <v>0</v>
      </c>
      <c r="BC312" s="583">
        <f t="shared" si="745"/>
        <v>0</v>
      </c>
      <c r="BD312" s="583">
        <f t="shared" si="746"/>
        <v>0</v>
      </c>
      <c r="BE312" s="583">
        <f t="shared" si="747"/>
        <v>0</v>
      </c>
      <c r="BF312" s="583">
        <f t="shared" si="748"/>
        <v>0</v>
      </c>
      <c r="BG312" s="583">
        <f t="shared" si="749"/>
        <v>0</v>
      </c>
      <c r="BH312" s="583">
        <f t="shared" si="750"/>
        <v>0</v>
      </c>
      <c r="BI312" s="583">
        <f t="shared" si="751"/>
        <v>0</v>
      </c>
      <c r="BJ312" s="583">
        <f t="shared" si="752"/>
        <v>0</v>
      </c>
      <c r="BK312" s="583">
        <f t="shared" si="753"/>
        <v>0</v>
      </c>
      <c r="BL312" s="583">
        <f t="shared" si="754"/>
        <v>0</v>
      </c>
      <c r="BM312" s="583">
        <f t="shared" si="755"/>
        <v>0</v>
      </c>
      <c r="BN312" s="583">
        <f t="shared" si="756"/>
        <v>0</v>
      </c>
      <c r="BO312" s="583">
        <f t="shared" si="757"/>
        <v>0</v>
      </c>
      <c r="BP312" s="583">
        <f t="shared" si="758"/>
        <v>0</v>
      </c>
      <c r="BQ312" s="583">
        <f t="shared" si="759"/>
        <v>0</v>
      </c>
      <c r="BR312" s="583">
        <f t="shared" si="760"/>
        <v>0</v>
      </c>
    </row>
    <row r="313" spans="1:70" s="229" customFormat="1" ht="15" customHeight="1">
      <c r="A313" s="643"/>
      <c r="D313" s="85"/>
      <c r="E313" s="576">
        <f t="shared" si="762"/>
        <v>100</v>
      </c>
      <c r="F313" s="707"/>
      <c r="G313" s="406" t="s">
        <v>3054</v>
      </c>
      <c r="H313" s="1262" t="s">
        <v>3055</v>
      </c>
      <c r="I313" s="85">
        <v>0</v>
      </c>
      <c r="J313" s="682">
        <v>1</v>
      </c>
      <c r="K313" s="579" t="str">
        <f t="shared" si="736"/>
        <v/>
      </c>
      <c r="L313" s="580" t="str">
        <f>IF(H313="Select ingredient:","",IF(G313="","",_xlfn.IFNA(VLOOKUP($H313,Ingredient_prices!$E:$U,16,FALSE),0)))</f>
        <v/>
      </c>
      <c r="M313" s="848"/>
      <c r="N313" s="848"/>
      <c r="O313" s="648"/>
      <c r="P313" s="653"/>
      <c r="Q313" s="583">
        <f t="shared" si="737"/>
        <v>0</v>
      </c>
      <c r="R313" s="583">
        <f>VLOOKUP($H313,'CO2_emission+%_food_waste'!$A:$K,6,FALSE)*$Q313/100</f>
        <v>0</v>
      </c>
      <c r="S313" s="583">
        <f t="shared" si="761"/>
        <v>0</v>
      </c>
      <c r="T313" s="583" t="str">
        <f>IF(H313="Select ingredient:","",IF(G313="Select food category:","",_xlfn.IFNA(VLOOKUP($H313,Ingredient_prices!$E:$U,16,FALSE)*$Q313/1000,"not bought")))</f>
        <v/>
      </c>
      <c r="U313" s="583" t="str">
        <f>IF(G313="Select food category:","",_xlfn.IFNA(VLOOKUP($H313,Ingredient_prices!$E:$U,16,FALSE)*$R313/1000,"not bought"))</f>
        <v/>
      </c>
      <c r="V313" s="549">
        <f>VLOOKUP($H313,'CO2_emission+%_food_waste'!$A:$K,4,FALSE)*$Q313</f>
        <v>0</v>
      </c>
      <c r="W313" s="583">
        <f>VLOOKUP($H313,Nutrition_tables!$A:$N,10,FALSE)*$Q313/100</f>
        <v>0</v>
      </c>
      <c r="X313" s="583">
        <f>VLOOKUP($H313,Nutrition_tables!$A:$N,11,FALSE)*$Q313/100</f>
        <v>0</v>
      </c>
      <c r="Y313" s="583">
        <f>VLOOKUP($H313,Nutrition_tables!$A:$N,12,FALSE)*$Q313/100</f>
        <v>0</v>
      </c>
      <c r="Z313" s="583">
        <f>VLOOKUP($H313,Nutrition_tables!$A:$N,14,FALSE)*$Q313/100</f>
        <v>0</v>
      </c>
      <c r="AA313" s="583">
        <f>VLOOKUP($H313,Nutrition_tables!$A:$AF,13,FALSE)*$Q313/100</f>
        <v>0</v>
      </c>
      <c r="AB313" s="549">
        <f>VLOOKUP($H313,Nutrition_tables!$A:$AF,15,FALSE)*$Q313/100</f>
        <v>0</v>
      </c>
      <c r="AC313" s="583">
        <f>VLOOKUP($H313,Nutrition_tables!$A:$AF,16,FALSE)*$Q313/100</f>
        <v>0</v>
      </c>
      <c r="AD313" s="583">
        <f>VLOOKUP($H313,Nutrition_tables!$A:$AF,17,FALSE)*$Q313/100</f>
        <v>0</v>
      </c>
      <c r="AE313" s="583">
        <f>VLOOKUP($H313,Nutrition_tables!$A:$AF,18,FALSE)*$Q313/100</f>
        <v>0</v>
      </c>
      <c r="AF313" s="583">
        <f>VLOOKUP($H313,Nutrition_tables!$A:$AF,19,FALSE)*$Q313/100</f>
        <v>0</v>
      </c>
      <c r="AG313" s="583">
        <f>VLOOKUP($H313,Nutrition_tables!$A:$AF,20,FALSE)*$Q313/100</f>
        <v>0</v>
      </c>
      <c r="AH313" s="583">
        <f>VLOOKUP($H313,Nutrition_tables!$A:$AF,21,FALSE)*$Q313/100</f>
        <v>0</v>
      </c>
      <c r="AI313" s="583">
        <f>VLOOKUP($H313,Nutrition_tables!$A:$AF,22,FALSE)*$Q313/100</f>
        <v>0</v>
      </c>
      <c r="AJ313" s="549">
        <f>VLOOKUP($H313,Nutrition_tables!$A:$AF,23,FALSE)*$Q313/100</f>
        <v>0</v>
      </c>
      <c r="AK313" s="583">
        <f>VLOOKUP($H313,Nutrition_tables!$A:$AF,24,FALSE)*$Q313/100</f>
        <v>0</v>
      </c>
      <c r="AL313" s="583">
        <f>VLOOKUP($H313,Nutrition_tables!$A:$AF,25,FALSE)*$Q313/100</f>
        <v>0</v>
      </c>
      <c r="AM313" s="583">
        <f>VLOOKUP($H313,Nutrition_tables!$A:$AF,26,FALSE)*$Q313/100</f>
        <v>0</v>
      </c>
      <c r="AN313" s="583">
        <f>VLOOKUP($H313,Nutrition_tables!$A:$AF,27,FALSE)*$Q313/100</f>
        <v>0</v>
      </c>
      <c r="AO313" s="583">
        <f>VLOOKUP($H313,Nutrition_tables!$A:$AF,28,FALSE)*$Q313/100</f>
        <v>0</v>
      </c>
      <c r="AP313" s="583">
        <f>VLOOKUP($H313,Nutrition_tables!$A:$AF,29,FALSE)*$Q313/100</f>
        <v>0</v>
      </c>
      <c r="AQ313" s="583">
        <f>VLOOKUP($H313,Nutrition_tables!$A:$AF,30,FALSE)*$Q313/100</f>
        <v>0</v>
      </c>
      <c r="AR313" s="583">
        <f>VLOOKUP($H313,Nutrition_tables!$A:$AF,31,FALSE)*$Q313/100</f>
        <v>0</v>
      </c>
      <c r="AS313" s="549">
        <f>VLOOKUP($H313,Nutrition_tables!$A:$AF,32,FALSE)*$Q313/100</f>
        <v>0</v>
      </c>
      <c r="AT313" s="583" t="str">
        <f>IF(H313="Select ingredient:","",IF(G313="Select food category:","",IFERROR(VLOOKUP($H313,Ingredient_prices!$E:$W,17,FALSE)*$Q313/1000,"not bought")))</f>
        <v/>
      </c>
      <c r="AU313" s="583" t="str">
        <f>IF(H313="Select ingredient:","",IF(G313="Select food category:","",IFERROR(VLOOKUP($H313,Ingredient_prices!$E:$W,18,FALSE)*$Q313/1000,"not bought")))</f>
        <v/>
      </c>
      <c r="AV313" s="583">
        <f t="shared" si="738"/>
        <v>0</v>
      </c>
      <c r="AW313" s="583">
        <f t="shared" si="739"/>
        <v>0</v>
      </c>
      <c r="AX313" s="583">
        <f t="shared" si="740"/>
        <v>0</v>
      </c>
      <c r="AY313" s="583">
        <f t="shared" si="741"/>
        <v>0</v>
      </c>
      <c r="AZ313" s="583">
        <f t="shared" si="742"/>
        <v>0</v>
      </c>
      <c r="BA313" s="583">
        <f t="shared" si="743"/>
        <v>0</v>
      </c>
      <c r="BB313" s="583">
        <f t="shared" si="744"/>
        <v>0</v>
      </c>
      <c r="BC313" s="583">
        <f t="shared" si="745"/>
        <v>0</v>
      </c>
      <c r="BD313" s="583">
        <f t="shared" si="746"/>
        <v>0</v>
      </c>
      <c r="BE313" s="583">
        <f t="shared" si="747"/>
        <v>0</v>
      </c>
      <c r="BF313" s="583">
        <f t="shared" si="748"/>
        <v>0</v>
      </c>
      <c r="BG313" s="583">
        <f t="shared" si="749"/>
        <v>0</v>
      </c>
      <c r="BH313" s="583">
        <f t="shared" si="750"/>
        <v>0</v>
      </c>
      <c r="BI313" s="583">
        <f t="shared" si="751"/>
        <v>0</v>
      </c>
      <c r="BJ313" s="583">
        <f t="shared" si="752"/>
        <v>0</v>
      </c>
      <c r="BK313" s="583">
        <f t="shared" si="753"/>
        <v>0</v>
      </c>
      <c r="BL313" s="583">
        <f t="shared" si="754"/>
        <v>0</v>
      </c>
      <c r="BM313" s="583">
        <f t="shared" si="755"/>
        <v>0</v>
      </c>
      <c r="BN313" s="583">
        <f t="shared" si="756"/>
        <v>0</v>
      </c>
      <c r="BO313" s="583">
        <f t="shared" si="757"/>
        <v>0</v>
      </c>
      <c r="BP313" s="583">
        <f t="shared" si="758"/>
        <v>0</v>
      </c>
      <c r="BQ313" s="583">
        <f t="shared" si="759"/>
        <v>0</v>
      </c>
      <c r="BR313" s="583">
        <f t="shared" si="760"/>
        <v>0</v>
      </c>
    </row>
    <row r="314" spans="1:70" s="229" customFormat="1" ht="15" customHeight="1">
      <c r="A314" s="643"/>
      <c r="D314" s="85"/>
      <c r="E314" s="576">
        <f t="shared" si="762"/>
        <v>100</v>
      </c>
      <c r="F314" s="707"/>
      <c r="G314" s="406" t="s">
        <v>3054</v>
      </c>
      <c r="H314" s="1262" t="s">
        <v>3055</v>
      </c>
      <c r="I314" s="85">
        <v>0</v>
      </c>
      <c r="J314" s="682">
        <v>1</v>
      </c>
      <c r="K314" s="579" t="str">
        <f t="shared" si="736"/>
        <v/>
      </c>
      <c r="L314" s="580" t="str">
        <f>IF(H314="Select ingredient:","",IF(G314="","",_xlfn.IFNA(VLOOKUP($H314,Ingredient_prices!$E:$U,16,FALSE),0)))</f>
        <v/>
      </c>
      <c r="M314" s="848"/>
      <c r="N314" s="848"/>
      <c r="O314" s="648"/>
      <c r="P314" s="653"/>
      <c r="Q314" s="583">
        <f t="shared" si="737"/>
        <v>0</v>
      </c>
      <c r="R314" s="583">
        <f>VLOOKUP($H314,'CO2_emission+%_food_waste'!$A:$K,6,FALSE)*$Q314/100</f>
        <v>0</v>
      </c>
      <c r="S314" s="583">
        <f t="shared" si="761"/>
        <v>0</v>
      </c>
      <c r="T314" s="583" t="str">
        <f>IF(H314="Select ingredient:","",IF(G314="Select food category:","",_xlfn.IFNA(VLOOKUP($H314,Ingredient_prices!$E:$U,16,FALSE)*$Q314/1000,"not bought")))</f>
        <v/>
      </c>
      <c r="U314" s="583" t="str">
        <f>IF(G314="Select food category:","",_xlfn.IFNA(VLOOKUP($H314,Ingredient_prices!$E:$U,16,FALSE)*$R314/1000,"not bought"))</f>
        <v/>
      </c>
      <c r="V314" s="549">
        <f>VLOOKUP($H314,'CO2_emission+%_food_waste'!$A:$K,4,FALSE)*$Q314</f>
        <v>0</v>
      </c>
      <c r="W314" s="583">
        <f>VLOOKUP($H314,Nutrition_tables!$A:$N,10,FALSE)*$Q314/100</f>
        <v>0</v>
      </c>
      <c r="X314" s="583">
        <f>VLOOKUP($H314,Nutrition_tables!$A:$N,11,FALSE)*$Q314/100</f>
        <v>0</v>
      </c>
      <c r="Y314" s="583">
        <f>VLOOKUP($H314,Nutrition_tables!$A:$N,12,FALSE)*$Q314/100</f>
        <v>0</v>
      </c>
      <c r="Z314" s="583">
        <f>VLOOKUP($H314,Nutrition_tables!$A:$N,14,FALSE)*$Q314/100</f>
        <v>0</v>
      </c>
      <c r="AA314" s="583">
        <f>VLOOKUP($H314,Nutrition_tables!$A:$AF,13,FALSE)*$Q314/100</f>
        <v>0</v>
      </c>
      <c r="AB314" s="549">
        <f>VLOOKUP($H314,Nutrition_tables!$A:$AF,15,FALSE)*$Q314/100</f>
        <v>0</v>
      </c>
      <c r="AC314" s="583">
        <f>VLOOKUP($H314,Nutrition_tables!$A:$AF,16,FALSE)*$Q314/100</f>
        <v>0</v>
      </c>
      <c r="AD314" s="583">
        <f>VLOOKUP($H314,Nutrition_tables!$A:$AF,17,FALSE)*$Q314/100</f>
        <v>0</v>
      </c>
      <c r="AE314" s="583">
        <f>VLOOKUP($H314,Nutrition_tables!$A:$AF,18,FALSE)*$Q314/100</f>
        <v>0</v>
      </c>
      <c r="AF314" s="583">
        <f>VLOOKUP($H314,Nutrition_tables!$A:$AF,19,FALSE)*$Q314/100</f>
        <v>0</v>
      </c>
      <c r="AG314" s="583">
        <f>VLOOKUP($H314,Nutrition_tables!$A:$AF,20,FALSE)*$Q314/100</f>
        <v>0</v>
      </c>
      <c r="AH314" s="583">
        <f>VLOOKUP($H314,Nutrition_tables!$A:$AF,21,FALSE)*$Q314/100</f>
        <v>0</v>
      </c>
      <c r="AI314" s="583">
        <f>VLOOKUP($H314,Nutrition_tables!$A:$AF,22,FALSE)*$Q314/100</f>
        <v>0</v>
      </c>
      <c r="AJ314" s="549">
        <f>VLOOKUP($H314,Nutrition_tables!$A:$AF,23,FALSE)*$Q314/100</f>
        <v>0</v>
      </c>
      <c r="AK314" s="583">
        <f>VLOOKUP($H314,Nutrition_tables!$A:$AF,24,FALSE)*$Q314/100</f>
        <v>0</v>
      </c>
      <c r="AL314" s="583">
        <f>VLOOKUP($H314,Nutrition_tables!$A:$AF,25,FALSE)*$Q314/100</f>
        <v>0</v>
      </c>
      <c r="AM314" s="583">
        <f>VLOOKUP($H314,Nutrition_tables!$A:$AF,26,FALSE)*$Q314/100</f>
        <v>0</v>
      </c>
      <c r="AN314" s="583">
        <f>VLOOKUP($H314,Nutrition_tables!$A:$AF,27,FALSE)*$Q314/100</f>
        <v>0</v>
      </c>
      <c r="AO314" s="583">
        <f>VLOOKUP($H314,Nutrition_tables!$A:$AF,28,FALSE)*$Q314/100</f>
        <v>0</v>
      </c>
      <c r="AP314" s="583">
        <f>VLOOKUP($H314,Nutrition_tables!$A:$AF,29,FALSE)*$Q314/100</f>
        <v>0</v>
      </c>
      <c r="AQ314" s="583">
        <f>VLOOKUP($H314,Nutrition_tables!$A:$AF,30,FALSE)*$Q314/100</f>
        <v>0</v>
      </c>
      <c r="AR314" s="583">
        <f>VLOOKUP($H314,Nutrition_tables!$A:$AF,31,FALSE)*$Q314/100</f>
        <v>0</v>
      </c>
      <c r="AS314" s="549">
        <f>VLOOKUP($H314,Nutrition_tables!$A:$AF,32,FALSE)*$Q314/100</f>
        <v>0</v>
      </c>
      <c r="AT314" s="583" t="str">
        <f>IF(H314="Select ingredient:","",IF(G314="Select food category:","",IFERROR(VLOOKUP($H314,Ingredient_prices!$E:$W,17,FALSE)*$Q314/1000,"not bought")))</f>
        <v/>
      </c>
      <c r="AU314" s="583" t="str">
        <f>IF(H314="Select ingredient:","",IF(G314="Select food category:","",IFERROR(VLOOKUP($H314,Ingredient_prices!$E:$W,18,FALSE)*$Q314/1000,"not bought")))</f>
        <v/>
      </c>
      <c r="AV314" s="583">
        <f t="shared" si="738"/>
        <v>0</v>
      </c>
      <c r="AW314" s="583">
        <f t="shared" si="739"/>
        <v>0</v>
      </c>
      <c r="AX314" s="583">
        <f t="shared" si="740"/>
        <v>0</v>
      </c>
      <c r="AY314" s="583">
        <f t="shared" si="741"/>
        <v>0</v>
      </c>
      <c r="AZ314" s="583">
        <f t="shared" si="742"/>
        <v>0</v>
      </c>
      <c r="BA314" s="583">
        <f t="shared" si="743"/>
        <v>0</v>
      </c>
      <c r="BB314" s="583">
        <f t="shared" si="744"/>
        <v>0</v>
      </c>
      <c r="BC314" s="583">
        <f t="shared" si="745"/>
        <v>0</v>
      </c>
      <c r="BD314" s="583">
        <f t="shared" si="746"/>
        <v>0</v>
      </c>
      <c r="BE314" s="583">
        <f t="shared" si="747"/>
        <v>0</v>
      </c>
      <c r="BF314" s="583">
        <f t="shared" si="748"/>
        <v>0</v>
      </c>
      <c r="BG314" s="583">
        <f t="shared" si="749"/>
        <v>0</v>
      </c>
      <c r="BH314" s="583">
        <f t="shared" si="750"/>
        <v>0</v>
      </c>
      <c r="BI314" s="583">
        <f t="shared" si="751"/>
        <v>0</v>
      </c>
      <c r="BJ314" s="583">
        <f t="shared" si="752"/>
        <v>0</v>
      </c>
      <c r="BK314" s="583">
        <f t="shared" si="753"/>
        <v>0</v>
      </c>
      <c r="BL314" s="583">
        <f t="shared" si="754"/>
        <v>0</v>
      </c>
      <c r="BM314" s="583">
        <f t="shared" si="755"/>
        <v>0</v>
      </c>
      <c r="BN314" s="583">
        <f t="shared" si="756"/>
        <v>0</v>
      </c>
      <c r="BO314" s="583">
        <f t="shared" si="757"/>
        <v>0</v>
      </c>
      <c r="BP314" s="583">
        <f t="shared" si="758"/>
        <v>0</v>
      </c>
      <c r="BQ314" s="583">
        <f t="shared" si="759"/>
        <v>0</v>
      </c>
      <c r="BR314" s="583">
        <f t="shared" si="760"/>
        <v>0</v>
      </c>
    </row>
    <row r="315" spans="1:70" s="229" customFormat="1" ht="15" customHeight="1">
      <c r="A315" s="643"/>
      <c r="D315" s="85"/>
      <c r="E315" s="576">
        <f t="shared" si="762"/>
        <v>100</v>
      </c>
      <c r="F315" s="707"/>
      <c r="G315" s="406" t="s">
        <v>3054</v>
      </c>
      <c r="H315" s="1262" t="s">
        <v>3055</v>
      </c>
      <c r="I315" s="85">
        <v>0</v>
      </c>
      <c r="J315" s="682">
        <v>1</v>
      </c>
      <c r="K315" s="579" t="str">
        <f t="shared" si="736"/>
        <v/>
      </c>
      <c r="L315" s="580" t="str">
        <f>IF(H315="Select ingredient:","",IF(G315="","",_xlfn.IFNA(VLOOKUP($H315,Ingredient_prices!$E:$U,16,FALSE),0)))</f>
        <v/>
      </c>
      <c r="M315" s="848"/>
      <c r="N315" s="848"/>
      <c r="O315" s="648"/>
      <c r="P315" s="653"/>
      <c r="Q315" s="583">
        <f t="shared" si="737"/>
        <v>0</v>
      </c>
      <c r="R315" s="583">
        <f>VLOOKUP($H315,'CO2_emission+%_food_waste'!$A:$K,6,FALSE)*$Q315/100</f>
        <v>0</v>
      </c>
      <c r="S315" s="583">
        <f t="shared" si="761"/>
        <v>0</v>
      </c>
      <c r="T315" s="583" t="str">
        <f>IF(H315="Select ingredient:","",IF(G315="Select food category:","",_xlfn.IFNA(VLOOKUP($H315,Ingredient_prices!$E:$U,16,FALSE)*$Q315/1000,"not bought")))</f>
        <v/>
      </c>
      <c r="U315" s="583" t="str">
        <f>IF(G315="Select food category:","",_xlfn.IFNA(VLOOKUP($H315,Ingredient_prices!$E:$U,16,FALSE)*$R315/1000,"not bought"))</f>
        <v/>
      </c>
      <c r="V315" s="549">
        <f>VLOOKUP($H315,'CO2_emission+%_food_waste'!$A:$K,4,FALSE)*$Q315</f>
        <v>0</v>
      </c>
      <c r="W315" s="583">
        <f>VLOOKUP($H315,Nutrition_tables!$A:$N,10,FALSE)*$Q315/100</f>
        <v>0</v>
      </c>
      <c r="X315" s="583">
        <f>VLOOKUP($H315,Nutrition_tables!$A:$N,11,FALSE)*$Q315/100</f>
        <v>0</v>
      </c>
      <c r="Y315" s="583">
        <f>VLOOKUP($H315,Nutrition_tables!$A:$N,12,FALSE)*$Q315/100</f>
        <v>0</v>
      </c>
      <c r="Z315" s="583">
        <f>VLOOKUP($H315,Nutrition_tables!$A:$N,14,FALSE)*$Q315/100</f>
        <v>0</v>
      </c>
      <c r="AA315" s="583">
        <f>VLOOKUP($H315,Nutrition_tables!$A:$AF,13,FALSE)*$Q315/100</f>
        <v>0</v>
      </c>
      <c r="AB315" s="549">
        <f>VLOOKUP($H315,Nutrition_tables!$A:$AF,15,FALSE)*$Q315/100</f>
        <v>0</v>
      </c>
      <c r="AC315" s="583">
        <f>VLOOKUP($H315,Nutrition_tables!$A:$AF,16,FALSE)*$Q315/100</f>
        <v>0</v>
      </c>
      <c r="AD315" s="583">
        <f>VLOOKUP($H315,Nutrition_tables!$A:$AF,17,FALSE)*$Q315/100</f>
        <v>0</v>
      </c>
      <c r="AE315" s="583">
        <f>VLOOKUP($H315,Nutrition_tables!$A:$AF,18,FALSE)*$Q315/100</f>
        <v>0</v>
      </c>
      <c r="AF315" s="583">
        <f>VLOOKUP($H315,Nutrition_tables!$A:$AF,19,FALSE)*$Q315/100</f>
        <v>0</v>
      </c>
      <c r="AG315" s="583">
        <f>VLOOKUP($H315,Nutrition_tables!$A:$AF,20,FALSE)*$Q315/100</f>
        <v>0</v>
      </c>
      <c r="AH315" s="583">
        <f>VLOOKUP($H315,Nutrition_tables!$A:$AF,21,FALSE)*$Q315/100</f>
        <v>0</v>
      </c>
      <c r="AI315" s="583">
        <f>VLOOKUP($H315,Nutrition_tables!$A:$AF,22,FALSE)*$Q315/100</f>
        <v>0</v>
      </c>
      <c r="AJ315" s="549">
        <f>VLOOKUP($H315,Nutrition_tables!$A:$AF,23,FALSE)*$Q315/100</f>
        <v>0</v>
      </c>
      <c r="AK315" s="583">
        <f>VLOOKUP($H315,Nutrition_tables!$A:$AF,24,FALSE)*$Q315/100</f>
        <v>0</v>
      </c>
      <c r="AL315" s="583">
        <f>VLOOKUP($H315,Nutrition_tables!$A:$AF,25,FALSE)*$Q315/100</f>
        <v>0</v>
      </c>
      <c r="AM315" s="583">
        <f>VLOOKUP($H315,Nutrition_tables!$A:$AF,26,FALSE)*$Q315/100</f>
        <v>0</v>
      </c>
      <c r="AN315" s="583">
        <f>VLOOKUP($H315,Nutrition_tables!$A:$AF,27,FALSE)*$Q315/100</f>
        <v>0</v>
      </c>
      <c r="AO315" s="583">
        <f>VLOOKUP($H315,Nutrition_tables!$A:$AF,28,FALSE)*$Q315/100</f>
        <v>0</v>
      </c>
      <c r="AP315" s="583">
        <f>VLOOKUP($H315,Nutrition_tables!$A:$AF,29,FALSE)*$Q315/100</f>
        <v>0</v>
      </c>
      <c r="AQ315" s="583">
        <f>VLOOKUP($H315,Nutrition_tables!$A:$AF,30,FALSE)*$Q315/100</f>
        <v>0</v>
      </c>
      <c r="AR315" s="583">
        <f>VLOOKUP($H315,Nutrition_tables!$A:$AF,31,FALSE)*$Q315/100</f>
        <v>0</v>
      </c>
      <c r="AS315" s="549">
        <f>VLOOKUP($H315,Nutrition_tables!$A:$AF,32,FALSE)*$Q315/100</f>
        <v>0</v>
      </c>
      <c r="AT315" s="583" t="str">
        <f>IF(H315="Select ingredient:","",IF(G315="Select food category:","",IFERROR(VLOOKUP($H315,Ingredient_prices!$E:$W,17,FALSE)*$Q315/1000,"not bought")))</f>
        <v/>
      </c>
      <c r="AU315" s="583" t="str">
        <f>IF(H315="Select ingredient:","",IF(G315="Select food category:","",IFERROR(VLOOKUP($H315,Ingredient_prices!$E:$W,18,FALSE)*$Q315/1000,"not bought")))</f>
        <v/>
      </c>
      <c r="AV315" s="583">
        <f t="shared" si="738"/>
        <v>0</v>
      </c>
      <c r="AW315" s="583">
        <f t="shared" si="739"/>
        <v>0</v>
      </c>
      <c r="AX315" s="583">
        <f t="shared" si="740"/>
        <v>0</v>
      </c>
      <c r="AY315" s="583">
        <f t="shared" si="741"/>
        <v>0</v>
      </c>
      <c r="AZ315" s="583">
        <f t="shared" si="742"/>
        <v>0</v>
      </c>
      <c r="BA315" s="583">
        <f t="shared" si="743"/>
        <v>0</v>
      </c>
      <c r="BB315" s="583">
        <f t="shared" si="744"/>
        <v>0</v>
      </c>
      <c r="BC315" s="583">
        <f t="shared" si="745"/>
        <v>0</v>
      </c>
      <c r="BD315" s="583">
        <f t="shared" si="746"/>
        <v>0</v>
      </c>
      <c r="BE315" s="583">
        <f t="shared" si="747"/>
        <v>0</v>
      </c>
      <c r="BF315" s="583">
        <f t="shared" si="748"/>
        <v>0</v>
      </c>
      <c r="BG315" s="583">
        <f t="shared" si="749"/>
        <v>0</v>
      </c>
      <c r="BH315" s="583">
        <f t="shared" si="750"/>
        <v>0</v>
      </c>
      <c r="BI315" s="583">
        <f t="shared" si="751"/>
        <v>0</v>
      </c>
      <c r="BJ315" s="583">
        <f t="shared" si="752"/>
        <v>0</v>
      </c>
      <c r="BK315" s="583">
        <f t="shared" si="753"/>
        <v>0</v>
      </c>
      <c r="BL315" s="583">
        <f t="shared" si="754"/>
        <v>0</v>
      </c>
      <c r="BM315" s="583">
        <f t="shared" si="755"/>
        <v>0</v>
      </c>
      <c r="BN315" s="583">
        <f t="shared" si="756"/>
        <v>0</v>
      </c>
      <c r="BO315" s="583">
        <f t="shared" si="757"/>
        <v>0</v>
      </c>
      <c r="BP315" s="583">
        <f t="shared" si="758"/>
        <v>0</v>
      </c>
      <c r="BQ315" s="583">
        <f t="shared" si="759"/>
        <v>0</v>
      </c>
      <c r="BR315" s="583">
        <f t="shared" si="760"/>
        <v>0</v>
      </c>
    </row>
    <row r="316" spans="1:70" s="229" customFormat="1" ht="15" customHeight="1">
      <c r="A316" s="643"/>
      <c r="D316" s="85"/>
      <c r="E316" s="576">
        <f t="shared" si="762"/>
        <v>100</v>
      </c>
      <c r="F316" s="707"/>
      <c r="G316" s="406" t="s">
        <v>3054</v>
      </c>
      <c r="H316" s="1262" t="s">
        <v>3055</v>
      </c>
      <c r="I316" s="85">
        <v>0</v>
      </c>
      <c r="J316" s="682">
        <v>1</v>
      </c>
      <c r="K316" s="579" t="str">
        <f t="shared" si="736"/>
        <v/>
      </c>
      <c r="L316" s="580" t="str">
        <f>IF(H316="Select ingredient:","",IF(G316="","",_xlfn.IFNA(VLOOKUP($H316,Ingredient_prices!$E:$U,16,FALSE),0)))</f>
        <v/>
      </c>
      <c r="M316" s="848"/>
      <c r="N316" s="848"/>
      <c r="O316" s="648"/>
      <c r="P316" s="653"/>
      <c r="Q316" s="583">
        <f t="shared" si="737"/>
        <v>0</v>
      </c>
      <c r="R316" s="583">
        <f>VLOOKUP($H316,'CO2_emission+%_food_waste'!$A:$K,6,FALSE)*$Q316/100</f>
        <v>0</v>
      </c>
      <c r="S316" s="583">
        <f t="shared" si="761"/>
        <v>0</v>
      </c>
      <c r="T316" s="583" t="str">
        <f>IF(H316="Select ingredient:","",IF(G316="Select food category:","",_xlfn.IFNA(VLOOKUP($H316,Ingredient_prices!$E:$U,16,FALSE)*$Q316/1000,"not bought")))</f>
        <v/>
      </c>
      <c r="U316" s="583" t="str">
        <f>IF(G316="Select food category:","",_xlfn.IFNA(VLOOKUP($H316,Ingredient_prices!$E:$U,16,FALSE)*$R316/1000,"not bought"))</f>
        <v/>
      </c>
      <c r="V316" s="549">
        <f>VLOOKUP($H316,'CO2_emission+%_food_waste'!$A:$K,4,FALSE)*$Q316</f>
        <v>0</v>
      </c>
      <c r="W316" s="583">
        <f>VLOOKUP($H316,Nutrition_tables!$A:$N,10,FALSE)*$Q316/100</f>
        <v>0</v>
      </c>
      <c r="X316" s="583">
        <f>VLOOKUP($H316,Nutrition_tables!$A:$N,11,FALSE)*$Q316/100</f>
        <v>0</v>
      </c>
      <c r="Y316" s="583">
        <f>VLOOKUP($H316,Nutrition_tables!$A:$N,12,FALSE)*$Q316/100</f>
        <v>0</v>
      </c>
      <c r="Z316" s="583">
        <f>VLOOKUP($H316,Nutrition_tables!$A:$N,14,FALSE)*$Q316/100</f>
        <v>0</v>
      </c>
      <c r="AA316" s="583">
        <f>VLOOKUP($H316,Nutrition_tables!$A:$AF,13,FALSE)*$Q316/100</f>
        <v>0</v>
      </c>
      <c r="AB316" s="549">
        <f>VLOOKUP($H316,Nutrition_tables!$A:$AF,15,FALSE)*$Q316/100</f>
        <v>0</v>
      </c>
      <c r="AC316" s="583">
        <f>VLOOKUP($H316,Nutrition_tables!$A:$AF,16,FALSE)*$Q316/100</f>
        <v>0</v>
      </c>
      <c r="AD316" s="583">
        <f>VLOOKUP($H316,Nutrition_tables!$A:$AF,17,FALSE)*$Q316/100</f>
        <v>0</v>
      </c>
      <c r="AE316" s="583">
        <f>VLOOKUP($H316,Nutrition_tables!$A:$AF,18,FALSE)*$Q316/100</f>
        <v>0</v>
      </c>
      <c r="AF316" s="583">
        <f>VLOOKUP($H316,Nutrition_tables!$A:$AF,19,FALSE)*$Q316/100</f>
        <v>0</v>
      </c>
      <c r="AG316" s="583">
        <f>VLOOKUP($H316,Nutrition_tables!$A:$AF,20,FALSE)*$Q316/100</f>
        <v>0</v>
      </c>
      <c r="AH316" s="583">
        <f>VLOOKUP($H316,Nutrition_tables!$A:$AF,21,FALSE)*$Q316/100</f>
        <v>0</v>
      </c>
      <c r="AI316" s="583">
        <f>VLOOKUP($H316,Nutrition_tables!$A:$AF,22,FALSE)*$Q316/100</f>
        <v>0</v>
      </c>
      <c r="AJ316" s="549">
        <f>VLOOKUP($H316,Nutrition_tables!$A:$AF,23,FALSE)*$Q316/100</f>
        <v>0</v>
      </c>
      <c r="AK316" s="583">
        <f>VLOOKUP($H316,Nutrition_tables!$A:$AF,24,FALSE)*$Q316/100</f>
        <v>0</v>
      </c>
      <c r="AL316" s="583">
        <f>VLOOKUP($H316,Nutrition_tables!$A:$AF,25,FALSE)*$Q316/100</f>
        <v>0</v>
      </c>
      <c r="AM316" s="583">
        <f>VLOOKUP($H316,Nutrition_tables!$A:$AF,26,FALSE)*$Q316/100</f>
        <v>0</v>
      </c>
      <c r="AN316" s="583">
        <f>VLOOKUP($H316,Nutrition_tables!$A:$AF,27,FALSE)*$Q316/100</f>
        <v>0</v>
      </c>
      <c r="AO316" s="583">
        <f>VLOOKUP($H316,Nutrition_tables!$A:$AF,28,FALSE)*$Q316/100</f>
        <v>0</v>
      </c>
      <c r="AP316" s="583">
        <f>VLOOKUP($H316,Nutrition_tables!$A:$AF,29,FALSE)*$Q316/100</f>
        <v>0</v>
      </c>
      <c r="AQ316" s="583">
        <f>VLOOKUP($H316,Nutrition_tables!$A:$AF,30,FALSE)*$Q316/100</f>
        <v>0</v>
      </c>
      <c r="AR316" s="583">
        <f>VLOOKUP($H316,Nutrition_tables!$A:$AF,31,FALSE)*$Q316/100</f>
        <v>0</v>
      </c>
      <c r="AS316" s="549">
        <f>VLOOKUP($H316,Nutrition_tables!$A:$AF,32,FALSE)*$Q316/100</f>
        <v>0</v>
      </c>
      <c r="AT316" s="583" t="str">
        <f>IF(H316="Select ingredient:","",IF(G316="Select food category:","",IFERROR(VLOOKUP($H316,Ingredient_prices!$E:$W,17,FALSE)*$Q316/1000,"not bought")))</f>
        <v/>
      </c>
      <c r="AU316" s="583" t="str">
        <f>IF(H316="Select ingredient:","",IF(G316="Select food category:","",IFERROR(VLOOKUP($H316,Ingredient_prices!$E:$W,18,FALSE)*$Q316/1000,"not bought")))</f>
        <v/>
      </c>
      <c r="AV316" s="583">
        <f t="shared" si="738"/>
        <v>0</v>
      </c>
      <c r="AW316" s="583">
        <f t="shared" si="739"/>
        <v>0</v>
      </c>
      <c r="AX316" s="583">
        <f t="shared" si="740"/>
        <v>0</v>
      </c>
      <c r="AY316" s="583">
        <f t="shared" si="741"/>
        <v>0</v>
      </c>
      <c r="AZ316" s="583">
        <f t="shared" si="742"/>
        <v>0</v>
      </c>
      <c r="BA316" s="583">
        <f t="shared" si="743"/>
        <v>0</v>
      </c>
      <c r="BB316" s="583">
        <f t="shared" si="744"/>
        <v>0</v>
      </c>
      <c r="BC316" s="583">
        <f t="shared" si="745"/>
        <v>0</v>
      </c>
      <c r="BD316" s="583">
        <f t="shared" si="746"/>
        <v>0</v>
      </c>
      <c r="BE316" s="583">
        <f t="shared" si="747"/>
        <v>0</v>
      </c>
      <c r="BF316" s="583">
        <f t="shared" si="748"/>
        <v>0</v>
      </c>
      <c r="BG316" s="583">
        <f t="shared" si="749"/>
        <v>0</v>
      </c>
      <c r="BH316" s="583">
        <f t="shared" si="750"/>
        <v>0</v>
      </c>
      <c r="BI316" s="583">
        <f t="shared" si="751"/>
        <v>0</v>
      </c>
      <c r="BJ316" s="583">
        <f t="shared" si="752"/>
        <v>0</v>
      </c>
      <c r="BK316" s="583">
        <f t="shared" si="753"/>
        <v>0</v>
      </c>
      <c r="BL316" s="583">
        <f t="shared" si="754"/>
        <v>0</v>
      </c>
      <c r="BM316" s="583">
        <f t="shared" si="755"/>
        <v>0</v>
      </c>
      <c r="BN316" s="583">
        <f t="shared" si="756"/>
        <v>0</v>
      </c>
      <c r="BO316" s="583">
        <f t="shared" si="757"/>
        <v>0</v>
      </c>
      <c r="BP316" s="583">
        <f t="shared" si="758"/>
        <v>0</v>
      </c>
      <c r="BQ316" s="583">
        <f t="shared" si="759"/>
        <v>0</v>
      </c>
      <c r="BR316" s="583">
        <f t="shared" si="760"/>
        <v>0</v>
      </c>
    </row>
    <row r="317" spans="1:70" s="229" customFormat="1" ht="15" customHeight="1">
      <c r="A317" s="643"/>
      <c r="D317" s="85"/>
      <c r="E317" s="576">
        <f t="shared" si="762"/>
        <v>100</v>
      </c>
      <c r="F317" s="707"/>
      <c r="G317" s="406" t="s">
        <v>3054</v>
      </c>
      <c r="H317" s="1262" t="s">
        <v>3055</v>
      </c>
      <c r="I317" s="85">
        <v>0</v>
      </c>
      <c r="J317" s="682">
        <v>1</v>
      </c>
      <c r="K317" s="579" t="str">
        <f t="shared" si="736"/>
        <v/>
      </c>
      <c r="L317" s="580" t="str">
        <f>IF(H317="Select ingredient:","",IF(G317="","",_xlfn.IFNA(VLOOKUP($H317,Ingredient_prices!$E:$U,16,FALSE),0)))</f>
        <v/>
      </c>
      <c r="M317" s="848"/>
      <c r="N317" s="848"/>
      <c r="O317" s="648"/>
      <c r="P317" s="653"/>
      <c r="Q317" s="583">
        <f t="shared" si="737"/>
        <v>0</v>
      </c>
      <c r="R317" s="583">
        <f>VLOOKUP($H317,'CO2_emission+%_food_waste'!$A:$K,6,FALSE)*$Q317/100</f>
        <v>0</v>
      </c>
      <c r="S317" s="583">
        <f t="shared" si="761"/>
        <v>0</v>
      </c>
      <c r="T317" s="583" t="str">
        <f>IF(H317="Select ingredient:","",IF(G317="Select food category:","",_xlfn.IFNA(VLOOKUP($H317,Ingredient_prices!$E:$U,16,FALSE)*$Q317/1000,"not bought")))</f>
        <v/>
      </c>
      <c r="U317" s="583" t="str">
        <f>IF(G317="Select food category:","",_xlfn.IFNA(VLOOKUP($H317,Ingredient_prices!$E:$U,16,FALSE)*$R317/1000,"not bought"))</f>
        <v/>
      </c>
      <c r="V317" s="549">
        <f>VLOOKUP($H317,'CO2_emission+%_food_waste'!$A:$K,4,FALSE)*$Q317</f>
        <v>0</v>
      </c>
      <c r="W317" s="583">
        <f>VLOOKUP($H317,Nutrition_tables!$A:$N,10,FALSE)*$Q317/100</f>
        <v>0</v>
      </c>
      <c r="X317" s="583">
        <f>VLOOKUP($H317,Nutrition_tables!$A:$N,11,FALSE)*$Q317/100</f>
        <v>0</v>
      </c>
      <c r="Y317" s="583">
        <f>VLOOKUP($H317,Nutrition_tables!$A:$N,12,FALSE)*$Q317/100</f>
        <v>0</v>
      </c>
      <c r="Z317" s="583">
        <f>VLOOKUP($H317,Nutrition_tables!$A:$N,14,FALSE)*$Q317/100</f>
        <v>0</v>
      </c>
      <c r="AA317" s="583">
        <f>VLOOKUP($H317,Nutrition_tables!$A:$AF,13,FALSE)*$Q317/100</f>
        <v>0</v>
      </c>
      <c r="AB317" s="549">
        <f>VLOOKUP($H317,Nutrition_tables!$A:$AF,15,FALSE)*$Q317/100</f>
        <v>0</v>
      </c>
      <c r="AC317" s="583">
        <f>VLOOKUP($H317,Nutrition_tables!$A:$AF,16,FALSE)*$Q317/100</f>
        <v>0</v>
      </c>
      <c r="AD317" s="583">
        <f>VLOOKUP($H317,Nutrition_tables!$A:$AF,17,FALSE)*$Q317/100</f>
        <v>0</v>
      </c>
      <c r="AE317" s="583">
        <f>VLOOKUP($H317,Nutrition_tables!$A:$AF,18,FALSE)*$Q317/100</f>
        <v>0</v>
      </c>
      <c r="AF317" s="583">
        <f>VLOOKUP($H317,Nutrition_tables!$A:$AF,19,FALSE)*$Q317/100</f>
        <v>0</v>
      </c>
      <c r="AG317" s="583">
        <f>VLOOKUP($H317,Nutrition_tables!$A:$AF,20,FALSE)*$Q317/100</f>
        <v>0</v>
      </c>
      <c r="AH317" s="583">
        <f>VLOOKUP($H317,Nutrition_tables!$A:$AF,21,FALSE)*$Q317/100</f>
        <v>0</v>
      </c>
      <c r="AI317" s="583">
        <f>VLOOKUP($H317,Nutrition_tables!$A:$AF,22,FALSE)*$Q317/100</f>
        <v>0</v>
      </c>
      <c r="AJ317" s="549">
        <f>VLOOKUP($H317,Nutrition_tables!$A:$AF,23,FALSE)*$Q317/100</f>
        <v>0</v>
      </c>
      <c r="AK317" s="583">
        <f>VLOOKUP($H317,Nutrition_tables!$A:$AF,24,FALSE)*$Q317/100</f>
        <v>0</v>
      </c>
      <c r="AL317" s="583">
        <f>VLOOKUP($H317,Nutrition_tables!$A:$AF,25,FALSE)*$Q317/100</f>
        <v>0</v>
      </c>
      <c r="AM317" s="583">
        <f>VLOOKUP($H317,Nutrition_tables!$A:$AF,26,FALSE)*$Q317/100</f>
        <v>0</v>
      </c>
      <c r="AN317" s="583">
        <f>VLOOKUP($H317,Nutrition_tables!$A:$AF,27,FALSE)*$Q317/100</f>
        <v>0</v>
      </c>
      <c r="AO317" s="583">
        <f>VLOOKUP($H317,Nutrition_tables!$A:$AF,28,FALSE)*$Q317/100</f>
        <v>0</v>
      </c>
      <c r="AP317" s="583">
        <f>VLOOKUP($H317,Nutrition_tables!$A:$AF,29,FALSE)*$Q317/100</f>
        <v>0</v>
      </c>
      <c r="AQ317" s="583">
        <f>VLOOKUP($H317,Nutrition_tables!$A:$AF,30,FALSE)*$Q317/100</f>
        <v>0</v>
      </c>
      <c r="AR317" s="583">
        <f>VLOOKUP($H317,Nutrition_tables!$A:$AF,31,FALSE)*$Q317/100</f>
        <v>0</v>
      </c>
      <c r="AS317" s="549">
        <f>VLOOKUP($H317,Nutrition_tables!$A:$AF,32,FALSE)*$Q317/100</f>
        <v>0</v>
      </c>
      <c r="AT317" s="583" t="str">
        <f>IF(H317="Select ingredient:","",IF(G317="Select food category:","",IFERROR(VLOOKUP($H317,Ingredient_prices!$E:$W,17,FALSE)*$Q317/1000,"not bought")))</f>
        <v/>
      </c>
      <c r="AU317" s="583" t="str">
        <f>IF(H317="Select ingredient:","",IF(G317="Select food category:","",IFERROR(VLOOKUP($H317,Ingredient_prices!$E:$W,18,FALSE)*$Q317/1000,"not bought")))</f>
        <v/>
      </c>
      <c r="AV317" s="583">
        <f t="shared" si="738"/>
        <v>0</v>
      </c>
      <c r="AW317" s="583">
        <f t="shared" si="739"/>
        <v>0</v>
      </c>
      <c r="AX317" s="583">
        <f t="shared" si="740"/>
        <v>0</v>
      </c>
      <c r="AY317" s="583">
        <f t="shared" si="741"/>
        <v>0</v>
      </c>
      <c r="AZ317" s="583">
        <f t="shared" si="742"/>
        <v>0</v>
      </c>
      <c r="BA317" s="583">
        <f t="shared" si="743"/>
        <v>0</v>
      </c>
      <c r="BB317" s="583">
        <f t="shared" si="744"/>
        <v>0</v>
      </c>
      <c r="BC317" s="583">
        <f t="shared" si="745"/>
        <v>0</v>
      </c>
      <c r="BD317" s="583">
        <f t="shared" si="746"/>
        <v>0</v>
      </c>
      <c r="BE317" s="583">
        <f t="shared" si="747"/>
        <v>0</v>
      </c>
      <c r="BF317" s="583">
        <f t="shared" si="748"/>
        <v>0</v>
      </c>
      <c r="BG317" s="583">
        <f t="shared" si="749"/>
        <v>0</v>
      </c>
      <c r="BH317" s="583">
        <f t="shared" si="750"/>
        <v>0</v>
      </c>
      <c r="BI317" s="583">
        <f t="shared" si="751"/>
        <v>0</v>
      </c>
      <c r="BJ317" s="583">
        <f t="shared" si="752"/>
        <v>0</v>
      </c>
      <c r="BK317" s="583">
        <f t="shared" si="753"/>
        <v>0</v>
      </c>
      <c r="BL317" s="583">
        <f t="shared" si="754"/>
        <v>0</v>
      </c>
      <c r="BM317" s="583">
        <f t="shared" si="755"/>
        <v>0</v>
      </c>
      <c r="BN317" s="583">
        <f t="shared" si="756"/>
        <v>0</v>
      </c>
      <c r="BO317" s="583">
        <f t="shared" si="757"/>
        <v>0</v>
      </c>
      <c r="BP317" s="583">
        <f t="shared" si="758"/>
        <v>0</v>
      </c>
      <c r="BQ317" s="583">
        <f t="shared" si="759"/>
        <v>0</v>
      </c>
      <c r="BR317" s="583">
        <f t="shared" si="760"/>
        <v>0</v>
      </c>
    </row>
    <row r="318" spans="1:70" s="229" customFormat="1" ht="15" customHeight="1">
      <c r="A318" s="643"/>
      <c r="D318" s="85"/>
      <c r="E318" s="576">
        <f t="shared" si="762"/>
        <v>100</v>
      </c>
      <c r="F318" s="707"/>
      <c r="G318" s="406" t="s">
        <v>3054</v>
      </c>
      <c r="H318" s="1262" t="s">
        <v>3055</v>
      </c>
      <c r="I318" s="85">
        <v>0</v>
      </c>
      <c r="J318" s="682">
        <v>1</v>
      </c>
      <c r="K318" s="579" t="str">
        <f t="shared" si="736"/>
        <v/>
      </c>
      <c r="L318" s="580" t="str">
        <f>IF(H318="Select ingredient:","",IF(G318="","",_xlfn.IFNA(VLOOKUP($H318,Ingredient_prices!$E:$U,16,FALSE),0)))</f>
        <v/>
      </c>
      <c r="M318" s="848"/>
      <c r="N318" s="848"/>
      <c r="O318" s="648"/>
      <c r="P318" s="653"/>
      <c r="Q318" s="583">
        <f t="shared" si="737"/>
        <v>0</v>
      </c>
      <c r="R318" s="583">
        <f>VLOOKUP($H318,'CO2_emission+%_food_waste'!$A:$K,6,FALSE)*$Q318/100</f>
        <v>0</v>
      </c>
      <c r="S318" s="583">
        <f t="shared" si="761"/>
        <v>0</v>
      </c>
      <c r="T318" s="583" t="str">
        <f>IF(H318="Select ingredient:","",IF(G318="Select food category:","",_xlfn.IFNA(VLOOKUP($H318,Ingredient_prices!$E:$U,16,FALSE)*$Q318/1000,"not bought")))</f>
        <v/>
      </c>
      <c r="U318" s="583" t="str">
        <f>IF(G318="Select food category:","",_xlfn.IFNA(VLOOKUP($H318,Ingredient_prices!$E:$U,16,FALSE)*$R318/1000,"not bought"))</f>
        <v/>
      </c>
      <c r="V318" s="549">
        <f>VLOOKUP($H318,'CO2_emission+%_food_waste'!$A:$K,4,FALSE)*$Q318</f>
        <v>0</v>
      </c>
      <c r="W318" s="583">
        <f>VLOOKUP($H318,Nutrition_tables!$A:$N,10,FALSE)*$Q318/100</f>
        <v>0</v>
      </c>
      <c r="X318" s="583">
        <f>VLOOKUP($H318,Nutrition_tables!$A:$N,11,FALSE)*$Q318/100</f>
        <v>0</v>
      </c>
      <c r="Y318" s="583">
        <f>VLOOKUP($H318,Nutrition_tables!$A:$N,12,FALSE)*$Q318/100</f>
        <v>0</v>
      </c>
      <c r="Z318" s="583">
        <f>VLOOKUP($H318,Nutrition_tables!$A:$N,14,FALSE)*$Q318/100</f>
        <v>0</v>
      </c>
      <c r="AA318" s="583">
        <f>VLOOKUP($H318,Nutrition_tables!$A:$AF,13,FALSE)*$Q318/100</f>
        <v>0</v>
      </c>
      <c r="AB318" s="549">
        <f>VLOOKUP($H318,Nutrition_tables!$A:$AF,15,FALSE)*$Q318/100</f>
        <v>0</v>
      </c>
      <c r="AC318" s="583">
        <f>VLOOKUP($H318,Nutrition_tables!$A:$AF,16,FALSE)*$Q318/100</f>
        <v>0</v>
      </c>
      <c r="AD318" s="583">
        <f>VLOOKUP($H318,Nutrition_tables!$A:$AF,17,FALSE)*$Q318/100</f>
        <v>0</v>
      </c>
      <c r="AE318" s="583">
        <f>VLOOKUP($H318,Nutrition_tables!$A:$AF,18,FALSE)*$Q318/100</f>
        <v>0</v>
      </c>
      <c r="AF318" s="583">
        <f>VLOOKUP($H318,Nutrition_tables!$A:$AF,19,FALSE)*$Q318/100</f>
        <v>0</v>
      </c>
      <c r="AG318" s="583">
        <f>VLOOKUP($H318,Nutrition_tables!$A:$AF,20,FALSE)*$Q318/100</f>
        <v>0</v>
      </c>
      <c r="AH318" s="583">
        <f>VLOOKUP($H318,Nutrition_tables!$A:$AF,21,FALSE)*$Q318/100</f>
        <v>0</v>
      </c>
      <c r="AI318" s="583">
        <f>VLOOKUP($H318,Nutrition_tables!$A:$AF,22,FALSE)*$Q318/100</f>
        <v>0</v>
      </c>
      <c r="AJ318" s="549">
        <f>VLOOKUP($H318,Nutrition_tables!$A:$AF,23,FALSE)*$Q318/100</f>
        <v>0</v>
      </c>
      <c r="AK318" s="583">
        <f>VLOOKUP($H318,Nutrition_tables!$A:$AF,24,FALSE)*$Q318/100</f>
        <v>0</v>
      </c>
      <c r="AL318" s="583">
        <f>VLOOKUP($H318,Nutrition_tables!$A:$AF,25,FALSE)*$Q318/100</f>
        <v>0</v>
      </c>
      <c r="AM318" s="583">
        <f>VLOOKUP($H318,Nutrition_tables!$A:$AF,26,FALSE)*$Q318/100</f>
        <v>0</v>
      </c>
      <c r="AN318" s="583">
        <f>VLOOKUP($H318,Nutrition_tables!$A:$AF,27,FALSE)*$Q318/100</f>
        <v>0</v>
      </c>
      <c r="AO318" s="583">
        <f>VLOOKUP($H318,Nutrition_tables!$A:$AF,28,FALSE)*$Q318/100</f>
        <v>0</v>
      </c>
      <c r="AP318" s="583">
        <f>VLOOKUP($H318,Nutrition_tables!$A:$AF,29,FALSE)*$Q318/100</f>
        <v>0</v>
      </c>
      <c r="AQ318" s="583">
        <f>VLOOKUP($H318,Nutrition_tables!$A:$AF,30,FALSE)*$Q318/100</f>
        <v>0</v>
      </c>
      <c r="AR318" s="583">
        <f>VLOOKUP($H318,Nutrition_tables!$A:$AF,31,FALSE)*$Q318/100</f>
        <v>0</v>
      </c>
      <c r="AS318" s="549">
        <f>VLOOKUP($H318,Nutrition_tables!$A:$AF,32,FALSE)*$Q318/100</f>
        <v>0</v>
      </c>
      <c r="AT318" s="583" t="str">
        <f>IF(H318="Select ingredient:","",IF(G318="Select food category:","",IFERROR(VLOOKUP($H318,Ingredient_prices!$E:$W,17,FALSE)*$Q318/1000,"not bought")))</f>
        <v/>
      </c>
      <c r="AU318" s="583" t="str">
        <f>IF(H318="Select ingredient:","",IF(G318="Select food category:","",IFERROR(VLOOKUP($H318,Ingredient_prices!$E:$W,18,FALSE)*$Q318/1000,"not bought")))</f>
        <v/>
      </c>
      <c r="AV318" s="583">
        <f t="shared" si="738"/>
        <v>0</v>
      </c>
      <c r="AW318" s="583">
        <f t="shared" si="739"/>
        <v>0</v>
      </c>
      <c r="AX318" s="583">
        <f t="shared" si="740"/>
        <v>0</v>
      </c>
      <c r="AY318" s="583">
        <f t="shared" si="741"/>
        <v>0</v>
      </c>
      <c r="AZ318" s="583">
        <f t="shared" si="742"/>
        <v>0</v>
      </c>
      <c r="BA318" s="583">
        <f t="shared" si="743"/>
        <v>0</v>
      </c>
      <c r="BB318" s="583">
        <f t="shared" si="744"/>
        <v>0</v>
      </c>
      <c r="BC318" s="583">
        <f t="shared" si="745"/>
        <v>0</v>
      </c>
      <c r="BD318" s="583">
        <f t="shared" si="746"/>
        <v>0</v>
      </c>
      <c r="BE318" s="583">
        <f t="shared" si="747"/>
        <v>0</v>
      </c>
      <c r="BF318" s="583">
        <f t="shared" si="748"/>
        <v>0</v>
      </c>
      <c r="BG318" s="583">
        <f t="shared" si="749"/>
        <v>0</v>
      </c>
      <c r="BH318" s="583">
        <f t="shared" si="750"/>
        <v>0</v>
      </c>
      <c r="BI318" s="583">
        <f t="shared" si="751"/>
        <v>0</v>
      </c>
      <c r="BJ318" s="583">
        <f t="shared" si="752"/>
        <v>0</v>
      </c>
      <c r="BK318" s="583">
        <f t="shared" si="753"/>
        <v>0</v>
      </c>
      <c r="BL318" s="583">
        <f t="shared" si="754"/>
        <v>0</v>
      </c>
      <c r="BM318" s="583">
        <f t="shared" si="755"/>
        <v>0</v>
      </c>
      <c r="BN318" s="583">
        <f t="shared" si="756"/>
        <v>0</v>
      </c>
      <c r="BO318" s="583">
        <f t="shared" si="757"/>
        <v>0</v>
      </c>
      <c r="BP318" s="583">
        <f t="shared" si="758"/>
        <v>0</v>
      </c>
      <c r="BQ318" s="583">
        <f t="shared" si="759"/>
        <v>0</v>
      </c>
      <c r="BR318" s="583">
        <f t="shared" si="760"/>
        <v>0</v>
      </c>
    </row>
    <row r="319" spans="1:70" s="229" customFormat="1" ht="15" customHeight="1">
      <c r="A319" s="643"/>
      <c r="D319" s="85"/>
      <c r="E319" s="576">
        <f t="shared" si="762"/>
        <v>100</v>
      </c>
      <c r="F319" s="707"/>
      <c r="G319" s="406" t="s">
        <v>3054</v>
      </c>
      <c r="H319" s="1262" t="s">
        <v>3055</v>
      </c>
      <c r="I319" s="85">
        <v>0</v>
      </c>
      <c r="J319" s="682">
        <v>1</v>
      </c>
      <c r="K319" s="579" t="str">
        <f t="shared" si="736"/>
        <v/>
      </c>
      <c r="L319" s="580" t="str">
        <f>IF(H319="Select ingredient:","",IF(G319="","",_xlfn.IFNA(VLOOKUP($H319,Ingredient_prices!$E:$U,16,FALSE),0)))</f>
        <v/>
      </c>
      <c r="M319" s="848"/>
      <c r="N319" s="848"/>
      <c r="O319" s="648"/>
      <c r="P319" s="653"/>
      <c r="Q319" s="583">
        <f t="shared" si="737"/>
        <v>0</v>
      </c>
      <c r="R319" s="583">
        <f>VLOOKUP($H319,'CO2_emission+%_food_waste'!$A:$K,6,FALSE)*$Q319/100</f>
        <v>0</v>
      </c>
      <c r="S319" s="583">
        <f t="shared" si="761"/>
        <v>0</v>
      </c>
      <c r="T319" s="583" t="str">
        <f>IF(H319="Select ingredient:","",IF(G319="Select food category:","",_xlfn.IFNA(VLOOKUP($H319,Ingredient_prices!$E:$U,16,FALSE)*$Q319/1000,"not bought")))</f>
        <v/>
      </c>
      <c r="U319" s="583" t="str">
        <f>IF(G319="Select food category:","",_xlfn.IFNA(VLOOKUP($H319,Ingredient_prices!$E:$U,16,FALSE)*$R319/1000,"not bought"))</f>
        <v/>
      </c>
      <c r="V319" s="549">
        <f>VLOOKUP($H319,'CO2_emission+%_food_waste'!$A:$K,4,FALSE)*$Q319</f>
        <v>0</v>
      </c>
      <c r="W319" s="583">
        <f>VLOOKUP($H319,Nutrition_tables!$A:$N,10,FALSE)*$Q319/100</f>
        <v>0</v>
      </c>
      <c r="X319" s="583">
        <f>VLOOKUP($H319,Nutrition_tables!$A:$N,11,FALSE)*$Q319/100</f>
        <v>0</v>
      </c>
      <c r="Y319" s="583">
        <f>VLOOKUP($H319,Nutrition_tables!$A:$N,12,FALSE)*$Q319/100</f>
        <v>0</v>
      </c>
      <c r="Z319" s="583">
        <f>VLOOKUP($H319,Nutrition_tables!$A:$N,14,FALSE)*$Q319/100</f>
        <v>0</v>
      </c>
      <c r="AA319" s="583">
        <f>VLOOKUP($H319,Nutrition_tables!$A:$AF,13,FALSE)*$Q319/100</f>
        <v>0</v>
      </c>
      <c r="AB319" s="549">
        <f>VLOOKUP($H319,Nutrition_tables!$A:$AF,15,FALSE)*$Q319/100</f>
        <v>0</v>
      </c>
      <c r="AC319" s="583">
        <f>VLOOKUP($H319,Nutrition_tables!$A:$AF,16,FALSE)*$Q319/100</f>
        <v>0</v>
      </c>
      <c r="AD319" s="583">
        <f>VLOOKUP($H319,Nutrition_tables!$A:$AF,17,FALSE)*$Q319/100</f>
        <v>0</v>
      </c>
      <c r="AE319" s="583">
        <f>VLOOKUP($H319,Nutrition_tables!$A:$AF,18,FALSE)*$Q319/100</f>
        <v>0</v>
      </c>
      <c r="AF319" s="583">
        <f>VLOOKUP($H319,Nutrition_tables!$A:$AF,19,FALSE)*$Q319/100</f>
        <v>0</v>
      </c>
      <c r="AG319" s="583">
        <f>VLOOKUP($H319,Nutrition_tables!$A:$AF,20,FALSE)*$Q319/100</f>
        <v>0</v>
      </c>
      <c r="AH319" s="583">
        <f>VLOOKUP($H319,Nutrition_tables!$A:$AF,21,FALSE)*$Q319/100</f>
        <v>0</v>
      </c>
      <c r="AI319" s="583">
        <f>VLOOKUP($H319,Nutrition_tables!$A:$AF,22,FALSE)*$Q319/100</f>
        <v>0</v>
      </c>
      <c r="AJ319" s="549">
        <f>VLOOKUP($H319,Nutrition_tables!$A:$AF,23,FALSE)*$Q319/100</f>
        <v>0</v>
      </c>
      <c r="AK319" s="583">
        <f>VLOOKUP($H319,Nutrition_tables!$A:$AF,24,FALSE)*$Q319/100</f>
        <v>0</v>
      </c>
      <c r="AL319" s="583">
        <f>VLOOKUP($H319,Nutrition_tables!$A:$AF,25,FALSE)*$Q319/100</f>
        <v>0</v>
      </c>
      <c r="AM319" s="583">
        <f>VLOOKUP($H319,Nutrition_tables!$A:$AF,26,FALSE)*$Q319/100</f>
        <v>0</v>
      </c>
      <c r="AN319" s="583">
        <f>VLOOKUP($H319,Nutrition_tables!$A:$AF,27,FALSE)*$Q319/100</f>
        <v>0</v>
      </c>
      <c r="AO319" s="583">
        <f>VLOOKUP($H319,Nutrition_tables!$A:$AF,28,FALSE)*$Q319/100</f>
        <v>0</v>
      </c>
      <c r="AP319" s="583">
        <f>VLOOKUP($H319,Nutrition_tables!$A:$AF,29,FALSE)*$Q319/100</f>
        <v>0</v>
      </c>
      <c r="AQ319" s="583">
        <f>VLOOKUP($H319,Nutrition_tables!$A:$AF,30,FALSE)*$Q319/100</f>
        <v>0</v>
      </c>
      <c r="AR319" s="583">
        <f>VLOOKUP($H319,Nutrition_tables!$A:$AF,31,FALSE)*$Q319/100</f>
        <v>0</v>
      </c>
      <c r="AS319" s="549">
        <f>VLOOKUP($H319,Nutrition_tables!$A:$AF,32,FALSE)*$Q319/100</f>
        <v>0</v>
      </c>
      <c r="AT319" s="583" t="str">
        <f>IF(H319="Select ingredient:","",IF(G319="Select food category:","",IFERROR(VLOOKUP($H319,Ingredient_prices!$E:$W,17,FALSE)*$Q319/1000,"not bought")))</f>
        <v/>
      </c>
      <c r="AU319" s="583" t="str">
        <f>IF(H319="Select ingredient:","",IF(G319="Select food category:","",IFERROR(VLOOKUP($H319,Ingredient_prices!$E:$W,18,FALSE)*$Q319/1000,"not bought")))</f>
        <v/>
      </c>
      <c r="AV319" s="583">
        <f t="shared" si="738"/>
        <v>0</v>
      </c>
      <c r="AW319" s="583">
        <f t="shared" si="739"/>
        <v>0</v>
      </c>
      <c r="AX319" s="583">
        <f t="shared" si="740"/>
        <v>0</v>
      </c>
      <c r="AY319" s="583">
        <f t="shared" si="741"/>
        <v>0</v>
      </c>
      <c r="AZ319" s="583">
        <f t="shared" si="742"/>
        <v>0</v>
      </c>
      <c r="BA319" s="583">
        <f t="shared" si="743"/>
        <v>0</v>
      </c>
      <c r="BB319" s="583">
        <f t="shared" si="744"/>
        <v>0</v>
      </c>
      <c r="BC319" s="583">
        <f t="shared" si="745"/>
        <v>0</v>
      </c>
      <c r="BD319" s="583">
        <f t="shared" si="746"/>
        <v>0</v>
      </c>
      <c r="BE319" s="583">
        <f t="shared" si="747"/>
        <v>0</v>
      </c>
      <c r="BF319" s="583">
        <f t="shared" si="748"/>
        <v>0</v>
      </c>
      <c r="BG319" s="583">
        <f t="shared" si="749"/>
        <v>0</v>
      </c>
      <c r="BH319" s="583">
        <f t="shared" si="750"/>
        <v>0</v>
      </c>
      <c r="BI319" s="583">
        <f t="shared" si="751"/>
        <v>0</v>
      </c>
      <c r="BJ319" s="583">
        <f t="shared" si="752"/>
        <v>0</v>
      </c>
      <c r="BK319" s="583">
        <f t="shared" si="753"/>
        <v>0</v>
      </c>
      <c r="BL319" s="583">
        <f t="shared" si="754"/>
        <v>0</v>
      </c>
      <c r="BM319" s="583">
        <f t="shared" si="755"/>
        <v>0</v>
      </c>
      <c r="BN319" s="583">
        <f t="shared" si="756"/>
        <v>0</v>
      </c>
      <c r="BO319" s="583">
        <f t="shared" si="757"/>
        <v>0</v>
      </c>
      <c r="BP319" s="583">
        <f t="shared" si="758"/>
        <v>0</v>
      </c>
      <c r="BQ319" s="583">
        <f t="shared" si="759"/>
        <v>0</v>
      </c>
      <c r="BR319" s="583">
        <f t="shared" si="760"/>
        <v>0</v>
      </c>
    </row>
    <row r="320" spans="1:70" s="229" customFormat="1" ht="15" customHeight="1">
      <c r="A320" s="643"/>
      <c r="D320" s="85"/>
      <c r="E320" s="576">
        <f t="shared" si="762"/>
        <v>100</v>
      </c>
      <c r="F320" s="707"/>
      <c r="G320" s="406" t="s">
        <v>3054</v>
      </c>
      <c r="H320" s="1262" t="s">
        <v>3055</v>
      </c>
      <c r="I320" s="85">
        <v>0</v>
      </c>
      <c r="J320" s="682">
        <v>1</v>
      </c>
      <c r="K320" s="579" t="str">
        <f t="shared" si="736"/>
        <v/>
      </c>
      <c r="L320" s="580" t="str">
        <f>IF(H320="Select ingredient:","",IF(G320="","",_xlfn.IFNA(VLOOKUP($H320,Ingredient_prices!$E:$U,16,FALSE),0)))</f>
        <v/>
      </c>
      <c r="M320" s="848"/>
      <c r="N320" s="848"/>
      <c r="O320" s="648"/>
      <c r="P320" s="653"/>
      <c r="Q320" s="583">
        <f t="shared" si="737"/>
        <v>0</v>
      </c>
      <c r="R320" s="583">
        <f>VLOOKUP($H320,'CO2_emission+%_food_waste'!$A:$K,6,FALSE)*$Q320/100</f>
        <v>0</v>
      </c>
      <c r="S320" s="583">
        <f t="shared" si="761"/>
        <v>0</v>
      </c>
      <c r="T320" s="583" t="str">
        <f>IF(H320="Select ingredient:","",IF(G320="Select food category:","",_xlfn.IFNA(VLOOKUP($H320,Ingredient_prices!$E:$U,16,FALSE)*$Q320/1000,"not bought")))</f>
        <v/>
      </c>
      <c r="U320" s="583" t="str">
        <f>IF(G320="Select food category:","",_xlfn.IFNA(VLOOKUP($H320,Ingredient_prices!$E:$U,16,FALSE)*$R320/1000,"not bought"))</f>
        <v/>
      </c>
      <c r="V320" s="549">
        <f>VLOOKUP($H320,'CO2_emission+%_food_waste'!$A:$K,4,FALSE)*$Q320</f>
        <v>0</v>
      </c>
      <c r="W320" s="583">
        <f>VLOOKUP($H320,Nutrition_tables!$A:$N,10,FALSE)*$Q320/100</f>
        <v>0</v>
      </c>
      <c r="X320" s="583">
        <f>VLOOKUP($H320,Nutrition_tables!$A:$N,11,FALSE)*$Q320/100</f>
        <v>0</v>
      </c>
      <c r="Y320" s="583">
        <f>VLOOKUP($H320,Nutrition_tables!$A:$N,12,FALSE)*$Q320/100</f>
        <v>0</v>
      </c>
      <c r="Z320" s="583">
        <f>VLOOKUP($H320,Nutrition_tables!$A:$N,14,FALSE)*$Q320/100</f>
        <v>0</v>
      </c>
      <c r="AA320" s="583">
        <f>VLOOKUP($H320,Nutrition_tables!$A:$AF,13,FALSE)*$Q320/100</f>
        <v>0</v>
      </c>
      <c r="AB320" s="549">
        <f>VLOOKUP($H320,Nutrition_tables!$A:$AF,15,FALSE)*$Q320/100</f>
        <v>0</v>
      </c>
      <c r="AC320" s="583">
        <f>VLOOKUP($H320,Nutrition_tables!$A:$AF,16,FALSE)*$Q320/100</f>
        <v>0</v>
      </c>
      <c r="AD320" s="583">
        <f>VLOOKUP($H320,Nutrition_tables!$A:$AF,17,FALSE)*$Q320/100</f>
        <v>0</v>
      </c>
      <c r="AE320" s="583">
        <f>VLOOKUP($H320,Nutrition_tables!$A:$AF,18,FALSE)*$Q320/100</f>
        <v>0</v>
      </c>
      <c r="AF320" s="583">
        <f>VLOOKUP($H320,Nutrition_tables!$A:$AF,19,FALSE)*$Q320/100</f>
        <v>0</v>
      </c>
      <c r="AG320" s="583">
        <f>VLOOKUP($H320,Nutrition_tables!$A:$AF,20,FALSE)*$Q320/100</f>
        <v>0</v>
      </c>
      <c r="AH320" s="583">
        <f>VLOOKUP($H320,Nutrition_tables!$A:$AF,21,FALSE)*$Q320/100</f>
        <v>0</v>
      </c>
      <c r="AI320" s="583">
        <f>VLOOKUP($H320,Nutrition_tables!$A:$AF,22,FALSE)*$Q320/100</f>
        <v>0</v>
      </c>
      <c r="AJ320" s="549">
        <f>VLOOKUP($H320,Nutrition_tables!$A:$AF,23,FALSE)*$Q320/100</f>
        <v>0</v>
      </c>
      <c r="AK320" s="583">
        <f>VLOOKUP($H320,Nutrition_tables!$A:$AF,24,FALSE)*$Q320/100</f>
        <v>0</v>
      </c>
      <c r="AL320" s="583">
        <f>VLOOKUP($H320,Nutrition_tables!$A:$AF,25,FALSE)*$Q320/100</f>
        <v>0</v>
      </c>
      <c r="AM320" s="583">
        <f>VLOOKUP($H320,Nutrition_tables!$A:$AF,26,FALSE)*$Q320/100</f>
        <v>0</v>
      </c>
      <c r="AN320" s="583">
        <f>VLOOKUP($H320,Nutrition_tables!$A:$AF,27,FALSE)*$Q320/100</f>
        <v>0</v>
      </c>
      <c r="AO320" s="583">
        <f>VLOOKUP($H320,Nutrition_tables!$A:$AF,28,FALSE)*$Q320/100</f>
        <v>0</v>
      </c>
      <c r="AP320" s="583">
        <f>VLOOKUP($H320,Nutrition_tables!$A:$AF,29,FALSE)*$Q320/100</f>
        <v>0</v>
      </c>
      <c r="AQ320" s="583">
        <f>VLOOKUP($H320,Nutrition_tables!$A:$AF,30,FALSE)*$Q320/100</f>
        <v>0</v>
      </c>
      <c r="AR320" s="583">
        <f>VLOOKUP($H320,Nutrition_tables!$A:$AF,31,FALSE)*$Q320/100</f>
        <v>0</v>
      </c>
      <c r="AS320" s="549">
        <f>VLOOKUP($H320,Nutrition_tables!$A:$AF,32,FALSE)*$Q320/100</f>
        <v>0</v>
      </c>
      <c r="AT320" s="583" t="str">
        <f>IF(H320="Select ingredient:","",IF(G320="Select food category:","",IFERROR(VLOOKUP($H320,Ingredient_prices!$E:$W,17,FALSE)*$Q320/1000,"not bought")))</f>
        <v/>
      </c>
      <c r="AU320" s="583" t="str">
        <f>IF(H320="Select ingredient:","",IF(G320="Select food category:","",IFERROR(VLOOKUP($H320,Ingredient_prices!$E:$W,18,FALSE)*$Q320/1000,"not bought")))</f>
        <v/>
      </c>
      <c r="AV320" s="583">
        <f t="shared" si="738"/>
        <v>0</v>
      </c>
      <c r="AW320" s="583">
        <f t="shared" si="739"/>
        <v>0</v>
      </c>
      <c r="AX320" s="583">
        <f t="shared" si="740"/>
        <v>0</v>
      </c>
      <c r="AY320" s="583">
        <f t="shared" si="741"/>
        <v>0</v>
      </c>
      <c r="AZ320" s="583">
        <f t="shared" si="742"/>
        <v>0</v>
      </c>
      <c r="BA320" s="583">
        <f t="shared" si="743"/>
        <v>0</v>
      </c>
      <c r="BB320" s="583">
        <f t="shared" si="744"/>
        <v>0</v>
      </c>
      <c r="BC320" s="583">
        <f t="shared" si="745"/>
        <v>0</v>
      </c>
      <c r="BD320" s="583">
        <f t="shared" si="746"/>
        <v>0</v>
      </c>
      <c r="BE320" s="583">
        <f t="shared" si="747"/>
        <v>0</v>
      </c>
      <c r="BF320" s="583">
        <f t="shared" si="748"/>
        <v>0</v>
      </c>
      <c r="BG320" s="583">
        <f t="shared" si="749"/>
        <v>0</v>
      </c>
      <c r="BH320" s="583">
        <f t="shared" si="750"/>
        <v>0</v>
      </c>
      <c r="BI320" s="583">
        <f t="shared" si="751"/>
        <v>0</v>
      </c>
      <c r="BJ320" s="583">
        <f t="shared" si="752"/>
        <v>0</v>
      </c>
      <c r="BK320" s="583">
        <f t="shared" si="753"/>
        <v>0</v>
      </c>
      <c r="BL320" s="583">
        <f t="shared" si="754"/>
        <v>0</v>
      </c>
      <c r="BM320" s="583">
        <f t="shared" si="755"/>
        <v>0</v>
      </c>
      <c r="BN320" s="583">
        <f t="shared" si="756"/>
        <v>0</v>
      </c>
      <c r="BO320" s="583">
        <f t="shared" si="757"/>
        <v>0</v>
      </c>
      <c r="BP320" s="583">
        <f t="shared" si="758"/>
        <v>0</v>
      </c>
      <c r="BQ320" s="583">
        <f t="shared" si="759"/>
        <v>0</v>
      </c>
      <c r="BR320" s="583">
        <f t="shared" si="760"/>
        <v>0</v>
      </c>
    </row>
    <row r="321" spans="1:70" s="229" customFormat="1" ht="15" customHeight="1">
      <c r="A321" s="643"/>
      <c r="D321" s="85"/>
      <c r="E321" s="576">
        <f t="shared" si="762"/>
        <v>100</v>
      </c>
      <c r="F321" s="707"/>
      <c r="G321" s="406" t="s">
        <v>3054</v>
      </c>
      <c r="H321" s="1262" t="s">
        <v>3055</v>
      </c>
      <c r="I321" s="85">
        <v>0</v>
      </c>
      <c r="J321" s="682">
        <v>1</v>
      </c>
      <c r="K321" s="579" t="str">
        <f t="shared" si="736"/>
        <v/>
      </c>
      <c r="L321" s="580" t="str">
        <f>IF(H321="Select ingredient:","",IF(G321="","",_xlfn.IFNA(VLOOKUP($H321,Ingredient_prices!$E:$U,16,FALSE),0)))</f>
        <v/>
      </c>
      <c r="M321" s="848"/>
      <c r="N321" s="848"/>
      <c r="O321" s="648"/>
      <c r="P321" s="653"/>
      <c r="Q321" s="583">
        <f t="shared" si="737"/>
        <v>0</v>
      </c>
      <c r="R321" s="583">
        <f>VLOOKUP($H321,'CO2_emission+%_food_waste'!$A:$K,6,FALSE)*$Q321/100</f>
        <v>0</v>
      </c>
      <c r="S321" s="583">
        <f t="shared" si="761"/>
        <v>0</v>
      </c>
      <c r="T321" s="583" t="str">
        <f>IF(H321="Select ingredient:","",IF(G321="Select food category:","",_xlfn.IFNA(VLOOKUP($H321,Ingredient_prices!$E:$U,16,FALSE)*$Q321/1000,"not bought")))</f>
        <v/>
      </c>
      <c r="U321" s="583" t="str">
        <f>IF(G321="Select food category:","",_xlfn.IFNA(VLOOKUP($H321,Ingredient_prices!$E:$U,16,FALSE)*$R321/1000,"not bought"))</f>
        <v/>
      </c>
      <c r="V321" s="549">
        <f>VLOOKUP($H321,'CO2_emission+%_food_waste'!$A:$K,4,FALSE)*$Q321</f>
        <v>0</v>
      </c>
      <c r="W321" s="583">
        <f>VLOOKUP($H321,Nutrition_tables!$A:$N,10,FALSE)*$Q321/100</f>
        <v>0</v>
      </c>
      <c r="X321" s="583">
        <f>VLOOKUP($H321,Nutrition_tables!$A:$N,11,FALSE)*$Q321/100</f>
        <v>0</v>
      </c>
      <c r="Y321" s="583">
        <f>VLOOKUP($H321,Nutrition_tables!$A:$N,12,FALSE)*$Q321/100</f>
        <v>0</v>
      </c>
      <c r="Z321" s="583">
        <f>VLOOKUP($H321,Nutrition_tables!$A:$N,14,FALSE)*$Q321/100</f>
        <v>0</v>
      </c>
      <c r="AA321" s="583">
        <f>VLOOKUP($H321,Nutrition_tables!$A:$AF,13,FALSE)*$Q321/100</f>
        <v>0</v>
      </c>
      <c r="AB321" s="549">
        <f>VLOOKUP($H321,Nutrition_tables!$A:$AF,15,FALSE)*$Q321/100</f>
        <v>0</v>
      </c>
      <c r="AC321" s="583">
        <f>VLOOKUP($H321,Nutrition_tables!$A:$AF,16,FALSE)*$Q321/100</f>
        <v>0</v>
      </c>
      <c r="AD321" s="583">
        <f>VLOOKUP($H321,Nutrition_tables!$A:$AF,17,FALSE)*$Q321/100</f>
        <v>0</v>
      </c>
      <c r="AE321" s="583">
        <f>VLOOKUP($H321,Nutrition_tables!$A:$AF,18,FALSE)*$Q321/100</f>
        <v>0</v>
      </c>
      <c r="AF321" s="583">
        <f>VLOOKUP($H321,Nutrition_tables!$A:$AF,19,FALSE)*$Q321/100</f>
        <v>0</v>
      </c>
      <c r="AG321" s="583">
        <f>VLOOKUP($H321,Nutrition_tables!$A:$AF,20,FALSE)*$Q321/100</f>
        <v>0</v>
      </c>
      <c r="AH321" s="583">
        <f>VLOOKUP($H321,Nutrition_tables!$A:$AF,21,FALSE)*$Q321/100</f>
        <v>0</v>
      </c>
      <c r="AI321" s="583">
        <f>VLOOKUP($H321,Nutrition_tables!$A:$AF,22,FALSE)*$Q321/100</f>
        <v>0</v>
      </c>
      <c r="AJ321" s="549">
        <f>VLOOKUP($H321,Nutrition_tables!$A:$AF,23,FALSE)*$Q321/100</f>
        <v>0</v>
      </c>
      <c r="AK321" s="583">
        <f>VLOOKUP($H321,Nutrition_tables!$A:$AF,24,FALSE)*$Q321/100</f>
        <v>0</v>
      </c>
      <c r="AL321" s="583">
        <f>VLOOKUP($H321,Nutrition_tables!$A:$AF,25,FALSE)*$Q321/100</f>
        <v>0</v>
      </c>
      <c r="AM321" s="583">
        <f>VLOOKUP($H321,Nutrition_tables!$A:$AF,26,FALSE)*$Q321/100</f>
        <v>0</v>
      </c>
      <c r="AN321" s="583">
        <f>VLOOKUP($H321,Nutrition_tables!$A:$AF,27,FALSE)*$Q321/100</f>
        <v>0</v>
      </c>
      <c r="AO321" s="583">
        <f>VLOOKUP($H321,Nutrition_tables!$A:$AF,28,FALSE)*$Q321/100</f>
        <v>0</v>
      </c>
      <c r="AP321" s="583">
        <f>VLOOKUP($H321,Nutrition_tables!$A:$AF,29,FALSE)*$Q321/100</f>
        <v>0</v>
      </c>
      <c r="AQ321" s="583">
        <f>VLOOKUP($H321,Nutrition_tables!$A:$AF,30,FALSE)*$Q321/100</f>
        <v>0</v>
      </c>
      <c r="AR321" s="583">
        <f>VLOOKUP($H321,Nutrition_tables!$A:$AF,31,FALSE)*$Q321/100</f>
        <v>0</v>
      </c>
      <c r="AS321" s="549">
        <f>VLOOKUP($H321,Nutrition_tables!$A:$AF,32,FALSE)*$Q321/100</f>
        <v>0</v>
      </c>
      <c r="AT321" s="583" t="str">
        <f>IF(H321="Select ingredient:","",IF(G321="Select food category:","",IFERROR(VLOOKUP($H321,Ingredient_prices!$E:$W,17,FALSE)*$Q321/1000,"not bought")))</f>
        <v/>
      </c>
      <c r="AU321" s="583" t="str">
        <f>IF(H321="Select ingredient:","",IF(G321="Select food category:","",IFERROR(VLOOKUP($H321,Ingredient_prices!$E:$W,18,FALSE)*$Q321/1000,"not bought")))</f>
        <v/>
      </c>
      <c r="AV321" s="583">
        <f t="shared" si="738"/>
        <v>0</v>
      </c>
      <c r="AW321" s="583">
        <f t="shared" si="739"/>
        <v>0</v>
      </c>
      <c r="AX321" s="583">
        <f t="shared" si="740"/>
        <v>0</v>
      </c>
      <c r="AY321" s="583">
        <f t="shared" si="741"/>
        <v>0</v>
      </c>
      <c r="AZ321" s="583">
        <f t="shared" si="742"/>
        <v>0</v>
      </c>
      <c r="BA321" s="583">
        <f t="shared" si="743"/>
        <v>0</v>
      </c>
      <c r="BB321" s="583">
        <f t="shared" si="744"/>
        <v>0</v>
      </c>
      <c r="BC321" s="583">
        <f t="shared" si="745"/>
        <v>0</v>
      </c>
      <c r="BD321" s="583">
        <f t="shared" si="746"/>
        <v>0</v>
      </c>
      <c r="BE321" s="583">
        <f t="shared" si="747"/>
        <v>0</v>
      </c>
      <c r="BF321" s="583">
        <f t="shared" si="748"/>
        <v>0</v>
      </c>
      <c r="BG321" s="583">
        <f t="shared" si="749"/>
        <v>0</v>
      </c>
      <c r="BH321" s="583">
        <f t="shared" si="750"/>
        <v>0</v>
      </c>
      <c r="BI321" s="583">
        <f t="shared" si="751"/>
        <v>0</v>
      </c>
      <c r="BJ321" s="583">
        <f t="shared" si="752"/>
        <v>0</v>
      </c>
      <c r="BK321" s="583">
        <f t="shared" si="753"/>
        <v>0</v>
      </c>
      <c r="BL321" s="583">
        <f t="shared" si="754"/>
        <v>0</v>
      </c>
      <c r="BM321" s="583">
        <f t="shared" si="755"/>
        <v>0</v>
      </c>
      <c r="BN321" s="583">
        <f t="shared" si="756"/>
        <v>0</v>
      </c>
      <c r="BO321" s="583">
        <f t="shared" si="757"/>
        <v>0</v>
      </c>
      <c r="BP321" s="583">
        <f t="shared" si="758"/>
        <v>0</v>
      </c>
      <c r="BQ321" s="583">
        <f t="shared" si="759"/>
        <v>0</v>
      </c>
      <c r="BR321" s="583">
        <f t="shared" si="760"/>
        <v>0</v>
      </c>
    </row>
    <row r="322" spans="1:70" s="229" customFormat="1" ht="15" customHeight="1">
      <c r="A322" s="643"/>
      <c r="D322" s="85"/>
      <c r="E322" s="576">
        <f t="shared" si="762"/>
        <v>100</v>
      </c>
      <c r="F322" s="707"/>
      <c r="G322" s="406" t="s">
        <v>3054</v>
      </c>
      <c r="H322" s="1262" t="s">
        <v>3055</v>
      </c>
      <c r="I322" s="85">
        <v>0</v>
      </c>
      <c r="J322" s="682">
        <v>1</v>
      </c>
      <c r="K322" s="579" t="str">
        <f t="shared" si="736"/>
        <v/>
      </c>
      <c r="L322" s="580" t="str">
        <f>IF(H322="Select ingredient:","",IF(G322="","",_xlfn.IFNA(VLOOKUP($H322,Ingredient_prices!$E:$U,16,FALSE),0)))</f>
        <v/>
      </c>
      <c r="M322" s="848"/>
      <c r="N322" s="848"/>
      <c r="O322" s="648"/>
      <c r="P322" s="653"/>
      <c r="Q322" s="583">
        <f t="shared" si="737"/>
        <v>0</v>
      </c>
      <c r="R322" s="583">
        <f>VLOOKUP($H322,'CO2_emission+%_food_waste'!$A:$K,6,FALSE)*$Q322/100</f>
        <v>0</v>
      </c>
      <c r="S322" s="583">
        <f t="shared" si="761"/>
        <v>0</v>
      </c>
      <c r="T322" s="583" t="str">
        <f>IF(H322="Select ingredient:","",IF(G322="Select food category:","",_xlfn.IFNA(VLOOKUP($H322,Ingredient_prices!$E:$U,16,FALSE)*$Q322/1000,"not bought")))</f>
        <v/>
      </c>
      <c r="U322" s="583" t="str">
        <f>IF(G322="Select food category:","",_xlfn.IFNA(VLOOKUP($H322,Ingredient_prices!$E:$U,16,FALSE)*$R322/1000,"not bought"))</f>
        <v/>
      </c>
      <c r="V322" s="549">
        <f>VLOOKUP($H322,'CO2_emission+%_food_waste'!$A:$K,4,FALSE)*$Q322</f>
        <v>0</v>
      </c>
      <c r="W322" s="583">
        <f>VLOOKUP($H322,Nutrition_tables!$A:$N,10,FALSE)*$Q322/100</f>
        <v>0</v>
      </c>
      <c r="X322" s="583">
        <f>VLOOKUP($H322,Nutrition_tables!$A:$N,11,FALSE)*$Q322/100</f>
        <v>0</v>
      </c>
      <c r="Y322" s="583">
        <f>VLOOKUP($H322,Nutrition_tables!$A:$N,12,FALSE)*$Q322/100</f>
        <v>0</v>
      </c>
      <c r="Z322" s="583">
        <f>VLOOKUP($H322,Nutrition_tables!$A:$N,14,FALSE)*$Q322/100</f>
        <v>0</v>
      </c>
      <c r="AA322" s="583">
        <f>VLOOKUP($H322,Nutrition_tables!$A:$AF,13,FALSE)*$Q322/100</f>
        <v>0</v>
      </c>
      <c r="AB322" s="549">
        <f>VLOOKUP($H322,Nutrition_tables!$A:$AF,15,FALSE)*$Q322/100</f>
        <v>0</v>
      </c>
      <c r="AC322" s="583">
        <f>VLOOKUP($H322,Nutrition_tables!$A:$AF,16,FALSE)*$Q322/100</f>
        <v>0</v>
      </c>
      <c r="AD322" s="583">
        <f>VLOOKUP($H322,Nutrition_tables!$A:$AF,17,FALSE)*$Q322/100</f>
        <v>0</v>
      </c>
      <c r="AE322" s="583">
        <f>VLOOKUP($H322,Nutrition_tables!$A:$AF,18,FALSE)*$Q322/100</f>
        <v>0</v>
      </c>
      <c r="AF322" s="583">
        <f>VLOOKUP($H322,Nutrition_tables!$A:$AF,19,FALSE)*$Q322/100</f>
        <v>0</v>
      </c>
      <c r="AG322" s="583">
        <f>VLOOKUP($H322,Nutrition_tables!$A:$AF,20,FALSE)*$Q322/100</f>
        <v>0</v>
      </c>
      <c r="AH322" s="583">
        <f>VLOOKUP($H322,Nutrition_tables!$A:$AF,21,FALSE)*$Q322/100</f>
        <v>0</v>
      </c>
      <c r="AI322" s="583">
        <f>VLOOKUP($H322,Nutrition_tables!$A:$AF,22,FALSE)*$Q322/100</f>
        <v>0</v>
      </c>
      <c r="AJ322" s="549">
        <f>VLOOKUP($H322,Nutrition_tables!$A:$AF,23,FALSE)*$Q322/100</f>
        <v>0</v>
      </c>
      <c r="AK322" s="583">
        <f>VLOOKUP($H322,Nutrition_tables!$A:$AF,24,FALSE)*$Q322/100</f>
        <v>0</v>
      </c>
      <c r="AL322" s="583">
        <f>VLOOKUP($H322,Nutrition_tables!$A:$AF,25,FALSE)*$Q322/100</f>
        <v>0</v>
      </c>
      <c r="AM322" s="583">
        <f>VLOOKUP($H322,Nutrition_tables!$A:$AF,26,FALSE)*$Q322/100</f>
        <v>0</v>
      </c>
      <c r="AN322" s="583">
        <f>VLOOKUP($H322,Nutrition_tables!$A:$AF,27,FALSE)*$Q322/100</f>
        <v>0</v>
      </c>
      <c r="AO322" s="583">
        <f>VLOOKUP($H322,Nutrition_tables!$A:$AF,28,FALSE)*$Q322/100</f>
        <v>0</v>
      </c>
      <c r="AP322" s="583">
        <f>VLOOKUP($H322,Nutrition_tables!$A:$AF,29,FALSE)*$Q322/100</f>
        <v>0</v>
      </c>
      <c r="AQ322" s="583">
        <f>VLOOKUP($H322,Nutrition_tables!$A:$AF,30,FALSE)*$Q322/100</f>
        <v>0</v>
      </c>
      <c r="AR322" s="583">
        <f>VLOOKUP($H322,Nutrition_tables!$A:$AF,31,FALSE)*$Q322/100</f>
        <v>0</v>
      </c>
      <c r="AS322" s="549">
        <f>VLOOKUP($H322,Nutrition_tables!$A:$AF,32,FALSE)*$Q322/100</f>
        <v>0</v>
      </c>
      <c r="AT322" s="583" t="str">
        <f>IF(H322="Select ingredient:","",IF(G322="Select food category:","",IFERROR(VLOOKUP($H322,Ingredient_prices!$E:$W,17,FALSE)*$Q322/1000,"not bought")))</f>
        <v/>
      </c>
      <c r="AU322" s="583" t="str">
        <f>IF(H322="Select ingredient:","",IF(G322="Select food category:","",IFERROR(VLOOKUP($H322,Ingredient_prices!$E:$W,18,FALSE)*$Q322/1000,"not bought")))</f>
        <v/>
      </c>
      <c r="AV322" s="583">
        <f t="shared" si="738"/>
        <v>0</v>
      </c>
      <c r="AW322" s="583">
        <f t="shared" si="739"/>
        <v>0</v>
      </c>
      <c r="AX322" s="583">
        <f t="shared" si="740"/>
        <v>0</v>
      </c>
      <c r="AY322" s="583">
        <f t="shared" si="741"/>
        <v>0</v>
      </c>
      <c r="AZ322" s="583">
        <f t="shared" si="742"/>
        <v>0</v>
      </c>
      <c r="BA322" s="583">
        <f t="shared" si="743"/>
        <v>0</v>
      </c>
      <c r="BB322" s="583">
        <f t="shared" si="744"/>
        <v>0</v>
      </c>
      <c r="BC322" s="583">
        <f t="shared" si="745"/>
        <v>0</v>
      </c>
      <c r="BD322" s="583">
        <f t="shared" si="746"/>
        <v>0</v>
      </c>
      <c r="BE322" s="583">
        <f t="shared" si="747"/>
        <v>0</v>
      </c>
      <c r="BF322" s="583">
        <f t="shared" si="748"/>
        <v>0</v>
      </c>
      <c r="BG322" s="583">
        <f t="shared" si="749"/>
        <v>0</v>
      </c>
      <c r="BH322" s="583">
        <f t="shared" si="750"/>
        <v>0</v>
      </c>
      <c r="BI322" s="583">
        <f t="shared" si="751"/>
        <v>0</v>
      </c>
      <c r="BJ322" s="583">
        <f t="shared" si="752"/>
        <v>0</v>
      </c>
      <c r="BK322" s="583">
        <f t="shared" si="753"/>
        <v>0</v>
      </c>
      <c r="BL322" s="583">
        <f t="shared" si="754"/>
        <v>0</v>
      </c>
      <c r="BM322" s="583">
        <f t="shared" si="755"/>
        <v>0</v>
      </c>
      <c r="BN322" s="583">
        <f t="shared" si="756"/>
        <v>0</v>
      </c>
      <c r="BO322" s="583">
        <f t="shared" si="757"/>
        <v>0</v>
      </c>
      <c r="BP322" s="583">
        <f t="shared" si="758"/>
        <v>0</v>
      </c>
      <c r="BQ322" s="583">
        <f t="shared" si="759"/>
        <v>0</v>
      </c>
      <c r="BR322" s="583">
        <f t="shared" si="760"/>
        <v>0</v>
      </c>
    </row>
    <row r="323" spans="1:70" s="229" customFormat="1" ht="15" customHeight="1">
      <c r="A323" s="643"/>
      <c r="D323" s="85"/>
      <c r="E323" s="576">
        <f t="shared" si="762"/>
        <v>100</v>
      </c>
      <c r="F323" s="707"/>
      <c r="G323" s="406" t="s">
        <v>3054</v>
      </c>
      <c r="H323" s="1262" t="s">
        <v>3055</v>
      </c>
      <c r="I323" s="85">
        <v>0</v>
      </c>
      <c r="J323" s="682">
        <v>1</v>
      </c>
      <c r="K323" s="579" t="str">
        <f t="shared" si="736"/>
        <v/>
      </c>
      <c r="L323" s="580" t="str">
        <f>IF(H323="Select ingredient:","",IF(G323="","",_xlfn.IFNA(VLOOKUP($H323,Ingredient_prices!$E:$U,16,FALSE),0)))</f>
        <v/>
      </c>
      <c r="M323" s="848"/>
      <c r="N323" s="848"/>
      <c r="O323" s="648"/>
      <c r="P323" s="653"/>
      <c r="Q323" s="583">
        <f t="shared" si="737"/>
        <v>0</v>
      </c>
      <c r="R323" s="583">
        <f>VLOOKUP($H323,'CO2_emission+%_food_waste'!$A:$K,6,FALSE)*$Q323/100</f>
        <v>0</v>
      </c>
      <c r="S323" s="583">
        <f t="shared" si="761"/>
        <v>0</v>
      </c>
      <c r="T323" s="583" t="str">
        <f>IF(H323="Select ingredient:","",IF(G323="Select food category:","",_xlfn.IFNA(VLOOKUP($H323,Ingredient_prices!$E:$U,16,FALSE)*$Q323/1000,"not bought")))</f>
        <v/>
      </c>
      <c r="U323" s="583" t="str">
        <f>IF(G323="Select food category:","",_xlfn.IFNA(VLOOKUP($H323,Ingredient_prices!$E:$U,16,FALSE)*$R323/1000,"not bought"))</f>
        <v/>
      </c>
      <c r="V323" s="549">
        <f>VLOOKUP($H323,'CO2_emission+%_food_waste'!$A:$K,4,FALSE)*$Q323</f>
        <v>0</v>
      </c>
      <c r="W323" s="583">
        <f>VLOOKUP($H323,Nutrition_tables!$A:$N,10,FALSE)*$Q323/100</f>
        <v>0</v>
      </c>
      <c r="X323" s="583">
        <f>VLOOKUP($H323,Nutrition_tables!$A:$N,11,FALSE)*$Q323/100</f>
        <v>0</v>
      </c>
      <c r="Y323" s="583">
        <f>VLOOKUP($H323,Nutrition_tables!$A:$N,12,FALSE)*$Q323/100</f>
        <v>0</v>
      </c>
      <c r="Z323" s="583">
        <f>VLOOKUP($H323,Nutrition_tables!$A:$N,14,FALSE)*$Q323/100</f>
        <v>0</v>
      </c>
      <c r="AA323" s="583">
        <f>VLOOKUP($H323,Nutrition_tables!$A:$AF,13,FALSE)*$Q323/100</f>
        <v>0</v>
      </c>
      <c r="AB323" s="549">
        <f>VLOOKUP($H323,Nutrition_tables!$A:$AF,15,FALSE)*$Q323/100</f>
        <v>0</v>
      </c>
      <c r="AC323" s="583">
        <f>VLOOKUP($H323,Nutrition_tables!$A:$AF,16,FALSE)*$Q323/100</f>
        <v>0</v>
      </c>
      <c r="AD323" s="583">
        <f>VLOOKUP($H323,Nutrition_tables!$A:$AF,17,FALSE)*$Q323/100</f>
        <v>0</v>
      </c>
      <c r="AE323" s="583">
        <f>VLOOKUP($H323,Nutrition_tables!$A:$AF,18,FALSE)*$Q323/100</f>
        <v>0</v>
      </c>
      <c r="AF323" s="583">
        <f>VLOOKUP($H323,Nutrition_tables!$A:$AF,19,FALSE)*$Q323/100</f>
        <v>0</v>
      </c>
      <c r="AG323" s="583">
        <f>VLOOKUP($H323,Nutrition_tables!$A:$AF,20,FALSE)*$Q323/100</f>
        <v>0</v>
      </c>
      <c r="AH323" s="583">
        <f>VLOOKUP($H323,Nutrition_tables!$A:$AF,21,FALSE)*$Q323/100</f>
        <v>0</v>
      </c>
      <c r="AI323" s="583">
        <f>VLOOKUP($H323,Nutrition_tables!$A:$AF,22,FALSE)*$Q323/100</f>
        <v>0</v>
      </c>
      <c r="AJ323" s="549">
        <f>VLOOKUP($H323,Nutrition_tables!$A:$AF,23,FALSE)*$Q323/100</f>
        <v>0</v>
      </c>
      <c r="AK323" s="583">
        <f>VLOOKUP($H323,Nutrition_tables!$A:$AF,24,FALSE)*$Q323/100</f>
        <v>0</v>
      </c>
      <c r="AL323" s="583">
        <f>VLOOKUP($H323,Nutrition_tables!$A:$AF,25,FALSE)*$Q323/100</f>
        <v>0</v>
      </c>
      <c r="AM323" s="583">
        <f>VLOOKUP($H323,Nutrition_tables!$A:$AF,26,FALSE)*$Q323/100</f>
        <v>0</v>
      </c>
      <c r="AN323" s="583">
        <f>VLOOKUP($H323,Nutrition_tables!$A:$AF,27,FALSE)*$Q323/100</f>
        <v>0</v>
      </c>
      <c r="AO323" s="583">
        <f>VLOOKUP($H323,Nutrition_tables!$A:$AF,28,FALSE)*$Q323/100</f>
        <v>0</v>
      </c>
      <c r="AP323" s="583">
        <f>VLOOKUP($H323,Nutrition_tables!$A:$AF,29,FALSE)*$Q323/100</f>
        <v>0</v>
      </c>
      <c r="AQ323" s="583">
        <f>VLOOKUP($H323,Nutrition_tables!$A:$AF,30,FALSE)*$Q323/100</f>
        <v>0</v>
      </c>
      <c r="AR323" s="583">
        <f>VLOOKUP($H323,Nutrition_tables!$A:$AF,31,FALSE)*$Q323/100</f>
        <v>0</v>
      </c>
      <c r="AS323" s="549">
        <f>VLOOKUP($H323,Nutrition_tables!$A:$AF,32,FALSE)*$Q323/100</f>
        <v>0</v>
      </c>
      <c r="AT323" s="583" t="str">
        <f>IF(H323="Select ingredient:","",IF(G323="Select food category:","",IFERROR(VLOOKUP($H323,Ingredient_prices!$E:$W,17,FALSE)*$Q323/1000,"not bought")))</f>
        <v/>
      </c>
      <c r="AU323" s="583" t="str">
        <f>IF(H323="Select ingredient:","",IF(G323="Select food category:","",IFERROR(VLOOKUP($H323,Ingredient_prices!$E:$W,18,FALSE)*$Q323/1000,"not bought")))</f>
        <v/>
      </c>
      <c r="AV323" s="583">
        <f t="shared" si="738"/>
        <v>0</v>
      </c>
      <c r="AW323" s="583">
        <f t="shared" si="739"/>
        <v>0</v>
      </c>
      <c r="AX323" s="583">
        <f t="shared" si="740"/>
        <v>0</v>
      </c>
      <c r="AY323" s="583">
        <f t="shared" si="741"/>
        <v>0</v>
      </c>
      <c r="AZ323" s="583">
        <f t="shared" si="742"/>
        <v>0</v>
      </c>
      <c r="BA323" s="583">
        <f t="shared" si="743"/>
        <v>0</v>
      </c>
      <c r="BB323" s="583">
        <f t="shared" si="744"/>
        <v>0</v>
      </c>
      <c r="BC323" s="583">
        <f t="shared" si="745"/>
        <v>0</v>
      </c>
      <c r="BD323" s="583">
        <f t="shared" ref="BD323:BJ327" si="763">AE323*($Q323-$R323)/($Q323+0.00001)</f>
        <v>0</v>
      </c>
      <c r="BE323" s="583">
        <f t="shared" si="763"/>
        <v>0</v>
      </c>
      <c r="BF323" s="583">
        <f t="shared" si="763"/>
        <v>0</v>
      </c>
      <c r="BG323" s="583">
        <f t="shared" si="763"/>
        <v>0</v>
      </c>
      <c r="BH323" s="583">
        <f t="shared" si="763"/>
        <v>0</v>
      </c>
      <c r="BI323" s="583">
        <f t="shared" si="763"/>
        <v>0</v>
      </c>
      <c r="BJ323" s="583">
        <f t="shared" si="763"/>
        <v>0</v>
      </c>
      <c r="BK323" s="583">
        <f t="shared" ref="BK323:BK327" si="764">AL323*($Q323-$R323)/($Q323+0.00001)</f>
        <v>0</v>
      </c>
      <c r="BL323" s="583">
        <f t="shared" ref="BL323:BR327" si="765">AM323*($Q323-$R323)/($Q323+0.00001)</f>
        <v>0</v>
      </c>
      <c r="BM323" s="583">
        <f t="shared" si="765"/>
        <v>0</v>
      </c>
      <c r="BN323" s="583">
        <f t="shared" si="765"/>
        <v>0</v>
      </c>
      <c r="BO323" s="583">
        <f t="shared" si="765"/>
        <v>0</v>
      </c>
      <c r="BP323" s="583">
        <f t="shared" si="765"/>
        <v>0</v>
      </c>
      <c r="BQ323" s="583">
        <f t="shared" si="765"/>
        <v>0</v>
      </c>
      <c r="BR323" s="583">
        <f t="shared" si="765"/>
        <v>0</v>
      </c>
    </row>
    <row r="324" spans="1:70" s="229" customFormat="1" ht="15" customHeight="1">
      <c r="A324" s="643"/>
      <c r="D324" s="85"/>
      <c r="E324" s="576">
        <f t="shared" si="762"/>
        <v>100</v>
      </c>
      <c r="F324" s="707"/>
      <c r="G324" s="406" t="s">
        <v>3054</v>
      </c>
      <c r="H324" s="1262" t="s">
        <v>3055</v>
      </c>
      <c r="I324" s="85">
        <v>0</v>
      </c>
      <c r="J324" s="682">
        <v>1</v>
      </c>
      <c r="K324" s="579" t="str">
        <f t="shared" si="736"/>
        <v/>
      </c>
      <c r="L324" s="580" t="str">
        <f>IF(H324="Select ingredient:","",IF(G324="","",_xlfn.IFNA(VLOOKUP($H324,Ingredient_prices!$E:$U,16,FALSE),0)))</f>
        <v/>
      </c>
      <c r="M324" s="848"/>
      <c r="N324" s="848"/>
      <c r="O324" s="648"/>
      <c r="P324" s="653"/>
      <c r="Q324" s="583">
        <f t="shared" si="737"/>
        <v>0</v>
      </c>
      <c r="R324" s="583">
        <f>VLOOKUP($H324,'CO2_emission+%_food_waste'!$A:$K,6,FALSE)*$Q324/100</f>
        <v>0</v>
      </c>
      <c r="S324" s="583">
        <f t="shared" si="761"/>
        <v>0</v>
      </c>
      <c r="T324" s="583" t="str">
        <f>IF(H324="Select ingredient:","",IF(G324="Select food category:","",_xlfn.IFNA(VLOOKUP($H324,Ingredient_prices!$E:$U,16,FALSE)*$Q324/1000,"not bought")))</f>
        <v/>
      </c>
      <c r="U324" s="583" t="str">
        <f>IF(G324="Select food category:","",_xlfn.IFNA(VLOOKUP($H324,Ingredient_prices!$E:$U,16,FALSE)*$R324/1000,"not bought"))</f>
        <v/>
      </c>
      <c r="V324" s="549">
        <f>VLOOKUP($H324,'CO2_emission+%_food_waste'!$A:$K,4,FALSE)*$Q324</f>
        <v>0</v>
      </c>
      <c r="W324" s="583">
        <f>VLOOKUP($H324,Nutrition_tables!$A:$N,10,FALSE)*$Q324/100</f>
        <v>0</v>
      </c>
      <c r="X324" s="583">
        <f>VLOOKUP($H324,Nutrition_tables!$A:$N,11,FALSE)*$Q324/100</f>
        <v>0</v>
      </c>
      <c r="Y324" s="583">
        <f>VLOOKUP($H324,Nutrition_tables!$A:$N,12,FALSE)*$Q324/100</f>
        <v>0</v>
      </c>
      <c r="Z324" s="583">
        <f>VLOOKUP($H324,Nutrition_tables!$A:$N,14,FALSE)*$Q324/100</f>
        <v>0</v>
      </c>
      <c r="AA324" s="583">
        <f>VLOOKUP($H324,Nutrition_tables!$A:$AF,13,FALSE)*$Q324/100</f>
        <v>0</v>
      </c>
      <c r="AB324" s="549">
        <f>VLOOKUP($H324,Nutrition_tables!$A:$AF,15,FALSE)*$Q324/100</f>
        <v>0</v>
      </c>
      <c r="AC324" s="583">
        <f>VLOOKUP($H324,Nutrition_tables!$A:$AF,16,FALSE)*$Q324/100</f>
        <v>0</v>
      </c>
      <c r="AD324" s="583">
        <f>VLOOKUP($H324,Nutrition_tables!$A:$AF,17,FALSE)*$Q324/100</f>
        <v>0</v>
      </c>
      <c r="AE324" s="583">
        <f>VLOOKUP($H324,Nutrition_tables!$A:$AF,18,FALSE)*$Q324/100</f>
        <v>0</v>
      </c>
      <c r="AF324" s="583">
        <f>VLOOKUP($H324,Nutrition_tables!$A:$AF,19,FALSE)*$Q324/100</f>
        <v>0</v>
      </c>
      <c r="AG324" s="583">
        <f>VLOOKUP($H324,Nutrition_tables!$A:$AF,20,FALSE)*$Q324/100</f>
        <v>0</v>
      </c>
      <c r="AH324" s="583">
        <f>VLOOKUP($H324,Nutrition_tables!$A:$AF,21,FALSE)*$Q324/100</f>
        <v>0</v>
      </c>
      <c r="AI324" s="583">
        <f>VLOOKUP($H324,Nutrition_tables!$A:$AF,22,FALSE)*$Q324/100</f>
        <v>0</v>
      </c>
      <c r="AJ324" s="549">
        <f>VLOOKUP($H324,Nutrition_tables!$A:$AF,23,FALSE)*$Q324/100</f>
        <v>0</v>
      </c>
      <c r="AK324" s="583">
        <f>VLOOKUP($H324,Nutrition_tables!$A:$AF,24,FALSE)*$Q324/100</f>
        <v>0</v>
      </c>
      <c r="AL324" s="583">
        <f>VLOOKUP($H324,Nutrition_tables!$A:$AF,25,FALSE)*$Q324/100</f>
        <v>0</v>
      </c>
      <c r="AM324" s="583">
        <f>VLOOKUP($H324,Nutrition_tables!$A:$AF,26,FALSE)*$Q324/100</f>
        <v>0</v>
      </c>
      <c r="AN324" s="583">
        <f>VLOOKUP($H324,Nutrition_tables!$A:$AF,27,FALSE)*$Q324/100</f>
        <v>0</v>
      </c>
      <c r="AO324" s="583">
        <f>VLOOKUP($H324,Nutrition_tables!$A:$AF,28,FALSE)*$Q324/100</f>
        <v>0</v>
      </c>
      <c r="AP324" s="583">
        <f>VLOOKUP($H324,Nutrition_tables!$A:$AF,29,FALSE)*$Q324/100</f>
        <v>0</v>
      </c>
      <c r="AQ324" s="583">
        <f>VLOOKUP($H324,Nutrition_tables!$A:$AF,30,FALSE)*$Q324/100</f>
        <v>0</v>
      </c>
      <c r="AR324" s="583">
        <f>VLOOKUP($H324,Nutrition_tables!$A:$AF,31,FALSE)*$Q324/100</f>
        <v>0</v>
      </c>
      <c r="AS324" s="549">
        <f>VLOOKUP($H324,Nutrition_tables!$A:$AF,32,FALSE)*$Q324/100</f>
        <v>0</v>
      </c>
      <c r="AT324" s="583" t="str">
        <f>IF(H324="Select ingredient:","",IF(G324="Select food category:","",IFERROR(VLOOKUP($H324,Ingredient_prices!$E:$W,17,FALSE)*$Q324/1000,"not bought")))</f>
        <v/>
      </c>
      <c r="AU324" s="583" t="str">
        <f>IF(H324="Select ingredient:","",IF(G324="Select food category:","",IFERROR(VLOOKUP($H324,Ingredient_prices!$E:$W,18,FALSE)*$Q324/1000,"not bought")))</f>
        <v/>
      </c>
      <c r="AV324" s="583">
        <f t="shared" si="738"/>
        <v>0</v>
      </c>
      <c r="AW324" s="583">
        <f t="shared" si="739"/>
        <v>0</v>
      </c>
      <c r="AX324" s="583">
        <f t="shared" si="740"/>
        <v>0</v>
      </c>
      <c r="AY324" s="583">
        <f t="shared" si="741"/>
        <v>0</v>
      </c>
      <c r="AZ324" s="583">
        <f t="shared" si="742"/>
        <v>0</v>
      </c>
      <c r="BA324" s="583">
        <f t="shared" si="743"/>
        <v>0</v>
      </c>
      <c r="BB324" s="583">
        <f t="shared" si="744"/>
        <v>0</v>
      </c>
      <c r="BC324" s="583">
        <f t="shared" si="745"/>
        <v>0</v>
      </c>
      <c r="BD324" s="583">
        <f t="shared" si="763"/>
        <v>0</v>
      </c>
      <c r="BE324" s="583">
        <f t="shared" si="763"/>
        <v>0</v>
      </c>
      <c r="BF324" s="583">
        <f t="shared" si="763"/>
        <v>0</v>
      </c>
      <c r="BG324" s="583">
        <f t="shared" si="763"/>
        <v>0</v>
      </c>
      <c r="BH324" s="583">
        <f t="shared" si="763"/>
        <v>0</v>
      </c>
      <c r="BI324" s="583">
        <f t="shared" si="763"/>
        <v>0</v>
      </c>
      <c r="BJ324" s="583">
        <f t="shared" si="763"/>
        <v>0</v>
      </c>
      <c r="BK324" s="583">
        <f t="shared" si="764"/>
        <v>0</v>
      </c>
      <c r="BL324" s="583">
        <f t="shared" si="765"/>
        <v>0</v>
      </c>
      <c r="BM324" s="583">
        <f t="shared" si="765"/>
        <v>0</v>
      </c>
      <c r="BN324" s="583">
        <f t="shared" si="765"/>
        <v>0</v>
      </c>
      <c r="BO324" s="583">
        <f t="shared" si="765"/>
        <v>0</v>
      </c>
      <c r="BP324" s="583">
        <f t="shared" si="765"/>
        <v>0</v>
      </c>
      <c r="BQ324" s="583">
        <f t="shared" si="765"/>
        <v>0</v>
      </c>
      <c r="BR324" s="583">
        <f t="shared" si="765"/>
        <v>0</v>
      </c>
    </row>
    <row r="325" spans="1:70" s="229" customFormat="1" ht="15" customHeight="1">
      <c r="A325" s="643"/>
      <c r="D325" s="85"/>
      <c r="E325" s="576">
        <f t="shared" si="762"/>
        <v>100</v>
      </c>
      <c r="F325" s="707"/>
      <c r="G325" s="406" t="s">
        <v>3054</v>
      </c>
      <c r="H325" s="1262" t="s">
        <v>3055</v>
      </c>
      <c r="I325" s="85">
        <v>0</v>
      </c>
      <c r="J325" s="682">
        <v>1</v>
      </c>
      <c r="K325" s="579" t="str">
        <f t="shared" si="736"/>
        <v/>
      </c>
      <c r="L325" s="580" t="str">
        <f>IF(H325="Select ingredient:","",IF(G325="","",_xlfn.IFNA(VLOOKUP($H325,Ingredient_prices!$E:$U,16,FALSE),0)))</f>
        <v/>
      </c>
      <c r="M325" s="848"/>
      <c r="N325" s="848"/>
      <c r="O325" s="648"/>
      <c r="P325" s="653"/>
      <c r="Q325" s="583">
        <f t="shared" si="737"/>
        <v>0</v>
      </c>
      <c r="R325" s="583">
        <f>VLOOKUP($H325,'CO2_emission+%_food_waste'!$A:$K,6,FALSE)*$Q325/100</f>
        <v>0</v>
      </c>
      <c r="S325" s="583">
        <f t="shared" si="761"/>
        <v>0</v>
      </c>
      <c r="T325" s="583" t="str">
        <f>IF(H325="Select ingredient:","",IF(G325="Select food category:","",_xlfn.IFNA(VLOOKUP($H325,Ingredient_prices!$E:$U,16,FALSE)*$Q325/1000,"not bought")))</f>
        <v/>
      </c>
      <c r="U325" s="583" t="str">
        <f>IF(G325="Select food category:","",_xlfn.IFNA(VLOOKUP($H325,Ingredient_prices!$E:$U,16,FALSE)*$R325/1000,"not bought"))</f>
        <v/>
      </c>
      <c r="V325" s="549">
        <f>VLOOKUP($H325,'CO2_emission+%_food_waste'!$A:$K,4,FALSE)*$Q325</f>
        <v>0</v>
      </c>
      <c r="W325" s="583">
        <f>VLOOKUP($H325,Nutrition_tables!$A:$N,10,FALSE)*$Q325/100</f>
        <v>0</v>
      </c>
      <c r="X325" s="583">
        <f>VLOOKUP($H325,Nutrition_tables!$A:$N,11,FALSE)*$Q325/100</f>
        <v>0</v>
      </c>
      <c r="Y325" s="583">
        <f>VLOOKUP($H325,Nutrition_tables!$A:$N,12,FALSE)*$Q325/100</f>
        <v>0</v>
      </c>
      <c r="Z325" s="583">
        <f>VLOOKUP($H325,Nutrition_tables!$A:$N,14,FALSE)*$Q325/100</f>
        <v>0</v>
      </c>
      <c r="AA325" s="583">
        <f>VLOOKUP($H325,Nutrition_tables!$A:$AF,13,FALSE)*$Q325/100</f>
        <v>0</v>
      </c>
      <c r="AB325" s="549">
        <f>VLOOKUP($H325,Nutrition_tables!$A:$AF,15,FALSE)*$Q325/100</f>
        <v>0</v>
      </c>
      <c r="AC325" s="583">
        <f>VLOOKUP($H325,Nutrition_tables!$A:$AF,16,FALSE)*$Q325/100</f>
        <v>0</v>
      </c>
      <c r="AD325" s="583">
        <f>VLOOKUP($H325,Nutrition_tables!$A:$AF,17,FALSE)*$Q325/100</f>
        <v>0</v>
      </c>
      <c r="AE325" s="583">
        <f>VLOOKUP($H325,Nutrition_tables!$A:$AF,18,FALSE)*$Q325/100</f>
        <v>0</v>
      </c>
      <c r="AF325" s="583">
        <f>VLOOKUP($H325,Nutrition_tables!$A:$AF,19,FALSE)*$Q325/100</f>
        <v>0</v>
      </c>
      <c r="AG325" s="583">
        <f>VLOOKUP($H325,Nutrition_tables!$A:$AF,20,FALSE)*$Q325/100</f>
        <v>0</v>
      </c>
      <c r="AH325" s="583">
        <f>VLOOKUP($H325,Nutrition_tables!$A:$AF,21,FALSE)*$Q325/100</f>
        <v>0</v>
      </c>
      <c r="AI325" s="583">
        <f>VLOOKUP($H325,Nutrition_tables!$A:$AF,22,FALSE)*$Q325/100</f>
        <v>0</v>
      </c>
      <c r="AJ325" s="549">
        <f>VLOOKUP($H325,Nutrition_tables!$A:$AF,23,FALSE)*$Q325/100</f>
        <v>0</v>
      </c>
      <c r="AK325" s="583">
        <f>VLOOKUP($H325,Nutrition_tables!$A:$AF,24,FALSE)*$Q325/100</f>
        <v>0</v>
      </c>
      <c r="AL325" s="583">
        <f>VLOOKUP($H325,Nutrition_tables!$A:$AF,25,FALSE)*$Q325/100</f>
        <v>0</v>
      </c>
      <c r="AM325" s="583">
        <f>VLOOKUP($H325,Nutrition_tables!$A:$AF,26,FALSE)*$Q325/100</f>
        <v>0</v>
      </c>
      <c r="AN325" s="583">
        <f>VLOOKUP($H325,Nutrition_tables!$A:$AF,27,FALSE)*$Q325/100</f>
        <v>0</v>
      </c>
      <c r="AO325" s="583">
        <f>VLOOKUP($H325,Nutrition_tables!$A:$AF,28,FALSE)*$Q325/100</f>
        <v>0</v>
      </c>
      <c r="AP325" s="583">
        <f>VLOOKUP($H325,Nutrition_tables!$A:$AF,29,FALSE)*$Q325/100</f>
        <v>0</v>
      </c>
      <c r="AQ325" s="583">
        <f>VLOOKUP($H325,Nutrition_tables!$A:$AF,30,FALSE)*$Q325/100</f>
        <v>0</v>
      </c>
      <c r="AR325" s="583">
        <f>VLOOKUP($H325,Nutrition_tables!$A:$AF,31,FALSE)*$Q325/100</f>
        <v>0</v>
      </c>
      <c r="AS325" s="549">
        <f>VLOOKUP($H325,Nutrition_tables!$A:$AF,32,FALSE)*$Q325/100</f>
        <v>0</v>
      </c>
      <c r="AT325" s="583" t="str">
        <f>IF(H325="Select ingredient:","",IF(G325="Select food category:","",IFERROR(VLOOKUP($H325,Ingredient_prices!$E:$W,17,FALSE)*$Q325/1000,"not bought")))</f>
        <v/>
      </c>
      <c r="AU325" s="583" t="str">
        <f>IF(H325="Select ingredient:","",IF(G325="Select food category:","",IFERROR(VLOOKUP($H325,Ingredient_prices!$E:$W,18,FALSE)*$Q325/1000,"not bought")))</f>
        <v/>
      </c>
      <c r="AV325" s="583">
        <f t="shared" si="738"/>
        <v>0</v>
      </c>
      <c r="AW325" s="583">
        <f t="shared" si="739"/>
        <v>0</v>
      </c>
      <c r="AX325" s="583">
        <f t="shared" si="740"/>
        <v>0</v>
      </c>
      <c r="AY325" s="583">
        <f t="shared" si="741"/>
        <v>0</v>
      </c>
      <c r="AZ325" s="583">
        <f t="shared" si="742"/>
        <v>0</v>
      </c>
      <c r="BA325" s="583">
        <f t="shared" si="743"/>
        <v>0</v>
      </c>
      <c r="BB325" s="583">
        <f t="shared" si="744"/>
        <v>0</v>
      </c>
      <c r="BC325" s="583">
        <f t="shared" si="745"/>
        <v>0</v>
      </c>
      <c r="BD325" s="583">
        <f t="shared" si="763"/>
        <v>0</v>
      </c>
      <c r="BE325" s="583">
        <f t="shared" si="763"/>
        <v>0</v>
      </c>
      <c r="BF325" s="583">
        <f t="shared" si="763"/>
        <v>0</v>
      </c>
      <c r="BG325" s="583">
        <f t="shared" si="763"/>
        <v>0</v>
      </c>
      <c r="BH325" s="583">
        <f t="shared" si="763"/>
        <v>0</v>
      </c>
      <c r="BI325" s="583">
        <f t="shared" si="763"/>
        <v>0</v>
      </c>
      <c r="BJ325" s="583">
        <f t="shared" si="763"/>
        <v>0</v>
      </c>
      <c r="BK325" s="583">
        <f t="shared" si="764"/>
        <v>0</v>
      </c>
      <c r="BL325" s="583">
        <f t="shared" si="765"/>
        <v>0</v>
      </c>
      <c r="BM325" s="583">
        <f t="shared" si="765"/>
        <v>0</v>
      </c>
      <c r="BN325" s="583">
        <f t="shared" si="765"/>
        <v>0</v>
      </c>
      <c r="BO325" s="583">
        <f t="shared" si="765"/>
        <v>0</v>
      </c>
      <c r="BP325" s="583">
        <f t="shared" si="765"/>
        <v>0</v>
      </c>
      <c r="BQ325" s="583">
        <f t="shared" si="765"/>
        <v>0</v>
      </c>
      <c r="BR325" s="583">
        <f t="shared" si="765"/>
        <v>0</v>
      </c>
    </row>
    <row r="326" spans="1:70" s="229" customFormat="1" ht="15" customHeight="1">
      <c r="A326" s="643"/>
      <c r="D326" s="85"/>
      <c r="E326" s="576">
        <f t="shared" si="762"/>
        <v>100</v>
      </c>
      <c r="F326" s="707"/>
      <c r="G326" s="406" t="s">
        <v>3054</v>
      </c>
      <c r="H326" s="1262" t="s">
        <v>3055</v>
      </c>
      <c r="I326" s="85">
        <v>0</v>
      </c>
      <c r="J326" s="682">
        <v>1</v>
      </c>
      <c r="K326" s="579" t="str">
        <f t="shared" si="736"/>
        <v/>
      </c>
      <c r="L326" s="580" t="str">
        <f>IF(H326="Select ingredient:","",IF(G326="","",_xlfn.IFNA(VLOOKUP($H326,Ingredient_prices!$E:$U,16,FALSE),0)))</f>
        <v/>
      </c>
      <c r="M326" s="848"/>
      <c r="N326" s="848"/>
      <c r="O326" s="648"/>
      <c r="P326" s="653"/>
      <c r="Q326" s="583">
        <f t="shared" si="737"/>
        <v>0</v>
      </c>
      <c r="R326" s="583">
        <f>VLOOKUP($H326,'CO2_emission+%_food_waste'!$A:$K,6,FALSE)*$Q326/100</f>
        <v>0</v>
      </c>
      <c r="S326" s="583">
        <f t="shared" si="761"/>
        <v>0</v>
      </c>
      <c r="T326" s="583" t="str">
        <f>IF(H326="Select ingredient:","",IF(G326="Select food category:","",_xlfn.IFNA(VLOOKUP($H326,Ingredient_prices!$E:$U,16,FALSE)*$Q326/1000,"not bought")))</f>
        <v/>
      </c>
      <c r="U326" s="583" t="str">
        <f>IF(G326="Select food category:","",_xlfn.IFNA(VLOOKUP($H326,Ingredient_prices!$E:$U,16,FALSE)*$R326/1000,"not bought"))</f>
        <v/>
      </c>
      <c r="V326" s="549">
        <f>VLOOKUP($H326,'CO2_emission+%_food_waste'!$A:$K,4,FALSE)*$Q326</f>
        <v>0</v>
      </c>
      <c r="W326" s="583">
        <f>VLOOKUP($H326,Nutrition_tables!$A:$N,10,FALSE)*$Q326/100</f>
        <v>0</v>
      </c>
      <c r="X326" s="583">
        <f>VLOOKUP($H326,Nutrition_tables!$A:$N,11,FALSE)*$Q326/100</f>
        <v>0</v>
      </c>
      <c r="Y326" s="583">
        <f>VLOOKUP($H326,Nutrition_tables!$A:$N,12,FALSE)*$Q326/100</f>
        <v>0</v>
      </c>
      <c r="Z326" s="583">
        <f>VLOOKUP($H326,Nutrition_tables!$A:$N,14,FALSE)*$Q326/100</f>
        <v>0</v>
      </c>
      <c r="AA326" s="583">
        <f>VLOOKUP($H326,Nutrition_tables!$A:$AF,13,FALSE)*$Q326/100</f>
        <v>0</v>
      </c>
      <c r="AB326" s="549">
        <f>VLOOKUP($H326,Nutrition_tables!$A:$AF,15,FALSE)*$Q326/100</f>
        <v>0</v>
      </c>
      <c r="AC326" s="583">
        <f>VLOOKUP($H326,Nutrition_tables!$A:$AF,16,FALSE)*$Q326/100</f>
        <v>0</v>
      </c>
      <c r="AD326" s="583">
        <f>VLOOKUP($H326,Nutrition_tables!$A:$AF,17,FALSE)*$Q326/100</f>
        <v>0</v>
      </c>
      <c r="AE326" s="583">
        <f>VLOOKUP($H326,Nutrition_tables!$A:$AF,18,FALSE)*$Q326/100</f>
        <v>0</v>
      </c>
      <c r="AF326" s="583">
        <f>VLOOKUP($H326,Nutrition_tables!$A:$AF,19,FALSE)*$Q326/100</f>
        <v>0</v>
      </c>
      <c r="AG326" s="583">
        <f>VLOOKUP($H326,Nutrition_tables!$A:$AF,20,FALSE)*$Q326/100</f>
        <v>0</v>
      </c>
      <c r="AH326" s="583">
        <f>VLOOKUP($H326,Nutrition_tables!$A:$AF,21,FALSE)*$Q326/100</f>
        <v>0</v>
      </c>
      <c r="AI326" s="583">
        <f>VLOOKUP($H326,Nutrition_tables!$A:$AF,22,FALSE)*$Q326/100</f>
        <v>0</v>
      </c>
      <c r="AJ326" s="549">
        <f>VLOOKUP($H326,Nutrition_tables!$A:$AF,23,FALSE)*$Q326/100</f>
        <v>0</v>
      </c>
      <c r="AK326" s="583">
        <f>VLOOKUP($H326,Nutrition_tables!$A:$AF,24,FALSE)*$Q326/100</f>
        <v>0</v>
      </c>
      <c r="AL326" s="583">
        <f>VLOOKUP($H326,Nutrition_tables!$A:$AF,25,FALSE)*$Q326/100</f>
        <v>0</v>
      </c>
      <c r="AM326" s="583">
        <f>VLOOKUP($H326,Nutrition_tables!$A:$AF,26,FALSE)*$Q326/100</f>
        <v>0</v>
      </c>
      <c r="AN326" s="583">
        <f>VLOOKUP($H326,Nutrition_tables!$A:$AF,27,FALSE)*$Q326/100</f>
        <v>0</v>
      </c>
      <c r="AO326" s="583">
        <f>VLOOKUP($H326,Nutrition_tables!$A:$AF,28,FALSE)*$Q326/100</f>
        <v>0</v>
      </c>
      <c r="AP326" s="583">
        <f>VLOOKUP($H326,Nutrition_tables!$A:$AF,29,FALSE)*$Q326/100</f>
        <v>0</v>
      </c>
      <c r="AQ326" s="583">
        <f>VLOOKUP($H326,Nutrition_tables!$A:$AF,30,FALSE)*$Q326/100</f>
        <v>0</v>
      </c>
      <c r="AR326" s="583">
        <f>VLOOKUP($H326,Nutrition_tables!$A:$AF,31,FALSE)*$Q326/100</f>
        <v>0</v>
      </c>
      <c r="AS326" s="549">
        <f>VLOOKUP($H326,Nutrition_tables!$A:$AF,32,FALSE)*$Q326/100</f>
        <v>0</v>
      </c>
      <c r="AT326" s="583" t="str">
        <f>IF(H326="Select ingredient:","",IF(G326="Select food category:","",IFERROR(VLOOKUP($H326,Ingredient_prices!$E:$W,17,FALSE)*$Q326/1000,"not bought")))</f>
        <v/>
      </c>
      <c r="AU326" s="583" t="str">
        <f>IF(H326="Select ingredient:","",IF(G326="Select food category:","",IFERROR(VLOOKUP($H326,Ingredient_prices!$E:$W,18,FALSE)*$Q326/1000,"not bought")))</f>
        <v/>
      </c>
      <c r="AV326" s="583">
        <f t="shared" si="738"/>
        <v>0</v>
      </c>
      <c r="AW326" s="583">
        <f t="shared" si="739"/>
        <v>0</v>
      </c>
      <c r="AX326" s="583">
        <f t="shared" si="740"/>
        <v>0</v>
      </c>
      <c r="AY326" s="583">
        <f t="shared" si="741"/>
        <v>0</v>
      </c>
      <c r="AZ326" s="583">
        <f t="shared" si="742"/>
        <v>0</v>
      </c>
      <c r="BA326" s="583">
        <f t="shared" si="743"/>
        <v>0</v>
      </c>
      <c r="BB326" s="583">
        <f t="shared" si="744"/>
        <v>0</v>
      </c>
      <c r="BC326" s="583">
        <f t="shared" si="745"/>
        <v>0</v>
      </c>
      <c r="BD326" s="583">
        <f t="shared" si="763"/>
        <v>0</v>
      </c>
      <c r="BE326" s="583">
        <f t="shared" si="763"/>
        <v>0</v>
      </c>
      <c r="BF326" s="583">
        <f t="shared" si="763"/>
        <v>0</v>
      </c>
      <c r="BG326" s="583">
        <f t="shared" si="763"/>
        <v>0</v>
      </c>
      <c r="BH326" s="583">
        <f t="shared" si="763"/>
        <v>0</v>
      </c>
      <c r="BI326" s="583">
        <f t="shared" si="763"/>
        <v>0</v>
      </c>
      <c r="BJ326" s="583">
        <f t="shared" si="763"/>
        <v>0</v>
      </c>
      <c r="BK326" s="583">
        <f t="shared" si="764"/>
        <v>0</v>
      </c>
      <c r="BL326" s="583">
        <f t="shared" si="765"/>
        <v>0</v>
      </c>
      <c r="BM326" s="583">
        <f t="shared" si="765"/>
        <v>0</v>
      </c>
      <c r="BN326" s="583">
        <f t="shared" si="765"/>
        <v>0</v>
      </c>
      <c r="BO326" s="583">
        <f t="shared" si="765"/>
        <v>0</v>
      </c>
      <c r="BP326" s="583">
        <f t="shared" si="765"/>
        <v>0</v>
      </c>
      <c r="BQ326" s="583">
        <f t="shared" si="765"/>
        <v>0</v>
      </c>
      <c r="BR326" s="583">
        <f t="shared" si="765"/>
        <v>0</v>
      </c>
    </row>
    <row r="327" spans="1:70" s="229" customFormat="1" ht="15" customHeight="1">
      <c r="A327" s="643"/>
      <c r="D327" s="85"/>
      <c r="E327" s="576">
        <f t="shared" si="762"/>
        <v>100</v>
      </c>
      <c r="F327" s="707"/>
      <c r="G327" s="406" t="s">
        <v>3054</v>
      </c>
      <c r="H327" s="1262" t="s">
        <v>3055</v>
      </c>
      <c r="I327" s="85">
        <v>0</v>
      </c>
      <c r="J327" s="682">
        <v>1</v>
      </c>
      <c r="K327" s="579" t="str">
        <f t="shared" si="736"/>
        <v/>
      </c>
      <c r="L327" s="580" t="str">
        <f>IF(H327="Select ingredient:","",IF(G327="","",_xlfn.IFNA(VLOOKUP($H327,Ingredient_prices!$E:$U,16,FALSE),0)))</f>
        <v/>
      </c>
      <c r="M327" s="848"/>
      <c r="N327" s="848"/>
      <c r="O327" s="648"/>
      <c r="P327" s="653"/>
      <c r="Q327" s="583">
        <f t="shared" si="737"/>
        <v>0</v>
      </c>
      <c r="R327" s="583">
        <f>VLOOKUP($H327,'CO2_emission+%_food_waste'!$A:$K,6,FALSE)*$Q327/100</f>
        <v>0</v>
      </c>
      <c r="S327" s="583">
        <f t="shared" si="761"/>
        <v>0</v>
      </c>
      <c r="T327" s="583" t="str">
        <f>IF(H327="Select ingredient:","",IF(G327="Select food category:","",_xlfn.IFNA(VLOOKUP($H327,Ingredient_prices!$E:$U,16,FALSE)*$Q327/1000,"not bought")))</f>
        <v/>
      </c>
      <c r="U327" s="583" t="str">
        <f>IF(G327="Select food category:","",_xlfn.IFNA(VLOOKUP($H327,Ingredient_prices!$E:$U,16,FALSE)*$R327/1000,"not bought"))</f>
        <v/>
      </c>
      <c r="V327" s="549">
        <f>VLOOKUP($H327,'CO2_emission+%_food_waste'!$A:$K,4,FALSE)*$Q327</f>
        <v>0</v>
      </c>
      <c r="W327" s="583">
        <f>VLOOKUP($H327,Nutrition_tables!$A:$N,10,FALSE)*$Q327/100</f>
        <v>0</v>
      </c>
      <c r="X327" s="583">
        <f>VLOOKUP($H327,Nutrition_tables!$A:$N,11,FALSE)*$Q327/100</f>
        <v>0</v>
      </c>
      <c r="Y327" s="583">
        <f>VLOOKUP($H327,Nutrition_tables!$A:$N,12,FALSE)*$Q327/100</f>
        <v>0</v>
      </c>
      <c r="Z327" s="583">
        <f>VLOOKUP($H327,Nutrition_tables!$A:$N,14,FALSE)*$Q327/100</f>
        <v>0</v>
      </c>
      <c r="AA327" s="583">
        <f>VLOOKUP($H327,Nutrition_tables!$A:$AF,13,FALSE)*$Q327/100</f>
        <v>0</v>
      </c>
      <c r="AB327" s="549">
        <f>VLOOKUP($H327,Nutrition_tables!$A:$AF,15,FALSE)*$Q327/100</f>
        <v>0</v>
      </c>
      <c r="AC327" s="583">
        <f>VLOOKUP($H327,Nutrition_tables!$A:$AF,16,FALSE)*$Q327/100</f>
        <v>0</v>
      </c>
      <c r="AD327" s="583">
        <f>VLOOKUP($H327,Nutrition_tables!$A:$AF,17,FALSE)*$Q327/100</f>
        <v>0</v>
      </c>
      <c r="AE327" s="583">
        <f>VLOOKUP($H327,Nutrition_tables!$A:$AF,18,FALSE)*$Q327/100</f>
        <v>0</v>
      </c>
      <c r="AF327" s="583">
        <f>VLOOKUP($H327,Nutrition_tables!$A:$AF,19,FALSE)*$Q327/100</f>
        <v>0</v>
      </c>
      <c r="AG327" s="583">
        <f>VLOOKUP($H327,Nutrition_tables!$A:$AF,20,FALSE)*$Q327/100</f>
        <v>0</v>
      </c>
      <c r="AH327" s="583">
        <f>VLOOKUP($H327,Nutrition_tables!$A:$AF,21,FALSE)*$Q327/100</f>
        <v>0</v>
      </c>
      <c r="AI327" s="583">
        <f>VLOOKUP($H327,Nutrition_tables!$A:$AF,22,FALSE)*$Q327/100</f>
        <v>0</v>
      </c>
      <c r="AJ327" s="549">
        <f>VLOOKUP($H327,Nutrition_tables!$A:$AF,23,FALSE)*$Q327/100</f>
        <v>0</v>
      </c>
      <c r="AK327" s="583">
        <f>VLOOKUP($H327,Nutrition_tables!$A:$AF,24,FALSE)*$Q327/100</f>
        <v>0</v>
      </c>
      <c r="AL327" s="583">
        <f>VLOOKUP($H327,Nutrition_tables!$A:$AF,25,FALSE)*$Q327/100</f>
        <v>0</v>
      </c>
      <c r="AM327" s="583">
        <f>VLOOKUP($H327,Nutrition_tables!$A:$AF,26,FALSE)*$Q327/100</f>
        <v>0</v>
      </c>
      <c r="AN327" s="583">
        <f>VLOOKUP($H327,Nutrition_tables!$A:$AF,27,FALSE)*$Q327/100</f>
        <v>0</v>
      </c>
      <c r="AO327" s="583">
        <f>VLOOKUP($H327,Nutrition_tables!$A:$AF,28,FALSE)*$Q327/100</f>
        <v>0</v>
      </c>
      <c r="AP327" s="583">
        <f>VLOOKUP($H327,Nutrition_tables!$A:$AF,29,FALSE)*$Q327/100</f>
        <v>0</v>
      </c>
      <c r="AQ327" s="583">
        <f>VLOOKUP($H327,Nutrition_tables!$A:$AF,30,FALSE)*$Q327/100</f>
        <v>0</v>
      </c>
      <c r="AR327" s="583">
        <f>VLOOKUP($H327,Nutrition_tables!$A:$AF,31,FALSE)*$Q327/100</f>
        <v>0</v>
      </c>
      <c r="AS327" s="549">
        <f>VLOOKUP($H327,Nutrition_tables!$A:$AF,32,FALSE)*$Q327/100</f>
        <v>0</v>
      </c>
      <c r="AT327" s="583" t="str">
        <f>IF(H327="Select ingredient:","",IF(G327="Select food category:","",IFERROR(VLOOKUP($H327,Ingredient_prices!$E:$W,17,FALSE)*$Q327/1000,"not bought")))</f>
        <v/>
      </c>
      <c r="AU327" s="583" t="str">
        <f>IF(H327="Select ingredient:","",IF(G327="Select food category:","",IFERROR(VLOOKUP($H327,Ingredient_prices!$E:$W,18,FALSE)*$Q327/1000,"not bought")))</f>
        <v/>
      </c>
      <c r="AV327" s="583">
        <f t="shared" si="738"/>
        <v>0</v>
      </c>
      <c r="AW327" s="583">
        <f t="shared" si="739"/>
        <v>0</v>
      </c>
      <c r="AX327" s="583">
        <f t="shared" si="740"/>
        <v>0</v>
      </c>
      <c r="AY327" s="583">
        <f t="shared" si="741"/>
        <v>0</v>
      </c>
      <c r="AZ327" s="583">
        <f t="shared" si="742"/>
        <v>0</v>
      </c>
      <c r="BA327" s="583">
        <f t="shared" si="743"/>
        <v>0</v>
      </c>
      <c r="BB327" s="583">
        <f t="shared" si="744"/>
        <v>0</v>
      </c>
      <c r="BC327" s="583">
        <f t="shared" si="745"/>
        <v>0</v>
      </c>
      <c r="BD327" s="583">
        <f t="shared" si="763"/>
        <v>0</v>
      </c>
      <c r="BE327" s="583">
        <f t="shared" si="763"/>
        <v>0</v>
      </c>
      <c r="BF327" s="583">
        <f t="shared" si="763"/>
        <v>0</v>
      </c>
      <c r="BG327" s="583">
        <f t="shared" si="763"/>
        <v>0</v>
      </c>
      <c r="BH327" s="583">
        <f t="shared" si="763"/>
        <v>0</v>
      </c>
      <c r="BI327" s="583">
        <f t="shared" si="763"/>
        <v>0</v>
      </c>
      <c r="BJ327" s="583">
        <f t="shared" si="763"/>
        <v>0</v>
      </c>
      <c r="BK327" s="583">
        <f t="shared" si="764"/>
        <v>0</v>
      </c>
      <c r="BL327" s="583">
        <f t="shared" si="765"/>
        <v>0</v>
      </c>
      <c r="BM327" s="583">
        <f t="shared" si="765"/>
        <v>0</v>
      </c>
      <c r="BN327" s="583">
        <f t="shared" si="765"/>
        <v>0</v>
      </c>
      <c r="BO327" s="583">
        <f t="shared" si="765"/>
        <v>0</v>
      </c>
      <c r="BP327" s="583">
        <f t="shared" si="765"/>
        <v>0</v>
      </c>
      <c r="BQ327" s="583">
        <f t="shared" si="765"/>
        <v>0</v>
      </c>
      <c r="BR327" s="583">
        <f t="shared" si="765"/>
        <v>0</v>
      </c>
    </row>
    <row r="328" spans="1:70" s="603" customFormat="1" ht="56">
      <c r="A328" s="643"/>
      <c r="B328" s="593"/>
      <c r="C328" s="522"/>
      <c r="D328" s="141"/>
      <c r="E328" s="594"/>
      <c r="F328" s="708"/>
      <c r="G328" s="522"/>
      <c r="H328" s="522"/>
      <c r="I328" s="86"/>
      <c r="J328" s="87"/>
      <c r="K328" s="595"/>
      <c r="L328" s="596"/>
      <c r="M328" s="849"/>
      <c r="N328" s="849"/>
      <c r="O328" s="648"/>
      <c r="P328" s="654"/>
      <c r="Q328" s="599" t="s">
        <v>384</v>
      </c>
      <c r="R328" s="600" t="s">
        <v>455</v>
      </c>
      <c r="S328" s="600" t="s">
        <v>2087</v>
      </c>
      <c r="T328" s="600" t="s">
        <v>456</v>
      </c>
      <c r="U328" s="600" t="s">
        <v>535</v>
      </c>
      <c r="V328" s="601" t="s">
        <v>457</v>
      </c>
      <c r="W328" s="600" t="s">
        <v>75</v>
      </c>
      <c r="X328" s="600" t="s">
        <v>385</v>
      </c>
      <c r="Y328" s="600" t="s">
        <v>386</v>
      </c>
      <c r="Z328" s="600" t="s">
        <v>387</v>
      </c>
      <c r="AA328" s="600" t="s">
        <v>388</v>
      </c>
      <c r="AB328" s="601" t="s">
        <v>389</v>
      </c>
      <c r="AC328" s="602" t="s">
        <v>390</v>
      </c>
      <c r="AD328" s="600" t="s">
        <v>391</v>
      </c>
      <c r="AE328" s="600" t="s">
        <v>392</v>
      </c>
      <c r="AF328" s="600" t="s">
        <v>393</v>
      </c>
      <c r="AG328" s="600" t="s">
        <v>394</v>
      </c>
      <c r="AH328" s="600" t="s">
        <v>395</v>
      </c>
      <c r="AI328" s="600" t="s">
        <v>396</v>
      </c>
      <c r="AJ328" s="601" t="s">
        <v>397</v>
      </c>
      <c r="AK328" s="602" t="s">
        <v>398</v>
      </c>
      <c r="AL328" s="600" t="s">
        <v>399</v>
      </c>
      <c r="AM328" s="600" t="s">
        <v>400</v>
      </c>
      <c r="AN328" s="600" t="s">
        <v>401</v>
      </c>
      <c r="AO328" s="600" t="s">
        <v>402</v>
      </c>
      <c r="AP328" s="600" t="s">
        <v>406</v>
      </c>
      <c r="AQ328" s="600" t="s">
        <v>405</v>
      </c>
      <c r="AR328" s="600" t="s">
        <v>403</v>
      </c>
      <c r="AS328" s="601" t="s">
        <v>404</v>
      </c>
      <c r="AT328" s="593"/>
      <c r="AU328" s="593"/>
    </row>
    <row r="329" spans="1:70" s="229" customFormat="1">
      <c r="A329" s="643"/>
      <c r="B329" s="522"/>
      <c r="C329" s="522"/>
      <c r="D329" s="141"/>
      <c r="E329" s="594"/>
      <c r="F329" s="708"/>
      <c r="G329" s="522"/>
      <c r="H329" s="522"/>
      <c r="I329" s="86"/>
      <c r="J329" s="87"/>
      <c r="K329" s="595"/>
      <c r="L329" s="604"/>
      <c r="M329" s="648"/>
      <c r="N329" s="648"/>
      <c r="O329" s="648"/>
      <c r="P329" s="655" t="s">
        <v>383</v>
      </c>
      <c r="Q329" s="583">
        <f>SUM(Q308:Q327)</f>
        <v>0</v>
      </c>
      <c r="R329" s="583">
        <f t="shared" ref="R329:V329" si="766">SUM(R308:R327)</f>
        <v>0</v>
      </c>
      <c r="S329" s="583">
        <f>SUM(S308:S327)</f>
        <v>0</v>
      </c>
      <c r="T329" s="583">
        <f t="shared" ref="T329:U329" si="767">SUM(T308:T327)</f>
        <v>0</v>
      </c>
      <c r="U329" s="583">
        <f t="shared" si="767"/>
        <v>0</v>
      </c>
      <c r="V329" s="549">
        <f t="shared" si="766"/>
        <v>0</v>
      </c>
      <c r="W329" s="583">
        <f t="shared" ref="W329:AU329" si="768">SUM(W308:W327)</f>
        <v>0</v>
      </c>
      <c r="X329" s="583">
        <f t="shared" si="768"/>
        <v>0</v>
      </c>
      <c r="Y329" s="583">
        <f t="shared" si="768"/>
        <v>0</v>
      </c>
      <c r="Z329" s="583">
        <f t="shared" si="768"/>
        <v>0</v>
      </c>
      <c r="AA329" s="583">
        <f t="shared" si="768"/>
        <v>0</v>
      </c>
      <c r="AB329" s="549">
        <f t="shared" si="768"/>
        <v>0</v>
      </c>
      <c r="AC329" s="583">
        <f t="shared" si="768"/>
        <v>0</v>
      </c>
      <c r="AD329" s="583">
        <f t="shared" si="768"/>
        <v>0</v>
      </c>
      <c r="AE329" s="583">
        <f t="shared" si="768"/>
        <v>0</v>
      </c>
      <c r="AF329" s="583">
        <f t="shared" si="768"/>
        <v>0</v>
      </c>
      <c r="AG329" s="583">
        <f t="shared" si="768"/>
        <v>0</v>
      </c>
      <c r="AH329" s="583">
        <f t="shared" si="768"/>
        <v>0</v>
      </c>
      <c r="AI329" s="583">
        <f t="shared" si="768"/>
        <v>0</v>
      </c>
      <c r="AJ329" s="549">
        <f t="shared" si="768"/>
        <v>0</v>
      </c>
      <c r="AK329" s="583">
        <f t="shared" si="768"/>
        <v>0</v>
      </c>
      <c r="AL329" s="583">
        <f t="shared" si="768"/>
        <v>0</v>
      </c>
      <c r="AM329" s="583">
        <f t="shared" si="768"/>
        <v>0</v>
      </c>
      <c r="AN329" s="583">
        <f t="shared" si="768"/>
        <v>0</v>
      </c>
      <c r="AO329" s="583">
        <f t="shared" si="768"/>
        <v>0</v>
      </c>
      <c r="AP329" s="583">
        <f t="shared" si="768"/>
        <v>0</v>
      </c>
      <c r="AQ329" s="583">
        <f t="shared" si="768"/>
        <v>0</v>
      </c>
      <c r="AR329" s="583">
        <f t="shared" si="768"/>
        <v>0</v>
      </c>
      <c r="AS329" s="549">
        <f t="shared" si="768"/>
        <v>0</v>
      </c>
      <c r="AT329" s="583">
        <f t="shared" si="768"/>
        <v>0</v>
      </c>
      <c r="AU329" s="583">
        <f t="shared" si="768"/>
        <v>0</v>
      </c>
      <c r="AV329" s="583">
        <f>SUM(AV308:AV327)</f>
        <v>0</v>
      </c>
      <c r="AW329" s="583">
        <f t="shared" ref="AW329:BR329" si="769">SUM(AW308:AW327)</f>
        <v>0</v>
      </c>
      <c r="AX329" s="583">
        <f t="shared" si="769"/>
        <v>0</v>
      </c>
      <c r="AY329" s="583">
        <f t="shared" si="769"/>
        <v>0</v>
      </c>
      <c r="AZ329" s="583">
        <f t="shared" si="769"/>
        <v>0</v>
      </c>
      <c r="BA329" s="583">
        <f t="shared" si="769"/>
        <v>0</v>
      </c>
      <c r="BB329" s="583">
        <f t="shared" si="769"/>
        <v>0</v>
      </c>
      <c r="BC329" s="583">
        <f t="shared" si="769"/>
        <v>0</v>
      </c>
      <c r="BD329" s="583">
        <f t="shared" si="769"/>
        <v>0</v>
      </c>
      <c r="BE329" s="583">
        <f t="shared" si="769"/>
        <v>0</v>
      </c>
      <c r="BF329" s="583">
        <f t="shared" si="769"/>
        <v>0</v>
      </c>
      <c r="BG329" s="583">
        <f t="shared" si="769"/>
        <v>0</v>
      </c>
      <c r="BH329" s="583">
        <f t="shared" si="769"/>
        <v>0</v>
      </c>
      <c r="BI329" s="583">
        <f t="shared" si="769"/>
        <v>0</v>
      </c>
      <c r="BJ329" s="583">
        <f t="shared" si="769"/>
        <v>0</v>
      </c>
      <c r="BK329" s="583">
        <f t="shared" si="769"/>
        <v>0</v>
      </c>
      <c r="BL329" s="583">
        <f t="shared" si="769"/>
        <v>0</v>
      </c>
      <c r="BM329" s="583">
        <f t="shared" si="769"/>
        <v>0</v>
      </c>
      <c r="BN329" s="583">
        <f t="shared" si="769"/>
        <v>0</v>
      </c>
      <c r="BO329" s="583">
        <f t="shared" si="769"/>
        <v>0</v>
      </c>
      <c r="BP329" s="583">
        <f t="shared" si="769"/>
        <v>0</v>
      </c>
      <c r="BQ329" s="583">
        <f t="shared" si="769"/>
        <v>0</v>
      </c>
      <c r="BR329" s="583">
        <f t="shared" si="769"/>
        <v>0</v>
      </c>
    </row>
    <row r="330" spans="1:70" s="229" customFormat="1">
      <c r="A330" s="643"/>
      <c r="B330" s="522"/>
      <c r="C330" s="522"/>
      <c r="D330" s="141"/>
      <c r="E330" s="594"/>
      <c r="F330" s="708"/>
      <c r="G330" s="522"/>
      <c r="H330" s="522"/>
      <c r="I330" s="86"/>
      <c r="J330" s="87"/>
      <c r="K330" s="595"/>
      <c r="L330" s="604"/>
      <c r="M330" s="648"/>
      <c r="N330" s="648"/>
      <c r="O330" s="648"/>
      <c r="P330" s="655" t="s">
        <v>538</v>
      </c>
      <c r="V330" s="526"/>
      <c r="W330" s="229">
        <v>649.25</v>
      </c>
      <c r="X330" s="229">
        <v>81.199999999999989</v>
      </c>
      <c r="Y330" s="229">
        <v>20.299999999999997</v>
      </c>
      <c r="Z330" s="229">
        <v>21.7</v>
      </c>
      <c r="AA330" s="229">
        <v>6.6499999999999995</v>
      </c>
      <c r="AB330" s="526">
        <v>7</v>
      </c>
      <c r="AC330" s="229">
        <v>482.99999999999994</v>
      </c>
      <c r="AD330" s="229">
        <v>630</v>
      </c>
      <c r="AE330" s="229">
        <v>315</v>
      </c>
      <c r="AF330" s="229">
        <v>59.499999999999993</v>
      </c>
      <c r="AG330" s="229">
        <v>280</v>
      </c>
      <c r="AH330" s="229">
        <v>3.5</v>
      </c>
      <c r="AI330" s="229">
        <v>2.4499999999999997</v>
      </c>
      <c r="AJ330" s="526">
        <v>0.4375</v>
      </c>
      <c r="AK330" s="229">
        <v>280</v>
      </c>
      <c r="AL330" s="229">
        <v>0.35</v>
      </c>
      <c r="AM330" s="229">
        <v>0.38500000000000001</v>
      </c>
      <c r="AN330" s="229">
        <v>4.1999999999999993</v>
      </c>
      <c r="AO330" s="229">
        <v>0.24499999999999997</v>
      </c>
      <c r="AP330" s="229">
        <v>105</v>
      </c>
      <c r="AQ330" s="229">
        <v>0.63</v>
      </c>
      <c r="AR330" s="229">
        <v>28</v>
      </c>
      <c r="AS330" s="526">
        <v>1.75</v>
      </c>
      <c r="AV330" s="229">
        <v>649.25</v>
      </c>
      <c r="AW330" s="229">
        <v>81.199999999999989</v>
      </c>
      <c r="AX330" s="229">
        <v>20.299999999999997</v>
      </c>
      <c r="AY330" s="229">
        <v>21.7</v>
      </c>
      <c r="AZ330" s="229">
        <v>6.6499999999999995</v>
      </c>
      <c r="BA330" s="526">
        <v>7</v>
      </c>
      <c r="BB330" s="229">
        <v>482.99999999999994</v>
      </c>
      <c r="BC330" s="229">
        <v>630</v>
      </c>
      <c r="BD330" s="229">
        <v>315</v>
      </c>
      <c r="BE330" s="229">
        <v>59.499999999999993</v>
      </c>
      <c r="BF330" s="229">
        <v>280</v>
      </c>
      <c r="BG330" s="229">
        <v>3.5</v>
      </c>
      <c r="BH330" s="229">
        <v>2.4499999999999997</v>
      </c>
      <c r="BI330" s="526">
        <v>0.4375</v>
      </c>
      <c r="BJ330" s="229">
        <v>280</v>
      </c>
      <c r="BK330" s="229">
        <v>0.35</v>
      </c>
      <c r="BL330" s="229">
        <v>0.38500000000000001</v>
      </c>
      <c r="BM330" s="229">
        <v>4.1999999999999993</v>
      </c>
      <c r="BN330" s="229">
        <v>0.24499999999999997</v>
      </c>
      <c r="BO330" s="229">
        <v>105</v>
      </c>
      <c r="BP330" s="229">
        <v>0.63</v>
      </c>
      <c r="BQ330" s="229">
        <v>28</v>
      </c>
      <c r="BR330" s="526">
        <v>1.75</v>
      </c>
    </row>
    <row r="331" spans="1:70" s="229" customFormat="1">
      <c r="A331" s="643"/>
      <c r="B331" s="522"/>
      <c r="C331" s="522"/>
      <c r="D331" s="141"/>
      <c r="E331" s="594"/>
      <c r="F331" s="708"/>
      <c r="G331" s="522"/>
      <c r="H331" s="522"/>
      <c r="I331" s="86"/>
      <c r="J331" s="87"/>
      <c r="K331" s="595"/>
      <c r="L331" s="604"/>
      <c r="M331" s="648"/>
      <c r="N331" s="648"/>
      <c r="O331" s="648"/>
      <c r="P331" s="655" t="s">
        <v>407</v>
      </c>
      <c r="V331" s="526"/>
      <c r="W331" s="514">
        <f t="shared" ref="W331:AS331" si="770">100*W329/W330</f>
        <v>0</v>
      </c>
      <c r="X331" s="514">
        <f t="shared" si="770"/>
        <v>0</v>
      </c>
      <c r="Y331" s="514">
        <f t="shared" si="770"/>
        <v>0</v>
      </c>
      <c r="Z331" s="514">
        <f t="shared" si="770"/>
        <v>0</v>
      </c>
      <c r="AA331" s="514">
        <f t="shared" si="770"/>
        <v>0</v>
      </c>
      <c r="AB331" s="506">
        <f t="shared" si="770"/>
        <v>0</v>
      </c>
      <c r="AC331" s="514">
        <f t="shared" si="770"/>
        <v>0</v>
      </c>
      <c r="AD331" s="514">
        <f t="shared" si="770"/>
        <v>0</v>
      </c>
      <c r="AE331" s="514">
        <f t="shared" si="770"/>
        <v>0</v>
      </c>
      <c r="AF331" s="514">
        <f t="shared" si="770"/>
        <v>0</v>
      </c>
      <c r="AG331" s="514">
        <f t="shared" si="770"/>
        <v>0</v>
      </c>
      <c r="AH331" s="514">
        <f t="shared" si="770"/>
        <v>0</v>
      </c>
      <c r="AI331" s="514">
        <f t="shared" si="770"/>
        <v>0</v>
      </c>
      <c r="AJ331" s="506">
        <f t="shared" si="770"/>
        <v>0</v>
      </c>
      <c r="AK331" s="514">
        <f t="shared" si="770"/>
        <v>0</v>
      </c>
      <c r="AL331" s="514">
        <f t="shared" si="770"/>
        <v>0</v>
      </c>
      <c r="AM331" s="514">
        <f t="shared" si="770"/>
        <v>0</v>
      </c>
      <c r="AN331" s="514">
        <f t="shared" si="770"/>
        <v>0</v>
      </c>
      <c r="AO331" s="514">
        <f t="shared" si="770"/>
        <v>0</v>
      </c>
      <c r="AP331" s="514">
        <f t="shared" si="770"/>
        <v>0</v>
      </c>
      <c r="AQ331" s="514">
        <f t="shared" si="770"/>
        <v>0</v>
      </c>
      <c r="AR331" s="514">
        <f t="shared" si="770"/>
        <v>0</v>
      </c>
      <c r="AS331" s="506">
        <f t="shared" si="770"/>
        <v>0</v>
      </c>
      <c r="AV331" s="514">
        <f t="shared" ref="AV331:BR331" si="771">100*AV329/AV330</f>
        <v>0</v>
      </c>
      <c r="AW331" s="514">
        <f t="shared" si="771"/>
        <v>0</v>
      </c>
      <c r="AX331" s="514">
        <f t="shared" si="771"/>
        <v>0</v>
      </c>
      <c r="AY331" s="514">
        <f t="shared" si="771"/>
        <v>0</v>
      </c>
      <c r="AZ331" s="514">
        <f t="shared" si="771"/>
        <v>0</v>
      </c>
      <c r="BA331" s="506">
        <f t="shared" si="771"/>
        <v>0</v>
      </c>
      <c r="BB331" s="514">
        <f t="shared" si="771"/>
        <v>0</v>
      </c>
      <c r="BC331" s="514">
        <f t="shared" si="771"/>
        <v>0</v>
      </c>
      <c r="BD331" s="514">
        <f t="shared" si="771"/>
        <v>0</v>
      </c>
      <c r="BE331" s="514">
        <f t="shared" si="771"/>
        <v>0</v>
      </c>
      <c r="BF331" s="514">
        <f t="shared" si="771"/>
        <v>0</v>
      </c>
      <c r="BG331" s="514">
        <f t="shared" si="771"/>
        <v>0</v>
      </c>
      <c r="BH331" s="514">
        <f t="shared" si="771"/>
        <v>0</v>
      </c>
      <c r="BI331" s="506">
        <f t="shared" si="771"/>
        <v>0</v>
      </c>
      <c r="BJ331" s="514">
        <f t="shared" si="771"/>
        <v>0</v>
      </c>
      <c r="BK331" s="514">
        <f t="shared" si="771"/>
        <v>0</v>
      </c>
      <c r="BL331" s="514">
        <f t="shared" si="771"/>
        <v>0</v>
      </c>
      <c r="BM331" s="514">
        <f t="shared" si="771"/>
        <v>0</v>
      </c>
      <c r="BN331" s="514">
        <f t="shared" si="771"/>
        <v>0</v>
      </c>
      <c r="BO331" s="514">
        <f t="shared" si="771"/>
        <v>0</v>
      </c>
      <c r="BP331" s="514">
        <f t="shared" si="771"/>
        <v>0</v>
      </c>
      <c r="BQ331" s="514">
        <f t="shared" si="771"/>
        <v>0</v>
      </c>
      <c r="BR331" s="506">
        <f t="shared" si="771"/>
        <v>0</v>
      </c>
    </row>
    <row r="332" spans="1:70" s="229" customFormat="1">
      <c r="A332" s="643"/>
      <c r="B332" s="522"/>
      <c r="C332" s="522"/>
      <c r="D332" s="141"/>
      <c r="E332" s="594"/>
      <c r="F332" s="708"/>
      <c r="G332" s="522"/>
      <c r="H332" s="522"/>
      <c r="I332" s="86"/>
      <c r="J332" s="87"/>
      <c r="K332" s="595"/>
      <c r="L332" s="604"/>
      <c r="M332" s="648"/>
      <c r="N332" s="648"/>
      <c r="O332" s="648"/>
      <c r="P332" s="655" t="s">
        <v>548</v>
      </c>
      <c r="V332" s="526"/>
      <c r="W332" s="583">
        <f>AV329</f>
        <v>0</v>
      </c>
      <c r="X332" s="583">
        <f t="shared" ref="X332:AM332" si="772">AW329</f>
        <v>0</v>
      </c>
      <c r="Y332" s="583">
        <f t="shared" si="772"/>
        <v>0</v>
      </c>
      <c r="Z332" s="583">
        <f t="shared" si="772"/>
        <v>0</v>
      </c>
      <c r="AA332" s="583">
        <f t="shared" si="772"/>
        <v>0</v>
      </c>
      <c r="AB332" s="549">
        <f t="shared" si="772"/>
        <v>0</v>
      </c>
      <c r="AC332" s="583">
        <f t="shared" si="772"/>
        <v>0</v>
      </c>
      <c r="AD332" s="583">
        <f t="shared" si="772"/>
        <v>0</v>
      </c>
      <c r="AE332" s="583">
        <f t="shared" si="772"/>
        <v>0</v>
      </c>
      <c r="AF332" s="583">
        <f t="shared" si="772"/>
        <v>0</v>
      </c>
      <c r="AG332" s="583">
        <f t="shared" si="772"/>
        <v>0</v>
      </c>
      <c r="AH332" s="583">
        <f t="shared" si="772"/>
        <v>0</v>
      </c>
      <c r="AI332" s="583">
        <f t="shared" si="772"/>
        <v>0</v>
      </c>
      <c r="AJ332" s="549">
        <f t="shared" si="772"/>
        <v>0</v>
      </c>
      <c r="AK332" s="583">
        <f t="shared" si="772"/>
        <v>0</v>
      </c>
      <c r="AL332" s="583">
        <f t="shared" si="772"/>
        <v>0</v>
      </c>
      <c r="AM332" s="583">
        <f t="shared" si="772"/>
        <v>0</v>
      </c>
      <c r="AN332" s="583">
        <f>BM329</f>
        <v>0</v>
      </c>
      <c r="AO332" s="583">
        <f t="shared" ref="AO332:AR332" si="773">BN329</f>
        <v>0</v>
      </c>
      <c r="AP332" s="583">
        <f t="shared" si="773"/>
        <v>0</v>
      </c>
      <c r="AQ332" s="583">
        <f t="shared" si="773"/>
        <v>0</v>
      </c>
      <c r="AR332" s="583">
        <f t="shared" si="773"/>
        <v>0</v>
      </c>
      <c r="AS332" s="549">
        <f>BR329</f>
        <v>0</v>
      </c>
    </row>
    <row r="333" spans="1:70" s="229" customFormat="1">
      <c r="A333" s="643"/>
      <c r="B333" s="522"/>
      <c r="C333" s="522"/>
      <c r="D333" s="141"/>
      <c r="E333" s="594"/>
      <c r="F333" s="708"/>
      <c r="G333" s="522"/>
      <c r="H333" s="522"/>
      <c r="I333" s="86"/>
      <c r="J333" s="87"/>
      <c r="K333" s="595"/>
      <c r="L333" s="604"/>
      <c r="M333" s="648"/>
      <c r="N333" s="648"/>
      <c r="O333" s="648"/>
      <c r="P333" s="655" t="s">
        <v>543</v>
      </c>
      <c r="V333" s="526"/>
      <c r="W333" s="514">
        <f t="shared" ref="W333:AS333" si="774">AV331</f>
        <v>0</v>
      </c>
      <c r="X333" s="514">
        <f t="shared" si="774"/>
        <v>0</v>
      </c>
      <c r="Y333" s="514">
        <f t="shared" si="774"/>
        <v>0</v>
      </c>
      <c r="Z333" s="514">
        <f t="shared" si="774"/>
        <v>0</v>
      </c>
      <c r="AA333" s="514">
        <f t="shared" si="774"/>
        <v>0</v>
      </c>
      <c r="AB333" s="506">
        <f t="shared" si="774"/>
        <v>0</v>
      </c>
      <c r="AC333" s="514">
        <f t="shared" si="774"/>
        <v>0</v>
      </c>
      <c r="AD333" s="514">
        <f t="shared" si="774"/>
        <v>0</v>
      </c>
      <c r="AE333" s="514">
        <f t="shared" si="774"/>
        <v>0</v>
      </c>
      <c r="AF333" s="514">
        <f t="shared" si="774"/>
        <v>0</v>
      </c>
      <c r="AG333" s="514">
        <f t="shared" si="774"/>
        <v>0</v>
      </c>
      <c r="AH333" s="514">
        <f t="shared" si="774"/>
        <v>0</v>
      </c>
      <c r="AI333" s="514">
        <f t="shared" si="774"/>
        <v>0</v>
      </c>
      <c r="AJ333" s="506">
        <f t="shared" si="774"/>
        <v>0</v>
      </c>
      <c r="AK333" s="514">
        <f t="shared" si="774"/>
        <v>0</v>
      </c>
      <c r="AL333" s="514">
        <f t="shared" si="774"/>
        <v>0</v>
      </c>
      <c r="AM333" s="514">
        <f t="shared" si="774"/>
        <v>0</v>
      </c>
      <c r="AN333" s="514">
        <f t="shared" si="774"/>
        <v>0</v>
      </c>
      <c r="AO333" s="514">
        <f t="shared" si="774"/>
        <v>0</v>
      </c>
      <c r="AP333" s="514">
        <f t="shared" si="774"/>
        <v>0</v>
      </c>
      <c r="AQ333" s="514">
        <f t="shared" si="774"/>
        <v>0</v>
      </c>
      <c r="AR333" s="514">
        <f t="shared" si="774"/>
        <v>0</v>
      </c>
      <c r="AS333" s="506">
        <f t="shared" si="774"/>
        <v>0</v>
      </c>
      <c r="AV333" s="514"/>
      <c r="AW333" s="514"/>
      <c r="AX333" s="514"/>
      <c r="AY333" s="514"/>
      <c r="AZ333" s="514"/>
      <c r="BA333" s="505"/>
      <c r="BB333" s="514"/>
      <c r="BC333" s="514"/>
      <c r="BD333" s="514"/>
      <c r="BE333" s="514"/>
      <c r="BF333" s="514"/>
      <c r="BG333" s="514"/>
      <c r="BH333" s="514"/>
      <c r="BI333" s="505"/>
      <c r="BJ333" s="514"/>
      <c r="BK333" s="514"/>
      <c r="BL333" s="514"/>
      <c r="BM333" s="514"/>
      <c r="BN333" s="514"/>
      <c r="BO333" s="514"/>
      <c r="BP333" s="514"/>
      <c r="BQ333" s="514"/>
      <c r="BR333" s="505"/>
    </row>
    <row r="334" spans="1:70" s="229" customFormat="1" ht="15" thickBot="1">
      <c r="A334" s="643"/>
      <c r="B334" s="643"/>
      <c r="C334" s="643"/>
      <c r="D334" s="687"/>
      <c r="E334" s="644"/>
      <c r="F334" s="713"/>
      <c r="G334" s="645" t="s">
        <v>795</v>
      </c>
      <c r="H334" s="656"/>
      <c r="I334" s="688"/>
      <c r="J334" s="688"/>
      <c r="K334" s="643"/>
      <c r="L334" s="647"/>
      <c r="M334" s="647"/>
      <c r="N334" s="647"/>
      <c r="O334" s="648"/>
      <c r="P334" s="643"/>
      <c r="Q334" s="643"/>
      <c r="R334" s="643"/>
      <c r="S334" s="643"/>
      <c r="T334" s="643"/>
      <c r="U334" s="657"/>
      <c r="V334" s="658"/>
      <c r="W334" s="643"/>
      <c r="X334" s="643"/>
      <c r="Y334" s="643"/>
      <c r="Z334" s="643"/>
      <c r="AA334" s="652">
        <f>COUNTIF(AA335:AA346,"&lt;0")</f>
        <v>1</v>
      </c>
      <c r="AB334" s="652">
        <f t="shared" ref="AB334" si="775">COUNTIF(AB335:AB346,"&lt;0")</f>
        <v>1</v>
      </c>
      <c r="AC334" s="652">
        <f t="shared" ref="AC334" si="776">COUNTIF(AC335:AC346,"&lt;0")</f>
        <v>1</v>
      </c>
      <c r="AD334" s="652">
        <f t="shared" ref="AD334" si="777">COUNTIF(AD335:AD346,"&lt;0")</f>
        <v>1</v>
      </c>
      <c r="AE334" s="652">
        <f t="shared" ref="AE334" si="778">COUNTIF(AE335:AE346,"&lt;0")</f>
        <v>1</v>
      </c>
      <c r="AF334" s="652">
        <f t="shared" ref="AF334" si="779">COUNTIF(AF335:AF346,"&lt;0")</f>
        <v>1</v>
      </c>
      <c r="AG334" s="652">
        <f t="shared" ref="AG334" si="780">COUNTIF(AG335:AG346,"&lt;0")</f>
        <v>1</v>
      </c>
      <c r="AH334" s="652">
        <f t="shared" ref="AH334" si="781">COUNTIF(AH335:AH346,"&lt;0")</f>
        <v>1</v>
      </c>
      <c r="AI334" s="652">
        <f t="shared" ref="AI334" si="782">COUNTIF(AI335:AI346,"&lt;0")</f>
        <v>1</v>
      </c>
      <c r="AJ334" s="652">
        <f t="shared" ref="AJ334" si="783">COUNTIF(AJ335:AJ346,"&lt;0")</f>
        <v>1</v>
      </c>
      <c r="AK334" s="652">
        <f t="shared" ref="AK334" si="784">COUNTIF(AK335:AK346,"&lt;0")</f>
        <v>1</v>
      </c>
      <c r="AL334" s="652">
        <f t="shared" ref="AL334" si="785">COUNTIF(AL335:AL346,"&lt;0")</f>
        <v>1</v>
      </c>
      <c r="AM334" s="652">
        <f t="shared" ref="AM334" si="786">COUNTIF(AM335:AM346,"&lt;0")</f>
        <v>1</v>
      </c>
      <c r="AN334" s="652">
        <f t="shared" ref="AN334" si="787">COUNTIF(AN335:AN346,"&lt;0")</f>
        <v>1</v>
      </c>
      <c r="AO334" s="652">
        <f t="shared" ref="AO334" si="788">COUNTIF(AO335:AO346,"&lt;0")</f>
        <v>1</v>
      </c>
      <c r="AP334" s="652">
        <f t="shared" ref="AP334" si="789">COUNTIF(AP335:AP346,"&lt;0")</f>
        <v>1</v>
      </c>
      <c r="AQ334" s="652">
        <f t="shared" ref="AQ334" si="790">COUNTIF(AQ335:AQ346,"&lt;0")</f>
        <v>1</v>
      </c>
      <c r="AR334" s="652">
        <f t="shared" ref="AR334" si="791">COUNTIF(AR335:AR346,"&lt;0")</f>
        <v>1</v>
      </c>
      <c r="AS334" s="652">
        <f t="shared" ref="AS334" si="792">COUNTIF(AS335:AS346,"&lt;0")</f>
        <v>1</v>
      </c>
      <c r="AT334" s="1299"/>
      <c r="AU334" s="1299"/>
    </row>
    <row r="335" spans="1:70" s="229" customFormat="1" ht="15" customHeight="1" thickBot="1">
      <c r="A335" s="643"/>
      <c r="B335" s="575" t="s">
        <v>3067</v>
      </c>
      <c r="C335" s="229" t="s">
        <v>1362</v>
      </c>
      <c r="D335" s="85" t="s">
        <v>2740</v>
      </c>
      <c r="E335" s="577">
        <v>100</v>
      </c>
      <c r="F335" s="1131" t="s">
        <v>3040</v>
      </c>
      <c r="G335" s="406" t="s">
        <v>3085</v>
      </c>
      <c r="H335" s="578" t="s">
        <v>3446</v>
      </c>
      <c r="I335" s="85">
        <v>100</v>
      </c>
      <c r="J335" s="682">
        <v>1</v>
      </c>
      <c r="K335" s="579">
        <f t="shared" ref="K335:K346" si="793">IF(I335&gt;0,1.1*Q335*E335/1000,"")</f>
        <v>11.000000000000002</v>
      </c>
      <c r="L335" s="580">
        <f>IF(H335="Select ingredient:","",IF(G335="","",_xlfn.IFNA(VLOOKUP($H335,Ingredient_prices!$E:$U,16,FALSE),0)))</f>
        <v>162.80000000000001</v>
      </c>
      <c r="M335" s="848"/>
      <c r="N335" s="1228">
        <f>$W348</f>
        <v>355.1</v>
      </c>
      <c r="O335" s="648"/>
      <c r="P335" s="653"/>
      <c r="Q335" s="583">
        <f t="shared" ref="Q335:Q346" si="794">I335/J335</f>
        <v>100</v>
      </c>
      <c r="R335" s="583">
        <f>VLOOKUP($H335,'CO2_emission+%_food_waste'!$A:$K,6,FALSE)*$Q335/100</f>
        <v>-1E-4</v>
      </c>
      <c r="S335" s="583">
        <f t="shared" ref="S335:S346" si="795">Q335-R335</f>
        <v>100.0001</v>
      </c>
      <c r="T335" s="583">
        <f>IF(H335="Select ingredient:","",IF(G335="Select food category:","",_xlfn.IFNA(VLOOKUP($H335,Ingredient_prices!$E:$U,16,FALSE)*$Q335/1000,"not bought")))</f>
        <v>16.28</v>
      </c>
      <c r="U335" s="583">
        <f>IF(G335="Select food category:","",_xlfn.IFNA(VLOOKUP($H335,Ingredient_prices!$E:$U,16,FALSE)*$R335/1000,"not bought"))</f>
        <v>-1.6280000000000003E-5</v>
      </c>
      <c r="V335" s="549">
        <f>VLOOKUP($H335,'CO2_emission+%_food_waste'!$A:$K,4,FALSE)*$Q335</f>
        <v>155</v>
      </c>
      <c r="W335" s="583">
        <f>VLOOKUP($H335,Nutrition_tables!$A:$N,10,FALSE)*$Q335/100</f>
        <v>68.099999999999994</v>
      </c>
      <c r="X335" s="583">
        <f>VLOOKUP($H335,Nutrition_tables!$A:$N,11,FALSE)*$Q335/100</f>
        <v>10.8</v>
      </c>
      <c r="Y335" s="583">
        <f>VLOOKUP($H335,Nutrition_tables!$A:$N,12,FALSE)*$Q335/100</f>
        <v>3.6</v>
      </c>
      <c r="Z335" s="583">
        <f>VLOOKUP($H335,Nutrition_tables!$A:$N,14,FALSE)*$Q335/100</f>
        <v>1.07</v>
      </c>
      <c r="AA335" s="583">
        <f>VLOOKUP($H335,Nutrition_tables!$A:$AF,13,FALSE)*$Q335/100</f>
        <v>0.56699999999999995</v>
      </c>
      <c r="AB335" s="549">
        <f>VLOOKUP($H335,Nutrition_tables!$A:$AF,15,FALSE)*$Q335/100</f>
        <v>0.7</v>
      </c>
      <c r="AC335" s="583">
        <f>VLOOKUP($H335,Nutrition_tables!$A:$AF,16,FALSE)*$Q335/100</f>
        <v>42.8</v>
      </c>
      <c r="AD335" s="583">
        <f>VLOOKUP($H335,Nutrition_tables!$A:$AF,17,FALSE)*$Q335/100</f>
        <v>154</v>
      </c>
      <c r="AE335" s="583">
        <f>VLOOKUP($H335,Nutrition_tables!$A:$AF,18,FALSE)*$Q335/100</f>
        <v>10.8</v>
      </c>
      <c r="AF335" s="583">
        <f>VLOOKUP($H335,Nutrition_tables!$A:$AF,19,FALSE)*$Q335/100</f>
        <v>18</v>
      </c>
      <c r="AG335" s="583">
        <f>VLOOKUP($H335,Nutrition_tables!$A:$AF,20,FALSE)*$Q335/100</f>
        <v>89</v>
      </c>
      <c r="AH335" s="583">
        <f>VLOOKUP($H335,Nutrition_tables!$A:$AF,21,FALSE)*$Q335/100</f>
        <v>0.24299999999999999</v>
      </c>
      <c r="AI335" s="583">
        <f>VLOOKUP($H335,Nutrition_tables!$A:$AF,22,FALSE)*$Q335/100</f>
        <v>0.45300000000000007</v>
      </c>
      <c r="AJ335" s="549">
        <f>VLOOKUP($H335,Nutrition_tables!$A:$AF,23,FALSE)*$Q335/100</f>
        <v>0.125</v>
      </c>
      <c r="AK335" s="583">
        <f>VLOOKUP($H335,Nutrition_tables!$A:$AF,24,FALSE)*$Q335/100</f>
        <v>26</v>
      </c>
      <c r="AL335" s="583">
        <f>VLOOKUP($H335,Nutrition_tables!$A:$AF,25,FALSE)*$Q335/100</f>
        <v>3.9800000000000002E-2</v>
      </c>
      <c r="AM335" s="583">
        <f>VLOOKUP($H335,Nutrition_tables!$A:$AF,26,FALSE)*$Q335/100</f>
        <v>0.16900000000000001</v>
      </c>
      <c r="AN335" s="583">
        <f>VLOOKUP($H335,Nutrition_tables!$A:$AF,27,FALSE)*$Q335/100</f>
        <v>0.151</v>
      </c>
      <c r="AO335" s="583">
        <f>VLOOKUP($H335,Nutrition_tables!$A:$AF,28,FALSE)*$Q335/100</f>
        <v>2.8500000000000001E-2</v>
      </c>
      <c r="AP335" s="583">
        <f>VLOOKUP($H335,Nutrition_tables!$A:$AF,29,FALSE)*$Q335/100</f>
        <v>2.8</v>
      </c>
      <c r="AQ335" s="583">
        <f>VLOOKUP($H335,Nutrition_tables!$A:$AF,30,FALSE)*$Q335/100</f>
        <v>0.20499999999999999</v>
      </c>
      <c r="AR335" s="583">
        <f>VLOOKUP($H335,Nutrition_tables!$A:$AF,31,FALSE)*$Q335/100</f>
        <v>0</v>
      </c>
      <c r="AS335" s="549">
        <f>VLOOKUP($H335,Nutrition_tables!$A:$AF,32,FALSE)*$Q335/100</f>
        <v>0.45</v>
      </c>
      <c r="AT335" s="583">
        <f>IF(H335="Select ingredient:","",IF(G335="Select food category:","",IFERROR(VLOOKUP($H335,Ingredient_prices!$E:$W,17,FALSE)*$Q335/1000,"not bought")))</f>
        <v>16.28</v>
      </c>
      <c r="AU335" s="583">
        <f>IF(H335="Select ingredient:","",IF(G335="Select food category:","",IFERROR(VLOOKUP($H335,Ingredient_prices!$E:$W,18,FALSE)*$Q335/1000,"not bought")))</f>
        <v>16.28</v>
      </c>
      <c r="AV335" s="583">
        <f t="shared" ref="AV335:AV346" si="796">W335*($Q335-$R335)/($Q335+0.00001)</f>
        <v>68.100061289993874</v>
      </c>
      <c r="AW335" s="583">
        <f t="shared" ref="AW335:AW346" si="797">X335*($Q335-$R335)/($Q335+0.00001)</f>
        <v>10.800009719999027</v>
      </c>
      <c r="AX335" s="583">
        <f t="shared" ref="AX335:AX346" si="798">Y335*($Q335-$R335)/($Q335+0.00001)</f>
        <v>3.6000032399996758</v>
      </c>
      <c r="AY335" s="583">
        <f t="shared" ref="AY335:AY346" si="799">Z335*($Q335-$R335)/($Q335+0.00001)</f>
        <v>1.0700009629999039</v>
      </c>
      <c r="AZ335" s="583">
        <f t="shared" ref="AZ335:AZ346" si="800">AA335*($Q335-$R335)/($Q335+0.00001)</f>
        <v>0.56700051029994891</v>
      </c>
      <c r="BA335" s="583">
        <f t="shared" ref="BA335:BA346" si="801">AB335*($Q335-$R335)/($Q335+0.00001)</f>
        <v>0.70000062999993695</v>
      </c>
      <c r="BB335" s="583">
        <f t="shared" ref="BB335:BB346" si="802">AC335*($Q335-$R335)/($Q335+0.00001)</f>
        <v>42.80003851999615</v>
      </c>
      <c r="BC335" s="583">
        <f t="shared" ref="BC335:BC346" si="803">AD335*($Q335-$R335)/($Q335+0.00001)</f>
        <v>154.00013859998614</v>
      </c>
      <c r="BD335" s="583">
        <f t="shared" ref="BD335:BD346" si="804">AE335*($Q335-$R335)/($Q335+0.00001)</f>
        <v>10.800009719999027</v>
      </c>
      <c r="BE335" s="583">
        <f t="shared" ref="BE335:BE346" si="805">AF335*($Q335-$R335)/($Q335+0.00001)</f>
        <v>18.000016199998381</v>
      </c>
      <c r="BF335" s="583">
        <f t="shared" ref="BF335:BF346" si="806">AG335*($Q335-$R335)/($Q335+0.00001)</f>
        <v>89.00008009999199</v>
      </c>
      <c r="BG335" s="583">
        <f t="shared" ref="BG335:BG346" si="807">AH335*($Q335-$R335)/($Q335+0.00001)</f>
        <v>0.24300021869997812</v>
      </c>
      <c r="BH335" s="583">
        <f t="shared" ref="BH335:BH346" si="808">AI335*($Q335-$R335)/($Q335+0.00001)</f>
        <v>0.45300040769995931</v>
      </c>
      <c r="BI335" s="583">
        <f t="shared" ref="BI335:BI346" si="809">AJ335*($Q335-$R335)/($Q335+0.00001)</f>
        <v>0.12500011249998874</v>
      </c>
      <c r="BJ335" s="583">
        <f t="shared" ref="BJ335:BJ346" si="810">AK335*($Q335-$R335)/($Q335+0.00001)</f>
        <v>26.000023399997662</v>
      </c>
      <c r="BK335" s="583">
        <f t="shared" ref="BK335:BK346" si="811">AL335*($Q335-$R335)/($Q335+0.00001)</f>
        <v>3.9800035819996415E-2</v>
      </c>
      <c r="BL335" s="583">
        <f t="shared" ref="BL335:BL346" si="812">AM335*($Q335-$R335)/($Q335+0.00001)</f>
        <v>0.16900015209998479</v>
      </c>
      <c r="BM335" s="583">
        <f t="shared" ref="BM335:BM346" si="813">AN335*($Q335-$R335)/($Q335+0.00001)</f>
        <v>0.1510001358999864</v>
      </c>
      <c r="BN335" s="583">
        <f t="shared" ref="BN335:BN346" si="814">AO335*($Q335-$R335)/($Q335+0.00001)</f>
        <v>2.8500025649997436E-2</v>
      </c>
      <c r="BO335" s="583">
        <f t="shared" ref="BO335:BO346" si="815">AP335*($Q335-$R335)/($Q335+0.00001)</f>
        <v>2.8000025199997478</v>
      </c>
      <c r="BP335" s="583">
        <f t="shared" ref="BP335:BP346" si="816">AQ335*($Q335-$R335)/($Q335+0.00001)</f>
        <v>0.20500018449998153</v>
      </c>
      <c r="BQ335" s="583">
        <f t="shared" ref="BQ335:BQ346" si="817">AR335*($Q335-$R335)/($Q335+0.00001)</f>
        <v>0</v>
      </c>
      <c r="BR335" s="583">
        <f t="shared" ref="BR335:BR346" si="818">AS335*($Q335-$R335)/($Q335+0.00001)</f>
        <v>0.45000040499995947</v>
      </c>
    </row>
    <row r="336" spans="1:70" s="229" customFormat="1" ht="15" customHeight="1">
      <c r="A336" s="643"/>
      <c r="D336" s="406" t="s">
        <v>3039</v>
      </c>
      <c r="E336" s="576">
        <f>IF(E$335&gt;0,E$335,"")</f>
        <v>100</v>
      </c>
      <c r="F336" s="1131"/>
      <c r="G336" s="406" t="s">
        <v>3079</v>
      </c>
      <c r="H336" s="578" t="s">
        <v>3372</v>
      </c>
      <c r="I336" s="85">
        <v>70</v>
      </c>
      <c r="J336" s="682">
        <v>1</v>
      </c>
      <c r="K336" s="579">
        <f t="shared" si="793"/>
        <v>7.7</v>
      </c>
      <c r="L336" s="580">
        <f>IF(H336="Select ingredient:","",IF(G336="","",_xlfn.IFNA(VLOOKUP($H336,Ingredient_prices!$E:$U,16,FALSE),0)))</f>
        <v>150.79166666666666</v>
      </c>
      <c r="M336" s="848"/>
      <c r="N336" s="848"/>
      <c r="O336" s="648"/>
      <c r="P336" s="653"/>
      <c r="Q336" s="583">
        <f t="shared" si="794"/>
        <v>70</v>
      </c>
      <c r="R336" s="583">
        <f>VLOOKUP($H336,'CO2_emission+%_food_waste'!$A:$K,6,FALSE)*$Q336/100</f>
        <v>-7.0000000000000007E-5</v>
      </c>
      <c r="S336" s="583">
        <f t="shared" si="795"/>
        <v>70.000069999999994</v>
      </c>
      <c r="T336" s="583">
        <f>IF(H336="Select ingredient:","",IF(G336="Select food category:","",_xlfn.IFNA(VLOOKUP($H336,Ingredient_prices!$E:$U,16,FALSE)*$Q336/1000,"not bought")))</f>
        <v>10.555416666666666</v>
      </c>
      <c r="U336" s="583">
        <f>IF(G336="Select food category:","",_xlfn.IFNA(VLOOKUP($H336,Ingredient_prices!$E:$U,16,FALSE)*$R336/1000,"not bought"))</f>
        <v>-1.0555416666666667E-5</v>
      </c>
      <c r="V336" s="549">
        <f>VLOOKUP($H336,'CO2_emission+%_food_waste'!$A:$K,4,FALSE)*$Q336</f>
        <v>113.4</v>
      </c>
      <c r="W336" s="583">
        <f>VLOOKUP($H336,Nutrition_tables!$A:$N,10,FALSE)*$Q336/100</f>
        <v>287</v>
      </c>
      <c r="X336" s="583">
        <f>VLOOKUP($H336,Nutrition_tables!$A:$N,11,FALSE)*$Q336/100</f>
        <v>24.5</v>
      </c>
      <c r="Y336" s="583">
        <f>VLOOKUP($H336,Nutrition_tables!$A:$N,12,FALSE)*$Q336/100</f>
        <v>3.5</v>
      </c>
      <c r="Z336" s="583">
        <f>VLOOKUP($H336,Nutrition_tables!$A:$N,14,FALSE)*$Q336/100</f>
        <v>17.5</v>
      </c>
      <c r="AA336" s="583">
        <f>VLOOKUP($H336,Nutrition_tables!$A:$AF,13,FALSE)*$Q336/100</f>
        <v>-2.8000000000000004E-3</v>
      </c>
      <c r="AB336" s="549">
        <f>VLOOKUP($H336,Nutrition_tables!$A:$AF,15,FALSE)*$Q336/100</f>
        <v>-2.8000000000000004E-3</v>
      </c>
      <c r="AC336" s="583">
        <f>VLOOKUP($H336,Nutrition_tables!$A:$AF,16,FALSE)*$Q336/100</f>
        <v>-2.8000000000000004E-3</v>
      </c>
      <c r="AD336" s="583">
        <f>VLOOKUP($H336,Nutrition_tables!$A:$AF,17,FALSE)*$Q336/100</f>
        <v>-2.8000000000000004E-3</v>
      </c>
      <c r="AE336" s="583">
        <f>VLOOKUP($H336,Nutrition_tables!$A:$AF,18,FALSE)*$Q336/100</f>
        <v>-2.8000000000000004E-3</v>
      </c>
      <c r="AF336" s="583">
        <f>VLOOKUP($H336,Nutrition_tables!$A:$AF,19,FALSE)*$Q336/100</f>
        <v>-2.8000000000000004E-3</v>
      </c>
      <c r="AG336" s="583">
        <f>VLOOKUP($H336,Nutrition_tables!$A:$AF,20,FALSE)*$Q336/100</f>
        <v>-2.8000000000000004E-3</v>
      </c>
      <c r="AH336" s="583">
        <f>VLOOKUP($H336,Nutrition_tables!$A:$AF,21,FALSE)*$Q336/100</f>
        <v>-2.8000000000000004E-3</v>
      </c>
      <c r="AI336" s="583">
        <f>VLOOKUP($H336,Nutrition_tables!$A:$AF,22,FALSE)*$Q336/100</f>
        <v>-2.8000000000000004E-3</v>
      </c>
      <c r="AJ336" s="549">
        <f>VLOOKUP($H336,Nutrition_tables!$A:$AF,23,FALSE)*$Q336/100</f>
        <v>-2.8000000000000003E-4</v>
      </c>
      <c r="AK336" s="583">
        <f>VLOOKUP($H336,Nutrition_tables!$A:$AF,24,FALSE)*$Q336/100</f>
        <v>-2.8000000000000004E-3</v>
      </c>
      <c r="AL336" s="583">
        <f>VLOOKUP($H336,Nutrition_tables!$A:$AF,25,FALSE)*$Q336/100</f>
        <v>-2.8000000000000004E-3</v>
      </c>
      <c r="AM336" s="583">
        <f>VLOOKUP($H336,Nutrition_tables!$A:$AF,26,FALSE)*$Q336/100</f>
        <v>-2.8000000000000004E-3</v>
      </c>
      <c r="AN336" s="583">
        <f>VLOOKUP($H336,Nutrition_tables!$A:$AF,27,FALSE)*$Q336/100</f>
        <v>-2.8000000000000004E-3</v>
      </c>
      <c r="AO336" s="583">
        <f>VLOOKUP($H336,Nutrition_tables!$A:$AF,28,FALSE)*$Q336/100</f>
        <v>-2.8000000000000004E-3</v>
      </c>
      <c r="AP336" s="583">
        <f>VLOOKUP($H336,Nutrition_tables!$A:$AF,29,FALSE)*$Q336/100</f>
        <v>-2.8000000000000004E-3</v>
      </c>
      <c r="AQ336" s="583">
        <f>VLOOKUP($H336,Nutrition_tables!$A:$AF,30,FALSE)*$Q336/100</f>
        <v>-2.8000000000000003E-4</v>
      </c>
      <c r="AR336" s="583">
        <f>VLOOKUP($H336,Nutrition_tables!$A:$AF,31,FALSE)*$Q336/100</f>
        <v>-2.8000000000000004E-3</v>
      </c>
      <c r="AS336" s="549">
        <f>VLOOKUP($H336,Nutrition_tables!$A:$AF,32,FALSE)*$Q336/100</f>
        <v>-2.8000000000000003E-4</v>
      </c>
      <c r="AT336" s="583">
        <f>IF(H336="Select ingredient:","",IF(G336="Select food category:","",IFERROR(VLOOKUP($H336,Ingredient_prices!$E:$W,17,FALSE)*$Q336/1000,"not bought")))</f>
        <v>10.555416666666666</v>
      </c>
      <c r="AU336" s="583">
        <f>IF(H336="Select ingredient:","",IF(G336="Select food category:","",IFERROR(VLOOKUP($H336,Ingredient_prices!$E:$W,18,FALSE)*$Q336/1000,"not bought")))</f>
        <v>10.555416666666666</v>
      </c>
      <c r="AV336" s="583">
        <f t="shared" si="796"/>
        <v>287.00024599996482</v>
      </c>
      <c r="AW336" s="583">
        <f t="shared" si="797"/>
        <v>24.500020999996998</v>
      </c>
      <c r="AX336" s="583">
        <f t="shared" si="798"/>
        <v>3.500002999999571</v>
      </c>
      <c r="AY336" s="583">
        <f t="shared" si="799"/>
        <v>17.500014999997855</v>
      </c>
      <c r="AZ336" s="583">
        <f t="shared" si="800"/>
        <v>-2.8000023999996573E-3</v>
      </c>
      <c r="BA336" s="583">
        <f t="shared" si="801"/>
        <v>-2.8000023999996573E-3</v>
      </c>
      <c r="BB336" s="583">
        <f t="shared" si="802"/>
        <v>-2.8000023999996573E-3</v>
      </c>
      <c r="BC336" s="583">
        <f t="shared" si="803"/>
        <v>-2.8000023999996573E-3</v>
      </c>
      <c r="BD336" s="583">
        <f t="shared" si="804"/>
        <v>-2.8000023999996573E-3</v>
      </c>
      <c r="BE336" s="583">
        <f t="shared" si="805"/>
        <v>-2.8000023999996573E-3</v>
      </c>
      <c r="BF336" s="583">
        <f t="shared" si="806"/>
        <v>-2.8000023999996573E-3</v>
      </c>
      <c r="BG336" s="583">
        <f t="shared" si="807"/>
        <v>-2.8000023999996573E-3</v>
      </c>
      <c r="BH336" s="583">
        <f t="shared" si="808"/>
        <v>-2.8000023999996573E-3</v>
      </c>
      <c r="BI336" s="583">
        <f t="shared" si="809"/>
        <v>-2.8000023999996573E-4</v>
      </c>
      <c r="BJ336" s="583">
        <f t="shared" si="810"/>
        <v>-2.8000023999996573E-3</v>
      </c>
      <c r="BK336" s="583">
        <f t="shared" si="811"/>
        <v>-2.8000023999996573E-3</v>
      </c>
      <c r="BL336" s="583">
        <f t="shared" si="812"/>
        <v>-2.8000023999996573E-3</v>
      </c>
      <c r="BM336" s="583">
        <f t="shared" si="813"/>
        <v>-2.8000023999996573E-3</v>
      </c>
      <c r="BN336" s="583">
        <f t="shared" si="814"/>
        <v>-2.8000023999996573E-3</v>
      </c>
      <c r="BO336" s="583">
        <f t="shared" si="815"/>
        <v>-2.8000023999996573E-3</v>
      </c>
      <c r="BP336" s="583">
        <f t="shared" si="816"/>
        <v>-2.8000023999996573E-4</v>
      </c>
      <c r="BQ336" s="583">
        <f t="shared" si="817"/>
        <v>-2.8000023999996573E-3</v>
      </c>
      <c r="BR336" s="583">
        <f t="shared" si="818"/>
        <v>-2.8000023999996573E-4</v>
      </c>
    </row>
    <row r="337" spans="1:70" s="229" customFormat="1" ht="15" customHeight="1">
      <c r="A337" s="643"/>
      <c r="D337" s="406"/>
      <c r="E337" s="576">
        <f t="shared" ref="E337:E346" si="819">IF(E$335&gt;0,E$335,"")</f>
        <v>100</v>
      </c>
      <c r="F337" s="1131"/>
      <c r="G337" s="406" t="s">
        <v>3054</v>
      </c>
      <c r="H337" s="1262" t="s">
        <v>3055</v>
      </c>
      <c r="I337" s="85">
        <v>0</v>
      </c>
      <c r="J337" s="682">
        <v>1</v>
      </c>
      <c r="K337" s="579" t="str">
        <f t="shared" si="793"/>
        <v/>
      </c>
      <c r="L337" s="580" t="str">
        <f>IF(H337="Select ingredient:","",IF(G337="","",_xlfn.IFNA(VLOOKUP($H337,Ingredient_prices!$E:$U,16,FALSE),0)))</f>
        <v/>
      </c>
      <c r="M337" s="848"/>
      <c r="N337" s="848"/>
      <c r="O337" s="648"/>
      <c r="P337" s="653"/>
      <c r="Q337" s="583">
        <f t="shared" si="794"/>
        <v>0</v>
      </c>
      <c r="R337" s="583">
        <f>VLOOKUP($H337,'CO2_emission+%_food_waste'!$A:$K,6,FALSE)*$Q337/100</f>
        <v>0</v>
      </c>
      <c r="S337" s="583">
        <f t="shared" si="795"/>
        <v>0</v>
      </c>
      <c r="T337" s="583" t="str">
        <f>IF(H337="Select ingredient:","",IF(G337="Select food category:","",_xlfn.IFNA(VLOOKUP($H337,Ingredient_prices!$E:$U,16,FALSE)*$Q337/1000,"not bought")))</f>
        <v/>
      </c>
      <c r="U337" s="583" t="str">
        <f>IF(G337="Select food category:","",_xlfn.IFNA(VLOOKUP($H337,Ingredient_prices!$E:$U,16,FALSE)*$R337/1000,"not bought"))</f>
        <v/>
      </c>
      <c r="V337" s="549">
        <f>VLOOKUP($H337,'CO2_emission+%_food_waste'!$A:$K,4,FALSE)*$Q337</f>
        <v>0</v>
      </c>
      <c r="W337" s="583">
        <f>VLOOKUP($H337,Nutrition_tables!$A:$N,10,FALSE)*$Q337/100</f>
        <v>0</v>
      </c>
      <c r="X337" s="583">
        <f>VLOOKUP($H337,Nutrition_tables!$A:$N,11,FALSE)*$Q337/100</f>
        <v>0</v>
      </c>
      <c r="Y337" s="583">
        <f>VLOOKUP($H337,Nutrition_tables!$A:$N,12,FALSE)*$Q337/100</f>
        <v>0</v>
      </c>
      <c r="Z337" s="583">
        <f>VLOOKUP($H337,Nutrition_tables!$A:$N,14,FALSE)*$Q337/100</f>
        <v>0</v>
      </c>
      <c r="AA337" s="583">
        <f>VLOOKUP($H337,Nutrition_tables!$A:$AF,13,FALSE)*$Q337/100</f>
        <v>0</v>
      </c>
      <c r="AB337" s="549">
        <f>VLOOKUP($H337,Nutrition_tables!$A:$AF,15,FALSE)*$Q337/100</f>
        <v>0</v>
      </c>
      <c r="AC337" s="583">
        <f>VLOOKUP($H337,Nutrition_tables!$A:$AF,16,FALSE)*$Q337/100</f>
        <v>0</v>
      </c>
      <c r="AD337" s="583">
        <f>VLOOKUP($H337,Nutrition_tables!$A:$AF,17,FALSE)*$Q337/100</f>
        <v>0</v>
      </c>
      <c r="AE337" s="583">
        <f>VLOOKUP($H337,Nutrition_tables!$A:$AF,18,FALSE)*$Q337/100</f>
        <v>0</v>
      </c>
      <c r="AF337" s="583">
        <f>VLOOKUP($H337,Nutrition_tables!$A:$AF,19,FALSE)*$Q337/100</f>
        <v>0</v>
      </c>
      <c r="AG337" s="583">
        <f>VLOOKUP($H337,Nutrition_tables!$A:$AF,20,FALSE)*$Q337/100</f>
        <v>0</v>
      </c>
      <c r="AH337" s="583">
        <f>VLOOKUP($H337,Nutrition_tables!$A:$AF,21,FALSE)*$Q337/100</f>
        <v>0</v>
      </c>
      <c r="AI337" s="583">
        <f>VLOOKUP($H337,Nutrition_tables!$A:$AF,22,FALSE)*$Q337/100</f>
        <v>0</v>
      </c>
      <c r="AJ337" s="549">
        <f>VLOOKUP($H337,Nutrition_tables!$A:$AF,23,FALSE)*$Q337/100</f>
        <v>0</v>
      </c>
      <c r="AK337" s="583">
        <f>VLOOKUP($H337,Nutrition_tables!$A:$AF,24,FALSE)*$Q337/100</f>
        <v>0</v>
      </c>
      <c r="AL337" s="583">
        <f>VLOOKUP($H337,Nutrition_tables!$A:$AF,25,FALSE)*$Q337/100</f>
        <v>0</v>
      </c>
      <c r="AM337" s="583">
        <f>VLOOKUP($H337,Nutrition_tables!$A:$AF,26,FALSE)*$Q337/100</f>
        <v>0</v>
      </c>
      <c r="AN337" s="583">
        <f>VLOOKUP($H337,Nutrition_tables!$A:$AF,27,FALSE)*$Q337/100</f>
        <v>0</v>
      </c>
      <c r="AO337" s="583">
        <f>VLOOKUP($H337,Nutrition_tables!$A:$AF,28,FALSE)*$Q337/100</f>
        <v>0</v>
      </c>
      <c r="AP337" s="583">
        <f>VLOOKUP($H337,Nutrition_tables!$A:$AF,29,FALSE)*$Q337/100</f>
        <v>0</v>
      </c>
      <c r="AQ337" s="583">
        <f>VLOOKUP($H337,Nutrition_tables!$A:$AF,30,FALSE)*$Q337/100</f>
        <v>0</v>
      </c>
      <c r="AR337" s="583">
        <f>VLOOKUP($H337,Nutrition_tables!$A:$AF,31,FALSE)*$Q337/100</f>
        <v>0</v>
      </c>
      <c r="AS337" s="549">
        <f>VLOOKUP($H337,Nutrition_tables!$A:$AF,32,FALSE)*$Q337/100</f>
        <v>0</v>
      </c>
      <c r="AT337" s="583" t="str">
        <f>IF(H337="Select ingredient:","",IF(G337="Select food category:","",IFERROR(VLOOKUP($H337,Ingredient_prices!$E:$W,17,FALSE)*$Q337/1000,"not bought")))</f>
        <v/>
      </c>
      <c r="AU337" s="583" t="str">
        <f>IF(H337="Select ingredient:","",IF(G337="Select food category:","",IFERROR(VLOOKUP($H337,Ingredient_prices!$E:$W,18,FALSE)*$Q337/1000,"not bought")))</f>
        <v/>
      </c>
      <c r="AV337" s="583">
        <f t="shared" si="796"/>
        <v>0</v>
      </c>
      <c r="AW337" s="583">
        <f t="shared" si="797"/>
        <v>0</v>
      </c>
      <c r="AX337" s="583">
        <f t="shared" si="798"/>
        <v>0</v>
      </c>
      <c r="AY337" s="583">
        <f t="shared" si="799"/>
        <v>0</v>
      </c>
      <c r="AZ337" s="583">
        <f t="shared" si="800"/>
        <v>0</v>
      </c>
      <c r="BA337" s="583">
        <f t="shared" si="801"/>
        <v>0</v>
      </c>
      <c r="BB337" s="583">
        <f t="shared" si="802"/>
        <v>0</v>
      </c>
      <c r="BC337" s="583">
        <f t="shared" si="803"/>
        <v>0</v>
      </c>
      <c r="BD337" s="583">
        <f t="shared" si="804"/>
        <v>0</v>
      </c>
      <c r="BE337" s="583">
        <f t="shared" si="805"/>
        <v>0</v>
      </c>
      <c r="BF337" s="583">
        <f t="shared" si="806"/>
        <v>0</v>
      </c>
      <c r="BG337" s="583">
        <f t="shared" si="807"/>
        <v>0</v>
      </c>
      <c r="BH337" s="583">
        <f t="shared" si="808"/>
        <v>0</v>
      </c>
      <c r="BI337" s="583">
        <f t="shared" si="809"/>
        <v>0</v>
      </c>
      <c r="BJ337" s="583">
        <f t="shared" si="810"/>
        <v>0</v>
      </c>
      <c r="BK337" s="583">
        <f t="shared" si="811"/>
        <v>0</v>
      </c>
      <c r="BL337" s="583">
        <f t="shared" si="812"/>
        <v>0</v>
      </c>
      <c r="BM337" s="583">
        <f t="shared" si="813"/>
        <v>0</v>
      </c>
      <c r="BN337" s="583">
        <f t="shared" si="814"/>
        <v>0</v>
      </c>
      <c r="BO337" s="583">
        <f t="shared" si="815"/>
        <v>0</v>
      </c>
      <c r="BP337" s="583">
        <f t="shared" si="816"/>
        <v>0</v>
      </c>
      <c r="BQ337" s="583">
        <f t="shared" si="817"/>
        <v>0</v>
      </c>
      <c r="BR337" s="583">
        <f t="shared" si="818"/>
        <v>0</v>
      </c>
    </row>
    <row r="338" spans="1:70" s="229" customFormat="1" ht="15" customHeight="1">
      <c r="A338" s="643"/>
      <c r="D338" s="85"/>
      <c r="E338" s="576">
        <f t="shared" si="819"/>
        <v>100</v>
      </c>
      <c r="F338" s="1131"/>
      <c r="G338" s="406" t="s">
        <v>3054</v>
      </c>
      <c r="H338" s="1262" t="s">
        <v>3055</v>
      </c>
      <c r="I338" s="85">
        <v>0</v>
      </c>
      <c r="J338" s="682">
        <v>1</v>
      </c>
      <c r="K338" s="579" t="str">
        <f t="shared" si="793"/>
        <v/>
      </c>
      <c r="L338" s="580" t="str">
        <f>IF(H338="Select ingredient:","",IF(G338="","",_xlfn.IFNA(VLOOKUP($H338,Ingredient_prices!$E:$U,16,FALSE),0)))</f>
        <v/>
      </c>
      <c r="M338" s="848"/>
      <c r="N338" s="848"/>
      <c r="O338" s="648"/>
      <c r="P338" s="653"/>
      <c r="Q338" s="583">
        <f t="shared" si="794"/>
        <v>0</v>
      </c>
      <c r="R338" s="583">
        <f>VLOOKUP($H338,'CO2_emission+%_food_waste'!$A:$K,6,FALSE)*$Q338/100</f>
        <v>0</v>
      </c>
      <c r="S338" s="583">
        <f t="shared" si="795"/>
        <v>0</v>
      </c>
      <c r="T338" s="583" t="str">
        <f>IF(H338="Select ingredient:","",IF(G338="Select food category:","",_xlfn.IFNA(VLOOKUP($H338,Ingredient_prices!$E:$U,16,FALSE)*$Q338/1000,"not bought")))</f>
        <v/>
      </c>
      <c r="U338" s="583" t="str">
        <f>IF(G338="Select food category:","",_xlfn.IFNA(VLOOKUP($H338,Ingredient_prices!$E:$U,16,FALSE)*$R338/1000,"not bought"))</f>
        <v/>
      </c>
      <c r="V338" s="549">
        <f>VLOOKUP($H338,'CO2_emission+%_food_waste'!$A:$K,4,FALSE)*$Q338</f>
        <v>0</v>
      </c>
      <c r="W338" s="583">
        <f>VLOOKUP($H338,Nutrition_tables!$A:$N,10,FALSE)*$Q338/100</f>
        <v>0</v>
      </c>
      <c r="X338" s="583">
        <f>VLOOKUP($H338,Nutrition_tables!$A:$N,11,FALSE)*$Q338/100</f>
        <v>0</v>
      </c>
      <c r="Y338" s="583">
        <f>VLOOKUP($H338,Nutrition_tables!$A:$N,12,FALSE)*$Q338/100</f>
        <v>0</v>
      </c>
      <c r="Z338" s="583">
        <f>VLOOKUP($H338,Nutrition_tables!$A:$N,14,FALSE)*$Q338/100</f>
        <v>0</v>
      </c>
      <c r="AA338" s="583">
        <f>VLOOKUP($H338,Nutrition_tables!$A:$AF,13,FALSE)*$Q338/100</f>
        <v>0</v>
      </c>
      <c r="AB338" s="549">
        <f>VLOOKUP($H338,Nutrition_tables!$A:$AF,15,FALSE)*$Q338/100</f>
        <v>0</v>
      </c>
      <c r="AC338" s="583">
        <f>VLOOKUP($H338,Nutrition_tables!$A:$AF,16,FALSE)*$Q338/100</f>
        <v>0</v>
      </c>
      <c r="AD338" s="583">
        <f>VLOOKUP($H338,Nutrition_tables!$A:$AF,17,FALSE)*$Q338/100</f>
        <v>0</v>
      </c>
      <c r="AE338" s="583">
        <f>VLOOKUP($H338,Nutrition_tables!$A:$AF,18,FALSE)*$Q338/100</f>
        <v>0</v>
      </c>
      <c r="AF338" s="583">
        <f>VLOOKUP($H338,Nutrition_tables!$A:$AF,19,FALSE)*$Q338/100</f>
        <v>0</v>
      </c>
      <c r="AG338" s="583">
        <f>VLOOKUP($H338,Nutrition_tables!$A:$AF,20,FALSE)*$Q338/100</f>
        <v>0</v>
      </c>
      <c r="AH338" s="583">
        <f>VLOOKUP($H338,Nutrition_tables!$A:$AF,21,FALSE)*$Q338/100</f>
        <v>0</v>
      </c>
      <c r="AI338" s="583">
        <f>VLOOKUP($H338,Nutrition_tables!$A:$AF,22,FALSE)*$Q338/100</f>
        <v>0</v>
      </c>
      <c r="AJ338" s="549">
        <f>VLOOKUP($H338,Nutrition_tables!$A:$AF,23,FALSE)*$Q338/100</f>
        <v>0</v>
      </c>
      <c r="AK338" s="583">
        <f>VLOOKUP($H338,Nutrition_tables!$A:$AF,24,FALSE)*$Q338/100</f>
        <v>0</v>
      </c>
      <c r="AL338" s="583">
        <f>VLOOKUP($H338,Nutrition_tables!$A:$AF,25,FALSE)*$Q338/100</f>
        <v>0</v>
      </c>
      <c r="AM338" s="583">
        <f>VLOOKUP($H338,Nutrition_tables!$A:$AF,26,FALSE)*$Q338/100</f>
        <v>0</v>
      </c>
      <c r="AN338" s="583">
        <f>VLOOKUP($H338,Nutrition_tables!$A:$AF,27,FALSE)*$Q338/100</f>
        <v>0</v>
      </c>
      <c r="AO338" s="583">
        <f>VLOOKUP($H338,Nutrition_tables!$A:$AF,28,FALSE)*$Q338/100</f>
        <v>0</v>
      </c>
      <c r="AP338" s="583">
        <f>VLOOKUP($H338,Nutrition_tables!$A:$AF,29,FALSE)*$Q338/100</f>
        <v>0</v>
      </c>
      <c r="AQ338" s="583">
        <f>VLOOKUP($H338,Nutrition_tables!$A:$AF,30,FALSE)*$Q338/100</f>
        <v>0</v>
      </c>
      <c r="AR338" s="583">
        <f>VLOOKUP($H338,Nutrition_tables!$A:$AF,31,FALSE)*$Q338/100</f>
        <v>0</v>
      </c>
      <c r="AS338" s="549">
        <f>VLOOKUP($H338,Nutrition_tables!$A:$AF,32,FALSE)*$Q338/100</f>
        <v>0</v>
      </c>
      <c r="AT338" s="583" t="str">
        <f>IF(H338="Select ingredient:","",IF(G338="Select food category:","",IFERROR(VLOOKUP($H338,Ingredient_prices!$E:$W,17,FALSE)*$Q338/1000,"not bought")))</f>
        <v/>
      </c>
      <c r="AU338" s="583" t="str">
        <f>IF(H338="Select ingredient:","",IF(G338="Select food category:","",IFERROR(VLOOKUP($H338,Ingredient_prices!$E:$W,18,FALSE)*$Q338/1000,"not bought")))</f>
        <v/>
      </c>
      <c r="AV338" s="583">
        <f t="shared" si="796"/>
        <v>0</v>
      </c>
      <c r="AW338" s="583">
        <f t="shared" si="797"/>
        <v>0</v>
      </c>
      <c r="AX338" s="583">
        <f t="shared" si="798"/>
        <v>0</v>
      </c>
      <c r="AY338" s="583">
        <f t="shared" si="799"/>
        <v>0</v>
      </c>
      <c r="AZ338" s="583">
        <f t="shared" si="800"/>
        <v>0</v>
      </c>
      <c r="BA338" s="583">
        <f t="shared" si="801"/>
        <v>0</v>
      </c>
      <c r="BB338" s="583">
        <f t="shared" si="802"/>
        <v>0</v>
      </c>
      <c r="BC338" s="583">
        <f t="shared" si="803"/>
        <v>0</v>
      </c>
      <c r="BD338" s="583">
        <f t="shared" si="804"/>
        <v>0</v>
      </c>
      <c r="BE338" s="583">
        <f t="shared" si="805"/>
        <v>0</v>
      </c>
      <c r="BF338" s="583">
        <f t="shared" si="806"/>
        <v>0</v>
      </c>
      <c r="BG338" s="583">
        <f t="shared" si="807"/>
        <v>0</v>
      </c>
      <c r="BH338" s="583">
        <f t="shared" si="808"/>
        <v>0</v>
      </c>
      <c r="BI338" s="583">
        <f t="shared" si="809"/>
        <v>0</v>
      </c>
      <c r="BJ338" s="583">
        <f t="shared" si="810"/>
        <v>0</v>
      </c>
      <c r="BK338" s="583">
        <f t="shared" si="811"/>
        <v>0</v>
      </c>
      <c r="BL338" s="583">
        <f t="shared" si="812"/>
        <v>0</v>
      </c>
      <c r="BM338" s="583">
        <f t="shared" si="813"/>
        <v>0</v>
      </c>
      <c r="BN338" s="583">
        <f t="shared" si="814"/>
        <v>0</v>
      </c>
      <c r="BO338" s="583">
        <f t="shared" si="815"/>
        <v>0</v>
      </c>
      <c r="BP338" s="583">
        <f t="shared" si="816"/>
        <v>0</v>
      </c>
      <c r="BQ338" s="583">
        <f t="shared" si="817"/>
        <v>0</v>
      </c>
      <c r="BR338" s="583">
        <f t="shared" si="818"/>
        <v>0</v>
      </c>
    </row>
    <row r="339" spans="1:70" s="229" customFormat="1" ht="15" customHeight="1">
      <c r="A339" s="643"/>
      <c r="D339" s="85"/>
      <c r="E339" s="576">
        <f t="shared" si="819"/>
        <v>100</v>
      </c>
      <c r="F339" s="1131"/>
      <c r="G339" s="406" t="s">
        <v>3054</v>
      </c>
      <c r="H339" s="1262" t="s">
        <v>3055</v>
      </c>
      <c r="I339" s="85">
        <v>0</v>
      </c>
      <c r="J339" s="682">
        <v>1</v>
      </c>
      <c r="K339" s="579" t="str">
        <f t="shared" si="793"/>
        <v/>
      </c>
      <c r="L339" s="580" t="str">
        <f>IF(H339="Select ingredient:","",IF(G339="","",_xlfn.IFNA(VLOOKUP($H339,Ingredient_prices!$E:$U,16,FALSE),0)))</f>
        <v/>
      </c>
      <c r="M339" s="848"/>
      <c r="N339" s="848"/>
      <c r="O339" s="648"/>
      <c r="P339" s="653"/>
      <c r="Q339" s="583">
        <f t="shared" si="794"/>
        <v>0</v>
      </c>
      <c r="R339" s="583">
        <f>VLOOKUP($H339,'CO2_emission+%_food_waste'!$A:$K,6,FALSE)*$Q339/100</f>
        <v>0</v>
      </c>
      <c r="S339" s="583">
        <f t="shared" si="795"/>
        <v>0</v>
      </c>
      <c r="T339" s="583" t="str">
        <f>IF(H339="Select ingredient:","",IF(G339="Select food category:","",_xlfn.IFNA(VLOOKUP($H339,Ingredient_prices!$E:$U,16,FALSE)*$Q339/1000,"not bought")))</f>
        <v/>
      </c>
      <c r="U339" s="583" t="str">
        <f>IF(G339="Select food category:","",_xlfn.IFNA(VLOOKUP($H339,Ingredient_prices!$E:$U,16,FALSE)*$R339/1000,"not bought"))</f>
        <v/>
      </c>
      <c r="V339" s="549">
        <f>VLOOKUP($H339,'CO2_emission+%_food_waste'!$A:$K,4,FALSE)*$Q339</f>
        <v>0</v>
      </c>
      <c r="W339" s="583">
        <f>VLOOKUP($H339,Nutrition_tables!$A:$N,10,FALSE)*$Q339/100</f>
        <v>0</v>
      </c>
      <c r="X339" s="583">
        <f>VLOOKUP($H339,Nutrition_tables!$A:$N,11,FALSE)*$Q339/100</f>
        <v>0</v>
      </c>
      <c r="Y339" s="583">
        <f>VLOOKUP($H339,Nutrition_tables!$A:$N,12,FALSE)*$Q339/100</f>
        <v>0</v>
      </c>
      <c r="Z339" s="583">
        <f>VLOOKUP($H339,Nutrition_tables!$A:$N,14,FALSE)*$Q339/100</f>
        <v>0</v>
      </c>
      <c r="AA339" s="583">
        <f>VLOOKUP($H339,Nutrition_tables!$A:$AF,13,FALSE)*$Q339/100</f>
        <v>0</v>
      </c>
      <c r="AB339" s="549">
        <f>VLOOKUP($H339,Nutrition_tables!$A:$AF,15,FALSE)*$Q339/100</f>
        <v>0</v>
      </c>
      <c r="AC339" s="583">
        <f>VLOOKUP($H339,Nutrition_tables!$A:$AF,16,FALSE)*$Q339/100</f>
        <v>0</v>
      </c>
      <c r="AD339" s="583">
        <f>VLOOKUP($H339,Nutrition_tables!$A:$AF,17,FALSE)*$Q339/100</f>
        <v>0</v>
      </c>
      <c r="AE339" s="583">
        <f>VLOOKUP($H339,Nutrition_tables!$A:$AF,18,FALSE)*$Q339/100</f>
        <v>0</v>
      </c>
      <c r="AF339" s="583">
        <f>VLOOKUP($H339,Nutrition_tables!$A:$AF,19,FALSE)*$Q339/100</f>
        <v>0</v>
      </c>
      <c r="AG339" s="583">
        <f>VLOOKUP($H339,Nutrition_tables!$A:$AF,20,FALSE)*$Q339/100</f>
        <v>0</v>
      </c>
      <c r="AH339" s="583">
        <f>VLOOKUP($H339,Nutrition_tables!$A:$AF,21,FALSE)*$Q339/100</f>
        <v>0</v>
      </c>
      <c r="AI339" s="583">
        <f>VLOOKUP($H339,Nutrition_tables!$A:$AF,22,FALSE)*$Q339/100</f>
        <v>0</v>
      </c>
      <c r="AJ339" s="549">
        <f>VLOOKUP($H339,Nutrition_tables!$A:$AF,23,FALSE)*$Q339/100</f>
        <v>0</v>
      </c>
      <c r="AK339" s="583">
        <f>VLOOKUP($H339,Nutrition_tables!$A:$AF,24,FALSE)*$Q339/100</f>
        <v>0</v>
      </c>
      <c r="AL339" s="583">
        <f>VLOOKUP($H339,Nutrition_tables!$A:$AF,25,FALSE)*$Q339/100</f>
        <v>0</v>
      </c>
      <c r="AM339" s="583">
        <f>VLOOKUP($H339,Nutrition_tables!$A:$AF,26,FALSE)*$Q339/100</f>
        <v>0</v>
      </c>
      <c r="AN339" s="583">
        <f>VLOOKUP($H339,Nutrition_tables!$A:$AF,27,FALSE)*$Q339/100</f>
        <v>0</v>
      </c>
      <c r="AO339" s="583">
        <f>VLOOKUP($H339,Nutrition_tables!$A:$AF,28,FALSE)*$Q339/100</f>
        <v>0</v>
      </c>
      <c r="AP339" s="583">
        <f>VLOOKUP($H339,Nutrition_tables!$A:$AF,29,FALSE)*$Q339/100</f>
        <v>0</v>
      </c>
      <c r="AQ339" s="583">
        <f>VLOOKUP($H339,Nutrition_tables!$A:$AF,30,FALSE)*$Q339/100</f>
        <v>0</v>
      </c>
      <c r="AR339" s="583">
        <f>VLOOKUP($H339,Nutrition_tables!$A:$AF,31,FALSE)*$Q339/100</f>
        <v>0</v>
      </c>
      <c r="AS339" s="549">
        <f>VLOOKUP($H339,Nutrition_tables!$A:$AF,32,FALSE)*$Q339/100</f>
        <v>0</v>
      </c>
      <c r="AT339" s="583" t="str">
        <f>IF(H339="Select ingredient:","",IF(G339="Select food category:","",IFERROR(VLOOKUP($H339,Ingredient_prices!$E:$W,17,FALSE)*$Q339/1000,"not bought")))</f>
        <v/>
      </c>
      <c r="AU339" s="583" t="str">
        <f>IF(H339="Select ingredient:","",IF(G339="Select food category:","",IFERROR(VLOOKUP($H339,Ingredient_prices!$E:$W,18,FALSE)*$Q339/1000,"not bought")))</f>
        <v/>
      </c>
      <c r="AV339" s="583">
        <f t="shared" si="796"/>
        <v>0</v>
      </c>
      <c r="AW339" s="583">
        <f t="shared" si="797"/>
        <v>0</v>
      </c>
      <c r="AX339" s="583">
        <f t="shared" si="798"/>
        <v>0</v>
      </c>
      <c r="AY339" s="583">
        <f t="shared" si="799"/>
        <v>0</v>
      </c>
      <c r="AZ339" s="583">
        <f t="shared" si="800"/>
        <v>0</v>
      </c>
      <c r="BA339" s="583">
        <f t="shared" si="801"/>
        <v>0</v>
      </c>
      <c r="BB339" s="583">
        <f t="shared" si="802"/>
        <v>0</v>
      </c>
      <c r="BC339" s="583">
        <f t="shared" si="803"/>
        <v>0</v>
      </c>
      <c r="BD339" s="583">
        <f t="shared" si="804"/>
        <v>0</v>
      </c>
      <c r="BE339" s="583">
        <f t="shared" si="805"/>
        <v>0</v>
      </c>
      <c r="BF339" s="583">
        <f t="shared" si="806"/>
        <v>0</v>
      </c>
      <c r="BG339" s="583">
        <f t="shared" si="807"/>
        <v>0</v>
      </c>
      <c r="BH339" s="583">
        <f t="shared" si="808"/>
        <v>0</v>
      </c>
      <c r="BI339" s="583">
        <f t="shared" si="809"/>
        <v>0</v>
      </c>
      <c r="BJ339" s="583">
        <f t="shared" si="810"/>
        <v>0</v>
      </c>
      <c r="BK339" s="583">
        <f t="shared" si="811"/>
        <v>0</v>
      </c>
      <c r="BL339" s="583">
        <f t="shared" si="812"/>
        <v>0</v>
      </c>
      <c r="BM339" s="583">
        <f t="shared" si="813"/>
        <v>0</v>
      </c>
      <c r="BN339" s="583">
        <f t="shared" si="814"/>
        <v>0</v>
      </c>
      <c r="BO339" s="583">
        <f t="shared" si="815"/>
        <v>0</v>
      </c>
      <c r="BP339" s="583">
        <f t="shared" si="816"/>
        <v>0</v>
      </c>
      <c r="BQ339" s="583">
        <f t="shared" si="817"/>
        <v>0</v>
      </c>
      <c r="BR339" s="583">
        <f t="shared" si="818"/>
        <v>0</v>
      </c>
    </row>
    <row r="340" spans="1:70" s="229" customFormat="1" ht="15" customHeight="1">
      <c r="A340" s="643"/>
      <c r="D340" s="85"/>
      <c r="E340" s="576">
        <f t="shared" si="819"/>
        <v>100</v>
      </c>
      <c r="F340" s="1131"/>
      <c r="G340" s="406" t="s">
        <v>3054</v>
      </c>
      <c r="H340" s="1262" t="s">
        <v>3055</v>
      </c>
      <c r="I340" s="85">
        <v>0</v>
      </c>
      <c r="J340" s="682">
        <v>1</v>
      </c>
      <c r="K340" s="579" t="str">
        <f t="shared" si="793"/>
        <v/>
      </c>
      <c r="L340" s="580" t="str">
        <f>IF(H340="Select ingredient:","",IF(G340="","",_xlfn.IFNA(VLOOKUP($H340,Ingredient_prices!$E:$U,16,FALSE),0)))</f>
        <v/>
      </c>
      <c r="M340" s="848"/>
      <c r="N340" s="848"/>
      <c r="O340" s="648"/>
      <c r="P340" s="653"/>
      <c r="Q340" s="583">
        <f t="shared" si="794"/>
        <v>0</v>
      </c>
      <c r="R340" s="583">
        <f>VLOOKUP($H340,'CO2_emission+%_food_waste'!$A:$K,6,FALSE)*$Q340/100</f>
        <v>0</v>
      </c>
      <c r="S340" s="583">
        <f t="shared" si="795"/>
        <v>0</v>
      </c>
      <c r="T340" s="583" t="str">
        <f>IF(H340="Select ingredient:","",IF(G340="Select food category:","",_xlfn.IFNA(VLOOKUP($H340,Ingredient_prices!$E:$U,16,FALSE)*$Q340/1000,"not bought")))</f>
        <v/>
      </c>
      <c r="U340" s="583" t="str">
        <f>IF(G340="Select food category:","",_xlfn.IFNA(VLOOKUP($H340,Ingredient_prices!$E:$U,16,FALSE)*$R340/1000,"not bought"))</f>
        <v/>
      </c>
      <c r="V340" s="549">
        <f>VLOOKUP($H340,'CO2_emission+%_food_waste'!$A:$K,4,FALSE)*$Q340</f>
        <v>0</v>
      </c>
      <c r="W340" s="583">
        <f>VLOOKUP($H340,Nutrition_tables!$A:$N,10,FALSE)*$Q340/100</f>
        <v>0</v>
      </c>
      <c r="X340" s="583">
        <f>VLOOKUP($H340,Nutrition_tables!$A:$N,11,FALSE)*$Q340/100</f>
        <v>0</v>
      </c>
      <c r="Y340" s="583">
        <f>VLOOKUP($H340,Nutrition_tables!$A:$N,12,FALSE)*$Q340/100</f>
        <v>0</v>
      </c>
      <c r="Z340" s="583">
        <f>VLOOKUP($H340,Nutrition_tables!$A:$N,14,FALSE)*$Q340/100</f>
        <v>0</v>
      </c>
      <c r="AA340" s="583">
        <f>VLOOKUP($H340,Nutrition_tables!$A:$AF,13,FALSE)*$Q340/100</f>
        <v>0</v>
      </c>
      <c r="AB340" s="549">
        <f>VLOOKUP($H340,Nutrition_tables!$A:$AF,15,FALSE)*$Q340/100</f>
        <v>0</v>
      </c>
      <c r="AC340" s="583">
        <f>VLOOKUP($H340,Nutrition_tables!$A:$AF,16,FALSE)*$Q340/100</f>
        <v>0</v>
      </c>
      <c r="AD340" s="583">
        <f>VLOOKUP($H340,Nutrition_tables!$A:$AF,17,FALSE)*$Q340/100</f>
        <v>0</v>
      </c>
      <c r="AE340" s="583">
        <f>VLOOKUP($H340,Nutrition_tables!$A:$AF,18,FALSE)*$Q340/100</f>
        <v>0</v>
      </c>
      <c r="AF340" s="583">
        <f>VLOOKUP($H340,Nutrition_tables!$A:$AF,19,FALSE)*$Q340/100</f>
        <v>0</v>
      </c>
      <c r="AG340" s="583">
        <f>VLOOKUP($H340,Nutrition_tables!$A:$AF,20,FALSE)*$Q340/100</f>
        <v>0</v>
      </c>
      <c r="AH340" s="583">
        <f>VLOOKUP($H340,Nutrition_tables!$A:$AF,21,FALSE)*$Q340/100</f>
        <v>0</v>
      </c>
      <c r="AI340" s="583">
        <f>VLOOKUP($H340,Nutrition_tables!$A:$AF,22,FALSE)*$Q340/100</f>
        <v>0</v>
      </c>
      <c r="AJ340" s="549">
        <f>VLOOKUP($H340,Nutrition_tables!$A:$AF,23,FALSE)*$Q340/100</f>
        <v>0</v>
      </c>
      <c r="AK340" s="583">
        <f>VLOOKUP($H340,Nutrition_tables!$A:$AF,24,FALSE)*$Q340/100</f>
        <v>0</v>
      </c>
      <c r="AL340" s="583">
        <f>VLOOKUP($H340,Nutrition_tables!$A:$AF,25,FALSE)*$Q340/100</f>
        <v>0</v>
      </c>
      <c r="AM340" s="583">
        <f>VLOOKUP($H340,Nutrition_tables!$A:$AF,26,FALSE)*$Q340/100</f>
        <v>0</v>
      </c>
      <c r="AN340" s="583">
        <f>VLOOKUP($H340,Nutrition_tables!$A:$AF,27,FALSE)*$Q340/100</f>
        <v>0</v>
      </c>
      <c r="AO340" s="583">
        <f>VLOOKUP($H340,Nutrition_tables!$A:$AF,28,FALSE)*$Q340/100</f>
        <v>0</v>
      </c>
      <c r="AP340" s="583">
        <f>VLOOKUP($H340,Nutrition_tables!$A:$AF,29,FALSE)*$Q340/100</f>
        <v>0</v>
      </c>
      <c r="AQ340" s="583">
        <f>VLOOKUP($H340,Nutrition_tables!$A:$AF,30,FALSE)*$Q340/100</f>
        <v>0</v>
      </c>
      <c r="AR340" s="583">
        <f>VLOOKUP($H340,Nutrition_tables!$A:$AF,31,FALSE)*$Q340/100</f>
        <v>0</v>
      </c>
      <c r="AS340" s="549">
        <f>VLOOKUP($H340,Nutrition_tables!$A:$AF,32,FALSE)*$Q340/100</f>
        <v>0</v>
      </c>
      <c r="AT340" s="583" t="str">
        <f>IF(H340="Select ingredient:","",IF(G340="Select food category:","",IFERROR(VLOOKUP($H340,Ingredient_prices!$E:$W,17,FALSE)*$Q340/1000,"not bought")))</f>
        <v/>
      </c>
      <c r="AU340" s="583" t="str">
        <f>IF(H340="Select ingredient:","",IF(G340="Select food category:","",IFERROR(VLOOKUP($H340,Ingredient_prices!$E:$W,18,FALSE)*$Q340/1000,"not bought")))</f>
        <v/>
      </c>
      <c r="AV340" s="583">
        <f t="shared" si="796"/>
        <v>0</v>
      </c>
      <c r="AW340" s="583">
        <f t="shared" si="797"/>
        <v>0</v>
      </c>
      <c r="AX340" s="583">
        <f t="shared" si="798"/>
        <v>0</v>
      </c>
      <c r="AY340" s="583">
        <f t="shared" si="799"/>
        <v>0</v>
      </c>
      <c r="AZ340" s="583">
        <f t="shared" si="800"/>
        <v>0</v>
      </c>
      <c r="BA340" s="583">
        <f t="shared" si="801"/>
        <v>0</v>
      </c>
      <c r="BB340" s="583">
        <f t="shared" si="802"/>
        <v>0</v>
      </c>
      <c r="BC340" s="583">
        <f t="shared" si="803"/>
        <v>0</v>
      </c>
      <c r="BD340" s="583">
        <f t="shared" si="804"/>
        <v>0</v>
      </c>
      <c r="BE340" s="583">
        <f t="shared" si="805"/>
        <v>0</v>
      </c>
      <c r="BF340" s="583">
        <f t="shared" si="806"/>
        <v>0</v>
      </c>
      <c r="BG340" s="583">
        <f t="shared" si="807"/>
        <v>0</v>
      </c>
      <c r="BH340" s="583">
        <f t="shared" si="808"/>
        <v>0</v>
      </c>
      <c r="BI340" s="583">
        <f t="shared" si="809"/>
        <v>0</v>
      </c>
      <c r="BJ340" s="583">
        <f t="shared" si="810"/>
        <v>0</v>
      </c>
      <c r="BK340" s="583">
        <f t="shared" si="811"/>
        <v>0</v>
      </c>
      <c r="BL340" s="583">
        <f t="shared" si="812"/>
        <v>0</v>
      </c>
      <c r="BM340" s="583">
        <f t="shared" si="813"/>
        <v>0</v>
      </c>
      <c r="BN340" s="583">
        <f t="shared" si="814"/>
        <v>0</v>
      </c>
      <c r="BO340" s="583">
        <f t="shared" si="815"/>
        <v>0</v>
      </c>
      <c r="BP340" s="583">
        <f t="shared" si="816"/>
        <v>0</v>
      </c>
      <c r="BQ340" s="583">
        <f t="shared" si="817"/>
        <v>0</v>
      </c>
      <c r="BR340" s="583">
        <f t="shared" si="818"/>
        <v>0</v>
      </c>
    </row>
    <row r="341" spans="1:70" s="229" customFormat="1" ht="15" customHeight="1">
      <c r="A341" s="643"/>
      <c r="D341" s="85"/>
      <c r="E341" s="576">
        <f t="shared" si="819"/>
        <v>100</v>
      </c>
      <c r="F341" s="1131"/>
      <c r="G341" s="406" t="s">
        <v>3054</v>
      </c>
      <c r="H341" s="1262" t="s">
        <v>3055</v>
      </c>
      <c r="I341" s="85">
        <v>0</v>
      </c>
      <c r="J341" s="682">
        <v>1</v>
      </c>
      <c r="K341" s="579" t="str">
        <f t="shared" si="793"/>
        <v/>
      </c>
      <c r="L341" s="580" t="str">
        <f>IF(H341="Select ingredient:","",IF(G341="","",_xlfn.IFNA(VLOOKUP($H341,Ingredient_prices!$E:$U,16,FALSE),0)))</f>
        <v/>
      </c>
      <c r="M341" s="848"/>
      <c r="N341" s="848"/>
      <c r="O341" s="648"/>
      <c r="P341" s="653"/>
      <c r="Q341" s="583">
        <f t="shared" si="794"/>
        <v>0</v>
      </c>
      <c r="R341" s="583">
        <f>VLOOKUP($H341,'CO2_emission+%_food_waste'!$A:$K,6,FALSE)*$Q341/100</f>
        <v>0</v>
      </c>
      <c r="S341" s="583">
        <f t="shared" si="795"/>
        <v>0</v>
      </c>
      <c r="T341" s="583" t="str">
        <f>IF(H341="Select ingredient:","",IF(G341="Select food category:","",_xlfn.IFNA(VLOOKUP($H341,Ingredient_prices!$E:$U,16,FALSE)*$Q341/1000,"not bought")))</f>
        <v/>
      </c>
      <c r="U341" s="583" t="str">
        <f>IF(G341="Select food category:","",_xlfn.IFNA(VLOOKUP($H341,Ingredient_prices!$E:$U,16,FALSE)*$R341/1000,"not bought"))</f>
        <v/>
      </c>
      <c r="V341" s="549">
        <f>VLOOKUP($H341,'CO2_emission+%_food_waste'!$A:$K,4,FALSE)*$Q341</f>
        <v>0</v>
      </c>
      <c r="W341" s="583">
        <f>VLOOKUP($H341,Nutrition_tables!$A:$N,10,FALSE)*$Q341/100</f>
        <v>0</v>
      </c>
      <c r="X341" s="583">
        <f>VLOOKUP($H341,Nutrition_tables!$A:$N,11,FALSE)*$Q341/100</f>
        <v>0</v>
      </c>
      <c r="Y341" s="583">
        <f>VLOOKUP($H341,Nutrition_tables!$A:$N,12,FALSE)*$Q341/100</f>
        <v>0</v>
      </c>
      <c r="Z341" s="583">
        <f>VLOOKUP($H341,Nutrition_tables!$A:$N,14,FALSE)*$Q341/100</f>
        <v>0</v>
      </c>
      <c r="AA341" s="583">
        <f>VLOOKUP($H341,Nutrition_tables!$A:$AF,13,FALSE)*$Q341/100</f>
        <v>0</v>
      </c>
      <c r="AB341" s="549">
        <f>VLOOKUP($H341,Nutrition_tables!$A:$AF,15,FALSE)*$Q341/100</f>
        <v>0</v>
      </c>
      <c r="AC341" s="583">
        <f>VLOOKUP($H341,Nutrition_tables!$A:$AF,16,FALSE)*$Q341/100</f>
        <v>0</v>
      </c>
      <c r="AD341" s="583">
        <f>VLOOKUP($H341,Nutrition_tables!$A:$AF,17,FALSE)*$Q341/100</f>
        <v>0</v>
      </c>
      <c r="AE341" s="583">
        <f>VLOOKUP($H341,Nutrition_tables!$A:$AF,18,FALSE)*$Q341/100</f>
        <v>0</v>
      </c>
      <c r="AF341" s="583">
        <f>VLOOKUP($H341,Nutrition_tables!$A:$AF,19,FALSE)*$Q341/100</f>
        <v>0</v>
      </c>
      <c r="AG341" s="583">
        <f>VLOOKUP($H341,Nutrition_tables!$A:$AF,20,FALSE)*$Q341/100</f>
        <v>0</v>
      </c>
      <c r="AH341" s="583">
        <f>VLOOKUP($H341,Nutrition_tables!$A:$AF,21,FALSE)*$Q341/100</f>
        <v>0</v>
      </c>
      <c r="AI341" s="583">
        <f>VLOOKUP($H341,Nutrition_tables!$A:$AF,22,FALSE)*$Q341/100</f>
        <v>0</v>
      </c>
      <c r="AJ341" s="549">
        <f>VLOOKUP($H341,Nutrition_tables!$A:$AF,23,FALSE)*$Q341/100</f>
        <v>0</v>
      </c>
      <c r="AK341" s="583">
        <f>VLOOKUP($H341,Nutrition_tables!$A:$AF,24,FALSE)*$Q341/100</f>
        <v>0</v>
      </c>
      <c r="AL341" s="583">
        <f>VLOOKUP($H341,Nutrition_tables!$A:$AF,25,FALSE)*$Q341/100</f>
        <v>0</v>
      </c>
      <c r="AM341" s="583">
        <f>VLOOKUP($H341,Nutrition_tables!$A:$AF,26,FALSE)*$Q341/100</f>
        <v>0</v>
      </c>
      <c r="AN341" s="583">
        <f>VLOOKUP($H341,Nutrition_tables!$A:$AF,27,FALSE)*$Q341/100</f>
        <v>0</v>
      </c>
      <c r="AO341" s="583">
        <f>VLOOKUP($H341,Nutrition_tables!$A:$AF,28,FALSE)*$Q341/100</f>
        <v>0</v>
      </c>
      <c r="AP341" s="583">
        <f>VLOOKUP($H341,Nutrition_tables!$A:$AF,29,FALSE)*$Q341/100</f>
        <v>0</v>
      </c>
      <c r="AQ341" s="583">
        <f>VLOOKUP($H341,Nutrition_tables!$A:$AF,30,FALSE)*$Q341/100</f>
        <v>0</v>
      </c>
      <c r="AR341" s="583">
        <f>VLOOKUP($H341,Nutrition_tables!$A:$AF,31,FALSE)*$Q341/100</f>
        <v>0</v>
      </c>
      <c r="AS341" s="549">
        <f>VLOOKUP($H341,Nutrition_tables!$A:$AF,32,FALSE)*$Q341/100</f>
        <v>0</v>
      </c>
      <c r="AT341" s="583" t="str">
        <f>IF(H341="Select ingredient:","",IF(G341="Select food category:","",IFERROR(VLOOKUP($H341,Ingredient_prices!$E:$W,17,FALSE)*$Q341/1000,"not bought")))</f>
        <v/>
      </c>
      <c r="AU341" s="583" t="str">
        <f>IF(H341="Select ingredient:","",IF(G341="Select food category:","",IFERROR(VLOOKUP($H341,Ingredient_prices!$E:$W,18,FALSE)*$Q341/1000,"not bought")))</f>
        <v/>
      </c>
      <c r="AV341" s="583">
        <f t="shared" si="796"/>
        <v>0</v>
      </c>
      <c r="AW341" s="583">
        <f t="shared" si="797"/>
        <v>0</v>
      </c>
      <c r="AX341" s="583">
        <f t="shared" si="798"/>
        <v>0</v>
      </c>
      <c r="AY341" s="583">
        <f t="shared" si="799"/>
        <v>0</v>
      </c>
      <c r="AZ341" s="583">
        <f t="shared" si="800"/>
        <v>0</v>
      </c>
      <c r="BA341" s="583">
        <f t="shared" si="801"/>
        <v>0</v>
      </c>
      <c r="BB341" s="583">
        <f t="shared" si="802"/>
        <v>0</v>
      </c>
      <c r="BC341" s="583">
        <f t="shared" si="803"/>
        <v>0</v>
      </c>
      <c r="BD341" s="583">
        <f t="shared" si="804"/>
        <v>0</v>
      </c>
      <c r="BE341" s="583">
        <f t="shared" si="805"/>
        <v>0</v>
      </c>
      <c r="BF341" s="583">
        <f t="shared" si="806"/>
        <v>0</v>
      </c>
      <c r="BG341" s="583">
        <f t="shared" si="807"/>
        <v>0</v>
      </c>
      <c r="BH341" s="583">
        <f t="shared" si="808"/>
        <v>0</v>
      </c>
      <c r="BI341" s="583">
        <f t="shared" si="809"/>
        <v>0</v>
      </c>
      <c r="BJ341" s="583">
        <f t="shared" si="810"/>
        <v>0</v>
      </c>
      <c r="BK341" s="583">
        <f t="shared" si="811"/>
        <v>0</v>
      </c>
      <c r="BL341" s="583">
        <f t="shared" si="812"/>
        <v>0</v>
      </c>
      <c r="BM341" s="583">
        <f t="shared" si="813"/>
        <v>0</v>
      </c>
      <c r="BN341" s="583">
        <f t="shared" si="814"/>
        <v>0</v>
      </c>
      <c r="BO341" s="583">
        <f t="shared" si="815"/>
        <v>0</v>
      </c>
      <c r="BP341" s="583">
        <f t="shared" si="816"/>
        <v>0</v>
      </c>
      <c r="BQ341" s="583">
        <f t="shared" si="817"/>
        <v>0</v>
      </c>
      <c r="BR341" s="583">
        <f t="shared" si="818"/>
        <v>0</v>
      </c>
    </row>
    <row r="342" spans="1:70" s="229" customFormat="1" ht="15" customHeight="1">
      <c r="A342" s="643"/>
      <c r="D342" s="85"/>
      <c r="E342" s="576">
        <f t="shared" si="819"/>
        <v>100</v>
      </c>
      <c r="F342" s="1131"/>
      <c r="G342" s="406" t="s">
        <v>3054</v>
      </c>
      <c r="H342" s="1262" t="s">
        <v>3055</v>
      </c>
      <c r="I342" s="85">
        <v>0</v>
      </c>
      <c r="J342" s="682">
        <v>1</v>
      </c>
      <c r="K342" s="579" t="str">
        <f t="shared" si="793"/>
        <v/>
      </c>
      <c r="L342" s="580" t="str">
        <f>IF(H342="Select ingredient:","",IF(G342="","",_xlfn.IFNA(VLOOKUP($H342,Ingredient_prices!$E:$U,16,FALSE),0)))</f>
        <v/>
      </c>
      <c r="M342" s="848"/>
      <c r="N342" s="848"/>
      <c r="O342" s="648"/>
      <c r="P342" s="653"/>
      <c r="Q342" s="583">
        <f t="shared" si="794"/>
        <v>0</v>
      </c>
      <c r="R342" s="583">
        <f>VLOOKUP($H342,'CO2_emission+%_food_waste'!$A:$K,6,FALSE)*$Q342/100</f>
        <v>0</v>
      </c>
      <c r="S342" s="583">
        <f t="shared" si="795"/>
        <v>0</v>
      </c>
      <c r="T342" s="583" t="str">
        <f>IF(H342="Select ingredient:","",IF(G342="Select food category:","",_xlfn.IFNA(VLOOKUP($H342,Ingredient_prices!$E:$U,16,FALSE)*$Q342/1000,"not bought")))</f>
        <v/>
      </c>
      <c r="U342" s="583" t="str">
        <f>IF(G342="Select food category:","",_xlfn.IFNA(VLOOKUP($H342,Ingredient_prices!$E:$U,16,FALSE)*$R342/1000,"not bought"))</f>
        <v/>
      </c>
      <c r="V342" s="549">
        <f>VLOOKUP($H342,'CO2_emission+%_food_waste'!$A:$K,4,FALSE)*$Q342</f>
        <v>0</v>
      </c>
      <c r="W342" s="583">
        <f>VLOOKUP($H342,Nutrition_tables!$A:$N,10,FALSE)*$Q342/100</f>
        <v>0</v>
      </c>
      <c r="X342" s="583">
        <f>VLOOKUP($H342,Nutrition_tables!$A:$N,11,FALSE)*$Q342/100</f>
        <v>0</v>
      </c>
      <c r="Y342" s="583">
        <f>VLOOKUP($H342,Nutrition_tables!$A:$N,12,FALSE)*$Q342/100</f>
        <v>0</v>
      </c>
      <c r="Z342" s="583">
        <f>VLOOKUP($H342,Nutrition_tables!$A:$N,14,FALSE)*$Q342/100</f>
        <v>0</v>
      </c>
      <c r="AA342" s="583">
        <f>VLOOKUP($H342,Nutrition_tables!$A:$AF,13,FALSE)*$Q342/100</f>
        <v>0</v>
      </c>
      <c r="AB342" s="549">
        <f>VLOOKUP($H342,Nutrition_tables!$A:$AF,15,FALSE)*$Q342/100</f>
        <v>0</v>
      </c>
      <c r="AC342" s="583">
        <f>VLOOKUP($H342,Nutrition_tables!$A:$AF,16,FALSE)*$Q342/100</f>
        <v>0</v>
      </c>
      <c r="AD342" s="583">
        <f>VLOOKUP($H342,Nutrition_tables!$A:$AF,17,FALSE)*$Q342/100</f>
        <v>0</v>
      </c>
      <c r="AE342" s="583">
        <f>VLOOKUP($H342,Nutrition_tables!$A:$AF,18,FALSE)*$Q342/100</f>
        <v>0</v>
      </c>
      <c r="AF342" s="583">
        <f>VLOOKUP($H342,Nutrition_tables!$A:$AF,19,FALSE)*$Q342/100</f>
        <v>0</v>
      </c>
      <c r="AG342" s="583">
        <f>VLOOKUP($H342,Nutrition_tables!$A:$AF,20,FALSE)*$Q342/100</f>
        <v>0</v>
      </c>
      <c r="AH342" s="583">
        <f>VLOOKUP($H342,Nutrition_tables!$A:$AF,21,FALSE)*$Q342/100</f>
        <v>0</v>
      </c>
      <c r="AI342" s="583">
        <f>VLOOKUP($H342,Nutrition_tables!$A:$AF,22,FALSE)*$Q342/100</f>
        <v>0</v>
      </c>
      <c r="AJ342" s="549">
        <f>VLOOKUP($H342,Nutrition_tables!$A:$AF,23,FALSE)*$Q342/100</f>
        <v>0</v>
      </c>
      <c r="AK342" s="583">
        <f>VLOOKUP($H342,Nutrition_tables!$A:$AF,24,FALSE)*$Q342/100</f>
        <v>0</v>
      </c>
      <c r="AL342" s="583">
        <f>VLOOKUP($H342,Nutrition_tables!$A:$AF,25,FALSE)*$Q342/100</f>
        <v>0</v>
      </c>
      <c r="AM342" s="583">
        <f>VLOOKUP($H342,Nutrition_tables!$A:$AF,26,FALSE)*$Q342/100</f>
        <v>0</v>
      </c>
      <c r="AN342" s="583">
        <f>VLOOKUP($H342,Nutrition_tables!$A:$AF,27,FALSE)*$Q342/100</f>
        <v>0</v>
      </c>
      <c r="AO342" s="583">
        <f>VLOOKUP($H342,Nutrition_tables!$A:$AF,28,FALSE)*$Q342/100</f>
        <v>0</v>
      </c>
      <c r="AP342" s="583">
        <f>VLOOKUP($H342,Nutrition_tables!$A:$AF,29,FALSE)*$Q342/100</f>
        <v>0</v>
      </c>
      <c r="AQ342" s="583">
        <f>VLOOKUP($H342,Nutrition_tables!$A:$AF,30,FALSE)*$Q342/100</f>
        <v>0</v>
      </c>
      <c r="AR342" s="583">
        <f>VLOOKUP($H342,Nutrition_tables!$A:$AF,31,FALSE)*$Q342/100</f>
        <v>0</v>
      </c>
      <c r="AS342" s="549">
        <f>VLOOKUP($H342,Nutrition_tables!$A:$AF,32,FALSE)*$Q342/100</f>
        <v>0</v>
      </c>
      <c r="AT342" s="583" t="str">
        <f>IF(H342="Select ingredient:","",IF(G342="Select food category:","",IFERROR(VLOOKUP($H342,Ingredient_prices!$E:$W,17,FALSE)*$Q342/1000,"not bought")))</f>
        <v/>
      </c>
      <c r="AU342" s="583" t="str">
        <f>IF(H342="Select ingredient:","",IF(G342="Select food category:","",IFERROR(VLOOKUP($H342,Ingredient_prices!$E:$W,18,FALSE)*$Q342/1000,"not bought")))</f>
        <v/>
      </c>
      <c r="AV342" s="583">
        <f t="shared" si="796"/>
        <v>0</v>
      </c>
      <c r="AW342" s="583">
        <f t="shared" si="797"/>
        <v>0</v>
      </c>
      <c r="AX342" s="583">
        <f t="shared" si="798"/>
        <v>0</v>
      </c>
      <c r="AY342" s="583">
        <f t="shared" si="799"/>
        <v>0</v>
      </c>
      <c r="AZ342" s="583">
        <f t="shared" si="800"/>
        <v>0</v>
      </c>
      <c r="BA342" s="583">
        <f t="shared" si="801"/>
        <v>0</v>
      </c>
      <c r="BB342" s="583">
        <f t="shared" si="802"/>
        <v>0</v>
      </c>
      <c r="BC342" s="583">
        <f t="shared" si="803"/>
        <v>0</v>
      </c>
      <c r="BD342" s="583">
        <f t="shared" si="804"/>
        <v>0</v>
      </c>
      <c r="BE342" s="583">
        <f t="shared" si="805"/>
        <v>0</v>
      </c>
      <c r="BF342" s="583">
        <f t="shared" si="806"/>
        <v>0</v>
      </c>
      <c r="BG342" s="583">
        <f t="shared" si="807"/>
        <v>0</v>
      </c>
      <c r="BH342" s="583">
        <f t="shared" si="808"/>
        <v>0</v>
      </c>
      <c r="BI342" s="583">
        <f t="shared" si="809"/>
        <v>0</v>
      </c>
      <c r="BJ342" s="583">
        <f t="shared" si="810"/>
        <v>0</v>
      </c>
      <c r="BK342" s="583">
        <f t="shared" si="811"/>
        <v>0</v>
      </c>
      <c r="BL342" s="583">
        <f t="shared" si="812"/>
        <v>0</v>
      </c>
      <c r="BM342" s="583">
        <f t="shared" si="813"/>
        <v>0</v>
      </c>
      <c r="BN342" s="583">
        <f t="shared" si="814"/>
        <v>0</v>
      </c>
      <c r="BO342" s="583">
        <f t="shared" si="815"/>
        <v>0</v>
      </c>
      <c r="BP342" s="583">
        <f t="shared" si="816"/>
        <v>0</v>
      </c>
      <c r="BQ342" s="583">
        <f t="shared" si="817"/>
        <v>0</v>
      </c>
      <c r="BR342" s="583">
        <f t="shared" si="818"/>
        <v>0</v>
      </c>
    </row>
    <row r="343" spans="1:70" s="229" customFormat="1" ht="15" customHeight="1">
      <c r="A343" s="643"/>
      <c r="D343" s="85"/>
      <c r="E343" s="576">
        <f t="shared" si="819"/>
        <v>100</v>
      </c>
      <c r="F343" s="1131"/>
      <c r="G343" s="406" t="s">
        <v>3054</v>
      </c>
      <c r="H343" s="1262" t="s">
        <v>3055</v>
      </c>
      <c r="I343" s="85">
        <v>0</v>
      </c>
      <c r="J343" s="682">
        <v>1</v>
      </c>
      <c r="K343" s="579" t="str">
        <f t="shared" si="793"/>
        <v/>
      </c>
      <c r="L343" s="580" t="str">
        <f>IF(H343="Select ingredient:","",IF(G343="","",_xlfn.IFNA(VLOOKUP($H343,Ingredient_prices!$E:$U,16,FALSE),0)))</f>
        <v/>
      </c>
      <c r="M343" s="848"/>
      <c r="N343" s="848"/>
      <c r="O343" s="648"/>
      <c r="P343" s="653"/>
      <c r="Q343" s="583">
        <f t="shared" si="794"/>
        <v>0</v>
      </c>
      <c r="R343" s="583">
        <f>VLOOKUP($H343,'CO2_emission+%_food_waste'!$A:$K,6,FALSE)*$Q343/100</f>
        <v>0</v>
      </c>
      <c r="S343" s="583">
        <f t="shared" si="795"/>
        <v>0</v>
      </c>
      <c r="T343" s="583" t="str">
        <f>IF(H343="Select ingredient:","",IF(G343="Select food category:","",_xlfn.IFNA(VLOOKUP($H343,Ingredient_prices!$E:$U,16,FALSE)*$Q343/1000,"not bought")))</f>
        <v/>
      </c>
      <c r="U343" s="583" t="str">
        <f>IF(G343="Select food category:","",_xlfn.IFNA(VLOOKUP($H343,Ingredient_prices!$E:$U,16,FALSE)*$R343/1000,"not bought"))</f>
        <v/>
      </c>
      <c r="V343" s="549">
        <f>VLOOKUP($H343,'CO2_emission+%_food_waste'!$A:$K,4,FALSE)*$Q343</f>
        <v>0</v>
      </c>
      <c r="W343" s="583">
        <f>VLOOKUP($H343,Nutrition_tables!$A:$N,10,FALSE)*$Q343/100</f>
        <v>0</v>
      </c>
      <c r="X343" s="583">
        <f>VLOOKUP($H343,Nutrition_tables!$A:$N,11,FALSE)*$Q343/100</f>
        <v>0</v>
      </c>
      <c r="Y343" s="583">
        <f>VLOOKUP($H343,Nutrition_tables!$A:$N,12,FALSE)*$Q343/100</f>
        <v>0</v>
      </c>
      <c r="Z343" s="583">
        <f>VLOOKUP($H343,Nutrition_tables!$A:$N,14,FALSE)*$Q343/100</f>
        <v>0</v>
      </c>
      <c r="AA343" s="583">
        <f>VLOOKUP($H343,Nutrition_tables!$A:$AF,13,FALSE)*$Q343/100</f>
        <v>0</v>
      </c>
      <c r="AB343" s="549">
        <f>VLOOKUP($H343,Nutrition_tables!$A:$AF,15,FALSE)*$Q343/100</f>
        <v>0</v>
      </c>
      <c r="AC343" s="583">
        <f>VLOOKUP($H343,Nutrition_tables!$A:$AF,16,FALSE)*$Q343/100</f>
        <v>0</v>
      </c>
      <c r="AD343" s="583">
        <f>VLOOKUP($H343,Nutrition_tables!$A:$AF,17,FALSE)*$Q343/100</f>
        <v>0</v>
      </c>
      <c r="AE343" s="583">
        <f>VLOOKUP($H343,Nutrition_tables!$A:$AF,18,FALSE)*$Q343/100</f>
        <v>0</v>
      </c>
      <c r="AF343" s="583">
        <f>VLOOKUP($H343,Nutrition_tables!$A:$AF,19,FALSE)*$Q343/100</f>
        <v>0</v>
      </c>
      <c r="AG343" s="583">
        <f>VLOOKUP($H343,Nutrition_tables!$A:$AF,20,FALSE)*$Q343/100</f>
        <v>0</v>
      </c>
      <c r="AH343" s="583">
        <f>VLOOKUP($H343,Nutrition_tables!$A:$AF,21,FALSE)*$Q343/100</f>
        <v>0</v>
      </c>
      <c r="AI343" s="583">
        <f>VLOOKUP($H343,Nutrition_tables!$A:$AF,22,FALSE)*$Q343/100</f>
        <v>0</v>
      </c>
      <c r="AJ343" s="549">
        <f>VLOOKUP($H343,Nutrition_tables!$A:$AF,23,FALSE)*$Q343/100</f>
        <v>0</v>
      </c>
      <c r="AK343" s="583">
        <f>VLOOKUP($H343,Nutrition_tables!$A:$AF,24,FALSE)*$Q343/100</f>
        <v>0</v>
      </c>
      <c r="AL343" s="583">
        <f>VLOOKUP($H343,Nutrition_tables!$A:$AF,25,FALSE)*$Q343/100</f>
        <v>0</v>
      </c>
      <c r="AM343" s="583">
        <f>VLOOKUP($H343,Nutrition_tables!$A:$AF,26,FALSE)*$Q343/100</f>
        <v>0</v>
      </c>
      <c r="AN343" s="583">
        <f>VLOOKUP($H343,Nutrition_tables!$A:$AF,27,FALSE)*$Q343/100</f>
        <v>0</v>
      </c>
      <c r="AO343" s="583">
        <f>VLOOKUP($H343,Nutrition_tables!$A:$AF,28,FALSE)*$Q343/100</f>
        <v>0</v>
      </c>
      <c r="AP343" s="583">
        <f>VLOOKUP($H343,Nutrition_tables!$A:$AF,29,FALSE)*$Q343/100</f>
        <v>0</v>
      </c>
      <c r="AQ343" s="583">
        <f>VLOOKUP($H343,Nutrition_tables!$A:$AF,30,FALSE)*$Q343/100</f>
        <v>0</v>
      </c>
      <c r="AR343" s="583">
        <f>VLOOKUP($H343,Nutrition_tables!$A:$AF,31,FALSE)*$Q343/100</f>
        <v>0</v>
      </c>
      <c r="AS343" s="549">
        <f>VLOOKUP($H343,Nutrition_tables!$A:$AF,32,FALSE)*$Q343/100</f>
        <v>0</v>
      </c>
      <c r="AT343" s="583" t="str">
        <f>IF(H343="Select ingredient:","",IF(G343="Select food category:","",IFERROR(VLOOKUP($H343,Ingredient_prices!$E:$W,17,FALSE)*$Q343/1000,"not bought")))</f>
        <v/>
      </c>
      <c r="AU343" s="583" t="str">
        <f>IF(H343="Select ingredient:","",IF(G343="Select food category:","",IFERROR(VLOOKUP($H343,Ingredient_prices!$E:$W,18,FALSE)*$Q343/1000,"not bought")))</f>
        <v/>
      </c>
      <c r="AV343" s="583">
        <f t="shared" si="796"/>
        <v>0</v>
      </c>
      <c r="AW343" s="583">
        <f t="shared" si="797"/>
        <v>0</v>
      </c>
      <c r="AX343" s="583">
        <f t="shared" si="798"/>
        <v>0</v>
      </c>
      <c r="AY343" s="583">
        <f t="shared" si="799"/>
        <v>0</v>
      </c>
      <c r="AZ343" s="583">
        <f t="shared" si="800"/>
        <v>0</v>
      </c>
      <c r="BA343" s="583">
        <f t="shared" si="801"/>
        <v>0</v>
      </c>
      <c r="BB343" s="583">
        <f t="shared" si="802"/>
        <v>0</v>
      </c>
      <c r="BC343" s="583">
        <f t="shared" si="803"/>
        <v>0</v>
      </c>
      <c r="BD343" s="583">
        <f t="shared" si="804"/>
        <v>0</v>
      </c>
      <c r="BE343" s="583">
        <f t="shared" si="805"/>
        <v>0</v>
      </c>
      <c r="BF343" s="583">
        <f t="shared" si="806"/>
        <v>0</v>
      </c>
      <c r="BG343" s="583">
        <f t="shared" si="807"/>
        <v>0</v>
      </c>
      <c r="BH343" s="583">
        <f t="shared" si="808"/>
        <v>0</v>
      </c>
      <c r="BI343" s="583">
        <f t="shared" si="809"/>
        <v>0</v>
      </c>
      <c r="BJ343" s="583">
        <f t="shared" si="810"/>
        <v>0</v>
      </c>
      <c r="BK343" s="583">
        <f t="shared" si="811"/>
        <v>0</v>
      </c>
      <c r="BL343" s="583">
        <f t="shared" si="812"/>
        <v>0</v>
      </c>
      <c r="BM343" s="583">
        <f t="shared" si="813"/>
        <v>0</v>
      </c>
      <c r="BN343" s="583">
        <f t="shared" si="814"/>
        <v>0</v>
      </c>
      <c r="BO343" s="583">
        <f t="shared" si="815"/>
        <v>0</v>
      </c>
      <c r="BP343" s="583">
        <f t="shared" si="816"/>
        <v>0</v>
      </c>
      <c r="BQ343" s="583">
        <f t="shared" si="817"/>
        <v>0</v>
      </c>
      <c r="BR343" s="583">
        <f t="shared" si="818"/>
        <v>0</v>
      </c>
    </row>
    <row r="344" spans="1:70" s="229" customFormat="1" ht="15" customHeight="1">
      <c r="A344" s="643"/>
      <c r="D344" s="85"/>
      <c r="E344" s="576">
        <f t="shared" si="819"/>
        <v>100</v>
      </c>
      <c r="F344" s="1131"/>
      <c r="G344" s="406" t="s">
        <v>3054</v>
      </c>
      <c r="H344" s="1262" t="s">
        <v>3055</v>
      </c>
      <c r="I344" s="85">
        <v>0</v>
      </c>
      <c r="J344" s="682">
        <v>1</v>
      </c>
      <c r="K344" s="579" t="str">
        <f t="shared" si="793"/>
        <v/>
      </c>
      <c r="L344" s="580" t="str">
        <f>IF(H344="Select ingredient:","",IF(G344="","",_xlfn.IFNA(VLOOKUP($H344,Ingredient_prices!$E:$U,16,FALSE),0)))</f>
        <v/>
      </c>
      <c r="M344" s="848"/>
      <c r="N344" s="848"/>
      <c r="O344" s="648"/>
      <c r="P344" s="653"/>
      <c r="Q344" s="583">
        <f t="shared" si="794"/>
        <v>0</v>
      </c>
      <c r="R344" s="583">
        <f>VLOOKUP($H344,'CO2_emission+%_food_waste'!$A:$K,6,FALSE)*$Q344/100</f>
        <v>0</v>
      </c>
      <c r="S344" s="583">
        <f t="shared" si="795"/>
        <v>0</v>
      </c>
      <c r="T344" s="583" t="str">
        <f>IF(H344="Select ingredient:","",IF(G344="Select food category:","",_xlfn.IFNA(VLOOKUP($H344,Ingredient_prices!$E:$U,16,FALSE)*$Q344/1000,"not bought")))</f>
        <v/>
      </c>
      <c r="U344" s="583" t="str">
        <f>IF(G344="Select food category:","",_xlfn.IFNA(VLOOKUP($H344,Ingredient_prices!$E:$U,16,FALSE)*$R344/1000,"not bought"))</f>
        <v/>
      </c>
      <c r="V344" s="549">
        <f>VLOOKUP($H344,'CO2_emission+%_food_waste'!$A:$K,4,FALSE)*$Q344</f>
        <v>0</v>
      </c>
      <c r="W344" s="583">
        <f>VLOOKUP($H344,Nutrition_tables!$A:$N,10,FALSE)*$Q344/100</f>
        <v>0</v>
      </c>
      <c r="X344" s="583">
        <f>VLOOKUP($H344,Nutrition_tables!$A:$N,11,FALSE)*$Q344/100</f>
        <v>0</v>
      </c>
      <c r="Y344" s="583">
        <f>VLOOKUP($H344,Nutrition_tables!$A:$N,12,FALSE)*$Q344/100</f>
        <v>0</v>
      </c>
      <c r="Z344" s="583">
        <f>VLOOKUP($H344,Nutrition_tables!$A:$N,14,FALSE)*$Q344/100</f>
        <v>0</v>
      </c>
      <c r="AA344" s="583">
        <f>VLOOKUP($H344,Nutrition_tables!$A:$AF,13,FALSE)*$Q344/100</f>
        <v>0</v>
      </c>
      <c r="AB344" s="549">
        <f>VLOOKUP($H344,Nutrition_tables!$A:$AF,15,FALSE)*$Q344/100</f>
        <v>0</v>
      </c>
      <c r="AC344" s="583">
        <f>VLOOKUP($H344,Nutrition_tables!$A:$AF,16,FALSE)*$Q344/100</f>
        <v>0</v>
      </c>
      <c r="AD344" s="583">
        <f>VLOOKUP($H344,Nutrition_tables!$A:$AF,17,FALSE)*$Q344/100</f>
        <v>0</v>
      </c>
      <c r="AE344" s="583">
        <f>VLOOKUP($H344,Nutrition_tables!$A:$AF,18,FALSE)*$Q344/100</f>
        <v>0</v>
      </c>
      <c r="AF344" s="583">
        <f>VLOOKUP($H344,Nutrition_tables!$A:$AF,19,FALSE)*$Q344/100</f>
        <v>0</v>
      </c>
      <c r="AG344" s="583">
        <f>VLOOKUP($H344,Nutrition_tables!$A:$AF,20,FALSE)*$Q344/100</f>
        <v>0</v>
      </c>
      <c r="AH344" s="583">
        <f>VLOOKUP($H344,Nutrition_tables!$A:$AF,21,FALSE)*$Q344/100</f>
        <v>0</v>
      </c>
      <c r="AI344" s="583">
        <f>VLOOKUP($H344,Nutrition_tables!$A:$AF,22,FALSE)*$Q344/100</f>
        <v>0</v>
      </c>
      <c r="AJ344" s="549">
        <f>VLOOKUP($H344,Nutrition_tables!$A:$AF,23,FALSE)*$Q344/100</f>
        <v>0</v>
      </c>
      <c r="AK344" s="583">
        <f>VLOOKUP($H344,Nutrition_tables!$A:$AF,24,FALSE)*$Q344/100</f>
        <v>0</v>
      </c>
      <c r="AL344" s="583">
        <f>VLOOKUP($H344,Nutrition_tables!$A:$AF,25,FALSE)*$Q344/100</f>
        <v>0</v>
      </c>
      <c r="AM344" s="583">
        <f>VLOOKUP($H344,Nutrition_tables!$A:$AF,26,FALSE)*$Q344/100</f>
        <v>0</v>
      </c>
      <c r="AN344" s="583">
        <f>VLOOKUP($H344,Nutrition_tables!$A:$AF,27,FALSE)*$Q344/100</f>
        <v>0</v>
      </c>
      <c r="AO344" s="583">
        <f>VLOOKUP($H344,Nutrition_tables!$A:$AF,28,FALSE)*$Q344/100</f>
        <v>0</v>
      </c>
      <c r="AP344" s="583">
        <f>VLOOKUP($H344,Nutrition_tables!$A:$AF,29,FALSE)*$Q344/100</f>
        <v>0</v>
      </c>
      <c r="AQ344" s="583">
        <f>VLOOKUP($H344,Nutrition_tables!$A:$AF,30,FALSE)*$Q344/100</f>
        <v>0</v>
      </c>
      <c r="AR344" s="583">
        <f>VLOOKUP($H344,Nutrition_tables!$A:$AF,31,FALSE)*$Q344/100</f>
        <v>0</v>
      </c>
      <c r="AS344" s="549">
        <f>VLOOKUP($H344,Nutrition_tables!$A:$AF,32,FALSE)*$Q344/100</f>
        <v>0</v>
      </c>
      <c r="AT344" s="583" t="str">
        <f>IF(H344="Select ingredient:","",IF(G344="Select food category:","",IFERROR(VLOOKUP($H344,Ingredient_prices!$E:$W,17,FALSE)*$Q344/1000,"not bought")))</f>
        <v/>
      </c>
      <c r="AU344" s="583" t="str">
        <f>IF(H344="Select ingredient:","",IF(G344="Select food category:","",IFERROR(VLOOKUP($H344,Ingredient_prices!$E:$W,18,FALSE)*$Q344/1000,"not bought")))</f>
        <v/>
      </c>
      <c r="AV344" s="583">
        <f t="shared" si="796"/>
        <v>0</v>
      </c>
      <c r="AW344" s="583">
        <f t="shared" si="797"/>
        <v>0</v>
      </c>
      <c r="AX344" s="583">
        <f t="shared" si="798"/>
        <v>0</v>
      </c>
      <c r="AY344" s="583">
        <f t="shared" si="799"/>
        <v>0</v>
      </c>
      <c r="AZ344" s="583">
        <f t="shared" si="800"/>
        <v>0</v>
      </c>
      <c r="BA344" s="583">
        <f t="shared" si="801"/>
        <v>0</v>
      </c>
      <c r="BB344" s="583">
        <f t="shared" si="802"/>
        <v>0</v>
      </c>
      <c r="BC344" s="583">
        <f t="shared" si="803"/>
        <v>0</v>
      </c>
      <c r="BD344" s="583">
        <f t="shared" si="804"/>
        <v>0</v>
      </c>
      <c r="BE344" s="583">
        <f t="shared" si="805"/>
        <v>0</v>
      </c>
      <c r="BF344" s="583">
        <f t="shared" si="806"/>
        <v>0</v>
      </c>
      <c r="BG344" s="583">
        <f t="shared" si="807"/>
        <v>0</v>
      </c>
      <c r="BH344" s="583">
        <f t="shared" si="808"/>
        <v>0</v>
      </c>
      <c r="BI344" s="583">
        <f t="shared" si="809"/>
        <v>0</v>
      </c>
      <c r="BJ344" s="583">
        <f t="shared" si="810"/>
        <v>0</v>
      </c>
      <c r="BK344" s="583">
        <f t="shared" si="811"/>
        <v>0</v>
      </c>
      <c r="BL344" s="583">
        <f t="shared" si="812"/>
        <v>0</v>
      </c>
      <c r="BM344" s="583">
        <f t="shared" si="813"/>
        <v>0</v>
      </c>
      <c r="BN344" s="583">
        <f t="shared" si="814"/>
        <v>0</v>
      </c>
      <c r="BO344" s="583">
        <f t="shared" si="815"/>
        <v>0</v>
      </c>
      <c r="BP344" s="583">
        <f t="shared" si="816"/>
        <v>0</v>
      </c>
      <c r="BQ344" s="583">
        <f t="shared" si="817"/>
        <v>0</v>
      </c>
      <c r="BR344" s="583">
        <f t="shared" si="818"/>
        <v>0</v>
      </c>
    </row>
    <row r="345" spans="1:70" s="229" customFormat="1" ht="15" customHeight="1">
      <c r="A345" s="643"/>
      <c r="D345" s="85"/>
      <c r="E345" s="576">
        <f t="shared" si="819"/>
        <v>100</v>
      </c>
      <c r="F345" s="1131"/>
      <c r="G345" s="406" t="s">
        <v>3054</v>
      </c>
      <c r="H345" s="1262" t="s">
        <v>3055</v>
      </c>
      <c r="I345" s="85">
        <v>0</v>
      </c>
      <c r="J345" s="682">
        <v>1</v>
      </c>
      <c r="K345" s="579" t="str">
        <f t="shared" si="793"/>
        <v/>
      </c>
      <c r="L345" s="580" t="str">
        <f>IF(H345="Select ingredient:","",IF(G345="","",_xlfn.IFNA(VLOOKUP($H345,Ingredient_prices!$E:$U,16,FALSE),0)))</f>
        <v/>
      </c>
      <c r="M345" s="848"/>
      <c r="N345" s="848"/>
      <c r="O345" s="648"/>
      <c r="P345" s="653"/>
      <c r="Q345" s="583">
        <f t="shared" si="794"/>
        <v>0</v>
      </c>
      <c r="R345" s="583">
        <f>VLOOKUP($H345,'CO2_emission+%_food_waste'!$A:$K,6,FALSE)*$Q345/100</f>
        <v>0</v>
      </c>
      <c r="S345" s="583">
        <f t="shared" si="795"/>
        <v>0</v>
      </c>
      <c r="T345" s="583" t="str">
        <f>IF(H345="Select ingredient:","",IF(G345="Select food category:","",_xlfn.IFNA(VLOOKUP($H345,Ingredient_prices!$E:$U,16,FALSE)*$Q345/1000,"not bought")))</f>
        <v/>
      </c>
      <c r="U345" s="583" t="str">
        <f>IF(G345="Select food category:","",_xlfn.IFNA(VLOOKUP($H345,Ingredient_prices!$E:$U,16,FALSE)*$R345/1000,"not bought"))</f>
        <v/>
      </c>
      <c r="V345" s="549">
        <f>VLOOKUP($H345,'CO2_emission+%_food_waste'!$A:$K,4,FALSE)*$Q345</f>
        <v>0</v>
      </c>
      <c r="W345" s="583">
        <f>VLOOKUP($H345,Nutrition_tables!$A:$N,10,FALSE)*$Q345/100</f>
        <v>0</v>
      </c>
      <c r="X345" s="583">
        <f>VLOOKUP($H345,Nutrition_tables!$A:$N,11,FALSE)*$Q345/100</f>
        <v>0</v>
      </c>
      <c r="Y345" s="583">
        <f>VLOOKUP($H345,Nutrition_tables!$A:$N,12,FALSE)*$Q345/100</f>
        <v>0</v>
      </c>
      <c r="Z345" s="583">
        <f>VLOOKUP($H345,Nutrition_tables!$A:$N,14,FALSE)*$Q345/100</f>
        <v>0</v>
      </c>
      <c r="AA345" s="583">
        <f>VLOOKUP($H345,Nutrition_tables!$A:$AF,13,FALSE)*$Q345/100</f>
        <v>0</v>
      </c>
      <c r="AB345" s="549">
        <f>VLOOKUP($H345,Nutrition_tables!$A:$AF,15,FALSE)*$Q345/100</f>
        <v>0</v>
      </c>
      <c r="AC345" s="583">
        <f>VLOOKUP($H345,Nutrition_tables!$A:$AF,16,FALSE)*$Q345/100</f>
        <v>0</v>
      </c>
      <c r="AD345" s="583">
        <f>VLOOKUP($H345,Nutrition_tables!$A:$AF,17,FALSE)*$Q345/100</f>
        <v>0</v>
      </c>
      <c r="AE345" s="583">
        <f>VLOOKUP($H345,Nutrition_tables!$A:$AF,18,FALSE)*$Q345/100</f>
        <v>0</v>
      </c>
      <c r="AF345" s="583">
        <f>VLOOKUP($H345,Nutrition_tables!$A:$AF,19,FALSE)*$Q345/100</f>
        <v>0</v>
      </c>
      <c r="AG345" s="583">
        <f>VLOOKUP($H345,Nutrition_tables!$A:$AF,20,FALSE)*$Q345/100</f>
        <v>0</v>
      </c>
      <c r="AH345" s="583">
        <f>VLOOKUP($H345,Nutrition_tables!$A:$AF,21,FALSE)*$Q345/100</f>
        <v>0</v>
      </c>
      <c r="AI345" s="583">
        <f>VLOOKUP($H345,Nutrition_tables!$A:$AF,22,FALSE)*$Q345/100</f>
        <v>0</v>
      </c>
      <c r="AJ345" s="549">
        <f>VLOOKUP($H345,Nutrition_tables!$A:$AF,23,FALSE)*$Q345/100</f>
        <v>0</v>
      </c>
      <c r="AK345" s="583">
        <f>VLOOKUP($H345,Nutrition_tables!$A:$AF,24,FALSE)*$Q345/100</f>
        <v>0</v>
      </c>
      <c r="AL345" s="583">
        <f>VLOOKUP($H345,Nutrition_tables!$A:$AF,25,FALSE)*$Q345/100</f>
        <v>0</v>
      </c>
      <c r="AM345" s="583">
        <f>VLOOKUP($H345,Nutrition_tables!$A:$AF,26,FALSE)*$Q345/100</f>
        <v>0</v>
      </c>
      <c r="AN345" s="583">
        <f>VLOOKUP($H345,Nutrition_tables!$A:$AF,27,FALSE)*$Q345/100</f>
        <v>0</v>
      </c>
      <c r="AO345" s="583">
        <f>VLOOKUP($H345,Nutrition_tables!$A:$AF,28,FALSE)*$Q345/100</f>
        <v>0</v>
      </c>
      <c r="AP345" s="583">
        <f>VLOOKUP($H345,Nutrition_tables!$A:$AF,29,FALSE)*$Q345/100</f>
        <v>0</v>
      </c>
      <c r="AQ345" s="583">
        <f>VLOOKUP($H345,Nutrition_tables!$A:$AF,30,FALSE)*$Q345/100</f>
        <v>0</v>
      </c>
      <c r="AR345" s="583">
        <f>VLOOKUP($H345,Nutrition_tables!$A:$AF,31,FALSE)*$Q345/100</f>
        <v>0</v>
      </c>
      <c r="AS345" s="549">
        <f>VLOOKUP($H345,Nutrition_tables!$A:$AF,32,FALSE)*$Q345/100</f>
        <v>0</v>
      </c>
      <c r="AT345" s="583" t="str">
        <f>IF(H345="Select ingredient:","",IF(G345="Select food category:","",IFERROR(VLOOKUP($H345,Ingredient_prices!$E:$W,17,FALSE)*$Q345/1000,"not bought")))</f>
        <v/>
      </c>
      <c r="AU345" s="583" t="str">
        <f>IF(H345="Select ingredient:","",IF(G345="Select food category:","",IFERROR(VLOOKUP($H345,Ingredient_prices!$E:$W,18,FALSE)*$Q345/1000,"not bought")))</f>
        <v/>
      </c>
      <c r="AV345" s="583">
        <f t="shared" si="796"/>
        <v>0</v>
      </c>
      <c r="AW345" s="583">
        <f t="shared" si="797"/>
        <v>0</v>
      </c>
      <c r="AX345" s="583">
        <f t="shared" si="798"/>
        <v>0</v>
      </c>
      <c r="AY345" s="583">
        <f t="shared" si="799"/>
        <v>0</v>
      </c>
      <c r="AZ345" s="583">
        <f t="shared" si="800"/>
        <v>0</v>
      </c>
      <c r="BA345" s="583">
        <f t="shared" si="801"/>
        <v>0</v>
      </c>
      <c r="BB345" s="583">
        <f t="shared" si="802"/>
        <v>0</v>
      </c>
      <c r="BC345" s="583">
        <f t="shared" si="803"/>
        <v>0</v>
      </c>
      <c r="BD345" s="583">
        <f t="shared" si="804"/>
        <v>0</v>
      </c>
      <c r="BE345" s="583">
        <f t="shared" si="805"/>
        <v>0</v>
      </c>
      <c r="BF345" s="583">
        <f t="shared" si="806"/>
        <v>0</v>
      </c>
      <c r="BG345" s="583">
        <f t="shared" si="807"/>
        <v>0</v>
      </c>
      <c r="BH345" s="583">
        <f t="shared" si="808"/>
        <v>0</v>
      </c>
      <c r="BI345" s="583">
        <f t="shared" si="809"/>
        <v>0</v>
      </c>
      <c r="BJ345" s="583">
        <f t="shared" si="810"/>
        <v>0</v>
      </c>
      <c r="BK345" s="583">
        <f t="shared" si="811"/>
        <v>0</v>
      </c>
      <c r="BL345" s="583">
        <f t="shared" si="812"/>
        <v>0</v>
      </c>
      <c r="BM345" s="583">
        <f t="shared" si="813"/>
        <v>0</v>
      </c>
      <c r="BN345" s="583">
        <f t="shared" si="814"/>
        <v>0</v>
      </c>
      <c r="BO345" s="583">
        <f t="shared" si="815"/>
        <v>0</v>
      </c>
      <c r="BP345" s="583">
        <f t="shared" si="816"/>
        <v>0</v>
      </c>
      <c r="BQ345" s="583">
        <f t="shared" si="817"/>
        <v>0</v>
      </c>
      <c r="BR345" s="583">
        <f t="shared" si="818"/>
        <v>0</v>
      </c>
    </row>
    <row r="346" spans="1:70" s="229" customFormat="1" ht="15" customHeight="1">
      <c r="A346" s="643"/>
      <c r="D346" s="85"/>
      <c r="E346" s="576">
        <f t="shared" si="819"/>
        <v>100</v>
      </c>
      <c r="F346" s="1131"/>
      <c r="G346" s="406" t="s">
        <v>3054</v>
      </c>
      <c r="H346" s="1262" t="s">
        <v>3055</v>
      </c>
      <c r="I346" s="85">
        <v>0</v>
      </c>
      <c r="J346" s="682">
        <v>1</v>
      </c>
      <c r="K346" s="579" t="str">
        <f t="shared" si="793"/>
        <v/>
      </c>
      <c r="L346" s="580" t="str">
        <f>IF(H346="Select ingredient:","",IF(G346="","",_xlfn.IFNA(VLOOKUP($H346,Ingredient_prices!$E:$U,16,FALSE),0)))</f>
        <v/>
      </c>
      <c r="M346" s="848"/>
      <c r="N346" s="848"/>
      <c r="O346" s="648"/>
      <c r="P346" s="653"/>
      <c r="Q346" s="583">
        <f t="shared" si="794"/>
        <v>0</v>
      </c>
      <c r="R346" s="583">
        <f>VLOOKUP($H346,'CO2_emission+%_food_waste'!$A:$K,6,FALSE)*$Q346/100</f>
        <v>0</v>
      </c>
      <c r="S346" s="583">
        <f t="shared" si="795"/>
        <v>0</v>
      </c>
      <c r="T346" s="583" t="str">
        <f>IF(H346="Select ingredient:","",IF(G346="Select food category:","",_xlfn.IFNA(VLOOKUP($H346,Ingredient_prices!$E:$U,16,FALSE)*$Q346/1000,"not bought")))</f>
        <v/>
      </c>
      <c r="U346" s="583" t="str">
        <f>IF(G346="Select food category:","",_xlfn.IFNA(VLOOKUP($H346,Ingredient_prices!$E:$U,16,FALSE)*$R346/1000,"not bought"))</f>
        <v/>
      </c>
      <c r="V346" s="549">
        <f>VLOOKUP($H346,'CO2_emission+%_food_waste'!$A:$K,4,FALSE)*$Q346</f>
        <v>0</v>
      </c>
      <c r="W346" s="583">
        <f>VLOOKUP($H346,Nutrition_tables!$A:$N,10,FALSE)*$Q346/100</f>
        <v>0</v>
      </c>
      <c r="X346" s="583">
        <f>VLOOKUP($H346,Nutrition_tables!$A:$N,11,FALSE)*$Q346/100</f>
        <v>0</v>
      </c>
      <c r="Y346" s="583">
        <f>VLOOKUP($H346,Nutrition_tables!$A:$N,12,FALSE)*$Q346/100</f>
        <v>0</v>
      </c>
      <c r="Z346" s="583">
        <f>VLOOKUP($H346,Nutrition_tables!$A:$N,14,FALSE)*$Q346/100</f>
        <v>0</v>
      </c>
      <c r="AA346" s="583">
        <f>VLOOKUP($H346,Nutrition_tables!$A:$AF,13,FALSE)*$Q346/100</f>
        <v>0</v>
      </c>
      <c r="AB346" s="549">
        <f>VLOOKUP($H346,Nutrition_tables!$A:$AF,15,FALSE)*$Q346/100</f>
        <v>0</v>
      </c>
      <c r="AC346" s="583">
        <f>VLOOKUP($H346,Nutrition_tables!$A:$AF,16,FALSE)*$Q346/100</f>
        <v>0</v>
      </c>
      <c r="AD346" s="583">
        <f>VLOOKUP($H346,Nutrition_tables!$A:$AF,17,FALSE)*$Q346/100</f>
        <v>0</v>
      </c>
      <c r="AE346" s="583">
        <f>VLOOKUP($H346,Nutrition_tables!$A:$AF,18,FALSE)*$Q346/100</f>
        <v>0</v>
      </c>
      <c r="AF346" s="583">
        <f>VLOOKUP($H346,Nutrition_tables!$A:$AF,19,FALSE)*$Q346/100</f>
        <v>0</v>
      </c>
      <c r="AG346" s="583">
        <f>VLOOKUP($H346,Nutrition_tables!$A:$AF,20,FALSE)*$Q346/100</f>
        <v>0</v>
      </c>
      <c r="AH346" s="583">
        <f>VLOOKUP($H346,Nutrition_tables!$A:$AF,21,FALSE)*$Q346/100</f>
        <v>0</v>
      </c>
      <c r="AI346" s="583">
        <f>VLOOKUP($H346,Nutrition_tables!$A:$AF,22,FALSE)*$Q346/100</f>
        <v>0</v>
      </c>
      <c r="AJ346" s="549">
        <f>VLOOKUP($H346,Nutrition_tables!$A:$AF,23,FALSE)*$Q346/100</f>
        <v>0</v>
      </c>
      <c r="AK346" s="583">
        <f>VLOOKUP($H346,Nutrition_tables!$A:$AF,24,FALSE)*$Q346/100</f>
        <v>0</v>
      </c>
      <c r="AL346" s="583">
        <f>VLOOKUP($H346,Nutrition_tables!$A:$AF,25,FALSE)*$Q346/100</f>
        <v>0</v>
      </c>
      <c r="AM346" s="583">
        <f>VLOOKUP($H346,Nutrition_tables!$A:$AF,26,FALSE)*$Q346/100</f>
        <v>0</v>
      </c>
      <c r="AN346" s="583">
        <f>VLOOKUP($H346,Nutrition_tables!$A:$AF,27,FALSE)*$Q346/100</f>
        <v>0</v>
      </c>
      <c r="AO346" s="583">
        <f>VLOOKUP($H346,Nutrition_tables!$A:$AF,28,FALSE)*$Q346/100</f>
        <v>0</v>
      </c>
      <c r="AP346" s="583">
        <f>VLOOKUP($H346,Nutrition_tables!$A:$AF,29,FALSE)*$Q346/100</f>
        <v>0</v>
      </c>
      <c r="AQ346" s="583">
        <f>VLOOKUP($H346,Nutrition_tables!$A:$AF,30,FALSE)*$Q346/100</f>
        <v>0</v>
      </c>
      <c r="AR346" s="583">
        <f>VLOOKUP($H346,Nutrition_tables!$A:$AF,31,FALSE)*$Q346/100</f>
        <v>0</v>
      </c>
      <c r="AS346" s="549">
        <f>VLOOKUP($H346,Nutrition_tables!$A:$AF,32,FALSE)*$Q346/100</f>
        <v>0</v>
      </c>
      <c r="AT346" s="583" t="str">
        <f>IF(H346="Select ingredient:","",IF(G346="Select food category:","",IFERROR(VLOOKUP($H346,Ingredient_prices!$E:$W,17,FALSE)*$Q346/1000,"not bought")))</f>
        <v/>
      </c>
      <c r="AU346" s="583" t="str">
        <f>IF(H346="Select ingredient:","",IF(G346="Select food category:","",IFERROR(VLOOKUP($H346,Ingredient_prices!$E:$W,18,FALSE)*$Q346/1000,"not bought")))</f>
        <v/>
      </c>
      <c r="AV346" s="583">
        <f t="shared" si="796"/>
        <v>0</v>
      </c>
      <c r="AW346" s="583">
        <f t="shared" si="797"/>
        <v>0</v>
      </c>
      <c r="AX346" s="583">
        <f t="shared" si="798"/>
        <v>0</v>
      </c>
      <c r="AY346" s="583">
        <f t="shared" si="799"/>
        <v>0</v>
      </c>
      <c r="AZ346" s="583">
        <f t="shared" si="800"/>
        <v>0</v>
      </c>
      <c r="BA346" s="583">
        <f t="shared" si="801"/>
        <v>0</v>
      </c>
      <c r="BB346" s="583">
        <f t="shared" si="802"/>
        <v>0</v>
      </c>
      <c r="BC346" s="583">
        <f t="shared" si="803"/>
        <v>0</v>
      </c>
      <c r="BD346" s="583">
        <f t="shared" si="804"/>
        <v>0</v>
      </c>
      <c r="BE346" s="583">
        <f t="shared" si="805"/>
        <v>0</v>
      </c>
      <c r="BF346" s="583">
        <f t="shared" si="806"/>
        <v>0</v>
      </c>
      <c r="BG346" s="583">
        <f t="shared" si="807"/>
        <v>0</v>
      </c>
      <c r="BH346" s="583">
        <f t="shared" si="808"/>
        <v>0</v>
      </c>
      <c r="BI346" s="583">
        <f t="shared" si="809"/>
        <v>0</v>
      </c>
      <c r="BJ346" s="583">
        <f t="shared" si="810"/>
        <v>0</v>
      </c>
      <c r="BK346" s="583">
        <f t="shared" si="811"/>
        <v>0</v>
      </c>
      <c r="BL346" s="583">
        <f t="shared" si="812"/>
        <v>0</v>
      </c>
      <c r="BM346" s="583">
        <f t="shared" si="813"/>
        <v>0</v>
      </c>
      <c r="BN346" s="583">
        <f t="shared" si="814"/>
        <v>0</v>
      </c>
      <c r="BO346" s="583">
        <f t="shared" si="815"/>
        <v>0</v>
      </c>
      <c r="BP346" s="583">
        <f t="shared" si="816"/>
        <v>0</v>
      </c>
      <c r="BQ346" s="583">
        <f t="shared" si="817"/>
        <v>0</v>
      </c>
      <c r="BR346" s="583">
        <f t="shared" si="818"/>
        <v>0</v>
      </c>
    </row>
    <row r="347" spans="1:70" s="603" customFormat="1" ht="56">
      <c r="A347" s="643"/>
      <c r="B347" s="593"/>
      <c r="C347" s="522"/>
      <c r="D347" s="141"/>
      <c r="E347" s="594"/>
      <c r="F347" s="708"/>
      <c r="G347" s="522"/>
      <c r="H347" s="522"/>
      <c r="I347" s="86"/>
      <c r="J347" s="87"/>
      <c r="K347" s="595"/>
      <c r="L347" s="596"/>
      <c r="M347" s="849"/>
      <c r="N347" s="849"/>
      <c r="O347" s="648"/>
      <c r="P347" s="654"/>
      <c r="Q347" s="599" t="s">
        <v>384</v>
      </c>
      <c r="R347" s="600" t="s">
        <v>455</v>
      </c>
      <c r="S347" s="600" t="s">
        <v>2087</v>
      </c>
      <c r="T347" s="600" t="s">
        <v>456</v>
      </c>
      <c r="U347" s="600" t="s">
        <v>535</v>
      </c>
      <c r="V347" s="601" t="s">
        <v>457</v>
      </c>
      <c r="W347" s="600" t="s">
        <v>75</v>
      </c>
      <c r="X347" s="600" t="s">
        <v>385</v>
      </c>
      <c r="Y347" s="600" t="s">
        <v>386</v>
      </c>
      <c r="Z347" s="600" t="s">
        <v>387</v>
      </c>
      <c r="AA347" s="600" t="s">
        <v>388</v>
      </c>
      <c r="AB347" s="601" t="s">
        <v>389</v>
      </c>
      <c r="AC347" s="602" t="s">
        <v>390</v>
      </c>
      <c r="AD347" s="600" t="s">
        <v>391</v>
      </c>
      <c r="AE347" s="600" t="s">
        <v>392</v>
      </c>
      <c r="AF347" s="600" t="s">
        <v>393</v>
      </c>
      <c r="AG347" s="600" t="s">
        <v>394</v>
      </c>
      <c r="AH347" s="600" t="s">
        <v>395</v>
      </c>
      <c r="AI347" s="600" t="s">
        <v>396</v>
      </c>
      <c r="AJ347" s="601" t="s">
        <v>397</v>
      </c>
      <c r="AK347" s="602" t="s">
        <v>398</v>
      </c>
      <c r="AL347" s="600" t="s">
        <v>399</v>
      </c>
      <c r="AM347" s="600" t="s">
        <v>400</v>
      </c>
      <c r="AN347" s="600" t="s">
        <v>401</v>
      </c>
      <c r="AO347" s="600" t="s">
        <v>402</v>
      </c>
      <c r="AP347" s="600" t="s">
        <v>406</v>
      </c>
      <c r="AQ347" s="600" t="s">
        <v>405</v>
      </c>
      <c r="AR347" s="600" t="s">
        <v>403</v>
      </c>
      <c r="AS347" s="601" t="s">
        <v>404</v>
      </c>
      <c r="AT347" s="593"/>
      <c r="AU347" s="593"/>
    </row>
    <row r="348" spans="1:70" s="229" customFormat="1">
      <c r="A348" s="643"/>
      <c r="B348" s="522"/>
      <c r="C348" s="522"/>
      <c r="D348" s="141"/>
      <c r="E348" s="594"/>
      <c r="F348" s="708"/>
      <c r="G348" s="522"/>
      <c r="H348" s="522"/>
      <c r="I348" s="86"/>
      <c r="J348" s="87"/>
      <c r="K348" s="595"/>
      <c r="L348" s="596"/>
      <c r="M348" s="849"/>
      <c r="N348" s="849"/>
      <c r="O348" s="648"/>
      <c r="P348" s="655" t="s">
        <v>383</v>
      </c>
      <c r="Q348" s="583">
        <f t="shared" ref="Q348:AU348" si="820">SUM(Q335:Q346)</f>
        <v>170</v>
      </c>
      <c r="R348" s="583">
        <f t="shared" si="820"/>
        <v>-1.7000000000000001E-4</v>
      </c>
      <c r="S348" s="583">
        <f>SUM(S335:S346)</f>
        <v>170.00017</v>
      </c>
      <c r="T348" s="583">
        <f t="shared" ref="T348:U348" si="821">SUM(T335:T346)</f>
        <v>26.835416666666667</v>
      </c>
      <c r="U348" s="583">
        <f t="shared" si="821"/>
        <v>-2.6835416666666671E-5</v>
      </c>
      <c r="V348" s="549">
        <f t="shared" si="820"/>
        <v>268.39999999999998</v>
      </c>
      <c r="W348" s="583">
        <f t="shared" si="820"/>
        <v>355.1</v>
      </c>
      <c r="X348" s="583">
        <f t="shared" si="820"/>
        <v>35.299999999999997</v>
      </c>
      <c r="Y348" s="583">
        <f t="shared" si="820"/>
        <v>7.1</v>
      </c>
      <c r="Z348" s="583">
        <f t="shared" si="820"/>
        <v>18.57</v>
      </c>
      <c r="AA348" s="583">
        <f t="shared" si="820"/>
        <v>0.56419999999999992</v>
      </c>
      <c r="AB348" s="549">
        <f t="shared" si="820"/>
        <v>0.69719999999999993</v>
      </c>
      <c r="AC348" s="583">
        <f t="shared" si="820"/>
        <v>42.797199999999997</v>
      </c>
      <c r="AD348" s="583">
        <f t="shared" si="820"/>
        <v>153.99719999999999</v>
      </c>
      <c r="AE348" s="583">
        <f t="shared" si="820"/>
        <v>10.7972</v>
      </c>
      <c r="AF348" s="583">
        <f t="shared" si="820"/>
        <v>17.997199999999999</v>
      </c>
      <c r="AG348" s="583">
        <f t="shared" si="820"/>
        <v>88.997200000000007</v>
      </c>
      <c r="AH348" s="583">
        <f t="shared" si="820"/>
        <v>0.2402</v>
      </c>
      <c r="AI348" s="583">
        <f t="shared" si="820"/>
        <v>0.45020000000000004</v>
      </c>
      <c r="AJ348" s="549">
        <f t="shared" si="820"/>
        <v>0.12472</v>
      </c>
      <c r="AK348" s="583">
        <f t="shared" si="820"/>
        <v>25.997199999999999</v>
      </c>
      <c r="AL348" s="583">
        <f t="shared" si="820"/>
        <v>3.7000000000000005E-2</v>
      </c>
      <c r="AM348" s="583">
        <f t="shared" si="820"/>
        <v>0.16620000000000001</v>
      </c>
      <c r="AN348" s="583">
        <f t="shared" si="820"/>
        <v>0.1482</v>
      </c>
      <c r="AO348" s="583">
        <f t="shared" si="820"/>
        <v>2.5700000000000001E-2</v>
      </c>
      <c r="AP348" s="583">
        <f t="shared" si="820"/>
        <v>2.7971999999999997</v>
      </c>
      <c r="AQ348" s="583">
        <f t="shared" si="820"/>
        <v>0.20471999999999999</v>
      </c>
      <c r="AR348" s="583">
        <f t="shared" si="820"/>
        <v>-2.8000000000000004E-3</v>
      </c>
      <c r="AS348" s="549">
        <f t="shared" si="820"/>
        <v>0.44972000000000001</v>
      </c>
      <c r="AT348" s="583">
        <f t="shared" si="820"/>
        <v>26.835416666666667</v>
      </c>
      <c r="AU348" s="583">
        <f t="shared" si="820"/>
        <v>26.835416666666667</v>
      </c>
      <c r="AV348" s="545">
        <f t="shared" ref="AV348:BR348" si="822">SUM(AV335:AV346)</f>
        <v>355.10030728995866</v>
      </c>
      <c r="AW348" s="545">
        <f t="shared" si="822"/>
        <v>35.300030719996023</v>
      </c>
      <c r="AX348" s="545">
        <f t="shared" si="822"/>
        <v>7.1000062399992467</v>
      </c>
      <c r="AY348" s="545">
        <f t="shared" si="822"/>
        <v>18.570015962997758</v>
      </c>
      <c r="AZ348" s="545">
        <f t="shared" si="822"/>
        <v>0.56420050789994924</v>
      </c>
      <c r="BA348" s="545">
        <f t="shared" si="822"/>
        <v>0.69720062759993728</v>
      </c>
      <c r="BB348" s="545">
        <f t="shared" si="822"/>
        <v>42.797238517596149</v>
      </c>
      <c r="BC348" s="545">
        <f t="shared" si="822"/>
        <v>153.99733859758615</v>
      </c>
      <c r="BD348" s="545">
        <f t="shared" si="822"/>
        <v>10.797209717599028</v>
      </c>
      <c r="BE348" s="545">
        <f t="shared" si="822"/>
        <v>17.99721619759838</v>
      </c>
      <c r="BF348" s="545">
        <f t="shared" si="822"/>
        <v>88.997280097591997</v>
      </c>
      <c r="BG348" s="545">
        <f t="shared" si="822"/>
        <v>0.24020021629997845</v>
      </c>
      <c r="BH348" s="545">
        <f t="shared" si="822"/>
        <v>0.45020040529995964</v>
      </c>
      <c r="BI348" s="545">
        <f t="shared" si="822"/>
        <v>0.12472011225998877</v>
      </c>
      <c r="BJ348" s="545">
        <f t="shared" si="822"/>
        <v>25.997223397597661</v>
      </c>
      <c r="BK348" s="545">
        <f t="shared" si="822"/>
        <v>3.7000033419996761E-2</v>
      </c>
      <c r="BL348" s="545">
        <f t="shared" si="822"/>
        <v>0.16620014969998512</v>
      </c>
      <c r="BM348" s="545">
        <f t="shared" si="822"/>
        <v>0.14820013349998673</v>
      </c>
      <c r="BN348" s="545">
        <f t="shared" si="822"/>
        <v>2.5700023249997778E-2</v>
      </c>
      <c r="BO348" s="545">
        <f t="shared" si="822"/>
        <v>2.7972025175997484</v>
      </c>
      <c r="BP348" s="545">
        <f t="shared" si="822"/>
        <v>0.20472018425998156</v>
      </c>
      <c r="BQ348" s="545">
        <f t="shared" si="822"/>
        <v>-2.8000023999996573E-3</v>
      </c>
      <c r="BR348" s="545">
        <f t="shared" si="822"/>
        <v>0.4497204047599595</v>
      </c>
    </row>
    <row r="349" spans="1:70" s="229" customFormat="1">
      <c r="A349" s="643"/>
      <c r="B349" s="522"/>
      <c r="C349" s="522"/>
      <c r="D349" s="141"/>
      <c r="E349" s="594"/>
      <c r="F349" s="708"/>
      <c r="G349" s="522"/>
      <c r="H349" s="522"/>
      <c r="I349" s="86"/>
      <c r="J349" s="87"/>
      <c r="K349" s="595"/>
      <c r="L349" s="596"/>
      <c r="M349" s="849"/>
      <c r="N349" s="849"/>
      <c r="O349" s="648"/>
      <c r="P349" s="655" t="s">
        <v>537</v>
      </c>
      <c r="V349" s="526"/>
      <c r="W349" s="229">
        <v>185.5</v>
      </c>
      <c r="X349" s="229">
        <v>23.200000000000003</v>
      </c>
      <c r="Y349" s="229">
        <v>5.8000000000000007</v>
      </c>
      <c r="Z349" s="229">
        <v>6.2</v>
      </c>
      <c r="AA349" s="229">
        <v>1.9000000000000001</v>
      </c>
      <c r="AB349" s="526">
        <v>2</v>
      </c>
      <c r="AC349" s="229">
        <v>138</v>
      </c>
      <c r="AD349" s="229">
        <v>180</v>
      </c>
      <c r="AE349" s="229">
        <v>90</v>
      </c>
      <c r="AF349" s="229">
        <v>17</v>
      </c>
      <c r="AG349" s="229">
        <v>80</v>
      </c>
      <c r="AH349" s="229">
        <v>1</v>
      </c>
      <c r="AI349" s="229">
        <v>0.70000000000000007</v>
      </c>
      <c r="AJ349" s="526">
        <v>0.125</v>
      </c>
      <c r="AK349" s="229">
        <v>80</v>
      </c>
      <c r="AL349" s="229">
        <v>0.1</v>
      </c>
      <c r="AM349" s="229">
        <v>0.11000000000000001</v>
      </c>
      <c r="AN349" s="229">
        <v>1.2000000000000002</v>
      </c>
      <c r="AO349" s="229">
        <v>6.9999999999999993E-2</v>
      </c>
      <c r="AP349" s="229">
        <v>30</v>
      </c>
      <c r="AQ349" s="229">
        <v>0.18000000000000002</v>
      </c>
      <c r="AR349" s="229">
        <v>8</v>
      </c>
      <c r="AS349" s="526">
        <v>0.5</v>
      </c>
      <c r="AV349" s="229">
        <v>185.5</v>
      </c>
      <c r="AW349" s="229">
        <v>23.200000000000003</v>
      </c>
      <c r="AX349" s="229">
        <v>5.8000000000000007</v>
      </c>
      <c r="AY349" s="229">
        <v>6.2</v>
      </c>
      <c r="AZ349" s="229">
        <v>1.9000000000000001</v>
      </c>
      <c r="BA349" s="526">
        <v>2</v>
      </c>
      <c r="BB349" s="229">
        <v>138</v>
      </c>
      <c r="BC349" s="229">
        <v>180</v>
      </c>
      <c r="BD349" s="229">
        <v>90</v>
      </c>
      <c r="BE349" s="229">
        <v>17</v>
      </c>
      <c r="BF349" s="229">
        <v>80</v>
      </c>
      <c r="BG349" s="229">
        <v>1</v>
      </c>
      <c r="BH349" s="229">
        <v>0.70000000000000007</v>
      </c>
      <c r="BI349" s="526">
        <v>0.125</v>
      </c>
      <c r="BJ349" s="229">
        <v>80</v>
      </c>
      <c r="BK349" s="229">
        <v>0.1</v>
      </c>
      <c r="BL349" s="229">
        <v>0.11000000000000001</v>
      </c>
      <c r="BM349" s="229">
        <v>1.2000000000000002</v>
      </c>
      <c r="BN349" s="229">
        <v>6.9999999999999993E-2</v>
      </c>
      <c r="BO349" s="229">
        <v>30</v>
      </c>
      <c r="BP349" s="229">
        <v>0.18000000000000002</v>
      </c>
      <c r="BQ349" s="229">
        <v>8</v>
      </c>
      <c r="BR349" s="526">
        <v>0.5</v>
      </c>
    </row>
    <row r="350" spans="1:70" s="229" customFormat="1">
      <c r="A350" s="643"/>
      <c r="B350" s="522"/>
      <c r="C350" s="522"/>
      <c r="D350" s="141"/>
      <c r="E350" s="594"/>
      <c r="F350" s="708"/>
      <c r="G350" s="522"/>
      <c r="H350" s="522"/>
      <c r="I350" s="86"/>
      <c r="J350" s="87"/>
      <c r="K350" s="595"/>
      <c r="L350" s="596"/>
      <c r="M350" s="849"/>
      <c r="N350" s="849"/>
      <c r="O350" s="648"/>
      <c r="P350" s="655" t="s">
        <v>407</v>
      </c>
      <c r="V350" s="526"/>
      <c r="W350" s="514">
        <f t="shared" ref="W350:AS350" si="823">100*W348/W349</f>
        <v>191.42857142857142</v>
      </c>
      <c r="X350" s="514">
        <f t="shared" si="823"/>
        <v>152.15517241379305</v>
      </c>
      <c r="Y350" s="514">
        <f t="shared" si="823"/>
        <v>122.41379310344826</v>
      </c>
      <c r="Z350" s="514">
        <f t="shared" si="823"/>
        <v>299.51612903225805</v>
      </c>
      <c r="AA350" s="514">
        <f t="shared" si="823"/>
        <v>29.694736842105257</v>
      </c>
      <c r="AB350" s="506">
        <f t="shared" si="823"/>
        <v>34.86</v>
      </c>
      <c r="AC350" s="514">
        <f t="shared" si="823"/>
        <v>31.012463768115936</v>
      </c>
      <c r="AD350" s="514">
        <f t="shared" si="823"/>
        <v>85.554000000000002</v>
      </c>
      <c r="AE350" s="514">
        <f t="shared" si="823"/>
        <v>11.99688888888889</v>
      </c>
      <c r="AF350" s="514">
        <f t="shared" si="823"/>
        <v>105.86588235294118</v>
      </c>
      <c r="AG350" s="514">
        <f t="shared" si="823"/>
        <v>111.24650000000001</v>
      </c>
      <c r="AH350" s="514">
        <f t="shared" si="823"/>
        <v>24.02</v>
      </c>
      <c r="AI350" s="514">
        <f t="shared" si="823"/>
        <v>64.314285714285717</v>
      </c>
      <c r="AJ350" s="506">
        <f t="shared" si="823"/>
        <v>99.775999999999996</v>
      </c>
      <c r="AK350" s="514">
        <f t="shared" si="823"/>
        <v>32.496499999999997</v>
      </c>
      <c r="AL350" s="514">
        <f t="shared" si="823"/>
        <v>37.000000000000007</v>
      </c>
      <c r="AM350" s="514">
        <f t="shared" si="823"/>
        <v>151.09090909090909</v>
      </c>
      <c r="AN350" s="514">
        <f t="shared" si="823"/>
        <v>12.349999999999998</v>
      </c>
      <c r="AO350" s="514">
        <f t="shared" si="823"/>
        <v>36.714285714285722</v>
      </c>
      <c r="AP350" s="514">
        <f t="shared" si="823"/>
        <v>9.3239999999999998</v>
      </c>
      <c r="AQ350" s="514">
        <f t="shared" si="823"/>
        <v>113.73333333333331</v>
      </c>
      <c r="AR350" s="514">
        <f t="shared" si="823"/>
        <v>-3.5000000000000003E-2</v>
      </c>
      <c r="AS350" s="506">
        <f t="shared" si="823"/>
        <v>89.944000000000003</v>
      </c>
      <c r="AV350" s="505">
        <f t="shared" ref="AV350:BR350" si="824">100*AV348/AV349</f>
        <v>191.42873708353565</v>
      </c>
      <c r="AW350" s="505">
        <f t="shared" si="824"/>
        <v>152.15530482756907</v>
      </c>
      <c r="AX350" s="505">
        <f t="shared" si="824"/>
        <v>122.41390068964216</v>
      </c>
      <c r="AY350" s="505">
        <f t="shared" si="824"/>
        <v>299.51638649996386</v>
      </c>
      <c r="AZ350" s="505">
        <f t="shared" si="824"/>
        <v>29.694763573681538</v>
      </c>
      <c r="BA350" s="505">
        <f t="shared" si="824"/>
        <v>34.860031379996862</v>
      </c>
      <c r="BB350" s="505">
        <f t="shared" si="824"/>
        <v>31.012491679417501</v>
      </c>
      <c r="BC350" s="505">
        <f t="shared" si="824"/>
        <v>85.554076998658971</v>
      </c>
      <c r="BD350" s="505">
        <f t="shared" si="824"/>
        <v>11.996899686221143</v>
      </c>
      <c r="BE350" s="505">
        <f t="shared" si="824"/>
        <v>105.86597763293165</v>
      </c>
      <c r="BF350" s="505">
        <f t="shared" si="824"/>
        <v>111.24660012198999</v>
      </c>
      <c r="BG350" s="505">
        <f t="shared" si="824"/>
        <v>24.020021629997846</v>
      </c>
      <c r="BH350" s="505">
        <f t="shared" si="824"/>
        <v>64.314343614279949</v>
      </c>
      <c r="BI350" s="505">
        <f t="shared" si="824"/>
        <v>99.776089807991013</v>
      </c>
      <c r="BJ350" s="505">
        <f t="shared" si="824"/>
        <v>32.496529246997078</v>
      </c>
      <c r="BK350" s="505">
        <f t="shared" si="824"/>
        <v>37.000033419996761</v>
      </c>
      <c r="BL350" s="505">
        <f t="shared" si="824"/>
        <v>151.09104518180462</v>
      </c>
      <c r="BM350" s="505">
        <f t="shared" si="824"/>
        <v>12.350011124998892</v>
      </c>
      <c r="BN350" s="505">
        <f t="shared" si="824"/>
        <v>36.714318928568261</v>
      </c>
      <c r="BO350" s="505">
        <f t="shared" si="824"/>
        <v>9.3240083919991612</v>
      </c>
      <c r="BP350" s="505">
        <f t="shared" si="824"/>
        <v>113.73343569998976</v>
      </c>
      <c r="BQ350" s="505">
        <f t="shared" si="824"/>
        <v>-3.5000029999995713E-2</v>
      </c>
      <c r="BR350" s="505">
        <f t="shared" si="824"/>
        <v>89.944080951991907</v>
      </c>
    </row>
    <row r="351" spans="1:70" s="229" customFormat="1">
      <c r="A351" s="643"/>
      <c r="B351" s="522"/>
      <c r="C351" s="522"/>
      <c r="D351" s="141"/>
      <c r="E351" s="594"/>
      <c r="F351" s="708"/>
      <c r="G351" s="522"/>
      <c r="H351" s="522"/>
      <c r="I351" s="86"/>
      <c r="J351" s="87"/>
      <c r="K351" s="595"/>
      <c r="L351" s="596"/>
      <c r="M351" s="849"/>
      <c r="N351" s="849"/>
      <c r="O351" s="648"/>
      <c r="P351" s="655" t="s">
        <v>548</v>
      </c>
      <c r="V351" s="526"/>
      <c r="W351" s="583">
        <f>AV348</f>
        <v>355.10030728995866</v>
      </c>
      <c r="X351" s="583">
        <f t="shared" ref="X351:AH351" si="825">AW348</f>
        <v>35.300030719996023</v>
      </c>
      <c r="Y351" s="583">
        <f t="shared" si="825"/>
        <v>7.1000062399992467</v>
      </c>
      <c r="Z351" s="583">
        <f t="shared" si="825"/>
        <v>18.570015962997758</v>
      </c>
      <c r="AA351" s="583">
        <f t="shared" si="825"/>
        <v>0.56420050789994924</v>
      </c>
      <c r="AB351" s="549">
        <f t="shared" si="825"/>
        <v>0.69720062759993728</v>
      </c>
      <c r="AC351" s="583">
        <f t="shared" si="825"/>
        <v>42.797238517596149</v>
      </c>
      <c r="AD351" s="583">
        <f t="shared" si="825"/>
        <v>153.99733859758615</v>
      </c>
      <c r="AE351" s="583">
        <f t="shared" si="825"/>
        <v>10.797209717599028</v>
      </c>
      <c r="AF351" s="583">
        <f t="shared" si="825"/>
        <v>17.99721619759838</v>
      </c>
      <c r="AG351" s="583">
        <f t="shared" si="825"/>
        <v>88.997280097591997</v>
      </c>
      <c r="AH351" s="583">
        <f t="shared" si="825"/>
        <v>0.24020021629997845</v>
      </c>
      <c r="AI351" s="583">
        <f>BH348</f>
        <v>0.45020040529995964</v>
      </c>
      <c r="AJ351" s="549">
        <f t="shared" ref="AJ351:AM351" si="826">BI348</f>
        <v>0.12472011225998877</v>
      </c>
      <c r="AK351" s="583">
        <f t="shared" si="826"/>
        <v>25.997223397597661</v>
      </c>
      <c r="AL351" s="583">
        <f t="shared" si="826"/>
        <v>3.7000033419996761E-2</v>
      </c>
      <c r="AM351" s="583">
        <f t="shared" si="826"/>
        <v>0.16620014969998512</v>
      </c>
      <c r="AN351" s="583">
        <f>BM348</f>
        <v>0.14820013349998673</v>
      </c>
      <c r="AO351" s="583">
        <f t="shared" ref="AO351:AR351" si="827">BN348</f>
        <v>2.5700023249997778E-2</v>
      </c>
      <c r="AP351" s="583">
        <f t="shared" si="827"/>
        <v>2.7972025175997484</v>
      </c>
      <c r="AQ351" s="583">
        <f t="shared" si="827"/>
        <v>0.20472018425998156</v>
      </c>
      <c r="AR351" s="583">
        <f t="shared" si="827"/>
        <v>-2.8000023999996573E-3</v>
      </c>
      <c r="AS351" s="549">
        <f>BR348</f>
        <v>0.4497204047599595</v>
      </c>
    </row>
    <row r="352" spans="1:70" s="229" customFormat="1">
      <c r="A352" s="643"/>
      <c r="B352" s="522"/>
      <c r="C352" s="522"/>
      <c r="D352" s="141"/>
      <c r="E352" s="594"/>
      <c r="F352" s="708"/>
      <c r="G352" s="522"/>
      <c r="H352" s="522"/>
      <c r="I352" s="86"/>
      <c r="J352" s="87"/>
      <c r="K352" s="595"/>
      <c r="L352" s="596"/>
      <c r="M352" s="849"/>
      <c r="N352" s="849"/>
      <c r="O352" s="648"/>
      <c r="P352" s="655" t="s">
        <v>543</v>
      </c>
      <c r="V352" s="526"/>
      <c r="W352" s="514">
        <f t="shared" ref="W352:AS352" si="828">AV350</f>
        <v>191.42873708353565</v>
      </c>
      <c r="X352" s="514">
        <f t="shared" si="828"/>
        <v>152.15530482756907</v>
      </c>
      <c r="Y352" s="514">
        <f t="shared" si="828"/>
        <v>122.41390068964216</v>
      </c>
      <c r="Z352" s="514">
        <f t="shared" si="828"/>
        <v>299.51638649996386</v>
      </c>
      <c r="AA352" s="514">
        <f t="shared" si="828"/>
        <v>29.694763573681538</v>
      </c>
      <c r="AB352" s="506">
        <f t="shared" si="828"/>
        <v>34.860031379996862</v>
      </c>
      <c r="AC352" s="514">
        <f t="shared" si="828"/>
        <v>31.012491679417501</v>
      </c>
      <c r="AD352" s="514">
        <f t="shared" si="828"/>
        <v>85.554076998658971</v>
      </c>
      <c r="AE352" s="514">
        <f t="shared" si="828"/>
        <v>11.996899686221143</v>
      </c>
      <c r="AF352" s="514">
        <f t="shared" si="828"/>
        <v>105.86597763293165</v>
      </c>
      <c r="AG352" s="514">
        <f t="shared" si="828"/>
        <v>111.24660012198999</v>
      </c>
      <c r="AH352" s="514">
        <f t="shared" si="828"/>
        <v>24.020021629997846</v>
      </c>
      <c r="AI352" s="514">
        <f t="shared" si="828"/>
        <v>64.314343614279949</v>
      </c>
      <c r="AJ352" s="506">
        <f t="shared" si="828"/>
        <v>99.776089807991013</v>
      </c>
      <c r="AK352" s="514">
        <f t="shared" si="828"/>
        <v>32.496529246997078</v>
      </c>
      <c r="AL352" s="514">
        <f t="shared" si="828"/>
        <v>37.000033419996761</v>
      </c>
      <c r="AM352" s="514">
        <f t="shared" si="828"/>
        <v>151.09104518180462</v>
      </c>
      <c r="AN352" s="514">
        <f t="shared" si="828"/>
        <v>12.350011124998892</v>
      </c>
      <c r="AO352" s="514">
        <f t="shared" si="828"/>
        <v>36.714318928568261</v>
      </c>
      <c r="AP352" s="514">
        <f t="shared" si="828"/>
        <v>9.3240083919991612</v>
      </c>
      <c r="AQ352" s="514">
        <f t="shared" si="828"/>
        <v>113.73343569998976</v>
      </c>
      <c r="AR352" s="514">
        <f t="shared" si="828"/>
        <v>-3.5000029999995713E-2</v>
      </c>
      <c r="AS352" s="506">
        <f t="shared" si="828"/>
        <v>89.944080951991907</v>
      </c>
      <c r="AV352" s="514"/>
      <c r="AW352" s="514"/>
      <c r="AX352" s="514"/>
      <c r="AY352" s="514"/>
      <c r="AZ352" s="514"/>
      <c r="BA352" s="505"/>
      <c r="BB352" s="514"/>
      <c r="BC352" s="514"/>
      <c r="BD352" s="514"/>
      <c r="BE352" s="514"/>
      <c r="BF352" s="514"/>
      <c r="BG352" s="514"/>
      <c r="BH352" s="514"/>
      <c r="BI352" s="505"/>
      <c r="BJ352" s="514"/>
      <c r="BK352" s="514"/>
      <c r="BL352" s="514"/>
      <c r="BM352" s="514"/>
      <c r="BN352" s="514"/>
      <c r="BO352" s="514"/>
      <c r="BP352" s="514"/>
      <c r="BQ352" s="514"/>
      <c r="BR352" s="505"/>
    </row>
    <row r="353" spans="1:70" s="229" customFormat="1" ht="15" thickBot="1">
      <c r="A353" s="643"/>
      <c r="B353" s="643"/>
      <c r="C353" s="643"/>
      <c r="D353" s="687"/>
      <c r="E353" s="644"/>
      <c r="F353" s="713"/>
      <c r="G353" s="645" t="s">
        <v>795</v>
      </c>
      <c r="H353" s="656"/>
      <c r="I353" s="688"/>
      <c r="J353" s="688"/>
      <c r="K353" s="643"/>
      <c r="L353" s="647"/>
      <c r="M353" s="647"/>
      <c r="N353" s="647"/>
      <c r="O353" s="648"/>
      <c r="P353" s="643"/>
      <c r="Q353" s="643"/>
      <c r="R353" s="643"/>
      <c r="S353" s="643"/>
      <c r="T353" s="643"/>
      <c r="U353" s="657"/>
      <c r="V353" s="658"/>
      <c r="W353" s="643"/>
      <c r="X353" s="643"/>
      <c r="Y353" s="643"/>
      <c r="Z353" s="643"/>
      <c r="AA353" s="652">
        <f>COUNTIF(AA354:AA378,"&lt;0")</f>
        <v>0</v>
      </c>
      <c r="AB353" s="652">
        <f t="shared" ref="AB353" si="829">COUNTIF(AB354:AB378,"&lt;0")</f>
        <v>0</v>
      </c>
      <c r="AC353" s="652">
        <f t="shared" ref="AC353" si="830">COUNTIF(AC354:AC378,"&lt;0")</f>
        <v>0</v>
      </c>
      <c r="AD353" s="652">
        <f t="shared" ref="AD353" si="831">COUNTIF(AD354:AD378,"&lt;0")</f>
        <v>0</v>
      </c>
      <c r="AE353" s="652">
        <f t="shared" ref="AE353" si="832">COUNTIF(AE354:AE378,"&lt;0")</f>
        <v>0</v>
      </c>
      <c r="AF353" s="652">
        <f t="shared" ref="AF353" si="833">COUNTIF(AF354:AF378,"&lt;0")</f>
        <v>0</v>
      </c>
      <c r="AG353" s="652">
        <f t="shared" ref="AG353" si="834">COUNTIF(AG354:AG378,"&lt;0")</f>
        <v>0</v>
      </c>
      <c r="AH353" s="652">
        <f t="shared" ref="AH353" si="835">COUNTIF(AH354:AH378,"&lt;0")</f>
        <v>0</v>
      </c>
      <c r="AI353" s="652">
        <f t="shared" ref="AI353" si="836">COUNTIF(AI354:AI378,"&lt;0")</f>
        <v>0</v>
      </c>
      <c r="AJ353" s="652">
        <f t="shared" ref="AJ353" si="837">COUNTIF(AJ354:AJ378,"&lt;0")</f>
        <v>0</v>
      </c>
      <c r="AK353" s="652">
        <f t="shared" ref="AK353" si="838">COUNTIF(AK354:AK378,"&lt;0")</f>
        <v>1</v>
      </c>
      <c r="AL353" s="652">
        <f t="shared" ref="AL353" si="839">COUNTIF(AL354:AL378,"&lt;0")</f>
        <v>0</v>
      </c>
      <c r="AM353" s="652">
        <f t="shared" ref="AM353" si="840">COUNTIF(AM354:AM378,"&lt;0")</f>
        <v>0</v>
      </c>
      <c r="AN353" s="652">
        <f t="shared" ref="AN353" si="841">COUNTIF(AN354:AN378,"&lt;0")</f>
        <v>0</v>
      </c>
      <c r="AO353" s="652">
        <f t="shared" ref="AO353" si="842">COUNTIF(AO354:AO378,"&lt;0")</f>
        <v>0</v>
      </c>
      <c r="AP353" s="652">
        <f t="shared" ref="AP353" si="843">COUNTIF(AP354:AP378,"&lt;0")</f>
        <v>0</v>
      </c>
      <c r="AQ353" s="652">
        <f t="shared" ref="AQ353" si="844">COUNTIF(AQ354:AQ378,"&lt;0")</f>
        <v>1</v>
      </c>
      <c r="AR353" s="652">
        <f t="shared" ref="AR353" si="845">COUNTIF(AR354:AR378,"&lt;0")</f>
        <v>0</v>
      </c>
      <c r="AS353" s="652">
        <f t="shared" ref="AS353" si="846">COUNTIF(AS354:AS378,"&lt;0")</f>
        <v>1</v>
      </c>
      <c r="AT353" s="1299"/>
      <c r="AU353" s="1299"/>
    </row>
    <row r="354" spans="1:70" s="229" customFormat="1" ht="15" customHeight="1" thickBot="1">
      <c r="A354" s="643"/>
      <c r="B354" s="575" t="s">
        <v>3067</v>
      </c>
      <c r="C354" s="229" t="s">
        <v>69</v>
      </c>
      <c r="D354" s="85"/>
      <c r="E354" s="577">
        <v>100</v>
      </c>
      <c r="F354" s="707" t="s">
        <v>3004</v>
      </c>
      <c r="G354" s="406" t="s">
        <v>3073</v>
      </c>
      <c r="H354" s="578" t="s">
        <v>3157</v>
      </c>
      <c r="I354" s="85">
        <v>50</v>
      </c>
      <c r="J354" s="682">
        <v>1</v>
      </c>
      <c r="K354" s="579">
        <f t="shared" ref="K354:K378" si="847">IF(I354&gt;0,1.1*Q354*E354/1000,"")</f>
        <v>5.5000000000000009</v>
      </c>
      <c r="L354" s="580">
        <f>IF(H354="Select ingredient:","",IF(G354="","",_xlfn.IFNA(VLOOKUP($H354,Ingredient_prices!$E:$U,16,FALSE),0)))</f>
        <v>352</v>
      </c>
      <c r="M354" s="848"/>
      <c r="N354" s="1228">
        <f>$W380</f>
        <v>814.71861162114783</v>
      </c>
      <c r="O354" s="648"/>
      <c r="P354" s="653"/>
      <c r="Q354" s="583">
        <f t="shared" ref="Q354:Q378" si="848">I354/J354</f>
        <v>50</v>
      </c>
      <c r="R354" s="583">
        <f>VLOOKUP($H354,'CO2_emission+%_food_waste'!$A:$K,6,FALSE)*$Q354/100</f>
        <v>14.25</v>
      </c>
      <c r="S354" s="583">
        <f t="shared" ref="S354:S378" si="849">Q354-R354</f>
        <v>35.75</v>
      </c>
      <c r="T354" s="583">
        <f>IF(H354="Select ingredient:","",IF(G354="Select food category:","",_xlfn.IFNA(VLOOKUP($H354,Ingredient_prices!$E:$U,16,FALSE)*$Q354/1000,"not bought")))</f>
        <v>17.600000000000001</v>
      </c>
      <c r="U354" s="583">
        <f>IF(G354="Select food category:","",_xlfn.IFNA(VLOOKUP($H354,Ingredient_prices!$E:$U,16,FALSE)*$R354/1000,"not bought"))</f>
        <v>5.016</v>
      </c>
      <c r="V354" s="549">
        <f>VLOOKUP($H354,'CO2_emission+%_food_waste'!$A:$K,4,FALSE)*$Q354</f>
        <v>451.99999999999994</v>
      </c>
      <c r="W354" s="583">
        <f>VLOOKUP($H354,Nutrition_tables!$A:$N,10,FALSE)*$Q354/100</f>
        <v>135.05000000000001</v>
      </c>
      <c r="X354" s="583">
        <f>VLOOKUP($H354,Nutrition_tables!$A:$N,11,FALSE)*$Q354/100</f>
        <v>0.84999999999999987</v>
      </c>
      <c r="Y354" s="583">
        <f>VLOOKUP($H354,Nutrition_tables!$A:$N,12,FALSE)*$Q354/100</f>
        <v>7.6</v>
      </c>
      <c r="Z354" s="583">
        <f>VLOOKUP($H354,Nutrition_tables!$A:$N,14,FALSE)*$Q354/100</f>
        <v>10</v>
      </c>
      <c r="AA354" s="583">
        <f>VLOOKUP($H354,Nutrition_tables!$A:$AF,13,FALSE)*$Q354/100</f>
        <v>0</v>
      </c>
      <c r="AB354" s="549">
        <f>VLOOKUP($H354,Nutrition_tables!$A:$AF,15,FALSE)*$Q354/100</f>
        <v>4.3</v>
      </c>
      <c r="AC354" s="583">
        <f>VLOOKUP($H354,Nutrition_tables!$A:$AF,16,FALSE)*$Q354/100</f>
        <v>28</v>
      </c>
      <c r="AD354" s="583">
        <f>VLOOKUP($H354,Nutrition_tables!$A:$AF,17,FALSE)*$Q354/100</f>
        <v>143.5</v>
      </c>
      <c r="AE354" s="583">
        <f>VLOOKUP($H354,Nutrition_tables!$A:$AF,18,FALSE)*$Q354/100</f>
        <v>10.5</v>
      </c>
      <c r="AF354" s="583">
        <f>VLOOKUP($H354,Nutrition_tables!$A:$AF,19,FALSE)*$Q354/100</f>
        <v>9.5</v>
      </c>
      <c r="AG354" s="583">
        <f>VLOOKUP($H354,Nutrition_tables!$A:$AF,20,FALSE)*$Q354/100</f>
        <v>87.5</v>
      </c>
      <c r="AH354" s="583">
        <f>VLOOKUP($H354,Nutrition_tables!$A:$AF,21,FALSE)*$Q354/100</f>
        <v>0.7</v>
      </c>
      <c r="AI354" s="583">
        <f>VLOOKUP($H354,Nutrition_tables!$A:$AF,22,FALSE)*$Q354/100</f>
        <v>1.1000000000000001</v>
      </c>
      <c r="AJ354" s="549">
        <f>VLOOKUP($H354,Nutrition_tables!$A:$AF,23,FALSE)*$Q354/100</f>
        <v>2.2499999999999999E-2</v>
      </c>
      <c r="AK354" s="583">
        <f>VLOOKUP($H354,Nutrition_tables!$A:$AF,24,FALSE)*$Q354/100</f>
        <v>1</v>
      </c>
      <c r="AL354" s="583">
        <f>VLOOKUP($H354,Nutrition_tables!$A:$AF,25,FALSE)*$Q354/100</f>
        <v>0.14499999999999999</v>
      </c>
      <c r="AM354" s="583">
        <f>VLOOKUP($H354,Nutrition_tables!$A:$AF,26,FALSE)*$Q354/100</f>
        <v>0.105</v>
      </c>
      <c r="AN354" s="583">
        <f>VLOOKUP($H354,Nutrition_tables!$A:$AF,27,FALSE)*$Q354/100</f>
        <v>1.35</v>
      </c>
      <c r="AO354" s="583">
        <f>VLOOKUP($H354,Nutrition_tables!$A:$AF,28,FALSE)*$Q354/100</f>
        <v>0.19149999999999998</v>
      </c>
      <c r="AP354" s="583">
        <f>VLOOKUP($H354,Nutrition_tables!$A:$AF,29,FALSE)*$Q354/100</f>
        <v>2.5</v>
      </c>
      <c r="AQ354" s="583">
        <f>VLOOKUP($H354,Nutrition_tables!$A:$AF,30,FALSE)*$Q354/100</f>
        <v>0.35</v>
      </c>
      <c r="AR354" s="583">
        <f>VLOOKUP($H354,Nutrition_tables!$A:$AF,31,FALSE)*$Q354/100</f>
        <v>0.35</v>
      </c>
      <c r="AS354" s="549">
        <f>VLOOKUP($H354,Nutrition_tables!$A:$AF,32,FALSE)*$Q354/100</f>
        <v>0.25</v>
      </c>
      <c r="AT354" s="583">
        <f>IF(H354="Select ingredient:","",IF(G354="Select food category:","",IFERROR(VLOOKUP($H354,Ingredient_prices!$E:$W,17,FALSE)*$Q354/1000,"not bought")))</f>
        <v>17.600000000000001</v>
      </c>
      <c r="AU354" s="583">
        <f>IF(H354="Select ingredient:","",IF(G354="Select food category:","",IFERROR(VLOOKUP($H354,Ingredient_prices!$E:$W,18,FALSE)*$Q354/1000,"not bought")))</f>
        <v>17.600000000000001</v>
      </c>
      <c r="AV354" s="583">
        <f t="shared" ref="AV354:AV378" si="850">W354*($Q354-$R354)/($Q354+0.00001)</f>
        <v>96.560730687853862</v>
      </c>
      <c r="AW354" s="583">
        <f t="shared" ref="AW354:AW378" si="851">X354*($Q354-$R354)/($Q354+0.00001)</f>
        <v>0.60774987845002415</v>
      </c>
      <c r="AX354" s="583">
        <f t="shared" ref="AX354:AX378" si="852">Y354*($Q354-$R354)/($Q354+0.00001)</f>
        <v>5.4339989132002167</v>
      </c>
      <c r="AY354" s="583">
        <f t="shared" ref="AY354:AY378" si="853">Z354*($Q354-$R354)/($Q354+0.00001)</f>
        <v>7.1499985700002853</v>
      </c>
      <c r="AZ354" s="583">
        <f t="shared" ref="AZ354:AZ378" si="854">AA354*($Q354-$R354)/($Q354+0.00001)</f>
        <v>0</v>
      </c>
      <c r="BA354" s="583">
        <f t="shared" ref="BA354:BA378" si="855">AB354*($Q354-$R354)/($Q354+0.00001)</f>
        <v>3.0744993851001228</v>
      </c>
      <c r="BB354" s="583">
        <f t="shared" ref="BB354:BB378" si="856">AC354*($Q354-$R354)/($Q354+0.00001)</f>
        <v>20.019995996000798</v>
      </c>
      <c r="BC354" s="583">
        <f t="shared" ref="BC354:BC378" si="857">AD354*($Q354-$R354)/($Q354+0.00001)</f>
        <v>102.6024794795041</v>
      </c>
      <c r="BD354" s="583">
        <f t="shared" ref="BD354:BD368" si="858">AE354*($Q354-$R354)/($Q354+0.00001)</f>
        <v>7.5074984985002997</v>
      </c>
      <c r="BE354" s="583">
        <f t="shared" ref="BE354:BE368" si="859">AF354*($Q354-$R354)/($Q354+0.00001)</f>
        <v>6.7924986415002708</v>
      </c>
      <c r="BF354" s="583">
        <f t="shared" ref="BF354:BF368" si="860">AG354*($Q354-$R354)/($Q354+0.00001)</f>
        <v>62.562487487502501</v>
      </c>
      <c r="BG354" s="583">
        <f t="shared" ref="BG354:BG368" si="861">AH354*($Q354-$R354)/($Q354+0.00001)</f>
        <v>0.50049989990001997</v>
      </c>
      <c r="BH354" s="583">
        <f t="shared" ref="BH354:BH368" si="862">AI354*($Q354-$R354)/($Q354+0.00001)</f>
        <v>0.78649984270003148</v>
      </c>
      <c r="BI354" s="583">
        <f t="shared" ref="BI354:BI368" si="863">AJ354*($Q354-$R354)/($Q354+0.00001)</f>
        <v>1.608749678250064E-2</v>
      </c>
      <c r="BJ354" s="583">
        <f t="shared" ref="BJ354:BJ368" si="864">AK354*($Q354-$R354)/($Q354+0.00001)</f>
        <v>0.71499985700002855</v>
      </c>
      <c r="BK354" s="583">
        <f t="shared" ref="BK354:BK368" si="865">AL354*($Q354-$R354)/($Q354+0.00001)</f>
        <v>0.10367497926500414</v>
      </c>
      <c r="BL354" s="583">
        <f t="shared" ref="BL354:BL368" si="866">AM354*($Q354-$R354)/($Q354+0.00001)</f>
        <v>7.5074984985002993E-2</v>
      </c>
      <c r="BM354" s="583">
        <f t="shared" ref="BM354:BM368" si="867">AN354*($Q354-$R354)/($Q354+0.00001)</f>
        <v>0.96524980695003859</v>
      </c>
      <c r="BN354" s="583">
        <f t="shared" ref="BN354:BN368" si="868">AO354*($Q354-$R354)/($Q354+0.00001)</f>
        <v>0.13692247261550544</v>
      </c>
      <c r="BO354" s="583">
        <f t="shared" ref="BO354:BO368" si="869">AP354*($Q354-$R354)/($Q354+0.00001)</f>
        <v>1.7874996425000713</v>
      </c>
      <c r="BP354" s="583">
        <f t="shared" ref="BP354:BP368" si="870">AQ354*($Q354-$R354)/($Q354+0.00001)</f>
        <v>0.25024994995000999</v>
      </c>
      <c r="BQ354" s="583">
        <f t="shared" ref="BQ354:BQ368" si="871">AR354*($Q354-$R354)/($Q354+0.00001)</f>
        <v>0.25024994995000999</v>
      </c>
      <c r="BR354" s="583">
        <f t="shared" ref="BR354:BR368" si="872">AS354*($Q354-$R354)/($Q354+0.00001)</f>
        <v>0.17874996425000714</v>
      </c>
    </row>
    <row r="355" spans="1:70" s="229" customFormat="1" ht="15" customHeight="1">
      <c r="A355" s="643"/>
      <c r="D355" s="749"/>
      <c r="E355" s="576">
        <f>IF(E$354&gt;0,E$354,"")</f>
        <v>100</v>
      </c>
      <c r="F355" s="248"/>
      <c r="G355" s="406" t="s">
        <v>3072</v>
      </c>
      <c r="H355" s="578" t="s">
        <v>3208</v>
      </c>
      <c r="I355" s="85">
        <v>20</v>
      </c>
      <c r="J355" s="682">
        <v>1</v>
      </c>
      <c r="K355" s="579">
        <f t="shared" si="847"/>
        <v>2.2000000000000002</v>
      </c>
      <c r="L355" s="580">
        <f>IF(H355="Select ingredient:","",IF(G355="","",_xlfn.IFNA(VLOOKUP($H355,Ingredient_prices!$E:$U,16,FALSE),0)))</f>
        <v>183.33333333333334</v>
      </c>
      <c r="M355" s="848"/>
      <c r="N355" s="848"/>
      <c r="O355" s="648"/>
      <c r="P355" s="653"/>
      <c r="Q355" s="583">
        <f t="shared" si="848"/>
        <v>20</v>
      </c>
      <c r="R355" s="583">
        <f>VLOOKUP($H355,'CO2_emission+%_food_waste'!$A:$K,6,FALSE)*$Q355/100</f>
        <v>2.12</v>
      </c>
      <c r="S355" s="583">
        <f t="shared" si="849"/>
        <v>17.88</v>
      </c>
      <c r="T355" s="583">
        <f>IF(H355="Select ingredient:","",IF(G355="Select food category:","",_xlfn.IFNA(VLOOKUP($H355,Ingredient_prices!$E:$U,16,FALSE)*$Q355/1000,"not bought")))</f>
        <v>3.666666666666667</v>
      </c>
      <c r="U355" s="583">
        <f>IF(G355="Select food category:","",_xlfn.IFNA(VLOOKUP($H355,Ingredient_prices!$E:$U,16,FALSE)*$R355/1000,"not bought"))</f>
        <v>0.38866666666666666</v>
      </c>
      <c r="V355" s="549">
        <f>VLOOKUP($H355,'CO2_emission+%_food_waste'!$A:$K,4,FALSE)*$Q355</f>
        <v>60.8</v>
      </c>
      <c r="W355" s="583">
        <f>VLOOKUP($H355,Nutrition_tables!$A:$N,10,FALSE)*$Q355/100</f>
        <v>28.399999999999995</v>
      </c>
      <c r="X355" s="583">
        <f>VLOOKUP($H355,Nutrition_tables!$A:$N,11,FALSE)*$Q355/100</f>
        <v>0.16003734827264238</v>
      </c>
      <c r="Y355" s="583">
        <f>VLOOKUP($H355,Nutrition_tables!$A:$N,12,FALSE)*$Q355/100</f>
        <v>2.5200746965452847</v>
      </c>
      <c r="Z355" s="583">
        <f>VLOOKUP($H355,Nutrition_tables!$A:$N,14,FALSE)*$Q355/100</f>
        <v>1.9800186741363208</v>
      </c>
      <c r="AA355" s="583">
        <f>VLOOKUP($H355,Nutrition_tables!$A:$AF,13,FALSE)*$Q355/100</f>
        <v>0</v>
      </c>
      <c r="AB355" s="549">
        <f>VLOOKUP($H355,Nutrition_tables!$A:$AF,15,FALSE)*$Q355/100</f>
        <v>0.52007469654528482</v>
      </c>
      <c r="AC355" s="583">
        <f>VLOOKUP($H355,Nutrition_tables!$A:$AF,16,FALSE)*$Q355/100</f>
        <v>28</v>
      </c>
      <c r="AD355" s="583">
        <f>VLOOKUP($H355,Nutrition_tables!$A:$AF,17,FALSE)*$Q355/100</f>
        <v>25.999999999999996</v>
      </c>
      <c r="AE355" s="583">
        <f>VLOOKUP($H355,Nutrition_tables!$A:$AF,18,FALSE)*$Q355/100</f>
        <v>7.9999999999999991</v>
      </c>
      <c r="AF355" s="583">
        <f>VLOOKUP($H355,Nutrition_tables!$A:$AF,19,FALSE)*$Q355/100</f>
        <v>2.6</v>
      </c>
      <c r="AG355" s="583">
        <f>VLOOKUP($H355,Nutrition_tables!$A:$AF,20,FALSE)*$Q355/100</f>
        <v>41.999999999999993</v>
      </c>
      <c r="AH355" s="583">
        <f>VLOOKUP($H355,Nutrition_tables!$A:$AF,21,FALSE)*$Q355/100</f>
        <v>0.4</v>
      </c>
      <c r="AI355" s="583">
        <f>VLOOKUP($H355,Nutrition_tables!$A:$AF,22,FALSE)*$Q355/100</f>
        <v>0.27992530345471522</v>
      </c>
      <c r="AJ355" s="549">
        <f>VLOOKUP($H355,Nutrition_tables!$A:$AF,23,FALSE)*$Q355/100</f>
        <v>1.4005602240896357E-2</v>
      </c>
      <c r="AK355" s="583">
        <f>VLOOKUP($H355,Nutrition_tables!$A:$AF,24,FALSE)*$Q355/100</f>
        <v>38.799999999999997</v>
      </c>
      <c r="AL355" s="583">
        <f>VLOOKUP($H355,Nutrition_tables!$A:$AF,25,FALSE)*$Q355/100</f>
        <v>1.4005602240896357E-2</v>
      </c>
      <c r="AM355" s="583">
        <f>VLOOKUP($H355,Nutrition_tables!$A:$AF,26,FALSE)*$Q355/100</f>
        <v>9.0009337068160597E-2</v>
      </c>
      <c r="AN355" s="583">
        <f>VLOOKUP($H355,Nutrition_tables!$A:$AF,27,FALSE)*$Q355/100</f>
        <v>1.0084033613445377E-2</v>
      </c>
      <c r="AO355" s="583">
        <f>VLOOKUP($H355,Nutrition_tables!$A:$AF,28,FALSE)*$Q355/100</f>
        <v>2.4089635854341734E-2</v>
      </c>
      <c r="AP355" s="583">
        <f>VLOOKUP($H355,Nutrition_tables!$A:$AF,29,FALSE)*$Q355/100</f>
        <v>4.1999999999999993</v>
      </c>
      <c r="AQ355" s="583">
        <f>VLOOKUP($H355,Nutrition_tables!$A:$AF,30,FALSE)*$Q355/100</f>
        <v>0.4</v>
      </c>
      <c r="AR355" s="583">
        <f>VLOOKUP($H355,Nutrition_tables!$A:$AF,31,FALSE)*$Q355/100</f>
        <v>0</v>
      </c>
      <c r="AS355" s="549">
        <f>VLOOKUP($H355,Nutrition_tables!$A:$AF,32,FALSE)*$Q355/100</f>
        <v>0.34995331465919705</v>
      </c>
      <c r="AT355" s="583">
        <f>IF(H355="Select ingredient:","",IF(G355="Select food category:","",IFERROR(VLOOKUP($H355,Ingredient_prices!$E:$W,17,FALSE)*$Q355/1000,"not bought")))</f>
        <v>3.666666666666667</v>
      </c>
      <c r="AU355" s="583">
        <f>IF(H355="Select ingredient:","",IF(G355="Select food category:","",IFERROR(VLOOKUP($H355,Ingredient_prices!$E:$W,18,FALSE)*$Q355/1000,"not bought")))</f>
        <v>3.666666666666667</v>
      </c>
      <c r="AV355" s="583">
        <f t="shared" si="850"/>
        <v>25.389587305206341</v>
      </c>
      <c r="AW355" s="583">
        <f t="shared" si="851"/>
        <v>0.14307331781908336</v>
      </c>
      <c r="AX355" s="583">
        <f t="shared" si="852"/>
        <v>2.2529456522386582</v>
      </c>
      <c r="AY355" s="583">
        <f t="shared" si="853"/>
        <v>1.7701358096099662</v>
      </c>
      <c r="AZ355" s="583">
        <f t="shared" si="854"/>
        <v>0</v>
      </c>
      <c r="BA355" s="583">
        <f t="shared" si="855"/>
        <v>0.46494654623821147</v>
      </c>
      <c r="BB355" s="583">
        <f t="shared" si="856"/>
        <v>25.031987484006258</v>
      </c>
      <c r="BC355" s="583">
        <f t="shared" si="857"/>
        <v>23.24398837800581</v>
      </c>
      <c r="BD355" s="583">
        <f t="shared" si="858"/>
        <v>7.1519964240017861</v>
      </c>
      <c r="BE355" s="583">
        <f t="shared" si="859"/>
        <v>2.3243988378005813</v>
      </c>
      <c r="BF355" s="583">
        <f t="shared" si="860"/>
        <v>37.547981226009377</v>
      </c>
      <c r="BG355" s="583">
        <f t="shared" si="861"/>
        <v>0.35759982120008943</v>
      </c>
      <c r="BH355" s="583">
        <f t="shared" si="862"/>
        <v>0.25025309616196734</v>
      </c>
      <c r="BI355" s="583">
        <f t="shared" si="863"/>
        <v>1.252100214286027E-2</v>
      </c>
      <c r="BJ355" s="583">
        <f t="shared" si="864"/>
        <v>34.687182656408666</v>
      </c>
      <c r="BK355" s="583">
        <f t="shared" si="865"/>
        <v>1.252100214286027E-2</v>
      </c>
      <c r="BL355" s="583">
        <f t="shared" si="866"/>
        <v>8.0468307104782019E-2</v>
      </c>
      <c r="BM355" s="583">
        <f t="shared" si="867"/>
        <v>9.0151215428593955E-3</v>
      </c>
      <c r="BN355" s="583">
        <f t="shared" si="868"/>
        <v>2.1536123685719666E-2</v>
      </c>
      <c r="BO355" s="583">
        <f t="shared" si="869"/>
        <v>3.7547981226009384</v>
      </c>
      <c r="BP355" s="583">
        <f t="shared" si="870"/>
        <v>0.35759982120008943</v>
      </c>
      <c r="BQ355" s="583">
        <f t="shared" si="871"/>
        <v>0</v>
      </c>
      <c r="BR355" s="583">
        <f t="shared" si="872"/>
        <v>0.31285810687626875</v>
      </c>
    </row>
    <row r="356" spans="1:70" s="229" customFormat="1" ht="15" customHeight="1">
      <c r="A356" s="643"/>
      <c r="D356" s="406"/>
      <c r="E356" s="576">
        <f t="shared" ref="E356:E378" si="873">IF(E$354&gt;0,E$354,"")</f>
        <v>100</v>
      </c>
      <c r="F356" s="248"/>
      <c r="G356" s="406" t="s">
        <v>3141</v>
      </c>
      <c r="H356" s="578" t="s">
        <v>3245</v>
      </c>
      <c r="I356" s="85">
        <v>10</v>
      </c>
      <c r="J356" s="682">
        <v>1</v>
      </c>
      <c r="K356" s="579">
        <f t="shared" si="847"/>
        <v>1.1000000000000001</v>
      </c>
      <c r="L356" s="580">
        <f>IF(H356="Select ingredient:","",IF(G356="","",_xlfn.IFNA(VLOOKUP($H356,Ingredient_prices!$E:$U,16,FALSE),0)))</f>
        <v>43.12</v>
      </c>
      <c r="M356" s="848"/>
      <c r="N356" s="848"/>
      <c r="O356" s="648"/>
      <c r="P356" s="653"/>
      <c r="Q356" s="583">
        <f t="shared" si="848"/>
        <v>10</v>
      </c>
      <c r="R356" s="583">
        <f>VLOOKUP($H356,'CO2_emission+%_food_waste'!$A:$K,6,FALSE)*$Q356/100</f>
        <v>2.17</v>
      </c>
      <c r="S356" s="583">
        <f t="shared" si="849"/>
        <v>7.83</v>
      </c>
      <c r="T356" s="583">
        <f>IF(H356="Select ingredient:","",IF(G356="Select food category:","",_xlfn.IFNA(VLOOKUP($H356,Ingredient_prices!$E:$U,16,FALSE)*$Q356/1000,"not bought")))</f>
        <v>0.43119999999999997</v>
      </c>
      <c r="U356" s="583">
        <f>IF(G356="Select food category:","",_xlfn.IFNA(VLOOKUP($H356,Ingredient_prices!$E:$U,16,FALSE)*$R356/1000,"not bought"))</f>
        <v>9.3570399999999998E-2</v>
      </c>
      <c r="V356" s="549">
        <f>VLOOKUP($H356,'CO2_emission+%_food_waste'!$A:$K,4,FALSE)*$Q356</f>
        <v>16.200000000000003</v>
      </c>
      <c r="W356" s="583">
        <f>VLOOKUP($H356,Nutrition_tables!$A:$N,10,FALSE)*$Q356/100</f>
        <v>35.58997668997668</v>
      </c>
      <c r="X356" s="583">
        <f>VLOOKUP($H356,Nutrition_tables!$A:$N,11,FALSE)*$Q356/100</f>
        <v>7.7899766899766902</v>
      </c>
      <c r="Y356" s="583">
        <f>VLOOKUP($H356,Nutrition_tables!$A:$N,12,FALSE)*$Q356/100</f>
        <v>0.95</v>
      </c>
      <c r="Z356" s="583">
        <f>VLOOKUP($H356,Nutrition_tables!$A:$N,14,FALSE)*$Q356/100</f>
        <v>0.11002331002331001</v>
      </c>
      <c r="AA356" s="583">
        <f>VLOOKUP($H356,Nutrition_tables!$A:$AF,13,FALSE)*$Q356/100</f>
        <v>0.25011655011655015</v>
      </c>
      <c r="AB356" s="549">
        <f>VLOOKUP($H356,Nutrition_tables!$A:$AF,15,FALSE)*$Q356/100</f>
        <v>1.6083916083916083E-2</v>
      </c>
      <c r="AC356" s="583">
        <f>VLOOKUP($H356,Nutrition_tables!$A:$AF,16,FALSE)*$Q356/100</f>
        <v>0.28997668997668996</v>
      </c>
      <c r="AD356" s="583">
        <f>VLOOKUP($H356,Nutrition_tables!$A:$AF,17,FALSE)*$Q356/100</f>
        <v>15.8</v>
      </c>
      <c r="AE356" s="583">
        <f>VLOOKUP($H356,Nutrition_tables!$A:$AF,18,FALSE)*$Q356/100</f>
        <v>2.4</v>
      </c>
      <c r="AF356" s="583">
        <f>VLOOKUP($H356,Nutrition_tables!$A:$AF,19,FALSE)*$Q356/100</f>
        <v>2.4799533799533804</v>
      </c>
      <c r="AG356" s="583">
        <f>VLOOKUP($H356,Nutrition_tables!$A:$AF,20,FALSE)*$Q356/100</f>
        <v>10.599999999999998</v>
      </c>
      <c r="AH356" s="583">
        <f>VLOOKUP($H356,Nutrition_tables!$A:$AF,21,FALSE)*$Q356/100</f>
        <v>8.9044289044289043E-2</v>
      </c>
      <c r="AI356" s="583">
        <f>VLOOKUP($H356,Nutrition_tables!$A:$AF,22,FALSE)*$Q356/100</f>
        <v>6.9930069930069921E-2</v>
      </c>
      <c r="AJ356" s="549">
        <f>VLOOKUP($H356,Nutrition_tables!$A:$AF,23,FALSE)*$Q356/100</f>
        <v>5.011655011655012E-2</v>
      </c>
      <c r="AK356" s="583">
        <f>VLOOKUP($H356,Nutrition_tables!$A:$AF,24,FALSE)*$Q356/100</f>
        <v>0</v>
      </c>
      <c r="AL356" s="583">
        <f>VLOOKUP($H356,Nutrition_tables!$A:$AF,25,FALSE)*$Q356/100</f>
        <v>1.491841491841492E-2</v>
      </c>
      <c r="AM356" s="583">
        <f>VLOOKUP($H356,Nutrition_tables!$A:$AF,26,FALSE)*$Q356/100</f>
        <v>3.9627039627039623E-3</v>
      </c>
      <c r="AN356" s="583">
        <f>VLOOKUP($H356,Nutrition_tables!$A:$AF,27,FALSE)*$Q356/100</f>
        <v>0.13100233100233102</v>
      </c>
      <c r="AO356" s="583">
        <f>VLOOKUP($H356,Nutrition_tables!$A:$AF,28,FALSE)*$Q356/100</f>
        <v>6.9930069930069913E-3</v>
      </c>
      <c r="AP356" s="583">
        <f>VLOOKUP($H356,Nutrition_tables!$A:$AF,29,FALSE)*$Q356/100</f>
        <v>1.6400932400932402</v>
      </c>
      <c r="AQ356" s="583">
        <f>VLOOKUP($H356,Nutrition_tables!$A:$AF,30,FALSE)*$Q356/100</f>
        <v>9.0909090909090887E-3</v>
      </c>
      <c r="AR356" s="583">
        <f>VLOOKUP($H356,Nutrition_tables!$A:$AF,31,FALSE)*$Q356/100</f>
        <v>0</v>
      </c>
      <c r="AS356" s="549">
        <f>VLOOKUP($H356,Nutrition_tables!$A:$AF,32,FALSE)*$Q356/100</f>
        <v>0</v>
      </c>
      <c r="AT356" s="583">
        <f>IF(H356="Select ingredient:","",IF(G356="Select food category:","",IFERROR(VLOOKUP($H356,Ingredient_prices!$E:$W,17,FALSE)*$Q356/1000,"not bought")))</f>
        <v>0.43119999999999997</v>
      </c>
      <c r="AU356" s="583">
        <f>IF(H356="Select ingredient:","",IF(G356="Select food category:","",IFERROR(VLOOKUP($H356,Ingredient_prices!$E:$W,18,FALSE)*$Q356/1000,"not bought")))</f>
        <v>0.43119999999999997</v>
      </c>
      <c r="AV356" s="583">
        <f t="shared" si="850"/>
        <v>27.86692388132786</v>
      </c>
      <c r="AW356" s="583">
        <f t="shared" si="851"/>
        <v>6.0995456487061004</v>
      </c>
      <c r="AX356" s="583">
        <f t="shared" si="852"/>
        <v>0.74384925615074382</v>
      </c>
      <c r="AY356" s="583">
        <f t="shared" si="853"/>
        <v>8.6148165600086146E-2</v>
      </c>
      <c r="AZ356" s="583">
        <f t="shared" si="854"/>
        <v>0.19584106290019587</v>
      </c>
      <c r="BA356" s="583">
        <f t="shared" si="855"/>
        <v>1.2593693700012593E-2</v>
      </c>
      <c r="BB356" s="583">
        <f t="shared" si="856"/>
        <v>0.22705152120022704</v>
      </c>
      <c r="BC356" s="583">
        <f t="shared" si="857"/>
        <v>12.371387628612373</v>
      </c>
      <c r="BD356" s="583">
        <f t="shared" si="858"/>
        <v>1.8791981208018791</v>
      </c>
      <c r="BE356" s="583">
        <f t="shared" si="859"/>
        <v>1.9418015547019423</v>
      </c>
      <c r="BF356" s="583">
        <f t="shared" si="860"/>
        <v>8.2997917002082993</v>
      </c>
      <c r="BG356" s="583">
        <f t="shared" si="861"/>
        <v>6.9721608600069734E-2</v>
      </c>
      <c r="BH356" s="583">
        <f t="shared" si="862"/>
        <v>5.475519000005475E-2</v>
      </c>
      <c r="BI356" s="583">
        <f t="shared" si="863"/>
        <v>3.9241219500039247E-2</v>
      </c>
      <c r="BJ356" s="583">
        <f t="shared" si="864"/>
        <v>0</v>
      </c>
      <c r="BK356" s="583">
        <f t="shared" si="865"/>
        <v>1.1681107200011682E-2</v>
      </c>
      <c r="BL356" s="583">
        <f t="shared" si="866"/>
        <v>3.1027941000031025E-3</v>
      </c>
      <c r="BM356" s="583">
        <f t="shared" si="867"/>
        <v>0.1025747226001026</v>
      </c>
      <c r="BN356" s="583">
        <f t="shared" si="868"/>
        <v>5.4755190000054747E-3</v>
      </c>
      <c r="BO356" s="583">
        <f t="shared" si="869"/>
        <v>1.2841917228012842</v>
      </c>
      <c r="BP356" s="583">
        <f t="shared" si="870"/>
        <v>7.1181747000071171E-3</v>
      </c>
      <c r="BQ356" s="583">
        <f t="shared" si="871"/>
        <v>0</v>
      </c>
      <c r="BR356" s="583">
        <f t="shared" si="872"/>
        <v>0</v>
      </c>
    </row>
    <row r="357" spans="1:70" s="229" customFormat="1" ht="15" customHeight="1">
      <c r="A357" s="643"/>
      <c r="D357" s="85"/>
      <c r="E357" s="576">
        <f t="shared" si="873"/>
        <v>100</v>
      </c>
      <c r="F357" s="248"/>
      <c r="G357" s="406" t="s">
        <v>3140</v>
      </c>
      <c r="H357" s="578" t="s">
        <v>3100</v>
      </c>
      <c r="I357" s="85">
        <v>10</v>
      </c>
      <c r="J357" s="682">
        <v>1</v>
      </c>
      <c r="K357" s="579">
        <f t="shared" si="847"/>
        <v>1.1000000000000001</v>
      </c>
      <c r="L357" s="580">
        <f>IF(H357="Select ingredient:","",IF(G357="","",_xlfn.IFNA(VLOOKUP($H357,Ingredient_prices!$E:$U,16,FALSE),0)))</f>
        <v>120</v>
      </c>
      <c r="M357" s="848"/>
      <c r="N357" s="848"/>
      <c r="O357" s="648"/>
      <c r="P357" s="653"/>
      <c r="Q357" s="583">
        <f t="shared" si="848"/>
        <v>10</v>
      </c>
      <c r="R357" s="583">
        <f>VLOOKUP($H357,'CO2_emission+%_food_waste'!$A:$K,6,FALSE)*$Q357/100</f>
        <v>2.65</v>
      </c>
      <c r="S357" s="583">
        <f t="shared" si="849"/>
        <v>7.35</v>
      </c>
      <c r="T357" s="583">
        <f>IF(H357="Select ingredient:","",IF(G357="Select food category:","",_xlfn.IFNA(VLOOKUP($H357,Ingredient_prices!$E:$U,16,FALSE)*$Q357/1000,"not bought")))</f>
        <v>1.2</v>
      </c>
      <c r="U357" s="583">
        <f>IF(G357="Select food category:","",_xlfn.IFNA(VLOOKUP($H357,Ingredient_prices!$E:$U,16,FALSE)*$R357/1000,"not bought"))</f>
        <v>0.318</v>
      </c>
      <c r="V357" s="549">
        <f>VLOOKUP($H357,'CO2_emission+%_food_waste'!$A:$K,4,FALSE)*$Q357</f>
        <v>4.8</v>
      </c>
      <c r="W357" s="583">
        <f>VLOOKUP($H357,Nutrition_tables!$A:$N,10,FALSE)*$Q357/100</f>
        <v>2.8</v>
      </c>
      <c r="X357" s="583">
        <f>VLOOKUP($H357,Nutrition_tables!$A:$N,11,FALSE)*$Q357/100</f>
        <v>1</v>
      </c>
      <c r="Y357" s="583">
        <f>VLOOKUP($H357,Nutrition_tables!$A:$N,12,FALSE)*$Q357/100</f>
        <v>0.11766666666666666</v>
      </c>
      <c r="Z357" s="583">
        <f>VLOOKUP($H357,Nutrition_tables!$A:$N,14,FALSE)*$Q357/100</f>
        <v>2.5000000000000001E-2</v>
      </c>
      <c r="AA357" s="583">
        <f>VLOOKUP($H357,Nutrition_tables!$A:$AF,13,FALSE)*$Q357/100</f>
        <v>0.17</v>
      </c>
      <c r="AB357" s="549">
        <f>VLOOKUP($H357,Nutrition_tables!$A:$AF,15,FALSE)*$Q357/100</f>
        <v>9.5000000000000015E-3</v>
      </c>
      <c r="AC357" s="583">
        <f>VLOOKUP($H357,Nutrition_tables!$A:$AF,16,FALSE)*$Q357/100</f>
        <v>0.4</v>
      </c>
      <c r="AD357" s="583">
        <f>VLOOKUP($H357,Nutrition_tables!$A:$AF,17,FALSE)*$Q357/100</f>
        <v>14.6</v>
      </c>
      <c r="AE357" s="583">
        <f>VLOOKUP($H357,Nutrition_tables!$A:$AF,18,FALSE)*$Q357/100</f>
        <v>2.2999999999999998</v>
      </c>
      <c r="AF357" s="583">
        <f>VLOOKUP($H357,Nutrition_tables!$A:$AF,19,FALSE)*$Q357/100</f>
        <v>1</v>
      </c>
      <c r="AG357" s="583">
        <f>VLOOKUP($H357,Nutrition_tables!$A:$AF,20,FALSE)*$Q357/100</f>
        <v>2.9</v>
      </c>
      <c r="AH357" s="583">
        <f>VLOOKUP($H357,Nutrition_tables!$A:$AF,21,FALSE)*$Q357/100</f>
        <v>2.1000000000000001E-2</v>
      </c>
      <c r="AI357" s="583">
        <f>VLOOKUP($H357,Nutrition_tables!$A:$AF,22,FALSE)*$Q357/100</f>
        <v>1.7000000000000001E-2</v>
      </c>
      <c r="AJ357" s="549">
        <f>VLOOKUP($H357,Nutrition_tables!$A:$AF,23,FALSE)*$Q357/100</f>
        <v>4.0000000000000001E-3</v>
      </c>
      <c r="AK357" s="583">
        <f>VLOOKUP($H357,Nutrition_tables!$A:$AF,24,FALSE)*$Q357/100</f>
        <v>0</v>
      </c>
      <c r="AL357" s="583">
        <f>VLOOKUP($H357,Nutrition_tables!$A:$AF,25,FALSE)*$Q357/100</f>
        <v>4.9999999999999992E-3</v>
      </c>
      <c r="AM357" s="583">
        <f>VLOOKUP($H357,Nutrition_tables!$A:$AF,26,FALSE)*$Q357/100</f>
        <v>3.0000000000000001E-3</v>
      </c>
      <c r="AN357" s="583">
        <f>VLOOKUP($H357,Nutrition_tables!$A:$AF,27,FALSE)*$Q357/100</f>
        <v>1.2E-2</v>
      </c>
      <c r="AO357" s="583">
        <f>VLOOKUP($H357,Nutrition_tables!$A:$AF,28,FALSE)*$Q357/100</f>
        <v>7.1999999999999994E-4</v>
      </c>
      <c r="AP357" s="583">
        <f>VLOOKUP($H357,Nutrition_tables!$A:$AF,29,FALSE)*$Q357/100</f>
        <v>3.6</v>
      </c>
      <c r="AQ357" s="583">
        <f>VLOOKUP($H357,Nutrition_tables!$A:$AF,30,FALSE)*$Q357/100</f>
        <v>0</v>
      </c>
      <c r="AR357" s="583">
        <f>VLOOKUP($H357,Nutrition_tables!$A:$AF,31,FALSE)*$Q357/100</f>
        <v>0.74</v>
      </c>
      <c r="AS357" s="549">
        <f>VLOOKUP($H357,Nutrition_tables!$A:$AF,32,FALSE)*$Q357/100</f>
        <v>0</v>
      </c>
      <c r="AT357" s="583">
        <f>IF(H357="Select ingredient:","",IF(G357="Select food category:","",IFERROR(VLOOKUP($H357,Ingredient_prices!$E:$W,17,FALSE)*$Q357/1000,"not bought")))</f>
        <v>0.93500000000000005</v>
      </c>
      <c r="AU357" s="583">
        <f>IF(H357="Select ingredient:","",IF(G357="Select food category:","",IFERROR(VLOOKUP($H357,Ingredient_prices!$E:$W,18,FALSE)*$Q357/1000,"not bought")))</f>
        <v>1.2</v>
      </c>
      <c r="AV357" s="583">
        <f t="shared" si="850"/>
        <v>2.057997942002058</v>
      </c>
      <c r="AW357" s="583">
        <f t="shared" si="851"/>
        <v>0.73499926500073498</v>
      </c>
      <c r="AX357" s="583">
        <f t="shared" si="852"/>
        <v>8.6484913515086484E-2</v>
      </c>
      <c r="AY357" s="583">
        <f t="shared" si="853"/>
        <v>1.8374981625018376E-2</v>
      </c>
      <c r="AZ357" s="583">
        <f t="shared" si="854"/>
        <v>0.12494987505012496</v>
      </c>
      <c r="BA357" s="583">
        <f t="shared" si="855"/>
        <v>6.9824930175069839E-3</v>
      </c>
      <c r="BB357" s="583">
        <f t="shared" si="856"/>
        <v>0.29399970600029401</v>
      </c>
      <c r="BC357" s="583">
        <f t="shared" si="857"/>
        <v>10.730989269010729</v>
      </c>
      <c r="BD357" s="583">
        <f t="shared" si="858"/>
        <v>1.6904983095016903</v>
      </c>
      <c r="BE357" s="583">
        <f t="shared" si="859"/>
        <v>0.73499926500073498</v>
      </c>
      <c r="BF357" s="583">
        <f t="shared" si="860"/>
        <v>2.1314978685021315</v>
      </c>
      <c r="BG357" s="583">
        <f t="shared" si="861"/>
        <v>1.5434984565015438E-2</v>
      </c>
      <c r="BH357" s="583">
        <f t="shared" si="862"/>
        <v>1.2494987505012496E-2</v>
      </c>
      <c r="BI357" s="583">
        <f t="shared" si="863"/>
        <v>2.9399970600029399E-3</v>
      </c>
      <c r="BJ357" s="583">
        <f t="shared" si="864"/>
        <v>0</v>
      </c>
      <c r="BK357" s="583">
        <f t="shared" si="865"/>
        <v>3.6749963250036744E-3</v>
      </c>
      <c r="BL357" s="583">
        <f t="shared" si="866"/>
        <v>2.2049977950022049E-3</v>
      </c>
      <c r="BM357" s="583">
        <f t="shared" si="867"/>
        <v>8.8199911800088196E-3</v>
      </c>
      <c r="BN357" s="583">
        <f t="shared" si="868"/>
        <v>5.2919947080052915E-4</v>
      </c>
      <c r="BO357" s="583">
        <f t="shared" si="869"/>
        <v>2.6459973540026462</v>
      </c>
      <c r="BP357" s="583">
        <f t="shared" si="870"/>
        <v>0</v>
      </c>
      <c r="BQ357" s="583">
        <f t="shared" si="871"/>
        <v>0.54389945610054391</v>
      </c>
      <c r="BR357" s="583">
        <f t="shared" si="872"/>
        <v>0</v>
      </c>
    </row>
    <row r="358" spans="1:70" s="229" customFormat="1" ht="15" customHeight="1">
      <c r="A358" s="643"/>
      <c r="D358" s="85"/>
      <c r="E358" s="576">
        <f t="shared" si="873"/>
        <v>100</v>
      </c>
      <c r="F358" s="1103"/>
      <c r="G358" s="406" t="s">
        <v>3075</v>
      </c>
      <c r="H358" s="578" t="s">
        <v>3239</v>
      </c>
      <c r="I358" s="85">
        <v>15</v>
      </c>
      <c r="J358" s="682">
        <v>1</v>
      </c>
      <c r="K358" s="579">
        <f t="shared" si="847"/>
        <v>1.65</v>
      </c>
      <c r="L358" s="580">
        <f>IF(H358="Select ingredient:","",IF(G358="","",_xlfn.IFNA(VLOOKUP($H358,Ingredient_prices!$E:$U,16,FALSE),0)))</f>
        <v>121</v>
      </c>
      <c r="M358" s="848"/>
      <c r="N358" s="848"/>
      <c r="O358" s="648"/>
      <c r="P358" s="653"/>
      <c r="Q358" s="583">
        <f t="shared" si="848"/>
        <v>15</v>
      </c>
      <c r="R358" s="583">
        <f>VLOOKUP($H358,'CO2_emission+%_food_waste'!$A:$K,6,FALSE)*$Q358/100</f>
        <v>4.17</v>
      </c>
      <c r="S358" s="583">
        <f t="shared" si="849"/>
        <v>10.83</v>
      </c>
      <c r="T358" s="583">
        <f>IF(H358="Select ingredient:","",IF(G358="Select food category:","",_xlfn.IFNA(VLOOKUP($H358,Ingredient_prices!$E:$U,16,FALSE)*$Q358/1000,"not bought")))</f>
        <v>1.8149999999999999</v>
      </c>
      <c r="U358" s="583">
        <f>IF(G358="Select food category:","",_xlfn.IFNA(VLOOKUP($H358,Ingredient_prices!$E:$U,16,FALSE)*$R358/1000,"not bought"))</f>
        <v>0.50456999999999996</v>
      </c>
      <c r="V358" s="549">
        <f>VLOOKUP($H358,'CO2_emission+%_food_waste'!$A:$K,4,FALSE)*$Q358</f>
        <v>70.95</v>
      </c>
      <c r="W358" s="583">
        <f>VLOOKUP($H358,Nutrition_tables!$A:$N,10,FALSE)*$Q358/100</f>
        <v>132.64815000000002</v>
      </c>
      <c r="X358" s="583">
        <f>VLOOKUP($H358,Nutrition_tables!$A:$N,11,FALSE)*$Q358/100</f>
        <v>1.4999999999999999E-2</v>
      </c>
      <c r="Y358" s="583">
        <f>VLOOKUP($H358,Nutrition_tables!$A:$N,12,FALSE)*$Q358/100</f>
        <v>1.4999999999999999E-2</v>
      </c>
      <c r="Z358" s="583">
        <f>VLOOKUP($H358,Nutrition_tables!$A:$N,14,FALSE)*$Q358/100</f>
        <v>14.924999999999997</v>
      </c>
      <c r="AA358" s="583">
        <f>VLOOKUP($H358,Nutrition_tables!$A:$AF,13,FALSE)*$Q358/100</f>
        <v>0</v>
      </c>
      <c r="AB358" s="549">
        <f>VLOOKUP($H358,Nutrition_tables!$A:$AF,15,FALSE)*$Q358/100</f>
        <v>1.0185000000000002</v>
      </c>
      <c r="AC358" s="583">
        <f>VLOOKUP($H358,Nutrition_tables!$A:$AF,16,FALSE)*$Q358/100</f>
        <v>1.4999999999999999E-2</v>
      </c>
      <c r="AD358" s="583">
        <f>VLOOKUP($H358,Nutrition_tables!$A:$AF,17,FALSE)*$Q358/100</f>
        <v>0</v>
      </c>
      <c r="AE358" s="583">
        <f>VLOOKUP($H358,Nutrition_tables!$A:$AF,18,FALSE)*$Q358/100</f>
        <v>0.03</v>
      </c>
      <c r="AF358" s="583">
        <f>VLOOKUP($H358,Nutrition_tables!$A:$AF,19,FALSE)*$Q358/100</f>
        <v>0.15</v>
      </c>
      <c r="AG358" s="583">
        <f>VLOOKUP($H358,Nutrition_tables!$A:$AF,20,FALSE)*$Q358/100</f>
        <v>0</v>
      </c>
      <c r="AH358" s="583">
        <f>VLOOKUP($H358,Nutrition_tables!$A:$AF,21,FALSE)*$Q358/100</f>
        <v>1.4999999999999999E-2</v>
      </c>
      <c r="AI358" s="583">
        <f>VLOOKUP($H358,Nutrition_tables!$A:$AF,22,FALSE)*$Q358/100</f>
        <v>0</v>
      </c>
      <c r="AJ358" s="549">
        <f>VLOOKUP($H358,Nutrition_tables!$A:$AF,23,FALSE)*$Q358/100</f>
        <v>0</v>
      </c>
      <c r="AK358" s="583">
        <f>VLOOKUP($H358,Nutrition_tables!$A:$AF,24,FALSE)*$Q358/100</f>
        <v>0</v>
      </c>
      <c r="AL358" s="583">
        <f>VLOOKUP($H358,Nutrition_tables!$A:$AF,25,FALSE)*$Q358/100</f>
        <v>0</v>
      </c>
      <c r="AM358" s="583">
        <f>VLOOKUP($H358,Nutrition_tables!$A:$AF,26,FALSE)*$Q358/100</f>
        <v>0</v>
      </c>
      <c r="AN358" s="583">
        <f>VLOOKUP($H358,Nutrition_tables!$A:$AF,27,FALSE)*$Q358/100</f>
        <v>0</v>
      </c>
      <c r="AO358" s="583">
        <f>VLOOKUP($H358,Nutrition_tables!$A:$AF,28,FALSE)*$Q358/100</f>
        <v>0</v>
      </c>
      <c r="AP358" s="583">
        <f>VLOOKUP($H358,Nutrition_tables!$A:$AF,29,FALSE)*$Q358/100</f>
        <v>0</v>
      </c>
      <c r="AQ358" s="583">
        <f>VLOOKUP($H358,Nutrition_tables!$A:$AF,30,FALSE)*$Q358/100</f>
        <v>0</v>
      </c>
      <c r="AR358" s="583">
        <f>VLOOKUP($H358,Nutrition_tables!$A:$AF,31,FALSE)*$Q358/100</f>
        <v>0</v>
      </c>
      <c r="AS358" s="549">
        <f>VLOOKUP($H358,Nutrition_tables!$A:$AF,32,FALSE)*$Q358/100</f>
        <v>0</v>
      </c>
      <c r="AT358" s="583">
        <f>IF(H358="Select ingredient:","",IF(G358="Select food category:","",IFERROR(VLOOKUP($H358,Ingredient_prices!$E:$W,17,FALSE)*$Q358/1000,"not bought")))</f>
        <v>1.8149999999999999</v>
      </c>
      <c r="AU358" s="583">
        <f>IF(H358="Select ingredient:","",IF(G358="Select food category:","",IFERROR(VLOOKUP($H358,Ingredient_prices!$E:$W,18,FALSE)*$Q358/1000,"not bought")))</f>
        <v>1.8149999999999999</v>
      </c>
      <c r="AV358" s="583">
        <f t="shared" si="850"/>
        <v>95.771900452066376</v>
      </c>
      <c r="AW358" s="583">
        <f t="shared" si="851"/>
        <v>1.0829992780004813E-2</v>
      </c>
      <c r="AX358" s="583">
        <f t="shared" si="852"/>
        <v>1.0829992780004813E-2</v>
      </c>
      <c r="AY358" s="583">
        <f t="shared" si="853"/>
        <v>10.775842816104788</v>
      </c>
      <c r="AZ358" s="583">
        <f t="shared" si="854"/>
        <v>0</v>
      </c>
      <c r="BA358" s="583">
        <f t="shared" si="855"/>
        <v>0.73535650976232703</v>
      </c>
      <c r="BB358" s="583">
        <f t="shared" si="856"/>
        <v>1.0829992780004813E-2</v>
      </c>
      <c r="BC358" s="583">
        <f t="shared" si="857"/>
        <v>0</v>
      </c>
      <c r="BD358" s="583">
        <f t="shared" si="858"/>
        <v>2.1659985560009625E-2</v>
      </c>
      <c r="BE358" s="583">
        <f t="shared" si="859"/>
        <v>0.10829992780004814</v>
      </c>
      <c r="BF358" s="583">
        <f t="shared" si="860"/>
        <v>0</v>
      </c>
      <c r="BG358" s="583">
        <f t="shared" si="861"/>
        <v>1.0829992780004813E-2</v>
      </c>
      <c r="BH358" s="583">
        <f t="shared" si="862"/>
        <v>0</v>
      </c>
      <c r="BI358" s="583">
        <f t="shared" si="863"/>
        <v>0</v>
      </c>
      <c r="BJ358" s="583">
        <f t="shared" si="864"/>
        <v>0</v>
      </c>
      <c r="BK358" s="583">
        <f t="shared" si="865"/>
        <v>0</v>
      </c>
      <c r="BL358" s="583">
        <f t="shared" si="866"/>
        <v>0</v>
      </c>
      <c r="BM358" s="583">
        <f t="shared" si="867"/>
        <v>0</v>
      </c>
      <c r="BN358" s="583">
        <f t="shared" si="868"/>
        <v>0</v>
      </c>
      <c r="BO358" s="583">
        <f t="shared" si="869"/>
        <v>0</v>
      </c>
      <c r="BP358" s="583">
        <f t="shared" si="870"/>
        <v>0</v>
      </c>
      <c r="BQ358" s="583">
        <f t="shared" si="871"/>
        <v>0</v>
      </c>
      <c r="BR358" s="583">
        <f t="shared" si="872"/>
        <v>0</v>
      </c>
    </row>
    <row r="359" spans="1:70" s="229" customFormat="1" ht="15" customHeight="1">
      <c r="A359" s="643"/>
      <c r="D359" s="85"/>
      <c r="E359" s="576">
        <f t="shared" si="873"/>
        <v>100</v>
      </c>
      <c r="F359" s="82"/>
      <c r="G359" s="406" t="s">
        <v>3140</v>
      </c>
      <c r="H359" s="578" t="s">
        <v>3126</v>
      </c>
      <c r="I359" s="85">
        <v>15</v>
      </c>
      <c r="J359" s="682">
        <v>1</v>
      </c>
      <c r="K359" s="579">
        <f t="shared" si="847"/>
        <v>1.65</v>
      </c>
      <c r="L359" s="580">
        <f>IF(H359="Select ingredient:","",IF(G359="","",_xlfn.IFNA(VLOOKUP($H359,Ingredient_prices!$E:$U,16,FALSE),0)))</f>
        <v>99</v>
      </c>
      <c r="M359" s="848"/>
      <c r="N359" s="848"/>
      <c r="O359" s="648"/>
      <c r="P359" s="653"/>
      <c r="Q359" s="583">
        <f t="shared" si="848"/>
        <v>15</v>
      </c>
      <c r="R359" s="583">
        <f>VLOOKUP($H359,'CO2_emission+%_food_waste'!$A:$K,6,FALSE)*$Q359/100</f>
        <v>4.1399999999999997</v>
      </c>
      <c r="S359" s="583">
        <f t="shared" si="849"/>
        <v>10.86</v>
      </c>
      <c r="T359" s="583">
        <f>IF(H359="Select ingredient:","",IF(G359="Select food category:","",_xlfn.IFNA(VLOOKUP($H359,Ingredient_prices!$E:$U,16,FALSE)*$Q359/1000,"not bought")))</f>
        <v>1.4850000000000001</v>
      </c>
      <c r="U359" s="583">
        <f>IF(G359="Select food category:","",_xlfn.IFNA(VLOOKUP($H359,Ingredient_prices!$E:$U,16,FALSE)*$R359/1000,"not bought"))</f>
        <v>0.40985999999999995</v>
      </c>
      <c r="V359" s="549">
        <f>VLOOKUP($H359,'CO2_emission+%_food_waste'!$A:$K,4,FALSE)*$Q359</f>
        <v>37.5</v>
      </c>
      <c r="W359" s="583">
        <f>VLOOKUP($H359,Nutrition_tables!$A:$N,10,FALSE)*$Q359/100</f>
        <v>12.9</v>
      </c>
      <c r="X359" s="583">
        <f>VLOOKUP($H359,Nutrition_tables!$A:$N,11,FALSE)*$Q359/100</f>
        <v>2.5049999999999999</v>
      </c>
      <c r="Y359" s="583">
        <f>VLOOKUP($H359,Nutrition_tables!$A:$N,12,FALSE)*$Q359/100</f>
        <v>0.49049999999999999</v>
      </c>
      <c r="Z359" s="583">
        <f>VLOOKUP($H359,Nutrition_tables!$A:$N,14,FALSE)*$Q359/100</f>
        <v>0.20250000000000001</v>
      </c>
      <c r="AA359" s="583">
        <f>VLOOKUP($H359,Nutrition_tables!$A:$AF,13,FALSE)*$Q359/100</f>
        <v>0.3</v>
      </c>
      <c r="AB359" s="549">
        <f>VLOOKUP($H359,Nutrition_tables!$A:$AF,15,FALSE)*$Q359/100</f>
        <v>0.10008</v>
      </c>
      <c r="AC359" s="583">
        <f>VLOOKUP($H359,Nutrition_tables!$A:$AF,16,FALSE)*$Q359/100</f>
        <v>5.25</v>
      </c>
      <c r="AD359" s="583">
        <f>VLOOKUP($H359,Nutrition_tables!$A:$AF,17,FALSE)*$Q359/100</f>
        <v>43.05</v>
      </c>
      <c r="AE359" s="583">
        <f>VLOOKUP($H359,Nutrition_tables!$A:$AF,18,FALSE)*$Q359/100</f>
        <v>1.05</v>
      </c>
      <c r="AF359" s="583">
        <f>VLOOKUP($H359,Nutrition_tables!$A:$AF,19,FALSE)*$Q359/100</f>
        <v>19.05</v>
      </c>
      <c r="AG359" s="583">
        <f>VLOOKUP($H359,Nutrition_tables!$A:$AF,20,FALSE)*$Q359/100</f>
        <v>31.5</v>
      </c>
      <c r="AH359" s="583">
        <f>VLOOKUP($H359,Nutrition_tables!$A:$AF,21,FALSE)*$Q359/100</f>
        <v>0.40649999999999997</v>
      </c>
      <c r="AI359" s="583">
        <f>VLOOKUP($H359,Nutrition_tables!$A:$AF,22,FALSE)*$Q359/100</f>
        <v>0.33149999999999996</v>
      </c>
      <c r="AJ359" s="549">
        <f>VLOOKUP($H359,Nutrition_tables!$A:$AF,23,FALSE)*$Q359/100</f>
        <v>4.7100000000000003E-2</v>
      </c>
      <c r="AK359" s="583">
        <f>VLOOKUP($H359,Nutrition_tables!$A:$AF,24,FALSE)*$Q359/100</f>
        <v>1.65</v>
      </c>
      <c r="AL359" s="583">
        <f>VLOOKUP($H359,Nutrition_tables!$A:$AF,25,FALSE)*$Q359/100</f>
        <v>5.7779999999999998E-2</v>
      </c>
      <c r="AM359" s="583">
        <f>VLOOKUP($H359,Nutrition_tables!$A:$AF,26,FALSE)*$Q359/100</f>
        <v>3.0179999999999995E-2</v>
      </c>
      <c r="AN359" s="583">
        <f>VLOOKUP($H359,Nutrition_tables!$A:$AF,27,FALSE)*$Q359/100</f>
        <v>0.54408000000000001</v>
      </c>
      <c r="AO359" s="583">
        <f>VLOOKUP($H359,Nutrition_tables!$A:$AF,28,FALSE)*$Q359/100</f>
        <v>2.4E-2</v>
      </c>
      <c r="AP359" s="583">
        <f>VLOOKUP($H359,Nutrition_tables!$A:$AF,29,FALSE)*$Q359/100</f>
        <v>2.85</v>
      </c>
      <c r="AQ359" s="583">
        <f>VLOOKUP($H359,Nutrition_tables!$A:$AF,30,FALSE)*$Q359/100</f>
        <v>-6.0000000000000002E-5</v>
      </c>
      <c r="AR359" s="583">
        <f>VLOOKUP($H359,Nutrition_tables!$A:$AF,31,FALSE)*$Q359/100</f>
        <v>0.46500000000000002</v>
      </c>
      <c r="AS359" s="549">
        <f>VLOOKUP($H359,Nutrition_tables!$A:$AF,32,FALSE)*$Q359/100</f>
        <v>-6.0000000000000002E-5</v>
      </c>
      <c r="AT359" s="583">
        <f>IF(H359="Select ingredient:","",IF(G359="Select food category:","",IFERROR(VLOOKUP($H359,Ingredient_prices!$E:$W,17,FALSE)*$Q359/1000,"not bought")))</f>
        <v>1.4850000000000001</v>
      </c>
      <c r="AU359" s="583">
        <f>IF(H359="Select ingredient:","",IF(G359="Select food category:","",IFERROR(VLOOKUP($H359,Ingredient_prices!$E:$W,18,FALSE)*$Q359/1000,"not bought")))</f>
        <v>1.4850000000000001</v>
      </c>
      <c r="AV359" s="583">
        <f t="shared" si="850"/>
        <v>9.3395937736041503</v>
      </c>
      <c r="AW359" s="583">
        <f t="shared" si="851"/>
        <v>1.8136187909208059</v>
      </c>
      <c r="AX359" s="583">
        <f t="shared" si="852"/>
        <v>0.35512176325215777</v>
      </c>
      <c r="AY359" s="583">
        <f t="shared" si="853"/>
        <v>0.14660990226006515</v>
      </c>
      <c r="AZ359" s="583">
        <f t="shared" si="854"/>
        <v>0.21719985520009652</v>
      </c>
      <c r="BA359" s="583">
        <f t="shared" si="855"/>
        <v>7.2457871694752207E-2</v>
      </c>
      <c r="BB359" s="583">
        <f t="shared" si="856"/>
        <v>3.8009974660016894</v>
      </c>
      <c r="BC359" s="583">
        <f t="shared" si="857"/>
        <v>31.168179221213851</v>
      </c>
      <c r="BD359" s="583">
        <f t="shared" si="858"/>
        <v>0.76019949320033797</v>
      </c>
      <c r="BE359" s="583">
        <f t="shared" si="859"/>
        <v>13.792190805206131</v>
      </c>
      <c r="BF359" s="583">
        <f t="shared" si="860"/>
        <v>22.805984796010137</v>
      </c>
      <c r="BG359" s="583">
        <f t="shared" si="861"/>
        <v>0.2943058037961308</v>
      </c>
      <c r="BH359" s="583">
        <f t="shared" si="862"/>
        <v>0.24000583999610664</v>
      </c>
      <c r="BI359" s="583">
        <f t="shared" si="863"/>
        <v>3.4100377266415155E-2</v>
      </c>
      <c r="BJ359" s="583">
        <f t="shared" si="864"/>
        <v>1.1945992036005308</v>
      </c>
      <c r="BK359" s="583">
        <f t="shared" si="865"/>
        <v>4.1832692111538589E-2</v>
      </c>
      <c r="BL359" s="583">
        <f t="shared" si="866"/>
        <v>2.1850305433129706E-2</v>
      </c>
      <c r="BM359" s="583">
        <f t="shared" si="867"/>
        <v>0.39391365739089507</v>
      </c>
      <c r="BN359" s="583">
        <f t="shared" si="868"/>
        <v>1.7375988416007723E-2</v>
      </c>
      <c r="BO359" s="583">
        <f t="shared" si="869"/>
        <v>2.063398624400917</v>
      </c>
      <c r="BP359" s="583">
        <f t="shared" si="870"/>
        <v>-4.343997104001931E-5</v>
      </c>
      <c r="BQ359" s="583">
        <f t="shared" si="871"/>
        <v>0.33665977556014964</v>
      </c>
      <c r="BR359" s="583">
        <f t="shared" si="872"/>
        <v>-4.343997104001931E-5</v>
      </c>
    </row>
    <row r="360" spans="1:70" s="229" customFormat="1" ht="15" customHeight="1">
      <c r="A360" s="643"/>
      <c r="D360" s="85"/>
      <c r="E360" s="576">
        <f t="shared" si="873"/>
        <v>100</v>
      </c>
      <c r="F360" s="85" t="s">
        <v>3048</v>
      </c>
      <c r="G360" s="406" t="s">
        <v>3140</v>
      </c>
      <c r="H360" s="578" t="s">
        <v>3137</v>
      </c>
      <c r="I360" s="85">
        <v>150</v>
      </c>
      <c r="J360" s="682">
        <v>1</v>
      </c>
      <c r="K360" s="579">
        <f t="shared" si="847"/>
        <v>16.5</v>
      </c>
      <c r="L360" s="580">
        <f>IF(H360="Select ingredient:","",IF(G360="","",_xlfn.IFNA(VLOOKUP($H360,Ingredient_prices!$E:$U,16,FALSE),0)))</f>
        <v>149.6</v>
      </c>
      <c r="M360" s="848"/>
      <c r="N360" s="848"/>
      <c r="O360" s="648"/>
      <c r="P360" s="653"/>
      <c r="Q360" s="583">
        <f t="shared" si="848"/>
        <v>150</v>
      </c>
      <c r="R360" s="583">
        <f>VLOOKUP($H360,'CO2_emission+%_food_waste'!$A:$K,6,FALSE)*$Q360/100</f>
        <v>75</v>
      </c>
      <c r="S360" s="583">
        <f t="shared" si="849"/>
        <v>75</v>
      </c>
      <c r="T360" s="583">
        <f>IF(H360="Select ingredient:","",IF(G360="Select food category:","",_xlfn.IFNA(VLOOKUP($H360,Ingredient_prices!$E:$U,16,FALSE)*$Q360/1000,"not bought")))</f>
        <v>22.44</v>
      </c>
      <c r="U360" s="583">
        <f>IF(G360="Select food category:","",_xlfn.IFNA(VLOOKUP($H360,Ingredient_prices!$E:$U,16,FALSE)*$R360/1000,"not bought"))</f>
        <v>11.22</v>
      </c>
      <c r="V360" s="549">
        <f>VLOOKUP($H360,'CO2_emission+%_food_waste'!$A:$K,4,FALSE)*$Q360</f>
        <v>240</v>
      </c>
      <c r="W360" s="583">
        <f>VLOOKUP($H360,Nutrition_tables!$A:$N,10,FALSE)*$Q360/100</f>
        <v>30.9</v>
      </c>
      <c r="X360" s="583">
        <f>VLOOKUP($H360,Nutrition_tables!$A:$N,11,FALSE)*$Q360/100</f>
        <v>4.3499999999999996</v>
      </c>
      <c r="Y360" s="583">
        <f>VLOOKUP($H360,Nutrition_tables!$A:$N,12,FALSE)*$Q360/100</f>
        <v>3.15</v>
      </c>
      <c r="Z360" s="583">
        <f>VLOOKUP($H360,Nutrition_tables!$A:$N,14,FALSE)*$Q360/100</f>
        <v>0.75</v>
      </c>
      <c r="AA360" s="583">
        <f>VLOOKUP($H360,Nutrition_tables!$A:$AF,13,FALSE)*$Q360/100</f>
        <v>3</v>
      </c>
      <c r="AB360" s="549">
        <f>VLOOKUP($H360,Nutrition_tables!$A:$AF,15,FALSE)*$Q360/100</f>
        <v>8.5500000000000007E-2</v>
      </c>
      <c r="AC360" s="583">
        <f>VLOOKUP($H360,Nutrition_tables!$A:$AF,16,FALSE)*$Q360/100</f>
        <v>61.5</v>
      </c>
      <c r="AD360" s="583">
        <f>VLOOKUP($H360,Nutrition_tables!$A:$AF,17,FALSE)*$Q360/100</f>
        <v>673.5</v>
      </c>
      <c r="AE360" s="583">
        <f>VLOOKUP($H360,Nutrition_tables!$A:$AF,18,FALSE)*$Q360/100</f>
        <v>328.5</v>
      </c>
      <c r="AF360" s="583">
        <f>VLOOKUP($H360,Nutrition_tables!$A:$AF,19,FALSE)*$Q360/100</f>
        <v>39</v>
      </c>
      <c r="AG360" s="583">
        <f>VLOOKUP($H360,Nutrition_tables!$A:$AF,20,FALSE)*$Q360/100</f>
        <v>69.599999999999994</v>
      </c>
      <c r="AH360" s="583">
        <f>VLOOKUP($H360,Nutrition_tables!$A:$AF,21,FALSE)*$Q360/100</f>
        <v>3</v>
      </c>
      <c r="AI360" s="583">
        <f>VLOOKUP($H360,Nutrition_tables!$A:$AF,22,FALSE)*$Q360/100</f>
        <v>0.61499999999999988</v>
      </c>
      <c r="AJ360" s="549">
        <f>VLOOKUP($H360,Nutrition_tables!$A:$AF,23,FALSE)*$Q360/100</f>
        <v>0.15</v>
      </c>
      <c r="AK360" s="583">
        <f>VLOOKUP($H360,Nutrition_tables!$A:$AF,24,FALSE)*$Q360/100</f>
        <v>912</v>
      </c>
      <c r="AL360" s="583">
        <f>VLOOKUP($H360,Nutrition_tables!$A:$AF,25,FALSE)*$Q360/100</f>
        <v>0.14099999999999999</v>
      </c>
      <c r="AM360" s="583">
        <f>VLOOKUP($H360,Nutrition_tables!$A:$AF,26,FALSE)*$Q360/100</f>
        <v>0.33600000000000002</v>
      </c>
      <c r="AN360" s="583">
        <f>VLOOKUP($H360,Nutrition_tables!$A:$AF,27,FALSE)*$Q360/100</f>
        <v>1.605</v>
      </c>
      <c r="AO360" s="583">
        <f>VLOOKUP($H360,Nutrition_tables!$A:$AF,28,FALSE)*$Q360/100</f>
        <v>0.28499999999999998</v>
      </c>
      <c r="AP360" s="583">
        <f>VLOOKUP($H360,Nutrition_tables!$A:$AF,29,FALSE)*$Q360/100</f>
        <v>330</v>
      </c>
      <c r="AQ360" s="583">
        <f>VLOOKUP($H360,Nutrition_tables!$A:$AF,30,FALSE)*$Q360/100</f>
        <v>0</v>
      </c>
      <c r="AR360" s="583">
        <f>VLOOKUP($H360,Nutrition_tables!$A:$AF,31,FALSE)*$Q360/100</f>
        <v>28.5</v>
      </c>
      <c r="AS360" s="549">
        <f>VLOOKUP($H360,Nutrition_tables!$A:$AF,32,FALSE)*$Q360/100</f>
        <v>0</v>
      </c>
      <c r="AT360" s="583">
        <f>IF(H360="Select ingredient:","",IF(G360="Select food category:","",IFERROR(VLOOKUP($H360,Ingredient_prices!$E:$W,17,FALSE)*$Q360/1000,"not bought")))</f>
        <v>22.44</v>
      </c>
      <c r="AU360" s="583">
        <f>IF(H360="Select ingredient:","",IF(G360="Select food category:","",IFERROR(VLOOKUP($H360,Ingredient_prices!$E:$W,18,FALSE)*$Q360/1000,"not bought")))</f>
        <v>22.44</v>
      </c>
      <c r="AV360" s="583">
        <f t="shared" si="850"/>
        <v>15.449998970000069</v>
      </c>
      <c r="AW360" s="583">
        <f t="shared" si="851"/>
        <v>2.1749998550000096</v>
      </c>
      <c r="AX360" s="583">
        <f t="shared" si="852"/>
        <v>1.574999895000007</v>
      </c>
      <c r="AY360" s="583">
        <f t="shared" si="853"/>
        <v>0.37499997500000165</v>
      </c>
      <c r="AZ360" s="583">
        <f t="shared" si="854"/>
        <v>1.4999999000000066</v>
      </c>
      <c r="BA360" s="583">
        <f t="shared" si="855"/>
        <v>4.2749997150000191E-2</v>
      </c>
      <c r="BB360" s="583">
        <f t="shared" si="856"/>
        <v>30.749997950000136</v>
      </c>
      <c r="BC360" s="583">
        <f t="shared" si="857"/>
        <v>336.74997755000152</v>
      </c>
      <c r="BD360" s="583">
        <f t="shared" si="858"/>
        <v>164.24998905000072</v>
      </c>
      <c r="BE360" s="583">
        <f t="shared" si="859"/>
        <v>19.499998700000088</v>
      </c>
      <c r="BF360" s="583">
        <f t="shared" si="860"/>
        <v>34.799997680000153</v>
      </c>
      <c r="BG360" s="583">
        <f t="shared" si="861"/>
        <v>1.4999999000000066</v>
      </c>
      <c r="BH360" s="583">
        <f t="shared" si="862"/>
        <v>0.3074999795000013</v>
      </c>
      <c r="BI360" s="583">
        <f t="shared" si="863"/>
        <v>7.4999995000000333E-2</v>
      </c>
      <c r="BJ360" s="583">
        <f t="shared" si="864"/>
        <v>455.99996960000203</v>
      </c>
      <c r="BK360" s="583">
        <f t="shared" si="865"/>
        <v>7.0499995300000312E-2</v>
      </c>
      <c r="BL360" s="583">
        <f t="shared" si="866"/>
        <v>0.16799998880000075</v>
      </c>
      <c r="BM360" s="583">
        <f t="shared" si="867"/>
        <v>0.80249994650000356</v>
      </c>
      <c r="BN360" s="583">
        <f t="shared" si="868"/>
        <v>0.14249999050000062</v>
      </c>
      <c r="BO360" s="583">
        <f t="shared" si="869"/>
        <v>164.99998900000074</v>
      </c>
      <c r="BP360" s="583">
        <f t="shared" si="870"/>
        <v>0</v>
      </c>
      <c r="BQ360" s="583">
        <f t="shared" si="871"/>
        <v>14.249999050000064</v>
      </c>
      <c r="BR360" s="583">
        <f t="shared" si="872"/>
        <v>0</v>
      </c>
    </row>
    <row r="361" spans="1:70" s="229" customFormat="1" ht="15" customHeight="1">
      <c r="A361" s="643"/>
      <c r="D361" s="406"/>
      <c r="E361" s="576">
        <f t="shared" si="873"/>
        <v>100</v>
      </c>
      <c r="F361" s="248"/>
      <c r="G361" s="406" t="s">
        <v>3140</v>
      </c>
      <c r="H361" s="578" t="s">
        <v>3100</v>
      </c>
      <c r="I361" s="85">
        <v>10</v>
      </c>
      <c r="J361" s="682">
        <v>1</v>
      </c>
      <c r="K361" s="579">
        <f t="shared" si="847"/>
        <v>1.1000000000000001</v>
      </c>
      <c r="L361" s="580">
        <f>IF(H361="Select ingredient:","",IF(G361="","",_xlfn.IFNA(VLOOKUP($H361,Ingredient_prices!$E:$U,16,FALSE),0)))</f>
        <v>120</v>
      </c>
      <c r="M361" s="848"/>
      <c r="N361" s="848"/>
      <c r="O361" s="648"/>
      <c r="P361" s="653"/>
      <c r="Q361" s="583">
        <f t="shared" si="848"/>
        <v>10</v>
      </c>
      <c r="R361" s="583">
        <f>VLOOKUP($H361,'CO2_emission+%_food_waste'!$A:$K,6,FALSE)*$Q361/100</f>
        <v>2.65</v>
      </c>
      <c r="S361" s="583">
        <f t="shared" si="849"/>
        <v>7.35</v>
      </c>
      <c r="T361" s="583">
        <f>IF(H361="Select ingredient:","",IF(G361="Select food category:","",_xlfn.IFNA(VLOOKUP($H361,Ingredient_prices!$E:$U,16,FALSE)*$Q361/1000,"not bought")))</f>
        <v>1.2</v>
      </c>
      <c r="U361" s="583">
        <f>IF(G361="Select food category:","",_xlfn.IFNA(VLOOKUP($H361,Ingredient_prices!$E:$U,16,FALSE)*$R361/1000,"not bought"))</f>
        <v>0.318</v>
      </c>
      <c r="V361" s="549">
        <f>VLOOKUP($H361,'CO2_emission+%_food_waste'!$A:$K,4,FALSE)*$Q361</f>
        <v>4.8</v>
      </c>
      <c r="W361" s="583">
        <f>VLOOKUP($H361,Nutrition_tables!$A:$N,10,FALSE)*$Q361/100</f>
        <v>2.8</v>
      </c>
      <c r="X361" s="583">
        <f>VLOOKUP($H361,Nutrition_tables!$A:$N,11,FALSE)*$Q361/100</f>
        <v>1</v>
      </c>
      <c r="Y361" s="583">
        <f>VLOOKUP($H361,Nutrition_tables!$A:$N,12,FALSE)*$Q361/100</f>
        <v>0.11766666666666666</v>
      </c>
      <c r="Z361" s="583">
        <f>VLOOKUP($H361,Nutrition_tables!$A:$N,14,FALSE)*$Q361/100</f>
        <v>2.5000000000000001E-2</v>
      </c>
      <c r="AA361" s="583">
        <f>VLOOKUP($H361,Nutrition_tables!$A:$AF,13,FALSE)*$Q361/100</f>
        <v>0.17</v>
      </c>
      <c r="AB361" s="549">
        <f>VLOOKUP($H361,Nutrition_tables!$A:$AF,15,FALSE)*$Q361/100</f>
        <v>9.5000000000000015E-3</v>
      </c>
      <c r="AC361" s="583">
        <f>VLOOKUP($H361,Nutrition_tables!$A:$AF,16,FALSE)*$Q361/100</f>
        <v>0.4</v>
      </c>
      <c r="AD361" s="583">
        <f>VLOOKUP($H361,Nutrition_tables!$A:$AF,17,FALSE)*$Q361/100</f>
        <v>14.6</v>
      </c>
      <c r="AE361" s="583">
        <f>VLOOKUP($H361,Nutrition_tables!$A:$AF,18,FALSE)*$Q361/100</f>
        <v>2.2999999999999998</v>
      </c>
      <c r="AF361" s="583">
        <f>VLOOKUP($H361,Nutrition_tables!$A:$AF,19,FALSE)*$Q361/100</f>
        <v>1</v>
      </c>
      <c r="AG361" s="583">
        <f>VLOOKUP($H361,Nutrition_tables!$A:$AF,20,FALSE)*$Q361/100</f>
        <v>2.9</v>
      </c>
      <c r="AH361" s="583">
        <f>VLOOKUP($H361,Nutrition_tables!$A:$AF,21,FALSE)*$Q361/100</f>
        <v>2.1000000000000001E-2</v>
      </c>
      <c r="AI361" s="583">
        <f>VLOOKUP($H361,Nutrition_tables!$A:$AF,22,FALSE)*$Q361/100</f>
        <v>1.7000000000000001E-2</v>
      </c>
      <c r="AJ361" s="549">
        <f>VLOOKUP($H361,Nutrition_tables!$A:$AF,23,FALSE)*$Q361/100</f>
        <v>4.0000000000000001E-3</v>
      </c>
      <c r="AK361" s="583">
        <f>VLOOKUP($H361,Nutrition_tables!$A:$AF,24,FALSE)*$Q361/100</f>
        <v>0</v>
      </c>
      <c r="AL361" s="583">
        <f>VLOOKUP($H361,Nutrition_tables!$A:$AF,25,FALSE)*$Q361/100</f>
        <v>4.9999999999999992E-3</v>
      </c>
      <c r="AM361" s="583">
        <f>VLOOKUP($H361,Nutrition_tables!$A:$AF,26,FALSE)*$Q361/100</f>
        <v>3.0000000000000001E-3</v>
      </c>
      <c r="AN361" s="583">
        <f>VLOOKUP($H361,Nutrition_tables!$A:$AF,27,FALSE)*$Q361/100</f>
        <v>1.2E-2</v>
      </c>
      <c r="AO361" s="583">
        <f>VLOOKUP($H361,Nutrition_tables!$A:$AF,28,FALSE)*$Q361/100</f>
        <v>7.1999999999999994E-4</v>
      </c>
      <c r="AP361" s="583">
        <f>VLOOKUP($H361,Nutrition_tables!$A:$AF,29,FALSE)*$Q361/100</f>
        <v>3.6</v>
      </c>
      <c r="AQ361" s="583">
        <f>VLOOKUP($H361,Nutrition_tables!$A:$AF,30,FALSE)*$Q361/100</f>
        <v>0</v>
      </c>
      <c r="AR361" s="583">
        <f>VLOOKUP($H361,Nutrition_tables!$A:$AF,31,FALSE)*$Q361/100</f>
        <v>0.74</v>
      </c>
      <c r="AS361" s="549">
        <f>VLOOKUP($H361,Nutrition_tables!$A:$AF,32,FALSE)*$Q361/100</f>
        <v>0</v>
      </c>
      <c r="AT361" s="583">
        <f>IF(H361="Select ingredient:","",IF(G361="Select food category:","",IFERROR(VLOOKUP($H361,Ingredient_prices!$E:$W,17,FALSE)*$Q361/1000,"not bought")))</f>
        <v>0.93500000000000005</v>
      </c>
      <c r="AU361" s="583">
        <f>IF(H361="Select ingredient:","",IF(G361="Select food category:","",IFERROR(VLOOKUP($H361,Ingredient_prices!$E:$W,18,FALSE)*$Q361/1000,"not bought")))</f>
        <v>1.2</v>
      </c>
      <c r="AV361" s="583">
        <f t="shared" si="850"/>
        <v>2.057997942002058</v>
      </c>
      <c r="AW361" s="583">
        <f t="shared" si="851"/>
        <v>0.73499926500073498</v>
      </c>
      <c r="AX361" s="583">
        <f t="shared" si="852"/>
        <v>8.6484913515086484E-2</v>
      </c>
      <c r="AY361" s="583">
        <f t="shared" si="853"/>
        <v>1.8374981625018376E-2</v>
      </c>
      <c r="AZ361" s="583">
        <f t="shared" si="854"/>
        <v>0.12494987505012496</v>
      </c>
      <c r="BA361" s="583">
        <f t="shared" si="855"/>
        <v>6.9824930175069839E-3</v>
      </c>
      <c r="BB361" s="583">
        <f t="shared" si="856"/>
        <v>0.29399970600029401</v>
      </c>
      <c r="BC361" s="583">
        <f t="shared" si="857"/>
        <v>10.730989269010729</v>
      </c>
      <c r="BD361" s="583">
        <f t="shared" si="858"/>
        <v>1.6904983095016903</v>
      </c>
      <c r="BE361" s="583">
        <f t="shared" si="859"/>
        <v>0.73499926500073498</v>
      </c>
      <c r="BF361" s="583">
        <f t="shared" si="860"/>
        <v>2.1314978685021315</v>
      </c>
      <c r="BG361" s="583">
        <f t="shared" si="861"/>
        <v>1.5434984565015438E-2</v>
      </c>
      <c r="BH361" s="583">
        <f t="shared" si="862"/>
        <v>1.2494987505012496E-2</v>
      </c>
      <c r="BI361" s="583">
        <f t="shared" si="863"/>
        <v>2.9399970600029399E-3</v>
      </c>
      <c r="BJ361" s="583">
        <f t="shared" si="864"/>
        <v>0</v>
      </c>
      <c r="BK361" s="583">
        <f t="shared" si="865"/>
        <v>3.6749963250036744E-3</v>
      </c>
      <c r="BL361" s="583">
        <f t="shared" si="866"/>
        <v>2.2049977950022049E-3</v>
      </c>
      <c r="BM361" s="583">
        <f t="shared" si="867"/>
        <v>8.8199911800088196E-3</v>
      </c>
      <c r="BN361" s="583">
        <f t="shared" si="868"/>
        <v>5.2919947080052915E-4</v>
      </c>
      <c r="BO361" s="583">
        <f t="shared" si="869"/>
        <v>2.6459973540026462</v>
      </c>
      <c r="BP361" s="583">
        <f t="shared" si="870"/>
        <v>0</v>
      </c>
      <c r="BQ361" s="583">
        <f t="shared" si="871"/>
        <v>0.54389945610054391</v>
      </c>
      <c r="BR361" s="583">
        <f t="shared" si="872"/>
        <v>0</v>
      </c>
    </row>
    <row r="362" spans="1:70" s="229" customFormat="1" ht="15" customHeight="1">
      <c r="A362" s="643"/>
      <c r="D362" s="85"/>
      <c r="E362" s="576">
        <f t="shared" si="873"/>
        <v>100</v>
      </c>
      <c r="F362" s="85"/>
      <c r="G362" s="406" t="s">
        <v>3075</v>
      </c>
      <c r="H362" s="578" t="s">
        <v>3239</v>
      </c>
      <c r="I362" s="85">
        <v>4</v>
      </c>
      <c r="J362" s="682">
        <v>1</v>
      </c>
      <c r="K362" s="579">
        <f t="shared" si="847"/>
        <v>0.44000000000000006</v>
      </c>
      <c r="L362" s="580">
        <f>IF(H362="Select ingredient:","",IF(G362="","",_xlfn.IFNA(VLOOKUP($H362,Ingredient_prices!$E:$U,16,FALSE),0)))</f>
        <v>121</v>
      </c>
      <c r="M362" s="848"/>
      <c r="N362" s="848"/>
      <c r="O362" s="648"/>
      <c r="P362" s="653"/>
      <c r="Q362" s="583">
        <f t="shared" si="848"/>
        <v>4</v>
      </c>
      <c r="R362" s="583">
        <f>VLOOKUP($H362,'CO2_emission+%_food_waste'!$A:$K,6,FALSE)*$Q362/100</f>
        <v>1.1120000000000001</v>
      </c>
      <c r="S362" s="583">
        <f t="shared" si="849"/>
        <v>2.8879999999999999</v>
      </c>
      <c r="T362" s="583">
        <f>IF(H362="Select ingredient:","",IF(G362="Select food category:","",_xlfn.IFNA(VLOOKUP($H362,Ingredient_prices!$E:$U,16,FALSE)*$Q362/1000,"not bought")))</f>
        <v>0.48399999999999999</v>
      </c>
      <c r="U362" s="583">
        <f>IF(G362="Select food category:","",_xlfn.IFNA(VLOOKUP($H362,Ingredient_prices!$E:$U,16,FALSE)*$R362/1000,"not bought"))</f>
        <v>0.13455200000000003</v>
      </c>
      <c r="V362" s="549">
        <f>VLOOKUP($H362,'CO2_emission+%_food_waste'!$A:$K,4,FALSE)*$Q362</f>
        <v>18.920000000000002</v>
      </c>
      <c r="W362" s="583">
        <f>VLOOKUP($H362,Nutrition_tables!$A:$N,10,FALSE)*$Q362/100</f>
        <v>35.372840000000004</v>
      </c>
      <c r="X362" s="583">
        <f>VLOOKUP($H362,Nutrition_tables!$A:$N,11,FALSE)*$Q362/100</f>
        <v>4.0000000000000001E-3</v>
      </c>
      <c r="Y362" s="583">
        <f>VLOOKUP($H362,Nutrition_tables!$A:$N,12,FALSE)*$Q362/100</f>
        <v>4.0000000000000001E-3</v>
      </c>
      <c r="Z362" s="583">
        <f>VLOOKUP($H362,Nutrition_tables!$A:$N,14,FALSE)*$Q362/100</f>
        <v>3.9799999999999995</v>
      </c>
      <c r="AA362" s="583">
        <f>VLOOKUP($H362,Nutrition_tables!$A:$AF,13,FALSE)*$Q362/100</f>
        <v>0</v>
      </c>
      <c r="AB362" s="549">
        <f>VLOOKUP($H362,Nutrition_tables!$A:$AF,15,FALSE)*$Q362/100</f>
        <v>0.27160000000000006</v>
      </c>
      <c r="AC362" s="583">
        <f>VLOOKUP($H362,Nutrition_tables!$A:$AF,16,FALSE)*$Q362/100</f>
        <v>4.0000000000000001E-3</v>
      </c>
      <c r="AD362" s="583">
        <f>VLOOKUP($H362,Nutrition_tables!$A:$AF,17,FALSE)*$Q362/100</f>
        <v>0</v>
      </c>
      <c r="AE362" s="583">
        <f>VLOOKUP($H362,Nutrition_tables!$A:$AF,18,FALSE)*$Q362/100</f>
        <v>8.0000000000000002E-3</v>
      </c>
      <c r="AF362" s="583">
        <f>VLOOKUP($H362,Nutrition_tables!$A:$AF,19,FALSE)*$Q362/100</f>
        <v>0.04</v>
      </c>
      <c r="AG362" s="583">
        <f>VLOOKUP($H362,Nutrition_tables!$A:$AF,20,FALSE)*$Q362/100</f>
        <v>0</v>
      </c>
      <c r="AH362" s="583">
        <f>VLOOKUP($H362,Nutrition_tables!$A:$AF,21,FALSE)*$Q362/100</f>
        <v>4.0000000000000001E-3</v>
      </c>
      <c r="AI362" s="583">
        <f>VLOOKUP($H362,Nutrition_tables!$A:$AF,22,FALSE)*$Q362/100</f>
        <v>0</v>
      </c>
      <c r="AJ362" s="549">
        <f>VLOOKUP($H362,Nutrition_tables!$A:$AF,23,FALSE)*$Q362/100</f>
        <v>0</v>
      </c>
      <c r="AK362" s="583">
        <f>VLOOKUP($H362,Nutrition_tables!$A:$AF,24,FALSE)*$Q362/100</f>
        <v>0</v>
      </c>
      <c r="AL362" s="583">
        <f>VLOOKUP($H362,Nutrition_tables!$A:$AF,25,FALSE)*$Q362/100</f>
        <v>0</v>
      </c>
      <c r="AM362" s="583">
        <f>VLOOKUP($H362,Nutrition_tables!$A:$AF,26,FALSE)*$Q362/100</f>
        <v>0</v>
      </c>
      <c r="AN362" s="583">
        <f>VLOOKUP($H362,Nutrition_tables!$A:$AF,27,FALSE)*$Q362/100</f>
        <v>0</v>
      </c>
      <c r="AO362" s="583">
        <f>VLOOKUP($H362,Nutrition_tables!$A:$AF,28,FALSE)*$Q362/100</f>
        <v>0</v>
      </c>
      <c r="AP362" s="583">
        <f>VLOOKUP($H362,Nutrition_tables!$A:$AF,29,FALSE)*$Q362/100</f>
        <v>0</v>
      </c>
      <c r="AQ362" s="583">
        <f>VLOOKUP($H362,Nutrition_tables!$A:$AF,30,FALSE)*$Q362/100</f>
        <v>0</v>
      </c>
      <c r="AR362" s="583">
        <f>VLOOKUP($H362,Nutrition_tables!$A:$AF,31,FALSE)*$Q362/100</f>
        <v>0</v>
      </c>
      <c r="AS362" s="549">
        <f>VLOOKUP($H362,Nutrition_tables!$A:$AF,32,FALSE)*$Q362/100</f>
        <v>0</v>
      </c>
      <c r="AT362" s="583">
        <f>IF(H362="Select ingredient:","",IF(G362="Select food category:","",IFERROR(VLOOKUP($H362,Ingredient_prices!$E:$W,17,FALSE)*$Q362/1000,"not bought")))</f>
        <v>0.48399999999999999</v>
      </c>
      <c r="AU362" s="583">
        <f>IF(H362="Select ingredient:","",IF(G362="Select food category:","",IFERROR(VLOOKUP($H362,Ingredient_prices!$E:$W,18,FALSE)*$Q362/1000,"not bought")))</f>
        <v>0.48399999999999999</v>
      </c>
      <c r="AV362" s="583">
        <f t="shared" si="850"/>
        <v>25.539126632183425</v>
      </c>
      <c r="AW362" s="583">
        <f t="shared" si="851"/>
        <v>2.88799278001805E-3</v>
      </c>
      <c r="AX362" s="583">
        <f t="shared" si="852"/>
        <v>2.88799278001805E-3</v>
      </c>
      <c r="AY362" s="583">
        <f t="shared" si="853"/>
        <v>2.8735528161179595</v>
      </c>
      <c r="AZ362" s="583">
        <f t="shared" si="854"/>
        <v>0</v>
      </c>
      <c r="BA362" s="583">
        <f t="shared" si="855"/>
        <v>0.19609470976322566</v>
      </c>
      <c r="BB362" s="583">
        <f t="shared" si="856"/>
        <v>2.88799278001805E-3</v>
      </c>
      <c r="BC362" s="583">
        <f t="shared" si="857"/>
        <v>0</v>
      </c>
      <c r="BD362" s="583">
        <f t="shared" si="858"/>
        <v>5.7759855600360999E-3</v>
      </c>
      <c r="BE362" s="583">
        <f t="shared" si="859"/>
        <v>2.8879927800180501E-2</v>
      </c>
      <c r="BF362" s="583">
        <f t="shared" si="860"/>
        <v>0</v>
      </c>
      <c r="BG362" s="583">
        <f t="shared" si="861"/>
        <v>2.88799278001805E-3</v>
      </c>
      <c r="BH362" s="583">
        <f t="shared" si="862"/>
        <v>0</v>
      </c>
      <c r="BI362" s="583">
        <f t="shared" si="863"/>
        <v>0</v>
      </c>
      <c r="BJ362" s="583">
        <f t="shared" si="864"/>
        <v>0</v>
      </c>
      <c r="BK362" s="583">
        <f t="shared" si="865"/>
        <v>0</v>
      </c>
      <c r="BL362" s="583">
        <f t="shared" si="866"/>
        <v>0</v>
      </c>
      <c r="BM362" s="583">
        <f t="shared" si="867"/>
        <v>0</v>
      </c>
      <c r="BN362" s="583">
        <f t="shared" si="868"/>
        <v>0</v>
      </c>
      <c r="BO362" s="583">
        <f t="shared" si="869"/>
        <v>0</v>
      </c>
      <c r="BP362" s="583">
        <f t="shared" si="870"/>
        <v>0</v>
      </c>
      <c r="BQ362" s="583">
        <f t="shared" si="871"/>
        <v>0</v>
      </c>
      <c r="BR362" s="583">
        <f t="shared" si="872"/>
        <v>0</v>
      </c>
    </row>
    <row r="363" spans="1:70" s="229" customFormat="1" ht="15" customHeight="1">
      <c r="A363" s="643"/>
      <c r="D363" s="85"/>
      <c r="E363" s="576">
        <f t="shared" si="873"/>
        <v>100</v>
      </c>
      <c r="F363" s="406"/>
      <c r="G363" s="406" t="s">
        <v>3141</v>
      </c>
      <c r="H363" s="578" t="s">
        <v>3245</v>
      </c>
      <c r="I363" s="85">
        <v>10</v>
      </c>
      <c r="J363" s="682">
        <v>1</v>
      </c>
      <c r="K363" s="579">
        <f t="shared" si="847"/>
        <v>1.1000000000000001</v>
      </c>
      <c r="L363" s="580">
        <f>IF(H363="Select ingredient:","",IF(G363="","",_xlfn.IFNA(VLOOKUP($H363,Ingredient_prices!$E:$U,16,FALSE),0)))</f>
        <v>43.12</v>
      </c>
      <c r="M363" s="848"/>
      <c r="N363" s="848"/>
      <c r="O363" s="648"/>
      <c r="P363" s="653"/>
      <c r="Q363" s="583">
        <f t="shared" si="848"/>
        <v>10</v>
      </c>
      <c r="R363" s="583">
        <f>VLOOKUP($H363,'CO2_emission+%_food_waste'!$A:$K,6,FALSE)*$Q363/100</f>
        <v>2.17</v>
      </c>
      <c r="S363" s="583">
        <f t="shared" si="849"/>
        <v>7.83</v>
      </c>
      <c r="T363" s="583">
        <f>IF(H363="Select ingredient:","",IF(G363="Select food category:","",_xlfn.IFNA(VLOOKUP($H363,Ingredient_prices!$E:$U,16,FALSE)*$Q363/1000,"not bought")))</f>
        <v>0.43119999999999997</v>
      </c>
      <c r="U363" s="583">
        <f>IF(G363="Select food category:","",_xlfn.IFNA(VLOOKUP($H363,Ingredient_prices!$E:$U,16,FALSE)*$R363/1000,"not bought"))</f>
        <v>9.3570399999999998E-2</v>
      </c>
      <c r="V363" s="549">
        <f>VLOOKUP($H363,'CO2_emission+%_food_waste'!$A:$K,4,FALSE)*$Q363</f>
        <v>16.200000000000003</v>
      </c>
      <c r="W363" s="583">
        <f>VLOOKUP($H363,Nutrition_tables!$A:$N,10,FALSE)*$Q363/100</f>
        <v>35.58997668997668</v>
      </c>
      <c r="X363" s="583">
        <f>VLOOKUP($H363,Nutrition_tables!$A:$N,11,FALSE)*$Q363/100</f>
        <v>7.7899766899766902</v>
      </c>
      <c r="Y363" s="583">
        <f>VLOOKUP($H363,Nutrition_tables!$A:$N,12,FALSE)*$Q363/100</f>
        <v>0.95</v>
      </c>
      <c r="Z363" s="583">
        <f>VLOOKUP($H363,Nutrition_tables!$A:$N,14,FALSE)*$Q363/100</f>
        <v>0.11002331002331001</v>
      </c>
      <c r="AA363" s="583">
        <f>VLOOKUP($H363,Nutrition_tables!$A:$AF,13,FALSE)*$Q363/100</f>
        <v>0.25011655011655015</v>
      </c>
      <c r="AB363" s="549">
        <f>VLOOKUP($H363,Nutrition_tables!$A:$AF,15,FALSE)*$Q363/100</f>
        <v>1.6083916083916083E-2</v>
      </c>
      <c r="AC363" s="583">
        <f>VLOOKUP($H363,Nutrition_tables!$A:$AF,16,FALSE)*$Q363/100</f>
        <v>0.28997668997668996</v>
      </c>
      <c r="AD363" s="583">
        <f>VLOOKUP($H363,Nutrition_tables!$A:$AF,17,FALSE)*$Q363/100</f>
        <v>15.8</v>
      </c>
      <c r="AE363" s="583">
        <f>VLOOKUP($H363,Nutrition_tables!$A:$AF,18,FALSE)*$Q363/100</f>
        <v>2.4</v>
      </c>
      <c r="AF363" s="583">
        <f>VLOOKUP($H363,Nutrition_tables!$A:$AF,19,FALSE)*$Q363/100</f>
        <v>2.4799533799533804</v>
      </c>
      <c r="AG363" s="583">
        <f>VLOOKUP($H363,Nutrition_tables!$A:$AF,20,FALSE)*$Q363/100</f>
        <v>10.599999999999998</v>
      </c>
      <c r="AH363" s="583">
        <f>VLOOKUP($H363,Nutrition_tables!$A:$AF,21,FALSE)*$Q363/100</f>
        <v>8.9044289044289043E-2</v>
      </c>
      <c r="AI363" s="583">
        <f>VLOOKUP($H363,Nutrition_tables!$A:$AF,22,FALSE)*$Q363/100</f>
        <v>6.9930069930069921E-2</v>
      </c>
      <c r="AJ363" s="549">
        <f>VLOOKUP($H363,Nutrition_tables!$A:$AF,23,FALSE)*$Q363/100</f>
        <v>5.011655011655012E-2</v>
      </c>
      <c r="AK363" s="583">
        <f>VLOOKUP($H363,Nutrition_tables!$A:$AF,24,FALSE)*$Q363/100</f>
        <v>0</v>
      </c>
      <c r="AL363" s="583">
        <f>VLOOKUP($H363,Nutrition_tables!$A:$AF,25,FALSE)*$Q363/100</f>
        <v>1.491841491841492E-2</v>
      </c>
      <c r="AM363" s="583">
        <f>VLOOKUP($H363,Nutrition_tables!$A:$AF,26,FALSE)*$Q363/100</f>
        <v>3.9627039627039623E-3</v>
      </c>
      <c r="AN363" s="583">
        <f>VLOOKUP($H363,Nutrition_tables!$A:$AF,27,FALSE)*$Q363/100</f>
        <v>0.13100233100233102</v>
      </c>
      <c r="AO363" s="583">
        <f>VLOOKUP($H363,Nutrition_tables!$A:$AF,28,FALSE)*$Q363/100</f>
        <v>6.9930069930069913E-3</v>
      </c>
      <c r="AP363" s="583">
        <f>VLOOKUP($H363,Nutrition_tables!$A:$AF,29,FALSE)*$Q363/100</f>
        <v>1.6400932400932402</v>
      </c>
      <c r="AQ363" s="583">
        <f>VLOOKUP($H363,Nutrition_tables!$A:$AF,30,FALSE)*$Q363/100</f>
        <v>9.0909090909090887E-3</v>
      </c>
      <c r="AR363" s="583">
        <f>VLOOKUP($H363,Nutrition_tables!$A:$AF,31,FALSE)*$Q363/100</f>
        <v>0</v>
      </c>
      <c r="AS363" s="549">
        <f>VLOOKUP($H363,Nutrition_tables!$A:$AF,32,FALSE)*$Q363/100</f>
        <v>0</v>
      </c>
      <c r="AT363" s="583">
        <f>IF(H363="Select ingredient:","",IF(G363="Select food category:","",IFERROR(VLOOKUP($H363,Ingredient_prices!$E:$W,17,FALSE)*$Q363/1000,"not bought")))</f>
        <v>0.43119999999999997</v>
      </c>
      <c r="AU363" s="583">
        <f>IF(H363="Select ingredient:","",IF(G363="Select food category:","",IFERROR(VLOOKUP($H363,Ingredient_prices!$E:$W,18,FALSE)*$Q363/1000,"not bought")))</f>
        <v>0.43119999999999997</v>
      </c>
      <c r="AV363" s="583">
        <f t="shared" si="850"/>
        <v>27.86692388132786</v>
      </c>
      <c r="AW363" s="583">
        <f t="shared" si="851"/>
        <v>6.0995456487061004</v>
      </c>
      <c r="AX363" s="583">
        <f t="shared" si="852"/>
        <v>0.74384925615074382</v>
      </c>
      <c r="AY363" s="583">
        <f t="shared" si="853"/>
        <v>8.6148165600086146E-2</v>
      </c>
      <c r="AZ363" s="583">
        <f t="shared" si="854"/>
        <v>0.19584106290019587</v>
      </c>
      <c r="BA363" s="583">
        <f t="shared" si="855"/>
        <v>1.2593693700012593E-2</v>
      </c>
      <c r="BB363" s="583">
        <f t="shared" si="856"/>
        <v>0.22705152120022704</v>
      </c>
      <c r="BC363" s="583">
        <f t="shared" si="857"/>
        <v>12.371387628612373</v>
      </c>
      <c r="BD363" s="583">
        <f t="shared" si="858"/>
        <v>1.8791981208018791</v>
      </c>
      <c r="BE363" s="583">
        <f t="shared" si="859"/>
        <v>1.9418015547019423</v>
      </c>
      <c r="BF363" s="583">
        <f t="shared" si="860"/>
        <v>8.2997917002082993</v>
      </c>
      <c r="BG363" s="583">
        <f t="shared" si="861"/>
        <v>6.9721608600069734E-2</v>
      </c>
      <c r="BH363" s="583">
        <f t="shared" si="862"/>
        <v>5.475519000005475E-2</v>
      </c>
      <c r="BI363" s="583">
        <f t="shared" si="863"/>
        <v>3.9241219500039247E-2</v>
      </c>
      <c r="BJ363" s="583">
        <f t="shared" si="864"/>
        <v>0</v>
      </c>
      <c r="BK363" s="583">
        <f t="shared" si="865"/>
        <v>1.1681107200011682E-2</v>
      </c>
      <c r="BL363" s="583">
        <f t="shared" si="866"/>
        <v>3.1027941000031025E-3</v>
      </c>
      <c r="BM363" s="583">
        <f t="shared" si="867"/>
        <v>0.1025747226001026</v>
      </c>
      <c r="BN363" s="583">
        <f t="shared" si="868"/>
        <v>5.4755190000054747E-3</v>
      </c>
      <c r="BO363" s="583">
        <f t="shared" si="869"/>
        <v>1.2841917228012842</v>
      </c>
      <c r="BP363" s="583">
        <f t="shared" si="870"/>
        <v>7.1181747000071171E-3</v>
      </c>
      <c r="BQ363" s="583">
        <f t="shared" si="871"/>
        <v>0</v>
      </c>
      <c r="BR363" s="583">
        <f t="shared" si="872"/>
        <v>0</v>
      </c>
    </row>
    <row r="364" spans="1:70" s="229" customFormat="1" ht="15" customHeight="1">
      <c r="A364" s="643"/>
      <c r="D364" s="85"/>
      <c r="E364" s="576">
        <f t="shared" si="873"/>
        <v>100</v>
      </c>
      <c r="F364" s="85"/>
      <c r="G364" s="406" t="s">
        <v>3085</v>
      </c>
      <c r="H364" s="578" t="s">
        <v>3221</v>
      </c>
      <c r="I364" s="85">
        <v>20</v>
      </c>
      <c r="J364" s="682">
        <v>1</v>
      </c>
      <c r="K364" s="579">
        <f t="shared" si="847"/>
        <v>2.2000000000000002</v>
      </c>
      <c r="L364" s="580">
        <f>IF(H364="Select ingredient:","",IF(G364="","",_xlfn.IFNA(VLOOKUP($H364,Ingredient_prices!$E:$U,16,FALSE),0)))</f>
        <v>91.3</v>
      </c>
      <c r="M364" s="848"/>
      <c r="N364" s="848"/>
      <c r="O364" s="648"/>
      <c r="P364" s="653"/>
      <c r="Q364" s="583">
        <f t="shared" si="848"/>
        <v>20</v>
      </c>
      <c r="R364" s="583">
        <f>VLOOKUP($H364,'CO2_emission+%_food_waste'!$A:$K,6,FALSE)*$Q364/100</f>
        <v>3.46</v>
      </c>
      <c r="S364" s="583">
        <f t="shared" si="849"/>
        <v>16.54</v>
      </c>
      <c r="T364" s="583">
        <f>IF(H364="Select ingredient:","",IF(G364="Select food category:","",_xlfn.IFNA(VLOOKUP($H364,Ingredient_prices!$E:$U,16,FALSE)*$Q364/1000,"not bought")))</f>
        <v>1.8260000000000001</v>
      </c>
      <c r="U364" s="583">
        <f>IF(G364="Select food category:","",_xlfn.IFNA(VLOOKUP($H364,Ingredient_prices!$E:$U,16,FALSE)*$R364/1000,"not bought"))</f>
        <v>0.31589799999999996</v>
      </c>
      <c r="V364" s="549">
        <f>VLOOKUP($H364,'CO2_emission+%_food_waste'!$A:$K,4,FALSE)*$Q364</f>
        <v>29.2</v>
      </c>
      <c r="W364" s="583">
        <f>VLOOKUP($H364,Nutrition_tables!$A:$N,10,FALSE)*$Q364/100</f>
        <v>12</v>
      </c>
      <c r="X364" s="583">
        <f>VLOOKUP($H364,Nutrition_tables!$A:$N,11,FALSE)*$Q364/100</f>
        <v>0.95997200839748076</v>
      </c>
      <c r="Y364" s="583">
        <f>VLOOKUP($H364,Nutrition_tables!$A:$N,12,FALSE)*$Q364/100</f>
        <v>0.68005598320503846</v>
      </c>
      <c r="Z364" s="583">
        <f>VLOOKUP($H364,Nutrition_tables!$A:$N,14,FALSE)*$Q364/100</f>
        <v>0.60000000000000009</v>
      </c>
      <c r="AA364" s="583">
        <f>VLOOKUP($H364,Nutrition_tables!$A:$AF,13,FALSE)*$Q364/100</f>
        <v>0</v>
      </c>
      <c r="AB364" s="549">
        <f>VLOOKUP($H364,Nutrition_tables!$A:$AF,15,FALSE)*$Q364/100</f>
        <v>0.4</v>
      </c>
      <c r="AC364" s="583">
        <f>VLOOKUP($H364,Nutrition_tables!$A:$AF,16,FALSE)*$Q364/100</f>
        <v>8.1999999999999993</v>
      </c>
      <c r="AD364" s="583">
        <f>VLOOKUP($H364,Nutrition_tables!$A:$AF,17,FALSE)*$Q364/100</f>
        <v>32.4</v>
      </c>
      <c r="AE364" s="583">
        <f>VLOOKUP($H364,Nutrition_tables!$A:$AF,18,FALSE)*$Q364/100</f>
        <v>23.2</v>
      </c>
      <c r="AF364" s="583">
        <f>VLOOKUP($H364,Nutrition_tables!$A:$AF,19,FALSE)*$Q364/100</f>
        <v>2.4000000000000004</v>
      </c>
      <c r="AG364" s="583">
        <f>VLOOKUP($H364,Nutrition_tables!$A:$AF,20,FALSE)*$Q364/100</f>
        <v>18.2</v>
      </c>
      <c r="AH364" s="583">
        <f>VLOOKUP($H364,Nutrition_tables!$A:$AF,21,FALSE)*$Q364/100</f>
        <v>7.9776067179846075E-3</v>
      </c>
      <c r="AI364" s="583">
        <f>VLOOKUP($H364,Nutrition_tables!$A:$AF,22,FALSE)*$Q364/100</f>
        <v>8.8033589923023112E-2</v>
      </c>
      <c r="AJ364" s="549">
        <f>VLOOKUP($H364,Nutrition_tables!$A:$AF,23,FALSE)*$Q364/100</f>
        <v>2E-3</v>
      </c>
      <c r="AK364" s="583">
        <f>VLOOKUP($H364,Nutrition_tables!$A:$AF,24,FALSE)*$Q364/100</f>
        <v>5.2</v>
      </c>
      <c r="AL364" s="583">
        <f>VLOOKUP($H364,Nutrition_tables!$A:$AF,25,FALSE)*$Q364/100</f>
        <v>7.9776067179846075E-3</v>
      </c>
      <c r="AM364" s="583">
        <f>VLOOKUP($H364,Nutrition_tables!$A:$AF,26,FALSE)*$Q364/100</f>
        <v>2.7991602519244232E-2</v>
      </c>
      <c r="AN364" s="583">
        <f>VLOOKUP($H364,Nutrition_tables!$A:$AF,27,FALSE)*$Q364/100</f>
        <v>0.17998600419874036</v>
      </c>
      <c r="AO364" s="583">
        <f>VLOOKUP($H364,Nutrition_tables!$A:$AF,28,FALSE)*$Q364/100</f>
        <v>7.9776067179846075E-3</v>
      </c>
      <c r="AP364" s="583">
        <f>VLOOKUP($H364,Nutrition_tables!$A:$AF,29,FALSE)*$Q364/100</f>
        <v>1.0000000000000002</v>
      </c>
      <c r="AQ364" s="583">
        <f>VLOOKUP($H364,Nutrition_tables!$A:$AF,30,FALSE)*$Q364/100</f>
        <v>8.3974807557732692E-2</v>
      </c>
      <c r="AR364" s="583">
        <f>VLOOKUP($H364,Nutrition_tables!$A:$AF,31,FALSE)*$Q364/100</f>
        <v>0</v>
      </c>
      <c r="AS364" s="549">
        <f>VLOOKUP($H364,Nutrition_tables!$A:$AF,32,FALSE)*$Q364/100</f>
        <v>4.0587823652904129E-3</v>
      </c>
      <c r="AT364" s="583">
        <f>IF(H364="Select ingredient:","",IF(G364="Select food category:","",IFERROR(VLOOKUP($H364,Ingredient_prices!$E:$W,17,FALSE)*$Q364/1000,"not bought")))</f>
        <v>1.8260000000000001</v>
      </c>
      <c r="AU364" s="583">
        <f>IF(H364="Select ingredient:","",IF(G364="Select food category:","",IFERROR(VLOOKUP($H364,Ingredient_prices!$E:$W,18,FALSE)*$Q364/1000,"not bought")))</f>
        <v>1.8260000000000001</v>
      </c>
      <c r="AV364" s="583">
        <f t="shared" si="850"/>
        <v>9.9239950380024808</v>
      </c>
      <c r="AW364" s="583">
        <f t="shared" si="851"/>
        <v>0.79389645399648956</v>
      </c>
      <c r="AX364" s="583">
        <f t="shared" si="852"/>
        <v>0.56240601690755843</v>
      </c>
      <c r="AY364" s="583">
        <f t="shared" si="853"/>
        <v>0.49619975190012411</v>
      </c>
      <c r="AZ364" s="583">
        <f t="shared" si="854"/>
        <v>0</v>
      </c>
      <c r="BA364" s="583">
        <f t="shared" si="855"/>
        <v>0.33079983460008267</v>
      </c>
      <c r="BB364" s="583">
        <f t="shared" si="856"/>
        <v>6.7813966093016944</v>
      </c>
      <c r="BC364" s="583">
        <f t="shared" si="857"/>
        <v>26.794786602606695</v>
      </c>
      <c r="BD364" s="583">
        <f t="shared" si="858"/>
        <v>19.186390406804794</v>
      </c>
      <c r="BE364" s="583">
        <f t="shared" si="859"/>
        <v>1.9847990076004964</v>
      </c>
      <c r="BF364" s="583">
        <f t="shared" si="860"/>
        <v>15.051392474303761</v>
      </c>
      <c r="BG364" s="583">
        <f t="shared" si="861"/>
        <v>6.5974774570345422E-3</v>
      </c>
      <c r="BH364" s="583">
        <f t="shared" si="862"/>
        <v>7.2803742464468871E-2</v>
      </c>
      <c r="BI364" s="583">
        <f t="shared" si="863"/>
        <v>1.6539991730004134E-3</v>
      </c>
      <c r="BJ364" s="583">
        <f t="shared" si="864"/>
        <v>4.3003978498010751</v>
      </c>
      <c r="BK364" s="583">
        <f t="shared" si="865"/>
        <v>6.5974774570345422E-3</v>
      </c>
      <c r="BL364" s="583">
        <f t="shared" si="866"/>
        <v>2.3149043708893126E-2</v>
      </c>
      <c r="BM364" s="583">
        <f t="shared" si="867"/>
        <v>0.14884835104818275</v>
      </c>
      <c r="BN364" s="583">
        <f t="shared" si="868"/>
        <v>6.5974774570345422E-3</v>
      </c>
      <c r="BO364" s="583">
        <f t="shared" si="869"/>
        <v>0.82699958650020688</v>
      </c>
      <c r="BP364" s="583">
        <f t="shared" si="870"/>
        <v>6.9447131126679371E-2</v>
      </c>
      <c r="BQ364" s="583">
        <f t="shared" si="871"/>
        <v>0</v>
      </c>
      <c r="BR364" s="583">
        <f t="shared" si="872"/>
        <v>3.3566113377895023E-3</v>
      </c>
    </row>
    <row r="365" spans="1:70" s="229" customFormat="1" ht="15" customHeight="1">
      <c r="A365" s="643"/>
      <c r="D365" s="85"/>
      <c r="E365" s="576">
        <f t="shared" si="873"/>
        <v>100</v>
      </c>
      <c r="F365" s="85"/>
      <c r="G365" s="406" t="s">
        <v>3140</v>
      </c>
      <c r="H365" s="578" t="s">
        <v>414</v>
      </c>
      <c r="I365" s="85">
        <v>0.5</v>
      </c>
      <c r="J365" s="682">
        <v>1</v>
      </c>
      <c r="K365" s="579">
        <f t="shared" si="847"/>
        <v>5.5000000000000007E-2</v>
      </c>
      <c r="L365" s="580">
        <f>IF(H365="Select ingredient:","",IF(G365="","",_xlfn.IFNA(VLOOKUP($H365,Ingredient_prices!$E:$U,16,FALSE),0)))</f>
        <v>1142.8571428571429</v>
      </c>
      <c r="M365" s="848"/>
      <c r="N365" s="848"/>
      <c r="O365" s="648"/>
      <c r="P365" s="653"/>
      <c r="Q365" s="583">
        <f t="shared" si="848"/>
        <v>0.5</v>
      </c>
      <c r="R365" s="583">
        <f>VLOOKUP($H365,'CO2_emission+%_food_waste'!$A:$K,6,FALSE)*$Q365/100</f>
        <v>0.22</v>
      </c>
      <c r="S365" s="583">
        <f t="shared" si="849"/>
        <v>0.28000000000000003</v>
      </c>
      <c r="T365" s="583">
        <f>IF(H365="Select ingredient:","",IF(G365="Select food category:","",_xlfn.IFNA(VLOOKUP($H365,Ingredient_prices!$E:$U,16,FALSE)*$Q365/1000,"not bought")))</f>
        <v>0.5714285714285714</v>
      </c>
      <c r="U365" s="583">
        <f>IF(G365="Select food category:","",_xlfn.IFNA(VLOOKUP($H365,Ingredient_prices!$E:$U,16,FALSE)*$R365/1000,"not bought"))</f>
        <v>0.25142857142857145</v>
      </c>
      <c r="V365" s="549">
        <f>VLOOKUP($H365,'CO2_emission+%_food_waste'!$A:$K,4,FALSE)*$Q365</f>
        <v>0.34</v>
      </c>
      <c r="W365" s="583">
        <f>VLOOKUP($H365,Nutrition_tables!$A:$N,10,FALSE)*$Q365/100</f>
        <v>0.80186666666666684</v>
      </c>
      <c r="X365" s="583">
        <f>VLOOKUP($H365,Nutrition_tables!$A:$N,11,FALSE)*$Q365/100</f>
        <v>0.16550000000000001</v>
      </c>
      <c r="Y365" s="583">
        <f>VLOOKUP($H365,Nutrition_tables!$A:$N,12,FALSE)*$Q365/100</f>
        <v>3.2000000000000001E-2</v>
      </c>
      <c r="Z365" s="583">
        <f>VLOOKUP($H365,Nutrition_tables!$A:$N,14,FALSE)*$Q365/100</f>
        <v>2.5000000000000001E-3</v>
      </c>
      <c r="AA365" s="583">
        <f>VLOOKUP($H365,Nutrition_tables!$A:$AF,13,FALSE)*$Q365/100</f>
        <v>1.0500000000000001E-2</v>
      </c>
      <c r="AB365" s="549">
        <f>VLOOKUP($H365,Nutrition_tables!$A:$AF,15,FALSE)*$Q365/100</f>
        <v>4.5000000000000004E-4</v>
      </c>
      <c r="AC365" s="583">
        <f>VLOOKUP($H365,Nutrition_tables!$A:$AF,16,FALSE)*$Q365/100</f>
        <v>8.5000000000000006E-2</v>
      </c>
      <c r="AD365" s="583">
        <f>VLOOKUP($H365,Nutrition_tables!$A:$AF,17,FALSE)*$Q365/100</f>
        <v>2.0049999999999999</v>
      </c>
      <c r="AE365" s="583">
        <f>VLOOKUP($H365,Nutrition_tables!$A:$AF,18,FALSE)*$Q365/100</f>
        <v>0.10299999999999999</v>
      </c>
      <c r="AF365" s="583">
        <f>VLOOKUP($H365,Nutrition_tables!$A:$AF,19,FALSE)*$Q365/100</f>
        <v>0.125</v>
      </c>
      <c r="AG365" s="583">
        <f>VLOOKUP($H365,Nutrition_tables!$A:$AF,20,FALSE)*$Q365/100</f>
        <v>0.8</v>
      </c>
      <c r="AH365" s="583">
        <f>VLOOKUP($H365,Nutrition_tables!$A:$AF,21,FALSE)*$Q365/100</f>
        <v>8.5000000000000006E-3</v>
      </c>
      <c r="AI365" s="583">
        <f>VLOOKUP($H365,Nutrition_tables!$A:$AF,22,FALSE)*$Q365/100</f>
        <v>5.7999999999999996E-3</v>
      </c>
      <c r="AJ365" s="549">
        <f>VLOOKUP($H365,Nutrition_tables!$A:$AF,23,FALSE)*$Q365/100</f>
        <v>1.495E-3</v>
      </c>
      <c r="AK365" s="583">
        <f>VLOOKUP($H365,Nutrition_tables!$A:$AF,24,FALSE)*$Q365/100</f>
        <v>-5.0000000000000002E-5</v>
      </c>
      <c r="AL365" s="583">
        <f>VLOOKUP($H365,Nutrition_tables!$A:$AF,25,FALSE)*$Q365/100</f>
        <v>1E-3</v>
      </c>
      <c r="AM365" s="583">
        <f>VLOOKUP($H365,Nutrition_tables!$A:$AF,26,FALSE)*$Q365/100</f>
        <v>5.5000000000000003E-4</v>
      </c>
      <c r="AN365" s="583">
        <f>VLOOKUP($H365,Nutrition_tables!$A:$AF,27,FALSE)*$Q365/100</f>
        <v>9.1000000000000004E-3</v>
      </c>
      <c r="AO365" s="583">
        <f>VLOOKUP($H365,Nutrition_tables!$A:$AF,28,FALSE)*$Q365/100</f>
        <v>6.1750000000000008E-3</v>
      </c>
      <c r="AP365" s="583">
        <f>VLOOKUP($H365,Nutrition_tables!$A:$AF,29,FALSE)*$Q365/100</f>
        <v>1.4999999999999999E-2</v>
      </c>
      <c r="AQ365" s="583">
        <f>VLOOKUP($H365,Nutrition_tables!$A:$AF,30,FALSE)*$Q365/100</f>
        <v>0</v>
      </c>
      <c r="AR365" s="583">
        <f>VLOOKUP($H365,Nutrition_tables!$A:$AF,31,FALSE)*$Q365/100</f>
        <v>4.1049999999999996E-2</v>
      </c>
      <c r="AS365" s="549">
        <f>VLOOKUP($H365,Nutrition_tables!$A:$AF,32,FALSE)*$Q365/100</f>
        <v>0</v>
      </c>
      <c r="AT365" s="583">
        <f>IF(H365="Select ingredient:","",IF(G365="Select food category:","",IFERROR(VLOOKUP($H365,Ingredient_prices!$E:$W,17,FALSE)*$Q365/1000,"not bought")))</f>
        <v>0.62859500000000001</v>
      </c>
      <c r="AU365" s="583">
        <f>IF(H365="Select ingredient:","",IF(G365="Select food category:","",IFERROR(VLOOKUP($H365,Ingredient_prices!$E:$W,18,FALSE)*$Q365/1000,"not bought")))</f>
        <v>0.5714285714285714</v>
      </c>
      <c r="AV365" s="583">
        <f t="shared" si="850"/>
        <v>0.44903635260628139</v>
      </c>
      <c r="AW365" s="583">
        <f t="shared" si="851"/>
        <v>9.2678146437071285E-2</v>
      </c>
      <c r="AX365" s="583">
        <f t="shared" si="852"/>
        <v>1.7919641607167861E-2</v>
      </c>
      <c r="AY365" s="583">
        <f t="shared" si="853"/>
        <v>1.3999720005599891E-3</v>
      </c>
      <c r="AZ365" s="583">
        <f t="shared" si="854"/>
        <v>5.8798824023519542E-3</v>
      </c>
      <c r="BA365" s="583">
        <f t="shared" si="855"/>
        <v>2.5199496010079809E-4</v>
      </c>
      <c r="BB365" s="583">
        <f t="shared" si="856"/>
        <v>4.7599048019039636E-2</v>
      </c>
      <c r="BC365" s="583">
        <f t="shared" si="857"/>
        <v>1.122777544449111</v>
      </c>
      <c r="BD365" s="583">
        <f t="shared" si="858"/>
        <v>5.7678846423071549E-2</v>
      </c>
      <c r="BE365" s="583">
        <f t="shared" si="859"/>
        <v>6.9998600027999458E-2</v>
      </c>
      <c r="BF365" s="583">
        <f t="shared" si="860"/>
        <v>0.4479910401791965</v>
      </c>
      <c r="BG365" s="583">
        <f t="shared" si="861"/>
        <v>4.7599048019039639E-3</v>
      </c>
      <c r="BH365" s="583">
        <f t="shared" si="862"/>
        <v>3.2479350412991741E-3</v>
      </c>
      <c r="BI365" s="583">
        <f t="shared" si="863"/>
        <v>8.3718325633487349E-4</v>
      </c>
      <c r="BJ365" s="583">
        <f t="shared" si="864"/>
        <v>-2.7999440011199782E-5</v>
      </c>
      <c r="BK365" s="583">
        <f t="shared" si="865"/>
        <v>5.5998880022399566E-4</v>
      </c>
      <c r="BL365" s="583">
        <f t="shared" si="866"/>
        <v>3.0799384012319763E-4</v>
      </c>
      <c r="BM365" s="583">
        <f t="shared" si="867"/>
        <v>5.0958980820383602E-3</v>
      </c>
      <c r="BN365" s="583">
        <f t="shared" si="868"/>
        <v>3.4579308413831733E-3</v>
      </c>
      <c r="BO365" s="583">
        <f t="shared" si="869"/>
        <v>8.399832003359935E-3</v>
      </c>
      <c r="BP365" s="583">
        <f t="shared" si="870"/>
        <v>0</v>
      </c>
      <c r="BQ365" s="583">
        <f t="shared" si="871"/>
        <v>2.298754024919502E-2</v>
      </c>
      <c r="BR365" s="583">
        <f t="shared" si="872"/>
        <v>0</v>
      </c>
    </row>
    <row r="366" spans="1:70" s="229" customFormat="1" ht="15" customHeight="1">
      <c r="A366" s="643"/>
      <c r="D366" s="85"/>
      <c r="E366" s="576">
        <f t="shared" si="873"/>
        <v>100</v>
      </c>
      <c r="F366" s="85"/>
      <c r="G366" s="406" t="s">
        <v>3076</v>
      </c>
      <c r="H366" s="578" t="s">
        <v>495</v>
      </c>
      <c r="I366" s="85">
        <v>0.09</v>
      </c>
      <c r="J366" s="682">
        <v>1</v>
      </c>
      <c r="K366" s="579">
        <f t="shared" si="847"/>
        <v>9.9000000000000008E-3</v>
      </c>
      <c r="L366" s="580">
        <f>IF(H366="Select ingredient:","",IF(G366="","",_xlfn.IFNA(VLOOKUP($H366,Ingredient_prices!$E:$U,16,FALSE),0)))</f>
        <v>33.6</v>
      </c>
      <c r="M366" s="848"/>
      <c r="N366" s="848"/>
      <c r="O366" s="648"/>
      <c r="P366" s="653"/>
      <c r="Q366" s="583">
        <f t="shared" si="848"/>
        <v>0.09</v>
      </c>
      <c r="R366" s="583">
        <f>VLOOKUP($H366,'CO2_emission+%_food_waste'!$A:$K,6,FALSE)*$Q366/100</f>
        <v>2.7900000000000001E-2</v>
      </c>
      <c r="S366" s="583">
        <f t="shared" si="849"/>
        <v>6.2099999999999995E-2</v>
      </c>
      <c r="T366" s="583">
        <f>IF(H366="Select ingredient:","",IF(G366="Select food category:","",_xlfn.IFNA(VLOOKUP($H366,Ingredient_prices!$E:$U,16,FALSE)*$Q366/1000,"not bought")))</f>
        <v>3.0240000000000002E-3</v>
      </c>
      <c r="U366" s="583">
        <f>IF(G366="Select food category:","",_xlfn.IFNA(VLOOKUP($H366,Ingredient_prices!$E:$U,16,FALSE)*$R366/1000,"not bought"))</f>
        <v>9.374400000000001E-4</v>
      </c>
      <c r="V366" s="549">
        <f>VLOOKUP($H366,'CO2_emission+%_food_waste'!$A:$K,4,FALSE)*$Q366</f>
        <v>1.6199999999999999E-2</v>
      </c>
      <c r="W366" s="583">
        <f>VLOOKUP($H366,Nutrition_tables!$A:$N,10,FALSE)*$Q366/100</f>
        <v>0</v>
      </c>
      <c r="X366" s="583">
        <f>VLOOKUP($H366,Nutrition_tables!$A:$N,11,FALSE)*$Q366/100</f>
        <v>0</v>
      </c>
      <c r="Y366" s="583">
        <f>VLOOKUP($H366,Nutrition_tables!$A:$N,12,FALSE)*$Q366/100</f>
        <v>0</v>
      </c>
      <c r="Z366" s="583">
        <f>VLOOKUP($H366,Nutrition_tables!$A:$N,14,FALSE)*$Q366/100</f>
        <v>0</v>
      </c>
      <c r="AA366" s="583">
        <f>VLOOKUP($H366,Nutrition_tables!$A:$AF,13,FALSE)*$Q366/100</f>
        <v>0</v>
      </c>
      <c r="AB366" s="549">
        <f>VLOOKUP($H366,Nutrition_tables!$A:$AF,15,FALSE)*$Q366/100</f>
        <v>0</v>
      </c>
      <c r="AC366" s="583">
        <f>VLOOKUP($H366,Nutrition_tables!$A:$AF,16,FALSE)*$Q366/100</f>
        <v>34.965000000000003</v>
      </c>
      <c r="AD366" s="583">
        <f>VLOOKUP($H366,Nutrition_tables!$A:$AF,17,FALSE)*$Q366/100</f>
        <v>0.10439999999999998</v>
      </c>
      <c r="AE366" s="583">
        <f>VLOOKUP($H366,Nutrition_tables!$A:$AF,18,FALSE)*$Q366/100</f>
        <v>1.7100000000000001E-2</v>
      </c>
      <c r="AF366" s="583">
        <f>VLOOKUP($H366,Nutrition_tables!$A:$AF,19,FALSE)*$Q366/100</f>
        <v>0.23849999999999999</v>
      </c>
      <c r="AG366" s="583">
        <f>VLOOKUP($H366,Nutrition_tables!$A:$AF,20,FALSE)*$Q366/100</f>
        <v>7.1999999999999998E-3</v>
      </c>
      <c r="AH366" s="583">
        <f>VLOOKUP($H366,Nutrition_tables!$A:$AF,21,FALSE)*$Q366/100</f>
        <v>1.8E-5</v>
      </c>
      <c r="AI366" s="583">
        <f>VLOOKUP($H366,Nutrition_tables!$A:$AF,22,FALSE)*$Q366/100</f>
        <v>8.9999999999999992E-5</v>
      </c>
      <c r="AJ366" s="549">
        <f>VLOOKUP($H366,Nutrition_tables!$A:$AF,23,FALSE)*$Q366/100</f>
        <v>2.6999999999999996E-5</v>
      </c>
      <c r="AK366" s="583">
        <f>VLOOKUP($H366,Nutrition_tables!$A:$AF,24,FALSE)*$Q366/100</f>
        <v>0</v>
      </c>
      <c r="AL366" s="583">
        <f>VLOOKUP($H366,Nutrition_tables!$A:$AF,25,FALSE)*$Q366/100</f>
        <v>0</v>
      </c>
      <c r="AM366" s="583">
        <f>VLOOKUP($H366,Nutrition_tables!$A:$AF,26,FALSE)*$Q366/100</f>
        <v>0</v>
      </c>
      <c r="AN366" s="583">
        <f>VLOOKUP($H366,Nutrition_tables!$A:$AF,27,FALSE)*$Q366/100</f>
        <v>0</v>
      </c>
      <c r="AO366" s="583">
        <f>VLOOKUP($H366,Nutrition_tables!$A:$AF,28,FALSE)*$Q366/100</f>
        <v>0</v>
      </c>
      <c r="AP366" s="583">
        <f>VLOOKUP($H366,Nutrition_tables!$A:$AF,29,FALSE)*$Q366/100</f>
        <v>0</v>
      </c>
      <c r="AQ366" s="583">
        <f>VLOOKUP($H366,Nutrition_tables!$A:$AF,30,FALSE)*$Q366/100</f>
        <v>0</v>
      </c>
      <c r="AR366" s="583">
        <f>VLOOKUP($H366,Nutrition_tables!$A:$AF,31,FALSE)*$Q366/100</f>
        <v>0</v>
      </c>
      <c r="AS366" s="549">
        <f>VLOOKUP($H366,Nutrition_tables!$A:$AF,32,FALSE)*$Q366/100</f>
        <v>0</v>
      </c>
      <c r="AT366" s="583">
        <f>IF(H366="Select ingredient:","",IF(G366="Select food category:","",IFERROR(VLOOKUP($H366,Ingredient_prices!$E:$W,17,FALSE)*$Q366/1000,"not bought")))</f>
        <v>3.0240000000000002E-3</v>
      </c>
      <c r="AU366" s="583">
        <f>IF(H366="Select ingredient:","",IF(G366="Select food category:","",IFERROR(VLOOKUP($H366,Ingredient_prices!$E:$W,18,FALSE)*$Q366/1000,"not bought")))</f>
        <v>3.0240000000000002E-3</v>
      </c>
      <c r="AV366" s="583">
        <f t="shared" si="850"/>
        <v>0</v>
      </c>
      <c r="AW366" s="583">
        <f t="shared" si="851"/>
        <v>0</v>
      </c>
      <c r="AX366" s="583">
        <f t="shared" si="852"/>
        <v>0</v>
      </c>
      <c r="AY366" s="583">
        <f t="shared" si="853"/>
        <v>0</v>
      </c>
      <c r="AZ366" s="583">
        <f t="shared" si="854"/>
        <v>0</v>
      </c>
      <c r="BA366" s="583">
        <f t="shared" si="855"/>
        <v>0</v>
      </c>
      <c r="BB366" s="583">
        <f t="shared" si="856"/>
        <v>24.123169647816912</v>
      </c>
      <c r="BC366" s="583">
        <f t="shared" si="857"/>
        <v>7.2027996889234516E-2</v>
      </c>
      <c r="BD366" s="583">
        <f t="shared" si="858"/>
        <v>1.1797689145650483E-2</v>
      </c>
      <c r="BE366" s="583">
        <f t="shared" si="859"/>
        <v>0.16454671703144094</v>
      </c>
      <c r="BF366" s="583">
        <f t="shared" si="860"/>
        <v>4.9674480613265196E-3</v>
      </c>
      <c r="BG366" s="583">
        <f t="shared" si="861"/>
        <v>1.2418620153316299E-5</v>
      </c>
      <c r="BH366" s="583">
        <f t="shared" si="862"/>
        <v>6.2093100766581484E-5</v>
      </c>
      <c r="BI366" s="583">
        <f t="shared" si="863"/>
        <v>1.8627930229974443E-5</v>
      </c>
      <c r="BJ366" s="583">
        <f t="shared" si="864"/>
        <v>0</v>
      </c>
      <c r="BK366" s="583">
        <f t="shared" si="865"/>
        <v>0</v>
      </c>
      <c r="BL366" s="583">
        <f t="shared" si="866"/>
        <v>0</v>
      </c>
      <c r="BM366" s="583">
        <f t="shared" si="867"/>
        <v>0</v>
      </c>
      <c r="BN366" s="583">
        <f t="shared" si="868"/>
        <v>0</v>
      </c>
      <c r="BO366" s="583">
        <f t="shared" si="869"/>
        <v>0</v>
      </c>
      <c r="BP366" s="583">
        <f t="shared" si="870"/>
        <v>0</v>
      </c>
      <c r="BQ366" s="583">
        <f t="shared" si="871"/>
        <v>0</v>
      </c>
      <c r="BR366" s="583">
        <f t="shared" si="872"/>
        <v>0</v>
      </c>
    </row>
    <row r="367" spans="1:70" s="229" customFormat="1" ht="15" customHeight="1">
      <c r="A367" s="643"/>
      <c r="D367" s="85"/>
      <c r="E367" s="576">
        <f t="shared" si="873"/>
        <v>100</v>
      </c>
      <c r="F367" s="1131"/>
      <c r="G367" s="406" t="s">
        <v>3078</v>
      </c>
      <c r="H367" s="578" t="s">
        <v>3359</v>
      </c>
      <c r="I367" s="85">
        <v>5</v>
      </c>
      <c r="J367" s="682">
        <v>1</v>
      </c>
      <c r="K367" s="579">
        <f t="shared" si="847"/>
        <v>0.55000000000000004</v>
      </c>
      <c r="L367" s="580">
        <f>IF(H367="Select ingredient:","",IF(G367="","",_xlfn.IFNA(VLOOKUP($H367,Ingredient_prices!$E:$U,16,FALSE),0)))</f>
        <v>67.540000000000006</v>
      </c>
      <c r="M367" s="848"/>
      <c r="N367" s="848"/>
      <c r="O367" s="648"/>
      <c r="P367" s="653"/>
      <c r="Q367" s="583">
        <f t="shared" si="848"/>
        <v>5</v>
      </c>
      <c r="R367" s="583">
        <f>VLOOKUP($H367,'CO2_emission+%_food_waste'!$A:$K,6,FALSE)*$Q367/100</f>
        <v>0.43</v>
      </c>
      <c r="S367" s="583">
        <f t="shared" si="849"/>
        <v>4.57</v>
      </c>
      <c r="T367" s="583">
        <f>IF(H367="Select ingredient:","",IF(G367="Select food category:","",_xlfn.IFNA(VLOOKUP($H367,Ingredient_prices!$E:$U,16,FALSE)*$Q367/1000,"not bought")))</f>
        <v>0.33770000000000006</v>
      </c>
      <c r="U367" s="583">
        <f>IF(G367="Select food category:","",_xlfn.IFNA(VLOOKUP($H367,Ingredient_prices!$E:$U,16,FALSE)*$R367/1000,"not bought"))</f>
        <v>2.9042200000000001E-2</v>
      </c>
      <c r="V367" s="549">
        <f>VLOOKUP($H367,'CO2_emission+%_food_waste'!$A:$K,4,FALSE)*$Q367</f>
        <v>1.9</v>
      </c>
      <c r="W367" s="583">
        <f>VLOOKUP($H367,Nutrition_tables!$A:$N,10,FALSE)*$Q367/100</f>
        <v>20.494751574527641</v>
      </c>
      <c r="X367" s="583">
        <f>VLOOKUP($H367,Nutrition_tables!$A:$N,11,FALSE)*$Q367/100</f>
        <v>4.9925122463261014</v>
      </c>
      <c r="Y367" s="583">
        <f>VLOOKUP($H367,Nutrition_tables!$A:$N,12,FALSE)*$Q367/100</f>
        <v>0</v>
      </c>
      <c r="Z367" s="583">
        <f>VLOOKUP($H367,Nutrition_tables!$A:$N,14,FALSE)*$Q367/100</f>
        <v>0</v>
      </c>
      <c r="AA367" s="583">
        <f>VLOOKUP($H367,Nutrition_tables!$A:$AF,13,FALSE)*$Q367/100</f>
        <v>0</v>
      </c>
      <c r="AB367" s="549">
        <f>VLOOKUP($H367,Nutrition_tables!$A:$AF,15,FALSE)*$Q367/100</f>
        <v>0</v>
      </c>
      <c r="AC367" s="583">
        <f>VLOOKUP($H367,Nutrition_tables!$A:$AF,16,FALSE)*$Q367/100</f>
        <v>7.1450000000000003E-3</v>
      </c>
      <c r="AD367" s="583">
        <f>VLOOKUP($H367,Nutrition_tables!$A:$AF,17,FALSE)*$Q367/100</f>
        <v>0.1</v>
      </c>
      <c r="AE367" s="583">
        <f>VLOOKUP($H367,Nutrition_tables!$A:$AF,18,FALSE)*$Q367/100</f>
        <v>0.05</v>
      </c>
      <c r="AF367" s="583">
        <f>VLOOKUP($H367,Nutrition_tables!$A:$AF,19,FALSE)*$Q367/100</f>
        <v>0</v>
      </c>
      <c r="AG367" s="583">
        <f>VLOOKUP($H367,Nutrition_tables!$A:$AF,20,FALSE)*$Q367/100</f>
        <v>0</v>
      </c>
      <c r="AH367" s="583">
        <f>VLOOKUP($H367,Nutrition_tables!$A:$AF,21,FALSE)*$Q367/100</f>
        <v>1.4485654303708885E-2</v>
      </c>
      <c r="AI367" s="583">
        <f>VLOOKUP($H367,Nutrition_tables!$A:$AF,22,FALSE)*$Q367/100</f>
        <v>1.0146955913226032E-3</v>
      </c>
      <c r="AJ367" s="549">
        <f>VLOOKUP($H367,Nutrition_tables!$A:$AF,23,FALSE)*$Q367/100</f>
        <v>7.3477956613016095E-4</v>
      </c>
      <c r="AK367" s="583">
        <f>VLOOKUP($H367,Nutrition_tables!$A:$AF,24,FALSE)*$Q367/100</f>
        <v>0</v>
      </c>
      <c r="AL367" s="583">
        <f>VLOOKUP($H367,Nutrition_tables!$A:$AF,25,FALSE)*$Q367/100</f>
        <v>0</v>
      </c>
      <c r="AM367" s="583">
        <f>VLOOKUP($H367,Nutrition_tables!$A:$AF,26,FALSE)*$Q367/100</f>
        <v>1.3575499999999999E-4</v>
      </c>
      <c r="AN367" s="583">
        <f>VLOOKUP($H367,Nutrition_tables!$A:$AF,27,FALSE)*$Q367/100</f>
        <v>0</v>
      </c>
      <c r="AO367" s="583">
        <f>VLOOKUP($H367,Nutrition_tables!$A:$AF,28,FALSE)*$Q367/100</f>
        <v>0</v>
      </c>
      <c r="AP367" s="583">
        <f>VLOOKUP($H367,Nutrition_tables!$A:$AF,29,FALSE)*$Q367/100</f>
        <v>0</v>
      </c>
      <c r="AQ367" s="583">
        <f>VLOOKUP($H367,Nutrition_tables!$A:$AF,30,FALSE)*$Q367/100</f>
        <v>0</v>
      </c>
      <c r="AR367" s="583">
        <f>VLOOKUP($H367,Nutrition_tables!$A:$AF,31,FALSE)*$Q367/100</f>
        <v>0</v>
      </c>
      <c r="AS367" s="549">
        <f>VLOOKUP($H367,Nutrition_tables!$A:$AF,32,FALSE)*$Q367/100</f>
        <v>0</v>
      </c>
      <c r="AT367" s="583">
        <f>IF(H367="Select ingredient:","",IF(G367="Select food category:","",IFERROR(VLOOKUP($H367,Ingredient_prices!$E:$W,17,FALSE)*$Q367/1000,"not bought")))</f>
        <v>0.33770000000000006</v>
      </c>
      <c r="AU367" s="583">
        <f>IF(H367="Select ingredient:","",IF(G367="Select food category:","",IFERROR(VLOOKUP($H367,Ingredient_prices!$E:$W,18,FALSE)*$Q367/1000,"not bought")))</f>
        <v>0.33770000000000006</v>
      </c>
      <c r="AV367" s="583">
        <f t="shared" si="850"/>
        <v>18.732165474787315</v>
      </c>
      <c r="AW367" s="583">
        <f t="shared" si="851"/>
        <v>4.5631470668479235</v>
      </c>
      <c r="AX367" s="583">
        <f t="shared" si="852"/>
        <v>0</v>
      </c>
      <c r="AY367" s="583">
        <f t="shared" si="853"/>
        <v>0</v>
      </c>
      <c r="AZ367" s="583">
        <f t="shared" si="854"/>
        <v>0</v>
      </c>
      <c r="BA367" s="583">
        <f t="shared" si="855"/>
        <v>0</v>
      </c>
      <c r="BB367" s="583">
        <f t="shared" si="856"/>
        <v>6.5305169389661237E-3</v>
      </c>
      <c r="BC367" s="583">
        <f t="shared" si="857"/>
        <v>9.1399817200365621E-2</v>
      </c>
      <c r="BD367" s="583">
        <f t="shared" si="858"/>
        <v>4.5699908600182811E-2</v>
      </c>
      <c r="BE367" s="583">
        <f t="shared" si="859"/>
        <v>0</v>
      </c>
      <c r="BF367" s="583">
        <f t="shared" si="860"/>
        <v>0</v>
      </c>
      <c r="BG367" s="583">
        <f t="shared" si="861"/>
        <v>1.3239861553866816E-2</v>
      </c>
      <c r="BH367" s="583">
        <f t="shared" si="862"/>
        <v>9.2742991560902828E-4</v>
      </c>
      <c r="BI367" s="583">
        <f t="shared" si="863"/>
        <v>6.7158718026860665E-4</v>
      </c>
      <c r="BJ367" s="583">
        <f t="shared" si="864"/>
        <v>0</v>
      </c>
      <c r="BK367" s="583">
        <f t="shared" si="865"/>
        <v>0</v>
      </c>
      <c r="BL367" s="583">
        <f t="shared" si="866"/>
        <v>1.2407982184035632E-4</v>
      </c>
      <c r="BM367" s="583">
        <f t="shared" si="867"/>
        <v>0</v>
      </c>
      <c r="BN367" s="583">
        <f t="shared" si="868"/>
        <v>0</v>
      </c>
      <c r="BO367" s="583">
        <f t="shared" si="869"/>
        <v>0</v>
      </c>
      <c r="BP367" s="583">
        <f t="shared" si="870"/>
        <v>0</v>
      </c>
      <c r="BQ367" s="583">
        <f t="shared" si="871"/>
        <v>0</v>
      </c>
      <c r="BR367" s="583">
        <f t="shared" si="872"/>
        <v>0</v>
      </c>
    </row>
    <row r="368" spans="1:70" s="229" customFormat="1" ht="15" customHeight="1">
      <c r="A368" s="643"/>
      <c r="D368" s="85"/>
      <c r="E368" s="576">
        <f t="shared" si="873"/>
        <v>100</v>
      </c>
      <c r="F368" s="707"/>
      <c r="G368" s="406" t="s">
        <v>3054</v>
      </c>
      <c r="H368" s="1262" t="s">
        <v>3055</v>
      </c>
      <c r="I368" s="85">
        <v>0</v>
      </c>
      <c r="J368" s="682">
        <v>1</v>
      </c>
      <c r="K368" s="579" t="str">
        <f t="shared" si="847"/>
        <v/>
      </c>
      <c r="L368" s="580" t="str">
        <f>IF(H368="Select ingredient:","",IF(G368="","",_xlfn.IFNA(VLOOKUP($H368,Ingredient_prices!$E:$U,16,FALSE),0)))</f>
        <v/>
      </c>
      <c r="M368" s="848"/>
      <c r="N368" s="848"/>
      <c r="O368" s="648"/>
      <c r="P368" s="653"/>
      <c r="Q368" s="583">
        <f t="shared" si="848"/>
        <v>0</v>
      </c>
      <c r="R368" s="583">
        <f>VLOOKUP($H368,'CO2_emission+%_food_waste'!$A:$K,6,FALSE)*$Q368/100</f>
        <v>0</v>
      </c>
      <c r="S368" s="583">
        <f t="shared" si="849"/>
        <v>0</v>
      </c>
      <c r="T368" s="583" t="str">
        <f>IF(H368="Select ingredient:","",IF(G368="Select food category:","",_xlfn.IFNA(VLOOKUP($H368,Ingredient_prices!$E:$U,16,FALSE)*$Q368/1000,"not bought")))</f>
        <v/>
      </c>
      <c r="U368" s="583" t="str">
        <f>IF(G368="Select food category:","",_xlfn.IFNA(VLOOKUP($H368,Ingredient_prices!$E:$U,16,FALSE)*$R368/1000,"not bought"))</f>
        <v/>
      </c>
      <c r="V368" s="549">
        <f>VLOOKUP($H368,'CO2_emission+%_food_waste'!$A:$K,4,FALSE)*$Q368</f>
        <v>0</v>
      </c>
      <c r="W368" s="583">
        <f>VLOOKUP($H368,Nutrition_tables!$A:$N,10,FALSE)*$Q368/100</f>
        <v>0</v>
      </c>
      <c r="X368" s="583">
        <f>VLOOKUP($H368,Nutrition_tables!$A:$N,11,FALSE)*$Q368/100</f>
        <v>0</v>
      </c>
      <c r="Y368" s="583">
        <f>VLOOKUP($H368,Nutrition_tables!$A:$N,12,FALSE)*$Q368/100</f>
        <v>0</v>
      </c>
      <c r="Z368" s="583">
        <f>VLOOKUP($H368,Nutrition_tables!$A:$N,14,FALSE)*$Q368/100</f>
        <v>0</v>
      </c>
      <c r="AA368" s="583">
        <f>VLOOKUP($H368,Nutrition_tables!$A:$AF,13,FALSE)*$Q368/100</f>
        <v>0</v>
      </c>
      <c r="AB368" s="549">
        <f>VLOOKUP($H368,Nutrition_tables!$A:$AF,15,FALSE)*$Q368/100</f>
        <v>0</v>
      </c>
      <c r="AC368" s="583">
        <f>VLOOKUP($H368,Nutrition_tables!$A:$AF,16,FALSE)*$Q368/100</f>
        <v>0</v>
      </c>
      <c r="AD368" s="583">
        <f>VLOOKUP($H368,Nutrition_tables!$A:$AF,17,FALSE)*$Q368/100</f>
        <v>0</v>
      </c>
      <c r="AE368" s="583">
        <f>VLOOKUP($H368,Nutrition_tables!$A:$AF,18,FALSE)*$Q368/100</f>
        <v>0</v>
      </c>
      <c r="AF368" s="583">
        <f>VLOOKUP($H368,Nutrition_tables!$A:$AF,19,FALSE)*$Q368/100</f>
        <v>0</v>
      </c>
      <c r="AG368" s="583">
        <f>VLOOKUP($H368,Nutrition_tables!$A:$AF,20,FALSE)*$Q368/100</f>
        <v>0</v>
      </c>
      <c r="AH368" s="583">
        <f>VLOOKUP($H368,Nutrition_tables!$A:$AF,21,FALSE)*$Q368/100</f>
        <v>0</v>
      </c>
      <c r="AI368" s="583">
        <f>VLOOKUP($H368,Nutrition_tables!$A:$AF,22,FALSE)*$Q368/100</f>
        <v>0</v>
      </c>
      <c r="AJ368" s="549">
        <f>VLOOKUP($H368,Nutrition_tables!$A:$AF,23,FALSE)*$Q368/100</f>
        <v>0</v>
      </c>
      <c r="AK368" s="583">
        <f>VLOOKUP($H368,Nutrition_tables!$A:$AF,24,FALSE)*$Q368/100</f>
        <v>0</v>
      </c>
      <c r="AL368" s="583">
        <f>VLOOKUP($H368,Nutrition_tables!$A:$AF,25,FALSE)*$Q368/100</f>
        <v>0</v>
      </c>
      <c r="AM368" s="583">
        <f>VLOOKUP($H368,Nutrition_tables!$A:$AF,26,FALSE)*$Q368/100</f>
        <v>0</v>
      </c>
      <c r="AN368" s="583">
        <f>VLOOKUP($H368,Nutrition_tables!$A:$AF,27,FALSE)*$Q368/100</f>
        <v>0</v>
      </c>
      <c r="AO368" s="583">
        <f>VLOOKUP($H368,Nutrition_tables!$A:$AF,28,FALSE)*$Q368/100</f>
        <v>0</v>
      </c>
      <c r="AP368" s="583">
        <f>VLOOKUP($H368,Nutrition_tables!$A:$AF,29,FALSE)*$Q368/100</f>
        <v>0</v>
      </c>
      <c r="AQ368" s="583">
        <f>VLOOKUP($H368,Nutrition_tables!$A:$AF,30,FALSE)*$Q368/100</f>
        <v>0</v>
      </c>
      <c r="AR368" s="583">
        <f>VLOOKUP($H368,Nutrition_tables!$A:$AF,31,FALSE)*$Q368/100</f>
        <v>0</v>
      </c>
      <c r="AS368" s="549">
        <f>VLOOKUP($H368,Nutrition_tables!$A:$AF,32,FALSE)*$Q368/100</f>
        <v>0</v>
      </c>
      <c r="AT368" s="583" t="str">
        <f>IF(H368="Select ingredient:","",IF(G368="Select food category:","",IFERROR(VLOOKUP($H368,Ingredient_prices!$E:$W,17,FALSE)*$Q368/1000,"not bought")))</f>
        <v/>
      </c>
      <c r="AU368" s="583" t="str">
        <f>IF(H368="Select ingredient:","",IF(G368="Select food category:","",IFERROR(VLOOKUP($H368,Ingredient_prices!$E:$W,18,FALSE)*$Q368/1000,"not bought")))</f>
        <v/>
      </c>
      <c r="AV368" s="583">
        <f t="shared" si="850"/>
        <v>0</v>
      </c>
      <c r="AW368" s="583">
        <f t="shared" si="851"/>
        <v>0</v>
      </c>
      <c r="AX368" s="583">
        <f t="shared" si="852"/>
        <v>0</v>
      </c>
      <c r="AY368" s="583">
        <f t="shared" si="853"/>
        <v>0</v>
      </c>
      <c r="AZ368" s="583">
        <f t="shared" si="854"/>
        <v>0</v>
      </c>
      <c r="BA368" s="583">
        <f t="shared" si="855"/>
        <v>0</v>
      </c>
      <c r="BB368" s="583">
        <f t="shared" si="856"/>
        <v>0</v>
      </c>
      <c r="BC368" s="583">
        <f t="shared" si="857"/>
        <v>0</v>
      </c>
      <c r="BD368" s="583">
        <f t="shared" si="858"/>
        <v>0</v>
      </c>
      <c r="BE368" s="583">
        <f t="shared" si="859"/>
        <v>0</v>
      </c>
      <c r="BF368" s="583">
        <f t="shared" si="860"/>
        <v>0</v>
      </c>
      <c r="BG368" s="583">
        <f t="shared" si="861"/>
        <v>0</v>
      </c>
      <c r="BH368" s="583">
        <f t="shared" si="862"/>
        <v>0</v>
      </c>
      <c r="BI368" s="583">
        <f t="shared" si="863"/>
        <v>0</v>
      </c>
      <c r="BJ368" s="583">
        <f t="shared" si="864"/>
        <v>0</v>
      </c>
      <c r="BK368" s="583">
        <f t="shared" si="865"/>
        <v>0</v>
      </c>
      <c r="BL368" s="583">
        <f t="shared" si="866"/>
        <v>0</v>
      </c>
      <c r="BM368" s="583">
        <f t="shared" si="867"/>
        <v>0</v>
      </c>
      <c r="BN368" s="583">
        <f t="shared" si="868"/>
        <v>0</v>
      </c>
      <c r="BO368" s="583">
        <f t="shared" si="869"/>
        <v>0</v>
      </c>
      <c r="BP368" s="583">
        <f t="shared" si="870"/>
        <v>0</v>
      </c>
      <c r="BQ368" s="583">
        <f t="shared" si="871"/>
        <v>0</v>
      </c>
      <c r="BR368" s="583">
        <f t="shared" si="872"/>
        <v>0</v>
      </c>
    </row>
    <row r="369" spans="1:70" s="229" customFormat="1" ht="15" customHeight="1">
      <c r="A369" s="643"/>
      <c r="D369" s="85"/>
      <c r="E369" s="576">
        <f t="shared" si="873"/>
        <v>100</v>
      </c>
      <c r="F369" s="710" t="s">
        <v>3049</v>
      </c>
      <c r="G369" s="406" t="s">
        <v>3140</v>
      </c>
      <c r="H369" s="578" t="s">
        <v>3105</v>
      </c>
      <c r="I369" s="85">
        <v>80</v>
      </c>
      <c r="J369" s="682">
        <v>1</v>
      </c>
      <c r="K369" s="579">
        <f t="shared" si="847"/>
        <v>8.8000000000000007</v>
      </c>
      <c r="L369" s="580">
        <f>IF(H369="Select ingredient:","",IF(G369="","",_xlfn.IFNA(VLOOKUP($H369,Ingredient_prices!$E:$U,16,FALSE),0)))</f>
        <v>90</v>
      </c>
      <c r="M369" s="848"/>
      <c r="N369" s="848"/>
      <c r="O369" s="648"/>
      <c r="P369" s="653"/>
      <c r="Q369" s="583">
        <f t="shared" si="848"/>
        <v>80</v>
      </c>
      <c r="R369" s="583">
        <f>VLOOKUP($H369,'CO2_emission+%_food_waste'!$A:$K,6,FALSE)*$Q369/100</f>
        <v>22.8</v>
      </c>
      <c r="S369" s="583">
        <f t="shared" si="849"/>
        <v>57.2</v>
      </c>
      <c r="T369" s="583">
        <f>IF(H369="Select ingredient:","",IF(G369="Select food category:","",_xlfn.IFNA(VLOOKUP($H369,Ingredient_prices!$E:$U,16,FALSE)*$Q369/1000,"not bought")))</f>
        <v>7.2</v>
      </c>
      <c r="U369" s="583">
        <f>IF(G369="Select food category:","",_xlfn.IFNA(VLOOKUP($H369,Ingredient_prices!$E:$U,16,FALSE)*$R369/1000,"not bought"))</f>
        <v>2.052</v>
      </c>
      <c r="V369" s="549">
        <f>VLOOKUP($H369,'CO2_emission+%_food_waste'!$A:$K,4,FALSE)*$Q369</f>
        <v>38.4</v>
      </c>
      <c r="W369" s="583">
        <f>VLOOKUP($H369,Nutrition_tables!$A:$N,10,FALSE)*$Q369/100</f>
        <v>19.2</v>
      </c>
      <c r="X369" s="583">
        <f>VLOOKUP($H369,Nutrition_tables!$A:$N,11,FALSE)*$Q369/100</f>
        <v>3.28</v>
      </c>
      <c r="Y369" s="583">
        <f>VLOOKUP($H369,Nutrition_tables!$A:$N,12,FALSE)*$Q369/100</f>
        <v>0.96</v>
      </c>
      <c r="Z369" s="583">
        <f>VLOOKUP($H369,Nutrition_tables!$A:$N,14,FALSE)*$Q369/100</f>
        <v>0.16</v>
      </c>
      <c r="AA369" s="583">
        <f>VLOOKUP($H369,Nutrition_tables!$A:$AF,13,FALSE)*$Q369/100</f>
        <v>2</v>
      </c>
      <c r="AB369" s="549">
        <f>VLOOKUP($H369,Nutrition_tables!$A:$AF,15,FALSE)*$Q369/100</f>
        <v>0.08</v>
      </c>
      <c r="AC369" s="583">
        <f>VLOOKUP($H369,Nutrition_tables!$A:$AF,16,FALSE)*$Q369/100</f>
        <v>4</v>
      </c>
      <c r="AD369" s="583">
        <f>VLOOKUP($H369,Nutrition_tables!$A:$AF,17,FALSE)*$Q369/100</f>
        <v>256</v>
      </c>
      <c r="AE369" s="583">
        <f>VLOOKUP($H369,Nutrition_tables!$A:$AF,18,FALSE)*$Q369/100</f>
        <v>33.6</v>
      </c>
      <c r="AF369" s="583">
        <f>VLOOKUP($H369,Nutrition_tables!$A:$AF,19,FALSE)*$Q369/100</f>
        <v>11.2</v>
      </c>
      <c r="AG369" s="583">
        <f>VLOOKUP($H369,Nutrition_tables!$A:$AF,20,FALSE)*$Q369/100</f>
        <v>32</v>
      </c>
      <c r="AH369" s="583">
        <f>VLOOKUP($H369,Nutrition_tables!$A:$AF,21,FALSE)*$Q369/100</f>
        <v>0.32</v>
      </c>
      <c r="AI369" s="583">
        <f>VLOOKUP($H369,Nutrition_tables!$A:$AF,22,FALSE)*$Q369/100</f>
        <v>0.16</v>
      </c>
      <c r="AJ369" s="549">
        <f>VLOOKUP($H369,Nutrition_tables!$A:$AF,23,FALSE)*$Q369/100</f>
        <v>3.0666666666666665E-2</v>
      </c>
      <c r="AK369" s="583">
        <f>VLOOKUP($H369,Nutrition_tables!$A:$AF,24,FALSE)*$Q369/100</f>
        <v>4.4000000000000004</v>
      </c>
      <c r="AL369" s="583">
        <f>VLOOKUP($H369,Nutrition_tables!$A:$AF,25,FALSE)*$Q369/100</f>
        <v>5.6000000000000008E-2</v>
      </c>
      <c r="AM369" s="583">
        <f>VLOOKUP($H369,Nutrition_tables!$A:$AF,26,FALSE)*$Q369/100</f>
        <v>0.04</v>
      </c>
      <c r="AN369" s="583">
        <f>VLOOKUP($H369,Nutrition_tables!$A:$AF,27,FALSE)*$Q369/100</f>
        <v>0.64</v>
      </c>
      <c r="AO369" s="583">
        <f>VLOOKUP($H369,Nutrition_tables!$A:$AF,28,FALSE)*$Q369/100</f>
        <v>3.04E-2</v>
      </c>
      <c r="AP369" s="583">
        <f>VLOOKUP($H369,Nutrition_tables!$A:$AF,29,FALSE)*$Q369/100</f>
        <v>23.92</v>
      </c>
      <c r="AQ369" s="583">
        <f>VLOOKUP($H369,Nutrition_tables!$A:$AF,30,FALSE)*$Q369/100</f>
        <v>0</v>
      </c>
      <c r="AR369" s="583">
        <f>VLOOKUP($H369,Nutrition_tables!$A:$AF,31,FALSE)*$Q369/100</f>
        <v>29.92</v>
      </c>
      <c r="AS369" s="549">
        <f>VLOOKUP($H369,Nutrition_tables!$A:$AF,32,FALSE)*$Q369/100</f>
        <v>0</v>
      </c>
      <c r="AT369" s="583">
        <f>IF(H369="Select ingredient:","",IF(G369="Select food category:","",IFERROR(VLOOKUP($H369,Ingredient_prices!$E:$W,17,FALSE)*$Q369/1000,"not bought")))</f>
        <v>5.28</v>
      </c>
      <c r="AU369" s="583">
        <f>IF(H369="Select ingredient:","",IF(G369="Select food category:","",IFERROR(VLOOKUP($H369,Ingredient_prices!$E:$W,18,FALSE)*$Q369/1000,"not bought")))</f>
        <v>7.2</v>
      </c>
      <c r="AV369" s="583">
        <f t="shared" si="850"/>
        <v>13.727998284000215</v>
      </c>
      <c r="AW369" s="583">
        <f t="shared" si="851"/>
        <v>2.3451997068500363</v>
      </c>
      <c r="AX369" s="583">
        <f t="shared" si="852"/>
        <v>0.68639991420001067</v>
      </c>
      <c r="AY369" s="583">
        <f t="shared" si="853"/>
        <v>0.1143999857000018</v>
      </c>
      <c r="AZ369" s="583">
        <f t="shared" si="854"/>
        <v>1.4299998212500225</v>
      </c>
      <c r="BA369" s="583">
        <f t="shared" si="855"/>
        <v>5.7199992850000901E-2</v>
      </c>
      <c r="BB369" s="583">
        <f t="shared" si="856"/>
        <v>2.8599996425000449</v>
      </c>
      <c r="BC369" s="583">
        <f t="shared" si="857"/>
        <v>183.03997712000287</v>
      </c>
      <c r="BD369" s="583">
        <f t="shared" ref="BD369:BD378" si="874">AE369*($Q369-$R369)/($Q369+0.00001)</f>
        <v>24.023996997000374</v>
      </c>
      <c r="BE369" s="583">
        <f t="shared" ref="BE369:BE378" si="875">AF369*($Q369-$R369)/($Q369+0.00001)</f>
        <v>8.0079989990001241</v>
      </c>
      <c r="BF369" s="583">
        <f t="shared" ref="BF369:BF378" si="876">AG369*($Q369-$R369)/($Q369+0.00001)</f>
        <v>22.879997140000359</v>
      </c>
      <c r="BG369" s="583">
        <f t="shared" ref="BG369:BG378" si="877">AH369*($Q369-$R369)/($Q369+0.00001)</f>
        <v>0.2287999714000036</v>
      </c>
      <c r="BH369" s="583">
        <f t="shared" ref="BH369:BH378" si="878">AI369*($Q369-$R369)/($Q369+0.00001)</f>
        <v>0.1143999857000018</v>
      </c>
      <c r="BI369" s="583">
        <f t="shared" ref="BI369:BI378" si="879">AJ369*($Q369-$R369)/($Q369+0.00001)</f>
        <v>2.1926663925833676E-2</v>
      </c>
      <c r="BJ369" s="583">
        <f t="shared" ref="BJ369:BJ378" si="880">AK369*($Q369-$R369)/($Q369+0.00001)</f>
        <v>3.1459996067500495</v>
      </c>
      <c r="BK369" s="583">
        <f t="shared" ref="BK369:BK378" si="881">AL369*($Q369-$R369)/($Q369+0.00001)</f>
        <v>4.0039994995000633E-2</v>
      </c>
      <c r="BL369" s="583">
        <f t="shared" ref="BL369:BL378" si="882">AM369*($Q369-$R369)/($Q369+0.00001)</f>
        <v>2.8599996425000451E-2</v>
      </c>
      <c r="BM369" s="583">
        <f t="shared" ref="BM369:BM378" si="883">AN369*($Q369-$R369)/($Q369+0.00001)</f>
        <v>0.45759994280000721</v>
      </c>
      <c r="BN369" s="583">
        <f t="shared" ref="BN369:BN378" si="884">AO369*($Q369-$R369)/($Q369+0.00001)</f>
        <v>2.1735997283000338E-2</v>
      </c>
      <c r="BO369" s="583">
        <f t="shared" ref="BO369:BO378" si="885">AP369*($Q369-$R369)/($Q369+0.00001)</f>
        <v>17.102797862150268</v>
      </c>
      <c r="BP369" s="583">
        <f t="shared" ref="BP369:BP378" si="886">AQ369*($Q369-$R369)/($Q369+0.00001)</f>
        <v>0</v>
      </c>
      <c r="BQ369" s="583">
        <f t="shared" ref="BQ369:BQ378" si="887">AR369*($Q369-$R369)/($Q369+0.00001)</f>
        <v>21.392797325900336</v>
      </c>
      <c r="BR369" s="583">
        <f t="shared" ref="BR369:BR378" si="888">AS369*($Q369-$R369)/($Q369+0.00001)</f>
        <v>0</v>
      </c>
    </row>
    <row r="370" spans="1:70" s="229" customFormat="1" ht="15" customHeight="1">
      <c r="A370" s="643"/>
      <c r="D370" s="85"/>
      <c r="E370" s="576">
        <f t="shared" si="873"/>
        <v>100</v>
      </c>
      <c r="F370" s="710"/>
      <c r="G370" s="406" t="s">
        <v>3075</v>
      </c>
      <c r="H370" s="578" t="s">
        <v>3239</v>
      </c>
      <c r="I370" s="85">
        <v>5</v>
      </c>
      <c r="J370" s="682">
        <v>1</v>
      </c>
      <c r="K370" s="579">
        <f t="shared" si="847"/>
        <v>0.55000000000000004</v>
      </c>
      <c r="L370" s="580">
        <f>IF(H370="Select ingredient:","",IF(G370="","",_xlfn.IFNA(VLOOKUP($H370,Ingredient_prices!$E:$U,16,FALSE),0)))</f>
        <v>121</v>
      </c>
      <c r="M370" s="848"/>
      <c r="N370" s="848"/>
      <c r="O370" s="648"/>
      <c r="P370" s="653"/>
      <c r="Q370" s="583">
        <f t="shared" si="848"/>
        <v>5</v>
      </c>
      <c r="R370" s="583">
        <f>VLOOKUP($H370,'CO2_emission+%_food_waste'!$A:$K,6,FALSE)*$Q370/100</f>
        <v>1.39</v>
      </c>
      <c r="S370" s="583">
        <f t="shared" si="849"/>
        <v>3.6100000000000003</v>
      </c>
      <c r="T370" s="583">
        <f>IF(H370="Select ingredient:","",IF(G370="Select food category:","",_xlfn.IFNA(VLOOKUP($H370,Ingredient_prices!$E:$U,16,FALSE)*$Q370/1000,"not bought")))</f>
        <v>0.60499999999999998</v>
      </c>
      <c r="U370" s="583">
        <f>IF(G370="Select food category:","",_xlfn.IFNA(VLOOKUP($H370,Ingredient_prices!$E:$U,16,FALSE)*$R370/1000,"not bought"))</f>
        <v>0.16819000000000001</v>
      </c>
      <c r="V370" s="549">
        <f>VLOOKUP($H370,'CO2_emission+%_food_waste'!$A:$K,4,FALSE)*$Q370</f>
        <v>23.650000000000002</v>
      </c>
      <c r="W370" s="583">
        <f>VLOOKUP($H370,Nutrition_tables!$A:$N,10,FALSE)*$Q370/100</f>
        <v>44.216050000000003</v>
      </c>
      <c r="X370" s="583">
        <f>VLOOKUP($H370,Nutrition_tables!$A:$N,11,FALSE)*$Q370/100</f>
        <v>5.0000000000000001E-3</v>
      </c>
      <c r="Y370" s="583">
        <f>VLOOKUP($H370,Nutrition_tables!$A:$N,12,FALSE)*$Q370/100</f>
        <v>5.0000000000000001E-3</v>
      </c>
      <c r="Z370" s="583">
        <f>VLOOKUP($H370,Nutrition_tables!$A:$N,14,FALSE)*$Q370/100</f>
        <v>4.9749999999999996</v>
      </c>
      <c r="AA370" s="583">
        <f>VLOOKUP($H370,Nutrition_tables!$A:$AF,13,FALSE)*$Q370/100</f>
        <v>0</v>
      </c>
      <c r="AB370" s="549">
        <f>VLOOKUP($H370,Nutrition_tables!$A:$AF,15,FALSE)*$Q370/100</f>
        <v>0.33950000000000002</v>
      </c>
      <c r="AC370" s="583">
        <f>VLOOKUP($H370,Nutrition_tables!$A:$AF,16,FALSE)*$Q370/100</f>
        <v>5.0000000000000001E-3</v>
      </c>
      <c r="AD370" s="583">
        <f>VLOOKUP($H370,Nutrition_tables!$A:$AF,17,FALSE)*$Q370/100</f>
        <v>0</v>
      </c>
      <c r="AE370" s="583">
        <f>VLOOKUP($H370,Nutrition_tables!$A:$AF,18,FALSE)*$Q370/100</f>
        <v>0.01</v>
      </c>
      <c r="AF370" s="583">
        <f>VLOOKUP($H370,Nutrition_tables!$A:$AF,19,FALSE)*$Q370/100</f>
        <v>0.05</v>
      </c>
      <c r="AG370" s="583">
        <f>VLOOKUP($H370,Nutrition_tables!$A:$AF,20,FALSE)*$Q370/100</f>
        <v>0</v>
      </c>
      <c r="AH370" s="583">
        <f>VLOOKUP($H370,Nutrition_tables!$A:$AF,21,FALSE)*$Q370/100</f>
        <v>5.0000000000000001E-3</v>
      </c>
      <c r="AI370" s="583">
        <f>VLOOKUP($H370,Nutrition_tables!$A:$AF,22,FALSE)*$Q370/100</f>
        <v>0</v>
      </c>
      <c r="AJ370" s="549">
        <f>VLOOKUP($H370,Nutrition_tables!$A:$AF,23,FALSE)*$Q370/100</f>
        <v>0</v>
      </c>
      <c r="AK370" s="583">
        <f>VLOOKUP($H370,Nutrition_tables!$A:$AF,24,FALSE)*$Q370/100</f>
        <v>0</v>
      </c>
      <c r="AL370" s="583">
        <f>VLOOKUP($H370,Nutrition_tables!$A:$AF,25,FALSE)*$Q370/100</f>
        <v>0</v>
      </c>
      <c r="AM370" s="583">
        <f>VLOOKUP($H370,Nutrition_tables!$A:$AF,26,FALSE)*$Q370/100</f>
        <v>0</v>
      </c>
      <c r="AN370" s="583">
        <f>VLOOKUP($H370,Nutrition_tables!$A:$AF,27,FALSE)*$Q370/100</f>
        <v>0</v>
      </c>
      <c r="AO370" s="583">
        <f>VLOOKUP($H370,Nutrition_tables!$A:$AF,28,FALSE)*$Q370/100</f>
        <v>0</v>
      </c>
      <c r="AP370" s="583">
        <f>VLOOKUP($H370,Nutrition_tables!$A:$AF,29,FALSE)*$Q370/100</f>
        <v>0</v>
      </c>
      <c r="AQ370" s="583">
        <f>VLOOKUP($H370,Nutrition_tables!$A:$AF,30,FALSE)*$Q370/100</f>
        <v>0</v>
      </c>
      <c r="AR370" s="583">
        <f>VLOOKUP($H370,Nutrition_tables!$A:$AF,31,FALSE)*$Q370/100</f>
        <v>0</v>
      </c>
      <c r="AS370" s="549">
        <f>VLOOKUP($H370,Nutrition_tables!$A:$AF,32,FALSE)*$Q370/100</f>
        <v>0</v>
      </c>
      <c r="AT370" s="583">
        <f>IF(H370="Select ingredient:","",IF(G370="Select food category:","",IFERROR(VLOOKUP($H370,Ingredient_prices!$E:$W,17,FALSE)*$Q370/1000,"not bought")))</f>
        <v>0.60499999999999998</v>
      </c>
      <c r="AU370" s="583">
        <f>IF(H370="Select ingredient:","",IF(G370="Select food category:","",IFERROR(VLOOKUP($H370,Ingredient_prices!$E:$W,18,FALSE)*$Q370/1000,"not bought")))</f>
        <v>0.60499999999999998</v>
      </c>
      <c r="AV370" s="583">
        <f t="shared" si="850"/>
        <v>31.923924252151501</v>
      </c>
      <c r="AW370" s="583">
        <f t="shared" si="851"/>
        <v>3.6099927800144409E-3</v>
      </c>
      <c r="AX370" s="583">
        <f t="shared" si="852"/>
        <v>3.6099927800144409E-3</v>
      </c>
      <c r="AY370" s="583">
        <f t="shared" si="853"/>
        <v>3.5919428161143681</v>
      </c>
      <c r="AZ370" s="583">
        <f t="shared" si="854"/>
        <v>0</v>
      </c>
      <c r="BA370" s="583">
        <f t="shared" si="855"/>
        <v>0.24511850976298052</v>
      </c>
      <c r="BB370" s="583">
        <f t="shared" si="856"/>
        <v>3.6099927800144409E-3</v>
      </c>
      <c r="BC370" s="583">
        <f t="shared" si="857"/>
        <v>0</v>
      </c>
      <c r="BD370" s="583">
        <f t="shared" si="874"/>
        <v>7.2199855600288817E-3</v>
      </c>
      <c r="BE370" s="583">
        <f t="shared" si="875"/>
        <v>3.6099927800144406E-2</v>
      </c>
      <c r="BF370" s="583">
        <f t="shared" si="876"/>
        <v>0</v>
      </c>
      <c r="BG370" s="583">
        <f t="shared" si="877"/>
        <v>3.6099927800144409E-3</v>
      </c>
      <c r="BH370" s="583">
        <f t="shared" si="878"/>
        <v>0</v>
      </c>
      <c r="BI370" s="583">
        <f t="shared" si="879"/>
        <v>0</v>
      </c>
      <c r="BJ370" s="583">
        <f t="shared" si="880"/>
        <v>0</v>
      </c>
      <c r="BK370" s="583">
        <f t="shared" si="881"/>
        <v>0</v>
      </c>
      <c r="BL370" s="583">
        <f t="shared" si="882"/>
        <v>0</v>
      </c>
      <c r="BM370" s="583">
        <f t="shared" si="883"/>
        <v>0</v>
      </c>
      <c r="BN370" s="583">
        <f t="shared" si="884"/>
        <v>0</v>
      </c>
      <c r="BO370" s="583">
        <f t="shared" si="885"/>
        <v>0</v>
      </c>
      <c r="BP370" s="583">
        <f t="shared" si="886"/>
        <v>0</v>
      </c>
      <c r="BQ370" s="583">
        <f t="shared" si="887"/>
        <v>0</v>
      </c>
      <c r="BR370" s="583">
        <f t="shared" si="888"/>
        <v>0</v>
      </c>
    </row>
    <row r="371" spans="1:70" s="229" customFormat="1" ht="15" customHeight="1">
      <c r="A371" s="643"/>
      <c r="D371" s="85"/>
      <c r="E371" s="576">
        <f t="shared" si="873"/>
        <v>100</v>
      </c>
      <c r="F371" s="710"/>
      <c r="G371" s="406" t="s">
        <v>3142</v>
      </c>
      <c r="H371" s="578" t="s">
        <v>498</v>
      </c>
      <c r="I371" s="85">
        <v>4</v>
      </c>
      <c r="J371" s="682">
        <v>1</v>
      </c>
      <c r="K371" s="579">
        <f t="shared" si="847"/>
        <v>0.44000000000000006</v>
      </c>
      <c r="L371" s="580">
        <f>IF(H371="Select ingredient:","",IF(G371="","",_xlfn.IFNA(VLOOKUP($H371,Ingredient_prices!$E:$U,16,FALSE),0)))</f>
        <v>45.6</v>
      </c>
      <c r="M371" s="848"/>
      <c r="N371" s="848"/>
      <c r="O371" s="648"/>
      <c r="P371" s="653"/>
      <c r="Q371" s="583">
        <f t="shared" si="848"/>
        <v>4</v>
      </c>
      <c r="R371" s="583">
        <f>VLOOKUP($H371,'CO2_emission+%_food_waste'!$A:$K,6,FALSE)*$Q371/100</f>
        <v>1.232</v>
      </c>
      <c r="S371" s="583">
        <f t="shared" si="849"/>
        <v>2.7679999999999998</v>
      </c>
      <c r="T371" s="583">
        <f>IF(H371="Select ingredient:","",IF(G371="Select food category:","",_xlfn.IFNA(VLOOKUP($H371,Ingredient_prices!$E:$U,16,FALSE)*$Q371/1000,"not bought")))</f>
        <v>0.18240000000000001</v>
      </c>
      <c r="U371" s="583">
        <f>IF(G371="Select food category:","",_xlfn.IFNA(VLOOKUP($H371,Ingredient_prices!$E:$U,16,FALSE)*$R371/1000,"not bought"))</f>
        <v>5.6179199999999999E-2</v>
      </c>
      <c r="V371" s="549">
        <f>VLOOKUP($H371,'CO2_emission+%_food_waste'!$A:$K,4,FALSE)*$Q371</f>
        <v>6.4</v>
      </c>
      <c r="W371" s="583">
        <f>VLOOKUP($H371,Nutrition_tables!$A:$N,10,FALSE)*$Q371/100</f>
        <v>1.28</v>
      </c>
      <c r="X371" s="583">
        <f>VLOOKUP($H371,Nutrition_tables!$A:$N,11,FALSE)*$Q371/100</f>
        <v>0.3839999999999999</v>
      </c>
      <c r="Y371" s="583">
        <f>VLOOKUP($H371,Nutrition_tables!$A:$N,12,FALSE)*$Q371/100</f>
        <v>1.1999999999999999E-3</v>
      </c>
      <c r="Z371" s="583">
        <f>VLOOKUP($H371,Nutrition_tables!$A:$N,14,FALSE)*$Q371/100</f>
        <v>0</v>
      </c>
      <c r="AA371" s="583">
        <f>VLOOKUP($H371,Nutrition_tables!$A:$AF,13,FALSE)*$Q371/100</f>
        <v>0</v>
      </c>
      <c r="AB371" s="549">
        <f>VLOOKUP($H371,Nutrition_tables!$A:$AF,15,FALSE)*$Q371/100</f>
        <v>0</v>
      </c>
      <c r="AC371" s="583">
        <f>VLOOKUP($H371,Nutrition_tables!$A:$AF,16,FALSE)*$Q371/100</f>
        <v>0.8</v>
      </c>
      <c r="AD371" s="583">
        <f>VLOOKUP($H371,Nutrition_tables!$A:$AF,17,FALSE)*$Q371/100</f>
        <v>3.5599999999999996</v>
      </c>
      <c r="AE371" s="583">
        <f>VLOOKUP($H371,Nutrition_tables!$A:$AF,18,FALSE)*$Q371/100</f>
        <v>0.6</v>
      </c>
      <c r="AF371" s="583">
        <f>VLOOKUP($H371,Nutrition_tables!$A:$AF,19,FALSE)*$Q371/100</f>
        <v>0.88</v>
      </c>
      <c r="AG371" s="583">
        <f>VLOOKUP($H371,Nutrition_tables!$A:$AF,20,FALSE)*$Q371/100</f>
        <v>1.28</v>
      </c>
      <c r="AH371" s="583">
        <f>VLOOKUP($H371,Nutrition_tables!$A:$AF,21,FALSE)*$Q371/100</f>
        <v>0.02</v>
      </c>
      <c r="AI371" s="583">
        <f>VLOOKUP($H371,Nutrition_tables!$A:$AF,22,FALSE)*$Q371/100</f>
        <v>2.52E-4</v>
      </c>
      <c r="AJ371" s="549">
        <f>VLOOKUP($H371,Nutrition_tables!$A:$AF,23,FALSE)*$Q371/100</f>
        <v>0</v>
      </c>
      <c r="AK371" s="583">
        <f>VLOOKUP($H371,Nutrition_tables!$A:$AF,24,FALSE)*$Q371/100</f>
        <v>0</v>
      </c>
      <c r="AL371" s="583">
        <f>VLOOKUP($H371,Nutrition_tables!$A:$AF,25,FALSE)*$Q371/100</f>
        <v>0</v>
      </c>
      <c r="AM371" s="583">
        <f>VLOOKUP($H371,Nutrition_tables!$A:$AF,26,FALSE)*$Q371/100</f>
        <v>0</v>
      </c>
      <c r="AN371" s="583">
        <f>VLOOKUP($H371,Nutrition_tables!$A:$AF,27,FALSE)*$Q371/100</f>
        <v>0</v>
      </c>
      <c r="AO371" s="583">
        <f>VLOOKUP($H371,Nutrition_tables!$A:$AF,28,FALSE)*$Q371/100</f>
        <v>0</v>
      </c>
      <c r="AP371" s="583">
        <f>VLOOKUP($H371,Nutrition_tables!$A:$AF,29,FALSE)*$Q371/100</f>
        <v>0</v>
      </c>
      <c r="AQ371" s="583">
        <f>VLOOKUP($H371,Nutrition_tables!$A:$AF,30,FALSE)*$Q371/100</f>
        <v>0</v>
      </c>
      <c r="AR371" s="583">
        <f>VLOOKUP($H371,Nutrition_tables!$A:$AF,31,FALSE)*$Q371/100</f>
        <v>0</v>
      </c>
      <c r="AS371" s="549">
        <f>VLOOKUP($H371,Nutrition_tables!$A:$AF,32,FALSE)*$Q371/100</f>
        <v>0</v>
      </c>
      <c r="AT371" s="583">
        <f>IF(H371="Select ingredient:","",IF(G371="Select food category:","",IFERROR(VLOOKUP($H371,Ingredient_prices!$E:$W,17,FALSE)*$Q371/1000,"not bought")))</f>
        <v>0.18240000000000001</v>
      </c>
      <c r="AU371" s="583">
        <f>IF(H371="Select ingredient:","",IF(G371="Select food category:","",IFERROR(VLOOKUP($H371,Ingredient_prices!$E:$W,18,FALSE)*$Q371/1000,"not bought")))</f>
        <v>0.18240000000000001</v>
      </c>
      <c r="AV371" s="583">
        <f t="shared" si="850"/>
        <v>0.88575778560553609</v>
      </c>
      <c r="AW371" s="583">
        <f t="shared" si="851"/>
        <v>0.26572733568166074</v>
      </c>
      <c r="AX371" s="583">
        <f t="shared" si="852"/>
        <v>8.3039792400518993E-4</v>
      </c>
      <c r="AY371" s="583">
        <f t="shared" si="853"/>
        <v>0</v>
      </c>
      <c r="AZ371" s="583">
        <f t="shared" si="854"/>
        <v>0</v>
      </c>
      <c r="BA371" s="583">
        <f t="shared" si="855"/>
        <v>0</v>
      </c>
      <c r="BB371" s="583">
        <f t="shared" si="856"/>
        <v>0.55359861600346005</v>
      </c>
      <c r="BC371" s="583">
        <f t="shared" si="857"/>
        <v>2.4635138412153967</v>
      </c>
      <c r="BD371" s="583">
        <f t="shared" si="874"/>
        <v>0.41519896200259498</v>
      </c>
      <c r="BE371" s="583">
        <f t="shared" si="875"/>
        <v>0.60895847760380595</v>
      </c>
      <c r="BF371" s="583">
        <f t="shared" si="876"/>
        <v>0.88575778560553609</v>
      </c>
      <c r="BG371" s="583">
        <f t="shared" si="877"/>
        <v>1.3839965400086501E-2</v>
      </c>
      <c r="BH371" s="583">
        <f t="shared" si="878"/>
        <v>1.7438356404108989E-4</v>
      </c>
      <c r="BI371" s="583">
        <f t="shared" si="879"/>
        <v>0</v>
      </c>
      <c r="BJ371" s="583">
        <f t="shared" si="880"/>
        <v>0</v>
      </c>
      <c r="BK371" s="583">
        <f t="shared" si="881"/>
        <v>0</v>
      </c>
      <c r="BL371" s="583">
        <f t="shared" si="882"/>
        <v>0</v>
      </c>
      <c r="BM371" s="583">
        <f t="shared" si="883"/>
        <v>0</v>
      </c>
      <c r="BN371" s="583">
        <f t="shared" si="884"/>
        <v>0</v>
      </c>
      <c r="BO371" s="583">
        <f t="shared" si="885"/>
        <v>0</v>
      </c>
      <c r="BP371" s="583">
        <f t="shared" si="886"/>
        <v>0</v>
      </c>
      <c r="BQ371" s="583">
        <f t="shared" si="887"/>
        <v>0</v>
      </c>
      <c r="BR371" s="583">
        <f t="shared" si="888"/>
        <v>0</v>
      </c>
    </row>
    <row r="372" spans="1:70" s="229" customFormat="1" ht="15" customHeight="1">
      <c r="A372" s="643"/>
      <c r="D372" s="85"/>
      <c r="E372" s="576">
        <f t="shared" si="873"/>
        <v>100</v>
      </c>
      <c r="F372" s="707"/>
      <c r="G372" s="406" t="s">
        <v>3054</v>
      </c>
      <c r="H372" s="1262" t="s">
        <v>3055</v>
      </c>
      <c r="I372" s="85">
        <v>0</v>
      </c>
      <c r="J372" s="682">
        <v>1</v>
      </c>
      <c r="K372" s="579" t="str">
        <f t="shared" si="847"/>
        <v/>
      </c>
      <c r="L372" s="580" t="str">
        <f>IF(H372="Select ingredient:","",IF(G372="","",_xlfn.IFNA(VLOOKUP($H372,Ingredient_prices!$E:$U,16,FALSE),0)))</f>
        <v/>
      </c>
      <c r="M372" s="848"/>
      <c r="N372" s="848"/>
      <c r="O372" s="648"/>
      <c r="P372" s="653"/>
      <c r="Q372" s="583">
        <f t="shared" si="848"/>
        <v>0</v>
      </c>
      <c r="R372" s="583">
        <f>VLOOKUP($H372,'CO2_emission+%_food_waste'!$A:$K,6,FALSE)*$Q372/100</f>
        <v>0</v>
      </c>
      <c r="S372" s="583">
        <f t="shared" si="849"/>
        <v>0</v>
      </c>
      <c r="T372" s="583" t="str">
        <f>IF(H372="Select ingredient:","",IF(G372="Select food category:","",_xlfn.IFNA(VLOOKUP($H372,Ingredient_prices!$E:$U,16,FALSE)*$Q372/1000,"not bought")))</f>
        <v/>
      </c>
      <c r="U372" s="583" t="str">
        <f>IF(G372="Select food category:","",_xlfn.IFNA(VLOOKUP($H372,Ingredient_prices!$E:$U,16,FALSE)*$R372/1000,"not bought"))</f>
        <v/>
      </c>
      <c r="V372" s="549">
        <f>VLOOKUP($H372,'CO2_emission+%_food_waste'!$A:$K,4,FALSE)*$Q372</f>
        <v>0</v>
      </c>
      <c r="W372" s="583">
        <f>VLOOKUP($H372,Nutrition_tables!$A:$N,10,FALSE)*$Q372/100</f>
        <v>0</v>
      </c>
      <c r="X372" s="583">
        <f>VLOOKUP($H372,Nutrition_tables!$A:$N,11,FALSE)*$Q372/100</f>
        <v>0</v>
      </c>
      <c r="Y372" s="583">
        <f>VLOOKUP($H372,Nutrition_tables!$A:$N,12,FALSE)*$Q372/100</f>
        <v>0</v>
      </c>
      <c r="Z372" s="583">
        <f>VLOOKUP($H372,Nutrition_tables!$A:$N,14,FALSE)*$Q372/100</f>
        <v>0</v>
      </c>
      <c r="AA372" s="583">
        <f>VLOOKUP($H372,Nutrition_tables!$A:$AF,13,FALSE)*$Q372/100</f>
        <v>0</v>
      </c>
      <c r="AB372" s="549">
        <f>VLOOKUP($H372,Nutrition_tables!$A:$AF,15,FALSE)*$Q372/100</f>
        <v>0</v>
      </c>
      <c r="AC372" s="583">
        <f>VLOOKUP($H372,Nutrition_tables!$A:$AF,16,FALSE)*$Q372/100</f>
        <v>0</v>
      </c>
      <c r="AD372" s="583">
        <f>VLOOKUP($H372,Nutrition_tables!$A:$AF,17,FALSE)*$Q372/100</f>
        <v>0</v>
      </c>
      <c r="AE372" s="583">
        <f>VLOOKUP($H372,Nutrition_tables!$A:$AF,18,FALSE)*$Q372/100</f>
        <v>0</v>
      </c>
      <c r="AF372" s="583">
        <f>VLOOKUP($H372,Nutrition_tables!$A:$AF,19,FALSE)*$Q372/100</f>
        <v>0</v>
      </c>
      <c r="AG372" s="583">
        <f>VLOOKUP($H372,Nutrition_tables!$A:$AF,20,FALSE)*$Q372/100</f>
        <v>0</v>
      </c>
      <c r="AH372" s="583">
        <f>VLOOKUP($H372,Nutrition_tables!$A:$AF,21,FALSE)*$Q372/100</f>
        <v>0</v>
      </c>
      <c r="AI372" s="583">
        <f>VLOOKUP($H372,Nutrition_tables!$A:$AF,22,FALSE)*$Q372/100</f>
        <v>0</v>
      </c>
      <c r="AJ372" s="549">
        <f>VLOOKUP($H372,Nutrition_tables!$A:$AF,23,FALSE)*$Q372/100</f>
        <v>0</v>
      </c>
      <c r="AK372" s="583">
        <f>VLOOKUP($H372,Nutrition_tables!$A:$AF,24,FALSE)*$Q372/100</f>
        <v>0</v>
      </c>
      <c r="AL372" s="583">
        <f>VLOOKUP($H372,Nutrition_tables!$A:$AF,25,FALSE)*$Q372/100</f>
        <v>0</v>
      </c>
      <c r="AM372" s="583">
        <f>VLOOKUP($H372,Nutrition_tables!$A:$AF,26,FALSE)*$Q372/100</f>
        <v>0</v>
      </c>
      <c r="AN372" s="583">
        <f>VLOOKUP($H372,Nutrition_tables!$A:$AF,27,FALSE)*$Q372/100</f>
        <v>0</v>
      </c>
      <c r="AO372" s="583">
        <f>VLOOKUP($H372,Nutrition_tables!$A:$AF,28,FALSE)*$Q372/100</f>
        <v>0</v>
      </c>
      <c r="AP372" s="583">
        <f>VLOOKUP($H372,Nutrition_tables!$A:$AF,29,FALSE)*$Q372/100</f>
        <v>0</v>
      </c>
      <c r="AQ372" s="583">
        <f>VLOOKUP($H372,Nutrition_tables!$A:$AF,30,FALSE)*$Q372/100</f>
        <v>0</v>
      </c>
      <c r="AR372" s="583">
        <f>VLOOKUP($H372,Nutrition_tables!$A:$AF,31,FALSE)*$Q372/100</f>
        <v>0</v>
      </c>
      <c r="AS372" s="549">
        <f>VLOOKUP($H372,Nutrition_tables!$A:$AF,32,FALSE)*$Q372/100</f>
        <v>0</v>
      </c>
      <c r="AT372" s="583" t="str">
        <f>IF(H372="Select ingredient:","",IF(G372="Select food category:","",IFERROR(VLOOKUP($H372,Ingredient_prices!$E:$W,17,FALSE)*$Q372/1000,"not bought")))</f>
        <v/>
      </c>
      <c r="AU372" s="583" t="str">
        <f>IF(H372="Select ingredient:","",IF(G372="Select food category:","",IFERROR(VLOOKUP($H372,Ingredient_prices!$E:$W,18,FALSE)*$Q372/1000,"not bought")))</f>
        <v/>
      </c>
      <c r="AV372" s="583">
        <f t="shared" si="850"/>
        <v>0</v>
      </c>
      <c r="AW372" s="583">
        <f t="shared" si="851"/>
        <v>0</v>
      </c>
      <c r="AX372" s="583">
        <f t="shared" si="852"/>
        <v>0</v>
      </c>
      <c r="AY372" s="583">
        <f t="shared" si="853"/>
        <v>0</v>
      </c>
      <c r="AZ372" s="583">
        <f t="shared" si="854"/>
        <v>0</v>
      </c>
      <c r="BA372" s="583">
        <f t="shared" si="855"/>
        <v>0</v>
      </c>
      <c r="BB372" s="583">
        <f t="shared" si="856"/>
        <v>0</v>
      </c>
      <c r="BC372" s="583">
        <f t="shared" si="857"/>
        <v>0</v>
      </c>
      <c r="BD372" s="583">
        <f t="shared" si="874"/>
        <v>0</v>
      </c>
      <c r="BE372" s="583">
        <f t="shared" si="875"/>
        <v>0</v>
      </c>
      <c r="BF372" s="583">
        <f t="shared" si="876"/>
        <v>0</v>
      </c>
      <c r="BG372" s="583">
        <f t="shared" si="877"/>
        <v>0</v>
      </c>
      <c r="BH372" s="583">
        <f t="shared" si="878"/>
        <v>0</v>
      </c>
      <c r="BI372" s="583">
        <f t="shared" si="879"/>
        <v>0</v>
      </c>
      <c r="BJ372" s="583">
        <f t="shared" si="880"/>
        <v>0</v>
      </c>
      <c r="BK372" s="583">
        <f t="shared" si="881"/>
        <v>0</v>
      </c>
      <c r="BL372" s="583">
        <f t="shared" si="882"/>
        <v>0</v>
      </c>
      <c r="BM372" s="583">
        <f t="shared" si="883"/>
        <v>0</v>
      </c>
      <c r="BN372" s="583">
        <f t="shared" si="884"/>
        <v>0</v>
      </c>
      <c r="BO372" s="583">
        <f t="shared" si="885"/>
        <v>0</v>
      </c>
      <c r="BP372" s="583">
        <f t="shared" si="886"/>
        <v>0</v>
      </c>
      <c r="BQ372" s="583">
        <f t="shared" si="887"/>
        <v>0</v>
      </c>
      <c r="BR372" s="583">
        <f t="shared" si="888"/>
        <v>0</v>
      </c>
    </row>
    <row r="373" spans="1:70" s="229" customFormat="1" ht="15" customHeight="1">
      <c r="A373" s="643"/>
      <c r="D373" s="85"/>
      <c r="E373" s="576">
        <f t="shared" si="873"/>
        <v>100</v>
      </c>
      <c r="F373" s="85" t="s">
        <v>2503</v>
      </c>
      <c r="G373" s="406" t="s">
        <v>3079</v>
      </c>
      <c r="H373" s="578" t="s">
        <v>3365</v>
      </c>
      <c r="I373" s="85">
        <v>75</v>
      </c>
      <c r="J373" s="682">
        <v>1</v>
      </c>
      <c r="K373" s="579">
        <f t="shared" si="847"/>
        <v>8.25</v>
      </c>
      <c r="L373" s="580">
        <f>IF(H373="Select ingredient:","",IF(G373="","",_xlfn.IFNA(VLOOKUP($H373,Ingredient_prices!$E:$U,16,FALSE),0)))</f>
        <v>70.400000000000006</v>
      </c>
      <c r="M373" s="848"/>
      <c r="N373" s="848"/>
      <c r="O373" s="648"/>
      <c r="P373" s="653"/>
      <c r="Q373" s="583">
        <f t="shared" si="848"/>
        <v>75</v>
      </c>
      <c r="R373" s="583">
        <f>VLOOKUP($H373,'CO2_emission+%_food_waste'!$A:$K,6,FALSE)*$Q373/100</f>
        <v>29.55</v>
      </c>
      <c r="S373" s="583">
        <f t="shared" si="849"/>
        <v>45.45</v>
      </c>
      <c r="T373" s="583">
        <f>IF(H373="Select ingredient:","",IF(G373="Select food category:","",_xlfn.IFNA(VLOOKUP($H373,Ingredient_prices!$E:$U,16,FALSE)*$Q373/1000,"not bought")))</f>
        <v>5.28</v>
      </c>
      <c r="U373" s="583">
        <f>IF(G373="Select food category:","",_xlfn.IFNA(VLOOKUP($H373,Ingredient_prices!$E:$U,16,FALSE)*$R373/1000,"not bought"))</f>
        <v>2.0803199999999999</v>
      </c>
      <c r="V373" s="549">
        <f>VLOOKUP($H373,'CO2_emission+%_food_waste'!$A:$K,4,FALSE)*$Q373</f>
        <v>121.50000000000001</v>
      </c>
      <c r="W373" s="583">
        <f>VLOOKUP($H373,Nutrition_tables!$A:$N,10,FALSE)*$Q373/100</f>
        <v>197.17500000000001</v>
      </c>
      <c r="X373" s="583">
        <f>VLOOKUP($H373,Nutrition_tables!$A:$N,11,FALSE)*$Q373/100</f>
        <v>38.1</v>
      </c>
      <c r="Y373" s="583">
        <f>VLOOKUP($H373,Nutrition_tables!$A:$N,12,FALSE)*$Q373/100</f>
        <v>5.0999999999999996</v>
      </c>
      <c r="Z373" s="583">
        <f>VLOOKUP($H373,Nutrition_tables!$A:$N,14,FALSE)*$Q373/100</f>
        <v>0.375</v>
      </c>
      <c r="AA373" s="583">
        <f>VLOOKUP($H373,Nutrition_tables!$A:$AF,13,FALSE)*$Q373/100</f>
        <v>3.2250000000000001</v>
      </c>
      <c r="AB373" s="549">
        <f>VLOOKUP($H373,Nutrition_tables!$A:$AF,15,FALSE)*$Q373/100</f>
        <v>7.4999999999999997E-2</v>
      </c>
      <c r="AC373" s="583">
        <f>VLOOKUP($H373,Nutrition_tables!$A:$AF,16,FALSE)*$Q373/100</f>
        <v>382.5</v>
      </c>
      <c r="AD373" s="583">
        <f>VLOOKUP($H373,Nutrition_tables!$A:$AF,17,FALSE)*$Q373/100</f>
        <v>86.25</v>
      </c>
      <c r="AE373" s="583">
        <f>VLOOKUP($H373,Nutrition_tables!$A:$AF,18,FALSE)*$Q373/100</f>
        <v>72.75</v>
      </c>
      <c r="AF373" s="583">
        <f>VLOOKUP($H373,Nutrition_tables!$A:$AF,19,FALSE)*$Q373/100</f>
        <v>18</v>
      </c>
      <c r="AG373" s="583">
        <f>VLOOKUP($H373,Nutrition_tables!$A:$AF,20,FALSE)*$Q373/100</f>
        <v>0</v>
      </c>
      <c r="AH373" s="583">
        <f>VLOOKUP($H373,Nutrition_tables!$A:$AF,21,FALSE)*$Q373/100</f>
        <v>1.125</v>
      </c>
      <c r="AI373" s="583">
        <f>VLOOKUP($H373,Nutrition_tables!$A:$AF,22,FALSE)*$Q373/100</f>
        <v>2.85</v>
      </c>
      <c r="AJ373" s="549">
        <f>VLOOKUP($H373,Nutrition_tables!$A:$AF,23,FALSE)*$Q373/100</f>
        <v>0.23850000000000002</v>
      </c>
      <c r="AK373" s="583">
        <f>VLOOKUP($H373,Nutrition_tables!$A:$AF,24,FALSE)*$Q373/100</f>
        <v>0</v>
      </c>
      <c r="AL373" s="583">
        <f>VLOOKUP($H373,Nutrition_tables!$A:$AF,25,FALSE)*$Q373/100</f>
        <v>0.15</v>
      </c>
      <c r="AM373" s="583">
        <f>VLOOKUP($H373,Nutrition_tables!$A:$AF,26,FALSE)*$Q373/100</f>
        <v>0.06</v>
      </c>
      <c r="AN373" s="583">
        <f>VLOOKUP($H373,Nutrition_tables!$A:$AF,27,FALSE)*$Q373/100</f>
        <v>2.1074999999999999</v>
      </c>
      <c r="AO373" s="583">
        <f>VLOOKUP($H373,Nutrition_tables!$A:$AF,28,FALSE)*$Q373/100</f>
        <v>4.2000000000000003E-2</v>
      </c>
      <c r="AP373" s="583">
        <f>VLOOKUP($H373,Nutrition_tables!$A:$AF,29,FALSE)*$Q373/100</f>
        <v>20.25</v>
      </c>
      <c r="AQ373" s="583">
        <f>VLOOKUP($H373,Nutrition_tables!$A:$AF,30,FALSE)*$Q373/100</f>
        <v>0</v>
      </c>
      <c r="AR373" s="583">
        <f>VLOOKUP($H373,Nutrition_tables!$A:$AF,31,FALSE)*$Q373/100</f>
        <v>7.4999999999999997E-2</v>
      </c>
      <c r="AS373" s="549">
        <f>VLOOKUP($H373,Nutrition_tables!$A:$AF,32,FALSE)*$Q373/100</f>
        <v>8.2500000000000004E-2</v>
      </c>
      <c r="AT373" s="583">
        <f>IF(H373="Select ingredient:","",IF(G373="Select food category:","",IFERROR(VLOOKUP($H373,Ingredient_prices!$E:$W,17,FALSE)*$Q373/1000,"not bought")))</f>
        <v>5.28</v>
      </c>
      <c r="AU373" s="583">
        <f>IF(H373="Select ingredient:","",IF(G373="Select food category:","",IFERROR(VLOOKUP($H373,Ingredient_prices!$E:$W,18,FALSE)*$Q373/1000,"not bought")))</f>
        <v>5.28</v>
      </c>
      <c r="AV373" s="583">
        <f t="shared" si="850"/>
        <v>119.48803406826212</v>
      </c>
      <c r="AW373" s="583">
        <f t="shared" si="851"/>
        <v>23.088596921520413</v>
      </c>
      <c r="AX373" s="583">
        <f t="shared" si="852"/>
        <v>3.0905995879200545</v>
      </c>
      <c r="AY373" s="583">
        <f t="shared" si="853"/>
        <v>0.22724996970000408</v>
      </c>
      <c r="AZ373" s="583">
        <f t="shared" si="854"/>
        <v>1.9543497394200349</v>
      </c>
      <c r="BA373" s="583">
        <f t="shared" si="855"/>
        <v>4.5449993940000807E-2</v>
      </c>
      <c r="BB373" s="583">
        <f t="shared" si="856"/>
        <v>231.7949690940041</v>
      </c>
      <c r="BC373" s="583">
        <f t="shared" si="857"/>
        <v>52.267493031000932</v>
      </c>
      <c r="BD373" s="583">
        <f t="shared" si="874"/>
        <v>44.086494121800783</v>
      </c>
      <c r="BE373" s="583">
        <f t="shared" si="875"/>
        <v>10.907998545600194</v>
      </c>
      <c r="BF373" s="583">
        <f t="shared" si="876"/>
        <v>0</v>
      </c>
      <c r="BG373" s="583">
        <f t="shared" si="877"/>
        <v>0.6817499091000121</v>
      </c>
      <c r="BH373" s="583">
        <f t="shared" si="878"/>
        <v>1.7270997697200305</v>
      </c>
      <c r="BI373" s="583">
        <f t="shared" si="879"/>
        <v>0.14453098072920259</v>
      </c>
      <c r="BJ373" s="583">
        <f t="shared" si="880"/>
        <v>0</v>
      </c>
      <c r="BK373" s="583">
        <f t="shared" si="881"/>
        <v>9.0899987880001615E-2</v>
      </c>
      <c r="BL373" s="583">
        <f t="shared" si="882"/>
        <v>3.635999515200064E-2</v>
      </c>
      <c r="BM373" s="583">
        <f t="shared" si="883"/>
        <v>1.2771448297140227</v>
      </c>
      <c r="BN373" s="583">
        <f t="shared" si="884"/>
        <v>2.5451996606400455E-2</v>
      </c>
      <c r="BO373" s="583">
        <f t="shared" si="885"/>
        <v>12.271498363800218</v>
      </c>
      <c r="BP373" s="583">
        <f t="shared" si="886"/>
        <v>0</v>
      </c>
      <c r="BQ373" s="583">
        <f t="shared" si="887"/>
        <v>4.5449993940000807E-2</v>
      </c>
      <c r="BR373" s="583">
        <f t="shared" si="888"/>
        <v>4.9994993334000891E-2</v>
      </c>
    </row>
    <row r="374" spans="1:70" s="229" customFormat="1" ht="15" customHeight="1">
      <c r="A374" s="643"/>
      <c r="D374" s="85"/>
      <c r="E374" s="576">
        <f t="shared" si="873"/>
        <v>100</v>
      </c>
      <c r="F374" s="85" t="s">
        <v>221</v>
      </c>
      <c r="G374" s="406" t="s">
        <v>3077</v>
      </c>
      <c r="H374" s="578" t="s">
        <v>3308</v>
      </c>
      <c r="I374" s="85">
        <v>150</v>
      </c>
      <c r="J374" s="682">
        <v>1</v>
      </c>
      <c r="K374" s="579">
        <f t="shared" si="847"/>
        <v>16.5</v>
      </c>
      <c r="L374" s="580">
        <f>IF(H374="Select ingredient:","",IF(G374="","",_xlfn.IFNA(VLOOKUP($H374,Ingredient_prices!$E:$U,16,FALSE),0)))</f>
        <v>49.5</v>
      </c>
      <c r="M374" s="848"/>
      <c r="N374" s="848"/>
      <c r="O374" s="648"/>
      <c r="P374" s="653"/>
      <c r="Q374" s="583">
        <f t="shared" si="848"/>
        <v>150</v>
      </c>
      <c r="R374" s="583">
        <f>VLOOKUP($H374,'CO2_emission+%_food_waste'!$A:$K,6,FALSE)*$Q374/100</f>
        <v>32.49</v>
      </c>
      <c r="S374" s="583">
        <f t="shared" si="849"/>
        <v>117.50999999999999</v>
      </c>
      <c r="T374" s="583">
        <f>IF(H374="Select ingredient:","",IF(G374="Select food category:","",_xlfn.IFNA(VLOOKUP($H374,Ingredient_prices!$E:$U,16,FALSE)*$Q374/1000,"not bought")))</f>
        <v>7.4249999999999998</v>
      </c>
      <c r="U374" s="583">
        <f>IF(G374="Select food category:","",_xlfn.IFNA(VLOOKUP($H374,Ingredient_prices!$E:$U,16,FALSE)*$R374/1000,"not bought"))</f>
        <v>1.6082550000000002</v>
      </c>
      <c r="V374" s="549">
        <f>VLOOKUP($H374,'CO2_emission+%_food_waste'!$A:$K,4,FALSE)*$Q374</f>
        <v>64.5</v>
      </c>
      <c r="W374" s="583">
        <f>VLOOKUP($H374,Nutrition_tables!$A:$N,10,FALSE)*$Q374/100</f>
        <v>67.5</v>
      </c>
      <c r="X374" s="583">
        <f>VLOOKUP($H374,Nutrition_tables!$A:$N,11,FALSE)*$Q374/100</f>
        <v>15</v>
      </c>
      <c r="Y374" s="583">
        <f>VLOOKUP($H374,Nutrition_tables!$A:$N,12,FALSE)*$Q374/100</f>
        <v>0.3</v>
      </c>
      <c r="Z374" s="583">
        <f>VLOOKUP($H374,Nutrition_tables!$A:$N,14,FALSE)*$Q374/100</f>
        <v>0.45</v>
      </c>
      <c r="AA374" s="583">
        <f>VLOOKUP($H374,Nutrition_tables!$A:$AF,13,FALSE)*$Q374/100</f>
        <v>3.6</v>
      </c>
      <c r="AB374" s="549">
        <f>VLOOKUP($H374,Nutrition_tables!$A:$AF,15,FALSE)*$Q374/100</f>
        <v>0.10500000000000002</v>
      </c>
      <c r="AC374" s="583">
        <f>VLOOKUP($H374,Nutrition_tables!$A:$AF,16,FALSE)*$Q374/100</f>
        <v>3</v>
      </c>
      <c r="AD374" s="583">
        <f>VLOOKUP($H374,Nutrition_tables!$A:$AF,17,FALSE)*$Q374/100</f>
        <v>180</v>
      </c>
      <c r="AE374" s="583">
        <f>VLOOKUP($H374,Nutrition_tables!$A:$AF,18,FALSE)*$Q374/100</f>
        <v>9</v>
      </c>
      <c r="AF374" s="583">
        <f>VLOOKUP($H374,Nutrition_tables!$A:$AF,19,FALSE)*$Q374/100</f>
        <v>12.975</v>
      </c>
      <c r="AG374" s="583">
        <f>VLOOKUP($H374,Nutrition_tables!$A:$AF,20,FALSE)*$Q374/100</f>
        <v>18</v>
      </c>
      <c r="AH374" s="583">
        <f>VLOOKUP($H374,Nutrition_tables!$A:$AF,21,FALSE)*$Q374/100</f>
        <v>0.45</v>
      </c>
      <c r="AI374" s="583">
        <f>VLOOKUP($H374,Nutrition_tables!$A:$AF,22,FALSE)*$Q374/100</f>
        <v>0.15</v>
      </c>
      <c r="AJ374" s="549">
        <f>VLOOKUP($H374,Nutrition_tables!$A:$AF,23,FALSE)*$Q374/100</f>
        <v>5.4495000000000002E-2</v>
      </c>
      <c r="AK374" s="583">
        <f>VLOOKUP($H374,Nutrition_tables!$A:$AF,24,FALSE)*$Q374/100</f>
        <v>4.5</v>
      </c>
      <c r="AL374" s="583">
        <f>VLOOKUP($H374,Nutrition_tables!$A:$AF,25,FALSE)*$Q374/100</f>
        <v>0.03</v>
      </c>
      <c r="AM374" s="583">
        <f>VLOOKUP($H374,Nutrition_tables!$A:$AF,26,FALSE)*$Q374/100</f>
        <v>0.03</v>
      </c>
      <c r="AN374" s="583">
        <f>VLOOKUP($H374,Nutrition_tables!$A:$AF,27,FALSE)*$Q374/100</f>
        <v>0.45</v>
      </c>
      <c r="AO374" s="583">
        <f>VLOOKUP($H374,Nutrition_tables!$A:$AF,28,FALSE)*$Q374/100</f>
        <v>0.16500000000000001</v>
      </c>
      <c r="AP374" s="583">
        <f>VLOOKUP($H374,Nutrition_tables!$A:$AF,29,FALSE)*$Q374/100</f>
        <v>1.5</v>
      </c>
      <c r="AQ374" s="583">
        <f>VLOOKUP($H374,Nutrition_tables!$A:$AF,30,FALSE)*$Q374/100</f>
        <v>0</v>
      </c>
      <c r="AR374" s="583">
        <f>VLOOKUP($H374,Nutrition_tables!$A:$AF,31,FALSE)*$Q374/100</f>
        <v>15</v>
      </c>
      <c r="AS374" s="549">
        <f>VLOOKUP($H374,Nutrition_tables!$A:$AF,32,FALSE)*$Q374/100</f>
        <v>0</v>
      </c>
      <c r="AT374" s="583">
        <f>IF(H374="Select ingredient:","",IF(G374="Select food category:","",IFERROR(VLOOKUP($H374,Ingredient_prices!$E:$W,17,FALSE)*$Q374/1000,"not bought")))</f>
        <v>7.4249999999999998</v>
      </c>
      <c r="AU374" s="583">
        <f>IF(H374="Select ingredient:","",IF(G374="Select food category:","",IFERROR(VLOOKUP($H374,Ingredient_prices!$E:$W,18,FALSE)*$Q374/1000,"not bought")))</f>
        <v>7.4249999999999998</v>
      </c>
      <c r="AV374" s="583">
        <f t="shared" si="850"/>
        <v>52.879496474700233</v>
      </c>
      <c r="AW374" s="583">
        <f t="shared" si="851"/>
        <v>11.750999216600052</v>
      </c>
      <c r="AX374" s="583">
        <f t="shared" si="852"/>
        <v>0.235019984332001</v>
      </c>
      <c r="AY374" s="583">
        <f t="shared" si="853"/>
        <v>0.35252997649800155</v>
      </c>
      <c r="AZ374" s="583">
        <f t="shared" si="854"/>
        <v>2.8202398119840124</v>
      </c>
      <c r="BA374" s="583">
        <f t="shared" si="855"/>
        <v>8.2256994516200374E-2</v>
      </c>
      <c r="BB374" s="583">
        <f t="shared" si="856"/>
        <v>2.3501998433200102</v>
      </c>
      <c r="BC374" s="583">
        <f t="shared" si="857"/>
        <v>141.01199059920063</v>
      </c>
      <c r="BD374" s="583">
        <f t="shared" si="874"/>
        <v>7.0505995299600306</v>
      </c>
      <c r="BE374" s="583">
        <f t="shared" si="875"/>
        <v>10.164614322359045</v>
      </c>
      <c r="BF374" s="583">
        <f t="shared" si="876"/>
        <v>14.101199059920061</v>
      </c>
      <c r="BG374" s="583">
        <f t="shared" si="877"/>
        <v>0.35252997649800155</v>
      </c>
      <c r="BH374" s="583">
        <f t="shared" si="878"/>
        <v>0.1175099921660005</v>
      </c>
      <c r="BI374" s="583">
        <f t="shared" si="879"/>
        <v>4.2691380153907985E-2</v>
      </c>
      <c r="BJ374" s="583">
        <f t="shared" si="880"/>
        <v>3.5252997649800153</v>
      </c>
      <c r="BK374" s="583">
        <f t="shared" si="881"/>
        <v>2.35019984332001E-2</v>
      </c>
      <c r="BL374" s="583">
        <f t="shared" si="882"/>
        <v>2.35019984332001E-2</v>
      </c>
      <c r="BM374" s="583">
        <f t="shared" si="883"/>
        <v>0.35252997649800155</v>
      </c>
      <c r="BN374" s="583">
        <f t="shared" si="884"/>
        <v>0.12926099138260058</v>
      </c>
      <c r="BO374" s="583">
        <f t="shared" si="885"/>
        <v>1.1750999216600051</v>
      </c>
      <c r="BP374" s="583">
        <f t="shared" si="886"/>
        <v>0</v>
      </c>
      <c r="BQ374" s="583">
        <f t="shared" si="887"/>
        <v>11.750999216600052</v>
      </c>
      <c r="BR374" s="583">
        <f t="shared" si="888"/>
        <v>0</v>
      </c>
    </row>
    <row r="375" spans="1:70" s="229" customFormat="1" ht="15" customHeight="1">
      <c r="A375" s="643"/>
      <c r="D375" s="406"/>
      <c r="E375" s="576">
        <f t="shared" si="873"/>
        <v>100</v>
      </c>
      <c r="G375" s="406" t="s">
        <v>3054</v>
      </c>
      <c r="H375" s="1262" t="s">
        <v>3055</v>
      </c>
      <c r="I375" s="85">
        <v>0</v>
      </c>
      <c r="J375" s="682">
        <v>1</v>
      </c>
      <c r="K375" s="579" t="str">
        <f t="shared" si="847"/>
        <v/>
      </c>
      <c r="L375" s="580" t="str">
        <f>IF(H375="Select ingredient:","",IF(G375="","",_xlfn.IFNA(VLOOKUP($H375,Ingredient_prices!$E:$U,16,FALSE),0)))</f>
        <v/>
      </c>
      <c r="M375" s="848"/>
      <c r="N375" s="848"/>
      <c r="O375" s="648"/>
      <c r="P375" s="653"/>
      <c r="Q375" s="583">
        <f t="shared" si="848"/>
        <v>0</v>
      </c>
      <c r="R375" s="583">
        <f>VLOOKUP($H375,'CO2_emission+%_food_waste'!$A:$K,6,FALSE)*$Q375/100</f>
        <v>0</v>
      </c>
      <c r="S375" s="583">
        <f t="shared" si="849"/>
        <v>0</v>
      </c>
      <c r="T375" s="583" t="str">
        <f>IF(H375="Select ingredient:","",IF(G375="Select food category:","",_xlfn.IFNA(VLOOKUP($H375,Ingredient_prices!$E:$U,16,FALSE)*$Q375/1000,"not bought")))</f>
        <v/>
      </c>
      <c r="U375" s="583" t="str">
        <f>IF(G375="Select food category:","",_xlfn.IFNA(VLOOKUP($H375,Ingredient_prices!$E:$U,16,FALSE)*$R375/1000,"not bought"))</f>
        <v/>
      </c>
      <c r="V375" s="549">
        <f>VLOOKUP($H375,'CO2_emission+%_food_waste'!$A:$K,4,FALSE)*$Q375</f>
        <v>0</v>
      </c>
      <c r="W375" s="583">
        <f>VLOOKUP($H375,Nutrition_tables!$A:$N,10,FALSE)*$Q375/100</f>
        <v>0</v>
      </c>
      <c r="X375" s="583">
        <f>VLOOKUP($H375,Nutrition_tables!$A:$N,11,FALSE)*$Q375/100</f>
        <v>0</v>
      </c>
      <c r="Y375" s="583">
        <f>VLOOKUP($H375,Nutrition_tables!$A:$N,12,FALSE)*$Q375/100</f>
        <v>0</v>
      </c>
      <c r="Z375" s="583">
        <f>VLOOKUP($H375,Nutrition_tables!$A:$N,14,FALSE)*$Q375/100</f>
        <v>0</v>
      </c>
      <c r="AA375" s="583">
        <f>VLOOKUP($H375,Nutrition_tables!$A:$AF,13,FALSE)*$Q375/100</f>
        <v>0</v>
      </c>
      <c r="AB375" s="549">
        <f>VLOOKUP($H375,Nutrition_tables!$A:$AF,15,FALSE)*$Q375/100</f>
        <v>0</v>
      </c>
      <c r="AC375" s="583">
        <f>VLOOKUP($H375,Nutrition_tables!$A:$AF,16,FALSE)*$Q375/100</f>
        <v>0</v>
      </c>
      <c r="AD375" s="583">
        <f>VLOOKUP($H375,Nutrition_tables!$A:$AF,17,FALSE)*$Q375/100</f>
        <v>0</v>
      </c>
      <c r="AE375" s="583">
        <f>VLOOKUP($H375,Nutrition_tables!$A:$AF,18,FALSE)*$Q375/100</f>
        <v>0</v>
      </c>
      <c r="AF375" s="583">
        <f>VLOOKUP($H375,Nutrition_tables!$A:$AF,19,FALSE)*$Q375/100</f>
        <v>0</v>
      </c>
      <c r="AG375" s="583">
        <f>VLOOKUP($H375,Nutrition_tables!$A:$AF,20,FALSE)*$Q375/100</f>
        <v>0</v>
      </c>
      <c r="AH375" s="583">
        <f>VLOOKUP($H375,Nutrition_tables!$A:$AF,21,FALSE)*$Q375/100</f>
        <v>0</v>
      </c>
      <c r="AI375" s="583">
        <f>VLOOKUP($H375,Nutrition_tables!$A:$AF,22,FALSE)*$Q375/100</f>
        <v>0</v>
      </c>
      <c r="AJ375" s="549">
        <f>VLOOKUP($H375,Nutrition_tables!$A:$AF,23,FALSE)*$Q375/100</f>
        <v>0</v>
      </c>
      <c r="AK375" s="583">
        <f>VLOOKUP($H375,Nutrition_tables!$A:$AF,24,FALSE)*$Q375/100</f>
        <v>0</v>
      </c>
      <c r="AL375" s="583">
        <f>VLOOKUP($H375,Nutrition_tables!$A:$AF,25,FALSE)*$Q375/100</f>
        <v>0</v>
      </c>
      <c r="AM375" s="583">
        <f>VLOOKUP($H375,Nutrition_tables!$A:$AF,26,FALSE)*$Q375/100</f>
        <v>0</v>
      </c>
      <c r="AN375" s="583">
        <f>VLOOKUP($H375,Nutrition_tables!$A:$AF,27,FALSE)*$Q375/100</f>
        <v>0</v>
      </c>
      <c r="AO375" s="583">
        <f>VLOOKUP($H375,Nutrition_tables!$A:$AF,28,FALSE)*$Q375/100</f>
        <v>0</v>
      </c>
      <c r="AP375" s="583">
        <f>VLOOKUP($H375,Nutrition_tables!$A:$AF,29,FALSE)*$Q375/100</f>
        <v>0</v>
      </c>
      <c r="AQ375" s="583">
        <f>VLOOKUP($H375,Nutrition_tables!$A:$AF,30,FALSE)*$Q375/100</f>
        <v>0</v>
      </c>
      <c r="AR375" s="583">
        <f>VLOOKUP($H375,Nutrition_tables!$A:$AF,31,FALSE)*$Q375/100</f>
        <v>0</v>
      </c>
      <c r="AS375" s="549">
        <f>VLOOKUP($H375,Nutrition_tables!$A:$AF,32,FALSE)*$Q375/100</f>
        <v>0</v>
      </c>
      <c r="AT375" s="583" t="str">
        <f>IF(H375="Select ingredient:","",IF(G375="Select food category:","",IFERROR(VLOOKUP($H375,Ingredient_prices!$E:$W,17,FALSE)*$Q375/1000,"not bought")))</f>
        <v/>
      </c>
      <c r="AU375" s="583" t="str">
        <f>IF(H375="Select ingredient:","",IF(G375="Select food category:","",IFERROR(VLOOKUP($H375,Ingredient_prices!$E:$W,18,FALSE)*$Q375/1000,"not bought")))</f>
        <v/>
      </c>
      <c r="AV375" s="583">
        <f t="shared" si="850"/>
        <v>0</v>
      </c>
      <c r="AW375" s="583">
        <f t="shared" si="851"/>
        <v>0</v>
      </c>
      <c r="AX375" s="583">
        <f t="shared" si="852"/>
        <v>0</v>
      </c>
      <c r="AY375" s="583">
        <f t="shared" si="853"/>
        <v>0</v>
      </c>
      <c r="AZ375" s="583">
        <f t="shared" si="854"/>
        <v>0</v>
      </c>
      <c r="BA375" s="583">
        <f t="shared" si="855"/>
        <v>0</v>
      </c>
      <c r="BB375" s="583">
        <f t="shared" si="856"/>
        <v>0</v>
      </c>
      <c r="BC375" s="583">
        <f t="shared" si="857"/>
        <v>0</v>
      </c>
      <c r="BD375" s="583">
        <f t="shared" si="874"/>
        <v>0</v>
      </c>
      <c r="BE375" s="583">
        <f t="shared" si="875"/>
        <v>0</v>
      </c>
      <c r="BF375" s="583">
        <f t="shared" si="876"/>
        <v>0</v>
      </c>
      <c r="BG375" s="583">
        <f t="shared" si="877"/>
        <v>0</v>
      </c>
      <c r="BH375" s="583">
        <f t="shared" si="878"/>
        <v>0</v>
      </c>
      <c r="BI375" s="583">
        <f t="shared" si="879"/>
        <v>0</v>
      </c>
      <c r="BJ375" s="583">
        <f t="shared" si="880"/>
        <v>0</v>
      </c>
      <c r="BK375" s="583">
        <f t="shared" si="881"/>
        <v>0</v>
      </c>
      <c r="BL375" s="583">
        <f t="shared" si="882"/>
        <v>0</v>
      </c>
      <c r="BM375" s="583">
        <f t="shared" si="883"/>
        <v>0</v>
      </c>
      <c r="BN375" s="583">
        <f t="shared" si="884"/>
        <v>0</v>
      </c>
      <c r="BO375" s="583">
        <f t="shared" si="885"/>
        <v>0</v>
      </c>
      <c r="BP375" s="583">
        <f t="shared" si="886"/>
        <v>0</v>
      </c>
      <c r="BQ375" s="583">
        <f t="shared" si="887"/>
        <v>0</v>
      </c>
      <c r="BR375" s="583">
        <f t="shared" si="888"/>
        <v>0</v>
      </c>
    </row>
    <row r="376" spans="1:70" s="229" customFormat="1" ht="15" customHeight="1">
      <c r="A376" s="643"/>
      <c r="D376" s="85"/>
      <c r="E376" s="576">
        <f t="shared" si="873"/>
        <v>100</v>
      </c>
      <c r="G376" s="406" t="s">
        <v>3054</v>
      </c>
      <c r="H376" s="1262" t="s">
        <v>3055</v>
      </c>
      <c r="I376" s="85">
        <v>0</v>
      </c>
      <c r="J376" s="682">
        <v>1</v>
      </c>
      <c r="K376" s="579" t="str">
        <f t="shared" si="847"/>
        <v/>
      </c>
      <c r="L376" s="580" t="str">
        <f>IF(H376="Select ingredient:","",IF(G376="","",_xlfn.IFNA(VLOOKUP($H376,Ingredient_prices!$E:$U,16,FALSE),0)))</f>
        <v/>
      </c>
      <c r="M376" s="848"/>
      <c r="N376" s="848"/>
      <c r="O376" s="648"/>
      <c r="P376" s="653"/>
      <c r="Q376" s="583">
        <f t="shared" si="848"/>
        <v>0</v>
      </c>
      <c r="R376" s="583">
        <f>VLOOKUP($H376,'CO2_emission+%_food_waste'!$A:$K,6,FALSE)*$Q376/100</f>
        <v>0</v>
      </c>
      <c r="S376" s="583">
        <f t="shared" si="849"/>
        <v>0</v>
      </c>
      <c r="T376" s="583" t="str">
        <f>IF(H376="Select ingredient:","",IF(G376="Select food category:","",_xlfn.IFNA(VLOOKUP($H376,Ingredient_prices!$E:$U,16,FALSE)*$Q376/1000,"not bought")))</f>
        <v/>
      </c>
      <c r="U376" s="583" t="str">
        <f>IF(G376="Select food category:","",_xlfn.IFNA(VLOOKUP($H376,Ingredient_prices!$E:$U,16,FALSE)*$R376/1000,"not bought"))</f>
        <v/>
      </c>
      <c r="V376" s="549">
        <f>VLOOKUP($H376,'CO2_emission+%_food_waste'!$A:$K,4,FALSE)*$Q376</f>
        <v>0</v>
      </c>
      <c r="W376" s="583">
        <f>VLOOKUP($H376,Nutrition_tables!$A:$N,10,FALSE)*$Q376/100</f>
        <v>0</v>
      </c>
      <c r="X376" s="583">
        <f>VLOOKUP($H376,Nutrition_tables!$A:$N,11,FALSE)*$Q376/100</f>
        <v>0</v>
      </c>
      <c r="Y376" s="583">
        <f>VLOOKUP($H376,Nutrition_tables!$A:$N,12,FALSE)*$Q376/100</f>
        <v>0</v>
      </c>
      <c r="Z376" s="583">
        <f>VLOOKUP($H376,Nutrition_tables!$A:$N,14,FALSE)*$Q376/100</f>
        <v>0</v>
      </c>
      <c r="AA376" s="583">
        <f>VLOOKUP($H376,Nutrition_tables!$A:$AF,13,FALSE)*$Q376/100</f>
        <v>0</v>
      </c>
      <c r="AB376" s="549">
        <f>VLOOKUP($H376,Nutrition_tables!$A:$AF,15,FALSE)*$Q376/100</f>
        <v>0</v>
      </c>
      <c r="AC376" s="583">
        <f>VLOOKUP($H376,Nutrition_tables!$A:$AF,16,FALSE)*$Q376/100</f>
        <v>0</v>
      </c>
      <c r="AD376" s="583">
        <f>VLOOKUP($H376,Nutrition_tables!$A:$AF,17,FALSE)*$Q376/100</f>
        <v>0</v>
      </c>
      <c r="AE376" s="583">
        <f>VLOOKUP($H376,Nutrition_tables!$A:$AF,18,FALSE)*$Q376/100</f>
        <v>0</v>
      </c>
      <c r="AF376" s="583">
        <f>VLOOKUP($H376,Nutrition_tables!$A:$AF,19,FALSE)*$Q376/100</f>
        <v>0</v>
      </c>
      <c r="AG376" s="583">
        <f>VLOOKUP($H376,Nutrition_tables!$A:$AF,20,FALSE)*$Q376/100</f>
        <v>0</v>
      </c>
      <c r="AH376" s="583">
        <f>VLOOKUP($H376,Nutrition_tables!$A:$AF,21,FALSE)*$Q376/100</f>
        <v>0</v>
      </c>
      <c r="AI376" s="583">
        <f>VLOOKUP($H376,Nutrition_tables!$A:$AF,22,FALSE)*$Q376/100</f>
        <v>0</v>
      </c>
      <c r="AJ376" s="549">
        <f>VLOOKUP($H376,Nutrition_tables!$A:$AF,23,FALSE)*$Q376/100</f>
        <v>0</v>
      </c>
      <c r="AK376" s="583">
        <f>VLOOKUP($H376,Nutrition_tables!$A:$AF,24,FALSE)*$Q376/100</f>
        <v>0</v>
      </c>
      <c r="AL376" s="583">
        <f>VLOOKUP($H376,Nutrition_tables!$A:$AF,25,FALSE)*$Q376/100</f>
        <v>0</v>
      </c>
      <c r="AM376" s="583">
        <f>VLOOKUP($H376,Nutrition_tables!$A:$AF,26,FALSE)*$Q376/100</f>
        <v>0</v>
      </c>
      <c r="AN376" s="583">
        <f>VLOOKUP($H376,Nutrition_tables!$A:$AF,27,FALSE)*$Q376/100</f>
        <v>0</v>
      </c>
      <c r="AO376" s="583">
        <f>VLOOKUP($H376,Nutrition_tables!$A:$AF,28,FALSE)*$Q376/100</f>
        <v>0</v>
      </c>
      <c r="AP376" s="583">
        <f>VLOOKUP($H376,Nutrition_tables!$A:$AF,29,FALSE)*$Q376/100</f>
        <v>0</v>
      </c>
      <c r="AQ376" s="583">
        <f>VLOOKUP($H376,Nutrition_tables!$A:$AF,30,FALSE)*$Q376/100</f>
        <v>0</v>
      </c>
      <c r="AR376" s="583">
        <f>VLOOKUP($H376,Nutrition_tables!$A:$AF,31,FALSE)*$Q376/100</f>
        <v>0</v>
      </c>
      <c r="AS376" s="549">
        <f>VLOOKUP($H376,Nutrition_tables!$A:$AF,32,FALSE)*$Q376/100</f>
        <v>0</v>
      </c>
      <c r="AT376" s="583" t="str">
        <f>IF(H376="Select ingredient:","",IF(G376="Select food category:","",IFERROR(VLOOKUP($H376,Ingredient_prices!$E:$W,17,FALSE)*$Q376/1000,"not bought")))</f>
        <v/>
      </c>
      <c r="AU376" s="583" t="str">
        <f>IF(H376="Select ingredient:","",IF(G376="Select food category:","",IFERROR(VLOOKUP($H376,Ingredient_prices!$E:$W,18,FALSE)*$Q376/1000,"not bought")))</f>
        <v/>
      </c>
      <c r="AV376" s="583">
        <f t="shared" si="850"/>
        <v>0</v>
      </c>
      <c r="AW376" s="583">
        <f t="shared" si="851"/>
        <v>0</v>
      </c>
      <c r="AX376" s="583">
        <f t="shared" si="852"/>
        <v>0</v>
      </c>
      <c r="AY376" s="583">
        <f t="shared" si="853"/>
        <v>0</v>
      </c>
      <c r="AZ376" s="583">
        <f t="shared" si="854"/>
        <v>0</v>
      </c>
      <c r="BA376" s="583">
        <f t="shared" si="855"/>
        <v>0</v>
      </c>
      <c r="BB376" s="583">
        <f t="shared" si="856"/>
        <v>0</v>
      </c>
      <c r="BC376" s="583">
        <f t="shared" si="857"/>
        <v>0</v>
      </c>
      <c r="BD376" s="583">
        <f t="shared" si="874"/>
        <v>0</v>
      </c>
      <c r="BE376" s="583">
        <f t="shared" si="875"/>
        <v>0</v>
      </c>
      <c r="BF376" s="583">
        <f t="shared" si="876"/>
        <v>0</v>
      </c>
      <c r="BG376" s="583">
        <f t="shared" si="877"/>
        <v>0</v>
      </c>
      <c r="BH376" s="583">
        <f t="shared" si="878"/>
        <v>0</v>
      </c>
      <c r="BI376" s="583">
        <f t="shared" si="879"/>
        <v>0</v>
      </c>
      <c r="BJ376" s="583">
        <f t="shared" si="880"/>
        <v>0</v>
      </c>
      <c r="BK376" s="583">
        <f t="shared" si="881"/>
        <v>0</v>
      </c>
      <c r="BL376" s="583">
        <f t="shared" si="882"/>
        <v>0</v>
      </c>
      <c r="BM376" s="583">
        <f t="shared" si="883"/>
        <v>0</v>
      </c>
      <c r="BN376" s="583">
        <f t="shared" si="884"/>
        <v>0</v>
      </c>
      <c r="BO376" s="583">
        <f t="shared" si="885"/>
        <v>0</v>
      </c>
      <c r="BP376" s="583">
        <f t="shared" si="886"/>
        <v>0</v>
      </c>
      <c r="BQ376" s="583">
        <f t="shared" si="887"/>
        <v>0</v>
      </c>
      <c r="BR376" s="583">
        <f t="shared" si="888"/>
        <v>0</v>
      </c>
    </row>
    <row r="377" spans="1:70" s="229" customFormat="1" ht="15" customHeight="1">
      <c r="A377" s="643"/>
      <c r="D377" s="85"/>
      <c r="E377" s="576">
        <f t="shared" si="873"/>
        <v>100</v>
      </c>
      <c r="G377" s="406" t="s">
        <v>3054</v>
      </c>
      <c r="H377" s="1262" t="s">
        <v>3055</v>
      </c>
      <c r="I377" s="85">
        <v>0</v>
      </c>
      <c r="J377" s="682">
        <v>1</v>
      </c>
      <c r="K377" s="579" t="str">
        <f t="shared" si="847"/>
        <v/>
      </c>
      <c r="L377" s="580" t="str">
        <f>IF(H377="Select ingredient:","",IF(G377="","",_xlfn.IFNA(VLOOKUP($H377,Ingredient_prices!$E:$U,16,FALSE),0)))</f>
        <v/>
      </c>
      <c r="M377" s="848"/>
      <c r="N377" s="848"/>
      <c r="O377" s="648"/>
      <c r="P377" s="653"/>
      <c r="Q377" s="583">
        <f t="shared" si="848"/>
        <v>0</v>
      </c>
      <c r="R377" s="583">
        <f>VLOOKUP($H377,'CO2_emission+%_food_waste'!$A:$K,6,FALSE)*$Q377/100</f>
        <v>0</v>
      </c>
      <c r="S377" s="583">
        <f t="shared" si="849"/>
        <v>0</v>
      </c>
      <c r="T377" s="583" t="str">
        <f>IF(H377="Select ingredient:","",IF(G377="Select food category:","",_xlfn.IFNA(VLOOKUP($H377,Ingredient_prices!$E:$U,16,FALSE)*$Q377/1000,"not bought")))</f>
        <v/>
      </c>
      <c r="U377" s="583" t="str">
        <f>IF(G377="Select food category:","",_xlfn.IFNA(VLOOKUP($H377,Ingredient_prices!$E:$U,16,FALSE)*$R377/1000,"not bought"))</f>
        <v/>
      </c>
      <c r="V377" s="549">
        <f>VLOOKUP($H377,'CO2_emission+%_food_waste'!$A:$K,4,FALSE)*$Q377</f>
        <v>0</v>
      </c>
      <c r="W377" s="583">
        <f>VLOOKUP($H377,Nutrition_tables!$A:$N,10,FALSE)*$Q377/100</f>
        <v>0</v>
      </c>
      <c r="X377" s="583">
        <f>VLOOKUP($H377,Nutrition_tables!$A:$N,11,FALSE)*$Q377/100</f>
        <v>0</v>
      </c>
      <c r="Y377" s="583">
        <f>VLOOKUP($H377,Nutrition_tables!$A:$N,12,FALSE)*$Q377/100</f>
        <v>0</v>
      </c>
      <c r="Z377" s="583">
        <f>VLOOKUP($H377,Nutrition_tables!$A:$N,14,FALSE)*$Q377/100</f>
        <v>0</v>
      </c>
      <c r="AA377" s="583">
        <f>VLOOKUP($H377,Nutrition_tables!$A:$AF,13,FALSE)*$Q377/100</f>
        <v>0</v>
      </c>
      <c r="AB377" s="549">
        <f>VLOOKUP($H377,Nutrition_tables!$A:$AF,15,FALSE)*$Q377/100</f>
        <v>0</v>
      </c>
      <c r="AC377" s="583">
        <f>VLOOKUP($H377,Nutrition_tables!$A:$AF,16,FALSE)*$Q377/100</f>
        <v>0</v>
      </c>
      <c r="AD377" s="583">
        <f>VLOOKUP($H377,Nutrition_tables!$A:$AF,17,FALSE)*$Q377/100</f>
        <v>0</v>
      </c>
      <c r="AE377" s="583">
        <f>VLOOKUP($H377,Nutrition_tables!$A:$AF,18,FALSE)*$Q377/100</f>
        <v>0</v>
      </c>
      <c r="AF377" s="583">
        <f>VLOOKUP($H377,Nutrition_tables!$A:$AF,19,FALSE)*$Q377/100</f>
        <v>0</v>
      </c>
      <c r="AG377" s="583">
        <f>VLOOKUP($H377,Nutrition_tables!$A:$AF,20,FALSE)*$Q377/100</f>
        <v>0</v>
      </c>
      <c r="AH377" s="583">
        <f>VLOOKUP($H377,Nutrition_tables!$A:$AF,21,FALSE)*$Q377/100</f>
        <v>0</v>
      </c>
      <c r="AI377" s="583">
        <f>VLOOKUP($H377,Nutrition_tables!$A:$AF,22,FALSE)*$Q377/100</f>
        <v>0</v>
      </c>
      <c r="AJ377" s="549">
        <f>VLOOKUP($H377,Nutrition_tables!$A:$AF,23,FALSE)*$Q377/100</f>
        <v>0</v>
      </c>
      <c r="AK377" s="583">
        <f>VLOOKUP($H377,Nutrition_tables!$A:$AF,24,FALSE)*$Q377/100</f>
        <v>0</v>
      </c>
      <c r="AL377" s="583">
        <f>VLOOKUP($H377,Nutrition_tables!$A:$AF,25,FALSE)*$Q377/100</f>
        <v>0</v>
      </c>
      <c r="AM377" s="583">
        <f>VLOOKUP($H377,Nutrition_tables!$A:$AF,26,FALSE)*$Q377/100</f>
        <v>0</v>
      </c>
      <c r="AN377" s="583">
        <f>VLOOKUP($H377,Nutrition_tables!$A:$AF,27,FALSE)*$Q377/100</f>
        <v>0</v>
      </c>
      <c r="AO377" s="583">
        <f>VLOOKUP($H377,Nutrition_tables!$A:$AF,28,FALSE)*$Q377/100</f>
        <v>0</v>
      </c>
      <c r="AP377" s="583">
        <f>VLOOKUP($H377,Nutrition_tables!$A:$AF,29,FALSE)*$Q377/100</f>
        <v>0</v>
      </c>
      <c r="AQ377" s="583">
        <f>VLOOKUP($H377,Nutrition_tables!$A:$AF,30,FALSE)*$Q377/100</f>
        <v>0</v>
      </c>
      <c r="AR377" s="583">
        <f>VLOOKUP($H377,Nutrition_tables!$A:$AF,31,FALSE)*$Q377/100</f>
        <v>0</v>
      </c>
      <c r="AS377" s="549">
        <f>VLOOKUP($H377,Nutrition_tables!$A:$AF,32,FALSE)*$Q377/100</f>
        <v>0</v>
      </c>
      <c r="AT377" s="583" t="str">
        <f>IF(H377="Select ingredient:","",IF(G377="Select food category:","",IFERROR(VLOOKUP($H377,Ingredient_prices!$E:$W,17,FALSE)*$Q377/1000,"not bought")))</f>
        <v/>
      </c>
      <c r="AU377" s="583" t="str">
        <f>IF(H377="Select ingredient:","",IF(G377="Select food category:","",IFERROR(VLOOKUP($H377,Ingredient_prices!$E:$W,18,FALSE)*$Q377/1000,"not bought")))</f>
        <v/>
      </c>
      <c r="AV377" s="583">
        <f t="shared" si="850"/>
        <v>0</v>
      </c>
      <c r="AW377" s="583">
        <f t="shared" si="851"/>
        <v>0</v>
      </c>
      <c r="AX377" s="583">
        <f t="shared" si="852"/>
        <v>0</v>
      </c>
      <c r="AY377" s="583">
        <f t="shared" si="853"/>
        <v>0</v>
      </c>
      <c r="AZ377" s="583">
        <f t="shared" si="854"/>
        <v>0</v>
      </c>
      <c r="BA377" s="583">
        <f t="shared" si="855"/>
        <v>0</v>
      </c>
      <c r="BB377" s="583">
        <f t="shared" si="856"/>
        <v>0</v>
      </c>
      <c r="BC377" s="583">
        <f t="shared" si="857"/>
        <v>0</v>
      </c>
      <c r="BD377" s="583">
        <f t="shared" si="874"/>
        <v>0</v>
      </c>
      <c r="BE377" s="583">
        <f t="shared" si="875"/>
        <v>0</v>
      </c>
      <c r="BF377" s="583">
        <f t="shared" si="876"/>
        <v>0</v>
      </c>
      <c r="BG377" s="583">
        <f t="shared" si="877"/>
        <v>0</v>
      </c>
      <c r="BH377" s="583">
        <f t="shared" si="878"/>
        <v>0</v>
      </c>
      <c r="BI377" s="583">
        <f t="shared" si="879"/>
        <v>0</v>
      </c>
      <c r="BJ377" s="583">
        <f t="shared" si="880"/>
        <v>0</v>
      </c>
      <c r="BK377" s="583">
        <f t="shared" si="881"/>
        <v>0</v>
      </c>
      <c r="BL377" s="583">
        <f t="shared" si="882"/>
        <v>0</v>
      </c>
      <c r="BM377" s="583">
        <f t="shared" si="883"/>
        <v>0</v>
      </c>
      <c r="BN377" s="583">
        <f t="shared" si="884"/>
        <v>0</v>
      </c>
      <c r="BO377" s="583">
        <f t="shared" si="885"/>
        <v>0</v>
      </c>
      <c r="BP377" s="583">
        <f t="shared" si="886"/>
        <v>0</v>
      </c>
      <c r="BQ377" s="583">
        <f t="shared" si="887"/>
        <v>0</v>
      </c>
      <c r="BR377" s="583">
        <f t="shared" si="888"/>
        <v>0</v>
      </c>
    </row>
    <row r="378" spans="1:70" s="229" customFormat="1" ht="15" customHeight="1">
      <c r="A378" s="643"/>
      <c r="D378" s="85"/>
      <c r="E378" s="576">
        <f t="shared" si="873"/>
        <v>100</v>
      </c>
      <c r="G378" s="406" t="s">
        <v>3054</v>
      </c>
      <c r="H378" s="1262" t="s">
        <v>3055</v>
      </c>
      <c r="I378" s="85">
        <v>0</v>
      </c>
      <c r="J378" s="682">
        <v>1</v>
      </c>
      <c r="K378" s="579" t="str">
        <f t="shared" si="847"/>
        <v/>
      </c>
      <c r="L378" s="580" t="str">
        <f>IF(H378="Select ingredient:","",IF(G378="","",_xlfn.IFNA(VLOOKUP($H378,Ingredient_prices!$E:$U,16,FALSE),0)))</f>
        <v/>
      </c>
      <c r="M378" s="848"/>
      <c r="N378" s="848"/>
      <c r="O378" s="648"/>
      <c r="P378" s="653"/>
      <c r="Q378" s="583">
        <f t="shared" si="848"/>
        <v>0</v>
      </c>
      <c r="R378" s="583">
        <f>VLOOKUP($H378,'CO2_emission+%_food_waste'!$A:$K,6,FALSE)*$Q378/100</f>
        <v>0</v>
      </c>
      <c r="S378" s="583">
        <f t="shared" si="849"/>
        <v>0</v>
      </c>
      <c r="T378" s="583" t="str">
        <f>IF(H378="Select ingredient:","",IF(G378="Select food category:","",_xlfn.IFNA(VLOOKUP($H378,Ingredient_prices!$E:$U,16,FALSE)*$Q378/1000,"not bought")))</f>
        <v/>
      </c>
      <c r="U378" s="583" t="str">
        <f>IF(G378="Select food category:","",_xlfn.IFNA(VLOOKUP($H378,Ingredient_prices!$E:$U,16,FALSE)*$R378/1000,"not bought"))</f>
        <v/>
      </c>
      <c r="V378" s="549">
        <f>VLOOKUP($H378,'CO2_emission+%_food_waste'!$A:$K,4,FALSE)*$Q378</f>
        <v>0</v>
      </c>
      <c r="W378" s="583">
        <f>VLOOKUP($H378,Nutrition_tables!$A:$N,10,FALSE)*$Q378/100</f>
        <v>0</v>
      </c>
      <c r="X378" s="583">
        <f>VLOOKUP($H378,Nutrition_tables!$A:$N,11,FALSE)*$Q378/100</f>
        <v>0</v>
      </c>
      <c r="Y378" s="583">
        <f>VLOOKUP($H378,Nutrition_tables!$A:$N,12,FALSE)*$Q378/100</f>
        <v>0</v>
      </c>
      <c r="Z378" s="583">
        <f>VLOOKUP($H378,Nutrition_tables!$A:$N,14,FALSE)*$Q378/100</f>
        <v>0</v>
      </c>
      <c r="AA378" s="583">
        <f>VLOOKUP($H378,Nutrition_tables!$A:$AF,13,FALSE)*$Q378/100</f>
        <v>0</v>
      </c>
      <c r="AB378" s="549">
        <f>VLOOKUP($H378,Nutrition_tables!$A:$AF,15,FALSE)*$Q378/100</f>
        <v>0</v>
      </c>
      <c r="AC378" s="583">
        <f>VLOOKUP($H378,Nutrition_tables!$A:$AF,16,FALSE)*$Q378/100</f>
        <v>0</v>
      </c>
      <c r="AD378" s="583">
        <f>VLOOKUP($H378,Nutrition_tables!$A:$AF,17,FALSE)*$Q378/100</f>
        <v>0</v>
      </c>
      <c r="AE378" s="583">
        <f>VLOOKUP($H378,Nutrition_tables!$A:$AF,18,FALSE)*$Q378/100</f>
        <v>0</v>
      </c>
      <c r="AF378" s="583">
        <f>VLOOKUP($H378,Nutrition_tables!$A:$AF,19,FALSE)*$Q378/100</f>
        <v>0</v>
      </c>
      <c r="AG378" s="583">
        <f>VLOOKUP($H378,Nutrition_tables!$A:$AF,20,FALSE)*$Q378/100</f>
        <v>0</v>
      </c>
      <c r="AH378" s="583">
        <f>VLOOKUP($H378,Nutrition_tables!$A:$AF,21,FALSE)*$Q378/100</f>
        <v>0</v>
      </c>
      <c r="AI378" s="583">
        <f>VLOOKUP($H378,Nutrition_tables!$A:$AF,22,FALSE)*$Q378/100</f>
        <v>0</v>
      </c>
      <c r="AJ378" s="549">
        <f>VLOOKUP($H378,Nutrition_tables!$A:$AF,23,FALSE)*$Q378/100</f>
        <v>0</v>
      </c>
      <c r="AK378" s="583">
        <f>VLOOKUP($H378,Nutrition_tables!$A:$AF,24,FALSE)*$Q378/100</f>
        <v>0</v>
      </c>
      <c r="AL378" s="583">
        <f>VLOOKUP($H378,Nutrition_tables!$A:$AF,25,FALSE)*$Q378/100</f>
        <v>0</v>
      </c>
      <c r="AM378" s="583">
        <f>VLOOKUP($H378,Nutrition_tables!$A:$AF,26,FALSE)*$Q378/100</f>
        <v>0</v>
      </c>
      <c r="AN378" s="583">
        <f>VLOOKUP($H378,Nutrition_tables!$A:$AF,27,FALSE)*$Q378/100</f>
        <v>0</v>
      </c>
      <c r="AO378" s="583">
        <f>VLOOKUP($H378,Nutrition_tables!$A:$AF,28,FALSE)*$Q378/100</f>
        <v>0</v>
      </c>
      <c r="AP378" s="583">
        <f>VLOOKUP($H378,Nutrition_tables!$A:$AF,29,FALSE)*$Q378/100</f>
        <v>0</v>
      </c>
      <c r="AQ378" s="583">
        <f>VLOOKUP($H378,Nutrition_tables!$A:$AF,30,FALSE)*$Q378/100</f>
        <v>0</v>
      </c>
      <c r="AR378" s="583">
        <f>VLOOKUP($H378,Nutrition_tables!$A:$AF,31,FALSE)*$Q378/100</f>
        <v>0</v>
      </c>
      <c r="AS378" s="549">
        <f>VLOOKUP($H378,Nutrition_tables!$A:$AF,32,FALSE)*$Q378/100</f>
        <v>0</v>
      </c>
      <c r="AT378" s="583" t="str">
        <f>IF(H378="Select ingredient:","",IF(G378="Select food category:","",IFERROR(VLOOKUP($H378,Ingredient_prices!$E:$W,17,FALSE)*$Q378/1000,"not bought")))</f>
        <v/>
      </c>
      <c r="AU378" s="583" t="str">
        <f>IF(H378="Select ingredient:","",IF(G378="Select food category:","",IFERROR(VLOOKUP($H378,Ingredient_prices!$E:$W,18,FALSE)*$Q378/1000,"not bought")))</f>
        <v/>
      </c>
      <c r="AV378" s="583">
        <f t="shared" si="850"/>
        <v>0</v>
      </c>
      <c r="AW378" s="583">
        <f t="shared" si="851"/>
        <v>0</v>
      </c>
      <c r="AX378" s="583">
        <f t="shared" si="852"/>
        <v>0</v>
      </c>
      <c r="AY378" s="583">
        <f t="shared" si="853"/>
        <v>0</v>
      </c>
      <c r="AZ378" s="583">
        <f t="shared" si="854"/>
        <v>0</v>
      </c>
      <c r="BA378" s="583">
        <f t="shared" si="855"/>
        <v>0</v>
      </c>
      <c r="BB378" s="583">
        <f t="shared" si="856"/>
        <v>0</v>
      </c>
      <c r="BC378" s="583">
        <f t="shared" si="857"/>
        <v>0</v>
      </c>
      <c r="BD378" s="583">
        <f t="shared" si="874"/>
        <v>0</v>
      </c>
      <c r="BE378" s="583">
        <f t="shared" si="875"/>
        <v>0</v>
      </c>
      <c r="BF378" s="583">
        <f t="shared" si="876"/>
        <v>0</v>
      </c>
      <c r="BG378" s="583">
        <f t="shared" si="877"/>
        <v>0</v>
      </c>
      <c r="BH378" s="583">
        <f t="shared" si="878"/>
        <v>0</v>
      </c>
      <c r="BI378" s="583">
        <f t="shared" si="879"/>
        <v>0</v>
      </c>
      <c r="BJ378" s="583">
        <f t="shared" si="880"/>
        <v>0</v>
      </c>
      <c r="BK378" s="583">
        <f t="shared" si="881"/>
        <v>0</v>
      </c>
      <c r="BL378" s="583">
        <f t="shared" si="882"/>
        <v>0</v>
      </c>
      <c r="BM378" s="583">
        <f t="shared" si="883"/>
        <v>0</v>
      </c>
      <c r="BN378" s="583">
        <f t="shared" si="884"/>
        <v>0</v>
      </c>
      <c r="BO378" s="583">
        <f t="shared" si="885"/>
        <v>0</v>
      </c>
      <c r="BP378" s="583">
        <f t="shared" si="886"/>
        <v>0</v>
      </c>
      <c r="BQ378" s="583">
        <f t="shared" si="887"/>
        <v>0</v>
      </c>
      <c r="BR378" s="583">
        <f t="shared" si="888"/>
        <v>0</v>
      </c>
    </row>
    <row r="379" spans="1:70" s="603" customFormat="1" ht="56">
      <c r="A379" s="643"/>
      <c r="B379" s="593"/>
      <c r="C379" s="522"/>
      <c r="D379" s="141"/>
      <c r="E379" s="594"/>
      <c r="F379" s="708"/>
      <c r="G379" s="522"/>
      <c r="H379" s="522"/>
      <c r="I379" s="86"/>
      <c r="J379" s="87"/>
      <c r="K379" s="595"/>
      <c r="L379" s="596"/>
      <c r="M379" s="849"/>
      <c r="N379" s="849"/>
      <c r="O379" s="648"/>
      <c r="P379" s="654"/>
      <c r="Q379" s="599" t="s">
        <v>384</v>
      </c>
      <c r="R379" s="600" t="s">
        <v>455</v>
      </c>
      <c r="S379" s="600" t="s">
        <v>2087</v>
      </c>
      <c r="T379" s="600" t="s">
        <v>456</v>
      </c>
      <c r="U379" s="600" t="s">
        <v>535</v>
      </c>
      <c r="V379" s="601" t="s">
        <v>457</v>
      </c>
      <c r="W379" s="600" t="s">
        <v>75</v>
      </c>
      <c r="X379" s="600" t="s">
        <v>385</v>
      </c>
      <c r="Y379" s="600" t="s">
        <v>386</v>
      </c>
      <c r="Z379" s="600" t="s">
        <v>387</v>
      </c>
      <c r="AA379" s="600" t="s">
        <v>388</v>
      </c>
      <c r="AB379" s="601" t="s">
        <v>389</v>
      </c>
      <c r="AC379" s="602" t="s">
        <v>390</v>
      </c>
      <c r="AD379" s="600" t="s">
        <v>391</v>
      </c>
      <c r="AE379" s="600" t="s">
        <v>392</v>
      </c>
      <c r="AF379" s="600" t="s">
        <v>393</v>
      </c>
      <c r="AG379" s="600" t="s">
        <v>394</v>
      </c>
      <c r="AH379" s="600" t="s">
        <v>395</v>
      </c>
      <c r="AI379" s="600" t="s">
        <v>396</v>
      </c>
      <c r="AJ379" s="601" t="s">
        <v>397</v>
      </c>
      <c r="AK379" s="602" t="s">
        <v>398</v>
      </c>
      <c r="AL379" s="600" t="s">
        <v>399</v>
      </c>
      <c r="AM379" s="600" t="s">
        <v>400</v>
      </c>
      <c r="AN379" s="600" t="s">
        <v>401</v>
      </c>
      <c r="AO379" s="600" t="s">
        <v>402</v>
      </c>
      <c r="AP379" s="600" t="s">
        <v>406</v>
      </c>
      <c r="AQ379" s="600" t="s">
        <v>405</v>
      </c>
      <c r="AR379" s="600" t="s">
        <v>403</v>
      </c>
      <c r="AS379" s="601" t="s">
        <v>404</v>
      </c>
      <c r="AT379" s="593"/>
      <c r="AU379" s="593"/>
    </row>
    <row r="380" spans="1:70" s="229" customFormat="1">
      <c r="A380" s="643"/>
      <c r="B380" s="522"/>
      <c r="C380" s="522"/>
      <c r="D380" s="141"/>
      <c r="E380" s="594"/>
      <c r="F380" s="708"/>
      <c r="G380" s="522"/>
      <c r="H380" s="522"/>
      <c r="I380" s="86"/>
      <c r="J380" s="87"/>
      <c r="K380" s="595"/>
      <c r="L380" s="596"/>
      <c r="M380" s="849"/>
      <c r="N380" s="849"/>
      <c r="O380" s="648"/>
      <c r="P380" s="655" t="s">
        <v>383</v>
      </c>
      <c r="Q380" s="583">
        <f t="shared" ref="Q380:V380" si="889">SUM(Q354:Q378)</f>
        <v>633.58999999999992</v>
      </c>
      <c r="R380" s="583">
        <f t="shared" si="889"/>
        <v>202.03190000000001</v>
      </c>
      <c r="S380" s="583">
        <f>SUM(S354:S378)</f>
        <v>431.55809999999997</v>
      </c>
      <c r="T380" s="583">
        <f t="shared" ref="T380:U380" si="890">SUM(T354:T378)</f>
        <v>74.183619238095233</v>
      </c>
      <c r="U380" s="583">
        <f t="shared" si="890"/>
        <v>25.059039878095241</v>
      </c>
      <c r="V380" s="549">
        <f t="shared" si="889"/>
        <v>1208.0762</v>
      </c>
      <c r="W380" s="583">
        <f>SUM(W354:W378)</f>
        <v>814.71861162114783</v>
      </c>
      <c r="X380" s="583">
        <f t="shared" ref="X380:AS380" si="891">SUM(X354:X378)</f>
        <v>88.350974982949623</v>
      </c>
      <c r="Y380" s="583">
        <f t="shared" si="891"/>
        <v>22.993164013083653</v>
      </c>
      <c r="Z380" s="583">
        <f t="shared" si="891"/>
        <v>38.67006529418294</v>
      </c>
      <c r="AA380" s="583">
        <f t="shared" si="891"/>
        <v>12.9757331002331</v>
      </c>
      <c r="AB380" s="549">
        <f t="shared" si="891"/>
        <v>7.3468725287131189</v>
      </c>
      <c r="AC380" s="583">
        <f t="shared" si="891"/>
        <v>557.71109837995346</v>
      </c>
      <c r="AD380" s="583">
        <f t="shared" si="891"/>
        <v>1507.2694000000001</v>
      </c>
      <c r="AE380" s="583">
        <f t="shared" si="891"/>
        <v>496.81810000000002</v>
      </c>
      <c r="AF380" s="583">
        <f t="shared" si="891"/>
        <v>123.16840675990677</v>
      </c>
      <c r="AG380" s="583">
        <f t="shared" si="891"/>
        <v>327.88720000000001</v>
      </c>
      <c r="AH380" s="583">
        <f t="shared" si="891"/>
        <v>6.6965698391102704</v>
      </c>
      <c r="AI380" s="583">
        <f t="shared" si="891"/>
        <v>5.7554757288292011</v>
      </c>
      <c r="AJ380" s="549">
        <f t="shared" si="891"/>
        <v>0.66975714870679348</v>
      </c>
      <c r="AK380" s="583">
        <f t="shared" si="891"/>
        <v>967.54995000000008</v>
      </c>
      <c r="AL380" s="583">
        <f t="shared" si="891"/>
        <v>0.64260003879571082</v>
      </c>
      <c r="AM380" s="583">
        <f t="shared" si="891"/>
        <v>0.7337921025128129</v>
      </c>
      <c r="AN380" s="583">
        <f t="shared" si="891"/>
        <v>7.1817546998168478</v>
      </c>
      <c r="AO380" s="583">
        <f t="shared" si="891"/>
        <v>0.7915682565583404</v>
      </c>
      <c r="AP380" s="583">
        <f t="shared" si="891"/>
        <v>396.7151864801865</v>
      </c>
      <c r="AQ380" s="583">
        <f t="shared" si="891"/>
        <v>0.85209662573955081</v>
      </c>
      <c r="AR380" s="583">
        <f t="shared" si="891"/>
        <v>75.831050000000005</v>
      </c>
      <c r="AS380" s="549">
        <f t="shared" si="891"/>
        <v>0.68645209702448762</v>
      </c>
      <c r="AT380" s="583">
        <f t="shared" ref="AT380:AU380" si="892">SUM(AT354:AT378)</f>
        <v>71.790785666666665</v>
      </c>
      <c r="AU380" s="583">
        <f t="shared" si="892"/>
        <v>74.183619238095233</v>
      </c>
      <c r="AV380" s="583">
        <f t="shared" ref="AV380:BR380" si="893">SUM(AV354:AV378)</f>
        <v>575.91118919768974</v>
      </c>
      <c r="AW380" s="583">
        <f t="shared" si="893"/>
        <v>61.326104495877274</v>
      </c>
      <c r="AX380" s="583">
        <f t="shared" si="893"/>
        <v>15.888238084253535</v>
      </c>
      <c r="AY380" s="583">
        <f t="shared" si="893"/>
        <v>28.083908655456337</v>
      </c>
      <c r="AZ380" s="583">
        <f t="shared" si="893"/>
        <v>8.5692508861571675</v>
      </c>
      <c r="BA380" s="583">
        <f t="shared" si="893"/>
        <v>5.3863347137730448</v>
      </c>
      <c r="BB380" s="583">
        <f t="shared" si="893"/>
        <v>349.17987234665418</v>
      </c>
      <c r="BC380" s="583">
        <f t="shared" si="893"/>
        <v>946.83334497653686</v>
      </c>
      <c r="BD380" s="583">
        <f t="shared" si="893"/>
        <v>281.72158874472785</v>
      </c>
      <c r="BE380" s="583">
        <f t="shared" si="893"/>
        <v>79.844883076535908</v>
      </c>
      <c r="BF380" s="583">
        <f t="shared" si="893"/>
        <v>231.95033527501326</v>
      </c>
      <c r="BG380" s="583">
        <f t="shared" si="893"/>
        <v>4.1415760743975163</v>
      </c>
      <c r="BH380" s="583">
        <f t="shared" si="893"/>
        <v>3.7549844450404586</v>
      </c>
      <c r="BI380" s="583">
        <f t="shared" si="893"/>
        <v>0.43440172666063886</v>
      </c>
      <c r="BJ380" s="583">
        <f t="shared" si="893"/>
        <v>503.56842053910231</v>
      </c>
      <c r="BK380" s="583">
        <f t="shared" si="893"/>
        <v>0.42084032343489497</v>
      </c>
      <c r="BL380" s="583">
        <f t="shared" si="893"/>
        <v>0.46805227749398404</v>
      </c>
      <c r="BM380" s="583">
        <f t="shared" si="893"/>
        <v>4.634686958086272</v>
      </c>
      <c r="BN380" s="583">
        <f t="shared" si="893"/>
        <v>0.5168484057292646</v>
      </c>
      <c r="BO380" s="583">
        <f t="shared" si="893"/>
        <v>211.85085910922461</v>
      </c>
      <c r="BP380" s="583">
        <f t="shared" si="893"/>
        <v>0.69148981170575285</v>
      </c>
      <c r="BQ380" s="583">
        <f t="shared" si="893"/>
        <v>49.136941764400895</v>
      </c>
      <c r="BR380" s="583">
        <f t="shared" si="893"/>
        <v>0.54491623582702631</v>
      </c>
    </row>
    <row r="381" spans="1:70" s="229" customFormat="1">
      <c r="A381" s="643"/>
      <c r="B381" s="522"/>
      <c r="C381" s="522"/>
      <c r="D381" s="141"/>
      <c r="E381" s="594"/>
      <c r="F381" s="708"/>
      <c r="G381" s="522"/>
      <c r="H381" s="522"/>
      <c r="I381" s="86"/>
      <c r="J381" s="87"/>
      <c r="K381" s="595"/>
      <c r="L381" s="596"/>
      <c r="M381" s="849"/>
      <c r="N381" s="849"/>
      <c r="O381" s="648"/>
      <c r="P381" s="655" t="s">
        <v>545</v>
      </c>
      <c r="V381" s="526"/>
      <c r="W381" s="229">
        <v>556.5</v>
      </c>
      <c r="X381" s="229">
        <v>69.599999999999994</v>
      </c>
      <c r="Y381" s="229">
        <v>17.399999999999999</v>
      </c>
      <c r="Z381" s="229">
        <v>18.599999999999998</v>
      </c>
      <c r="AA381" s="229">
        <v>5.7</v>
      </c>
      <c r="AB381" s="526">
        <v>6</v>
      </c>
      <c r="AC381" s="229">
        <v>414</v>
      </c>
      <c r="AD381" s="229">
        <v>540</v>
      </c>
      <c r="AE381" s="229">
        <v>270</v>
      </c>
      <c r="AF381" s="229">
        <v>51</v>
      </c>
      <c r="AG381" s="229">
        <v>240</v>
      </c>
      <c r="AH381" s="229">
        <v>3</v>
      </c>
      <c r="AI381" s="229">
        <v>2.1</v>
      </c>
      <c r="AJ381" s="526">
        <v>0.375</v>
      </c>
      <c r="AK381" s="229">
        <v>240</v>
      </c>
      <c r="AL381" s="229">
        <v>0.3</v>
      </c>
      <c r="AM381" s="229">
        <v>0.33</v>
      </c>
      <c r="AN381" s="229">
        <v>3.5999999999999996</v>
      </c>
      <c r="AO381" s="229">
        <v>0.21</v>
      </c>
      <c r="AP381" s="229">
        <v>90</v>
      </c>
      <c r="AQ381" s="229">
        <v>0.54</v>
      </c>
      <c r="AR381" s="229">
        <v>24</v>
      </c>
      <c r="AS381" s="526">
        <v>1.5</v>
      </c>
      <c r="AV381" s="229">
        <v>556.5</v>
      </c>
      <c r="AW381" s="229">
        <v>69.599999999999994</v>
      </c>
      <c r="AX381" s="229">
        <v>17.399999999999999</v>
      </c>
      <c r="AY381" s="229">
        <v>18.599999999999998</v>
      </c>
      <c r="AZ381" s="229">
        <v>5.7</v>
      </c>
      <c r="BA381" s="526">
        <v>6</v>
      </c>
      <c r="BB381" s="229">
        <v>414</v>
      </c>
      <c r="BC381" s="229">
        <v>540</v>
      </c>
      <c r="BD381" s="229">
        <v>270</v>
      </c>
      <c r="BE381" s="229">
        <v>51</v>
      </c>
      <c r="BF381" s="229">
        <v>240</v>
      </c>
      <c r="BG381" s="229">
        <v>3</v>
      </c>
      <c r="BH381" s="229">
        <v>2.1</v>
      </c>
      <c r="BI381" s="526">
        <v>0.375</v>
      </c>
      <c r="BJ381" s="229">
        <v>240</v>
      </c>
      <c r="BK381" s="229">
        <v>0.3</v>
      </c>
      <c r="BL381" s="229">
        <v>0.33</v>
      </c>
      <c r="BM381" s="229">
        <v>3.5999999999999996</v>
      </c>
      <c r="BN381" s="229">
        <v>0.21</v>
      </c>
      <c r="BO381" s="229">
        <v>90</v>
      </c>
      <c r="BP381" s="229">
        <v>0.54</v>
      </c>
      <c r="BQ381" s="229">
        <v>24</v>
      </c>
      <c r="BR381" s="526">
        <v>1.5</v>
      </c>
    </row>
    <row r="382" spans="1:70" s="229" customFormat="1">
      <c r="A382" s="643"/>
      <c r="B382" s="522"/>
      <c r="C382" s="522"/>
      <c r="D382" s="141"/>
      <c r="E382" s="594"/>
      <c r="F382" s="708"/>
      <c r="G382" s="522"/>
      <c r="H382" s="522"/>
      <c r="I382" s="86"/>
      <c r="J382" s="87"/>
      <c r="K382" s="595"/>
      <c r="L382" s="596"/>
      <c r="M382" s="849"/>
      <c r="N382" s="849"/>
      <c r="O382" s="648"/>
      <c r="P382" s="655" t="s">
        <v>407</v>
      </c>
      <c r="V382" s="526"/>
      <c r="W382" s="514">
        <f t="shared" ref="W382:AS382" si="894">100*W380/W381</f>
        <v>146.4004692940068</v>
      </c>
      <c r="X382" s="514">
        <f t="shared" si="894"/>
        <v>126.9410560099851</v>
      </c>
      <c r="Y382" s="514">
        <f t="shared" si="894"/>
        <v>132.14462076484858</v>
      </c>
      <c r="Z382" s="514">
        <f t="shared" si="894"/>
        <v>207.90357685044594</v>
      </c>
      <c r="AA382" s="514">
        <f t="shared" si="894"/>
        <v>227.64444035496669</v>
      </c>
      <c r="AB382" s="506">
        <f t="shared" si="894"/>
        <v>122.44787547855198</v>
      </c>
      <c r="AC382" s="514">
        <f t="shared" si="894"/>
        <v>134.71282569564093</v>
      </c>
      <c r="AD382" s="514">
        <f t="shared" si="894"/>
        <v>279.12396296296299</v>
      </c>
      <c r="AE382" s="514">
        <f t="shared" si="894"/>
        <v>184.00670370370372</v>
      </c>
      <c r="AF382" s="514">
        <f t="shared" si="894"/>
        <v>241.50667992138582</v>
      </c>
      <c r="AG382" s="514">
        <f t="shared" si="894"/>
        <v>136.61966666666666</v>
      </c>
      <c r="AH382" s="514">
        <f t="shared" si="894"/>
        <v>223.21899463700902</v>
      </c>
      <c r="AI382" s="514">
        <f t="shared" si="894"/>
        <v>274.0702728013905</v>
      </c>
      <c r="AJ382" s="506">
        <f t="shared" si="894"/>
        <v>178.60190632181161</v>
      </c>
      <c r="AK382" s="514">
        <f t="shared" si="894"/>
        <v>403.14581250000003</v>
      </c>
      <c r="AL382" s="514">
        <f t="shared" si="894"/>
        <v>214.20001293190364</v>
      </c>
      <c r="AM382" s="514">
        <f t="shared" si="894"/>
        <v>222.36124318570089</v>
      </c>
      <c r="AN382" s="514">
        <f t="shared" si="894"/>
        <v>199.49318610602356</v>
      </c>
      <c r="AO382" s="514">
        <f t="shared" si="894"/>
        <v>376.93726502778117</v>
      </c>
      <c r="AP382" s="514">
        <f t="shared" si="894"/>
        <v>440.79465164465171</v>
      </c>
      <c r="AQ382" s="514">
        <f t="shared" si="894"/>
        <v>157.79567143325013</v>
      </c>
      <c r="AR382" s="514">
        <f t="shared" si="894"/>
        <v>315.96270833333335</v>
      </c>
      <c r="AS382" s="506">
        <f t="shared" si="894"/>
        <v>45.763473134965842</v>
      </c>
      <c r="AV382" s="514">
        <f t="shared" ref="AV382:BR382" si="895">100*AV380/AV381</f>
        <v>103.48808431225332</v>
      </c>
      <c r="AW382" s="514">
        <f t="shared" si="895"/>
        <v>88.112219103271954</v>
      </c>
      <c r="AX382" s="514">
        <f t="shared" si="895"/>
        <v>91.311713127893881</v>
      </c>
      <c r="AY382" s="514">
        <f t="shared" si="895"/>
        <v>150.98875621213088</v>
      </c>
      <c r="AZ382" s="514">
        <f t="shared" si="895"/>
        <v>150.33773484486258</v>
      </c>
      <c r="BA382" s="506">
        <f t="shared" si="895"/>
        <v>89.772245229550734</v>
      </c>
      <c r="BB382" s="514">
        <f t="shared" si="895"/>
        <v>84.342964334940618</v>
      </c>
      <c r="BC382" s="514">
        <f t="shared" si="895"/>
        <v>175.3395083289883</v>
      </c>
      <c r="BD382" s="514">
        <f t="shared" si="895"/>
        <v>104.34132916471403</v>
      </c>
      <c r="BE382" s="514">
        <f t="shared" si="895"/>
        <v>156.55859426771747</v>
      </c>
      <c r="BF382" s="514">
        <f t="shared" si="895"/>
        <v>96.645973031255537</v>
      </c>
      <c r="BG382" s="514">
        <f t="shared" si="895"/>
        <v>138.05253581325056</v>
      </c>
      <c r="BH382" s="514">
        <f t="shared" si="895"/>
        <v>178.80878309716468</v>
      </c>
      <c r="BI382" s="506">
        <f t="shared" si="895"/>
        <v>115.84046044283703</v>
      </c>
      <c r="BJ382" s="514">
        <f t="shared" si="895"/>
        <v>209.82017522462596</v>
      </c>
      <c r="BK382" s="514">
        <f t="shared" si="895"/>
        <v>140.28010781163167</v>
      </c>
      <c r="BL382" s="514">
        <f t="shared" si="895"/>
        <v>141.83402348302548</v>
      </c>
      <c r="BM382" s="514">
        <f t="shared" si="895"/>
        <v>128.74130439128535</v>
      </c>
      <c r="BN382" s="514">
        <f t="shared" si="895"/>
        <v>246.11828844250698</v>
      </c>
      <c r="BO382" s="514">
        <f t="shared" si="895"/>
        <v>235.38984345469402</v>
      </c>
      <c r="BP382" s="514">
        <f t="shared" si="895"/>
        <v>128.05366883439865</v>
      </c>
      <c r="BQ382" s="514">
        <f t="shared" si="895"/>
        <v>204.73725735167042</v>
      </c>
      <c r="BR382" s="506">
        <f t="shared" si="895"/>
        <v>36.327749055135087</v>
      </c>
    </row>
    <row r="383" spans="1:70" s="229" customFormat="1">
      <c r="A383" s="643"/>
      <c r="B383" s="522"/>
      <c r="C383" s="522"/>
      <c r="D383" s="141"/>
      <c r="E383" s="594"/>
      <c r="F383" s="708"/>
      <c r="G383" s="522"/>
      <c r="H383" s="522"/>
      <c r="I383" s="86"/>
      <c r="J383" s="87"/>
      <c r="K383" s="595"/>
      <c r="L383" s="596"/>
      <c r="M383" s="849"/>
      <c r="N383" s="849"/>
      <c r="O383" s="648"/>
      <c r="P383" s="655" t="s">
        <v>548</v>
      </c>
      <c r="V383" s="526"/>
      <c r="W383" s="583">
        <f>AV380</f>
        <v>575.91118919768974</v>
      </c>
      <c r="X383" s="583">
        <f t="shared" ref="X383:AD383" si="896">AW380</f>
        <v>61.326104495877274</v>
      </c>
      <c r="Y383" s="583">
        <f t="shared" si="896"/>
        <v>15.888238084253535</v>
      </c>
      <c r="Z383" s="583">
        <f t="shared" si="896"/>
        <v>28.083908655456337</v>
      </c>
      <c r="AA383" s="583">
        <f t="shared" si="896"/>
        <v>8.5692508861571675</v>
      </c>
      <c r="AB383" s="549">
        <f t="shared" si="896"/>
        <v>5.3863347137730448</v>
      </c>
      <c r="AC383" s="583">
        <f t="shared" si="896"/>
        <v>349.17987234665418</v>
      </c>
      <c r="AD383" s="583">
        <f t="shared" si="896"/>
        <v>946.83334497653686</v>
      </c>
      <c r="AE383" s="583">
        <f>BD380</f>
        <v>281.72158874472785</v>
      </c>
      <c r="AF383" s="583">
        <f t="shared" ref="AF383:AM383" si="897">BE380</f>
        <v>79.844883076535908</v>
      </c>
      <c r="AG383" s="583">
        <f t="shared" si="897"/>
        <v>231.95033527501326</v>
      </c>
      <c r="AH383" s="583">
        <f t="shared" si="897"/>
        <v>4.1415760743975163</v>
      </c>
      <c r="AI383" s="583">
        <f t="shared" si="897"/>
        <v>3.7549844450404586</v>
      </c>
      <c r="AJ383" s="549">
        <f t="shared" si="897"/>
        <v>0.43440172666063886</v>
      </c>
      <c r="AK383" s="583">
        <f t="shared" si="897"/>
        <v>503.56842053910231</v>
      </c>
      <c r="AL383" s="583">
        <f t="shared" si="897"/>
        <v>0.42084032343489497</v>
      </c>
      <c r="AM383" s="583">
        <f t="shared" si="897"/>
        <v>0.46805227749398404</v>
      </c>
      <c r="AN383" s="583">
        <f>BM380</f>
        <v>4.634686958086272</v>
      </c>
      <c r="AO383" s="583">
        <f t="shared" ref="AO383:AR383" si="898">BN380</f>
        <v>0.5168484057292646</v>
      </c>
      <c r="AP383" s="583">
        <f t="shared" si="898"/>
        <v>211.85085910922461</v>
      </c>
      <c r="AQ383" s="583">
        <f t="shared" si="898"/>
        <v>0.69148981170575285</v>
      </c>
      <c r="AR383" s="583">
        <f t="shared" si="898"/>
        <v>49.136941764400895</v>
      </c>
      <c r="AS383" s="549">
        <f>BR380</f>
        <v>0.54491623582702631</v>
      </c>
    </row>
    <row r="384" spans="1:70" s="229" customFormat="1">
      <c r="A384" s="643"/>
      <c r="B384" s="522"/>
      <c r="C384" s="522"/>
      <c r="D384" s="141"/>
      <c r="E384" s="594"/>
      <c r="F384" s="708"/>
      <c r="G384" s="522"/>
      <c r="H384" s="522"/>
      <c r="I384" s="86"/>
      <c r="J384" s="87"/>
      <c r="K384" s="595"/>
      <c r="L384" s="596"/>
      <c r="M384" s="849"/>
      <c r="N384" s="849"/>
      <c r="O384" s="648"/>
      <c r="P384" s="655" t="s">
        <v>543</v>
      </c>
      <c r="V384" s="526"/>
      <c r="W384" s="514">
        <f t="shared" ref="W384:AS384" si="899">AV382</f>
        <v>103.48808431225332</v>
      </c>
      <c r="X384" s="514">
        <f t="shared" si="899"/>
        <v>88.112219103271954</v>
      </c>
      <c r="Y384" s="514">
        <f t="shared" si="899"/>
        <v>91.311713127893881</v>
      </c>
      <c r="Z384" s="514">
        <f t="shared" si="899"/>
        <v>150.98875621213088</v>
      </c>
      <c r="AA384" s="514">
        <f t="shared" si="899"/>
        <v>150.33773484486258</v>
      </c>
      <c r="AB384" s="506">
        <f t="shared" si="899"/>
        <v>89.772245229550734</v>
      </c>
      <c r="AC384" s="514">
        <f t="shared" si="899"/>
        <v>84.342964334940618</v>
      </c>
      <c r="AD384" s="514">
        <f t="shared" si="899"/>
        <v>175.3395083289883</v>
      </c>
      <c r="AE384" s="514">
        <f t="shared" si="899"/>
        <v>104.34132916471403</v>
      </c>
      <c r="AF384" s="514">
        <f t="shared" si="899"/>
        <v>156.55859426771747</v>
      </c>
      <c r="AG384" s="514">
        <f t="shared" si="899"/>
        <v>96.645973031255537</v>
      </c>
      <c r="AH384" s="514">
        <f t="shared" si="899"/>
        <v>138.05253581325056</v>
      </c>
      <c r="AI384" s="514">
        <f t="shared" si="899"/>
        <v>178.80878309716468</v>
      </c>
      <c r="AJ384" s="506">
        <f t="shared" si="899"/>
        <v>115.84046044283703</v>
      </c>
      <c r="AK384" s="514">
        <f t="shared" si="899"/>
        <v>209.82017522462596</v>
      </c>
      <c r="AL384" s="514">
        <f t="shared" si="899"/>
        <v>140.28010781163167</v>
      </c>
      <c r="AM384" s="514">
        <f t="shared" si="899"/>
        <v>141.83402348302548</v>
      </c>
      <c r="AN384" s="514">
        <f t="shared" si="899"/>
        <v>128.74130439128535</v>
      </c>
      <c r="AO384" s="514">
        <f t="shared" si="899"/>
        <v>246.11828844250698</v>
      </c>
      <c r="AP384" s="514">
        <f t="shared" si="899"/>
        <v>235.38984345469402</v>
      </c>
      <c r="AQ384" s="514">
        <f t="shared" si="899"/>
        <v>128.05366883439865</v>
      </c>
      <c r="AR384" s="514">
        <f t="shared" si="899"/>
        <v>204.73725735167042</v>
      </c>
      <c r="AS384" s="506">
        <f t="shared" si="899"/>
        <v>36.327749055135087</v>
      </c>
      <c r="AV384" s="514"/>
      <c r="AW384" s="514"/>
      <c r="AX384" s="514"/>
      <c r="AY384" s="514"/>
      <c r="AZ384" s="514"/>
      <c r="BA384" s="505"/>
      <c r="BB384" s="514"/>
      <c r="BC384" s="514"/>
      <c r="BD384" s="514"/>
      <c r="BE384" s="514"/>
      <c r="BF384" s="514"/>
      <c r="BG384" s="514"/>
      <c r="BH384" s="514"/>
      <c r="BI384" s="505"/>
      <c r="BJ384" s="514"/>
      <c r="BK384" s="514"/>
      <c r="BL384" s="514"/>
      <c r="BM384" s="514"/>
      <c r="BN384" s="514"/>
      <c r="BO384" s="514"/>
      <c r="BP384" s="514"/>
      <c r="BQ384" s="514"/>
      <c r="BR384" s="505"/>
    </row>
    <row r="385" spans="1:70" s="229" customFormat="1" ht="15" thickBot="1">
      <c r="A385" s="643"/>
      <c r="B385" s="643"/>
      <c r="C385" s="643"/>
      <c r="D385" s="687"/>
      <c r="E385" s="644"/>
      <c r="F385" s="713"/>
      <c r="G385" s="645" t="s">
        <v>795</v>
      </c>
      <c r="H385" s="656"/>
      <c r="I385" s="688"/>
      <c r="J385" s="688"/>
      <c r="K385" s="643"/>
      <c r="L385" s="647"/>
      <c r="M385" s="647"/>
      <c r="N385" s="647"/>
      <c r="O385" s="648"/>
      <c r="P385" s="643"/>
      <c r="Q385" s="643"/>
      <c r="R385" s="643"/>
      <c r="S385" s="643"/>
      <c r="T385" s="643"/>
      <c r="U385" s="657"/>
      <c r="V385" s="658"/>
      <c r="W385" s="643"/>
      <c r="X385" s="643"/>
      <c r="Y385" s="643"/>
      <c r="Z385" s="643"/>
      <c r="AA385" s="652">
        <f>COUNTIF(AA386:AA397,"&lt;0")</f>
        <v>0</v>
      </c>
      <c r="AB385" s="652">
        <f t="shared" ref="AB385" si="900">COUNTIF(AB386:AB397,"&lt;0")</f>
        <v>0</v>
      </c>
      <c r="AC385" s="652">
        <f t="shared" ref="AC385" si="901">COUNTIF(AC386:AC397,"&lt;0")</f>
        <v>0</v>
      </c>
      <c r="AD385" s="652">
        <f t="shared" ref="AD385" si="902">COUNTIF(AD386:AD397,"&lt;0")</f>
        <v>0</v>
      </c>
      <c r="AE385" s="652">
        <f t="shared" ref="AE385" si="903">COUNTIF(AE386:AE397,"&lt;0")</f>
        <v>0</v>
      </c>
      <c r="AF385" s="652">
        <f t="shared" ref="AF385" si="904">COUNTIF(AF386:AF397,"&lt;0")</f>
        <v>0</v>
      </c>
      <c r="AG385" s="652">
        <f t="shared" ref="AG385" si="905">COUNTIF(AG386:AG397,"&lt;0")</f>
        <v>0</v>
      </c>
      <c r="AH385" s="652">
        <f t="shared" ref="AH385" si="906">COUNTIF(AH386:AH397,"&lt;0")</f>
        <v>0</v>
      </c>
      <c r="AI385" s="652">
        <f t="shared" ref="AI385" si="907">COUNTIF(AI386:AI397,"&lt;0")</f>
        <v>0</v>
      </c>
      <c r="AJ385" s="652">
        <f t="shared" ref="AJ385" si="908">COUNTIF(AJ386:AJ397,"&lt;0")</f>
        <v>0</v>
      </c>
      <c r="AK385" s="652">
        <f t="shared" ref="AK385" si="909">COUNTIF(AK386:AK397,"&lt;0")</f>
        <v>0</v>
      </c>
      <c r="AL385" s="652">
        <f t="shared" ref="AL385" si="910">COUNTIF(AL386:AL397,"&lt;0")</f>
        <v>0</v>
      </c>
      <c r="AM385" s="652">
        <f t="shared" ref="AM385" si="911">COUNTIF(AM386:AM397,"&lt;0")</f>
        <v>0</v>
      </c>
      <c r="AN385" s="652">
        <f t="shared" ref="AN385" si="912">COUNTIF(AN386:AN397,"&lt;0")</f>
        <v>0</v>
      </c>
      <c r="AO385" s="652">
        <f>COUNTIF(AO386:AO397,"&lt;0")</f>
        <v>0</v>
      </c>
      <c r="AP385" s="652">
        <f t="shared" ref="AP385" si="913">COUNTIF(AP386:AP397,"&lt;0")</f>
        <v>0</v>
      </c>
      <c r="AQ385" s="652">
        <f t="shared" ref="AQ385" si="914">COUNTIF(AQ386:AQ397,"&lt;0")</f>
        <v>0</v>
      </c>
      <c r="AR385" s="652">
        <f t="shared" ref="AR385" si="915">COUNTIF(AR386:AR397,"&lt;0")</f>
        <v>0</v>
      </c>
      <c r="AS385" s="652">
        <f t="shared" ref="AS385" si="916">COUNTIF(AS386:AS397,"&lt;0")</f>
        <v>0</v>
      </c>
      <c r="AT385" s="1299"/>
      <c r="AU385" s="1299"/>
    </row>
    <row r="386" spans="1:70" s="229" customFormat="1" ht="15" customHeight="1" thickBot="1">
      <c r="A386" s="643"/>
      <c r="B386" s="575" t="s">
        <v>3067</v>
      </c>
      <c r="C386" s="229" t="s">
        <v>1364</v>
      </c>
      <c r="D386" s="85"/>
      <c r="E386" s="577">
        <v>0</v>
      </c>
      <c r="F386" s="1131"/>
      <c r="G386" s="406" t="s">
        <v>3054</v>
      </c>
      <c r="H386" s="1262" t="s">
        <v>3055</v>
      </c>
      <c r="I386" s="85">
        <v>0</v>
      </c>
      <c r="J386" s="682">
        <v>1</v>
      </c>
      <c r="K386" s="579" t="str">
        <f t="shared" ref="K386:K397" si="917">IF(I386&gt;0,1.1*Q386*E386/1000,"")</f>
        <v/>
      </c>
      <c r="L386" s="580" t="str">
        <f>IF(H386="Select ingredient:","",IF(G386="","",_xlfn.IFNA(VLOOKUP($H386,Ingredient_prices!$E:$U,16,FALSE),0)))</f>
        <v/>
      </c>
      <c r="M386" s="848"/>
      <c r="N386" s="1228">
        <f>$W399</f>
        <v>0</v>
      </c>
      <c r="O386" s="648"/>
      <c r="P386" s="659"/>
      <c r="Q386" s="583">
        <f t="shared" ref="Q386:Q397" si="918">I386/J386</f>
        <v>0</v>
      </c>
      <c r="R386" s="583">
        <f>VLOOKUP($H386,'CO2_emission+%_food_waste'!$A:$K,6,FALSE)*$Q386/100</f>
        <v>0</v>
      </c>
      <c r="S386" s="583">
        <f t="shared" ref="S386:S397" si="919">Q386-R386</f>
        <v>0</v>
      </c>
      <c r="T386" s="583" t="str">
        <f>IF(H386="Select ingredient:","",IF(G386="Select food category:","",_xlfn.IFNA(VLOOKUP($H386,Ingredient_prices!$E:$U,16,FALSE)*$Q386/1000,"not bought")))</f>
        <v/>
      </c>
      <c r="U386" s="583" t="str">
        <f>IF(G386="Select food category:","",_xlfn.IFNA(VLOOKUP($H386,Ingredient_prices!$E:$U,16,FALSE)*$R386/1000,"not bought"))</f>
        <v/>
      </c>
      <c r="V386" s="549">
        <f>VLOOKUP($H386,'CO2_emission+%_food_waste'!$A:$K,4,FALSE)*$Q386</f>
        <v>0</v>
      </c>
      <c r="W386" s="583">
        <f>VLOOKUP($H386,Nutrition_tables!$A:$N,10,FALSE)*$Q386/100</f>
        <v>0</v>
      </c>
      <c r="X386" s="583">
        <f>VLOOKUP($H386,Nutrition_tables!$A:$N,11,FALSE)*$Q386/100</f>
        <v>0</v>
      </c>
      <c r="Y386" s="583">
        <f>VLOOKUP($H386,Nutrition_tables!$A:$N,12,FALSE)*$Q386/100</f>
        <v>0</v>
      </c>
      <c r="Z386" s="583">
        <f>VLOOKUP($H386,Nutrition_tables!$A:$N,14,FALSE)*$Q386/100</f>
        <v>0</v>
      </c>
      <c r="AA386" s="583">
        <f>VLOOKUP($H386,Nutrition_tables!$A:$AF,13,FALSE)*$Q386/100</f>
        <v>0</v>
      </c>
      <c r="AB386" s="549">
        <f>VLOOKUP($H386,Nutrition_tables!$A:$AF,15,FALSE)*$Q386/100</f>
        <v>0</v>
      </c>
      <c r="AC386" s="583">
        <f>VLOOKUP($H386,Nutrition_tables!$A:$AF,16,FALSE)*$Q386/100</f>
        <v>0</v>
      </c>
      <c r="AD386" s="583">
        <f>VLOOKUP($H386,Nutrition_tables!$A:$AF,17,FALSE)*$Q386/100</f>
        <v>0</v>
      </c>
      <c r="AE386" s="583">
        <f>VLOOKUP($H386,Nutrition_tables!$A:$AF,18,FALSE)*$Q386/100</f>
        <v>0</v>
      </c>
      <c r="AF386" s="583">
        <f>VLOOKUP($H386,Nutrition_tables!$A:$AF,19,FALSE)*$Q386/100</f>
        <v>0</v>
      </c>
      <c r="AG386" s="583">
        <f>VLOOKUP($H386,Nutrition_tables!$A:$AF,20,FALSE)*$Q386/100</f>
        <v>0</v>
      </c>
      <c r="AH386" s="583">
        <f>VLOOKUP($H386,Nutrition_tables!$A:$AF,21,FALSE)*$Q386/100</f>
        <v>0</v>
      </c>
      <c r="AI386" s="583">
        <f>VLOOKUP($H386,Nutrition_tables!$A:$AF,22,FALSE)*$Q386/100</f>
        <v>0</v>
      </c>
      <c r="AJ386" s="549">
        <f>VLOOKUP($H386,Nutrition_tables!$A:$AF,23,FALSE)*$Q386/100</f>
        <v>0</v>
      </c>
      <c r="AK386" s="583">
        <f>VLOOKUP($H386,Nutrition_tables!$A:$AF,24,FALSE)*$Q386/100</f>
        <v>0</v>
      </c>
      <c r="AL386" s="583">
        <f>VLOOKUP($H386,Nutrition_tables!$A:$AF,25,FALSE)*$Q386/100</f>
        <v>0</v>
      </c>
      <c r="AM386" s="583">
        <f>VLOOKUP($H386,Nutrition_tables!$A:$AF,26,FALSE)*$Q386/100</f>
        <v>0</v>
      </c>
      <c r="AN386" s="583">
        <f>VLOOKUP($H386,Nutrition_tables!$A:$AF,27,FALSE)*$Q386/100</f>
        <v>0</v>
      </c>
      <c r="AO386" s="583">
        <f>VLOOKUP($H386,Nutrition_tables!$A:$AF,28,FALSE)*$Q386/100</f>
        <v>0</v>
      </c>
      <c r="AP386" s="583">
        <f>VLOOKUP($H386,Nutrition_tables!$A:$AF,29,FALSE)*$Q386/100</f>
        <v>0</v>
      </c>
      <c r="AQ386" s="583">
        <f>VLOOKUP($H386,Nutrition_tables!$A:$AF,30,FALSE)*$Q386/100</f>
        <v>0</v>
      </c>
      <c r="AR386" s="583">
        <f>VLOOKUP($H386,Nutrition_tables!$A:$AF,31,FALSE)*$Q386/100</f>
        <v>0</v>
      </c>
      <c r="AS386" s="549">
        <f>VLOOKUP($H386,Nutrition_tables!$A:$AF,32,FALSE)*$Q386/100</f>
        <v>0</v>
      </c>
      <c r="AT386" s="583" t="str">
        <f>IF(H386="Select ingredient:","",IF(G386="Select food category:","",IFERROR(VLOOKUP($H386,Ingredient_prices!$E:$W,17,FALSE)*$Q386/1000,"not bought")))</f>
        <v/>
      </c>
      <c r="AU386" s="583" t="str">
        <f>IF(H386="Select ingredient:","",IF(G386="Select food category:","",IFERROR(VLOOKUP($H386,Ingredient_prices!$E:$W,18,FALSE)*$Q386/1000,"not bought")))</f>
        <v/>
      </c>
      <c r="AV386" s="583">
        <f t="shared" ref="AV386:AV397" si="920">W386*($Q386-$R386)/($Q386+0.00001)</f>
        <v>0</v>
      </c>
      <c r="AW386" s="583">
        <f t="shared" ref="AW386:AW397" si="921">X386*($Q386-$R386)/($Q386+0.00001)</f>
        <v>0</v>
      </c>
      <c r="AX386" s="583">
        <f t="shared" ref="AX386:AX397" si="922">Y386*($Q386-$R386)/($Q386+0.00001)</f>
        <v>0</v>
      </c>
      <c r="AY386" s="583">
        <f t="shared" ref="AY386:AY397" si="923">Z386*($Q386-$R386)/($Q386+0.00001)</f>
        <v>0</v>
      </c>
      <c r="AZ386" s="583">
        <f t="shared" ref="AZ386:AZ397" si="924">AA386*($Q386-$R386)/($Q386+0.00001)</f>
        <v>0</v>
      </c>
      <c r="BA386" s="583">
        <f t="shared" ref="BA386:BA397" si="925">AB386*($Q386-$R386)/($Q386+0.00001)</f>
        <v>0</v>
      </c>
      <c r="BB386" s="583">
        <f t="shared" ref="BB386:BB397" si="926">AC386*($Q386-$R386)/($Q386+0.00001)</f>
        <v>0</v>
      </c>
      <c r="BC386" s="583">
        <f t="shared" ref="BC386:BC397" si="927">AD386*($Q386-$R386)/($Q386+0.00001)</f>
        <v>0</v>
      </c>
      <c r="BD386" s="583">
        <f t="shared" ref="BD386:BD397" si="928">AE386*($Q386-$R386)/($Q386+0.00001)</f>
        <v>0</v>
      </c>
      <c r="BE386" s="583">
        <f t="shared" ref="BE386:BE397" si="929">AF386*($Q386-$R386)/($Q386+0.00001)</f>
        <v>0</v>
      </c>
      <c r="BF386" s="583">
        <f t="shared" ref="BF386:BF397" si="930">AG386*($Q386-$R386)/($Q386+0.00001)</f>
        <v>0</v>
      </c>
      <c r="BG386" s="583">
        <f t="shared" ref="BG386:BG397" si="931">AH386*($Q386-$R386)/($Q386+0.00001)</f>
        <v>0</v>
      </c>
      <c r="BH386" s="583">
        <f t="shared" ref="BH386:BH397" si="932">AI386*($Q386-$R386)/($Q386+0.00001)</f>
        <v>0</v>
      </c>
      <c r="BI386" s="583">
        <f t="shared" ref="BI386:BI397" si="933">AJ386*($Q386-$R386)/($Q386+0.00001)</f>
        <v>0</v>
      </c>
      <c r="BJ386" s="583">
        <f t="shared" ref="BJ386:BJ397" si="934">AK386*($Q386-$R386)/($Q386+0.00001)</f>
        <v>0</v>
      </c>
      <c r="BK386" s="583">
        <f t="shared" ref="BK386:BK397" si="935">AL386*($Q386-$R386)/($Q386+0.00001)</f>
        <v>0</v>
      </c>
      <c r="BL386" s="583">
        <f t="shared" ref="BL386:BL397" si="936">AM386*($Q386-$R386)/($Q386+0.00001)</f>
        <v>0</v>
      </c>
      <c r="BM386" s="583">
        <f t="shared" ref="BM386:BM397" si="937">AN386*($Q386-$R386)/($Q386+0.00001)</f>
        <v>0</v>
      </c>
      <c r="BN386" s="583">
        <f t="shared" ref="BN386:BN397" si="938">AO386*($Q386-$R386)/($Q386+0.00001)</f>
        <v>0</v>
      </c>
      <c r="BO386" s="583">
        <f t="shared" ref="BO386:BO397" si="939">AP386*($Q386-$R386)/($Q386+0.00001)</f>
        <v>0</v>
      </c>
      <c r="BP386" s="583">
        <f t="shared" ref="BP386:BP397" si="940">AQ386*($Q386-$R386)/($Q386+0.00001)</f>
        <v>0</v>
      </c>
      <c r="BQ386" s="583">
        <f t="shared" ref="BQ386:BQ397" si="941">AR386*($Q386-$R386)/($Q386+0.00001)</f>
        <v>0</v>
      </c>
      <c r="BR386" s="583">
        <f t="shared" ref="BR386:BR397" si="942">AS386*($Q386-$R386)/($Q386+0.00001)</f>
        <v>0</v>
      </c>
    </row>
    <row r="387" spans="1:70" s="229" customFormat="1" ht="15" customHeight="1">
      <c r="A387" s="643"/>
      <c r="D387" s="85"/>
      <c r="E387" s="576" t="str">
        <f>IF(E$386&gt;0,E$386,"")</f>
        <v/>
      </c>
      <c r="F387" s="1131"/>
      <c r="G387" s="406" t="s">
        <v>3054</v>
      </c>
      <c r="H387" s="1262" t="s">
        <v>3055</v>
      </c>
      <c r="I387" s="85">
        <v>0</v>
      </c>
      <c r="J387" s="682">
        <v>1</v>
      </c>
      <c r="K387" s="579" t="str">
        <f t="shared" si="917"/>
        <v/>
      </c>
      <c r="L387" s="580" t="str">
        <f>IF(H387="Select ingredient:","",IF(G387="","",_xlfn.IFNA(VLOOKUP($H387,Ingredient_prices!$E:$U,16,FALSE),0)))</f>
        <v/>
      </c>
      <c r="M387" s="848"/>
      <c r="N387" s="848"/>
      <c r="O387" s="648"/>
      <c r="P387" s="659"/>
      <c r="Q387" s="583">
        <f t="shared" si="918"/>
        <v>0</v>
      </c>
      <c r="R387" s="583">
        <f>VLOOKUP($H387,'CO2_emission+%_food_waste'!$A:$K,6,FALSE)*$Q387/100</f>
        <v>0</v>
      </c>
      <c r="S387" s="583">
        <f t="shared" si="919"/>
        <v>0</v>
      </c>
      <c r="T387" s="583" t="str">
        <f>IF(H387="Select ingredient:","",IF(G387="Select food category:","",_xlfn.IFNA(VLOOKUP($H387,Ingredient_prices!$E:$U,16,FALSE)*$Q387/1000,"not bought")))</f>
        <v/>
      </c>
      <c r="U387" s="583" t="str">
        <f>IF(G387="Select food category:","",_xlfn.IFNA(VLOOKUP($H387,Ingredient_prices!$E:$U,16,FALSE)*$R387/1000,"not bought"))</f>
        <v/>
      </c>
      <c r="V387" s="549">
        <f>VLOOKUP($H387,'CO2_emission+%_food_waste'!$A:$K,4,FALSE)*$Q387</f>
        <v>0</v>
      </c>
      <c r="W387" s="583">
        <f>VLOOKUP($H387,Nutrition_tables!$A:$N,10,FALSE)*$Q387/100</f>
        <v>0</v>
      </c>
      <c r="X387" s="583">
        <f>VLOOKUP($H387,Nutrition_tables!$A:$N,11,FALSE)*$Q387/100</f>
        <v>0</v>
      </c>
      <c r="Y387" s="583">
        <f>VLOOKUP($H387,Nutrition_tables!$A:$N,12,FALSE)*$Q387/100</f>
        <v>0</v>
      </c>
      <c r="Z387" s="583">
        <f>VLOOKUP($H387,Nutrition_tables!$A:$N,14,FALSE)*$Q387/100</f>
        <v>0</v>
      </c>
      <c r="AA387" s="583">
        <f>VLOOKUP($H387,Nutrition_tables!$A:$AF,13,FALSE)*$Q387/100</f>
        <v>0</v>
      </c>
      <c r="AB387" s="549">
        <f>VLOOKUP($H387,Nutrition_tables!$A:$AF,15,FALSE)*$Q387/100</f>
        <v>0</v>
      </c>
      <c r="AC387" s="583">
        <f>VLOOKUP($H387,Nutrition_tables!$A:$AF,16,FALSE)*$Q387/100</f>
        <v>0</v>
      </c>
      <c r="AD387" s="583">
        <f>VLOOKUP($H387,Nutrition_tables!$A:$AF,17,FALSE)*$Q387/100</f>
        <v>0</v>
      </c>
      <c r="AE387" s="583">
        <f>VLOOKUP($H387,Nutrition_tables!$A:$AF,18,FALSE)*$Q387/100</f>
        <v>0</v>
      </c>
      <c r="AF387" s="583">
        <f>VLOOKUP($H387,Nutrition_tables!$A:$AF,19,FALSE)*$Q387/100</f>
        <v>0</v>
      </c>
      <c r="AG387" s="583">
        <f>VLOOKUP($H387,Nutrition_tables!$A:$AF,20,FALSE)*$Q387/100</f>
        <v>0</v>
      </c>
      <c r="AH387" s="583">
        <f>VLOOKUP($H387,Nutrition_tables!$A:$AF,21,FALSE)*$Q387/100</f>
        <v>0</v>
      </c>
      <c r="AI387" s="583">
        <f>VLOOKUP($H387,Nutrition_tables!$A:$AF,22,FALSE)*$Q387/100</f>
        <v>0</v>
      </c>
      <c r="AJ387" s="549">
        <f>VLOOKUP($H387,Nutrition_tables!$A:$AF,23,FALSE)*$Q387/100</f>
        <v>0</v>
      </c>
      <c r="AK387" s="583">
        <f>VLOOKUP($H387,Nutrition_tables!$A:$AF,24,FALSE)*$Q387/100</f>
        <v>0</v>
      </c>
      <c r="AL387" s="583">
        <f>VLOOKUP($H387,Nutrition_tables!$A:$AF,25,FALSE)*$Q387/100</f>
        <v>0</v>
      </c>
      <c r="AM387" s="583">
        <f>VLOOKUP($H387,Nutrition_tables!$A:$AF,26,FALSE)*$Q387/100</f>
        <v>0</v>
      </c>
      <c r="AN387" s="583">
        <f>VLOOKUP($H387,Nutrition_tables!$A:$AF,27,FALSE)*$Q387/100</f>
        <v>0</v>
      </c>
      <c r="AO387" s="583">
        <f>VLOOKUP($H387,Nutrition_tables!$A:$AF,28,FALSE)*$Q387/100</f>
        <v>0</v>
      </c>
      <c r="AP387" s="583">
        <f>VLOOKUP($H387,Nutrition_tables!$A:$AF,29,FALSE)*$Q387/100</f>
        <v>0</v>
      </c>
      <c r="AQ387" s="583">
        <f>VLOOKUP($H387,Nutrition_tables!$A:$AF,30,FALSE)*$Q387/100</f>
        <v>0</v>
      </c>
      <c r="AR387" s="583">
        <f>VLOOKUP($H387,Nutrition_tables!$A:$AF,31,FALSE)*$Q387/100</f>
        <v>0</v>
      </c>
      <c r="AS387" s="549">
        <f>VLOOKUP($H387,Nutrition_tables!$A:$AF,32,FALSE)*$Q387/100</f>
        <v>0</v>
      </c>
      <c r="AT387" s="583" t="str">
        <f>IF(H387="Select ingredient:","",IF(G387="Select food category:","",IFERROR(VLOOKUP($H387,Ingredient_prices!$E:$W,17,FALSE)*$Q387/1000,"not bought")))</f>
        <v/>
      </c>
      <c r="AU387" s="583" t="str">
        <f>IF(H387="Select ingredient:","",IF(G387="Select food category:","",IFERROR(VLOOKUP($H387,Ingredient_prices!$E:$W,18,FALSE)*$Q387/1000,"not bought")))</f>
        <v/>
      </c>
      <c r="AV387" s="583">
        <f t="shared" si="920"/>
        <v>0</v>
      </c>
      <c r="AW387" s="583">
        <f t="shared" si="921"/>
        <v>0</v>
      </c>
      <c r="AX387" s="583">
        <f t="shared" si="922"/>
        <v>0</v>
      </c>
      <c r="AY387" s="583">
        <f t="shared" si="923"/>
        <v>0</v>
      </c>
      <c r="AZ387" s="583">
        <f t="shared" si="924"/>
        <v>0</v>
      </c>
      <c r="BA387" s="583">
        <f t="shared" si="925"/>
        <v>0</v>
      </c>
      <c r="BB387" s="583">
        <f t="shared" si="926"/>
        <v>0</v>
      </c>
      <c r="BC387" s="583">
        <f t="shared" si="927"/>
        <v>0</v>
      </c>
      <c r="BD387" s="583">
        <f t="shared" si="928"/>
        <v>0</v>
      </c>
      <c r="BE387" s="583">
        <f t="shared" si="929"/>
        <v>0</v>
      </c>
      <c r="BF387" s="583">
        <f t="shared" si="930"/>
        <v>0</v>
      </c>
      <c r="BG387" s="583">
        <f t="shared" si="931"/>
        <v>0</v>
      </c>
      <c r="BH387" s="583">
        <f t="shared" si="932"/>
        <v>0</v>
      </c>
      <c r="BI387" s="583">
        <f t="shared" si="933"/>
        <v>0</v>
      </c>
      <c r="BJ387" s="583">
        <f t="shared" si="934"/>
        <v>0</v>
      </c>
      <c r="BK387" s="583">
        <f t="shared" si="935"/>
        <v>0</v>
      </c>
      <c r="BL387" s="583">
        <f t="shared" si="936"/>
        <v>0</v>
      </c>
      <c r="BM387" s="583">
        <f t="shared" si="937"/>
        <v>0</v>
      </c>
      <c r="BN387" s="583">
        <f t="shared" si="938"/>
        <v>0</v>
      </c>
      <c r="BO387" s="583">
        <f t="shared" si="939"/>
        <v>0</v>
      </c>
      <c r="BP387" s="583">
        <f t="shared" si="940"/>
        <v>0</v>
      </c>
      <c r="BQ387" s="583">
        <f t="shared" si="941"/>
        <v>0</v>
      </c>
      <c r="BR387" s="583">
        <f t="shared" si="942"/>
        <v>0</v>
      </c>
    </row>
    <row r="388" spans="1:70" s="229" customFormat="1" ht="15" customHeight="1">
      <c r="A388" s="643"/>
      <c r="D388" s="85"/>
      <c r="E388" s="576" t="str">
        <f t="shared" ref="E388:E397" si="943">IF(E$386&gt;0,E$386,"")</f>
        <v/>
      </c>
      <c r="F388" s="1131"/>
      <c r="G388" s="406" t="s">
        <v>3054</v>
      </c>
      <c r="H388" s="1262" t="s">
        <v>3055</v>
      </c>
      <c r="I388" s="85">
        <v>0</v>
      </c>
      <c r="J388" s="682">
        <v>1</v>
      </c>
      <c r="K388" s="579" t="str">
        <f t="shared" si="917"/>
        <v/>
      </c>
      <c r="L388" s="580" t="str">
        <f>IF(H388="Select ingredient:","",IF(G388="","",_xlfn.IFNA(VLOOKUP($H388,Ingredient_prices!$E:$U,16,FALSE),0)))</f>
        <v/>
      </c>
      <c r="M388" s="848"/>
      <c r="N388" s="848"/>
      <c r="O388" s="648"/>
      <c r="P388" s="659"/>
      <c r="Q388" s="583">
        <f t="shared" si="918"/>
        <v>0</v>
      </c>
      <c r="R388" s="583">
        <f>VLOOKUP($H388,'CO2_emission+%_food_waste'!$A:$K,6,FALSE)*$Q388/100</f>
        <v>0</v>
      </c>
      <c r="S388" s="583">
        <f t="shared" si="919"/>
        <v>0</v>
      </c>
      <c r="T388" s="583" t="str">
        <f>IF(H388="Select ingredient:","",IF(G388="Select food category:","",_xlfn.IFNA(VLOOKUP($H388,Ingredient_prices!$E:$U,16,FALSE)*$Q388/1000,"not bought")))</f>
        <v/>
      </c>
      <c r="U388" s="583" t="str">
        <f>IF(G388="Select food category:","",_xlfn.IFNA(VLOOKUP($H388,Ingredient_prices!$E:$U,16,FALSE)*$R388/1000,"not bought"))</f>
        <v/>
      </c>
      <c r="V388" s="549">
        <f>VLOOKUP($H388,'CO2_emission+%_food_waste'!$A:$K,4,FALSE)*$Q388</f>
        <v>0</v>
      </c>
      <c r="W388" s="583">
        <f>VLOOKUP($H388,Nutrition_tables!$A:$N,10,FALSE)*$Q388/100</f>
        <v>0</v>
      </c>
      <c r="X388" s="583">
        <f>VLOOKUP($H388,Nutrition_tables!$A:$N,11,FALSE)*$Q388/100</f>
        <v>0</v>
      </c>
      <c r="Y388" s="583">
        <f>VLOOKUP($H388,Nutrition_tables!$A:$N,12,FALSE)*$Q388/100</f>
        <v>0</v>
      </c>
      <c r="Z388" s="583">
        <f>VLOOKUP($H388,Nutrition_tables!$A:$N,14,FALSE)*$Q388/100</f>
        <v>0</v>
      </c>
      <c r="AA388" s="583">
        <f>VLOOKUP($H388,Nutrition_tables!$A:$AF,13,FALSE)*$Q388/100</f>
        <v>0</v>
      </c>
      <c r="AB388" s="549">
        <f>VLOOKUP($H388,Nutrition_tables!$A:$AF,15,FALSE)*$Q388/100</f>
        <v>0</v>
      </c>
      <c r="AC388" s="583">
        <f>VLOOKUP($H388,Nutrition_tables!$A:$AF,16,FALSE)*$Q388/100</f>
        <v>0</v>
      </c>
      <c r="AD388" s="583">
        <f>VLOOKUP($H388,Nutrition_tables!$A:$AF,17,FALSE)*$Q388/100</f>
        <v>0</v>
      </c>
      <c r="AE388" s="583">
        <f>VLOOKUP($H388,Nutrition_tables!$A:$AF,18,FALSE)*$Q388/100</f>
        <v>0</v>
      </c>
      <c r="AF388" s="583">
        <f>VLOOKUP($H388,Nutrition_tables!$A:$AF,19,FALSE)*$Q388/100</f>
        <v>0</v>
      </c>
      <c r="AG388" s="583">
        <f>VLOOKUP($H388,Nutrition_tables!$A:$AF,20,FALSE)*$Q388/100</f>
        <v>0</v>
      </c>
      <c r="AH388" s="583">
        <f>VLOOKUP($H388,Nutrition_tables!$A:$AF,21,FALSE)*$Q388/100</f>
        <v>0</v>
      </c>
      <c r="AI388" s="583">
        <f>VLOOKUP($H388,Nutrition_tables!$A:$AF,22,FALSE)*$Q388/100</f>
        <v>0</v>
      </c>
      <c r="AJ388" s="549">
        <f>VLOOKUP($H388,Nutrition_tables!$A:$AF,23,FALSE)*$Q388/100</f>
        <v>0</v>
      </c>
      <c r="AK388" s="583">
        <f>VLOOKUP($H388,Nutrition_tables!$A:$AF,24,FALSE)*$Q388/100</f>
        <v>0</v>
      </c>
      <c r="AL388" s="583">
        <f>VLOOKUP($H388,Nutrition_tables!$A:$AF,25,FALSE)*$Q388/100</f>
        <v>0</v>
      </c>
      <c r="AM388" s="583">
        <f>VLOOKUP($H388,Nutrition_tables!$A:$AF,26,FALSE)*$Q388/100</f>
        <v>0</v>
      </c>
      <c r="AN388" s="583">
        <f>VLOOKUP($H388,Nutrition_tables!$A:$AF,27,FALSE)*$Q388/100</f>
        <v>0</v>
      </c>
      <c r="AO388" s="583">
        <f>VLOOKUP($H388,Nutrition_tables!$A:$AF,28,FALSE)*$Q388/100</f>
        <v>0</v>
      </c>
      <c r="AP388" s="583">
        <f>VLOOKUP($H388,Nutrition_tables!$A:$AF,29,FALSE)*$Q388/100</f>
        <v>0</v>
      </c>
      <c r="AQ388" s="583">
        <f>VLOOKUP($H388,Nutrition_tables!$A:$AF,30,FALSE)*$Q388/100</f>
        <v>0</v>
      </c>
      <c r="AR388" s="583">
        <f>VLOOKUP($H388,Nutrition_tables!$A:$AF,31,FALSE)*$Q388/100</f>
        <v>0</v>
      </c>
      <c r="AS388" s="549">
        <f>VLOOKUP($H388,Nutrition_tables!$A:$AF,32,FALSE)*$Q388/100</f>
        <v>0</v>
      </c>
      <c r="AT388" s="583" t="str">
        <f>IF(H388="Select ingredient:","",IF(G388="Select food category:","",IFERROR(VLOOKUP($H388,Ingredient_prices!$E:$W,17,FALSE)*$Q388/1000,"not bought")))</f>
        <v/>
      </c>
      <c r="AU388" s="583" t="str">
        <f>IF(H388="Select ingredient:","",IF(G388="Select food category:","",IFERROR(VLOOKUP($H388,Ingredient_prices!$E:$W,18,FALSE)*$Q388/1000,"not bought")))</f>
        <v/>
      </c>
      <c r="AV388" s="583">
        <f t="shared" si="920"/>
        <v>0</v>
      </c>
      <c r="AW388" s="583">
        <f t="shared" si="921"/>
        <v>0</v>
      </c>
      <c r="AX388" s="583">
        <f t="shared" si="922"/>
        <v>0</v>
      </c>
      <c r="AY388" s="583">
        <f t="shared" si="923"/>
        <v>0</v>
      </c>
      <c r="AZ388" s="583">
        <f t="shared" si="924"/>
        <v>0</v>
      </c>
      <c r="BA388" s="583">
        <f t="shared" si="925"/>
        <v>0</v>
      </c>
      <c r="BB388" s="583">
        <f t="shared" si="926"/>
        <v>0</v>
      </c>
      <c r="BC388" s="583">
        <f t="shared" si="927"/>
        <v>0</v>
      </c>
      <c r="BD388" s="583">
        <f t="shared" si="928"/>
        <v>0</v>
      </c>
      <c r="BE388" s="583">
        <f t="shared" si="929"/>
        <v>0</v>
      </c>
      <c r="BF388" s="583">
        <f t="shared" si="930"/>
        <v>0</v>
      </c>
      <c r="BG388" s="583">
        <f t="shared" si="931"/>
        <v>0</v>
      </c>
      <c r="BH388" s="583">
        <f t="shared" si="932"/>
        <v>0</v>
      </c>
      <c r="BI388" s="583">
        <f t="shared" si="933"/>
        <v>0</v>
      </c>
      <c r="BJ388" s="583">
        <f t="shared" si="934"/>
        <v>0</v>
      </c>
      <c r="BK388" s="583">
        <f t="shared" si="935"/>
        <v>0</v>
      </c>
      <c r="BL388" s="583">
        <f t="shared" si="936"/>
        <v>0</v>
      </c>
      <c r="BM388" s="583">
        <f t="shared" si="937"/>
        <v>0</v>
      </c>
      <c r="BN388" s="583">
        <f t="shared" si="938"/>
        <v>0</v>
      </c>
      <c r="BO388" s="583">
        <f t="shared" si="939"/>
        <v>0</v>
      </c>
      <c r="BP388" s="583">
        <f t="shared" si="940"/>
        <v>0</v>
      </c>
      <c r="BQ388" s="583">
        <f t="shared" si="941"/>
        <v>0</v>
      </c>
      <c r="BR388" s="583">
        <f t="shared" si="942"/>
        <v>0</v>
      </c>
    </row>
    <row r="389" spans="1:70" s="229" customFormat="1" ht="15" customHeight="1">
      <c r="A389" s="643"/>
      <c r="D389" s="85"/>
      <c r="E389" s="576" t="str">
        <f t="shared" si="943"/>
        <v/>
      </c>
      <c r="F389" s="1131"/>
      <c r="G389" s="406" t="s">
        <v>3054</v>
      </c>
      <c r="H389" s="1262" t="s">
        <v>3055</v>
      </c>
      <c r="I389" s="85">
        <v>0</v>
      </c>
      <c r="J389" s="682">
        <v>1</v>
      </c>
      <c r="K389" s="579" t="str">
        <f t="shared" si="917"/>
        <v/>
      </c>
      <c r="L389" s="580" t="str">
        <f>IF(H389="Select ingredient:","",IF(G389="","",_xlfn.IFNA(VLOOKUP($H389,Ingredient_prices!$E:$U,16,FALSE),0)))</f>
        <v/>
      </c>
      <c r="M389" s="848"/>
      <c r="N389" s="848"/>
      <c r="O389" s="648"/>
      <c r="P389" s="659"/>
      <c r="Q389" s="583">
        <f t="shared" si="918"/>
        <v>0</v>
      </c>
      <c r="R389" s="583">
        <f>VLOOKUP($H389,'CO2_emission+%_food_waste'!$A:$K,6,FALSE)*$Q389/100</f>
        <v>0</v>
      </c>
      <c r="S389" s="583">
        <f t="shared" si="919"/>
        <v>0</v>
      </c>
      <c r="T389" s="583" t="str">
        <f>IF(H389="Select ingredient:","",IF(G389="Select food category:","",_xlfn.IFNA(VLOOKUP($H389,Ingredient_prices!$E:$U,16,FALSE)*$Q389/1000,"not bought")))</f>
        <v/>
      </c>
      <c r="U389" s="583" t="str">
        <f>IF(G389="Select food category:","",_xlfn.IFNA(VLOOKUP($H389,Ingredient_prices!$E:$U,16,FALSE)*$R389/1000,"not bought"))</f>
        <v/>
      </c>
      <c r="V389" s="549">
        <f>VLOOKUP($H389,'CO2_emission+%_food_waste'!$A:$K,4,FALSE)*$Q389</f>
        <v>0</v>
      </c>
      <c r="W389" s="583">
        <f>VLOOKUP($H389,Nutrition_tables!$A:$N,10,FALSE)*$Q389/100</f>
        <v>0</v>
      </c>
      <c r="X389" s="583">
        <f>VLOOKUP($H389,Nutrition_tables!$A:$N,11,FALSE)*$Q389/100</f>
        <v>0</v>
      </c>
      <c r="Y389" s="583">
        <f>VLOOKUP($H389,Nutrition_tables!$A:$N,12,FALSE)*$Q389/100</f>
        <v>0</v>
      </c>
      <c r="Z389" s="583">
        <f>VLOOKUP($H389,Nutrition_tables!$A:$N,14,FALSE)*$Q389/100</f>
        <v>0</v>
      </c>
      <c r="AA389" s="583">
        <f>VLOOKUP($H389,Nutrition_tables!$A:$AF,13,FALSE)*$Q389/100</f>
        <v>0</v>
      </c>
      <c r="AB389" s="549">
        <f>VLOOKUP($H389,Nutrition_tables!$A:$AF,15,FALSE)*$Q389/100</f>
        <v>0</v>
      </c>
      <c r="AC389" s="583">
        <f>VLOOKUP($H389,Nutrition_tables!$A:$AF,16,FALSE)*$Q389/100</f>
        <v>0</v>
      </c>
      <c r="AD389" s="583">
        <f>VLOOKUP($H389,Nutrition_tables!$A:$AF,17,FALSE)*$Q389/100</f>
        <v>0</v>
      </c>
      <c r="AE389" s="583">
        <f>VLOOKUP($H389,Nutrition_tables!$A:$AF,18,FALSE)*$Q389/100</f>
        <v>0</v>
      </c>
      <c r="AF389" s="583">
        <f>VLOOKUP($H389,Nutrition_tables!$A:$AF,19,FALSE)*$Q389/100</f>
        <v>0</v>
      </c>
      <c r="AG389" s="583">
        <f>VLOOKUP($H389,Nutrition_tables!$A:$AF,20,FALSE)*$Q389/100</f>
        <v>0</v>
      </c>
      <c r="AH389" s="583">
        <f>VLOOKUP($H389,Nutrition_tables!$A:$AF,21,FALSE)*$Q389/100</f>
        <v>0</v>
      </c>
      <c r="AI389" s="583">
        <f>VLOOKUP($H389,Nutrition_tables!$A:$AF,22,FALSE)*$Q389/100</f>
        <v>0</v>
      </c>
      <c r="AJ389" s="549">
        <f>VLOOKUP($H389,Nutrition_tables!$A:$AF,23,FALSE)*$Q389/100</f>
        <v>0</v>
      </c>
      <c r="AK389" s="583">
        <f>VLOOKUP($H389,Nutrition_tables!$A:$AF,24,FALSE)*$Q389/100</f>
        <v>0</v>
      </c>
      <c r="AL389" s="583">
        <f>VLOOKUP($H389,Nutrition_tables!$A:$AF,25,FALSE)*$Q389/100</f>
        <v>0</v>
      </c>
      <c r="AM389" s="583">
        <f>VLOOKUP($H389,Nutrition_tables!$A:$AF,26,FALSE)*$Q389/100</f>
        <v>0</v>
      </c>
      <c r="AN389" s="583">
        <f>VLOOKUP($H389,Nutrition_tables!$A:$AF,27,FALSE)*$Q389/100</f>
        <v>0</v>
      </c>
      <c r="AO389" s="583">
        <f>VLOOKUP($H389,Nutrition_tables!$A:$AF,28,FALSE)*$Q389/100</f>
        <v>0</v>
      </c>
      <c r="AP389" s="583">
        <f>VLOOKUP($H389,Nutrition_tables!$A:$AF,29,FALSE)*$Q389/100</f>
        <v>0</v>
      </c>
      <c r="AQ389" s="583">
        <f>VLOOKUP($H389,Nutrition_tables!$A:$AF,30,FALSE)*$Q389/100</f>
        <v>0</v>
      </c>
      <c r="AR389" s="583">
        <f>VLOOKUP($H389,Nutrition_tables!$A:$AF,31,FALSE)*$Q389/100</f>
        <v>0</v>
      </c>
      <c r="AS389" s="549">
        <f>VLOOKUP($H389,Nutrition_tables!$A:$AF,32,FALSE)*$Q389/100</f>
        <v>0</v>
      </c>
      <c r="AT389" s="583" t="str">
        <f>IF(H389="Select ingredient:","",IF(G389="Select food category:","",IFERROR(VLOOKUP($H389,Ingredient_prices!$E:$W,17,FALSE)*$Q389/1000,"not bought")))</f>
        <v/>
      </c>
      <c r="AU389" s="583" t="str">
        <f>IF(H389="Select ingredient:","",IF(G389="Select food category:","",IFERROR(VLOOKUP($H389,Ingredient_prices!$E:$W,18,FALSE)*$Q389/1000,"not bought")))</f>
        <v/>
      </c>
      <c r="AV389" s="583">
        <f t="shared" si="920"/>
        <v>0</v>
      </c>
      <c r="AW389" s="583">
        <f t="shared" si="921"/>
        <v>0</v>
      </c>
      <c r="AX389" s="583">
        <f t="shared" si="922"/>
        <v>0</v>
      </c>
      <c r="AY389" s="583">
        <f t="shared" si="923"/>
        <v>0</v>
      </c>
      <c r="AZ389" s="583">
        <f t="shared" si="924"/>
        <v>0</v>
      </c>
      <c r="BA389" s="583">
        <f t="shared" si="925"/>
        <v>0</v>
      </c>
      <c r="BB389" s="583">
        <f t="shared" si="926"/>
        <v>0</v>
      </c>
      <c r="BC389" s="583">
        <f t="shared" si="927"/>
        <v>0</v>
      </c>
      <c r="BD389" s="583">
        <f t="shared" si="928"/>
        <v>0</v>
      </c>
      <c r="BE389" s="583">
        <f t="shared" si="929"/>
        <v>0</v>
      </c>
      <c r="BF389" s="583">
        <f t="shared" si="930"/>
        <v>0</v>
      </c>
      <c r="BG389" s="583">
        <f t="shared" si="931"/>
        <v>0</v>
      </c>
      <c r="BH389" s="583">
        <f t="shared" si="932"/>
        <v>0</v>
      </c>
      <c r="BI389" s="583">
        <f t="shared" si="933"/>
        <v>0</v>
      </c>
      <c r="BJ389" s="583">
        <f t="shared" si="934"/>
        <v>0</v>
      </c>
      <c r="BK389" s="583">
        <f t="shared" si="935"/>
        <v>0</v>
      </c>
      <c r="BL389" s="583">
        <f t="shared" si="936"/>
        <v>0</v>
      </c>
      <c r="BM389" s="583">
        <f t="shared" si="937"/>
        <v>0</v>
      </c>
      <c r="BN389" s="583">
        <f t="shared" si="938"/>
        <v>0</v>
      </c>
      <c r="BO389" s="583">
        <f t="shared" si="939"/>
        <v>0</v>
      </c>
      <c r="BP389" s="583">
        <f t="shared" si="940"/>
        <v>0</v>
      </c>
      <c r="BQ389" s="583">
        <f t="shared" si="941"/>
        <v>0</v>
      </c>
      <c r="BR389" s="583">
        <f t="shared" si="942"/>
        <v>0</v>
      </c>
    </row>
    <row r="390" spans="1:70" s="229" customFormat="1" ht="15" customHeight="1">
      <c r="A390" s="643"/>
      <c r="D390" s="85"/>
      <c r="E390" s="576" t="str">
        <f t="shared" si="943"/>
        <v/>
      </c>
      <c r="F390" s="1131"/>
      <c r="G390" s="406" t="s">
        <v>3054</v>
      </c>
      <c r="H390" s="1262" t="s">
        <v>3055</v>
      </c>
      <c r="I390" s="85">
        <v>0</v>
      </c>
      <c r="J390" s="682">
        <v>1</v>
      </c>
      <c r="K390" s="579" t="str">
        <f t="shared" si="917"/>
        <v/>
      </c>
      <c r="L390" s="580" t="str">
        <f>IF(H390="Select ingredient:","",IF(G390="","",_xlfn.IFNA(VLOOKUP($H390,Ingredient_prices!$E:$U,16,FALSE),0)))</f>
        <v/>
      </c>
      <c r="M390" s="848"/>
      <c r="N390" s="848"/>
      <c r="O390" s="648"/>
      <c r="P390" s="659"/>
      <c r="Q390" s="583">
        <f t="shared" si="918"/>
        <v>0</v>
      </c>
      <c r="R390" s="583">
        <f>VLOOKUP($H390,'CO2_emission+%_food_waste'!$A:$K,6,FALSE)*$Q390/100</f>
        <v>0</v>
      </c>
      <c r="S390" s="583">
        <f t="shared" si="919"/>
        <v>0</v>
      </c>
      <c r="T390" s="583" t="str">
        <f>IF(H390="Select ingredient:","",IF(G390="Select food category:","",_xlfn.IFNA(VLOOKUP($H390,Ingredient_prices!$E:$U,16,FALSE)*$Q390/1000,"not bought")))</f>
        <v/>
      </c>
      <c r="U390" s="583" t="str">
        <f>IF(G390="Select food category:","",_xlfn.IFNA(VLOOKUP($H390,Ingredient_prices!$E:$U,16,FALSE)*$R390/1000,"not bought"))</f>
        <v/>
      </c>
      <c r="V390" s="549">
        <f>VLOOKUP($H390,'CO2_emission+%_food_waste'!$A:$K,4,FALSE)*$Q390</f>
        <v>0</v>
      </c>
      <c r="W390" s="583">
        <f>VLOOKUP($H390,Nutrition_tables!$A:$N,10,FALSE)*$Q390/100</f>
        <v>0</v>
      </c>
      <c r="X390" s="583">
        <f>VLOOKUP($H390,Nutrition_tables!$A:$N,11,FALSE)*$Q390/100</f>
        <v>0</v>
      </c>
      <c r="Y390" s="583">
        <f>VLOOKUP($H390,Nutrition_tables!$A:$N,12,FALSE)*$Q390/100</f>
        <v>0</v>
      </c>
      <c r="Z390" s="583">
        <f>VLOOKUP($H390,Nutrition_tables!$A:$N,14,FALSE)*$Q390/100</f>
        <v>0</v>
      </c>
      <c r="AA390" s="583">
        <f>VLOOKUP($H390,Nutrition_tables!$A:$AF,13,FALSE)*$Q390/100</f>
        <v>0</v>
      </c>
      <c r="AB390" s="549">
        <f>VLOOKUP($H390,Nutrition_tables!$A:$AF,15,FALSE)*$Q390/100</f>
        <v>0</v>
      </c>
      <c r="AC390" s="583">
        <f>VLOOKUP($H390,Nutrition_tables!$A:$AF,16,FALSE)*$Q390/100</f>
        <v>0</v>
      </c>
      <c r="AD390" s="583">
        <f>VLOOKUP($H390,Nutrition_tables!$A:$AF,17,FALSE)*$Q390/100</f>
        <v>0</v>
      </c>
      <c r="AE390" s="583">
        <f>VLOOKUP($H390,Nutrition_tables!$A:$AF,18,FALSE)*$Q390/100</f>
        <v>0</v>
      </c>
      <c r="AF390" s="583">
        <f>VLOOKUP($H390,Nutrition_tables!$A:$AF,19,FALSE)*$Q390/100</f>
        <v>0</v>
      </c>
      <c r="AG390" s="583">
        <f>VLOOKUP($H390,Nutrition_tables!$A:$AF,20,FALSE)*$Q390/100</f>
        <v>0</v>
      </c>
      <c r="AH390" s="583">
        <f>VLOOKUP($H390,Nutrition_tables!$A:$AF,21,FALSE)*$Q390/100</f>
        <v>0</v>
      </c>
      <c r="AI390" s="583">
        <f>VLOOKUP($H390,Nutrition_tables!$A:$AF,22,FALSE)*$Q390/100</f>
        <v>0</v>
      </c>
      <c r="AJ390" s="549">
        <f>VLOOKUP($H390,Nutrition_tables!$A:$AF,23,FALSE)*$Q390/100</f>
        <v>0</v>
      </c>
      <c r="AK390" s="583">
        <f>VLOOKUP($H390,Nutrition_tables!$A:$AF,24,FALSE)*$Q390/100</f>
        <v>0</v>
      </c>
      <c r="AL390" s="583">
        <f>VLOOKUP($H390,Nutrition_tables!$A:$AF,25,FALSE)*$Q390/100</f>
        <v>0</v>
      </c>
      <c r="AM390" s="583">
        <f>VLOOKUP($H390,Nutrition_tables!$A:$AF,26,FALSE)*$Q390/100</f>
        <v>0</v>
      </c>
      <c r="AN390" s="583">
        <f>VLOOKUP($H390,Nutrition_tables!$A:$AF,27,FALSE)*$Q390/100</f>
        <v>0</v>
      </c>
      <c r="AO390" s="583">
        <f>VLOOKUP($H390,Nutrition_tables!$A:$AF,28,FALSE)*$Q390/100</f>
        <v>0</v>
      </c>
      <c r="AP390" s="583">
        <f>VLOOKUP($H390,Nutrition_tables!$A:$AF,29,FALSE)*$Q390/100</f>
        <v>0</v>
      </c>
      <c r="AQ390" s="583">
        <f>VLOOKUP($H390,Nutrition_tables!$A:$AF,30,FALSE)*$Q390/100</f>
        <v>0</v>
      </c>
      <c r="AR390" s="583">
        <f>VLOOKUP($H390,Nutrition_tables!$A:$AF,31,FALSE)*$Q390/100</f>
        <v>0</v>
      </c>
      <c r="AS390" s="549">
        <f>VLOOKUP($H390,Nutrition_tables!$A:$AF,32,FALSE)*$Q390/100</f>
        <v>0</v>
      </c>
      <c r="AT390" s="583" t="str">
        <f>IF(H390="Select ingredient:","",IF(G390="Select food category:","",IFERROR(VLOOKUP($H390,Ingredient_prices!$E:$W,17,FALSE)*$Q390/1000,"not bought")))</f>
        <v/>
      </c>
      <c r="AU390" s="583" t="str">
        <f>IF(H390="Select ingredient:","",IF(G390="Select food category:","",IFERROR(VLOOKUP($H390,Ingredient_prices!$E:$W,18,FALSE)*$Q390/1000,"not bought")))</f>
        <v/>
      </c>
      <c r="AV390" s="583">
        <f t="shared" si="920"/>
        <v>0</v>
      </c>
      <c r="AW390" s="583">
        <f t="shared" si="921"/>
        <v>0</v>
      </c>
      <c r="AX390" s="583">
        <f t="shared" si="922"/>
        <v>0</v>
      </c>
      <c r="AY390" s="583">
        <f t="shared" si="923"/>
        <v>0</v>
      </c>
      <c r="AZ390" s="583">
        <f t="shared" si="924"/>
        <v>0</v>
      </c>
      <c r="BA390" s="583">
        <f t="shared" si="925"/>
        <v>0</v>
      </c>
      <c r="BB390" s="583">
        <f t="shared" si="926"/>
        <v>0</v>
      </c>
      <c r="BC390" s="583">
        <f t="shared" si="927"/>
        <v>0</v>
      </c>
      <c r="BD390" s="583">
        <f t="shared" si="928"/>
        <v>0</v>
      </c>
      <c r="BE390" s="583">
        <f t="shared" si="929"/>
        <v>0</v>
      </c>
      <c r="BF390" s="583">
        <f t="shared" si="930"/>
        <v>0</v>
      </c>
      <c r="BG390" s="583">
        <f t="shared" si="931"/>
        <v>0</v>
      </c>
      <c r="BH390" s="583">
        <f t="shared" si="932"/>
        <v>0</v>
      </c>
      <c r="BI390" s="583">
        <f t="shared" si="933"/>
        <v>0</v>
      </c>
      <c r="BJ390" s="583">
        <f t="shared" si="934"/>
        <v>0</v>
      </c>
      <c r="BK390" s="583">
        <f t="shared" si="935"/>
        <v>0</v>
      </c>
      <c r="BL390" s="583">
        <f t="shared" si="936"/>
        <v>0</v>
      </c>
      <c r="BM390" s="583">
        <f t="shared" si="937"/>
        <v>0</v>
      </c>
      <c r="BN390" s="583">
        <f t="shared" si="938"/>
        <v>0</v>
      </c>
      <c r="BO390" s="583">
        <f t="shared" si="939"/>
        <v>0</v>
      </c>
      <c r="BP390" s="583">
        <f t="shared" si="940"/>
        <v>0</v>
      </c>
      <c r="BQ390" s="583">
        <f t="shared" si="941"/>
        <v>0</v>
      </c>
      <c r="BR390" s="583">
        <f t="shared" si="942"/>
        <v>0</v>
      </c>
    </row>
    <row r="391" spans="1:70" s="229" customFormat="1" ht="15" customHeight="1">
      <c r="A391" s="643"/>
      <c r="D391" s="85"/>
      <c r="E391" s="576" t="str">
        <f t="shared" si="943"/>
        <v/>
      </c>
      <c r="F391" s="1131"/>
      <c r="G391" s="406" t="s">
        <v>3054</v>
      </c>
      <c r="H391" s="1262" t="s">
        <v>3055</v>
      </c>
      <c r="I391" s="85">
        <v>0</v>
      </c>
      <c r="J391" s="682">
        <v>1</v>
      </c>
      <c r="K391" s="579" t="str">
        <f t="shared" si="917"/>
        <v/>
      </c>
      <c r="L391" s="580" t="str">
        <f>IF(H391="Select ingredient:","",IF(G391="","",_xlfn.IFNA(VLOOKUP($H391,Ingredient_prices!$E:$U,16,FALSE),0)))</f>
        <v/>
      </c>
      <c r="M391" s="848"/>
      <c r="N391" s="848"/>
      <c r="O391" s="648"/>
      <c r="P391" s="659"/>
      <c r="Q391" s="583">
        <f t="shared" si="918"/>
        <v>0</v>
      </c>
      <c r="R391" s="583">
        <f>VLOOKUP($H391,'CO2_emission+%_food_waste'!$A:$K,6,FALSE)*$Q391/100</f>
        <v>0</v>
      </c>
      <c r="S391" s="583">
        <f t="shared" si="919"/>
        <v>0</v>
      </c>
      <c r="T391" s="583" t="str">
        <f>IF(H391="Select ingredient:","",IF(G391="Select food category:","",_xlfn.IFNA(VLOOKUP($H391,Ingredient_prices!$E:$U,16,FALSE)*$Q391/1000,"not bought")))</f>
        <v/>
      </c>
      <c r="U391" s="583" t="str">
        <f>IF(G391="Select food category:","",_xlfn.IFNA(VLOOKUP($H391,Ingredient_prices!$E:$U,16,FALSE)*$R391/1000,"not bought"))</f>
        <v/>
      </c>
      <c r="V391" s="549">
        <f>VLOOKUP($H391,'CO2_emission+%_food_waste'!$A:$K,4,FALSE)*$Q391</f>
        <v>0</v>
      </c>
      <c r="W391" s="583">
        <f>VLOOKUP($H391,Nutrition_tables!$A:$N,10,FALSE)*$Q391/100</f>
        <v>0</v>
      </c>
      <c r="X391" s="583">
        <f>VLOOKUP($H391,Nutrition_tables!$A:$N,11,FALSE)*$Q391/100</f>
        <v>0</v>
      </c>
      <c r="Y391" s="583">
        <f>VLOOKUP($H391,Nutrition_tables!$A:$N,12,FALSE)*$Q391/100</f>
        <v>0</v>
      </c>
      <c r="Z391" s="583">
        <f>VLOOKUP($H391,Nutrition_tables!$A:$N,14,FALSE)*$Q391/100</f>
        <v>0</v>
      </c>
      <c r="AA391" s="583">
        <f>VLOOKUP($H391,Nutrition_tables!$A:$AF,13,FALSE)*$Q391/100</f>
        <v>0</v>
      </c>
      <c r="AB391" s="549">
        <f>VLOOKUP($H391,Nutrition_tables!$A:$AF,15,FALSE)*$Q391/100</f>
        <v>0</v>
      </c>
      <c r="AC391" s="583">
        <f>VLOOKUP($H391,Nutrition_tables!$A:$AF,16,FALSE)*$Q391/100</f>
        <v>0</v>
      </c>
      <c r="AD391" s="583">
        <f>VLOOKUP($H391,Nutrition_tables!$A:$AF,17,FALSE)*$Q391/100</f>
        <v>0</v>
      </c>
      <c r="AE391" s="583">
        <f>VLOOKUP($H391,Nutrition_tables!$A:$AF,18,FALSE)*$Q391/100</f>
        <v>0</v>
      </c>
      <c r="AF391" s="583">
        <f>VLOOKUP($H391,Nutrition_tables!$A:$AF,19,FALSE)*$Q391/100</f>
        <v>0</v>
      </c>
      <c r="AG391" s="583">
        <f>VLOOKUP($H391,Nutrition_tables!$A:$AF,20,FALSE)*$Q391/100</f>
        <v>0</v>
      </c>
      <c r="AH391" s="583">
        <f>VLOOKUP($H391,Nutrition_tables!$A:$AF,21,FALSE)*$Q391/100</f>
        <v>0</v>
      </c>
      <c r="AI391" s="583">
        <f>VLOOKUP($H391,Nutrition_tables!$A:$AF,22,FALSE)*$Q391/100</f>
        <v>0</v>
      </c>
      <c r="AJ391" s="549">
        <f>VLOOKUP($H391,Nutrition_tables!$A:$AF,23,FALSE)*$Q391/100</f>
        <v>0</v>
      </c>
      <c r="AK391" s="583">
        <f>VLOOKUP($H391,Nutrition_tables!$A:$AF,24,FALSE)*$Q391/100</f>
        <v>0</v>
      </c>
      <c r="AL391" s="583">
        <f>VLOOKUP($H391,Nutrition_tables!$A:$AF,25,FALSE)*$Q391/100</f>
        <v>0</v>
      </c>
      <c r="AM391" s="583">
        <f>VLOOKUP($H391,Nutrition_tables!$A:$AF,26,FALSE)*$Q391/100</f>
        <v>0</v>
      </c>
      <c r="AN391" s="583">
        <f>VLOOKUP($H391,Nutrition_tables!$A:$AF,27,FALSE)*$Q391/100</f>
        <v>0</v>
      </c>
      <c r="AO391" s="583">
        <f>VLOOKUP($H391,Nutrition_tables!$A:$AF,28,FALSE)*$Q391/100</f>
        <v>0</v>
      </c>
      <c r="AP391" s="583">
        <f>VLOOKUP($H391,Nutrition_tables!$A:$AF,29,FALSE)*$Q391/100</f>
        <v>0</v>
      </c>
      <c r="AQ391" s="583">
        <f>VLOOKUP($H391,Nutrition_tables!$A:$AF,30,FALSE)*$Q391/100</f>
        <v>0</v>
      </c>
      <c r="AR391" s="583">
        <f>VLOOKUP($H391,Nutrition_tables!$A:$AF,31,FALSE)*$Q391/100</f>
        <v>0</v>
      </c>
      <c r="AS391" s="549">
        <f>VLOOKUP($H391,Nutrition_tables!$A:$AF,32,FALSE)*$Q391/100</f>
        <v>0</v>
      </c>
      <c r="AT391" s="583" t="str">
        <f>IF(H391="Select ingredient:","",IF(G391="Select food category:","",IFERROR(VLOOKUP($H391,Ingredient_prices!$E:$W,17,FALSE)*$Q391/1000,"not bought")))</f>
        <v/>
      </c>
      <c r="AU391" s="583" t="str">
        <f>IF(H391="Select ingredient:","",IF(G391="Select food category:","",IFERROR(VLOOKUP($H391,Ingredient_prices!$E:$W,18,FALSE)*$Q391/1000,"not bought")))</f>
        <v/>
      </c>
      <c r="AV391" s="583">
        <f t="shared" si="920"/>
        <v>0</v>
      </c>
      <c r="AW391" s="583">
        <f t="shared" si="921"/>
        <v>0</v>
      </c>
      <c r="AX391" s="583">
        <f t="shared" si="922"/>
        <v>0</v>
      </c>
      <c r="AY391" s="583">
        <f t="shared" si="923"/>
        <v>0</v>
      </c>
      <c r="AZ391" s="583">
        <f t="shared" si="924"/>
        <v>0</v>
      </c>
      <c r="BA391" s="583">
        <f t="shared" si="925"/>
        <v>0</v>
      </c>
      <c r="BB391" s="583">
        <f t="shared" si="926"/>
        <v>0</v>
      </c>
      <c r="BC391" s="583">
        <f t="shared" si="927"/>
        <v>0</v>
      </c>
      <c r="BD391" s="583">
        <f t="shared" si="928"/>
        <v>0</v>
      </c>
      <c r="BE391" s="583">
        <f t="shared" si="929"/>
        <v>0</v>
      </c>
      <c r="BF391" s="583">
        <f t="shared" si="930"/>
        <v>0</v>
      </c>
      <c r="BG391" s="583">
        <f t="shared" si="931"/>
        <v>0</v>
      </c>
      <c r="BH391" s="583">
        <f t="shared" si="932"/>
        <v>0</v>
      </c>
      <c r="BI391" s="583">
        <f t="shared" si="933"/>
        <v>0</v>
      </c>
      <c r="BJ391" s="583">
        <f t="shared" si="934"/>
        <v>0</v>
      </c>
      <c r="BK391" s="583">
        <f t="shared" si="935"/>
        <v>0</v>
      </c>
      <c r="BL391" s="583">
        <f t="shared" si="936"/>
        <v>0</v>
      </c>
      <c r="BM391" s="583">
        <f t="shared" si="937"/>
        <v>0</v>
      </c>
      <c r="BN391" s="583">
        <f t="shared" si="938"/>
        <v>0</v>
      </c>
      <c r="BO391" s="583">
        <f t="shared" si="939"/>
        <v>0</v>
      </c>
      <c r="BP391" s="583">
        <f t="shared" si="940"/>
        <v>0</v>
      </c>
      <c r="BQ391" s="583">
        <f t="shared" si="941"/>
        <v>0</v>
      </c>
      <c r="BR391" s="583">
        <f t="shared" si="942"/>
        <v>0</v>
      </c>
    </row>
    <row r="392" spans="1:70" s="229" customFormat="1" ht="15" customHeight="1">
      <c r="A392" s="643"/>
      <c r="D392" s="85"/>
      <c r="E392" s="576" t="str">
        <f t="shared" si="943"/>
        <v/>
      </c>
      <c r="F392" s="1131"/>
      <c r="G392" s="406" t="s">
        <v>3054</v>
      </c>
      <c r="H392" s="1262" t="s">
        <v>3055</v>
      </c>
      <c r="I392" s="85">
        <v>0</v>
      </c>
      <c r="J392" s="682">
        <v>1</v>
      </c>
      <c r="K392" s="579" t="str">
        <f t="shared" si="917"/>
        <v/>
      </c>
      <c r="L392" s="580" t="str">
        <f>IF(H392="Select ingredient:","",IF(G392="","",_xlfn.IFNA(VLOOKUP($H392,Ingredient_prices!$E:$U,16,FALSE),0)))</f>
        <v/>
      </c>
      <c r="M392" s="848"/>
      <c r="N392" s="848"/>
      <c r="O392" s="648"/>
      <c r="P392" s="659"/>
      <c r="Q392" s="583">
        <f t="shared" si="918"/>
        <v>0</v>
      </c>
      <c r="R392" s="583">
        <f>VLOOKUP($H392,'CO2_emission+%_food_waste'!$A:$K,6,FALSE)*$Q392/100</f>
        <v>0</v>
      </c>
      <c r="S392" s="583">
        <f t="shared" si="919"/>
        <v>0</v>
      </c>
      <c r="T392" s="583" t="str">
        <f>IF(H392="Select ingredient:","",IF(G392="Select food category:","",_xlfn.IFNA(VLOOKUP($H392,Ingredient_prices!$E:$U,16,FALSE)*$Q392/1000,"not bought")))</f>
        <v/>
      </c>
      <c r="U392" s="583" t="str">
        <f>IF(G392="Select food category:","",_xlfn.IFNA(VLOOKUP($H392,Ingredient_prices!$E:$U,16,FALSE)*$R392/1000,"not bought"))</f>
        <v/>
      </c>
      <c r="V392" s="549">
        <f>VLOOKUP($H392,'CO2_emission+%_food_waste'!$A:$K,4,FALSE)*$Q392</f>
        <v>0</v>
      </c>
      <c r="W392" s="583">
        <f>VLOOKUP($H392,Nutrition_tables!$A:$N,10,FALSE)*$Q392/100</f>
        <v>0</v>
      </c>
      <c r="X392" s="583">
        <f>VLOOKUP($H392,Nutrition_tables!$A:$N,11,FALSE)*$Q392/100</f>
        <v>0</v>
      </c>
      <c r="Y392" s="583">
        <f>VLOOKUP($H392,Nutrition_tables!$A:$N,12,FALSE)*$Q392/100</f>
        <v>0</v>
      </c>
      <c r="Z392" s="583">
        <f>VLOOKUP($H392,Nutrition_tables!$A:$N,14,FALSE)*$Q392/100</f>
        <v>0</v>
      </c>
      <c r="AA392" s="583">
        <f>VLOOKUP($H392,Nutrition_tables!$A:$AF,13,FALSE)*$Q392/100</f>
        <v>0</v>
      </c>
      <c r="AB392" s="549">
        <f>VLOOKUP($H392,Nutrition_tables!$A:$AF,15,FALSE)*$Q392/100</f>
        <v>0</v>
      </c>
      <c r="AC392" s="583">
        <f>VLOOKUP($H392,Nutrition_tables!$A:$AF,16,FALSE)*$Q392/100</f>
        <v>0</v>
      </c>
      <c r="AD392" s="583">
        <f>VLOOKUP($H392,Nutrition_tables!$A:$AF,17,FALSE)*$Q392/100</f>
        <v>0</v>
      </c>
      <c r="AE392" s="583">
        <f>VLOOKUP($H392,Nutrition_tables!$A:$AF,18,FALSE)*$Q392/100</f>
        <v>0</v>
      </c>
      <c r="AF392" s="583">
        <f>VLOOKUP($H392,Nutrition_tables!$A:$AF,19,FALSE)*$Q392/100</f>
        <v>0</v>
      </c>
      <c r="AG392" s="583">
        <f>VLOOKUP($H392,Nutrition_tables!$A:$AF,20,FALSE)*$Q392/100</f>
        <v>0</v>
      </c>
      <c r="AH392" s="583">
        <f>VLOOKUP($H392,Nutrition_tables!$A:$AF,21,FALSE)*$Q392/100</f>
        <v>0</v>
      </c>
      <c r="AI392" s="583">
        <f>VLOOKUP($H392,Nutrition_tables!$A:$AF,22,FALSE)*$Q392/100</f>
        <v>0</v>
      </c>
      <c r="AJ392" s="549">
        <f>VLOOKUP($H392,Nutrition_tables!$A:$AF,23,FALSE)*$Q392/100</f>
        <v>0</v>
      </c>
      <c r="AK392" s="583">
        <f>VLOOKUP($H392,Nutrition_tables!$A:$AF,24,FALSE)*$Q392/100</f>
        <v>0</v>
      </c>
      <c r="AL392" s="583">
        <f>VLOOKUP($H392,Nutrition_tables!$A:$AF,25,FALSE)*$Q392/100</f>
        <v>0</v>
      </c>
      <c r="AM392" s="583">
        <f>VLOOKUP($H392,Nutrition_tables!$A:$AF,26,FALSE)*$Q392/100</f>
        <v>0</v>
      </c>
      <c r="AN392" s="583">
        <f>VLOOKUP($H392,Nutrition_tables!$A:$AF,27,FALSE)*$Q392/100</f>
        <v>0</v>
      </c>
      <c r="AO392" s="583">
        <f>VLOOKUP($H392,Nutrition_tables!$A:$AF,28,FALSE)*$Q392/100</f>
        <v>0</v>
      </c>
      <c r="AP392" s="583">
        <f>VLOOKUP($H392,Nutrition_tables!$A:$AF,29,FALSE)*$Q392/100</f>
        <v>0</v>
      </c>
      <c r="AQ392" s="583">
        <f>VLOOKUP($H392,Nutrition_tables!$A:$AF,30,FALSE)*$Q392/100</f>
        <v>0</v>
      </c>
      <c r="AR392" s="583">
        <f>VLOOKUP($H392,Nutrition_tables!$A:$AF,31,FALSE)*$Q392/100</f>
        <v>0</v>
      </c>
      <c r="AS392" s="549">
        <f>VLOOKUP($H392,Nutrition_tables!$A:$AF,32,FALSE)*$Q392/100</f>
        <v>0</v>
      </c>
      <c r="AT392" s="583" t="str">
        <f>IF(H392="Select ingredient:","",IF(G392="Select food category:","",IFERROR(VLOOKUP($H392,Ingredient_prices!$E:$W,17,FALSE)*$Q392/1000,"not bought")))</f>
        <v/>
      </c>
      <c r="AU392" s="583" t="str">
        <f>IF(H392="Select ingredient:","",IF(G392="Select food category:","",IFERROR(VLOOKUP($H392,Ingredient_prices!$E:$W,18,FALSE)*$Q392/1000,"not bought")))</f>
        <v/>
      </c>
      <c r="AV392" s="583">
        <f t="shared" si="920"/>
        <v>0</v>
      </c>
      <c r="AW392" s="583">
        <f t="shared" si="921"/>
        <v>0</v>
      </c>
      <c r="AX392" s="583">
        <f t="shared" si="922"/>
        <v>0</v>
      </c>
      <c r="AY392" s="583">
        <f t="shared" si="923"/>
        <v>0</v>
      </c>
      <c r="AZ392" s="583">
        <f t="shared" si="924"/>
        <v>0</v>
      </c>
      <c r="BA392" s="583">
        <f t="shared" si="925"/>
        <v>0</v>
      </c>
      <c r="BB392" s="583">
        <f t="shared" si="926"/>
        <v>0</v>
      </c>
      <c r="BC392" s="583">
        <f t="shared" si="927"/>
        <v>0</v>
      </c>
      <c r="BD392" s="583">
        <f t="shared" si="928"/>
        <v>0</v>
      </c>
      <c r="BE392" s="583">
        <f t="shared" si="929"/>
        <v>0</v>
      </c>
      <c r="BF392" s="583">
        <f t="shared" si="930"/>
        <v>0</v>
      </c>
      <c r="BG392" s="583">
        <f t="shared" si="931"/>
        <v>0</v>
      </c>
      <c r="BH392" s="583">
        <f t="shared" si="932"/>
        <v>0</v>
      </c>
      <c r="BI392" s="583">
        <f t="shared" si="933"/>
        <v>0</v>
      </c>
      <c r="BJ392" s="583">
        <f t="shared" si="934"/>
        <v>0</v>
      </c>
      <c r="BK392" s="583">
        <f t="shared" si="935"/>
        <v>0</v>
      </c>
      <c r="BL392" s="583">
        <f t="shared" si="936"/>
        <v>0</v>
      </c>
      <c r="BM392" s="583">
        <f t="shared" si="937"/>
        <v>0</v>
      </c>
      <c r="BN392" s="583">
        <f t="shared" si="938"/>
        <v>0</v>
      </c>
      <c r="BO392" s="583">
        <f t="shared" si="939"/>
        <v>0</v>
      </c>
      <c r="BP392" s="583">
        <f t="shared" si="940"/>
        <v>0</v>
      </c>
      <c r="BQ392" s="583">
        <f t="shared" si="941"/>
        <v>0</v>
      </c>
      <c r="BR392" s="583">
        <f t="shared" si="942"/>
        <v>0</v>
      </c>
    </row>
    <row r="393" spans="1:70" s="229" customFormat="1" ht="15" customHeight="1">
      <c r="A393" s="643"/>
      <c r="D393" s="85"/>
      <c r="E393" s="576" t="str">
        <f t="shared" si="943"/>
        <v/>
      </c>
      <c r="F393" s="1131"/>
      <c r="G393" s="406" t="s">
        <v>3054</v>
      </c>
      <c r="H393" s="1262" t="s">
        <v>3055</v>
      </c>
      <c r="I393" s="85">
        <v>0</v>
      </c>
      <c r="J393" s="682">
        <v>1</v>
      </c>
      <c r="K393" s="579" t="str">
        <f t="shared" si="917"/>
        <v/>
      </c>
      <c r="L393" s="580" t="str">
        <f>IF(H393="Select ingredient:","",IF(G393="","",_xlfn.IFNA(VLOOKUP($H393,Ingredient_prices!$E:$U,16,FALSE),0)))</f>
        <v/>
      </c>
      <c r="M393" s="848"/>
      <c r="N393" s="848"/>
      <c r="O393" s="648"/>
      <c r="P393" s="659"/>
      <c r="Q393" s="583">
        <f t="shared" si="918"/>
        <v>0</v>
      </c>
      <c r="R393" s="583">
        <f>VLOOKUP($H393,'CO2_emission+%_food_waste'!$A:$K,6,FALSE)*$Q393/100</f>
        <v>0</v>
      </c>
      <c r="S393" s="583">
        <f t="shared" si="919"/>
        <v>0</v>
      </c>
      <c r="T393" s="583" t="str">
        <f>IF(H393="Select ingredient:","",IF(G393="Select food category:","",_xlfn.IFNA(VLOOKUP($H393,Ingredient_prices!$E:$U,16,FALSE)*$Q393/1000,"not bought")))</f>
        <v/>
      </c>
      <c r="U393" s="583" t="str">
        <f>IF(G393="Select food category:","",_xlfn.IFNA(VLOOKUP($H393,Ingredient_prices!$E:$U,16,FALSE)*$R393/1000,"not bought"))</f>
        <v/>
      </c>
      <c r="V393" s="549">
        <f>VLOOKUP($H393,'CO2_emission+%_food_waste'!$A:$K,4,FALSE)*$Q393</f>
        <v>0</v>
      </c>
      <c r="W393" s="583">
        <f>VLOOKUP($H393,Nutrition_tables!$A:$N,10,FALSE)*$Q393/100</f>
        <v>0</v>
      </c>
      <c r="X393" s="583">
        <f>VLOOKUP($H393,Nutrition_tables!$A:$N,11,FALSE)*$Q393/100</f>
        <v>0</v>
      </c>
      <c r="Y393" s="583">
        <f>VLOOKUP($H393,Nutrition_tables!$A:$N,12,FALSE)*$Q393/100</f>
        <v>0</v>
      </c>
      <c r="Z393" s="583">
        <f>VLOOKUP($H393,Nutrition_tables!$A:$N,14,FALSE)*$Q393/100</f>
        <v>0</v>
      </c>
      <c r="AA393" s="583">
        <f>VLOOKUP($H393,Nutrition_tables!$A:$AF,13,FALSE)*$Q393/100</f>
        <v>0</v>
      </c>
      <c r="AB393" s="549">
        <f>VLOOKUP($H393,Nutrition_tables!$A:$AF,15,FALSE)*$Q393/100</f>
        <v>0</v>
      </c>
      <c r="AC393" s="583">
        <f>VLOOKUP($H393,Nutrition_tables!$A:$AF,16,FALSE)*$Q393/100</f>
        <v>0</v>
      </c>
      <c r="AD393" s="583">
        <f>VLOOKUP($H393,Nutrition_tables!$A:$AF,17,FALSE)*$Q393/100</f>
        <v>0</v>
      </c>
      <c r="AE393" s="583">
        <f>VLOOKUP($H393,Nutrition_tables!$A:$AF,18,FALSE)*$Q393/100</f>
        <v>0</v>
      </c>
      <c r="AF393" s="583">
        <f>VLOOKUP($H393,Nutrition_tables!$A:$AF,19,FALSE)*$Q393/100</f>
        <v>0</v>
      </c>
      <c r="AG393" s="583">
        <f>VLOOKUP($H393,Nutrition_tables!$A:$AF,20,FALSE)*$Q393/100</f>
        <v>0</v>
      </c>
      <c r="AH393" s="583">
        <f>VLOOKUP($H393,Nutrition_tables!$A:$AF,21,FALSE)*$Q393/100</f>
        <v>0</v>
      </c>
      <c r="AI393" s="583">
        <f>VLOOKUP($H393,Nutrition_tables!$A:$AF,22,FALSE)*$Q393/100</f>
        <v>0</v>
      </c>
      <c r="AJ393" s="549">
        <f>VLOOKUP($H393,Nutrition_tables!$A:$AF,23,FALSE)*$Q393/100</f>
        <v>0</v>
      </c>
      <c r="AK393" s="583">
        <f>VLOOKUP($H393,Nutrition_tables!$A:$AF,24,FALSE)*$Q393/100</f>
        <v>0</v>
      </c>
      <c r="AL393" s="583">
        <f>VLOOKUP($H393,Nutrition_tables!$A:$AF,25,FALSE)*$Q393/100</f>
        <v>0</v>
      </c>
      <c r="AM393" s="583">
        <f>VLOOKUP($H393,Nutrition_tables!$A:$AF,26,FALSE)*$Q393/100</f>
        <v>0</v>
      </c>
      <c r="AN393" s="583">
        <f>VLOOKUP($H393,Nutrition_tables!$A:$AF,27,FALSE)*$Q393/100</f>
        <v>0</v>
      </c>
      <c r="AO393" s="583">
        <f>VLOOKUP($H393,Nutrition_tables!$A:$AF,28,FALSE)*$Q393/100</f>
        <v>0</v>
      </c>
      <c r="AP393" s="583">
        <f>VLOOKUP($H393,Nutrition_tables!$A:$AF,29,FALSE)*$Q393/100</f>
        <v>0</v>
      </c>
      <c r="AQ393" s="583">
        <f>VLOOKUP($H393,Nutrition_tables!$A:$AF,30,FALSE)*$Q393/100</f>
        <v>0</v>
      </c>
      <c r="AR393" s="583">
        <f>VLOOKUP($H393,Nutrition_tables!$A:$AF,31,FALSE)*$Q393/100</f>
        <v>0</v>
      </c>
      <c r="AS393" s="549">
        <f>VLOOKUP($H393,Nutrition_tables!$A:$AF,32,FALSE)*$Q393/100</f>
        <v>0</v>
      </c>
      <c r="AT393" s="583" t="str">
        <f>IF(H393="Select ingredient:","",IF(G393="Select food category:","",IFERROR(VLOOKUP($H393,Ingredient_prices!$E:$W,17,FALSE)*$Q393/1000,"not bought")))</f>
        <v/>
      </c>
      <c r="AU393" s="583" t="str">
        <f>IF(H393="Select ingredient:","",IF(G393="Select food category:","",IFERROR(VLOOKUP($H393,Ingredient_prices!$E:$W,18,FALSE)*$Q393/1000,"not bought")))</f>
        <v/>
      </c>
      <c r="AV393" s="583">
        <f t="shared" si="920"/>
        <v>0</v>
      </c>
      <c r="AW393" s="583">
        <f t="shared" si="921"/>
        <v>0</v>
      </c>
      <c r="AX393" s="583">
        <f t="shared" si="922"/>
        <v>0</v>
      </c>
      <c r="AY393" s="583">
        <f t="shared" si="923"/>
        <v>0</v>
      </c>
      <c r="AZ393" s="583">
        <f t="shared" si="924"/>
        <v>0</v>
      </c>
      <c r="BA393" s="583">
        <f t="shared" si="925"/>
        <v>0</v>
      </c>
      <c r="BB393" s="583">
        <f t="shared" si="926"/>
        <v>0</v>
      </c>
      <c r="BC393" s="583">
        <f t="shared" si="927"/>
        <v>0</v>
      </c>
      <c r="BD393" s="583">
        <f t="shared" si="928"/>
        <v>0</v>
      </c>
      <c r="BE393" s="583">
        <f t="shared" si="929"/>
        <v>0</v>
      </c>
      <c r="BF393" s="583">
        <f t="shared" si="930"/>
        <v>0</v>
      </c>
      <c r="BG393" s="583">
        <f t="shared" si="931"/>
        <v>0</v>
      </c>
      <c r="BH393" s="583">
        <f t="shared" si="932"/>
        <v>0</v>
      </c>
      <c r="BI393" s="583">
        <f t="shared" si="933"/>
        <v>0</v>
      </c>
      <c r="BJ393" s="583">
        <f t="shared" si="934"/>
        <v>0</v>
      </c>
      <c r="BK393" s="583">
        <f t="shared" si="935"/>
        <v>0</v>
      </c>
      <c r="BL393" s="583">
        <f t="shared" si="936"/>
        <v>0</v>
      </c>
      <c r="BM393" s="583">
        <f t="shared" si="937"/>
        <v>0</v>
      </c>
      <c r="BN393" s="583">
        <f t="shared" si="938"/>
        <v>0</v>
      </c>
      <c r="BO393" s="583">
        <f t="shared" si="939"/>
        <v>0</v>
      </c>
      <c r="BP393" s="583">
        <f t="shared" si="940"/>
        <v>0</v>
      </c>
      <c r="BQ393" s="583">
        <f t="shared" si="941"/>
        <v>0</v>
      </c>
      <c r="BR393" s="583">
        <f t="shared" si="942"/>
        <v>0</v>
      </c>
    </row>
    <row r="394" spans="1:70" s="229" customFormat="1" ht="15" customHeight="1">
      <c r="A394" s="643"/>
      <c r="D394" s="85"/>
      <c r="E394" s="576" t="str">
        <f t="shared" si="943"/>
        <v/>
      </c>
      <c r="F394" s="1131"/>
      <c r="G394" s="406" t="s">
        <v>3054</v>
      </c>
      <c r="H394" s="1262" t="s">
        <v>3055</v>
      </c>
      <c r="I394" s="85">
        <v>0</v>
      </c>
      <c r="J394" s="682">
        <v>1</v>
      </c>
      <c r="K394" s="579" t="str">
        <f t="shared" si="917"/>
        <v/>
      </c>
      <c r="L394" s="580" t="str">
        <f>IF(H394="Select ingredient:","",IF(G394="","",_xlfn.IFNA(VLOOKUP($H394,Ingredient_prices!$E:$U,16,FALSE),0)))</f>
        <v/>
      </c>
      <c r="M394" s="848"/>
      <c r="N394" s="848"/>
      <c r="O394" s="648"/>
      <c r="P394" s="659"/>
      <c r="Q394" s="583">
        <f t="shared" si="918"/>
        <v>0</v>
      </c>
      <c r="R394" s="583">
        <f>VLOOKUP($H394,'CO2_emission+%_food_waste'!$A:$K,6,FALSE)*$Q394/100</f>
        <v>0</v>
      </c>
      <c r="S394" s="583">
        <f t="shared" si="919"/>
        <v>0</v>
      </c>
      <c r="T394" s="583" t="str">
        <f>IF(H394="Select ingredient:","",IF(G394="Select food category:","",_xlfn.IFNA(VLOOKUP($H394,Ingredient_prices!$E:$U,16,FALSE)*$Q394/1000,"not bought")))</f>
        <v/>
      </c>
      <c r="U394" s="583" t="str">
        <f>IF(G394="Select food category:","",_xlfn.IFNA(VLOOKUP($H394,Ingredient_prices!$E:$U,16,FALSE)*$R394/1000,"not bought"))</f>
        <v/>
      </c>
      <c r="V394" s="549">
        <f>VLOOKUP($H394,'CO2_emission+%_food_waste'!$A:$K,4,FALSE)*$Q394</f>
        <v>0</v>
      </c>
      <c r="W394" s="583">
        <f>VLOOKUP($H394,Nutrition_tables!$A:$N,10,FALSE)*$Q394/100</f>
        <v>0</v>
      </c>
      <c r="X394" s="583">
        <f>VLOOKUP($H394,Nutrition_tables!$A:$N,11,FALSE)*$Q394/100</f>
        <v>0</v>
      </c>
      <c r="Y394" s="583">
        <f>VLOOKUP($H394,Nutrition_tables!$A:$N,12,FALSE)*$Q394/100</f>
        <v>0</v>
      </c>
      <c r="Z394" s="583">
        <f>VLOOKUP($H394,Nutrition_tables!$A:$N,14,FALSE)*$Q394/100</f>
        <v>0</v>
      </c>
      <c r="AA394" s="583">
        <f>VLOOKUP($H394,Nutrition_tables!$A:$AF,13,FALSE)*$Q394/100</f>
        <v>0</v>
      </c>
      <c r="AB394" s="549">
        <f>VLOOKUP($H394,Nutrition_tables!$A:$AF,15,FALSE)*$Q394/100</f>
        <v>0</v>
      </c>
      <c r="AC394" s="583">
        <f>VLOOKUP($H394,Nutrition_tables!$A:$AF,16,FALSE)*$Q394/100</f>
        <v>0</v>
      </c>
      <c r="AD394" s="583">
        <f>VLOOKUP($H394,Nutrition_tables!$A:$AF,17,FALSE)*$Q394/100</f>
        <v>0</v>
      </c>
      <c r="AE394" s="583">
        <f>VLOOKUP($H394,Nutrition_tables!$A:$AF,18,FALSE)*$Q394/100</f>
        <v>0</v>
      </c>
      <c r="AF394" s="583">
        <f>VLOOKUP($H394,Nutrition_tables!$A:$AF,19,FALSE)*$Q394/100</f>
        <v>0</v>
      </c>
      <c r="AG394" s="583">
        <f>VLOOKUP($H394,Nutrition_tables!$A:$AF,20,FALSE)*$Q394/100</f>
        <v>0</v>
      </c>
      <c r="AH394" s="583">
        <f>VLOOKUP($H394,Nutrition_tables!$A:$AF,21,FALSE)*$Q394/100</f>
        <v>0</v>
      </c>
      <c r="AI394" s="583">
        <f>VLOOKUP($H394,Nutrition_tables!$A:$AF,22,FALSE)*$Q394/100</f>
        <v>0</v>
      </c>
      <c r="AJ394" s="549">
        <f>VLOOKUP($H394,Nutrition_tables!$A:$AF,23,FALSE)*$Q394/100</f>
        <v>0</v>
      </c>
      <c r="AK394" s="583">
        <f>VLOOKUP($H394,Nutrition_tables!$A:$AF,24,FALSE)*$Q394/100</f>
        <v>0</v>
      </c>
      <c r="AL394" s="583">
        <f>VLOOKUP($H394,Nutrition_tables!$A:$AF,25,FALSE)*$Q394/100</f>
        <v>0</v>
      </c>
      <c r="AM394" s="583">
        <f>VLOOKUP($H394,Nutrition_tables!$A:$AF,26,FALSE)*$Q394/100</f>
        <v>0</v>
      </c>
      <c r="AN394" s="583">
        <f>VLOOKUP($H394,Nutrition_tables!$A:$AF,27,FALSE)*$Q394/100</f>
        <v>0</v>
      </c>
      <c r="AO394" s="583">
        <f>VLOOKUP($H394,Nutrition_tables!$A:$AF,28,FALSE)*$Q394/100</f>
        <v>0</v>
      </c>
      <c r="AP394" s="583">
        <f>VLOOKUP($H394,Nutrition_tables!$A:$AF,29,FALSE)*$Q394/100</f>
        <v>0</v>
      </c>
      <c r="AQ394" s="583">
        <f>VLOOKUP($H394,Nutrition_tables!$A:$AF,30,FALSE)*$Q394/100</f>
        <v>0</v>
      </c>
      <c r="AR394" s="583">
        <f>VLOOKUP($H394,Nutrition_tables!$A:$AF,31,FALSE)*$Q394/100</f>
        <v>0</v>
      </c>
      <c r="AS394" s="549">
        <f>VLOOKUP($H394,Nutrition_tables!$A:$AF,32,FALSE)*$Q394/100</f>
        <v>0</v>
      </c>
      <c r="AT394" s="583" t="str">
        <f>IF(H394="Select ingredient:","",IF(G394="Select food category:","",IFERROR(VLOOKUP($H394,Ingredient_prices!$E:$W,17,FALSE)*$Q394/1000,"not bought")))</f>
        <v/>
      </c>
      <c r="AU394" s="583" t="str">
        <f>IF(H394="Select ingredient:","",IF(G394="Select food category:","",IFERROR(VLOOKUP($H394,Ingredient_prices!$E:$W,18,FALSE)*$Q394/1000,"not bought")))</f>
        <v/>
      </c>
      <c r="AV394" s="583">
        <f t="shared" si="920"/>
        <v>0</v>
      </c>
      <c r="AW394" s="583">
        <f t="shared" si="921"/>
        <v>0</v>
      </c>
      <c r="AX394" s="583">
        <f t="shared" si="922"/>
        <v>0</v>
      </c>
      <c r="AY394" s="583">
        <f t="shared" si="923"/>
        <v>0</v>
      </c>
      <c r="AZ394" s="583">
        <f t="shared" si="924"/>
        <v>0</v>
      </c>
      <c r="BA394" s="583">
        <f t="shared" si="925"/>
        <v>0</v>
      </c>
      <c r="BB394" s="583">
        <f t="shared" si="926"/>
        <v>0</v>
      </c>
      <c r="BC394" s="583">
        <f t="shared" si="927"/>
        <v>0</v>
      </c>
      <c r="BD394" s="583">
        <f t="shared" si="928"/>
        <v>0</v>
      </c>
      <c r="BE394" s="583">
        <f t="shared" si="929"/>
        <v>0</v>
      </c>
      <c r="BF394" s="583">
        <f t="shared" si="930"/>
        <v>0</v>
      </c>
      <c r="BG394" s="583">
        <f t="shared" si="931"/>
        <v>0</v>
      </c>
      <c r="BH394" s="583">
        <f t="shared" si="932"/>
        <v>0</v>
      </c>
      <c r="BI394" s="583">
        <f t="shared" si="933"/>
        <v>0</v>
      </c>
      <c r="BJ394" s="583">
        <f t="shared" si="934"/>
        <v>0</v>
      </c>
      <c r="BK394" s="583">
        <f t="shared" si="935"/>
        <v>0</v>
      </c>
      <c r="BL394" s="583">
        <f t="shared" si="936"/>
        <v>0</v>
      </c>
      <c r="BM394" s="583">
        <f t="shared" si="937"/>
        <v>0</v>
      </c>
      <c r="BN394" s="583">
        <f t="shared" si="938"/>
        <v>0</v>
      </c>
      <c r="BO394" s="583">
        <f t="shared" si="939"/>
        <v>0</v>
      </c>
      <c r="BP394" s="583">
        <f t="shared" si="940"/>
        <v>0</v>
      </c>
      <c r="BQ394" s="583">
        <f t="shared" si="941"/>
        <v>0</v>
      </c>
      <c r="BR394" s="583">
        <f t="shared" si="942"/>
        <v>0</v>
      </c>
    </row>
    <row r="395" spans="1:70" s="229" customFormat="1" ht="15" customHeight="1">
      <c r="A395" s="643"/>
      <c r="D395" s="85"/>
      <c r="E395" s="576" t="str">
        <f t="shared" si="943"/>
        <v/>
      </c>
      <c r="F395" s="1131"/>
      <c r="G395" s="406" t="s">
        <v>3054</v>
      </c>
      <c r="H395" s="1262" t="s">
        <v>3055</v>
      </c>
      <c r="I395" s="85">
        <v>0</v>
      </c>
      <c r="J395" s="682">
        <v>1</v>
      </c>
      <c r="K395" s="579" t="str">
        <f t="shared" si="917"/>
        <v/>
      </c>
      <c r="L395" s="580" t="str">
        <f>IF(H395="Select ingredient:","",IF(G395="","",_xlfn.IFNA(VLOOKUP($H395,Ingredient_prices!$E:$U,16,FALSE),0)))</f>
        <v/>
      </c>
      <c r="M395" s="848"/>
      <c r="N395" s="848"/>
      <c r="O395" s="648"/>
      <c r="P395" s="659"/>
      <c r="Q395" s="583">
        <f t="shared" si="918"/>
        <v>0</v>
      </c>
      <c r="R395" s="583">
        <f>VLOOKUP($H395,'CO2_emission+%_food_waste'!$A:$K,6,FALSE)*$Q395/100</f>
        <v>0</v>
      </c>
      <c r="S395" s="583">
        <f t="shared" si="919"/>
        <v>0</v>
      </c>
      <c r="T395" s="583" t="str">
        <f>IF(H395="Select ingredient:","",IF(G395="Select food category:","",_xlfn.IFNA(VLOOKUP($H395,Ingredient_prices!$E:$U,16,FALSE)*$Q395/1000,"not bought")))</f>
        <v/>
      </c>
      <c r="U395" s="583" t="str">
        <f>IF(G395="Select food category:","",_xlfn.IFNA(VLOOKUP($H395,Ingredient_prices!$E:$U,16,FALSE)*$R395/1000,"not bought"))</f>
        <v/>
      </c>
      <c r="V395" s="549">
        <f>VLOOKUP($H395,'CO2_emission+%_food_waste'!$A:$K,4,FALSE)*$Q395</f>
        <v>0</v>
      </c>
      <c r="W395" s="583">
        <f>VLOOKUP($H395,Nutrition_tables!$A:$N,10,FALSE)*$Q395/100</f>
        <v>0</v>
      </c>
      <c r="X395" s="583">
        <f>VLOOKUP($H395,Nutrition_tables!$A:$N,11,FALSE)*$Q395/100</f>
        <v>0</v>
      </c>
      <c r="Y395" s="583">
        <f>VLOOKUP($H395,Nutrition_tables!$A:$N,12,FALSE)*$Q395/100</f>
        <v>0</v>
      </c>
      <c r="Z395" s="583">
        <f>VLOOKUP($H395,Nutrition_tables!$A:$N,14,FALSE)*$Q395/100</f>
        <v>0</v>
      </c>
      <c r="AA395" s="583">
        <f>VLOOKUP($H395,Nutrition_tables!$A:$AF,13,FALSE)*$Q395/100</f>
        <v>0</v>
      </c>
      <c r="AB395" s="549">
        <f>VLOOKUP($H395,Nutrition_tables!$A:$AF,15,FALSE)*$Q395/100</f>
        <v>0</v>
      </c>
      <c r="AC395" s="583">
        <f>VLOOKUP($H395,Nutrition_tables!$A:$AF,16,FALSE)*$Q395/100</f>
        <v>0</v>
      </c>
      <c r="AD395" s="583">
        <f>VLOOKUP($H395,Nutrition_tables!$A:$AF,17,FALSE)*$Q395/100</f>
        <v>0</v>
      </c>
      <c r="AE395" s="583">
        <f>VLOOKUP($H395,Nutrition_tables!$A:$AF,18,FALSE)*$Q395/100</f>
        <v>0</v>
      </c>
      <c r="AF395" s="583">
        <f>VLOOKUP($H395,Nutrition_tables!$A:$AF,19,FALSE)*$Q395/100</f>
        <v>0</v>
      </c>
      <c r="AG395" s="583">
        <f>VLOOKUP($H395,Nutrition_tables!$A:$AF,20,FALSE)*$Q395/100</f>
        <v>0</v>
      </c>
      <c r="AH395" s="583">
        <f>VLOOKUP($H395,Nutrition_tables!$A:$AF,21,FALSE)*$Q395/100</f>
        <v>0</v>
      </c>
      <c r="AI395" s="583">
        <f>VLOOKUP($H395,Nutrition_tables!$A:$AF,22,FALSE)*$Q395/100</f>
        <v>0</v>
      </c>
      <c r="AJ395" s="549">
        <f>VLOOKUP($H395,Nutrition_tables!$A:$AF,23,FALSE)*$Q395/100</f>
        <v>0</v>
      </c>
      <c r="AK395" s="583">
        <f>VLOOKUP($H395,Nutrition_tables!$A:$AF,24,FALSE)*$Q395/100</f>
        <v>0</v>
      </c>
      <c r="AL395" s="583">
        <f>VLOOKUP($H395,Nutrition_tables!$A:$AF,25,FALSE)*$Q395/100</f>
        <v>0</v>
      </c>
      <c r="AM395" s="583">
        <f>VLOOKUP($H395,Nutrition_tables!$A:$AF,26,FALSE)*$Q395/100</f>
        <v>0</v>
      </c>
      <c r="AN395" s="583">
        <f>VLOOKUP($H395,Nutrition_tables!$A:$AF,27,FALSE)*$Q395/100</f>
        <v>0</v>
      </c>
      <c r="AO395" s="583">
        <f>VLOOKUP($H395,Nutrition_tables!$A:$AF,28,FALSE)*$Q395/100</f>
        <v>0</v>
      </c>
      <c r="AP395" s="583">
        <f>VLOOKUP($H395,Nutrition_tables!$A:$AF,29,FALSE)*$Q395/100</f>
        <v>0</v>
      </c>
      <c r="AQ395" s="583">
        <f>VLOOKUP($H395,Nutrition_tables!$A:$AF,30,FALSE)*$Q395/100</f>
        <v>0</v>
      </c>
      <c r="AR395" s="583">
        <f>VLOOKUP($H395,Nutrition_tables!$A:$AF,31,FALSE)*$Q395/100</f>
        <v>0</v>
      </c>
      <c r="AS395" s="549">
        <f>VLOOKUP($H395,Nutrition_tables!$A:$AF,32,FALSE)*$Q395/100</f>
        <v>0</v>
      </c>
      <c r="AT395" s="583" t="str">
        <f>IF(H395="Select ingredient:","",IF(G395="Select food category:","",IFERROR(VLOOKUP($H395,Ingredient_prices!$E:$W,17,FALSE)*$Q395/1000,"not bought")))</f>
        <v/>
      </c>
      <c r="AU395" s="583" t="str">
        <f>IF(H395="Select ingredient:","",IF(G395="Select food category:","",IFERROR(VLOOKUP($H395,Ingredient_prices!$E:$W,18,FALSE)*$Q395/1000,"not bought")))</f>
        <v/>
      </c>
      <c r="AV395" s="583">
        <f t="shared" si="920"/>
        <v>0</v>
      </c>
      <c r="AW395" s="583">
        <f t="shared" si="921"/>
        <v>0</v>
      </c>
      <c r="AX395" s="583">
        <f t="shared" si="922"/>
        <v>0</v>
      </c>
      <c r="AY395" s="583">
        <f t="shared" si="923"/>
        <v>0</v>
      </c>
      <c r="AZ395" s="583">
        <f t="shared" si="924"/>
        <v>0</v>
      </c>
      <c r="BA395" s="583">
        <f t="shared" si="925"/>
        <v>0</v>
      </c>
      <c r="BB395" s="583">
        <f t="shared" si="926"/>
        <v>0</v>
      </c>
      <c r="BC395" s="583">
        <f t="shared" si="927"/>
        <v>0</v>
      </c>
      <c r="BD395" s="583">
        <f t="shared" si="928"/>
        <v>0</v>
      </c>
      <c r="BE395" s="583">
        <f t="shared" si="929"/>
        <v>0</v>
      </c>
      <c r="BF395" s="583">
        <f t="shared" si="930"/>
        <v>0</v>
      </c>
      <c r="BG395" s="583">
        <f t="shared" si="931"/>
        <v>0</v>
      </c>
      <c r="BH395" s="583">
        <f t="shared" si="932"/>
        <v>0</v>
      </c>
      <c r="BI395" s="583">
        <f t="shared" si="933"/>
        <v>0</v>
      </c>
      <c r="BJ395" s="583">
        <f t="shared" si="934"/>
        <v>0</v>
      </c>
      <c r="BK395" s="583">
        <f t="shared" si="935"/>
        <v>0</v>
      </c>
      <c r="BL395" s="583">
        <f t="shared" si="936"/>
        <v>0</v>
      </c>
      <c r="BM395" s="583">
        <f t="shared" si="937"/>
        <v>0</v>
      </c>
      <c r="BN395" s="583">
        <f t="shared" si="938"/>
        <v>0</v>
      </c>
      <c r="BO395" s="583">
        <f t="shared" si="939"/>
        <v>0</v>
      </c>
      <c r="BP395" s="583">
        <f t="shared" si="940"/>
        <v>0</v>
      </c>
      <c r="BQ395" s="583">
        <f t="shared" si="941"/>
        <v>0</v>
      </c>
      <c r="BR395" s="583">
        <f t="shared" si="942"/>
        <v>0</v>
      </c>
    </row>
    <row r="396" spans="1:70" s="229" customFormat="1" ht="15" customHeight="1">
      <c r="A396" s="643"/>
      <c r="D396" s="85"/>
      <c r="E396" s="576" t="str">
        <f t="shared" si="943"/>
        <v/>
      </c>
      <c r="F396" s="1131"/>
      <c r="G396" s="406" t="s">
        <v>3054</v>
      </c>
      <c r="H396" s="1262" t="s">
        <v>3055</v>
      </c>
      <c r="I396" s="85">
        <v>0</v>
      </c>
      <c r="J396" s="682">
        <v>1</v>
      </c>
      <c r="K396" s="579" t="str">
        <f t="shared" si="917"/>
        <v/>
      </c>
      <c r="L396" s="580" t="str">
        <f>IF(H396="Select ingredient:","",IF(G396="","",_xlfn.IFNA(VLOOKUP($H396,Ingredient_prices!$E:$U,16,FALSE),0)))</f>
        <v/>
      </c>
      <c r="M396" s="848"/>
      <c r="N396" s="848"/>
      <c r="O396" s="648"/>
      <c r="P396" s="659"/>
      <c r="Q396" s="583">
        <f t="shared" si="918"/>
        <v>0</v>
      </c>
      <c r="R396" s="583">
        <f>VLOOKUP($H396,'CO2_emission+%_food_waste'!$A:$K,6,FALSE)*$Q396/100</f>
        <v>0</v>
      </c>
      <c r="S396" s="583">
        <f t="shared" si="919"/>
        <v>0</v>
      </c>
      <c r="T396" s="583" t="str">
        <f>IF(H396="Select ingredient:","",IF(G396="Select food category:","",_xlfn.IFNA(VLOOKUP($H396,Ingredient_prices!$E:$U,16,FALSE)*$Q396/1000,"not bought")))</f>
        <v/>
      </c>
      <c r="U396" s="583" t="str">
        <f>IF(G396="Select food category:","",_xlfn.IFNA(VLOOKUP($H396,Ingredient_prices!$E:$U,16,FALSE)*$R396/1000,"not bought"))</f>
        <v/>
      </c>
      <c r="V396" s="549">
        <f>VLOOKUP($H396,'CO2_emission+%_food_waste'!$A:$K,4,FALSE)*$Q396</f>
        <v>0</v>
      </c>
      <c r="W396" s="583">
        <f>VLOOKUP($H396,Nutrition_tables!$A:$N,10,FALSE)*$Q396/100</f>
        <v>0</v>
      </c>
      <c r="X396" s="583">
        <f>VLOOKUP($H396,Nutrition_tables!$A:$N,11,FALSE)*$Q396/100</f>
        <v>0</v>
      </c>
      <c r="Y396" s="583">
        <f>VLOOKUP($H396,Nutrition_tables!$A:$N,12,FALSE)*$Q396/100</f>
        <v>0</v>
      </c>
      <c r="Z396" s="583">
        <f>VLOOKUP($H396,Nutrition_tables!$A:$N,14,FALSE)*$Q396/100</f>
        <v>0</v>
      </c>
      <c r="AA396" s="583">
        <f>VLOOKUP($H396,Nutrition_tables!$A:$AF,13,FALSE)*$Q396/100</f>
        <v>0</v>
      </c>
      <c r="AB396" s="549">
        <f>VLOOKUP($H396,Nutrition_tables!$A:$AF,15,FALSE)*$Q396/100</f>
        <v>0</v>
      </c>
      <c r="AC396" s="583">
        <f>VLOOKUP($H396,Nutrition_tables!$A:$AF,16,FALSE)*$Q396/100</f>
        <v>0</v>
      </c>
      <c r="AD396" s="583">
        <f>VLOOKUP($H396,Nutrition_tables!$A:$AF,17,FALSE)*$Q396/100</f>
        <v>0</v>
      </c>
      <c r="AE396" s="583">
        <f>VLOOKUP($H396,Nutrition_tables!$A:$AF,18,FALSE)*$Q396/100</f>
        <v>0</v>
      </c>
      <c r="AF396" s="583">
        <f>VLOOKUP($H396,Nutrition_tables!$A:$AF,19,FALSE)*$Q396/100</f>
        <v>0</v>
      </c>
      <c r="AG396" s="583">
        <f>VLOOKUP($H396,Nutrition_tables!$A:$AF,20,FALSE)*$Q396/100</f>
        <v>0</v>
      </c>
      <c r="AH396" s="583">
        <f>VLOOKUP($H396,Nutrition_tables!$A:$AF,21,FALSE)*$Q396/100</f>
        <v>0</v>
      </c>
      <c r="AI396" s="583">
        <f>VLOOKUP($H396,Nutrition_tables!$A:$AF,22,FALSE)*$Q396/100</f>
        <v>0</v>
      </c>
      <c r="AJ396" s="549">
        <f>VLOOKUP($H396,Nutrition_tables!$A:$AF,23,FALSE)*$Q396/100</f>
        <v>0</v>
      </c>
      <c r="AK396" s="583">
        <f>VLOOKUP($H396,Nutrition_tables!$A:$AF,24,FALSE)*$Q396/100</f>
        <v>0</v>
      </c>
      <c r="AL396" s="583">
        <f>VLOOKUP($H396,Nutrition_tables!$A:$AF,25,FALSE)*$Q396/100</f>
        <v>0</v>
      </c>
      <c r="AM396" s="583">
        <f>VLOOKUP($H396,Nutrition_tables!$A:$AF,26,FALSE)*$Q396/100</f>
        <v>0</v>
      </c>
      <c r="AN396" s="583">
        <f>VLOOKUP($H396,Nutrition_tables!$A:$AF,27,FALSE)*$Q396/100</f>
        <v>0</v>
      </c>
      <c r="AO396" s="583">
        <f>VLOOKUP($H396,Nutrition_tables!$A:$AF,28,FALSE)*$Q396/100</f>
        <v>0</v>
      </c>
      <c r="AP396" s="583">
        <f>VLOOKUP($H396,Nutrition_tables!$A:$AF,29,FALSE)*$Q396/100</f>
        <v>0</v>
      </c>
      <c r="AQ396" s="583">
        <f>VLOOKUP($H396,Nutrition_tables!$A:$AF,30,FALSE)*$Q396/100</f>
        <v>0</v>
      </c>
      <c r="AR396" s="583">
        <f>VLOOKUP($H396,Nutrition_tables!$A:$AF,31,FALSE)*$Q396/100</f>
        <v>0</v>
      </c>
      <c r="AS396" s="549">
        <f>VLOOKUP($H396,Nutrition_tables!$A:$AF,32,FALSE)*$Q396/100</f>
        <v>0</v>
      </c>
      <c r="AT396" s="583" t="str">
        <f>IF(H396="Select ingredient:","",IF(G396="Select food category:","",IFERROR(VLOOKUP($H396,Ingredient_prices!$E:$W,17,FALSE)*$Q396/1000,"not bought")))</f>
        <v/>
      </c>
      <c r="AU396" s="583" t="str">
        <f>IF(H396="Select ingredient:","",IF(G396="Select food category:","",IFERROR(VLOOKUP($H396,Ingredient_prices!$E:$W,18,FALSE)*$Q396/1000,"not bought")))</f>
        <v/>
      </c>
      <c r="AV396" s="583">
        <f t="shared" si="920"/>
        <v>0</v>
      </c>
      <c r="AW396" s="583">
        <f t="shared" si="921"/>
        <v>0</v>
      </c>
      <c r="AX396" s="583">
        <f t="shared" si="922"/>
        <v>0</v>
      </c>
      <c r="AY396" s="583">
        <f t="shared" si="923"/>
        <v>0</v>
      </c>
      <c r="AZ396" s="583">
        <f t="shared" si="924"/>
        <v>0</v>
      </c>
      <c r="BA396" s="583">
        <f t="shared" si="925"/>
        <v>0</v>
      </c>
      <c r="BB396" s="583">
        <f t="shared" si="926"/>
        <v>0</v>
      </c>
      <c r="BC396" s="583">
        <f t="shared" si="927"/>
        <v>0</v>
      </c>
      <c r="BD396" s="583">
        <f t="shared" si="928"/>
        <v>0</v>
      </c>
      <c r="BE396" s="583">
        <f t="shared" si="929"/>
        <v>0</v>
      </c>
      <c r="BF396" s="583">
        <f t="shared" si="930"/>
        <v>0</v>
      </c>
      <c r="BG396" s="583">
        <f t="shared" si="931"/>
        <v>0</v>
      </c>
      <c r="BH396" s="583">
        <f t="shared" si="932"/>
        <v>0</v>
      </c>
      <c r="BI396" s="583">
        <f t="shared" si="933"/>
        <v>0</v>
      </c>
      <c r="BJ396" s="583">
        <f t="shared" si="934"/>
        <v>0</v>
      </c>
      <c r="BK396" s="583">
        <f t="shared" si="935"/>
        <v>0</v>
      </c>
      <c r="BL396" s="583">
        <f t="shared" si="936"/>
        <v>0</v>
      </c>
      <c r="BM396" s="583">
        <f t="shared" si="937"/>
        <v>0</v>
      </c>
      <c r="BN396" s="583">
        <f t="shared" si="938"/>
        <v>0</v>
      </c>
      <c r="BO396" s="583">
        <f t="shared" si="939"/>
        <v>0</v>
      </c>
      <c r="BP396" s="583">
        <f t="shared" si="940"/>
        <v>0</v>
      </c>
      <c r="BQ396" s="583">
        <f t="shared" si="941"/>
        <v>0</v>
      </c>
      <c r="BR396" s="583">
        <f t="shared" si="942"/>
        <v>0</v>
      </c>
    </row>
    <row r="397" spans="1:70" s="229" customFormat="1" ht="15" customHeight="1">
      <c r="A397" s="643"/>
      <c r="D397" s="85"/>
      <c r="E397" s="576" t="str">
        <f t="shared" si="943"/>
        <v/>
      </c>
      <c r="F397" s="1131"/>
      <c r="G397" s="406" t="s">
        <v>3054</v>
      </c>
      <c r="H397" s="1262" t="s">
        <v>3055</v>
      </c>
      <c r="I397" s="85">
        <v>0</v>
      </c>
      <c r="J397" s="682">
        <v>1</v>
      </c>
      <c r="K397" s="579" t="str">
        <f t="shared" si="917"/>
        <v/>
      </c>
      <c r="L397" s="580" t="str">
        <f>IF(H397="Select ingredient:","",IF(G397="","",_xlfn.IFNA(VLOOKUP($H397,Ingredient_prices!$E:$U,16,FALSE),0)))</f>
        <v/>
      </c>
      <c r="M397" s="848"/>
      <c r="N397" s="848"/>
      <c r="O397" s="648"/>
      <c r="P397" s="659"/>
      <c r="Q397" s="583">
        <f t="shared" si="918"/>
        <v>0</v>
      </c>
      <c r="R397" s="583">
        <f>VLOOKUP($H397,'CO2_emission+%_food_waste'!$A:$K,6,FALSE)*$Q397/100</f>
        <v>0</v>
      </c>
      <c r="S397" s="583">
        <f t="shared" si="919"/>
        <v>0</v>
      </c>
      <c r="T397" s="583" t="str">
        <f>IF(H397="Select ingredient:","",IF(G397="Select food category:","",_xlfn.IFNA(VLOOKUP($H397,Ingredient_prices!$E:$U,16,FALSE)*$Q397/1000,"not bought")))</f>
        <v/>
      </c>
      <c r="U397" s="583" t="str">
        <f>IF(G397="Select food category:","",_xlfn.IFNA(VLOOKUP($H397,Ingredient_prices!$E:$U,16,FALSE)*$R397/1000,"not bought"))</f>
        <v/>
      </c>
      <c r="V397" s="549">
        <f>VLOOKUP($H397,'CO2_emission+%_food_waste'!$A:$K,4,FALSE)*$Q397</f>
        <v>0</v>
      </c>
      <c r="W397" s="583">
        <f>VLOOKUP($H397,Nutrition_tables!$A:$N,10,FALSE)*$Q397/100</f>
        <v>0</v>
      </c>
      <c r="X397" s="583">
        <f>VLOOKUP($H397,Nutrition_tables!$A:$N,11,FALSE)*$Q397/100</f>
        <v>0</v>
      </c>
      <c r="Y397" s="583">
        <f>VLOOKUP($H397,Nutrition_tables!$A:$N,12,FALSE)*$Q397/100</f>
        <v>0</v>
      </c>
      <c r="Z397" s="583">
        <f>VLOOKUP($H397,Nutrition_tables!$A:$N,14,FALSE)*$Q397/100</f>
        <v>0</v>
      </c>
      <c r="AA397" s="583">
        <f>VLOOKUP($H397,Nutrition_tables!$A:$AF,13,FALSE)*$Q397/100</f>
        <v>0</v>
      </c>
      <c r="AB397" s="549">
        <f>VLOOKUP($H397,Nutrition_tables!$A:$AF,15,FALSE)*$Q397/100</f>
        <v>0</v>
      </c>
      <c r="AC397" s="583">
        <f>VLOOKUP($H397,Nutrition_tables!$A:$AF,16,FALSE)*$Q397/100</f>
        <v>0</v>
      </c>
      <c r="AD397" s="583">
        <f>VLOOKUP($H397,Nutrition_tables!$A:$AF,17,FALSE)*$Q397/100</f>
        <v>0</v>
      </c>
      <c r="AE397" s="583">
        <f>VLOOKUP($H397,Nutrition_tables!$A:$AF,18,FALSE)*$Q397/100</f>
        <v>0</v>
      </c>
      <c r="AF397" s="583">
        <f>VLOOKUP($H397,Nutrition_tables!$A:$AF,19,FALSE)*$Q397/100</f>
        <v>0</v>
      </c>
      <c r="AG397" s="583">
        <f>VLOOKUP($H397,Nutrition_tables!$A:$AF,20,FALSE)*$Q397/100</f>
        <v>0</v>
      </c>
      <c r="AH397" s="583">
        <f>VLOOKUP($H397,Nutrition_tables!$A:$AF,21,FALSE)*$Q397/100</f>
        <v>0</v>
      </c>
      <c r="AI397" s="583">
        <f>VLOOKUP($H397,Nutrition_tables!$A:$AF,22,FALSE)*$Q397/100</f>
        <v>0</v>
      </c>
      <c r="AJ397" s="549">
        <f>VLOOKUP($H397,Nutrition_tables!$A:$AF,23,FALSE)*$Q397/100</f>
        <v>0</v>
      </c>
      <c r="AK397" s="583">
        <f>VLOOKUP($H397,Nutrition_tables!$A:$AF,24,FALSE)*$Q397/100</f>
        <v>0</v>
      </c>
      <c r="AL397" s="583">
        <f>VLOOKUP($H397,Nutrition_tables!$A:$AF,25,FALSE)*$Q397/100</f>
        <v>0</v>
      </c>
      <c r="AM397" s="583">
        <f>VLOOKUP($H397,Nutrition_tables!$A:$AF,26,FALSE)*$Q397/100</f>
        <v>0</v>
      </c>
      <c r="AN397" s="583">
        <f>VLOOKUP($H397,Nutrition_tables!$A:$AF,27,FALSE)*$Q397/100</f>
        <v>0</v>
      </c>
      <c r="AO397" s="583">
        <f>VLOOKUP($H397,Nutrition_tables!$A:$AF,28,FALSE)*$Q397/100</f>
        <v>0</v>
      </c>
      <c r="AP397" s="583">
        <f>VLOOKUP($H397,Nutrition_tables!$A:$AF,29,FALSE)*$Q397/100</f>
        <v>0</v>
      </c>
      <c r="AQ397" s="583">
        <f>VLOOKUP($H397,Nutrition_tables!$A:$AF,30,FALSE)*$Q397/100</f>
        <v>0</v>
      </c>
      <c r="AR397" s="583">
        <f>VLOOKUP($H397,Nutrition_tables!$A:$AF,31,FALSE)*$Q397/100</f>
        <v>0</v>
      </c>
      <c r="AS397" s="549">
        <f>VLOOKUP($H397,Nutrition_tables!$A:$AF,32,FALSE)*$Q397/100</f>
        <v>0</v>
      </c>
      <c r="AT397" s="583" t="str">
        <f>IF(H397="Select ingredient:","",IF(G397="Select food category:","",IFERROR(VLOOKUP($H397,Ingredient_prices!$E:$W,17,FALSE)*$Q397/1000,"not bought")))</f>
        <v/>
      </c>
      <c r="AU397" s="583" t="str">
        <f>IF(H397="Select ingredient:","",IF(G397="Select food category:","",IFERROR(VLOOKUP($H397,Ingredient_prices!$E:$W,18,FALSE)*$Q397/1000,"not bought")))</f>
        <v/>
      </c>
      <c r="AV397" s="583">
        <f t="shared" si="920"/>
        <v>0</v>
      </c>
      <c r="AW397" s="583">
        <f t="shared" si="921"/>
        <v>0</v>
      </c>
      <c r="AX397" s="583">
        <f t="shared" si="922"/>
        <v>0</v>
      </c>
      <c r="AY397" s="583">
        <f t="shared" si="923"/>
        <v>0</v>
      </c>
      <c r="AZ397" s="583">
        <f t="shared" si="924"/>
        <v>0</v>
      </c>
      <c r="BA397" s="583">
        <f t="shared" si="925"/>
        <v>0</v>
      </c>
      <c r="BB397" s="583">
        <f t="shared" si="926"/>
        <v>0</v>
      </c>
      <c r="BC397" s="583">
        <f t="shared" si="927"/>
        <v>0</v>
      </c>
      <c r="BD397" s="583">
        <f t="shared" si="928"/>
        <v>0</v>
      </c>
      <c r="BE397" s="583">
        <f t="shared" si="929"/>
        <v>0</v>
      </c>
      <c r="BF397" s="583">
        <f t="shared" si="930"/>
        <v>0</v>
      </c>
      <c r="BG397" s="583">
        <f t="shared" si="931"/>
        <v>0</v>
      </c>
      <c r="BH397" s="583">
        <f t="shared" si="932"/>
        <v>0</v>
      </c>
      <c r="BI397" s="583">
        <f t="shared" si="933"/>
        <v>0</v>
      </c>
      <c r="BJ397" s="583">
        <f t="shared" si="934"/>
        <v>0</v>
      </c>
      <c r="BK397" s="583">
        <f t="shared" si="935"/>
        <v>0</v>
      </c>
      <c r="BL397" s="583">
        <f t="shared" si="936"/>
        <v>0</v>
      </c>
      <c r="BM397" s="583">
        <f t="shared" si="937"/>
        <v>0</v>
      </c>
      <c r="BN397" s="583">
        <f t="shared" si="938"/>
        <v>0</v>
      </c>
      <c r="BO397" s="583">
        <f t="shared" si="939"/>
        <v>0</v>
      </c>
      <c r="BP397" s="583">
        <f t="shared" si="940"/>
        <v>0</v>
      </c>
      <c r="BQ397" s="583">
        <f t="shared" si="941"/>
        <v>0</v>
      </c>
      <c r="BR397" s="583">
        <f t="shared" si="942"/>
        <v>0</v>
      </c>
    </row>
    <row r="398" spans="1:70" s="603" customFormat="1" ht="56">
      <c r="A398" s="643"/>
      <c r="B398" s="593"/>
      <c r="C398" s="522"/>
      <c r="D398" s="141"/>
      <c r="E398" s="594"/>
      <c r="F398" s="708"/>
      <c r="G398" s="522"/>
      <c r="H398" s="522"/>
      <c r="I398" s="86"/>
      <c r="J398" s="87"/>
      <c r="K398" s="595"/>
      <c r="L398" s="596"/>
      <c r="M398" s="849"/>
      <c r="N398" s="849"/>
      <c r="O398" s="648"/>
      <c r="P398" s="654"/>
      <c r="Q398" s="599" t="s">
        <v>384</v>
      </c>
      <c r="R398" s="600" t="s">
        <v>455</v>
      </c>
      <c r="S398" s="600" t="s">
        <v>2087</v>
      </c>
      <c r="T398" s="600" t="s">
        <v>456</v>
      </c>
      <c r="U398" s="600" t="s">
        <v>535</v>
      </c>
      <c r="V398" s="601" t="s">
        <v>457</v>
      </c>
      <c r="W398" s="600" t="s">
        <v>75</v>
      </c>
      <c r="X398" s="600" t="s">
        <v>385</v>
      </c>
      <c r="Y398" s="600" t="s">
        <v>386</v>
      </c>
      <c r="Z398" s="600" t="s">
        <v>387</v>
      </c>
      <c r="AA398" s="600" t="s">
        <v>388</v>
      </c>
      <c r="AB398" s="601" t="s">
        <v>389</v>
      </c>
      <c r="AC398" s="602" t="s">
        <v>390</v>
      </c>
      <c r="AD398" s="600" t="s">
        <v>391</v>
      </c>
      <c r="AE398" s="600" t="s">
        <v>392</v>
      </c>
      <c r="AF398" s="600" t="s">
        <v>393</v>
      </c>
      <c r="AG398" s="600" t="s">
        <v>394</v>
      </c>
      <c r="AH398" s="600" t="s">
        <v>395</v>
      </c>
      <c r="AI398" s="600" t="s">
        <v>396</v>
      </c>
      <c r="AJ398" s="601" t="s">
        <v>397</v>
      </c>
      <c r="AK398" s="602" t="s">
        <v>398</v>
      </c>
      <c r="AL398" s="600" t="s">
        <v>399</v>
      </c>
      <c r="AM398" s="600" t="s">
        <v>400</v>
      </c>
      <c r="AN398" s="600" t="s">
        <v>401</v>
      </c>
      <c r="AO398" s="600" t="s">
        <v>402</v>
      </c>
      <c r="AP398" s="600" t="s">
        <v>406</v>
      </c>
      <c r="AQ398" s="600" t="s">
        <v>405</v>
      </c>
      <c r="AR398" s="600" t="s">
        <v>403</v>
      </c>
      <c r="AS398" s="601" t="s">
        <v>404</v>
      </c>
      <c r="AT398" s="593"/>
      <c r="AU398" s="593"/>
    </row>
    <row r="399" spans="1:70" s="229" customFormat="1">
      <c r="A399" s="643"/>
      <c r="B399" s="593"/>
      <c r="C399" s="522"/>
      <c r="D399" s="141"/>
      <c r="E399" s="522"/>
      <c r="F399" s="708"/>
      <c r="G399" s="522"/>
      <c r="H399" s="522"/>
      <c r="I399" s="86"/>
      <c r="J399" s="87"/>
      <c r="K399" s="595"/>
      <c r="L399" s="596"/>
      <c r="M399" s="849"/>
      <c r="N399" s="849"/>
      <c r="O399" s="648"/>
      <c r="P399" s="655" t="s">
        <v>383</v>
      </c>
      <c r="Q399" s="583">
        <f t="shared" ref="Q399:AU399" si="944">SUM(Q386:Q397)</f>
        <v>0</v>
      </c>
      <c r="R399" s="583">
        <f t="shared" si="944"/>
        <v>0</v>
      </c>
      <c r="S399" s="583">
        <f>SUM(S386:S397)</f>
        <v>0</v>
      </c>
      <c r="T399" s="583">
        <f t="shared" ref="T399:U399" si="945">SUM(T386:T397)</f>
        <v>0</v>
      </c>
      <c r="U399" s="583">
        <f t="shared" si="945"/>
        <v>0</v>
      </c>
      <c r="V399" s="549">
        <f t="shared" si="944"/>
        <v>0</v>
      </c>
      <c r="W399" s="583">
        <f t="shared" si="944"/>
        <v>0</v>
      </c>
      <c r="X399" s="583">
        <f t="shared" si="944"/>
        <v>0</v>
      </c>
      <c r="Y399" s="583">
        <f t="shared" si="944"/>
        <v>0</v>
      </c>
      <c r="Z399" s="583">
        <f t="shared" si="944"/>
        <v>0</v>
      </c>
      <c r="AA399" s="583">
        <f t="shared" si="944"/>
        <v>0</v>
      </c>
      <c r="AB399" s="549">
        <f t="shared" si="944"/>
        <v>0</v>
      </c>
      <c r="AC399" s="583">
        <f t="shared" si="944"/>
        <v>0</v>
      </c>
      <c r="AD399" s="583">
        <f t="shared" si="944"/>
        <v>0</v>
      </c>
      <c r="AE399" s="583">
        <f t="shared" si="944"/>
        <v>0</v>
      </c>
      <c r="AF399" s="583">
        <f t="shared" si="944"/>
        <v>0</v>
      </c>
      <c r="AG399" s="583">
        <f t="shared" si="944"/>
        <v>0</v>
      </c>
      <c r="AH399" s="583">
        <f t="shared" si="944"/>
        <v>0</v>
      </c>
      <c r="AI399" s="583">
        <f t="shared" si="944"/>
        <v>0</v>
      </c>
      <c r="AJ399" s="549">
        <f t="shared" si="944"/>
        <v>0</v>
      </c>
      <c r="AK399" s="583">
        <f t="shared" si="944"/>
        <v>0</v>
      </c>
      <c r="AL399" s="583">
        <f t="shared" si="944"/>
        <v>0</v>
      </c>
      <c r="AM399" s="583">
        <f t="shared" si="944"/>
        <v>0</v>
      </c>
      <c r="AN399" s="583">
        <f t="shared" si="944"/>
        <v>0</v>
      </c>
      <c r="AO399" s="583">
        <f t="shared" si="944"/>
        <v>0</v>
      </c>
      <c r="AP399" s="583">
        <f t="shared" si="944"/>
        <v>0</v>
      </c>
      <c r="AQ399" s="583">
        <f t="shared" si="944"/>
        <v>0</v>
      </c>
      <c r="AR399" s="583">
        <f t="shared" si="944"/>
        <v>0</v>
      </c>
      <c r="AS399" s="549">
        <f t="shared" si="944"/>
        <v>0</v>
      </c>
      <c r="AT399" s="5">
        <f t="shared" si="944"/>
        <v>0</v>
      </c>
      <c r="AU399" s="5">
        <f t="shared" si="944"/>
        <v>0</v>
      </c>
      <c r="AV399" s="545">
        <f t="shared" ref="AV399:BR399" si="946">SUM(AV386:AV397)</f>
        <v>0</v>
      </c>
      <c r="AW399" s="545">
        <f t="shared" si="946"/>
        <v>0</v>
      </c>
      <c r="AX399" s="545">
        <f t="shared" si="946"/>
        <v>0</v>
      </c>
      <c r="AY399" s="545">
        <f t="shared" si="946"/>
        <v>0</v>
      </c>
      <c r="AZ399" s="545">
        <f t="shared" si="946"/>
        <v>0</v>
      </c>
      <c r="BA399" s="545">
        <f t="shared" si="946"/>
        <v>0</v>
      </c>
      <c r="BB399" s="545">
        <f t="shared" si="946"/>
        <v>0</v>
      </c>
      <c r="BC399" s="545">
        <f t="shared" si="946"/>
        <v>0</v>
      </c>
      <c r="BD399" s="545">
        <f t="shared" si="946"/>
        <v>0</v>
      </c>
      <c r="BE399" s="545">
        <f t="shared" si="946"/>
        <v>0</v>
      </c>
      <c r="BF399" s="545">
        <f t="shared" si="946"/>
        <v>0</v>
      </c>
      <c r="BG399" s="545">
        <f t="shared" si="946"/>
        <v>0</v>
      </c>
      <c r="BH399" s="545">
        <f t="shared" si="946"/>
        <v>0</v>
      </c>
      <c r="BI399" s="545">
        <f t="shared" si="946"/>
        <v>0</v>
      </c>
      <c r="BJ399" s="545">
        <f t="shared" si="946"/>
        <v>0</v>
      </c>
      <c r="BK399" s="545">
        <f t="shared" si="946"/>
        <v>0</v>
      </c>
      <c r="BL399" s="545">
        <f t="shared" si="946"/>
        <v>0</v>
      </c>
      <c r="BM399" s="545">
        <f t="shared" si="946"/>
        <v>0</v>
      </c>
      <c r="BN399" s="545">
        <f t="shared" si="946"/>
        <v>0</v>
      </c>
      <c r="BO399" s="545">
        <f t="shared" si="946"/>
        <v>0</v>
      </c>
      <c r="BP399" s="545">
        <f t="shared" si="946"/>
        <v>0</v>
      </c>
      <c r="BQ399" s="545">
        <f t="shared" si="946"/>
        <v>0</v>
      </c>
      <c r="BR399" s="545">
        <f t="shared" si="946"/>
        <v>0</v>
      </c>
    </row>
    <row r="400" spans="1:70" s="229" customFormat="1">
      <c r="A400" s="643"/>
      <c r="B400" s="593"/>
      <c r="C400" s="522"/>
      <c r="D400" s="141"/>
      <c r="E400" s="522"/>
      <c r="F400" s="708"/>
      <c r="G400" s="522"/>
      <c r="H400" s="522"/>
      <c r="I400" s="86"/>
      <c r="J400" s="87"/>
      <c r="K400" s="595"/>
      <c r="L400" s="596"/>
      <c r="M400" s="849"/>
      <c r="N400" s="849"/>
      <c r="O400" s="648"/>
      <c r="P400" s="655" t="s">
        <v>539</v>
      </c>
      <c r="V400" s="526"/>
      <c r="W400" s="229">
        <v>185.5</v>
      </c>
      <c r="X400" s="229">
        <v>23.200000000000003</v>
      </c>
      <c r="Y400" s="229">
        <v>5.8000000000000007</v>
      </c>
      <c r="Z400" s="229">
        <v>6.2</v>
      </c>
      <c r="AA400" s="229">
        <v>1.9000000000000001</v>
      </c>
      <c r="AB400" s="526">
        <v>2</v>
      </c>
      <c r="AC400" s="229">
        <v>138</v>
      </c>
      <c r="AD400" s="229">
        <v>180</v>
      </c>
      <c r="AE400" s="229">
        <v>90</v>
      </c>
      <c r="AF400" s="229">
        <v>17</v>
      </c>
      <c r="AG400" s="229">
        <v>80</v>
      </c>
      <c r="AH400" s="229">
        <v>1</v>
      </c>
      <c r="AI400" s="229">
        <v>0.70000000000000007</v>
      </c>
      <c r="AJ400" s="526">
        <v>0.125</v>
      </c>
      <c r="AK400" s="229">
        <v>80</v>
      </c>
      <c r="AL400" s="229">
        <v>0.1</v>
      </c>
      <c r="AM400" s="229">
        <v>0.11000000000000001</v>
      </c>
      <c r="AN400" s="229">
        <v>1.2000000000000002</v>
      </c>
      <c r="AO400" s="229">
        <v>6.9999999999999993E-2</v>
      </c>
      <c r="AP400" s="229">
        <v>30</v>
      </c>
      <c r="AQ400" s="229">
        <v>0.18000000000000002</v>
      </c>
      <c r="AR400" s="229">
        <v>8</v>
      </c>
      <c r="AS400" s="526">
        <v>0.5</v>
      </c>
      <c r="AV400" s="229">
        <v>185.5</v>
      </c>
      <c r="AW400" s="229">
        <v>23.200000000000003</v>
      </c>
      <c r="AX400" s="229">
        <v>5.8000000000000007</v>
      </c>
      <c r="AY400" s="229">
        <v>6.2</v>
      </c>
      <c r="AZ400" s="229">
        <v>1.9000000000000001</v>
      </c>
      <c r="BA400" s="526">
        <v>2</v>
      </c>
      <c r="BB400" s="229">
        <v>138</v>
      </c>
      <c r="BC400" s="229">
        <v>180</v>
      </c>
      <c r="BD400" s="229">
        <v>90</v>
      </c>
      <c r="BE400" s="229">
        <v>17</v>
      </c>
      <c r="BF400" s="229">
        <v>80</v>
      </c>
      <c r="BG400" s="229">
        <v>1</v>
      </c>
      <c r="BH400" s="229">
        <v>0.70000000000000007</v>
      </c>
      <c r="BI400" s="526">
        <v>0.125</v>
      </c>
      <c r="BJ400" s="229">
        <v>80</v>
      </c>
      <c r="BK400" s="229">
        <v>0.1</v>
      </c>
      <c r="BL400" s="229">
        <v>0.11000000000000001</v>
      </c>
      <c r="BM400" s="229">
        <v>1.2000000000000002</v>
      </c>
      <c r="BN400" s="229">
        <v>6.9999999999999993E-2</v>
      </c>
      <c r="BO400" s="229">
        <v>30</v>
      </c>
      <c r="BP400" s="229">
        <v>0.18000000000000002</v>
      </c>
      <c r="BQ400" s="229">
        <v>8</v>
      </c>
      <c r="BR400" s="526">
        <v>0.5</v>
      </c>
    </row>
    <row r="401" spans="1:70" s="229" customFormat="1">
      <c r="A401" s="643"/>
      <c r="B401" s="593"/>
      <c r="C401" s="522"/>
      <c r="D401" s="141"/>
      <c r="E401" s="522"/>
      <c r="F401" s="708"/>
      <c r="G401" s="522"/>
      <c r="H401" s="522"/>
      <c r="I401" s="86"/>
      <c r="J401" s="87"/>
      <c r="K401" s="595"/>
      <c r="L401" s="596"/>
      <c r="M401" s="849"/>
      <c r="N401" s="849"/>
      <c r="O401" s="648"/>
      <c r="P401" s="655" t="s">
        <v>407</v>
      </c>
      <c r="V401" s="526"/>
      <c r="W401" s="514">
        <f t="shared" ref="W401:AS401" si="947">100*W399/W400</f>
        <v>0</v>
      </c>
      <c r="X401" s="514">
        <f t="shared" si="947"/>
        <v>0</v>
      </c>
      <c r="Y401" s="514">
        <f t="shared" si="947"/>
        <v>0</v>
      </c>
      <c r="Z401" s="514">
        <f t="shared" si="947"/>
        <v>0</v>
      </c>
      <c r="AA401" s="514">
        <f t="shared" si="947"/>
        <v>0</v>
      </c>
      <c r="AB401" s="506">
        <f t="shared" si="947"/>
        <v>0</v>
      </c>
      <c r="AC401" s="514">
        <f t="shared" si="947"/>
        <v>0</v>
      </c>
      <c r="AD401" s="514">
        <f t="shared" si="947"/>
        <v>0</v>
      </c>
      <c r="AE401" s="514">
        <f t="shared" si="947"/>
        <v>0</v>
      </c>
      <c r="AF401" s="514">
        <f t="shared" si="947"/>
        <v>0</v>
      </c>
      <c r="AG401" s="514">
        <f t="shared" si="947"/>
        <v>0</v>
      </c>
      <c r="AH401" s="514">
        <f t="shared" si="947"/>
        <v>0</v>
      </c>
      <c r="AI401" s="514">
        <f t="shared" si="947"/>
        <v>0</v>
      </c>
      <c r="AJ401" s="506">
        <f t="shared" si="947"/>
        <v>0</v>
      </c>
      <c r="AK401" s="514">
        <f t="shared" si="947"/>
        <v>0</v>
      </c>
      <c r="AL401" s="514">
        <f t="shared" si="947"/>
        <v>0</v>
      </c>
      <c r="AM401" s="514">
        <f t="shared" si="947"/>
        <v>0</v>
      </c>
      <c r="AN401" s="514">
        <f t="shared" si="947"/>
        <v>0</v>
      </c>
      <c r="AO401" s="514">
        <f t="shared" si="947"/>
        <v>0</v>
      </c>
      <c r="AP401" s="514">
        <f t="shared" si="947"/>
        <v>0</v>
      </c>
      <c r="AQ401" s="514">
        <f t="shared" si="947"/>
        <v>0</v>
      </c>
      <c r="AR401" s="514">
        <f t="shared" si="947"/>
        <v>0</v>
      </c>
      <c r="AS401" s="506">
        <f t="shared" si="947"/>
        <v>0</v>
      </c>
      <c r="AV401" s="505">
        <f t="shared" ref="AV401:BR401" si="948">100*AV399/AV400</f>
        <v>0</v>
      </c>
      <c r="AW401" s="505">
        <f t="shared" si="948"/>
        <v>0</v>
      </c>
      <c r="AX401" s="505">
        <f t="shared" si="948"/>
        <v>0</v>
      </c>
      <c r="AY401" s="505">
        <f t="shared" si="948"/>
        <v>0</v>
      </c>
      <c r="AZ401" s="505">
        <f t="shared" si="948"/>
        <v>0</v>
      </c>
      <c r="BA401" s="505">
        <f t="shared" si="948"/>
        <v>0</v>
      </c>
      <c r="BB401" s="505">
        <f t="shared" si="948"/>
        <v>0</v>
      </c>
      <c r="BC401" s="505">
        <f t="shared" si="948"/>
        <v>0</v>
      </c>
      <c r="BD401" s="505">
        <f t="shared" si="948"/>
        <v>0</v>
      </c>
      <c r="BE401" s="505">
        <f t="shared" si="948"/>
        <v>0</v>
      </c>
      <c r="BF401" s="505">
        <f t="shared" si="948"/>
        <v>0</v>
      </c>
      <c r="BG401" s="505">
        <f t="shared" si="948"/>
        <v>0</v>
      </c>
      <c r="BH401" s="505">
        <f t="shared" si="948"/>
        <v>0</v>
      </c>
      <c r="BI401" s="505">
        <f t="shared" si="948"/>
        <v>0</v>
      </c>
      <c r="BJ401" s="505">
        <f t="shared" si="948"/>
        <v>0</v>
      </c>
      <c r="BK401" s="505">
        <f t="shared" si="948"/>
        <v>0</v>
      </c>
      <c r="BL401" s="505">
        <f t="shared" si="948"/>
        <v>0</v>
      </c>
      <c r="BM401" s="505">
        <f t="shared" si="948"/>
        <v>0</v>
      </c>
      <c r="BN401" s="505">
        <f t="shared" si="948"/>
        <v>0</v>
      </c>
      <c r="BO401" s="505">
        <f t="shared" si="948"/>
        <v>0</v>
      </c>
      <c r="BP401" s="505">
        <f t="shared" si="948"/>
        <v>0</v>
      </c>
      <c r="BQ401" s="505">
        <f t="shared" si="948"/>
        <v>0</v>
      </c>
      <c r="BR401" s="505">
        <f t="shared" si="948"/>
        <v>0</v>
      </c>
    </row>
    <row r="402" spans="1:70" s="229" customFormat="1">
      <c r="A402" s="643"/>
      <c r="B402" s="593"/>
      <c r="C402" s="522"/>
      <c r="D402" s="141"/>
      <c r="E402" s="522"/>
      <c r="F402" s="708"/>
      <c r="G402" s="522"/>
      <c r="H402" s="522"/>
      <c r="I402" s="86"/>
      <c r="J402" s="87"/>
      <c r="K402" s="595"/>
      <c r="L402" s="596"/>
      <c r="M402" s="849"/>
      <c r="N402" s="849"/>
      <c r="O402" s="648"/>
      <c r="P402" s="655" t="s">
        <v>548</v>
      </c>
      <c r="V402" s="526"/>
      <c r="W402" s="583">
        <f>AV399</f>
        <v>0</v>
      </c>
      <c r="X402" s="583">
        <f t="shared" ref="X402:AD402" si="949">AW399</f>
        <v>0</v>
      </c>
      <c r="Y402" s="583">
        <f t="shared" si="949"/>
        <v>0</v>
      </c>
      <c r="Z402" s="583">
        <f t="shared" si="949"/>
        <v>0</v>
      </c>
      <c r="AA402" s="583">
        <f t="shared" si="949"/>
        <v>0</v>
      </c>
      <c r="AB402" s="549">
        <f t="shared" si="949"/>
        <v>0</v>
      </c>
      <c r="AC402" s="583">
        <f t="shared" si="949"/>
        <v>0</v>
      </c>
      <c r="AD402" s="583">
        <f t="shared" si="949"/>
        <v>0</v>
      </c>
      <c r="AE402" s="583">
        <f>BD399</f>
        <v>0</v>
      </c>
      <c r="AF402" s="583">
        <f t="shared" ref="AF402:AM402" si="950">BE399</f>
        <v>0</v>
      </c>
      <c r="AG402" s="583">
        <f t="shared" si="950"/>
        <v>0</v>
      </c>
      <c r="AH402" s="583">
        <f t="shared" si="950"/>
        <v>0</v>
      </c>
      <c r="AI402" s="583">
        <f t="shared" si="950"/>
        <v>0</v>
      </c>
      <c r="AJ402" s="549">
        <f t="shared" si="950"/>
        <v>0</v>
      </c>
      <c r="AK402" s="583">
        <f t="shared" si="950"/>
        <v>0</v>
      </c>
      <c r="AL402" s="583">
        <f t="shared" si="950"/>
        <v>0</v>
      </c>
      <c r="AM402" s="583">
        <f t="shared" si="950"/>
        <v>0</v>
      </c>
      <c r="AN402" s="583">
        <f>BM399</f>
        <v>0</v>
      </c>
      <c r="AO402" s="583">
        <f t="shared" ref="AO402:AR402" si="951">BN399</f>
        <v>0</v>
      </c>
      <c r="AP402" s="583">
        <f t="shared" si="951"/>
        <v>0</v>
      </c>
      <c r="AQ402" s="583">
        <f t="shared" si="951"/>
        <v>0</v>
      </c>
      <c r="AR402" s="583">
        <f t="shared" si="951"/>
        <v>0</v>
      </c>
      <c r="AS402" s="549">
        <f>BR399</f>
        <v>0</v>
      </c>
    </row>
    <row r="403" spans="1:70" s="229" customFormat="1" ht="15" thickBot="1">
      <c r="A403" s="643"/>
      <c r="B403" s="593"/>
      <c r="C403" s="522"/>
      <c r="D403" s="141"/>
      <c r="E403" s="522"/>
      <c r="F403" s="708"/>
      <c r="G403" s="522"/>
      <c r="H403" s="522"/>
      <c r="I403" s="86"/>
      <c r="J403" s="87"/>
      <c r="K403" s="595"/>
      <c r="L403" s="596"/>
      <c r="M403" s="849"/>
      <c r="N403" s="849"/>
      <c r="O403" s="648"/>
      <c r="P403" s="660" t="s">
        <v>546</v>
      </c>
      <c r="Q403" s="546"/>
      <c r="R403" s="546"/>
      <c r="S403" s="546"/>
      <c r="T403" s="546"/>
      <c r="U403" s="546"/>
      <c r="V403" s="529"/>
      <c r="W403" s="502">
        <f t="shared" ref="W403:AS403" si="952">AV401</f>
        <v>0</v>
      </c>
      <c r="X403" s="502">
        <f t="shared" si="952"/>
        <v>0</v>
      </c>
      <c r="Y403" s="502">
        <f t="shared" si="952"/>
        <v>0</v>
      </c>
      <c r="Z403" s="502">
        <f t="shared" si="952"/>
        <v>0</v>
      </c>
      <c r="AA403" s="502">
        <f t="shared" si="952"/>
        <v>0</v>
      </c>
      <c r="AB403" s="503">
        <f t="shared" si="952"/>
        <v>0</v>
      </c>
      <c r="AC403" s="502">
        <f t="shared" si="952"/>
        <v>0</v>
      </c>
      <c r="AD403" s="502">
        <f t="shared" si="952"/>
        <v>0</v>
      </c>
      <c r="AE403" s="502">
        <f t="shared" si="952"/>
        <v>0</v>
      </c>
      <c r="AF403" s="502">
        <f t="shared" si="952"/>
        <v>0</v>
      </c>
      <c r="AG403" s="502">
        <f t="shared" si="952"/>
        <v>0</v>
      </c>
      <c r="AH403" s="502">
        <f t="shared" si="952"/>
        <v>0</v>
      </c>
      <c r="AI403" s="502">
        <f t="shared" si="952"/>
        <v>0</v>
      </c>
      <c r="AJ403" s="503">
        <f t="shared" si="952"/>
        <v>0</v>
      </c>
      <c r="AK403" s="502">
        <f t="shared" si="952"/>
        <v>0</v>
      </c>
      <c r="AL403" s="502">
        <f t="shared" si="952"/>
        <v>0</v>
      </c>
      <c r="AM403" s="502">
        <f t="shared" si="952"/>
        <v>0</v>
      </c>
      <c r="AN403" s="502">
        <f t="shared" si="952"/>
        <v>0</v>
      </c>
      <c r="AO403" s="502">
        <f t="shared" si="952"/>
        <v>0</v>
      </c>
      <c r="AP403" s="502">
        <f t="shared" si="952"/>
        <v>0</v>
      </c>
      <c r="AQ403" s="502">
        <f t="shared" si="952"/>
        <v>0</v>
      </c>
      <c r="AR403" s="502">
        <f t="shared" si="952"/>
        <v>0</v>
      </c>
      <c r="AS403" s="503">
        <f t="shared" si="952"/>
        <v>0</v>
      </c>
      <c r="AT403" s="1296"/>
      <c r="AU403" s="1296"/>
      <c r="AV403" s="514"/>
      <c r="AW403" s="514"/>
      <c r="AX403" s="514"/>
      <c r="AY403" s="514"/>
      <c r="AZ403" s="514"/>
      <c r="BA403" s="505"/>
      <c r="BB403" s="514"/>
      <c r="BC403" s="514"/>
      <c r="BD403" s="514"/>
      <c r="BE403" s="514"/>
      <c r="BF403" s="514"/>
      <c r="BG403" s="514"/>
      <c r="BH403" s="514"/>
      <c r="BI403" s="505"/>
      <c r="BJ403" s="514"/>
      <c r="BK403" s="514"/>
      <c r="BL403" s="514"/>
      <c r="BM403" s="514"/>
      <c r="BN403" s="514"/>
      <c r="BO403" s="514"/>
      <c r="BP403" s="514"/>
      <c r="BQ403" s="514"/>
      <c r="BR403" s="505"/>
    </row>
    <row r="404" spans="1:70" s="229" customFormat="1">
      <c r="A404" s="643"/>
      <c r="B404" s="593"/>
      <c r="C404" s="522"/>
      <c r="D404" s="141"/>
      <c r="E404" s="522"/>
      <c r="F404" s="708"/>
      <c r="G404" s="522"/>
      <c r="H404" s="522"/>
      <c r="I404" s="86"/>
      <c r="J404" s="87"/>
      <c r="K404" s="595"/>
      <c r="L404" s="596"/>
      <c r="M404" s="849"/>
      <c r="N404" s="849"/>
      <c r="O404" s="648"/>
      <c r="P404" s="655" t="s">
        <v>550</v>
      </c>
      <c r="Q404" s="514">
        <f t="shared" ref="Q404:R404" si="953">Q329+Q348+Q380+Q399</f>
        <v>803.58999999999992</v>
      </c>
      <c r="R404" s="514">
        <f t="shared" si="953"/>
        <v>202.03173000000001</v>
      </c>
      <c r="S404" s="514"/>
      <c r="T404" s="514">
        <f>T329+T348+T380+T399</f>
        <v>101.01903590476189</v>
      </c>
      <c r="U404" s="514">
        <f>U329+U348+U380+U399</f>
        <v>25.059013042678576</v>
      </c>
      <c r="V404" s="514">
        <f>V329+V348+V380+V399</f>
        <v>1476.4762000000001</v>
      </c>
      <c r="W404" s="514">
        <f>W329+W348+W380+W399</f>
        <v>1169.8186116211477</v>
      </c>
      <c r="X404" s="514">
        <f>X329+X348+X380+X399</f>
        <v>123.65097498294962</v>
      </c>
      <c r="Y404" s="514">
        <f t="shared" ref="Y404:AU404" si="954">Y329+Y348+Y380+Y399</f>
        <v>30.093164013083651</v>
      </c>
      <c r="Z404" s="514">
        <f t="shared" si="954"/>
        <v>57.240065294182941</v>
      </c>
      <c r="AA404" s="514">
        <f t="shared" si="954"/>
        <v>13.5399331002331</v>
      </c>
      <c r="AB404" s="506">
        <f t="shared" si="954"/>
        <v>8.0440725287131194</v>
      </c>
      <c r="AC404" s="514">
        <f t="shared" si="954"/>
        <v>600.50829837995343</v>
      </c>
      <c r="AD404" s="514">
        <f t="shared" si="954"/>
        <v>1661.2666000000002</v>
      </c>
      <c r="AE404" s="514">
        <f t="shared" si="954"/>
        <v>507.61529999999999</v>
      </c>
      <c r="AF404" s="514">
        <f t="shared" si="954"/>
        <v>141.16560675990678</v>
      </c>
      <c r="AG404" s="514">
        <f t="shared" si="954"/>
        <v>416.88440000000003</v>
      </c>
      <c r="AH404" s="514">
        <f t="shared" si="954"/>
        <v>6.9367698391102701</v>
      </c>
      <c r="AI404" s="514">
        <f t="shared" si="954"/>
        <v>6.2056757288292008</v>
      </c>
      <c r="AJ404" s="506">
        <f t="shared" si="954"/>
        <v>0.79447714870679342</v>
      </c>
      <c r="AK404" s="514">
        <f t="shared" si="954"/>
        <v>993.5471500000001</v>
      </c>
      <c r="AL404" s="514">
        <f t="shared" si="954"/>
        <v>0.67960003879571085</v>
      </c>
      <c r="AM404" s="514">
        <f t="shared" si="954"/>
        <v>0.89999210251281292</v>
      </c>
      <c r="AN404" s="514">
        <f t="shared" si="954"/>
        <v>7.3299546998168479</v>
      </c>
      <c r="AO404" s="514">
        <f t="shared" si="954"/>
        <v>0.81726825655834046</v>
      </c>
      <c r="AP404" s="514">
        <f t="shared" si="954"/>
        <v>399.51238648018648</v>
      </c>
      <c r="AQ404" s="514">
        <f t="shared" si="954"/>
        <v>1.0568166257395508</v>
      </c>
      <c r="AR404" s="514">
        <f t="shared" si="954"/>
        <v>75.828250000000011</v>
      </c>
      <c r="AS404" s="506">
        <f t="shared" si="954"/>
        <v>1.1361720970244877</v>
      </c>
      <c r="AT404" s="514">
        <f t="shared" si="954"/>
        <v>98.626202333333339</v>
      </c>
      <c r="AU404" s="514">
        <f t="shared" si="954"/>
        <v>101.01903590476189</v>
      </c>
      <c r="AV404" s="514"/>
      <c r="AW404" s="514"/>
      <c r="AX404" s="514"/>
      <c r="AY404" s="514"/>
      <c r="AZ404" s="514"/>
      <c r="BA404" s="505"/>
      <c r="BB404" s="514"/>
      <c r="BC404" s="514"/>
      <c r="BD404" s="514"/>
      <c r="BE404" s="514"/>
      <c r="BF404" s="514"/>
      <c r="BG404" s="514"/>
      <c r="BH404" s="514"/>
      <c r="BI404" s="505"/>
      <c r="BJ404" s="514"/>
      <c r="BK404" s="514"/>
      <c r="BL404" s="514"/>
      <c r="BM404" s="514"/>
      <c r="BN404" s="514"/>
      <c r="BO404" s="514"/>
      <c r="BP404" s="514"/>
      <c r="BQ404" s="514"/>
      <c r="BR404" s="505"/>
    </row>
    <row r="405" spans="1:70" s="229" customFormat="1">
      <c r="A405" s="643"/>
      <c r="B405" s="593"/>
      <c r="C405" s="522"/>
      <c r="D405" s="141"/>
      <c r="E405" s="522"/>
      <c r="F405" s="708"/>
      <c r="G405" s="522"/>
      <c r="H405" s="522"/>
      <c r="I405" s="86"/>
      <c r="J405" s="87"/>
      <c r="K405" s="595"/>
      <c r="L405" s="596"/>
      <c r="M405" s="849"/>
      <c r="N405" s="849"/>
      <c r="O405" s="648"/>
      <c r="P405" s="661" t="s">
        <v>549</v>
      </c>
      <c r="V405" s="526"/>
      <c r="W405" s="514">
        <f>W332+W351+W383+W402</f>
        <v>931.0114964876484</v>
      </c>
      <c r="X405" s="514">
        <f>X332+X351+X383+X402</f>
        <v>96.62613521587329</v>
      </c>
      <c r="Y405" s="514">
        <f t="shared" ref="Y405:AS405" si="955">Y332+Y351+Y383+Y402</f>
        <v>22.988244324252783</v>
      </c>
      <c r="Z405" s="514">
        <f t="shared" si="955"/>
        <v>46.653924618454099</v>
      </c>
      <c r="AA405" s="514">
        <f t="shared" si="955"/>
        <v>9.1334513940571167</v>
      </c>
      <c r="AB405" s="506">
        <f t="shared" si="955"/>
        <v>6.0835353413729818</v>
      </c>
      <c r="AC405" s="514">
        <f t="shared" si="955"/>
        <v>391.97711086425033</v>
      </c>
      <c r="AD405" s="514">
        <f t="shared" si="955"/>
        <v>1100.830683574123</v>
      </c>
      <c r="AE405" s="514">
        <f t="shared" si="955"/>
        <v>292.51879846232686</v>
      </c>
      <c r="AF405" s="514">
        <f t="shared" si="955"/>
        <v>97.842099274134284</v>
      </c>
      <c r="AG405" s="514">
        <f t="shared" si="955"/>
        <v>320.94761537260524</v>
      </c>
      <c r="AH405" s="514">
        <f t="shared" si="955"/>
        <v>4.3817762906974949</v>
      </c>
      <c r="AI405" s="514">
        <f t="shared" si="955"/>
        <v>4.2051848503404186</v>
      </c>
      <c r="AJ405" s="506">
        <f t="shared" si="955"/>
        <v>0.55912183892062761</v>
      </c>
      <c r="AK405" s="514">
        <f t="shared" si="955"/>
        <v>529.56564393669998</v>
      </c>
      <c r="AL405" s="514">
        <f t="shared" si="955"/>
        <v>0.45784035685489172</v>
      </c>
      <c r="AM405" s="514">
        <f t="shared" si="955"/>
        <v>0.63425242719396913</v>
      </c>
      <c r="AN405" s="514">
        <f t="shared" si="955"/>
        <v>4.7828870915862591</v>
      </c>
      <c r="AO405" s="514">
        <f t="shared" si="955"/>
        <v>0.54254842897926236</v>
      </c>
      <c r="AP405" s="514">
        <f t="shared" si="955"/>
        <v>214.64806162682436</v>
      </c>
      <c r="AQ405" s="514">
        <f t="shared" si="955"/>
        <v>0.89620999596573436</v>
      </c>
      <c r="AR405" s="514">
        <f t="shared" si="955"/>
        <v>49.134141762000894</v>
      </c>
      <c r="AS405" s="506">
        <f t="shared" si="955"/>
        <v>0.99463664058698575</v>
      </c>
      <c r="AV405" s="514"/>
      <c r="AW405" s="514"/>
      <c r="AX405" s="514"/>
      <c r="AY405" s="514"/>
      <c r="AZ405" s="514"/>
      <c r="BA405" s="505"/>
      <c r="BB405" s="514"/>
      <c r="BC405" s="514"/>
      <c r="BD405" s="514"/>
      <c r="BE405" s="514"/>
      <c r="BF405" s="514"/>
      <c r="BG405" s="514"/>
      <c r="BH405" s="514"/>
      <c r="BI405" s="505"/>
      <c r="BJ405" s="514"/>
      <c r="BK405" s="514"/>
      <c r="BL405" s="514"/>
      <c r="BM405" s="514"/>
      <c r="BN405" s="514"/>
      <c r="BO405" s="514"/>
      <c r="BP405" s="514"/>
      <c r="BQ405" s="514"/>
      <c r="BR405" s="505"/>
    </row>
    <row r="406" spans="1:70" s="229" customFormat="1" ht="15" thickBot="1">
      <c r="A406" s="504"/>
      <c r="B406" s="504"/>
      <c r="C406" s="504"/>
      <c r="D406" s="689"/>
      <c r="E406" s="662"/>
      <c r="F406" s="715"/>
      <c r="G406" s="663" t="s">
        <v>795</v>
      </c>
      <c r="H406" s="664"/>
      <c r="I406" s="105"/>
      <c r="J406" s="105"/>
      <c r="K406" s="504"/>
      <c r="L406" s="665"/>
      <c r="M406" s="665"/>
      <c r="N406" s="665"/>
      <c r="O406" s="666"/>
      <c r="P406" s="504"/>
      <c r="Q406" s="504"/>
      <c r="R406" s="504"/>
      <c r="S406" s="504"/>
      <c r="T406" s="504"/>
      <c r="U406" s="667"/>
      <c r="V406" s="668"/>
      <c r="W406" s="504"/>
      <c r="X406" s="504"/>
      <c r="Y406" s="504"/>
      <c r="Z406" s="504"/>
      <c r="AA406" s="669">
        <f>COUNTIF(AA407:AA426,"&lt;0")</f>
        <v>0</v>
      </c>
      <c r="AB406" s="669">
        <f t="shared" ref="AB406:AS406" si="956">COUNTIF(AB407:AB426,"&lt;0")</f>
        <v>0</v>
      </c>
      <c r="AC406" s="669">
        <f t="shared" si="956"/>
        <v>0</v>
      </c>
      <c r="AD406" s="669">
        <f t="shared" si="956"/>
        <v>0</v>
      </c>
      <c r="AE406" s="669">
        <f t="shared" si="956"/>
        <v>0</v>
      </c>
      <c r="AF406" s="669">
        <f t="shared" si="956"/>
        <v>0</v>
      </c>
      <c r="AG406" s="669">
        <f t="shared" si="956"/>
        <v>0</v>
      </c>
      <c r="AH406" s="669">
        <f t="shared" si="956"/>
        <v>0</v>
      </c>
      <c r="AI406" s="669">
        <f t="shared" si="956"/>
        <v>0</v>
      </c>
      <c r="AJ406" s="669">
        <f t="shared" si="956"/>
        <v>0</v>
      </c>
      <c r="AK406" s="669">
        <f t="shared" si="956"/>
        <v>0</v>
      </c>
      <c r="AL406" s="669">
        <f t="shared" si="956"/>
        <v>0</v>
      </c>
      <c r="AM406" s="669">
        <f t="shared" si="956"/>
        <v>0</v>
      </c>
      <c r="AN406" s="669">
        <f t="shared" si="956"/>
        <v>0</v>
      </c>
      <c r="AO406" s="669">
        <f t="shared" si="956"/>
        <v>0</v>
      </c>
      <c r="AP406" s="669">
        <f t="shared" si="956"/>
        <v>0</v>
      </c>
      <c r="AQ406" s="669">
        <f t="shared" si="956"/>
        <v>0</v>
      </c>
      <c r="AR406" s="669">
        <f t="shared" si="956"/>
        <v>0</v>
      </c>
      <c r="AS406" s="669">
        <f t="shared" si="956"/>
        <v>0</v>
      </c>
      <c r="AT406" s="1300"/>
      <c r="AU406" s="1300"/>
    </row>
    <row r="407" spans="1:70" s="229" customFormat="1" ht="15" customHeight="1" thickBot="1">
      <c r="A407" s="504"/>
      <c r="B407" s="575" t="s">
        <v>3068</v>
      </c>
      <c r="C407" s="229" t="s">
        <v>67</v>
      </c>
      <c r="D407" s="85"/>
      <c r="E407" s="577">
        <v>100</v>
      </c>
      <c r="F407" s="707"/>
      <c r="G407" s="406" t="s">
        <v>3054</v>
      </c>
      <c r="H407" s="1262" t="s">
        <v>3055</v>
      </c>
      <c r="I407" s="85">
        <v>0</v>
      </c>
      <c r="J407" s="682">
        <v>1</v>
      </c>
      <c r="K407" s="579" t="str">
        <f t="shared" ref="K407:K426" si="957">IF(I407&gt;0,1.1*Q407*E407/1000,"")</f>
        <v/>
      </c>
      <c r="L407" s="580" t="str">
        <f>IF(H407="Select ingredient:","",IF(G407="","",_xlfn.IFNA(VLOOKUP($H407,Ingredient_prices!$E:$U,16,FALSE),0)))</f>
        <v/>
      </c>
      <c r="M407" s="850"/>
      <c r="N407" s="1228">
        <f>$W428</f>
        <v>0</v>
      </c>
      <c r="O407" s="666"/>
      <c r="P407" s="670"/>
      <c r="Q407" s="583">
        <f t="shared" ref="Q407:Q426" si="958">I407/J407</f>
        <v>0</v>
      </c>
      <c r="R407" s="583">
        <f>VLOOKUP($H407,'CO2_emission+%_food_waste'!$A:$K,6,FALSE)*$Q407/100</f>
        <v>0</v>
      </c>
      <c r="S407" s="583">
        <f>Q407-R407</f>
        <v>0</v>
      </c>
      <c r="T407" s="583" t="str">
        <f>IF(H407="Select ingredient:","",IF(G407="Select food category:","",_xlfn.IFNA(VLOOKUP($H407,Ingredient_prices!$E:$U,16,FALSE)*$Q407/1000,"not bought")))</f>
        <v/>
      </c>
      <c r="U407" s="583" t="str">
        <f>IF(G407="Select food category:","",_xlfn.IFNA(VLOOKUP($H407,Ingredient_prices!$E:$U,16,FALSE)*$R407/1000,"not bought"))</f>
        <v/>
      </c>
      <c r="V407" s="549">
        <f>VLOOKUP($H407,'CO2_emission+%_food_waste'!$A:$K,4,FALSE)*$Q407</f>
        <v>0</v>
      </c>
      <c r="W407" s="583">
        <f>VLOOKUP($H407,Nutrition_tables!$A:$N,10,FALSE)*$Q407/100</f>
        <v>0</v>
      </c>
      <c r="X407" s="583">
        <f>VLOOKUP($H407,Nutrition_tables!$A:$N,11,FALSE)*$Q407/100</f>
        <v>0</v>
      </c>
      <c r="Y407" s="583">
        <f>VLOOKUP($H407,Nutrition_tables!$A:$N,12,FALSE)*$Q407/100</f>
        <v>0</v>
      </c>
      <c r="Z407" s="583">
        <f>VLOOKUP($H407,Nutrition_tables!$A:$N,14,FALSE)*$Q407/100</f>
        <v>0</v>
      </c>
      <c r="AA407" s="583">
        <f>VLOOKUP($H407,Nutrition_tables!$A:$AF,13,FALSE)*$Q407/100</f>
        <v>0</v>
      </c>
      <c r="AB407" s="549">
        <f>VLOOKUP($H407,Nutrition_tables!$A:$AF,15,FALSE)*$Q407/100</f>
        <v>0</v>
      </c>
      <c r="AC407" s="583">
        <f>VLOOKUP($H407,Nutrition_tables!$A:$AF,16,FALSE)*$Q407/100</f>
        <v>0</v>
      </c>
      <c r="AD407" s="583">
        <f>VLOOKUP($H407,Nutrition_tables!$A:$AF,17,FALSE)*$Q407/100</f>
        <v>0</v>
      </c>
      <c r="AE407" s="583">
        <f>VLOOKUP($H407,Nutrition_tables!$A:$AF,18,FALSE)*$Q407/100</f>
        <v>0</v>
      </c>
      <c r="AF407" s="583">
        <f>VLOOKUP($H407,Nutrition_tables!$A:$AF,19,FALSE)*$Q407/100</f>
        <v>0</v>
      </c>
      <c r="AG407" s="583">
        <f>VLOOKUP($H407,Nutrition_tables!$A:$AF,20,FALSE)*$Q407/100</f>
        <v>0</v>
      </c>
      <c r="AH407" s="583">
        <f>VLOOKUP($H407,Nutrition_tables!$A:$AF,21,FALSE)*$Q407/100</f>
        <v>0</v>
      </c>
      <c r="AI407" s="583">
        <f>VLOOKUP($H407,Nutrition_tables!$A:$AF,22,FALSE)*$Q407/100</f>
        <v>0</v>
      </c>
      <c r="AJ407" s="549">
        <f>VLOOKUP($H407,Nutrition_tables!$A:$AF,23,FALSE)*$Q407/100</f>
        <v>0</v>
      </c>
      <c r="AK407" s="583">
        <f>VLOOKUP($H407,Nutrition_tables!$A:$AF,24,FALSE)*$Q407/100</f>
        <v>0</v>
      </c>
      <c r="AL407" s="583">
        <f>VLOOKUP($H407,Nutrition_tables!$A:$AF,25,FALSE)*$Q407/100</f>
        <v>0</v>
      </c>
      <c r="AM407" s="583">
        <f>VLOOKUP($H407,Nutrition_tables!$A:$AF,26,FALSE)*$Q407/100</f>
        <v>0</v>
      </c>
      <c r="AN407" s="583">
        <f>VLOOKUP($H407,Nutrition_tables!$A:$AF,27,FALSE)*$Q407/100</f>
        <v>0</v>
      </c>
      <c r="AO407" s="583">
        <f>VLOOKUP($H407,Nutrition_tables!$A:$AF,28,FALSE)*$Q407/100</f>
        <v>0</v>
      </c>
      <c r="AP407" s="583">
        <f>VLOOKUP($H407,Nutrition_tables!$A:$AF,29,FALSE)*$Q407/100</f>
        <v>0</v>
      </c>
      <c r="AQ407" s="583">
        <f>VLOOKUP($H407,Nutrition_tables!$A:$AF,30,FALSE)*$Q407/100</f>
        <v>0</v>
      </c>
      <c r="AR407" s="583">
        <f>VLOOKUP($H407,Nutrition_tables!$A:$AF,31,FALSE)*$Q407/100</f>
        <v>0</v>
      </c>
      <c r="AS407" s="549">
        <f>VLOOKUP($H407,Nutrition_tables!$A:$AF,32,FALSE)*$Q407/100</f>
        <v>0</v>
      </c>
      <c r="AT407" s="583" t="str">
        <f>IF(H407="Select ingredient:","",IF(G407="Select food category:","",IFERROR(VLOOKUP($H407,Ingredient_prices!$E:$W,17,FALSE)*$Q407/1000,"not bought")))</f>
        <v/>
      </c>
      <c r="AU407" s="583" t="str">
        <f>IF(H407="Select ingredient:","",IF(G407="Select food category:","",IFERROR(VLOOKUP($H407,Ingredient_prices!$E:$W,18,FALSE)*$Q407/1000,"not bought")))</f>
        <v/>
      </c>
      <c r="AV407" s="583">
        <f t="shared" ref="AV407:AV426" si="959">W407*($Q407-$R407)/($Q407+0.00001)</f>
        <v>0</v>
      </c>
      <c r="AW407" s="583">
        <f t="shared" ref="AW407:AW426" si="960">X407*($Q407-$R407)/($Q407+0.00001)</f>
        <v>0</v>
      </c>
      <c r="AX407" s="583">
        <f t="shared" ref="AX407:AX426" si="961">Y407*($Q407-$R407)/($Q407+0.00001)</f>
        <v>0</v>
      </c>
      <c r="AY407" s="583">
        <f t="shared" ref="AY407:AY426" si="962">Z407*($Q407-$R407)/($Q407+0.00001)</f>
        <v>0</v>
      </c>
      <c r="AZ407" s="583">
        <f t="shared" ref="AZ407:AZ426" si="963">AA407*($Q407-$R407)/($Q407+0.00001)</f>
        <v>0</v>
      </c>
      <c r="BA407" s="583">
        <f t="shared" ref="BA407:BA426" si="964">AB407*($Q407-$R407)/($Q407+0.00001)</f>
        <v>0</v>
      </c>
      <c r="BB407" s="583">
        <f t="shared" ref="BB407:BB426" si="965">AC407*($Q407-$R407)/($Q407+0.00001)</f>
        <v>0</v>
      </c>
      <c r="BC407" s="583">
        <f t="shared" ref="BC407:BC426" si="966">AD407*($Q407-$R407)/($Q407+0.00001)</f>
        <v>0</v>
      </c>
      <c r="BD407" s="583">
        <f t="shared" ref="BD407:BD421" si="967">AE407*($Q407-$R407)/($Q407+0.00001)</f>
        <v>0</v>
      </c>
      <c r="BE407" s="583">
        <f t="shared" ref="BE407:BE421" si="968">AF407*($Q407-$R407)/($Q407+0.00001)</f>
        <v>0</v>
      </c>
      <c r="BF407" s="583">
        <f t="shared" ref="BF407:BF421" si="969">AG407*($Q407-$R407)/($Q407+0.00001)</f>
        <v>0</v>
      </c>
      <c r="BG407" s="583">
        <f t="shared" ref="BG407:BG421" si="970">AH407*($Q407-$R407)/($Q407+0.00001)</f>
        <v>0</v>
      </c>
      <c r="BH407" s="583">
        <f t="shared" ref="BH407:BH421" si="971">AI407*($Q407-$R407)/($Q407+0.00001)</f>
        <v>0</v>
      </c>
      <c r="BI407" s="583">
        <f t="shared" ref="BI407:BI421" si="972">AJ407*($Q407-$R407)/($Q407+0.00001)</f>
        <v>0</v>
      </c>
      <c r="BJ407" s="583">
        <f t="shared" ref="BJ407:BJ421" si="973">AK407*($Q407-$R407)/($Q407+0.00001)</f>
        <v>0</v>
      </c>
      <c r="BK407" s="583">
        <f t="shared" ref="BK407:BK421" si="974">AL407*($Q407-$R407)/($Q407+0.00001)</f>
        <v>0</v>
      </c>
      <c r="BL407" s="583">
        <f t="shared" ref="BL407:BL421" si="975">AM407*($Q407-$R407)/($Q407+0.00001)</f>
        <v>0</v>
      </c>
      <c r="BM407" s="583">
        <f t="shared" ref="BM407:BM421" si="976">AN407*($Q407-$R407)/($Q407+0.00001)</f>
        <v>0</v>
      </c>
      <c r="BN407" s="583">
        <f t="shared" ref="BN407:BN421" si="977">AO407*($Q407-$R407)/($Q407+0.00001)</f>
        <v>0</v>
      </c>
      <c r="BO407" s="583">
        <f t="shared" ref="BO407:BO421" si="978">AP407*($Q407-$R407)/($Q407+0.00001)</f>
        <v>0</v>
      </c>
      <c r="BP407" s="583">
        <f t="shared" ref="BP407:BP421" si="979">AQ407*($Q407-$R407)/($Q407+0.00001)</f>
        <v>0</v>
      </c>
      <c r="BQ407" s="583">
        <f t="shared" ref="BQ407:BQ421" si="980">AR407*($Q407-$R407)/($Q407+0.00001)</f>
        <v>0</v>
      </c>
      <c r="BR407" s="583">
        <f t="shared" ref="BR407:BR421" si="981">AS407*($Q407-$R407)/($Q407+0.00001)</f>
        <v>0</v>
      </c>
    </row>
    <row r="408" spans="1:70" s="229" customFormat="1" ht="15" customHeight="1">
      <c r="A408" s="504"/>
      <c r="D408" s="749"/>
      <c r="E408" s="576">
        <f>IF(E$407&gt;0,E$407,"")</f>
        <v>100</v>
      </c>
      <c r="F408" s="707"/>
      <c r="G408" s="406" t="s">
        <v>3054</v>
      </c>
      <c r="H408" s="1262" t="s">
        <v>3055</v>
      </c>
      <c r="I408" s="85">
        <v>0</v>
      </c>
      <c r="J408" s="682">
        <v>1</v>
      </c>
      <c r="K408" s="579" t="str">
        <f t="shared" si="957"/>
        <v/>
      </c>
      <c r="L408" s="580" t="str">
        <f>IF(H408="Select ingredient:","",IF(G408="","",_xlfn.IFNA(VLOOKUP($H408,Ingredient_prices!$E:$U,16,FALSE),0)))</f>
        <v/>
      </c>
      <c r="M408" s="850"/>
      <c r="N408" s="850"/>
      <c r="O408" s="666"/>
      <c r="P408" s="670"/>
      <c r="Q408" s="583">
        <f t="shared" si="958"/>
        <v>0</v>
      </c>
      <c r="R408" s="583">
        <f>VLOOKUP($H408,'CO2_emission+%_food_waste'!$A:$K,6,FALSE)*$Q408/100</f>
        <v>0</v>
      </c>
      <c r="S408" s="583">
        <f t="shared" ref="S408:S426" si="982">Q408-R408</f>
        <v>0</v>
      </c>
      <c r="T408" s="583" t="str">
        <f>IF(H408="Select ingredient:","",IF(G408="Select food category:","",_xlfn.IFNA(VLOOKUP($H408,Ingredient_prices!$E:$U,16,FALSE)*$Q408/1000,"not bought")))</f>
        <v/>
      </c>
      <c r="U408" s="583" t="str">
        <f>IF(G408="Select food category:","",_xlfn.IFNA(VLOOKUP($H408,Ingredient_prices!$E:$U,16,FALSE)*$R408/1000,"not bought"))</f>
        <v/>
      </c>
      <c r="V408" s="549">
        <f>VLOOKUP($H408,'CO2_emission+%_food_waste'!$A:$K,4,FALSE)*$Q408</f>
        <v>0</v>
      </c>
      <c r="W408" s="583">
        <f>VLOOKUP($H408,Nutrition_tables!$A:$N,10,FALSE)*$Q408/100</f>
        <v>0</v>
      </c>
      <c r="X408" s="583">
        <f>VLOOKUP($H408,Nutrition_tables!$A:$N,11,FALSE)*$Q408/100</f>
        <v>0</v>
      </c>
      <c r="Y408" s="583">
        <f>VLOOKUP($H408,Nutrition_tables!$A:$N,12,FALSE)*$Q408/100</f>
        <v>0</v>
      </c>
      <c r="Z408" s="583">
        <f>VLOOKUP($H408,Nutrition_tables!$A:$N,14,FALSE)*$Q408/100</f>
        <v>0</v>
      </c>
      <c r="AA408" s="583">
        <f>VLOOKUP($H408,Nutrition_tables!$A:$AF,13,FALSE)*$Q408/100</f>
        <v>0</v>
      </c>
      <c r="AB408" s="549">
        <f>VLOOKUP($H408,Nutrition_tables!$A:$AF,15,FALSE)*$Q408/100</f>
        <v>0</v>
      </c>
      <c r="AC408" s="583">
        <f>VLOOKUP($H408,Nutrition_tables!$A:$AF,16,FALSE)*$Q408/100</f>
        <v>0</v>
      </c>
      <c r="AD408" s="583">
        <f>VLOOKUP($H408,Nutrition_tables!$A:$AF,17,FALSE)*$Q408/100</f>
        <v>0</v>
      </c>
      <c r="AE408" s="583">
        <f>VLOOKUP($H408,Nutrition_tables!$A:$AF,18,FALSE)*$Q408/100</f>
        <v>0</v>
      </c>
      <c r="AF408" s="583">
        <f>VLOOKUP($H408,Nutrition_tables!$A:$AF,19,FALSE)*$Q408/100</f>
        <v>0</v>
      </c>
      <c r="AG408" s="583">
        <f>VLOOKUP($H408,Nutrition_tables!$A:$AF,20,FALSE)*$Q408/100</f>
        <v>0</v>
      </c>
      <c r="AH408" s="583">
        <f>VLOOKUP($H408,Nutrition_tables!$A:$AF,21,FALSE)*$Q408/100</f>
        <v>0</v>
      </c>
      <c r="AI408" s="583">
        <f>VLOOKUP($H408,Nutrition_tables!$A:$AF,22,FALSE)*$Q408/100</f>
        <v>0</v>
      </c>
      <c r="AJ408" s="549">
        <f>VLOOKUP($H408,Nutrition_tables!$A:$AF,23,FALSE)*$Q408/100</f>
        <v>0</v>
      </c>
      <c r="AK408" s="583">
        <f>VLOOKUP($H408,Nutrition_tables!$A:$AF,24,FALSE)*$Q408/100</f>
        <v>0</v>
      </c>
      <c r="AL408" s="583">
        <f>VLOOKUP($H408,Nutrition_tables!$A:$AF,25,FALSE)*$Q408/100</f>
        <v>0</v>
      </c>
      <c r="AM408" s="583">
        <f>VLOOKUP($H408,Nutrition_tables!$A:$AF,26,FALSE)*$Q408/100</f>
        <v>0</v>
      </c>
      <c r="AN408" s="583">
        <f>VLOOKUP($H408,Nutrition_tables!$A:$AF,27,FALSE)*$Q408/100</f>
        <v>0</v>
      </c>
      <c r="AO408" s="583">
        <f>VLOOKUP($H408,Nutrition_tables!$A:$AF,28,FALSE)*$Q408/100</f>
        <v>0</v>
      </c>
      <c r="AP408" s="583">
        <f>VLOOKUP($H408,Nutrition_tables!$A:$AF,29,FALSE)*$Q408/100</f>
        <v>0</v>
      </c>
      <c r="AQ408" s="583">
        <f>VLOOKUP($H408,Nutrition_tables!$A:$AF,30,FALSE)*$Q408/100</f>
        <v>0</v>
      </c>
      <c r="AR408" s="583">
        <f>VLOOKUP($H408,Nutrition_tables!$A:$AF,31,FALSE)*$Q408/100</f>
        <v>0</v>
      </c>
      <c r="AS408" s="549">
        <f>VLOOKUP($H408,Nutrition_tables!$A:$AF,32,FALSE)*$Q408/100</f>
        <v>0</v>
      </c>
      <c r="AT408" s="583" t="str">
        <f>IF(H408="Select ingredient:","",IF(G408="Select food category:","",IFERROR(VLOOKUP($H408,Ingredient_prices!$E:$W,17,FALSE)*$Q408/1000,"not bought")))</f>
        <v/>
      </c>
      <c r="AU408" s="583" t="str">
        <f>IF(H408="Select ingredient:","",IF(G408="Select food category:","",IFERROR(VLOOKUP($H408,Ingredient_prices!$E:$W,18,FALSE)*$Q408/1000,"not bought")))</f>
        <v/>
      </c>
      <c r="AV408" s="583">
        <f t="shared" si="959"/>
        <v>0</v>
      </c>
      <c r="AW408" s="583">
        <f t="shared" si="960"/>
        <v>0</v>
      </c>
      <c r="AX408" s="583">
        <f t="shared" si="961"/>
        <v>0</v>
      </c>
      <c r="AY408" s="583">
        <f t="shared" si="962"/>
        <v>0</v>
      </c>
      <c r="AZ408" s="583">
        <f t="shared" si="963"/>
        <v>0</v>
      </c>
      <c r="BA408" s="583">
        <f t="shared" si="964"/>
        <v>0</v>
      </c>
      <c r="BB408" s="583">
        <f t="shared" si="965"/>
        <v>0</v>
      </c>
      <c r="BC408" s="583">
        <f t="shared" si="966"/>
        <v>0</v>
      </c>
      <c r="BD408" s="583">
        <f t="shared" si="967"/>
        <v>0</v>
      </c>
      <c r="BE408" s="583">
        <f t="shared" si="968"/>
        <v>0</v>
      </c>
      <c r="BF408" s="583">
        <f t="shared" si="969"/>
        <v>0</v>
      </c>
      <c r="BG408" s="583">
        <f t="shared" si="970"/>
        <v>0</v>
      </c>
      <c r="BH408" s="583">
        <f t="shared" si="971"/>
        <v>0</v>
      </c>
      <c r="BI408" s="583">
        <f t="shared" si="972"/>
        <v>0</v>
      </c>
      <c r="BJ408" s="583">
        <f t="shared" si="973"/>
        <v>0</v>
      </c>
      <c r="BK408" s="583">
        <f t="shared" si="974"/>
        <v>0</v>
      </c>
      <c r="BL408" s="583">
        <f t="shared" si="975"/>
        <v>0</v>
      </c>
      <c r="BM408" s="583">
        <f t="shared" si="976"/>
        <v>0</v>
      </c>
      <c r="BN408" s="583">
        <f t="shared" si="977"/>
        <v>0</v>
      </c>
      <c r="BO408" s="583">
        <f t="shared" si="978"/>
        <v>0</v>
      </c>
      <c r="BP408" s="583">
        <f t="shared" si="979"/>
        <v>0</v>
      </c>
      <c r="BQ408" s="583">
        <f t="shared" si="980"/>
        <v>0</v>
      </c>
      <c r="BR408" s="583">
        <f t="shared" si="981"/>
        <v>0</v>
      </c>
    </row>
    <row r="409" spans="1:70" s="229" customFormat="1" ht="15" customHeight="1">
      <c r="A409" s="504"/>
      <c r="D409" s="406"/>
      <c r="E409" s="576">
        <f t="shared" ref="E409:E426" si="983">IF(E$407&gt;0,E$407,"")</f>
        <v>100</v>
      </c>
      <c r="F409" s="707"/>
      <c r="G409" s="406" t="s">
        <v>3054</v>
      </c>
      <c r="H409" s="1262" t="s">
        <v>3055</v>
      </c>
      <c r="I409" s="85">
        <v>0</v>
      </c>
      <c r="J409" s="682">
        <v>1</v>
      </c>
      <c r="K409" s="579" t="str">
        <f t="shared" si="957"/>
        <v/>
      </c>
      <c r="L409" s="580" t="str">
        <f>IF(H409="Select ingredient:","",IF(G409="","",_xlfn.IFNA(VLOOKUP($H409,Ingredient_prices!$E:$U,16,FALSE),0)))</f>
        <v/>
      </c>
      <c r="M409" s="850"/>
      <c r="N409" s="850"/>
      <c r="O409" s="666"/>
      <c r="P409" s="670"/>
      <c r="Q409" s="583">
        <f t="shared" si="958"/>
        <v>0</v>
      </c>
      <c r="R409" s="583">
        <f>VLOOKUP($H409,'CO2_emission+%_food_waste'!$A:$K,6,FALSE)*$Q409/100</f>
        <v>0</v>
      </c>
      <c r="S409" s="583">
        <f t="shared" si="982"/>
        <v>0</v>
      </c>
      <c r="T409" s="583" t="str">
        <f>IF(H409="Select ingredient:","",IF(G409="Select food category:","",_xlfn.IFNA(VLOOKUP($H409,Ingredient_prices!$E:$U,16,FALSE)*$Q409/1000,"not bought")))</f>
        <v/>
      </c>
      <c r="U409" s="583" t="str">
        <f>IF(G409="Select food category:","",_xlfn.IFNA(VLOOKUP($H409,Ingredient_prices!$E:$U,16,FALSE)*$R409/1000,"not bought"))</f>
        <v/>
      </c>
      <c r="V409" s="549">
        <f>VLOOKUP($H409,'CO2_emission+%_food_waste'!$A:$K,4,FALSE)*$Q409</f>
        <v>0</v>
      </c>
      <c r="W409" s="583">
        <f>VLOOKUP($H409,Nutrition_tables!$A:$N,10,FALSE)*$Q409/100</f>
        <v>0</v>
      </c>
      <c r="X409" s="583">
        <f>VLOOKUP($H409,Nutrition_tables!$A:$N,11,FALSE)*$Q409/100</f>
        <v>0</v>
      </c>
      <c r="Y409" s="583">
        <f>VLOOKUP($H409,Nutrition_tables!$A:$N,12,FALSE)*$Q409/100</f>
        <v>0</v>
      </c>
      <c r="Z409" s="583">
        <f>VLOOKUP($H409,Nutrition_tables!$A:$N,14,FALSE)*$Q409/100</f>
        <v>0</v>
      </c>
      <c r="AA409" s="583">
        <f>VLOOKUP($H409,Nutrition_tables!$A:$AF,13,FALSE)*$Q409/100</f>
        <v>0</v>
      </c>
      <c r="AB409" s="549">
        <f>VLOOKUP($H409,Nutrition_tables!$A:$AF,15,FALSE)*$Q409/100</f>
        <v>0</v>
      </c>
      <c r="AC409" s="583">
        <f>VLOOKUP($H409,Nutrition_tables!$A:$AF,16,FALSE)*$Q409/100</f>
        <v>0</v>
      </c>
      <c r="AD409" s="583">
        <f>VLOOKUP($H409,Nutrition_tables!$A:$AF,17,FALSE)*$Q409/100</f>
        <v>0</v>
      </c>
      <c r="AE409" s="583">
        <f>VLOOKUP($H409,Nutrition_tables!$A:$AF,18,FALSE)*$Q409/100</f>
        <v>0</v>
      </c>
      <c r="AF409" s="583">
        <f>VLOOKUP($H409,Nutrition_tables!$A:$AF,19,FALSE)*$Q409/100</f>
        <v>0</v>
      </c>
      <c r="AG409" s="583">
        <f>VLOOKUP($H409,Nutrition_tables!$A:$AF,20,FALSE)*$Q409/100</f>
        <v>0</v>
      </c>
      <c r="AH409" s="583">
        <f>VLOOKUP($H409,Nutrition_tables!$A:$AF,21,FALSE)*$Q409/100</f>
        <v>0</v>
      </c>
      <c r="AI409" s="583">
        <f>VLOOKUP($H409,Nutrition_tables!$A:$AF,22,FALSE)*$Q409/100</f>
        <v>0</v>
      </c>
      <c r="AJ409" s="549">
        <f>VLOOKUP($H409,Nutrition_tables!$A:$AF,23,FALSE)*$Q409/100</f>
        <v>0</v>
      </c>
      <c r="AK409" s="583">
        <f>VLOOKUP($H409,Nutrition_tables!$A:$AF,24,FALSE)*$Q409/100</f>
        <v>0</v>
      </c>
      <c r="AL409" s="583">
        <f>VLOOKUP($H409,Nutrition_tables!$A:$AF,25,FALSE)*$Q409/100</f>
        <v>0</v>
      </c>
      <c r="AM409" s="583">
        <f>VLOOKUP($H409,Nutrition_tables!$A:$AF,26,FALSE)*$Q409/100</f>
        <v>0</v>
      </c>
      <c r="AN409" s="583">
        <f>VLOOKUP($H409,Nutrition_tables!$A:$AF,27,FALSE)*$Q409/100</f>
        <v>0</v>
      </c>
      <c r="AO409" s="583">
        <f>VLOOKUP($H409,Nutrition_tables!$A:$AF,28,FALSE)*$Q409/100</f>
        <v>0</v>
      </c>
      <c r="AP409" s="583">
        <f>VLOOKUP($H409,Nutrition_tables!$A:$AF,29,FALSE)*$Q409/100</f>
        <v>0</v>
      </c>
      <c r="AQ409" s="583">
        <f>VLOOKUP($H409,Nutrition_tables!$A:$AF,30,FALSE)*$Q409/100</f>
        <v>0</v>
      </c>
      <c r="AR409" s="583">
        <f>VLOOKUP($H409,Nutrition_tables!$A:$AF,31,FALSE)*$Q409/100</f>
        <v>0</v>
      </c>
      <c r="AS409" s="549">
        <f>VLOOKUP($H409,Nutrition_tables!$A:$AF,32,FALSE)*$Q409/100</f>
        <v>0</v>
      </c>
      <c r="AT409" s="583" t="str">
        <f>IF(H409="Select ingredient:","",IF(G409="Select food category:","",IFERROR(VLOOKUP($H409,Ingredient_prices!$E:$W,17,FALSE)*$Q409/1000,"not bought")))</f>
        <v/>
      </c>
      <c r="AU409" s="583" t="str">
        <f>IF(H409="Select ingredient:","",IF(G409="Select food category:","",IFERROR(VLOOKUP($H409,Ingredient_prices!$E:$W,18,FALSE)*$Q409/1000,"not bought")))</f>
        <v/>
      </c>
      <c r="AV409" s="583">
        <f t="shared" si="959"/>
        <v>0</v>
      </c>
      <c r="AW409" s="583">
        <f t="shared" si="960"/>
        <v>0</v>
      </c>
      <c r="AX409" s="583">
        <f t="shared" si="961"/>
        <v>0</v>
      </c>
      <c r="AY409" s="583">
        <f t="shared" si="962"/>
        <v>0</v>
      </c>
      <c r="AZ409" s="583">
        <f t="shared" si="963"/>
        <v>0</v>
      </c>
      <c r="BA409" s="583">
        <f t="shared" si="964"/>
        <v>0</v>
      </c>
      <c r="BB409" s="583">
        <f t="shared" si="965"/>
        <v>0</v>
      </c>
      <c r="BC409" s="583">
        <f t="shared" si="966"/>
        <v>0</v>
      </c>
      <c r="BD409" s="583">
        <f t="shared" si="967"/>
        <v>0</v>
      </c>
      <c r="BE409" s="583">
        <f t="shared" si="968"/>
        <v>0</v>
      </c>
      <c r="BF409" s="583">
        <f t="shared" si="969"/>
        <v>0</v>
      </c>
      <c r="BG409" s="583">
        <f t="shared" si="970"/>
        <v>0</v>
      </c>
      <c r="BH409" s="583">
        <f t="shared" si="971"/>
        <v>0</v>
      </c>
      <c r="BI409" s="583">
        <f t="shared" si="972"/>
        <v>0</v>
      </c>
      <c r="BJ409" s="583">
        <f t="shared" si="973"/>
        <v>0</v>
      </c>
      <c r="BK409" s="583">
        <f t="shared" si="974"/>
        <v>0</v>
      </c>
      <c r="BL409" s="583">
        <f t="shared" si="975"/>
        <v>0</v>
      </c>
      <c r="BM409" s="583">
        <f t="shared" si="976"/>
        <v>0</v>
      </c>
      <c r="BN409" s="583">
        <f t="shared" si="977"/>
        <v>0</v>
      </c>
      <c r="BO409" s="583">
        <f t="shared" si="978"/>
        <v>0</v>
      </c>
      <c r="BP409" s="583">
        <f t="shared" si="979"/>
        <v>0</v>
      </c>
      <c r="BQ409" s="583">
        <f t="shared" si="980"/>
        <v>0</v>
      </c>
      <c r="BR409" s="583">
        <f t="shared" si="981"/>
        <v>0</v>
      </c>
    </row>
    <row r="410" spans="1:70" s="229" customFormat="1" ht="15" customHeight="1">
      <c r="A410" s="504"/>
      <c r="D410" s="85"/>
      <c r="E410" s="576">
        <f t="shared" si="983"/>
        <v>100</v>
      </c>
      <c r="F410" s="707"/>
      <c r="G410" s="406" t="s">
        <v>3054</v>
      </c>
      <c r="H410" s="1262" t="s">
        <v>3055</v>
      </c>
      <c r="I410" s="85">
        <v>0</v>
      </c>
      <c r="J410" s="682">
        <v>1</v>
      </c>
      <c r="K410" s="579" t="str">
        <f t="shared" si="957"/>
        <v/>
      </c>
      <c r="L410" s="580" t="str">
        <f>IF(H410="Select ingredient:","",IF(G410="","",_xlfn.IFNA(VLOOKUP($H410,Ingredient_prices!$E:$U,16,FALSE),0)))</f>
        <v/>
      </c>
      <c r="M410" s="850"/>
      <c r="N410" s="850"/>
      <c r="O410" s="666"/>
      <c r="P410" s="670"/>
      <c r="Q410" s="583">
        <f t="shared" si="958"/>
        <v>0</v>
      </c>
      <c r="R410" s="583">
        <f>VLOOKUP($H410,'CO2_emission+%_food_waste'!$A:$K,6,FALSE)*$Q410/100</f>
        <v>0</v>
      </c>
      <c r="S410" s="583">
        <f t="shared" si="982"/>
        <v>0</v>
      </c>
      <c r="T410" s="583" t="str">
        <f>IF(H410="Select ingredient:","",IF(G410="Select food category:","",_xlfn.IFNA(VLOOKUP($H410,Ingredient_prices!$E:$U,16,FALSE)*$Q410/1000,"not bought")))</f>
        <v/>
      </c>
      <c r="U410" s="583" t="str">
        <f>IF(G410="Select food category:","",_xlfn.IFNA(VLOOKUP($H410,Ingredient_prices!$E:$U,16,FALSE)*$R410/1000,"not bought"))</f>
        <v/>
      </c>
      <c r="V410" s="549">
        <f>VLOOKUP($H410,'CO2_emission+%_food_waste'!$A:$K,4,FALSE)*$Q410</f>
        <v>0</v>
      </c>
      <c r="W410" s="583">
        <f>VLOOKUP($H410,Nutrition_tables!$A:$N,10,FALSE)*$Q410/100</f>
        <v>0</v>
      </c>
      <c r="X410" s="583">
        <f>VLOOKUP($H410,Nutrition_tables!$A:$N,11,FALSE)*$Q410/100</f>
        <v>0</v>
      </c>
      <c r="Y410" s="583">
        <f>VLOOKUP($H410,Nutrition_tables!$A:$N,12,FALSE)*$Q410/100</f>
        <v>0</v>
      </c>
      <c r="Z410" s="583">
        <f>VLOOKUP($H410,Nutrition_tables!$A:$N,14,FALSE)*$Q410/100</f>
        <v>0</v>
      </c>
      <c r="AA410" s="583">
        <f>VLOOKUP($H410,Nutrition_tables!$A:$AF,13,FALSE)*$Q410/100</f>
        <v>0</v>
      </c>
      <c r="AB410" s="549">
        <f>VLOOKUP($H410,Nutrition_tables!$A:$AF,15,FALSE)*$Q410/100</f>
        <v>0</v>
      </c>
      <c r="AC410" s="583">
        <f>VLOOKUP($H410,Nutrition_tables!$A:$AF,16,FALSE)*$Q410/100</f>
        <v>0</v>
      </c>
      <c r="AD410" s="583">
        <f>VLOOKUP($H410,Nutrition_tables!$A:$AF,17,FALSE)*$Q410/100</f>
        <v>0</v>
      </c>
      <c r="AE410" s="583">
        <f>VLOOKUP($H410,Nutrition_tables!$A:$AF,18,FALSE)*$Q410/100</f>
        <v>0</v>
      </c>
      <c r="AF410" s="583">
        <f>VLOOKUP($H410,Nutrition_tables!$A:$AF,19,FALSE)*$Q410/100</f>
        <v>0</v>
      </c>
      <c r="AG410" s="583">
        <f>VLOOKUP($H410,Nutrition_tables!$A:$AF,20,FALSE)*$Q410/100</f>
        <v>0</v>
      </c>
      <c r="AH410" s="583">
        <f>VLOOKUP($H410,Nutrition_tables!$A:$AF,21,FALSE)*$Q410/100</f>
        <v>0</v>
      </c>
      <c r="AI410" s="583">
        <f>VLOOKUP($H410,Nutrition_tables!$A:$AF,22,FALSE)*$Q410/100</f>
        <v>0</v>
      </c>
      <c r="AJ410" s="549">
        <f>VLOOKUP($H410,Nutrition_tables!$A:$AF,23,FALSE)*$Q410/100</f>
        <v>0</v>
      </c>
      <c r="AK410" s="583">
        <f>VLOOKUP($H410,Nutrition_tables!$A:$AF,24,FALSE)*$Q410/100</f>
        <v>0</v>
      </c>
      <c r="AL410" s="583">
        <f>VLOOKUP($H410,Nutrition_tables!$A:$AF,25,FALSE)*$Q410/100</f>
        <v>0</v>
      </c>
      <c r="AM410" s="583">
        <f>VLOOKUP($H410,Nutrition_tables!$A:$AF,26,FALSE)*$Q410/100</f>
        <v>0</v>
      </c>
      <c r="AN410" s="583">
        <f>VLOOKUP($H410,Nutrition_tables!$A:$AF,27,FALSE)*$Q410/100</f>
        <v>0</v>
      </c>
      <c r="AO410" s="583">
        <f>VLOOKUP($H410,Nutrition_tables!$A:$AF,28,FALSE)*$Q410/100</f>
        <v>0</v>
      </c>
      <c r="AP410" s="583">
        <f>VLOOKUP($H410,Nutrition_tables!$A:$AF,29,FALSE)*$Q410/100</f>
        <v>0</v>
      </c>
      <c r="AQ410" s="583">
        <f>VLOOKUP($H410,Nutrition_tables!$A:$AF,30,FALSE)*$Q410/100</f>
        <v>0</v>
      </c>
      <c r="AR410" s="583">
        <f>VLOOKUP($H410,Nutrition_tables!$A:$AF,31,FALSE)*$Q410/100</f>
        <v>0</v>
      </c>
      <c r="AS410" s="549">
        <f>VLOOKUP($H410,Nutrition_tables!$A:$AF,32,FALSE)*$Q410/100</f>
        <v>0</v>
      </c>
      <c r="AT410" s="583" t="str">
        <f>IF(H410="Select ingredient:","",IF(G410="Select food category:","",IFERROR(VLOOKUP($H410,Ingredient_prices!$E:$W,17,FALSE)*$Q410/1000,"not bought")))</f>
        <v/>
      </c>
      <c r="AU410" s="583" t="str">
        <f>IF(H410="Select ingredient:","",IF(G410="Select food category:","",IFERROR(VLOOKUP($H410,Ingredient_prices!$E:$W,18,FALSE)*$Q410/1000,"not bought")))</f>
        <v/>
      </c>
      <c r="AV410" s="583">
        <f t="shared" si="959"/>
        <v>0</v>
      </c>
      <c r="AW410" s="583">
        <f t="shared" si="960"/>
        <v>0</v>
      </c>
      <c r="AX410" s="583">
        <f t="shared" si="961"/>
        <v>0</v>
      </c>
      <c r="AY410" s="583">
        <f t="shared" si="962"/>
        <v>0</v>
      </c>
      <c r="AZ410" s="583">
        <f t="shared" si="963"/>
        <v>0</v>
      </c>
      <c r="BA410" s="583">
        <f t="shared" si="964"/>
        <v>0</v>
      </c>
      <c r="BB410" s="583">
        <f t="shared" si="965"/>
        <v>0</v>
      </c>
      <c r="BC410" s="583">
        <f t="shared" si="966"/>
        <v>0</v>
      </c>
      <c r="BD410" s="583">
        <f t="shared" si="967"/>
        <v>0</v>
      </c>
      <c r="BE410" s="583">
        <f t="shared" si="968"/>
        <v>0</v>
      </c>
      <c r="BF410" s="583">
        <f t="shared" si="969"/>
        <v>0</v>
      </c>
      <c r="BG410" s="583">
        <f t="shared" si="970"/>
        <v>0</v>
      </c>
      <c r="BH410" s="583">
        <f t="shared" si="971"/>
        <v>0</v>
      </c>
      <c r="BI410" s="583">
        <f t="shared" si="972"/>
        <v>0</v>
      </c>
      <c r="BJ410" s="583">
        <f t="shared" si="973"/>
        <v>0</v>
      </c>
      <c r="BK410" s="583">
        <f t="shared" si="974"/>
        <v>0</v>
      </c>
      <c r="BL410" s="583">
        <f t="shared" si="975"/>
        <v>0</v>
      </c>
      <c r="BM410" s="583">
        <f t="shared" si="976"/>
        <v>0</v>
      </c>
      <c r="BN410" s="583">
        <f t="shared" si="977"/>
        <v>0</v>
      </c>
      <c r="BO410" s="583">
        <f t="shared" si="978"/>
        <v>0</v>
      </c>
      <c r="BP410" s="583">
        <f t="shared" si="979"/>
        <v>0</v>
      </c>
      <c r="BQ410" s="583">
        <f t="shared" si="980"/>
        <v>0</v>
      </c>
      <c r="BR410" s="583">
        <f t="shared" si="981"/>
        <v>0</v>
      </c>
    </row>
    <row r="411" spans="1:70" s="229" customFormat="1" ht="15" customHeight="1">
      <c r="A411" s="504"/>
      <c r="D411" s="85"/>
      <c r="E411" s="576">
        <f t="shared" si="983"/>
        <v>100</v>
      </c>
      <c r="F411" s="707"/>
      <c r="G411" s="406" t="s">
        <v>3054</v>
      </c>
      <c r="H411" s="1262" t="s">
        <v>3055</v>
      </c>
      <c r="I411" s="85">
        <v>0</v>
      </c>
      <c r="J411" s="682">
        <v>1</v>
      </c>
      <c r="K411" s="579" t="str">
        <f t="shared" si="957"/>
        <v/>
      </c>
      <c r="L411" s="580" t="str">
        <f>IF(H411="Select ingredient:","",IF(G411="","",_xlfn.IFNA(VLOOKUP($H411,Ingredient_prices!$E:$U,16,FALSE),0)))</f>
        <v/>
      </c>
      <c r="M411" s="850"/>
      <c r="N411" s="850"/>
      <c r="O411" s="666"/>
      <c r="P411" s="670"/>
      <c r="Q411" s="583">
        <f t="shared" si="958"/>
        <v>0</v>
      </c>
      <c r="R411" s="583">
        <f>VLOOKUP($H411,'CO2_emission+%_food_waste'!$A:$K,6,FALSE)*$Q411/100</f>
        <v>0</v>
      </c>
      <c r="S411" s="583">
        <f t="shared" si="982"/>
        <v>0</v>
      </c>
      <c r="T411" s="583" t="str">
        <f>IF(H411="Select ingredient:","",IF(G411="Select food category:","",_xlfn.IFNA(VLOOKUP($H411,Ingredient_prices!$E:$U,16,FALSE)*$Q411/1000,"not bought")))</f>
        <v/>
      </c>
      <c r="U411" s="583" t="str">
        <f>IF(G411="Select food category:","",_xlfn.IFNA(VLOOKUP($H411,Ingredient_prices!$E:$U,16,FALSE)*$R411/1000,"not bought"))</f>
        <v/>
      </c>
      <c r="V411" s="549">
        <f>VLOOKUP($H411,'CO2_emission+%_food_waste'!$A:$K,4,FALSE)*$Q411</f>
        <v>0</v>
      </c>
      <c r="W411" s="583">
        <f>VLOOKUP($H411,Nutrition_tables!$A:$N,10,FALSE)*$Q411/100</f>
        <v>0</v>
      </c>
      <c r="X411" s="583">
        <f>VLOOKUP($H411,Nutrition_tables!$A:$N,11,FALSE)*$Q411/100</f>
        <v>0</v>
      </c>
      <c r="Y411" s="583">
        <f>VLOOKUP($H411,Nutrition_tables!$A:$N,12,FALSE)*$Q411/100</f>
        <v>0</v>
      </c>
      <c r="Z411" s="583">
        <f>VLOOKUP($H411,Nutrition_tables!$A:$N,14,FALSE)*$Q411/100</f>
        <v>0</v>
      </c>
      <c r="AA411" s="583">
        <f>VLOOKUP($H411,Nutrition_tables!$A:$AF,13,FALSE)*$Q411/100</f>
        <v>0</v>
      </c>
      <c r="AB411" s="549">
        <f>VLOOKUP($H411,Nutrition_tables!$A:$AF,15,FALSE)*$Q411/100</f>
        <v>0</v>
      </c>
      <c r="AC411" s="583">
        <f>VLOOKUP($H411,Nutrition_tables!$A:$AF,16,FALSE)*$Q411/100</f>
        <v>0</v>
      </c>
      <c r="AD411" s="583">
        <f>VLOOKUP($H411,Nutrition_tables!$A:$AF,17,FALSE)*$Q411/100</f>
        <v>0</v>
      </c>
      <c r="AE411" s="583">
        <f>VLOOKUP($H411,Nutrition_tables!$A:$AF,18,FALSE)*$Q411/100</f>
        <v>0</v>
      </c>
      <c r="AF411" s="583">
        <f>VLOOKUP($H411,Nutrition_tables!$A:$AF,19,FALSE)*$Q411/100</f>
        <v>0</v>
      </c>
      <c r="AG411" s="583">
        <f>VLOOKUP($H411,Nutrition_tables!$A:$AF,20,FALSE)*$Q411/100</f>
        <v>0</v>
      </c>
      <c r="AH411" s="583">
        <f>VLOOKUP($H411,Nutrition_tables!$A:$AF,21,FALSE)*$Q411/100</f>
        <v>0</v>
      </c>
      <c r="AI411" s="583">
        <f>VLOOKUP($H411,Nutrition_tables!$A:$AF,22,FALSE)*$Q411/100</f>
        <v>0</v>
      </c>
      <c r="AJ411" s="549">
        <f>VLOOKUP($H411,Nutrition_tables!$A:$AF,23,FALSE)*$Q411/100</f>
        <v>0</v>
      </c>
      <c r="AK411" s="583">
        <f>VLOOKUP($H411,Nutrition_tables!$A:$AF,24,FALSE)*$Q411/100</f>
        <v>0</v>
      </c>
      <c r="AL411" s="583">
        <f>VLOOKUP($H411,Nutrition_tables!$A:$AF,25,FALSE)*$Q411/100</f>
        <v>0</v>
      </c>
      <c r="AM411" s="583">
        <f>VLOOKUP($H411,Nutrition_tables!$A:$AF,26,FALSE)*$Q411/100</f>
        <v>0</v>
      </c>
      <c r="AN411" s="583">
        <f>VLOOKUP($H411,Nutrition_tables!$A:$AF,27,FALSE)*$Q411/100</f>
        <v>0</v>
      </c>
      <c r="AO411" s="583">
        <f>VLOOKUP($H411,Nutrition_tables!$A:$AF,28,FALSE)*$Q411/100</f>
        <v>0</v>
      </c>
      <c r="AP411" s="583">
        <f>VLOOKUP($H411,Nutrition_tables!$A:$AF,29,FALSE)*$Q411/100</f>
        <v>0</v>
      </c>
      <c r="AQ411" s="583">
        <f>VLOOKUP($H411,Nutrition_tables!$A:$AF,30,FALSE)*$Q411/100</f>
        <v>0</v>
      </c>
      <c r="AR411" s="583">
        <f>VLOOKUP($H411,Nutrition_tables!$A:$AF,31,FALSE)*$Q411/100</f>
        <v>0</v>
      </c>
      <c r="AS411" s="549">
        <f>VLOOKUP($H411,Nutrition_tables!$A:$AF,32,FALSE)*$Q411/100</f>
        <v>0</v>
      </c>
      <c r="AT411" s="583" t="str">
        <f>IF(H411="Select ingredient:","",IF(G411="Select food category:","",IFERROR(VLOOKUP($H411,Ingredient_prices!$E:$W,17,FALSE)*$Q411/1000,"not bought")))</f>
        <v/>
      </c>
      <c r="AU411" s="583" t="str">
        <f>IF(H411="Select ingredient:","",IF(G411="Select food category:","",IFERROR(VLOOKUP($H411,Ingredient_prices!$E:$W,18,FALSE)*$Q411/1000,"not bought")))</f>
        <v/>
      </c>
      <c r="AV411" s="583">
        <f t="shared" si="959"/>
        <v>0</v>
      </c>
      <c r="AW411" s="583">
        <f t="shared" si="960"/>
        <v>0</v>
      </c>
      <c r="AX411" s="583">
        <f t="shared" si="961"/>
        <v>0</v>
      </c>
      <c r="AY411" s="583">
        <f t="shared" si="962"/>
        <v>0</v>
      </c>
      <c r="AZ411" s="583">
        <f t="shared" si="963"/>
        <v>0</v>
      </c>
      <c r="BA411" s="583">
        <f t="shared" si="964"/>
        <v>0</v>
      </c>
      <c r="BB411" s="583">
        <f t="shared" si="965"/>
        <v>0</v>
      </c>
      <c r="BC411" s="583">
        <f t="shared" si="966"/>
        <v>0</v>
      </c>
      <c r="BD411" s="583">
        <f t="shared" si="967"/>
        <v>0</v>
      </c>
      <c r="BE411" s="583">
        <f t="shared" si="968"/>
        <v>0</v>
      </c>
      <c r="BF411" s="583">
        <f t="shared" si="969"/>
        <v>0</v>
      </c>
      <c r="BG411" s="583">
        <f t="shared" si="970"/>
        <v>0</v>
      </c>
      <c r="BH411" s="583">
        <f t="shared" si="971"/>
        <v>0</v>
      </c>
      <c r="BI411" s="583">
        <f t="shared" si="972"/>
        <v>0</v>
      </c>
      <c r="BJ411" s="583">
        <f t="shared" si="973"/>
        <v>0</v>
      </c>
      <c r="BK411" s="583">
        <f t="shared" si="974"/>
        <v>0</v>
      </c>
      <c r="BL411" s="583">
        <f t="shared" si="975"/>
        <v>0</v>
      </c>
      <c r="BM411" s="583">
        <f t="shared" si="976"/>
        <v>0</v>
      </c>
      <c r="BN411" s="583">
        <f t="shared" si="977"/>
        <v>0</v>
      </c>
      <c r="BO411" s="583">
        <f t="shared" si="978"/>
        <v>0</v>
      </c>
      <c r="BP411" s="583">
        <f t="shared" si="979"/>
        <v>0</v>
      </c>
      <c r="BQ411" s="583">
        <f t="shared" si="980"/>
        <v>0</v>
      </c>
      <c r="BR411" s="583">
        <f t="shared" si="981"/>
        <v>0</v>
      </c>
    </row>
    <row r="412" spans="1:70" s="229" customFormat="1" ht="15" customHeight="1">
      <c r="A412" s="504"/>
      <c r="D412" s="85"/>
      <c r="E412" s="576">
        <f t="shared" si="983"/>
        <v>100</v>
      </c>
      <c r="F412" s="707"/>
      <c r="G412" s="406" t="s">
        <v>3054</v>
      </c>
      <c r="H412" s="1262" t="s">
        <v>3055</v>
      </c>
      <c r="I412" s="85">
        <v>0</v>
      </c>
      <c r="J412" s="682">
        <v>1</v>
      </c>
      <c r="K412" s="579" t="str">
        <f t="shared" si="957"/>
        <v/>
      </c>
      <c r="L412" s="580" t="str">
        <f>IF(H412="Select ingredient:","",IF(G412="","",_xlfn.IFNA(VLOOKUP($H412,Ingredient_prices!$E:$U,16,FALSE),0)))</f>
        <v/>
      </c>
      <c r="M412" s="850"/>
      <c r="N412" s="850"/>
      <c r="O412" s="666"/>
      <c r="P412" s="670"/>
      <c r="Q412" s="583">
        <f t="shared" si="958"/>
        <v>0</v>
      </c>
      <c r="R412" s="583">
        <f>VLOOKUP($H412,'CO2_emission+%_food_waste'!$A:$K,6,FALSE)*$Q412/100</f>
        <v>0</v>
      </c>
      <c r="S412" s="583">
        <f t="shared" si="982"/>
        <v>0</v>
      </c>
      <c r="T412" s="583" t="str">
        <f>IF(H412="Select ingredient:","",IF(G412="Select food category:","",_xlfn.IFNA(VLOOKUP($H412,Ingredient_prices!$E:$U,16,FALSE)*$Q412/1000,"not bought")))</f>
        <v/>
      </c>
      <c r="U412" s="583" t="str">
        <f>IF(G412="Select food category:","",_xlfn.IFNA(VLOOKUP($H412,Ingredient_prices!$E:$U,16,FALSE)*$R412/1000,"not bought"))</f>
        <v/>
      </c>
      <c r="V412" s="549">
        <f>VLOOKUP($H412,'CO2_emission+%_food_waste'!$A:$K,4,FALSE)*$Q412</f>
        <v>0</v>
      </c>
      <c r="W412" s="583">
        <f>VLOOKUP($H412,Nutrition_tables!$A:$N,10,FALSE)*$Q412/100</f>
        <v>0</v>
      </c>
      <c r="X412" s="583">
        <f>VLOOKUP($H412,Nutrition_tables!$A:$N,11,FALSE)*$Q412/100</f>
        <v>0</v>
      </c>
      <c r="Y412" s="583">
        <f>VLOOKUP($H412,Nutrition_tables!$A:$N,12,FALSE)*$Q412/100</f>
        <v>0</v>
      </c>
      <c r="Z412" s="583">
        <f>VLOOKUP($H412,Nutrition_tables!$A:$N,14,FALSE)*$Q412/100</f>
        <v>0</v>
      </c>
      <c r="AA412" s="583">
        <f>VLOOKUP($H412,Nutrition_tables!$A:$AF,13,FALSE)*$Q412/100</f>
        <v>0</v>
      </c>
      <c r="AB412" s="549">
        <f>VLOOKUP($H412,Nutrition_tables!$A:$AF,15,FALSE)*$Q412/100</f>
        <v>0</v>
      </c>
      <c r="AC412" s="583">
        <f>VLOOKUP($H412,Nutrition_tables!$A:$AF,16,FALSE)*$Q412/100</f>
        <v>0</v>
      </c>
      <c r="AD412" s="583">
        <f>VLOOKUP($H412,Nutrition_tables!$A:$AF,17,FALSE)*$Q412/100</f>
        <v>0</v>
      </c>
      <c r="AE412" s="583">
        <f>VLOOKUP($H412,Nutrition_tables!$A:$AF,18,FALSE)*$Q412/100</f>
        <v>0</v>
      </c>
      <c r="AF412" s="583">
        <f>VLOOKUP($H412,Nutrition_tables!$A:$AF,19,FALSE)*$Q412/100</f>
        <v>0</v>
      </c>
      <c r="AG412" s="583">
        <f>VLOOKUP($H412,Nutrition_tables!$A:$AF,20,FALSE)*$Q412/100</f>
        <v>0</v>
      </c>
      <c r="AH412" s="583">
        <f>VLOOKUP($H412,Nutrition_tables!$A:$AF,21,FALSE)*$Q412/100</f>
        <v>0</v>
      </c>
      <c r="AI412" s="583">
        <f>VLOOKUP($H412,Nutrition_tables!$A:$AF,22,FALSE)*$Q412/100</f>
        <v>0</v>
      </c>
      <c r="AJ412" s="549">
        <f>VLOOKUP($H412,Nutrition_tables!$A:$AF,23,FALSE)*$Q412/100</f>
        <v>0</v>
      </c>
      <c r="AK412" s="583">
        <f>VLOOKUP($H412,Nutrition_tables!$A:$AF,24,FALSE)*$Q412/100</f>
        <v>0</v>
      </c>
      <c r="AL412" s="583">
        <f>VLOOKUP($H412,Nutrition_tables!$A:$AF,25,FALSE)*$Q412/100</f>
        <v>0</v>
      </c>
      <c r="AM412" s="583">
        <f>VLOOKUP($H412,Nutrition_tables!$A:$AF,26,FALSE)*$Q412/100</f>
        <v>0</v>
      </c>
      <c r="AN412" s="583">
        <f>VLOOKUP($H412,Nutrition_tables!$A:$AF,27,FALSE)*$Q412/100</f>
        <v>0</v>
      </c>
      <c r="AO412" s="583">
        <f>VLOOKUP($H412,Nutrition_tables!$A:$AF,28,FALSE)*$Q412/100</f>
        <v>0</v>
      </c>
      <c r="AP412" s="583">
        <f>VLOOKUP($H412,Nutrition_tables!$A:$AF,29,FALSE)*$Q412/100</f>
        <v>0</v>
      </c>
      <c r="AQ412" s="583">
        <f>VLOOKUP($H412,Nutrition_tables!$A:$AF,30,FALSE)*$Q412/100</f>
        <v>0</v>
      </c>
      <c r="AR412" s="583">
        <f>VLOOKUP($H412,Nutrition_tables!$A:$AF,31,FALSE)*$Q412/100</f>
        <v>0</v>
      </c>
      <c r="AS412" s="549">
        <f>VLOOKUP($H412,Nutrition_tables!$A:$AF,32,FALSE)*$Q412/100</f>
        <v>0</v>
      </c>
      <c r="AT412" s="583" t="str">
        <f>IF(H412="Select ingredient:","",IF(G412="Select food category:","",IFERROR(VLOOKUP($H412,Ingredient_prices!$E:$W,17,FALSE)*$Q412/1000,"not bought")))</f>
        <v/>
      </c>
      <c r="AU412" s="583" t="str">
        <f>IF(H412="Select ingredient:","",IF(G412="Select food category:","",IFERROR(VLOOKUP($H412,Ingredient_prices!$E:$W,18,FALSE)*$Q412/1000,"not bought")))</f>
        <v/>
      </c>
      <c r="AV412" s="583">
        <f t="shared" si="959"/>
        <v>0</v>
      </c>
      <c r="AW412" s="583">
        <f t="shared" si="960"/>
        <v>0</v>
      </c>
      <c r="AX412" s="583">
        <f t="shared" si="961"/>
        <v>0</v>
      </c>
      <c r="AY412" s="583">
        <f t="shared" si="962"/>
        <v>0</v>
      </c>
      <c r="AZ412" s="583">
        <f t="shared" si="963"/>
        <v>0</v>
      </c>
      <c r="BA412" s="583">
        <f t="shared" si="964"/>
        <v>0</v>
      </c>
      <c r="BB412" s="583">
        <f t="shared" si="965"/>
        <v>0</v>
      </c>
      <c r="BC412" s="583">
        <f t="shared" si="966"/>
        <v>0</v>
      </c>
      <c r="BD412" s="583">
        <f t="shared" si="967"/>
        <v>0</v>
      </c>
      <c r="BE412" s="583">
        <f t="shared" si="968"/>
        <v>0</v>
      </c>
      <c r="BF412" s="583">
        <f t="shared" si="969"/>
        <v>0</v>
      </c>
      <c r="BG412" s="583">
        <f t="shared" si="970"/>
        <v>0</v>
      </c>
      <c r="BH412" s="583">
        <f t="shared" si="971"/>
        <v>0</v>
      </c>
      <c r="BI412" s="583">
        <f t="shared" si="972"/>
        <v>0</v>
      </c>
      <c r="BJ412" s="583">
        <f t="shared" si="973"/>
        <v>0</v>
      </c>
      <c r="BK412" s="583">
        <f t="shared" si="974"/>
        <v>0</v>
      </c>
      <c r="BL412" s="583">
        <f t="shared" si="975"/>
        <v>0</v>
      </c>
      <c r="BM412" s="583">
        <f t="shared" si="976"/>
        <v>0</v>
      </c>
      <c r="BN412" s="583">
        <f t="shared" si="977"/>
        <v>0</v>
      </c>
      <c r="BO412" s="583">
        <f t="shared" si="978"/>
        <v>0</v>
      </c>
      <c r="BP412" s="583">
        <f t="shared" si="979"/>
        <v>0</v>
      </c>
      <c r="BQ412" s="583">
        <f t="shared" si="980"/>
        <v>0</v>
      </c>
      <c r="BR412" s="583">
        <f t="shared" si="981"/>
        <v>0</v>
      </c>
    </row>
    <row r="413" spans="1:70" s="229" customFormat="1" ht="15" customHeight="1">
      <c r="A413" s="504"/>
      <c r="D413" s="85"/>
      <c r="E413" s="576">
        <f t="shared" si="983"/>
        <v>100</v>
      </c>
      <c r="F413" s="707"/>
      <c r="G413" s="406" t="s">
        <v>3054</v>
      </c>
      <c r="H413" s="1262" t="s">
        <v>3055</v>
      </c>
      <c r="I413" s="85">
        <v>0</v>
      </c>
      <c r="J413" s="682">
        <v>1</v>
      </c>
      <c r="K413" s="579" t="str">
        <f t="shared" si="957"/>
        <v/>
      </c>
      <c r="L413" s="580" t="str">
        <f>IF(H413="Select ingredient:","",IF(G413="","",_xlfn.IFNA(VLOOKUP($H413,Ingredient_prices!$E:$U,16,FALSE),0)))</f>
        <v/>
      </c>
      <c r="M413" s="850"/>
      <c r="N413" s="850"/>
      <c r="O413" s="666"/>
      <c r="P413" s="670"/>
      <c r="Q413" s="583">
        <f t="shared" si="958"/>
        <v>0</v>
      </c>
      <c r="R413" s="583">
        <f>VLOOKUP($H413,'CO2_emission+%_food_waste'!$A:$K,6,FALSE)*$Q413/100</f>
        <v>0</v>
      </c>
      <c r="S413" s="583">
        <f t="shared" si="982"/>
        <v>0</v>
      </c>
      <c r="T413" s="583" t="str">
        <f>IF(H413="Select ingredient:","",IF(G413="Select food category:","",_xlfn.IFNA(VLOOKUP($H413,Ingredient_prices!$E:$U,16,FALSE)*$Q413/1000,"not bought")))</f>
        <v/>
      </c>
      <c r="U413" s="583" t="str">
        <f>IF(G413="Select food category:","",_xlfn.IFNA(VLOOKUP($H413,Ingredient_prices!$E:$U,16,FALSE)*$R413/1000,"not bought"))</f>
        <v/>
      </c>
      <c r="V413" s="549">
        <f>VLOOKUP($H413,'CO2_emission+%_food_waste'!$A:$K,4,FALSE)*$Q413</f>
        <v>0</v>
      </c>
      <c r="W413" s="583">
        <f>VLOOKUP($H413,Nutrition_tables!$A:$N,10,FALSE)*$Q413/100</f>
        <v>0</v>
      </c>
      <c r="X413" s="583">
        <f>VLOOKUP($H413,Nutrition_tables!$A:$N,11,FALSE)*$Q413/100</f>
        <v>0</v>
      </c>
      <c r="Y413" s="583">
        <f>VLOOKUP($H413,Nutrition_tables!$A:$N,12,FALSE)*$Q413/100</f>
        <v>0</v>
      </c>
      <c r="Z413" s="583">
        <f>VLOOKUP($H413,Nutrition_tables!$A:$N,14,FALSE)*$Q413/100</f>
        <v>0</v>
      </c>
      <c r="AA413" s="583">
        <f>VLOOKUP($H413,Nutrition_tables!$A:$AF,13,FALSE)*$Q413/100</f>
        <v>0</v>
      </c>
      <c r="AB413" s="549">
        <f>VLOOKUP($H413,Nutrition_tables!$A:$AF,15,FALSE)*$Q413/100</f>
        <v>0</v>
      </c>
      <c r="AC413" s="583">
        <f>VLOOKUP($H413,Nutrition_tables!$A:$AF,16,FALSE)*$Q413/100</f>
        <v>0</v>
      </c>
      <c r="AD413" s="583">
        <f>VLOOKUP($H413,Nutrition_tables!$A:$AF,17,FALSE)*$Q413/100</f>
        <v>0</v>
      </c>
      <c r="AE413" s="583">
        <f>VLOOKUP($H413,Nutrition_tables!$A:$AF,18,FALSE)*$Q413/100</f>
        <v>0</v>
      </c>
      <c r="AF413" s="583">
        <f>VLOOKUP($H413,Nutrition_tables!$A:$AF,19,FALSE)*$Q413/100</f>
        <v>0</v>
      </c>
      <c r="AG413" s="583">
        <f>VLOOKUP($H413,Nutrition_tables!$A:$AF,20,FALSE)*$Q413/100</f>
        <v>0</v>
      </c>
      <c r="AH413" s="583">
        <f>VLOOKUP($H413,Nutrition_tables!$A:$AF,21,FALSE)*$Q413/100</f>
        <v>0</v>
      </c>
      <c r="AI413" s="583">
        <f>VLOOKUP($H413,Nutrition_tables!$A:$AF,22,FALSE)*$Q413/100</f>
        <v>0</v>
      </c>
      <c r="AJ413" s="549">
        <f>VLOOKUP($H413,Nutrition_tables!$A:$AF,23,FALSE)*$Q413/100</f>
        <v>0</v>
      </c>
      <c r="AK413" s="583">
        <f>VLOOKUP($H413,Nutrition_tables!$A:$AF,24,FALSE)*$Q413/100</f>
        <v>0</v>
      </c>
      <c r="AL413" s="583">
        <f>VLOOKUP($H413,Nutrition_tables!$A:$AF,25,FALSE)*$Q413/100</f>
        <v>0</v>
      </c>
      <c r="AM413" s="583">
        <f>VLOOKUP($H413,Nutrition_tables!$A:$AF,26,FALSE)*$Q413/100</f>
        <v>0</v>
      </c>
      <c r="AN413" s="583">
        <f>VLOOKUP($H413,Nutrition_tables!$A:$AF,27,FALSE)*$Q413/100</f>
        <v>0</v>
      </c>
      <c r="AO413" s="583">
        <f>VLOOKUP($H413,Nutrition_tables!$A:$AF,28,FALSE)*$Q413/100</f>
        <v>0</v>
      </c>
      <c r="AP413" s="583">
        <f>VLOOKUP($H413,Nutrition_tables!$A:$AF,29,FALSE)*$Q413/100</f>
        <v>0</v>
      </c>
      <c r="AQ413" s="583">
        <f>VLOOKUP($H413,Nutrition_tables!$A:$AF,30,FALSE)*$Q413/100</f>
        <v>0</v>
      </c>
      <c r="AR413" s="583">
        <f>VLOOKUP($H413,Nutrition_tables!$A:$AF,31,FALSE)*$Q413/100</f>
        <v>0</v>
      </c>
      <c r="AS413" s="549">
        <f>VLOOKUP($H413,Nutrition_tables!$A:$AF,32,FALSE)*$Q413/100</f>
        <v>0</v>
      </c>
      <c r="AT413" s="583" t="str">
        <f>IF(H413="Select ingredient:","",IF(G413="Select food category:","",IFERROR(VLOOKUP($H413,Ingredient_prices!$E:$W,17,FALSE)*$Q413/1000,"not bought")))</f>
        <v/>
      </c>
      <c r="AU413" s="583" t="str">
        <f>IF(H413="Select ingredient:","",IF(G413="Select food category:","",IFERROR(VLOOKUP($H413,Ingredient_prices!$E:$W,18,FALSE)*$Q413/1000,"not bought")))</f>
        <v/>
      </c>
      <c r="AV413" s="583">
        <f t="shared" si="959"/>
        <v>0</v>
      </c>
      <c r="AW413" s="583">
        <f t="shared" si="960"/>
        <v>0</v>
      </c>
      <c r="AX413" s="583">
        <f t="shared" si="961"/>
        <v>0</v>
      </c>
      <c r="AY413" s="583">
        <f t="shared" si="962"/>
        <v>0</v>
      </c>
      <c r="AZ413" s="583">
        <f t="shared" si="963"/>
        <v>0</v>
      </c>
      <c r="BA413" s="583">
        <f t="shared" si="964"/>
        <v>0</v>
      </c>
      <c r="BB413" s="583">
        <f t="shared" si="965"/>
        <v>0</v>
      </c>
      <c r="BC413" s="583">
        <f t="shared" si="966"/>
        <v>0</v>
      </c>
      <c r="BD413" s="583">
        <f t="shared" si="967"/>
        <v>0</v>
      </c>
      <c r="BE413" s="583">
        <f t="shared" si="968"/>
        <v>0</v>
      </c>
      <c r="BF413" s="583">
        <f t="shared" si="969"/>
        <v>0</v>
      </c>
      <c r="BG413" s="583">
        <f t="shared" si="970"/>
        <v>0</v>
      </c>
      <c r="BH413" s="583">
        <f t="shared" si="971"/>
        <v>0</v>
      </c>
      <c r="BI413" s="583">
        <f t="shared" si="972"/>
        <v>0</v>
      </c>
      <c r="BJ413" s="583">
        <f t="shared" si="973"/>
        <v>0</v>
      </c>
      <c r="BK413" s="583">
        <f t="shared" si="974"/>
        <v>0</v>
      </c>
      <c r="BL413" s="583">
        <f t="shared" si="975"/>
        <v>0</v>
      </c>
      <c r="BM413" s="583">
        <f t="shared" si="976"/>
        <v>0</v>
      </c>
      <c r="BN413" s="583">
        <f t="shared" si="977"/>
        <v>0</v>
      </c>
      <c r="BO413" s="583">
        <f t="shared" si="978"/>
        <v>0</v>
      </c>
      <c r="BP413" s="583">
        <f t="shared" si="979"/>
        <v>0</v>
      </c>
      <c r="BQ413" s="583">
        <f t="shared" si="980"/>
        <v>0</v>
      </c>
      <c r="BR413" s="583">
        <f t="shared" si="981"/>
        <v>0</v>
      </c>
    </row>
    <row r="414" spans="1:70" s="229" customFormat="1" ht="15" customHeight="1">
      <c r="A414" s="504"/>
      <c r="D414" s="85"/>
      <c r="E414" s="576">
        <f t="shared" si="983"/>
        <v>100</v>
      </c>
      <c r="F414" s="707"/>
      <c r="G414" s="406" t="s">
        <v>3054</v>
      </c>
      <c r="H414" s="1262" t="s">
        <v>3055</v>
      </c>
      <c r="I414" s="85">
        <v>0</v>
      </c>
      <c r="J414" s="682">
        <v>1</v>
      </c>
      <c r="K414" s="579" t="str">
        <f t="shared" si="957"/>
        <v/>
      </c>
      <c r="L414" s="580" t="str">
        <f>IF(H414="Select ingredient:","",IF(G414="","",_xlfn.IFNA(VLOOKUP($H414,Ingredient_prices!$E:$U,16,FALSE),0)))</f>
        <v/>
      </c>
      <c r="M414" s="850"/>
      <c r="N414" s="850"/>
      <c r="O414" s="666"/>
      <c r="P414" s="670"/>
      <c r="Q414" s="583">
        <f t="shared" si="958"/>
        <v>0</v>
      </c>
      <c r="R414" s="583">
        <f>VLOOKUP($H414,'CO2_emission+%_food_waste'!$A:$K,6,FALSE)*$Q414/100</f>
        <v>0</v>
      </c>
      <c r="S414" s="583">
        <f t="shared" si="982"/>
        <v>0</v>
      </c>
      <c r="T414" s="583" t="str">
        <f>IF(H414="Select ingredient:","",IF(G414="Select food category:","",_xlfn.IFNA(VLOOKUP($H414,Ingredient_prices!$E:$U,16,FALSE)*$Q414/1000,"not bought")))</f>
        <v/>
      </c>
      <c r="U414" s="583" t="str">
        <f>IF(G414="Select food category:","",_xlfn.IFNA(VLOOKUP($H414,Ingredient_prices!$E:$U,16,FALSE)*$R414/1000,"not bought"))</f>
        <v/>
      </c>
      <c r="V414" s="549">
        <f>VLOOKUP($H414,'CO2_emission+%_food_waste'!$A:$K,4,FALSE)*$Q414</f>
        <v>0</v>
      </c>
      <c r="W414" s="583">
        <f>VLOOKUP($H414,Nutrition_tables!$A:$N,10,FALSE)*$Q414/100</f>
        <v>0</v>
      </c>
      <c r="X414" s="583">
        <f>VLOOKUP($H414,Nutrition_tables!$A:$N,11,FALSE)*$Q414/100</f>
        <v>0</v>
      </c>
      <c r="Y414" s="583">
        <f>VLOOKUP($H414,Nutrition_tables!$A:$N,12,FALSE)*$Q414/100</f>
        <v>0</v>
      </c>
      <c r="Z414" s="583">
        <f>VLOOKUP($H414,Nutrition_tables!$A:$N,14,FALSE)*$Q414/100</f>
        <v>0</v>
      </c>
      <c r="AA414" s="583">
        <f>VLOOKUP($H414,Nutrition_tables!$A:$AF,13,FALSE)*$Q414/100</f>
        <v>0</v>
      </c>
      <c r="AB414" s="549">
        <f>VLOOKUP($H414,Nutrition_tables!$A:$AF,15,FALSE)*$Q414/100</f>
        <v>0</v>
      </c>
      <c r="AC414" s="583">
        <f>VLOOKUP($H414,Nutrition_tables!$A:$AF,16,FALSE)*$Q414/100</f>
        <v>0</v>
      </c>
      <c r="AD414" s="583">
        <f>VLOOKUP($H414,Nutrition_tables!$A:$AF,17,FALSE)*$Q414/100</f>
        <v>0</v>
      </c>
      <c r="AE414" s="583">
        <f>VLOOKUP($H414,Nutrition_tables!$A:$AF,18,FALSE)*$Q414/100</f>
        <v>0</v>
      </c>
      <c r="AF414" s="583">
        <f>VLOOKUP($H414,Nutrition_tables!$A:$AF,19,FALSE)*$Q414/100</f>
        <v>0</v>
      </c>
      <c r="AG414" s="583">
        <f>VLOOKUP($H414,Nutrition_tables!$A:$AF,20,FALSE)*$Q414/100</f>
        <v>0</v>
      </c>
      <c r="AH414" s="583">
        <f>VLOOKUP($H414,Nutrition_tables!$A:$AF,21,FALSE)*$Q414/100</f>
        <v>0</v>
      </c>
      <c r="AI414" s="583">
        <f>VLOOKUP($H414,Nutrition_tables!$A:$AF,22,FALSE)*$Q414/100</f>
        <v>0</v>
      </c>
      <c r="AJ414" s="549">
        <f>VLOOKUP($H414,Nutrition_tables!$A:$AF,23,FALSE)*$Q414/100</f>
        <v>0</v>
      </c>
      <c r="AK414" s="583">
        <f>VLOOKUP($H414,Nutrition_tables!$A:$AF,24,FALSE)*$Q414/100</f>
        <v>0</v>
      </c>
      <c r="AL414" s="583">
        <f>VLOOKUP($H414,Nutrition_tables!$A:$AF,25,FALSE)*$Q414/100</f>
        <v>0</v>
      </c>
      <c r="AM414" s="583">
        <f>VLOOKUP($H414,Nutrition_tables!$A:$AF,26,FALSE)*$Q414/100</f>
        <v>0</v>
      </c>
      <c r="AN414" s="583">
        <f>VLOOKUP($H414,Nutrition_tables!$A:$AF,27,FALSE)*$Q414/100</f>
        <v>0</v>
      </c>
      <c r="AO414" s="583">
        <f>VLOOKUP($H414,Nutrition_tables!$A:$AF,28,FALSE)*$Q414/100</f>
        <v>0</v>
      </c>
      <c r="AP414" s="583">
        <f>VLOOKUP($H414,Nutrition_tables!$A:$AF,29,FALSE)*$Q414/100</f>
        <v>0</v>
      </c>
      <c r="AQ414" s="583">
        <f>VLOOKUP($H414,Nutrition_tables!$A:$AF,30,FALSE)*$Q414/100</f>
        <v>0</v>
      </c>
      <c r="AR414" s="583">
        <f>VLOOKUP($H414,Nutrition_tables!$A:$AF,31,FALSE)*$Q414/100</f>
        <v>0</v>
      </c>
      <c r="AS414" s="549">
        <f>VLOOKUP($H414,Nutrition_tables!$A:$AF,32,FALSE)*$Q414/100</f>
        <v>0</v>
      </c>
      <c r="AT414" s="583" t="str">
        <f>IF(H414="Select ingredient:","",IF(G414="Select food category:","",IFERROR(VLOOKUP($H414,Ingredient_prices!$E:$W,17,FALSE)*$Q414/1000,"not bought")))</f>
        <v/>
      </c>
      <c r="AU414" s="583" t="str">
        <f>IF(H414="Select ingredient:","",IF(G414="Select food category:","",IFERROR(VLOOKUP($H414,Ingredient_prices!$E:$W,18,FALSE)*$Q414/1000,"not bought")))</f>
        <v/>
      </c>
      <c r="AV414" s="583">
        <f t="shared" si="959"/>
        <v>0</v>
      </c>
      <c r="AW414" s="583">
        <f t="shared" si="960"/>
        <v>0</v>
      </c>
      <c r="AX414" s="583">
        <f t="shared" si="961"/>
        <v>0</v>
      </c>
      <c r="AY414" s="583">
        <f t="shared" si="962"/>
        <v>0</v>
      </c>
      <c r="AZ414" s="583">
        <f t="shared" si="963"/>
        <v>0</v>
      </c>
      <c r="BA414" s="583">
        <f t="shared" si="964"/>
        <v>0</v>
      </c>
      <c r="BB414" s="583">
        <f t="shared" si="965"/>
        <v>0</v>
      </c>
      <c r="BC414" s="583">
        <f t="shared" si="966"/>
        <v>0</v>
      </c>
      <c r="BD414" s="583">
        <f t="shared" si="967"/>
        <v>0</v>
      </c>
      <c r="BE414" s="583">
        <f t="shared" si="968"/>
        <v>0</v>
      </c>
      <c r="BF414" s="583">
        <f t="shared" si="969"/>
        <v>0</v>
      </c>
      <c r="BG414" s="583">
        <f t="shared" si="970"/>
        <v>0</v>
      </c>
      <c r="BH414" s="583">
        <f t="shared" si="971"/>
        <v>0</v>
      </c>
      <c r="BI414" s="583">
        <f t="shared" si="972"/>
        <v>0</v>
      </c>
      <c r="BJ414" s="583">
        <f t="shared" si="973"/>
        <v>0</v>
      </c>
      <c r="BK414" s="583">
        <f t="shared" si="974"/>
        <v>0</v>
      </c>
      <c r="BL414" s="583">
        <f t="shared" si="975"/>
        <v>0</v>
      </c>
      <c r="BM414" s="583">
        <f t="shared" si="976"/>
        <v>0</v>
      </c>
      <c r="BN414" s="583">
        <f t="shared" si="977"/>
        <v>0</v>
      </c>
      <c r="BO414" s="583">
        <f t="shared" si="978"/>
        <v>0</v>
      </c>
      <c r="BP414" s="583">
        <f t="shared" si="979"/>
        <v>0</v>
      </c>
      <c r="BQ414" s="583">
        <f t="shared" si="980"/>
        <v>0</v>
      </c>
      <c r="BR414" s="583">
        <f t="shared" si="981"/>
        <v>0</v>
      </c>
    </row>
    <row r="415" spans="1:70" s="229" customFormat="1" ht="15" customHeight="1">
      <c r="A415" s="504"/>
      <c r="D415" s="85"/>
      <c r="E415" s="576">
        <f t="shared" si="983"/>
        <v>100</v>
      </c>
      <c r="F415" s="707"/>
      <c r="G415" s="406" t="s">
        <v>3054</v>
      </c>
      <c r="H415" s="1262" t="s">
        <v>3055</v>
      </c>
      <c r="I415" s="85">
        <v>0</v>
      </c>
      <c r="J415" s="682">
        <v>1</v>
      </c>
      <c r="K415" s="579" t="str">
        <f t="shared" si="957"/>
        <v/>
      </c>
      <c r="L415" s="580" t="str">
        <f>IF(H415="Select ingredient:","",IF(G415="","",_xlfn.IFNA(VLOOKUP($H415,Ingredient_prices!$E:$U,16,FALSE),0)))</f>
        <v/>
      </c>
      <c r="M415" s="850"/>
      <c r="N415" s="850"/>
      <c r="O415" s="666"/>
      <c r="P415" s="670"/>
      <c r="Q415" s="583">
        <f t="shared" si="958"/>
        <v>0</v>
      </c>
      <c r="R415" s="583">
        <f>VLOOKUP($H415,'CO2_emission+%_food_waste'!$A:$K,6,FALSE)*$Q415/100</f>
        <v>0</v>
      </c>
      <c r="S415" s="583">
        <f t="shared" si="982"/>
        <v>0</v>
      </c>
      <c r="T415" s="583" t="str">
        <f>IF(H415="Select ingredient:","",IF(G415="Select food category:","",_xlfn.IFNA(VLOOKUP($H415,Ingredient_prices!$E:$U,16,FALSE)*$Q415/1000,"not bought")))</f>
        <v/>
      </c>
      <c r="U415" s="583" t="str">
        <f>IF(G415="Select food category:","",_xlfn.IFNA(VLOOKUP($H415,Ingredient_prices!$E:$U,16,FALSE)*$R415/1000,"not bought"))</f>
        <v/>
      </c>
      <c r="V415" s="549">
        <f>VLOOKUP($H415,'CO2_emission+%_food_waste'!$A:$K,4,FALSE)*$Q415</f>
        <v>0</v>
      </c>
      <c r="W415" s="583">
        <f>VLOOKUP($H415,Nutrition_tables!$A:$N,10,FALSE)*$Q415/100</f>
        <v>0</v>
      </c>
      <c r="X415" s="583">
        <f>VLOOKUP($H415,Nutrition_tables!$A:$N,11,FALSE)*$Q415/100</f>
        <v>0</v>
      </c>
      <c r="Y415" s="583">
        <f>VLOOKUP($H415,Nutrition_tables!$A:$N,12,FALSE)*$Q415/100</f>
        <v>0</v>
      </c>
      <c r="Z415" s="583">
        <f>VLOOKUP($H415,Nutrition_tables!$A:$N,14,FALSE)*$Q415/100</f>
        <v>0</v>
      </c>
      <c r="AA415" s="583">
        <f>VLOOKUP($H415,Nutrition_tables!$A:$AF,13,FALSE)*$Q415/100</f>
        <v>0</v>
      </c>
      <c r="AB415" s="549">
        <f>VLOOKUP($H415,Nutrition_tables!$A:$AF,15,FALSE)*$Q415/100</f>
        <v>0</v>
      </c>
      <c r="AC415" s="583">
        <f>VLOOKUP($H415,Nutrition_tables!$A:$AF,16,FALSE)*$Q415/100</f>
        <v>0</v>
      </c>
      <c r="AD415" s="583">
        <f>VLOOKUP($H415,Nutrition_tables!$A:$AF,17,FALSE)*$Q415/100</f>
        <v>0</v>
      </c>
      <c r="AE415" s="583">
        <f>VLOOKUP($H415,Nutrition_tables!$A:$AF,18,FALSE)*$Q415/100</f>
        <v>0</v>
      </c>
      <c r="AF415" s="583">
        <f>VLOOKUP($H415,Nutrition_tables!$A:$AF,19,FALSE)*$Q415/100</f>
        <v>0</v>
      </c>
      <c r="AG415" s="583">
        <f>VLOOKUP($H415,Nutrition_tables!$A:$AF,20,FALSE)*$Q415/100</f>
        <v>0</v>
      </c>
      <c r="AH415" s="583">
        <f>VLOOKUP($H415,Nutrition_tables!$A:$AF,21,FALSE)*$Q415/100</f>
        <v>0</v>
      </c>
      <c r="AI415" s="583">
        <f>VLOOKUP($H415,Nutrition_tables!$A:$AF,22,FALSE)*$Q415/100</f>
        <v>0</v>
      </c>
      <c r="AJ415" s="549">
        <f>VLOOKUP($H415,Nutrition_tables!$A:$AF,23,FALSE)*$Q415/100</f>
        <v>0</v>
      </c>
      <c r="AK415" s="583">
        <f>VLOOKUP($H415,Nutrition_tables!$A:$AF,24,FALSE)*$Q415/100</f>
        <v>0</v>
      </c>
      <c r="AL415" s="583">
        <f>VLOOKUP($H415,Nutrition_tables!$A:$AF,25,FALSE)*$Q415/100</f>
        <v>0</v>
      </c>
      <c r="AM415" s="583">
        <f>VLOOKUP($H415,Nutrition_tables!$A:$AF,26,FALSE)*$Q415/100</f>
        <v>0</v>
      </c>
      <c r="AN415" s="583">
        <f>VLOOKUP($H415,Nutrition_tables!$A:$AF,27,FALSE)*$Q415/100</f>
        <v>0</v>
      </c>
      <c r="AO415" s="583">
        <f>VLOOKUP($H415,Nutrition_tables!$A:$AF,28,FALSE)*$Q415/100</f>
        <v>0</v>
      </c>
      <c r="AP415" s="583">
        <f>VLOOKUP($H415,Nutrition_tables!$A:$AF,29,FALSE)*$Q415/100</f>
        <v>0</v>
      </c>
      <c r="AQ415" s="583">
        <f>VLOOKUP($H415,Nutrition_tables!$A:$AF,30,FALSE)*$Q415/100</f>
        <v>0</v>
      </c>
      <c r="AR415" s="583">
        <f>VLOOKUP($H415,Nutrition_tables!$A:$AF,31,FALSE)*$Q415/100</f>
        <v>0</v>
      </c>
      <c r="AS415" s="549">
        <f>VLOOKUP($H415,Nutrition_tables!$A:$AF,32,FALSE)*$Q415/100</f>
        <v>0</v>
      </c>
      <c r="AT415" s="583" t="str">
        <f>IF(H415="Select ingredient:","",IF(G415="Select food category:","",IFERROR(VLOOKUP($H415,Ingredient_prices!$E:$W,17,FALSE)*$Q415/1000,"not bought")))</f>
        <v/>
      </c>
      <c r="AU415" s="583" t="str">
        <f>IF(H415="Select ingredient:","",IF(G415="Select food category:","",IFERROR(VLOOKUP($H415,Ingredient_prices!$E:$W,18,FALSE)*$Q415/1000,"not bought")))</f>
        <v/>
      </c>
      <c r="AV415" s="583">
        <f t="shared" si="959"/>
        <v>0</v>
      </c>
      <c r="AW415" s="583">
        <f t="shared" si="960"/>
        <v>0</v>
      </c>
      <c r="AX415" s="583">
        <f t="shared" si="961"/>
        <v>0</v>
      </c>
      <c r="AY415" s="583">
        <f t="shared" si="962"/>
        <v>0</v>
      </c>
      <c r="AZ415" s="583">
        <f t="shared" si="963"/>
        <v>0</v>
      </c>
      <c r="BA415" s="583">
        <f t="shared" si="964"/>
        <v>0</v>
      </c>
      <c r="BB415" s="583">
        <f t="shared" si="965"/>
        <v>0</v>
      </c>
      <c r="BC415" s="583">
        <f t="shared" si="966"/>
        <v>0</v>
      </c>
      <c r="BD415" s="583">
        <f t="shared" si="967"/>
        <v>0</v>
      </c>
      <c r="BE415" s="583">
        <f t="shared" si="968"/>
        <v>0</v>
      </c>
      <c r="BF415" s="583">
        <f t="shared" si="969"/>
        <v>0</v>
      </c>
      <c r="BG415" s="583">
        <f t="shared" si="970"/>
        <v>0</v>
      </c>
      <c r="BH415" s="583">
        <f t="shared" si="971"/>
        <v>0</v>
      </c>
      <c r="BI415" s="583">
        <f t="shared" si="972"/>
        <v>0</v>
      </c>
      <c r="BJ415" s="583">
        <f t="shared" si="973"/>
        <v>0</v>
      </c>
      <c r="BK415" s="583">
        <f t="shared" si="974"/>
        <v>0</v>
      </c>
      <c r="BL415" s="583">
        <f t="shared" si="975"/>
        <v>0</v>
      </c>
      <c r="BM415" s="583">
        <f t="shared" si="976"/>
        <v>0</v>
      </c>
      <c r="BN415" s="583">
        <f t="shared" si="977"/>
        <v>0</v>
      </c>
      <c r="BO415" s="583">
        <f t="shared" si="978"/>
        <v>0</v>
      </c>
      <c r="BP415" s="583">
        <f t="shared" si="979"/>
        <v>0</v>
      </c>
      <c r="BQ415" s="583">
        <f t="shared" si="980"/>
        <v>0</v>
      </c>
      <c r="BR415" s="583">
        <f t="shared" si="981"/>
        <v>0</v>
      </c>
    </row>
    <row r="416" spans="1:70" s="229" customFormat="1" ht="15" customHeight="1">
      <c r="A416" s="504"/>
      <c r="D416" s="85"/>
      <c r="E416" s="576">
        <f t="shared" si="983"/>
        <v>100</v>
      </c>
      <c r="F416" s="707"/>
      <c r="G416" s="406" t="s">
        <v>3054</v>
      </c>
      <c r="H416" s="1262" t="s">
        <v>3055</v>
      </c>
      <c r="I416" s="85">
        <v>0</v>
      </c>
      <c r="J416" s="682">
        <v>1</v>
      </c>
      <c r="K416" s="579" t="str">
        <f t="shared" si="957"/>
        <v/>
      </c>
      <c r="L416" s="580" t="str">
        <f>IF(H416="Select ingredient:","",IF(G416="","",_xlfn.IFNA(VLOOKUP($H416,Ingredient_prices!$E:$U,16,FALSE),0)))</f>
        <v/>
      </c>
      <c r="M416" s="850"/>
      <c r="N416" s="850"/>
      <c r="O416" s="666"/>
      <c r="P416" s="670"/>
      <c r="Q416" s="583">
        <f t="shared" si="958"/>
        <v>0</v>
      </c>
      <c r="R416" s="583">
        <f>VLOOKUP($H416,'CO2_emission+%_food_waste'!$A:$K,6,FALSE)*$Q416/100</f>
        <v>0</v>
      </c>
      <c r="S416" s="583">
        <f t="shared" si="982"/>
        <v>0</v>
      </c>
      <c r="T416" s="583" t="str">
        <f>IF(H416="Select ingredient:","",IF(G416="Select food category:","",_xlfn.IFNA(VLOOKUP($H416,Ingredient_prices!$E:$U,16,FALSE)*$Q416/1000,"not bought")))</f>
        <v/>
      </c>
      <c r="U416" s="583" t="str">
        <f>IF(G416="Select food category:","",_xlfn.IFNA(VLOOKUP($H416,Ingredient_prices!$E:$U,16,FALSE)*$R416/1000,"not bought"))</f>
        <v/>
      </c>
      <c r="V416" s="549">
        <f>VLOOKUP($H416,'CO2_emission+%_food_waste'!$A:$K,4,FALSE)*$Q416</f>
        <v>0</v>
      </c>
      <c r="W416" s="583">
        <f>VLOOKUP($H416,Nutrition_tables!$A:$N,10,FALSE)*$Q416/100</f>
        <v>0</v>
      </c>
      <c r="X416" s="583">
        <f>VLOOKUP($H416,Nutrition_tables!$A:$N,11,FALSE)*$Q416/100</f>
        <v>0</v>
      </c>
      <c r="Y416" s="583">
        <f>VLOOKUP($H416,Nutrition_tables!$A:$N,12,FALSE)*$Q416/100</f>
        <v>0</v>
      </c>
      <c r="Z416" s="583">
        <f>VLOOKUP($H416,Nutrition_tables!$A:$N,14,FALSE)*$Q416/100</f>
        <v>0</v>
      </c>
      <c r="AA416" s="583">
        <f>VLOOKUP($H416,Nutrition_tables!$A:$AF,13,FALSE)*$Q416/100</f>
        <v>0</v>
      </c>
      <c r="AB416" s="549">
        <f>VLOOKUP($H416,Nutrition_tables!$A:$AF,15,FALSE)*$Q416/100</f>
        <v>0</v>
      </c>
      <c r="AC416" s="583">
        <f>VLOOKUP($H416,Nutrition_tables!$A:$AF,16,FALSE)*$Q416/100</f>
        <v>0</v>
      </c>
      <c r="AD416" s="583">
        <f>VLOOKUP($H416,Nutrition_tables!$A:$AF,17,FALSE)*$Q416/100</f>
        <v>0</v>
      </c>
      <c r="AE416" s="583">
        <f>VLOOKUP($H416,Nutrition_tables!$A:$AF,18,FALSE)*$Q416/100</f>
        <v>0</v>
      </c>
      <c r="AF416" s="583">
        <f>VLOOKUP($H416,Nutrition_tables!$A:$AF,19,FALSE)*$Q416/100</f>
        <v>0</v>
      </c>
      <c r="AG416" s="583">
        <f>VLOOKUP($H416,Nutrition_tables!$A:$AF,20,FALSE)*$Q416/100</f>
        <v>0</v>
      </c>
      <c r="AH416" s="583">
        <f>VLOOKUP($H416,Nutrition_tables!$A:$AF,21,FALSE)*$Q416/100</f>
        <v>0</v>
      </c>
      <c r="AI416" s="583">
        <f>VLOOKUP($H416,Nutrition_tables!$A:$AF,22,FALSE)*$Q416/100</f>
        <v>0</v>
      </c>
      <c r="AJ416" s="549">
        <f>VLOOKUP($H416,Nutrition_tables!$A:$AF,23,FALSE)*$Q416/100</f>
        <v>0</v>
      </c>
      <c r="AK416" s="583">
        <f>VLOOKUP($H416,Nutrition_tables!$A:$AF,24,FALSE)*$Q416/100</f>
        <v>0</v>
      </c>
      <c r="AL416" s="583">
        <f>VLOOKUP($H416,Nutrition_tables!$A:$AF,25,FALSE)*$Q416/100</f>
        <v>0</v>
      </c>
      <c r="AM416" s="583">
        <f>VLOOKUP($H416,Nutrition_tables!$A:$AF,26,FALSE)*$Q416/100</f>
        <v>0</v>
      </c>
      <c r="AN416" s="583">
        <f>VLOOKUP($H416,Nutrition_tables!$A:$AF,27,FALSE)*$Q416/100</f>
        <v>0</v>
      </c>
      <c r="AO416" s="583">
        <f>VLOOKUP($H416,Nutrition_tables!$A:$AF,28,FALSE)*$Q416/100</f>
        <v>0</v>
      </c>
      <c r="AP416" s="583">
        <f>VLOOKUP($H416,Nutrition_tables!$A:$AF,29,FALSE)*$Q416/100</f>
        <v>0</v>
      </c>
      <c r="AQ416" s="583">
        <f>VLOOKUP($H416,Nutrition_tables!$A:$AF,30,FALSE)*$Q416/100</f>
        <v>0</v>
      </c>
      <c r="AR416" s="583">
        <f>VLOOKUP($H416,Nutrition_tables!$A:$AF,31,FALSE)*$Q416/100</f>
        <v>0</v>
      </c>
      <c r="AS416" s="549">
        <f>VLOOKUP($H416,Nutrition_tables!$A:$AF,32,FALSE)*$Q416/100</f>
        <v>0</v>
      </c>
      <c r="AT416" s="583" t="str">
        <f>IF(H416="Select ingredient:","",IF(G416="Select food category:","",IFERROR(VLOOKUP($H416,Ingredient_prices!$E:$W,17,FALSE)*$Q416/1000,"not bought")))</f>
        <v/>
      </c>
      <c r="AU416" s="583" t="str">
        <f>IF(H416="Select ingredient:","",IF(G416="Select food category:","",IFERROR(VLOOKUP($H416,Ingredient_prices!$E:$W,18,FALSE)*$Q416/1000,"not bought")))</f>
        <v/>
      </c>
      <c r="AV416" s="583">
        <f t="shared" si="959"/>
        <v>0</v>
      </c>
      <c r="AW416" s="583">
        <f t="shared" si="960"/>
        <v>0</v>
      </c>
      <c r="AX416" s="583">
        <f t="shared" si="961"/>
        <v>0</v>
      </c>
      <c r="AY416" s="583">
        <f t="shared" si="962"/>
        <v>0</v>
      </c>
      <c r="AZ416" s="583">
        <f t="shared" si="963"/>
        <v>0</v>
      </c>
      <c r="BA416" s="583">
        <f t="shared" si="964"/>
        <v>0</v>
      </c>
      <c r="BB416" s="583">
        <f t="shared" si="965"/>
        <v>0</v>
      </c>
      <c r="BC416" s="583">
        <f t="shared" si="966"/>
        <v>0</v>
      </c>
      <c r="BD416" s="583">
        <f t="shared" si="967"/>
        <v>0</v>
      </c>
      <c r="BE416" s="583">
        <f t="shared" si="968"/>
        <v>0</v>
      </c>
      <c r="BF416" s="583">
        <f t="shared" si="969"/>
        <v>0</v>
      </c>
      <c r="BG416" s="583">
        <f t="shared" si="970"/>
        <v>0</v>
      </c>
      <c r="BH416" s="583">
        <f t="shared" si="971"/>
        <v>0</v>
      </c>
      <c r="BI416" s="583">
        <f t="shared" si="972"/>
        <v>0</v>
      </c>
      <c r="BJ416" s="583">
        <f t="shared" si="973"/>
        <v>0</v>
      </c>
      <c r="BK416" s="583">
        <f t="shared" si="974"/>
        <v>0</v>
      </c>
      <c r="BL416" s="583">
        <f t="shared" si="975"/>
        <v>0</v>
      </c>
      <c r="BM416" s="583">
        <f t="shared" si="976"/>
        <v>0</v>
      </c>
      <c r="BN416" s="583">
        <f t="shared" si="977"/>
        <v>0</v>
      </c>
      <c r="BO416" s="583">
        <f t="shared" si="978"/>
        <v>0</v>
      </c>
      <c r="BP416" s="583">
        <f t="shared" si="979"/>
        <v>0</v>
      </c>
      <c r="BQ416" s="583">
        <f t="shared" si="980"/>
        <v>0</v>
      </c>
      <c r="BR416" s="583">
        <f t="shared" si="981"/>
        <v>0</v>
      </c>
    </row>
    <row r="417" spans="1:70" s="229" customFormat="1" ht="15" customHeight="1">
      <c r="A417" s="504"/>
      <c r="D417" s="85"/>
      <c r="E417" s="576">
        <f t="shared" si="983"/>
        <v>100</v>
      </c>
      <c r="F417" s="707"/>
      <c r="G417" s="406" t="s">
        <v>3054</v>
      </c>
      <c r="H417" s="1262" t="s">
        <v>3055</v>
      </c>
      <c r="I417" s="85">
        <v>0</v>
      </c>
      <c r="J417" s="682">
        <v>1</v>
      </c>
      <c r="K417" s="579" t="str">
        <f t="shared" si="957"/>
        <v/>
      </c>
      <c r="L417" s="580" t="str">
        <f>IF(H417="Select ingredient:","",IF(G417="","",_xlfn.IFNA(VLOOKUP($H417,Ingredient_prices!$E:$U,16,FALSE),0)))</f>
        <v/>
      </c>
      <c r="M417" s="850"/>
      <c r="N417" s="850"/>
      <c r="O417" s="666"/>
      <c r="P417" s="670"/>
      <c r="Q417" s="583">
        <f t="shared" si="958"/>
        <v>0</v>
      </c>
      <c r="R417" s="583">
        <f>VLOOKUP($H417,'CO2_emission+%_food_waste'!$A:$K,6,FALSE)*$Q417/100</f>
        <v>0</v>
      </c>
      <c r="S417" s="583">
        <f t="shared" si="982"/>
        <v>0</v>
      </c>
      <c r="T417" s="583" t="str">
        <f>IF(H417="Select ingredient:","",IF(G417="Select food category:","",_xlfn.IFNA(VLOOKUP($H417,Ingredient_prices!$E:$U,16,FALSE)*$Q417/1000,"not bought")))</f>
        <v/>
      </c>
      <c r="U417" s="583" t="str">
        <f>IF(G417="Select food category:","",_xlfn.IFNA(VLOOKUP($H417,Ingredient_prices!$E:$U,16,FALSE)*$R417/1000,"not bought"))</f>
        <v/>
      </c>
      <c r="V417" s="549">
        <f>VLOOKUP($H417,'CO2_emission+%_food_waste'!$A:$K,4,FALSE)*$Q417</f>
        <v>0</v>
      </c>
      <c r="W417" s="583">
        <f>VLOOKUP($H417,Nutrition_tables!$A:$N,10,FALSE)*$Q417/100</f>
        <v>0</v>
      </c>
      <c r="X417" s="583">
        <f>VLOOKUP($H417,Nutrition_tables!$A:$N,11,FALSE)*$Q417/100</f>
        <v>0</v>
      </c>
      <c r="Y417" s="583">
        <f>VLOOKUP($H417,Nutrition_tables!$A:$N,12,FALSE)*$Q417/100</f>
        <v>0</v>
      </c>
      <c r="Z417" s="583">
        <f>VLOOKUP($H417,Nutrition_tables!$A:$N,14,FALSE)*$Q417/100</f>
        <v>0</v>
      </c>
      <c r="AA417" s="583">
        <f>VLOOKUP($H417,Nutrition_tables!$A:$AF,13,FALSE)*$Q417/100</f>
        <v>0</v>
      </c>
      <c r="AB417" s="549">
        <f>VLOOKUP($H417,Nutrition_tables!$A:$AF,15,FALSE)*$Q417/100</f>
        <v>0</v>
      </c>
      <c r="AC417" s="583">
        <f>VLOOKUP($H417,Nutrition_tables!$A:$AF,16,FALSE)*$Q417/100</f>
        <v>0</v>
      </c>
      <c r="AD417" s="583">
        <f>VLOOKUP($H417,Nutrition_tables!$A:$AF,17,FALSE)*$Q417/100</f>
        <v>0</v>
      </c>
      <c r="AE417" s="583">
        <f>VLOOKUP($H417,Nutrition_tables!$A:$AF,18,FALSE)*$Q417/100</f>
        <v>0</v>
      </c>
      <c r="AF417" s="583">
        <f>VLOOKUP($H417,Nutrition_tables!$A:$AF,19,FALSE)*$Q417/100</f>
        <v>0</v>
      </c>
      <c r="AG417" s="583">
        <f>VLOOKUP($H417,Nutrition_tables!$A:$AF,20,FALSE)*$Q417/100</f>
        <v>0</v>
      </c>
      <c r="AH417" s="583">
        <f>VLOOKUP($H417,Nutrition_tables!$A:$AF,21,FALSE)*$Q417/100</f>
        <v>0</v>
      </c>
      <c r="AI417" s="583">
        <f>VLOOKUP($H417,Nutrition_tables!$A:$AF,22,FALSE)*$Q417/100</f>
        <v>0</v>
      </c>
      <c r="AJ417" s="549">
        <f>VLOOKUP($H417,Nutrition_tables!$A:$AF,23,FALSE)*$Q417/100</f>
        <v>0</v>
      </c>
      <c r="AK417" s="583">
        <f>VLOOKUP($H417,Nutrition_tables!$A:$AF,24,FALSE)*$Q417/100</f>
        <v>0</v>
      </c>
      <c r="AL417" s="583">
        <f>VLOOKUP($H417,Nutrition_tables!$A:$AF,25,FALSE)*$Q417/100</f>
        <v>0</v>
      </c>
      <c r="AM417" s="583">
        <f>VLOOKUP($H417,Nutrition_tables!$A:$AF,26,FALSE)*$Q417/100</f>
        <v>0</v>
      </c>
      <c r="AN417" s="583">
        <f>VLOOKUP($H417,Nutrition_tables!$A:$AF,27,FALSE)*$Q417/100</f>
        <v>0</v>
      </c>
      <c r="AO417" s="583">
        <f>VLOOKUP($H417,Nutrition_tables!$A:$AF,28,FALSE)*$Q417/100</f>
        <v>0</v>
      </c>
      <c r="AP417" s="583">
        <f>VLOOKUP($H417,Nutrition_tables!$A:$AF,29,FALSE)*$Q417/100</f>
        <v>0</v>
      </c>
      <c r="AQ417" s="583">
        <f>VLOOKUP($H417,Nutrition_tables!$A:$AF,30,FALSE)*$Q417/100</f>
        <v>0</v>
      </c>
      <c r="AR417" s="583">
        <f>VLOOKUP($H417,Nutrition_tables!$A:$AF,31,FALSE)*$Q417/100</f>
        <v>0</v>
      </c>
      <c r="AS417" s="549">
        <f>VLOOKUP($H417,Nutrition_tables!$A:$AF,32,FALSE)*$Q417/100</f>
        <v>0</v>
      </c>
      <c r="AT417" s="583" t="str">
        <f>IF(H417="Select ingredient:","",IF(G417="Select food category:","",IFERROR(VLOOKUP($H417,Ingredient_prices!$E:$W,17,FALSE)*$Q417/1000,"not bought")))</f>
        <v/>
      </c>
      <c r="AU417" s="583" t="str">
        <f>IF(H417="Select ingredient:","",IF(G417="Select food category:","",IFERROR(VLOOKUP($H417,Ingredient_prices!$E:$W,18,FALSE)*$Q417/1000,"not bought")))</f>
        <v/>
      </c>
      <c r="AV417" s="583">
        <f t="shared" si="959"/>
        <v>0</v>
      </c>
      <c r="AW417" s="583">
        <f t="shared" si="960"/>
        <v>0</v>
      </c>
      <c r="AX417" s="583">
        <f t="shared" si="961"/>
        <v>0</v>
      </c>
      <c r="AY417" s="583">
        <f t="shared" si="962"/>
        <v>0</v>
      </c>
      <c r="AZ417" s="583">
        <f t="shared" si="963"/>
        <v>0</v>
      </c>
      <c r="BA417" s="583">
        <f t="shared" si="964"/>
        <v>0</v>
      </c>
      <c r="BB417" s="583">
        <f t="shared" si="965"/>
        <v>0</v>
      </c>
      <c r="BC417" s="583">
        <f t="shared" si="966"/>
        <v>0</v>
      </c>
      <c r="BD417" s="583">
        <f t="shared" si="967"/>
        <v>0</v>
      </c>
      <c r="BE417" s="583">
        <f t="shared" si="968"/>
        <v>0</v>
      </c>
      <c r="BF417" s="583">
        <f t="shared" si="969"/>
        <v>0</v>
      </c>
      <c r="BG417" s="583">
        <f t="shared" si="970"/>
        <v>0</v>
      </c>
      <c r="BH417" s="583">
        <f t="shared" si="971"/>
        <v>0</v>
      </c>
      <c r="BI417" s="583">
        <f t="shared" si="972"/>
        <v>0</v>
      </c>
      <c r="BJ417" s="583">
        <f t="shared" si="973"/>
        <v>0</v>
      </c>
      <c r="BK417" s="583">
        <f t="shared" si="974"/>
        <v>0</v>
      </c>
      <c r="BL417" s="583">
        <f t="shared" si="975"/>
        <v>0</v>
      </c>
      <c r="BM417" s="583">
        <f t="shared" si="976"/>
        <v>0</v>
      </c>
      <c r="BN417" s="583">
        <f t="shared" si="977"/>
        <v>0</v>
      </c>
      <c r="BO417" s="583">
        <f t="shared" si="978"/>
        <v>0</v>
      </c>
      <c r="BP417" s="583">
        <f t="shared" si="979"/>
        <v>0</v>
      </c>
      <c r="BQ417" s="583">
        <f t="shared" si="980"/>
        <v>0</v>
      </c>
      <c r="BR417" s="583">
        <f t="shared" si="981"/>
        <v>0</v>
      </c>
    </row>
    <row r="418" spans="1:70" s="229" customFormat="1" ht="15" customHeight="1">
      <c r="A418" s="504"/>
      <c r="D418" s="85"/>
      <c r="E418" s="576">
        <f t="shared" si="983"/>
        <v>100</v>
      </c>
      <c r="F418" s="707"/>
      <c r="G418" s="406" t="s">
        <v>3054</v>
      </c>
      <c r="H418" s="1262" t="s">
        <v>3055</v>
      </c>
      <c r="I418" s="85">
        <v>0</v>
      </c>
      <c r="J418" s="682">
        <v>1</v>
      </c>
      <c r="K418" s="579" t="str">
        <f t="shared" si="957"/>
        <v/>
      </c>
      <c r="L418" s="580" t="str">
        <f>IF(H418="Select ingredient:","",IF(G418="","",_xlfn.IFNA(VLOOKUP($H418,Ingredient_prices!$E:$U,16,FALSE),0)))</f>
        <v/>
      </c>
      <c r="M418" s="850"/>
      <c r="N418" s="850"/>
      <c r="O418" s="666"/>
      <c r="P418" s="670"/>
      <c r="Q418" s="583">
        <f t="shared" si="958"/>
        <v>0</v>
      </c>
      <c r="R418" s="583">
        <f>VLOOKUP($H418,'CO2_emission+%_food_waste'!$A:$K,6,FALSE)*$Q418/100</f>
        <v>0</v>
      </c>
      <c r="S418" s="583">
        <f t="shared" si="982"/>
        <v>0</v>
      </c>
      <c r="T418" s="583" t="str">
        <f>IF(H418="Select ingredient:","",IF(G418="Select food category:","",_xlfn.IFNA(VLOOKUP($H418,Ingredient_prices!$E:$U,16,FALSE)*$Q418/1000,"not bought")))</f>
        <v/>
      </c>
      <c r="U418" s="583" t="str">
        <f>IF(G418="Select food category:","",_xlfn.IFNA(VLOOKUP($H418,Ingredient_prices!$E:$U,16,FALSE)*$R418/1000,"not bought"))</f>
        <v/>
      </c>
      <c r="V418" s="549">
        <f>VLOOKUP($H418,'CO2_emission+%_food_waste'!$A:$K,4,FALSE)*$Q418</f>
        <v>0</v>
      </c>
      <c r="W418" s="583">
        <f>VLOOKUP($H418,Nutrition_tables!$A:$N,10,FALSE)*$Q418/100</f>
        <v>0</v>
      </c>
      <c r="X418" s="583">
        <f>VLOOKUP($H418,Nutrition_tables!$A:$N,11,FALSE)*$Q418/100</f>
        <v>0</v>
      </c>
      <c r="Y418" s="583">
        <f>VLOOKUP($H418,Nutrition_tables!$A:$N,12,FALSE)*$Q418/100</f>
        <v>0</v>
      </c>
      <c r="Z418" s="583">
        <f>VLOOKUP($H418,Nutrition_tables!$A:$N,14,FALSE)*$Q418/100</f>
        <v>0</v>
      </c>
      <c r="AA418" s="583">
        <f>VLOOKUP($H418,Nutrition_tables!$A:$AF,13,FALSE)*$Q418/100</f>
        <v>0</v>
      </c>
      <c r="AB418" s="549">
        <f>VLOOKUP($H418,Nutrition_tables!$A:$AF,15,FALSE)*$Q418/100</f>
        <v>0</v>
      </c>
      <c r="AC418" s="583">
        <f>VLOOKUP($H418,Nutrition_tables!$A:$AF,16,FALSE)*$Q418/100</f>
        <v>0</v>
      </c>
      <c r="AD418" s="583">
        <f>VLOOKUP($H418,Nutrition_tables!$A:$AF,17,FALSE)*$Q418/100</f>
        <v>0</v>
      </c>
      <c r="AE418" s="583">
        <f>VLOOKUP($H418,Nutrition_tables!$A:$AF,18,FALSE)*$Q418/100</f>
        <v>0</v>
      </c>
      <c r="AF418" s="583">
        <f>VLOOKUP($H418,Nutrition_tables!$A:$AF,19,FALSE)*$Q418/100</f>
        <v>0</v>
      </c>
      <c r="AG418" s="583">
        <f>VLOOKUP($H418,Nutrition_tables!$A:$AF,20,FALSE)*$Q418/100</f>
        <v>0</v>
      </c>
      <c r="AH418" s="583">
        <f>VLOOKUP($H418,Nutrition_tables!$A:$AF,21,FALSE)*$Q418/100</f>
        <v>0</v>
      </c>
      <c r="AI418" s="583">
        <f>VLOOKUP($H418,Nutrition_tables!$A:$AF,22,FALSE)*$Q418/100</f>
        <v>0</v>
      </c>
      <c r="AJ418" s="549">
        <f>VLOOKUP($H418,Nutrition_tables!$A:$AF,23,FALSE)*$Q418/100</f>
        <v>0</v>
      </c>
      <c r="AK418" s="583">
        <f>VLOOKUP($H418,Nutrition_tables!$A:$AF,24,FALSE)*$Q418/100</f>
        <v>0</v>
      </c>
      <c r="AL418" s="583">
        <f>VLOOKUP($H418,Nutrition_tables!$A:$AF,25,FALSE)*$Q418/100</f>
        <v>0</v>
      </c>
      <c r="AM418" s="583">
        <f>VLOOKUP($H418,Nutrition_tables!$A:$AF,26,FALSE)*$Q418/100</f>
        <v>0</v>
      </c>
      <c r="AN418" s="583">
        <f>VLOOKUP($H418,Nutrition_tables!$A:$AF,27,FALSE)*$Q418/100</f>
        <v>0</v>
      </c>
      <c r="AO418" s="583">
        <f>VLOOKUP($H418,Nutrition_tables!$A:$AF,28,FALSE)*$Q418/100</f>
        <v>0</v>
      </c>
      <c r="AP418" s="583">
        <f>VLOOKUP($H418,Nutrition_tables!$A:$AF,29,FALSE)*$Q418/100</f>
        <v>0</v>
      </c>
      <c r="AQ418" s="583">
        <f>VLOOKUP($H418,Nutrition_tables!$A:$AF,30,FALSE)*$Q418/100</f>
        <v>0</v>
      </c>
      <c r="AR418" s="583">
        <f>VLOOKUP($H418,Nutrition_tables!$A:$AF,31,FALSE)*$Q418/100</f>
        <v>0</v>
      </c>
      <c r="AS418" s="549">
        <f>VLOOKUP($H418,Nutrition_tables!$A:$AF,32,FALSE)*$Q418/100</f>
        <v>0</v>
      </c>
      <c r="AT418" s="583" t="str">
        <f>IF(H418="Select ingredient:","",IF(G418="Select food category:","",IFERROR(VLOOKUP($H418,Ingredient_prices!$E:$W,17,FALSE)*$Q418/1000,"not bought")))</f>
        <v/>
      </c>
      <c r="AU418" s="583" t="str">
        <f>IF(H418="Select ingredient:","",IF(G418="Select food category:","",IFERROR(VLOOKUP($H418,Ingredient_prices!$E:$W,18,FALSE)*$Q418/1000,"not bought")))</f>
        <v/>
      </c>
      <c r="AV418" s="583">
        <f t="shared" si="959"/>
        <v>0</v>
      </c>
      <c r="AW418" s="583">
        <f t="shared" si="960"/>
        <v>0</v>
      </c>
      <c r="AX418" s="583">
        <f t="shared" si="961"/>
        <v>0</v>
      </c>
      <c r="AY418" s="583">
        <f t="shared" si="962"/>
        <v>0</v>
      </c>
      <c r="AZ418" s="583">
        <f t="shared" si="963"/>
        <v>0</v>
      </c>
      <c r="BA418" s="583">
        <f t="shared" si="964"/>
        <v>0</v>
      </c>
      <c r="BB418" s="583">
        <f t="shared" si="965"/>
        <v>0</v>
      </c>
      <c r="BC418" s="583">
        <f t="shared" si="966"/>
        <v>0</v>
      </c>
      <c r="BD418" s="583">
        <f t="shared" si="967"/>
        <v>0</v>
      </c>
      <c r="BE418" s="583">
        <f t="shared" si="968"/>
        <v>0</v>
      </c>
      <c r="BF418" s="583">
        <f t="shared" si="969"/>
        <v>0</v>
      </c>
      <c r="BG418" s="583">
        <f t="shared" si="970"/>
        <v>0</v>
      </c>
      <c r="BH418" s="583">
        <f t="shared" si="971"/>
        <v>0</v>
      </c>
      <c r="BI418" s="583">
        <f t="shared" si="972"/>
        <v>0</v>
      </c>
      <c r="BJ418" s="583">
        <f t="shared" si="973"/>
        <v>0</v>
      </c>
      <c r="BK418" s="583">
        <f t="shared" si="974"/>
        <v>0</v>
      </c>
      <c r="BL418" s="583">
        <f t="shared" si="975"/>
        <v>0</v>
      </c>
      <c r="BM418" s="583">
        <f t="shared" si="976"/>
        <v>0</v>
      </c>
      <c r="BN418" s="583">
        <f t="shared" si="977"/>
        <v>0</v>
      </c>
      <c r="BO418" s="583">
        <f t="shared" si="978"/>
        <v>0</v>
      </c>
      <c r="BP418" s="583">
        <f t="shared" si="979"/>
        <v>0</v>
      </c>
      <c r="BQ418" s="583">
        <f t="shared" si="980"/>
        <v>0</v>
      </c>
      <c r="BR418" s="583">
        <f t="shared" si="981"/>
        <v>0</v>
      </c>
    </row>
    <row r="419" spans="1:70" s="229" customFormat="1" ht="15" customHeight="1">
      <c r="A419" s="504"/>
      <c r="D419" s="85"/>
      <c r="E419" s="576">
        <f t="shared" si="983"/>
        <v>100</v>
      </c>
      <c r="F419" s="707"/>
      <c r="G419" s="406" t="s">
        <v>3054</v>
      </c>
      <c r="H419" s="1262" t="s">
        <v>3055</v>
      </c>
      <c r="I419" s="85">
        <v>0</v>
      </c>
      <c r="J419" s="682">
        <v>1</v>
      </c>
      <c r="K419" s="579" t="str">
        <f t="shared" si="957"/>
        <v/>
      </c>
      <c r="L419" s="580" t="str">
        <f>IF(H419="Select ingredient:","",IF(G419="","",_xlfn.IFNA(VLOOKUP($H419,Ingredient_prices!$E:$U,16,FALSE),0)))</f>
        <v/>
      </c>
      <c r="M419" s="850"/>
      <c r="N419" s="850"/>
      <c r="O419" s="666"/>
      <c r="P419" s="670"/>
      <c r="Q419" s="583">
        <f t="shared" si="958"/>
        <v>0</v>
      </c>
      <c r="R419" s="583">
        <f>VLOOKUP($H419,'CO2_emission+%_food_waste'!$A:$K,6,FALSE)*$Q419/100</f>
        <v>0</v>
      </c>
      <c r="S419" s="583">
        <f t="shared" si="982"/>
        <v>0</v>
      </c>
      <c r="T419" s="583" t="str">
        <f>IF(H419="Select ingredient:","",IF(G419="Select food category:","",_xlfn.IFNA(VLOOKUP($H419,Ingredient_prices!$E:$U,16,FALSE)*$Q419/1000,"not bought")))</f>
        <v/>
      </c>
      <c r="U419" s="583" t="str">
        <f>IF(G419="Select food category:","",_xlfn.IFNA(VLOOKUP($H419,Ingredient_prices!$E:$U,16,FALSE)*$R419/1000,"not bought"))</f>
        <v/>
      </c>
      <c r="V419" s="549">
        <f>VLOOKUP($H419,'CO2_emission+%_food_waste'!$A:$K,4,FALSE)*$Q419</f>
        <v>0</v>
      </c>
      <c r="W419" s="583">
        <f>VLOOKUP($H419,Nutrition_tables!$A:$N,10,FALSE)*$Q419/100</f>
        <v>0</v>
      </c>
      <c r="X419" s="583">
        <f>VLOOKUP($H419,Nutrition_tables!$A:$N,11,FALSE)*$Q419/100</f>
        <v>0</v>
      </c>
      <c r="Y419" s="583">
        <f>VLOOKUP($H419,Nutrition_tables!$A:$N,12,FALSE)*$Q419/100</f>
        <v>0</v>
      </c>
      <c r="Z419" s="583">
        <f>VLOOKUP($H419,Nutrition_tables!$A:$N,14,FALSE)*$Q419/100</f>
        <v>0</v>
      </c>
      <c r="AA419" s="583">
        <f>VLOOKUP($H419,Nutrition_tables!$A:$AF,13,FALSE)*$Q419/100</f>
        <v>0</v>
      </c>
      <c r="AB419" s="549">
        <f>VLOOKUP($H419,Nutrition_tables!$A:$AF,15,FALSE)*$Q419/100</f>
        <v>0</v>
      </c>
      <c r="AC419" s="583">
        <f>VLOOKUP($H419,Nutrition_tables!$A:$AF,16,FALSE)*$Q419/100</f>
        <v>0</v>
      </c>
      <c r="AD419" s="583">
        <f>VLOOKUP($H419,Nutrition_tables!$A:$AF,17,FALSE)*$Q419/100</f>
        <v>0</v>
      </c>
      <c r="AE419" s="583">
        <f>VLOOKUP($H419,Nutrition_tables!$A:$AF,18,FALSE)*$Q419/100</f>
        <v>0</v>
      </c>
      <c r="AF419" s="583">
        <f>VLOOKUP($H419,Nutrition_tables!$A:$AF,19,FALSE)*$Q419/100</f>
        <v>0</v>
      </c>
      <c r="AG419" s="583">
        <f>VLOOKUP($H419,Nutrition_tables!$A:$AF,20,FALSE)*$Q419/100</f>
        <v>0</v>
      </c>
      <c r="AH419" s="583">
        <f>VLOOKUP($H419,Nutrition_tables!$A:$AF,21,FALSE)*$Q419/100</f>
        <v>0</v>
      </c>
      <c r="AI419" s="583">
        <f>VLOOKUP($H419,Nutrition_tables!$A:$AF,22,FALSE)*$Q419/100</f>
        <v>0</v>
      </c>
      <c r="AJ419" s="549">
        <f>VLOOKUP($H419,Nutrition_tables!$A:$AF,23,FALSE)*$Q419/100</f>
        <v>0</v>
      </c>
      <c r="AK419" s="583">
        <f>VLOOKUP($H419,Nutrition_tables!$A:$AF,24,FALSE)*$Q419/100</f>
        <v>0</v>
      </c>
      <c r="AL419" s="583">
        <f>VLOOKUP($H419,Nutrition_tables!$A:$AF,25,FALSE)*$Q419/100</f>
        <v>0</v>
      </c>
      <c r="AM419" s="583">
        <f>VLOOKUP($H419,Nutrition_tables!$A:$AF,26,FALSE)*$Q419/100</f>
        <v>0</v>
      </c>
      <c r="AN419" s="583">
        <f>VLOOKUP($H419,Nutrition_tables!$A:$AF,27,FALSE)*$Q419/100</f>
        <v>0</v>
      </c>
      <c r="AO419" s="583">
        <f>VLOOKUP($H419,Nutrition_tables!$A:$AF,28,FALSE)*$Q419/100</f>
        <v>0</v>
      </c>
      <c r="AP419" s="583">
        <f>VLOOKUP($H419,Nutrition_tables!$A:$AF,29,FALSE)*$Q419/100</f>
        <v>0</v>
      </c>
      <c r="AQ419" s="583">
        <f>VLOOKUP($H419,Nutrition_tables!$A:$AF,30,FALSE)*$Q419/100</f>
        <v>0</v>
      </c>
      <c r="AR419" s="583">
        <f>VLOOKUP($H419,Nutrition_tables!$A:$AF,31,FALSE)*$Q419/100</f>
        <v>0</v>
      </c>
      <c r="AS419" s="549">
        <f>VLOOKUP($H419,Nutrition_tables!$A:$AF,32,FALSE)*$Q419/100</f>
        <v>0</v>
      </c>
      <c r="AT419" s="583" t="str">
        <f>IF(H419="Select ingredient:","",IF(G419="Select food category:","",IFERROR(VLOOKUP($H419,Ingredient_prices!$E:$W,17,FALSE)*$Q419/1000,"not bought")))</f>
        <v/>
      </c>
      <c r="AU419" s="583" t="str">
        <f>IF(H419="Select ingredient:","",IF(G419="Select food category:","",IFERROR(VLOOKUP($H419,Ingredient_prices!$E:$W,18,FALSE)*$Q419/1000,"not bought")))</f>
        <v/>
      </c>
      <c r="AV419" s="583">
        <f t="shared" si="959"/>
        <v>0</v>
      </c>
      <c r="AW419" s="583">
        <f t="shared" si="960"/>
        <v>0</v>
      </c>
      <c r="AX419" s="583">
        <f t="shared" si="961"/>
        <v>0</v>
      </c>
      <c r="AY419" s="583">
        <f t="shared" si="962"/>
        <v>0</v>
      </c>
      <c r="AZ419" s="583">
        <f t="shared" si="963"/>
        <v>0</v>
      </c>
      <c r="BA419" s="583">
        <f t="shared" si="964"/>
        <v>0</v>
      </c>
      <c r="BB419" s="583">
        <f t="shared" si="965"/>
        <v>0</v>
      </c>
      <c r="BC419" s="583">
        <f t="shared" si="966"/>
        <v>0</v>
      </c>
      <c r="BD419" s="583">
        <f t="shared" si="967"/>
        <v>0</v>
      </c>
      <c r="BE419" s="583">
        <f t="shared" si="968"/>
        <v>0</v>
      </c>
      <c r="BF419" s="583">
        <f t="shared" si="969"/>
        <v>0</v>
      </c>
      <c r="BG419" s="583">
        <f t="shared" si="970"/>
        <v>0</v>
      </c>
      <c r="BH419" s="583">
        <f t="shared" si="971"/>
        <v>0</v>
      </c>
      <c r="BI419" s="583">
        <f t="shared" si="972"/>
        <v>0</v>
      </c>
      <c r="BJ419" s="583">
        <f t="shared" si="973"/>
        <v>0</v>
      </c>
      <c r="BK419" s="583">
        <f t="shared" si="974"/>
        <v>0</v>
      </c>
      <c r="BL419" s="583">
        <f t="shared" si="975"/>
        <v>0</v>
      </c>
      <c r="BM419" s="583">
        <f t="shared" si="976"/>
        <v>0</v>
      </c>
      <c r="BN419" s="583">
        <f t="shared" si="977"/>
        <v>0</v>
      </c>
      <c r="BO419" s="583">
        <f t="shared" si="978"/>
        <v>0</v>
      </c>
      <c r="BP419" s="583">
        <f t="shared" si="979"/>
        <v>0</v>
      </c>
      <c r="BQ419" s="583">
        <f t="shared" si="980"/>
        <v>0</v>
      </c>
      <c r="BR419" s="583">
        <f t="shared" si="981"/>
        <v>0</v>
      </c>
    </row>
    <row r="420" spans="1:70" s="229" customFormat="1" ht="15" customHeight="1">
      <c r="A420" s="504"/>
      <c r="D420" s="85"/>
      <c r="E420" s="576">
        <f t="shared" si="983"/>
        <v>100</v>
      </c>
      <c r="F420" s="707"/>
      <c r="G420" s="406" t="s">
        <v>3054</v>
      </c>
      <c r="H420" s="1262" t="s">
        <v>3055</v>
      </c>
      <c r="I420" s="85">
        <v>0</v>
      </c>
      <c r="J420" s="682">
        <v>1</v>
      </c>
      <c r="K420" s="579" t="str">
        <f t="shared" si="957"/>
        <v/>
      </c>
      <c r="L420" s="580" t="str">
        <f>IF(H420="Select ingredient:","",IF(G420="","",_xlfn.IFNA(VLOOKUP($H420,Ingredient_prices!$E:$U,16,FALSE),0)))</f>
        <v/>
      </c>
      <c r="M420" s="850"/>
      <c r="N420" s="850"/>
      <c r="O420" s="666"/>
      <c r="P420" s="670"/>
      <c r="Q420" s="583">
        <f t="shared" si="958"/>
        <v>0</v>
      </c>
      <c r="R420" s="583">
        <f>VLOOKUP($H420,'CO2_emission+%_food_waste'!$A:$K,6,FALSE)*$Q420/100</f>
        <v>0</v>
      </c>
      <c r="S420" s="583">
        <f t="shared" si="982"/>
        <v>0</v>
      </c>
      <c r="T420" s="583" t="str">
        <f>IF(H420="Select ingredient:","",IF(G420="Select food category:","",_xlfn.IFNA(VLOOKUP($H420,Ingredient_prices!$E:$U,16,FALSE)*$Q420/1000,"not bought")))</f>
        <v/>
      </c>
      <c r="U420" s="583" t="str">
        <f>IF(G420="Select food category:","",_xlfn.IFNA(VLOOKUP($H420,Ingredient_prices!$E:$U,16,FALSE)*$R420/1000,"not bought"))</f>
        <v/>
      </c>
      <c r="V420" s="549">
        <f>VLOOKUP($H420,'CO2_emission+%_food_waste'!$A:$K,4,FALSE)*$Q420</f>
        <v>0</v>
      </c>
      <c r="W420" s="583">
        <f>VLOOKUP($H420,Nutrition_tables!$A:$N,10,FALSE)*$Q420/100</f>
        <v>0</v>
      </c>
      <c r="X420" s="583">
        <f>VLOOKUP($H420,Nutrition_tables!$A:$N,11,FALSE)*$Q420/100</f>
        <v>0</v>
      </c>
      <c r="Y420" s="583">
        <f>VLOOKUP($H420,Nutrition_tables!$A:$N,12,FALSE)*$Q420/100</f>
        <v>0</v>
      </c>
      <c r="Z420" s="583">
        <f>VLOOKUP($H420,Nutrition_tables!$A:$N,14,FALSE)*$Q420/100</f>
        <v>0</v>
      </c>
      <c r="AA420" s="583">
        <f>VLOOKUP($H420,Nutrition_tables!$A:$AF,13,FALSE)*$Q420/100</f>
        <v>0</v>
      </c>
      <c r="AB420" s="549">
        <f>VLOOKUP($H420,Nutrition_tables!$A:$AF,15,FALSE)*$Q420/100</f>
        <v>0</v>
      </c>
      <c r="AC420" s="583">
        <f>VLOOKUP($H420,Nutrition_tables!$A:$AF,16,FALSE)*$Q420/100</f>
        <v>0</v>
      </c>
      <c r="AD420" s="583">
        <f>VLOOKUP($H420,Nutrition_tables!$A:$AF,17,FALSE)*$Q420/100</f>
        <v>0</v>
      </c>
      <c r="AE420" s="583">
        <f>VLOOKUP($H420,Nutrition_tables!$A:$AF,18,FALSE)*$Q420/100</f>
        <v>0</v>
      </c>
      <c r="AF420" s="583">
        <f>VLOOKUP($H420,Nutrition_tables!$A:$AF,19,FALSE)*$Q420/100</f>
        <v>0</v>
      </c>
      <c r="AG420" s="583">
        <f>VLOOKUP($H420,Nutrition_tables!$A:$AF,20,FALSE)*$Q420/100</f>
        <v>0</v>
      </c>
      <c r="AH420" s="583">
        <f>VLOOKUP($H420,Nutrition_tables!$A:$AF,21,FALSE)*$Q420/100</f>
        <v>0</v>
      </c>
      <c r="AI420" s="583">
        <f>VLOOKUP($H420,Nutrition_tables!$A:$AF,22,FALSE)*$Q420/100</f>
        <v>0</v>
      </c>
      <c r="AJ420" s="549">
        <f>VLOOKUP($H420,Nutrition_tables!$A:$AF,23,FALSE)*$Q420/100</f>
        <v>0</v>
      </c>
      <c r="AK420" s="583">
        <f>VLOOKUP($H420,Nutrition_tables!$A:$AF,24,FALSE)*$Q420/100</f>
        <v>0</v>
      </c>
      <c r="AL420" s="583">
        <f>VLOOKUP($H420,Nutrition_tables!$A:$AF,25,FALSE)*$Q420/100</f>
        <v>0</v>
      </c>
      <c r="AM420" s="583">
        <f>VLOOKUP($H420,Nutrition_tables!$A:$AF,26,FALSE)*$Q420/100</f>
        <v>0</v>
      </c>
      <c r="AN420" s="583">
        <f>VLOOKUP($H420,Nutrition_tables!$A:$AF,27,FALSE)*$Q420/100</f>
        <v>0</v>
      </c>
      <c r="AO420" s="583">
        <f>VLOOKUP($H420,Nutrition_tables!$A:$AF,28,FALSE)*$Q420/100</f>
        <v>0</v>
      </c>
      <c r="AP420" s="583">
        <f>VLOOKUP($H420,Nutrition_tables!$A:$AF,29,FALSE)*$Q420/100</f>
        <v>0</v>
      </c>
      <c r="AQ420" s="583">
        <f>VLOOKUP($H420,Nutrition_tables!$A:$AF,30,FALSE)*$Q420/100</f>
        <v>0</v>
      </c>
      <c r="AR420" s="583">
        <f>VLOOKUP($H420,Nutrition_tables!$A:$AF,31,FALSE)*$Q420/100</f>
        <v>0</v>
      </c>
      <c r="AS420" s="549">
        <f>VLOOKUP($H420,Nutrition_tables!$A:$AF,32,FALSE)*$Q420/100</f>
        <v>0</v>
      </c>
      <c r="AT420" s="583" t="str">
        <f>IF(H420="Select ingredient:","",IF(G420="Select food category:","",IFERROR(VLOOKUP($H420,Ingredient_prices!$E:$W,17,FALSE)*$Q420/1000,"not bought")))</f>
        <v/>
      </c>
      <c r="AU420" s="583" t="str">
        <f>IF(H420="Select ingredient:","",IF(G420="Select food category:","",IFERROR(VLOOKUP($H420,Ingredient_prices!$E:$W,18,FALSE)*$Q420/1000,"not bought")))</f>
        <v/>
      </c>
      <c r="AV420" s="583">
        <f t="shared" si="959"/>
        <v>0</v>
      </c>
      <c r="AW420" s="583">
        <f t="shared" si="960"/>
        <v>0</v>
      </c>
      <c r="AX420" s="583">
        <f t="shared" si="961"/>
        <v>0</v>
      </c>
      <c r="AY420" s="583">
        <f t="shared" si="962"/>
        <v>0</v>
      </c>
      <c r="AZ420" s="583">
        <f t="shared" si="963"/>
        <v>0</v>
      </c>
      <c r="BA420" s="583">
        <f t="shared" si="964"/>
        <v>0</v>
      </c>
      <c r="BB420" s="583">
        <f t="shared" si="965"/>
        <v>0</v>
      </c>
      <c r="BC420" s="583">
        <f t="shared" si="966"/>
        <v>0</v>
      </c>
      <c r="BD420" s="583">
        <f t="shared" si="967"/>
        <v>0</v>
      </c>
      <c r="BE420" s="583">
        <f t="shared" si="968"/>
        <v>0</v>
      </c>
      <c r="BF420" s="583">
        <f t="shared" si="969"/>
        <v>0</v>
      </c>
      <c r="BG420" s="583">
        <f t="shared" si="970"/>
        <v>0</v>
      </c>
      <c r="BH420" s="583">
        <f t="shared" si="971"/>
        <v>0</v>
      </c>
      <c r="BI420" s="583">
        <f t="shared" si="972"/>
        <v>0</v>
      </c>
      <c r="BJ420" s="583">
        <f t="shared" si="973"/>
        <v>0</v>
      </c>
      <c r="BK420" s="583">
        <f t="shared" si="974"/>
        <v>0</v>
      </c>
      <c r="BL420" s="583">
        <f t="shared" si="975"/>
        <v>0</v>
      </c>
      <c r="BM420" s="583">
        <f t="shared" si="976"/>
        <v>0</v>
      </c>
      <c r="BN420" s="583">
        <f t="shared" si="977"/>
        <v>0</v>
      </c>
      <c r="BO420" s="583">
        <f t="shared" si="978"/>
        <v>0</v>
      </c>
      <c r="BP420" s="583">
        <f t="shared" si="979"/>
        <v>0</v>
      </c>
      <c r="BQ420" s="583">
        <f t="shared" si="980"/>
        <v>0</v>
      </c>
      <c r="BR420" s="583">
        <f t="shared" si="981"/>
        <v>0</v>
      </c>
    </row>
    <row r="421" spans="1:70" s="229" customFormat="1" ht="15" customHeight="1">
      <c r="A421" s="504"/>
      <c r="D421" s="85"/>
      <c r="E421" s="576">
        <f t="shared" si="983"/>
        <v>100</v>
      </c>
      <c r="F421" s="707"/>
      <c r="G421" s="406" t="s">
        <v>3054</v>
      </c>
      <c r="H421" s="1262" t="s">
        <v>3055</v>
      </c>
      <c r="I421" s="85">
        <v>0</v>
      </c>
      <c r="J421" s="682">
        <v>1</v>
      </c>
      <c r="K421" s="579" t="str">
        <f t="shared" si="957"/>
        <v/>
      </c>
      <c r="L421" s="580" t="str">
        <f>IF(H421="Select ingredient:","",IF(G421="","",_xlfn.IFNA(VLOOKUP($H421,Ingredient_prices!$E:$U,16,FALSE),0)))</f>
        <v/>
      </c>
      <c r="M421" s="850"/>
      <c r="N421" s="850"/>
      <c r="O421" s="666"/>
      <c r="P421" s="670"/>
      <c r="Q421" s="583">
        <f t="shared" si="958"/>
        <v>0</v>
      </c>
      <c r="R421" s="583">
        <f>VLOOKUP($H421,'CO2_emission+%_food_waste'!$A:$K,6,FALSE)*$Q421/100</f>
        <v>0</v>
      </c>
      <c r="S421" s="583">
        <f t="shared" si="982"/>
        <v>0</v>
      </c>
      <c r="T421" s="583" t="str">
        <f>IF(H421="Select ingredient:","",IF(G421="Select food category:","",_xlfn.IFNA(VLOOKUP($H421,Ingredient_prices!$E:$U,16,FALSE)*$Q421/1000,"not bought")))</f>
        <v/>
      </c>
      <c r="U421" s="583" t="str">
        <f>IF(G421="Select food category:","",_xlfn.IFNA(VLOOKUP($H421,Ingredient_prices!$E:$U,16,FALSE)*$R421/1000,"not bought"))</f>
        <v/>
      </c>
      <c r="V421" s="549">
        <f>VLOOKUP($H421,'CO2_emission+%_food_waste'!$A:$K,4,FALSE)*$Q421</f>
        <v>0</v>
      </c>
      <c r="W421" s="583">
        <f>VLOOKUP($H421,Nutrition_tables!$A:$N,10,FALSE)*$Q421/100</f>
        <v>0</v>
      </c>
      <c r="X421" s="583">
        <f>VLOOKUP($H421,Nutrition_tables!$A:$N,11,FALSE)*$Q421/100</f>
        <v>0</v>
      </c>
      <c r="Y421" s="583">
        <f>VLOOKUP($H421,Nutrition_tables!$A:$N,12,FALSE)*$Q421/100</f>
        <v>0</v>
      </c>
      <c r="Z421" s="583">
        <f>VLOOKUP($H421,Nutrition_tables!$A:$N,14,FALSE)*$Q421/100</f>
        <v>0</v>
      </c>
      <c r="AA421" s="583">
        <f>VLOOKUP($H421,Nutrition_tables!$A:$AF,13,FALSE)*$Q421/100</f>
        <v>0</v>
      </c>
      <c r="AB421" s="549">
        <f>VLOOKUP($H421,Nutrition_tables!$A:$AF,15,FALSE)*$Q421/100</f>
        <v>0</v>
      </c>
      <c r="AC421" s="583">
        <f>VLOOKUP($H421,Nutrition_tables!$A:$AF,16,FALSE)*$Q421/100</f>
        <v>0</v>
      </c>
      <c r="AD421" s="583">
        <f>VLOOKUP($H421,Nutrition_tables!$A:$AF,17,FALSE)*$Q421/100</f>
        <v>0</v>
      </c>
      <c r="AE421" s="583">
        <f>VLOOKUP($H421,Nutrition_tables!$A:$AF,18,FALSE)*$Q421/100</f>
        <v>0</v>
      </c>
      <c r="AF421" s="583">
        <f>VLOOKUP($H421,Nutrition_tables!$A:$AF,19,FALSE)*$Q421/100</f>
        <v>0</v>
      </c>
      <c r="AG421" s="583">
        <f>VLOOKUP($H421,Nutrition_tables!$A:$AF,20,FALSE)*$Q421/100</f>
        <v>0</v>
      </c>
      <c r="AH421" s="583">
        <f>VLOOKUP($H421,Nutrition_tables!$A:$AF,21,FALSE)*$Q421/100</f>
        <v>0</v>
      </c>
      <c r="AI421" s="583">
        <f>VLOOKUP($H421,Nutrition_tables!$A:$AF,22,FALSE)*$Q421/100</f>
        <v>0</v>
      </c>
      <c r="AJ421" s="549">
        <f>VLOOKUP($H421,Nutrition_tables!$A:$AF,23,FALSE)*$Q421/100</f>
        <v>0</v>
      </c>
      <c r="AK421" s="583">
        <f>VLOOKUP($H421,Nutrition_tables!$A:$AF,24,FALSE)*$Q421/100</f>
        <v>0</v>
      </c>
      <c r="AL421" s="583">
        <f>VLOOKUP($H421,Nutrition_tables!$A:$AF,25,FALSE)*$Q421/100</f>
        <v>0</v>
      </c>
      <c r="AM421" s="583">
        <f>VLOOKUP($H421,Nutrition_tables!$A:$AF,26,FALSE)*$Q421/100</f>
        <v>0</v>
      </c>
      <c r="AN421" s="583">
        <f>VLOOKUP($H421,Nutrition_tables!$A:$AF,27,FALSE)*$Q421/100</f>
        <v>0</v>
      </c>
      <c r="AO421" s="583">
        <f>VLOOKUP($H421,Nutrition_tables!$A:$AF,28,FALSE)*$Q421/100</f>
        <v>0</v>
      </c>
      <c r="AP421" s="583">
        <f>VLOOKUP($H421,Nutrition_tables!$A:$AF,29,FALSE)*$Q421/100</f>
        <v>0</v>
      </c>
      <c r="AQ421" s="583">
        <f>VLOOKUP($H421,Nutrition_tables!$A:$AF,30,FALSE)*$Q421/100</f>
        <v>0</v>
      </c>
      <c r="AR421" s="583">
        <f>VLOOKUP($H421,Nutrition_tables!$A:$AF,31,FALSE)*$Q421/100</f>
        <v>0</v>
      </c>
      <c r="AS421" s="549">
        <f>VLOOKUP($H421,Nutrition_tables!$A:$AF,32,FALSE)*$Q421/100</f>
        <v>0</v>
      </c>
      <c r="AT421" s="583" t="str">
        <f>IF(H421="Select ingredient:","",IF(G421="Select food category:","",IFERROR(VLOOKUP($H421,Ingredient_prices!$E:$W,17,FALSE)*$Q421/1000,"not bought")))</f>
        <v/>
      </c>
      <c r="AU421" s="583" t="str">
        <f>IF(H421="Select ingredient:","",IF(G421="Select food category:","",IFERROR(VLOOKUP($H421,Ingredient_prices!$E:$W,18,FALSE)*$Q421/1000,"not bought")))</f>
        <v/>
      </c>
      <c r="AV421" s="583">
        <f t="shared" si="959"/>
        <v>0</v>
      </c>
      <c r="AW421" s="583">
        <f t="shared" si="960"/>
        <v>0</v>
      </c>
      <c r="AX421" s="583">
        <f t="shared" si="961"/>
        <v>0</v>
      </c>
      <c r="AY421" s="583">
        <f t="shared" si="962"/>
        <v>0</v>
      </c>
      <c r="AZ421" s="583">
        <f t="shared" si="963"/>
        <v>0</v>
      </c>
      <c r="BA421" s="583">
        <f t="shared" si="964"/>
        <v>0</v>
      </c>
      <c r="BB421" s="583">
        <f t="shared" si="965"/>
        <v>0</v>
      </c>
      <c r="BC421" s="583">
        <f t="shared" si="966"/>
        <v>0</v>
      </c>
      <c r="BD421" s="583">
        <f t="shared" si="967"/>
        <v>0</v>
      </c>
      <c r="BE421" s="583">
        <f t="shared" si="968"/>
        <v>0</v>
      </c>
      <c r="BF421" s="583">
        <f t="shared" si="969"/>
        <v>0</v>
      </c>
      <c r="BG421" s="583">
        <f t="shared" si="970"/>
        <v>0</v>
      </c>
      <c r="BH421" s="583">
        <f t="shared" si="971"/>
        <v>0</v>
      </c>
      <c r="BI421" s="583">
        <f t="shared" si="972"/>
        <v>0</v>
      </c>
      <c r="BJ421" s="583">
        <f t="shared" si="973"/>
        <v>0</v>
      </c>
      <c r="BK421" s="583">
        <f t="shared" si="974"/>
        <v>0</v>
      </c>
      <c r="BL421" s="583">
        <f t="shared" si="975"/>
        <v>0</v>
      </c>
      <c r="BM421" s="583">
        <f t="shared" si="976"/>
        <v>0</v>
      </c>
      <c r="BN421" s="583">
        <f t="shared" si="977"/>
        <v>0</v>
      </c>
      <c r="BO421" s="583">
        <f t="shared" si="978"/>
        <v>0</v>
      </c>
      <c r="BP421" s="583">
        <f t="shared" si="979"/>
        <v>0</v>
      </c>
      <c r="BQ421" s="583">
        <f t="shared" si="980"/>
        <v>0</v>
      </c>
      <c r="BR421" s="583">
        <f t="shared" si="981"/>
        <v>0</v>
      </c>
    </row>
    <row r="422" spans="1:70" s="229" customFormat="1" ht="15" customHeight="1">
      <c r="A422" s="504"/>
      <c r="D422" s="85"/>
      <c r="E422" s="576">
        <f t="shared" si="983"/>
        <v>100</v>
      </c>
      <c r="F422" s="707"/>
      <c r="G422" s="406" t="s">
        <v>3054</v>
      </c>
      <c r="H422" s="1262" t="s">
        <v>3055</v>
      </c>
      <c r="I422" s="85">
        <v>0</v>
      </c>
      <c r="J422" s="682">
        <v>1</v>
      </c>
      <c r="K422" s="579" t="str">
        <f t="shared" si="957"/>
        <v/>
      </c>
      <c r="L422" s="580" t="str">
        <f>IF(H422="Select ingredient:","",IF(G422="","",_xlfn.IFNA(VLOOKUP($H422,Ingredient_prices!$E:$U,16,FALSE),0)))</f>
        <v/>
      </c>
      <c r="M422" s="850"/>
      <c r="N422" s="850"/>
      <c r="O422" s="666"/>
      <c r="P422" s="670"/>
      <c r="Q422" s="583">
        <f t="shared" si="958"/>
        <v>0</v>
      </c>
      <c r="R422" s="583">
        <f>VLOOKUP($H422,'CO2_emission+%_food_waste'!$A:$K,6,FALSE)*$Q422/100</f>
        <v>0</v>
      </c>
      <c r="S422" s="583">
        <f t="shared" si="982"/>
        <v>0</v>
      </c>
      <c r="T422" s="583" t="str">
        <f>IF(H422="Select ingredient:","",IF(G422="Select food category:","",_xlfn.IFNA(VLOOKUP($H422,Ingredient_prices!$E:$U,16,FALSE)*$Q422/1000,"not bought")))</f>
        <v/>
      </c>
      <c r="U422" s="583" t="str">
        <f>IF(G422="Select food category:","",_xlfn.IFNA(VLOOKUP($H422,Ingredient_prices!$E:$U,16,FALSE)*$R422/1000,"not bought"))</f>
        <v/>
      </c>
      <c r="V422" s="549">
        <f>VLOOKUP($H422,'CO2_emission+%_food_waste'!$A:$K,4,FALSE)*$Q422</f>
        <v>0</v>
      </c>
      <c r="W422" s="583">
        <f>VLOOKUP($H422,Nutrition_tables!$A:$N,10,FALSE)*$Q422/100</f>
        <v>0</v>
      </c>
      <c r="X422" s="583">
        <f>VLOOKUP($H422,Nutrition_tables!$A:$N,11,FALSE)*$Q422/100</f>
        <v>0</v>
      </c>
      <c r="Y422" s="583">
        <f>VLOOKUP($H422,Nutrition_tables!$A:$N,12,FALSE)*$Q422/100</f>
        <v>0</v>
      </c>
      <c r="Z422" s="583">
        <f>VLOOKUP($H422,Nutrition_tables!$A:$N,14,FALSE)*$Q422/100</f>
        <v>0</v>
      </c>
      <c r="AA422" s="583">
        <f>VLOOKUP($H422,Nutrition_tables!$A:$AF,13,FALSE)*$Q422/100</f>
        <v>0</v>
      </c>
      <c r="AB422" s="549">
        <f>VLOOKUP($H422,Nutrition_tables!$A:$AF,15,FALSE)*$Q422/100</f>
        <v>0</v>
      </c>
      <c r="AC422" s="583">
        <f>VLOOKUP($H422,Nutrition_tables!$A:$AF,16,FALSE)*$Q422/100</f>
        <v>0</v>
      </c>
      <c r="AD422" s="583">
        <f>VLOOKUP($H422,Nutrition_tables!$A:$AF,17,FALSE)*$Q422/100</f>
        <v>0</v>
      </c>
      <c r="AE422" s="583">
        <f>VLOOKUP($H422,Nutrition_tables!$A:$AF,18,FALSE)*$Q422/100</f>
        <v>0</v>
      </c>
      <c r="AF422" s="583">
        <f>VLOOKUP($H422,Nutrition_tables!$A:$AF,19,FALSE)*$Q422/100</f>
        <v>0</v>
      </c>
      <c r="AG422" s="583">
        <f>VLOOKUP($H422,Nutrition_tables!$A:$AF,20,FALSE)*$Q422/100</f>
        <v>0</v>
      </c>
      <c r="AH422" s="583">
        <f>VLOOKUP($H422,Nutrition_tables!$A:$AF,21,FALSE)*$Q422/100</f>
        <v>0</v>
      </c>
      <c r="AI422" s="583">
        <f>VLOOKUP($H422,Nutrition_tables!$A:$AF,22,FALSE)*$Q422/100</f>
        <v>0</v>
      </c>
      <c r="AJ422" s="549">
        <f>VLOOKUP($H422,Nutrition_tables!$A:$AF,23,FALSE)*$Q422/100</f>
        <v>0</v>
      </c>
      <c r="AK422" s="583">
        <f>VLOOKUP($H422,Nutrition_tables!$A:$AF,24,FALSE)*$Q422/100</f>
        <v>0</v>
      </c>
      <c r="AL422" s="583">
        <f>VLOOKUP($H422,Nutrition_tables!$A:$AF,25,FALSE)*$Q422/100</f>
        <v>0</v>
      </c>
      <c r="AM422" s="583">
        <f>VLOOKUP($H422,Nutrition_tables!$A:$AF,26,FALSE)*$Q422/100</f>
        <v>0</v>
      </c>
      <c r="AN422" s="583">
        <f>VLOOKUP($H422,Nutrition_tables!$A:$AF,27,FALSE)*$Q422/100</f>
        <v>0</v>
      </c>
      <c r="AO422" s="583">
        <f>VLOOKUP($H422,Nutrition_tables!$A:$AF,28,FALSE)*$Q422/100</f>
        <v>0</v>
      </c>
      <c r="AP422" s="583">
        <f>VLOOKUP($H422,Nutrition_tables!$A:$AF,29,FALSE)*$Q422/100</f>
        <v>0</v>
      </c>
      <c r="AQ422" s="583">
        <f>VLOOKUP($H422,Nutrition_tables!$A:$AF,30,FALSE)*$Q422/100</f>
        <v>0</v>
      </c>
      <c r="AR422" s="583">
        <f>VLOOKUP($H422,Nutrition_tables!$A:$AF,31,FALSE)*$Q422/100</f>
        <v>0</v>
      </c>
      <c r="AS422" s="549">
        <f>VLOOKUP($H422,Nutrition_tables!$A:$AF,32,FALSE)*$Q422/100</f>
        <v>0</v>
      </c>
      <c r="AT422" s="583" t="str">
        <f>IF(H422="Select ingredient:","",IF(G422="Select food category:","",IFERROR(VLOOKUP($H422,Ingredient_prices!$E:$W,17,FALSE)*$Q422/1000,"not bought")))</f>
        <v/>
      </c>
      <c r="AU422" s="583" t="str">
        <f>IF(H422="Select ingredient:","",IF(G422="Select food category:","",IFERROR(VLOOKUP($H422,Ingredient_prices!$E:$W,18,FALSE)*$Q422/1000,"not bought")))</f>
        <v/>
      </c>
      <c r="AV422" s="583">
        <f t="shared" si="959"/>
        <v>0</v>
      </c>
      <c r="AW422" s="583">
        <f t="shared" si="960"/>
        <v>0</v>
      </c>
      <c r="AX422" s="583">
        <f t="shared" si="961"/>
        <v>0</v>
      </c>
      <c r="AY422" s="583">
        <f t="shared" si="962"/>
        <v>0</v>
      </c>
      <c r="AZ422" s="583">
        <f t="shared" si="963"/>
        <v>0</v>
      </c>
      <c r="BA422" s="583">
        <f t="shared" si="964"/>
        <v>0</v>
      </c>
      <c r="BB422" s="583">
        <f t="shared" si="965"/>
        <v>0</v>
      </c>
      <c r="BC422" s="583">
        <f t="shared" si="966"/>
        <v>0</v>
      </c>
      <c r="BD422" s="583">
        <f t="shared" ref="BD422:BJ426" si="984">AE422*($Q422-$R422)/($Q422+0.00001)</f>
        <v>0</v>
      </c>
      <c r="BE422" s="583">
        <f t="shared" si="984"/>
        <v>0</v>
      </c>
      <c r="BF422" s="583">
        <f t="shared" si="984"/>
        <v>0</v>
      </c>
      <c r="BG422" s="583">
        <f t="shared" si="984"/>
        <v>0</v>
      </c>
      <c r="BH422" s="583">
        <f t="shared" si="984"/>
        <v>0</v>
      </c>
      <c r="BI422" s="583">
        <f t="shared" si="984"/>
        <v>0</v>
      </c>
      <c r="BJ422" s="583">
        <f t="shared" si="984"/>
        <v>0</v>
      </c>
      <c r="BK422" s="583">
        <f t="shared" ref="BK422:BK426" si="985">AL422*($Q422-$R422)/($Q422+0.00001)</f>
        <v>0</v>
      </c>
      <c r="BL422" s="583">
        <f t="shared" ref="BL422:BR426" si="986">AM422*($Q422-$R422)/($Q422+0.00001)</f>
        <v>0</v>
      </c>
      <c r="BM422" s="583">
        <f t="shared" si="986"/>
        <v>0</v>
      </c>
      <c r="BN422" s="583">
        <f t="shared" si="986"/>
        <v>0</v>
      </c>
      <c r="BO422" s="583">
        <f t="shared" si="986"/>
        <v>0</v>
      </c>
      <c r="BP422" s="583">
        <f t="shared" si="986"/>
        <v>0</v>
      </c>
      <c r="BQ422" s="583">
        <f t="shared" si="986"/>
        <v>0</v>
      </c>
      <c r="BR422" s="583">
        <f t="shared" si="986"/>
        <v>0</v>
      </c>
    </row>
    <row r="423" spans="1:70" s="229" customFormat="1" ht="15" customHeight="1">
      <c r="A423" s="504"/>
      <c r="D423" s="85"/>
      <c r="E423" s="576">
        <f t="shared" si="983"/>
        <v>100</v>
      </c>
      <c r="F423" s="707"/>
      <c r="G423" s="406" t="s">
        <v>3054</v>
      </c>
      <c r="H423" s="1262" t="s">
        <v>3055</v>
      </c>
      <c r="I423" s="85">
        <v>0</v>
      </c>
      <c r="J423" s="682">
        <v>1</v>
      </c>
      <c r="K423" s="579" t="str">
        <f t="shared" si="957"/>
        <v/>
      </c>
      <c r="L423" s="580" t="str">
        <f>IF(H423="Select ingredient:","",IF(G423="","",_xlfn.IFNA(VLOOKUP($H423,Ingredient_prices!$E:$U,16,FALSE),0)))</f>
        <v/>
      </c>
      <c r="M423" s="850"/>
      <c r="N423" s="850"/>
      <c r="O423" s="666"/>
      <c r="P423" s="670"/>
      <c r="Q423" s="583">
        <f t="shared" si="958"/>
        <v>0</v>
      </c>
      <c r="R423" s="583">
        <f>VLOOKUP($H423,'CO2_emission+%_food_waste'!$A:$K,6,FALSE)*$Q423/100</f>
        <v>0</v>
      </c>
      <c r="S423" s="583">
        <f t="shared" si="982"/>
        <v>0</v>
      </c>
      <c r="T423" s="583" t="str">
        <f>IF(H423="Select ingredient:","",IF(G423="Select food category:","",_xlfn.IFNA(VLOOKUP($H423,Ingredient_prices!$E:$U,16,FALSE)*$Q423/1000,"not bought")))</f>
        <v/>
      </c>
      <c r="U423" s="583" t="str">
        <f>IF(G423="Select food category:","",_xlfn.IFNA(VLOOKUP($H423,Ingredient_prices!$E:$U,16,FALSE)*$R423/1000,"not bought"))</f>
        <v/>
      </c>
      <c r="V423" s="549">
        <f>VLOOKUP($H423,'CO2_emission+%_food_waste'!$A:$K,4,FALSE)*$Q423</f>
        <v>0</v>
      </c>
      <c r="W423" s="583">
        <f>VLOOKUP($H423,Nutrition_tables!$A:$N,10,FALSE)*$Q423/100</f>
        <v>0</v>
      </c>
      <c r="X423" s="583">
        <f>VLOOKUP($H423,Nutrition_tables!$A:$N,11,FALSE)*$Q423/100</f>
        <v>0</v>
      </c>
      <c r="Y423" s="583">
        <f>VLOOKUP($H423,Nutrition_tables!$A:$N,12,FALSE)*$Q423/100</f>
        <v>0</v>
      </c>
      <c r="Z423" s="583">
        <f>VLOOKUP($H423,Nutrition_tables!$A:$N,14,FALSE)*$Q423/100</f>
        <v>0</v>
      </c>
      <c r="AA423" s="583">
        <f>VLOOKUP($H423,Nutrition_tables!$A:$AF,13,FALSE)*$Q423/100</f>
        <v>0</v>
      </c>
      <c r="AB423" s="549">
        <f>VLOOKUP($H423,Nutrition_tables!$A:$AF,15,FALSE)*$Q423/100</f>
        <v>0</v>
      </c>
      <c r="AC423" s="583">
        <f>VLOOKUP($H423,Nutrition_tables!$A:$AF,16,FALSE)*$Q423/100</f>
        <v>0</v>
      </c>
      <c r="AD423" s="583">
        <f>VLOOKUP($H423,Nutrition_tables!$A:$AF,17,FALSE)*$Q423/100</f>
        <v>0</v>
      </c>
      <c r="AE423" s="583">
        <f>VLOOKUP($H423,Nutrition_tables!$A:$AF,18,FALSE)*$Q423/100</f>
        <v>0</v>
      </c>
      <c r="AF423" s="583">
        <f>VLOOKUP($H423,Nutrition_tables!$A:$AF,19,FALSE)*$Q423/100</f>
        <v>0</v>
      </c>
      <c r="AG423" s="583">
        <f>VLOOKUP($H423,Nutrition_tables!$A:$AF,20,FALSE)*$Q423/100</f>
        <v>0</v>
      </c>
      <c r="AH423" s="583">
        <f>VLOOKUP($H423,Nutrition_tables!$A:$AF,21,FALSE)*$Q423/100</f>
        <v>0</v>
      </c>
      <c r="AI423" s="583">
        <f>VLOOKUP($H423,Nutrition_tables!$A:$AF,22,FALSE)*$Q423/100</f>
        <v>0</v>
      </c>
      <c r="AJ423" s="549">
        <f>VLOOKUP($H423,Nutrition_tables!$A:$AF,23,FALSE)*$Q423/100</f>
        <v>0</v>
      </c>
      <c r="AK423" s="583">
        <f>VLOOKUP($H423,Nutrition_tables!$A:$AF,24,FALSE)*$Q423/100</f>
        <v>0</v>
      </c>
      <c r="AL423" s="583">
        <f>VLOOKUP($H423,Nutrition_tables!$A:$AF,25,FALSE)*$Q423/100</f>
        <v>0</v>
      </c>
      <c r="AM423" s="583">
        <f>VLOOKUP($H423,Nutrition_tables!$A:$AF,26,FALSE)*$Q423/100</f>
        <v>0</v>
      </c>
      <c r="AN423" s="583">
        <f>VLOOKUP($H423,Nutrition_tables!$A:$AF,27,FALSE)*$Q423/100</f>
        <v>0</v>
      </c>
      <c r="AO423" s="583">
        <f>VLOOKUP($H423,Nutrition_tables!$A:$AF,28,FALSE)*$Q423/100</f>
        <v>0</v>
      </c>
      <c r="AP423" s="583">
        <f>VLOOKUP($H423,Nutrition_tables!$A:$AF,29,FALSE)*$Q423/100</f>
        <v>0</v>
      </c>
      <c r="AQ423" s="583">
        <f>VLOOKUP($H423,Nutrition_tables!$A:$AF,30,FALSE)*$Q423/100</f>
        <v>0</v>
      </c>
      <c r="AR423" s="583">
        <f>VLOOKUP($H423,Nutrition_tables!$A:$AF,31,FALSE)*$Q423/100</f>
        <v>0</v>
      </c>
      <c r="AS423" s="549">
        <f>VLOOKUP($H423,Nutrition_tables!$A:$AF,32,FALSE)*$Q423/100</f>
        <v>0</v>
      </c>
      <c r="AT423" s="583" t="str">
        <f>IF(H423="Select ingredient:","",IF(G423="Select food category:","",IFERROR(VLOOKUP($H423,Ingredient_prices!$E:$W,17,FALSE)*$Q423/1000,"not bought")))</f>
        <v/>
      </c>
      <c r="AU423" s="583" t="str">
        <f>IF(H423="Select ingredient:","",IF(G423="Select food category:","",IFERROR(VLOOKUP($H423,Ingredient_prices!$E:$W,18,FALSE)*$Q423/1000,"not bought")))</f>
        <v/>
      </c>
      <c r="AV423" s="583">
        <f t="shared" si="959"/>
        <v>0</v>
      </c>
      <c r="AW423" s="583">
        <f t="shared" si="960"/>
        <v>0</v>
      </c>
      <c r="AX423" s="583">
        <f t="shared" si="961"/>
        <v>0</v>
      </c>
      <c r="AY423" s="583">
        <f t="shared" si="962"/>
        <v>0</v>
      </c>
      <c r="AZ423" s="583">
        <f t="shared" si="963"/>
        <v>0</v>
      </c>
      <c r="BA423" s="583">
        <f t="shared" si="964"/>
        <v>0</v>
      </c>
      <c r="BB423" s="583">
        <f t="shared" si="965"/>
        <v>0</v>
      </c>
      <c r="BC423" s="583">
        <f t="shared" si="966"/>
        <v>0</v>
      </c>
      <c r="BD423" s="583">
        <f t="shared" si="984"/>
        <v>0</v>
      </c>
      <c r="BE423" s="583">
        <f t="shared" si="984"/>
        <v>0</v>
      </c>
      <c r="BF423" s="583">
        <f t="shared" si="984"/>
        <v>0</v>
      </c>
      <c r="BG423" s="583">
        <f t="shared" si="984"/>
        <v>0</v>
      </c>
      <c r="BH423" s="583">
        <f t="shared" si="984"/>
        <v>0</v>
      </c>
      <c r="BI423" s="583">
        <f t="shared" si="984"/>
        <v>0</v>
      </c>
      <c r="BJ423" s="583">
        <f t="shared" si="984"/>
        <v>0</v>
      </c>
      <c r="BK423" s="583">
        <f t="shared" si="985"/>
        <v>0</v>
      </c>
      <c r="BL423" s="583">
        <f t="shared" si="986"/>
        <v>0</v>
      </c>
      <c r="BM423" s="583">
        <f t="shared" si="986"/>
        <v>0</v>
      </c>
      <c r="BN423" s="583">
        <f t="shared" si="986"/>
        <v>0</v>
      </c>
      <c r="BO423" s="583">
        <f t="shared" si="986"/>
        <v>0</v>
      </c>
      <c r="BP423" s="583">
        <f t="shared" si="986"/>
        <v>0</v>
      </c>
      <c r="BQ423" s="583">
        <f t="shared" si="986"/>
        <v>0</v>
      </c>
      <c r="BR423" s="583">
        <f t="shared" si="986"/>
        <v>0</v>
      </c>
    </row>
    <row r="424" spans="1:70" s="229" customFormat="1" ht="15" customHeight="1">
      <c r="A424" s="504"/>
      <c r="D424" s="85"/>
      <c r="E424" s="576">
        <f t="shared" si="983"/>
        <v>100</v>
      </c>
      <c r="F424" s="707"/>
      <c r="G424" s="406" t="s">
        <v>3054</v>
      </c>
      <c r="H424" s="1262" t="s">
        <v>3055</v>
      </c>
      <c r="I424" s="85">
        <v>0</v>
      </c>
      <c r="J424" s="682">
        <v>1</v>
      </c>
      <c r="K424" s="579" t="str">
        <f t="shared" si="957"/>
        <v/>
      </c>
      <c r="L424" s="580" t="str">
        <f>IF(H424="Select ingredient:","",IF(G424="","",_xlfn.IFNA(VLOOKUP($H424,Ingredient_prices!$E:$U,16,FALSE),0)))</f>
        <v/>
      </c>
      <c r="M424" s="850"/>
      <c r="N424" s="850"/>
      <c r="O424" s="666"/>
      <c r="P424" s="670"/>
      <c r="Q424" s="583">
        <f t="shared" si="958"/>
        <v>0</v>
      </c>
      <c r="R424" s="583">
        <f>VLOOKUP($H424,'CO2_emission+%_food_waste'!$A:$K,6,FALSE)*$Q424/100</f>
        <v>0</v>
      </c>
      <c r="S424" s="583">
        <f t="shared" si="982"/>
        <v>0</v>
      </c>
      <c r="T424" s="583" t="str">
        <f>IF(H424="Select ingredient:","",IF(G424="Select food category:","",_xlfn.IFNA(VLOOKUP($H424,Ingredient_prices!$E:$U,16,FALSE)*$Q424/1000,"not bought")))</f>
        <v/>
      </c>
      <c r="U424" s="583" t="str">
        <f>IF(G424="Select food category:","",_xlfn.IFNA(VLOOKUP($H424,Ingredient_prices!$E:$U,16,FALSE)*$R424/1000,"not bought"))</f>
        <v/>
      </c>
      <c r="V424" s="549">
        <f>VLOOKUP($H424,'CO2_emission+%_food_waste'!$A:$K,4,FALSE)*$Q424</f>
        <v>0</v>
      </c>
      <c r="W424" s="583">
        <f>VLOOKUP($H424,Nutrition_tables!$A:$N,10,FALSE)*$Q424/100</f>
        <v>0</v>
      </c>
      <c r="X424" s="583">
        <f>VLOOKUP($H424,Nutrition_tables!$A:$N,11,FALSE)*$Q424/100</f>
        <v>0</v>
      </c>
      <c r="Y424" s="583">
        <f>VLOOKUP($H424,Nutrition_tables!$A:$N,12,FALSE)*$Q424/100</f>
        <v>0</v>
      </c>
      <c r="Z424" s="583">
        <f>VLOOKUP($H424,Nutrition_tables!$A:$N,14,FALSE)*$Q424/100</f>
        <v>0</v>
      </c>
      <c r="AA424" s="583">
        <f>VLOOKUP($H424,Nutrition_tables!$A:$AF,13,FALSE)*$Q424/100</f>
        <v>0</v>
      </c>
      <c r="AB424" s="549">
        <f>VLOOKUP($H424,Nutrition_tables!$A:$AF,15,FALSE)*$Q424/100</f>
        <v>0</v>
      </c>
      <c r="AC424" s="583">
        <f>VLOOKUP($H424,Nutrition_tables!$A:$AF,16,FALSE)*$Q424/100</f>
        <v>0</v>
      </c>
      <c r="AD424" s="583">
        <f>VLOOKUP($H424,Nutrition_tables!$A:$AF,17,FALSE)*$Q424/100</f>
        <v>0</v>
      </c>
      <c r="AE424" s="583">
        <f>VLOOKUP($H424,Nutrition_tables!$A:$AF,18,FALSE)*$Q424/100</f>
        <v>0</v>
      </c>
      <c r="AF424" s="583">
        <f>VLOOKUP($H424,Nutrition_tables!$A:$AF,19,FALSE)*$Q424/100</f>
        <v>0</v>
      </c>
      <c r="AG424" s="583">
        <f>VLOOKUP($H424,Nutrition_tables!$A:$AF,20,FALSE)*$Q424/100</f>
        <v>0</v>
      </c>
      <c r="AH424" s="583">
        <f>VLOOKUP($H424,Nutrition_tables!$A:$AF,21,FALSE)*$Q424/100</f>
        <v>0</v>
      </c>
      <c r="AI424" s="583">
        <f>VLOOKUP($H424,Nutrition_tables!$A:$AF,22,FALSE)*$Q424/100</f>
        <v>0</v>
      </c>
      <c r="AJ424" s="549">
        <f>VLOOKUP($H424,Nutrition_tables!$A:$AF,23,FALSE)*$Q424/100</f>
        <v>0</v>
      </c>
      <c r="AK424" s="583">
        <f>VLOOKUP($H424,Nutrition_tables!$A:$AF,24,FALSE)*$Q424/100</f>
        <v>0</v>
      </c>
      <c r="AL424" s="583">
        <f>VLOOKUP($H424,Nutrition_tables!$A:$AF,25,FALSE)*$Q424/100</f>
        <v>0</v>
      </c>
      <c r="AM424" s="583">
        <f>VLOOKUP($H424,Nutrition_tables!$A:$AF,26,FALSE)*$Q424/100</f>
        <v>0</v>
      </c>
      <c r="AN424" s="583">
        <f>VLOOKUP($H424,Nutrition_tables!$A:$AF,27,FALSE)*$Q424/100</f>
        <v>0</v>
      </c>
      <c r="AO424" s="583">
        <f>VLOOKUP($H424,Nutrition_tables!$A:$AF,28,FALSE)*$Q424/100</f>
        <v>0</v>
      </c>
      <c r="AP424" s="583">
        <f>VLOOKUP($H424,Nutrition_tables!$A:$AF,29,FALSE)*$Q424/100</f>
        <v>0</v>
      </c>
      <c r="AQ424" s="583">
        <f>VLOOKUP($H424,Nutrition_tables!$A:$AF,30,FALSE)*$Q424/100</f>
        <v>0</v>
      </c>
      <c r="AR424" s="583">
        <f>VLOOKUP($H424,Nutrition_tables!$A:$AF,31,FALSE)*$Q424/100</f>
        <v>0</v>
      </c>
      <c r="AS424" s="549">
        <f>VLOOKUP($H424,Nutrition_tables!$A:$AF,32,FALSE)*$Q424/100</f>
        <v>0</v>
      </c>
      <c r="AT424" s="583" t="str">
        <f>IF(H424="Select ingredient:","",IF(G424="Select food category:","",IFERROR(VLOOKUP($H424,Ingredient_prices!$E:$W,17,FALSE)*$Q424/1000,"not bought")))</f>
        <v/>
      </c>
      <c r="AU424" s="583" t="str">
        <f>IF(H424="Select ingredient:","",IF(G424="Select food category:","",IFERROR(VLOOKUP($H424,Ingredient_prices!$E:$W,18,FALSE)*$Q424/1000,"not bought")))</f>
        <v/>
      </c>
      <c r="AV424" s="583">
        <f t="shared" si="959"/>
        <v>0</v>
      </c>
      <c r="AW424" s="583">
        <f t="shared" si="960"/>
        <v>0</v>
      </c>
      <c r="AX424" s="583">
        <f t="shared" si="961"/>
        <v>0</v>
      </c>
      <c r="AY424" s="583">
        <f t="shared" si="962"/>
        <v>0</v>
      </c>
      <c r="AZ424" s="583">
        <f t="shared" si="963"/>
        <v>0</v>
      </c>
      <c r="BA424" s="583">
        <f t="shared" si="964"/>
        <v>0</v>
      </c>
      <c r="BB424" s="583">
        <f t="shared" si="965"/>
        <v>0</v>
      </c>
      <c r="BC424" s="583">
        <f t="shared" si="966"/>
        <v>0</v>
      </c>
      <c r="BD424" s="583">
        <f t="shared" si="984"/>
        <v>0</v>
      </c>
      <c r="BE424" s="583">
        <f t="shared" si="984"/>
        <v>0</v>
      </c>
      <c r="BF424" s="583">
        <f t="shared" si="984"/>
        <v>0</v>
      </c>
      <c r="BG424" s="583">
        <f t="shared" si="984"/>
        <v>0</v>
      </c>
      <c r="BH424" s="583">
        <f t="shared" si="984"/>
        <v>0</v>
      </c>
      <c r="BI424" s="583">
        <f t="shared" si="984"/>
        <v>0</v>
      </c>
      <c r="BJ424" s="583">
        <f t="shared" si="984"/>
        <v>0</v>
      </c>
      <c r="BK424" s="583">
        <f t="shared" si="985"/>
        <v>0</v>
      </c>
      <c r="BL424" s="583">
        <f t="shared" si="986"/>
        <v>0</v>
      </c>
      <c r="BM424" s="583">
        <f t="shared" si="986"/>
        <v>0</v>
      </c>
      <c r="BN424" s="583">
        <f t="shared" si="986"/>
        <v>0</v>
      </c>
      <c r="BO424" s="583">
        <f t="shared" si="986"/>
        <v>0</v>
      </c>
      <c r="BP424" s="583">
        <f t="shared" si="986"/>
        <v>0</v>
      </c>
      <c r="BQ424" s="583">
        <f t="shared" si="986"/>
        <v>0</v>
      </c>
      <c r="BR424" s="583">
        <f t="shared" si="986"/>
        <v>0</v>
      </c>
    </row>
    <row r="425" spans="1:70" s="229" customFormat="1" ht="15" customHeight="1">
      <c r="A425" s="504"/>
      <c r="D425" s="85"/>
      <c r="E425" s="576">
        <f t="shared" si="983"/>
        <v>100</v>
      </c>
      <c r="F425" s="707"/>
      <c r="G425" s="406" t="s">
        <v>3054</v>
      </c>
      <c r="H425" s="1262" t="s">
        <v>3055</v>
      </c>
      <c r="I425" s="85">
        <v>0</v>
      </c>
      <c r="J425" s="682">
        <v>1</v>
      </c>
      <c r="K425" s="579" t="str">
        <f t="shared" si="957"/>
        <v/>
      </c>
      <c r="L425" s="580" t="str">
        <f>IF(H425="Select ingredient:","",IF(G425="","",_xlfn.IFNA(VLOOKUP($H425,Ingredient_prices!$E:$U,16,FALSE),0)))</f>
        <v/>
      </c>
      <c r="M425" s="850"/>
      <c r="N425" s="850"/>
      <c r="O425" s="666"/>
      <c r="P425" s="670"/>
      <c r="Q425" s="583">
        <f t="shared" si="958"/>
        <v>0</v>
      </c>
      <c r="R425" s="583">
        <f>VLOOKUP($H425,'CO2_emission+%_food_waste'!$A:$K,6,FALSE)*$Q425/100</f>
        <v>0</v>
      </c>
      <c r="S425" s="583">
        <f t="shared" si="982"/>
        <v>0</v>
      </c>
      <c r="T425" s="583" t="str">
        <f>IF(H425="Select ingredient:","",IF(G425="Select food category:","",_xlfn.IFNA(VLOOKUP($H425,Ingredient_prices!$E:$U,16,FALSE)*$Q425/1000,"not bought")))</f>
        <v/>
      </c>
      <c r="U425" s="583" t="str">
        <f>IF(G425="Select food category:","",_xlfn.IFNA(VLOOKUP($H425,Ingredient_prices!$E:$U,16,FALSE)*$R425/1000,"not bought"))</f>
        <v/>
      </c>
      <c r="V425" s="549">
        <f>VLOOKUP($H425,'CO2_emission+%_food_waste'!$A:$K,4,FALSE)*$Q425</f>
        <v>0</v>
      </c>
      <c r="W425" s="583">
        <f>VLOOKUP($H425,Nutrition_tables!$A:$N,10,FALSE)*$Q425/100</f>
        <v>0</v>
      </c>
      <c r="X425" s="583">
        <f>VLOOKUP($H425,Nutrition_tables!$A:$N,11,FALSE)*$Q425/100</f>
        <v>0</v>
      </c>
      <c r="Y425" s="583">
        <f>VLOOKUP($H425,Nutrition_tables!$A:$N,12,FALSE)*$Q425/100</f>
        <v>0</v>
      </c>
      <c r="Z425" s="583">
        <f>VLOOKUP($H425,Nutrition_tables!$A:$N,14,FALSE)*$Q425/100</f>
        <v>0</v>
      </c>
      <c r="AA425" s="583">
        <f>VLOOKUP($H425,Nutrition_tables!$A:$AF,13,FALSE)*$Q425/100</f>
        <v>0</v>
      </c>
      <c r="AB425" s="549">
        <f>VLOOKUP($H425,Nutrition_tables!$A:$AF,15,FALSE)*$Q425/100</f>
        <v>0</v>
      </c>
      <c r="AC425" s="583">
        <f>VLOOKUP($H425,Nutrition_tables!$A:$AF,16,FALSE)*$Q425/100</f>
        <v>0</v>
      </c>
      <c r="AD425" s="583">
        <f>VLOOKUP($H425,Nutrition_tables!$A:$AF,17,FALSE)*$Q425/100</f>
        <v>0</v>
      </c>
      <c r="AE425" s="583">
        <f>VLOOKUP($H425,Nutrition_tables!$A:$AF,18,FALSE)*$Q425/100</f>
        <v>0</v>
      </c>
      <c r="AF425" s="583">
        <f>VLOOKUP($H425,Nutrition_tables!$A:$AF,19,FALSE)*$Q425/100</f>
        <v>0</v>
      </c>
      <c r="AG425" s="583">
        <f>VLOOKUP($H425,Nutrition_tables!$A:$AF,20,FALSE)*$Q425/100</f>
        <v>0</v>
      </c>
      <c r="AH425" s="583">
        <f>VLOOKUP($H425,Nutrition_tables!$A:$AF,21,FALSE)*$Q425/100</f>
        <v>0</v>
      </c>
      <c r="AI425" s="583">
        <f>VLOOKUP($H425,Nutrition_tables!$A:$AF,22,FALSE)*$Q425/100</f>
        <v>0</v>
      </c>
      <c r="AJ425" s="549">
        <f>VLOOKUP($H425,Nutrition_tables!$A:$AF,23,FALSE)*$Q425/100</f>
        <v>0</v>
      </c>
      <c r="AK425" s="583">
        <f>VLOOKUP($H425,Nutrition_tables!$A:$AF,24,FALSE)*$Q425/100</f>
        <v>0</v>
      </c>
      <c r="AL425" s="583">
        <f>VLOOKUP($H425,Nutrition_tables!$A:$AF,25,FALSE)*$Q425/100</f>
        <v>0</v>
      </c>
      <c r="AM425" s="583">
        <f>VLOOKUP($H425,Nutrition_tables!$A:$AF,26,FALSE)*$Q425/100</f>
        <v>0</v>
      </c>
      <c r="AN425" s="583">
        <f>VLOOKUP($H425,Nutrition_tables!$A:$AF,27,FALSE)*$Q425/100</f>
        <v>0</v>
      </c>
      <c r="AO425" s="583">
        <f>VLOOKUP($H425,Nutrition_tables!$A:$AF,28,FALSE)*$Q425/100</f>
        <v>0</v>
      </c>
      <c r="AP425" s="583">
        <f>VLOOKUP($H425,Nutrition_tables!$A:$AF,29,FALSE)*$Q425/100</f>
        <v>0</v>
      </c>
      <c r="AQ425" s="583">
        <f>VLOOKUP($H425,Nutrition_tables!$A:$AF,30,FALSE)*$Q425/100</f>
        <v>0</v>
      </c>
      <c r="AR425" s="583">
        <f>VLOOKUP($H425,Nutrition_tables!$A:$AF,31,FALSE)*$Q425/100</f>
        <v>0</v>
      </c>
      <c r="AS425" s="549">
        <f>VLOOKUP($H425,Nutrition_tables!$A:$AF,32,FALSE)*$Q425/100</f>
        <v>0</v>
      </c>
      <c r="AT425" s="583" t="str">
        <f>IF(H425="Select ingredient:","",IF(G425="Select food category:","",IFERROR(VLOOKUP($H425,Ingredient_prices!$E:$W,17,FALSE)*$Q425/1000,"not bought")))</f>
        <v/>
      </c>
      <c r="AU425" s="583" t="str">
        <f>IF(H425="Select ingredient:","",IF(G425="Select food category:","",IFERROR(VLOOKUP($H425,Ingredient_prices!$E:$W,18,FALSE)*$Q425/1000,"not bought")))</f>
        <v/>
      </c>
      <c r="AV425" s="583">
        <f t="shared" si="959"/>
        <v>0</v>
      </c>
      <c r="AW425" s="583">
        <f t="shared" si="960"/>
        <v>0</v>
      </c>
      <c r="AX425" s="583">
        <f t="shared" si="961"/>
        <v>0</v>
      </c>
      <c r="AY425" s="583">
        <f t="shared" si="962"/>
        <v>0</v>
      </c>
      <c r="AZ425" s="583">
        <f t="shared" si="963"/>
        <v>0</v>
      </c>
      <c r="BA425" s="583">
        <f t="shared" si="964"/>
        <v>0</v>
      </c>
      <c r="BB425" s="583">
        <f t="shared" si="965"/>
        <v>0</v>
      </c>
      <c r="BC425" s="583">
        <f t="shared" si="966"/>
        <v>0</v>
      </c>
      <c r="BD425" s="583">
        <f t="shared" si="984"/>
        <v>0</v>
      </c>
      <c r="BE425" s="583">
        <f t="shared" si="984"/>
        <v>0</v>
      </c>
      <c r="BF425" s="583">
        <f t="shared" si="984"/>
        <v>0</v>
      </c>
      <c r="BG425" s="583">
        <f t="shared" si="984"/>
        <v>0</v>
      </c>
      <c r="BH425" s="583">
        <f t="shared" si="984"/>
        <v>0</v>
      </c>
      <c r="BI425" s="583">
        <f t="shared" si="984"/>
        <v>0</v>
      </c>
      <c r="BJ425" s="583">
        <f t="shared" si="984"/>
        <v>0</v>
      </c>
      <c r="BK425" s="583">
        <f t="shared" si="985"/>
        <v>0</v>
      </c>
      <c r="BL425" s="583">
        <f t="shared" si="986"/>
        <v>0</v>
      </c>
      <c r="BM425" s="583">
        <f t="shared" si="986"/>
        <v>0</v>
      </c>
      <c r="BN425" s="583">
        <f t="shared" si="986"/>
        <v>0</v>
      </c>
      <c r="BO425" s="583">
        <f t="shared" si="986"/>
        <v>0</v>
      </c>
      <c r="BP425" s="583">
        <f t="shared" si="986"/>
        <v>0</v>
      </c>
      <c r="BQ425" s="583">
        <f t="shared" si="986"/>
        <v>0</v>
      </c>
      <c r="BR425" s="583">
        <f t="shared" si="986"/>
        <v>0</v>
      </c>
    </row>
    <row r="426" spans="1:70" s="229" customFormat="1" ht="15" customHeight="1">
      <c r="A426" s="504"/>
      <c r="D426" s="85"/>
      <c r="E426" s="576">
        <f t="shared" si="983"/>
        <v>100</v>
      </c>
      <c r="F426" s="707"/>
      <c r="G426" s="406" t="s">
        <v>3054</v>
      </c>
      <c r="H426" s="1262" t="s">
        <v>3055</v>
      </c>
      <c r="I426" s="85">
        <v>0</v>
      </c>
      <c r="J426" s="682">
        <v>1</v>
      </c>
      <c r="K426" s="579" t="str">
        <f t="shared" si="957"/>
        <v/>
      </c>
      <c r="L426" s="580" t="str">
        <f>IF(H426="Select ingredient:","",IF(G426="","",_xlfn.IFNA(VLOOKUP($H426,Ingredient_prices!$E:$U,16,FALSE),0)))</f>
        <v/>
      </c>
      <c r="M426" s="850"/>
      <c r="N426" s="850"/>
      <c r="O426" s="666"/>
      <c r="P426" s="670"/>
      <c r="Q426" s="583">
        <f t="shared" si="958"/>
        <v>0</v>
      </c>
      <c r="R426" s="583">
        <f>VLOOKUP($H426,'CO2_emission+%_food_waste'!$A:$K,6,FALSE)*$Q426/100</f>
        <v>0</v>
      </c>
      <c r="S426" s="583">
        <f t="shared" si="982"/>
        <v>0</v>
      </c>
      <c r="T426" s="583" t="str">
        <f>IF(H426="Select ingredient:","",IF(G426="Select food category:","",_xlfn.IFNA(VLOOKUP($H426,Ingredient_prices!$E:$U,16,FALSE)*$Q426/1000,"not bought")))</f>
        <v/>
      </c>
      <c r="U426" s="583" t="str">
        <f>IF(G426="Select food category:","",_xlfn.IFNA(VLOOKUP($H426,Ingredient_prices!$E:$U,16,FALSE)*$R426/1000,"not bought"))</f>
        <v/>
      </c>
      <c r="V426" s="549">
        <f>VLOOKUP($H426,'CO2_emission+%_food_waste'!$A:$K,4,FALSE)*$Q426</f>
        <v>0</v>
      </c>
      <c r="W426" s="583">
        <f>VLOOKUP($H426,Nutrition_tables!$A:$N,10,FALSE)*$Q426/100</f>
        <v>0</v>
      </c>
      <c r="X426" s="583">
        <f>VLOOKUP($H426,Nutrition_tables!$A:$N,11,FALSE)*$Q426/100</f>
        <v>0</v>
      </c>
      <c r="Y426" s="583">
        <f>VLOOKUP($H426,Nutrition_tables!$A:$N,12,FALSE)*$Q426/100</f>
        <v>0</v>
      </c>
      <c r="Z426" s="583">
        <f>VLOOKUP($H426,Nutrition_tables!$A:$N,14,FALSE)*$Q426/100</f>
        <v>0</v>
      </c>
      <c r="AA426" s="583">
        <f>VLOOKUP($H426,Nutrition_tables!$A:$AF,13,FALSE)*$Q426/100</f>
        <v>0</v>
      </c>
      <c r="AB426" s="549">
        <f>VLOOKUP($H426,Nutrition_tables!$A:$AF,15,FALSE)*$Q426/100</f>
        <v>0</v>
      </c>
      <c r="AC426" s="583">
        <f>VLOOKUP($H426,Nutrition_tables!$A:$AF,16,FALSE)*$Q426/100</f>
        <v>0</v>
      </c>
      <c r="AD426" s="583">
        <f>VLOOKUP($H426,Nutrition_tables!$A:$AF,17,FALSE)*$Q426/100</f>
        <v>0</v>
      </c>
      <c r="AE426" s="583">
        <f>VLOOKUP($H426,Nutrition_tables!$A:$AF,18,FALSE)*$Q426/100</f>
        <v>0</v>
      </c>
      <c r="AF426" s="583">
        <f>VLOOKUP($H426,Nutrition_tables!$A:$AF,19,FALSE)*$Q426/100</f>
        <v>0</v>
      </c>
      <c r="AG426" s="583">
        <f>VLOOKUP($H426,Nutrition_tables!$A:$AF,20,FALSE)*$Q426/100</f>
        <v>0</v>
      </c>
      <c r="AH426" s="583">
        <f>VLOOKUP($H426,Nutrition_tables!$A:$AF,21,FALSE)*$Q426/100</f>
        <v>0</v>
      </c>
      <c r="AI426" s="583">
        <f>VLOOKUP($H426,Nutrition_tables!$A:$AF,22,FALSE)*$Q426/100</f>
        <v>0</v>
      </c>
      <c r="AJ426" s="549">
        <f>VLOOKUP($H426,Nutrition_tables!$A:$AF,23,FALSE)*$Q426/100</f>
        <v>0</v>
      </c>
      <c r="AK426" s="583">
        <f>VLOOKUP($H426,Nutrition_tables!$A:$AF,24,FALSE)*$Q426/100</f>
        <v>0</v>
      </c>
      <c r="AL426" s="583">
        <f>VLOOKUP($H426,Nutrition_tables!$A:$AF,25,FALSE)*$Q426/100</f>
        <v>0</v>
      </c>
      <c r="AM426" s="583">
        <f>VLOOKUP($H426,Nutrition_tables!$A:$AF,26,FALSE)*$Q426/100</f>
        <v>0</v>
      </c>
      <c r="AN426" s="583">
        <f>VLOOKUP($H426,Nutrition_tables!$A:$AF,27,FALSE)*$Q426/100</f>
        <v>0</v>
      </c>
      <c r="AO426" s="583">
        <f>VLOOKUP($H426,Nutrition_tables!$A:$AF,28,FALSE)*$Q426/100</f>
        <v>0</v>
      </c>
      <c r="AP426" s="583">
        <f>VLOOKUP($H426,Nutrition_tables!$A:$AF,29,FALSE)*$Q426/100</f>
        <v>0</v>
      </c>
      <c r="AQ426" s="583">
        <f>VLOOKUP($H426,Nutrition_tables!$A:$AF,30,FALSE)*$Q426/100</f>
        <v>0</v>
      </c>
      <c r="AR426" s="583">
        <f>VLOOKUP($H426,Nutrition_tables!$A:$AF,31,FALSE)*$Q426/100</f>
        <v>0</v>
      </c>
      <c r="AS426" s="549">
        <f>VLOOKUP($H426,Nutrition_tables!$A:$AF,32,FALSE)*$Q426/100</f>
        <v>0</v>
      </c>
      <c r="AT426" s="583" t="str">
        <f>IF(H426="Select ingredient:","",IF(G426="Select food category:","",IFERROR(VLOOKUP($H426,Ingredient_prices!$E:$W,17,FALSE)*$Q426/1000,"not bought")))</f>
        <v/>
      </c>
      <c r="AU426" s="583" t="str">
        <f>IF(H426="Select ingredient:","",IF(G426="Select food category:","",IFERROR(VLOOKUP($H426,Ingredient_prices!$E:$W,18,FALSE)*$Q426/1000,"not bought")))</f>
        <v/>
      </c>
      <c r="AV426" s="583">
        <f t="shared" si="959"/>
        <v>0</v>
      </c>
      <c r="AW426" s="583">
        <f t="shared" si="960"/>
        <v>0</v>
      </c>
      <c r="AX426" s="583">
        <f t="shared" si="961"/>
        <v>0</v>
      </c>
      <c r="AY426" s="583">
        <f t="shared" si="962"/>
        <v>0</v>
      </c>
      <c r="AZ426" s="583">
        <f t="shared" si="963"/>
        <v>0</v>
      </c>
      <c r="BA426" s="583">
        <f t="shared" si="964"/>
        <v>0</v>
      </c>
      <c r="BB426" s="583">
        <f t="shared" si="965"/>
        <v>0</v>
      </c>
      <c r="BC426" s="583">
        <f t="shared" si="966"/>
        <v>0</v>
      </c>
      <c r="BD426" s="583">
        <f t="shared" si="984"/>
        <v>0</v>
      </c>
      <c r="BE426" s="583">
        <f t="shared" si="984"/>
        <v>0</v>
      </c>
      <c r="BF426" s="583">
        <f t="shared" si="984"/>
        <v>0</v>
      </c>
      <c r="BG426" s="583">
        <f t="shared" si="984"/>
        <v>0</v>
      </c>
      <c r="BH426" s="583">
        <f t="shared" si="984"/>
        <v>0</v>
      </c>
      <c r="BI426" s="583">
        <f t="shared" si="984"/>
        <v>0</v>
      </c>
      <c r="BJ426" s="583">
        <f t="shared" si="984"/>
        <v>0</v>
      </c>
      <c r="BK426" s="583">
        <f t="shared" si="985"/>
        <v>0</v>
      </c>
      <c r="BL426" s="583">
        <f t="shared" si="986"/>
        <v>0</v>
      </c>
      <c r="BM426" s="583">
        <f t="shared" si="986"/>
        <v>0</v>
      </c>
      <c r="BN426" s="583">
        <f t="shared" si="986"/>
        <v>0</v>
      </c>
      <c r="BO426" s="583">
        <f t="shared" si="986"/>
        <v>0</v>
      </c>
      <c r="BP426" s="583">
        <f t="shared" si="986"/>
        <v>0</v>
      </c>
      <c r="BQ426" s="583">
        <f t="shared" si="986"/>
        <v>0</v>
      </c>
      <c r="BR426" s="583">
        <f t="shared" si="986"/>
        <v>0</v>
      </c>
    </row>
    <row r="427" spans="1:70" s="603" customFormat="1" ht="56">
      <c r="A427" s="504"/>
      <c r="B427" s="593"/>
      <c r="C427" s="522"/>
      <c r="D427" s="141"/>
      <c r="E427" s="594"/>
      <c r="F427" s="716"/>
      <c r="G427" s="522"/>
      <c r="H427" s="522"/>
      <c r="I427" s="86"/>
      <c r="J427" s="87"/>
      <c r="K427" s="595"/>
      <c r="L427" s="596"/>
      <c r="M427" s="851"/>
      <c r="N427" s="851"/>
      <c r="O427" s="666"/>
      <c r="P427" s="671"/>
      <c r="Q427" s="599" t="s">
        <v>384</v>
      </c>
      <c r="R427" s="600" t="s">
        <v>455</v>
      </c>
      <c r="S427" s="600" t="s">
        <v>2087</v>
      </c>
      <c r="T427" s="600" t="s">
        <v>456</v>
      </c>
      <c r="U427" s="600" t="s">
        <v>535</v>
      </c>
      <c r="V427" s="601" t="s">
        <v>457</v>
      </c>
      <c r="W427" s="600" t="s">
        <v>75</v>
      </c>
      <c r="X427" s="600" t="s">
        <v>385</v>
      </c>
      <c r="Y427" s="600" t="s">
        <v>386</v>
      </c>
      <c r="Z427" s="600" t="s">
        <v>387</v>
      </c>
      <c r="AA427" s="600" t="s">
        <v>388</v>
      </c>
      <c r="AB427" s="601" t="s">
        <v>389</v>
      </c>
      <c r="AC427" s="602" t="s">
        <v>390</v>
      </c>
      <c r="AD427" s="600" t="s">
        <v>391</v>
      </c>
      <c r="AE427" s="600" t="s">
        <v>392</v>
      </c>
      <c r="AF427" s="600" t="s">
        <v>393</v>
      </c>
      <c r="AG427" s="600" t="s">
        <v>394</v>
      </c>
      <c r="AH427" s="600" t="s">
        <v>395</v>
      </c>
      <c r="AI427" s="600" t="s">
        <v>396</v>
      </c>
      <c r="AJ427" s="601" t="s">
        <v>397</v>
      </c>
      <c r="AK427" s="602" t="s">
        <v>398</v>
      </c>
      <c r="AL427" s="600" t="s">
        <v>399</v>
      </c>
      <c r="AM427" s="600" t="s">
        <v>400</v>
      </c>
      <c r="AN427" s="600" t="s">
        <v>401</v>
      </c>
      <c r="AO427" s="600" t="s">
        <v>402</v>
      </c>
      <c r="AP427" s="600" t="s">
        <v>406</v>
      </c>
      <c r="AQ427" s="600" t="s">
        <v>405</v>
      </c>
      <c r="AR427" s="600" t="s">
        <v>403</v>
      </c>
      <c r="AS427" s="601" t="s">
        <v>404</v>
      </c>
      <c r="AT427" s="593"/>
      <c r="AU427" s="593"/>
    </row>
    <row r="428" spans="1:70" s="229" customFormat="1">
      <c r="A428" s="504"/>
      <c r="B428" s="522"/>
      <c r="C428" s="522"/>
      <c r="D428" s="141"/>
      <c r="E428" s="594"/>
      <c r="F428" s="716"/>
      <c r="G428" s="522"/>
      <c r="H428" s="594"/>
      <c r="I428" s="86"/>
      <c r="J428" s="87"/>
      <c r="K428" s="595"/>
      <c r="L428" s="596"/>
      <c r="M428" s="851"/>
      <c r="N428" s="851"/>
      <c r="O428" s="666"/>
      <c r="P428" s="672" t="s">
        <v>383</v>
      </c>
      <c r="Q428" s="583">
        <f>SUM(Q407:Q426)</f>
        <v>0</v>
      </c>
      <c r="R428" s="583">
        <f t="shared" ref="R428:V428" si="987">SUM(R407:R426)</f>
        <v>0</v>
      </c>
      <c r="S428" s="583">
        <f>SUM(S407:S426)</f>
        <v>0</v>
      </c>
      <c r="T428" s="583">
        <f t="shared" ref="T428:U428" si="988">SUM(T407:T426)</f>
        <v>0</v>
      </c>
      <c r="U428" s="583">
        <f t="shared" si="988"/>
        <v>0</v>
      </c>
      <c r="V428" s="549">
        <f t="shared" si="987"/>
        <v>0</v>
      </c>
      <c r="W428" s="583">
        <f t="shared" ref="W428:AU428" si="989">SUM(W407:W426)</f>
        <v>0</v>
      </c>
      <c r="X428" s="583">
        <f t="shared" si="989"/>
        <v>0</v>
      </c>
      <c r="Y428" s="583">
        <f t="shared" si="989"/>
        <v>0</v>
      </c>
      <c r="Z428" s="583">
        <f t="shared" si="989"/>
        <v>0</v>
      </c>
      <c r="AA428" s="583">
        <f t="shared" si="989"/>
        <v>0</v>
      </c>
      <c r="AB428" s="549">
        <f t="shared" si="989"/>
        <v>0</v>
      </c>
      <c r="AC428" s="583">
        <f t="shared" si="989"/>
        <v>0</v>
      </c>
      <c r="AD428" s="583">
        <f t="shared" si="989"/>
        <v>0</v>
      </c>
      <c r="AE428" s="583">
        <f t="shared" si="989"/>
        <v>0</v>
      </c>
      <c r="AF428" s="583">
        <f t="shared" si="989"/>
        <v>0</v>
      </c>
      <c r="AG428" s="583">
        <f t="shared" si="989"/>
        <v>0</v>
      </c>
      <c r="AH428" s="583">
        <f t="shared" si="989"/>
        <v>0</v>
      </c>
      <c r="AI428" s="583">
        <f t="shared" si="989"/>
        <v>0</v>
      </c>
      <c r="AJ428" s="549">
        <f t="shared" si="989"/>
        <v>0</v>
      </c>
      <c r="AK428" s="583">
        <f t="shared" si="989"/>
        <v>0</v>
      </c>
      <c r="AL428" s="583">
        <f t="shared" si="989"/>
        <v>0</v>
      </c>
      <c r="AM428" s="583">
        <f t="shared" si="989"/>
        <v>0</v>
      </c>
      <c r="AN428" s="583">
        <f t="shared" si="989"/>
        <v>0</v>
      </c>
      <c r="AO428" s="583">
        <f t="shared" si="989"/>
        <v>0</v>
      </c>
      <c r="AP428" s="583">
        <f t="shared" si="989"/>
        <v>0</v>
      </c>
      <c r="AQ428" s="583">
        <f t="shared" si="989"/>
        <v>0</v>
      </c>
      <c r="AR428" s="583">
        <f t="shared" si="989"/>
        <v>0</v>
      </c>
      <c r="AS428" s="549">
        <f t="shared" si="989"/>
        <v>0</v>
      </c>
      <c r="AT428" s="583">
        <f t="shared" si="989"/>
        <v>0</v>
      </c>
      <c r="AU428" s="583">
        <f t="shared" si="989"/>
        <v>0</v>
      </c>
      <c r="AV428" s="583">
        <f>SUM(AV407:AV426)</f>
        <v>0</v>
      </c>
      <c r="AW428" s="583">
        <f t="shared" ref="AW428:BR428" si="990">SUM(AW407:AW426)</f>
        <v>0</v>
      </c>
      <c r="AX428" s="583">
        <f t="shared" si="990"/>
        <v>0</v>
      </c>
      <c r="AY428" s="583">
        <f t="shared" si="990"/>
        <v>0</v>
      </c>
      <c r="AZ428" s="583">
        <f t="shared" si="990"/>
        <v>0</v>
      </c>
      <c r="BA428" s="583">
        <f t="shared" si="990"/>
        <v>0</v>
      </c>
      <c r="BB428" s="583">
        <f t="shared" si="990"/>
        <v>0</v>
      </c>
      <c r="BC428" s="583">
        <f t="shared" si="990"/>
        <v>0</v>
      </c>
      <c r="BD428" s="583">
        <f t="shared" si="990"/>
        <v>0</v>
      </c>
      <c r="BE428" s="583">
        <f t="shared" si="990"/>
        <v>0</v>
      </c>
      <c r="BF428" s="583">
        <f t="shared" si="990"/>
        <v>0</v>
      </c>
      <c r="BG428" s="583">
        <f t="shared" si="990"/>
        <v>0</v>
      </c>
      <c r="BH428" s="583">
        <f t="shared" si="990"/>
        <v>0</v>
      </c>
      <c r="BI428" s="583">
        <f t="shared" si="990"/>
        <v>0</v>
      </c>
      <c r="BJ428" s="583">
        <f t="shared" si="990"/>
        <v>0</v>
      </c>
      <c r="BK428" s="583">
        <f t="shared" si="990"/>
        <v>0</v>
      </c>
      <c r="BL428" s="583">
        <f t="shared" si="990"/>
        <v>0</v>
      </c>
      <c r="BM428" s="583">
        <f t="shared" si="990"/>
        <v>0</v>
      </c>
      <c r="BN428" s="583">
        <f t="shared" si="990"/>
        <v>0</v>
      </c>
      <c r="BO428" s="583">
        <f t="shared" si="990"/>
        <v>0</v>
      </c>
      <c r="BP428" s="583">
        <f t="shared" si="990"/>
        <v>0</v>
      </c>
      <c r="BQ428" s="583">
        <f t="shared" si="990"/>
        <v>0</v>
      </c>
      <c r="BR428" s="583">
        <f t="shared" si="990"/>
        <v>0</v>
      </c>
    </row>
    <row r="429" spans="1:70" s="229" customFormat="1">
      <c r="A429" s="504"/>
      <c r="B429" s="522"/>
      <c r="C429" s="522"/>
      <c r="D429" s="141"/>
      <c r="E429" s="594"/>
      <c r="F429" s="716"/>
      <c r="G429" s="522"/>
      <c r="H429" s="594"/>
      <c r="I429" s="86"/>
      <c r="J429" s="87"/>
      <c r="K429" s="595"/>
      <c r="L429" s="596"/>
      <c r="M429" s="851"/>
      <c r="N429" s="851"/>
      <c r="O429" s="666"/>
      <c r="P429" s="672" t="s">
        <v>538</v>
      </c>
      <c r="V429" s="526"/>
      <c r="W429" s="229">
        <v>649.25</v>
      </c>
      <c r="X429" s="229">
        <v>81.199999999999989</v>
      </c>
      <c r="Y429" s="229">
        <v>20.299999999999997</v>
      </c>
      <c r="Z429" s="229">
        <v>21.7</v>
      </c>
      <c r="AA429" s="229">
        <v>6.6499999999999995</v>
      </c>
      <c r="AB429" s="526">
        <v>7</v>
      </c>
      <c r="AC429" s="229">
        <v>482.99999999999994</v>
      </c>
      <c r="AD429" s="229">
        <v>630</v>
      </c>
      <c r="AE429" s="229">
        <v>315</v>
      </c>
      <c r="AF429" s="229">
        <v>59.499999999999993</v>
      </c>
      <c r="AG429" s="229">
        <v>280</v>
      </c>
      <c r="AH429" s="229">
        <v>3.5</v>
      </c>
      <c r="AI429" s="229">
        <v>2.4499999999999997</v>
      </c>
      <c r="AJ429" s="526">
        <v>0.4375</v>
      </c>
      <c r="AK429" s="229">
        <v>280</v>
      </c>
      <c r="AL429" s="229">
        <v>0.35</v>
      </c>
      <c r="AM429" s="229">
        <v>0.38500000000000001</v>
      </c>
      <c r="AN429" s="229">
        <v>4.1999999999999993</v>
      </c>
      <c r="AO429" s="229">
        <v>0.24499999999999997</v>
      </c>
      <c r="AP429" s="229">
        <v>105</v>
      </c>
      <c r="AQ429" s="229">
        <v>0.63</v>
      </c>
      <c r="AR429" s="229">
        <v>28</v>
      </c>
      <c r="AS429" s="526">
        <v>1.75</v>
      </c>
      <c r="AV429" s="229">
        <v>649.25</v>
      </c>
      <c r="AW429" s="229">
        <v>81.199999999999989</v>
      </c>
      <c r="AX429" s="229">
        <v>20.299999999999997</v>
      </c>
      <c r="AY429" s="229">
        <v>21.7</v>
      </c>
      <c r="AZ429" s="229">
        <v>6.6499999999999995</v>
      </c>
      <c r="BA429" s="526">
        <v>7</v>
      </c>
      <c r="BB429" s="229">
        <v>482.99999999999994</v>
      </c>
      <c r="BC429" s="229">
        <v>630</v>
      </c>
      <c r="BD429" s="229">
        <v>315</v>
      </c>
      <c r="BE429" s="229">
        <v>59.499999999999993</v>
      </c>
      <c r="BF429" s="229">
        <v>280</v>
      </c>
      <c r="BG429" s="229">
        <v>3.5</v>
      </c>
      <c r="BH429" s="229">
        <v>2.4499999999999997</v>
      </c>
      <c r="BI429" s="526">
        <v>0.4375</v>
      </c>
      <c r="BJ429" s="229">
        <v>280</v>
      </c>
      <c r="BK429" s="229">
        <v>0.35</v>
      </c>
      <c r="BL429" s="229">
        <v>0.38500000000000001</v>
      </c>
      <c r="BM429" s="229">
        <v>4.1999999999999993</v>
      </c>
      <c r="BN429" s="229">
        <v>0.24499999999999997</v>
      </c>
      <c r="BO429" s="229">
        <v>105</v>
      </c>
      <c r="BP429" s="229">
        <v>0.63</v>
      </c>
      <c r="BQ429" s="229">
        <v>28</v>
      </c>
      <c r="BR429" s="526">
        <v>1.75</v>
      </c>
    </row>
    <row r="430" spans="1:70" s="229" customFormat="1">
      <c r="A430" s="504"/>
      <c r="B430" s="522"/>
      <c r="C430" s="522"/>
      <c r="D430" s="141"/>
      <c r="E430" s="594"/>
      <c r="F430" s="716"/>
      <c r="G430" s="522"/>
      <c r="H430" s="594"/>
      <c r="I430" s="86"/>
      <c r="J430" s="87"/>
      <c r="K430" s="595"/>
      <c r="L430" s="596"/>
      <c r="M430" s="851"/>
      <c r="N430" s="851"/>
      <c r="O430" s="666"/>
      <c r="P430" s="672" t="s">
        <v>407</v>
      </c>
      <c r="V430" s="526"/>
      <c r="W430" s="514">
        <f t="shared" ref="W430:AS430" si="991">100*W428/W429</f>
        <v>0</v>
      </c>
      <c r="X430" s="514">
        <f t="shared" si="991"/>
        <v>0</v>
      </c>
      <c r="Y430" s="514">
        <f t="shared" si="991"/>
        <v>0</v>
      </c>
      <c r="Z430" s="514">
        <f t="shared" si="991"/>
        <v>0</v>
      </c>
      <c r="AA430" s="514">
        <f t="shared" si="991"/>
        <v>0</v>
      </c>
      <c r="AB430" s="506">
        <f t="shared" si="991"/>
        <v>0</v>
      </c>
      <c r="AC430" s="514">
        <f t="shared" si="991"/>
        <v>0</v>
      </c>
      <c r="AD430" s="514">
        <f t="shared" si="991"/>
        <v>0</v>
      </c>
      <c r="AE430" s="514">
        <f t="shared" si="991"/>
        <v>0</v>
      </c>
      <c r="AF430" s="514">
        <f t="shared" si="991"/>
        <v>0</v>
      </c>
      <c r="AG430" s="514">
        <f t="shared" si="991"/>
        <v>0</v>
      </c>
      <c r="AH430" s="514">
        <f t="shared" si="991"/>
        <v>0</v>
      </c>
      <c r="AI430" s="514">
        <f t="shared" si="991"/>
        <v>0</v>
      </c>
      <c r="AJ430" s="506">
        <f t="shared" si="991"/>
        <v>0</v>
      </c>
      <c r="AK430" s="514">
        <f t="shared" si="991"/>
        <v>0</v>
      </c>
      <c r="AL430" s="514">
        <f t="shared" si="991"/>
        <v>0</v>
      </c>
      <c r="AM430" s="514">
        <f t="shared" si="991"/>
        <v>0</v>
      </c>
      <c r="AN430" s="514">
        <f t="shared" si="991"/>
        <v>0</v>
      </c>
      <c r="AO430" s="514">
        <f t="shared" si="991"/>
        <v>0</v>
      </c>
      <c r="AP430" s="514">
        <f t="shared" si="991"/>
        <v>0</v>
      </c>
      <c r="AQ430" s="514">
        <f t="shared" si="991"/>
        <v>0</v>
      </c>
      <c r="AR430" s="514">
        <f t="shared" si="991"/>
        <v>0</v>
      </c>
      <c r="AS430" s="506">
        <f t="shared" si="991"/>
        <v>0</v>
      </c>
      <c r="AV430" s="514">
        <f t="shared" ref="AV430:BR430" si="992">100*AV428/AV429</f>
        <v>0</v>
      </c>
      <c r="AW430" s="514">
        <f t="shared" si="992"/>
        <v>0</v>
      </c>
      <c r="AX430" s="514">
        <f t="shared" si="992"/>
        <v>0</v>
      </c>
      <c r="AY430" s="514">
        <f t="shared" si="992"/>
        <v>0</v>
      </c>
      <c r="AZ430" s="514">
        <f t="shared" si="992"/>
        <v>0</v>
      </c>
      <c r="BA430" s="506">
        <f t="shared" si="992"/>
        <v>0</v>
      </c>
      <c r="BB430" s="514">
        <f t="shared" si="992"/>
        <v>0</v>
      </c>
      <c r="BC430" s="514">
        <f t="shared" si="992"/>
        <v>0</v>
      </c>
      <c r="BD430" s="514">
        <f t="shared" si="992"/>
        <v>0</v>
      </c>
      <c r="BE430" s="514">
        <f t="shared" si="992"/>
        <v>0</v>
      </c>
      <c r="BF430" s="514">
        <f t="shared" si="992"/>
        <v>0</v>
      </c>
      <c r="BG430" s="514">
        <f t="shared" si="992"/>
        <v>0</v>
      </c>
      <c r="BH430" s="514">
        <f t="shared" si="992"/>
        <v>0</v>
      </c>
      <c r="BI430" s="506">
        <f t="shared" si="992"/>
        <v>0</v>
      </c>
      <c r="BJ430" s="514">
        <f t="shared" si="992"/>
        <v>0</v>
      </c>
      <c r="BK430" s="514">
        <f t="shared" si="992"/>
        <v>0</v>
      </c>
      <c r="BL430" s="514">
        <f t="shared" si="992"/>
        <v>0</v>
      </c>
      <c r="BM430" s="514">
        <f t="shared" si="992"/>
        <v>0</v>
      </c>
      <c r="BN430" s="514">
        <f t="shared" si="992"/>
        <v>0</v>
      </c>
      <c r="BO430" s="514">
        <f t="shared" si="992"/>
        <v>0</v>
      </c>
      <c r="BP430" s="514">
        <f t="shared" si="992"/>
        <v>0</v>
      </c>
      <c r="BQ430" s="514">
        <f t="shared" si="992"/>
        <v>0</v>
      </c>
      <c r="BR430" s="506">
        <f t="shared" si="992"/>
        <v>0</v>
      </c>
    </row>
    <row r="431" spans="1:70" s="229" customFormat="1">
      <c r="A431" s="504"/>
      <c r="B431" s="522"/>
      <c r="C431" s="522"/>
      <c r="D431" s="141"/>
      <c r="E431" s="594"/>
      <c r="F431" s="716"/>
      <c r="G431" s="522"/>
      <c r="H431" s="594"/>
      <c r="I431" s="86"/>
      <c r="J431" s="87"/>
      <c r="K431" s="595"/>
      <c r="L431" s="596"/>
      <c r="M431" s="851"/>
      <c r="N431" s="851"/>
      <c r="O431" s="666"/>
      <c r="P431" s="672" t="s">
        <v>548</v>
      </c>
      <c r="V431" s="526"/>
      <c r="W431" s="583">
        <f>AV428</f>
        <v>0</v>
      </c>
      <c r="X431" s="583">
        <f t="shared" ref="X431:AM431" si="993">AW428</f>
        <v>0</v>
      </c>
      <c r="Y431" s="583">
        <f t="shared" si="993"/>
        <v>0</v>
      </c>
      <c r="Z431" s="583">
        <f t="shared" si="993"/>
        <v>0</v>
      </c>
      <c r="AA431" s="583">
        <f t="shared" si="993"/>
        <v>0</v>
      </c>
      <c r="AB431" s="549">
        <f t="shared" si="993"/>
        <v>0</v>
      </c>
      <c r="AC431" s="583">
        <f t="shared" si="993"/>
        <v>0</v>
      </c>
      <c r="AD431" s="583">
        <f t="shared" si="993"/>
        <v>0</v>
      </c>
      <c r="AE431" s="583">
        <f t="shared" si="993"/>
        <v>0</v>
      </c>
      <c r="AF431" s="583">
        <f t="shared" si="993"/>
        <v>0</v>
      </c>
      <c r="AG431" s="583">
        <f t="shared" si="993"/>
        <v>0</v>
      </c>
      <c r="AH431" s="583">
        <f t="shared" si="993"/>
        <v>0</v>
      </c>
      <c r="AI431" s="583">
        <f t="shared" si="993"/>
        <v>0</v>
      </c>
      <c r="AJ431" s="549">
        <f t="shared" si="993"/>
        <v>0</v>
      </c>
      <c r="AK431" s="583">
        <f t="shared" si="993"/>
        <v>0</v>
      </c>
      <c r="AL431" s="583">
        <f t="shared" si="993"/>
        <v>0</v>
      </c>
      <c r="AM431" s="583">
        <f t="shared" si="993"/>
        <v>0</v>
      </c>
      <c r="AN431" s="583">
        <f>BM428</f>
        <v>0</v>
      </c>
      <c r="AO431" s="583">
        <f t="shared" ref="AO431:AR431" si="994">BN428</f>
        <v>0</v>
      </c>
      <c r="AP431" s="583">
        <f t="shared" si="994"/>
        <v>0</v>
      </c>
      <c r="AQ431" s="583">
        <f t="shared" si="994"/>
        <v>0</v>
      </c>
      <c r="AR431" s="583">
        <f t="shared" si="994"/>
        <v>0</v>
      </c>
      <c r="AS431" s="549">
        <f>BR428</f>
        <v>0</v>
      </c>
    </row>
    <row r="432" spans="1:70" s="229" customFormat="1">
      <c r="A432" s="504"/>
      <c r="B432" s="522"/>
      <c r="C432" s="522"/>
      <c r="D432" s="141"/>
      <c r="E432" s="594"/>
      <c r="F432" s="716"/>
      <c r="G432" s="522"/>
      <c r="H432" s="594"/>
      <c r="I432" s="86"/>
      <c r="J432" s="87"/>
      <c r="K432" s="595"/>
      <c r="L432" s="596"/>
      <c r="M432" s="851"/>
      <c r="N432" s="851"/>
      <c r="O432" s="666"/>
      <c r="P432" s="672" t="s">
        <v>543</v>
      </c>
      <c r="V432" s="526"/>
      <c r="W432" s="514">
        <f t="shared" ref="W432:AS432" si="995">AV430</f>
        <v>0</v>
      </c>
      <c r="X432" s="514">
        <f t="shared" si="995"/>
        <v>0</v>
      </c>
      <c r="Y432" s="514">
        <f t="shared" si="995"/>
        <v>0</v>
      </c>
      <c r="Z432" s="514">
        <f t="shared" si="995"/>
        <v>0</v>
      </c>
      <c r="AA432" s="514">
        <f t="shared" si="995"/>
        <v>0</v>
      </c>
      <c r="AB432" s="506">
        <f t="shared" si="995"/>
        <v>0</v>
      </c>
      <c r="AC432" s="514">
        <f t="shared" si="995"/>
        <v>0</v>
      </c>
      <c r="AD432" s="514">
        <f t="shared" si="995"/>
        <v>0</v>
      </c>
      <c r="AE432" s="514">
        <f t="shared" si="995"/>
        <v>0</v>
      </c>
      <c r="AF432" s="514">
        <f t="shared" si="995"/>
        <v>0</v>
      </c>
      <c r="AG432" s="514">
        <f t="shared" si="995"/>
        <v>0</v>
      </c>
      <c r="AH432" s="514">
        <f t="shared" si="995"/>
        <v>0</v>
      </c>
      <c r="AI432" s="514">
        <f t="shared" si="995"/>
        <v>0</v>
      </c>
      <c r="AJ432" s="506">
        <f t="shared" si="995"/>
        <v>0</v>
      </c>
      <c r="AK432" s="514">
        <f t="shared" si="995"/>
        <v>0</v>
      </c>
      <c r="AL432" s="514">
        <f t="shared" si="995"/>
        <v>0</v>
      </c>
      <c r="AM432" s="514">
        <f t="shared" si="995"/>
        <v>0</v>
      </c>
      <c r="AN432" s="514">
        <f t="shared" si="995"/>
        <v>0</v>
      </c>
      <c r="AO432" s="514">
        <f t="shared" si="995"/>
        <v>0</v>
      </c>
      <c r="AP432" s="514">
        <f t="shared" si="995"/>
        <v>0</v>
      </c>
      <c r="AQ432" s="514">
        <f t="shared" si="995"/>
        <v>0</v>
      </c>
      <c r="AR432" s="514">
        <f t="shared" si="995"/>
        <v>0</v>
      </c>
      <c r="AS432" s="506">
        <f t="shared" si="995"/>
        <v>0</v>
      </c>
      <c r="AV432" s="514"/>
      <c r="AW432" s="514"/>
      <c r="AX432" s="514"/>
      <c r="AY432" s="514"/>
      <c r="AZ432" s="514"/>
      <c r="BA432" s="505"/>
      <c r="BB432" s="514"/>
      <c r="BC432" s="514"/>
      <c r="BD432" s="514"/>
      <c r="BE432" s="514"/>
      <c r="BF432" s="514"/>
      <c r="BG432" s="514"/>
      <c r="BH432" s="514"/>
      <c r="BI432" s="505"/>
      <c r="BJ432" s="514"/>
      <c r="BK432" s="514"/>
      <c r="BL432" s="514"/>
      <c r="BM432" s="514"/>
      <c r="BN432" s="514"/>
      <c r="BO432" s="514"/>
      <c r="BP432" s="514"/>
      <c r="BQ432" s="514"/>
      <c r="BR432" s="505"/>
    </row>
    <row r="433" spans="1:70" s="229" customFormat="1" ht="15" thickBot="1">
      <c r="A433" s="504"/>
      <c r="B433" s="504"/>
      <c r="C433" s="504"/>
      <c r="D433" s="689"/>
      <c r="E433" s="662"/>
      <c r="F433" s="717"/>
      <c r="G433" s="663" t="s">
        <v>795</v>
      </c>
      <c r="H433" s="673"/>
      <c r="I433" s="105"/>
      <c r="J433" s="105"/>
      <c r="K433" s="504"/>
      <c r="L433" s="665"/>
      <c r="M433" s="852"/>
      <c r="N433" s="852"/>
      <c r="O433" s="666"/>
      <c r="P433" s="504"/>
      <c r="Q433" s="504"/>
      <c r="R433" s="504"/>
      <c r="S433" s="504"/>
      <c r="T433" s="504"/>
      <c r="U433" s="667"/>
      <c r="V433" s="668"/>
      <c r="W433" s="504"/>
      <c r="X433" s="504"/>
      <c r="Y433" s="504"/>
      <c r="Z433" s="504"/>
      <c r="AA433" s="669">
        <f>COUNTIF(AA434:AA445,"&lt;0")</f>
        <v>3</v>
      </c>
      <c r="AB433" s="669">
        <f t="shared" ref="AB433:AS433" si="996">COUNTIF(AB434:AB445,"&lt;0")</f>
        <v>2</v>
      </c>
      <c r="AC433" s="669">
        <f t="shared" si="996"/>
        <v>3</v>
      </c>
      <c r="AD433" s="669">
        <f t="shared" si="996"/>
        <v>3</v>
      </c>
      <c r="AE433" s="669">
        <f t="shared" si="996"/>
        <v>3</v>
      </c>
      <c r="AF433" s="669">
        <f t="shared" si="996"/>
        <v>3</v>
      </c>
      <c r="AG433" s="669">
        <f t="shared" si="996"/>
        <v>3</v>
      </c>
      <c r="AH433" s="669">
        <f t="shared" si="996"/>
        <v>3</v>
      </c>
      <c r="AI433" s="669">
        <f t="shared" si="996"/>
        <v>3</v>
      </c>
      <c r="AJ433" s="669">
        <f t="shared" si="996"/>
        <v>3</v>
      </c>
      <c r="AK433" s="669">
        <f t="shared" si="996"/>
        <v>3</v>
      </c>
      <c r="AL433" s="669">
        <f t="shared" si="996"/>
        <v>3</v>
      </c>
      <c r="AM433" s="669">
        <f t="shared" si="996"/>
        <v>3</v>
      </c>
      <c r="AN433" s="669">
        <f t="shared" si="996"/>
        <v>3</v>
      </c>
      <c r="AO433" s="669">
        <f t="shared" si="996"/>
        <v>3</v>
      </c>
      <c r="AP433" s="669">
        <f t="shared" si="996"/>
        <v>3</v>
      </c>
      <c r="AQ433" s="669">
        <f t="shared" si="996"/>
        <v>3</v>
      </c>
      <c r="AR433" s="669">
        <f t="shared" si="996"/>
        <v>3</v>
      </c>
      <c r="AS433" s="669">
        <f t="shared" si="996"/>
        <v>3</v>
      </c>
      <c r="AT433" s="1300"/>
      <c r="AU433" s="1300"/>
    </row>
    <row r="434" spans="1:70" s="229" customFormat="1" ht="15" customHeight="1" thickBot="1">
      <c r="A434" s="504"/>
      <c r="B434" s="575" t="s">
        <v>3068</v>
      </c>
      <c r="C434" s="229" t="s">
        <v>1362</v>
      </c>
      <c r="D434" s="85" t="s">
        <v>2740</v>
      </c>
      <c r="E434" s="577">
        <v>100</v>
      </c>
      <c r="F434" s="1131" t="s">
        <v>3042</v>
      </c>
      <c r="G434" s="406" t="s">
        <v>3083</v>
      </c>
      <c r="H434" s="578" t="s">
        <v>3414</v>
      </c>
      <c r="I434" s="85">
        <v>25</v>
      </c>
      <c r="J434" s="682">
        <v>1</v>
      </c>
      <c r="K434" s="579">
        <f t="shared" ref="K434:K445" si="997">IF(I434&gt;0,1.1*Q434*E434/1000,"")</f>
        <v>2.7500000000000004</v>
      </c>
      <c r="L434" s="580">
        <f>IF(H434="Select ingredient:","",IF(G434="","",_xlfn.IFNA(VLOOKUP($H434,Ingredient_prices!$E:$U,16,FALSE),0)))</f>
        <v>564</v>
      </c>
      <c r="M434" s="850"/>
      <c r="N434" s="1228">
        <f>$W447</f>
        <v>502.19925138760703</v>
      </c>
      <c r="O434" s="666"/>
      <c r="P434" s="670"/>
      <c r="Q434" s="583">
        <f t="shared" ref="Q434:Q445" si="998">I434/J434</f>
        <v>25</v>
      </c>
      <c r="R434" s="583">
        <f>VLOOKUP($H434,'CO2_emission+%_food_waste'!$A:$K,6,FALSE)*$Q434/100</f>
        <v>-2.5000000000000001E-5</v>
      </c>
      <c r="S434" s="583">
        <f t="shared" ref="S434:S445" si="999">Q434-R434</f>
        <v>25.000025000000001</v>
      </c>
      <c r="T434" s="583">
        <f>IF(H434="Select ingredient:","",IF(G434="Select food category:","",_xlfn.IFNA(VLOOKUP($H434,Ingredient_prices!$E:$U,16,FALSE)*$Q434/1000,"not bought")))</f>
        <v>14.1</v>
      </c>
      <c r="U434" s="583">
        <f>IF(G434="Select food category:","",_xlfn.IFNA(VLOOKUP($H434,Ingredient_prices!$E:$U,16,FALSE)*$R434/1000,"not bought"))</f>
        <v>-1.4100000000000002E-5</v>
      </c>
      <c r="V434" s="549">
        <f>VLOOKUP($H434,'CO2_emission+%_food_waste'!$A:$K,4,FALSE)*$Q434</f>
        <v>30</v>
      </c>
      <c r="W434" s="583">
        <f>VLOOKUP($H434,Nutrition_tables!$A:$N,10,FALSE)*$Q434/100</f>
        <v>11</v>
      </c>
      <c r="X434" s="583">
        <f>VLOOKUP($H434,Nutrition_tables!$A:$N,11,FALSE)*$Q434/100</f>
        <v>3</v>
      </c>
      <c r="Y434" s="583">
        <f>VLOOKUP($H434,Nutrition_tables!$A:$N,12,FALSE)*$Q434/100</f>
        <v>0</v>
      </c>
      <c r="Z434" s="583">
        <f>VLOOKUP($H434,Nutrition_tables!$A:$N,14,FALSE)*$Q434/100</f>
        <v>0</v>
      </c>
      <c r="AA434" s="583">
        <f>VLOOKUP($H434,Nutrition_tables!$A:$AF,13,FALSE)*$Q434/100</f>
        <v>-1E-4</v>
      </c>
      <c r="AB434" s="549">
        <f>VLOOKUP($H434,Nutrition_tables!$A:$AF,15,FALSE)*$Q434/100</f>
        <v>-1E-4</v>
      </c>
      <c r="AC434" s="583">
        <f>VLOOKUP($H434,Nutrition_tables!$A:$AF,16,FALSE)*$Q434/100</f>
        <v>-1E-4</v>
      </c>
      <c r="AD434" s="583">
        <f>VLOOKUP($H434,Nutrition_tables!$A:$AF,17,FALSE)*$Q434/100</f>
        <v>-1E-4</v>
      </c>
      <c r="AE434" s="583">
        <f>VLOOKUP($H434,Nutrition_tables!$A:$AF,18,FALSE)*$Q434/100</f>
        <v>-1E-4</v>
      </c>
      <c r="AF434" s="583">
        <f>VLOOKUP($H434,Nutrition_tables!$A:$AF,19,FALSE)*$Q434/100</f>
        <v>-1E-4</v>
      </c>
      <c r="AG434" s="583">
        <f>VLOOKUP($H434,Nutrition_tables!$A:$AF,20,FALSE)*$Q434/100</f>
        <v>-1E-4</v>
      </c>
      <c r="AH434" s="583">
        <f>VLOOKUP($H434,Nutrition_tables!$A:$AF,21,FALSE)*$Q434/100</f>
        <v>-1E-4</v>
      </c>
      <c r="AI434" s="583">
        <f>VLOOKUP($H434,Nutrition_tables!$A:$AF,22,FALSE)*$Q434/100</f>
        <v>-1E-4</v>
      </c>
      <c r="AJ434" s="549">
        <f>VLOOKUP($H434,Nutrition_tables!$A:$AF,23,FALSE)*$Q434/100</f>
        <v>-1E-4</v>
      </c>
      <c r="AK434" s="583">
        <f>VLOOKUP($H434,Nutrition_tables!$A:$AF,24,FALSE)*$Q434/100</f>
        <v>-1E-4</v>
      </c>
      <c r="AL434" s="583">
        <f>VLOOKUP($H434,Nutrition_tables!$A:$AF,25,FALSE)*$Q434/100</f>
        <v>-1E-4</v>
      </c>
      <c r="AM434" s="583">
        <f>VLOOKUP($H434,Nutrition_tables!$A:$AF,26,FALSE)*$Q434/100</f>
        <v>-1E-4</v>
      </c>
      <c r="AN434" s="583">
        <f>VLOOKUP($H434,Nutrition_tables!$A:$AF,27,FALSE)*$Q434/100</f>
        <v>-1E-4</v>
      </c>
      <c r="AO434" s="583">
        <f>VLOOKUP($H434,Nutrition_tables!$A:$AF,28,FALSE)*$Q434/100</f>
        <v>-1E-4</v>
      </c>
      <c r="AP434" s="583">
        <f>VLOOKUP($H434,Nutrition_tables!$A:$AF,29,FALSE)*$Q434/100</f>
        <v>-1E-4</v>
      </c>
      <c r="AQ434" s="583">
        <f>VLOOKUP($H434,Nutrition_tables!$A:$AF,30,FALSE)*$Q434/100</f>
        <v>-1E-4</v>
      </c>
      <c r="AR434" s="583">
        <f>VLOOKUP($H434,Nutrition_tables!$A:$AF,31,FALSE)*$Q434/100</f>
        <v>-1E-4</v>
      </c>
      <c r="AS434" s="549">
        <f>VLOOKUP($H434,Nutrition_tables!$A:$AF,32,FALSE)*$Q434/100</f>
        <v>-1E-4</v>
      </c>
      <c r="AT434" s="583">
        <f>IF(H434="Select ingredient:","",IF(G434="Select food category:","",IFERROR(VLOOKUP($H434,Ingredient_prices!$E:$W,17,FALSE)*$Q434/1000,"not bought")))</f>
        <v>14.1</v>
      </c>
      <c r="AU434" s="583">
        <f>IF(H434="Select ingredient:","",IF(G434="Select food category:","",IFERROR(VLOOKUP($H434,Ingredient_prices!$E:$W,18,FALSE)*$Q434/1000,"not bought")))</f>
        <v>14.1</v>
      </c>
      <c r="AV434" s="583">
        <f t="shared" ref="AV434:AV445" si="1000">W434*($Q434-$R434)/($Q434+0.00001)</f>
        <v>11.000006599997359</v>
      </c>
      <c r="AW434" s="583">
        <f t="shared" ref="AW434:AW445" si="1001">X434*($Q434-$R434)/($Q434+0.00001)</f>
        <v>3.0000017999992803</v>
      </c>
      <c r="AX434" s="583">
        <f t="shared" ref="AX434:AX445" si="1002">Y434*($Q434-$R434)/($Q434+0.00001)</f>
        <v>0</v>
      </c>
      <c r="AY434" s="583">
        <f t="shared" ref="AY434:AY445" si="1003">Z434*($Q434-$R434)/($Q434+0.00001)</f>
        <v>0</v>
      </c>
      <c r="AZ434" s="583">
        <f t="shared" ref="AZ434:AZ445" si="1004">AA434*($Q434-$R434)/($Q434+0.00001)</f>
        <v>-1.0000005999997601E-4</v>
      </c>
      <c r="BA434" s="583">
        <f t="shared" ref="BA434:BA445" si="1005">AB434*($Q434-$R434)/($Q434+0.00001)</f>
        <v>-1.0000005999997601E-4</v>
      </c>
      <c r="BB434" s="583">
        <f t="shared" ref="BB434:BB445" si="1006">AC434*($Q434-$R434)/($Q434+0.00001)</f>
        <v>-1.0000005999997601E-4</v>
      </c>
      <c r="BC434" s="583">
        <f t="shared" ref="BC434:BC445" si="1007">AD434*($Q434-$R434)/($Q434+0.00001)</f>
        <v>-1.0000005999997601E-4</v>
      </c>
      <c r="BD434" s="583">
        <f t="shared" ref="BD434:BD445" si="1008">AE434*($Q434-$R434)/($Q434+0.00001)</f>
        <v>-1.0000005999997601E-4</v>
      </c>
      <c r="BE434" s="583">
        <f t="shared" ref="BE434:BE445" si="1009">AF434*($Q434-$R434)/($Q434+0.00001)</f>
        <v>-1.0000005999997601E-4</v>
      </c>
      <c r="BF434" s="583">
        <f t="shared" ref="BF434:BF445" si="1010">AG434*($Q434-$R434)/($Q434+0.00001)</f>
        <v>-1.0000005999997601E-4</v>
      </c>
      <c r="BG434" s="583">
        <f t="shared" ref="BG434:BG445" si="1011">AH434*($Q434-$R434)/($Q434+0.00001)</f>
        <v>-1.0000005999997601E-4</v>
      </c>
      <c r="BH434" s="583">
        <f t="shared" ref="BH434:BH445" si="1012">AI434*($Q434-$R434)/($Q434+0.00001)</f>
        <v>-1.0000005999997601E-4</v>
      </c>
      <c r="BI434" s="583">
        <f t="shared" ref="BI434:BI445" si="1013">AJ434*($Q434-$R434)/($Q434+0.00001)</f>
        <v>-1.0000005999997601E-4</v>
      </c>
      <c r="BJ434" s="583">
        <f t="shared" ref="BJ434:BJ445" si="1014">AK434*($Q434-$R434)/($Q434+0.00001)</f>
        <v>-1.0000005999997601E-4</v>
      </c>
      <c r="BK434" s="583">
        <f t="shared" ref="BK434:BK445" si="1015">AL434*($Q434-$R434)/($Q434+0.00001)</f>
        <v>-1.0000005999997601E-4</v>
      </c>
      <c r="BL434" s="583">
        <f t="shared" ref="BL434:BL445" si="1016">AM434*($Q434-$R434)/($Q434+0.00001)</f>
        <v>-1.0000005999997601E-4</v>
      </c>
      <c r="BM434" s="583">
        <f t="shared" ref="BM434:BM445" si="1017">AN434*($Q434-$R434)/($Q434+0.00001)</f>
        <v>-1.0000005999997601E-4</v>
      </c>
      <c r="BN434" s="583">
        <f t="shared" ref="BN434:BN445" si="1018">AO434*($Q434-$R434)/($Q434+0.00001)</f>
        <v>-1.0000005999997601E-4</v>
      </c>
      <c r="BO434" s="583">
        <f t="shared" ref="BO434:BO445" si="1019">AP434*($Q434-$R434)/($Q434+0.00001)</f>
        <v>-1.0000005999997601E-4</v>
      </c>
      <c r="BP434" s="583">
        <f t="shared" ref="BP434:BP445" si="1020">AQ434*($Q434-$R434)/($Q434+0.00001)</f>
        <v>-1.0000005999997601E-4</v>
      </c>
      <c r="BQ434" s="583">
        <f t="shared" ref="BQ434:BQ445" si="1021">AR434*($Q434-$R434)/($Q434+0.00001)</f>
        <v>-1.0000005999997601E-4</v>
      </c>
      <c r="BR434" s="583">
        <f t="shared" ref="BR434:BR445" si="1022">AS434*($Q434-$R434)/($Q434+0.00001)</f>
        <v>-1.0000005999997601E-4</v>
      </c>
    </row>
    <row r="435" spans="1:70" s="229" customFormat="1" ht="15" customHeight="1">
      <c r="A435" s="504"/>
      <c r="D435" s="406" t="s">
        <v>3041</v>
      </c>
      <c r="E435" s="576">
        <f>IF(E$434&gt;0,E$434,"")</f>
        <v>100</v>
      </c>
      <c r="F435" s="1131" t="s">
        <v>3043</v>
      </c>
      <c r="G435" s="406" t="s">
        <v>3141</v>
      </c>
      <c r="H435" s="578" t="s">
        <v>3245</v>
      </c>
      <c r="I435" s="85">
        <v>47</v>
      </c>
      <c r="J435" s="682">
        <v>1</v>
      </c>
      <c r="K435" s="579">
        <f t="shared" si="997"/>
        <v>5.17</v>
      </c>
      <c r="L435" s="580">
        <f>IF(H435="Select ingredient:","",IF(G435="","",_xlfn.IFNA(VLOOKUP($H435,Ingredient_prices!$E:$U,16,FALSE),0)))</f>
        <v>43.12</v>
      </c>
      <c r="M435" s="850"/>
      <c r="N435" s="850"/>
      <c r="O435" s="666"/>
      <c r="P435" s="670"/>
      <c r="Q435" s="583">
        <f t="shared" si="998"/>
        <v>47</v>
      </c>
      <c r="R435" s="583">
        <f>VLOOKUP($H435,'CO2_emission+%_food_waste'!$A:$K,6,FALSE)*$Q435/100</f>
        <v>10.199</v>
      </c>
      <c r="S435" s="583">
        <f t="shared" si="999"/>
        <v>36.801000000000002</v>
      </c>
      <c r="T435" s="583">
        <f>IF(H435="Select ingredient:","",IF(G435="Select food category:","",_xlfn.IFNA(VLOOKUP($H435,Ingredient_prices!$E:$U,16,FALSE)*$Q435/1000,"not bought")))</f>
        <v>2.02664</v>
      </c>
      <c r="U435" s="583">
        <f>IF(G435="Select food category:","",_xlfn.IFNA(VLOOKUP($H435,Ingredient_prices!$E:$U,16,FALSE)*$R435/1000,"not bought"))</f>
        <v>0.43978087999999999</v>
      </c>
      <c r="V435" s="549">
        <f>VLOOKUP($H435,'CO2_emission+%_food_waste'!$A:$K,4,FALSE)*$Q435</f>
        <v>76.14</v>
      </c>
      <c r="W435" s="583">
        <f>VLOOKUP($H435,Nutrition_tables!$A:$N,10,FALSE)*$Q435/100</f>
        <v>167.27289044289043</v>
      </c>
      <c r="X435" s="583">
        <f>VLOOKUP($H435,Nutrition_tables!$A:$N,11,FALSE)*$Q435/100</f>
        <v>36.612890442890446</v>
      </c>
      <c r="Y435" s="583">
        <f>VLOOKUP($H435,Nutrition_tables!$A:$N,12,FALSE)*$Q435/100</f>
        <v>4.4649999999999999</v>
      </c>
      <c r="Z435" s="583">
        <f>VLOOKUP($H435,Nutrition_tables!$A:$N,14,FALSE)*$Q435/100</f>
        <v>0.51710955710955697</v>
      </c>
      <c r="AA435" s="583">
        <f>VLOOKUP($H435,Nutrition_tables!$A:$AF,13,FALSE)*$Q435/100</f>
        <v>1.1755477855477856</v>
      </c>
      <c r="AB435" s="549">
        <f>VLOOKUP($H435,Nutrition_tables!$A:$AF,15,FALSE)*$Q435/100</f>
        <v>7.5594405594405598E-2</v>
      </c>
      <c r="AC435" s="583">
        <f>VLOOKUP($H435,Nutrition_tables!$A:$AF,16,FALSE)*$Q435/100</f>
        <v>1.3628904428904429</v>
      </c>
      <c r="AD435" s="583">
        <f>VLOOKUP($H435,Nutrition_tables!$A:$AF,17,FALSE)*$Q435/100</f>
        <v>74.260000000000005</v>
      </c>
      <c r="AE435" s="583">
        <f>VLOOKUP($H435,Nutrition_tables!$A:$AF,18,FALSE)*$Q435/100</f>
        <v>11.28</v>
      </c>
      <c r="AF435" s="583">
        <f>VLOOKUP($H435,Nutrition_tables!$A:$AF,19,FALSE)*$Q435/100</f>
        <v>11.655780885780887</v>
      </c>
      <c r="AG435" s="583">
        <f>VLOOKUP($H435,Nutrition_tables!$A:$AF,20,FALSE)*$Q435/100</f>
        <v>49.819999999999993</v>
      </c>
      <c r="AH435" s="583">
        <f>VLOOKUP($H435,Nutrition_tables!$A:$AF,21,FALSE)*$Q435/100</f>
        <v>0.41850815850815848</v>
      </c>
      <c r="AI435" s="583">
        <f>VLOOKUP($H435,Nutrition_tables!$A:$AF,22,FALSE)*$Q435/100</f>
        <v>0.32867132867132864</v>
      </c>
      <c r="AJ435" s="549">
        <f>VLOOKUP($H435,Nutrition_tables!$A:$AF,23,FALSE)*$Q435/100</f>
        <v>0.23554778554778555</v>
      </c>
      <c r="AK435" s="583">
        <f>VLOOKUP($H435,Nutrition_tables!$A:$AF,24,FALSE)*$Q435/100</f>
        <v>0</v>
      </c>
      <c r="AL435" s="583">
        <f>VLOOKUP($H435,Nutrition_tables!$A:$AF,25,FALSE)*$Q435/100</f>
        <v>7.0116550116550116E-2</v>
      </c>
      <c r="AM435" s="583">
        <f>VLOOKUP($H435,Nutrition_tables!$A:$AF,26,FALSE)*$Q435/100</f>
        <v>1.8624708624708622E-2</v>
      </c>
      <c r="AN435" s="583">
        <f>VLOOKUP($H435,Nutrition_tables!$A:$AF,27,FALSE)*$Q435/100</f>
        <v>0.6157109557109558</v>
      </c>
      <c r="AO435" s="583">
        <f>VLOOKUP($H435,Nutrition_tables!$A:$AF,28,FALSE)*$Q435/100</f>
        <v>3.2867132867132859E-2</v>
      </c>
      <c r="AP435" s="583">
        <f>VLOOKUP($H435,Nutrition_tables!$A:$AF,29,FALSE)*$Q435/100</f>
        <v>7.7084382284382285</v>
      </c>
      <c r="AQ435" s="583">
        <f>VLOOKUP($H435,Nutrition_tables!$A:$AF,30,FALSE)*$Q435/100</f>
        <v>4.2727272727272725E-2</v>
      </c>
      <c r="AR435" s="583">
        <f>VLOOKUP($H435,Nutrition_tables!$A:$AF,31,FALSE)*$Q435/100</f>
        <v>0</v>
      </c>
      <c r="AS435" s="549">
        <f>VLOOKUP($H435,Nutrition_tables!$A:$AF,32,FALSE)*$Q435/100</f>
        <v>0</v>
      </c>
      <c r="AT435" s="583">
        <f>IF(H435="Select ingredient:","",IF(G435="Select food category:","",IFERROR(VLOOKUP($H435,Ingredient_prices!$E:$W,17,FALSE)*$Q435/1000,"not bought")))</f>
        <v>2.02664</v>
      </c>
      <c r="AU435" s="583">
        <f>IF(H435="Select ingredient:","",IF(G435="Select food category:","",IFERROR(VLOOKUP($H435,Ingredient_prices!$E:$W,18,FALSE)*$Q435/1000,"not bought")))</f>
        <v>2.02664</v>
      </c>
      <c r="AV435" s="583">
        <f t="shared" si="1000"/>
        <v>130.97464534983737</v>
      </c>
      <c r="AW435" s="583">
        <f t="shared" si="1001"/>
        <v>28.667887117232766</v>
      </c>
      <c r="AX435" s="583">
        <f t="shared" si="1002"/>
        <v>3.4960942561501578</v>
      </c>
      <c r="AY435" s="583">
        <f t="shared" si="1003"/>
        <v>0.40489669706854964</v>
      </c>
      <c r="AZ435" s="583">
        <f t="shared" si="1004"/>
        <v>0.92045372024269911</v>
      </c>
      <c r="BA435" s="583">
        <f t="shared" si="1005"/>
        <v>5.9190406986715974E-2</v>
      </c>
      <c r="BB435" s="583">
        <f t="shared" si="1006"/>
        <v>1.067142989731517</v>
      </c>
      <c r="BC435" s="583">
        <f t="shared" si="1007"/>
        <v>58.145567628602635</v>
      </c>
      <c r="BD435" s="583">
        <f t="shared" si="1008"/>
        <v>8.8322381208003993</v>
      </c>
      <c r="BE435" s="583">
        <f t="shared" si="1009"/>
        <v>9.12647449176335</v>
      </c>
      <c r="BF435" s="583">
        <f t="shared" si="1010"/>
        <v>39.009051700201759</v>
      </c>
      <c r="BG435" s="583">
        <f t="shared" si="1011"/>
        <v>0.3276918183902246</v>
      </c>
      <c r="BH435" s="583">
        <f t="shared" si="1012"/>
        <v>0.25734959559441722</v>
      </c>
      <c r="BI435" s="583">
        <f t="shared" si="1013"/>
        <v>0.18443387684266568</v>
      </c>
      <c r="BJ435" s="583">
        <f t="shared" si="1014"/>
        <v>0</v>
      </c>
      <c r="BK435" s="583">
        <f t="shared" si="1015"/>
        <v>5.490124706014235E-2</v>
      </c>
      <c r="BL435" s="583">
        <f t="shared" si="1016"/>
        <v>1.4583143750350308E-2</v>
      </c>
      <c r="BM435" s="583">
        <f t="shared" si="1017"/>
        <v>0.48210157574687501</v>
      </c>
      <c r="BN435" s="583">
        <f t="shared" si="1018"/>
        <v>2.5734959559441717E-2</v>
      </c>
      <c r="BO435" s="583">
        <f t="shared" si="1019"/>
        <v>6.0357058486743993</v>
      </c>
      <c r="BP435" s="583">
        <f t="shared" si="1020"/>
        <v>3.3455447427274243E-2</v>
      </c>
      <c r="BQ435" s="583">
        <f t="shared" si="1021"/>
        <v>0</v>
      </c>
      <c r="BR435" s="583">
        <f t="shared" si="1022"/>
        <v>0</v>
      </c>
    </row>
    <row r="436" spans="1:70" s="229" customFormat="1" ht="15" customHeight="1">
      <c r="A436" s="504"/>
      <c r="D436" s="406"/>
      <c r="E436" s="576">
        <f t="shared" ref="E436:E445" si="1023">IF(E$434&gt;0,E$434,"")</f>
        <v>100</v>
      </c>
      <c r="F436" s="1131" t="s">
        <v>3044</v>
      </c>
      <c r="G436" s="406" t="s">
        <v>3072</v>
      </c>
      <c r="H436" s="578" t="s">
        <v>3208</v>
      </c>
      <c r="I436" s="85">
        <v>2.2999999999999998</v>
      </c>
      <c r="J436" s="682">
        <v>1</v>
      </c>
      <c r="K436" s="579">
        <f t="shared" si="997"/>
        <v>0.25299999999999995</v>
      </c>
      <c r="L436" s="580">
        <f>IF(H436="Select ingredient:","",IF(G436="","",_xlfn.IFNA(VLOOKUP($H436,Ingredient_prices!$E:$U,16,FALSE),0)))</f>
        <v>183.33333333333334</v>
      </c>
      <c r="M436" s="850"/>
      <c r="N436" s="850"/>
      <c r="O436" s="666"/>
      <c r="P436" s="670"/>
      <c r="Q436" s="583">
        <f t="shared" si="998"/>
        <v>2.2999999999999998</v>
      </c>
      <c r="R436" s="583">
        <f>VLOOKUP($H436,'CO2_emission+%_food_waste'!$A:$K,6,FALSE)*$Q436/100</f>
        <v>0.24379999999999999</v>
      </c>
      <c r="S436" s="583">
        <f t="shared" si="999"/>
        <v>2.0562</v>
      </c>
      <c r="T436" s="583">
        <f>IF(H436="Select ingredient:","",IF(G436="Select food category:","",_xlfn.IFNA(VLOOKUP($H436,Ingredient_prices!$E:$U,16,FALSE)*$Q436/1000,"not bought")))</f>
        <v>0.42166666666666663</v>
      </c>
      <c r="U436" s="583">
        <f>IF(G436="Select food category:","",_xlfn.IFNA(VLOOKUP($H436,Ingredient_prices!$E:$U,16,FALSE)*$R436/1000,"not bought"))</f>
        <v>4.4696666666666662E-2</v>
      </c>
      <c r="V436" s="549">
        <f>VLOOKUP($H436,'CO2_emission+%_food_waste'!$A:$K,4,FALSE)*$Q436</f>
        <v>6.9919999999999991</v>
      </c>
      <c r="W436" s="583">
        <f>VLOOKUP($H436,Nutrition_tables!$A:$N,10,FALSE)*$Q436/100</f>
        <v>3.2659999999999991</v>
      </c>
      <c r="X436" s="583">
        <f>VLOOKUP($H436,Nutrition_tables!$A:$N,11,FALSE)*$Q436/100</f>
        <v>1.840429505135387E-2</v>
      </c>
      <c r="Y436" s="583">
        <f>VLOOKUP($H436,Nutrition_tables!$A:$N,12,FALSE)*$Q436/100</f>
        <v>0.28980859010270765</v>
      </c>
      <c r="Z436" s="583">
        <f>VLOOKUP($H436,Nutrition_tables!$A:$N,14,FALSE)*$Q436/100</f>
        <v>0.22770214752567688</v>
      </c>
      <c r="AA436" s="583">
        <f>VLOOKUP($H436,Nutrition_tables!$A:$AF,13,FALSE)*$Q436/100</f>
        <v>0</v>
      </c>
      <c r="AB436" s="549">
        <f>VLOOKUP($H436,Nutrition_tables!$A:$AF,15,FALSE)*$Q436/100</f>
        <v>5.9808590102707754E-2</v>
      </c>
      <c r="AC436" s="583">
        <f>VLOOKUP($H436,Nutrition_tables!$A:$AF,16,FALSE)*$Q436/100</f>
        <v>3.22</v>
      </c>
      <c r="AD436" s="583">
        <f>VLOOKUP($H436,Nutrition_tables!$A:$AF,17,FALSE)*$Q436/100</f>
        <v>2.9899999999999989</v>
      </c>
      <c r="AE436" s="583">
        <f>VLOOKUP($H436,Nutrition_tables!$A:$AF,18,FALSE)*$Q436/100</f>
        <v>0.91999999999999971</v>
      </c>
      <c r="AF436" s="583">
        <f>VLOOKUP($H436,Nutrition_tables!$A:$AF,19,FALSE)*$Q436/100</f>
        <v>0.29899999999999999</v>
      </c>
      <c r="AG436" s="583">
        <f>VLOOKUP($H436,Nutrition_tables!$A:$AF,20,FALSE)*$Q436/100</f>
        <v>4.8299999999999992</v>
      </c>
      <c r="AH436" s="583">
        <f>VLOOKUP($H436,Nutrition_tables!$A:$AF,21,FALSE)*$Q436/100</f>
        <v>4.5999999999999999E-2</v>
      </c>
      <c r="AI436" s="583">
        <f>VLOOKUP($H436,Nutrition_tables!$A:$AF,22,FALSE)*$Q436/100</f>
        <v>3.2191409897292245E-2</v>
      </c>
      <c r="AJ436" s="549">
        <f>VLOOKUP($H436,Nutrition_tables!$A:$AF,23,FALSE)*$Q436/100</f>
        <v>1.6106442577030811E-3</v>
      </c>
      <c r="AK436" s="583">
        <f>VLOOKUP($H436,Nutrition_tables!$A:$AF,24,FALSE)*$Q436/100</f>
        <v>4.4619999999999989</v>
      </c>
      <c r="AL436" s="583">
        <f>VLOOKUP($H436,Nutrition_tables!$A:$AF,25,FALSE)*$Q436/100</f>
        <v>1.6106442577030811E-3</v>
      </c>
      <c r="AM436" s="583">
        <f>VLOOKUP($H436,Nutrition_tables!$A:$AF,26,FALSE)*$Q436/100</f>
        <v>1.0351073762838468E-2</v>
      </c>
      <c r="AN436" s="583">
        <f>VLOOKUP($H436,Nutrition_tables!$A:$AF,27,FALSE)*$Q436/100</f>
        <v>1.1596638655462185E-3</v>
      </c>
      <c r="AO436" s="583">
        <f>VLOOKUP($H436,Nutrition_tables!$A:$AF,28,FALSE)*$Q436/100</f>
        <v>2.7703081232492992E-3</v>
      </c>
      <c r="AP436" s="583">
        <f>VLOOKUP($H436,Nutrition_tables!$A:$AF,29,FALSE)*$Q436/100</f>
        <v>0.48299999999999987</v>
      </c>
      <c r="AQ436" s="583">
        <f>VLOOKUP($H436,Nutrition_tables!$A:$AF,30,FALSE)*$Q436/100</f>
        <v>4.5999999999999999E-2</v>
      </c>
      <c r="AR436" s="583">
        <f>VLOOKUP($H436,Nutrition_tables!$A:$AF,31,FALSE)*$Q436/100</f>
        <v>0</v>
      </c>
      <c r="AS436" s="549">
        <f>VLOOKUP($H436,Nutrition_tables!$A:$AF,32,FALSE)*$Q436/100</f>
        <v>4.0244631185807657E-2</v>
      </c>
      <c r="AT436" s="583">
        <f>IF(H436="Select ingredient:","",IF(G436="Select food category:","",IFERROR(VLOOKUP($H436,Ingredient_prices!$E:$W,17,FALSE)*$Q436/1000,"not bought")))</f>
        <v>0.42166666666666663</v>
      </c>
      <c r="AU436" s="583">
        <f>IF(H436="Select ingredient:","",IF(G436="Select food category:","",IFERROR(VLOOKUP($H436,Ingredient_prices!$E:$W,18,FALSE)*$Q436/1000,"not bought")))</f>
        <v>0.42166666666666663</v>
      </c>
      <c r="AV436" s="583">
        <f t="shared" si="1000"/>
        <v>2.919791305255194</v>
      </c>
      <c r="AW436" s="583">
        <f t="shared" si="1001"/>
        <v>1.645336823952671E-2</v>
      </c>
      <c r="AX436" s="583">
        <f t="shared" si="1002"/>
        <v>0.25908775308332899</v>
      </c>
      <c r="AY436" s="583">
        <f t="shared" si="1003"/>
        <v>0.20356483482345591</v>
      </c>
      <c r="AZ436" s="583">
        <f t="shared" si="1004"/>
        <v>0</v>
      </c>
      <c r="BA436" s="583">
        <f t="shared" si="1005"/>
        <v>5.3468647079442128E-2</v>
      </c>
      <c r="BB436" s="583">
        <f t="shared" si="1006"/>
        <v>2.8786674840544175</v>
      </c>
      <c r="BC436" s="583">
        <f t="shared" si="1007"/>
        <v>2.6730483780505296</v>
      </c>
      <c r="BD436" s="583">
        <f t="shared" si="1008"/>
        <v>0.82247642401554755</v>
      </c>
      <c r="BE436" s="583">
        <f t="shared" si="1009"/>
        <v>0.26730483780505304</v>
      </c>
      <c r="BF436" s="583">
        <f t="shared" si="1010"/>
        <v>4.3180012260816261</v>
      </c>
      <c r="BG436" s="583">
        <f t="shared" si="1011"/>
        <v>4.1123821200777386E-2</v>
      </c>
      <c r="BH436" s="583">
        <f t="shared" si="1012"/>
        <v>2.8778995322112647E-2</v>
      </c>
      <c r="BI436" s="583">
        <f t="shared" si="1013"/>
        <v>1.4399097059095724E-3</v>
      </c>
      <c r="BJ436" s="583">
        <f t="shared" si="1014"/>
        <v>3.9890106564754055</v>
      </c>
      <c r="BK436" s="583">
        <f t="shared" si="1015"/>
        <v>1.4399097059095724E-3</v>
      </c>
      <c r="BL436" s="583">
        <f t="shared" si="1016"/>
        <v>9.2538197099788517E-3</v>
      </c>
      <c r="BM436" s="583">
        <f t="shared" si="1017"/>
        <v>1.0367349882548921E-3</v>
      </c>
      <c r="BN436" s="583">
        <f t="shared" si="1018"/>
        <v>2.4766446941644643E-3</v>
      </c>
      <c r="BO436" s="583">
        <f t="shared" si="1019"/>
        <v>0.43180012260816247</v>
      </c>
      <c r="BP436" s="583">
        <f t="shared" si="1020"/>
        <v>4.1123821200777386E-2</v>
      </c>
      <c r="BQ436" s="583">
        <f t="shared" si="1021"/>
        <v>0</v>
      </c>
      <c r="BR436" s="583">
        <f t="shared" si="1022"/>
        <v>3.5978543851660515E-2</v>
      </c>
    </row>
    <row r="437" spans="1:70" s="229" customFormat="1" ht="15" customHeight="1">
      <c r="A437" s="504"/>
      <c r="D437" s="85"/>
      <c r="E437" s="576">
        <f t="shared" si="1023"/>
        <v>100</v>
      </c>
      <c r="F437" s="1131"/>
      <c r="G437" s="406" t="s">
        <v>3142</v>
      </c>
      <c r="H437" s="578" t="s">
        <v>1961</v>
      </c>
      <c r="I437" s="85">
        <v>2.2999999999999998</v>
      </c>
      <c r="J437" s="682">
        <v>1</v>
      </c>
      <c r="K437" s="579">
        <f t="shared" si="997"/>
        <v>0.25299999999999995</v>
      </c>
      <c r="L437" s="580">
        <f>IF(H437="Select ingredient:","",IF(G437="","",_xlfn.IFNA(VLOOKUP($H437,Ingredient_prices!$E:$U,16,FALSE),0)))</f>
        <v>456</v>
      </c>
      <c r="M437" s="850"/>
      <c r="N437" s="850"/>
      <c r="O437" s="666"/>
      <c r="P437" s="670"/>
      <c r="Q437" s="583">
        <f t="shared" si="998"/>
        <v>2.2999999999999998</v>
      </c>
      <c r="R437" s="583">
        <f>VLOOKUP($H437,'CO2_emission+%_food_waste'!$A:$K,6,FALSE)*$Q437/100</f>
        <v>-2.3E-6</v>
      </c>
      <c r="S437" s="583">
        <f t="shared" si="999"/>
        <v>2.3000022999999996</v>
      </c>
      <c r="T437" s="583">
        <f>IF(H437="Select ingredient:","",IF(G437="Select food category:","",_xlfn.IFNA(VLOOKUP($H437,Ingredient_prices!$E:$U,16,FALSE)*$Q437/1000,"not bought")))</f>
        <v>1.0488</v>
      </c>
      <c r="U437" s="583">
        <f>IF(G437="Select food category:","",_xlfn.IFNA(VLOOKUP($H437,Ingredient_prices!$E:$U,16,FALSE)*$R437/1000,"not bought"))</f>
        <v>-1.0487999999999998E-6</v>
      </c>
      <c r="V437" s="549">
        <f>VLOOKUP($H437,'CO2_emission+%_food_waste'!$A:$K,4,FALSE)*$Q437</f>
        <v>11.04</v>
      </c>
      <c r="W437" s="583">
        <f>VLOOKUP($H437,Nutrition_tables!$A:$N,10,FALSE)*$Q437/100</f>
        <v>2.0239999999999996</v>
      </c>
      <c r="X437" s="583">
        <f>VLOOKUP($H437,Nutrition_tables!$A:$N,11,FALSE)*$Q437/100</f>
        <v>2.3E-2</v>
      </c>
      <c r="Y437" s="583">
        <f>VLOOKUP($H437,Nutrition_tables!$A:$N,12,FALSE)*$Q437/100</f>
        <v>0.37949999999999995</v>
      </c>
      <c r="Z437" s="583">
        <f>VLOOKUP($H437,Nutrition_tables!$A:$N,14,FALSE)*$Q437/100</f>
        <v>1.15E-2</v>
      </c>
      <c r="AA437" s="583">
        <f>VLOOKUP($H437,Nutrition_tables!$A:$AF,13,FALSE)*$Q437/100</f>
        <v>-9.2E-5</v>
      </c>
      <c r="AB437" s="549">
        <f>VLOOKUP($H437,Nutrition_tables!$A:$AF,15,FALSE)*$Q437/100</f>
        <v>-9.2E-5</v>
      </c>
      <c r="AC437" s="583">
        <f>VLOOKUP($H437,Nutrition_tables!$A:$AF,16,FALSE)*$Q437/100</f>
        <v>-9.2E-5</v>
      </c>
      <c r="AD437" s="583">
        <f>VLOOKUP($H437,Nutrition_tables!$A:$AF,17,FALSE)*$Q437/100</f>
        <v>-9.2E-5</v>
      </c>
      <c r="AE437" s="583">
        <f>VLOOKUP($H437,Nutrition_tables!$A:$AF,18,FALSE)*$Q437/100</f>
        <v>-9.2E-5</v>
      </c>
      <c r="AF437" s="583">
        <f>VLOOKUP($H437,Nutrition_tables!$A:$AF,19,FALSE)*$Q437/100</f>
        <v>-9.2E-5</v>
      </c>
      <c r="AG437" s="583">
        <f>VLOOKUP($H437,Nutrition_tables!$A:$AF,20,FALSE)*$Q437/100</f>
        <v>-9.2E-5</v>
      </c>
      <c r="AH437" s="583">
        <f>VLOOKUP($H437,Nutrition_tables!$A:$AF,21,FALSE)*$Q437/100</f>
        <v>-9.2E-5</v>
      </c>
      <c r="AI437" s="583">
        <f>VLOOKUP($H437,Nutrition_tables!$A:$AF,22,FALSE)*$Q437/100</f>
        <v>-9.2E-5</v>
      </c>
      <c r="AJ437" s="549">
        <f>VLOOKUP($H437,Nutrition_tables!$A:$AF,23,FALSE)*$Q437/100</f>
        <v>-9.2E-6</v>
      </c>
      <c r="AK437" s="583">
        <f>VLOOKUP($H437,Nutrition_tables!$A:$AF,24,FALSE)*$Q437/100</f>
        <v>-9.2E-5</v>
      </c>
      <c r="AL437" s="583">
        <f>VLOOKUP($H437,Nutrition_tables!$A:$AF,25,FALSE)*$Q437/100</f>
        <v>-9.2E-5</v>
      </c>
      <c r="AM437" s="583">
        <f>VLOOKUP($H437,Nutrition_tables!$A:$AF,26,FALSE)*$Q437/100</f>
        <v>-9.2E-5</v>
      </c>
      <c r="AN437" s="583">
        <f>VLOOKUP($H437,Nutrition_tables!$A:$AF,27,FALSE)*$Q437/100</f>
        <v>-9.2E-5</v>
      </c>
      <c r="AO437" s="583">
        <f>VLOOKUP($H437,Nutrition_tables!$A:$AF,28,FALSE)*$Q437/100</f>
        <v>-9.2E-5</v>
      </c>
      <c r="AP437" s="583">
        <f>VLOOKUP($H437,Nutrition_tables!$A:$AF,29,FALSE)*$Q437/100</f>
        <v>-9.2E-5</v>
      </c>
      <c r="AQ437" s="583">
        <f>VLOOKUP($H437,Nutrition_tables!$A:$AF,30,FALSE)*$Q437/100</f>
        <v>-9.2E-6</v>
      </c>
      <c r="AR437" s="583">
        <f>VLOOKUP($H437,Nutrition_tables!$A:$AF,31,FALSE)*$Q437/100</f>
        <v>-9.2E-5</v>
      </c>
      <c r="AS437" s="549">
        <f>VLOOKUP($H437,Nutrition_tables!$A:$AF,32,FALSE)*$Q437/100</f>
        <v>-9.2E-6</v>
      </c>
      <c r="AT437" s="583">
        <f>IF(H437="Select ingredient:","",IF(G437="Select food category:","",IFERROR(VLOOKUP($H437,Ingredient_prices!$E:$W,17,FALSE)*$Q437/1000,"not bought")))</f>
        <v>1.0488</v>
      </c>
      <c r="AU437" s="583">
        <f>IF(H437="Select ingredient:","",IF(G437="Select food category:","",IFERROR(VLOOKUP($H437,Ingredient_prices!$E:$W,18,FALSE)*$Q437/1000,"not bought")))</f>
        <v>1.0488</v>
      </c>
      <c r="AV437" s="583">
        <f t="shared" si="1000"/>
        <v>2.0239932240294602</v>
      </c>
      <c r="AW437" s="583">
        <f t="shared" si="1001"/>
        <v>2.2999923000334776E-2</v>
      </c>
      <c r="AX437" s="583">
        <f t="shared" si="1002"/>
        <v>0.37949872950552377</v>
      </c>
      <c r="AY437" s="583">
        <f t="shared" si="1003"/>
        <v>1.1499961500167388E-2</v>
      </c>
      <c r="AZ437" s="583">
        <f t="shared" si="1004"/>
        <v>-9.1999692001339109E-5</v>
      </c>
      <c r="BA437" s="583">
        <f t="shared" si="1005"/>
        <v>-9.1999692001339109E-5</v>
      </c>
      <c r="BB437" s="583">
        <f t="shared" si="1006"/>
        <v>-9.1999692001339109E-5</v>
      </c>
      <c r="BC437" s="583">
        <f t="shared" si="1007"/>
        <v>-9.1999692001339109E-5</v>
      </c>
      <c r="BD437" s="583">
        <f t="shared" si="1008"/>
        <v>-9.1999692001339109E-5</v>
      </c>
      <c r="BE437" s="583">
        <f t="shared" si="1009"/>
        <v>-9.1999692001339109E-5</v>
      </c>
      <c r="BF437" s="583">
        <f t="shared" si="1010"/>
        <v>-9.1999692001339109E-5</v>
      </c>
      <c r="BG437" s="583">
        <f t="shared" si="1011"/>
        <v>-9.1999692001339109E-5</v>
      </c>
      <c r="BH437" s="583">
        <f t="shared" si="1012"/>
        <v>-9.1999692001339109E-5</v>
      </c>
      <c r="BI437" s="583">
        <f t="shared" si="1013"/>
        <v>-9.1999692001339109E-6</v>
      </c>
      <c r="BJ437" s="583">
        <f t="shared" si="1014"/>
        <v>-9.1999692001339109E-5</v>
      </c>
      <c r="BK437" s="583">
        <f t="shared" si="1015"/>
        <v>-9.1999692001339109E-5</v>
      </c>
      <c r="BL437" s="583">
        <f t="shared" si="1016"/>
        <v>-9.1999692001339109E-5</v>
      </c>
      <c r="BM437" s="583">
        <f t="shared" si="1017"/>
        <v>-9.1999692001339109E-5</v>
      </c>
      <c r="BN437" s="583">
        <f t="shared" si="1018"/>
        <v>-9.1999692001339109E-5</v>
      </c>
      <c r="BO437" s="583">
        <f t="shared" si="1019"/>
        <v>-9.1999692001339109E-5</v>
      </c>
      <c r="BP437" s="583">
        <f t="shared" si="1020"/>
        <v>-9.1999692001339109E-6</v>
      </c>
      <c r="BQ437" s="583">
        <f t="shared" si="1021"/>
        <v>-9.1999692001339109E-5</v>
      </c>
      <c r="BR437" s="583">
        <f t="shared" si="1022"/>
        <v>-9.1999692001339109E-6</v>
      </c>
    </row>
    <row r="438" spans="1:70" s="229" customFormat="1" ht="15" customHeight="1">
      <c r="A438" s="504"/>
      <c r="D438" s="85"/>
      <c r="E438" s="576">
        <f t="shared" si="1023"/>
        <v>100</v>
      </c>
      <c r="F438" s="1131"/>
      <c r="G438" s="406" t="s">
        <v>3085</v>
      </c>
      <c r="H438" s="578" t="s">
        <v>3221</v>
      </c>
      <c r="I438" s="85">
        <v>16</v>
      </c>
      <c r="J438" s="682">
        <v>1</v>
      </c>
      <c r="K438" s="579">
        <f t="shared" si="997"/>
        <v>1.7600000000000002</v>
      </c>
      <c r="L438" s="580">
        <f>IF(H438="Select ingredient:","",IF(G438="","",_xlfn.IFNA(VLOOKUP($H438,Ingredient_prices!$E:$U,16,FALSE),0)))</f>
        <v>91.3</v>
      </c>
      <c r="M438" s="850"/>
      <c r="N438" s="850"/>
      <c r="O438" s="666"/>
      <c r="P438" s="670"/>
      <c r="Q438" s="583">
        <f t="shared" si="998"/>
        <v>16</v>
      </c>
      <c r="R438" s="583">
        <f>VLOOKUP($H438,'CO2_emission+%_food_waste'!$A:$K,6,FALSE)*$Q438/100</f>
        <v>2.7680000000000002</v>
      </c>
      <c r="S438" s="583">
        <f t="shared" si="999"/>
        <v>13.231999999999999</v>
      </c>
      <c r="T438" s="583">
        <f>IF(H438="Select ingredient:","",IF(G438="Select food category:","",_xlfn.IFNA(VLOOKUP($H438,Ingredient_prices!$E:$U,16,FALSE)*$Q438/1000,"not bought")))</f>
        <v>1.4607999999999999</v>
      </c>
      <c r="U438" s="583">
        <f>IF(G438="Select food category:","",_xlfn.IFNA(VLOOKUP($H438,Ingredient_prices!$E:$U,16,FALSE)*$R438/1000,"not bought"))</f>
        <v>0.25271840000000001</v>
      </c>
      <c r="V438" s="549">
        <f>VLOOKUP($H438,'CO2_emission+%_food_waste'!$A:$K,4,FALSE)*$Q438</f>
        <v>23.36</v>
      </c>
      <c r="W438" s="583">
        <f>VLOOKUP($H438,Nutrition_tables!$A:$N,10,FALSE)*$Q438/100</f>
        <v>9.6</v>
      </c>
      <c r="X438" s="583">
        <f>VLOOKUP($H438,Nutrition_tables!$A:$N,11,FALSE)*$Q438/100</f>
        <v>0.76797760671798454</v>
      </c>
      <c r="Y438" s="583">
        <f>VLOOKUP($H438,Nutrition_tables!$A:$N,12,FALSE)*$Q438/100</f>
        <v>0.54404478656403088</v>
      </c>
      <c r="Z438" s="583">
        <f>VLOOKUP($H438,Nutrition_tables!$A:$N,14,FALSE)*$Q438/100</f>
        <v>0.48000000000000009</v>
      </c>
      <c r="AA438" s="583">
        <f>VLOOKUP($H438,Nutrition_tables!$A:$AF,13,FALSE)*$Q438/100</f>
        <v>0</v>
      </c>
      <c r="AB438" s="549">
        <f>VLOOKUP($H438,Nutrition_tables!$A:$AF,15,FALSE)*$Q438/100</f>
        <v>0.32</v>
      </c>
      <c r="AC438" s="583">
        <f>VLOOKUP($H438,Nutrition_tables!$A:$AF,16,FALSE)*$Q438/100</f>
        <v>6.56</v>
      </c>
      <c r="AD438" s="583">
        <f>VLOOKUP($H438,Nutrition_tables!$A:$AF,17,FALSE)*$Q438/100</f>
        <v>25.92</v>
      </c>
      <c r="AE438" s="583">
        <f>VLOOKUP($H438,Nutrition_tables!$A:$AF,18,FALSE)*$Q438/100</f>
        <v>18.559999999999999</v>
      </c>
      <c r="AF438" s="583">
        <f>VLOOKUP($H438,Nutrition_tables!$A:$AF,19,FALSE)*$Q438/100</f>
        <v>1.9200000000000004</v>
      </c>
      <c r="AG438" s="583">
        <f>VLOOKUP($H438,Nutrition_tables!$A:$AF,20,FALSE)*$Q438/100</f>
        <v>14.56</v>
      </c>
      <c r="AH438" s="583">
        <f>VLOOKUP($H438,Nutrition_tables!$A:$AF,21,FALSE)*$Q438/100</f>
        <v>6.3820853743876849E-3</v>
      </c>
      <c r="AI438" s="583">
        <f>VLOOKUP($H438,Nutrition_tables!$A:$AF,22,FALSE)*$Q438/100</f>
        <v>7.0426871938418484E-2</v>
      </c>
      <c r="AJ438" s="549">
        <f>VLOOKUP($H438,Nutrition_tables!$A:$AF,23,FALSE)*$Q438/100</f>
        <v>1.6000000000000001E-3</v>
      </c>
      <c r="AK438" s="583">
        <f>VLOOKUP($H438,Nutrition_tables!$A:$AF,24,FALSE)*$Q438/100</f>
        <v>4.16</v>
      </c>
      <c r="AL438" s="583">
        <f>VLOOKUP($H438,Nutrition_tables!$A:$AF,25,FALSE)*$Q438/100</f>
        <v>6.3820853743876849E-3</v>
      </c>
      <c r="AM438" s="583">
        <f>VLOOKUP($H438,Nutrition_tables!$A:$AF,26,FALSE)*$Q438/100</f>
        <v>2.2393282015395383E-2</v>
      </c>
      <c r="AN438" s="583">
        <f>VLOOKUP($H438,Nutrition_tables!$A:$AF,27,FALSE)*$Q438/100</f>
        <v>0.14398880335899231</v>
      </c>
      <c r="AO438" s="583">
        <f>VLOOKUP($H438,Nutrition_tables!$A:$AF,28,FALSE)*$Q438/100</f>
        <v>6.3820853743876849E-3</v>
      </c>
      <c r="AP438" s="583">
        <f>VLOOKUP($H438,Nutrition_tables!$A:$AF,29,FALSE)*$Q438/100</f>
        <v>0.80000000000000016</v>
      </c>
      <c r="AQ438" s="583">
        <f>VLOOKUP($H438,Nutrition_tables!$A:$AF,30,FALSE)*$Q438/100</f>
        <v>6.7179846046186154E-2</v>
      </c>
      <c r="AR438" s="583">
        <f>VLOOKUP($H438,Nutrition_tables!$A:$AF,31,FALSE)*$Q438/100</f>
        <v>0</v>
      </c>
      <c r="AS438" s="549">
        <f>VLOOKUP($H438,Nutrition_tables!$A:$AF,32,FALSE)*$Q438/100</f>
        <v>3.2470258922323303E-3</v>
      </c>
      <c r="AT438" s="583">
        <f>IF(H438="Select ingredient:","",IF(G438="Select food category:","",IFERROR(VLOOKUP($H438,Ingredient_prices!$E:$W,17,FALSE)*$Q438/1000,"not bought")))</f>
        <v>1.4607999999999999</v>
      </c>
      <c r="AU438" s="583">
        <f>IF(H438="Select ingredient:","",IF(G438="Select food category:","",IFERROR(VLOOKUP($H438,Ingredient_prices!$E:$W,18,FALSE)*$Q438/1000,"not bought")))</f>
        <v>1.4607999999999999</v>
      </c>
      <c r="AV438" s="583">
        <f t="shared" si="1000"/>
        <v>7.9391950380031009</v>
      </c>
      <c r="AW438" s="583">
        <f t="shared" si="1001"/>
        <v>0.63511708380759591</v>
      </c>
      <c r="AX438" s="583">
        <f t="shared" si="1002"/>
        <v>0.4499247572854802</v>
      </c>
      <c r="AY438" s="583">
        <f t="shared" si="1003"/>
        <v>0.39695975190015509</v>
      </c>
      <c r="AZ438" s="583">
        <f t="shared" si="1004"/>
        <v>0</v>
      </c>
      <c r="BA438" s="583">
        <f t="shared" si="1005"/>
        <v>0.26463983460010337</v>
      </c>
      <c r="BB438" s="583">
        <f t="shared" si="1006"/>
        <v>5.425116609302119</v>
      </c>
      <c r="BC438" s="583">
        <f t="shared" si="1007"/>
        <v>21.435826602608373</v>
      </c>
      <c r="BD438" s="583">
        <f t="shared" si="1008"/>
        <v>15.349110406805993</v>
      </c>
      <c r="BE438" s="583">
        <f t="shared" si="1009"/>
        <v>1.5878390076006204</v>
      </c>
      <c r="BF438" s="583">
        <f t="shared" si="1010"/>
        <v>12.041112474304704</v>
      </c>
      <c r="BG438" s="583">
        <f t="shared" si="1011"/>
        <v>5.2779813058802987E-3</v>
      </c>
      <c r="BH438" s="583">
        <f t="shared" si="1012"/>
        <v>5.8242986691205402E-2</v>
      </c>
      <c r="BI438" s="583">
        <f t="shared" si="1013"/>
        <v>1.3231991730005171E-3</v>
      </c>
      <c r="BJ438" s="583">
        <f t="shared" si="1014"/>
        <v>3.4403178498013438</v>
      </c>
      <c r="BK438" s="583">
        <f t="shared" si="1015"/>
        <v>5.2779813058802987E-3</v>
      </c>
      <c r="BL438" s="583">
        <f t="shared" si="1016"/>
        <v>1.8519232652211573E-2</v>
      </c>
      <c r="BM438" s="583">
        <f t="shared" si="1017"/>
        <v>0.11907866595372041</v>
      </c>
      <c r="BN438" s="583">
        <f t="shared" si="1018"/>
        <v>5.2779813058802987E-3</v>
      </c>
      <c r="BO438" s="583">
        <f t="shared" si="1019"/>
        <v>0.66159958650025852</v>
      </c>
      <c r="BP438" s="583">
        <f t="shared" si="1020"/>
        <v>5.5557697956634726E-2</v>
      </c>
      <c r="BQ438" s="583">
        <f t="shared" si="1021"/>
        <v>0</v>
      </c>
      <c r="BR438" s="583">
        <f t="shared" si="1022"/>
        <v>2.6852887345706778E-3</v>
      </c>
    </row>
    <row r="439" spans="1:70" s="229" customFormat="1" ht="15" customHeight="1">
      <c r="A439" s="504"/>
      <c r="D439" s="85"/>
      <c r="E439" s="576">
        <f t="shared" si="1023"/>
        <v>100</v>
      </c>
      <c r="F439" s="1131"/>
      <c r="G439" s="406" t="s">
        <v>3078</v>
      </c>
      <c r="H439" s="578" t="s">
        <v>3359</v>
      </c>
      <c r="I439" s="85">
        <v>3</v>
      </c>
      <c r="J439" s="682">
        <v>1</v>
      </c>
      <c r="K439" s="579">
        <f t="shared" si="997"/>
        <v>0.33</v>
      </c>
      <c r="L439" s="580">
        <f>IF(H439="Select ingredient:","",IF(G439="","",_xlfn.IFNA(VLOOKUP($H439,Ingredient_prices!$E:$U,16,FALSE),0)))</f>
        <v>67.540000000000006</v>
      </c>
      <c r="M439" s="850"/>
      <c r="N439" s="850"/>
      <c r="O439" s="666"/>
      <c r="P439" s="670"/>
      <c r="Q439" s="583">
        <f t="shared" si="998"/>
        <v>3</v>
      </c>
      <c r="R439" s="583">
        <f>VLOOKUP($H439,'CO2_emission+%_food_waste'!$A:$K,6,FALSE)*$Q439/100</f>
        <v>0.25799999999999995</v>
      </c>
      <c r="S439" s="583">
        <f t="shared" si="999"/>
        <v>2.742</v>
      </c>
      <c r="T439" s="583">
        <f>IF(H439="Select ingredient:","",IF(G439="Select food category:","",_xlfn.IFNA(VLOOKUP($H439,Ingredient_prices!$E:$U,16,FALSE)*$Q439/1000,"not bought")))</f>
        <v>0.20261999999999999</v>
      </c>
      <c r="U439" s="583">
        <f>IF(G439="Select food category:","",_xlfn.IFNA(VLOOKUP($H439,Ingredient_prices!$E:$U,16,FALSE)*$R439/1000,"not bought"))</f>
        <v>1.7425319999999998E-2</v>
      </c>
      <c r="V439" s="549">
        <f>VLOOKUP($H439,'CO2_emission+%_food_waste'!$A:$K,4,FALSE)*$Q439</f>
        <v>1.1400000000000001</v>
      </c>
      <c r="W439" s="583">
        <f>VLOOKUP($H439,Nutrition_tables!$A:$N,10,FALSE)*$Q439/100</f>
        <v>12.296850944716585</v>
      </c>
      <c r="X439" s="583">
        <f>VLOOKUP($H439,Nutrition_tables!$A:$N,11,FALSE)*$Q439/100</f>
        <v>2.9955073477956615</v>
      </c>
      <c r="Y439" s="583">
        <f>VLOOKUP($H439,Nutrition_tables!$A:$N,12,FALSE)*$Q439/100</f>
        <v>0</v>
      </c>
      <c r="Z439" s="583">
        <f>VLOOKUP($H439,Nutrition_tables!$A:$N,14,FALSE)*$Q439/100</f>
        <v>0</v>
      </c>
      <c r="AA439" s="583">
        <f>VLOOKUP($H439,Nutrition_tables!$A:$AF,13,FALSE)*$Q439/100</f>
        <v>0</v>
      </c>
      <c r="AB439" s="549">
        <f>VLOOKUP($H439,Nutrition_tables!$A:$AF,15,FALSE)*$Q439/100</f>
        <v>0</v>
      </c>
      <c r="AC439" s="583">
        <f>VLOOKUP($H439,Nutrition_tables!$A:$AF,16,FALSE)*$Q439/100</f>
        <v>4.287E-3</v>
      </c>
      <c r="AD439" s="583">
        <f>VLOOKUP($H439,Nutrition_tables!$A:$AF,17,FALSE)*$Q439/100</f>
        <v>0.06</v>
      </c>
      <c r="AE439" s="583">
        <f>VLOOKUP($H439,Nutrition_tables!$A:$AF,18,FALSE)*$Q439/100</f>
        <v>0.03</v>
      </c>
      <c r="AF439" s="583">
        <f>VLOOKUP($H439,Nutrition_tables!$A:$AF,19,FALSE)*$Q439/100</f>
        <v>0</v>
      </c>
      <c r="AG439" s="583">
        <f>VLOOKUP($H439,Nutrition_tables!$A:$AF,20,FALSE)*$Q439/100</f>
        <v>0</v>
      </c>
      <c r="AH439" s="583">
        <f>VLOOKUP($H439,Nutrition_tables!$A:$AF,21,FALSE)*$Q439/100</f>
        <v>8.6913925822253331E-3</v>
      </c>
      <c r="AI439" s="583">
        <f>VLOOKUP($H439,Nutrition_tables!$A:$AF,22,FALSE)*$Q439/100</f>
        <v>6.0881735479356193E-4</v>
      </c>
      <c r="AJ439" s="549">
        <f>VLOOKUP($H439,Nutrition_tables!$A:$AF,23,FALSE)*$Q439/100</f>
        <v>4.4086773967809661E-4</v>
      </c>
      <c r="AK439" s="583">
        <f>VLOOKUP($H439,Nutrition_tables!$A:$AF,24,FALSE)*$Q439/100</f>
        <v>0</v>
      </c>
      <c r="AL439" s="583">
        <f>VLOOKUP($H439,Nutrition_tables!$A:$AF,25,FALSE)*$Q439/100</f>
        <v>0</v>
      </c>
      <c r="AM439" s="583">
        <f>VLOOKUP($H439,Nutrition_tables!$A:$AF,26,FALSE)*$Q439/100</f>
        <v>8.1452999999999994E-5</v>
      </c>
      <c r="AN439" s="583">
        <f>VLOOKUP($H439,Nutrition_tables!$A:$AF,27,FALSE)*$Q439/100</f>
        <v>0</v>
      </c>
      <c r="AO439" s="583">
        <f>VLOOKUP($H439,Nutrition_tables!$A:$AF,28,FALSE)*$Q439/100</f>
        <v>0</v>
      </c>
      <c r="AP439" s="583">
        <f>VLOOKUP($H439,Nutrition_tables!$A:$AF,29,FALSE)*$Q439/100</f>
        <v>0</v>
      </c>
      <c r="AQ439" s="583">
        <f>VLOOKUP($H439,Nutrition_tables!$A:$AF,30,FALSE)*$Q439/100</f>
        <v>0</v>
      </c>
      <c r="AR439" s="583">
        <f>VLOOKUP($H439,Nutrition_tables!$A:$AF,31,FALSE)*$Q439/100</f>
        <v>0</v>
      </c>
      <c r="AS439" s="549">
        <f>VLOOKUP($H439,Nutrition_tables!$A:$AF,32,FALSE)*$Q439/100</f>
        <v>0</v>
      </c>
      <c r="AT439" s="583">
        <f>IF(H439="Select ingredient:","",IF(G439="Select food category:","",IFERROR(VLOOKUP($H439,Ingredient_prices!$E:$W,17,FALSE)*$Q439/1000,"not bought")))</f>
        <v>0.20261999999999999</v>
      </c>
      <c r="AU439" s="583">
        <f>IF(H439="Select ingredient:","",IF(G439="Select food category:","",IFERROR(VLOOKUP($H439,Ingredient_prices!$E:$W,18,FALSE)*$Q439/1000,"not bought")))</f>
        <v>0.20261999999999999</v>
      </c>
      <c r="AV439" s="583">
        <f t="shared" si="1000"/>
        <v>11.239284299189961</v>
      </c>
      <c r="AW439" s="583">
        <f t="shared" si="1001"/>
        <v>2.7378845896032691</v>
      </c>
      <c r="AX439" s="583">
        <f t="shared" si="1002"/>
        <v>0</v>
      </c>
      <c r="AY439" s="583">
        <f t="shared" si="1003"/>
        <v>0</v>
      </c>
      <c r="AZ439" s="583">
        <f t="shared" si="1004"/>
        <v>0</v>
      </c>
      <c r="BA439" s="583">
        <f t="shared" si="1005"/>
        <v>0</v>
      </c>
      <c r="BB439" s="583">
        <f t="shared" si="1006"/>
        <v>3.9183049389835368E-3</v>
      </c>
      <c r="BC439" s="583">
        <f t="shared" si="1007"/>
        <v>5.4839817200609327E-2</v>
      </c>
      <c r="BD439" s="583">
        <f t="shared" si="1008"/>
        <v>2.7419908600304663E-2</v>
      </c>
      <c r="BE439" s="583">
        <f t="shared" si="1009"/>
        <v>0</v>
      </c>
      <c r="BF439" s="583">
        <f t="shared" si="1010"/>
        <v>0</v>
      </c>
      <c r="BG439" s="583">
        <f t="shared" si="1011"/>
        <v>7.9439063404661524E-3</v>
      </c>
      <c r="BH439" s="583">
        <f t="shared" si="1012"/>
        <v>5.5645720742395757E-4</v>
      </c>
      <c r="BI439" s="583">
        <f t="shared" si="1013"/>
        <v>4.0295177089321062E-4</v>
      </c>
      <c r="BJ439" s="583">
        <f t="shared" si="1014"/>
        <v>0</v>
      </c>
      <c r="BK439" s="583">
        <f t="shared" si="1015"/>
        <v>0</v>
      </c>
      <c r="BL439" s="583">
        <f t="shared" si="1016"/>
        <v>7.4447793840687183E-5</v>
      </c>
      <c r="BM439" s="583">
        <f t="shared" si="1017"/>
        <v>0</v>
      </c>
      <c r="BN439" s="583">
        <f t="shared" si="1018"/>
        <v>0</v>
      </c>
      <c r="BO439" s="583">
        <f t="shared" si="1019"/>
        <v>0</v>
      </c>
      <c r="BP439" s="583">
        <f t="shared" si="1020"/>
        <v>0</v>
      </c>
      <c r="BQ439" s="583">
        <f t="shared" si="1021"/>
        <v>0</v>
      </c>
      <c r="BR439" s="583">
        <f t="shared" si="1022"/>
        <v>0</v>
      </c>
    </row>
    <row r="440" spans="1:70" s="229" customFormat="1" ht="15" customHeight="1">
      <c r="A440" s="504"/>
      <c r="D440" s="85"/>
      <c r="E440" s="576">
        <f t="shared" si="1023"/>
        <v>100</v>
      </c>
      <c r="F440" s="1131"/>
      <c r="G440" s="406" t="s">
        <v>3078</v>
      </c>
      <c r="H440" s="578" t="s">
        <v>3347</v>
      </c>
      <c r="I440" s="85">
        <v>10</v>
      </c>
      <c r="J440" s="682">
        <v>1</v>
      </c>
      <c r="K440" s="579">
        <f t="shared" si="997"/>
        <v>1.1000000000000001</v>
      </c>
      <c r="L440" s="580">
        <f>IF(H440="Select ingredient:","",IF(G440="","",_xlfn.IFNA(VLOOKUP($H440,Ingredient_prices!$E:$U,16,FALSE),0)))</f>
        <v>441.1764705882353</v>
      </c>
      <c r="M440" s="850"/>
      <c r="N440" s="850"/>
      <c r="O440" s="666"/>
      <c r="P440" s="670"/>
      <c r="Q440" s="583">
        <f t="shared" si="998"/>
        <v>10</v>
      </c>
      <c r="R440" s="583">
        <f>VLOOKUP($H440,'CO2_emission+%_food_waste'!$A:$K,6,FALSE)*$Q440/100</f>
        <v>-1.0000000000000001E-5</v>
      </c>
      <c r="S440" s="583">
        <f t="shared" si="999"/>
        <v>10.00001</v>
      </c>
      <c r="T440" s="583">
        <f>IF(H440="Select ingredient:","",IF(G440="Select food category:","",_xlfn.IFNA(VLOOKUP($H440,Ingredient_prices!$E:$U,16,FALSE)*$Q440/1000,"not bought")))</f>
        <v>4.4117647058823533</v>
      </c>
      <c r="U440" s="583">
        <f>IF(G440="Select food category:","",_xlfn.IFNA(VLOOKUP($H440,Ingredient_prices!$E:$U,16,FALSE)*$R440/1000,"not bought"))</f>
        <v>-4.4117647058823534E-6</v>
      </c>
      <c r="V440" s="549">
        <f>VLOOKUP($H440,'CO2_emission+%_food_waste'!$A:$K,4,FALSE)*$Q440</f>
        <v>3.8</v>
      </c>
      <c r="W440" s="583">
        <f>VLOOKUP($H440,Nutrition_tables!$A:$N,10,FALSE)*$Q440/100</f>
        <v>22.6</v>
      </c>
      <c r="X440" s="583">
        <f>VLOOKUP($H440,Nutrition_tables!$A:$N,11,FALSE)*$Q440/100</f>
        <v>5.5</v>
      </c>
      <c r="Y440" s="583">
        <f>VLOOKUP($H440,Nutrition_tables!$A:$N,12,FALSE)*$Q440/100</f>
        <v>0.13</v>
      </c>
      <c r="Z440" s="583">
        <f>VLOOKUP($H440,Nutrition_tables!$A:$N,14,FALSE)*$Q440/100</f>
        <v>0.01</v>
      </c>
      <c r="AA440" s="583">
        <f>VLOOKUP($H440,Nutrition_tables!$A:$AF,13,FALSE)*$Q440/100</f>
        <v>-4.0000000000000002E-4</v>
      </c>
      <c r="AB440" s="549">
        <f>VLOOKUP($H440,Nutrition_tables!$A:$AF,15,FALSE)*$Q440/100</f>
        <v>0</v>
      </c>
      <c r="AC440" s="583">
        <f>VLOOKUP($H440,Nutrition_tables!$A:$AF,16,FALSE)*$Q440/100</f>
        <v>-4.0000000000000002E-4</v>
      </c>
      <c r="AD440" s="583">
        <f>VLOOKUP($H440,Nutrition_tables!$A:$AF,17,FALSE)*$Q440/100</f>
        <v>-4.0000000000000002E-4</v>
      </c>
      <c r="AE440" s="583">
        <f>VLOOKUP($H440,Nutrition_tables!$A:$AF,18,FALSE)*$Q440/100</f>
        <v>-4.0000000000000002E-4</v>
      </c>
      <c r="AF440" s="583">
        <f>VLOOKUP($H440,Nutrition_tables!$A:$AF,19,FALSE)*$Q440/100</f>
        <v>-4.0000000000000002E-4</v>
      </c>
      <c r="AG440" s="583">
        <f>VLOOKUP($H440,Nutrition_tables!$A:$AF,20,FALSE)*$Q440/100</f>
        <v>-4.0000000000000002E-4</v>
      </c>
      <c r="AH440" s="583">
        <f>VLOOKUP($H440,Nutrition_tables!$A:$AF,21,FALSE)*$Q440/100</f>
        <v>-4.0000000000000002E-4</v>
      </c>
      <c r="AI440" s="583">
        <f>VLOOKUP($H440,Nutrition_tables!$A:$AF,22,FALSE)*$Q440/100</f>
        <v>-4.0000000000000002E-4</v>
      </c>
      <c r="AJ440" s="549">
        <f>VLOOKUP($H440,Nutrition_tables!$A:$AF,23,FALSE)*$Q440/100</f>
        <v>-4.0000000000000003E-5</v>
      </c>
      <c r="AK440" s="583">
        <f>VLOOKUP($H440,Nutrition_tables!$A:$AF,24,FALSE)*$Q440/100</f>
        <v>-4.0000000000000002E-4</v>
      </c>
      <c r="AL440" s="583">
        <f>VLOOKUP($H440,Nutrition_tables!$A:$AF,25,FALSE)*$Q440/100</f>
        <v>-4.0000000000000002E-4</v>
      </c>
      <c r="AM440" s="583">
        <f>VLOOKUP($H440,Nutrition_tables!$A:$AF,26,FALSE)*$Q440/100</f>
        <v>-4.0000000000000002E-4</v>
      </c>
      <c r="AN440" s="583">
        <f>VLOOKUP($H440,Nutrition_tables!$A:$AF,27,FALSE)*$Q440/100</f>
        <v>-4.0000000000000002E-4</v>
      </c>
      <c r="AO440" s="583">
        <f>VLOOKUP($H440,Nutrition_tables!$A:$AF,28,FALSE)*$Q440/100</f>
        <v>-4.0000000000000002E-4</v>
      </c>
      <c r="AP440" s="583">
        <f>VLOOKUP($H440,Nutrition_tables!$A:$AF,29,FALSE)*$Q440/100</f>
        <v>-4.0000000000000002E-4</v>
      </c>
      <c r="AQ440" s="583">
        <f>VLOOKUP($H440,Nutrition_tables!$A:$AF,30,FALSE)*$Q440/100</f>
        <v>-4.0000000000000003E-5</v>
      </c>
      <c r="AR440" s="583">
        <f>VLOOKUP($H440,Nutrition_tables!$A:$AF,31,FALSE)*$Q440/100</f>
        <v>-4.0000000000000002E-4</v>
      </c>
      <c r="AS440" s="549">
        <f>VLOOKUP($H440,Nutrition_tables!$A:$AF,32,FALSE)*$Q440/100</f>
        <v>-4.0000000000000003E-5</v>
      </c>
      <c r="AT440" s="583">
        <f>IF(H440="Select ingredient:","",IF(G440="Select food category:","",IFERROR(VLOOKUP($H440,Ingredient_prices!$E:$W,17,FALSE)*$Q440/1000,"not bought")))</f>
        <v>4.4117647058823533</v>
      </c>
      <c r="AU440" s="583">
        <f>IF(H440="Select ingredient:","",IF(G440="Select food category:","",IFERROR(VLOOKUP($H440,Ingredient_prices!$E:$W,18,FALSE)*$Q440/1000,"not bought")))</f>
        <v>4.4117647058823533</v>
      </c>
      <c r="AV440" s="583">
        <f t="shared" si="1000"/>
        <v>22.6</v>
      </c>
      <c r="AW440" s="583">
        <f t="shared" si="1001"/>
        <v>5.5</v>
      </c>
      <c r="AX440" s="583">
        <f t="shared" si="1002"/>
        <v>0.13</v>
      </c>
      <c r="AY440" s="583">
        <f t="shared" si="1003"/>
        <v>0.01</v>
      </c>
      <c r="AZ440" s="583">
        <f t="shared" si="1004"/>
        <v>-3.9999999999999996E-4</v>
      </c>
      <c r="BA440" s="583">
        <f t="shared" si="1005"/>
        <v>0</v>
      </c>
      <c r="BB440" s="583">
        <f t="shared" si="1006"/>
        <v>-3.9999999999999996E-4</v>
      </c>
      <c r="BC440" s="583">
        <f t="shared" si="1007"/>
        <v>-3.9999999999999996E-4</v>
      </c>
      <c r="BD440" s="583">
        <f t="shared" si="1008"/>
        <v>-3.9999999999999996E-4</v>
      </c>
      <c r="BE440" s="583">
        <f t="shared" si="1009"/>
        <v>-3.9999999999999996E-4</v>
      </c>
      <c r="BF440" s="583">
        <f t="shared" si="1010"/>
        <v>-3.9999999999999996E-4</v>
      </c>
      <c r="BG440" s="583">
        <f t="shared" si="1011"/>
        <v>-3.9999999999999996E-4</v>
      </c>
      <c r="BH440" s="583">
        <f t="shared" si="1012"/>
        <v>-3.9999999999999996E-4</v>
      </c>
      <c r="BI440" s="583">
        <f t="shared" si="1013"/>
        <v>-4.0000000000000003E-5</v>
      </c>
      <c r="BJ440" s="583">
        <f t="shared" si="1014"/>
        <v>-3.9999999999999996E-4</v>
      </c>
      <c r="BK440" s="583">
        <f t="shared" si="1015"/>
        <v>-3.9999999999999996E-4</v>
      </c>
      <c r="BL440" s="583">
        <f t="shared" si="1016"/>
        <v>-3.9999999999999996E-4</v>
      </c>
      <c r="BM440" s="583">
        <f t="shared" si="1017"/>
        <v>-3.9999999999999996E-4</v>
      </c>
      <c r="BN440" s="583">
        <f t="shared" si="1018"/>
        <v>-3.9999999999999996E-4</v>
      </c>
      <c r="BO440" s="583">
        <f t="shared" si="1019"/>
        <v>-3.9999999999999996E-4</v>
      </c>
      <c r="BP440" s="583">
        <f t="shared" si="1020"/>
        <v>-4.0000000000000003E-5</v>
      </c>
      <c r="BQ440" s="583">
        <f t="shared" si="1021"/>
        <v>-3.9999999999999996E-4</v>
      </c>
      <c r="BR440" s="583">
        <f t="shared" si="1022"/>
        <v>-4.0000000000000003E-5</v>
      </c>
    </row>
    <row r="441" spans="1:70" s="229" customFormat="1" ht="15" customHeight="1">
      <c r="A441" s="504"/>
      <c r="D441" s="85"/>
      <c r="E441" s="576">
        <f t="shared" si="1023"/>
        <v>100</v>
      </c>
      <c r="F441" s="1131"/>
      <c r="G441" s="406" t="s">
        <v>3075</v>
      </c>
      <c r="H441" s="578" t="s">
        <v>3239</v>
      </c>
      <c r="I441" s="85">
        <v>31</v>
      </c>
      <c r="J441" s="682">
        <v>1</v>
      </c>
      <c r="K441" s="579">
        <f t="shared" si="997"/>
        <v>3.41</v>
      </c>
      <c r="L441" s="580">
        <f>IF(H441="Select ingredient:","",IF(G441="","",_xlfn.IFNA(VLOOKUP($H441,Ingredient_prices!$E:$U,16,FALSE),0)))</f>
        <v>121</v>
      </c>
      <c r="M441" s="850"/>
      <c r="N441" s="850"/>
      <c r="O441" s="666"/>
      <c r="P441" s="670"/>
      <c r="Q441" s="583">
        <f t="shared" si="998"/>
        <v>31</v>
      </c>
      <c r="R441" s="583">
        <f>VLOOKUP($H441,'CO2_emission+%_food_waste'!$A:$K,6,FALSE)*$Q441/100</f>
        <v>8.6180000000000003</v>
      </c>
      <c r="S441" s="583">
        <f t="shared" si="999"/>
        <v>22.381999999999998</v>
      </c>
      <c r="T441" s="583">
        <f>IF(H441="Select ingredient:","",IF(G441="Select food category:","",_xlfn.IFNA(VLOOKUP($H441,Ingredient_prices!$E:$U,16,FALSE)*$Q441/1000,"not bought")))</f>
        <v>3.7509999999999999</v>
      </c>
      <c r="U441" s="583">
        <f>IF(G441="Select food category:","",_xlfn.IFNA(VLOOKUP($H441,Ingredient_prices!$E:$U,16,FALSE)*$R441/1000,"not bought"))</f>
        <v>1.042778</v>
      </c>
      <c r="V441" s="549">
        <f>VLOOKUP($H441,'CO2_emission+%_food_waste'!$A:$K,4,FALSE)*$Q441</f>
        <v>146.63000000000002</v>
      </c>
      <c r="W441" s="583">
        <f>VLOOKUP($H441,Nutrition_tables!$A:$N,10,FALSE)*$Q441/100</f>
        <v>274.13951000000003</v>
      </c>
      <c r="X441" s="583">
        <f>VLOOKUP($H441,Nutrition_tables!$A:$N,11,FALSE)*$Q441/100</f>
        <v>3.1E-2</v>
      </c>
      <c r="Y441" s="583">
        <f>VLOOKUP($H441,Nutrition_tables!$A:$N,12,FALSE)*$Q441/100</f>
        <v>3.1E-2</v>
      </c>
      <c r="Z441" s="583">
        <f>VLOOKUP($H441,Nutrition_tables!$A:$N,14,FALSE)*$Q441/100</f>
        <v>30.844999999999995</v>
      </c>
      <c r="AA441" s="583">
        <f>VLOOKUP($H441,Nutrition_tables!$A:$AF,13,FALSE)*$Q441/100</f>
        <v>0</v>
      </c>
      <c r="AB441" s="549">
        <f>VLOOKUP($H441,Nutrition_tables!$A:$AF,15,FALSE)*$Q441/100</f>
        <v>2.1049000000000002</v>
      </c>
      <c r="AC441" s="583">
        <f>VLOOKUP($H441,Nutrition_tables!$A:$AF,16,FALSE)*$Q441/100</f>
        <v>3.1E-2</v>
      </c>
      <c r="AD441" s="583">
        <f>VLOOKUP($H441,Nutrition_tables!$A:$AF,17,FALSE)*$Q441/100</f>
        <v>0</v>
      </c>
      <c r="AE441" s="583">
        <f>VLOOKUP($H441,Nutrition_tables!$A:$AF,18,FALSE)*$Q441/100</f>
        <v>6.2E-2</v>
      </c>
      <c r="AF441" s="583">
        <f>VLOOKUP($H441,Nutrition_tables!$A:$AF,19,FALSE)*$Q441/100</f>
        <v>0.31</v>
      </c>
      <c r="AG441" s="583">
        <f>VLOOKUP($H441,Nutrition_tables!$A:$AF,20,FALSE)*$Q441/100</f>
        <v>0</v>
      </c>
      <c r="AH441" s="583">
        <f>VLOOKUP($H441,Nutrition_tables!$A:$AF,21,FALSE)*$Q441/100</f>
        <v>3.1E-2</v>
      </c>
      <c r="AI441" s="583">
        <f>VLOOKUP($H441,Nutrition_tables!$A:$AF,22,FALSE)*$Q441/100</f>
        <v>0</v>
      </c>
      <c r="AJ441" s="549">
        <f>VLOOKUP($H441,Nutrition_tables!$A:$AF,23,FALSE)*$Q441/100</f>
        <v>0</v>
      </c>
      <c r="AK441" s="583">
        <f>VLOOKUP($H441,Nutrition_tables!$A:$AF,24,FALSE)*$Q441/100</f>
        <v>0</v>
      </c>
      <c r="AL441" s="583">
        <f>VLOOKUP($H441,Nutrition_tables!$A:$AF,25,FALSE)*$Q441/100</f>
        <v>0</v>
      </c>
      <c r="AM441" s="583">
        <f>VLOOKUP($H441,Nutrition_tables!$A:$AF,26,FALSE)*$Q441/100</f>
        <v>0</v>
      </c>
      <c r="AN441" s="583">
        <f>VLOOKUP($H441,Nutrition_tables!$A:$AF,27,FALSE)*$Q441/100</f>
        <v>0</v>
      </c>
      <c r="AO441" s="583">
        <f>VLOOKUP($H441,Nutrition_tables!$A:$AF,28,FALSE)*$Q441/100</f>
        <v>0</v>
      </c>
      <c r="AP441" s="583">
        <f>VLOOKUP($H441,Nutrition_tables!$A:$AF,29,FALSE)*$Q441/100</f>
        <v>0</v>
      </c>
      <c r="AQ441" s="583">
        <f>VLOOKUP($H441,Nutrition_tables!$A:$AF,30,FALSE)*$Q441/100</f>
        <v>0</v>
      </c>
      <c r="AR441" s="583">
        <f>VLOOKUP($H441,Nutrition_tables!$A:$AF,31,FALSE)*$Q441/100</f>
        <v>0</v>
      </c>
      <c r="AS441" s="549">
        <f>VLOOKUP($H441,Nutrition_tables!$A:$AF,32,FALSE)*$Q441/100</f>
        <v>0</v>
      </c>
      <c r="AT441" s="583">
        <f>IF(H441="Select ingredient:","",IF(G441="Select food category:","",IFERROR(VLOOKUP($H441,Ingredient_prices!$E:$W,17,FALSE)*$Q441/1000,"not bought")))</f>
        <v>3.7509999999999999</v>
      </c>
      <c r="AU441" s="583">
        <f>IF(H441="Select ingredient:","",IF(G441="Select food category:","",IFERROR(VLOOKUP($H441,Ingredient_prices!$E:$W,18,FALSE)*$Q441/1000,"not bought")))</f>
        <v>3.7509999999999999</v>
      </c>
      <c r="AV441" s="583">
        <f t="shared" si="1000"/>
        <v>197.92866237204439</v>
      </c>
      <c r="AW441" s="583">
        <f t="shared" si="1001"/>
        <v>2.2381992780002326E-2</v>
      </c>
      <c r="AX441" s="583">
        <f t="shared" si="1002"/>
        <v>2.2381992780002326E-2</v>
      </c>
      <c r="AY441" s="583">
        <f t="shared" si="1003"/>
        <v>22.27008281610231</v>
      </c>
      <c r="AZ441" s="583">
        <f t="shared" si="1004"/>
        <v>0</v>
      </c>
      <c r="BA441" s="583">
        <f t="shared" si="1005"/>
        <v>1.5197373097621583</v>
      </c>
      <c r="BB441" s="583">
        <f t="shared" si="1006"/>
        <v>2.2381992780002326E-2</v>
      </c>
      <c r="BC441" s="583">
        <f t="shared" si="1007"/>
        <v>0</v>
      </c>
      <c r="BD441" s="583">
        <f t="shared" si="1008"/>
        <v>4.4763985560004653E-2</v>
      </c>
      <c r="BE441" s="583">
        <f t="shared" si="1009"/>
        <v>0.22381992780002327</v>
      </c>
      <c r="BF441" s="583">
        <f t="shared" si="1010"/>
        <v>0</v>
      </c>
      <c r="BG441" s="583">
        <f t="shared" si="1011"/>
        <v>2.2381992780002326E-2</v>
      </c>
      <c r="BH441" s="583">
        <f t="shared" si="1012"/>
        <v>0</v>
      </c>
      <c r="BI441" s="583">
        <f t="shared" si="1013"/>
        <v>0</v>
      </c>
      <c r="BJ441" s="583">
        <f t="shared" si="1014"/>
        <v>0</v>
      </c>
      <c r="BK441" s="583">
        <f t="shared" si="1015"/>
        <v>0</v>
      </c>
      <c r="BL441" s="583">
        <f t="shared" si="1016"/>
        <v>0</v>
      </c>
      <c r="BM441" s="583">
        <f t="shared" si="1017"/>
        <v>0</v>
      </c>
      <c r="BN441" s="583">
        <f t="shared" si="1018"/>
        <v>0</v>
      </c>
      <c r="BO441" s="583">
        <f t="shared" si="1019"/>
        <v>0</v>
      </c>
      <c r="BP441" s="583">
        <f t="shared" si="1020"/>
        <v>0</v>
      </c>
      <c r="BQ441" s="583">
        <f t="shared" si="1021"/>
        <v>0</v>
      </c>
      <c r="BR441" s="583">
        <f t="shared" si="1022"/>
        <v>0</v>
      </c>
    </row>
    <row r="442" spans="1:70" s="229" customFormat="1" ht="15" customHeight="1">
      <c r="A442" s="504"/>
      <c r="D442" s="85"/>
      <c r="E442" s="576">
        <f t="shared" si="1023"/>
        <v>100</v>
      </c>
      <c r="F442" s="1131"/>
      <c r="G442" s="406" t="s">
        <v>3054</v>
      </c>
      <c r="H442" s="1262" t="s">
        <v>3055</v>
      </c>
      <c r="I442" s="85">
        <v>0</v>
      </c>
      <c r="J442" s="682">
        <v>1</v>
      </c>
      <c r="K442" s="579" t="str">
        <f t="shared" si="997"/>
        <v/>
      </c>
      <c r="L442" s="580" t="str">
        <f>IF(H442="Select ingredient:","",IF(G442="","",_xlfn.IFNA(VLOOKUP($H442,Ingredient_prices!$E:$U,16,FALSE),0)))</f>
        <v/>
      </c>
      <c r="M442" s="850"/>
      <c r="N442" s="850"/>
      <c r="O442" s="666"/>
      <c r="P442" s="670"/>
      <c r="Q442" s="583">
        <f t="shared" si="998"/>
        <v>0</v>
      </c>
      <c r="R442" s="583">
        <f>VLOOKUP($H442,'CO2_emission+%_food_waste'!$A:$K,6,FALSE)*$Q442/100</f>
        <v>0</v>
      </c>
      <c r="S442" s="583">
        <f t="shared" si="999"/>
        <v>0</v>
      </c>
      <c r="T442" s="583" t="str">
        <f>IF(H442="Select ingredient:","",IF(G442="Select food category:","",_xlfn.IFNA(VLOOKUP($H442,Ingredient_prices!$E:$U,16,FALSE)*$Q442/1000,"not bought")))</f>
        <v/>
      </c>
      <c r="U442" s="583" t="str">
        <f>IF(G442="Select food category:","",_xlfn.IFNA(VLOOKUP($H442,Ingredient_prices!$E:$U,16,FALSE)*$R442/1000,"not bought"))</f>
        <v/>
      </c>
      <c r="V442" s="549">
        <f>VLOOKUP($H442,'CO2_emission+%_food_waste'!$A:$K,4,FALSE)*$Q442</f>
        <v>0</v>
      </c>
      <c r="W442" s="583">
        <f>VLOOKUP($H442,Nutrition_tables!$A:$N,10,FALSE)*$Q442/100</f>
        <v>0</v>
      </c>
      <c r="X442" s="583">
        <f>VLOOKUP($H442,Nutrition_tables!$A:$N,11,FALSE)*$Q442/100</f>
        <v>0</v>
      </c>
      <c r="Y442" s="583">
        <f>VLOOKUP($H442,Nutrition_tables!$A:$N,12,FALSE)*$Q442/100</f>
        <v>0</v>
      </c>
      <c r="Z442" s="583">
        <f>VLOOKUP($H442,Nutrition_tables!$A:$N,14,FALSE)*$Q442/100</f>
        <v>0</v>
      </c>
      <c r="AA442" s="583">
        <f>VLOOKUP($H442,Nutrition_tables!$A:$AF,13,FALSE)*$Q442/100</f>
        <v>0</v>
      </c>
      <c r="AB442" s="549">
        <f>VLOOKUP($H442,Nutrition_tables!$A:$AF,15,FALSE)*$Q442/100</f>
        <v>0</v>
      </c>
      <c r="AC442" s="583">
        <f>VLOOKUP($H442,Nutrition_tables!$A:$AF,16,FALSE)*$Q442/100</f>
        <v>0</v>
      </c>
      <c r="AD442" s="583">
        <f>VLOOKUP($H442,Nutrition_tables!$A:$AF,17,FALSE)*$Q442/100</f>
        <v>0</v>
      </c>
      <c r="AE442" s="583">
        <f>VLOOKUP($H442,Nutrition_tables!$A:$AF,18,FALSE)*$Q442/100</f>
        <v>0</v>
      </c>
      <c r="AF442" s="583">
        <f>VLOOKUP($H442,Nutrition_tables!$A:$AF,19,FALSE)*$Q442/100</f>
        <v>0</v>
      </c>
      <c r="AG442" s="583">
        <f>VLOOKUP($H442,Nutrition_tables!$A:$AF,20,FALSE)*$Q442/100</f>
        <v>0</v>
      </c>
      <c r="AH442" s="583">
        <f>VLOOKUP($H442,Nutrition_tables!$A:$AF,21,FALSE)*$Q442/100</f>
        <v>0</v>
      </c>
      <c r="AI442" s="583">
        <f>VLOOKUP($H442,Nutrition_tables!$A:$AF,22,FALSE)*$Q442/100</f>
        <v>0</v>
      </c>
      <c r="AJ442" s="549">
        <f>VLOOKUP($H442,Nutrition_tables!$A:$AF,23,FALSE)*$Q442/100</f>
        <v>0</v>
      </c>
      <c r="AK442" s="583">
        <f>VLOOKUP($H442,Nutrition_tables!$A:$AF,24,FALSE)*$Q442/100</f>
        <v>0</v>
      </c>
      <c r="AL442" s="583">
        <f>VLOOKUP($H442,Nutrition_tables!$A:$AF,25,FALSE)*$Q442/100</f>
        <v>0</v>
      </c>
      <c r="AM442" s="583">
        <f>VLOOKUP($H442,Nutrition_tables!$A:$AF,26,FALSE)*$Q442/100</f>
        <v>0</v>
      </c>
      <c r="AN442" s="583">
        <f>VLOOKUP($H442,Nutrition_tables!$A:$AF,27,FALSE)*$Q442/100</f>
        <v>0</v>
      </c>
      <c r="AO442" s="583">
        <f>VLOOKUP($H442,Nutrition_tables!$A:$AF,28,FALSE)*$Q442/100</f>
        <v>0</v>
      </c>
      <c r="AP442" s="583">
        <f>VLOOKUP($H442,Nutrition_tables!$A:$AF,29,FALSE)*$Q442/100</f>
        <v>0</v>
      </c>
      <c r="AQ442" s="583">
        <f>VLOOKUP($H442,Nutrition_tables!$A:$AF,30,FALSE)*$Q442/100</f>
        <v>0</v>
      </c>
      <c r="AR442" s="583">
        <f>VLOOKUP($H442,Nutrition_tables!$A:$AF,31,FALSE)*$Q442/100</f>
        <v>0</v>
      </c>
      <c r="AS442" s="549">
        <f>VLOOKUP($H442,Nutrition_tables!$A:$AF,32,FALSE)*$Q442/100</f>
        <v>0</v>
      </c>
      <c r="AT442" s="583" t="str">
        <f>IF(H442="Select ingredient:","",IF(G442="Select food category:","",IFERROR(VLOOKUP($H442,Ingredient_prices!$E:$W,17,FALSE)*$Q442/1000,"not bought")))</f>
        <v/>
      </c>
      <c r="AU442" s="583" t="str">
        <f>IF(H442="Select ingredient:","",IF(G442="Select food category:","",IFERROR(VLOOKUP($H442,Ingredient_prices!$E:$W,18,FALSE)*$Q442/1000,"not bought")))</f>
        <v/>
      </c>
      <c r="AV442" s="583">
        <f t="shared" si="1000"/>
        <v>0</v>
      </c>
      <c r="AW442" s="583">
        <f t="shared" si="1001"/>
        <v>0</v>
      </c>
      <c r="AX442" s="583">
        <f t="shared" si="1002"/>
        <v>0</v>
      </c>
      <c r="AY442" s="583">
        <f t="shared" si="1003"/>
        <v>0</v>
      </c>
      <c r="AZ442" s="583">
        <f t="shared" si="1004"/>
        <v>0</v>
      </c>
      <c r="BA442" s="583">
        <f t="shared" si="1005"/>
        <v>0</v>
      </c>
      <c r="BB442" s="583">
        <f t="shared" si="1006"/>
        <v>0</v>
      </c>
      <c r="BC442" s="583">
        <f t="shared" si="1007"/>
        <v>0</v>
      </c>
      <c r="BD442" s="583">
        <f t="shared" si="1008"/>
        <v>0</v>
      </c>
      <c r="BE442" s="583">
        <f t="shared" si="1009"/>
        <v>0</v>
      </c>
      <c r="BF442" s="583">
        <f t="shared" si="1010"/>
        <v>0</v>
      </c>
      <c r="BG442" s="583">
        <f t="shared" si="1011"/>
        <v>0</v>
      </c>
      <c r="BH442" s="583">
        <f t="shared" si="1012"/>
        <v>0</v>
      </c>
      <c r="BI442" s="583">
        <f t="shared" si="1013"/>
        <v>0</v>
      </c>
      <c r="BJ442" s="583">
        <f t="shared" si="1014"/>
        <v>0</v>
      </c>
      <c r="BK442" s="583">
        <f t="shared" si="1015"/>
        <v>0</v>
      </c>
      <c r="BL442" s="583">
        <f t="shared" si="1016"/>
        <v>0</v>
      </c>
      <c r="BM442" s="583">
        <f t="shared" si="1017"/>
        <v>0</v>
      </c>
      <c r="BN442" s="583">
        <f t="shared" si="1018"/>
        <v>0</v>
      </c>
      <c r="BO442" s="583">
        <f t="shared" si="1019"/>
        <v>0</v>
      </c>
      <c r="BP442" s="583">
        <f t="shared" si="1020"/>
        <v>0</v>
      </c>
      <c r="BQ442" s="583">
        <f t="shared" si="1021"/>
        <v>0</v>
      </c>
      <c r="BR442" s="583">
        <f t="shared" si="1022"/>
        <v>0</v>
      </c>
    </row>
    <row r="443" spans="1:70" s="229" customFormat="1" ht="15" customHeight="1">
      <c r="A443" s="504"/>
      <c r="D443" s="85"/>
      <c r="E443" s="576">
        <f t="shared" si="1023"/>
        <v>100</v>
      </c>
      <c r="F443" s="710"/>
      <c r="G443" s="406" t="s">
        <v>3054</v>
      </c>
      <c r="H443" s="1262" t="s">
        <v>3055</v>
      </c>
      <c r="I443" s="85">
        <v>0</v>
      </c>
      <c r="J443" s="682">
        <v>1</v>
      </c>
      <c r="K443" s="579" t="str">
        <f t="shared" si="997"/>
        <v/>
      </c>
      <c r="L443" s="580" t="str">
        <f>IF(H443="Select ingredient:","",IF(G443="","",_xlfn.IFNA(VLOOKUP($H443,Ingredient_prices!$E:$U,16,FALSE),0)))</f>
        <v/>
      </c>
      <c r="M443" s="850"/>
      <c r="N443" s="850"/>
      <c r="O443" s="666"/>
      <c r="P443" s="670"/>
      <c r="Q443" s="583">
        <f t="shared" si="998"/>
        <v>0</v>
      </c>
      <c r="R443" s="583">
        <f>VLOOKUP($H443,'CO2_emission+%_food_waste'!$A:$K,6,FALSE)*$Q443/100</f>
        <v>0</v>
      </c>
      <c r="S443" s="583">
        <f t="shared" si="999"/>
        <v>0</v>
      </c>
      <c r="T443" s="583" t="str">
        <f>IF(H443="Select ingredient:","",IF(G443="Select food category:","",_xlfn.IFNA(VLOOKUP($H443,Ingredient_prices!$E:$U,16,FALSE)*$Q443/1000,"not bought")))</f>
        <v/>
      </c>
      <c r="U443" s="583" t="str">
        <f>IF(G443="Select food category:","",_xlfn.IFNA(VLOOKUP($H443,Ingredient_prices!$E:$U,16,FALSE)*$R443/1000,"not bought"))</f>
        <v/>
      </c>
      <c r="V443" s="549">
        <f>VLOOKUP($H443,'CO2_emission+%_food_waste'!$A:$K,4,FALSE)*$Q443</f>
        <v>0</v>
      </c>
      <c r="W443" s="583">
        <f>VLOOKUP($H443,Nutrition_tables!$A:$N,10,FALSE)*$Q443/100</f>
        <v>0</v>
      </c>
      <c r="X443" s="583">
        <f>VLOOKUP($H443,Nutrition_tables!$A:$N,11,FALSE)*$Q443/100</f>
        <v>0</v>
      </c>
      <c r="Y443" s="583">
        <f>VLOOKUP($H443,Nutrition_tables!$A:$N,12,FALSE)*$Q443/100</f>
        <v>0</v>
      </c>
      <c r="Z443" s="583">
        <f>VLOOKUP($H443,Nutrition_tables!$A:$N,14,FALSE)*$Q443/100</f>
        <v>0</v>
      </c>
      <c r="AA443" s="583">
        <f>VLOOKUP($H443,Nutrition_tables!$A:$AF,13,FALSE)*$Q443/100</f>
        <v>0</v>
      </c>
      <c r="AB443" s="549">
        <f>VLOOKUP($H443,Nutrition_tables!$A:$AF,15,FALSE)*$Q443/100</f>
        <v>0</v>
      </c>
      <c r="AC443" s="583">
        <f>VLOOKUP($H443,Nutrition_tables!$A:$AF,16,FALSE)*$Q443/100</f>
        <v>0</v>
      </c>
      <c r="AD443" s="583">
        <f>VLOOKUP($H443,Nutrition_tables!$A:$AF,17,FALSE)*$Q443/100</f>
        <v>0</v>
      </c>
      <c r="AE443" s="583">
        <f>VLOOKUP($H443,Nutrition_tables!$A:$AF,18,FALSE)*$Q443/100</f>
        <v>0</v>
      </c>
      <c r="AF443" s="583">
        <f>VLOOKUP($H443,Nutrition_tables!$A:$AF,19,FALSE)*$Q443/100</f>
        <v>0</v>
      </c>
      <c r="AG443" s="583">
        <f>VLOOKUP($H443,Nutrition_tables!$A:$AF,20,FALSE)*$Q443/100</f>
        <v>0</v>
      </c>
      <c r="AH443" s="583">
        <f>VLOOKUP($H443,Nutrition_tables!$A:$AF,21,FALSE)*$Q443/100</f>
        <v>0</v>
      </c>
      <c r="AI443" s="583">
        <f>VLOOKUP($H443,Nutrition_tables!$A:$AF,22,FALSE)*$Q443/100</f>
        <v>0</v>
      </c>
      <c r="AJ443" s="549">
        <f>VLOOKUP($H443,Nutrition_tables!$A:$AF,23,FALSE)*$Q443/100</f>
        <v>0</v>
      </c>
      <c r="AK443" s="583">
        <f>VLOOKUP($H443,Nutrition_tables!$A:$AF,24,FALSE)*$Q443/100</f>
        <v>0</v>
      </c>
      <c r="AL443" s="583">
        <f>VLOOKUP($H443,Nutrition_tables!$A:$AF,25,FALSE)*$Q443/100</f>
        <v>0</v>
      </c>
      <c r="AM443" s="583">
        <f>VLOOKUP($H443,Nutrition_tables!$A:$AF,26,FALSE)*$Q443/100</f>
        <v>0</v>
      </c>
      <c r="AN443" s="583">
        <f>VLOOKUP($H443,Nutrition_tables!$A:$AF,27,FALSE)*$Q443/100</f>
        <v>0</v>
      </c>
      <c r="AO443" s="583">
        <f>VLOOKUP($H443,Nutrition_tables!$A:$AF,28,FALSE)*$Q443/100</f>
        <v>0</v>
      </c>
      <c r="AP443" s="583">
        <f>VLOOKUP($H443,Nutrition_tables!$A:$AF,29,FALSE)*$Q443/100</f>
        <v>0</v>
      </c>
      <c r="AQ443" s="583">
        <f>VLOOKUP($H443,Nutrition_tables!$A:$AF,30,FALSE)*$Q443/100</f>
        <v>0</v>
      </c>
      <c r="AR443" s="583">
        <f>VLOOKUP($H443,Nutrition_tables!$A:$AF,31,FALSE)*$Q443/100</f>
        <v>0</v>
      </c>
      <c r="AS443" s="549">
        <f>VLOOKUP($H443,Nutrition_tables!$A:$AF,32,FALSE)*$Q443/100</f>
        <v>0</v>
      </c>
      <c r="AT443" s="583" t="str">
        <f>IF(H443="Select ingredient:","",IF(G443="Select food category:","",IFERROR(VLOOKUP($H443,Ingredient_prices!$E:$W,17,FALSE)*$Q443/1000,"not bought")))</f>
        <v/>
      </c>
      <c r="AU443" s="583" t="str">
        <f>IF(H443="Select ingredient:","",IF(G443="Select food category:","",IFERROR(VLOOKUP($H443,Ingredient_prices!$E:$W,18,FALSE)*$Q443/1000,"not bought")))</f>
        <v/>
      </c>
      <c r="AV443" s="583">
        <f t="shared" si="1000"/>
        <v>0</v>
      </c>
      <c r="AW443" s="583">
        <f t="shared" si="1001"/>
        <v>0</v>
      </c>
      <c r="AX443" s="583">
        <f t="shared" si="1002"/>
        <v>0</v>
      </c>
      <c r="AY443" s="583">
        <f t="shared" si="1003"/>
        <v>0</v>
      </c>
      <c r="AZ443" s="583">
        <f t="shared" si="1004"/>
        <v>0</v>
      </c>
      <c r="BA443" s="583">
        <f t="shared" si="1005"/>
        <v>0</v>
      </c>
      <c r="BB443" s="583">
        <f t="shared" si="1006"/>
        <v>0</v>
      </c>
      <c r="BC443" s="583">
        <f t="shared" si="1007"/>
        <v>0</v>
      </c>
      <c r="BD443" s="583">
        <f t="shared" si="1008"/>
        <v>0</v>
      </c>
      <c r="BE443" s="583">
        <f t="shared" si="1009"/>
        <v>0</v>
      </c>
      <c r="BF443" s="583">
        <f t="shared" si="1010"/>
        <v>0</v>
      </c>
      <c r="BG443" s="583">
        <f t="shared" si="1011"/>
        <v>0</v>
      </c>
      <c r="BH443" s="583">
        <f t="shared" si="1012"/>
        <v>0</v>
      </c>
      <c r="BI443" s="583">
        <f t="shared" si="1013"/>
        <v>0</v>
      </c>
      <c r="BJ443" s="583">
        <f t="shared" si="1014"/>
        <v>0</v>
      </c>
      <c r="BK443" s="583">
        <f t="shared" si="1015"/>
        <v>0</v>
      </c>
      <c r="BL443" s="583">
        <f t="shared" si="1016"/>
        <v>0</v>
      </c>
      <c r="BM443" s="583">
        <f t="shared" si="1017"/>
        <v>0</v>
      </c>
      <c r="BN443" s="583">
        <f t="shared" si="1018"/>
        <v>0</v>
      </c>
      <c r="BO443" s="583">
        <f t="shared" si="1019"/>
        <v>0</v>
      </c>
      <c r="BP443" s="583">
        <f t="shared" si="1020"/>
        <v>0</v>
      </c>
      <c r="BQ443" s="583">
        <f t="shared" si="1021"/>
        <v>0</v>
      </c>
      <c r="BR443" s="583">
        <f t="shared" si="1022"/>
        <v>0</v>
      </c>
    </row>
    <row r="444" spans="1:70" s="229" customFormat="1" ht="15" customHeight="1">
      <c r="A444" s="504"/>
      <c r="D444" s="85"/>
      <c r="E444" s="576">
        <f t="shared" si="1023"/>
        <v>100</v>
      </c>
      <c r="F444" s="710"/>
      <c r="G444" s="406" t="s">
        <v>3054</v>
      </c>
      <c r="H444" s="1262" t="s">
        <v>3055</v>
      </c>
      <c r="I444" s="85">
        <v>0</v>
      </c>
      <c r="J444" s="682">
        <v>1</v>
      </c>
      <c r="K444" s="579" t="str">
        <f t="shared" si="997"/>
        <v/>
      </c>
      <c r="L444" s="580" t="str">
        <f>IF(H444="Select ingredient:","",IF(G444="","",_xlfn.IFNA(VLOOKUP($H444,Ingredient_prices!$E:$U,16,FALSE),0)))</f>
        <v/>
      </c>
      <c r="M444" s="850"/>
      <c r="N444" s="850"/>
      <c r="O444" s="666"/>
      <c r="P444" s="670"/>
      <c r="Q444" s="583">
        <f t="shared" si="998"/>
        <v>0</v>
      </c>
      <c r="R444" s="583">
        <f>VLOOKUP($H444,'CO2_emission+%_food_waste'!$A:$K,6,FALSE)*$Q444/100</f>
        <v>0</v>
      </c>
      <c r="S444" s="583">
        <f t="shared" si="999"/>
        <v>0</v>
      </c>
      <c r="T444" s="583" t="str">
        <f>IF(H444="Select ingredient:","",IF(G444="Select food category:","",_xlfn.IFNA(VLOOKUP($H444,Ingredient_prices!$E:$U,16,FALSE)*$Q444/1000,"not bought")))</f>
        <v/>
      </c>
      <c r="U444" s="583" t="str">
        <f>IF(G444="Select food category:","",_xlfn.IFNA(VLOOKUP($H444,Ingredient_prices!$E:$U,16,FALSE)*$R444/1000,"not bought"))</f>
        <v/>
      </c>
      <c r="V444" s="549">
        <f>VLOOKUP($H444,'CO2_emission+%_food_waste'!$A:$K,4,FALSE)*$Q444</f>
        <v>0</v>
      </c>
      <c r="W444" s="583">
        <f>VLOOKUP($H444,Nutrition_tables!$A:$N,10,FALSE)*$Q444/100</f>
        <v>0</v>
      </c>
      <c r="X444" s="583">
        <f>VLOOKUP($H444,Nutrition_tables!$A:$N,11,FALSE)*$Q444/100</f>
        <v>0</v>
      </c>
      <c r="Y444" s="583">
        <f>VLOOKUP($H444,Nutrition_tables!$A:$N,12,FALSE)*$Q444/100</f>
        <v>0</v>
      </c>
      <c r="Z444" s="583">
        <f>VLOOKUP($H444,Nutrition_tables!$A:$N,14,FALSE)*$Q444/100</f>
        <v>0</v>
      </c>
      <c r="AA444" s="583">
        <f>VLOOKUP($H444,Nutrition_tables!$A:$AF,13,FALSE)*$Q444/100</f>
        <v>0</v>
      </c>
      <c r="AB444" s="549">
        <f>VLOOKUP($H444,Nutrition_tables!$A:$AF,15,FALSE)*$Q444/100</f>
        <v>0</v>
      </c>
      <c r="AC444" s="583">
        <f>VLOOKUP($H444,Nutrition_tables!$A:$AF,16,FALSE)*$Q444/100</f>
        <v>0</v>
      </c>
      <c r="AD444" s="583">
        <f>VLOOKUP($H444,Nutrition_tables!$A:$AF,17,FALSE)*$Q444/100</f>
        <v>0</v>
      </c>
      <c r="AE444" s="583">
        <f>VLOOKUP($H444,Nutrition_tables!$A:$AF,18,FALSE)*$Q444/100</f>
        <v>0</v>
      </c>
      <c r="AF444" s="583">
        <f>VLOOKUP($H444,Nutrition_tables!$A:$AF,19,FALSE)*$Q444/100</f>
        <v>0</v>
      </c>
      <c r="AG444" s="583">
        <f>VLOOKUP($H444,Nutrition_tables!$A:$AF,20,FALSE)*$Q444/100</f>
        <v>0</v>
      </c>
      <c r="AH444" s="583">
        <f>VLOOKUP($H444,Nutrition_tables!$A:$AF,21,FALSE)*$Q444/100</f>
        <v>0</v>
      </c>
      <c r="AI444" s="583">
        <f>VLOOKUP($H444,Nutrition_tables!$A:$AF,22,FALSE)*$Q444/100</f>
        <v>0</v>
      </c>
      <c r="AJ444" s="549">
        <f>VLOOKUP($H444,Nutrition_tables!$A:$AF,23,FALSE)*$Q444/100</f>
        <v>0</v>
      </c>
      <c r="AK444" s="583">
        <f>VLOOKUP($H444,Nutrition_tables!$A:$AF,24,FALSE)*$Q444/100</f>
        <v>0</v>
      </c>
      <c r="AL444" s="583">
        <f>VLOOKUP($H444,Nutrition_tables!$A:$AF,25,FALSE)*$Q444/100</f>
        <v>0</v>
      </c>
      <c r="AM444" s="583">
        <f>VLOOKUP($H444,Nutrition_tables!$A:$AF,26,FALSE)*$Q444/100</f>
        <v>0</v>
      </c>
      <c r="AN444" s="583">
        <f>VLOOKUP($H444,Nutrition_tables!$A:$AF,27,FALSE)*$Q444/100</f>
        <v>0</v>
      </c>
      <c r="AO444" s="583">
        <f>VLOOKUP($H444,Nutrition_tables!$A:$AF,28,FALSE)*$Q444/100</f>
        <v>0</v>
      </c>
      <c r="AP444" s="583">
        <f>VLOOKUP($H444,Nutrition_tables!$A:$AF,29,FALSE)*$Q444/100</f>
        <v>0</v>
      </c>
      <c r="AQ444" s="583">
        <f>VLOOKUP($H444,Nutrition_tables!$A:$AF,30,FALSE)*$Q444/100</f>
        <v>0</v>
      </c>
      <c r="AR444" s="583">
        <f>VLOOKUP($H444,Nutrition_tables!$A:$AF,31,FALSE)*$Q444/100</f>
        <v>0</v>
      </c>
      <c r="AS444" s="549">
        <f>VLOOKUP($H444,Nutrition_tables!$A:$AF,32,FALSE)*$Q444/100</f>
        <v>0</v>
      </c>
      <c r="AT444" s="583" t="str">
        <f>IF(H444="Select ingredient:","",IF(G444="Select food category:","",IFERROR(VLOOKUP($H444,Ingredient_prices!$E:$W,17,FALSE)*$Q444/1000,"not bought")))</f>
        <v/>
      </c>
      <c r="AU444" s="583" t="str">
        <f>IF(H444="Select ingredient:","",IF(G444="Select food category:","",IFERROR(VLOOKUP($H444,Ingredient_prices!$E:$W,18,FALSE)*$Q444/1000,"not bought")))</f>
        <v/>
      </c>
      <c r="AV444" s="583">
        <f t="shared" si="1000"/>
        <v>0</v>
      </c>
      <c r="AW444" s="583">
        <f t="shared" si="1001"/>
        <v>0</v>
      </c>
      <c r="AX444" s="583">
        <f t="shared" si="1002"/>
        <v>0</v>
      </c>
      <c r="AY444" s="583">
        <f t="shared" si="1003"/>
        <v>0</v>
      </c>
      <c r="AZ444" s="583">
        <f t="shared" si="1004"/>
        <v>0</v>
      </c>
      <c r="BA444" s="583">
        <f t="shared" si="1005"/>
        <v>0</v>
      </c>
      <c r="BB444" s="583">
        <f t="shared" si="1006"/>
        <v>0</v>
      </c>
      <c r="BC444" s="583">
        <f t="shared" si="1007"/>
        <v>0</v>
      </c>
      <c r="BD444" s="583">
        <f t="shared" si="1008"/>
        <v>0</v>
      </c>
      <c r="BE444" s="583">
        <f t="shared" si="1009"/>
        <v>0</v>
      </c>
      <c r="BF444" s="583">
        <f t="shared" si="1010"/>
        <v>0</v>
      </c>
      <c r="BG444" s="583">
        <f t="shared" si="1011"/>
        <v>0</v>
      </c>
      <c r="BH444" s="583">
        <f t="shared" si="1012"/>
        <v>0</v>
      </c>
      <c r="BI444" s="583">
        <f t="shared" si="1013"/>
        <v>0</v>
      </c>
      <c r="BJ444" s="583">
        <f t="shared" si="1014"/>
        <v>0</v>
      </c>
      <c r="BK444" s="583">
        <f t="shared" si="1015"/>
        <v>0</v>
      </c>
      <c r="BL444" s="583">
        <f t="shared" si="1016"/>
        <v>0</v>
      </c>
      <c r="BM444" s="583">
        <f t="shared" si="1017"/>
        <v>0</v>
      </c>
      <c r="BN444" s="583">
        <f t="shared" si="1018"/>
        <v>0</v>
      </c>
      <c r="BO444" s="583">
        <f t="shared" si="1019"/>
        <v>0</v>
      </c>
      <c r="BP444" s="583">
        <f t="shared" si="1020"/>
        <v>0</v>
      </c>
      <c r="BQ444" s="583">
        <f t="shared" si="1021"/>
        <v>0</v>
      </c>
      <c r="BR444" s="583">
        <f t="shared" si="1022"/>
        <v>0</v>
      </c>
    </row>
    <row r="445" spans="1:70" s="229" customFormat="1" ht="15" customHeight="1">
      <c r="A445" s="504"/>
      <c r="D445" s="85"/>
      <c r="E445" s="576">
        <f t="shared" si="1023"/>
        <v>100</v>
      </c>
      <c r="F445" s="710"/>
      <c r="G445" s="406" t="s">
        <v>3054</v>
      </c>
      <c r="H445" s="1262" t="s">
        <v>3055</v>
      </c>
      <c r="I445" s="85">
        <v>0</v>
      </c>
      <c r="J445" s="682">
        <v>1</v>
      </c>
      <c r="K445" s="579" t="str">
        <f t="shared" si="997"/>
        <v/>
      </c>
      <c r="L445" s="580" t="str">
        <f>IF(H445="Select ingredient:","",IF(G445="","",_xlfn.IFNA(VLOOKUP($H445,Ingredient_prices!$E:$U,16,FALSE),0)))</f>
        <v/>
      </c>
      <c r="M445" s="850"/>
      <c r="N445" s="850"/>
      <c r="O445" s="666"/>
      <c r="P445" s="670"/>
      <c r="Q445" s="583">
        <f t="shared" si="998"/>
        <v>0</v>
      </c>
      <c r="R445" s="583">
        <f>VLOOKUP($H445,'CO2_emission+%_food_waste'!$A:$K,6,FALSE)*$Q445/100</f>
        <v>0</v>
      </c>
      <c r="S445" s="583">
        <f t="shared" si="999"/>
        <v>0</v>
      </c>
      <c r="T445" s="583" t="str">
        <f>IF(H445="Select ingredient:","",IF(G445="Select food category:","",_xlfn.IFNA(VLOOKUP($H445,Ingredient_prices!$E:$U,16,FALSE)*$Q445/1000,"not bought")))</f>
        <v/>
      </c>
      <c r="U445" s="583" t="str">
        <f>IF(G445="Select food category:","",_xlfn.IFNA(VLOOKUP($H445,Ingredient_prices!$E:$U,16,FALSE)*$R445/1000,"not bought"))</f>
        <v/>
      </c>
      <c r="V445" s="549">
        <f>VLOOKUP($H445,'CO2_emission+%_food_waste'!$A:$K,4,FALSE)*$Q445</f>
        <v>0</v>
      </c>
      <c r="W445" s="583">
        <f>VLOOKUP($H445,Nutrition_tables!$A:$N,10,FALSE)*$Q445/100</f>
        <v>0</v>
      </c>
      <c r="X445" s="583">
        <f>VLOOKUP($H445,Nutrition_tables!$A:$N,11,FALSE)*$Q445/100</f>
        <v>0</v>
      </c>
      <c r="Y445" s="583">
        <f>VLOOKUP($H445,Nutrition_tables!$A:$N,12,FALSE)*$Q445/100</f>
        <v>0</v>
      </c>
      <c r="Z445" s="583">
        <f>VLOOKUP($H445,Nutrition_tables!$A:$N,14,FALSE)*$Q445/100</f>
        <v>0</v>
      </c>
      <c r="AA445" s="583">
        <f>VLOOKUP($H445,Nutrition_tables!$A:$AF,13,FALSE)*$Q445/100</f>
        <v>0</v>
      </c>
      <c r="AB445" s="549">
        <f>VLOOKUP($H445,Nutrition_tables!$A:$AF,15,FALSE)*$Q445/100</f>
        <v>0</v>
      </c>
      <c r="AC445" s="583">
        <f>VLOOKUP($H445,Nutrition_tables!$A:$AF,16,FALSE)*$Q445/100</f>
        <v>0</v>
      </c>
      <c r="AD445" s="583">
        <f>VLOOKUP($H445,Nutrition_tables!$A:$AF,17,FALSE)*$Q445/100</f>
        <v>0</v>
      </c>
      <c r="AE445" s="583">
        <f>VLOOKUP($H445,Nutrition_tables!$A:$AF,18,FALSE)*$Q445/100</f>
        <v>0</v>
      </c>
      <c r="AF445" s="583">
        <f>VLOOKUP($H445,Nutrition_tables!$A:$AF,19,FALSE)*$Q445/100</f>
        <v>0</v>
      </c>
      <c r="AG445" s="583">
        <f>VLOOKUP($H445,Nutrition_tables!$A:$AF,20,FALSE)*$Q445/100</f>
        <v>0</v>
      </c>
      <c r="AH445" s="583">
        <f>VLOOKUP($H445,Nutrition_tables!$A:$AF,21,FALSE)*$Q445/100</f>
        <v>0</v>
      </c>
      <c r="AI445" s="583">
        <f>VLOOKUP($H445,Nutrition_tables!$A:$AF,22,FALSE)*$Q445/100</f>
        <v>0</v>
      </c>
      <c r="AJ445" s="549">
        <f>VLOOKUP($H445,Nutrition_tables!$A:$AF,23,FALSE)*$Q445/100</f>
        <v>0</v>
      </c>
      <c r="AK445" s="583">
        <f>VLOOKUP($H445,Nutrition_tables!$A:$AF,24,FALSE)*$Q445/100</f>
        <v>0</v>
      </c>
      <c r="AL445" s="583">
        <f>VLOOKUP($H445,Nutrition_tables!$A:$AF,25,FALSE)*$Q445/100</f>
        <v>0</v>
      </c>
      <c r="AM445" s="583">
        <f>VLOOKUP($H445,Nutrition_tables!$A:$AF,26,FALSE)*$Q445/100</f>
        <v>0</v>
      </c>
      <c r="AN445" s="583">
        <f>VLOOKUP($H445,Nutrition_tables!$A:$AF,27,FALSE)*$Q445/100</f>
        <v>0</v>
      </c>
      <c r="AO445" s="583">
        <f>VLOOKUP($H445,Nutrition_tables!$A:$AF,28,FALSE)*$Q445/100</f>
        <v>0</v>
      </c>
      <c r="AP445" s="583">
        <f>VLOOKUP($H445,Nutrition_tables!$A:$AF,29,FALSE)*$Q445/100</f>
        <v>0</v>
      </c>
      <c r="AQ445" s="583">
        <f>VLOOKUP($H445,Nutrition_tables!$A:$AF,30,FALSE)*$Q445/100</f>
        <v>0</v>
      </c>
      <c r="AR445" s="583">
        <f>VLOOKUP($H445,Nutrition_tables!$A:$AF,31,FALSE)*$Q445/100</f>
        <v>0</v>
      </c>
      <c r="AS445" s="549">
        <f>VLOOKUP($H445,Nutrition_tables!$A:$AF,32,FALSE)*$Q445/100</f>
        <v>0</v>
      </c>
      <c r="AT445" s="583" t="str">
        <f>IF(H445="Select ingredient:","",IF(G445="Select food category:","",IFERROR(VLOOKUP($H445,Ingredient_prices!$E:$W,17,FALSE)*$Q445/1000,"not bought")))</f>
        <v/>
      </c>
      <c r="AU445" s="583" t="str">
        <f>IF(H445="Select ingredient:","",IF(G445="Select food category:","",IFERROR(VLOOKUP($H445,Ingredient_prices!$E:$W,18,FALSE)*$Q445/1000,"not bought")))</f>
        <v/>
      </c>
      <c r="AV445" s="583">
        <f t="shared" si="1000"/>
        <v>0</v>
      </c>
      <c r="AW445" s="583">
        <f t="shared" si="1001"/>
        <v>0</v>
      </c>
      <c r="AX445" s="583">
        <f t="shared" si="1002"/>
        <v>0</v>
      </c>
      <c r="AY445" s="583">
        <f t="shared" si="1003"/>
        <v>0</v>
      </c>
      <c r="AZ445" s="583">
        <f t="shared" si="1004"/>
        <v>0</v>
      </c>
      <c r="BA445" s="583">
        <f t="shared" si="1005"/>
        <v>0</v>
      </c>
      <c r="BB445" s="583">
        <f t="shared" si="1006"/>
        <v>0</v>
      </c>
      <c r="BC445" s="583">
        <f t="shared" si="1007"/>
        <v>0</v>
      </c>
      <c r="BD445" s="583">
        <f t="shared" si="1008"/>
        <v>0</v>
      </c>
      <c r="BE445" s="583">
        <f t="shared" si="1009"/>
        <v>0</v>
      </c>
      <c r="BF445" s="583">
        <f t="shared" si="1010"/>
        <v>0</v>
      </c>
      <c r="BG445" s="583">
        <f t="shared" si="1011"/>
        <v>0</v>
      </c>
      <c r="BH445" s="583">
        <f t="shared" si="1012"/>
        <v>0</v>
      </c>
      <c r="BI445" s="583">
        <f t="shared" si="1013"/>
        <v>0</v>
      </c>
      <c r="BJ445" s="583">
        <f t="shared" si="1014"/>
        <v>0</v>
      </c>
      <c r="BK445" s="583">
        <f t="shared" si="1015"/>
        <v>0</v>
      </c>
      <c r="BL445" s="583">
        <f t="shared" si="1016"/>
        <v>0</v>
      </c>
      <c r="BM445" s="583">
        <f t="shared" si="1017"/>
        <v>0</v>
      </c>
      <c r="BN445" s="583">
        <f t="shared" si="1018"/>
        <v>0</v>
      </c>
      <c r="BO445" s="583">
        <f t="shared" si="1019"/>
        <v>0</v>
      </c>
      <c r="BP445" s="583">
        <f t="shared" si="1020"/>
        <v>0</v>
      </c>
      <c r="BQ445" s="583">
        <f t="shared" si="1021"/>
        <v>0</v>
      </c>
      <c r="BR445" s="583">
        <f t="shared" si="1022"/>
        <v>0</v>
      </c>
    </row>
    <row r="446" spans="1:70" s="603" customFormat="1" ht="56">
      <c r="A446" s="504"/>
      <c r="B446" s="593"/>
      <c r="C446" s="522"/>
      <c r="D446" s="141"/>
      <c r="E446" s="594"/>
      <c r="F446" s="708"/>
      <c r="G446" s="522"/>
      <c r="H446" s="522"/>
      <c r="I446" s="86"/>
      <c r="J446" s="87"/>
      <c r="K446" s="595"/>
      <c r="L446" s="596"/>
      <c r="M446" s="851"/>
      <c r="N446" s="851"/>
      <c r="O446" s="666"/>
      <c r="P446" s="671"/>
      <c r="Q446" s="599" t="s">
        <v>384</v>
      </c>
      <c r="R446" s="600" t="s">
        <v>455</v>
      </c>
      <c r="S446" s="600" t="s">
        <v>2087</v>
      </c>
      <c r="T446" s="600" t="s">
        <v>456</v>
      </c>
      <c r="U446" s="600" t="s">
        <v>535</v>
      </c>
      <c r="V446" s="601" t="s">
        <v>457</v>
      </c>
      <c r="W446" s="600" t="s">
        <v>75</v>
      </c>
      <c r="X446" s="600" t="s">
        <v>385</v>
      </c>
      <c r="Y446" s="600" t="s">
        <v>386</v>
      </c>
      <c r="Z446" s="600" t="s">
        <v>387</v>
      </c>
      <c r="AA446" s="600" t="s">
        <v>388</v>
      </c>
      <c r="AB446" s="601" t="s">
        <v>389</v>
      </c>
      <c r="AC446" s="602" t="s">
        <v>390</v>
      </c>
      <c r="AD446" s="600" t="s">
        <v>391</v>
      </c>
      <c r="AE446" s="600" t="s">
        <v>392</v>
      </c>
      <c r="AF446" s="600" t="s">
        <v>393</v>
      </c>
      <c r="AG446" s="600" t="s">
        <v>394</v>
      </c>
      <c r="AH446" s="600" t="s">
        <v>395</v>
      </c>
      <c r="AI446" s="600" t="s">
        <v>396</v>
      </c>
      <c r="AJ446" s="601" t="s">
        <v>397</v>
      </c>
      <c r="AK446" s="602" t="s">
        <v>398</v>
      </c>
      <c r="AL446" s="600" t="s">
        <v>399</v>
      </c>
      <c r="AM446" s="600" t="s">
        <v>400</v>
      </c>
      <c r="AN446" s="600" t="s">
        <v>401</v>
      </c>
      <c r="AO446" s="600" t="s">
        <v>402</v>
      </c>
      <c r="AP446" s="600" t="s">
        <v>406</v>
      </c>
      <c r="AQ446" s="600" t="s">
        <v>405</v>
      </c>
      <c r="AR446" s="600" t="s">
        <v>403</v>
      </c>
      <c r="AS446" s="601" t="s">
        <v>404</v>
      </c>
      <c r="AT446" s="593"/>
      <c r="AU446" s="593"/>
    </row>
    <row r="447" spans="1:70" s="229" customFormat="1">
      <c r="A447" s="504"/>
      <c r="B447" s="522"/>
      <c r="C447" s="522"/>
      <c r="D447" s="141"/>
      <c r="E447" s="594"/>
      <c r="F447" s="708"/>
      <c r="G447" s="522"/>
      <c r="H447" s="522"/>
      <c r="I447" s="86"/>
      <c r="J447" s="87"/>
      <c r="K447" s="595"/>
      <c r="L447" s="596"/>
      <c r="M447" s="851"/>
      <c r="N447" s="851"/>
      <c r="O447" s="666"/>
      <c r="P447" s="672" t="s">
        <v>383</v>
      </c>
      <c r="Q447" s="583">
        <f t="shared" ref="Q447:AU447" si="1024">SUM(Q434:Q445)</f>
        <v>136.6</v>
      </c>
      <c r="R447" s="583">
        <f t="shared" si="1024"/>
        <v>22.086762700000001</v>
      </c>
      <c r="S447" s="583">
        <f>SUM(S434:S445)</f>
        <v>114.51323730000001</v>
      </c>
      <c r="T447" s="583">
        <f t="shared" ref="T447:U447" si="1025">SUM(T434:T445)</f>
        <v>27.42329137254902</v>
      </c>
      <c r="U447" s="583">
        <f t="shared" si="1025"/>
        <v>1.7973797061019607</v>
      </c>
      <c r="V447" s="549">
        <f t="shared" si="1024"/>
        <v>299.10199999999998</v>
      </c>
      <c r="W447" s="583">
        <f t="shared" si="1024"/>
        <v>502.19925138760703</v>
      </c>
      <c r="X447" s="583">
        <f t="shared" si="1024"/>
        <v>48.948779692455446</v>
      </c>
      <c r="Y447" s="583">
        <f t="shared" si="1024"/>
        <v>5.8393533766667387</v>
      </c>
      <c r="Z447" s="583">
        <f t="shared" si="1024"/>
        <v>32.091311704635231</v>
      </c>
      <c r="AA447" s="583">
        <f t="shared" si="1024"/>
        <v>1.1749557855477857</v>
      </c>
      <c r="AB447" s="549">
        <f t="shared" si="1024"/>
        <v>2.5601109956971135</v>
      </c>
      <c r="AC447" s="583">
        <f t="shared" si="1024"/>
        <v>11.177585442890441</v>
      </c>
      <c r="AD447" s="583">
        <f t="shared" si="1024"/>
        <v>103.22940800000001</v>
      </c>
      <c r="AE447" s="583">
        <f t="shared" si="1024"/>
        <v>30.851408000000003</v>
      </c>
      <c r="AF447" s="583">
        <f t="shared" si="1024"/>
        <v>14.184188885780886</v>
      </c>
      <c r="AG447" s="583">
        <f t="shared" si="1024"/>
        <v>69.209407999999982</v>
      </c>
      <c r="AH447" s="583">
        <f t="shared" si="1024"/>
        <v>0.50998963646477147</v>
      </c>
      <c r="AI447" s="583">
        <f t="shared" si="1024"/>
        <v>0.43130642786183299</v>
      </c>
      <c r="AJ447" s="549">
        <f t="shared" si="1024"/>
        <v>0.23905009754516673</v>
      </c>
      <c r="AK447" s="583">
        <f t="shared" si="1024"/>
        <v>8.6214079999999971</v>
      </c>
      <c r="AL447" s="583">
        <f t="shared" si="1024"/>
        <v>7.751727974864088E-2</v>
      </c>
      <c r="AM447" s="583">
        <f t="shared" si="1024"/>
        <v>5.0858517402942484E-2</v>
      </c>
      <c r="AN447" s="583">
        <f t="shared" si="1024"/>
        <v>0.76026742293549443</v>
      </c>
      <c r="AO447" s="583">
        <f t="shared" si="1024"/>
        <v>4.1427526364769839E-2</v>
      </c>
      <c r="AP447" s="583">
        <f t="shared" si="1024"/>
        <v>8.9908462284382278</v>
      </c>
      <c r="AQ447" s="583">
        <f t="shared" si="1024"/>
        <v>0.15575791877345888</v>
      </c>
      <c r="AR447" s="583">
        <f t="shared" si="1024"/>
        <v>-5.9200000000000008E-4</v>
      </c>
      <c r="AS447" s="549">
        <f t="shared" si="1024"/>
        <v>4.3342457078039985E-2</v>
      </c>
      <c r="AT447" s="583">
        <f t="shared" si="1024"/>
        <v>27.42329137254902</v>
      </c>
      <c r="AU447" s="583">
        <f t="shared" si="1024"/>
        <v>27.42329137254902</v>
      </c>
      <c r="AV447" s="545">
        <f t="shared" ref="AV447:BR447" si="1026">SUM(AV434:AV445)</f>
        <v>386.62557818835683</v>
      </c>
      <c r="AW447" s="545">
        <f t="shared" si="1026"/>
        <v>40.602725874662781</v>
      </c>
      <c r="AX447" s="545">
        <f t="shared" si="1026"/>
        <v>4.7369874888044929</v>
      </c>
      <c r="AY447" s="545">
        <f t="shared" si="1026"/>
        <v>23.297004061394638</v>
      </c>
      <c r="AZ447" s="545">
        <f t="shared" si="1026"/>
        <v>0.91986172049069781</v>
      </c>
      <c r="BA447" s="545">
        <f t="shared" si="1026"/>
        <v>1.8968441986764184</v>
      </c>
      <c r="BB447" s="545">
        <f t="shared" si="1026"/>
        <v>9.3966353810550363</v>
      </c>
      <c r="BC447" s="545">
        <f t="shared" si="1026"/>
        <v>82.308690426710157</v>
      </c>
      <c r="BD447" s="545">
        <f t="shared" si="1026"/>
        <v>25.075416846030247</v>
      </c>
      <c r="BE447" s="545">
        <f t="shared" si="1026"/>
        <v>11.204846265217046</v>
      </c>
      <c r="BF447" s="545">
        <f t="shared" si="1026"/>
        <v>55.367573400836086</v>
      </c>
      <c r="BG447" s="545">
        <f t="shared" si="1026"/>
        <v>0.4038275202653494</v>
      </c>
      <c r="BH447" s="545">
        <f t="shared" si="1026"/>
        <v>0.34433603506315791</v>
      </c>
      <c r="BI447" s="545">
        <f t="shared" si="1026"/>
        <v>0.1874507374632689</v>
      </c>
      <c r="BJ447" s="545">
        <f t="shared" si="1026"/>
        <v>7.4287365065247482</v>
      </c>
      <c r="BK447" s="545">
        <f t="shared" si="1026"/>
        <v>6.102713831993091E-2</v>
      </c>
      <c r="BL447" s="545">
        <f t="shared" si="1026"/>
        <v>4.1838644154380107E-2</v>
      </c>
      <c r="BM447" s="545">
        <f t="shared" si="1026"/>
        <v>0.60162497693684902</v>
      </c>
      <c r="BN447" s="545">
        <f t="shared" si="1026"/>
        <v>3.2897585807485169E-2</v>
      </c>
      <c r="BO447" s="545">
        <f t="shared" si="1026"/>
        <v>7.1285135580308197</v>
      </c>
      <c r="BP447" s="545">
        <f t="shared" si="1026"/>
        <v>0.12998776655548622</v>
      </c>
      <c r="BQ447" s="545">
        <f t="shared" si="1026"/>
        <v>-5.9199975200131512E-4</v>
      </c>
      <c r="BR447" s="545">
        <f t="shared" si="1026"/>
        <v>3.8514632557031088E-2</v>
      </c>
    </row>
    <row r="448" spans="1:70" s="229" customFormat="1">
      <c r="A448" s="504"/>
      <c r="B448" s="522"/>
      <c r="C448" s="522"/>
      <c r="D448" s="141"/>
      <c r="E448" s="594"/>
      <c r="F448" s="708"/>
      <c r="G448" s="522"/>
      <c r="H448" s="522"/>
      <c r="I448" s="86"/>
      <c r="J448" s="87"/>
      <c r="K448" s="595"/>
      <c r="L448" s="596"/>
      <c r="M448" s="851"/>
      <c r="N448" s="851"/>
      <c r="O448" s="666"/>
      <c r="P448" s="672" t="s">
        <v>537</v>
      </c>
      <c r="V448" s="526"/>
      <c r="W448" s="229">
        <v>185.5</v>
      </c>
      <c r="X448" s="229">
        <v>23.200000000000003</v>
      </c>
      <c r="Y448" s="229">
        <v>5.8000000000000007</v>
      </c>
      <c r="Z448" s="229">
        <v>6.2</v>
      </c>
      <c r="AA448" s="229">
        <v>1.9000000000000001</v>
      </c>
      <c r="AB448" s="526">
        <v>2</v>
      </c>
      <c r="AC448" s="229">
        <v>138</v>
      </c>
      <c r="AD448" s="229">
        <v>180</v>
      </c>
      <c r="AE448" s="229">
        <v>90</v>
      </c>
      <c r="AF448" s="229">
        <v>17</v>
      </c>
      <c r="AG448" s="229">
        <v>80</v>
      </c>
      <c r="AH448" s="229">
        <v>1</v>
      </c>
      <c r="AI448" s="229">
        <v>0.70000000000000007</v>
      </c>
      <c r="AJ448" s="526">
        <v>0.125</v>
      </c>
      <c r="AK448" s="229">
        <v>80</v>
      </c>
      <c r="AL448" s="229">
        <v>0.1</v>
      </c>
      <c r="AM448" s="229">
        <v>0.11000000000000001</v>
      </c>
      <c r="AN448" s="229">
        <v>1.2000000000000002</v>
      </c>
      <c r="AO448" s="229">
        <v>6.9999999999999993E-2</v>
      </c>
      <c r="AP448" s="229">
        <v>30</v>
      </c>
      <c r="AQ448" s="229">
        <v>0.18000000000000002</v>
      </c>
      <c r="AR448" s="229">
        <v>8</v>
      </c>
      <c r="AS448" s="526">
        <v>0.5</v>
      </c>
      <c r="AV448" s="229">
        <v>185.5</v>
      </c>
      <c r="AW448" s="229">
        <v>23.200000000000003</v>
      </c>
      <c r="AX448" s="229">
        <v>5.8000000000000007</v>
      </c>
      <c r="AY448" s="229">
        <v>6.2</v>
      </c>
      <c r="AZ448" s="229">
        <v>1.9000000000000001</v>
      </c>
      <c r="BA448" s="526">
        <v>2</v>
      </c>
      <c r="BB448" s="229">
        <v>138</v>
      </c>
      <c r="BC448" s="229">
        <v>180</v>
      </c>
      <c r="BD448" s="229">
        <v>90</v>
      </c>
      <c r="BE448" s="229">
        <v>17</v>
      </c>
      <c r="BF448" s="229">
        <v>80</v>
      </c>
      <c r="BG448" s="229">
        <v>1</v>
      </c>
      <c r="BH448" s="229">
        <v>0.70000000000000007</v>
      </c>
      <c r="BI448" s="526">
        <v>0.125</v>
      </c>
      <c r="BJ448" s="229">
        <v>80</v>
      </c>
      <c r="BK448" s="229">
        <v>0.1</v>
      </c>
      <c r="BL448" s="229">
        <v>0.11000000000000001</v>
      </c>
      <c r="BM448" s="229">
        <v>1.2000000000000002</v>
      </c>
      <c r="BN448" s="229">
        <v>6.9999999999999993E-2</v>
      </c>
      <c r="BO448" s="229">
        <v>30</v>
      </c>
      <c r="BP448" s="229">
        <v>0.18000000000000002</v>
      </c>
      <c r="BQ448" s="229">
        <v>8</v>
      </c>
      <c r="BR448" s="526">
        <v>0.5</v>
      </c>
    </row>
    <row r="449" spans="1:70" s="229" customFormat="1">
      <c r="A449" s="504"/>
      <c r="B449" s="522"/>
      <c r="C449" s="522"/>
      <c r="D449" s="141"/>
      <c r="E449" s="594"/>
      <c r="F449" s="708"/>
      <c r="G449" s="522"/>
      <c r="H449" s="522"/>
      <c r="I449" s="86"/>
      <c r="J449" s="87"/>
      <c r="K449" s="595"/>
      <c r="L449" s="596"/>
      <c r="M449" s="851"/>
      <c r="N449" s="851"/>
      <c r="O449" s="666"/>
      <c r="P449" s="672" t="s">
        <v>407</v>
      </c>
      <c r="V449" s="526"/>
      <c r="W449" s="514">
        <f t="shared" ref="W449:AS449" si="1027">100*W447/W448</f>
        <v>270.72735923860216</v>
      </c>
      <c r="X449" s="514">
        <f t="shared" si="1027"/>
        <v>210.98611936403208</v>
      </c>
      <c r="Y449" s="514">
        <f t="shared" si="1027"/>
        <v>100.67850649425409</v>
      </c>
      <c r="Z449" s="514">
        <f t="shared" si="1027"/>
        <v>517.60180168766499</v>
      </c>
      <c r="AA449" s="514">
        <f t="shared" si="1027"/>
        <v>61.83977818672556</v>
      </c>
      <c r="AB449" s="506">
        <f t="shared" si="1027"/>
        <v>128.00554978485567</v>
      </c>
      <c r="AC449" s="514">
        <f t="shared" si="1027"/>
        <v>8.0996995962974214</v>
      </c>
      <c r="AD449" s="514">
        <f t="shared" si="1027"/>
        <v>57.349671111111114</v>
      </c>
      <c r="AE449" s="514">
        <f t="shared" si="1027"/>
        <v>34.279342222222226</v>
      </c>
      <c r="AF449" s="514">
        <f t="shared" si="1027"/>
        <v>83.436405210475797</v>
      </c>
      <c r="AG449" s="514">
        <f t="shared" si="1027"/>
        <v>86.511759999999981</v>
      </c>
      <c r="AH449" s="514">
        <f t="shared" si="1027"/>
        <v>50.998963646477144</v>
      </c>
      <c r="AI449" s="514">
        <f t="shared" si="1027"/>
        <v>61.615203980261853</v>
      </c>
      <c r="AJ449" s="506">
        <f t="shared" si="1027"/>
        <v>191.24007803613338</v>
      </c>
      <c r="AK449" s="514">
        <f t="shared" si="1027"/>
        <v>10.776759999999996</v>
      </c>
      <c r="AL449" s="514">
        <f t="shared" si="1027"/>
        <v>77.517279748640874</v>
      </c>
      <c r="AM449" s="514">
        <f t="shared" si="1027"/>
        <v>46.235015820856795</v>
      </c>
      <c r="AN449" s="514">
        <f t="shared" si="1027"/>
        <v>63.355618577957863</v>
      </c>
      <c r="AO449" s="514">
        <f t="shared" si="1027"/>
        <v>59.182180521099774</v>
      </c>
      <c r="AP449" s="514">
        <f t="shared" si="1027"/>
        <v>29.969487428127426</v>
      </c>
      <c r="AQ449" s="514">
        <f t="shared" si="1027"/>
        <v>86.532177096366027</v>
      </c>
      <c r="AR449" s="514">
        <f t="shared" si="1027"/>
        <v>-7.4000000000000012E-3</v>
      </c>
      <c r="AS449" s="506">
        <f t="shared" si="1027"/>
        <v>8.6684914156079973</v>
      </c>
      <c r="AV449" s="505">
        <f t="shared" ref="AV449:BR449" si="1028">100*AV447/AV448</f>
        <v>208.42349228482848</v>
      </c>
      <c r="AW449" s="505">
        <f t="shared" si="1028"/>
        <v>175.01174945975336</v>
      </c>
      <c r="AX449" s="505">
        <f t="shared" si="1028"/>
        <v>81.672198082836076</v>
      </c>
      <c r="AY449" s="505">
        <f t="shared" si="1028"/>
        <v>375.75813002249413</v>
      </c>
      <c r="AZ449" s="505">
        <f t="shared" si="1028"/>
        <v>48.413774762668304</v>
      </c>
      <c r="BA449" s="505">
        <f t="shared" si="1028"/>
        <v>94.842209933820925</v>
      </c>
      <c r="BB449" s="505">
        <f t="shared" si="1028"/>
        <v>6.8091560732282872</v>
      </c>
      <c r="BC449" s="505">
        <f t="shared" si="1028"/>
        <v>45.727050237061199</v>
      </c>
      <c r="BD449" s="505">
        <f t="shared" si="1028"/>
        <v>27.861574273366941</v>
      </c>
      <c r="BE449" s="505">
        <f t="shared" si="1028"/>
        <v>65.910860383629696</v>
      </c>
      <c r="BF449" s="505">
        <f t="shared" si="1028"/>
        <v>69.209466751045113</v>
      </c>
      <c r="BG449" s="505">
        <f t="shared" si="1028"/>
        <v>40.382752026534938</v>
      </c>
      <c r="BH449" s="505">
        <f t="shared" si="1028"/>
        <v>49.190862151879699</v>
      </c>
      <c r="BI449" s="505">
        <f t="shared" si="1028"/>
        <v>149.96058997061513</v>
      </c>
      <c r="BJ449" s="505">
        <f t="shared" si="1028"/>
        <v>9.2859206331559356</v>
      </c>
      <c r="BK449" s="505">
        <f t="shared" si="1028"/>
        <v>61.027138319930906</v>
      </c>
      <c r="BL449" s="505">
        <f t="shared" si="1028"/>
        <v>38.035131049436458</v>
      </c>
      <c r="BM449" s="505">
        <f t="shared" si="1028"/>
        <v>50.13541474473741</v>
      </c>
      <c r="BN449" s="505">
        <f t="shared" si="1028"/>
        <v>46.996551153550243</v>
      </c>
      <c r="BO449" s="505">
        <f t="shared" si="1028"/>
        <v>23.761711860102732</v>
      </c>
      <c r="BP449" s="505">
        <f t="shared" si="1028"/>
        <v>72.215425864159002</v>
      </c>
      <c r="BQ449" s="505">
        <f t="shared" si="1028"/>
        <v>-7.3999969000164388E-3</v>
      </c>
      <c r="BR449" s="505">
        <f t="shared" si="1028"/>
        <v>7.7029265114062175</v>
      </c>
    </row>
    <row r="450" spans="1:70" s="229" customFormat="1">
      <c r="A450" s="504"/>
      <c r="B450" s="522"/>
      <c r="C450" s="522"/>
      <c r="D450" s="141"/>
      <c r="E450" s="594"/>
      <c r="F450" s="708"/>
      <c r="G450" s="522"/>
      <c r="H450" s="522"/>
      <c r="I450" s="86"/>
      <c r="J450" s="87"/>
      <c r="K450" s="595"/>
      <c r="L450" s="596"/>
      <c r="M450" s="851"/>
      <c r="N450" s="851"/>
      <c r="O450" s="666"/>
      <c r="P450" s="672" t="s">
        <v>548</v>
      </c>
      <c r="V450" s="526"/>
      <c r="W450" s="583">
        <f>AV447</f>
        <v>386.62557818835683</v>
      </c>
      <c r="X450" s="583">
        <f t="shared" ref="X450:AH450" si="1029">AW447</f>
        <v>40.602725874662781</v>
      </c>
      <c r="Y450" s="583">
        <f t="shared" si="1029"/>
        <v>4.7369874888044929</v>
      </c>
      <c r="Z450" s="583">
        <f t="shared" si="1029"/>
        <v>23.297004061394638</v>
      </c>
      <c r="AA450" s="583">
        <f t="shared" si="1029"/>
        <v>0.91986172049069781</v>
      </c>
      <c r="AB450" s="549">
        <f t="shared" si="1029"/>
        <v>1.8968441986764184</v>
      </c>
      <c r="AC450" s="583">
        <f t="shared" si="1029"/>
        <v>9.3966353810550363</v>
      </c>
      <c r="AD450" s="583">
        <f t="shared" si="1029"/>
        <v>82.308690426710157</v>
      </c>
      <c r="AE450" s="583">
        <f t="shared" si="1029"/>
        <v>25.075416846030247</v>
      </c>
      <c r="AF450" s="583">
        <f t="shared" si="1029"/>
        <v>11.204846265217046</v>
      </c>
      <c r="AG450" s="583">
        <f t="shared" si="1029"/>
        <v>55.367573400836086</v>
      </c>
      <c r="AH450" s="583">
        <f t="shared" si="1029"/>
        <v>0.4038275202653494</v>
      </c>
      <c r="AI450" s="583">
        <f>BH447</f>
        <v>0.34433603506315791</v>
      </c>
      <c r="AJ450" s="549">
        <f t="shared" ref="AJ450:AM450" si="1030">BI447</f>
        <v>0.1874507374632689</v>
      </c>
      <c r="AK450" s="583">
        <f t="shared" si="1030"/>
        <v>7.4287365065247482</v>
      </c>
      <c r="AL450" s="583">
        <f t="shared" si="1030"/>
        <v>6.102713831993091E-2</v>
      </c>
      <c r="AM450" s="583">
        <f t="shared" si="1030"/>
        <v>4.1838644154380107E-2</v>
      </c>
      <c r="AN450" s="583">
        <f>BM447</f>
        <v>0.60162497693684902</v>
      </c>
      <c r="AO450" s="583">
        <f t="shared" ref="AO450:AR450" si="1031">BN447</f>
        <v>3.2897585807485169E-2</v>
      </c>
      <c r="AP450" s="583">
        <f t="shared" si="1031"/>
        <v>7.1285135580308197</v>
      </c>
      <c r="AQ450" s="583">
        <f t="shared" si="1031"/>
        <v>0.12998776655548622</v>
      </c>
      <c r="AR450" s="583">
        <f t="shared" si="1031"/>
        <v>-5.9199975200131512E-4</v>
      </c>
      <c r="AS450" s="549">
        <f>BR447</f>
        <v>3.8514632557031088E-2</v>
      </c>
    </row>
    <row r="451" spans="1:70" s="229" customFormat="1">
      <c r="A451" s="504"/>
      <c r="B451" s="522"/>
      <c r="C451" s="522"/>
      <c r="D451" s="141"/>
      <c r="E451" s="594"/>
      <c r="F451" s="708"/>
      <c r="G451" s="522"/>
      <c r="H451" s="522"/>
      <c r="I451" s="86"/>
      <c r="J451" s="87"/>
      <c r="K451" s="595"/>
      <c r="L451" s="596"/>
      <c r="M451" s="851"/>
      <c r="N451" s="851"/>
      <c r="O451" s="666"/>
      <c r="P451" s="672" t="s">
        <v>543</v>
      </c>
      <c r="V451" s="526"/>
      <c r="W451" s="514">
        <f t="shared" ref="W451:AS451" si="1032">AV449</f>
        <v>208.42349228482848</v>
      </c>
      <c r="X451" s="514">
        <f t="shared" si="1032"/>
        <v>175.01174945975336</v>
      </c>
      <c r="Y451" s="514">
        <f t="shared" si="1032"/>
        <v>81.672198082836076</v>
      </c>
      <c r="Z451" s="514">
        <f t="shared" si="1032"/>
        <v>375.75813002249413</v>
      </c>
      <c r="AA451" s="514">
        <f t="shared" si="1032"/>
        <v>48.413774762668304</v>
      </c>
      <c r="AB451" s="506">
        <f t="shared" si="1032"/>
        <v>94.842209933820925</v>
      </c>
      <c r="AC451" s="514">
        <f t="shared" si="1032"/>
        <v>6.8091560732282872</v>
      </c>
      <c r="AD451" s="514">
        <f t="shared" si="1032"/>
        <v>45.727050237061199</v>
      </c>
      <c r="AE451" s="514">
        <f t="shared" si="1032"/>
        <v>27.861574273366941</v>
      </c>
      <c r="AF451" s="514">
        <f t="shared" si="1032"/>
        <v>65.910860383629696</v>
      </c>
      <c r="AG451" s="514">
        <f t="shared" si="1032"/>
        <v>69.209466751045113</v>
      </c>
      <c r="AH451" s="514">
        <f t="shared" si="1032"/>
        <v>40.382752026534938</v>
      </c>
      <c r="AI451" s="514">
        <f t="shared" si="1032"/>
        <v>49.190862151879699</v>
      </c>
      <c r="AJ451" s="506">
        <f t="shared" si="1032"/>
        <v>149.96058997061513</v>
      </c>
      <c r="AK451" s="514">
        <f t="shared" si="1032"/>
        <v>9.2859206331559356</v>
      </c>
      <c r="AL451" s="514">
        <f t="shared" si="1032"/>
        <v>61.027138319930906</v>
      </c>
      <c r="AM451" s="514">
        <f t="shared" si="1032"/>
        <v>38.035131049436458</v>
      </c>
      <c r="AN451" s="514">
        <f t="shared" si="1032"/>
        <v>50.13541474473741</v>
      </c>
      <c r="AO451" s="514">
        <f t="shared" si="1032"/>
        <v>46.996551153550243</v>
      </c>
      <c r="AP451" s="514">
        <f t="shared" si="1032"/>
        <v>23.761711860102732</v>
      </c>
      <c r="AQ451" s="514">
        <f t="shared" si="1032"/>
        <v>72.215425864159002</v>
      </c>
      <c r="AR451" s="514">
        <f t="shared" si="1032"/>
        <v>-7.3999969000164388E-3</v>
      </c>
      <c r="AS451" s="506">
        <f t="shared" si="1032"/>
        <v>7.7029265114062175</v>
      </c>
      <c r="AV451" s="514"/>
      <c r="AW451" s="514"/>
      <c r="AX451" s="514"/>
      <c r="AY451" s="514"/>
      <c r="AZ451" s="514"/>
      <c r="BA451" s="505"/>
      <c r="BB451" s="514"/>
      <c r="BC451" s="514"/>
      <c r="BD451" s="514"/>
      <c r="BE451" s="514"/>
      <c r="BF451" s="514"/>
      <c r="BG451" s="514"/>
      <c r="BH451" s="514"/>
      <c r="BI451" s="505"/>
      <c r="BJ451" s="514"/>
      <c r="BK451" s="514"/>
      <c r="BL451" s="514"/>
      <c r="BM451" s="514"/>
      <c r="BN451" s="514"/>
      <c r="BO451" s="514"/>
      <c r="BP451" s="514"/>
      <c r="BQ451" s="514"/>
      <c r="BR451" s="505"/>
    </row>
    <row r="452" spans="1:70" s="229" customFormat="1" ht="15" thickBot="1">
      <c r="A452" s="504"/>
      <c r="B452" s="504"/>
      <c r="C452" s="504"/>
      <c r="D452" s="689"/>
      <c r="E452" s="662"/>
      <c r="F452" s="715"/>
      <c r="G452" s="663" t="s">
        <v>795</v>
      </c>
      <c r="H452" s="673"/>
      <c r="I452" s="105"/>
      <c r="J452" s="105"/>
      <c r="K452" s="504"/>
      <c r="L452" s="665"/>
      <c r="M452" s="852"/>
      <c r="N452" s="852"/>
      <c r="O452" s="666"/>
      <c r="P452" s="504"/>
      <c r="Q452" s="504"/>
      <c r="R452" s="504"/>
      <c r="S452" s="504"/>
      <c r="T452" s="504"/>
      <c r="U452" s="667"/>
      <c r="V452" s="668"/>
      <c r="W452" s="504"/>
      <c r="X452" s="504"/>
      <c r="Y452" s="504"/>
      <c r="Z452" s="504"/>
      <c r="AA452" s="669">
        <f>COUNTIF(AA453:AA477,"&lt;0")</f>
        <v>2</v>
      </c>
      <c r="AB452" s="669">
        <f t="shared" ref="AB452:AS452" si="1033">COUNTIF(AB453:AB477,"&lt;0")</f>
        <v>1</v>
      </c>
      <c r="AC452" s="669">
        <f t="shared" si="1033"/>
        <v>0</v>
      </c>
      <c r="AD452" s="669">
        <f t="shared" si="1033"/>
        <v>0</v>
      </c>
      <c r="AE452" s="669">
        <f t="shared" si="1033"/>
        <v>0</v>
      </c>
      <c r="AF452" s="669">
        <f t="shared" si="1033"/>
        <v>1</v>
      </c>
      <c r="AG452" s="669">
        <f t="shared" si="1033"/>
        <v>1</v>
      </c>
      <c r="AH452" s="669">
        <f t="shared" si="1033"/>
        <v>0</v>
      </c>
      <c r="AI452" s="669">
        <f t="shared" si="1033"/>
        <v>1</v>
      </c>
      <c r="AJ452" s="669">
        <f t="shared" si="1033"/>
        <v>1</v>
      </c>
      <c r="AK452" s="669">
        <f t="shared" si="1033"/>
        <v>1</v>
      </c>
      <c r="AL452" s="669">
        <f t="shared" si="1033"/>
        <v>1</v>
      </c>
      <c r="AM452" s="669">
        <f t="shared" si="1033"/>
        <v>1</v>
      </c>
      <c r="AN452" s="669">
        <f t="shared" si="1033"/>
        <v>1</v>
      </c>
      <c r="AO452" s="669">
        <f t="shared" si="1033"/>
        <v>1</v>
      </c>
      <c r="AP452" s="669">
        <f t="shared" si="1033"/>
        <v>1</v>
      </c>
      <c r="AQ452" s="669">
        <f t="shared" si="1033"/>
        <v>3</v>
      </c>
      <c r="AR452" s="669">
        <f t="shared" si="1033"/>
        <v>0</v>
      </c>
      <c r="AS452" s="669">
        <f t="shared" si="1033"/>
        <v>3</v>
      </c>
      <c r="AT452" s="1300"/>
      <c r="AU452" s="1300"/>
    </row>
    <row r="453" spans="1:70" s="229" customFormat="1" ht="15" customHeight="1" thickBot="1">
      <c r="A453" s="504"/>
      <c r="B453" s="575" t="s">
        <v>3068</v>
      </c>
      <c r="C453" s="229" t="s">
        <v>69</v>
      </c>
      <c r="D453" s="85"/>
      <c r="E453" s="577">
        <v>100</v>
      </c>
      <c r="F453" s="707" t="s">
        <v>2996</v>
      </c>
      <c r="G453" s="406" t="s">
        <v>3140</v>
      </c>
      <c r="H453" s="578" t="s">
        <v>3128</v>
      </c>
      <c r="I453" s="85">
        <v>12</v>
      </c>
      <c r="J453" s="682">
        <v>1</v>
      </c>
      <c r="K453" s="579">
        <f t="shared" ref="K453:K477" si="1034">IF(I453&gt;0,1.1*Q453*E453/1000,"")</f>
        <v>1.32</v>
      </c>
      <c r="L453" s="580">
        <f>IF(H453="Select ingredient:","",IF(G453="","",_xlfn.IFNA(VLOOKUP($H453,Ingredient_prices!$E:$U,16,FALSE),0)))</f>
        <v>88</v>
      </c>
      <c r="M453" s="850"/>
      <c r="N453" s="1228">
        <f>$W479</f>
        <v>842.57580153846152</v>
      </c>
      <c r="O453" s="666"/>
      <c r="P453" s="670"/>
      <c r="Q453" s="583">
        <f t="shared" ref="Q453:Q477" si="1035">I453/J453</f>
        <v>12</v>
      </c>
      <c r="R453" s="583">
        <f>VLOOKUP($H453,'CO2_emission+%_food_waste'!$A:$K,6,FALSE)*$Q453/100</f>
        <v>1.38</v>
      </c>
      <c r="S453" s="583">
        <f t="shared" ref="S453:S477" si="1036">Q453-R453</f>
        <v>10.620000000000001</v>
      </c>
      <c r="T453" s="583">
        <f>IF(H453="Select ingredient:","",IF(G453="Select food category:","",_xlfn.IFNA(VLOOKUP($H453,Ingredient_prices!$E:$U,16,FALSE)*$Q453/1000,"not bought")))</f>
        <v>1.056</v>
      </c>
      <c r="U453" s="583">
        <f>IF(G453="Select food category:","",_xlfn.IFNA(VLOOKUP($H453,Ingredient_prices!$E:$U,16,FALSE)*$R453/1000,"not bought"))</f>
        <v>0.12143999999999999</v>
      </c>
      <c r="V453" s="549">
        <f>VLOOKUP($H453,'CO2_emission+%_food_waste'!$A:$K,4,FALSE)*$Q453</f>
        <v>19.200000000000003</v>
      </c>
      <c r="W453" s="583">
        <f>VLOOKUP($H453,Nutrition_tables!$A:$N,10,FALSE)*$Q453/100</f>
        <v>6.2279999999999998</v>
      </c>
      <c r="X453" s="583">
        <f>VLOOKUP($H453,Nutrition_tables!$A:$N,11,FALSE)*$Q453/100</f>
        <v>0.84</v>
      </c>
      <c r="Y453" s="583">
        <f>VLOOKUP($H453,Nutrition_tables!$A:$N,12,FALSE)*$Q453/100</f>
        <v>0.25679999999999997</v>
      </c>
      <c r="Z453" s="583">
        <f>VLOOKUP($H453,Nutrition_tables!$A:$N,14,FALSE)*$Q453/100</f>
        <v>3.3600000000000005E-2</v>
      </c>
      <c r="AA453" s="583">
        <f>VLOOKUP($H453,Nutrition_tables!$A:$AF,13,FALSE)*$Q453/100</f>
        <v>0.3</v>
      </c>
      <c r="AB453" s="549">
        <f>VLOOKUP($H453,Nutrition_tables!$A:$AF,15,FALSE)*$Q453/100</f>
        <v>1.2000000000000002E-2</v>
      </c>
      <c r="AC453" s="583">
        <f>VLOOKUP($H453,Nutrition_tables!$A:$AF,16,FALSE)*$Q453/100</f>
        <v>5.64</v>
      </c>
      <c r="AD453" s="583">
        <f>VLOOKUP($H453,Nutrition_tables!$A:$AF,17,FALSE)*$Q453/100</f>
        <v>25.44</v>
      </c>
      <c r="AE453" s="583">
        <f>VLOOKUP($H453,Nutrition_tables!$A:$AF,18,FALSE)*$Q453/100</f>
        <v>3</v>
      </c>
      <c r="AF453" s="583">
        <f>VLOOKUP($H453,Nutrition_tables!$A:$AF,19,FALSE)*$Q453/100</f>
        <v>2.88</v>
      </c>
      <c r="AG453" s="583">
        <f>VLOOKUP($H453,Nutrition_tables!$A:$AF,20,FALSE)*$Q453/100</f>
        <v>7.08</v>
      </c>
      <c r="AH453" s="583">
        <f>VLOOKUP($H453,Nutrition_tables!$A:$AF,21,FALSE)*$Q453/100</f>
        <v>0.11399999999999999</v>
      </c>
      <c r="AI453" s="583">
        <f>VLOOKUP($H453,Nutrition_tables!$A:$AF,22,FALSE)*$Q453/100</f>
        <v>5.4000000000000006E-2</v>
      </c>
      <c r="AJ453" s="549">
        <f>VLOOKUP($H453,Nutrition_tables!$A:$AF,23,FALSE)*$Q453/100</f>
        <v>1.1160000000000002E-2</v>
      </c>
      <c r="AK453" s="583">
        <f>VLOOKUP($H453,Nutrition_tables!$A:$AF,24,FALSE)*$Q453/100</f>
        <v>30.48</v>
      </c>
      <c r="AL453" s="583">
        <f>VLOOKUP($H453,Nutrition_tables!$A:$AF,25,FALSE)*$Q453/100</f>
        <v>1.464E-2</v>
      </c>
      <c r="AM453" s="583">
        <f>VLOOKUP($H453,Nutrition_tables!$A:$AF,26,FALSE)*$Q453/100</f>
        <v>1.0200000000000001E-2</v>
      </c>
      <c r="AN453" s="583">
        <f>VLOOKUP($H453,Nutrition_tables!$A:$AF,27,FALSE)*$Q453/100</f>
        <v>0.21840000000000001</v>
      </c>
      <c r="AO453" s="583">
        <f>VLOOKUP($H453,Nutrition_tables!$A:$AF,28,FALSE)*$Q453/100</f>
        <v>1.1520000000000001E-2</v>
      </c>
      <c r="AP453" s="583">
        <f>VLOOKUP($H453,Nutrition_tables!$A:$AF,29,FALSE)*$Q453/100</f>
        <v>3.48</v>
      </c>
      <c r="AQ453" s="583">
        <f>VLOOKUP($H453,Nutrition_tables!$A:$AF,30,FALSE)*$Q453/100</f>
        <v>-4.8000000000000001E-5</v>
      </c>
      <c r="AR453" s="583">
        <f>VLOOKUP($H453,Nutrition_tables!$A:$AF,31,FALSE)*$Q453/100</f>
        <v>1.2480000000000002</v>
      </c>
      <c r="AS453" s="549">
        <f>VLOOKUP($H453,Nutrition_tables!$A:$AF,32,FALSE)*$Q453/100</f>
        <v>-4.8000000000000001E-5</v>
      </c>
      <c r="AT453" s="583">
        <f>IF(H453="Select ingredient:","",IF(G453="Select food category:","",IFERROR(VLOOKUP($H453,Ingredient_prices!$E:$W,17,FALSE)*$Q453/1000,"not bought")))</f>
        <v>1.056</v>
      </c>
      <c r="AU453" s="583">
        <f>IF(H453="Select ingredient:","",IF(G453="Select food category:","",IFERROR(VLOOKUP($H453,Ingredient_prices!$E:$W,18,FALSE)*$Q453/1000,"not bought")))</f>
        <v>1.056</v>
      </c>
      <c r="AV453" s="583">
        <f t="shared" ref="AV453:AV477" si="1037">W453*($Q453-$R453)/($Q453+0.00001)</f>
        <v>5.5117754068538281</v>
      </c>
      <c r="AW453" s="583">
        <f t="shared" ref="AW453:AW477" si="1038">X453*($Q453-$R453)/($Q453+0.00001)</f>
        <v>0.74339938050051624</v>
      </c>
      <c r="AX453" s="583">
        <f t="shared" ref="AX453:AX477" si="1039">Y453*($Q453-$R453)/($Q453+0.00001)</f>
        <v>0.22726781061015783</v>
      </c>
      <c r="AY453" s="583">
        <f t="shared" ref="AY453:AY477" si="1040">Z453*($Q453-$R453)/($Q453+0.00001)</f>
        <v>2.9735975220020659E-2</v>
      </c>
      <c r="AZ453" s="583">
        <f t="shared" ref="AZ453:AZ477" si="1041">AA453*($Q453-$R453)/($Q453+0.00001)</f>
        <v>0.26549977875018443</v>
      </c>
      <c r="BA453" s="583">
        <f t="shared" ref="BA453:BA477" si="1042">AB453*($Q453-$R453)/($Q453+0.00001)</f>
        <v>1.0619991150007377E-2</v>
      </c>
      <c r="BB453" s="583">
        <f t="shared" ref="BB453:BB477" si="1043">AC453*($Q453-$R453)/($Q453+0.00001)</f>
        <v>4.9913958405034666</v>
      </c>
      <c r="BC453" s="583">
        <f t="shared" ref="BC453:BC477" si="1044">AD453*($Q453-$R453)/($Q453+0.00001)</f>
        <v>22.514381238015641</v>
      </c>
      <c r="BD453" s="583">
        <f t="shared" ref="BD453:BD467" si="1045">AE453*($Q453-$R453)/($Q453+0.00001)</f>
        <v>2.654997787501844</v>
      </c>
      <c r="BE453" s="583">
        <f t="shared" ref="BE453:BE467" si="1046">AF453*($Q453-$R453)/($Q453+0.00001)</f>
        <v>2.5487978760017702</v>
      </c>
      <c r="BF453" s="583">
        <f t="shared" ref="BF453:BF467" si="1047">AG453*($Q453-$R453)/($Q453+0.00001)</f>
        <v>6.2657947785043522</v>
      </c>
      <c r="BG453" s="583">
        <f t="shared" ref="BG453:BG467" si="1048">AH453*($Q453-$R453)/($Q453+0.00001)</f>
        <v>0.10088991592507006</v>
      </c>
      <c r="BH453" s="583">
        <f t="shared" ref="BH453:BH467" si="1049">AI453*($Q453-$R453)/($Q453+0.00001)</f>
        <v>4.7789960175033196E-2</v>
      </c>
      <c r="BI453" s="583">
        <f t="shared" ref="BI453:BI467" si="1050">AJ453*($Q453-$R453)/($Q453+0.00001)</f>
        <v>9.8765917695068615E-3</v>
      </c>
      <c r="BJ453" s="583">
        <f t="shared" ref="BJ453:BJ467" si="1051">AK453*($Q453-$R453)/($Q453+0.00001)</f>
        <v>26.974777521018733</v>
      </c>
      <c r="BK453" s="583">
        <f t="shared" ref="BK453:BK467" si="1052">AL453*($Q453-$R453)/($Q453+0.00001)</f>
        <v>1.2956389203009001E-2</v>
      </c>
      <c r="BL453" s="583">
        <f t="shared" ref="BL453:BL467" si="1053">AM453*($Q453-$R453)/($Q453+0.00001)</f>
        <v>9.0269924775062699E-3</v>
      </c>
      <c r="BM453" s="583">
        <f t="shared" ref="BM453:BM467" si="1054">AN453*($Q453-$R453)/($Q453+0.00001)</f>
        <v>0.19328383893013423</v>
      </c>
      <c r="BN453" s="583">
        <f t="shared" ref="BN453:BN467" si="1055">AO453*($Q453-$R453)/($Q453+0.00001)</f>
        <v>1.0195191504007082E-2</v>
      </c>
      <c r="BO453" s="583">
        <f t="shared" ref="BO453:BO467" si="1056">AP453*($Q453-$R453)/($Q453+0.00001)</f>
        <v>3.0797974335021392</v>
      </c>
      <c r="BP453" s="583">
        <f t="shared" ref="BP453:BP467" si="1057">AQ453*($Q453-$R453)/($Q453+0.00001)</f>
        <v>-4.2479964600029508E-5</v>
      </c>
      <c r="BQ453" s="583">
        <f t="shared" ref="BQ453:BQ467" si="1058">AR453*($Q453-$R453)/($Q453+0.00001)</f>
        <v>1.1044790796007673</v>
      </c>
      <c r="BR453" s="583">
        <f t="shared" ref="BR453:BR467" si="1059">AS453*($Q453-$R453)/($Q453+0.00001)</f>
        <v>-4.2479964600029508E-5</v>
      </c>
    </row>
    <row r="454" spans="1:70" s="229" customFormat="1" ht="15" customHeight="1">
      <c r="A454" s="504"/>
      <c r="D454" s="749"/>
      <c r="E454" s="576">
        <f>IF(E$453&gt;0,E$453,"")</f>
        <v>100</v>
      </c>
      <c r="F454" s="406"/>
      <c r="G454" s="406" t="s">
        <v>3140</v>
      </c>
      <c r="H454" s="578" t="s">
        <v>3100</v>
      </c>
      <c r="I454" s="85">
        <v>10</v>
      </c>
      <c r="J454" s="682">
        <v>1</v>
      </c>
      <c r="K454" s="579">
        <f t="shared" si="1034"/>
        <v>1.1000000000000001</v>
      </c>
      <c r="L454" s="580">
        <f>IF(H454="Select ingredient:","",IF(G454="","",_xlfn.IFNA(VLOOKUP($H454,Ingredient_prices!$E:$U,16,FALSE),0)))</f>
        <v>120</v>
      </c>
      <c r="M454" s="850"/>
      <c r="N454" s="850"/>
      <c r="O454" s="666"/>
      <c r="P454" s="670"/>
      <c r="Q454" s="583">
        <f t="shared" si="1035"/>
        <v>10</v>
      </c>
      <c r="R454" s="583">
        <f>VLOOKUP($H454,'CO2_emission+%_food_waste'!$A:$K,6,FALSE)*$Q454/100</f>
        <v>2.65</v>
      </c>
      <c r="S454" s="583">
        <f t="shared" si="1036"/>
        <v>7.35</v>
      </c>
      <c r="T454" s="583">
        <f>IF(H454="Select ingredient:","",IF(G454="Select food category:","",_xlfn.IFNA(VLOOKUP($H454,Ingredient_prices!$E:$U,16,FALSE)*$Q454/1000,"not bought")))</f>
        <v>1.2</v>
      </c>
      <c r="U454" s="583">
        <f>IF(G454="Select food category:","",_xlfn.IFNA(VLOOKUP($H454,Ingredient_prices!$E:$U,16,FALSE)*$R454/1000,"not bought"))</f>
        <v>0.318</v>
      </c>
      <c r="V454" s="549">
        <f>VLOOKUP($H454,'CO2_emission+%_food_waste'!$A:$K,4,FALSE)*$Q454</f>
        <v>4.8</v>
      </c>
      <c r="W454" s="583">
        <f>VLOOKUP($H454,Nutrition_tables!$A:$N,10,FALSE)*$Q454/100</f>
        <v>2.8</v>
      </c>
      <c r="X454" s="583">
        <f>VLOOKUP($H454,Nutrition_tables!$A:$N,11,FALSE)*$Q454/100</f>
        <v>1</v>
      </c>
      <c r="Y454" s="583">
        <f>VLOOKUP($H454,Nutrition_tables!$A:$N,12,FALSE)*$Q454/100</f>
        <v>0.11766666666666666</v>
      </c>
      <c r="Z454" s="583">
        <f>VLOOKUP($H454,Nutrition_tables!$A:$N,14,FALSE)*$Q454/100</f>
        <v>2.5000000000000001E-2</v>
      </c>
      <c r="AA454" s="583">
        <f>VLOOKUP($H454,Nutrition_tables!$A:$AF,13,FALSE)*$Q454/100</f>
        <v>0.17</v>
      </c>
      <c r="AB454" s="549">
        <f>VLOOKUP($H454,Nutrition_tables!$A:$AF,15,FALSE)*$Q454/100</f>
        <v>9.5000000000000015E-3</v>
      </c>
      <c r="AC454" s="583">
        <f>VLOOKUP($H454,Nutrition_tables!$A:$AF,16,FALSE)*$Q454/100</f>
        <v>0.4</v>
      </c>
      <c r="AD454" s="583">
        <f>VLOOKUP($H454,Nutrition_tables!$A:$AF,17,FALSE)*$Q454/100</f>
        <v>14.6</v>
      </c>
      <c r="AE454" s="583">
        <f>VLOOKUP($H454,Nutrition_tables!$A:$AF,18,FALSE)*$Q454/100</f>
        <v>2.2999999999999998</v>
      </c>
      <c r="AF454" s="583">
        <f>VLOOKUP($H454,Nutrition_tables!$A:$AF,19,FALSE)*$Q454/100</f>
        <v>1</v>
      </c>
      <c r="AG454" s="583">
        <f>VLOOKUP($H454,Nutrition_tables!$A:$AF,20,FALSE)*$Q454/100</f>
        <v>2.9</v>
      </c>
      <c r="AH454" s="583">
        <f>VLOOKUP($H454,Nutrition_tables!$A:$AF,21,FALSE)*$Q454/100</f>
        <v>2.1000000000000001E-2</v>
      </c>
      <c r="AI454" s="583">
        <f>VLOOKUP($H454,Nutrition_tables!$A:$AF,22,FALSE)*$Q454/100</f>
        <v>1.7000000000000001E-2</v>
      </c>
      <c r="AJ454" s="549">
        <f>VLOOKUP($H454,Nutrition_tables!$A:$AF,23,FALSE)*$Q454/100</f>
        <v>4.0000000000000001E-3</v>
      </c>
      <c r="AK454" s="583">
        <f>VLOOKUP($H454,Nutrition_tables!$A:$AF,24,FALSE)*$Q454/100</f>
        <v>0</v>
      </c>
      <c r="AL454" s="583">
        <f>VLOOKUP($H454,Nutrition_tables!$A:$AF,25,FALSE)*$Q454/100</f>
        <v>4.9999999999999992E-3</v>
      </c>
      <c r="AM454" s="583">
        <f>VLOOKUP($H454,Nutrition_tables!$A:$AF,26,FALSE)*$Q454/100</f>
        <v>3.0000000000000001E-3</v>
      </c>
      <c r="AN454" s="583">
        <f>VLOOKUP($H454,Nutrition_tables!$A:$AF,27,FALSE)*$Q454/100</f>
        <v>1.2E-2</v>
      </c>
      <c r="AO454" s="583">
        <f>VLOOKUP($H454,Nutrition_tables!$A:$AF,28,FALSE)*$Q454/100</f>
        <v>7.1999999999999994E-4</v>
      </c>
      <c r="AP454" s="583">
        <f>VLOOKUP($H454,Nutrition_tables!$A:$AF,29,FALSE)*$Q454/100</f>
        <v>3.6</v>
      </c>
      <c r="AQ454" s="583">
        <f>VLOOKUP($H454,Nutrition_tables!$A:$AF,30,FALSE)*$Q454/100</f>
        <v>0</v>
      </c>
      <c r="AR454" s="583">
        <f>VLOOKUP($H454,Nutrition_tables!$A:$AF,31,FALSE)*$Q454/100</f>
        <v>0.74</v>
      </c>
      <c r="AS454" s="549">
        <f>VLOOKUP($H454,Nutrition_tables!$A:$AF,32,FALSE)*$Q454/100</f>
        <v>0</v>
      </c>
      <c r="AT454" s="583">
        <f>IF(H454="Select ingredient:","",IF(G454="Select food category:","",IFERROR(VLOOKUP($H454,Ingredient_prices!$E:$W,17,FALSE)*$Q454/1000,"not bought")))</f>
        <v>0.93500000000000005</v>
      </c>
      <c r="AU454" s="583">
        <f>IF(H454="Select ingredient:","",IF(G454="Select food category:","",IFERROR(VLOOKUP($H454,Ingredient_prices!$E:$W,18,FALSE)*$Q454/1000,"not bought")))</f>
        <v>1.2</v>
      </c>
      <c r="AV454" s="583">
        <f t="shared" si="1037"/>
        <v>2.057997942002058</v>
      </c>
      <c r="AW454" s="583">
        <f t="shared" si="1038"/>
        <v>0.73499926500073498</v>
      </c>
      <c r="AX454" s="583">
        <f t="shared" si="1039"/>
        <v>8.6484913515086484E-2</v>
      </c>
      <c r="AY454" s="583">
        <f t="shared" si="1040"/>
        <v>1.8374981625018376E-2</v>
      </c>
      <c r="AZ454" s="583">
        <f t="shared" si="1041"/>
        <v>0.12494987505012496</v>
      </c>
      <c r="BA454" s="583">
        <f t="shared" si="1042"/>
        <v>6.9824930175069839E-3</v>
      </c>
      <c r="BB454" s="583">
        <f t="shared" si="1043"/>
        <v>0.29399970600029401</v>
      </c>
      <c r="BC454" s="583">
        <f t="shared" si="1044"/>
        <v>10.730989269010729</v>
      </c>
      <c r="BD454" s="583">
        <f t="shared" si="1045"/>
        <v>1.6904983095016903</v>
      </c>
      <c r="BE454" s="583">
        <f t="shared" si="1046"/>
        <v>0.73499926500073498</v>
      </c>
      <c r="BF454" s="583">
        <f t="shared" si="1047"/>
        <v>2.1314978685021315</v>
      </c>
      <c r="BG454" s="583">
        <f t="shared" si="1048"/>
        <v>1.5434984565015438E-2</v>
      </c>
      <c r="BH454" s="583">
        <f t="shared" si="1049"/>
        <v>1.2494987505012496E-2</v>
      </c>
      <c r="BI454" s="583">
        <f t="shared" si="1050"/>
        <v>2.9399970600029399E-3</v>
      </c>
      <c r="BJ454" s="583">
        <f t="shared" si="1051"/>
        <v>0</v>
      </c>
      <c r="BK454" s="583">
        <f t="shared" si="1052"/>
        <v>3.6749963250036744E-3</v>
      </c>
      <c r="BL454" s="583">
        <f t="shared" si="1053"/>
        <v>2.2049977950022049E-3</v>
      </c>
      <c r="BM454" s="583">
        <f t="shared" si="1054"/>
        <v>8.8199911800088196E-3</v>
      </c>
      <c r="BN454" s="583">
        <f t="shared" si="1055"/>
        <v>5.2919947080052915E-4</v>
      </c>
      <c r="BO454" s="583">
        <f t="shared" si="1056"/>
        <v>2.6459973540026462</v>
      </c>
      <c r="BP454" s="583">
        <f t="shared" si="1057"/>
        <v>0</v>
      </c>
      <c r="BQ454" s="583">
        <f t="shared" si="1058"/>
        <v>0.54389945610054391</v>
      </c>
      <c r="BR454" s="583">
        <f t="shared" si="1059"/>
        <v>0</v>
      </c>
    </row>
    <row r="455" spans="1:70" s="229" customFormat="1" ht="15" customHeight="1">
      <c r="A455" s="504"/>
      <c r="D455" s="406"/>
      <c r="E455" s="576">
        <f t="shared" ref="E455:E477" si="1060">IF(E$453&gt;0,E$453,"")</f>
        <v>100</v>
      </c>
      <c r="F455" s="749"/>
      <c r="G455" s="406" t="s">
        <v>3141</v>
      </c>
      <c r="H455" s="578" t="s">
        <v>3245</v>
      </c>
      <c r="I455" s="85">
        <v>10</v>
      </c>
      <c r="J455" s="682">
        <v>1</v>
      </c>
      <c r="K455" s="579">
        <f t="shared" si="1034"/>
        <v>1.1000000000000001</v>
      </c>
      <c r="L455" s="580">
        <f>IF(H455="Select ingredient:","",IF(G455="","",_xlfn.IFNA(VLOOKUP($H455,Ingredient_prices!$E:$U,16,FALSE),0)))</f>
        <v>43.12</v>
      </c>
      <c r="M455" s="850"/>
      <c r="N455" s="850"/>
      <c r="O455" s="666"/>
      <c r="P455" s="670"/>
      <c r="Q455" s="583">
        <f t="shared" si="1035"/>
        <v>10</v>
      </c>
      <c r="R455" s="583">
        <f>VLOOKUP($H455,'CO2_emission+%_food_waste'!$A:$K,6,FALSE)*$Q455/100</f>
        <v>2.17</v>
      </c>
      <c r="S455" s="583">
        <f t="shared" si="1036"/>
        <v>7.83</v>
      </c>
      <c r="T455" s="583">
        <f>IF(H455="Select ingredient:","",IF(G455="Select food category:","",_xlfn.IFNA(VLOOKUP($H455,Ingredient_prices!$E:$U,16,FALSE)*$Q455/1000,"not bought")))</f>
        <v>0.43119999999999997</v>
      </c>
      <c r="U455" s="583">
        <f>IF(G455="Select food category:","",_xlfn.IFNA(VLOOKUP($H455,Ingredient_prices!$E:$U,16,FALSE)*$R455/1000,"not bought"))</f>
        <v>9.3570399999999998E-2</v>
      </c>
      <c r="V455" s="549">
        <f>VLOOKUP($H455,'CO2_emission+%_food_waste'!$A:$K,4,FALSE)*$Q455</f>
        <v>16.200000000000003</v>
      </c>
      <c r="W455" s="583">
        <f>VLOOKUP($H455,Nutrition_tables!$A:$N,10,FALSE)*$Q455/100</f>
        <v>35.58997668997668</v>
      </c>
      <c r="X455" s="583">
        <f>VLOOKUP($H455,Nutrition_tables!$A:$N,11,FALSE)*$Q455/100</f>
        <v>7.7899766899766902</v>
      </c>
      <c r="Y455" s="583">
        <f>VLOOKUP($H455,Nutrition_tables!$A:$N,12,FALSE)*$Q455/100</f>
        <v>0.95</v>
      </c>
      <c r="Z455" s="583">
        <f>VLOOKUP($H455,Nutrition_tables!$A:$N,14,FALSE)*$Q455/100</f>
        <v>0.11002331002331001</v>
      </c>
      <c r="AA455" s="583">
        <f>VLOOKUP($H455,Nutrition_tables!$A:$AF,13,FALSE)*$Q455/100</f>
        <v>0.25011655011655015</v>
      </c>
      <c r="AB455" s="549">
        <f>VLOOKUP($H455,Nutrition_tables!$A:$AF,15,FALSE)*$Q455/100</f>
        <v>1.6083916083916083E-2</v>
      </c>
      <c r="AC455" s="583">
        <f>VLOOKUP($H455,Nutrition_tables!$A:$AF,16,FALSE)*$Q455/100</f>
        <v>0.28997668997668996</v>
      </c>
      <c r="AD455" s="583">
        <f>VLOOKUP($H455,Nutrition_tables!$A:$AF,17,FALSE)*$Q455/100</f>
        <v>15.8</v>
      </c>
      <c r="AE455" s="583">
        <f>VLOOKUP($H455,Nutrition_tables!$A:$AF,18,FALSE)*$Q455/100</f>
        <v>2.4</v>
      </c>
      <c r="AF455" s="583">
        <f>VLOOKUP($H455,Nutrition_tables!$A:$AF,19,FALSE)*$Q455/100</f>
        <v>2.4799533799533804</v>
      </c>
      <c r="AG455" s="583">
        <f>VLOOKUP($H455,Nutrition_tables!$A:$AF,20,FALSE)*$Q455/100</f>
        <v>10.599999999999998</v>
      </c>
      <c r="AH455" s="583">
        <f>VLOOKUP($H455,Nutrition_tables!$A:$AF,21,FALSE)*$Q455/100</f>
        <v>8.9044289044289043E-2</v>
      </c>
      <c r="AI455" s="583">
        <f>VLOOKUP($H455,Nutrition_tables!$A:$AF,22,FALSE)*$Q455/100</f>
        <v>6.9930069930069921E-2</v>
      </c>
      <c r="AJ455" s="549">
        <f>VLOOKUP($H455,Nutrition_tables!$A:$AF,23,FALSE)*$Q455/100</f>
        <v>5.011655011655012E-2</v>
      </c>
      <c r="AK455" s="583">
        <f>VLOOKUP($H455,Nutrition_tables!$A:$AF,24,FALSE)*$Q455/100</f>
        <v>0</v>
      </c>
      <c r="AL455" s="583">
        <f>VLOOKUP($H455,Nutrition_tables!$A:$AF,25,FALSE)*$Q455/100</f>
        <v>1.491841491841492E-2</v>
      </c>
      <c r="AM455" s="583">
        <f>VLOOKUP($H455,Nutrition_tables!$A:$AF,26,FALSE)*$Q455/100</f>
        <v>3.9627039627039623E-3</v>
      </c>
      <c r="AN455" s="583">
        <f>VLOOKUP($H455,Nutrition_tables!$A:$AF,27,FALSE)*$Q455/100</f>
        <v>0.13100233100233102</v>
      </c>
      <c r="AO455" s="583">
        <f>VLOOKUP($H455,Nutrition_tables!$A:$AF,28,FALSE)*$Q455/100</f>
        <v>6.9930069930069913E-3</v>
      </c>
      <c r="AP455" s="583">
        <f>VLOOKUP($H455,Nutrition_tables!$A:$AF,29,FALSE)*$Q455/100</f>
        <v>1.6400932400932402</v>
      </c>
      <c r="AQ455" s="583">
        <f>VLOOKUP($H455,Nutrition_tables!$A:$AF,30,FALSE)*$Q455/100</f>
        <v>9.0909090909090887E-3</v>
      </c>
      <c r="AR455" s="583">
        <f>VLOOKUP($H455,Nutrition_tables!$A:$AF,31,FALSE)*$Q455/100</f>
        <v>0</v>
      </c>
      <c r="AS455" s="549">
        <f>VLOOKUP($H455,Nutrition_tables!$A:$AF,32,FALSE)*$Q455/100</f>
        <v>0</v>
      </c>
      <c r="AT455" s="583">
        <f>IF(H455="Select ingredient:","",IF(G455="Select food category:","",IFERROR(VLOOKUP($H455,Ingredient_prices!$E:$W,17,FALSE)*$Q455/1000,"not bought")))</f>
        <v>0.43119999999999997</v>
      </c>
      <c r="AU455" s="583">
        <f>IF(H455="Select ingredient:","",IF(G455="Select food category:","",IFERROR(VLOOKUP($H455,Ingredient_prices!$E:$W,18,FALSE)*$Q455/1000,"not bought")))</f>
        <v>0.43119999999999997</v>
      </c>
      <c r="AV455" s="583">
        <f t="shared" si="1037"/>
        <v>27.86692388132786</v>
      </c>
      <c r="AW455" s="583">
        <f t="shared" si="1038"/>
        <v>6.0995456487061004</v>
      </c>
      <c r="AX455" s="583">
        <f t="shared" si="1039"/>
        <v>0.74384925615074382</v>
      </c>
      <c r="AY455" s="583">
        <f t="shared" si="1040"/>
        <v>8.6148165600086146E-2</v>
      </c>
      <c r="AZ455" s="583">
        <f t="shared" si="1041"/>
        <v>0.19584106290019587</v>
      </c>
      <c r="BA455" s="583">
        <f t="shared" si="1042"/>
        <v>1.2593693700012593E-2</v>
      </c>
      <c r="BB455" s="583">
        <f t="shared" si="1043"/>
        <v>0.22705152120022704</v>
      </c>
      <c r="BC455" s="583">
        <f t="shared" si="1044"/>
        <v>12.371387628612373</v>
      </c>
      <c r="BD455" s="583">
        <f t="shared" si="1045"/>
        <v>1.8791981208018791</v>
      </c>
      <c r="BE455" s="583">
        <f t="shared" si="1046"/>
        <v>1.9418015547019423</v>
      </c>
      <c r="BF455" s="583">
        <f t="shared" si="1047"/>
        <v>8.2997917002082993</v>
      </c>
      <c r="BG455" s="583">
        <f t="shared" si="1048"/>
        <v>6.9721608600069734E-2</v>
      </c>
      <c r="BH455" s="583">
        <f t="shared" si="1049"/>
        <v>5.475519000005475E-2</v>
      </c>
      <c r="BI455" s="583">
        <f t="shared" si="1050"/>
        <v>3.9241219500039247E-2</v>
      </c>
      <c r="BJ455" s="583">
        <f t="shared" si="1051"/>
        <v>0</v>
      </c>
      <c r="BK455" s="583">
        <f t="shared" si="1052"/>
        <v>1.1681107200011682E-2</v>
      </c>
      <c r="BL455" s="583">
        <f t="shared" si="1053"/>
        <v>3.1027941000031025E-3</v>
      </c>
      <c r="BM455" s="583">
        <f t="shared" si="1054"/>
        <v>0.1025747226001026</v>
      </c>
      <c r="BN455" s="583">
        <f t="shared" si="1055"/>
        <v>5.4755190000054747E-3</v>
      </c>
      <c r="BO455" s="583">
        <f t="shared" si="1056"/>
        <v>1.2841917228012842</v>
      </c>
      <c r="BP455" s="583">
        <f t="shared" si="1057"/>
        <v>7.1181747000071171E-3</v>
      </c>
      <c r="BQ455" s="583">
        <f t="shared" si="1058"/>
        <v>0</v>
      </c>
      <c r="BR455" s="583">
        <f t="shared" si="1059"/>
        <v>0</v>
      </c>
    </row>
    <row r="456" spans="1:70" s="229" customFormat="1" ht="15" customHeight="1">
      <c r="A456" s="504"/>
      <c r="D456" s="85"/>
      <c r="E456" s="576">
        <f t="shared" si="1060"/>
        <v>100</v>
      </c>
      <c r="F456" s="406"/>
      <c r="G456" s="406" t="s">
        <v>3140</v>
      </c>
      <c r="H456" s="578" t="s">
        <v>3115</v>
      </c>
      <c r="I456" s="85">
        <v>7</v>
      </c>
      <c r="J456" s="682">
        <v>1</v>
      </c>
      <c r="K456" s="579">
        <f t="shared" si="1034"/>
        <v>0.77000000000000013</v>
      </c>
      <c r="L456" s="580">
        <f>IF(H456="Select ingredient:","",IF(G456="","",_xlfn.IFNA(VLOOKUP($H456,Ingredient_prices!$E:$U,16,FALSE),0)))</f>
        <v>110</v>
      </c>
      <c r="M456" s="850"/>
      <c r="N456" s="850"/>
      <c r="O456" s="666"/>
      <c r="P456" s="670"/>
      <c r="Q456" s="583">
        <f t="shared" si="1035"/>
        <v>7</v>
      </c>
      <c r="R456" s="583">
        <f>VLOOKUP($H456,'CO2_emission+%_food_waste'!$A:$K,6,FALSE)*$Q456/100</f>
        <v>2.1021000000000001</v>
      </c>
      <c r="S456" s="583">
        <f t="shared" si="1036"/>
        <v>4.8978999999999999</v>
      </c>
      <c r="T456" s="583">
        <f>IF(H456="Select ingredient:","",IF(G456="Select food category:","",_xlfn.IFNA(VLOOKUP($H456,Ingredient_prices!$E:$U,16,FALSE)*$Q456/1000,"not bought")))</f>
        <v>0.77</v>
      </c>
      <c r="U456" s="583">
        <f>IF(G456="Select food category:","",_xlfn.IFNA(VLOOKUP($H456,Ingredient_prices!$E:$U,16,FALSE)*$R456/1000,"not bought"))</f>
        <v>0.23123099999999999</v>
      </c>
      <c r="V456" s="549">
        <f>VLOOKUP($H456,'CO2_emission+%_food_waste'!$A:$K,4,FALSE)*$Q456</f>
        <v>3.22</v>
      </c>
      <c r="W456" s="583">
        <f>VLOOKUP($H456,Nutrition_tables!$A:$N,10,FALSE)*$Q456/100</f>
        <v>2.226</v>
      </c>
      <c r="X456" s="583">
        <f>VLOOKUP($H456,Nutrition_tables!$A:$N,11,FALSE)*$Q456/100</f>
        <v>0.46199999999999997</v>
      </c>
      <c r="Y456" s="583">
        <f>VLOOKUP($H456,Nutrition_tables!$A:$N,12,FALSE)*$Q456/100</f>
        <v>5.8800000000000005E-2</v>
      </c>
      <c r="Z456" s="583">
        <f>VLOOKUP($H456,Nutrition_tables!$A:$N,14,FALSE)*$Q456/100</f>
        <v>1.89E-2</v>
      </c>
      <c r="AA456" s="583">
        <f>VLOOKUP($H456,Nutrition_tables!$A:$AF,13,FALSE)*$Q456/100</f>
        <v>0.15190000000000001</v>
      </c>
      <c r="AB456" s="549">
        <f>VLOOKUP($H456,Nutrition_tables!$A:$AF,15,FALSE)*$Q456/100</f>
        <v>2.8000000000000004E-3</v>
      </c>
      <c r="AC456" s="583">
        <f>VLOOKUP($H456,Nutrition_tables!$A:$AF,16,FALSE)*$Q456/100</f>
        <v>2.6319999999999997</v>
      </c>
      <c r="AD456" s="583">
        <f>VLOOKUP($H456,Nutrition_tables!$A:$AF,17,FALSE)*$Q456/100</f>
        <v>22.05</v>
      </c>
      <c r="AE456" s="583">
        <f>VLOOKUP($H456,Nutrition_tables!$A:$AF,18,FALSE)*$Q456/100</f>
        <v>2.2329999999999997</v>
      </c>
      <c r="AF456" s="583">
        <f>VLOOKUP($H456,Nutrition_tables!$A:$AF,19,FALSE)*$Q456/100</f>
        <v>0.82600000000000007</v>
      </c>
      <c r="AG456" s="583">
        <f>VLOOKUP($H456,Nutrition_tables!$A:$AF,20,FALSE)*$Q456/100</f>
        <v>1.1479999999999999</v>
      </c>
      <c r="AH456" s="583">
        <f>VLOOKUP($H456,Nutrition_tables!$A:$AF,21,FALSE)*$Q456/100</f>
        <v>1.4700000000000001E-2</v>
      </c>
      <c r="AI456" s="583">
        <f>VLOOKUP($H456,Nutrition_tables!$A:$AF,22,FALSE)*$Q456/100</f>
        <v>1.5399999999999999E-2</v>
      </c>
      <c r="AJ456" s="549">
        <f>VLOOKUP($H456,Nutrition_tables!$A:$AF,23,FALSE)*$Q456/100</f>
        <v>3.1500000000000001E-4</v>
      </c>
      <c r="AK456" s="583">
        <f>VLOOKUP($H456,Nutrition_tables!$A:$AF,24,FALSE)*$Q456/100</f>
        <v>59.64</v>
      </c>
      <c r="AL456" s="583">
        <f>VLOOKUP($H456,Nutrition_tables!$A:$AF,25,FALSE)*$Q456/100</f>
        <v>3.5000000000000005E-3</v>
      </c>
      <c r="AM456" s="583">
        <f>VLOOKUP($H456,Nutrition_tables!$A:$AF,26,FALSE)*$Q456/100</f>
        <v>2.8000000000000004E-3</v>
      </c>
      <c r="AN456" s="583">
        <f>VLOOKUP($H456,Nutrition_tables!$A:$AF,27,FALSE)*$Q456/100</f>
        <v>6.8600000000000008E-2</v>
      </c>
      <c r="AO456" s="583">
        <f>VLOOKUP($H456,Nutrition_tables!$A:$AF,28,FALSE)*$Q456/100</f>
        <v>8.3999999999999995E-3</v>
      </c>
      <c r="AP456" s="583">
        <f>VLOOKUP($H456,Nutrition_tables!$A:$AF,29,FALSE)*$Q456/100</f>
        <v>3.2479999999999993</v>
      </c>
      <c r="AQ456" s="583">
        <f>VLOOKUP($H456,Nutrition_tables!$A:$AF,30,FALSE)*$Q456/100</f>
        <v>0</v>
      </c>
      <c r="AR456" s="583">
        <f>VLOOKUP($H456,Nutrition_tables!$A:$AF,31,FALSE)*$Q456/100</f>
        <v>0.38080000000000003</v>
      </c>
      <c r="AS456" s="549">
        <f>VLOOKUP($H456,Nutrition_tables!$A:$AF,32,FALSE)*$Q456/100</f>
        <v>0</v>
      </c>
      <c r="AT456" s="583">
        <f>IF(H456="Select ingredient:","",IF(G456="Select food category:","",IFERROR(VLOOKUP($H456,Ingredient_prices!$E:$W,17,FALSE)*$Q456/1000,"not bought")))</f>
        <v>0.26950000000000002</v>
      </c>
      <c r="AU456" s="583">
        <f>IF(H456="Select ingredient:","",IF(G456="Select food category:","",IFERROR(VLOOKUP($H456,Ingredient_prices!$E:$W,18,FALSE)*$Q456/1000,"not bought")))</f>
        <v>0.77</v>
      </c>
      <c r="AV456" s="583">
        <f t="shared" si="1037"/>
        <v>1.5575299749571787</v>
      </c>
      <c r="AW456" s="583">
        <f t="shared" si="1038"/>
        <v>0.32326093819865975</v>
      </c>
      <c r="AX456" s="583">
        <f t="shared" si="1039"/>
        <v>4.1142301225283971E-2</v>
      </c>
      <c r="AY456" s="583">
        <f t="shared" si="1040"/>
        <v>1.3224311108126989E-2</v>
      </c>
      <c r="AZ456" s="583">
        <f t="shared" si="1041"/>
        <v>0.10628427816531691</v>
      </c>
      <c r="BA456" s="583">
        <f t="shared" si="1042"/>
        <v>1.9591572012039988E-3</v>
      </c>
      <c r="BB456" s="583">
        <f t="shared" si="1043"/>
        <v>1.8416077691317581</v>
      </c>
      <c r="BC456" s="583">
        <f t="shared" si="1044"/>
        <v>15.428362959481486</v>
      </c>
      <c r="BD456" s="583">
        <f t="shared" si="1045"/>
        <v>1.5624278679601884</v>
      </c>
      <c r="BE456" s="583">
        <f t="shared" si="1046"/>
        <v>0.57795137435517951</v>
      </c>
      <c r="BF456" s="583">
        <f t="shared" si="1047"/>
        <v>0.80325445249363925</v>
      </c>
      <c r="BG456" s="583">
        <f t="shared" si="1048"/>
        <v>1.0285575306320993E-2</v>
      </c>
      <c r="BH456" s="583">
        <f t="shared" si="1049"/>
        <v>1.077536460662199E-2</v>
      </c>
      <c r="BI456" s="583">
        <f t="shared" si="1050"/>
        <v>2.2040518513544985E-4</v>
      </c>
      <c r="BJ456" s="583">
        <f t="shared" si="1051"/>
        <v>41.730048385645162</v>
      </c>
      <c r="BK456" s="583">
        <f t="shared" si="1052"/>
        <v>2.4489465015049981E-3</v>
      </c>
      <c r="BL456" s="583">
        <f t="shared" si="1053"/>
        <v>1.9591572012039988E-3</v>
      </c>
      <c r="BM456" s="583">
        <f t="shared" si="1054"/>
        <v>4.7999351429497968E-2</v>
      </c>
      <c r="BN456" s="583">
        <f t="shared" si="1055"/>
        <v>5.8774716036119942E-3</v>
      </c>
      <c r="BO456" s="583">
        <f t="shared" si="1056"/>
        <v>2.2726223533966379</v>
      </c>
      <c r="BP456" s="583">
        <f t="shared" si="1057"/>
        <v>0</v>
      </c>
      <c r="BQ456" s="583">
        <f t="shared" si="1058"/>
        <v>0.2664453793637438</v>
      </c>
      <c r="BR456" s="583">
        <f t="shared" si="1059"/>
        <v>0</v>
      </c>
    </row>
    <row r="457" spans="1:70" s="229" customFormat="1" ht="15" customHeight="1">
      <c r="A457" s="504"/>
      <c r="D457" s="85"/>
      <c r="E457" s="576">
        <f t="shared" si="1060"/>
        <v>100</v>
      </c>
      <c r="F457" s="707"/>
      <c r="G457" s="406" t="s">
        <v>3072</v>
      </c>
      <c r="H457" s="578" t="s">
        <v>3208</v>
      </c>
      <c r="I457" s="85">
        <v>20</v>
      </c>
      <c r="J457" s="682">
        <v>1</v>
      </c>
      <c r="K457" s="579">
        <f t="shared" si="1034"/>
        <v>2.2000000000000002</v>
      </c>
      <c r="L457" s="580">
        <f>IF(H457="Select ingredient:","",IF(G457="","",_xlfn.IFNA(VLOOKUP($H457,Ingredient_prices!$E:$U,16,FALSE),0)))</f>
        <v>183.33333333333334</v>
      </c>
      <c r="M457" s="850"/>
      <c r="N457" s="850"/>
      <c r="O457" s="666"/>
      <c r="P457" s="670"/>
      <c r="Q457" s="583">
        <f t="shared" si="1035"/>
        <v>20</v>
      </c>
      <c r="R457" s="583">
        <f>VLOOKUP($H457,'CO2_emission+%_food_waste'!$A:$K,6,FALSE)*$Q457/100</f>
        <v>2.12</v>
      </c>
      <c r="S457" s="583">
        <f t="shared" si="1036"/>
        <v>17.88</v>
      </c>
      <c r="T457" s="583">
        <f>IF(H457="Select ingredient:","",IF(G457="Select food category:","",_xlfn.IFNA(VLOOKUP($H457,Ingredient_prices!$E:$U,16,FALSE)*$Q457/1000,"not bought")))</f>
        <v>3.666666666666667</v>
      </c>
      <c r="U457" s="583">
        <f>IF(G457="Select food category:","",_xlfn.IFNA(VLOOKUP($H457,Ingredient_prices!$E:$U,16,FALSE)*$R457/1000,"not bought"))</f>
        <v>0.38866666666666666</v>
      </c>
      <c r="V457" s="549">
        <f>VLOOKUP($H457,'CO2_emission+%_food_waste'!$A:$K,4,FALSE)*$Q457</f>
        <v>60.8</v>
      </c>
      <c r="W457" s="583">
        <f>VLOOKUP($H457,Nutrition_tables!$A:$N,10,FALSE)*$Q457/100</f>
        <v>28.399999999999995</v>
      </c>
      <c r="X457" s="583">
        <f>VLOOKUP($H457,Nutrition_tables!$A:$N,11,FALSE)*$Q457/100</f>
        <v>0.16003734827264238</v>
      </c>
      <c r="Y457" s="583">
        <f>VLOOKUP($H457,Nutrition_tables!$A:$N,12,FALSE)*$Q457/100</f>
        <v>2.5200746965452847</v>
      </c>
      <c r="Z457" s="583">
        <f>VLOOKUP($H457,Nutrition_tables!$A:$N,14,FALSE)*$Q457/100</f>
        <v>1.9800186741363208</v>
      </c>
      <c r="AA457" s="583">
        <f>VLOOKUP($H457,Nutrition_tables!$A:$AF,13,FALSE)*$Q457/100</f>
        <v>0</v>
      </c>
      <c r="AB457" s="549">
        <f>VLOOKUP($H457,Nutrition_tables!$A:$AF,15,FALSE)*$Q457/100</f>
        <v>0.52007469654528482</v>
      </c>
      <c r="AC457" s="583">
        <f>VLOOKUP($H457,Nutrition_tables!$A:$AF,16,FALSE)*$Q457/100</f>
        <v>28</v>
      </c>
      <c r="AD457" s="583">
        <f>VLOOKUP($H457,Nutrition_tables!$A:$AF,17,FALSE)*$Q457/100</f>
        <v>25.999999999999996</v>
      </c>
      <c r="AE457" s="583">
        <f>VLOOKUP($H457,Nutrition_tables!$A:$AF,18,FALSE)*$Q457/100</f>
        <v>7.9999999999999991</v>
      </c>
      <c r="AF457" s="583">
        <f>VLOOKUP($H457,Nutrition_tables!$A:$AF,19,FALSE)*$Q457/100</f>
        <v>2.6</v>
      </c>
      <c r="AG457" s="583">
        <f>VLOOKUP($H457,Nutrition_tables!$A:$AF,20,FALSE)*$Q457/100</f>
        <v>41.999999999999993</v>
      </c>
      <c r="AH457" s="583">
        <f>VLOOKUP($H457,Nutrition_tables!$A:$AF,21,FALSE)*$Q457/100</f>
        <v>0.4</v>
      </c>
      <c r="AI457" s="583">
        <f>VLOOKUP($H457,Nutrition_tables!$A:$AF,22,FALSE)*$Q457/100</f>
        <v>0.27992530345471522</v>
      </c>
      <c r="AJ457" s="549">
        <f>VLOOKUP($H457,Nutrition_tables!$A:$AF,23,FALSE)*$Q457/100</f>
        <v>1.4005602240896357E-2</v>
      </c>
      <c r="AK457" s="583">
        <f>VLOOKUP($H457,Nutrition_tables!$A:$AF,24,FALSE)*$Q457/100</f>
        <v>38.799999999999997</v>
      </c>
      <c r="AL457" s="583">
        <f>VLOOKUP($H457,Nutrition_tables!$A:$AF,25,FALSE)*$Q457/100</f>
        <v>1.4005602240896357E-2</v>
      </c>
      <c r="AM457" s="583">
        <f>VLOOKUP($H457,Nutrition_tables!$A:$AF,26,FALSE)*$Q457/100</f>
        <v>9.0009337068160597E-2</v>
      </c>
      <c r="AN457" s="583">
        <f>VLOOKUP($H457,Nutrition_tables!$A:$AF,27,FALSE)*$Q457/100</f>
        <v>1.0084033613445377E-2</v>
      </c>
      <c r="AO457" s="583">
        <f>VLOOKUP($H457,Nutrition_tables!$A:$AF,28,FALSE)*$Q457/100</f>
        <v>2.4089635854341734E-2</v>
      </c>
      <c r="AP457" s="583">
        <f>VLOOKUP($H457,Nutrition_tables!$A:$AF,29,FALSE)*$Q457/100</f>
        <v>4.1999999999999993</v>
      </c>
      <c r="AQ457" s="583">
        <f>VLOOKUP($H457,Nutrition_tables!$A:$AF,30,FALSE)*$Q457/100</f>
        <v>0.4</v>
      </c>
      <c r="AR457" s="583">
        <f>VLOOKUP($H457,Nutrition_tables!$A:$AF,31,FALSE)*$Q457/100</f>
        <v>0</v>
      </c>
      <c r="AS457" s="549">
        <f>VLOOKUP($H457,Nutrition_tables!$A:$AF,32,FALSE)*$Q457/100</f>
        <v>0.34995331465919705</v>
      </c>
      <c r="AT457" s="583">
        <f>IF(H457="Select ingredient:","",IF(G457="Select food category:","",IFERROR(VLOOKUP($H457,Ingredient_prices!$E:$W,17,FALSE)*$Q457/1000,"not bought")))</f>
        <v>3.666666666666667</v>
      </c>
      <c r="AU457" s="583">
        <f>IF(H457="Select ingredient:","",IF(G457="Select food category:","",IFERROR(VLOOKUP($H457,Ingredient_prices!$E:$W,18,FALSE)*$Q457/1000,"not bought")))</f>
        <v>3.666666666666667</v>
      </c>
      <c r="AV457" s="583">
        <f t="shared" si="1037"/>
        <v>25.389587305206341</v>
      </c>
      <c r="AW457" s="583">
        <f t="shared" si="1038"/>
        <v>0.14307331781908336</v>
      </c>
      <c r="AX457" s="583">
        <f t="shared" si="1039"/>
        <v>2.2529456522386582</v>
      </c>
      <c r="AY457" s="583">
        <f t="shared" si="1040"/>
        <v>1.7701358096099662</v>
      </c>
      <c r="AZ457" s="583">
        <f t="shared" si="1041"/>
        <v>0</v>
      </c>
      <c r="BA457" s="583">
        <f t="shared" si="1042"/>
        <v>0.46494654623821147</v>
      </c>
      <c r="BB457" s="583">
        <f t="shared" si="1043"/>
        <v>25.031987484006258</v>
      </c>
      <c r="BC457" s="583">
        <f t="shared" si="1044"/>
        <v>23.24398837800581</v>
      </c>
      <c r="BD457" s="583">
        <f t="shared" si="1045"/>
        <v>7.1519964240017861</v>
      </c>
      <c r="BE457" s="583">
        <f t="shared" si="1046"/>
        <v>2.3243988378005813</v>
      </c>
      <c r="BF457" s="583">
        <f t="shared" si="1047"/>
        <v>37.547981226009377</v>
      </c>
      <c r="BG457" s="583">
        <f t="shared" si="1048"/>
        <v>0.35759982120008943</v>
      </c>
      <c r="BH457" s="583">
        <f t="shared" si="1049"/>
        <v>0.25025309616196734</v>
      </c>
      <c r="BI457" s="583">
        <f t="shared" si="1050"/>
        <v>1.252100214286027E-2</v>
      </c>
      <c r="BJ457" s="583">
        <f t="shared" si="1051"/>
        <v>34.687182656408666</v>
      </c>
      <c r="BK457" s="583">
        <f t="shared" si="1052"/>
        <v>1.252100214286027E-2</v>
      </c>
      <c r="BL457" s="583">
        <f t="shared" si="1053"/>
        <v>8.0468307104782019E-2</v>
      </c>
      <c r="BM457" s="583">
        <f t="shared" si="1054"/>
        <v>9.0151215428593955E-3</v>
      </c>
      <c r="BN457" s="583">
        <f t="shared" si="1055"/>
        <v>2.1536123685719666E-2</v>
      </c>
      <c r="BO457" s="583">
        <f t="shared" si="1056"/>
        <v>3.7547981226009384</v>
      </c>
      <c r="BP457" s="583">
        <f t="shared" si="1057"/>
        <v>0.35759982120008943</v>
      </c>
      <c r="BQ457" s="583">
        <f t="shared" si="1058"/>
        <v>0</v>
      </c>
      <c r="BR457" s="583">
        <f t="shared" si="1059"/>
        <v>0.31285810687626875</v>
      </c>
    </row>
    <row r="458" spans="1:70" s="229" customFormat="1" ht="15" customHeight="1">
      <c r="A458" s="504"/>
      <c r="D458" s="85"/>
      <c r="E458" s="576">
        <f t="shared" si="1060"/>
        <v>100</v>
      </c>
      <c r="F458" s="707"/>
      <c r="G458" s="406" t="s">
        <v>3085</v>
      </c>
      <c r="H458" s="578" t="s">
        <v>3220</v>
      </c>
      <c r="I458" s="85">
        <v>50</v>
      </c>
      <c r="J458" s="682">
        <v>1</v>
      </c>
      <c r="K458" s="579">
        <f t="shared" si="1034"/>
        <v>5.5000000000000009</v>
      </c>
      <c r="L458" s="580">
        <f>IF(H458="Select ingredient:","",IF(G458="","",_xlfn.IFNA(VLOOKUP($H458,Ingredient_prices!$E:$U,16,FALSE),0)))</f>
        <v>187</v>
      </c>
      <c r="M458" s="850"/>
      <c r="N458" s="850"/>
      <c r="O458" s="666"/>
      <c r="P458" s="670"/>
      <c r="Q458" s="583">
        <f t="shared" si="1035"/>
        <v>50</v>
      </c>
      <c r="R458" s="583">
        <f>VLOOKUP($H458,'CO2_emission+%_food_waste'!$A:$K,6,FALSE)*$Q458/100</f>
        <v>8.65</v>
      </c>
      <c r="S458" s="583">
        <f t="shared" si="1036"/>
        <v>41.35</v>
      </c>
      <c r="T458" s="583">
        <f>IF(H458="Select ingredient:","",IF(G458="Select food category:","",_xlfn.IFNA(VLOOKUP($H458,Ingredient_prices!$E:$U,16,FALSE)*$Q458/1000,"not bought")))</f>
        <v>9.35</v>
      </c>
      <c r="U458" s="583">
        <f>IF(G458="Select food category:","",_xlfn.IFNA(VLOOKUP($H458,Ingredient_prices!$E:$U,16,FALSE)*$R458/1000,"not bought"))</f>
        <v>1.61755</v>
      </c>
      <c r="V458" s="549">
        <f>VLOOKUP($H458,'CO2_emission+%_food_waste'!$A:$K,4,FALSE)*$Q458</f>
        <v>73</v>
      </c>
      <c r="W458" s="583">
        <f>VLOOKUP($H458,Nutrition_tables!$A:$N,10,FALSE)*$Q458/100</f>
        <v>31.309799999999999</v>
      </c>
      <c r="X458" s="583">
        <f>VLOOKUP($H458,Nutrition_tables!$A:$N,11,FALSE)*$Q458/100</f>
        <v>2.2000000000000002</v>
      </c>
      <c r="Y458" s="583">
        <f>VLOOKUP($H458,Nutrition_tables!$A:$N,12,FALSE)*$Q458/100</f>
        <v>1.7</v>
      </c>
      <c r="Z458" s="583">
        <f>VLOOKUP($H458,Nutrition_tables!$A:$N,14,FALSE)*$Q458/100</f>
        <v>1.75</v>
      </c>
      <c r="AA458" s="583">
        <f>VLOOKUP($H458,Nutrition_tables!$A:$AF,13,FALSE)*$Q458/100</f>
        <v>-2.0000000000000001E-4</v>
      </c>
      <c r="AB458" s="549">
        <f>VLOOKUP($H458,Nutrition_tables!$A:$AF,15,FALSE)*$Q458/100</f>
        <v>1.125</v>
      </c>
      <c r="AC458" s="583">
        <f>VLOOKUP($H458,Nutrition_tables!$A:$AF,16,FALSE)*$Q458/100</f>
        <v>21.3</v>
      </c>
      <c r="AD458" s="583">
        <f>VLOOKUP($H458,Nutrition_tables!$A:$AF,17,FALSE)*$Q458/100</f>
        <v>74</v>
      </c>
      <c r="AE458" s="583">
        <f>VLOOKUP($H458,Nutrition_tables!$A:$AF,18,FALSE)*$Q458/100</f>
        <v>56</v>
      </c>
      <c r="AF458" s="583">
        <f>VLOOKUP($H458,Nutrition_tables!$A:$AF,19,FALSE)*$Q458/100</f>
        <v>5.6</v>
      </c>
      <c r="AG458" s="583">
        <f>VLOOKUP($H458,Nutrition_tables!$A:$AF,20,FALSE)*$Q458/100</f>
        <v>44.5</v>
      </c>
      <c r="AH458" s="583">
        <f>VLOOKUP($H458,Nutrition_tables!$A:$AF,21,FALSE)*$Q458/100</f>
        <v>0.03</v>
      </c>
      <c r="AI458" s="583">
        <f>VLOOKUP($H458,Nutrition_tables!$A:$AF,22,FALSE)*$Q458/100</f>
        <v>0.23499999999999999</v>
      </c>
      <c r="AJ458" s="549">
        <f>VLOOKUP($H458,Nutrition_tables!$A:$AF,23,FALSE)*$Q458/100</f>
        <v>5.0000000000000001E-3</v>
      </c>
      <c r="AK458" s="583">
        <f>VLOOKUP($H458,Nutrition_tables!$A:$AF,24,FALSE)*$Q458/100</f>
        <v>15.45</v>
      </c>
      <c r="AL458" s="583">
        <f>VLOOKUP($H458,Nutrition_tables!$A:$AF,25,FALSE)*$Q458/100</f>
        <v>2.1000000000000001E-2</v>
      </c>
      <c r="AM458" s="583">
        <f>VLOOKUP($H458,Nutrition_tables!$A:$AF,26,FALSE)*$Q458/100</f>
        <v>8.6599999999999996E-2</v>
      </c>
      <c r="AN458" s="583">
        <f>VLOOKUP($H458,Nutrition_tables!$A:$AF,27,FALSE)*$Q458/100</f>
        <v>0.42959999999999998</v>
      </c>
      <c r="AO458" s="583">
        <f>VLOOKUP($H458,Nutrition_tables!$A:$AF,28,FALSE)*$Q458/100</f>
        <v>2.3599999999999999E-2</v>
      </c>
      <c r="AP458" s="583">
        <f>VLOOKUP($H458,Nutrition_tables!$A:$AF,29,FALSE)*$Q458/100</f>
        <v>5.5</v>
      </c>
      <c r="AQ458" s="583">
        <f>VLOOKUP($H458,Nutrition_tables!$A:$AF,30,FALSE)*$Q458/100</f>
        <v>0.22500000000000001</v>
      </c>
      <c r="AR458" s="583">
        <f>VLOOKUP($H458,Nutrition_tables!$A:$AF,31,FALSE)*$Q458/100</f>
        <v>0.6</v>
      </c>
      <c r="AS458" s="549">
        <f>VLOOKUP($H458,Nutrition_tables!$A:$AF,32,FALSE)*$Q458/100</f>
        <v>0.05</v>
      </c>
      <c r="AT458" s="583">
        <f>IF(H458="Select ingredient:","",IF(G458="Select food category:","",IFERROR(VLOOKUP($H458,Ingredient_prices!$E:$W,17,FALSE)*$Q458/1000,"not bought")))</f>
        <v>9.35</v>
      </c>
      <c r="AU458" s="583">
        <f>IF(H458="Select ingredient:","",IF(G458="Select food category:","",IFERROR(VLOOKUP($H458,Ingredient_prices!$E:$W,18,FALSE)*$Q458/1000,"not bought")))</f>
        <v>9.35</v>
      </c>
      <c r="AV458" s="583">
        <f t="shared" si="1037"/>
        <v>25.893199421360112</v>
      </c>
      <c r="AW458" s="583">
        <f t="shared" si="1038"/>
        <v>1.8193996361200728</v>
      </c>
      <c r="AX458" s="583">
        <f t="shared" si="1039"/>
        <v>1.4058997188200562</v>
      </c>
      <c r="AY458" s="583">
        <f t="shared" si="1040"/>
        <v>1.4472497105500577</v>
      </c>
      <c r="AZ458" s="583">
        <f t="shared" si="1041"/>
        <v>-1.6539996692000662E-4</v>
      </c>
      <c r="BA458" s="583">
        <f t="shared" si="1042"/>
        <v>0.93037481392503729</v>
      </c>
      <c r="BB458" s="583">
        <f t="shared" si="1043"/>
        <v>17.615096476980707</v>
      </c>
      <c r="BC458" s="583">
        <f t="shared" si="1044"/>
        <v>61.197987760402448</v>
      </c>
      <c r="BD458" s="583">
        <f t="shared" si="1045"/>
        <v>46.311990737601846</v>
      </c>
      <c r="BE458" s="583">
        <f t="shared" si="1046"/>
        <v>4.6311990737601851</v>
      </c>
      <c r="BF458" s="583">
        <f t="shared" si="1047"/>
        <v>36.801492639701472</v>
      </c>
      <c r="BG458" s="583">
        <f t="shared" si="1048"/>
        <v>2.4809995038000989E-2</v>
      </c>
      <c r="BH458" s="583">
        <f t="shared" si="1049"/>
        <v>0.19434496113100777</v>
      </c>
      <c r="BI458" s="583">
        <f t="shared" si="1050"/>
        <v>4.1349991730001657E-3</v>
      </c>
      <c r="BJ458" s="583">
        <f t="shared" si="1051"/>
        <v>12.77714744457051</v>
      </c>
      <c r="BK458" s="583">
        <f t="shared" si="1052"/>
        <v>1.7366996526600696E-2</v>
      </c>
      <c r="BL458" s="583">
        <f t="shared" si="1053"/>
        <v>7.1618185676362855E-2</v>
      </c>
      <c r="BM458" s="583">
        <f t="shared" si="1054"/>
        <v>0.35527912894417418</v>
      </c>
      <c r="BN458" s="583">
        <f t="shared" si="1055"/>
        <v>1.9517196096560781E-2</v>
      </c>
      <c r="BO458" s="583">
        <f t="shared" si="1056"/>
        <v>4.5484990903001821</v>
      </c>
      <c r="BP458" s="583">
        <f t="shared" si="1057"/>
        <v>0.18607496278500746</v>
      </c>
      <c r="BQ458" s="583">
        <f t="shared" si="1058"/>
        <v>0.4961999007600198</v>
      </c>
      <c r="BR458" s="583">
        <f t="shared" si="1059"/>
        <v>4.1349991730001659E-2</v>
      </c>
    </row>
    <row r="459" spans="1:70" s="229" customFormat="1" ht="15" customHeight="1">
      <c r="A459" s="504"/>
      <c r="D459" s="85"/>
      <c r="E459" s="576">
        <f t="shared" si="1060"/>
        <v>100</v>
      </c>
      <c r="F459" s="707"/>
      <c r="G459" s="406" t="s">
        <v>3140</v>
      </c>
      <c r="H459" s="578" t="s">
        <v>3138</v>
      </c>
      <c r="I459" s="85">
        <v>7</v>
      </c>
      <c r="J459" s="682">
        <v>1</v>
      </c>
      <c r="K459" s="579">
        <f t="shared" si="1034"/>
        <v>0.77000000000000013</v>
      </c>
      <c r="L459" s="580">
        <f>IF(H459="Select ingredient:","",IF(G459="","",_xlfn.IFNA(VLOOKUP($H459,Ingredient_prices!$E:$U,16,FALSE),0)))</f>
        <v>400</v>
      </c>
      <c r="M459" s="850"/>
      <c r="N459" s="850"/>
      <c r="O459" s="666"/>
      <c r="P459" s="670"/>
      <c r="Q459" s="583">
        <f t="shared" si="1035"/>
        <v>7</v>
      </c>
      <c r="R459" s="583">
        <f>VLOOKUP($H459,'CO2_emission+%_food_waste'!$A:$K,6,FALSE)*$Q459/100</f>
        <v>1.75</v>
      </c>
      <c r="S459" s="583">
        <f t="shared" si="1036"/>
        <v>5.25</v>
      </c>
      <c r="T459" s="583">
        <f>IF(H459="Select ingredient:","",IF(G459="Select food category:","",_xlfn.IFNA(VLOOKUP($H459,Ingredient_prices!$E:$U,16,FALSE)*$Q459/1000,"not bought")))</f>
        <v>2.8</v>
      </c>
      <c r="U459" s="583">
        <f>IF(G459="Select food category:","",_xlfn.IFNA(VLOOKUP($H459,Ingredient_prices!$E:$U,16,FALSE)*$R459/1000,"not bought"))</f>
        <v>0.7</v>
      </c>
      <c r="V459" s="549">
        <f>VLOOKUP($H459,'CO2_emission+%_food_waste'!$A:$K,4,FALSE)*$Q459</f>
        <v>3.22</v>
      </c>
      <c r="W459" s="583">
        <f>VLOOKUP($H459,Nutrition_tables!$A:$N,10,FALSE)*$Q459/100</f>
        <v>2.7618181818181817</v>
      </c>
      <c r="X459" s="583">
        <f>VLOOKUP($H459,Nutrition_tables!$A:$N,11,FALSE)*$Q459/100</f>
        <v>0.5854397118033482</v>
      </c>
      <c r="Y459" s="583">
        <f>VLOOKUP($H459,Nutrition_tables!$A:$N,12,FALSE)*$Q459/100</f>
        <v>4.2673447764356852E-2</v>
      </c>
      <c r="Z459" s="583">
        <f>VLOOKUP($H459,Nutrition_tables!$A:$N,14,FALSE)*$Q459/100</f>
        <v>2.1347849120576391E-2</v>
      </c>
      <c r="AA459" s="583">
        <f>VLOOKUP($H459,Nutrition_tables!$A:$AF,13,FALSE)*$Q459/100</f>
        <v>0.2122643568552659</v>
      </c>
      <c r="AB459" s="549">
        <f>VLOOKUP($H459,Nutrition_tables!$A:$AF,15,FALSE)*$Q459/100</f>
        <v>4.4619622801440979E-3</v>
      </c>
      <c r="AC459" s="583">
        <f>VLOOKUP($H459,Nutrition_tables!$A:$AF,16,FALSE)*$Q459/100</f>
        <v>1.2218033481669843</v>
      </c>
      <c r="AD459" s="583">
        <f>VLOOKUP($H459,Nutrition_tables!$A:$AF,17,FALSE)*$Q459/100</f>
        <v>28.79545454545454</v>
      </c>
      <c r="AE459" s="583">
        <f>VLOOKUP($H459,Nutrition_tables!$A:$AF,18,FALSE)*$Q459/100</f>
        <v>2.5104545454545457</v>
      </c>
      <c r="AF459" s="583">
        <f>VLOOKUP($H459,Nutrition_tables!$A:$AF,19,FALSE)*$Q459/100</f>
        <v>1.2981818181818181</v>
      </c>
      <c r="AG459" s="583">
        <f>VLOOKUP($H459,Nutrition_tables!$A:$AF,20,FALSE)*$Q459/100</f>
        <v>3.3854545454545448</v>
      </c>
      <c r="AH459" s="583">
        <f>VLOOKUP($H459,Nutrition_tables!$A:$AF,21,FALSE)*$Q459/100</f>
        <v>2.8932294977749521E-2</v>
      </c>
      <c r="AI459" s="583">
        <f>VLOOKUP($H459,Nutrition_tables!$A:$AF,22,FALSE)*$Q459/100</f>
        <v>3.5628946810764991E-2</v>
      </c>
      <c r="AJ459" s="549">
        <f>VLOOKUP($H459,Nutrition_tables!$A:$AF,23,FALSE)*$Q459/100</f>
        <v>3.3324168255986432E-3</v>
      </c>
      <c r="AK459" s="583">
        <f>VLOOKUP($H459,Nutrition_tables!$A:$AF,24,FALSE)*$Q459/100</f>
        <v>27.109504545454541</v>
      </c>
      <c r="AL459" s="583">
        <f>VLOOKUP($H459,Nutrition_tables!$A:$AF,25,FALSE)*$Q459/100</f>
        <v>5.744331426149607E-3</v>
      </c>
      <c r="AM459" s="583">
        <f>VLOOKUP($H459,Nutrition_tables!$A:$AF,26,FALSE)*$Q459/100</f>
        <v>4.1652892561983464E-3</v>
      </c>
      <c r="AN459" s="583">
        <f>VLOOKUP($H459,Nutrition_tables!$A:$AF,27,FALSE)*$Q459/100</f>
        <v>7.2567705022250475E-2</v>
      </c>
      <c r="AO459" s="583">
        <f>VLOOKUP($H459,Nutrition_tables!$A:$AF,28,FALSE)*$Q459/100</f>
        <v>7.1557533375715176E-3</v>
      </c>
      <c r="AP459" s="583">
        <f>VLOOKUP($H459,Nutrition_tables!$A:$AF,29,FALSE)*$Q459/100</f>
        <v>4.2445454545454533</v>
      </c>
      <c r="AQ459" s="583">
        <f>VLOOKUP($H459,Nutrition_tables!$A:$AF,30,FALSE)*$Q459/100</f>
        <v>0</v>
      </c>
      <c r="AR459" s="583">
        <f>VLOOKUP($H459,Nutrition_tables!$A:$AF,31,FALSE)*$Q459/100</f>
        <v>0.80945454545454543</v>
      </c>
      <c r="AS459" s="549">
        <f>VLOOKUP($H459,Nutrition_tables!$A:$AF,32,FALSE)*$Q459/100</f>
        <v>0</v>
      </c>
      <c r="AT459" s="583">
        <f>IF(H459="Select ingredient:","",IF(G459="Select food category:","",IFERROR(VLOOKUP($H459,Ingredient_prices!$E:$W,17,FALSE)*$Q459/1000,"not bought")))</f>
        <v>1.4116666666666666</v>
      </c>
      <c r="AU459" s="583">
        <f>IF(H459="Select ingredient:","",IF(G459="Select food category:","",IFERROR(VLOOKUP($H459,Ingredient_prices!$E:$W,18,FALSE)*$Q459/1000,"not bought")))</f>
        <v>2.8</v>
      </c>
      <c r="AV459" s="583">
        <f t="shared" si="1037"/>
        <v>2.0713606772769548</v>
      </c>
      <c r="AW459" s="583">
        <f t="shared" si="1038"/>
        <v>0.43907915659657321</v>
      </c>
      <c r="AX459" s="583">
        <f t="shared" si="1039"/>
        <v>3.2005040101781776E-2</v>
      </c>
      <c r="AY459" s="583">
        <f t="shared" si="1040"/>
        <v>1.6010863967769483E-2</v>
      </c>
      <c r="AZ459" s="583">
        <f t="shared" si="1041"/>
        <v>0.15919804021567771</v>
      </c>
      <c r="BA459" s="583">
        <f t="shared" si="1042"/>
        <v>3.3464669294410313E-3</v>
      </c>
      <c r="BB459" s="583">
        <f t="shared" si="1043"/>
        <v>0.91635120205209253</v>
      </c>
      <c r="BC459" s="583">
        <f t="shared" si="1044"/>
        <v>21.596560056862256</v>
      </c>
      <c r="BD459" s="583">
        <f t="shared" si="1045"/>
        <v>1.8828382193220248</v>
      </c>
      <c r="BE459" s="583">
        <f t="shared" si="1046"/>
        <v>0.97363497272925981</v>
      </c>
      <c r="BF459" s="583">
        <f t="shared" si="1047"/>
        <v>2.5390872818233632</v>
      </c>
      <c r="BG459" s="583">
        <f t="shared" si="1048"/>
        <v>2.1699190234468951E-2</v>
      </c>
      <c r="BH459" s="583">
        <f t="shared" si="1049"/>
        <v>2.6721671934256695E-2</v>
      </c>
      <c r="BI459" s="583">
        <f t="shared" si="1050"/>
        <v>2.4993090487574841E-3</v>
      </c>
      <c r="BJ459" s="583">
        <f t="shared" si="1051"/>
        <v>20.332099363234676</v>
      </c>
      <c r="BK459" s="583">
        <f t="shared" si="1052"/>
        <v>4.3082424149801842E-3</v>
      </c>
      <c r="BL459" s="583">
        <f t="shared" si="1053"/>
        <v>3.1239624793452177E-3</v>
      </c>
      <c r="BM459" s="583">
        <f t="shared" si="1054"/>
        <v>5.442570101568641E-2</v>
      </c>
      <c r="BN459" s="583">
        <f t="shared" si="1055"/>
        <v>5.366807336311015E-3</v>
      </c>
      <c r="BO459" s="583">
        <f t="shared" si="1056"/>
        <v>3.1834045431883142</v>
      </c>
      <c r="BP459" s="583">
        <f t="shared" si="1057"/>
        <v>0</v>
      </c>
      <c r="BQ459" s="583">
        <f t="shared" si="1058"/>
        <v>0.60709004181942083</v>
      </c>
      <c r="BR459" s="583">
        <f t="shared" si="1059"/>
        <v>0</v>
      </c>
    </row>
    <row r="460" spans="1:70" s="229" customFormat="1" ht="15" customHeight="1">
      <c r="A460" s="504"/>
      <c r="D460" s="85"/>
      <c r="E460" s="576">
        <f t="shared" si="1060"/>
        <v>100</v>
      </c>
      <c r="F460" s="707"/>
      <c r="G460" s="406" t="s">
        <v>3075</v>
      </c>
      <c r="H460" s="578" t="s">
        <v>3239</v>
      </c>
      <c r="I460" s="85">
        <v>7</v>
      </c>
      <c r="J460" s="682">
        <v>1</v>
      </c>
      <c r="K460" s="579">
        <f t="shared" si="1034"/>
        <v>0.77000000000000013</v>
      </c>
      <c r="L460" s="580">
        <f>IF(H460="Select ingredient:","",IF(G460="","",_xlfn.IFNA(VLOOKUP($H460,Ingredient_prices!$E:$U,16,FALSE),0)))</f>
        <v>121</v>
      </c>
      <c r="M460" s="850"/>
      <c r="N460" s="850"/>
      <c r="O460" s="666"/>
      <c r="P460" s="670"/>
      <c r="Q460" s="583">
        <f t="shared" si="1035"/>
        <v>7</v>
      </c>
      <c r="R460" s="583">
        <f>VLOOKUP($H460,'CO2_emission+%_food_waste'!$A:$K,6,FALSE)*$Q460/100</f>
        <v>1.946</v>
      </c>
      <c r="S460" s="583">
        <f t="shared" si="1036"/>
        <v>5.0540000000000003</v>
      </c>
      <c r="T460" s="583">
        <f>IF(H460="Select ingredient:","",IF(G460="Select food category:","",_xlfn.IFNA(VLOOKUP($H460,Ingredient_prices!$E:$U,16,FALSE)*$Q460/1000,"not bought")))</f>
        <v>0.84699999999999998</v>
      </c>
      <c r="U460" s="583">
        <f>IF(G460="Select food category:","",_xlfn.IFNA(VLOOKUP($H460,Ingredient_prices!$E:$U,16,FALSE)*$R460/1000,"not bought"))</f>
        <v>0.23546600000000001</v>
      </c>
      <c r="V460" s="549">
        <f>VLOOKUP($H460,'CO2_emission+%_food_waste'!$A:$K,4,FALSE)*$Q460</f>
        <v>33.11</v>
      </c>
      <c r="W460" s="583">
        <f>VLOOKUP($H460,Nutrition_tables!$A:$N,10,FALSE)*$Q460/100</f>
        <v>61.902470000000015</v>
      </c>
      <c r="X460" s="583">
        <f>VLOOKUP($H460,Nutrition_tables!$A:$N,11,FALSE)*$Q460/100</f>
        <v>7.000000000000001E-3</v>
      </c>
      <c r="Y460" s="583">
        <f>VLOOKUP($H460,Nutrition_tables!$A:$N,12,FALSE)*$Q460/100</f>
        <v>7.000000000000001E-3</v>
      </c>
      <c r="Z460" s="583">
        <f>VLOOKUP($H460,Nutrition_tables!$A:$N,14,FALSE)*$Q460/100</f>
        <v>6.964999999999999</v>
      </c>
      <c r="AA460" s="583">
        <f>VLOOKUP($H460,Nutrition_tables!$A:$AF,13,FALSE)*$Q460/100</f>
        <v>0</v>
      </c>
      <c r="AB460" s="549">
        <f>VLOOKUP($H460,Nutrition_tables!$A:$AF,15,FALSE)*$Q460/100</f>
        <v>0.47530000000000006</v>
      </c>
      <c r="AC460" s="583">
        <f>VLOOKUP($H460,Nutrition_tables!$A:$AF,16,FALSE)*$Q460/100</f>
        <v>7.000000000000001E-3</v>
      </c>
      <c r="AD460" s="583">
        <f>VLOOKUP($H460,Nutrition_tables!$A:$AF,17,FALSE)*$Q460/100</f>
        <v>0</v>
      </c>
      <c r="AE460" s="583">
        <f>VLOOKUP($H460,Nutrition_tables!$A:$AF,18,FALSE)*$Q460/100</f>
        <v>1.4000000000000002E-2</v>
      </c>
      <c r="AF460" s="583">
        <f>VLOOKUP($H460,Nutrition_tables!$A:$AF,19,FALSE)*$Q460/100</f>
        <v>7.0000000000000007E-2</v>
      </c>
      <c r="AG460" s="583">
        <f>VLOOKUP($H460,Nutrition_tables!$A:$AF,20,FALSE)*$Q460/100</f>
        <v>0</v>
      </c>
      <c r="AH460" s="583">
        <f>VLOOKUP($H460,Nutrition_tables!$A:$AF,21,FALSE)*$Q460/100</f>
        <v>7.000000000000001E-3</v>
      </c>
      <c r="AI460" s="583">
        <f>VLOOKUP($H460,Nutrition_tables!$A:$AF,22,FALSE)*$Q460/100</f>
        <v>0</v>
      </c>
      <c r="AJ460" s="549">
        <f>VLOOKUP($H460,Nutrition_tables!$A:$AF,23,FALSE)*$Q460/100</f>
        <v>0</v>
      </c>
      <c r="AK460" s="583">
        <f>VLOOKUP($H460,Nutrition_tables!$A:$AF,24,FALSE)*$Q460/100</f>
        <v>0</v>
      </c>
      <c r="AL460" s="583">
        <f>VLOOKUP($H460,Nutrition_tables!$A:$AF,25,FALSE)*$Q460/100</f>
        <v>0</v>
      </c>
      <c r="AM460" s="583">
        <f>VLOOKUP($H460,Nutrition_tables!$A:$AF,26,FALSE)*$Q460/100</f>
        <v>0</v>
      </c>
      <c r="AN460" s="583">
        <f>VLOOKUP($H460,Nutrition_tables!$A:$AF,27,FALSE)*$Q460/100</f>
        <v>0</v>
      </c>
      <c r="AO460" s="583">
        <f>VLOOKUP($H460,Nutrition_tables!$A:$AF,28,FALSE)*$Q460/100</f>
        <v>0</v>
      </c>
      <c r="AP460" s="583">
        <f>VLOOKUP($H460,Nutrition_tables!$A:$AF,29,FALSE)*$Q460/100</f>
        <v>0</v>
      </c>
      <c r="AQ460" s="583">
        <f>VLOOKUP($H460,Nutrition_tables!$A:$AF,30,FALSE)*$Q460/100</f>
        <v>0</v>
      </c>
      <c r="AR460" s="583">
        <f>VLOOKUP($H460,Nutrition_tables!$A:$AF,31,FALSE)*$Q460/100</f>
        <v>0</v>
      </c>
      <c r="AS460" s="549">
        <f>VLOOKUP($H460,Nutrition_tables!$A:$AF,32,FALSE)*$Q460/100</f>
        <v>0</v>
      </c>
      <c r="AT460" s="583">
        <f>IF(H460="Select ingredient:","",IF(G460="Select food category:","",IFERROR(VLOOKUP($H460,Ingredient_prices!$E:$W,17,FALSE)*$Q460/1000,"not bought")))</f>
        <v>0.84699999999999998</v>
      </c>
      <c r="AU460" s="583">
        <f>IF(H460="Select ingredient:","",IF(G460="Select food category:","",IFERROR(VLOOKUP($H460,Ingredient_prices!$E:$W,18,FALSE)*$Q460/1000,"not bought")))</f>
        <v>0.84699999999999998</v>
      </c>
      <c r="AV460" s="583">
        <f t="shared" si="1037"/>
        <v>44.69351949211503</v>
      </c>
      <c r="AW460" s="583">
        <f t="shared" si="1038"/>
        <v>5.0539927800103152E-3</v>
      </c>
      <c r="AX460" s="583">
        <f t="shared" si="1039"/>
        <v>5.0539927800103152E-3</v>
      </c>
      <c r="AY460" s="583">
        <f t="shared" si="1040"/>
        <v>5.0287228161102631</v>
      </c>
      <c r="AZ460" s="583">
        <f t="shared" si="1041"/>
        <v>0</v>
      </c>
      <c r="BA460" s="583">
        <f t="shared" si="1042"/>
        <v>0.3431661097627004</v>
      </c>
      <c r="BB460" s="583">
        <f t="shared" si="1043"/>
        <v>5.0539927800103152E-3</v>
      </c>
      <c r="BC460" s="583">
        <f t="shared" si="1044"/>
        <v>0</v>
      </c>
      <c r="BD460" s="583">
        <f t="shared" si="1045"/>
        <v>1.010798556002063E-2</v>
      </c>
      <c r="BE460" s="583">
        <f t="shared" si="1046"/>
        <v>5.0539927800103149E-2</v>
      </c>
      <c r="BF460" s="583">
        <f t="shared" si="1047"/>
        <v>0</v>
      </c>
      <c r="BG460" s="583">
        <f t="shared" si="1048"/>
        <v>5.0539927800103152E-3</v>
      </c>
      <c r="BH460" s="583">
        <f t="shared" si="1049"/>
        <v>0</v>
      </c>
      <c r="BI460" s="583">
        <f t="shared" si="1050"/>
        <v>0</v>
      </c>
      <c r="BJ460" s="583">
        <f t="shared" si="1051"/>
        <v>0</v>
      </c>
      <c r="BK460" s="583">
        <f t="shared" si="1052"/>
        <v>0</v>
      </c>
      <c r="BL460" s="583">
        <f t="shared" si="1053"/>
        <v>0</v>
      </c>
      <c r="BM460" s="583">
        <f t="shared" si="1054"/>
        <v>0</v>
      </c>
      <c r="BN460" s="583">
        <f t="shared" si="1055"/>
        <v>0</v>
      </c>
      <c r="BO460" s="583">
        <f t="shared" si="1056"/>
        <v>0</v>
      </c>
      <c r="BP460" s="583">
        <f t="shared" si="1057"/>
        <v>0</v>
      </c>
      <c r="BQ460" s="583">
        <f t="shared" si="1058"/>
        <v>0</v>
      </c>
      <c r="BR460" s="583">
        <f t="shared" si="1059"/>
        <v>0</v>
      </c>
    </row>
    <row r="461" spans="1:70" s="229" customFormat="1" ht="15" customHeight="1">
      <c r="A461" s="504"/>
      <c r="D461" s="406"/>
      <c r="E461" s="576">
        <f t="shared" si="1060"/>
        <v>100</v>
      </c>
      <c r="F461" s="707"/>
      <c r="G461" s="406" t="s">
        <v>3054</v>
      </c>
      <c r="H461" s="1262" t="s">
        <v>3055</v>
      </c>
      <c r="I461" s="85">
        <v>0</v>
      </c>
      <c r="J461" s="682">
        <v>1</v>
      </c>
      <c r="K461" s="579" t="str">
        <f t="shared" si="1034"/>
        <v/>
      </c>
      <c r="L461" s="580" t="str">
        <f>IF(H461="Select ingredient:","",IF(G461="","",_xlfn.IFNA(VLOOKUP($H461,Ingredient_prices!$E:$U,16,FALSE),0)))</f>
        <v/>
      </c>
      <c r="M461" s="850"/>
      <c r="N461" s="850"/>
      <c r="O461" s="666"/>
      <c r="P461" s="670"/>
      <c r="Q461" s="583">
        <f t="shared" si="1035"/>
        <v>0</v>
      </c>
      <c r="R461" s="583">
        <f>VLOOKUP($H461,'CO2_emission+%_food_waste'!$A:$K,6,FALSE)*$Q461/100</f>
        <v>0</v>
      </c>
      <c r="S461" s="583">
        <f t="shared" si="1036"/>
        <v>0</v>
      </c>
      <c r="T461" s="583" t="str">
        <f>IF(H461="Select ingredient:","",IF(G461="Select food category:","",_xlfn.IFNA(VLOOKUP($H461,Ingredient_prices!$E:$U,16,FALSE)*$Q461/1000,"not bought")))</f>
        <v/>
      </c>
      <c r="U461" s="583" t="str">
        <f>IF(G461="Select food category:","",_xlfn.IFNA(VLOOKUP($H461,Ingredient_prices!$E:$U,16,FALSE)*$R461/1000,"not bought"))</f>
        <v/>
      </c>
      <c r="V461" s="549">
        <f>VLOOKUP($H461,'CO2_emission+%_food_waste'!$A:$K,4,FALSE)*$Q461</f>
        <v>0</v>
      </c>
      <c r="W461" s="583">
        <f>VLOOKUP($H461,Nutrition_tables!$A:$N,10,FALSE)*$Q461/100</f>
        <v>0</v>
      </c>
      <c r="X461" s="583">
        <f>VLOOKUP($H461,Nutrition_tables!$A:$N,11,FALSE)*$Q461/100</f>
        <v>0</v>
      </c>
      <c r="Y461" s="583">
        <f>VLOOKUP($H461,Nutrition_tables!$A:$N,12,FALSE)*$Q461/100</f>
        <v>0</v>
      </c>
      <c r="Z461" s="583">
        <f>VLOOKUP($H461,Nutrition_tables!$A:$N,14,FALSE)*$Q461/100</f>
        <v>0</v>
      </c>
      <c r="AA461" s="583">
        <f>VLOOKUP($H461,Nutrition_tables!$A:$AF,13,FALSE)*$Q461/100</f>
        <v>0</v>
      </c>
      <c r="AB461" s="549">
        <f>VLOOKUP($H461,Nutrition_tables!$A:$AF,15,FALSE)*$Q461/100</f>
        <v>0</v>
      </c>
      <c r="AC461" s="583">
        <f>VLOOKUP($H461,Nutrition_tables!$A:$AF,16,FALSE)*$Q461/100</f>
        <v>0</v>
      </c>
      <c r="AD461" s="583">
        <f>VLOOKUP($H461,Nutrition_tables!$A:$AF,17,FALSE)*$Q461/100</f>
        <v>0</v>
      </c>
      <c r="AE461" s="583">
        <f>VLOOKUP($H461,Nutrition_tables!$A:$AF,18,FALSE)*$Q461/100</f>
        <v>0</v>
      </c>
      <c r="AF461" s="583">
        <f>VLOOKUP($H461,Nutrition_tables!$A:$AF,19,FALSE)*$Q461/100</f>
        <v>0</v>
      </c>
      <c r="AG461" s="583">
        <f>VLOOKUP($H461,Nutrition_tables!$A:$AF,20,FALSE)*$Q461/100</f>
        <v>0</v>
      </c>
      <c r="AH461" s="583">
        <f>VLOOKUP($H461,Nutrition_tables!$A:$AF,21,FALSE)*$Q461/100</f>
        <v>0</v>
      </c>
      <c r="AI461" s="583">
        <f>VLOOKUP($H461,Nutrition_tables!$A:$AF,22,FALSE)*$Q461/100</f>
        <v>0</v>
      </c>
      <c r="AJ461" s="549">
        <f>VLOOKUP($H461,Nutrition_tables!$A:$AF,23,FALSE)*$Q461/100</f>
        <v>0</v>
      </c>
      <c r="AK461" s="583">
        <f>VLOOKUP($H461,Nutrition_tables!$A:$AF,24,FALSE)*$Q461/100</f>
        <v>0</v>
      </c>
      <c r="AL461" s="583">
        <f>VLOOKUP($H461,Nutrition_tables!$A:$AF,25,FALSE)*$Q461/100</f>
        <v>0</v>
      </c>
      <c r="AM461" s="583">
        <f>VLOOKUP($H461,Nutrition_tables!$A:$AF,26,FALSE)*$Q461/100</f>
        <v>0</v>
      </c>
      <c r="AN461" s="583">
        <f>VLOOKUP($H461,Nutrition_tables!$A:$AF,27,FALSE)*$Q461/100</f>
        <v>0</v>
      </c>
      <c r="AO461" s="583">
        <f>VLOOKUP($H461,Nutrition_tables!$A:$AF,28,FALSE)*$Q461/100</f>
        <v>0</v>
      </c>
      <c r="AP461" s="583">
        <f>VLOOKUP($H461,Nutrition_tables!$A:$AF,29,FALSE)*$Q461/100</f>
        <v>0</v>
      </c>
      <c r="AQ461" s="583">
        <f>VLOOKUP($H461,Nutrition_tables!$A:$AF,30,FALSE)*$Q461/100</f>
        <v>0</v>
      </c>
      <c r="AR461" s="583">
        <f>VLOOKUP($H461,Nutrition_tables!$A:$AF,31,FALSE)*$Q461/100</f>
        <v>0</v>
      </c>
      <c r="AS461" s="549">
        <f>VLOOKUP($H461,Nutrition_tables!$A:$AF,32,FALSE)*$Q461/100</f>
        <v>0</v>
      </c>
      <c r="AT461" s="583" t="str">
        <f>IF(H461="Select ingredient:","",IF(G461="Select food category:","",IFERROR(VLOOKUP($H461,Ingredient_prices!$E:$W,17,FALSE)*$Q461/1000,"not bought")))</f>
        <v/>
      </c>
      <c r="AU461" s="583" t="str">
        <f>IF(H461="Select ingredient:","",IF(G461="Select food category:","",IFERROR(VLOOKUP($H461,Ingredient_prices!$E:$W,18,FALSE)*$Q461/1000,"not bought")))</f>
        <v/>
      </c>
      <c r="AV461" s="583">
        <f t="shared" si="1037"/>
        <v>0</v>
      </c>
      <c r="AW461" s="583">
        <f t="shared" si="1038"/>
        <v>0</v>
      </c>
      <c r="AX461" s="583">
        <f t="shared" si="1039"/>
        <v>0</v>
      </c>
      <c r="AY461" s="583">
        <f t="shared" si="1040"/>
        <v>0</v>
      </c>
      <c r="AZ461" s="583">
        <f t="shared" si="1041"/>
        <v>0</v>
      </c>
      <c r="BA461" s="583">
        <f t="shared" si="1042"/>
        <v>0</v>
      </c>
      <c r="BB461" s="583">
        <f t="shared" si="1043"/>
        <v>0</v>
      </c>
      <c r="BC461" s="583">
        <f t="shared" si="1044"/>
        <v>0</v>
      </c>
      <c r="BD461" s="583">
        <f t="shared" si="1045"/>
        <v>0</v>
      </c>
      <c r="BE461" s="583">
        <f t="shared" si="1046"/>
        <v>0</v>
      </c>
      <c r="BF461" s="583">
        <f t="shared" si="1047"/>
        <v>0</v>
      </c>
      <c r="BG461" s="583">
        <f t="shared" si="1048"/>
        <v>0</v>
      </c>
      <c r="BH461" s="583">
        <f t="shared" si="1049"/>
        <v>0</v>
      </c>
      <c r="BI461" s="583">
        <f t="shared" si="1050"/>
        <v>0</v>
      </c>
      <c r="BJ461" s="583">
        <f t="shared" si="1051"/>
        <v>0</v>
      </c>
      <c r="BK461" s="583">
        <f t="shared" si="1052"/>
        <v>0</v>
      </c>
      <c r="BL461" s="583">
        <f t="shared" si="1053"/>
        <v>0</v>
      </c>
      <c r="BM461" s="583">
        <f t="shared" si="1054"/>
        <v>0</v>
      </c>
      <c r="BN461" s="583">
        <f t="shared" si="1055"/>
        <v>0</v>
      </c>
      <c r="BO461" s="583">
        <f t="shared" si="1056"/>
        <v>0</v>
      </c>
      <c r="BP461" s="583">
        <f t="shared" si="1057"/>
        <v>0</v>
      </c>
      <c r="BQ461" s="583">
        <f t="shared" si="1058"/>
        <v>0</v>
      </c>
      <c r="BR461" s="583">
        <f t="shared" si="1059"/>
        <v>0</v>
      </c>
    </row>
    <row r="462" spans="1:70" s="229" customFormat="1" ht="15" customHeight="1">
      <c r="A462" s="504"/>
      <c r="D462" s="85"/>
      <c r="E462" s="576">
        <f t="shared" si="1060"/>
        <v>100</v>
      </c>
      <c r="F462" s="85" t="s">
        <v>3050</v>
      </c>
      <c r="G462" s="406" t="s">
        <v>3073</v>
      </c>
      <c r="H462" s="578" t="s">
        <v>3444</v>
      </c>
      <c r="I462" s="85">
        <v>50</v>
      </c>
      <c r="J462" s="682">
        <v>1</v>
      </c>
      <c r="K462" s="579">
        <f t="shared" si="1034"/>
        <v>5.5000000000000009</v>
      </c>
      <c r="L462" s="580">
        <f>IF(H462="Select ingredient:","",IF(G462="","",_xlfn.IFNA(VLOOKUP($H462,Ingredient_prices!$E:$U,16,FALSE),0)))</f>
        <v>440</v>
      </c>
      <c r="M462" s="850"/>
      <c r="N462" s="850"/>
      <c r="O462" s="666"/>
      <c r="P462" s="670"/>
      <c r="Q462" s="583">
        <f t="shared" si="1035"/>
        <v>50</v>
      </c>
      <c r="R462" s="583">
        <f>VLOOKUP($H462,'CO2_emission+%_food_waste'!$A:$K,6,FALSE)*$Q462/100</f>
        <v>11.1</v>
      </c>
      <c r="S462" s="583">
        <f t="shared" si="1036"/>
        <v>38.9</v>
      </c>
      <c r="T462" s="583">
        <f>IF(H462="Select ingredient:","",IF(G462="Select food category:","",_xlfn.IFNA(VLOOKUP($H462,Ingredient_prices!$E:$U,16,FALSE)*$Q462/1000,"not bought")))</f>
        <v>22</v>
      </c>
      <c r="U462" s="583">
        <f>IF(G462="Select food category:","",_xlfn.IFNA(VLOOKUP($H462,Ingredient_prices!$E:$U,16,FALSE)*$R462/1000,"not bought"))</f>
        <v>4.8840000000000003</v>
      </c>
      <c r="V462" s="549">
        <f>VLOOKUP($H462,'CO2_emission+%_food_waste'!$A:$K,4,FALSE)*$Q462</f>
        <v>163.5</v>
      </c>
      <c r="W462" s="583">
        <f>VLOOKUP($H462,Nutrition_tables!$A:$N,10,FALSE)*$Q462/100</f>
        <v>52</v>
      </c>
      <c r="X462" s="583">
        <f>VLOOKUP($H462,Nutrition_tables!$A:$N,11,FALSE)*$Q462/100</f>
        <v>0</v>
      </c>
      <c r="Y462" s="583">
        <f>VLOOKUP($H462,Nutrition_tables!$A:$N,12,FALSE)*$Q462/100</f>
        <v>11.399999999999999</v>
      </c>
      <c r="Z462" s="583">
        <f>VLOOKUP($H462,Nutrition_tables!$A:$N,14,FALSE)*$Q462/100</f>
        <v>0.75</v>
      </c>
      <c r="AA462" s="583">
        <f>VLOOKUP($H462,Nutrition_tables!$A:$AF,13,FALSE)*$Q462/100</f>
        <v>0</v>
      </c>
      <c r="AB462" s="549">
        <f>VLOOKUP($H462,Nutrition_tables!$A:$AF,15,FALSE)*$Q462/100</f>
        <v>0.14449999999999999</v>
      </c>
      <c r="AC462" s="583">
        <f>VLOOKUP($H462,Nutrition_tables!$A:$AF,16,FALSE)*$Q462/100</f>
        <v>16.899999999999999</v>
      </c>
      <c r="AD462" s="583">
        <f>VLOOKUP($H462,Nutrition_tables!$A:$AF,17,FALSE)*$Q462/100</f>
        <v>196.00000000000003</v>
      </c>
      <c r="AE462" s="583">
        <f>VLOOKUP($H462,Nutrition_tables!$A:$AF,18,FALSE)*$Q462/100</f>
        <v>3.1</v>
      </c>
      <c r="AF462" s="583">
        <f>VLOOKUP($H462,Nutrition_tables!$A:$AF,19,FALSE)*$Q462/100</f>
        <v>15.05</v>
      </c>
      <c r="AG462" s="583">
        <f>VLOOKUP($H462,Nutrition_tables!$A:$AF,20,FALSE)*$Q462/100</f>
        <v>121.5</v>
      </c>
      <c r="AH462" s="583">
        <f>VLOOKUP($H462,Nutrition_tables!$A:$AF,21,FALSE)*$Q462/100</f>
        <v>0.32</v>
      </c>
      <c r="AI462" s="583">
        <f>VLOOKUP($H462,Nutrition_tables!$A:$AF,22,FALSE)*$Q462/100</f>
        <v>0.5</v>
      </c>
      <c r="AJ462" s="549">
        <f>VLOOKUP($H462,Nutrition_tables!$A:$AF,23,FALSE)*$Q462/100</f>
        <v>0.05</v>
      </c>
      <c r="AK462" s="583">
        <f>VLOOKUP($H462,Nutrition_tables!$A:$AF,24,FALSE)*$Q462/100</f>
        <v>3.5</v>
      </c>
      <c r="AL462" s="583">
        <f>VLOOKUP($H462,Nutrition_tables!$A:$AF,25,FALSE)*$Q462/100</f>
        <v>9.5000000000000001E-2</v>
      </c>
      <c r="AM462" s="583">
        <f>VLOOKUP($H462,Nutrition_tables!$A:$AF,26,FALSE)*$Q462/100</f>
        <v>7.0000000000000007E-2</v>
      </c>
      <c r="AN462" s="583">
        <f>VLOOKUP($H462,Nutrition_tables!$A:$AF,27,FALSE)*$Q462/100</f>
        <v>7.95</v>
      </c>
      <c r="AO462" s="583">
        <f>VLOOKUP($H462,Nutrition_tables!$A:$AF,28,FALSE)*$Q462/100</f>
        <v>0.41</v>
      </c>
      <c r="AP462" s="583">
        <f>VLOOKUP($H462,Nutrition_tables!$A:$AF,29,FALSE)*$Q462/100</f>
        <v>11.5</v>
      </c>
      <c r="AQ462" s="583">
        <f>VLOOKUP($H462,Nutrition_tables!$A:$AF,30,FALSE)*$Q462/100</f>
        <v>0.14000000000000001</v>
      </c>
      <c r="AR462" s="583">
        <f>VLOOKUP($H462,Nutrition_tables!$A:$AF,31,FALSE)*$Q462/100</f>
        <v>0</v>
      </c>
      <c r="AS462" s="549">
        <f>VLOOKUP($H462,Nutrition_tables!$A:$AF,32,FALSE)*$Q462/100</f>
        <v>0.75</v>
      </c>
      <c r="AT462" s="583">
        <f>IF(H462="Select ingredient:","",IF(G462="Select food category:","",IFERROR(VLOOKUP($H462,Ingredient_prices!$E:$W,17,FALSE)*$Q462/1000,"not bought")))</f>
        <v>22</v>
      </c>
      <c r="AU462" s="583">
        <f>IF(H462="Select ingredient:","",IF(G462="Select food category:","",IFERROR(VLOOKUP($H462,Ingredient_prices!$E:$W,18,FALSE)*$Q462/1000,"not bought")))</f>
        <v>22</v>
      </c>
      <c r="AV462" s="583">
        <f t="shared" si="1037"/>
        <v>40.455991908801614</v>
      </c>
      <c r="AW462" s="583">
        <f t="shared" si="1038"/>
        <v>0</v>
      </c>
      <c r="AX462" s="583">
        <f t="shared" si="1039"/>
        <v>8.8691982261603535</v>
      </c>
      <c r="AY462" s="583">
        <f t="shared" si="1040"/>
        <v>0.58349988330002323</v>
      </c>
      <c r="AZ462" s="583">
        <f t="shared" si="1041"/>
        <v>0</v>
      </c>
      <c r="BA462" s="583">
        <f t="shared" si="1042"/>
        <v>0.11242097751580447</v>
      </c>
      <c r="BB462" s="583">
        <f t="shared" si="1043"/>
        <v>13.148197370360524</v>
      </c>
      <c r="BC462" s="583">
        <f t="shared" si="1044"/>
        <v>152.48796950240609</v>
      </c>
      <c r="BD462" s="583">
        <f t="shared" si="1045"/>
        <v>2.4117995176400964</v>
      </c>
      <c r="BE462" s="583">
        <f t="shared" si="1046"/>
        <v>11.708897658220469</v>
      </c>
      <c r="BF462" s="583">
        <f t="shared" si="1047"/>
        <v>94.526981094603769</v>
      </c>
      <c r="BG462" s="583">
        <f t="shared" si="1048"/>
        <v>0.24895995020800996</v>
      </c>
      <c r="BH462" s="583">
        <f t="shared" si="1049"/>
        <v>0.3889999222000155</v>
      </c>
      <c r="BI462" s="583">
        <f t="shared" si="1050"/>
        <v>3.8899992220001553E-2</v>
      </c>
      <c r="BJ462" s="583">
        <f t="shared" si="1051"/>
        <v>2.7229994554001089</v>
      </c>
      <c r="BK462" s="583">
        <f t="shared" si="1052"/>
        <v>7.3909985218002947E-2</v>
      </c>
      <c r="BL462" s="583">
        <f t="shared" si="1053"/>
        <v>5.4459989108002184E-2</v>
      </c>
      <c r="BM462" s="583">
        <f t="shared" si="1054"/>
        <v>6.185098762980247</v>
      </c>
      <c r="BN462" s="583">
        <f t="shared" si="1055"/>
        <v>0.31897993620401272</v>
      </c>
      <c r="BO462" s="583">
        <f t="shared" si="1056"/>
        <v>8.9469982106003574</v>
      </c>
      <c r="BP462" s="583">
        <f t="shared" si="1057"/>
        <v>0.10891997821600437</v>
      </c>
      <c r="BQ462" s="583">
        <f t="shared" si="1058"/>
        <v>0</v>
      </c>
      <c r="BR462" s="583">
        <f t="shared" si="1059"/>
        <v>0.58349988330002323</v>
      </c>
    </row>
    <row r="463" spans="1:70" s="229" customFormat="1" ht="15" customHeight="1">
      <c r="A463" s="504"/>
      <c r="D463" s="85"/>
      <c r="E463" s="576">
        <f t="shared" si="1060"/>
        <v>100</v>
      </c>
      <c r="F463" s="85"/>
      <c r="G463" s="406" t="s">
        <v>3075</v>
      </c>
      <c r="H463" s="578" t="s">
        <v>3239</v>
      </c>
      <c r="I463" s="85">
        <v>10</v>
      </c>
      <c r="J463" s="682">
        <v>1</v>
      </c>
      <c r="K463" s="579">
        <f t="shared" si="1034"/>
        <v>1.1000000000000001</v>
      </c>
      <c r="L463" s="580">
        <f>IF(H463="Select ingredient:","",IF(G463="","",_xlfn.IFNA(VLOOKUP($H463,Ingredient_prices!$E:$U,16,FALSE),0)))</f>
        <v>121</v>
      </c>
      <c r="M463" s="850"/>
      <c r="N463" s="850"/>
      <c r="O463" s="666"/>
      <c r="P463" s="670"/>
      <c r="Q463" s="583">
        <f t="shared" si="1035"/>
        <v>10</v>
      </c>
      <c r="R463" s="583">
        <f>VLOOKUP($H463,'CO2_emission+%_food_waste'!$A:$K,6,FALSE)*$Q463/100</f>
        <v>2.78</v>
      </c>
      <c r="S463" s="583">
        <f t="shared" si="1036"/>
        <v>7.2200000000000006</v>
      </c>
      <c r="T463" s="583">
        <f>IF(H463="Select ingredient:","",IF(G463="Select food category:","",_xlfn.IFNA(VLOOKUP($H463,Ingredient_prices!$E:$U,16,FALSE)*$Q463/1000,"not bought")))</f>
        <v>1.21</v>
      </c>
      <c r="U463" s="583">
        <f>IF(G463="Select food category:","",_xlfn.IFNA(VLOOKUP($H463,Ingredient_prices!$E:$U,16,FALSE)*$R463/1000,"not bought"))</f>
        <v>0.33638000000000001</v>
      </c>
      <c r="V463" s="549">
        <f>VLOOKUP($H463,'CO2_emission+%_food_waste'!$A:$K,4,FALSE)*$Q463</f>
        <v>47.300000000000004</v>
      </c>
      <c r="W463" s="583">
        <f>VLOOKUP($H463,Nutrition_tables!$A:$N,10,FALSE)*$Q463/100</f>
        <v>88.432100000000005</v>
      </c>
      <c r="X463" s="583">
        <f>VLOOKUP($H463,Nutrition_tables!$A:$N,11,FALSE)*$Q463/100</f>
        <v>0.01</v>
      </c>
      <c r="Y463" s="583">
        <f>VLOOKUP($H463,Nutrition_tables!$A:$N,12,FALSE)*$Q463/100</f>
        <v>0.01</v>
      </c>
      <c r="Z463" s="583">
        <f>VLOOKUP($H463,Nutrition_tables!$A:$N,14,FALSE)*$Q463/100</f>
        <v>9.9499999999999993</v>
      </c>
      <c r="AA463" s="583">
        <f>VLOOKUP($H463,Nutrition_tables!$A:$AF,13,FALSE)*$Q463/100</f>
        <v>0</v>
      </c>
      <c r="AB463" s="549">
        <f>VLOOKUP($H463,Nutrition_tables!$A:$AF,15,FALSE)*$Q463/100</f>
        <v>0.67900000000000005</v>
      </c>
      <c r="AC463" s="583">
        <f>VLOOKUP($H463,Nutrition_tables!$A:$AF,16,FALSE)*$Q463/100</f>
        <v>0.01</v>
      </c>
      <c r="AD463" s="583">
        <f>VLOOKUP($H463,Nutrition_tables!$A:$AF,17,FALSE)*$Q463/100</f>
        <v>0</v>
      </c>
      <c r="AE463" s="583">
        <f>VLOOKUP($H463,Nutrition_tables!$A:$AF,18,FALSE)*$Q463/100</f>
        <v>0.02</v>
      </c>
      <c r="AF463" s="583">
        <f>VLOOKUP($H463,Nutrition_tables!$A:$AF,19,FALSE)*$Q463/100</f>
        <v>0.1</v>
      </c>
      <c r="AG463" s="583">
        <f>VLOOKUP($H463,Nutrition_tables!$A:$AF,20,FALSE)*$Q463/100</f>
        <v>0</v>
      </c>
      <c r="AH463" s="583">
        <f>VLOOKUP($H463,Nutrition_tables!$A:$AF,21,FALSE)*$Q463/100</f>
        <v>0.01</v>
      </c>
      <c r="AI463" s="583">
        <f>VLOOKUP($H463,Nutrition_tables!$A:$AF,22,FALSE)*$Q463/100</f>
        <v>0</v>
      </c>
      <c r="AJ463" s="549">
        <f>VLOOKUP($H463,Nutrition_tables!$A:$AF,23,FALSE)*$Q463/100</f>
        <v>0</v>
      </c>
      <c r="AK463" s="583">
        <f>VLOOKUP($H463,Nutrition_tables!$A:$AF,24,FALSE)*$Q463/100</f>
        <v>0</v>
      </c>
      <c r="AL463" s="583">
        <f>VLOOKUP($H463,Nutrition_tables!$A:$AF,25,FALSE)*$Q463/100</f>
        <v>0</v>
      </c>
      <c r="AM463" s="583">
        <f>VLOOKUP($H463,Nutrition_tables!$A:$AF,26,FALSE)*$Q463/100</f>
        <v>0</v>
      </c>
      <c r="AN463" s="583">
        <f>VLOOKUP($H463,Nutrition_tables!$A:$AF,27,FALSE)*$Q463/100</f>
        <v>0</v>
      </c>
      <c r="AO463" s="583">
        <f>VLOOKUP($H463,Nutrition_tables!$A:$AF,28,FALSE)*$Q463/100</f>
        <v>0</v>
      </c>
      <c r="AP463" s="583">
        <f>VLOOKUP($H463,Nutrition_tables!$A:$AF,29,FALSE)*$Q463/100</f>
        <v>0</v>
      </c>
      <c r="AQ463" s="583">
        <f>VLOOKUP($H463,Nutrition_tables!$A:$AF,30,FALSE)*$Q463/100</f>
        <v>0</v>
      </c>
      <c r="AR463" s="583">
        <f>VLOOKUP($H463,Nutrition_tables!$A:$AF,31,FALSE)*$Q463/100</f>
        <v>0</v>
      </c>
      <c r="AS463" s="549">
        <f>VLOOKUP($H463,Nutrition_tables!$A:$AF,32,FALSE)*$Q463/100</f>
        <v>0</v>
      </c>
      <c r="AT463" s="583">
        <f>IF(H463="Select ingredient:","",IF(G463="Select food category:","",IFERROR(VLOOKUP($H463,Ingredient_prices!$E:$W,17,FALSE)*$Q463/1000,"not bought")))</f>
        <v>1.21</v>
      </c>
      <c r="AU463" s="583">
        <f>IF(H463="Select ingredient:","",IF(G463="Select food category:","",IFERROR(VLOOKUP($H463,Ingredient_prices!$E:$W,18,FALSE)*$Q463/1000,"not bought")))</f>
        <v>1.21</v>
      </c>
      <c r="AV463" s="583">
        <f t="shared" si="1037"/>
        <v>63.847912352087654</v>
      </c>
      <c r="AW463" s="583">
        <f t="shared" si="1038"/>
        <v>7.2199927800072217E-3</v>
      </c>
      <c r="AX463" s="583">
        <f t="shared" si="1039"/>
        <v>7.2199927800072217E-3</v>
      </c>
      <c r="AY463" s="583">
        <f t="shared" si="1040"/>
        <v>7.1838928161071838</v>
      </c>
      <c r="AZ463" s="583">
        <f t="shared" si="1041"/>
        <v>0</v>
      </c>
      <c r="BA463" s="583">
        <f t="shared" si="1042"/>
        <v>0.49023750976249036</v>
      </c>
      <c r="BB463" s="583">
        <f t="shared" si="1043"/>
        <v>7.2199927800072217E-3</v>
      </c>
      <c r="BC463" s="583">
        <f t="shared" si="1044"/>
        <v>0</v>
      </c>
      <c r="BD463" s="583">
        <f t="shared" si="1045"/>
        <v>1.4439985560014443E-2</v>
      </c>
      <c r="BE463" s="583">
        <f t="shared" si="1046"/>
        <v>7.2199927800072214E-2</v>
      </c>
      <c r="BF463" s="583">
        <f t="shared" si="1047"/>
        <v>0</v>
      </c>
      <c r="BG463" s="583">
        <f t="shared" si="1048"/>
        <v>7.2199927800072217E-3</v>
      </c>
      <c r="BH463" s="583">
        <f t="shared" si="1049"/>
        <v>0</v>
      </c>
      <c r="BI463" s="583">
        <f t="shared" si="1050"/>
        <v>0</v>
      </c>
      <c r="BJ463" s="583">
        <f t="shared" si="1051"/>
        <v>0</v>
      </c>
      <c r="BK463" s="583">
        <f t="shared" si="1052"/>
        <v>0</v>
      </c>
      <c r="BL463" s="583">
        <f t="shared" si="1053"/>
        <v>0</v>
      </c>
      <c r="BM463" s="583">
        <f t="shared" si="1054"/>
        <v>0</v>
      </c>
      <c r="BN463" s="583">
        <f t="shared" si="1055"/>
        <v>0</v>
      </c>
      <c r="BO463" s="583">
        <f t="shared" si="1056"/>
        <v>0</v>
      </c>
      <c r="BP463" s="583">
        <f t="shared" si="1057"/>
        <v>0</v>
      </c>
      <c r="BQ463" s="583">
        <f t="shared" si="1058"/>
        <v>0</v>
      </c>
      <c r="BR463" s="583">
        <f t="shared" si="1059"/>
        <v>0</v>
      </c>
    </row>
    <row r="464" spans="1:70" s="229" customFormat="1" ht="15" customHeight="1">
      <c r="A464" s="504"/>
      <c r="D464" s="85"/>
      <c r="E464" s="576">
        <f t="shared" si="1060"/>
        <v>100</v>
      </c>
      <c r="F464" s="85"/>
      <c r="G464" s="406" t="s">
        <v>3076</v>
      </c>
      <c r="H464" s="578" t="s">
        <v>495</v>
      </c>
      <c r="I464" s="85">
        <v>0.2</v>
      </c>
      <c r="J464" s="682">
        <v>1</v>
      </c>
      <c r="K464" s="579">
        <f t="shared" si="1034"/>
        <v>2.2000000000000002E-2</v>
      </c>
      <c r="L464" s="580">
        <f>IF(H464="Select ingredient:","",IF(G464="","",_xlfn.IFNA(VLOOKUP($H464,Ingredient_prices!$E:$U,16,FALSE),0)))</f>
        <v>33.6</v>
      </c>
      <c r="M464" s="850"/>
      <c r="N464" s="850"/>
      <c r="O464" s="666"/>
      <c r="P464" s="670"/>
      <c r="Q464" s="583">
        <f t="shared" si="1035"/>
        <v>0.2</v>
      </c>
      <c r="R464" s="583">
        <f>VLOOKUP($H464,'CO2_emission+%_food_waste'!$A:$K,6,FALSE)*$Q464/100</f>
        <v>6.2E-2</v>
      </c>
      <c r="S464" s="583">
        <f t="shared" si="1036"/>
        <v>0.13800000000000001</v>
      </c>
      <c r="T464" s="583">
        <f>IF(H464="Select ingredient:","",IF(G464="Select food category:","",_xlfn.IFNA(VLOOKUP($H464,Ingredient_prices!$E:$U,16,FALSE)*$Q464/1000,"not bought")))</f>
        <v>6.7200000000000003E-3</v>
      </c>
      <c r="U464" s="583">
        <f>IF(G464="Select food category:","",_xlfn.IFNA(VLOOKUP($H464,Ingredient_prices!$E:$U,16,FALSE)*$R464/1000,"not bought"))</f>
        <v>2.0832000000000003E-3</v>
      </c>
      <c r="V464" s="549">
        <f>VLOOKUP($H464,'CO2_emission+%_food_waste'!$A:$K,4,FALSE)*$Q464</f>
        <v>3.5999999999999997E-2</v>
      </c>
      <c r="W464" s="583">
        <f>VLOOKUP($H464,Nutrition_tables!$A:$N,10,FALSE)*$Q464/100</f>
        <v>0</v>
      </c>
      <c r="X464" s="583">
        <f>VLOOKUP($H464,Nutrition_tables!$A:$N,11,FALSE)*$Q464/100</f>
        <v>0</v>
      </c>
      <c r="Y464" s="583">
        <f>VLOOKUP($H464,Nutrition_tables!$A:$N,12,FALSE)*$Q464/100</f>
        <v>0</v>
      </c>
      <c r="Z464" s="583">
        <f>VLOOKUP($H464,Nutrition_tables!$A:$N,14,FALSE)*$Q464/100</f>
        <v>0</v>
      </c>
      <c r="AA464" s="583">
        <f>VLOOKUP($H464,Nutrition_tables!$A:$AF,13,FALSE)*$Q464/100</f>
        <v>0</v>
      </c>
      <c r="AB464" s="549">
        <f>VLOOKUP($H464,Nutrition_tables!$A:$AF,15,FALSE)*$Q464/100</f>
        <v>0</v>
      </c>
      <c r="AC464" s="583">
        <f>VLOOKUP($H464,Nutrition_tables!$A:$AF,16,FALSE)*$Q464/100</f>
        <v>77.7</v>
      </c>
      <c r="AD464" s="583">
        <f>VLOOKUP($H464,Nutrition_tables!$A:$AF,17,FALSE)*$Q464/100</f>
        <v>0.23199999999999998</v>
      </c>
      <c r="AE464" s="583">
        <f>VLOOKUP($H464,Nutrition_tables!$A:$AF,18,FALSE)*$Q464/100</f>
        <v>3.8000000000000006E-2</v>
      </c>
      <c r="AF464" s="583">
        <f>VLOOKUP($H464,Nutrition_tables!$A:$AF,19,FALSE)*$Q464/100</f>
        <v>0.53</v>
      </c>
      <c r="AG464" s="583">
        <f>VLOOKUP($H464,Nutrition_tables!$A:$AF,20,FALSE)*$Q464/100</f>
        <v>1.6E-2</v>
      </c>
      <c r="AH464" s="583">
        <f>VLOOKUP($H464,Nutrition_tables!$A:$AF,21,FALSE)*$Q464/100</f>
        <v>4.0000000000000003E-5</v>
      </c>
      <c r="AI464" s="583">
        <f>VLOOKUP($H464,Nutrition_tables!$A:$AF,22,FALSE)*$Q464/100</f>
        <v>2.0000000000000004E-4</v>
      </c>
      <c r="AJ464" s="549">
        <f>VLOOKUP($H464,Nutrition_tables!$A:$AF,23,FALSE)*$Q464/100</f>
        <v>6.0000000000000002E-5</v>
      </c>
      <c r="AK464" s="583">
        <f>VLOOKUP($H464,Nutrition_tables!$A:$AF,24,FALSE)*$Q464/100</f>
        <v>0</v>
      </c>
      <c r="AL464" s="583">
        <f>VLOOKUP($H464,Nutrition_tables!$A:$AF,25,FALSE)*$Q464/100</f>
        <v>0</v>
      </c>
      <c r="AM464" s="583">
        <f>VLOOKUP($H464,Nutrition_tables!$A:$AF,26,FALSE)*$Q464/100</f>
        <v>0</v>
      </c>
      <c r="AN464" s="583">
        <f>VLOOKUP($H464,Nutrition_tables!$A:$AF,27,FALSE)*$Q464/100</f>
        <v>0</v>
      </c>
      <c r="AO464" s="583">
        <f>VLOOKUP($H464,Nutrition_tables!$A:$AF,28,FALSE)*$Q464/100</f>
        <v>0</v>
      </c>
      <c r="AP464" s="583">
        <f>VLOOKUP($H464,Nutrition_tables!$A:$AF,29,FALSE)*$Q464/100</f>
        <v>0</v>
      </c>
      <c r="AQ464" s="583">
        <f>VLOOKUP($H464,Nutrition_tables!$A:$AF,30,FALSE)*$Q464/100</f>
        <v>0</v>
      </c>
      <c r="AR464" s="583">
        <f>VLOOKUP($H464,Nutrition_tables!$A:$AF,31,FALSE)*$Q464/100</f>
        <v>0</v>
      </c>
      <c r="AS464" s="549">
        <f>VLOOKUP($H464,Nutrition_tables!$A:$AF,32,FALSE)*$Q464/100</f>
        <v>0</v>
      </c>
      <c r="AT464" s="583">
        <f>IF(H464="Select ingredient:","",IF(G464="Select food category:","",IFERROR(VLOOKUP($H464,Ingredient_prices!$E:$W,17,FALSE)*$Q464/1000,"not bought")))</f>
        <v>6.7200000000000003E-3</v>
      </c>
      <c r="AU464" s="583">
        <f>IF(H464="Select ingredient:","",IF(G464="Select food category:","",IFERROR(VLOOKUP($H464,Ingredient_prices!$E:$W,18,FALSE)*$Q464/1000,"not bought")))</f>
        <v>6.7200000000000003E-3</v>
      </c>
      <c r="AV464" s="583">
        <f t="shared" si="1037"/>
        <v>0</v>
      </c>
      <c r="AW464" s="583">
        <f t="shared" si="1038"/>
        <v>0</v>
      </c>
      <c r="AX464" s="583">
        <f t="shared" si="1039"/>
        <v>0</v>
      </c>
      <c r="AY464" s="583">
        <f t="shared" si="1040"/>
        <v>0</v>
      </c>
      <c r="AZ464" s="583">
        <f t="shared" si="1041"/>
        <v>0</v>
      </c>
      <c r="BA464" s="583">
        <f t="shared" si="1042"/>
        <v>0</v>
      </c>
      <c r="BB464" s="583">
        <f t="shared" si="1043"/>
        <v>53.610319484025801</v>
      </c>
      <c r="BC464" s="583">
        <f t="shared" si="1044"/>
        <v>0.16007199640017999</v>
      </c>
      <c r="BD464" s="583">
        <f t="shared" si="1045"/>
        <v>2.6218689065546728E-2</v>
      </c>
      <c r="BE464" s="583">
        <f t="shared" si="1046"/>
        <v>0.36568171591420429</v>
      </c>
      <c r="BF464" s="583">
        <f t="shared" si="1047"/>
        <v>1.103944802759862E-2</v>
      </c>
      <c r="BG464" s="583">
        <f t="shared" si="1048"/>
        <v>2.7598620068996551E-5</v>
      </c>
      <c r="BH464" s="583">
        <f t="shared" si="1049"/>
        <v>1.3799310034498278E-4</v>
      </c>
      <c r="BI464" s="583">
        <f t="shared" si="1050"/>
        <v>4.1397930103494823E-5</v>
      </c>
      <c r="BJ464" s="583">
        <f t="shared" si="1051"/>
        <v>0</v>
      </c>
      <c r="BK464" s="583">
        <f t="shared" si="1052"/>
        <v>0</v>
      </c>
      <c r="BL464" s="583">
        <f t="shared" si="1053"/>
        <v>0</v>
      </c>
      <c r="BM464" s="583">
        <f t="shared" si="1054"/>
        <v>0</v>
      </c>
      <c r="BN464" s="583">
        <f t="shared" si="1055"/>
        <v>0</v>
      </c>
      <c r="BO464" s="583">
        <f t="shared" si="1056"/>
        <v>0</v>
      </c>
      <c r="BP464" s="583">
        <f t="shared" si="1057"/>
        <v>0</v>
      </c>
      <c r="BQ464" s="583">
        <f t="shared" si="1058"/>
        <v>0</v>
      </c>
      <c r="BR464" s="583">
        <f t="shared" si="1059"/>
        <v>0</v>
      </c>
    </row>
    <row r="465" spans="1:70" s="229" customFormat="1" ht="15" customHeight="1">
      <c r="A465" s="504"/>
      <c r="D465" s="85"/>
      <c r="E465" s="576">
        <f t="shared" si="1060"/>
        <v>100</v>
      </c>
      <c r="F465" s="85"/>
      <c r="G465" s="406" t="s">
        <v>3076</v>
      </c>
      <c r="H465" s="578" t="s">
        <v>3301</v>
      </c>
      <c r="I465" s="85">
        <v>0.4</v>
      </c>
      <c r="J465" s="682">
        <v>1</v>
      </c>
      <c r="K465" s="579">
        <f t="shared" si="1034"/>
        <v>4.4000000000000004E-2</v>
      </c>
      <c r="L465" s="580">
        <f>IF(H465="Select ingredient:","",IF(G465="","",_xlfn.IFNA(VLOOKUP($H465,Ingredient_prices!$E:$U,16,FALSE),0)))</f>
        <v>369.6</v>
      </c>
      <c r="M465" s="850"/>
      <c r="N465" s="850"/>
      <c r="O465" s="666"/>
      <c r="P465" s="670"/>
      <c r="Q465" s="583">
        <f t="shared" si="1035"/>
        <v>0.4</v>
      </c>
      <c r="R465" s="583">
        <f>VLOOKUP($H465,'CO2_emission+%_food_waste'!$A:$K,6,FALSE)*$Q465/100</f>
        <v>0.12560000000000002</v>
      </c>
      <c r="S465" s="583">
        <f t="shared" si="1036"/>
        <v>0.27439999999999998</v>
      </c>
      <c r="T465" s="583">
        <f>IF(H465="Select ingredient:","",IF(G465="Select food category:","",_xlfn.IFNA(VLOOKUP($H465,Ingredient_prices!$E:$U,16,FALSE)*$Q465/1000,"not bought")))</f>
        <v>0.14784</v>
      </c>
      <c r="U465" s="583">
        <f>IF(G465="Select food category:","",_xlfn.IFNA(VLOOKUP($H465,Ingredient_prices!$E:$U,16,FALSE)*$R465/1000,"not bought"))</f>
        <v>4.6421760000000006E-2</v>
      </c>
      <c r="V465" s="549">
        <f>VLOOKUP($H465,'CO2_emission+%_food_waste'!$A:$K,4,FALSE)*$Q465</f>
        <v>0.34800000000000003</v>
      </c>
      <c r="W465" s="583">
        <f>VLOOKUP($H465,Nutrition_tables!$A:$N,10,FALSE)*$Q465/100</f>
        <v>0.54800000000000004</v>
      </c>
      <c r="X465" s="583">
        <f>VLOOKUP($H465,Nutrition_tables!$A:$N,11,FALSE)*$Q465/100</f>
        <v>9.8000000000000004E-2</v>
      </c>
      <c r="Y465" s="583">
        <f>VLOOKUP($H465,Nutrition_tables!$A:$N,12,FALSE)*$Q465/100</f>
        <v>3.4000000000000002E-2</v>
      </c>
      <c r="Z465" s="583">
        <f>VLOOKUP($H465,Nutrition_tables!$A:$N,14,FALSE)*$Q465/100</f>
        <v>2.3999999999999998E-3</v>
      </c>
      <c r="AA465" s="583">
        <f>VLOOKUP($H465,Nutrition_tables!$A:$AF,13,FALSE)*$Q465/100</f>
        <v>-1.5999999999999999E-5</v>
      </c>
      <c r="AB465" s="549">
        <f>VLOOKUP($H465,Nutrition_tables!$A:$AF,15,FALSE)*$Q465/100</f>
        <v>-1.5999999999999999E-5</v>
      </c>
      <c r="AC465" s="583">
        <f>VLOOKUP($H465,Nutrition_tables!$A:$AF,16,FALSE)*$Q465/100</f>
        <v>51.04</v>
      </c>
      <c r="AD465" s="583">
        <f>VLOOKUP($H465,Nutrition_tables!$A:$AF,17,FALSE)*$Q465/100</f>
        <v>4</v>
      </c>
      <c r="AE465" s="583">
        <f>VLOOKUP($H465,Nutrition_tables!$A:$AF,18,FALSE)*$Q465/100</f>
        <v>0</v>
      </c>
      <c r="AF465" s="583">
        <f>VLOOKUP($H465,Nutrition_tables!$A:$AF,19,FALSE)*$Q465/100</f>
        <v>-1.5999999999999999E-5</v>
      </c>
      <c r="AG465" s="583">
        <f>VLOOKUP($H465,Nutrition_tables!$A:$AF,20,FALSE)*$Q465/100</f>
        <v>-1.5999999999999999E-5</v>
      </c>
      <c r="AH465" s="583">
        <f>VLOOKUP($H465,Nutrition_tables!$A:$AF,21,FALSE)*$Q465/100</f>
        <v>2.8800000000000003E-2</v>
      </c>
      <c r="AI465" s="583">
        <f>VLOOKUP($H465,Nutrition_tables!$A:$AF,22,FALSE)*$Q465/100</f>
        <v>-1.5999999999999999E-5</v>
      </c>
      <c r="AJ465" s="549">
        <f>VLOOKUP($H465,Nutrition_tables!$A:$AF,23,FALSE)*$Q465/100</f>
        <v>-1.6000000000000001E-6</v>
      </c>
      <c r="AK465" s="583">
        <f>VLOOKUP($H465,Nutrition_tables!$A:$AF,24,FALSE)*$Q465/100</f>
        <v>-1.5999999999999999E-5</v>
      </c>
      <c r="AL465" s="583">
        <f>VLOOKUP($H465,Nutrition_tables!$A:$AF,25,FALSE)*$Q465/100</f>
        <v>-1.5999999999999999E-5</v>
      </c>
      <c r="AM465" s="583">
        <f>VLOOKUP($H465,Nutrition_tables!$A:$AF,26,FALSE)*$Q465/100</f>
        <v>-1.5999999999999999E-5</v>
      </c>
      <c r="AN465" s="583">
        <f>VLOOKUP($H465,Nutrition_tables!$A:$AF,27,FALSE)*$Q465/100</f>
        <v>-1.5999999999999999E-5</v>
      </c>
      <c r="AO465" s="583">
        <f>VLOOKUP($H465,Nutrition_tables!$A:$AF,28,FALSE)*$Q465/100</f>
        <v>-1.5999999999999999E-5</v>
      </c>
      <c r="AP465" s="583">
        <f>VLOOKUP($H465,Nutrition_tables!$A:$AF,29,FALSE)*$Q465/100</f>
        <v>-1.5999999999999999E-5</v>
      </c>
      <c r="AQ465" s="583">
        <f>VLOOKUP($H465,Nutrition_tables!$A:$AF,30,FALSE)*$Q465/100</f>
        <v>-1.6000000000000001E-6</v>
      </c>
      <c r="AR465" s="583">
        <f>VLOOKUP($H465,Nutrition_tables!$A:$AF,31,FALSE)*$Q465/100</f>
        <v>0</v>
      </c>
      <c r="AS465" s="549">
        <f>VLOOKUP($H465,Nutrition_tables!$A:$AF,32,FALSE)*$Q465/100</f>
        <v>-1.6000000000000001E-6</v>
      </c>
      <c r="AT465" s="583">
        <f>IF(H465="Select ingredient:","",IF(G465="Select food category:","",IFERROR(VLOOKUP($H465,Ingredient_prices!$E:$W,17,FALSE)*$Q465/1000,"not bought")))</f>
        <v>0.14784</v>
      </c>
      <c r="AU465" s="583">
        <f>IF(H465="Select ingredient:","",IF(G465="Select food category:","",IFERROR(VLOOKUP($H465,Ingredient_prices!$E:$W,18,FALSE)*$Q465/1000,"not bought")))</f>
        <v>0.14784</v>
      </c>
      <c r="AV465" s="583">
        <f t="shared" si="1037"/>
        <v>0.37591860203494915</v>
      </c>
      <c r="AW465" s="583">
        <f t="shared" si="1038"/>
        <v>6.722631934201645E-2</v>
      </c>
      <c r="AX465" s="583">
        <f t="shared" si="1039"/>
        <v>2.3323416914577136E-2</v>
      </c>
      <c r="AY465" s="583">
        <f t="shared" si="1040"/>
        <v>1.6463588410289738E-3</v>
      </c>
      <c r="AZ465" s="583">
        <f t="shared" si="1041"/>
        <v>-1.0975725606859827E-5</v>
      </c>
      <c r="BA465" s="583">
        <f t="shared" si="1042"/>
        <v>-1.0975725606859827E-5</v>
      </c>
      <c r="BB465" s="583">
        <f t="shared" si="1043"/>
        <v>35.012564685882843</v>
      </c>
      <c r="BC465" s="583">
        <f t="shared" si="1044"/>
        <v>2.7439314017149568</v>
      </c>
      <c r="BD465" s="583">
        <f t="shared" si="1045"/>
        <v>0</v>
      </c>
      <c r="BE465" s="583">
        <f t="shared" si="1046"/>
        <v>-1.0975725606859827E-5</v>
      </c>
      <c r="BF465" s="583">
        <f t="shared" si="1047"/>
        <v>-1.0975725606859827E-5</v>
      </c>
      <c r="BG465" s="583">
        <f t="shared" si="1048"/>
        <v>1.975630609234769E-2</v>
      </c>
      <c r="BH465" s="583">
        <f t="shared" si="1049"/>
        <v>-1.0975725606859827E-5</v>
      </c>
      <c r="BI465" s="583">
        <f t="shared" si="1050"/>
        <v>-1.0975725606859828E-6</v>
      </c>
      <c r="BJ465" s="583">
        <f t="shared" si="1051"/>
        <v>-1.0975725606859827E-5</v>
      </c>
      <c r="BK465" s="583">
        <f t="shared" si="1052"/>
        <v>-1.0975725606859827E-5</v>
      </c>
      <c r="BL465" s="583">
        <f t="shared" si="1053"/>
        <v>-1.0975725606859827E-5</v>
      </c>
      <c r="BM465" s="583">
        <f t="shared" si="1054"/>
        <v>-1.0975725606859827E-5</v>
      </c>
      <c r="BN465" s="583">
        <f t="shared" si="1055"/>
        <v>-1.0975725606859827E-5</v>
      </c>
      <c r="BO465" s="583">
        <f t="shared" si="1056"/>
        <v>-1.0975725606859827E-5</v>
      </c>
      <c r="BP465" s="583">
        <f t="shared" si="1057"/>
        <v>-1.0975725606859828E-6</v>
      </c>
      <c r="BQ465" s="583">
        <f t="shared" si="1058"/>
        <v>0</v>
      </c>
      <c r="BR465" s="583">
        <f t="shared" si="1059"/>
        <v>-1.0975725606859828E-6</v>
      </c>
    </row>
    <row r="466" spans="1:70" s="229" customFormat="1" ht="15" customHeight="1">
      <c r="A466" s="504"/>
      <c r="D466" s="85"/>
      <c r="E466" s="576">
        <f t="shared" si="1060"/>
        <v>100</v>
      </c>
      <c r="F466" s="1103"/>
      <c r="G466" s="406" t="s">
        <v>3140</v>
      </c>
      <c r="H466" s="578" t="s">
        <v>3115</v>
      </c>
      <c r="I466" s="85">
        <v>10</v>
      </c>
      <c r="J466" s="682">
        <v>1</v>
      </c>
      <c r="K466" s="579">
        <f t="shared" si="1034"/>
        <v>1.1000000000000001</v>
      </c>
      <c r="L466" s="580">
        <f>IF(H466="Select ingredient:","",IF(G466="","",_xlfn.IFNA(VLOOKUP($H466,Ingredient_prices!$E:$U,16,FALSE),0)))</f>
        <v>110</v>
      </c>
      <c r="M466" s="850"/>
      <c r="N466" s="850"/>
      <c r="O466" s="666"/>
      <c r="P466" s="670"/>
      <c r="Q466" s="583">
        <f t="shared" si="1035"/>
        <v>10</v>
      </c>
      <c r="R466" s="583">
        <f>VLOOKUP($H466,'CO2_emission+%_food_waste'!$A:$K,6,FALSE)*$Q466/100</f>
        <v>3.0030000000000001</v>
      </c>
      <c r="S466" s="583">
        <f t="shared" si="1036"/>
        <v>6.9969999999999999</v>
      </c>
      <c r="T466" s="583">
        <f>IF(H466="Select ingredient:","",IF(G466="Select food category:","",_xlfn.IFNA(VLOOKUP($H466,Ingredient_prices!$E:$U,16,FALSE)*$Q466/1000,"not bought")))</f>
        <v>1.1000000000000001</v>
      </c>
      <c r="U466" s="583">
        <f>IF(G466="Select food category:","",_xlfn.IFNA(VLOOKUP($H466,Ingredient_prices!$E:$U,16,FALSE)*$R466/1000,"not bought"))</f>
        <v>0.33033000000000007</v>
      </c>
      <c r="V466" s="549">
        <f>VLOOKUP($H466,'CO2_emission+%_food_waste'!$A:$K,4,FALSE)*$Q466</f>
        <v>4.6000000000000005</v>
      </c>
      <c r="W466" s="583">
        <f>VLOOKUP($H466,Nutrition_tables!$A:$N,10,FALSE)*$Q466/100</f>
        <v>3.18</v>
      </c>
      <c r="X466" s="583">
        <f>VLOOKUP($H466,Nutrition_tables!$A:$N,11,FALSE)*$Q466/100</f>
        <v>0.66</v>
      </c>
      <c r="Y466" s="583">
        <f>VLOOKUP($H466,Nutrition_tables!$A:$N,12,FALSE)*$Q466/100</f>
        <v>8.4000000000000005E-2</v>
      </c>
      <c r="Z466" s="583">
        <f>VLOOKUP($H466,Nutrition_tables!$A:$N,14,FALSE)*$Q466/100</f>
        <v>2.7000000000000003E-2</v>
      </c>
      <c r="AA466" s="583">
        <f>VLOOKUP($H466,Nutrition_tables!$A:$AF,13,FALSE)*$Q466/100</f>
        <v>0.217</v>
      </c>
      <c r="AB466" s="549">
        <f>VLOOKUP($H466,Nutrition_tables!$A:$AF,15,FALSE)*$Q466/100</f>
        <v>4.0000000000000001E-3</v>
      </c>
      <c r="AC466" s="583">
        <f>VLOOKUP($H466,Nutrition_tables!$A:$AF,16,FALSE)*$Q466/100</f>
        <v>3.76</v>
      </c>
      <c r="AD466" s="583">
        <f>VLOOKUP($H466,Nutrition_tables!$A:$AF,17,FALSE)*$Q466/100</f>
        <v>31.5</v>
      </c>
      <c r="AE466" s="583">
        <f>VLOOKUP($H466,Nutrition_tables!$A:$AF,18,FALSE)*$Q466/100</f>
        <v>3.19</v>
      </c>
      <c r="AF466" s="583">
        <f>VLOOKUP($H466,Nutrition_tables!$A:$AF,19,FALSE)*$Q466/100</f>
        <v>1.18</v>
      </c>
      <c r="AG466" s="583">
        <f>VLOOKUP($H466,Nutrition_tables!$A:$AF,20,FALSE)*$Q466/100</f>
        <v>1.64</v>
      </c>
      <c r="AH466" s="583">
        <f>VLOOKUP($H466,Nutrition_tables!$A:$AF,21,FALSE)*$Q466/100</f>
        <v>2.1000000000000001E-2</v>
      </c>
      <c r="AI466" s="583">
        <f>VLOOKUP($H466,Nutrition_tables!$A:$AF,22,FALSE)*$Q466/100</f>
        <v>2.1999999999999999E-2</v>
      </c>
      <c r="AJ466" s="549">
        <f>VLOOKUP($H466,Nutrition_tables!$A:$AF,23,FALSE)*$Q466/100</f>
        <v>4.4999999999999999E-4</v>
      </c>
      <c r="AK466" s="583">
        <f>VLOOKUP($H466,Nutrition_tables!$A:$AF,24,FALSE)*$Q466/100</f>
        <v>85.2</v>
      </c>
      <c r="AL466" s="583">
        <f>VLOOKUP($H466,Nutrition_tables!$A:$AF,25,FALSE)*$Q466/100</f>
        <v>5.0000000000000001E-3</v>
      </c>
      <c r="AM466" s="583">
        <f>VLOOKUP($H466,Nutrition_tables!$A:$AF,26,FALSE)*$Q466/100</f>
        <v>4.0000000000000001E-3</v>
      </c>
      <c r="AN466" s="583">
        <f>VLOOKUP($H466,Nutrition_tables!$A:$AF,27,FALSE)*$Q466/100</f>
        <v>9.8000000000000004E-2</v>
      </c>
      <c r="AO466" s="583">
        <f>VLOOKUP($H466,Nutrition_tables!$A:$AF,28,FALSE)*$Q466/100</f>
        <v>1.2E-2</v>
      </c>
      <c r="AP466" s="583">
        <f>VLOOKUP($H466,Nutrition_tables!$A:$AF,29,FALSE)*$Q466/100</f>
        <v>4.6399999999999988</v>
      </c>
      <c r="AQ466" s="583">
        <f>VLOOKUP($H466,Nutrition_tables!$A:$AF,30,FALSE)*$Q466/100</f>
        <v>0</v>
      </c>
      <c r="AR466" s="583">
        <f>VLOOKUP($H466,Nutrition_tables!$A:$AF,31,FALSE)*$Q466/100</f>
        <v>0.54400000000000004</v>
      </c>
      <c r="AS466" s="549">
        <f>VLOOKUP($H466,Nutrition_tables!$A:$AF,32,FALSE)*$Q466/100</f>
        <v>0</v>
      </c>
      <c r="AT466" s="583">
        <f>IF(H466="Select ingredient:","",IF(G466="Select food category:","",IFERROR(VLOOKUP($H466,Ingredient_prices!$E:$W,17,FALSE)*$Q466/1000,"not bought")))</f>
        <v>0.38500000000000001</v>
      </c>
      <c r="AU466" s="583">
        <f>IF(H466="Select ingredient:","",IF(G466="Select food category:","",IFERROR(VLOOKUP($H466,Ingredient_prices!$E:$W,18,FALSE)*$Q466/1000,"not bought")))</f>
        <v>1.1000000000000001</v>
      </c>
      <c r="AV466" s="583">
        <f t="shared" si="1037"/>
        <v>2.2250437749562253</v>
      </c>
      <c r="AW466" s="583">
        <f t="shared" si="1038"/>
        <v>0.46180153819846187</v>
      </c>
      <c r="AX466" s="583">
        <f t="shared" si="1039"/>
        <v>5.8774741225258782E-2</v>
      </c>
      <c r="AY466" s="583">
        <f t="shared" si="1040"/>
        <v>1.8891881108118895E-2</v>
      </c>
      <c r="AZ466" s="583">
        <f t="shared" si="1041"/>
        <v>0.15183474816525183</v>
      </c>
      <c r="BA466" s="583">
        <f t="shared" si="1042"/>
        <v>2.7987972012027988E-3</v>
      </c>
      <c r="BB466" s="583">
        <f t="shared" si="1043"/>
        <v>2.6308693691306306</v>
      </c>
      <c r="BC466" s="583">
        <f t="shared" si="1044"/>
        <v>22.04052795947204</v>
      </c>
      <c r="BD466" s="583">
        <f t="shared" si="1045"/>
        <v>2.2320407679592318</v>
      </c>
      <c r="BE466" s="583">
        <f t="shared" si="1046"/>
        <v>0.82564517435482554</v>
      </c>
      <c r="BF466" s="583">
        <f t="shared" si="1047"/>
        <v>1.1475068524931473</v>
      </c>
      <c r="BG466" s="583">
        <f t="shared" si="1048"/>
        <v>1.4693685306314696E-2</v>
      </c>
      <c r="BH466" s="583">
        <f t="shared" si="1049"/>
        <v>1.5393384606615393E-2</v>
      </c>
      <c r="BI466" s="583">
        <f t="shared" si="1050"/>
        <v>3.1486468513531484E-4</v>
      </c>
      <c r="BJ466" s="583">
        <f t="shared" si="1051"/>
        <v>59.614380385619619</v>
      </c>
      <c r="BK466" s="583">
        <f t="shared" si="1052"/>
        <v>3.4984965015034987E-3</v>
      </c>
      <c r="BL466" s="583">
        <f t="shared" si="1053"/>
        <v>2.7987972012027988E-3</v>
      </c>
      <c r="BM466" s="583">
        <f t="shared" si="1054"/>
        <v>6.8570531429468576E-2</v>
      </c>
      <c r="BN466" s="583">
        <f t="shared" si="1055"/>
        <v>8.3963916036083972E-3</v>
      </c>
      <c r="BO466" s="583">
        <f t="shared" si="1056"/>
        <v>3.2466047533952458</v>
      </c>
      <c r="BP466" s="583">
        <f t="shared" si="1057"/>
        <v>0</v>
      </c>
      <c r="BQ466" s="583">
        <f t="shared" si="1058"/>
        <v>0.38063641936358067</v>
      </c>
      <c r="BR466" s="583">
        <f t="shared" si="1059"/>
        <v>0</v>
      </c>
    </row>
    <row r="467" spans="1:70" s="229" customFormat="1" ht="15" customHeight="1">
      <c r="A467" s="504"/>
      <c r="D467" s="85"/>
      <c r="E467" s="576">
        <f t="shared" si="1060"/>
        <v>100</v>
      </c>
      <c r="F467" s="1103"/>
      <c r="G467" s="406" t="s">
        <v>3140</v>
      </c>
      <c r="H467" s="578" t="s">
        <v>3123</v>
      </c>
      <c r="I467" s="85">
        <v>10</v>
      </c>
      <c r="J467" s="682">
        <v>1</v>
      </c>
      <c r="K467" s="579">
        <f t="shared" si="1034"/>
        <v>1.1000000000000001</v>
      </c>
      <c r="L467" s="580">
        <f>IF(H467="Select ingredient:","",IF(G467="","",_xlfn.IFNA(VLOOKUP($H467,Ingredient_prices!$E:$U,16,FALSE),0)))</f>
        <v>110</v>
      </c>
      <c r="M467" s="850"/>
      <c r="N467" s="850"/>
      <c r="O467" s="666"/>
      <c r="P467" s="670"/>
      <c r="Q467" s="583">
        <f t="shared" si="1035"/>
        <v>10</v>
      </c>
      <c r="R467" s="583">
        <f>VLOOKUP($H467,'CO2_emission+%_food_waste'!$A:$K,6,FALSE)*$Q467/100</f>
        <v>2.69</v>
      </c>
      <c r="S467" s="583">
        <f t="shared" si="1036"/>
        <v>7.3100000000000005</v>
      </c>
      <c r="T467" s="583">
        <f>IF(H467="Select ingredient:","",IF(G467="Select food category:","",_xlfn.IFNA(VLOOKUP($H467,Ingredient_prices!$E:$U,16,FALSE)*$Q467/1000,"not bought")))</f>
        <v>1.1000000000000001</v>
      </c>
      <c r="U467" s="583">
        <f>IF(G467="Select food category:","",_xlfn.IFNA(VLOOKUP($H467,Ingredient_prices!$E:$U,16,FALSE)*$R467/1000,"not bought"))</f>
        <v>0.2959</v>
      </c>
      <c r="V467" s="549">
        <f>VLOOKUP($H467,'CO2_emission+%_food_waste'!$A:$K,4,FALSE)*$Q467</f>
        <v>12.5</v>
      </c>
      <c r="W467" s="583">
        <f>VLOOKUP($H467,Nutrition_tables!$A:$N,10,FALSE)*$Q467/100</f>
        <v>7.6003866666666671</v>
      </c>
      <c r="X467" s="583">
        <f>VLOOKUP($H467,Nutrition_tables!$A:$N,11,FALSE)*$Q467/100</f>
        <v>0.89</v>
      </c>
      <c r="Y467" s="583">
        <f>VLOOKUP($H467,Nutrition_tables!$A:$N,12,FALSE)*$Q467/100</f>
        <v>0.61</v>
      </c>
      <c r="Z467" s="583">
        <f>VLOOKUP($H467,Nutrition_tables!$A:$N,14,FALSE)*$Q467/100</f>
        <v>7.0000000000000007E-2</v>
      </c>
      <c r="AA467" s="583">
        <f>VLOOKUP($H467,Nutrition_tables!$A:$AF,13,FALSE)*$Q467/100</f>
        <v>0.47</v>
      </c>
      <c r="AB467" s="549">
        <f>VLOOKUP($H467,Nutrition_tables!$A:$AF,15,FALSE)*$Q467/100</f>
        <v>1.2800000000000001E-2</v>
      </c>
      <c r="AC467" s="583">
        <f>VLOOKUP($H467,Nutrition_tables!$A:$AF,16,FALSE)*$Q467/100</f>
        <v>0.2</v>
      </c>
      <c r="AD467" s="583">
        <f>VLOOKUP($H467,Nutrition_tables!$A:$AF,17,FALSE)*$Q467/100</f>
        <v>16.3</v>
      </c>
      <c r="AE467" s="583">
        <f>VLOOKUP($H467,Nutrition_tables!$A:$AF,18,FALSE)*$Q467/100</f>
        <v>3.5</v>
      </c>
      <c r="AF467" s="583">
        <f>VLOOKUP($H467,Nutrition_tables!$A:$AF,19,FALSE)*$Q467/100</f>
        <v>2.5800000000000005</v>
      </c>
      <c r="AG467" s="583">
        <f>VLOOKUP($H467,Nutrition_tables!$A:$AF,20,FALSE)*$Q467/100</f>
        <v>9.1799999999999979</v>
      </c>
      <c r="AH467" s="583">
        <f>VLOOKUP($H467,Nutrition_tables!$A:$AF,21,FALSE)*$Q467/100</f>
        <v>0.13500000000000001</v>
      </c>
      <c r="AI467" s="583">
        <f>VLOOKUP($H467,Nutrition_tables!$A:$AF,22,FALSE)*$Q467/100</f>
        <v>8.900000000000001E-2</v>
      </c>
      <c r="AJ467" s="549">
        <f>VLOOKUP($H467,Nutrition_tables!$A:$AF,23,FALSE)*$Q467/100</f>
        <v>1.7000000000000001E-2</v>
      </c>
      <c r="AK467" s="583">
        <f>VLOOKUP($H467,Nutrition_tables!$A:$AF,24,FALSE)*$Q467/100</f>
        <v>2.98</v>
      </c>
      <c r="AL467" s="583">
        <f>VLOOKUP($H467,Nutrition_tables!$A:$AF,25,FALSE)*$Q467/100</f>
        <v>2.8306666666666667E-2</v>
      </c>
      <c r="AM467" s="583">
        <f>VLOOKUP($H467,Nutrition_tables!$A:$AF,26,FALSE)*$Q467/100</f>
        <v>9.7999999999999979E-3</v>
      </c>
      <c r="AN467" s="583">
        <f>VLOOKUP($H467,Nutrition_tables!$A:$AF,27,FALSE)*$Q467/100</f>
        <v>0.17100000000000001</v>
      </c>
      <c r="AO467" s="583">
        <f>VLOOKUP($H467,Nutrition_tables!$A:$AF,28,FALSE)*$Q467/100</f>
        <v>7.7066666666666664E-3</v>
      </c>
      <c r="AP467" s="583">
        <f>VLOOKUP($H467,Nutrition_tables!$A:$AF,29,FALSE)*$Q467/100</f>
        <v>12.1</v>
      </c>
      <c r="AQ467" s="583">
        <f>VLOOKUP($H467,Nutrition_tables!$A:$AF,30,FALSE)*$Q467/100</f>
        <v>-4.0000000000000003E-5</v>
      </c>
      <c r="AR467" s="583">
        <f>VLOOKUP($H467,Nutrition_tables!$A:$AF,31,FALSE)*$Q467/100</f>
        <v>1.93</v>
      </c>
      <c r="AS467" s="549">
        <f>VLOOKUP($H467,Nutrition_tables!$A:$AF,32,FALSE)*$Q467/100</f>
        <v>-4.0000000000000003E-5</v>
      </c>
      <c r="AT467" s="583">
        <f>IF(H467="Select ingredient:","",IF(G467="Select food category:","",IFERROR(VLOOKUP($H467,Ingredient_prices!$E:$W,17,FALSE)*$Q467/1000,"not bought")))</f>
        <v>1.1000000000000001</v>
      </c>
      <c r="AU467" s="583">
        <f>IF(H467="Select ingredient:","",IF(G467="Select food category:","",IFERROR(VLOOKUP($H467,Ingredient_prices!$E:$W,18,FALSE)*$Q467/1000,"not bought")))</f>
        <v>1.1000000000000001</v>
      </c>
      <c r="AV467" s="583">
        <f t="shared" si="1037"/>
        <v>5.5558770974562366</v>
      </c>
      <c r="AW467" s="583">
        <f t="shared" si="1038"/>
        <v>0.65058934941065061</v>
      </c>
      <c r="AX467" s="583">
        <f t="shared" si="1039"/>
        <v>0.44590955409044597</v>
      </c>
      <c r="AY467" s="583">
        <f t="shared" si="1040"/>
        <v>5.1169948830051173E-2</v>
      </c>
      <c r="AZ467" s="583">
        <f t="shared" si="1041"/>
        <v>0.3435696564303436</v>
      </c>
      <c r="BA467" s="583">
        <f t="shared" si="1042"/>
        <v>9.3567906432093575E-3</v>
      </c>
      <c r="BB467" s="583">
        <f t="shared" si="1043"/>
        <v>0.14619985380014622</v>
      </c>
      <c r="BC467" s="583">
        <f t="shared" si="1044"/>
        <v>11.915288084711918</v>
      </c>
      <c r="BD467" s="583">
        <f t="shared" si="1045"/>
        <v>2.5584974415025585</v>
      </c>
      <c r="BE467" s="583">
        <f t="shared" si="1046"/>
        <v>1.8859781140218863</v>
      </c>
      <c r="BF467" s="583">
        <f t="shared" si="1047"/>
        <v>6.7105732894267094</v>
      </c>
      <c r="BG467" s="583">
        <f t="shared" si="1048"/>
        <v>9.8684901315098703E-2</v>
      </c>
      <c r="BH467" s="583">
        <f t="shared" si="1049"/>
        <v>6.5058934941065072E-2</v>
      </c>
      <c r="BI467" s="583">
        <f t="shared" si="1050"/>
        <v>1.242698757301243E-2</v>
      </c>
      <c r="BJ467" s="583">
        <f t="shared" si="1051"/>
        <v>2.178377821622179</v>
      </c>
      <c r="BK467" s="583">
        <f t="shared" si="1052"/>
        <v>2.0692152641180694E-2</v>
      </c>
      <c r="BL467" s="583">
        <f t="shared" si="1053"/>
        <v>7.1637928362071638E-3</v>
      </c>
      <c r="BM467" s="583">
        <f t="shared" si="1054"/>
        <v>0.12500087499912504</v>
      </c>
      <c r="BN467" s="583">
        <f t="shared" si="1055"/>
        <v>5.6335676997656334E-3</v>
      </c>
      <c r="BO467" s="583">
        <f t="shared" si="1056"/>
        <v>8.8450911549088467</v>
      </c>
      <c r="BP467" s="583">
        <f t="shared" si="1057"/>
        <v>-2.9239970760029246E-5</v>
      </c>
      <c r="BQ467" s="583">
        <f t="shared" si="1058"/>
        <v>1.410828589171411</v>
      </c>
      <c r="BR467" s="583">
        <f t="shared" si="1059"/>
        <v>-2.9239970760029246E-5</v>
      </c>
    </row>
    <row r="468" spans="1:70" s="229" customFormat="1" ht="15" customHeight="1">
      <c r="A468" s="504"/>
      <c r="D468" s="85"/>
      <c r="E468" s="576">
        <f t="shared" si="1060"/>
        <v>100</v>
      </c>
      <c r="F468" s="1103"/>
      <c r="G468" s="406" t="s">
        <v>3142</v>
      </c>
      <c r="H468" s="578" t="s">
        <v>1963</v>
      </c>
      <c r="I468" s="85">
        <v>10</v>
      </c>
      <c r="J468" s="682">
        <v>1</v>
      </c>
      <c r="K468" s="579">
        <f t="shared" si="1034"/>
        <v>1.1000000000000001</v>
      </c>
      <c r="L468" s="580">
        <f>IF(H468="Select ingredient:","",IF(G468="","",_xlfn.IFNA(VLOOKUP($H468,Ingredient_prices!$E:$U,16,FALSE),0)))</f>
        <v>340</v>
      </c>
      <c r="M468" s="850"/>
      <c r="N468" s="850"/>
      <c r="O468" s="666"/>
      <c r="P468" s="670"/>
      <c r="Q468" s="583">
        <f t="shared" si="1035"/>
        <v>10</v>
      </c>
      <c r="R468" s="583">
        <f>VLOOKUP($H468,'CO2_emission+%_food_waste'!$A:$K,6,FALSE)*$Q468/100</f>
        <v>-1.0000000000000001E-5</v>
      </c>
      <c r="S468" s="583">
        <f t="shared" si="1036"/>
        <v>10.00001</v>
      </c>
      <c r="T468" s="583">
        <f>IF(H468="Select ingredient:","",IF(G468="Select food category:","",_xlfn.IFNA(VLOOKUP($H468,Ingredient_prices!$E:$U,16,FALSE)*$Q468/1000,"not bought")))</f>
        <v>3.4</v>
      </c>
      <c r="U468" s="583">
        <f>IF(G468="Select food category:","",_xlfn.IFNA(VLOOKUP($H468,Ingredient_prices!$E:$U,16,FALSE)*$R468/1000,"not bought"))</f>
        <v>-3.4000000000000001E-6</v>
      </c>
      <c r="V468" s="549">
        <f>VLOOKUP($H468,'CO2_emission+%_food_waste'!$A:$K,4,FALSE)*$Q468</f>
        <v>47.300000000000004</v>
      </c>
      <c r="W468" s="583">
        <f>VLOOKUP($H468,Nutrition_tables!$A:$N,10,FALSE)*$Q468/100</f>
        <v>72.8</v>
      </c>
      <c r="X468" s="583">
        <f>VLOOKUP($H468,Nutrition_tables!$A:$N,11,FALSE)*$Q468/100</f>
        <v>0.217</v>
      </c>
      <c r="Y468" s="583">
        <f>VLOOKUP($H468,Nutrition_tables!$A:$N,12,FALSE)*$Q468/100</f>
        <v>0.129</v>
      </c>
      <c r="Z468" s="583">
        <f>VLOOKUP($H468,Nutrition_tables!$A:$N,14,FALSE)*$Q468/100</f>
        <v>8.0809999999999995</v>
      </c>
      <c r="AA468" s="583">
        <f>VLOOKUP($H468,Nutrition_tables!$A:$AF,13,FALSE)*$Q468/100</f>
        <v>0</v>
      </c>
      <c r="AB468" s="549">
        <f>VLOOKUP($H468,Nutrition_tables!$A:$AF,15,FALSE)*$Q468/100</f>
        <v>0.76</v>
      </c>
      <c r="AC468" s="583">
        <f>VLOOKUP($H468,Nutrition_tables!$A:$AF,16,FALSE)*$Q468/100</f>
        <v>49.1</v>
      </c>
      <c r="AD468" s="583">
        <f>VLOOKUP($H468,Nutrition_tables!$A:$AF,17,FALSE)*$Q468/100</f>
        <v>2.5</v>
      </c>
      <c r="AE468" s="583">
        <f>VLOOKUP($H468,Nutrition_tables!$A:$AF,18,FALSE)*$Q468/100</f>
        <v>1.8</v>
      </c>
      <c r="AF468" s="583">
        <f>VLOOKUP($H468,Nutrition_tables!$A:$AF,19,FALSE)*$Q468/100</f>
        <v>0.6</v>
      </c>
      <c r="AG468" s="583">
        <f>VLOOKUP($H468,Nutrition_tables!$A:$AF,20,FALSE)*$Q468/100</f>
        <v>4.4000000000000004</v>
      </c>
      <c r="AH468" s="583">
        <f>VLOOKUP($H468,Nutrition_tables!$A:$AF,21,FALSE)*$Q468/100</f>
        <v>6.4000000000000001E-2</v>
      </c>
      <c r="AI468" s="583">
        <f>VLOOKUP($H468,Nutrition_tables!$A:$AF,22,FALSE)*$Q468/100</f>
        <v>1.4999999999999999E-2</v>
      </c>
      <c r="AJ468" s="549">
        <f>VLOOKUP($H468,Nutrition_tables!$A:$AF,23,FALSE)*$Q468/100</f>
        <v>2.8999999999999998E-2</v>
      </c>
      <c r="AK468" s="583">
        <f>VLOOKUP($H468,Nutrition_tables!$A:$AF,24,FALSE)*$Q468/100</f>
        <v>7.9</v>
      </c>
      <c r="AL468" s="583">
        <f>VLOOKUP($H468,Nutrition_tables!$A:$AF,25,FALSE)*$Q468/100</f>
        <v>4.0000000000000001E-3</v>
      </c>
      <c r="AM468" s="583">
        <f>VLOOKUP($H468,Nutrition_tables!$A:$AF,26,FALSE)*$Q468/100</f>
        <v>4.2999999999999991E-3</v>
      </c>
      <c r="AN468" s="583">
        <f>VLOOKUP($H468,Nutrition_tables!$A:$AF,27,FALSE)*$Q468/100</f>
        <v>5.4000000000000006E-2</v>
      </c>
      <c r="AO468" s="583">
        <f>VLOOKUP($H468,Nutrition_tables!$A:$AF,28,FALSE)*$Q468/100</f>
        <v>1E-3</v>
      </c>
      <c r="AP468" s="583">
        <f>VLOOKUP($H468,Nutrition_tables!$A:$AF,29,FALSE)*$Q468/100</f>
        <v>0.5</v>
      </c>
      <c r="AQ468" s="583">
        <f>VLOOKUP($H468,Nutrition_tables!$A:$AF,30,FALSE)*$Q468/100</f>
        <v>1.2E-2</v>
      </c>
      <c r="AR468" s="583">
        <f>VLOOKUP($H468,Nutrition_tables!$A:$AF,31,FALSE)*$Q468/100</f>
        <v>0</v>
      </c>
      <c r="AS468" s="549">
        <f>VLOOKUP($H468,Nutrition_tables!$A:$AF,32,FALSE)*$Q468/100</f>
        <v>0.02</v>
      </c>
      <c r="AT468" s="583">
        <f>IF(H468="Select ingredient:","",IF(G468="Select food category:","",IFERROR(VLOOKUP($H468,Ingredient_prices!$E:$W,17,FALSE)*$Q468/1000,"not bought")))</f>
        <v>3.4</v>
      </c>
      <c r="AU468" s="583">
        <f>IF(H468="Select ingredient:","",IF(G468="Select food category:","",IFERROR(VLOOKUP($H468,Ingredient_prices!$E:$W,18,FALSE)*$Q468/1000,"not bought")))</f>
        <v>3.4</v>
      </c>
      <c r="AV468" s="583">
        <f t="shared" si="1037"/>
        <v>72.8</v>
      </c>
      <c r="AW468" s="583">
        <f t="shared" si="1038"/>
        <v>0.21700000000000003</v>
      </c>
      <c r="AX468" s="583">
        <f t="shared" si="1039"/>
        <v>0.129</v>
      </c>
      <c r="AY468" s="583">
        <f t="shared" si="1040"/>
        <v>8.0809999999999995</v>
      </c>
      <c r="AZ468" s="583">
        <f t="shared" si="1041"/>
        <v>0</v>
      </c>
      <c r="BA468" s="583">
        <f t="shared" si="1042"/>
        <v>0.76</v>
      </c>
      <c r="BB468" s="583">
        <f t="shared" si="1043"/>
        <v>49.1</v>
      </c>
      <c r="BC468" s="583">
        <f t="shared" si="1044"/>
        <v>2.5</v>
      </c>
      <c r="BD468" s="583">
        <f t="shared" ref="BD468:BD477" si="1061">AE468*($Q468-$R468)/($Q468+0.00001)</f>
        <v>1.8</v>
      </c>
      <c r="BE468" s="583">
        <f t="shared" ref="BE468:BE477" si="1062">AF468*($Q468-$R468)/($Q468+0.00001)</f>
        <v>0.6</v>
      </c>
      <c r="BF468" s="583">
        <f t="shared" ref="BF468:BF477" si="1063">AG468*($Q468-$R468)/($Q468+0.00001)</f>
        <v>4.4000000000000004</v>
      </c>
      <c r="BG468" s="583">
        <f t="shared" ref="BG468:BG477" si="1064">AH468*($Q468-$R468)/($Q468+0.00001)</f>
        <v>6.4000000000000001E-2</v>
      </c>
      <c r="BH468" s="583">
        <f t="shared" ref="BH468:BH477" si="1065">AI468*($Q468-$R468)/($Q468+0.00001)</f>
        <v>1.5000000000000001E-2</v>
      </c>
      <c r="BI468" s="583">
        <f t="shared" ref="BI468:BI477" si="1066">AJ468*($Q468-$R468)/($Q468+0.00001)</f>
        <v>2.9000000000000001E-2</v>
      </c>
      <c r="BJ468" s="583">
        <f t="shared" ref="BJ468:BJ477" si="1067">AK468*($Q468-$R468)/($Q468+0.00001)</f>
        <v>7.9</v>
      </c>
      <c r="BK468" s="583">
        <f t="shared" ref="BK468:BK477" si="1068">AL468*($Q468-$R468)/($Q468+0.00001)</f>
        <v>4.0000000000000001E-3</v>
      </c>
      <c r="BL468" s="583">
        <f t="shared" ref="BL468:BL477" si="1069">AM468*($Q468-$R468)/($Q468+0.00001)</f>
        <v>4.2999999999999991E-3</v>
      </c>
      <c r="BM468" s="583">
        <f t="shared" ref="BM468:BM477" si="1070">AN468*($Q468-$R468)/($Q468+0.00001)</f>
        <v>5.4000000000000013E-2</v>
      </c>
      <c r="BN468" s="583">
        <f t="shared" ref="BN468:BN477" si="1071">AO468*($Q468-$R468)/($Q468+0.00001)</f>
        <v>1E-3</v>
      </c>
      <c r="BO468" s="583">
        <f t="shared" ref="BO468:BO477" si="1072">AP468*($Q468-$R468)/($Q468+0.00001)</f>
        <v>0.5</v>
      </c>
      <c r="BP468" s="583">
        <f t="shared" ref="BP468:BP477" si="1073">AQ468*($Q468-$R468)/($Q468+0.00001)</f>
        <v>1.2E-2</v>
      </c>
      <c r="BQ468" s="583">
        <f t="shared" ref="BQ468:BQ477" si="1074">AR468*($Q468-$R468)/($Q468+0.00001)</f>
        <v>0</v>
      </c>
      <c r="BR468" s="583">
        <f t="shared" ref="BR468:BR477" si="1075">AS468*($Q468-$R468)/($Q468+0.00001)</f>
        <v>0.02</v>
      </c>
    </row>
    <row r="469" spans="1:70" s="229" customFormat="1" ht="15" customHeight="1">
      <c r="A469" s="504"/>
      <c r="D469" s="85"/>
      <c r="E469" s="576">
        <f t="shared" si="1060"/>
        <v>100</v>
      </c>
      <c r="G469" s="406" t="s">
        <v>3141</v>
      </c>
      <c r="H469" s="578" t="s">
        <v>3252</v>
      </c>
      <c r="I469" s="85">
        <v>50</v>
      </c>
      <c r="J469" s="682">
        <v>1</v>
      </c>
      <c r="K469" s="579">
        <f t="shared" si="1034"/>
        <v>5.5000000000000009</v>
      </c>
      <c r="L469" s="580">
        <f>IF(H469="Select ingredient:","",IF(G469="","",_xlfn.IFNA(VLOOKUP($H469,Ingredient_prices!$E:$U,16,FALSE),0)))</f>
        <v>79.2</v>
      </c>
      <c r="M469" s="850"/>
      <c r="N469" s="850"/>
      <c r="O469" s="666"/>
      <c r="P469" s="670"/>
      <c r="Q469" s="583">
        <f t="shared" si="1035"/>
        <v>50</v>
      </c>
      <c r="R469" s="583">
        <f>VLOOKUP($H469,'CO2_emission+%_food_waste'!$A:$K,6,FALSE)*$Q469/100</f>
        <v>11.75</v>
      </c>
      <c r="S469" s="583">
        <f t="shared" si="1036"/>
        <v>38.25</v>
      </c>
      <c r="T469" s="583">
        <f>IF(H469="Select ingredient:","",IF(G469="Select food category:","",_xlfn.IFNA(VLOOKUP($H469,Ingredient_prices!$E:$U,16,FALSE)*$Q469/1000,"not bought")))</f>
        <v>3.96</v>
      </c>
      <c r="U469" s="583">
        <f>IF(G469="Select food category:","",_xlfn.IFNA(VLOOKUP($H469,Ingredient_prices!$E:$U,16,FALSE)*$R469/1000,"not bought"))</f>
        <v>0.93059999999999998</v>
      </c>
      <c r="V469" s="549">
        <f>VLOOKUP($H469,'CO2_emission+%_food_waste'!$A:$K,4,FALSE)*$Q469</f>
        <v>233.5</v>
      </c>
      <c r="W469" s="583">
        <f>VLOOKUP($H469,Nutrition_tables!$A:$N,10,FALSE)*$Q469/100</f>
        <v>182.12225000000001</v>
      </c>
      <c r="X469" s="583">
        <f>VLOOKUP($H469,Nutrition_tables!$A:$N,11,FALSE)*$Q469/100</f>
        <v>39.5</v>
      </c>
      <c r="Y469" s="583">
        <f>VLOOKUP($H469,Nutrition_tables!$A:$N,12,FALSE)*$Q469/100</f>
        <v>4.2</v>
      </c>
      <c r="Z469" s="583">
        <f>VLOOKUP($H469,Nutrition_tables!$A:$N,14,FALSE)*$Q469/100</f>
        <v>0.6</v>
      </c>
      <c r="AA469" s="583">
        <f>VLOOKUP($H469,Nutrition_tables!$A:$AF,13,FALSE)*$Q469/100</f>
        <v>0.85</v>
      </c>
      <c r="AB469" s="549">
        <f>VLOOKUP($H469,Nutrition_tables!$A:$AF,15,FALSE)*$Q469/100</f>
        <v>0.15</v>
      </c>
      <c r="AC469" s="583">
        <f>VLOOKUP($H469,Nutrition_tables!$A:$AF,16,FALSE)*$Q469/100</f>
        <v>0.9</v>
      </c>
      <c r="AD469" s="583">
        <f>VLOOKUP($H469,Nutrition_tables!$A:$AF,17,FALSE)*$Q469/100</f>
        <v>75</v>
      </c>
      <c r="AE469" s="583">
        <f>VLOOKUP($H469,Nutrition_tables!$A:$AF,18,FALSE)*$Q469/100</f>
        <v>26.5</v>
      </c>
      <c r="AF469" s="583">
        <f>VLOOKUP($H469,Nutrition_tables!$A:$AF,19,FALSE)*$Q469/100</f>
        <v>17.5</v>
      </c>
      <c r="AG469" s="583">
        <f>VLOOKUP($H469,Nutrition_tables!$A:$AF,20,FALSE)*$Q469/100</f>
        <v>65</v>
      </c>
      <c r="AH469" s="583">
        <f>VLOOKUP($H469,Nutrition_tables!$A:$AF,21,FALSE)*$Q469/100</f>
        <v>0.6</v>
      </c>
      <c r="AI469" s="583">
        <f>VLOOKUP($H469,Nutrition_tables!$A:$AF,22,FALSE)*$Q469/100</f>
        <v>0.85</v>
      </c>
      <c r="AJ469" s="549">
        <f>VLOOKUP($H469,Nutrition_tables!$A:$AF,23,FALSE)*$Q469/100</f>
        <v>8.5500000000000007E-2</v>
      </c>
      <c r="AK469" s="583">
        <f>VLOOKUP($H469,Nutrition_tables!$A:$AF,24,FALSE)*$Q469/100</f>
        <v>0</v>
      </c>
      <c r="AL469" s="583">
        <f>VLOOKUP($H469,Nutrition_tables!$A:$AF,25,FALSE)*$Q469/100</f>
        <v>3.5000000000000003E-2</v>
      </c>
      <c r="AM469" s="583">
        <f>VLOOKUP($H469,Nutrition_tables!$A:$AF,26,FALSE)*$Q469/100</f>
        <v>0.02</v>
      </c>
      <c r="AN469" s="583">
        <f>VLOOKUP($H469,Nutrition_tables!$A:$AF,27,FALSE)*$Q469/100</f>
        <v>1</v>
      </c>
      <c r="AO469" s="583">
        <f>VLOOKUP($H469,Nutrition_tables!$A:$AF,28,FALSE)*$Q469/100</f>
        <v>5.4500000000000014E-2</v>
      </c>
      <c r="AP469" s="583">
        <f>VLOOKUP($H469,Nutrition_tables!$A:$AF,29,FALSE)*$Q469/100</f>
        <v>15.5</v>
      </c>
      <c r="AQ469" s="583">
        <f>VLOOKUP($H469,Nutrition_tables!$A:$AF,30,FALSE)*$Q469/100</f>
        <v>0</v>
      </c>
      <c r="AR469" s="583">
        <f>VLOOKUP($H469,Nutrition_tables!$A:$AF,31,FALSE)*$Q469/100</f>
        <v>0</v>
      </c>
      <c r="AS469" s="549">
        <f>VLOOKUP($H469,Nutrition_tables!$A:$AF,32,FALSE)*$Q469/100</f>
        <v>0</v>
      </c>
      <c r="AT469" s="583">
        <f>IF(H469="Select ingredient:","",IF(G469="Select food category:","",IFERROR(VLOOKUP($H469,Ingredient_prices!$E:$W,17,FALSE)*$Q469/1000,"not bought")))</f>
        <v>3.96</v>
      </c>
      <c r="AU469" s="583">
        <f>IF(H469="Select ingredient:","",IF(G469="Select food category:","",IFERROR(VLOOKUP($H469,Ingredient_prices!$E:$W,18,FALSE)*$Q469/1000,"not bought")))</f>
        <v>3.96</v>
      </c>
      <c r="AV469" s="583">
        <f t="shared" si="1037"/>
        <v>139.32349338530133</v>
      </c>
      <c r="AW469" s="583">
        <f t="shared" si="1038"/>
        <v>30.217493956501208</v>
      </c>
      <c r="AX469" s="583">
        <f t="shared" si="1039"/>
        <v>3.2129993574001285</v>
      </c>
      <c r="AY469" s="583">
        <f t="shared" si="1040"/>
        <v>0.45899990820001829</v>
      </c>
      <c r="AZ469" s="583">
        <f t="shared" si="1041"/>
        <v>0.65024986995002587</v>
      </c>
      <c r="BA469" s="583">
        <f t="shared" si="1042"/>
        <v>0.11474997705000457</v>
      </c>
      <c r="BB469" s="583">
        <f t="shared" si="1043"/>
        <v>0.68849986230002758</v>
      </c>
      <c r="BC469" s="583">
        <f t="shared" si="1044"/>
        <v>57.374988525002294</v>
      </c>
      <c r="BD469" s="583">
        <f t="shared" si="1061"/>
        <v>20.272495945500811</v>
      </c>
      <c r="BE469" s="583">
        <f t="shared" si="1062"/>
        <v>13.387497322500534</v>
      </c>
      <c r="BF469" s="583">
        <f t="shared" si="1063"/>
        <v>49.724990055001989</v>
      </c>
      <c r="BG469" s="583">
        <f t="shared" si="1064"/>
        <v>0.45899990820001829</v>
      </c>
      <c r="BH469" s="583">
        <f t="shared" si="1065"/>
        <v>0.65024986995002587</v>
      </c>
      <c r="BI469" s="583">
        <f t="shared" si="1066"/>
        <v>6.5407486918502608E-2</v>
      </c>
      <c r="BJ469" s="583">
        <f t="shared" si="1067"/>
        <v>0</v>
      </c>
      <c r="BK469" s="583">
        <f t="shared" si="1068"/>
        <v>2.677499464500107E-2</v>
      </c>
      <c r="BL469" s="583">
        <f t="shared" si="1069"/>
        <v>1.5299996940000612E-2</v>
      </c>
      <c r="BM469" s="583">
        <f t="shared" si="1070"/>
        <v>0.76499984700003054</v>
      </c>
      <c r="BN469" s="583">
        <f t="shared" si="1071"/>
        <v>4.1692491661501671E-2</v>
      </c>
      <c r="BO469" s="583">
        <f t="shared" si="1072"/>
        <v>11.857497628500473</v>
      </c>
      <c r="BP469" s="583">
        <f t="shared" si="1073"/>
        <v>0</v>
      </c>
      <c r="BQ469" s="583">
        <f t="shared" si="1074"/>
        <v>0</v>
      </c>
      <c r="BR469" s="583">
        <f t="shared" si="1075"/>
        <v>0</v>
      </c>
    </row>
    <row r="470" spans="1:70" s="229" customFormat="1" ht="15" customHeight="1">
      <c r="A470" s="504"/>
      <c r="D470" s="85"/>
      <c r="E470" s="576">
        <f t="shared" si="1060"/>
        <v>100</v>
      </c>
      <c r="F470" s="707"/>
      <c r="G470" s="406" t="s">
        <v>3054</v>
      </c>
      <c r="H470" s="1262" t="s">
        <v>3055</v>
      </c>
      <c r="I470" s="85">
        <v>0</v>
      </c>
      <c r="J470" s="682">
        <v>1</v>
      </c>
      <c r="K470" s="579" t="str">
        <f t="shared" si="1034"/>
        <v/>
      </c>
      <c r="L470" s="580" t="str">
        <f>IF(H470="Select ingredient:","",IF(G470="","",_xlfn.IFNA(VLOOKUP($H470,Ingredient_prices!$E:$U,16,FALSE),0)))</f>
        <v/>
      </c>
      <c r="M470" s="850"/>
      <c r="N470" s="850"/>
      <c r="O470" s="666"/>
      <c r="P470" s="670"/>
      <c r="Q470" s="583">
        <f t="shared" si="1035"/>
        <v>0</v>
      </c>
      <c r="R470" s="583">
        <f>VLOOKUP($H470,'CO2_emission+%_food_waste'!$A:$K,6,FALSE)*$Q470/100</f>
        <v>0</v>
      </c>
      <c r="S470" s="583">
        <f t="shared" si="1036"/>
        <v>0</v>
      </c>
      <c r="T470" s="583" t="str">
        <f>IF(H470="Select ingredient:","",IF(G470="Select food category:","",_xlfn.IFNA(VLOOKUP($H470,Ingredient_prices!$E:$U,16,FALSE)*$Q470/1000,"not bought")))</f>
        <v/>
      </c>
      <c r="U470" s="583" t="str">
        <f>IF(G470="Select food category:","",_xlfn.IFNA(VLOOKUP($H470,Ingredient_prices!$E:$U,16,FALSE)*$R470/1000,"not bought"))</f>
        <v/>
      </c>
      <c r="V470" s="549">
        <f>VLOOKUP($H470,'CO2_emission+%_food_waste'!$A:$K,4,FALSE)*$Q470</f>
        <v>0</v>
      </c>
      <c r="W470" s="583">
        <f>VLOOKUP($H470,Nutrition_tables!$A:$N,10,FALSE)*$Q470/100</f>
        <v>0</v>
      </c>
      <c r="X470" s="583">
        <f>VLOOKUP($H470,Nutrition_tables!$A:$N,11,FALSE)*$Q470/100</f>
        <v>0</v>
      </c>
      <c r="Y470" s="583">
        <f>VLOOKUP($H470,Nutrition_tables!$A:$N,12,FALSE)*$Q470/100</f>
        <v>0</v>
      </c>
      <c r="Z470" s="583">
        <f>VLOOKUP($H470,Nutrition_tables!$A:$N,14,FALSE)*$Q470/100</f>
        <v>0</v>
      </c>
      <c r="AA470" s="583">
        <f>VLOOKUP($H470,Nutrition_tables!$A:$AF,13,FALSE)*$Q470/100</f>
        <v>0</v>
      </c>
      <c r="AB470" s="549">
        <f>VLOOKUP($H470,Nutrition_tables!$A:$AF,15,FALSE)*$Q470/100</f>
        <v>0</v>
      </c>
      <c r="AC470" s="583">
        <f>VLOOKUP($H470,Nutrition_tables!$A:$AF,16,FALSE)*$Q470/100</f>
        <v>0</v>
      </c>
      <c r="AD470" s="583">
        <f>VLOOKUP($H470,Nutrition_tables!$A:$AF,17,FALSE)*$Q470/100</f>
        <v>0</v>
      </c>
      <c r="AE470" s="583">
        <f>VLOOKUP($H470,Nutrition_tables!$A:$AF,18,FALSE)*$Q470/100</f>
        <v>0</v>
      </c>
      <c r="AF470" s="583">
        <f>VLOOKUP($H470,Nutrition_tables!$A:$AF,19,FALSE)*$Q470/100</f>
        <v>0</v>
      </c>
      <c r="AG470" s="583">
        <f>VLOOKUP($H470,Nutrition_tables!$A:$AF,20,FALSE)*$Q470/100</f>
        <v>0</v>
      </c>
      <c r="AH470" s="583">
        <f>VLOOKUP($H470,Nutrition_tables!$A:$AF,21,FALSE)*$Q470/100</f>
        <v>0</v>
      </c>
      <c r="AI470" s="583">
        <f>VLOOKUP($H470,Nutrition_tables!$A:$AF,22,FALSE)*$Q470/100</f>
        <v>0</v>
      </c>
      <c r="AJ470" s="549">
        <f>VLOOKUP($H470,Nutrition_tables!$A:$AF,23,FALSE)*$Q470/100</f>
        <v>0</v>
      </c>
      <c r="AK470" s="583">
        <f>VLOOKUP($H470,Nutrition_tables!$A:$AF,24,FALSE)*$Q470/100</f>
        <v>0</v>
      </c>
      <c r="AL470" s="583">
        <f>VLOOKUP($H470,Nutrition_tables!$A:$AF,25,FALSE)*$Q470/100</f>
        <v>0</v>
      </c>
      <c r="AM470" s="583">
        <f>VLOOKUP($H470,Nutrition_tables!$A:$AF,26,FALSE)*$Q470/100</f>
        <v>0</v>
      </c>
      <c r="AN470" s="583">
        <f>VLOOKUP($H470,Nutrition_tables!$A:$AF,27,FALSE)*$Q470/100</f>
        <v>0</v>
      </c>
      <c r="AO470" s="583">
        <f>VLOOKUP($H470,Nutrition_tables!$A:$AF,28,FALSE)*$Q470/100</f>
        <v>0</v>
      </c>
      <c r="AP470" s="583">
        <f>VLOOKUP($H470,Nutrition_tables!$A:$AF,29,FALSE)*$Q470/100</f>
        <v>0</v>
      </c>
      <c r="AQ470" s="583">
        <f>VLOOKUP($H470,Nutrition_tables!$A:$AF,30,FALSE)*$Q470/100</f>
        <v>0</v>
      </c>
      <c r="AR470" s="583">
        <f>VLOOKUP($H470,Nutrition_tables!$A:$AF,31,FALSE)*$Q470/100</f>
        <v>0</v>
      </c>
      <c r="AS470" s="549">
        <f>VLOOKUP($H470,Nutrition_tables!$A:$AF,32,FALSE)*$Q470/100</f>
        <v>0</v>
      </c>
      <c r="AT470" s="583" t="str">
        <f>IF(H470="Select ingredient:","",IF(G470="Select food category:","",IFERROR(VLOOKUP($H470,Ingredient_prices!$E:$W,17,FALSE)*$Q470/1000,"not bought")))</f>
        <v/>
      </c>
      <c r="AU470" s="583" t="str">
        <f>IF(H470="Select ingredient:","",IF(G470="Select food category:","",IFERROR(VLOOKUP($H470,Ingredient_prices!$E:$W,18,FALSE)*$Q470/1000,"not bought")))</f>
        <v/>
      </c>
      <c r="AV470" s="583">
        <f t="shared" si="1037"/>
        <v>0</v>
      </c>
      <c r="AW470" s="583">
        <f t="shared" si="1038"/>
        <v>0</v>
      </c>
      <c r="AX470" s="583">
        <f t="shared" si="1039"/>
        <v>0</v>
      </c>
      <c r="AY470" s="583">
        <f t="shared" si="1040"/>
        <v>0</v>
      </c>
      <c r="AZ470" s="583">
        <f t="shared" si="1041"/>
        <v>0</v>
      </c>
      <c r="BA470" s="583">
        <f t="shared" si="1042"/>
        <v>0</v>
      </c>
      <c r="BB470" s="583">
        <f t="shared" si="1043"/>
        <v>0</v>
      </c>
      <c r="BC470" s="583">
        <f t="shared" si="1044"/>
        <v>0</v>
      </c>
      <c r="BD470" s="583">
        <f t="shared" si="1061"/>
        <v>0</v>
      </c>
      <c r="BE470" s="583">
        <f t="shared" si="1062"/>
        <v>0</v>
      </c>
      <c r="BF470" s="583">
        <f t="shared" si="1063"/>
        <v>0</v>
      </c>
      <c r="BG470" s="583">
        <f t="shared" si="1064"/>
        <v>0</v>
      </c>
      <c r="BH470" s="583">
        <f t="shared" si="1065"/>
        <v>0</v>
      </c>
      <c r="BI470" s="583">
        <f t="shared" si="1066"/>
        <v>0</v>
      </c>
      <c r="BJ470" s="583">
        <f t="shared" si="1067"/>
        <v>0</v>
      </c>
      <c r="BK470" s="583">
        <f t="shared" si="1068"/>
        <v>0</v>
      </c>
      <c r="BL470" s="583">
        <f t="shared" si="1069"/>
        <v>0</v>
      </c>
      <c r="BM470" s="583">
        <f t="shared" si="1070"/>
        <v>0</v>
      </c>
      <c r="BN470" s="583">
        <f t="shared" si="1071"/>
        <v>0</v>
      </c>
      <c r="BO470" s="583">
        <f t="shared" si="1072"/>
        <v>0</v>
      </c>
      <c r="BP470" s="583">
        <f t="shared" si="1073"/>
        <v>0</v>
      </c>
      <c r="BQ470" s="583">
        <f t="shared" si="1074"/>
        <v>0</v>
      </c>
      <c r="BR470" s="583">
        <f t="shared" si="1075"/>
        <v>0</v>
      </c>
    </row>
    <row r="471" spans="1:70" s="229" customFormat="1" ht="15" customHeight="1">
      <c r="A471" s="504"/>
      <c r="D471" s="85"/>
      <c r="E471" s="576">
        <f t="shared" si="1060"/>
        <v>100</v>
      </c>
      <c r="F471" s="707"/>
      <c r="G471" s="406" t="s">
        <v>3054</v>
      </c>
      <c r="H471" s="1262" t="s">
        <v>3055</v>
      </c>
      <c r="I471" s="85">
        <v>0</v>
      </c>
      <c r="J471" s="682">
        <v>1</v>
      </c>
      <c r="K471" s="579" t="str">
        <f t="shared" si="1034"/>
        <v/>
      </c>
      <c r="L471" s="580" t="str">
        <f>IF(H471="Select ingredient:","",IF(G471="","",_xlfn.IFNA(VLOOKUP($H471,Ingredient_prices!$E:$U,16,FALSE),0)))</f>
        <v/>
      </c>
      <c r="M471" s="850"/>
      <c r="N471" s="850"/>
      <c r="O471" s="666"/>
      <c r="P471" s="670"/>
      <c r="Q471" s="583">
        <f t="shared" si="1035"/>
        <v>0</v>
      </c>
      <c r="R471" s="583">
        <f>VLOOKUP($H471,'CO2_emission+%_food_waste'!$A:$K,6,FALSE)*$Q471/100</f>
        <v>0</v>
      </c>
      <c r="S471" s="583">
        <f t="shared" si="1036"/>
        <v>0</v>
      </c>
      <c r="T471" s="583" t="str">
        <f>IF(H471="Select ingredient:","",IF(G471="Select food category:","",_xlfn.IFNA(VLOOKUP($H471,Ingredient_prices!$E:$U,16,FALSE)*$Q471/1000,"not bought")))</f>
        <v/>
      </c>
      <c r="U471" s="583" t="str">
        <f>IF(G471="Select food category:","",_xlfn.IFNA(VLOOKUP($H471,Ingredient_prices!$E:$U,16,FALSE)*$R471/1000,"not bought"))</f>
        <v/>
      </c>
      <c r="V471" s="549">
        <f>VLOOKUP($H471,'CO2_emission+%_food_waste'!$A:$K,4,FALSE)*$Q471</f>
        <v>0</v>
      </c>
      <c r="W471" s="583">
        <f>VLOOKUP($H471,Nutrition_tables!$A:$N,10,FALSE)*$Q471/100</f>
        <v>0</v>
      </c>
      <c r="X471" s="583">
        <f>VLOOKUP($H471,Nutrition_tables!$A:$N,11,FALSE)*$Q471/100</f>
        <v>0</v>
      </c>
      <c r="Y471" s="583">
        <f>VLOOKUP($H471,Nutrition_tables!$A:$N,12,FALSE)*$Q471/100</f>
        <v>0</v>
      </c>
      <c r="Z471" s="583">
        <f>VLOOKUP($H471,Nutrition_tables!$A:$N,14,FALSE)*$Q471/100</f>
        <v>0</v>
      </c>
      <c r="AA471" s="583">
        <f>VLOOKUP($H471,Nutrition_tables!$A:$AF,13,FALSE)*$Q471/100</f>
        <v>0</v>
      </c>
      <c r="AB471" s="549">
        <f>VLOOKUP($H471,Nutrition_tables!$A:$AF,15,FALSE)*$Q471/100</f>
        <v>0</v>
      </c>
      <c r="AC471" s="583">
        <f>VLOOKUP($H471,Nutrition_tables!$A:$AF,16,FALSE)*$Q471/100</f>
        <v>0</v>
      </c>
      <c r="AD471" s="583">
        <f>VLOOKUP($H471,Nutrition_tables!$A:$AF,17,FALSE)*$Q471/100</f>
        <v>0</v>
      </c>
      <c r="AE471" s="583">
        <f>VLOOKUP($H471,Nutrition_tables!$A:$AF,18,FALSE)*$Q471/100</f>
        <v>0</v>
      </c>
      <c r="AF471" s="583">
        <f>VLOOKUP($H471,Nutrition_tables!$A:$AF,19,FALSE)*$Q471/100</f>
        <v>0</v>
      </c>
      <c r="AG471" s="583">
        <f>VLOOKUP($H471,Nutrition_tables!$A:$AF,20,FALSE)*$Q471/100</f>
        <v>0</v>
      </c>
      <c r="AH471" s="583">
        <f>VLOOKUP($H471,Nutrition_tables!$A:$AF,21,FALSE)*$Q471/100</f>
        <v>0</v>
      </c>
      <c r="AI471" s="583">
        <f>VLOOKUP($H471,Nutrition_tables!$A:$AF,22,FALSE)*$Q471/100</f>
        <v>0</v>
      </c>
      <c r="AJ471" s="549">
        <f>VLOOKUP($H471,Nutrition_tables!$A:$AF,23,FALSE)*$Q471/100</f>
        <v>0</v>
      </c>
      <c r="AK471" s="583">
        <f>VLOOKUP($H471,Nutrition_tables!$A:$AF,24,FALSE)*$Q471/100</f>
        <v>0</v>
      </c>
      <c r="AL471" s="583">
        <f>VLOOKUP($H471,Nutrition_tables!$A:$AF,25,FALSE)*$Q471/100</f>
        <v>0</v>
      </c>
      <c r="AM471" s="583">
        <f>VLOOKUP($H471,Nutrition_tables!$A:$AF,26,FALSE)*$Q471/100</f>
        <v>0</v>
      </c>
      <c r="AN471" s="583">
        <f>VLOOKUP($H471,Nutrition_tables!$A:$AF,27,FALSE)*$Q471/100</f>
        <v>0</v>
      </c>
      <c r="AO471" s="583">
        <f>VLOOKUP($H471,Nutrition_tables!$A:$AF,28,FALSE)*$Q471/100</f>
        <v>0</v>
      </c>
      <c r="AP471" s="583">
        <f>VLOOKUP($H471,Nutrition_tables!$A:$AF,29,FALSE)*$Q471/100</f>
        <v>0</v>
      </c>
      <c r="AQ471" s="583">
        <f>VLOOKUP($H471,Nutrition_tables!$A:$AF,30,FALSE)*$Q471/100</f>
        <v>0</v>
      </c>
      <c r="AR471" s="583">
        <f>VLOOKUP($H471,Nutrition_tables!$A:$AF,31,FALSE)*$Q471/100</f>
        <v>0</v>
      </c>
      <c r="AS471" s="549">
        <f>VLOOKUP($H471,Nutrition_tables!$A:$AF,32,FALSE)*$Q471/100</f>
        <v>0</v>
      </c>
      <c r="AT471" s="583" t="str">
        <f>IF(H471="Select ingredient:","",IF(G471="Select food category:","",IFERROR(VLOOKUP($H471,Ingredient_prices!$E:$W,17,FALSE)*$Q471/1000,"not bought")))</f>
        <v/>
      </c>
      <c r="AU471" s="583" t="str">
        <f>IF(H471="Select ingredient:","",IF(G471="Select food category:","",IFERROR(VLOOKUP($H471,Ingredient_prices!$E:$W,18,FALSE)*$Q471/1000,"not bought")))</f>
        <v/>
      </c>
      <c r="AV471" s="583">
        <f t="shared" si="1037"/>
        <v>0</v>
      </c>
      <c r="AW471" s="583">
        <f t="shared" si="1038"/>
        <v>0</v>
      </c>
      <c r="AX471" s="583">
        <f t="shared" si="1039"/>
        <v>0</v>
      </c>
      <c r="AY471" s="583">
        <f t="shared" si="1040"/>
        <v>0</v>
      </c>
      <c r="AZ471" s="583">
        <f t="shared" si="1041"/>
        <v>0</v>
      </c>
      <c r="BA471" s="583">
        <f t="shared" si="1042"/>
        <v>0</v>
      </c>
      <c r="BB471" s="583">
        <f t="shared" si="1043"/>
        <v>0</v>
      </c>
      <c r="BC471" s="583">
        <f t="shared" si="1044"/>
        <v>0</v>
      </c>
      <c r="BD471" s="583">
        <f t="shared" si="1061"/>
        <v>0</v>
      </c>
      <c r="BE471" s="583">
        <f t="shared" si="1062"/>
        <v>0</v>
      </c>
      <c r="BF471" s="583">
        <f t="shared" si="1063"/>
        <v>0</v>
      </c>
      <c r="BG471" s="583">
        <f t="shared" si="1064"/>
        <v>0</v>
      </c>
      <c r="BH471" s="583">
        <f t="shared" si="1065"/>
        <v>0</v>
      </c>
      <c r="BI471" s="583">
        <f t="shared" si="1066"/>
        <v>0</v>
      </c>
      <c r="BJ471" s="583">
        <f t="shared" si="1067"/>
        <v>0</v>
      </c>
      <c r="BK471" s="583">
        <f t="shared" si="1068"/>
        <v>0</v>
      </c>
      <c r="BL471" s="583">
        <f t="shared" si="1069"/>
        <v>0</v>
      </c>
      <c r="BM471" s="583">
        <f t="shared" si="1070"/>
        <v>0</v>
      </c>
      <c r="BN471" s="583">
        <f t="shared" si="1071"/>
        <v>0</v>
      </c>
      <c r="BO471" s="583">
        <f t="shared" si="1072"/>
        <v>0</v>
      </c>
      <c r="BP471" s="583">
        <f t="shared" si="1073"/>
        <v>0</v>
      </c>
      <c r="BQ471" s="583">
        <f t="shared" si="1074"/>
        <v>0</v>
      </c>
      <c r="BR471" s="583">
        <f t="shared" si="1075"/>
        <v>0</v>
      </c>
    </row>
    <row r="472" spans="1:70" s="229" customFormat="1" ht="15" customHeight="1">
      <c r="A472" s="504"/>
      <c r="D472" s="85"/>
      <c r="E472" s="576">
        <f t="shared" si="1060"/>
        <v>100</v>
      </c>
      <c r="F472" s="85" t="s">
        <v>2503</v>
      </c>
      <c r="G472" s="406" t="s">
        <v>3079</v>
      </c>
      <c r="H472" s="578" t="s">
        <v>3365</v>
      </c>
      <c r="I472" s="85">
        <v>75</v>
      </c>
      <c r="J472" s="682">
        <v>1</v>
      </c>
      <c r="K472" s="579">
        <f t="shared" si="1034"/>
        <v>8.25</v>
      </c>
      <c r="L472" s="580">
        <f>IF(H472="Select ingredient:","",IF(G472="","",_xlfn.IFNA(VLOOKUP($H472,Ingredient_prices!$E:$U,16,FALSE),0)))</f>
        <v>70.400000000000006</v>
      </c>
      <c r="M472" s="850"/>
      <c r="N472" s="850"/>
      <c r="O472" s="666"/>
      <c r="P472" s="670"/>
      <c r="Q472" s="583">
        <f t="shared" si="1035"/>
        <v>75</v>
      </c>
      <c r="R472" s="583">
        <f>VLOOKUP($H472,'CO2_emission+%_food_waste'!$A:$K,6,FALSE)*$Q472/100</f>
        <v>29.55</v>
      </c>
      <c r="S472" s="583">
        <f t="shared" si="1036"/>
        <v>45.45</v>
      </c>
      <c r="T472" s="583">
        <f>IF(H472="Select ingredient:","",IF(G472="Select food category:","",_xlfn.IFNA(VLOOKUP($H472,Ingredient_prices!$E:$U,16,FALSE)*$Q472/1000,"not bought")))</f>
        <v>5.28</v>
      </c>
      <c r="U472" s="583">
        <f>IF(G472="Select food category:","",_xlfn.IFNA(VLOOKUP($H472,Ingredient_prices!$E:$U,16,FALSE)*$R472/1000,"not bought"))</f>
        <v>2.0803199999999999</v>
      </c>
      <c r="V472" s="549">
        <f>VLOOKUP($H472,'CO2_emission+%_food_waste'!$A:$K,4,FALSE)*$Q472</f>
        <v>121.50000000000001</v>
      </c>
      <c r="W472" s="583">
        <f>VLOOKUP($H472,Nutrition_tables!$A:$N,10,FALSE)*$Q472/100</f>
        <v>197.17500000000001</v>
      </c>
      <c r="X472" s="583">
        <f>VLOOKUP($H472,Nutrition_tables!$A:$N,11,FALSE)*$Q472/100</f>
        <v>38.1</v>
      </c>
      <c r="Y472" s="583">
        <f>VLOOKUP($H472,Nutrition_tables!$A:$N,12,FALSE)*$Q472/100</f>
        <v>5.0999999999999996</v>
      </c>
      <c r="Z472" s="583">
        <f>VLOOKUP($H472,Nutrition_tables!$A:$N,14,FALSE)*$Q472/100</f>
        <v>0.375</v>
      </c>
      <c r="AA472" s="583">
        <f>VLOOKUP($H472,Nutrition_tables!$A:$AF,13,FALSE)*$Q472/100</f>
        <v>3.2250000000000001</v>
      </c>
      <c r="AB472" s="549">
        <f>VLOOKUP($H472,Nutrition_tables!$A:$AF,15,FALSE)*$Q472/100</f>
        <v>7.4999999999999997E-2</v>
      </c>
      <c r="AC472" s="583">
        <f>VLOOKUP($H472,Nutrition_tables!$A:$AF,16,FALSE)*$Q472/100</f>
        <v>382.5</v>
      </c>
      <c r="AD472" s="583">
        <f>VLOOKUP($H472,Nutrition_tables!$A:$AF,17,FALSE)*$Q472/100</f>
        <v>86.25</v>
      </c>
      <c r="AE472" s="583">
        <f>VLOOKUP($H472,Nutrition_tables!$A:$AF,18,FALSE)*$Q472/100</f>
        <v>72.75</v>
      </c>
      <c r="AF472" s="583">
        <f>VLOOKUP($H472,Nutrition_tables!$A:$AF,19,FALSE)*$Q472/100</f>
        <v>18</v>
      </c>
      <c r="AG472" s="583">
        <f>VLOOKUP($H472,Nutrition_tables!$A:$AF,20,FALSE)*$Q472/100</f>
        <v>0</v>
      </c>
      <c r="AH472" s="583">
        <f>VLOOKUP($H472,Nutrition_tables!$A:$AF,21,FALSE)*$Q472/100</f>
        <v>1.125</v>
      </c>
      <c r="AI472" s="583">
        <f>VLOOKUP($H472,Nutrition_tables!$A:$AF,22,FALSE)*$Q472/100</f>
        <v>2.85</v>
      </c>
      <c r="AJ472" s="549">
        <f>VLOOKUP($H472,Nutrition_tables!$A:$AF,23,FALSE)*$Q472/100</f>
        <v>0.23850000000000002</v>
      </c>
      <c r="AK472" s="583">
        <f>VLOOKUP($H472,Nutrition_tables!$A:$AF,24,FALSE)*$Q472/100</f>
        <v>0</v>
      </c>
      <c r="AL472" s="583">
        <f>VLOOKUP($H472,Nutrition_tables!$A:$AF,25,FALSE)*$Q472/100</f>
        <v>0.15</v>
      </c>
      <c r="AM472" s="583">
        <f>VLOOKUP($H472,Nutrition_tables!$A:$AF,26,FALSE)*$Q472/100</f>
        <v>0.06</v>
      </c>
      <c r="AN472" s="583">
        <f>VLOOKUP($H472,Nutrition_tables!$A:$AF,27,FALSE)*$Q472/100</f>
        <v>2.1074999999999999</v>
      </c>
      <c r="AO472" s="583">
        <f>VLOOKUP($H472,Nutrition_tables!$A:$AF,28,FALSE)*$Q472/100</f>
        <v>4.2000000000000003E-2</v>
      </c>
      <c r="AP472" s="583">
        <f>VLOOKUP($H472,Nutrition_tables!$A:$AF,29,FALSE)*$Q472/100</f>
        <v>20.25</v>
      </c>
      <c r="AQ472" s="583">
        <f>VLOOKUP($H472,Nutrition_tables!$A:$AF,30,FALSE)*$Q472/100</f>
        <v>0</v>
      </c>
      <c r="AR472" s="583">
        <f>VLOOKUP($H472,Nutrition_tables!$A:$AF,31,FALSE)*$Q472/100</f>
        <v>7.4999999999999997E-2</v>
      </c>
      <c r="AS472" s="549">
        <f>VLOOKUP($H472,Nutrition_tables!$A:$AF,32,FALSE)*$Q472/100</f>
        <v>8.2500000000000004E-2</v>
      </c>
      <c r="AT472" s="583">
        <f>IF(H472="Select ingredient:","",IF(G472="Select food category:","",IFERROR(VLOOKUP($H472,Ingredient_prices!$E:$W,17,FALSE)*$Q472/1000,"not bought")))</f>
        <v>5.28</v>
      </c>
      <c r="AU472" s="583">
        <f>IF(H472="Select ingredient:","",IF(G472="Select food category:","",IFERROR(VLOOKUP($H472,Ingredient_prices!$E:$W,18,FALSE)*$Q472/1000,"not bought")))</f>
        <v>5.28</v>
      </c>
      <c r="AV472" s="583">
        <f t="shared" si="1037"/>
        <v>119.48803406826212</v>
      </c>
      <c r="AW472" s="583">
        <f t="shared" si="1038"/>
        <v>23.088596921520413</v>
      </c>
      <c r="AX472" s="583">
        <f t="shared" si="1039"/>
        <v>3.0905995879200545</v>
      </c>
      <c r="AY472" s="583">
        <f t="shared" si="1040"/>
        <v>0.22724996970000408</v>
      </c>
      <c r="AZ472" s="583">
        <f t="shared" si="1041"/>
        <v>1.9543497394200349</v>
      </c>
      <c r="BA472" s="583">
        <f t="shared" si="1042"/>
        <v>4.5449993940000807E-2</v>
      </c>
      <c r="BB472" s="583">
        <f t="shared" si="1043"/>
        <v>231.7949690940041</v>
      </c>
      <c r="BC472" s="583">
        <f t="shared" si="1044"/>
        <v>52.267493031000932</v>
      </c>
      <c r="BD472" s="583">
        <f t="shared" si="1061"/>
        <v>44.086494121800783</v>
      </c>
      <c r="BE472" s="583">
        <f t="shared" si="1062"/>
        <v>10.907998545600194</v>
      </c>
      <c r="BF472" s="583">
        <f t="shared" si="1063"/>
        <v>0</v>
      </c>
      <c r="BG472" s="583">
        <f t="shared" si="1064"/>
        <v>0.6817499091000121</v>
      </c>
      <c r="BH472" s="583">
        <f t="shared" si="1065"/>
        <v>1.7270997697200305</v>
      </c>
      <c r="BI472" s="583">
        <f t="shared" si="1066"/>
        <v>0.14453098072920259</v>
      </c>
      <c r="BJ472" s="583">
        <f t="shared" si="1067"/>
        <v>0</v>
      </c>
      <c r="BK472" s="583">
        <f t="shared" si="1068"/>
        <v>9.0899987880001615E-2</v>
      </c>
      <c r="BL472" s="583">
        <f t="shared" si="1069"/>
        <v>3.635999515200064E-2</v>
      </c>
      <c r="BM472" s="583">
        <f t="shared" si="1070"/>
        <v>1.2771448297140227</v>
      </c>
      <c r="BN472" s="583">
        <f t="shared" si="1071"/>
        <v>2.5451996606400455E-2</v>
      </c>
      <c r="BO472" s="583">
        <f t="shared" si="1072"/>
        <v>12.271498363800218</v>
      </c>
      <c r="BP472" s="583">
        <f t="shared" si="1073"/>
        <v>0</v>
      </c>
      <c r="BQ472" s="583">
        <f t="shared" si="1074"/>
        <v>4.5449993940000807E-2</v>
      </c>
      <c r="BR472" s="583">
        <f t="shared" si="1075"/>
        <v>4.9994993334000891E-2</v>
      </c>
    </row>
    <row r="473" spans="1:70" s="229" customFormat="1" ht="15" customHeight="1">
      <c r="A473" s="504"/>
      <c r="D473" s="85"/>
      <c r="E473" s="576">
        <f t="shared" si="1060"/>
        <v>100</v>
      </c>
      <c r="F473" s="85" t="s">
        <v>32</v>
      </c>
      <c r="G473" s="406" t="s">
        <v>3077</v>
      </c>
      <c r="H473" s="578" t="s">
        <v>3308</v>
      </c>
      <c r="I473" s="85">
        <v>150</v>
      </c>
      <c r="J473" s="682">
        <v>1</v>
      </c>
      <c r="K473" s="579">
        <f t="shared" si="1034"/>
        <v>16.5</v>
      </c>
      <c r="L473" s="580">
        <f>IF(H473="Select ingredient:","",IF(G473="","",_xlfn.IFNA(VLOOKUP($H473,Ingredient_prices!$E:$U,16,FALSE),0)))</f>
        <v>49.5</v>
      </c>
      <c r="M473" s="850"/>
      <c r="N473" s="850"/>
      <c r="O473" s="666"/>
      <c r="P473" s="670"/>
      <c r="Q473" s="583">
        <f t="shared" si="1035"/>
        <v>150</v>
      </c>
      <c r="R473" s="583">
        <f>VLOOKUP($H473,'CO2_emission+%_food_waste'!$A:$K,6,FALSE)*$Q473/100</f>
        <v>32.49</v>
      </c>
      <c r="S473" s="583">
        <f t="shared" si="1036"/>
        <v>117.50999999999999</v>
      </c>
      <c r="T473" s="583">
        <f>IF(H473="Select ingredient:","",IF(G473="Select food category:","",_xlfn.IFNA(VLOOKUP($H473,Ingredient_prices!$E:$U,16,FALSE)*$Q473/1000,"not bought")))</f>
        <v>7.4249999999999998</v>
      </c>
      <c r="U473" s="583">
        <f>IF(G473="Select food category:","",_xlfn.IFNA(VLOOKUP($H473,Ingredient_prices!$E:$U,16,FALSE)*$R473/1000,"not bought"))</f>
        <v>1.6082550000000002</v>
      </c>
      <c r="V473" s="549">
        <f>VLOOKUP($H473,'CO2_emission+%_food_waste'!$A:$K,4,FALSE)*$Q473</f>
        <v>64.5</v>
      </c>
      <c r="W473" s="583">
        <f>VLOOKUP($H473,Nutrition_tables!$A:$N,10,FALSE)*$Q473/100</f>
        <v>67.5</v>
      </c>
      <c r="X473" s="583">
        <f>VLOOKUP($H473,Nutrition_tables!$A:$N,11,FALSE)*$Q473/100</f>
        <v>15</v>
      </c>
      <c r="Y473" s="583">
        <f>VLOOKUP($H473,Nutrition_tables!$A:$N,12,FALSE)*$Q473/100</f>
        <v>0.3</v>
      </c>
      <c r="Z473" s="583">
        <f>VLOOKUP($H473,Nutrition_tables!$A:$N,14,FALSE)*$Q473/100</f>
        <v>0.45</v>
      </c>
      <c r="AA473" s="583">
        <f>VLOOKUP($H473,Nutrition_tables!$A:$AF,13,FALSE)*$Q473/100</f>
        <v>3.6</v>
      </c>
      <c r="AB473" s="549">
        <f>VLOOKUP($H473,Nutrition_tables!$A:$AF,15,FALSE)*$Q473/100</f>
        <v>0.10500000000000002</v>
      </c>
      <c r="AC473" s="583">
        <f>VLOOKUP($H473,Nutrition_tables!$A:$AF,16,FALSE)*$Q473/100</f>
        <v>3</v>
      </c>
      <c r="AD473" s="583">
        <f>VLOOKUP($H473,Nutrition_tables!$A:$AF,17,FALSE)*$Q473/100</f>
        <v>180</v>
      </c>
      <c r="AE473" s="583">
        <f>VLOOKUP($H473,Nutrition_tables!$A:$AF,18,FALSE)*$Q473/100</f>
        <v>9</v>
      </c>
      <c r="AF473" s="583">
        <f>VLOOKUP($H473,Nutrition_tables!$A:$AF,19,FALSE)*$Q473/100</f>
        <v>12.975</v>
      </c>
      <c r="AG473" s="583">
        <f>VLOOKUP($H473,Nutrition_tables!$A:$AF,20,FALSE)*$Q473/100</f>
        <v>18</v>
      </c>
      <c r="AH473" s="583">
        <f>VLOOKUP($H473,Nutrition_tables!$A:$AF,21,FALSE)*$Q473/100</f>
        <v>0.45</v>
      </c>
      <c r="AI473" s="583">
        <f>VLOOKUP($H473,Nutrition_tables!$A:$AF,22,FALSE)*$Q473/100</f>
        <v>0.15</v>
      </c>
      <c r="AJ473" s="549">
        <f>VLOOKUP($H473,Nutrition_tables!$A:$AF,23,FALSE)*$Q473/100</f>
        <v>5.4495000000000002E-2</v>
      </c>
      <c r="AK473" s="583">
        <f>VLOOKUP($H473,Nutrition_tables!$A:$AF,24,FALSE)*$Q473/100</f>
        <v>4.5</v>
      </c>
      <c r="AL473" s="583">
        <f>VLOOKUP($H473,Nutrition_tables!$A:$AF,25,FALSE)*$Q473/100</f>
        <v>0.03</v>
      </c>
      <c r="AM473" s="583">
        <f>VLOOKUP($H473,Nutrition_tables!$A:$AF,26,FALSE)*$Q473/100</f>
        <v>0.03</v>
      </c>
      <c r="AN473" s="583">
        <f>VLOOKUP($H473,Nutrition_tables!$A:$AF,27,FALSE)*$Q473/100</f>
        <v>0.45</v>
      </c>
      <c r="AO473" s="583">
        <f>VLOOKUP($H473,Nutrition_tables!$A:$AF,28,FALSE)*$Q473/100</f>
        <v>0.16500000000000001</v>
      </c>
      <c r="AP473" s="583">
        <f>VLOOKUP($H473,Nutrition_tables!$A:$AF,29,FALSE)*$Q473/100</f>
        <v>1.5</v>
      </c>
      <c r="AQ473" s="583">
        <f>VLOOKUP($H473,Nutrition_tables!$A:$AF,30,FALSE)*$Q473/100</f>
        <v>0</v>
      </c>
      <c r="AR473" s="583">
        <f>VLOOKUP($H473,Nutrition_tables!$A:$AF,31,FALSE)*$Q473/100</f>
        <v>15</v>
      </c>
      <c r="AS473" s="549">
        <f>VLOOKUP($H473,Nutrition_tables!$A:$AF,32,FALSE)*$Q473/100</f>
        <v>0</v>
      </c>
      <c r="AT473" s="583">
        <f>IF(H473="Select ingredient:","",IF(G473="Select food category:","",IFERROR(VLOOKUP($H473,Ingredient_prices!$E:$W,17,FALSE)*$Q473/1000,"not bought")))</f>
        <v>7.4249999999999998</v>
      </c>
      <c r="AU473" s="583">
        <f>IF(H473="Select ingredient:","",IF(G473="Select food category:","",IFERROR(VLOOKUP($H473,Ingredient_prices!$E:$W,18,FALSE)*$Q473/1000,"not bought")))</f>
        <v>7.4249999999999998</v>
      </c>
      <c r="AV473" s="583">
        <f t="shared" si="1037"/>
        <v>52.879496474700233</v>
      </c>
      <c r="AW473" s="583">
        <f t="shared" si="1038"/>
        <v>11.750999216600052</v>
      </c>
      <c r="AX473" s="583">
        <f t="shared" si="1039"/>
        <v>0.235019984332001</v>
      </c>
      <c r="AY473" s="583">
        <f t="shared" si="1040"/>
        <v>0.35252997649800155</v>
      </c>
      <c r="AZ473" s="583">
        <f t="shared" si="1041"/>
        <v>2.8202398119840124</v>
      </c>
      <c r="BA473" s="583">
        <f t="shared" si="1042"/>
        <v>8.2256994516200374E-2</v>
      </c>
      <c r="BB473" s="583">
        <f t="shared" si="1043"/>
        <v>2.3501998433200102</v>
      </c>
      <c r="BC473" s="583">
        <f t="shared" si="1044"/>
        <v>141.01199059920063</v>
      </c>
      <c r="BD473" s="583">
        <f t="shared" si="1061"/>
        <v>7.0505995299600306</v>
      </c>
      <c r="BE473" s="583">
        <f t="shared" si="1062"/>
        <v>10.164614322359045</v>
      </c>
      <c r="BF473" s="583">
        <f t="shared" si="1063"/>
        <v>14.101199059920061</v>
      </c>
      <c r="BG473" s="583">
        <f t="shared" si="1064"/>
        <v>0.35252997649800155</v>
      </c>
      <c r="BH473" s="583">
        <f t="shared" si="1065"/>
        <v>0.1175099921660005</v>
      </c>
      <c r="BI473" s="583">
        <f t="shared" si="1066"/>
        <v>4.2691380153907985E-2</v>
      </c>
      <c r="BJ473" s="583">
        <f t="shared" si="1067"/>
        <v>3.5252997649800153</v>
      </c>
      <c r="BK473" s="583">
        <f t="shared" si="1068"/>
        <v>2.35019984332001E-2</v>
      </c>
      <c r="BL473" s="583">
        <f t="shared" si="1069"/>
        <v>2.35019984332001E-2</v>
      </c>
      <c r="BM473" s="583">
        <f t="shared" si="1070"/>
        <v>0.35252997649800155</v>
      </c>
      <c r="BN473" s="583">
        <f t="shared" si="1071"/>
        <v>0.12926099138260058</v>
      </c>
      <c r="BO473" s="583">
        <f t="shared" si="1072"/>
        <v>1.1750999216600051</v>
      </c>
      <c r="BP473" s="583">
        <f t="shared" si="1073"/>
        <v>0</v>
      </c>
      <c r="BQ473" s="583">
        <f t="shared" si="1074"/>
        <v>11.750999216600052</v>
      </c>
      <c r="BR473" s="583">
        <f t="shared" si="1075"/>
        <v>0</v>
      </c>
    </row>
    <row r="474" spans="1:70" s="229" customFormat="1" ht="15" customHeight="1">
      <c r="A474" s="504"/>
      <c r="D474" s="85"/>
      <c r="E474" s="576">
        <f t="shared" si="1060"/>
        <v>100</v>
      </c>
      <c r="F474" s="707"/>
      <c r="G474" s="406" t="s">
        <v>3054</v>
      </c>
      <c r="H474" s="1262" t="s">
        <v>3055</v>
      </c>
      <c r="I474" s="85">
        <v>0</v>
      </c>
      <c r="J474" s="682">
        <v>1</v>
      </c>
      <c r="K474" s="579" t="str">
        <f t="shared" si="1034"/>
        <v/>
      </c>
      <c r="L474" s="580" t="str">
        <f>IF(H474="Select ingredient:","",IF(G474="","",_xlfn.IFNA(VLOOKUP($H474,Ingredient_prices!$E:$U,16,FALSE),0)))</f>
        <v/>
      </c>
      <c r="M474" s="850"/>
      <c r="N474" s="850"/>
      <c r="O474" s="666"/>
      <c r="P474" s="670"/>
      <c r="Q474" s="583">
        <f t="shared" si="1035"/>
        <v>0</v>
      </c>
      <c r="R474" s="583">
        <f>VLOOKUP($H474,'CO2_emission+%_food_waste'!$A:$K,6,FALSE)*$Q474/100</f>
        <v>0</v>
      </c>
      <c r="S474" s="583">
        <f t="shared" si="1036"/>
        <v>0</v>
      </c>
      <c r="T474" s="583" t="str">
        <f>IF(H474="Select ingredient:","",IF(G474="Select food category:","",_xlfn.IFNA(VLOOKUP($H474,Ingredient_prices!$E:$U,16,FALSE)*$Q474/1000,"not bought")))</f>
        <v/>
      </c>
      <c r="U474" s="583" t="str">
        <f>IF(G474="Select food category:","",_xlfn.IFNA(VLOOKUP($H474,Ingredient_prices!$E:$U,16,FALSE)*$R474/1000,"not bought"))</f>
        <v/>
      </c>
      <c r="V474" s="549">
        <f>VLOOKUP($H474,'CO2_emission+%_food_waste'!$A:$K,4,FALSE)*$Q474</f>
        <v>0</v>
      </c>
      <c r="W474" s="583">
        <f>VLOOKUP($H474,Nutrition_tables!$A:$N,10,FALSE)*$Q474/100</f>
        <v>0</v>
      </c>
      <c r="X474" s="583">
        <f>VLOOKUP($H474,Nutrition_tables!$A:$N,11,FALSE)*$Q474/100</f>
        <v>0</v>
      </c>
      <c r="Y474" s="583">
        <f>VLOOKUP($H474,Nutrition_tables!$A:$N,12,FALSE)*$Q474/100</f>
        <v>0</v>
      </c>
      <c r="Z474" s="583">
        <f>VLOOKUP($H474,Nutrition_tables!$A:$N,14,FALSE)*$Q474/100</f>
        <v>0</v>
      </c>
      <c r="AA474" s="583">
        <f>VLOOKUP($H474,Nutrition_tables!$A:$AF,13,FALSE)*$Q474/100</f>
        <v>0</v>
      </c>
      <c r="AB474" s="549">
        <f>VLOOKUP($H474,Nutrition_tables!$A:$AF,15,FALSE)*$Q474/100</f>
        <v>0</v>
      </c>
      <c r="AC474" s="583">
        <f>VLOOKUP($H474,Nutrition_tables!$A:$AF,16,FALSE)*$Q474/100</f>
        <v>0</v>
      </c>
      <c r="AD474" s="583">
        <f>VLOOKUP($H474,Nutrition_tables!$A:$AF,17,FALSE)*$Q474/100</f>
        <v>0</v>
      </c>
      <c r="AE474" s="583">
        <f>VLOOKUP($H474,Nutrition_tables!$A:$AF,18,FALSE)*$Q474/100</f>
        <v>0</v>
      </c>
      <c r="AF474" s="583">
        <f>VLOOKUP($H474,Nutrition_tables!$A:$AF,19,FALSE)*$Q474/100</f>
        <v>0</v>
      </c>
      <c r="AG474" s="583">
        <f>VLOOKUP($H474,Nutrition_tables!$A:$AF,20,FALSE)*$Q474/100</f>
        <v>0</v>
      </c>
      <c r="AH474" s="583">
        <f>VLOOKUP($H474,Nutrition_tables!$A:$AF,21,FALSE)*$Q474/100</f>
        <v>0</v>
      </c>
      <c r="AI474" s="583">
        <f>VLOOKUP($H474,Nutrition_tables!$A:$AF,22,FALSE)*$Q474/100</f>
        <v>0</v>
      </c>
      <c r="AJ474" s="549">
        <f>VLOOKUP($H474,Nutrition_tables!$A:$AF,23,FALSE)*$Q474/100</f>
        <v>0</v>
      </c>
      <c r="AK474" s="583">
        <f>VLOOKUP($H474,Nutrition_tables!$A:$AF,24,FALSE)*$Q474/100</f>
        <v>0</v>
      </c>
      <c r="AL474" s="583">
        <f>VLOOKUP($H474,Nutrition_tables!$A:$AF,25,FALSE)*$Q474/100</f>
        <v>0</v>
      </c>
      <c r="AM474" s="583">
        <f>VLOOKUP($H474,Nutrition_tables!$A:$AF,26,FALSE)*$Q474/100</f>
        <v>0</v>
      </c>
      <c r="AN474" s="583">
        <f>VLOOKUP($H474,Nutrition_tables!$A:$AF,27,FALSE)*$Q474/100</f>
        <v>0</v>
      </c>
      <c r="AO474" s="583">
        <f>VLOOKUP($H474,Nutrition_tables!$A:$AF,28,FALSE)*$Q474/100</f>
        <v>0</v>
      </c>
      <c r="AP474" s="583">
        <f>VLOOKUP($H474,Nutrition_tables!$A:$AF,29,FALSE)*$Q474/100</f>
        <v>0</v>
      </c>
      <c r="AQ474" s="583">
        <f>VLOOKUP($H474,Nutrition_tables!$A:$AF,30,FALSE)*$Q474/100</f>
        <v>0</v>
      </c>
      <c r="AR474" s="583">
        <f>VLOOKUP($H474,Nutrition_tables!$A:$AF,31,FALSE)*$Q474/100</f>
        <v>0</v>
      </c>
      <c r="AS474" s="549">
        <f>VLOOKUP($H474,Nutrition_tables!$A:$AF,32,FALSE)*$Q474/100</f>
        <v>0</v>
      </c>
      <c r="AT474" s="583" t="str">
        <f>IF(H474="Select ingredient:","",IF(G474="Select food category:","",IFERROR(VLOOKUP($H474,Ingredient_prices!$E:$W,17,FALSE)*$Q474/1000,"not bought")))</f>
        <v/>
      </c>
      <c r="AU474" s="583" t="str">
        <f>IF(H474="Select ingredient:","",IF(G474="Select food category:","",IFERROR(VLOOKUP($H474,Ingredient_prices!$E:$W,18,FALSE)*$Q474/1000,"not bought")))</f>
        <v/>
      </c>
      <c r="AV474" s="583">
        <f t="shared" si="1037"/>
        <v>0</v>
      </c>
      <c r="AW474" s="583">
        <f t="shared" si="1038"/>
        <v>0</v>
      </c>
      <c r="AX474" s="583">
        <f t="shared" si="1039"/>
        <v>0</v>
      </c>
      <c r="AY474" s="583">
        <f t="shared" si="1040"/>
        <v>0</v>
      </c>
      <c r="AZ474" s="583">
        <f t="shared" si="1041"/>
        <v>0</v>
      </c>
      <c r="BA474" s="583">
        <f t="shared" si="1042"/>
        <v>0</v>
      </c>
      <c r="BB474" s="583">
        <f t="shared" si="1043"/>
        <v>0</v>
      </c>
      <c r="BC474" s="583">
        <f t="shared" si="1044"/>
        <v>0</v>
      </c>
      <c r="BD474" s="583">
        <f t="shared" si="1061"/>
        <v>0</v>
      </c>
      <c r="BE474" s="583">
        <f t="shared" si="1062"/>
        <v>0</v>
      </c>
      <c r="BF474" s="583">
        <f t="shared" si="1063"/>
        <v>0</v>
      </c>
      <c r="BG474" s="583">
        <f t="shared" si="1064"/>
        <v>0</v>
      </c>
      <c r="BH474" s="583">
        <f t="shared" si="1065"/>
        <v>0</v>
      </c>
      <c r="BI474" s="583">
        <f t="shared" si="1066"/>
        <v>0</v>
      </c>
      <c r="BJ474" s="583">
        <f t="shared" si="1067"/>
        <v>0</v>
      </c>
      <c r="BK474" s="583">
        <f t="shared" si="1068"/>
        <v>0</v>
      </c>
      <c r="BL474" s="583">
        <f t="shared" si="1069"/>
        <v>0</v>
      </c>
      <c r="BM474" s="583">
        <f t="shared" si="1070"/>
        <v>0</v>
      </c>
      <c r="BN474" s="583">
        <f t="shared" si="1071"/>
        <v>0</v>
      </c>
      <c r="BO474" s="583">
        <f t="shared" si="1072"/>
        <v>0</v>
      </c>
      <c r="BP474" s="583">
        <f t="shared" si="1073"/>
        <v>0</v>
      </c>
      <c r="BQ474" s="583">
        <f t="shared" si="1074"/>
        <v>0</v>
      </c>
      <c r="BR474" s="583">
        <f t="shared" si="1075"/>
        <v>0</v>
      </c>
    </row>
    <row r="475" spans="1:70" s="229" customFormat="1" ht="15" customHeight="1">
      <c r="A475" s="504"/>
      <c r="D475" s="85"/>
      <c r="E475" s="576">
        <f t="shared" si="1060"/>
        <v>100</v>
      </c>
      <c r="F475" s="707"/>
      <c r="G475" s="406" t="s">
        <v>3054</v>
      </c>
      <c r="H475" s="1262" t="s">
        <v>3055</v>
      </c>
      <c r="I475" s="85">
        <v>0</v>
      </c>
      <c r="J475" s="682">
        <v>1</v>
      </c>
      <c r="K475" s="579" t="str">
        <f t="shared" si="1034"/>
        <v/>
      </c>
      <c r="L475" s="580" t="str">
        <f>IF(H475="Select ingredient:","",IF(G475="","",_xlfn.IFNA(VLOOKUP($H475,Ingredient_prices!$E:$U,16,FALSE),0)))</f>
        <v/>
      </c>
      <c r="M475" s="850"/>
      <c r="N475" s="850"/>
      <c r="O475" s="666"/>
      <c r="P475" s="670"/>
      <c r="Q475" s="583">
        <f t="shared" si="1035"/>
        <v>0</v>
      </c>
      <c r="R475" s="583">
        <f>VLOOKUP($H475,'CO2_emission+%_food_waste'!$A:$K,6,FALSE)*$Q475/100</f>
        <v>0</v>
      </c>
      <c r="S475" s="583">
        <f t="shared" si="1036"/>
        <v>0</v>
      </c>
      <c r="T475" s="583" t="str">
        <f>IF(H475="Select ingredient:","",IF(G475="Select food category:","",_xlfn.IFNA(VLOOKUP($H475,Ingredient_prices!$E:$U,16,FALSE)*$Q475/1000,"not bought")))</f>
        <v/>
      </c>
      <c r="U475" s="583" t="str">
        <f>IF(G475="Select food category:","",_xlfn.IFNA(VLOOKUP($H475,Ingredient_prices!$E:$U,16,FALSE)*$R475/1000,"not bought"))</f>
        <v/>
      </c>
      <c r="V475" s="549">
        <f>VLOOKUP($H475,'CO2_emission+%_food_waste'!$A:$K,4,FALSE)*$Q475</f>
        <v>0</v>
      </c>
      <c r="W475" s="583">
        <f>VLOOKUP($H475,Nutrition_tables!$A:$N,10,FALSE)*$Q475/100</f>
        <v>0</v>
      </c>
      <c r="X475" s="583">
        <f>VLOOKUP($H475,Nutrition_tables!$A:$N,11,FALSE)*$Q475/100</f>
        <v>0</v>
      </c>
      <c r="Y475" s="583">
        <f>VLOOKUP($H475,Nutrition_tables!$A:$N,12,FALSE)*$Q475/100</f>
        <v>0</v>
      </c>
      <c r="Z475" s="583">
        <f>VLOOKUP($H475,Nutrition_tables!$A:$N,14,FALSE)*$Q475/100</f>
        <v>0</v>
      </c>
      <c r="AA475" s="583">
        <f>VLOOKUP($H475,Nutrition_tables!$A:$AF,13,FALSE)*$Q475/100</f>
        <v>0</v>
      </c>
      <c r="AB475" s="549">
        <f>VLOOKUP($H475,Nutrition_tables!$A:$AF,15,FALSE)*$Q475/100</f>
        <v>0</v>
      </c>
      <c r="AC475" s="583">
        <f>VLOOKUP($H475,Nutrition_tables!$A:$AF,16,FALSE)*$Q475/100</f>
        <v>0</v>
      </c>
      <c r="AD475" s="583">
        <f>VLOOKUP($H475,Nutrition_tables!$A:$AF,17,FALSE)*$Q475/100</f>
        <v>0</v>
      </c>
      <c r="AE475" s="583">
        <f>VLOOKUP($H475,Nutrition_tables!$A:$AF,18,FALSE)*$Q475/100</f>
        <v>0</v>
      </c>
      <c r="AF475" s="583">
        <f>VLOOKUP($H475,Nutrition_tables!$A:$AF,19,FALSE)*$Q475/100</f>
        <v>0</v>
      </c>
      <c r="AG475" s="583">
        <f>VLOOKUP($H475,Nutrition_tables!$A:$AF,20,FALSE)*$Q475/100</f>
        <v>0</v>
      </c>
      <c r="AH475" s="583">
        <f>VLOOKUP($H475,Nutrition_tables!$A:$AF,21,FALSE)*$Q475/100</f>
        <v>0</v>
      </c>
      <c r="AI475" s="583">
        <f>VLOOKUP($H475,Nutrition_tables!$A:$AF,22,FALSE)*$Q475/100</f>
        <v>0</v>
      </c>
      <c r="AJ475" s="549">
        <f>VLOOKUP($H475,Nutrition_tables!$A:$AF,23,FALSE)*$Q475/100</f>
        <v>0</v>
      </c>
      <c r="AK475" s="583">
        <f>VLOOKUP($H475,Nutrition_tables!$A:$AF,24,FALSE)*$Q475/100</f>
        <v>0</v>
      </c>
      <c r="AL475" s="583">
        <f>VLOOKUP($H475,Nutrition_tables!$A:$AF,25,FALSE)*$Q475/100</f>
        <v>0</v>
      </c>
      <c r="AM475" s="583">
        <f>VLOOKUP($H475,Nutrition_tables!$A:$AF,26,FALSE)*$Q475/100</f>
        <v>0</v>
      </c>
      <c r="AN475" s="583">
        <f>VLOOKUP($H475,Nutrition_tables!$A:$AF,27,FALSE)*$Q475/100</f>
        <v>0</v>
      </c>
      <c r="AO475" s="583">
        <f>VLOOKUP($H475,Nutrition_tables!$A:$AF,28,FALSE)*$Q475/100</f>
        <v>0</v>
      </c>
      <c r="AP475" s="583">
        <f>VLOOKUP($H475,Nutrition_tables!$A:$AF,29,FALSE)*$Q475/100</f>
        <v>0</v>
      </c>
      <c r="AQ475" s="583">
        <f>VLOOKUP($H475,Nutrition_tables!$A:$AF,30,FALSE)*$Q475/100</f>
        <v>0</v>
      </c>
      <c r="AR475" s="583">
        <f>VLOOKUP($H475,Nutrition_tables!$A:$AF,31,FALSE)*$Q475/100</f>
        <v>0</v>
      </c>
      <c r="AS475" s="549">
        <f>VLOOKUP($H475,Nutrition_tables!$A:$AF,32,FALSE)*$Q475/100</f>
        <v>0</v>
      </c>
      <c r="AT475" s="583" t="str">
        <f>IF(H475="Select ingredient:","",IF(G475="Select food category:","",IFERROR(VLOOKUP($H475,Ingredient_prices!$E:$W,17,FALSE)*$Q475/1000,"not bought")))</f>
        <v/>
      </c>
      <c r="AU475" s="583" t="str">
        <f>IF(H475="Select ingredient:","",IF(G475="Select food category:","",IFERROR(VLOOKUP($H475,Ingredient_prices!$E:$W,18,FALSE)*$Q475/1000,"not bought")))</f>
        <v/>
      </c>
      <c r="AV475" s="583">
        <f t="shared" si="1037"/>
        <v>0</v>
      </c>
      <c r="AW475" s="583">
        <f t="shared" si="1038"/>
        <v>0</v>
      </c>
      <c r="AX475" s="583">
        <f t="shared" si="1039"/>
        <v>0</v>
      </c>
      <c r="AY475" s="583">
        <f t="shared" si="1040"/>
        <v>0</v>
      </c>
      <c r="AZ475" s="583">
        <f t="shared" si="1041"/>
        <v>0</v>
      </c>
      <c r="BA475" s="583">
        <f t="shared" si="1042"/>
        <v>0</v>
      </c>
      <c r="BB475" s="583">
        <f t="shared" si="1043"/>
        <v>0</v>
      </c>
      <c r="BC475" s="583">
        <f t="shared" si="1044"/>
        <v>0</v>
      </c>
      <c r="BD475" s="583">
        <f t="shared" si="1061"/>
        <v>0</v>
      </c>
      <c r="BE475" s="583">
        <f t="shared" si="1062"/>
        <v>0</v>
      </c>
      <c r="BF475" s="583">
        <f t="shared" si="1063"/>
        <v>0</v>
      </c>
      <c r="BG475" s="583">
        <f t="shared" si="1064"/>
        <v>0</v>
      </c>
      <c r="BH475" s="583">
        <f t="shared" si="1065"/>
        <v>0</v>
      </c>
      <c r="BI475" s="583">
        <f t="shared" si="1066"/>
        <v>0</v>
      </c>
      <c r="BJ475" s="583">
        <f t="shared" si="1067"/>
        <v>0</v>
      </c>
      <c r="BK475" s="583">
        <f t="shared" si="1068"/>
        <v>0</v>
      </c>
      <c r="BL475" s="583">
        <f t="shared" si="1069"/>
        <v>0</v>
      </c>
      <c r="BM475" s="583">
        <f t="shared" si="1070"/>
        <v>0</v>
      </c>
      <c r="BN475" s="583">
        <f t="shared" si="1071"/>
        <v>0</v>
      </c>
      <c r="BO475" s="583">
        <f t="shared" si="1072"/>
        <v>0</v>
      </c>
      <c r="BP475" s="583">
        <f t="shared" si="1073"/>
        <v>0</v>
      </c>
      <c r="BQ475" s="583">
        <f t="shared" si="1074"/>
        <v>0</v>
      </c>
      <c r="BR475" s="583">
        <f t="shared" si="1075"/>
        <v>0</v>
      </c>
    </row>
    <row r="476" spans="1:70" s="229" customFormat="1" ht="15" customHeight="1">
      <c r="A476" s="504"/>
      <c r="D476" s="85"/>
      <c r="E476" s="576">
        <f t="shared" si="1060"/>
        <v>100</v>
      </c>
      <c r="F476" s="707"/>
      <c r="G476" s="406" t="s">
        <v>3054</v>
      </c>
      <c r="H476" s="1262" t="s">
        <v>3055</v>
      </c>
      <c r="I476" s="85">
        <v>0</v>
      </c>
      <c r="J476" s="682">
        <v>1</v>
      </c>
      <c r="K476" s="579" t="str">
        <f t="shared" si="1034"/>
        <v/>
      </c>
      <c r="L476" s="580" t="str">
        <f>IF(H476="Select ingredient:","",IF(G476="","",_xlfn.IFNA(VLOOKUP($H476,Ingredient_prices!$E:$U,16,FALSE),0)))</f>
        <v/>
      </c>
      <c r="M476" s="850"/>
      <c r="N476" s="850"/>
      <c r="O476" s="666"/>
      <c r="P476" s="670"/>
      <c r="Q476" s="583">
        <f t="shared" si="1035"/>
        <v>0</v>
      </c>
      <c r="R476" s="583">
        <f>VLOOKUP($H476,'CO2_emission+%_food_waste'!$A:$K,6,FALSE)*$Q476/100</f>
        <v>0</v>
      </c>
      <c r="S476" s="583">
        <f t="shared" si="1036"/>
        <v>0</v>
      </c>
      <c r="T476" s="583" t="str">
        <f>IF(H476="Select ingredient:","",IF(G476="Select food category:","",_xlfn.IFNA(VLOOKUP($H476,Ingredient_prices!$E:$U,16,FALSE)*$Q476/1000,"not bought")))</f>
        <v/>
      </c>
      <c r="U476" s="583" t="str">
        <f>IF(G476="Select food category:","",_xlfn.IFNA(VLOOKUP($H476,Ingredient_prices!$E:$U,16,FALSE)*$R476/1000,"not bought"))</f>
        <v/>
      </c>
      <c r="V476" s="549">
        <f>VLOOKUP($H476,'CO2_emission+%_food_waste'!$A:$K,4,FALSE)*$Q476</f>
        <v>0</v>
      </c>
      <c r="W476" s="583">
        <f>VLOOKUP($H476,Nutrition_tables!$A:$N,10,FALSE)*$Q476/100</f>
        <v>0</v>
      </c>
      <c r="X476" s="583">
        <f>VLOOKUP($H476,Nutrition_tables!$A:$N,11,FALSE)*$Q476/100</f>
        <v>0</v>
      </c>
      <c r="Y476" s="583">
        <f>VLOOKUP($H476,Nutrition_tables!$A:$N,12,FALSE)*$Q476/100</f>
        <v>0</v>
      </c>
      <c r="Z476" s="583">
        <f>VLOOKUP($H476,Nutrition_tables!$A:$N,14,FALSE)*$Q476/100</f>
        <v>0</v>
      </c>
      <c r="AA476" s="583">
        <f>VLOOKUP($H476,Nutrition_tables!$A:$AF,13,FALSE)*$Q476/100</f>
        <v>0</v>
      </c>
      <c r="AB476" s="549">
        <f>VLOOKUP($H476,Nutrition_tables!$A:$AF,15,FALSE)*$Q476/100</f>
        <v>0</v>
      </c>
      <c r="AC476" s="583">
        <f>VLOOKUP($H476,Nutrition_tables!$A:$AF,16,FALSE)*$Q476/100</f>
        <v>0</v>
      </c>
      <c r="AD476" s="583">
        <f>VLOOKUP($H476,Nutrition_tables!$A:$AF,17,FALSE)*$Q476/100</f>
        <v>0</v>
      </c>
      <c r="AE476" s="583">
        <f>VLOOKUP($H476,Nutrition_tables!$A:$AF,18,FALSE)*$Q476/100</f>
        <v>0</v>
      </c>
      <c r="AF476" s="583">
        <f>VLOOKUP($H476,Nutrition_tables!$A:$AF,19,FALSE)*$Q476/100</f>
        <v>0</v>
      </c>
      <c r="AG476" s="583">
        <f>VLOOKUP($H476,Nutrition_tables!$A:$AF,20,FALSE)*$Q476/100</f>
        <v>0</v>
      </c>
      <c r="AH476" s="583">
        <f>VLOOKUP($H476,Nutrition_tables!$A:$AF,21,FALSE)*$Q476/100</f>
        <v>0</v>
      </c>
      <c r="AI476" s="583">
        <f>VLOOKUP($H476,Nutrition_tables!$A:$AF,22,FALSE)*$Q476/100</f>
        <v>0</v>
      </c>
      <c r="AJ476" s="549">
        <f>VLOOKUP($H476,Nutrition_tables!$A:$AF,23,FALSE)*$Q476/100</f>
        <v>0</v>
      </c>
      <c r="AK476" s="583">
        <f>VLOOKUP($H476,Nutrition_tables!$A:$AF,24,FALSE)*$Q476/100</f>
        <v>0</v>
      </c>
      <c r="AL476" s="583">
        <f>VLOOKUP($H476,Nutrition_tables!$A:$AF,25,FALSE)*$Q476/100</f>
        <v>0</v>
      </c>
      <c r="AM476" s="583">
        <f>VLOOKUP($H476,Nutrition_tables!$A:$AF,26,FALSE)*$Q476/100</f>
        <v>0</v>
      </c>
      <c r="AN476" s="583">
        <f>VLOOKUP($H476,Nutrition_tables!$A:$AF,27,FALSE)*$Q476/100</f>
        <v>0</v>
      </c>
      <c r="AO476" s="583">
        <f>VLOOKUP($H476,Nutrition_tables!$A:$AF,28,FALSE)*$Q476/100</f>
        <v>0</v>
      </c>
      <c r="AP476" s="583">
        <f>VLOOKUP($H476,Nutrition_tables!$A:$AF,29,FALSE)*$Q476/100</f>
        <v>0</v>
      </c>
      <c r="AQ476" s="583">
        <f>VLOOKUP($H476,Nutrition_tables!$A:$AF,30,FALSE)*$Q476/100</f>
        <v>0</v>
      </c>
      <c r="AR476" s="583">
        <f>VLOOKUP($H476,Nutrition_tables!$A:$AF,31,FALSE)*$Q476/100</f>
        <v>0</v>
      </c>
      <c r="AS476" s="549">
        <f>VLOOKUP($H476,Nutrition_tables!$A:$AF,32,FALSE)*$Q476/100</f>
        <v>0</v>
      </c>
      <c r="AT476" s="583" t="str">
        <f>IF(H476="Select ingredient:","",IF(G476="Select food category:","",IFERROR(VLOOKUP($H476,Ingredient_prices!$E:$W,17,FALSE)*$Q476/1000,"not bought")))</f>
        <v/>
      </c>
      <c r="AU476" s="583" t="str">
        <f>IF(H476="Select ingredient:","",IF(G476="Select food category:","",IFERROR(VLOOKUP($H476,Ingredient_prices!$E:$W,18,FALSE)*$Q476/1000,"not bought")))</f>
        <v/>
      </c>
      <c r="AV476" s="583">
        <f t="shared" si="1037"/>
        <v>0</v>
      </c>
      <c r="AW476" s="583">
        <f t="shared" si="1038"/>
        <v>0</v>
      </c>
      <c r="AX476" s="583">
        <f t="shared" si="1039"/>
        <v>0</v>
      </c>
      <c r="AY476" s="583">
        <f t="shared" si="1040"/>
        <v>0</v>
      </c>
      <c r="AZ476" s="583">
        <f t="shared" si="1041"/>
        <v>0</v>
      </c>
      <c r="BA476" s="583">
        <f t="shared" si="1042"/>
        <v>0</v>
      </c>
      <c r="BB476" s="583">
        <f t="shared" si="1043"/>
        <v>0</v>
      </c>
      <c r="BC476" s="583">
        <f t="shared" si="1044"/>
        <v>0</v>
      </c>
      <c r="BD476" s="583">
        <f t="shared" si="1061"/>
        <v>0</v>
      </c>
      <c r="BE476" s="583">
        <f t="shared" si="1062"/>
        <v>0</v>
      </c>
      <c r="BF476" s="583">
        <f t="shared" si="1063"/>
        <v>0</v>
      </c>
      <c r="BG476" s="583">
        <f t="shared" si="1064"/>
        <v>0</v>
      </c>
      <c r="BH476" s="583">
        <f t="shared" si="1065"/>
        <v>0</v>
      </c>
      <c r="BI476" s="583">
        <f t="shared" si="1066"/>
        <v>0</v>
      </c>
      <c r="BJ476" s="583">
        <f t="shared" si="1067"/>
        <v>0</v>
      </c>
      <c r="BK476" s="583">
        <f t="shared" si="1068"/>
        <v>0</v>
      </c>
      <c r="BL476" s="583">
        <f t="shared" si="1069"/>
        <v>0</v>
      </c>
      <c r="BM476" s="583">
        <f t="shared" si="1070"/>
        <v>0</v>
      </c>
      <c r="BN476" s="583">
        <f t="shared" si="1071"/>
        <v>0</v>
      </c>
      <c r="BO476" s="583">
        <f t="shared" si="1072"/>
        <v>0</v>
      </c>
      <c r="BP476" s="583">
        <f t="shared" si="1073"/>
        <v>0</v>
      </c>
      <c r="BQ476" s="583">
        <f t="shared" si="1074"/>
        <v>0</v>
      </c>
      <c r="BR476" s="583">
        <f t="shared" si="1075"/>
        <v>0</v>
      </c>
    </row>
    <row r="477" spans="1:70" s="229" customFormat="1" ht="15" customHeight="1">
      <c r="A477" s="504"/>
      <c r="D477" s="85"/>
      <c r="E477" s="576">
        <f t="shared" si="1060"/>
        <v>100</v>
      </c>
      <c r="F477" s="707"/>
      <c r="G477" s="406" t="s">
        <v>3054</v>
      </c>
      <c r="H477" s="1262" t="s">
        <v>3055</v>
      </c>
      <c r="I477" s="85">
        <v>0</v>
      </c>
      <c r="J477" s="682">
        <v>1</v>
      </c>
      <c r="K477" s="579" t="str">
        <f t="shared" si="1034"/>
        <v/>
      </c>
      <c r="L477" s="580" t="str">
        <f>IF(H477="Select ingredient:","",IF(G477="","",_xlfn.IFNA(VLOOKUP($H477,Ingredient_prices!$E:$U,16,FALSE),0)))</f>
        <v/>
      </c>
      <c r="M477" s="850"/>
      <c r="N477" s="850"/>
      <c r="O477" s="666"/>
      <c r="P477" s="670"/>
      <c r="Q477" s="583">
        <f t="shared" si="1035"/>
        <v>0</v>
      </c>
      <c r="R477" s="583">
        <f>VLOOKUP($H477,'CO2_emission+%_food_waste'!$A:$K,6,FALSE)*$Q477/100</f>
        <v>0</v>
      </c>
      <c r="S477" s="583">
        <f t="shared" si="1036"/>
        <v>0</v>
      </c>
      <c r="T477" s="583" t="str">
        <f>IF(H477="Select ingredient:","",IF(G477="Select food category:","",_xlfn.IFNA(VLOOKUP($H477,Ingredient_prices!$E:$U,16,FALSE)*$Q477/1000,"not bought")))</f>
        <v/>
      </c>
      <c r="U477" s="583" t="str">
        <f>IF(G477="Select food category:","",_xlfn.IFNA(VLOOKUP($H477,Ingredient_prices!$E:$U,16,FALSE)*$R477/1000,"not bought"))</f>
        <v/>
      </c>
      <c r="V477" s="549">
        <f>VLOOKUP($H477,'CO2_emission+%_food_waste'!$A:$K,4,FALSE)*$Q477</f>
        <v>0</v>
      </c>
      <c r="W477" s="583">
        <f>VLOOKUP($H477,Nutrition_tables!$A:$N,10,FALSE)*$Q477/100</f>
        <v>0</v>
      </c>
      <c r="X477" s="583">
        <f>VLOOKUP($H477,Nutrition_tables!$A:$N,11,FALSE)*$Q477/100</f>
        <v>0</v>
      </c>
      <c r="Y477" s="583">
        <f>VLOOKUP($H477,Nutrition_tables!$A:$N,12,FALSE)*$Q477/100</f>
        <v>0</v>
      </c>
      <c r="Z477" s="583">
        <f>VLOOKUP($H477,Nutrition_tables!$A:$N,14,FALSE)*$Q477/100</f>
        <v>0</v>
      </c>
      <c r="AA477" s="583">
        <f>VLOOKUP($H477,Nutrition_tables!$A:$AF,13,FALSE)*$Q477/100</f>
        <v>0</v>
      </c>
      <c r="AB477" s="549">
        <f>VLOOKUP($H477,Nutrition_tables!$A:$AF,15,FALSE)*$Q477/100</f>
        <v>0</v>
      </c>
      <c r="AC477" s="583">
        <f>VLOOKUP($H477,Nutrition_tables!$A:$AF,16,FALSE)*$Q477/100</f>
        <v>0</v>
      </c>
      <c r="AD477" s="583">
        <f>VLOOKUP($H477,Nutrition_tables!$A:$AF,17,FALSE)*$Q477/100</f>
        <v>0</v>
      </c>
      <c r="AE477" s="583">
        <f>VLOOKUP($H477,Nutrition_tables!$A:$AF,18,FALSE)*$Q477/100</f>
        <v>0</v>
      </c>
      <c r="AF477" s="583">
        <f>VLOOKUP($H477,Nutrition_tables!$A:$AF,19,FALSE)*$Q477/100</f>
        <v>0</v>
      </c>
      <c r="AG477" s="583">
        <f>VLOOKUP($H477,Nutrition_tables!$A:$AF,20,FALSE)*$Q477/100</f>
        <v>0</v>
      </c>
      <c r="AH477" s="583">
        <f>VLOOKUP($H477,Nutrition_tables!$A:$AF,21,FALSE)*$Q477/100</f>
        <v>0</v>
      </c>
      <c r="AI477" s="583">
        <f>VLOOKUP($H477,Nutrition_tables!$A:$AF,22,FALSE)*$Q477/100</f>
        <v>0</v>
      </c>
      <c r="AJ477" s="549">
        <f>VLOOKUP($H477,Nutrition_tables!$A:$AF,23,FALSE)*$Q477/100</f>
        <v>0</v>
      </c>
      <c r="AK477" s="583">
        <f>VLOOKUP($H477,Nutrition_tables!$A:$AF,24,FALSE)*$Q477/100</f>
        <v>0</v>
      </c>
      <c r="AL477" s="583">
        <f>VLOOKUP($H477,Nutrition_tables!$A:$AF,25,FALSE)*$Q477/100</f>
        <v>0</v>
      </c>
      <c r="AM477" s="583">
        <f>VLOOKUP($H477,Nutrition_tables!$A:$AF,26,FALSE)*$Q477/100</f>
        <v>0</v>
      </c>
      <c r="AN477" s="583">
        <f>VLOOKUP($H477,Nutrition_tables!$A:$AF,27,FALSE)*$Q477/100</f>
        <v>0</v>
      </c>
      <c r="AO477" s="583">
        <f>VLOOKUP($H477,Nutrition_tables!$A:$AF,28,FALSE)*$Q477/100</f>
        <v>0</v>
      </c>
      <c r="AP477" s="583">
        <f>VLOOKUP($H477,Nutrition_tables!$A:$AF,29,FALSE)*$Q477/100</f>
        <v>0</v>
      </c>
      <c r="AQ477" s="583">
        <f>VLOOKUP($H477,Nutrition_tables!$A:$AF,30,FALSE)*$Q477/100</f>
        <v>0</v>
      </c>
      <c r="AR477" s="583">
        <f>VLOOKUP($H477,Nutrition_tables!$A:$AF,31,FALSE)*$Q477/100</f>
        <v>0</v>
      </c>
      <c r="AS477" s="549">
        <f>VLOOKUP($H477,Nutrition_tables!$A:$AF,32,FALSE)*$Q477/100</f>
        <v>0</v>
      </c>
      <c r="AT477" s="583" t="str">
        <f>IF(H477="Select ingredient:","",IF(G477="Select food category:","",IFERROR(VLOOKUP($H477,Ingredient_prices!$E:$W,17,FALSE)*$Q477/1000,"not bought")))</f>
        <v/>
      </c>
      <c r="AU477" s="583" t="str">
        <f>IF(H477="Select ingredient:","",IF(G477="Select food category:","",IFERROR(VLOOKUP($H477,Ingredient_prices!$E:$W,18,FALSE)*$Q477/1000,"not bought")))</f>
        <v/>
      </c>
      <c r="AV477" s="583">
        <f t="shared" si="1037"/>
        <v>0</v>
      </c>
      <c r="AW477" s="583">
        <f t="shared" si="1038"/>
        <v>0</v>
      </c>
      <c r="AX477" s="583">
        <f t="shared" si="1039"/>
        <v>0</v>
      </c>
      <c r="AY477" s="583">
        <f t="shared" si="1040"/>
        <v>0</v>
      </c>
      <c r="AZ477" s="583">
        <f t="shared" si="1041"/>
        <v>0</v>
      </c>
      <c r="BA477" s="583">
        <f t="shared" si="1042"/>
        <v>0</v>
      </c>
      <c r="BB477" s="583">
        <f t="shared" si="1043"/>
        <v>0</v>
      </c>
      <c r="BC477" s="583">
        <f t="shared" si="1044"/>
        <v>0</v>
      </c>
      <c r="BD477" s="583">
        <f t="shared" si="1061"/>
        <v>0</v>
      </c>
      <c r="BE477" s="583">
        <f t="shared" si="1062"/>
        <v>0</v>
      </c>
      <c r="BF477" s="583">
        <f t="shared" si="1063"/>
        <v>0</v>
      </c>
      <c r="BG477" s="583">
        <f t="shared" si="1064"/>
        <v>0</v>
      </c>
      <c r="BH477" s="583">
        <f t="shared" si="1065"/>
        <v>0</v>
      </c>
      <c r="BI477" s="583">
        <f t="shared" si="1066"/>
        <v>0</v>
      </c>
      <c r="BJ477" s="583">
        <f t="shared" si="1067"/>
        <v>0</v>
      </c>
      <c r="BK477" s="583">
        <f t="shared" si="1068"/>
        <v>0</v>
      </c>
      <c r="BL477" s="583">
        <f t="shared" si="1069"/>
        <v>0</v>
      </c>
      <c r="BM477" s="583">
        <f t="shared" si="1070"/>
        <v>0</v>
      </c>
      <c r="BN477" s="583">
        <f t="shared" si="1071"/>
        <v>0</v>
      </c>
      <c r="BO477" s="583">
        <f t="shared" si="1072"/>
        <v>0</v>
      </c>
      <c r="BP477" s="583">
        <f t="shared" si="1073"/>
        <v>0</v>
      </c>
      <c r="BQ477" s="583">
        <f t="shared" si="1074"/>
        <v>0</v>
      </c>
      <c r="BR477" s="583">
        <f t="shared" si="1075"/>
        <v>0</v>
      </c>
    </row>
    <row r="478" spans="1:70" s="603" customFormat="1" ht="56">
      <c r="A478" s="504"/>
      <c r="B478" s="593"/>
      <c r="C478" s="522"/>
      <c r="D478" s="141"/>
      <c r="E478" s="594"/>
      <c r="F478" s="708"/>
      <c r="G478" s="522"/>
      <c r="H478" s="522"/>
      <c r="I478" s="86"/>
      <c r="J478" s="87"/>
      <c r="K478" s="595"/>
      <c r="L478" s="596"/>
      <c r="M478" s="851"/>
      <c r="N478" s="851"/>
      <c r="O478" s="666"/>
      <c r="P478" s="671"/>
      <c r="Q478" s="599" t="s">
        <v>384</v>
      </c>
      <c r="R478" s="600" t="s">
        <v>455</v>
      </c>
      <c r="S478" s="600" t="s">
        <v>2087</v>
      </c>
      <c r="T478" s="600" t="s">
        <v>456</v>
      </c>
      <c r="U478" s="600" t="s">
        <v>535</v>
      </c>
      <c r="V478" s="601" t="s">
        <v>457</v>
      </c>
      <c r="W478" s="600" t="s">
        <v>75</v>
      </c>
      <c r="X478" s="600" t="s">
        <v>385</v>
      </c>
      <c r="Y478" s="600" t="s">
        <v>386</v>
      </c>
      <c r="Z478" s="600" t="s">
        <v>387</v>
      </c>
      <c r="AA478" s="600" t="s">
        <v>388</v>
      </c>
      <c r="AB478" s="601" t="s">
        <v>389</v>
      </c>
      <c r="AC478" s="602" t="s">
        <v>390</v>
      </c>
      <c r="AD478" s="600" t="s">
        <v>391</v>
      </c>
      <c r="AE478" s="600" t="s">
        <v>392</v>
      </c>
      <c r="AF478" s="600" t="s">
        <v>393</v>
      </c>
      <c r="AG478" s="600" t="s">
        <v>394</v>
      </c>
      <c r="AH478" s="600" t="s">
        <v>395</v>
      </c>
      <c r="AI478" s="600" t="s">
        <v>396</v>
      </c>
      <c r="AJ478" s="601" t="s">
        <v>397</v>
      </c>
      <c r="AK478" s="602" t="s">
        <v>398</v>
      </c>
      <c r="AL478" s="600" t="s">
        <v>399</v>
      </c>
      <c r="AM478" s="600" t="s">
        <v>400</v>
      </c>
      <c r="AN478" s="600" t="s">
        <v>401</v>
      </c>
      <c r="AO478" s="600" t="s">
        <v>402</v>
      </c>
      <c r="AP478" s="600" t="s">
        <v>406</v>
      </c>
      <c r="AQ478" s="600" t="s">
        <v>405</v>
      </c>
      <c r="AR478" s="600" t="s">
        <v>403</v>
      </c>
      <c r="AS478" s="601" t="s">
        <v>404</v>
      </c>
      <c r="AT478" s="593"/>
      <c r="AU478" s="593"/>
    </row>
    <row r="479" spans="1:70" s="229" customFormat="1">
      <c r="A479" s="504"/>
      <c r="B479" s="522"/>
      <c r="C479" s="522"/>
      <c r="D479" s="141"/>
      <c r="E479" s="594"/>
      <c r="F479" s="708"/>
      <c r="G479" s="522"/>
      <c r="H479" s="594"/>
      <c r="I479" s="86"/>
      <c r="J479" s="87"/>
      <c r="K479" s="595"/>
      <c r="L479" s="596"/>
      <c r="M479" s="851"/>
      <c r="N479" s="851"/>
      <c r="O479" s="666"/>
      <c r="P479" s="672" t="s">
        <v>383</v>
      </c>
      <c r="Q479" s="583">
        <f t="shared" ref="Q479:V479" si="1076">SUM(Q453:Q477)</f>
        <v>488.6</v>
      </c>
      <c r="R479" s="583">
        <f t="shared" si="1076"/>
        <v>116.31869</v>
      </c>
      <c r="S479" s="583">
        <f>SUM(S453:S477)</f>
        <v>372.28131000000002</v>
      </c>
      <c r="T479" s="583">
        <f t="shared" ref="T479:U479" si="1077">SUM(T453:T477)</f>
        <v>65.750426666666684</v>
      </c>
      <c r="U479" s="583">
        <f t="shared" si="1077"/>
        <v>14.220210626666665</v>
      </c>
      <c r="V479" s="549">
        <f t="shared" si="1076"/>
        <v>908.63400000000001</v>
      </c>
      <c r="W479" s="583">
        <f>SUM(W453:W477)</f>
        <v>842.57580153846152</v>
      </c>
      <c r="X479" s="583">
        <f t="shared" ref="X479:AS479" si="1078">SUM(X453:X477)</f>
        <v>107.51945375005269</v>
      </c>
      <c r="Y479" s="583">
        <f t="shared" si="1078"/>
        <v>27.52001481097631</v>
      </c>
      <c r="Z479" s="583">
        <f t="shared" si="1078"/>
        <v>31.209289833280209</v>
      </c>
      <c r="AA479" s="583">
        <f t="shared" si="1078"/>
        <v>9.4460649069718166</v>
      </c>
      <c r="AB479" s="549">
        <f t="shared" si="1078"/>
        <v>4.0955045749093451</v>
      </c>
      <c r="AC479" s="583">
        <f t="shared" si="1078"/>
        <v>644.60078003814363</v>
      </c>
      <c r="AD479" s="583">
        <f t="shared" si="1078"/>
        <v>798.46745454545453</v>
      </c>
      <c r="AE479" s="583">
        <f t="shared" si="1078"/>
        <v>196.35545454545451</v>
      </c>
      <c r="AF479" s="583">
        <f t="shared" si="1078"/>
        <v>85.269119198135201</v>
      </c>
      <c r="AG479" s="583">
        <f t="shared" si="1078"/>
        <v>331.34943854545452</v>
      </c>
      <c r="AH479" s="583">
        <f t="shared" si="1078"/>
        <v>3.4585165840220387</v>
      </c>
      <c r="AI479" s="583">
        <f t="shared" si="1078"/>
        <v>5.1830683201955505</v>
      </c>
      <c r="AJ479" s="549">
        <f t="shared" si="1078"/>
        <v>0.56293296918304514</v>
      </c>
      <c r="AK479" s="583">
        <f t="shared" si="1078"/>
        <v>275.55948854545454</v>
      </c>
      <c r="AL479" s="583">
        <f t="shared" si="1078"/>
        <v>0.42609901525212757</v>
      </c>
      <c r="AM479" s="583">
        <f t="shared" si="1078"/>
        <v>0.3988213302870629</v>
      </c>
      <c r="AN479" s="583">
        <f t="shared" si="1078"/>
        <v>12.772738069638025</v>
      </c>
      <c r="AO479" s="583">
        <f t="shared" si="1078"/>
        <v>0.77466906285158688</v>
      </c>
      <c r="AP479" s="583">
        <f t="shared" si="1078"/>
        <v>91.902622694638694</v>
      </c>
      <c r="AQ479" s="583">
        <f t="shared" si="1078"/>
        <v>0.78600130909090904</v>
      </c>
      <c r="AR479" s="583">
        <f t="shared" si="1078"/>
        <v>21.327254545454547</v>
      </c>
      <c r="AS479" s="549">
        <f t="shared" si="1078"/>
        <v>1.252363714659197</v>
      </c>
      <c r="AT479" s="583">
        <f t="shared" ref="AT479:AU479" si="1079">SUM(AT453:AT477)</f>
        <v>62.881593333333335</v>
      </c>
      <c r="AU479" s="583">
        <f t="shared" si="1079"/>
        <v>65.750426666666684</v>
      </c>
      <c r="AV479" s="583">
        <f t="shared" ref="AV479:BR479" si="1080">SUM(AV453:AV477)</f>
        <v>631.99366176469971</v>
      </c>
      <c r="AW479" s="583">
        <f t="shared" si="1080"/>
        <v>76.768738630074566</v>
      </c>
      <c r="AX479" s="583">
        <f t="shared" si="1080"/>
        <v>20.866693546264603</v>
      </c>
      <c r="AY479" s="583">
        <f t="shared" si="1080"/>
        <v>25.368483376375735</v>
      </c>
      <c r="AZ479" s="583">
        <f t="shared" si="1080"/>
        <v>6.7718404853386414</v>
      </c>
      <c r="BA479" s="583">
        <f t="shared" si="1080"/>
        <v>3.3912493368274266</v>
      </c>
      <c r="BB479" s="583">
        <f t="shared" si="1080"/>
        <v>439.41158354825887</v>
      </c>
      <c r="BC479" s="583">
        <f t="shared" si="1080"/>
        <v>609.58591839029975</v>
      </c>
      <c r="BD479" s="583">
        <f t="shared" si="1080"/>
        <v>143.59664145124034</v>
      </c>
      <c r="BE479" s="583">
        <f t="shared" si="1080"/>
        <v>63.701824687195376</v>
      </c>
      <c r="BF479" s="583">
        <f t="shared" si="1080"/>
        <v>265.01117877099028</v>
      </c>
      <c r="BG479" s="583">
        <f t="shared" si="1080"/>
        <v>2.5521173117689249</v>
      </c>
      <c r="BH479" s="583">
        <f t="shared" si="1080"/>
        <v>3.576574122472445</v>
      </c>
      <c r="BI479" s="583">
        <f t="shared" si="1080"/>
        <v>0.40474551651660778</v>
      </c>
      <c r="BJ479" s="583">
        <f t="shared" si="1080"/>
        <v>212.44230182277406</v>
      </c>
      <c r="BK479" s="583">
        <f t="shared" si="1080"/>
        <v>0.30822431990725357</v>
      </c>
      <c r="BL479" s="583">
        <f t="shared" si="1080"/>
        <v>0.31537799077921225</v>
      </c>
      <c r="BM479" s="583">
        <f t="shared" si="1080"/>
        <v>9.5987317025377514</v>
      </c>
      <c r="BN479" s="583">
        <f t="shared" si="1080"/>
        <v>0.59890190812929911</v>
      </c>
      <c r="BO479" s="583">
        <f t="shared" si="1080"/>
        <v>67.612089676931674</v>
      </c>
      <c r="BP479" s="583">
        <f t="shared" si="1080"/>
        <v>0.67164011939318768</v>
      </c>
      <c r="BQ479" s="583">
        <f t="shared" si="1080"/>
        <v>16.606028076719539</v>
      </c>
      <c r="BR479" s="583">
        <f t="shared" si="1080"/>
        <v>1.0076301577323736</v>
      </c>
    </row>
    <row r="480" spans="1:70" s="229" customFormat="1">
      <c r="A480" s="504"/>
      <c r="B480" s="522"/>
      <c r="C480" s="522"/>
      <c r="D480" s="141"/>
      <c r="E480" s="594"/>
      <c r="F480" s="708"/>
      <c r="G480" s="522"/>
      <c r="H480" s="594"/>
      <c r="I480" s="86"/>
      <c r="J480" s="87"/>
      <c r="K480" s="595"/>
      <c r="L480" s="596"/>
      <c r="M480" s="851"/>
      <c r="N480" s="851"/>
      <c r="O480" s="666"/>
      <c r="P480" s="672" t="s">
        <v>545</v>
      </c>
      <c r="V480" s="526"/>
      <c r="W480" s="229">
        <v>556.5</v>
      </c>
      <c r="X480" s="229">
        <v>69.599999999999994</v>
      </c>
      <c r="Y480" s="229">
        <v>17.399999999999999</v>
      </c>
      <c r="Z480" s="229">
        <v>18.599999999999998</v>
      </c>
      <c r="AA480" s="229">
        <v>5.7</v>
      </c>
      <c r="AB480" s="526">
        <v>6</v>
      </c>
      <c r="AC480" s="229">
        <v>414</v>
      </c>
      <c r="AD480" s="229">
        <v>540</v>
      </c>
      <c r="AE480" s="229">
        <v>270</v>
      </c>
      <c r="AF480" s="229">
        <v>51</v>
      </c>
      <c r="AG480" s="229">
        <v>240</v>
      </c>
      <c r="AH480" s="229">
        <v>3</v>
      </c>
      <c r="AI480" s="229">
        <v>2.1</v>
      </c>
      <c r="AJ480" s="526">
        <v>0.375</v>
      </c>
      <c r="AK480" s="229">
        <v>240</v>
      </c>
      <c r="AL480" s="229">
        <v>0.3</v>
      </c>
      <c r="AM480" s="229">
        <v>0.33</v>
      </c>
      <c r="AN480" s="229">
        <v>3.5999999999999996</v>
      </c>
      <c r="AO480" s="229">
        <v>0.21</v>
      </c>
      <c r="AP480" s="229">
        <v>90</v>
      </c>
      <c r="AQ480" s="229">
        <v>0.54</v>
      </c>
      <c r="AR480" s="229">
        <v>24</v>
      </c>
      <c r="AS480" s="526">
        <v>1.5</v>
      </c>
      <c r="AV480" s="229">
        <v>556.5</v>
      </c>
      <c r="AW480" s="229">
        <v>69.599999999999994</v>
      </c>
      <c r="AX480" s="229">
        <v>17.399999999999999</v>
      </c>
      <c r="AY480" s="229">
        <v>18.599999999999998</v>
      </c>
      <c r="AZ480" s="229">
        <v>5.7</v>
      </c>
      <c r="BA480" s="526">
        <v>6</v>
      </c>
      <c r="BB480" s="229">
        <v>414</v>
      </c>
      <c r="BC480" s="229">
        <v>540</v>
      </c>
      <c r="BD480" s="229">
        <v>270</v>
      </c>
      <c r="BE480" s="229">
        <v>51</v>
      </c>
      <c r="BF480" s="229">
        <v>240</v>
      </c>
      <c r="BG480" s="229">
        <v>3</v>
      </c>
      <c r="BH480" s="229">
        <v>2.1</v>
      </c>
      <c r="BI480" s="526">
        <v>0.375</v>
      </c>
      <c r="BJ480" s="229">
        <v>240</v>
      </c>
      <c r="BK480" s="229">
        <v>0.3</v>
      </c>
      <c r="BL480" s="229">
        <v>0.33</v>
      </c>
      <c r="BM480" s="229">
        <v>3.5999999999999996</v>
      </c>
      <c r="BN480" s="229">
        <v>0.21</v>
      </c>
      <c r="BO480" s="229">
        <v>90</v>
      </c>
      <c r="BP480" s="229">
        <v>0.54</v>
      </c>
      <c r="BQ480" s="229">
        <v>24</v>
      </c>
      <c r="BR480" s="526">
        <v>1.5</v>
      </c>
    </row>
    <row r="481" spans="1:70" s="229" customFormat="1">
      <c r="A481" s="504"/>
      <c r="B481" s="522"/>
      <c r="C481" s="522"/>
      <c r="D481" s="141"/>
      <c r="E481" s="594"/>
      <c r="F481" s="708"/>
      <c r="G481" s="522"/>
      <c r="H481" s="594"/>
      <c r="I481" s="86"/>
      <c r="J481" s="87"/>
      <c r="K481" s="595"/>
      <c r="L481" s="596"/>
      <c r="M481" s="851"/>
      <c r="N481" s="851"/>
      <c r="O481" s="666"/>
      <c r="P481" s="672" t="s">
        <v>407</v>
      </c>
      <c r="V481" s="526"/>
      <c r="W481" s="514">
        <f t="shared" ref="W481:AS481" si="1081">100*W479/W480</f>
        <v>151.40625364572534</v>
      </c>
      <c r="X481" s="514">
        <f t="shared" si="1081"/>
        <v>154.48197377881135</v>
      </c>
      <c r="Y481" s="514">
        <f t="shared" si="1081"/>
        <v>158.16100466078339</v>
      </c>
      <c r="Z481" s="514">
        <f t="shared" si="1081"/>
        <v>167.79188082408717</v>
      </c>
      <c r="AA481" s="514">
        <f t="shared" si="1081"/>
        <v>165.72043696441784</v>
      </c>
      <c r="AB481" s="506">
        <f t="shared" si="1081"/>
        <v>68.25840958182242</v>
      </c>
      <c r="AC481" s="514">
        <f t="shared" si="1081"/>
        <v>155.70067150679799</v>
      </c>
      <c r="AD481" s="514">
        <f t="shared" si="1081"/>
        <v>147.86434343434343</v>
      </c>
      <c r="AE481" s="514">
        <f t="shared" si="1081"/>
        <v>72.724242424242419</v>
      </c>
      <c r="AF481" s="514">
        <f t="shared" si="1081"/>
        <v>167.19435136889254</v>
      </c>
      <c r="AG481" s="514">
        <f t="shared" si="1081"/>
        <v>138.06226606060605</v>
      </c>
      <c r="AH481" s="514">
        <f t="shared" si="1081"/>
        <v>115.28388613406794</v>
      </c>
      <c r="AI481" s="514">
        <f t="shared" si="1081"/>
        <v>246.81277715216905</v>
      </c>
      <c r="AJ481" s="506">
        <f t="shared" si="1081"/>
        <v>150.11545844881203</v>
      </c>
      <c r="AK481" s="514">
        <f t="shared" si="1081"/>
        <v>114.81645356060606</v>
      </c>
      <c r="AL481" s="514">
        <f t="shared" si="1081"/>
        <v>142.03300508404251</v>
      </c>
      <c r="AM481" s="514">
        <f t="shared" si="1081"/>
        <v>120.85494857183724</v>
      </c>
      <c r="AN481" s="514">
        <f t="shared" si="1081"/>
        <v>354.79827971216741</v>
      </c>
      <c r="AO481" s="514">
        <f t="shared" si="1081"/>
        <v>368.89002992932711</v>
      </c>
      <c r="AP481" s="514">
        <f t="shared" si="1081"/>
        <v>102.11402521626522</v>
      </c>
      <c r="AQ481" s="514">
        <f t="shared" si="1081"/>
        <v>145.55579797979797</v>
      </c>
      <c r="AR481" s="514">
        <f t="shared" si="1081"/>
        <v>88.863560606060616</v>
      </c>
      <c r="AS481" s="506">
        <f t="shared" si="1081"/>
        <v>83.490914310613135</v>
      </c>
      <c r="AV481" s="514">
        <f t="shared" ref="AV481:BR481" si="1082">100*AV479/AV480</f>
        <v>113.56579726230004</v>
      </c>
      <c r="AW481" s="514">
        <f t="shared" si="1082"/>
        <v>110.29991182481979</v>
      </c>
      <c r="AX481" s="514">
        <f t="shared" si="1082"/>
        <v>119.92352612795752</v>
      </c>
      <c r="AY481" s="514">
        <f t="shared" si="1082"/>
        <v>136.38969557191257</v>
      </c>
      <c r="AZ481" s="514">
        <f t="shared" si="1082"/>
        <v>118.80421904102879</v>
      </c>
      <c r="BA481" s="506">
        <f t="shared" si="1082"/>
        <v>56.520822280457111</v>
      </c>
      <c r="BB481" s="514">
        <f t="shared" si="1082"/>
        <v>106.13806365899973</v>
      </c>
      <c r="BC481" s="514">
        <f t="shared" si="1082"/>
        <v>112.88628118338885</v>
      </c>
      <c r="BD481" s="514">
        <f t="shared" si="1082"/>
        <v>53.183941278237164</v>
      </c>
      <c r="BE481" s="514">
        <f t="shared" si="1082"/>
        <v>124.90553860234388</v>
      </c>
      <c r="BF481" s="514">
        <f t="shared" si="1082"/>
        <v>110.42132448791263</v>
      </c>
      <c r="BG481" s="514">
        <f t="shared" si="1082"/>
        <v>85.070577058964162</v>
      </c>
      <c r="BH481" s="514">
        <f t="shared" si="1082"/>
        <v>170.31305345106881</v>
      </c>
      <c r="BI481" s="506">
        <f t="shared" si="1082"/>
        <v>107.93213773776206</v>
      </c>
      <c r="BJ481" s="514">
        <f t="shared" si="1082"/>
        <v>88.517625759489192</v>
      </c>
      <c r="BK481" s="514">
        <f t="shared" si="1082"/>
        <v>102.74143996908452</v>
      </c>
      <c r="BL481" s="514">
        <f t="shared" si="1082"/>
        <v>95.569088114912802</v>
      </c>
      <c r="BM481" s="514">
        <f t="shared" si="1082"/>
        <v>266.63143618160422</v>
      </c>
      <c r="BN481" s="514">
        <f t="shared" si="1082"/>
        <v>285.19138482347574</v>
      </c>
      <c r="BO481" s="514">
        <f t="shared" si="1082"/>
        <v>75.124544085479641</v>
      </c>
      <c r="BP481" s="514">
        <f t="shared" si="1082"/>
        <v>124.37779988762735</v>
      </c>
      <c r="BQ481" s="514">
        <f t="shared" si="1082"/>
        <v>69.191783652998083</v>
      </c>
      <c r="BR481" s="506">
        <f t="shared" si="1082"/>
        <v>67.175343848824909</v>
      </c>
    </row>
    <row r="482" spans="1:70" s="229" customFormat="1">
      <c r="A482" s="504"/>
      <c r="B482" s="522"/>
      <c r="C482" s="522"/>
      <c r="D482" s="141"/>
      <c r="E482" s="594"/>
      <c r="F482" s="708"/>
      <c r="G482" s="522"/>
      <c r="H482" s="594"/>
      <c r="I482" s="86"/>
      <c r="J482" s="87"/>
      <c r="K482" s="595"/>
      <c r="L482" s="596"/>
      <c r="M482" s="851"/>
      <c r="N482" s="851"/>
      <c r="O482" s="666"/>
      <c r="P482" s="672" t="s">
        <v>548</v>
      </c>
      <c r="V482" s="526"/>
      <c r="W482" s="583">
        <f>AV479</f>
        <v>631.99366176469971</v>
      </c>
      <c r="X482" s="583">
        <f t="shared" ref="X482:AD482" si="1083">AW479</f>
        <v>76.768738630074566</v>
      </c>
      <c r="Y482" s="583">
        <f t="shared" si="1083"/>
        <v>20.866693546264603</v>
      </c>
      <c r="Z482" s="583">
        <f t="shared" si="1083"/>
        <v>25.368483376375735</v>
      </c>
      <c r="AA482" s="583">
        <f t="shared" si="1083"/>
        <v>6.7718404853386414</v>
      </c>
      <c r="AB482" s="549">
        <f t="shared" si="1083"/>
        <v>3.3912493368274266</v>
      </c>
      <c r="AC482" s="583">
        <f t="shared" si="1083"/>
        <v>439.41158354825887</v>
      </c>
      <c r="AD482" s="583">
        <f t="shared" si="1083"/>
        <v>609.58591839029975</v>
      </c>
      <c r="AE482" s="583">
        <f>BD479</f>
        <v>143.59664145124034</v>
      </c>
      <c r="AF482" s="583">
        <f t="shared" ref="AF482:AM482" si="1084">BE479</f>
        <v>63.701824687195376</v>
      </c>
      <c r="AG482" s="583">
        <f t="shared" si="1084"/>
        <v>265.01117877099028</v>
      </c>
      <c r="AH482" s="583">
        <f t="shared" si="1084"/>
        <v>2.5521173117689249</v>
      </c>
      <c r="AI482" s="583">
        <f t="shared" si="1084"/>
        <v>3.576574122472445</v>
      </c>
      <c r="AJ482" s="549">
        <f t="shared" si="1084"/>
        <v>0.40474551651660778</v>
      </c>
      <c r="AK482" s="583">
        <f t="shared" si="1084"/>
        <v>212.44230182277406</v>
      </c>
      <c r="AL482" s="583">
        <f t="shared" si="1084"/>
        <v>0.30822431990725357</v>
      </c>
      <c r="AM482" s="583">
        <f t="shared" si="1084"/>
        <v>0.31537799077921225</v>
      </c>
      <c r="AN482" s="583">
        <f>BM479</f>
        <v>9.5987317025377514</v>
      </c>
      <c r="AO482" s="583">
        <f t="shared" ref="AO482:AR482" si="1085">BN479</f>
        <v>0.59890190812929911</v>
      </c>
      <c r="AP482" s="583">
        <f t="shared" si="1085"/>
        <v>67.612089676931674</v>
      </c>
      <c r="AQ482" s="583">
        <f t="shared" si="1085"/>
        <v>0.67164011939318768</v>
      </c>
      <c r="AR482" s="583">
        <f t="shared" si="1085"/>
        <v>16.606028076719539</v>
      </c>
      <c r="AS482" s="549">
        <f>BR479</f>
        <v>1.0076301577323736</v>
      </c>
    </row>
    <row r="483" spans="1:70" s="229" customFormat="1">
      <c r="A483" s="504"/>
      <c r="B483" s="522"/>
      <c r="C483" s="522"/>
      <c r="D483" s="141"/>
      <c r="E483" s="594"/>
      <c r="F483" s="708"/>
      <c r="G483" s="522"/>
      <c r="H483" s="594"/>
      <c r="I483" s="86"/>
      <c r="J483" s="87"/>
      <c r="K483" s="595"/>
      <c r="L483" s="596"/>
      <c r="M483" s="851"/>
      <c r="N483" s="851"/>
      <c r="O483" s="666"/>
      <c r="P483" s="672" t="s">
        <v>543</v>
      </c>
      <c r="V483" s="526"/>
      <c r="W483" s="514">
        <f t="shared" ref="W483:AS483" si="1086">AV481</f>
        <v>113.56579726230004</v>
      </c>
      <c r="X483" s="514">
        <f t="shared" si="1086"/>
        <v>110.29991182481979</v>
      </c>
      <c r="Y483" s="514">
        <f t="shared" si="1086"/>
        <v>119.92352612795752</v>
      </c>
      <c r="Z483" s="514">
        <f t="shared" si="1086"/>
        <v>136.38969557191257</v>
      </c>
      <c r="AA483" s="514">
        <f t="shared" si="1086"/>
        <v>118.80421904102879</v>
      </c>
      <c r="AB483" s="506">
        <f t="shared" si="1086"/>
        <v>56.520822280457111</v>
      </c>
      <c r="AC483" s="514">
        <f t="shared" si="1086"/>
        <v>106.13806365899973</v>
      </c>
      <c r="AD483" s="514">
        <f t="shared" si="1086"/>
        <v>112.88628118338885</v>
      </c>
      <c r="AE483" s="514">
        <f t="shared" si="1086"/>
        <v>53.183941278237164</v>
      </c>
      <c r="AF483" s="514">
        <f t="shared" si="1086"/>
        <v>124.90553860234388</v>
      </c>
      <c r="AG483" s="514">
        <f t="shared" si="1086"/>
        <v>110.42132448791263</v>
      </c>
      <c r="AH483" s="514">
        <f t="shared" si="1086"/>
        <v>85.070577058964162</v>
      </c>
      <c r="AI483" s="514">
        <f t="shared" si="1086"/>
        <v>170.31305345106881</v>
      </c>
      <c r="AJ483" s="506">
        <f t="shared" si="1086"/>
        <v>107.93213773776206</v>
      </c>
      <c r="AK483" s="514">
        <f t="shared" si="1086"/>
        <v>88.517625759489192</v>
      </c>
      <c r="AL483" s="514">
        <f t="shared" si="1086"/>
        <v>102.74143996908452</v>
      </c>
      <c r="AM483" s="514">
        <f t="shared" si="1086"/>
        <v>95.569088114912802</v>
      </c>
      <c r="AN483" s="514">
        <f t="shared" si="1086"/>
        <v>266.63143618160422</v>
      </c>
      <c r="AO483" s="514">
        <f t="shared" si="1086"/>
        <v>285.19138482347574</v>
      </c>
      <c r="AP483" s="514">
        <f t="shared" si="1086"/>
        <v>75.124544085479641</v>
      </c>
      <c r="AQ483" s="514">
        <f t="shared" si="1086"/>
        <v>124.37779988762735</v>
      </c>
      <c r="AR483" s="514">
        <f t="shared" si="1086"/>
        <v>69.191783652998083</v>
      </c>
      <c r="AS483" s="506">
        <f t="shared" si="1086"/>
        <v>67.175343848824909</v>
      </c>
      <c r="AV483" s="514"/>
      <c r="AW483" s="514"/>
      <c r="AX483" s="514"/>
      <c r="AY483" s="514"/>
      <c r="AZ483" s="514"/>
      <c r="BA483" s="505"/>
      <c r="BB483" s="514"/>
      <c r="BC483" s="514"/>
      <c r="BD483" s="514"/>
      <c r="BE483" s="514"/>
      <c r="BF483" s="514"/>
      <c r="BG483" s="514"/>
      <c r="BH483" s="514"/>
      <c r="BI483" s="505"/>
      <c r="BJ483" s="514"/>
      <c r="BK483" s="514"/>
      <c r="BL483" s="514"/>
      <c r="BM483" s="514"/>
      <c r="BN483" s="514"/>
      <c r="BO483" s="514"/>
      <c r="BP483" s="514"/>
      <c r="BQ483" s="514"/>
      <c r="BR483" s="505"/>
    </row>
    <row r="484" spans="1:70" s="229" customFormat="1" ht="15" thickBot="1">
      <c r="A484" s="504"/>
      <c r="B484" s="504"/>
      <c r="C484" s="504"/>
      <c r="D484" s="689"/>
      <c r="E484" s="662"/>
      <c r="F484" s="715"/>
      <c r="G484" s="663" t="s">
        <v>795</v>
      </c>
      <c r="H484" s="673"/>
      <c r="I484" s="105"/>
      <c r="J484" s="105"/>
      <c r="K484" s="504"/>
      <c r="L484" s="665"/>
      <c r="M484" s="852"/>
      <c r="N484" s="852"/>
      <c r="O484" s="666"/>
      <c r="P484" s="504"/>
      <c r="Q484" s="504"/>
      <c r="R484" s="504"/>
      <c r="S484" s="504"/>
      <c r="T484" s="504"/>
      <c r="U484" s="667"/>
      <c r="V484" s="668"/>
      <c r="W484" s="504"/>
      <c r="X484" s="504"/>
      <c r="Y484" s="504"/>
      <c r="Z484" s="504"/>
      <c r="AA484" s="669">
        <f>COUNTIF(AA485:AA496,"&lt;0")</f>
        <v>0</v>
      </c>
      <c r="AB484" s="669">
        <f t="shared" ref="AB484:AN484" si="1087">COUNTIF(AB485:AB496,"&lt;0")</f>
        <v>0</v>
      </c>
      <c r="AC484" s="669">
        <f t="shared" si="1087"/>
        <v>0</v>
      </c>
      <c r="AD484" s="669">
        <f t="shared" si="1087"/>
        <v>0</v>
      </c>
      <c r="AE484" s="669">
        <f t="shared" si="1087"/>
        <v>0</v>
      </c>
      <c r="AF484" s="669">
        <f t="shared" si="1087"/>
        <v>0</v>
      </c>
      <c r="AG484" s="669">
        <f t="shared" si="1087"/>
        <v>0</v>
      </c>
      <c r="AH484" s="669">
        <f t="shared" si="1087"/>
        <v>0</v>
      </c>
      <c r="AI484" s="669">
        <f t="shared" si="1087"/>
        <v>0</v>
      </c>
      <c r="AJ484" s="669">
        <f t="shared" si="1087"/>
        <v>0</v>
      </c>
      <c r="AK484" s="669">
        <f t="shared" si="1087"/>
        <v>0</v>
      </c>
      <c r="AL484" s="669">
        <f t="shared" si="1087"/>
        <v>0</v>
      </c>
      <c r="AM484" s="669">
        <f t="shared" si="1087"/>
        <v>0</v>
      </c>
      <c r="AN484" s="669">
        <f t="shared" si="1087"/>
        <v>0</v>
      </c>
      <c r="AO484" s="669">
        <f>COUNTIF(AO485:AO496,"&lt;0")</f>
        <v>0</v>
      </c>
      <c r="AP484" s="669">
        <f t="shared" ref="AP484" si="1088">COUNTIF(AP485:AP496,"&lt;0")</f>
        <v>0</v>
      </c>
      <c r="AQ484" s="669">
        <f t="shared" ref="AQ484" si="1089">COUNTIF(AQ485:AQ496,"&lt;0")</f>
        <v>0</v>
      </c>
      <c r="AR484" s="669">
        <f t="shared" ref="AR484" si="1090">COUNTIF(AR485:AR496,"&lt;0")</f>
        <v>0</v>
      </c>
      <c r="AS484" s="669">
        <f t="shared" ref="AS484" si="1091">COUNTIF(AS485:AS496,"&lt;0")</f>
        <v>0</v>
      </c>
      <c r="AT484" s="1300"/>
      <c r="AU484" s="1300"/>
    </row>
    <row r="485" spans="1:70" s="229" customFormat="1" ht="15" customHeight="1" thickBot="1">
      <c r="A485" s="504"/>
      <c r="B485" s="575" t="s">
        <v>3068</v>
      </c>
      <c r="C485" s="229" t="s">
        <v>1364</v>
      </c>
      <c r="D485" s="85"/>
      <c r="E485" s="577">
        <v>0</v>
      </c>
      <c r="F485" s="1131"/>
      <c r="G485" s="406" t="s">
        <v>3054</v>
      </c>
      <c r="H485" s="1262" t="s">
        <v>3055</v>
      </c>
      <c r="I485" s="85">
        <v>0</v>
      </c>
      <c r="J485" s="682">
        <v>1</v>
      </c>
      <c r="K485" s="579" t="str">
        <f t="shared" ref="K485:K496" si="1092">IF(I485&gt;0,1.1*Q485*E485/1000,"")</f>
        <v/>
      </c>
      <c r="L485" s="580" t="str">
        <f>IF(H485="Select ingredient:","",IF(G485="","",_xlfn.IFNA(VLOOKUP($H485,Ingredient_prices!$E:$U,16,FALSE),0)))</f>
        <v/>
      </c>
      <c r="M485" s="850"/>
      <c r="N485" s="1228">
        <f>$W498</f>
        <v>0</v>
      </c>
      <c r="O485" s="666"/>
      <c r="P485" s="674"/>
      <c r="Q485" s="583">
        <f t="shared" ref="Q485:Q496" si="1093">I485/J485</f>
        <v>0</v>
      </c>
      <c r="R485" s="583">
        <f>VLOOKUP($H485,'CO2_emission+%_food_waste'!$A:$K,6,FALSE)*$Q485/100</f>
        <v>0</v>
      </c>
      <c r="S485" s="583">
        <f t="shared" ref="S485:S496" si="1094">Q485-R485</f>
        <v>0</v>
      </c>
      <c r="T485" s="583" t="str">
        <f>IF(H485="Select ingredient:","",IF(G485="Select food category:","",_xlfn.IFNA(VLOOKUP($H485,Ingredient_prices!$E:$U,16,FALSE)*$Q485/1000,"not bought")))</f>
        <v/>
      </c>
      <c r="U485" s="583" t="str">
        <f>IF(G485="Select food category:","",_xlfn.IFNA(VLOOKUP($H485,Ingredient_prices!$E:$U,16,FALSE)*$R485/1000,"not bought"))</f>
        <v/>
      </c>
      <c r="V485" s="549">
        <f>VLOOKUP($H485,'CO2_emission+%_food_waste'!$A:$K,4,FALSE)*$Q485</f>
        <v>0</v>
      </c>
      <c r="W485" s="583">
        <f>VLOOKUP($H485,Nutrition_tables!$A:$N,10,FALSE)*$Q485/100</f>
        <v>0</v>
      </c>
      <c r="X485" s="583">
        <f>VLOOKUP($H485,Nutrition_tables!$A:$N,11,FALSE)*$Q485/100</f>
        <v>0</v>
      </c>
      <c r="Y485" s="583">
        <f>VLOOKUP($H485,Nutrition_tables!$A:$N,12,FALSE)*$Q485/100</f>
        <v>0</v>
      </c>
      <c r="Z485" s="583">
        <f>VLOOKUP($H485,Nutrition_tables!$A:$N,14,FALSE)*$Q485/100</f>
        <v>0</v>
      </c>
      <c r="AA485" s="583">
        <f>VLOOKUP($H485,Nutrition_tables!$A:$AF,13,FALSE)*$Q485/100</f>
        <v>0</v>
      </c>
      <c r="AB485" s="549">
        <f>VLOOKUP($H485,Nutrition_tables!$A:$AF,15,FALSE)*$Q485/100</f>
        <v>0</v>
      </c>
      <c r="AC485" s="583">
        <f>VLOOKUP($H485,Nutrition_tables!$A:$AF,16,FALSE)*$Q485/100</f>
        <v>0</v>
      </c>
      <c r="AD485" s="583">
        <f>VLOOKUP($H485,Nutrition_tables!$A:$AF,17,FALSE)*$Q485/100</f>
        <v>0</v>
      </c>
      <c r="AE485" s="583">
        <f>VLOOKUP($H485,Nutrition_tables!$A:$AF,18,FALSE)*$Q485/100</f>
        <v>0</v>
      </c>
      <c r="AF485" s="583">
        <f>VLOOKUP($H485,Nutrition_tables!$A:$AF,19,FALSE)*$Q485/100</f>
        <v>0</v>
      </c>
      <c r="AG485" s="583">
        <f>VLOOKUP($H485,Nutrition_tables!$A:$AF,20,FALSE)*$Q485/100</f>
        <v>0</v>
      </c>
      <c r="AH485" s="583">
        <f>VLOOKUP($H485,Nutrition_tables!$A:$AF,21,FALSE)*$Q485/100</f>
        <v>0</v>
      </c>
      <c r="AI485" s="583">
        <f>VLOOKUP($H485,Nutrition_tables!$A:$AF,22,FALSE)*$Q485/100</f>
        <v>0</v>
      </c>
      <c r="AJ485" s="549">
        <f>VLOOKUP($H485,Nutrition_tables!$A:$AF,23,FALSE)*$Q485/100</f>
        <v>0</v>
      </c>
      <c r="AK485" s="583">
        <f>VLOOKUP($H485,Nutrition_tables!$A:$AF,24,FALSE)*$Q485/100</f>
        <v>0</v>
      </c>
      <c r="AL485" s="583">
        <f>VLOOKUP($H485,Nutrition_tables!$A:$AF,25,FALSE)*$Q485/100</f>
        <v>0</v>
      </c>
      <c r="AM485" s="583">
        <f>VLOOKUP($H485,Nutrition_tables!$A:$AF,26,FALSE)*$Q485/100</f>
        <v>0</v>
      </c>
      <c r="AN485" s="583">
        <f>VLOOKUP($H485,Nutrition_tables!$A:$AF,27,FALSE)*$Q485/100</f>
        <v>0</v>
      </c>
      <c r="AO485" s="583">
        <f>VLOOKUP($H485,Nutrition_tables!$A:$AF,28,FALSE)*$Q485/100</f>
        <v>0</v>
      </c>
      <c r="AP485" s="583">
        <f>VLOOKUP($H485,Nutrition_tables!$A:$AF,29,FALSE)*$Q485/100</f>
        <v>0</v>
      </c>
      <c r="AQ485" s="583">
        <f>VLOOKUP($H485,Nutrition_tables!$A:$AF,30,FALSE)*$Q485/100</f>
        <v>0</v>
      </c>
      <c r="AR485" s="583">
        <f>VLOOKUP($H485,Nutrition_tables!$A:$AF,31,FALSE)*$Q485/100</f>
        <v>0</v>
      </c>
      <c r="AS485" s="549">
        <f>VLOOKUP($H485,Nutrition_tables!$A:$AF,32,FALSE)*$Q485/100</f>
        <v>0</v>
      </c>
      <c r="AT485" s="583" t="str">
        <f>IF(H485="Select ingredient:","",IF(G485="Select food category:","",IFERROR(VLOOKUP($H485,Ingredient_prices!$E:$W,17,FALSE)*$Q485/1000,"not bought")))</f>
        <v/>
      </c>
      <c r="AU485" s="583" t="str">
        <f>IF(H485="Select ingredient:","",IF(G485="Select food category:","",IFERROR(VLOOKUP($H485,Ingredient_prices!$E:$W,18,FALSE)*$Q485/1000,"not bought")))</f>
        <v/>
      </c>
      <c r="AV485" s="583">
        <f t="shared" ref="AV485:AV496" si="1095">W485*($Q485-$R485)/($Q485+0.00001)</f>
        <v>0</v>
      </c>
      <c r="AW485" s="583">
        <f t="shared" ref="AW485:AW496" si="1096">X485*($Q485-$R485)/($Q485+0.00001)</f>
        <v>0</v>
      </c>
      <c r="AX485" s="583">
        <f t="shared" ref="AX485:AX496" si="1097">Y485*($Q485-$R485)/($Q485+0.00001)</f>
        <v>0</v>
      </c>
      <c r="AY485" s="583">
        <f t="shared" ref="AY485:AY496" si="1098">Z485*($Q485-$R485)/($Q485+0.00001)</f>
        <v>0</v>
      </c>
      <c r="AZ485" s="583">
        <f t="shared" ref="AZ485:AZ496" si="1099">AA485*($Q485-$R485)/($Q485+0.00001)</f>
        <v>0</v>
      </c>
      <c r="BA485" s="583">
        <f t="shared" ref="BA485:BA496" si="1100">AB485*($Q485-$R485)/($Q485+0.00001)</f>
        <v>0</v>
      </c>
      <c r="BB485" s="583">
        <f t="shared" ref="BB485:BB496" si="1101">AC485*($Q485-$R485)/($Q485+0.00001)</f>
        <v>0</v>
      </c>
      <c r="BC485" s="583">
        <f t="shared" ref="BC485:BC496" si="1102">AD485*($Q485-$R485)/($Q485+0.00001)</f>
        <v>0</v>
      </c>
      <c r="BD485" s="583">
        <f t="shared" ref="BD485:BD496" si="1103">AE485*($Q485-$R485)/($Q485+0.00001)</f>
        <v>0</v>
      </c>
      <c r="BE485" s="583">
        <f t="shared" ref="BE485:BE496" si="1104">AF485*($Q485-$R485)/($Q485+0.00001)</f>
        <v>0</v>
      </c>
      <c r="BF485" s="583">
        <f t="shared" ref="BF485:BF496" si="1105">AG485*($Q485-$R485)/($Q485+0.00001)</f>
        <v>0</v>
      </c>
      <c r="BG485" s="583">
        <f t="shared" ref="BG485:BG496" si="1106">AH485*($Q485-$R485)/($Q485+0.00001)</f>
        <v>0</v>
      </c>
      <c r="BH485" s="583">
        <f t="shared" ref="BH485:BH496" si="1107">AI485*($Q485-$R485)/($Q485+0.00001)</f>
        <v>0</v>
      </c>
      <c r="BI485" s="583">
        <f t="shared" ref="BI485:BI496" si="1108">AJ485*($Q485-$R485)/($Q485+0.00001)</f>
        <v>0</v>
      </c>
      <c r="BJ485" s="583">
        <f t="shared" ref="BJ485:BJ496" si="1109">AK485*($Q485-$R485)/($Q485+0.00001)</f>
        <v>0</v>
      </c>
      <c r="BK485" s="583">
        <f t="shared" ref="BK485:BK496" si="1110">AL485*($Q485-$R485)/($Q485+0.00001)</f>
        <v>0</v>
      </c>
      <c r="BL485" s="583">
        <f t="shared" ref="BL485:BL496" si="1111">AM485*($Q485-$R485)/($Q485+0.00001)</f>
        <v>0</v>
      </c>
      <c r="BM485" s="583">
        <f t="shared" ref="BM485:BM496" si="1112">AN485*($Q485-$R485)/($Q485+0.00001)</f>
        <v>0</v>
      </c>
      <c r="BN485" s="583">
        <f t="shared" ref="BN485:BN496" si="1113">AO485*($Q485-$R485)/($Q485+0.00001)</f>
        <v>0</v>
      </c>
      <c r="BO485" s="583">
        <f t="shared" ref="BO485:BO496" si="1114">AP485*($Q485-$R485)/($Q485+0.00001)</f>
        <v>0</v>
      </c>
      <c r="BP485" s="583">
        <f t="shared" ref="BP485:BP496" si="1115">AQ485*($Q485-$R485)/($Q485+0.00001)</f>
        <v>0</v>
      </c>
      <c r="BQ485" s="583">
        <f t="shared" ref="BQ485:BQ496" si="1116">AR485*($Q485-$R485)/($Q485+0.00001)</f>
        <v>0</v>
      </c>
      <c r="BR485" s="583">
        <f t="shared" ref="BR485:BR496" si="1117">AS485*($Q485-$R485)/($Q485+0.00001)</f>
        <v>0</v>
      </c>
    </row>
    <row r="486" spans="1:70" s="229" customFormat="1" ht="15" customHeight="1">
      <c r="A486" s="504"/>
      <c r="D486" s="406"/>
      <c r="E486" s="576" t="str">
        <f>IF(E$485&gt;0,E$485,"")</f>
        <v/>
      </c>
      <c r="F486" s="1131"/>
      <c r="G486" s="406" t="s">
        <v>3054</v>
      </c>
      <c r="H486" s="1262" t="s">
        <v>3055</v>
      </c>
      <c r="I486" s="85">
        <v>0</v>
      </c>
      <c r="J486" s="682">
        <v>1</v>
      </c>
      <c r="K486" s="579" t="str">
        <f t="shared" si="1092"/>
        <v/>
      </c>
      <c r="L486" s="580" t="str">
        <f>IF(H486="Select ingredient:","",IF(G486="","",_xlfn.IFNA(VLOOKUP($H486,Ingredient_prices!$E:$U,16,FALSE),0)))</f>
        <v/>
      </c>
      <c r="M486" s="850"/>
      <c r="N486" s="850"/>
      <c r="O486" s="666"/>
      <c r="P486" s="674"/>
      <c r="Q486" s="583">
        <f t="shared" si="1093"/>
        <v>0</v>
      </c>
      <c r="R486" s="583">
        <f>VLOOKUP($H486,'CO2_emission+%_food_waste'!$A:$K,6,FALSE)*$Q486/100</f>
        <v>0</v>
      </c>
      <c r="S486" s="583">
        <f t="shared" si="1094"/>
        <v>0</v>
      </c>
      <c r="T486" s="583" t="str">
        <f>IF(H486="Select ingredient:","",IF(G486="Select food category:","",_xlfn.IFNA(VLOOKUP($H486,Ingredient_prices!$E:$U,16,FALSE)*$Q486/1000,"not bought")))</f>
        <v/>
      </c>
      <c r="U486" s="583" t="str">
        <f>IF(G486="Select food category:","",_xlfn.IFNA(VLOOKUP($H486,Ingredient_prices!$E:$U,16,FALSE)*$R486/1000,"not bought"))</f>
        <v/>
      </c>
      <c r="V486" s="549">
        <f>VLOOKUP($H486,'CO2_emission+%_food_waste'!$A:$K,4,FALSE)*$Q486</f>
        <v>0</v>
      </c>
      <c r="W486" s="583">
        <f>VLOOKUP($H486,Nutrition_tables!$A:$N,10,FALSE)*$Q486/100</f>
        <v>0</v>
      </c>
      <c r="X486" s="583">
        <f>VLOOKUP($H486,Nutrition_tables!$A:$N,11,FALSE)*$Q486/100</f>
        <v>0</v>
      </c>
      <c r="Y486" s="583">
        <f>VLOOKUP($H486,Nutrition_tables!$A:$N,12,FALSE)*$Q486/100</f>
        <v>0</v>
      </c>
      <c r="Z486" s="583">
        <f>VLOOKUP($H486,Nutrition_tables!$A:$N,14,FALSE)*$Q486/100</f>
        <v>0</v>
      </c>
      <c r="AA486" s="583">
        <f>VLOOKUP($H486,Nutrition_tables!$A:$AF,13,FALSE)*$Q486/100</f>
        <v>0</v>
      </c>
      <c r="AB486" s="549">
        <f>VLOOKUP($H486,Nutrition_tables!$A:$AF,15,FALSE)*$Q486/100</f>
        <v>0</v>
      </c>
      <c r="AC486" s="583">
        <f>VLOOKUP($H486,Nutrition_tables!$A:$AF,16,FALSE)*$Q486/100</f>
        <v>0</v>
      </c>
      <c r="AD486" s="583">
        <f>VLOOKUP($H486,Nutrition_tables!$A:$AF,17,FALSE)*$Q486/100</f>
        <v>0</v>
      </c>
      <c r="AE486" s="583">
        <f>VLOOKUP($H486,Nutrition_tables!$A:$AF,18,FALSE)*$Q486/100</f>
        <v>0</v>
      </c>
      <c r="AF486" s="583">
        <f>VLOOKUP($H486,Nutrition_tables!$A:$AF,19,FALSE)*$Q486/100</f>
        <v>0</v>
      </c>
      <c r="AG486" s="583">
        <f>VLOOKUP($H486,Nutrition_tables!$A:$AF,20,FALSE)*$Q486/100</f>
        <v>0</v>
      </c>
      <c r="AH486" s="583">
        <f>VLOOKUP($H486,Nutrition_tables!$A:$AF,21,FALSE)*$Q486/100</f>
        <v>0</v>
      </c>
      <c r="AI486" s="583">
        <f>VLOOKUP($H486,Nutrition_tables!$A:$AF,22,FALSE)*$Q486/100</f>
        <v>0</v>
      </c>
      <c r="AJ486" s="549">
        <f>VLOOKUP($H486,Nutrition_tables!$A:$AF,23,FALSE)*$Q486/100</f>
        <v>0</v>
      </c>
      <c r="AK486" s="583">
        <f>VLOOKUP($H486,Nutrition_tables!$A:$AF,24,FALSE)*$Q486/100</f>
        <v>0</v>
      </c>
      <c r="AL486" s="583">
        <f>VLOOKUP($H486,Nutrition_tables!$A:$AF,25,FALSE)*$Q486/100</f>
        <v>0</v>
      </c>
      <c r="AM486" s="583">
        <f>VLOOKUP($H486,Nutrition_tables!$A:$AF,26,FALSE)*$Q486/100</f>
        <v>0</v>
      </c>
      <c r="AN486" s="583">
        <f>VLOOKUP($H486,Nutrition_tables!$A:$AF,27,FALSE)*$Q486/100</f>
        <v>0</v>
      </c>
      <c r="AO486" s="583">
        <f>VLOOKUP($H486,Nutrition_tables!$A:$AF,28,FALSE)*$Q486/100</f>
        <v>0</v>
      </c>
      <c r="AP486" s="583">
        <f>VLOOKUP($H486,Nutrition_tables!$A:$AF,29,FALSE)*$Q486/100</f>
        <v>0</v>
      </c>
      <c r="AQ486" s="583">
        <f>VLOOKUP($H486,Nutrition_tables!$A:$AF,30,FALSE)*$Q486/100</f>
        <v>0</v>
      </c>
      <c r="AR486" s="583">
        <f>VLOOKUP($H486,Nutrition_tables!$A:$AF,31,FALSE)*$Q486/100</f>
        <v>0</v>
      </c>
      <c r="AS486" s="549">
        <f>VLOOKUP($H486,Nutrition_tables!$A:$AF,32,FALSE)*$Q486/100</f>
        <v>0</v>
      </c>
      <c r="AT486" s="583" t="str">
        <f>IF(H486="Select ingredient:","",IF(G486="Select food category:","",IFERROR(VLOOKUP($H486,Ingredient_prices!$E:$W,17,FALSE)*$Q486/1000,"not bought")))</f>
        <v/>
      </c>
      <c r="AU486" s="583" t="str">
        <f>IF(H486="Select ingredient:","",IF(G486="Select food category:","",IFERROR(VLOOKUP($H486,Ingredient_prices!$E:$W,18,FALSE)*$Q486/1000,"not bought")))</f>
        <v/>
      </c>
      <c r="AV486" s="583">
        <f t="shared" si="1095"/>
        <v>0</v>
      </c>
      <c r="AW486" s="583">
        <f t="shared" si="1096"/>
        <v>0</v>
      </c>
      <c r="AX486" s="583">
        <f t="shared" si="1097"/>
        <v>0</v>
      </c>
      <c r="AY486" s="583">
        <f t="shared" si="1098"/>
        <v>0</v>
      </c>
      <c r="AZ486" s="583">
        <f t="shared" si="1099"/>
        <v>0</v>
      </c>
      <c r="BA486" s="583">
        <f t="shared" si="1100"/>
        <v>0</v>
      </c>
      <c r="BB486" s="583">
        <f t="shared" si="1101"/>
        <v>0</v>
      </c>
      <c r="BC486" s="583">
        <f t="shared" si="1102"/>
        <v>0</v>
      </c>
      <c r="BD486" s="583">
        <f t="shared" si="1103"/>
        <v>0</v>
      </c>
      <c r="BE486" s="583">
        <f t="shared" si="1104"/>
        <v>0</v>
      </c>
      <c r="BF486" s="583">
        <f t="shared" si="1105"/>
        <v>0</v>
      </c>
      <c r="BG486" s="583">
        <f t="shared" si="1106"/>
        <v>0</v>
      </c>
      <c r="BH486" s="583">
        <f t="shared" si="1107"/>
        <v>0</v>
      </c>
      <c r="BI486" s="583">
        <f t="shared" si="1108"/>
        <v>0</v>
      </c>
      <c r="BJ486" s="583">
        <f t="shared" si="1109"/>
        <v>0</v>
      </c>
      <c r="BK486" s="583">
        <f t="shared" si="1110"/>
        <v>0</v>
      </c>
      <c r="BL486" s="583">
        <f t="shared" si="1111"/>
        <v>0</v>
      </c>
      <c r="BM486" s="583">
        <f t="shared" si="1112"/>
        <v>0</v>
      </c>
      <c r="BN486" s="583">
        <f t="shared" si="1113"/>
        <v>0</v>
      </c>
      <c r="BO486" s="583">
        <f t="shared" si="1114"/>
        <v>0</v>
      </c>
      <c r="BP486" s="583">
        <f t="shared" si="1115"/>
        <v>0</v>
      </c>
      <c r="BQ486" s="583">
        <f t="shared" si="1116"/>
        <v>0</v>
      </c>
      <c r="BR486" s="583">
        <f t="shared" si="1117"/>
        <v>0</v>
      </c>
    </row>
    <row r="487" spans="1:70" s="229" customFormat="1" ht="15" customHeight="1">
      <c r="A487" s="504"/>
      <c r="D487" s="85"/>
      <c r="E487" s="576" t="str">
        <f t="shared" ref="E487:E496" si="1118">IF(E$485&gt;0,E$485,"")</f>
        <v/>
      </c>
      <c r="F487" s="1131"/>
      <c r="G487" s="406" t="s">
        <v>3054</v>
      </c>
      <c r="H487" s="1262" t="s">
        <v>3055</v>
      </c>
      <c r="I487" s="85">
        <v>0</v>
      </c>
      <c r="J487" s="682">
        <v>1</v>
      </c>
      <c r="K487" s="579" t="str">
        <f t="shared" si="1092"/>
        <v/>
      </c>
      <c r="L487" s="580" t="str">
        <f>IF(H487="Select ingredient:","",IF(G487="","",_xlfn.IFNA(VLOOKUP($H487,Ingredient_prices!$E:$U,16,FALSE),0)))</f>
        <v/>
      </c>
      <c r="M487" s="850"/>
      <c r="N487" s="850"/>
      <c r="O487" s="666"/>
      <c r="P487" s="674"/>
      <c r="Q487" s="583">
        <f t="shared" si="1093"/>
        <v>0</v>
      </c>
      <c r="R487" s="583">
        <f>VLOOKUP($H487,'CO2_emission+%_food_waste'!$A:$K,6,FALSE)*$Q487/100</f>
        <v>0</v>
      </c>
      <c r="S487" s="583">
        <f t="shared" si="1094"/>
        <v>0</v>
      </c>
      <c r="T487" s="583" t="str">
        <f>IF(H487="Select ingredient:","",IF(G487="Select food category:","",_xlfn.IFNA(VLOOKUP($H487,Ingredient_prices!$E:$U,16,FALSE)*$Q487/1000,"not bought")))</f>
        <v/>
      </c>
      <c r="U487" s="583" t="str">
        <f>IF(G487="Select food category:","",_xlfn.IFNA(VLOOKUP($H487,Ingredient_prices!$E:$U,16,FALSE)*$R487/1000,"not bought"))</f>
        <v/>
      </c>
      <c r="V487" s="549">
        <f>VLOOKUP($H487,'CO2_emission+%_food_waste'!$A:$K,4,FALSE)*$Q487</f>
        <v>0</v>
      </c>
      <c r="W487" s="583">
        <f>VLOOKUP($H487,Nutrition_tables!$A:$N,10,FALSE)*$Q487/100</f>
        <v>0</v>
      </c>
      <c r="X487" s="583">
        <f>VLOOKUP($H487,Nutrition_tables!$A:$N,11,FALSE)*$Q487/100</f>
        <v>0</v>
      </c>
      <c r="Y487" s="583">
        <f>VLOOKUP($H487,Nutrition_tables!$A:$N,12,FALSE)*$Q487/100</f>
        <v>0</v>
      </c>
      <c r="Z487" s="583">
        <f>VLOOKUP($H487,Nutrition_tables!$A:$N,14,FALSE)*$Q487/100</f>
        <v>0</v>
      </c>
      <c r="AA487" s="583">
        <f>VLOOKUP($H487,Nutrition_tables!$A:$AF,13,FALSE)*$Q487/100</f>
        <v>0</v>
      </c>
      <c r="AB487" s="549">
        <f>VLOOKUP($H487,Nutrition_tables!$A:$AF,15,FALSE)*$Q487/100</f>
        <v>0</v>
      </c>
      <c r="AC487" s="583">
        <f>VLOOKUP($H487,Nutrition_tables!$A:$AF,16,FALSE)*$Q487/100</f>
        <v>0</v>
      </c>
      <c r="AD487" s="583">
        <f>VLOOKUP($H487,Nutrition_tables!$A:$AF,17,FALSE)*$Q487/100</f>
        <v>0</v>
      </c>
      <c r="AE487" s="583">
        <f>VLOOKUP($H487,Nutrition_tables!$A:$AF,18,FALSE)*$Q487/100</f>
        <v>0</v>
      </c>
      <c r="AF487" s="583">
        <f>VLOOKUP($H487,Nutrition_tables!$A:$AF,19,FALSE)*$Q487/100</f>
        <v>0</v>
      </c>
      <c r="AG487" s="583">
        <f>VLOOKUP($H487,Nutrition_tables!$A:$AF,20,FALSE)*$Q487/100</f>
        <v>0</v>
      </c>
      <c r="AH487" s="583">
        <f>VLOOKUP($H487,Nutrition_tables!$A:$AF,21,FALSE)*$Q487/100</f>
        <v>0</v>
      </c>
      <c r="AI487" s="583">
        <f>VLOOKUP($H487,Nutrition_tables!$A:$AF,22,FALSE)*$Q487/100</f>
        <v>0</v>
      </c>
      <c r="AJ487" s="549">
        <f>VLOOKUP($H487,Nutrition_tables!$A:$AF,23,FALSE)*$Q487/100</f>
        <v>0</v>
      </c>
      <c r="AK487" s="583">
        <f>VLOOKUP($H487,Nutrition_tables!$A:$AF,24,FALSE)*$Q487/100</f>
        <v>0</v>
      </c>
      <c r="AL487" s="583">
        <f>VLOOKUP($H487,Nutrition_tables!$A:$AF,25,FALSE)*$Q487/100</f>
        <v>0</v>
      </c>
      <c r="AM487" s="583">
        <f>VLOOKUP($H487,Nutrition_tables!$A:$AF,26,FALSE)*$Q487/100</f>
        <v>0</v>
      </c>
      <c r="AN487" s="583">
        <f>VLOOKUP($H487,Nutrition_tables!$A:$AF,27,FALSE)*$Q487/100</f>
        <v>0</v>
      </c>
      <c r="AO487" s="583">
        <f>VLOOKUP($H487,Nutrition_tables!$A:$AF,28,FALSE)*$Q487/100</f>
        <v>0</v>
      </c>
      <c r="AP487" s="583">
        <f>VLOOKUP($H487,Nutrition_tables!$A:$AF,29,FALSE)*$Q487/100</f>
        <v>0</v>
      </c>
      <c r="AQ487" s="583">
        <f>VLOOKUP($H487,Nutrition_tables!$A:$AF,30,FALSE)*$Q487/100</f>
        <v>0</v>
      </c>
      <c r="AR487" s="583">
        <f>VLOOKUP($H487,Nutrition_tables!$A:$AF,31,FALSE)*$Q487/100</f>
        <v>0</v>
      </c>
      <c r="AS487" s="549">
        <f>VLOOKUP($H487,Nutrition_tables!$A:$AF,32,FALSE)*$Q487/100</f>
        <v>0</v>
      </c>
      <c r="AT487" s="583" t="str">
        <f>IF(H487="Select ingredient:","",IF(G487="Select food category:","",IFERROR(VLOOKUP($H487,Ingredient_prices!$E:$W,17,FALSE)*$Q487/1000,"not bought")))</f>
        <v/>
      </c>
      <c r="AU487" s="583" t="str">
        <f>IF(H487="Select ingredient:","",IF(G487="Select food category:","",IFERROR(VLOOKUP($H487,Ingredient_prices!$E:$W,18,FALSE)*$Q487/1000,"not bought")))</f>
        <v/>
      </c>
      <c r="AV487" s="583">
        <f t="shared" si="1095"/>
        <v>0</v>
      </c>
      <c r="AW487" s="583">
        <f t="shared" si="1096"/>
        <v>0</v>
      </c>
      <c r="AX487" s="583">
        <f t="shared" si="1097"/>
        <v>0</v>
      </c>
      <c r="AY487" s="583">
        <f t="shared" si="1098"/>
        <v>0</v>
      </c>
      <c r="AZ487" s="583">
        <f t="shared" si="1099"/>
        <v>0</v>
      </c>
      <c r="BA487" s="583">
        <f t="shared" si="1100"/>
        <v>0</v>
      </c>
      <c r="BB487" s="583">
        <f t="shared" si="1101"/>
        <v>0</v>
      </c>
      <c r="BC487" s="583">
        <f t="shared" si="1102"/>
        <v>0</v>
      </c>
      <c r="BD487" s="583">
        <f t="shared" si="1103"/>
        <v>0</v>
      </c>
      <c r="BE487" s="583">
        <f t="shared" si="1104"/>
        <v>0</v>
      </c>
      <c r="BF487" s="583">
        <f t="shared" si="1105"/>
        <v>0</v>
      </c>
      <c r="BG487" s="583">
        <f t="shared" si="1106"/>
        <v>0</v>
      </c>
      <c r="BH487" s="583">
        <f t="shared" si="1107"/>
        <v>0</v>
      </c>
      <c r="BI487" s="583">
        <f t="shared" si="1108"/>
        <v>0</v>
      </c>
      <c r="BJ487" s="583">
        <f t="shared" si="1109"/>
        <v>0</v>
      </c>
      <c r="BK487" s="583">
        <f t="shared" si="1110"/>
        <v>0</v>
      </c>
      <c r="BL487" s="583">
        <f t="shared" si="1111"/>
        <v>0</v>
      </c>
      <c r="BM487" s="583">
        <f t="shared" si="1112"/>
        <v>0</v>
      </c>
      <c r="BN487" s="583">
        <f t="shared" si="1113"/>
        <v>0</v>
      </c>
      <c r="BO487" s="583">
        <f t="shared" si="1114"/>
        <v>0</v>
      </c>
      <c r="BP487" s="583">
        <f t="shared" si="1115"/>
        <v>0</v>
      </c>
      <c r="BQ487" s="583">
        <f t="shared" si="1116"/>
        <v>0</v>
      </c>
      <c r="BR487" s="583">
        <f t="shared" si="1117"/>
        <v>0</v>
      </c>
    </row>
    <row r="488" spans="1:70" s="229" customFormat="1" ht="15" customHeight="1">
      <c r="A488" s="504"/>
      <c r="D488" s="85"/>
      <c r="E488" s="576" t="str">
        <f t="shared" si="1118"/>
        <v/>
      </c>
      <c r="F488" s="1131"/>
      <c r="G488" s="406" t="s">
        <v>3054</v>
      </c>
      <c r="H488" s="1262" t="s">
        <v>3055</v>
      </c>
      <c r="I488" s="85">
        <v>0</v>
      </c>
      <c r="J488" s="682">
        <v>1</v>
      </c>
      <c r="K488" s="579" t="str">
        <f t="shared" si="1092"/>
        <v/>
      </c>
      <c r="L488" s="580" t="str">
        <f>IF(H488="Select ingredient:","",IF(G488="","",_xlfn.IFNA(VLOOKUP($H488,Ingredient_prices!$E:$U,16,FALSE),0)))</f>
        <v/>
      </c>
      <c r="M488" s="850"/>
      <c r="N488" s="850"/>
      <c r="O488" s="666"/>
      <c r="P488" s="674"/>
      <c r="Q488" s="583">
        <f t="shared" si="1093"/>
        <v>0</v>
      </c>
      <c r="R488" s="583">
        <f>VLOOKUP($H488,'CO2_emission+%_food_waste'!$A:$K,6,FALSE)*$Q488/100</f>
        <v>0</v>
      </c>
      <c r="S488" s="583">
        <f t="shared" si="1094"/>
        <v>0</v>
      </c>
      <c r="T488" s="583" t="str">
        <f>IF(H488="Select ingredient:","",IF(G488="Select food category:","",_xlfn.IFNA(VLOOKUP($H488,Ingredient_prices!$E:$U,16,FALSE)*$Q488/1000,"not bought")))</f>
        <v/>
      </c>
      <c r="U488" s="583" t="str">
        <f>IF(G488="Select food category:","",_xlfn.IFNA(VLOOKUP($H488,Ingredient_prices!$E:$U,16,FALSE)*$R488/1000,"not bought"))</f>
        <v/>
      </c>
      <c r="V488" s="549">
        <f>VLOOKUP($H488,'CO2_emission+%_food_waste'!$A:$K,4,FALSE)*$Q488</f>
        <v>0</v>
      </c>
      <c r="W488" s="583">
        <f>VLOOKUP($H488,Nutrition_tables!$A:$N,10,FALSE)*$Q488/100</f>
        <v>0</v>
      </c>
      <c r="X488" s="583">
        <f>VLOOKUP($H488,Nutrition_tables!$A:$N,11,FALSE)*$Q488/100</f>
        <v>0</v>
      </c>
      <c r="Y488" s="583">
        <f>VLOOKUP($H488,Nutrition_tables!$A:$N,12,FALSE)*$Q488/100</f>
        <v>0</v>
      </c>
      <c r="Z488" s="583">
        <f>VLOOKUP($H488,Nutrition_tables!$A:$N,14,FALSE)*$Q488/100</f>
        <v>0</v>
      </c>
      <c r="AA488" s="583">
        <f>VLOOKUP($H488,Nutrition_tables!$A:$AF,13,FALSE)*$Q488/100</f>
        <v>0</v>
      </c>
      <c r="AB488" s="549">
        <f>VLOOKUP($H488,Nutrition_tables!$A:$AF,15,FALSE)*$Q488/100</f>
        <v>0</v>
      </c>
      <c r="AC488" s="583">
        <f>VLOOKUP($H488,Nutrition_tables!$A:$AF,16,FALSE)*$Q488/100</f>
        <v>0</v>
      </c>
      <c r="AD488" s="583">
        <f>VLOOKUP($H488,Nutrition_tables!$A:$AF,17,FALSE)*$Q488/100</f>
        <v>0</v>
      </c>
      <c r="AE488" s="583">
        <f>VLOOKUP($H488,Nutrition_tables!$A:$AF,18,FALSE)*$Q488/100</f>
        <v>0</v>
      </c>
      <c r="AF488" s="583">
        <f>VLOOKUP($H488,Nutrition_tables!$A:$AF,19,FALSE)*$Q488/100</f>
        <v>0</v>
      </c>
      <c r="AG488" s="583">
        <f>VLOOKUP($H488,Nutrition_tables!$A:$AF,20,FALSE)*$Q488/100</f>
        <v>0</v>
      </c>
      <c r="AH488" s="583">
        <f>VLOOKUP($H488,Nutrition_tables!$A:$AF,21,FALSE)*$Q488/100</f>
        <v>0</v>
      </c>
      <c r="AI488" s="583">
        <f>VLOOKUP($H488,Nutrition_tables!$A:$AF,22,FALSE)*$Q488/100</f>
        <v>0</v>
      </c>
      <c r="AJ488" s="549">
        <f>VLOOKUP($H488,Nutrition_tables!$A:$AF,23,FALSE)*$Q488/100</f>
        <v>0</v>
      </c>
      <c r="AK488" s="583">
        <f>VLOOKUP($H488,Nutrition_tables!$A:$AF,24,FALSE)*$Q488/100</f>
        <v>0</v>
      </c>
      <c r="AL488" s="583">
        <f>VLOOKUP($H488,Nutrition_tables!$A:$AF,25,FALSE)*$Q488/100</f>
        <v>0</v>
      </c>
      <c r="AM488" s="583">
        <f>VLOOKUP($H488,Nutrition_tables!$A:$AF,26,FALSE)*$Q488/100</f>
        <v>0</v>
      </c>
      <c r="AN488" s="583">
        <f>VLOOKUP($H488,Nutrition_tables!$A:$AF,27,FALSE)*$Q488/100</f>
        <v>0</v>
      </c>
      <c r="AO488" s="583">
        <f>VLOOKUP($H488,Nutrition_tables!$A:$AF,28,FALSE)*$Q488/100</f>
        <v>0</v>
      </c>
      <c r="AP488" s="583">
        <f>VLOOKUP($H488,Nutrition_tables!$A:$AF,29,FALSE)*$Q488/100</f>
        <v>0</v>
      </c>
      <c r="AQ488" s="583">
        <f>VLOOKUP($H488,Nutrition_tables!$A:$AF,30,FALSE)*$Q488/100</f>
        <v>0</v>
      </c>
      <c r="AR488" s="583">
        <f>VLOOKUP($H488,Nutrition_tables!$A:$AF,31,FALSE)*$Q488/100</f>
        <v>0</v>
      </c>
      <c r="AS488" s="549">
        <f>VLOOKUP($H488,Nutrition_tables!$A:$AF,32,FALSE)*$Q488/100</f>
        <v>0</v>
      </c>
      <c r="AT488" s="583" t="str">
        <f>IF(H488="Select ingredient:","",IF(G488="Select food category:","",IFERROR(VLOOKUP($H488,Ingredient_prices!$E:$W,17,FALSE)*$Q488/1000,"not bought")))</f>
        <v/>
      </c>
      <c r="AU488" s="583" t="str">
        <f>IF(H488="Select ingredient:","",IF(G488="Select food category:","",IFERROR(VLOOKUP($H488,Ingredient_prices!$E:$W,18,FALSE)*$Q488/1000,"not bought")))</f>
        <v/>
      </c>
      <c r="AV488" s="583">
        <f t="shared" si="1095"/>
        <v>0</v>
      </c>
      <c r="AW488" s="583">
        <f t="shared" si="1096"/>
        <v>0</v>
      </c>
      <c r="AX488" s="583">
        <f t="shared" si="1097"/>
        <v>0</v>
      </c>
      <c r="AY488" s="583">
        <f t="shared" si="1098"/>
        <v>0</v>
      </c>
      <c r="AZ488" s="583">
        <f t="shared" si="1099"/>
        <v>0</v>
      </c>
      <c r="BA488" s="583">
        <f t="shared" si="1100"/>
        <v>0</v>
      </c>
      <c r="BB488" s="583">
        <f t="shared" si="1101"/>
        <v>0</v>
      </c>
      <c r="BC488" s="583">
        <f t="shared" si="1102"/>
        <v>0</v>
      </c>
      <c r="BD488" s="583">
        <f t="shared" si="1103"/>
        <v>0</v>
      </c>
      <c r="BE488" s="583">
        <f t="shared" si="1104"/>
        <v>0</v>
      </c>
      <c r="BF488" s="583">
        <f t="shared" si="1105"/>
        <v>0</v>
      </c>
      <c r="BG488" s="583">
        <f t="shared" si="1106"/>
        <v>0</v>
      </c>
      <c r="BH488" s="583">
        <f t="shared" si="1107"/>
        <v>0</v>
      </c>
      <c r="BI488" s="583">
        <f t="shared" si="1108"/>
        <v>0</v>
      </c>
      <c r="BJ488" s="583">
        <f t="shared" si="1109"/>
        <v>0</v>
      </c>
      <c r="BK488" s="583">
        <f t="shared" si="1110"/>
        <v>0</v>
      </c>
      <c r="BL488" s="583">
        <f t="shared" si="1111"/>
        <v>0</v>
      </c>
      <c r="BM488" s="583">
        <f t="shared" si="1112"/>
        <v>0</v>
      </c>
      <c r="BN488" s="583">
        <f t="shared" si="1113"/>
        <v>0</v>
      </c>
      <c r="BO488" s="583">
        <f t="shared" si="1114"/>
        <v>0</v>
      </c>
      <c r="BP488" s="583">
        <f t="shared" si="1115"/>
        <v>0</v>
      </c>
      <c r="BQ488" s="583">
        <f t="shared" si="1116"/>
        <v>0</v>
      </c>
      <c r="BR488" s="583">
        <f t="shared" si="1117"/>
        <v>0</v>
      </c>
    </row>
    <row r="489" spans="1:70" s="229" customFormat="1" ht="15" customHeight="1">
      <c r="A489" s="504"/>
      <c r="D489" s="85"/>
      <c r="E489" s="576" t="str">
        <f t="shared" si="1118"/>
        <v/>
      </c>
      <c r="F489" s="707"/>
      <c r="G489" s="406" t="s">
        <v>3054</v>
      </c>
      <c r="H489" s="1262" t="s">
        <v>3055</v>
      </c>
      <c r="I489" s="85">
        <v>0</v>
      </c>
      <c r="J489" s="682">
        <v>1</v>
      </c>
      <c r="K489" s="579" t="str">
        <f t="shared" si="1092"/>
        <v/>
      </c>
      <c r="L489" s="580" t="str">
        <f>IF(H489="Select ingredient:","",IF(G489="","",_xlfn.IFNA(VLOOKUP($H489,Ingredient_prices!$E:$U,16,FALSE),0)))</f>
        <v/>
      </c>
      <c r="M489" s="850"/>
      <c r="N489" s="850"/>
      <c r="O489" s="666"/>
      <c r="P489" s="674"/>
      <c r="Q489" s="583">
        <f t="shared" si="1093"/>
        <v>0</v>
      </c>
      <c r="R489" s="583">
        <f>VLOOKUP($H489,'CO2_emission+%_food_waste'!$A:$K,6,FALSE)*$Q489/100</f>
        <v>0</v>
      </c>
      <c r="S489" s="583">
        <f t="shared" si="1094"/>
        <v>0</v>
      </c>
      <c r="T489" s="583" t="str">
        <f>IF(H489="Select ingredient:","",IF(G489="Select food category:","",_xlfn.IFNA(VLOOKUP($H489,Ingredient_prices!$E:$U,16,FALSE)*$Q489/1000,"not bought")))</f>
        <v/>
      </c>
      <c r="U489" s="583" t="str">
        <f>IF(G489="Select food category:","",_xlfn.IFNA(VLOOKUP($H489,Ingredient_prices!$E:$U,16,FALSE)*$R489/1000,"not bought"))</f>
        <v/>
      </c>
      <c r="V489" s="549">
        <f>VLOOKUP($H489,'CO2_emission+%_food_waste'!$A:$K,4,FALSE)*$Q489</f>
        <v>0</v>
      </c>
      <c r="W489" s="583">
        <f>VLOOKUP($H489,Nutrition_tables!$A:$N,10,FALSE)*$Q489/100</f>
        <v>0</v>
      </c>
      <c r="X489" s="583">
        <f>VLOOKUP($H489,Nutrition_tables!$A:$N,11,FALSE)*$Q489/100</f>
        <v>0</v>
      </c>
      <c r="Y489" s="583">
        <f>VLOOKUP($H489,Nutrition_tables!$A:$N,12,FALSE)*$Q489/100</f>
        <v>0</v>
      </c>
      <c r="Z489" s="583">
        <f>VLOOKUP($H489,Nutrition_tables!$A:$N,14,FALSE)*$Q489/100</f>
        <v>0</v>
      </c>
      <c r="AA489" s="583">
        <f>VLOOKUP($H489,Nutrition_tables!$A:$AF,13,FALSE)*$Q489/100</f>
        <v>0</v>
      </c>
      <c r="AB489" s="549">
        <f>VLOOKUP($H489,Nutrition_tables!$A:$AF,15,FALSE)*$Q489/100</f>
        <v>0</v>
      </c>
      <c r="AC489" s="583">
        <f>VLOOKUP($H489,Nutrition_tables!$A:$AF,16,FALSE)*$Q489/100</f>
        <v>0</v>
      </c>
      <c r="AD489" s="583">
        <f>VLOOKUP($H489,Nutrition_tables!$A:$AF,17,FALSE)*$Q489/100</f>
        <v>0</v>
      </c>
      <c r="AE489" s="583">
        <f>VLOOKUP($H489,Nutrition_tables!$A:$AF,18,FALSE)*$Q489/100</f>
        <v>0</v>
      </c>
      <c r="AF489" s="583">
        <f>VLOOKUP($H489,Nutrition_tables!$A:$AF,19,FALSE)*$Q489/100</f>
        <v>0</v>
      </c>
      <c r="AG489" s="583">
        <f>VLOOKUP($H489,Nutrition_tables!$A:$AF,20,FALSE)*$Q489/100</f>
        <v>0</v>
      </c>
      <c r="AH489" s="583">
        <f>VLOOKUP($H489,Nutrition_tables!$A:$AF,21,FALSE)*$Q489/100</f>
        <v>0</v>
      </c>
      <c r="AI489" s="583">
        <f>VLOOKUP($H489,Nutrition_tables!$A:$AF,22,FALSE)*$Q489/100</f>
        <v>0</v>
      </c>
      <c r="AJ489" s="549">
        <f>VLOOKUP($H489,Nutrition_tables!$A:$AF,23,FALSE)*$Q489/100</f>
        <v>0</v>
      </c>
      <c r="AK489" s="583">
        <f>VLOOKUP($H489,Nutrition_tables!$A:$AF,24,FALSE)*$Q489/100</f>
        <v>0</v>
      </c>
      <c r="AL489" s="583">
        <f>VLOOKUP($H489,Nutrition_tables!$A:$AF,25,FALSE)*$Q489/100</f>
        <v>0</v>
      </c>
      <c r="AM489" s="583">
        <f>VLOOKUP($H489,Nutrition_tables!$A:$AF,26,FALSE)*$Q489/100</f>
        <v>0</v>
      </c>
      <c r="AN489" s="583">
        <f>VLOOKUP($H489,Nutrition_tables!$A:$AF,27,FALSE)*$Q489/100</f>
        <v>0</v>
      </c>
      <c r="AO489" s="583">
        <f>VLOOKUP($H489,Nutrition_tables!$A:$AF,28,FALSE)*$Q489/100</f>
        <v>0</v>
      </c>
      <c r="AP489" s="583">
        <f>VLOOKUP($H489,Nutrition_tables!$A:$AF,29,FALSE)*$Q489/100</f>
        <v>0</v>
      </c>
      <c r="AQ489" s="583">
        <f>VLOOKUP($H489,Nutrition_tables!$A:$AF,30,FALSE)*$Q489/100</f>
        <v>0</v>
      </c>
      <c r="AR489" s="583">
        <f>VLOOKUP($H489,Nutrition_tables!$A:$AF,31,FALSE)*$Q489/100</f>
        <v>0</v>
      </c>
      <c r="AS489" s="549">
        <f>VLOOKUP($H489,Nutrition_tables!$A:$AF,32,FALSE)*$Q489/100</f>
        <v>0</v>
      </c>
      <c r="AT489" s="583" t="str">
        <f>IF(H489="Select ingredient:","",IF(G489="Select food category:","",IFERROR(VLOOKUP($H489,Ingredient_prices!$E:$W,17,FALSE)*$Q489/1000,"not bought")))</f>
        <v/>
      </c>
      <c r="AU489" s="583" t="str">
        <f>IF(H489="Select ingredient:","",IF(G489="Select food category:","",IFERROR(VLOOKUP($H489,Ingredient_prices!$E:$W,18,FALSE)*$Q489/1000,"not bought")))</f>
        <v/>
      </c>
      <c r="AV489" s="583">
        <f t="shared" si="1095"/>
        <v>0</v>
      </c>
      <c r="AW489" s="583">
        <f t="shared" si="1096"/>
        <v>0</v>
      </c>
      <c r="AX489" s="583">
        <f t="shared" si="1097"/>
        <v>0</v>
      </c>
      <c r="AY489" s="583">
        <f t="shared" si="1098"/>
        <v>0</v>
      </c>
      <c r="AZ489" s="583">
        <f t="shared" si="1099"/>
        <v>0</v>
      </c>
      <c r="BA489" s="583">
        <f t="shared" si="1100"/>
        <v>0</v>
      </c>
      <c r="BB489" s="583">
        <f t="shared" si="1101"/>
        <v>0</v>
      </c>
      <c r="BC489" s="583">
        <f t="shared" si="1102"/>
        <v>0</v>
      </c>
      <c r="BD489" s="583">
        <f t="shared" si="1103"/>
        <v>0</v>
      </c>
      <c r="BE489" s="583">
        <f t="shared" si="1104"/>
        <v>0</v>
      </c>
      <c r="BF489" s="583">
        <f t="shared" si="1105"/>
        <v>0</v>
      </c>
      <c r="BG489" s="583">
        <f t="shared" si="1106"/>
        <v>0</v>
      </c>
      <c r="BH489" s="583">
        <f t="shared" si="1107"/>
        <v>0</v>
      </c>
      <c r="BI489" s="583">
        <f t="shared" si="1108"/>
        <v>0</v>
      </c>
      <c r="BJ489" s="583">
        <f t="shared" si="1109"/>
        <v>0</v>
      </c>
      <c r="BK489" s="583">
        <f t="shared" si="1110"/>
        <v>0</v>
      </c>
      <c r="BL489" s="583">
        <f t="shared" si="1111"/>
        <v>0</v>
      </c>
      <c r="BM489" s="583">
        <f t="shared" si="1112"/>
        <v>0</v>
      </c>
      <c r="BN489" s="583">
        <f t="shared" si="1113"/>
        <v>0</v>
      </c>
      <c r="BO489" s="583">
        <f t="shared" si="1114"/>
        <v>0</v>
      </c>
      <c r="BP489" s="583">
        <f t="shared" si="1115"/>
        <v>0</v>
      </c>
      <c r="BQ489" s="583">
        <f t="shared" si="1116"/>
        <v>0</v>
      </c>
      <c r="BR489" s="583">
        <f t="shared" si="1117"/>
        <v>0</v>
      </c>
    </row>
    <row r="490" spans="1:70" s="229" customFormat="1" ht="15" customHeight="1">
      <c r="A490" s="504"/>
      <c r="D490" s="85"/>
      <c r="E490" s="576" t="str">
        <f t="shared" si="1118"/>
        <v/>
      </c>
      <c r="F490" s="707"/>
      <c r="G490" s="406" t="s">
        <v>3054</v>
      </c>
      <c r="H490" s="1262" t="s">
        <v>3055</v>
      </c>
      <c r="I490" s="85">
        <v>0</v>
      </c>
      <c r="J490" s="682">
        <v>1</v>
      </c>
      <c r="K490" s="579" t="str">
        <f t="shared" si="1092"/>
        <v/>
      </c>
      <c r="L490" s="580" t="str">
        <f>IF(H490="Select ingredient:","",IF(G490="","",_xlfn.IFNA(VLOOKUP($H490,Ingredient_prices!$E:$U,16,FALSE),0)))</f>
        <v/>
      </c>
      <c r="M490" s="850"/>
      <c r="N490" s="850"/>
      <c r="O490" s="666"/>
      <c r="P490" s="674"/>
      <c r="Q490" s="583">
        <f t="shared" si="1093"/>
        <v>0</v>
      </c>
      <c r="R490" s="583">
        <f>VLOOKUP($H490,'CO2_emission+%_food_waste'!$A:$K,6,FALSE)*$Q490/100</f>
        <v>0</v>
      </c>
      <c r="S490" s="583">
        <f t="shared" si="1094"/>
        <v>0</v>
      </c>
      <c r="T490" s="583" t="str">
        <f>IF(H490="Select ingredient:","",IF(G490="Select food category:","",_xlfn.IFNA(VLOOKUP($H490,Ingredient_prices!$E:$U,16,FALSE)*$Q490/1000,"not bought")))</f>
        <v/>
      </c>
      <c r="U490" s="583" t="str">
        <f>IF(G490="Select food category:","",_xlfn.IFNA(VLOOKUP($H490,Ingredient_prices!$E:$U,16,FALSE)*$R490/1000,"not bought"))</f>
        <v/>
      </c>
      <c r="V490" s="549">
        <f>VLOOKUP($H490,'CO2_emission+%_food_waste'!$A:$K,4,FALSE)*$Q490</f>
        <v>0</v>
      </c>
      <c r="W490" s="583">
        <f>VLOOKUP($H490,Nutrition_tables!$A:$N,10,FALSE)*$Q490/100</f>
        <v>0</v>
      </c>
      <c r="X490" s="583">
        <f>VLOOKUP($H490,Nutrition_tables!$A:$N,11,FALSE)*$Q490/100</f>
        <v>0</v>
      </c>
      <c r="Y490" s="583">
        <f>VLOOKUP($H490,Nutrition_tables!$A:$N,12,FALSE)*$Q490/100</f>
        <v>0</v>
      </c>
      <c r="Z490" s="583">
        <f>VLOOKUP($H490,Nutrition_tables!$A:$N,14,FALSE)*$Q490/100</f>
        <v>0</v>
      </c>
      <c r="AA490" s="583">
        <f>VLOOKUP($H490,Nutrition_tables!$A:$AF,13,FALSE)*$Q490/100</f>
        <v>0</v>
      </c>
      <c r="AB490" s="549">
        <f>VLOOKUP($H490,Nutrition_tables!$A:$AF,15,FALSE)*$Q490/100</f>
        <v>0</v>
      </c>
      <c r="AC490" s="583">
        <f>VLOOKUP($H490,Nutrition_tables!$A:$AF,16,FALSE)*$Q490/100</f>
        <v>0</v>
      </c>
      <c r="AD490" s="583">
        <f>VLOOKUP($H490,Nutrition_tables!$A:$AF,17,FALSE)*$Q490/100</f>
        <v>0</v>
      </c>
      <c r="AE490" s="583">
        <f>VLOOKUP($H490,Nutrition_tables!$A:$AF,18,FALSE)*$Q490/100</f>
        <v>0</v>
      </c>
      <c r="AF490" s="583">
        <f>VLOOKUP($H490,Nutrition_tables!$A:$AF,19,FALSE)*$Q490/100</f>
        <v>0</v>
      </c>
      <c r="AG490" s="583">
        <f>VLOOKUP($H490,Nutrition_tables!$A:$AF,20,FALSE)*$Q490/100</f>
        <v>0</v>
      </c>
      <c r="AH490" s="583">
        <f>VLOOKUP($H490,Nutrition_tables!$A:$AF,21,FALSE)*$Q490/100</f>
        <v>0</v>
      </c>
      <c r="AI490" s="583">
        <f>VLOOKUP($H490,Nutrition_tables!$A:$AF,22,FALSE)*$Q490/100</f>
        <v>0</v>
      </c>
      <c r="AJ490" s="549">
        <f>VLOOKUP($H490,Nutrition_tables!$A:$AF,23,FALSE)*$Q490/100</f>
        <v>0</v>
      </c>
      <c r="AK490" s="583">
        <f>VLOOKUP($H490,Nutrition_tables!$A:$AF,24,FALSE)*$Q490/100</f>
        <v>0</v>
      </c>
      <c r="AL490" s="583">
        <f>VLOOKUP($H490,Nutrition_tables!$A:$AF,25,FALSE)*$Q490/100</f>
        <v>0</v>
      </c>
      <c r="AM490" s="583">
        <f>VLOOKUP($H490,Nutrition_tables!$A:$AF,26,FALSE)*$Q490/100</f>
        <v>0</v>
      </c>
      <c r="AN490" s="583">
        <f>VLOOKUP($H490,Nutrition_tables!$A:$AF,27,FALSE)*$Q490/100</f>
        <v>0</v>
      </c>
      <c r="AO490" s="583">
        <f>VLOOKUP($H490,Nutrition_tables!$A:$AF,28,FALSE)*$Q490/100</f>
        <v>0</v>
      </c>
      <c r="AP490" s="583">
        <f>VLOOKUP($H490,Nutrition_tables!$A:$AF,29,FALSE)*$Q490/100</f>
        <v>0</v>
      </c>
      <c r="AQ490" s="583">
        <f>VLOOKUP($H490,Nutrition_tables!$A:$AF,30,FALSE)*$Q490/100</f>
        <v>0</v>
      </c>
      <c r="AR490" s="583">
        <f>VLOOKUP($H490,Nutrition_tables!$A:$AF,31,FALSE)*$Q490/100</f>
        <v>0</v>
      </c>
      <c r="AS490" s="549">
        <f>VLOOKUP($H490,Nutrition_tables!$A:$AF,32,FALSE)*$Q490/100</f>
        <v>0</v>
      </c>
      <c r="AT490" s="583" t="str">
        <f>IF(H490="Select ingredient:","",IF(G490="Select food category:","",IFERROR(VLOOKUP($H490,Ingredient_prices!$E:$W,17,FALSE)*$Q490/1000,"not bought")))</f>
        <v/>
      </c>
      <c r="AU490" s="583" t="str">
        <f>IF(H490="Select ingredient:","",IF(G490="Select food category:","",IFERROR(VLOOKUP($H490,Ingredient_prices!$E:$W,18,FALSE)*$Q490/1000,"not bought")))</f>
        <v/>
      </c>
      <c r="AV490" s="583">
        <f t="shared" si="1095"/>
        <v>0</v>
      </c>
      <c r="AW490" s="583">
        <f t="shared" si="1096"/>
        <v>0</v>
      </c>
      <c r="AX490" s="583">
        <f t="shared" si="1097"/>
        <v>0</v>
      </c>
      <c r="AY490" s="583">
        <f t="shared" si="1098"/>
        <v>0</v>
      </c>
      <c r="AZ490" s="583">
        <f t="shared" si="1099"/>
        <v>0</v>
      </c>
      <c r="BA490" s="583">
        <f t="shared" si="1100"/>
        <v>0</v>
      </c>
      <c r="BB490" s="583">
        <f t="shared" si="1101"/>
        <v>0</v>
      </c>
      <c r="BC490" s="583">
        <f t="shared" si="1102"/>
        <v>0</v>
      </c>
      <c r="BD490" s="583">
        <f t="shared" si="1103"/>
        <v>0</v>
      </c>
      <c r="BE490" s="583">
        <f t="shared" si="1104"/>
        <v>0</v>
      </c>
      <c r="BF490" s="583">
        <f t="shared" si="1105"/>
        <v>0</v>
      </c>
      <c r="BG490" s="583">
        <f t="shared" si="1106"/>
        <v>0</v>
      </c>
      <c r="BH490" s="583">
        <f t="shared" si="1107"/>
        <v>0</v>
      </c>
      <c r="BI490" s="583">
        <f t="shared" si="1108"/>
        <v>0</v>
      </c>
      <c r="BJ490" s="583">
        <f t="shared" si="1109"/>
        <v>0</v>
      </c>
      <c r="BK490" s="583">
        <f t="shared" si="1110"/>
        <v>0</v>
      </c>
      <c r="BL490" s="583">
        <f t="shared" si="1111"/>
        <v>0</v>
      </c>
      <c r="BM490" s="583">
        <f t="shared" si="1112"/>
        <v>0</v>
      </c>
      <c r="BN490" s="583">
        <f t="shared" si="1113"/>
        <v>0</v>
      </c>
      <c r="BO490" s="583">
        <f t="shared" si="1114"/>
        <v>0</v>
      </c>
      <c r="BP490" s="583">
        <f t="shared" si="1115"/>
        <v>0</v>
      </c>
      <c r="BQ490" s="583">
        <f t="shared" si="1116"/>
        <v>0</v>
      </c>
      <c r="BR490" s="583">
        <f t="shared" si="1117"/>
        <v>0</v>
      </c>
    </row>
    <row r="491" spans="1:70" s="229" customFormat="1" ht="15" customHeight="1">
      <c r="A491" s="504"/>
      <c r="D491" s="85"/>
      <c r="E491" s="576" t="str">
        <f t="shared" si="1118"/>
        <v/>
      </c>
      <c r="F491" s="707"/>
      <c r="G491" s="406" t="s">
        <v>3054</v>
      </c>
      <c r="H491" s="1262" t="s">
        <v>3055</v>
      </c>
      <c r="I491" s="85">
        <v>0</v>
      </c>
      <c r="J491" s="682">
        <v>1</v>
      </c>
      <c r="K491" s="579" t="str">
        <f t="shared" si="1092"/>
        <v/>
      </c>
      <c r="L491" s="580" t="str">
        <f>IF(H491="Select ingredient:","",IF(G491="","",_xlfn.IFNA(VLOOKUP($H491,Ingredient_prices!$E:$U,16,FALSE),0)))</f>
        <v/>
      </c>
      <c r="M491" s="850"/>
      <c r="N491" s="850"/>
      <c r="O491" s="666"/>
      <c r="P491" s="674"/>
      <c r="Q491" s="583">
        <f t="shared" si="1093"/>
        <v>0</v>
      </c>
      <c r="R491" s="583">
        <f>VLOOKUP($H491,'CO2_emission+%_food_waste'!$A:$K,6,FALSE)*$Q491/100</f>
        <v>0</v>
      </c>
      <c r="S491" s="583">
        <f t="shared" si="1094"/>
        <v>0</v>
      </c>
      <c r="T491" s="583" t="str">
        <f>IF(H491="Select ingredient:","",IF(G491="Select food category:","",_xlfn.IFNA(VLOOKUP($H491,Ingredient_prices!$E:$U,16,FALSE)*$Q491/1000,"not bought")))</f>
        <v/>
      </c>
      <c r="U491" s="583" t="str">
        <f>IF(G491="Select food category:","",_xlfn.IFNA(VLOOKUP($H491,Ingredient_prices!$E:$U,16,FALSE)*$R491/1000,"not bought"))</f>
        <v/>
      </c>
      <c r="V491" s="549">
        <f>VLOOKUP($H491,'CO2_emission+%_food_waste'!$A:$K,4,FALSE)*$Q491</f>
        <v>0</v>
      </c>
      <c r="W491" s="583">
        <f>VLOOKUP($H491,Nutrition_tables!$A:$N,10,FALSE)*$Q491/100</f>
        <v>0</v>
      </c>
      <c r="X491" s="583">
        <f>VLOOKUP($H491,Nutrition_tables!$A:$N,11,FALSE)*$Q491/100</f>
        <v>0</v>
      </c>
      <c r="Y491" s="583">
        <f>VLOOKUP($H491,Nutrition_tables!$A:$N,12,FALSE)*$Q491/100</f>
        <v>0</v>
      </c>
      <c r="Z491" s="583">
        <f>VLOOKUP($H491,Nutrition_tables!$A:$N,14,FALSE)*$Q491/100</f>
        <v>0</v>
      </c>
      <c r="AA491" s="583">
        <f>VLOOKUP($H491,Nutrition_tables!$A:$AF,13,FALSE)*$Q491/100</f>
        <v>0</v>
      </c>
      <c r="AB491" s="549">
        <f>VLOOKUP($H491,Nutrition_tables!$A:$AF,15,FALSE)*$Q491/100</f>
        <v>0</v>
      </c>
      <c r="AC491" s="583">
        <f>VLOOKUP($H491,Nutrition_tables!$A:$AF,16,FALSE)*$Q491/100</f>
        <v>0</v>
      </c>
      <c r="AD491" s="583">
        <f>VLOOKUP($H491,Nutrition_tables!$A:$AF,17,FALSE)*$Q491/100</f>
        <v>0</v>
      </c>
      <c r="AE491" s="583">
        <f>VLOOKUP($H491,Nutrition_tables!$A:$AF,18,FALSE)*$Q491/100</f>
        <v>0</v>
      </c>
      <c r="AF491" s="583">
        <f>VLOOKUP($H491,Nutrition_tables!$A:$AF,19,FALSE)*$Q491/100</f>
        <v>0</v>
      </c>
      <c r="AG491" s="583">
        <f>VLOOKUP($H491,Nutrition_tables!$A:$AF,20,FALSE)*$Q491/100</f>
        <v>0</v>
      </c>
      <c r="AH491" s="583">
        <f>VLOOKUP($H491,Nutrition_tables!$A:$AF,21,FALSE)*$Q491/100</f>
        <v>0</v>
      </c>
      <c r="AI491" s="583">
        <f>VLOOKUP($H491,Nutrition_tables!$A:$AF,22,FALSE)*$Q491/100</f>
        <v>0</v>
      </c>
      <c r="AJ491" s="549">
        <f>VLOOKUP($H491,Nutrition_tables!$A:$AF,23,FALSE)*$Q491/100</f>
        <v>0</v>
      </c>
      <c r="AK491" s="583">
        <f>VLOOKUP($H491,Nutrition_tables!$A:$AF,24,FALSE)*$Q491/100</f>
        <v>0</v>
      </c>
      <c r="AL491" s="583">
        <f>VLOOKUP($H491,Nutrition_tables!$A:$AF,25,FALSE)*$Q491/100</f>
        <v>0</v>
      </c>
      <c r="AM491" s="583">
        <f>VLOOKUP($H491,Nutrition_tables!$A:$AF,26,FALSE)*$Q491/100</f>
        <v>0</v>
      </c>
      <c r="AN491" s="583">
        <f>VLOOKUP($H491,Nutrition_tables!$A:$AF,27,FALSE)*$Q491/100</f>
        <v>0</v>
      </c>
      <c r="AO491" s="583">
        <f>VLOOKUP($H491,Nutrition_tables!$A:$AF,28,FALSE)*$Q491/100</f>
        <v>0</v>
      </c>
      <c r="AP491" s="583">
        <f>VLOOKUP($H491,Nutrition_tables!$A:$AF,29,FALSE)*$Q491/100</f>
        <v>0</v>
      </c>
      <c r="AQ491" s="583">
        <f>VLOOKUP($H491,Nutrition_tables!$A:$AF,30,FALSE)*$Q491/100</f>
        <v>0</v>
      </c>
      <c r="AR491" s="583">
        <f>VLOOKUP($H491,Nutrition_tables!$A:$AF,31,FALSE)*$Q491/100</f>
        <v>0</v>
      </c>
      <c r="AS491" s="549">
        <f>VLOOKUP($H491,Nutrition_tables!$A:$AF,32,FALSE)*$Q491/100</f>
        <v>0</v>
      </c>
      <c r="AT491" s="583" t="str">
        <f>IF(H491="Select ingredient:","",IF(G491="Select food category:","",IFERROR(VLOOKUP($H491,Ingredient_prices!$E:$W,17,FALSE)*$Q491/1000,"not bought")))</f>
        <v/>
      </c>
      <c r="AU491" s="583" t="str">
        <f>IF(H491="Select ingredient:","",IF(G491="Select food category:","",IFERROR(VLOOKUP($H491,Ingredient_prices!$E:$W,18,FALSE)*$Q491/1000,"not bought")))</f>
        <v/>
      </c>
      <c r="AV491" s="583">
        <f t="shared" si="1095"/>
        <v>0</v>
      </c>
      <c r="AW491" s="583">
        <f t="shared" si="1096"/>
        <v>0</v>
      </c>
      <c r="AX491" s="583">
        <f t="shared" si="1097"/>
        <v>0</v>
      </c>
      <c r="AY491" s="583">
        <f t="shared" si="1098"/>
        <v>0</v>
      </c>
      <c r="AZ491" s="583">
        <f t="shared" si="1099"/>
        <v>0</v>
      </c>
      <c r="BA491" s="583">
        <f t="shared" si="1100"/>
        <v>0</v>
      </c>
      <c r="BB491" s="583">
        <f t="shared" si="1101"/>
        <v>0</v>
      </c>
      <c r="BC491" s="583">
        <f t="shared" si="1102"/>
        <v>0</v>
      </c>
      <c r="BD491" s="583">
        <f t="shared" si="1103"/>
        <v>0</v>
      </c>
      <c r="BE491" s="583">
        <f t="shared" si="1104"/>
        <v>0</v>
      </c>
      <c r="BF491" s="583">
        <f t="shared" si="1105"/>
        <v>0</v>
      </c>
      <c r="BG491" s="583">
        <f t="shared" si="1106"/>
        <v>0</v>
      </c>
      <c r="BH491" s="583">
        <f t="shared" si="1107"/>
        <v>0</v>
      </c>
      <c r="BI491" s="583">
        <f t="shared" si="1108"/>
        <v>0</v>
      </c>
      <c r="BJ491" s="583">
        <f t="shared" si="1109"/>
        <v>0</v>
      </c>
      <c r="BK491" s="583">
        <f t="shared" si="1110"/>
        <v>0</v>
      </c>
      <c r="BL491" s="583">
        <f t="shared" si="1111"/>
        <v>0</v>
      </c>
      <c r="BM491" s="583">
        <f t="shared" si="1112"/>
        <v>0</v>
      </c>
      <c r="BN491" s="583">
        <f t="shared" si="1113"/>
        <v>0</v>
      </c>
      <c r="BO491" s="583">
        <f t="shared" si="1114"/>
        <v>0</v>
      </c>
      <c r="BP491" s="583">
        <f t="shared" si="1115"/>
        <v>0</v>
      </c>
      <c r="BQ491" s="583">
        <f t="shared" si="1116"/>
        <v>0</v>
      </c>
      <c r="BR491" s="583">
        <f t="shared" si="1117"/>
        <v>0</v>
      </c>
    </row>
    <row r="492" spans="1:70" s="229" customFormat="1" ht="15" customHeight="1">
      <c r="A492" s="504"/>
      <c r="D492" s="85"/>
      <c r="E492" s="576" t="str">
        <f t="shared" si="1118"/>
        <v/>
      </c>
      <c r="F492" s="707"/>
      <c r="G492" s="406" t="s">
        <v>3054</v>
      </c>
      <c r="H492" s="1262" t="s">
        <v>3055</v>
      </c>
      <c r="I492" s="85">
        <v>0</v>
      </c>
      <c r="J492" s="682">
        <v>1</v>
      </c>
      <c r="K492" s="579" t="str">
        <f t="shared" si="1092"/>
        <v/>
      </c>
      <c r="L492" s="580" t="str">
        <f>IF(H492="Select ingredient:","",IF(G492="","",_xlfn.IFNA(VLOOKUP($H492,Ingredient_prices!$E:$U,16,FALSE),0)))</f>
        <v/>
      </c>
      <c r="M492" s="850"/>
      <c r="N492" s="850"/>
      <c r="O492" s="666"/>
      <c r="P492" s="674"/>
      <c r="Q492" s="583">
        <f t="shared" si="1093"/>
        <v>0</v>
      </c>
      <c r="R492" s="583">
        <f>VLOOKUP($H492,'CO2_emission+%_food_waste'!$A:$K,6,FALSE)*$Q492/100</f>
        <v>0</v>
      </c>
      <c r="S492" s="583">
        <f t="shared" si="1094"/>
        <v>0</v>
      </c>
      <c r="T492" s="583" t="str">
        <f>IF(H492="Select ingredient:","",IF(G492="Select food category:","",_xlfn.IFNA(VLOOKUP($H492,Ingredient_prices!$E:$U,16,FALSE)*$Q492/1000,"not bought")))</f>
        <v/>
      </c>
      <c r="U492" s="583" t="str">
        <f>IF(G492="Select food category:","",_xlfn.IFNA(VLOOKUP($H492,Ingredient_prices!$E:$U,16,FALSE)*$R492/1000,"not bought"))</f>
        <v/>
      </c>
      <c r="V492" s="549">
        <f>VLOOKUP($H492,'CO2_emission+%_food_waste'!$A:$K,4,FALSE)*$Q492</f>
        <v>0</v>
      </c>
      <c r="W492" s="583">
        <f>VLOOKUP($H492,Nutrition_tables!$A:$N,10,FALSE)*$Q492/100</f>
        <v>0</v>
      </c>
      <c r="X492" s="583">
        <f>VLOOKUP($H492,Nutrition_tables!$A:$N,11,FALSE)*$Q492/100</f>
        <v>0</v>
      </c>
      <c r="Y492" s="583">
        <f>VLOOKUP($H492,Nutrition_tables!$A:$N,12,FALSE)*$Q492/100</f>
        <v>0</v>
      </c>
      <c r="Z492" s="583">
        <f>VLOOKUP($H492,Nutrition_tables!$A:$N,14,FALSE)*$Q492/100</f>
        <v>0</v>
      </c>
      <c r="AA492" s="583">
        <f>VLOOKUP($H492,Nutrition_tables!$A:$AF,13,FALSE)*$Q492/100</f>
        <v>0</v>
      </c>
      <c r="AB492" s="549">
        <f>VLOOKUP($H492,Nutrition_tables!$A:$AF,15,FALSE)*$Q492/100</f>
        <v>0</v>
      </c>
      <c r="AC492" s="583">
        <f>VLOOKUP($H492,Nutrition_tables!$A:$AF,16,FALSE)*$Q492/100</f>
        <v>0</v>
      </c>
      <c r="AD492" s="583">
        <f>VLOOKUP($H492,Nutrition_tables!$A:$AF,17,FALSE)*$Q492/100</f>
        <v>0</v>
      </c>
      <c r="AE492" s="583">
        <f>VLOOKUP($H492,Nutrition_tables!$A:$AF,18,FALSE)*$Q492/100</f>
        <v>0</v>
      </c>
      <c r="AF492" s="583">
        <f>VLOOKUP($H492,Nutrition_tables!$A:$AF,19,FALSE)*$Q492/100</f>
        <v>0</v>
      </c>
      <c r="AG492" s="583">
        <f>VLOOKUP($H492,Nutrition_tables!$A:$AF,20,FALSE)*$Q492/100</f>
        <v>0</v>
      </c>
      <c r="AH492" s="583">
        <f>VLOOKUP($H492,Nutrition_tables!$A:$AF,21,FALSE)*$Q492/100</f>
        <v>0</v>
      </c>
      <c r="AI492" s="583">
        <f>VLOOKUP($H492,Nutrition_tables!$A:$AF,22,FALSE)*$Q492/100</f>
        <v>0</v>
      </c>
      <c r="AJ492" s="549">
        <f>VLOOKUP($H492,Nutrition_tables!$A:$AF,23,FALSE)*$Q492/100</f>
        <v>0</v>
      </c>
      <c r="AK492" s="583">
        <f>VLOOKUP($H492,Nutrition_tables!$A:$AF,24,FALSE)*$Q492/100</f>
        <v>0</v>
      </c>
      <c r="AL492" s="583">
        <f>VLOOKUP($H492,Nutrition_tables!$A:$AF,25,FALSE)*$Q492/100</f>
        <v>0</v>
      </c>
      <c r="AM492" s="583">
        <f>VLOOKUP($H492,Nutrition_tables!$A:$AF,26,FALSE)*$Q492/100</f>
        <v>0</v>
      </c>
      <c r="AN492" s="583">
        <f>VLOOKUP($H492,Nutrition_tables!$A:$AF,27,FALSE)*$Q492/100</f>
        <v>0</v>
      </c>
      <c r="AO492" s="583">
        <f>VLOOKUP($H492,Nutrition_tables!$A:$AF,28,FALSE)*$Q492/100</f>
        <v>0</v>
      </c>
      <c r="AP492" s="583">
        <f>VLOOKUP($H492,Nutrition_tables!$A:$AF,29,FALSE)*$Q492/100</f>
        <v>0</v>
      </c>
      <c r="AQ492" s="583">
        <f>VLOOKUP($H492,Nutrition_tables!$A:$AF,30,FALSE)*$Q492/100</f>
        <v>0</v>
      </c>
      <c r="AR492" s="583">
        <f>VLOOKUP($H492,Nutrition_tables!$A:$AF,31,FALSE)*$Q492/100</f>
        <v>0</v>
      </c>
      <c r="AS492" s="549">
        <f>VLOOKUP($H492,Nutrition_tables!$A:$AF,32,FALSE)*$Q492/100</f>
        <v>0</v>
      </c>
      <c r="AT492" s="583" t="str">
        <f>IF(H492="Select ingredient:","",IF(G492="Select food category:","",IFERROR(VLOOKUP($H492,Ingredient_prices!$E:$W,17,FALSE)*$Q492/1000,"not bought")))</f>
        <v/>
      </c>
      <c r="AU492" s="583" t="str">
        <f>IF(H492="Select ingredient:","",IF(G492="Select food category:","",IFERROR(VLOOKUP($H492,Ingredient_prices!$E:$W,18,FALSE)*$Q492/1000,"not bought")))</f>
        <v/>
      </c>
      <c r="AV492" s="583">
        <f t="shared" si="1095"/>
        <v>0</v>
      </c>
      <c r="AW492" s="583">
        <f t="shared" si="1096"/>
        <v>0</v>
      </c>
      <c r="AX492" s="583">
        <f t="shared" si="1097"/>
        <v>0</v>
      </c>
      <c r="AY492" s="583">
        <f t="shared" si="1098"/>
        <v>0</v>
      </c>
      <c r="AZ492" s="583">
        <f t="shared" si="1099"/>
        <v>0</v>
      </c>
      <c r="BA492" s="583">
        <f t="shared" si="1100"/>
        <v>0</v>
      </c>
      <c r="BB492" s="583">
        <f t="shared" si="1101"/>
        <v>0</v>
      </c>
      <c r="BC492" s="583">
        <f t="shared" si="1102"/>
        <v>0</v>
      </c>
      <c r="BD492" s="583">
        <f t="shared" si="1103"/>
        <v>0</v>
      </c>
      <c r="BE492" s="583">
        <f t="shared" si="1104"/>
        <v>0</v>
      </c>
      <c r="BF492" s="583">
        <f t="shared" si="1105"/>
        <v>0</v>
      </c>
      <c r="BG492" s="583">
        <f t="shared" si="1106"/>
        <v>0</v>
      </c>
      <c r="BH492" s="583">
        <f t="shared" si="1107"/>
        <v>0</v>
      </c>
      <c r="BI492" s="583">
        <f t="shared" si="1108"/>
        <v>0</v>
      </c>
      <c r="BJ492" s="583">
        <f t="shared" si="1109"/>
        <v>0</v>
      </c>
      <c r="BK492" s="583">
        <f t="shared" si="1110"/>
        <v>0</v>
      </c>
      <c r="BL492" s="583">
        <f t="shared" si="1111"/>
        <v>0</v>
      </c>
      <c r="BM492" s="583">
        <f t="shared" si="1112"/>
        <v>0</v>
      </c>
      <c r="BN492" s="583">
        <f t="shared" si="1113"/>
        <v>0</v>
      </c>
      <c r="BO492" s="583">
        <f t="shared" si="1114"/>
        <v>0</v>
      </c>
      <c r="BP492" s="583">
        <f t="shared" si="1115"/>
        <v>0</v>
      </c>
      <c r="BQ492" s="583">
        <f t="shared" si="1116"/>
        <v>0</v>
      </c>
      <c r="BR492" s="583">
        <f t="shared" si="1117"/>
        <v>0</v>
      </c>
    </row>
    <row r="493" spans="1:70" s="229" customFormat="1" ht="15" customHeight="1">
      <c r="A493" s="504"/>
      <c r="D493" s="85"/>
      <c r="E493" s="576" t="str">
        <f t="shared" si="1118"/>
        <v/>
      </c>
      <c r="F493" s="707"/>
      <c r="G493" s="406" t="s">
        <v>3054</v>
      </c>
      <c r="H493" s="1262" t="s">
        <v>3055</v>
      </c>
      <c r="I493" s="85">
        <v>0</v>
      </c>
      <c r="J493" s="682">
        <v>1</v>
      </c>
      <c r="K493" s="579" t="str">
        <f t="shared" si="1092"/>
        <v/>
      </c>
      <c r="L493" s="580" t="str">
        <f>IF(H493="Select ingredient:","",IF(G493="","",_xlfn.IFNA(VLOOKUP($H493,Ingredient_prices!$E:$U,16,FALSE),0)))</f>
        <v/>
      </c>
      <c r="M493" s="850"/>
      <c r="N493" s="850"/>
      <c r="O493" s="666"/>
      <c r="P493" s="674"/>
      <c r="Q493" s="583">
        <f t="shared" si="1093"/>
        <v>0</v>
      </c>
      <c r="R493" s="583">
        <f>VLOOKUP($H493,'CO2_emission+%_food_waste'!$A:$K,6,FALSE)*$Q493/100</f>
        <v>0</v>
      </c>
      <c r="S493" s="583">
        <f t="shared" si="1094"/>
        <v>0</v>
      </c>
      <c r="T493" s="583" t="str">
        <f>IF(H493="Select ingredient:","",IF(G493="Select food category:","",_xlfn.IFNA(VLOOKUP($H493,Ingredient_prices!$E:$U,16,FALSE)*$Q493/1000,"not bought")))</f>
        <v/>
      </c>
      <c r="U493" s="583" t="str">
        <f>IF(G493="Select food category:","",_xlfn.IFNA(VLOOKUP($H493,Ingredient_prices!$E:$U,16,FALSE)*$R493/1000,"not bought"))</f>
        <v/>
      </c>
      <c r="V493" s="549">
        <f>VLOOKUP($H493,'CO2_emission+%_food_waste'!$A:$K,4,FALSE)*$Q493</f>
        <v>0</v>
      </c>
      <c r="W493" s="583">
        <f>VLOOKUP($H493,Nutrition_tables!$A:$N,10,FALSE)*$Q493/100</f>
        <v>0</v>
      </c>
      <c r="X493" s="583">
        <f>VLOOKUP($H493,Nutrition_tables!$A:$N,11,FALSE)*$Q493/100</f>
        <v>0</v>
      </c>
      <c r="Y493" s="583">
        <f>VLOOKUP($H493,Nutrition_tables!$A:$N,12,FALSE)*$Q493/100</f>
        <v>0</v>
      </c>
      <c r="Z493" s="583">
        <f>VLOOKUP($H493,Nutrition_tables!$A:$N,14,FALSE)*$Q493/100</f>
        <v>0</v>
      </c>
      <c r="AA493" s="583">
        <f>VLOOKUP($H493,Nutrition_tables!$A:$AF,13,FALSE)*$Q493/100</f>
        <v>0</v>
      </c>
      <c r="AB493" s="549">
        <f>VLOOKUP($H493,Nutrition_tables!$A:$AF,15,FALSE)*$Q493/100</f>
        <v>0</v>
      </c>
      <c r="AC493" s="583">
        <f>VLOOKUP($H493,Nutrition_tables!$A:$AF,16,FALSE)*$Q493/100</f>
        <v>0</v>
      </c>
      <c r="AD493" s="583">
        <f>VLOOKUP($H493,Nutrition_tables!$A:$AF,17,FALSE)*$Q493/100</f>
        <v>0</v>
      </c>
      <c r="AE493" s="583">
        <f>VLOOKUP($H493,Nutrition_tables!$A:$AF,18,FALSE)*$Q493/100</f>
        <v>0</v>
      </c>
      <c r="AF493" s="583">
        <f>VLOOKUP($H493,Nutrition_tables!$A:$AF,19,FALSE)*$Q493/100</f>
        <v>0</v>
      </c>
      <c r="AG493" s="583">
        <f>VLOOKUP($H493,Nutrition_tables!$A:$AF,20,FALSE)*$Q493/100</f>
        <v>0</v>
      </c>
      <c r="AH493" s="583">
        <f>VLOOKUP($H493,Nutrition_tables!$A:$AF,21,FALSE)*$Q493/100</f>
        <v>0</v>
      </c>
      <c r="AI493" s="583">
        <f>VLOOKUP($H493,Nutrition_tables!$A:$AF,22,FALSE)*$Q493/100</f>
        <v>0</v>
      </c>
      <c r="AJ493" s="549">
        <f>VLOOKUP($H493,Nutrition_tables!$A:$AF,23,FALSE)*$Q493/100</f>
        <v>0</v>
      </c>
      <c r="AK493" s="583">
        <f>VLOOKUP($H493,Nutrition_tables!$A:$AF,24,FALSE)*$Q493/100</f>
        <v>0</v>
      </c>
      <c r="AL493" s="583">
        <f>VLOOKUP($H493,Nutrition_tables!$A:$AF,25,FALSE)*$Q493/100</f>
        <v>0</v>
      </c>
      <c r="AM493" s="583">
        <f>VLOOKUP($H493,Nutrition_tables!$A:$AF,26,FALSE)*$Q493/100</f>
        <v>0</v>
      </c>
      <c r="AN493" s="583">
        <f>VLOOKUP($H493,Nutrition_tables!$A:$AF,27,FALSE)*$Q493/100</f>
        <v>0</v>
      </c>
      <c r="AO493" s="583">
        <f>VLOOKUP($H493,Nutrition_tables!$A:$AF,28,FALSE)*$Q493/100</f>
        <v>0</v>
      </c>
      <c r="AP493" s="583">
        <f>VLOOKUP($H493,Nutrition_tables!$A:$AF,29,FALSE)*$Q493/100</f>
        <v>0</v>
      </c>
      <c r="AQ493" s="583">
        <f>VLOOKUP($H493,Nutrition_tables!$A:$AF,30,FALSE)*$Q493/100</f>
        <v>0</v>
      </c>
      <c r="AR493" s="583">
        <f>VLOOKUP($H493,Nutrition_tables!$A:$AF,31,FALSE)*$Q493/100</f>
        <v>0</v>
      </c>
      <c r="AS493" s="549">
        <f>VLOOKUP($H493,Nutrition_tables!$A:$AF,32,FALSE)*$Q493/100</f>
        <v>0</v>
      </c>
      <c r="AT493" s="583" t="str">
        <f>IF(H493="Select ingredient:","",IF(G493="Select food category:","",IFERROR(VLOOKUP($H493,Ingredient_prices!$E:$W,17,FALSE)*$Q493/1000,"not bought")))</f>
        <v/>
      </c>
      <c r="AU493" s="583" t="str">
        <f>IF(H493="Select ingredient:","",IF(G493="Select food category:","",IFERROR(VLOOKUP($H493,Ingredient_prices!$E:$W,18,FALSE)*$Q493/1000,"not bought")))</f>
        <v/>
      </c>
      <c r="AV493" s="583">
        <f t="shared" si="1095"/>
        <v>0</v>
      </c>
      <c r="AW493" s="583">
        <f t="shared" si="1096"/>
        <v>0</v>
      </c>
      <c r="AX493" s="583">
        <f t="shared" si="1097"/>
        <v>0</v>
      </c>
      <c r="AY493" s="583">
        <f t="shared" si="1098"/>
        <v>0</v>
      </c>
      <c r="AZ493" s="583">
        <f t="shared" si="1099"/>
        <v>0</v>
      </c>
      <c r="BA493" s="583">
        <f t="shared" si="1100"/>
        <v>0</v>
      </c>
      <c r="BB493" s="583">
        <f t="shared" si="1101"/>
        <v>0</v>
      </c>
      <c r="BC493" s="583">
        <f t="shared" si="1102"/>
        <v>0</v>
      </c>
      <c r="BD493" s="583">
        <f t="shared" si="1103"/>
        <v>0</v>
      </c>
      <c r="BE493" s="583">
        <f t="shared" si="1104"/>
        <v>0</v>
      </c>
      <c r="BF493" s="583">
        <f t="shared" si="1105"/>
        <v>0</v>
      </c>
      <c r="BG493" s="583">
        <f t="shared" si="1106"/>
        <v>0</v>
      </c>
      <c r="BH493" s="583">
        <f t="shared" si="1107"/>
        <v>0</v>
      </c>
      <c r="BI493" s="583">
        <f t="shared" si="1108"/>
        <v>0</v>
      </c>
      <c r="BJ493" s="583">
        <f t="shared" si="1109"/>
        <v>0</v>
      </c>
      <c r="BK493" s="583">
        <f t="shared" si="1110"/>
        <v>0</v>
      </c>
      <c r="BL493" s="583">
        <f t="shared" si="1111"/>
        <v>0</v>
      </c>
      <c r="BM493" s="583">
        <f t="shared" si="1112"/>
        <v>0</v>
      </c>
      <c r="BN493" s="583">
        <f t="shared" si="1113"/>
        <v>0</v>
      </c>
      <c r="BO493" s="583">
        <f t="shared" si="1114"/>
        <v>0</v>
      </c>
      <c r="BP493" s="583">
        <f t="shared" si="1115"/>
        <v>0</v>
      </c>
      <c r="BQ493" s="583">
        <f t="shared" si="1116"/>
        <v>0</v>
      </c>
      <c r="BR493" s="583">
        <f t="shared" si="1117"/>
        <v>0</v>
      </c>
    </row>
    <row r="494" spans="1:70" s="229" customFormat="1" ht="15" customHeight="1">
      <c r="A494" s="504"/>
      <c r="D494" s="85"/>
      <c r="E494" s="576" t="str">
        <f t="shared" si="1118"/>
        <v/>
      </c>
      <c r="F494" s="707"/>
      <c r="G494" s="406" t="s">
        <v>3054</v>
      </c>
      <c r="H494" s="1262" t="s">
        <v>3055</v>
      </c>
      <c r="I494" s="85">
        <v>0</v>
      </c>
      <c r="J494" s="682">
        <v>1</v>
      </c>
      <c r="K494" s="579" t="str">
        <f t="shared" si="1092"/>
        <v/>
      </c>
      <c r="L494" s="580" t="str">
        <f>IF(H494="Select ingredient:","",IF(G494="","",_xlfn.IFNA(VLOOKUP($H494,Ingredient_prices!$E:$U,16,FALSE),0)))</f>
        <v/>
      </c>
      <c r="M494" s="850"/>
      <c r="N494" s="850"/>
      <c r="O494" s="666"/>
      <c r="P494" s="674"/>
      <c r="Q494" s="583">
        <f t="shared" si="1093"/>
        <v>0</v>
      </c>
      <c r="R494" s="583">
        <f>VLOOKUP($H494,'CO2_emission+%_food_waste'!$A:$K,6,FALSE)*$Q494/100</f>
        <v>0</v>
      </c>
      <c r="S494" s="583">
        <f t="shared" si="1094"/>
        <v>0</v>
      </c>
      <c r="T494" s="583" t="str">
        <f>IF(H494="Select ingredient:","",IF(G494="Select food category:","",_xlfn.IFNA(VLOOKUP($H494,Ingredient_prices!$E:$U,16,FALSE)*$Q494/1000,"not bought")))</f>
        <v/>
      </c>
      <c r="U494" s="583" t="str">
        <f>IF(G494="Select food category:","",_xlfn.IFNA(VLOOKUP($H494,Ingredient_prices!$E:$U,16,FALSE)*$R494/1000,"not bought"))</f>
        <v/>
      </c>
      <c r="V494" s="549">
        <f>VLOOKUP($H494,'CO2_emission+%_food_waste'!$A:$K,4,FALSE)*$Q494</f>
        <v>0</v>
      </c>
      <c r="W494" s="583">
        <f>VLOOKUP($H494,Nutrition_tables!$A:$N,10,FALSE)*$Q494/100</f>
        <v>0</v>
      </c>
      <c r="X494" s="583">
        <f>VLOOKUP($H494,Nutrition_tables!$A:$N,11,FALSE)*$Q494/100</f>
        <v>0</v>
      </c>
      <c r="Y494" s="583">
        <f>VLOOKUP($H494,Nutrition_tables!$A:$N,12,FALSE)*$Q494/100</f>
        <v>0</v>
      </c>
      <c r="Z494" s="583">
        <f>VLOOKUP($H494,Nutrition_tables!$A:$N,14,FALSE)*$Q494/100</f>
        <v>0</v>
      </c>
      <c r="AA494" s="583">
        <f>VLOOKUP($H494,Nutrition_tables!$A:$AF,13,FALSE)*$Q494/100</f>
        <v>0</v>
      </c>
      <c r="AB494" s="549">
        <f>VLOOKUP($H494,Nutrition_tables!$A:$AF,15,FALSE)*$Q494/100</f>
        <v>0</v>
      </c>
      <c r="AC494" s="583">
        <f>VLOOKUP($H494,Nutrition_tables!$A:$AF,16,FALSE)*$Q494/100</f>
        <v>0</v>
      </c>
      <c r="AD494" s="583">
        <f>VLOOKUP($H494,Nutrition_tables!$A:$AF,17,FALSE)*$Q494/100</f>
        <v>0</v>
      </c>
      <c r="AE494" s="583">
        <f>VLOOKUP($H494,Nutrition_tables!$A:$AF,18,FALSE)*$Q494/100</f>
        <v>0</v>
      </c>
      <c r="AF494" s="583">
        <f>VLOOKUP($H494,Nutrition_tables!$A:$AF,19,FALSE)*$Q494/100</f>
        <v>0</v>
      </c>
      <c r="AG494" s="583">
        <f>VLOOKUP($H494,Nutrition_tables!$A:$AF,20,FALSE)*$Q494/100</f>
        <v>0</v>
      </c>
      <c r="AH494" s="583">
        <f>VLOOKUP($H494,Nutrition_tables!$A:$AF,21,FALSE)*$Q494/100</f>
        <v>0</v>
      </c>
      <c r="AI494" s="583">
        <f>VLOOKUP($H494,Nutrition_tables!$A:$AF,22,FALSE)*$Q494/100</f>
        <v>0</v>
      </c>
      <c r="AJ494" s="549">
        <f>VLOOKUP($H494,Nutrition_tables!$A:$AF,23,FALSE)*$Q494/100</f>
        <v>0</v>
      </c>
      <c r="AK494" s="583">
        <f>VLOOKUP($H494,Nutrition_tables!$A:$AF,24,FALSE)*$Q494/100</f>
        <v>0</v>
      </c>
      <c r="AL494" s="583">
        <f>VLOOKUP($H494,Nutrition_tables!$A:$AF,25,FALSE)*$Q494/100</f>
        <v>0</v>
      </c>
      <c r="AM494" s="583">
        <f>VLOOKUP($H494,Nutrition_tables!$A:$AF,26,FALSE)*$Q494/100</f>
        <v>0</v>
      </c>
      <c r="AN494" s="583">
        <f>VLOOKUP($H494,Nutrition_tables!$A:$AF,27,FALSE)*$Q494/100</f>
        <v>0</v>
      </c>
      <c r="AO494" s="583">
        <f>VLOOKUP($H494,Nutrition_tables!$A:$AF,28,FALSE)*$Q494/100</f>
        <v>0</v>
      </c>
      <c r="AP494" s="583">
        <f>VLOOKUP($H494,Nutrition_tables!$A:$AF,29,FALSE)*$Q494/100</f>
        <v>0</v>
      </c>
      <c r="AQ494" s="583">
        <f>VLOOKUP($H494,Nutrition_tables!$A:$AF,30,FALSE)*$Q494/100</f>
        <v>0</v>
      </c>
      <c r="AR494" s="583">
        <f>VLOOKUP($H494,Nutrition_tables!$A:$AF,31,FALSE)*$Q494/100</f>
        <v>0</v>
      </c>
      <c r="AS494" s="549">
        <f>VLOOKUP($H494,Nutrition_tables!$A:$AF,32,FALSE)*$Q494/100</f>
        <v>0</v>
      </c>
      <c r="AT494" s="583" t="str">
        <f>IF(H494="Select ingredient:","",IF(G494="Select food category:","",IFERROR(VLOOKUP($H494,Ingredient_prices!$E:$W,17,FALSE)*$Q494/1000,"not bought")))</f>
        <v/>
      </c>
      <c r="AU494" s="583" t="str">
        <f>IF(H494="Select ingredient:","",IF(G494="Select food category:","",IFERROR(VLOOKUP($H494,Ingredient_prices!$E:$W,18,FALSE)*$Q494/1000,"not bought")))</f>
        <v/>
      </c>
      <c r="AV494" s="583">
        <f t="shared" si="1095"/>
        <v>0</v>
      </c>
      <c r="AW494" s="583">
        <f t="shared" si="1096"/>
        <v>0</v>
      </c>
      <c r="AX494" s="583">
        <f t="shared" si="1097"/>
        <v>0</v>
      </c>
      <c r="AY494" s="583">
        <f t="shared" si="1098"/>
        <v>0</v>
      </c>
      <c r="AZ494" s="583">
        <f t="shared" si="1099"/>
        <v>0</v>
      </c>
      <c r="BA494" s="583">
        <f t="shared" si="1100"/>
        <v>0</v>
      </c>
      <c r="BB494" s="583">
        <f t="shared" si="1101"/>
        <v>0</v>
      </c>
      <c r="BC494" s="583">
        <f t="shared" si="1102"/>
        <v>0</v>
      </c>
      <c r="BD494" s="583">
        <f t="shared" si="1103"/>
        <v>0</v>
      </c>
      <c r="BE494" s="583">
        <f t="shared" si="1104"/>
        <v>0</v>
      </c>
      <c r="BF494" s="583">
        <f t="shared" si="1105"/>
        <v>0</v>
      </c>
      <c r="BG494" s="583">
        <f t="shared" si="1106"/>
        <v>0</v>
      </c>
      <c r="BH494" s="583">
        <f t="shared" si="1107"/>
        <v>0</v>
      </c>
      <c r="BI494" s="583">
        <f t="shared" si="1108"/>
        <v>0</v>
      </c>
      <c r="BJ494" s="583">
        <f t="shared" si="1109"/>
        <v>0</v>
      </c>
      <c r="BK494" s="583">
        <f t="shared" si="1110"/>
        <v>0</v>
      </c>
      <c r="BL494" s="583">
        <f t="shared" si="1111"/>
        <v>0</v>
      </c>
      <c r="BM494" s="583">
        <f t="shared" si="1112"/>
        <v>0</v>
      </c>
      <c r="BN494" s="583">
        <f t="shared" si="1113"/>
        <v>0</v>
      </c>
      <c r="BO494" s="583">
        <f t="shared" si="1114"/>
        <v>0</v>
      </c>
      <c r="BP494" s="583">
        <f t="shared" si="1115"/>
        <v>0</v>
      </c>
      <c r="BQ494" s="583">
        <f t="shared" si="1116"/>
        <v>0</v>
      </c>
      <c r="BR494" s="583">
        <f t="shared" si="1117"/>
        <v>0</v>
      </c>
    </row>
    <row r="495" spans="1:70" s="229" customFormat="1" ht="15" customHeight="1">
      <c r="A495" s="504"/>
      <c r="D495" s="85"/>
      <c r="E495" s="576" t="str">
        <f t="shared" si="1118"/>
        <v/>
      </c>
      <c r="F495" s="707"/>
      <c r="G495" s="406" t="s">
        <v>3054</v>
      </c>
      <c r="H495" s="1262" t="s">
        <v>3055</v>
      </c>
      <c r="I495" s="85">
        <v>0</v>
      </c>
      <c r="J495" s="682">
        <v>1</v>
      </c>
      <c r="K495" s="579" t="str">
        <f t="shared" si="1092"/>
        <v/>
      </c>
      <c r="L495" s="580" t="str">
        <f>IF(H495="Select ingredient:","",IF(G495="","",_xlfn.IFNA(VLOOKUP($H495,Ingredient_prices!$E:$U,16,FALSE),0)))</f>
        <v/>
      </c>
      <c r="M495" s="850"/>
      <c r="N495" s="850"/>
      <c r="O495" s="666"/>
      <c r="P495" s="674"/>
      <c r="Q495" s="583">
        <f t="shared" si="1093"/>
        <v>0</v>
      </c>
      <c r="R495" s="583">
        <f>VLOOKUP($H495,'CO2_emission+%_food_waste'!$A:$K,6,FALSE)*$Q495/100</f>
        <v>0</v>
      </c>
      <c r="S495" s="583">
        <f t="shared" si="1094"/>
        <v>0</v>
      </c>
      <c r="T495" s="583" t="str">
        <f>IF(H495="Select ingredient:","",IF(G495="Select food category:","",_xlfn.IFNA(VLOOKUP($H495,Ingredient_prices!$E:$U,16,FALSE)*$Q495/1000,"not bought")))</f>
        <v/>
      </c>
      <c r="U495" s="583" t="str">
        <f>IF(G495="Select food category:","",_xlfn.IFNA(VLOOKUP($H495,Ingredient_prices!$E:$U,16,FALSE)*$R495/1000,"not bought"))</f>
        <v/>
      </c>
      <c r="V495" s="549">
        <f>VLOOKUP($H495,'CO2_emission+%_food_waste'!$A:$K,4,FALSE)*$Q495</f>
        <v>0</v>
      </c>
      <c r="W495" s="583">
        <f>VLOOKUP($H495,Nutrition_tables!$A:$N,10,FALSE)*$Q495/100</f>
        <v>0</v>
      </c>
      <c r="X495" s="583">
        <f>VLOOKUP($H495,Nutrition_tables!$A:$N,11,FALSE)*$Q495/100</f>
        <v>0</v>
      </c>
      <c r="Y495" s="583">
        <f>VLOOKUP($H495,Nutrition_tables!$A:$N,12,FALSE)*$Q495/100</f>
        <v>0</v>
      </c>
      <c r="Z495" s="583">
        <f>VLOOKUP($H495,Nutrition_tables!$A:$N,14,FALSE)*$Q495/100</f>
        <v>0</v>
      </c>
      <c r="AA495" s="583">
        <f>VLOOKUP($H495,Nutrition_tables!$A:$AF,13,FALSE)*$Q495/100</f>
        <v>0</v>
      </c>
      <c r="AB495" s="549">
        <f>VLOOKUP($H495,Nutrition_tables!$A:$AF,15,FALSE)*$Q495/100</f>
        <v>0</v>
      </c>
      <c r="AC495" s="583">
        <f>VLOOKUP($H495,Nutrition_tables!$A:$AF,16,FALSE)*$Q495/100</f>
        <v>0</v>
      </c>
      <c r="AD495" s="583">
        <f>VLOOKUP($H495,Nutrition_tables!$A:$AF,17,FALSE)*$Q495/100</f>
        <v>0</v>
      </c>
      <c r="AE495" s="583">
        <f>VLOOKUP($H495,Nutrition_tables!$A:$AF,18,FALSE)*$Q495/100</f>
        <v>0</v>
      </c>
      <c r="AF495" s="583">
        <f>VLOOKUP($H495,Nutrition_tables!$A:$AF,19,FALSE)*$Q495/100</f>
        <v>0</v>
      </c>
      <c r="AG495" s="583">
        <f>VLOOKUP($H495,Nutrition_tables!$A:$AF,20,FALSE)*$Q495/100</f>
        <v>0</v>
      </c>
      <c r="AH495" s="583">
        <f>VLOOKUP($H495,Nutrition_tables!$A:$AF,21,FALSE)*$Q495/100</f>
        <v>0</v>
      </c>
      <c r="AI495" s="583">
        <f>VLOOKUP($H495,Nutrition_tables!$A:$AF,22,FALSE)*$Q495/100</f>
        <v>0</v>
      </c>
      <c r="AJ495" s="549">
        <f>VLOOKUP($H495,Nutrition_tables!$A:$AF,23,FALSE)*$Q495/100</f>
        <v>0</v>
      </c>
      <c r="AK495" s="583">
        <f>VLOOKUP($H495,Nutrition_tables!$A:$AF,24,FALSE)*$Q495/100</f>
        <v>0</v>
      </c>
      <c r="AL495" s="583">
        <f>VLOOKUP($H495,Nutrition_tables!$A:$AF,25,FALSE)*$Q495/100</f>
        <v>0</v>
      </c>
      <c r="AM495" s="583">
        <f>VLOOKUP($H495,Nutrition_tables!$A:$AF,26,FALSE)*$Q495/100</f>
        <v>0</v>
      </c>
      <c r="AN495" s="583">
        <f>VLOOKUP($H495,Nutrition_tables!$A:$AF,27,FALSE)*$Q495/100</f>
        <v>0</v>
      </c>
      <c r="AO495" s="583">
        <f>VLOOKUP($H495,Nutrition_tables!$A:$AF,28,FALSE)*$Q495/100</f>
        <v>0</v>
      </c>
      <c r="AP495" s="583">
        <f>VLOOKUP($H495,Nutrition_tables!$A:$AF,29,FALSE)*$Q495/100</f>
        <v>0</v>
      </c>
      <c r="AQ495" s="583">
        <f>VLOOKUP($H495,Nutrition_tables!$A:$AF,30,FALSE)*$Q495/100</f>
        <v>0</v>
      </c>
      <c r="AR495" s="583">
        <f>VLOOKUP($H495,Nutrition_tables!$A:$AF,31,FALSE)*$Q495/100</f>
        <v>0</v>
      </c>
      <c r="AS495" s="549">
        <f>VLOOKUP($H495,Nutrition_tables!$A:$AF,32,FALSE)*$Q495/100</f>
        <v>0</v>
      </c>
      <c r="AT495" s="583" t="str">
        <f>IF(H495="Select ingredient:","",IF(G495="Select food category:","",IFERROR(VLOOKUP($H495,Ingredient_prices!$E:$W,17,FALSE)*$Q495/1000,"not bought")))</f>
        <v/>
      </c>
      <c r="AU495" s="583" t="str">
        <f>IF(H495="Select ingredient:","",IF(G495="Select food category:","",IFERROR(VLOOKUP($H495,Ingredient_prices!$E:$W,18,FALSE)*$Q495/1000,"not bought")))</f>
        <v/>
      </c>
      <c r="AV495" s="583">
        <f t="shared" si="1095"/>
        <v>0</v>
      </c>
      <c r="AW495" s="583">
        <f t="shared" si="1096"/>
        <v>0</v>
      </c>
      <c r="AX495" s="583">
        <f t="shared" si="1097"/>
        <v>0</v>
      </c>
      <c r="AY495" s="583">
        <f t="shared" si="1098"/>
        <v>0</v>
      </c>
      <c r="AZ495" s="583">
        <f t="shared" si="1099"/>
        <v>0</v>
      </c>
      <c r="BA495" s="583">
        <f t="shared" si="1100"/>
        <v>0</v>
      </c>
      <c r="BB495" s="583">
        <f t="shared" si="1101"/>
        <v>0</v>
      </c>
      <c r="BC495" s="583">
        <f t="shared" si="1102"/>
        <v>0</v>
      </c>
      <c r="BD495" s="583">
        <f t="shared" si="1103"/>
        <v>0</v>
      </c>
      <c r="BE495" s="583">
        <f t="shared" si="1104"/>
        <v>0</v>
      </c>
      <c r="BF495" s="583">
        <f t="shared" si="1105"/>
        <v>0</v>
      </c>
      <c r="BG495" s="583">
        <f t="shared" si="1106"/>
        <v>0</v>
      </c>
      <c r="BH495" s="583">
        <f t="shared" si="1107"/>
        <v>0</v>
      </c>
      <c r="BI495" s="583">
        <f t="shared" si="1108"/>
        <v>0</v>
      </c>
      <c r="BJ495" s="583">
        <f t="shared" si="1109"/>
        <v>0</v>
      </c>
      <c r="BK495" s="583">
        <f t="shared" si="1110"/>
        <v>0</v>
      </c>
      <c r="BL495" s="583">
        <f t="shared" si="1111"/>
        <v>0</v>
      </c>
      <c r="BM495" s="583">
        <f t="shared" si="1112"/>
        <v>0</v>
      </c>
      <c r="BN495" s="583">
        <f t="shared" si="1113"/>
        <v>0</v>
      </c>
      <c r="BO495" s="583">
        <f t="shared" si="1114"/>
        <v>0</v>
      </c>
      <c r="BP495" s="583">
        <f t="shared" si="1115"/>
        <v>0</v>
      </c>
      <c r="BQ495" s="583">
        <f t="shared" si="1116"/>
        <v>0</v>
      </c>
      <c r="BR495" s="583">
        <f t="shared" si="1117"/>
        <v>0</v>
      </c>
    </row>
    <row r="496" spans="1:70" s="229" customFormat="1" ht="15" customHeight="1">
      <c r="A496" s="504"/>
      <c r="D496" s="85"/>
      <c r="E496" s="576" t="str">
        <f t="shared" si="1118"/>
        <v/>
      </c>
      <c r="F496" s="707"/>
      <c r="G496" s="406" t="s">
        <v>3054</v>
      </c>
      <c r="H496" s="1262" t="s">
        <v>3055</v>
      </c>
      <c r="I496" s="85">
        <v>0</v>
      </c>
      <c r="J496" s="682">
        <v>1</v>
      </c>
      <c r="K496" s="579" t="str">
        <f t="shared" si="1092"/>
        <v/>
      </c>
      <c r="L496" s="580" t="str">
        <f>IF(H496="Select ingredient:","",IF(G496="","",_xlfn.IFNA(VLOOKUP($H496,Ingredient_prices!$E:$U,16,FALSE),0)))</f>
        <v/>
      </c>
      <c r="M496" s="850"/>
      <c r="N496" s="850"/>
      <c r="O496" s="666"/>
      <c r="P496" s="674"/>
      <c r="Q496" s="583">
        <f t="shared" si="1093"/>
        <v>0</v>
      </c>
      <c r="R496" s="583">
        <f>VLOOKUP($H496,'CO2_emission+%_food_waste'!$A:$K,6,FALSE)*$Q496/100</f>
        <v>0</v>
      </c>
      <c r="S496" s="583">
        <f t="shared" si="1094"/>
        <v>0</v>
      </c>
      <c r="T496" s="583" t="str">
        <f>IF(H496="Select ingredient:","",IF(G496="Select food category:","",_xlfn.IFNA(VLOOKUP($H496,Ingredient_prices!$E:$U,16,FALSE)*$Q496/1000,"not bought")))</f>
        <v/>
      </c>
      <c r="U496" s="583" t="str">
        <f>IF(G496="Select food category:","",_xlfn.IFNA(VLOOKUP($H496,Ingredient_prices!$E:$U,16,FALSE)*$R496/1000,"not bought"))</f>
        <v/>
      </c>
      <c r="V496" s="549">
        <f>VLOOKUP($H496,'CO2_emission+%_food_waste'!$A:$K,4,FALSE)*$Q496</f>
        <v>0</v>
      </c>
      <c r="W496" s="583">
        <f>VLOOKUP($H496,Nutrition_tables!$A:$N,10,FALSE)*$Q496/100</f>
        <v>0</v>
      </c>
      <c r="X496" s="583">
        <f>VLOOKUP($H496,Nutrition_tables!$A:$N,11,FALSE)*$Q496/100</f>
        <v>0</v>
      </c>
      <c r="Y496" s="583">
        <f>VLOOKUP($H496,Nutrition_tables!$A:$N,12,FALSE)*$Q496/100</f>
        <v>0</v>
      </c>
      <c r="Z496" s="583">
        <f>VLOOKUP($H496,Nutrition_tables!$A:$N,14,FALSE)*$Q496/100</f>
        <v>0</v>
      </c>
      <c r="AA496" s="583">
        <f>VLOOKUP($H496,Nutrition_tables!$A:$AF,13,FALSE)*$Q496/100</f>
        <v>0</v>
      </c>
      <c r="AB496" s="549">
        <f>VLOOKUP($H496,Nutrition_tables!$A:$AF,15,FALSE)*$Q496/100</f>
        <v>0</v>
      </c>
      <c r="AC496" s="583">
        <f>VLOOKUP($H496,Nutrition_tables!$A:$AF,16,FALSE)*$Q496/100</f>
        <v>0</v>
      </c>
      <c r="AD496" s="583">
        <f>VLOOKUP($H496,Nutrition_tables!$A:$AF,17,FALSE)*$Q496/100</f>
        <v>0</v>
      </c>
      <c r="AE496" s="583">
        <f>VLOOKUP($H496,Nutrition_tables!$A:$AF,18,FALSE)*$Q496/100</f>
        <v>0</v>
      </c>
      <c r="AF496" s="583">
        <f>VLOOKUP($H496,Nutrition_tables!$A:$AF,19,FALSE)*$Q496/100</f>
        <v>0</v>
      </c>
      <c r="AG496" s="583">
        <f>VLOOKUP($H496,Nutrition_tables!$A:$AF,20,FALSE)*$Q496/100</f>
        <v>0</v>
      </c>
      <c r="AH496" s="583">
        <f>VLOOKUP($H496,Nutrition_tables!$A:$AF,21,FALSE)*$Q496/100</f>
        <v>0</v>
      </c>
      <c r="AI496" s="583">
        <f>VLOOKUP($H496,Nutrition_tables!$A:$AF,22,FALSE)*$Q496/100</f>
        <v>0</v>
      </c>
      <c r="AJ496" s="549">
        <f>VLOOKUP($H496,Nutrition_tables!$A:$AF,23,FALSE)*$Q496/100</f>
        <v>0</v>
      </c>
      <c r="AK496" s="583">
        <f>VLOOKUP($H496,Nutrition_tables!$A:$AF,24,FALSE)*$Q496/100</f>
        <v>0</v>
      </c>
      <c r="AL496" s="583">
        <f>VLOOKUP($H496,Nutrition_tables!$A:$AF,25,FALSE)*$Q496/100</f>
        <v>0</v>
      </c>
      <c r="AM496" s="583">
        <f>VLOOKUP($H496,Nutrition_tables!$A:$AF,26,FALSE)*$Q496/100</f>
        <v>0</v>
      </c>
      <c r="AN496" s="583">
        <f>VLOOKUP($H496,Nutrition_tables!$A:$AF,27,FALSE)*$Q496/100</f>
        <v>0</v>
      </c>
      <c r="AO496" s="583">
        <f>VLOOKUP($H496,Nutrition_tables!$A:$AF,28,FALSE)*$Q496/100</f>
        <v>0</v>
      </c>
      <c r="AP496" s="583">
        <f>VLOOKUP($H496,Nutrition_tables!$A:$AF,29,FALSE)*$Q496/100</f>
        <v>0</v>
      </c>
      <c r="AQ496" s="583">
        <f>VLOOKUP($H496,Nutrition_tables!$A:$AF,30,FALSE)*$Q496/100</f>
        <v>0</v>
      </c>
      <c r="AR496" s="583">
        <f>VLOOKUP($H496,Nutrition_tables!$A:$AF,31,FALSE)*$Q496/100</f>
        <v>0</v>
      </c>
      <c r="AS496" s="549">
        <f>VLOOKUP($H496,Nutrition_tables!$A:$AF,32,FALSE)*$Q496/100</f>
        <v>0</v>
      </c>
      <c r="AT496" s="583" t="str">
        <f>IF(H496="Select ingredient:","",IF(G496="Select food category:","",IFERROR(VLOOKUP($H496,Ingredient_prices!$E:$W,17,FALSE)*$Q496/1000,"not bought")))</f>
        <v/>
      </c>
      <c r="AU496" s="583" t="str">
        <f>IF(H496="Select ingredient:","",IF(G496="Select food category:","",IFERROR(VLOOKUP($H496,Ingredient_prices!$E:$W,18,FALSE)*$Q496/1000,"not bought")))</f>
        <v/>
      </c>
      <c r="AV496" s="583">
        <f t="shared" si="1095"/>
        <v>0</v>
      </c>
      <c r="AW496" s="583">
        <f t="shared" si="1096"/>
        <v>0</v>
      </c>
      <c r="AX496" s="583">
        <f t="shared" si="1097"/>
        <v>0</v>
      </c>
      <c r="AY496" s="583">
        <f t="shared" si="1098"/>
        <v>0</v>
      </c>
      <c r="AZ496" s="583">
        <f t="shared" si="1099"/>
        <v>0</v>
      </c>
      <c r="BA496" s="583">
        <f t="shared" si="1100"/>
        <v>0</v>
      </c>
      <c r="BB496" s="583">
        <f t="shared" si="1101"/>
        <v>0</v>
      </c>
      <c r="BC496" s="583">
        <f t="shared" si="1102"/>
        <v>0</v>
      </c>
      <c r="BD496" s="583">
        <f t="shared" si="1103"/>
        <v>0</v>
      </c>
      <c r="BE496" s="583">
        <f t="shared" si="1104"/>
        <v>0</v>
      </c>
      <c r="BF496" s="583">
        <f t="shared" si="1105"/>
        <v>0</v>
      </c>
      <c r="BG496" s="583">
        <f t="shared" si="1106"/>
        <v>0</v>
      </c>
      <c r="BH496" s="583">
        <f t="shared" si="1107"/>
        <v>0</v>
      </c>
      <c r="BI496" s="583">
        <f t="shared" si="1108"/>
        <v>0</v>
      </c>
      <c r="BJ496" s="583">
        <f t="shared" si="1109"/>
        <v>0</v>
      </c>
      <c r="BK496" s="583">
        <f t="shared" si="1110"/>
        <v>0</v>
      </c>
      <c r="BL496" s="583">
        <f t="shared" si="1111"/>
        <v>0</v>
      </c>
      <c r="BM496" s="583">
        <f t="shared" si="1112"/>
        <v>0</v>
      </c>
      <c r="BN496" s="583">
        <f t="shared" si="1113"/>
        <v>0</v>
      </c>
      <c r="BO496" s="583">
        <f t="shared" si="1114"/>
        <v>0</v>
      </c>
      <c r="BP496" s="583">
        <f t="shared" si="1115"/>
        <v>0</v>
      </c>
      <c r="BQ496" s="583">
        <f t="shared" si="1116"/>
        <v>0</v>
      </c>
      <c r="BR496" s="583">
        <f t="shared" si="1117"/>
        <v>0</v>
      </c>
    </row>
    <row r="497" spans="1:70" s="83" customFormat="1" ht="56">
      <c r="A497" s="105"/>
      <c r="B497" s="86"/>
      <c r="C497" s="92"/>
      <c r="D497" s="141"/>
      <c r="E497" s="141"/>
      <c r="F497" s="141"/>
      <c r="G497" s="92"/>
      <c r="H497" s="92"/>
      <c r="I497" s="86"/>
      <c r="J497" s="87"/>
      <c r="K497" s="87"/>
      <c r="L497" s="410"/>
      <c r="M497" s="853"/>
      <c r="N497" s="853"/>
      <c r="O497" s="415"/>
      <c r="P497" s="382"/>
      <c r="Q497" s="88" t="s">
        <v>384</v>
      </c>
      <c r="R497" s="89" t="s">
        <v>455</v>
      </c>
      <c r="S497" s="89" t="s">
        <v>2087</v>
      </c>
      <c r="T497" s="89" t="s">
        <v>456</v>
      </c>
      <c r="U497" s="148" t="s">
        <v>535</v>
      </c>
      <c r="V497" s="117" t="s">
        <v>457</v>
      </c>
      <c r="W497" s="89" t="s">
        <v>75</v>
      </c>
      <c r="X497" s="89" t="s">
        <v>385</v>
      </c>
      <c r="Y497" s="89" t="s">
        <v>386</v>
      </c>
      <c r="Z497" s="89" t="s">
        <v>387</v>
      </c>
      <c r="AA497" s="89" t="s">
        <v>388</v>
      </c>
      <c r="AB497" s="117" t="s">
        <v>389</v>
      </c>
      <c r="AC497" s="113" t="s">
        <v>390</v>
      </c>
      <c r="AD497" s="89" t="s">
        <v>391</v>
      </c>
      <c r="AE497" s="89" t="s">
        <v>392</v>
      </c>
      <c r="AF497" s="89" t="s">
        <v>393</v>
      </c>
      <c r="AG497" s="89" t="s">
        <v>394</v>
      </c>
      <c r="AH497" s="89" t="s">
        <v>395</v>
      </c>
      <c r="AI497" s="89" t="s">
        <v>396</v>
      </c>
      <c r="AJ497" s="117" t="s">
        <v>397</v>
      </c>
      <c r="AK497" s="113" t="s">
        <v>398</v>
      </c>
      <c r="AL497" s="89" t="s">
        <v>399</v>
      </c>
      <c r="AM497" s="89" t="s">
        <v>400</v>
      </c>
      <c r="AN497" s="89" t="s">
        <v>401</v>
      </c>
      <c r="AO497" s="89" t="s">
        <v>402</v>
      </c>
      <c r="AP497" s="89" t="s">
        <v>406</v>
      </c>
      <c r="AQ497" s="89" t="s">
        <v>405</v>
      </c>
      <c r="AR497" s="89" t="s">
        <v>403</v>
      </c>
      <c r="AS497" s="117" t="s">
        <v>404</v>
      </c>
      <c r="AT497" s="86"/>
      <c r="AU497" s="86"/>
    </row>
    <row r="498" spans="1:70">
      <c r="A498" s="105"/>
      <c r="B498" s="92"/>
      <c r="C498" s="92"/>
      <c r="D498" s="141"/>
      <c r="E498" s="141"/>
      <c r="F498" s="141"/>
      <c r="G498" s="90"/>
      <c r="H498" s="90"/>
      <c r="I498" s="383"/>
      <c r="J498" s="383"/>
      <c r="K498" s="383"/>
      <c r="L498" s="411"/>
      <c r="M498" s="854"/>
      <c r="N498" s="854"/>
      <c r="O498" s="415"/>
      <c r="P498" s="387" t="s">
        <v>383</v>
      </c>
      <c r="Q498" s="5">
        <f t="shared" ref="Q498:AU498" si="1119">SUM(Q485:Q496)</f>
        <v>0</v>
      </c>
      <c r="R498" s="5">
        <f t="shared" si="1119"/>
        <v>0</v>
      </c>
      <c r="S498" s="5">
        <f>SUM(S485:S496)</f>
        <v>0</v>
      </c>
      <c r="T498" s="5">
        <f t="shared" si="1119"/>
        <v>0</v>
      </c>
      <c r="U498" s="5">
        <f t="shared" si="1119"/>
        <v>0</v>
      </c>
      <c r="V498" s="116">
        <f t="shared" si="1119"/>
        <v>0</v>
      </c>
      <c r="W498" s="5">
        <f t="shared" si="1119"/>
        <v>0</v>
      </c>
      <c r="X498" s="5">
        <f t="shared" si="1119"/>
        <v>0</v>
      </c>
      <c r="Y498" s="5">
        <f t="shared" si="1119"/>
        <v>0</v>
      </c>
      <c r="Z498" s="5">
        <f t="shared" si="1119"/>
        <v>0</v>
      </c>
      <c r="AA498" s="5">
        <f t="shared" si="1119"/>
        <v>0</v>
      </c>
      <c r="AB498" s="116">
        <f t="shared" si="1119"/>
        <v>0</v>
      </c>
      <c r="AC498" s="5">
        <f t="shared" si="1119"/>
        <v>0</v>
      </c>
      <c r="AD498" s="5">
        <f t="shared" si="1119"/>
        <v>0</v>
      </c>
      <c r="AE498" s="5">
        <f t="shared" si="1119"/>
        <v>0</v>
      </c>
      <c r="AF498" s="5">
        <f t="shared" si="1119"/>
        <v>0</v>
      </c>
      <c r="AG498" s="5">
        <f t="shared" si="1119"/>
        <v>0</v>
      </c>
      <c r="AH498" s="5">
        <f t="shared" si="1119"/>
        <v>0</v>
      </c>
      <c r="AI498" s="5">
        <f t="shared" si="1119"/>
        <v>0</v>
      </c>
      <c r="AJ498" s="116">
        <f t="shared" si="1119"/>
        <v>0</v>
      </c>
      <c r="AK498" s="5">
        <f t="shared" si="1119"/>
        <v>0</v>
      </c>
      <c r="AL498" s="5">
        <f t="shared" si="1119"/>
        <v>0</v>
      </c>
      <c r="AM498" s="5">
        <f t="shared" si="1119"/>
        <v>0</v>
      </c>
      <c r="AN498" s="5">
        <f t="shared" si="1119"/>
        <v>0</v>
      </c>
      <c r="AO498" s="5">
        <f t="shared" si="1119"/>
        <v>0</v>
      </c>
      <c r="AP498" s="5">
        <f t="shared" si="1119"/>
        <v>0</v>
      </c>
      <c r="AQ498" s="5">
        <f t="shared" si="1119"/>
        <v>0</v>
      </c>
      <c r="AR498" s="5">
        <f t="shared" si="1119"/>
        <v>0</v>
      </c>
      <c r="AS498" s="116">
        <f t="shared" si="1119"/>
        <v>0</v>
      </c>
      <c r="AT498" s="5">
        <f t="shared" si="1119"/>
        <v>0</v>
      </c>
      <c r="AU498" s="5">
        <f t="shared" si="1119"/>
        <v>0</v>
      </c>
      <c r="AV498" s="97">
        <f t="shared" ref="AV498:BR498" si="1120">SUM(AV485:AV496)</f>
        <v>0</v>
      </c>
      <c r="AW498" s="97">
        <f t="shared" si="1120"/>
        <v>0</v>
      </c>
      <c r="AX498" s="97">
        <f t="shared" si="1120"/>
        <v>0</v>
      </c>
      <c r="AY498" s="97">
        <f t="shared" si="1120"/>
        <v>0</v>
      </c>
      <c r="AZ498" s="97">
        <f t="shared" si="1120"/>
        <v>0</v>
      </c>
      <c r="BA498" s="97">
        <f t="shared" si="1120"/>
        <v>0</v>
      </c>
      <c r="BB498" s="97">
        <f t="shared" si="1120"/>
        <v>0</v>
      </c>
      <c r="BC498" s="97">
        <f t="shared" si="1120"/>
        <v>0</v>
      </c>
      <c r="BD498" s="97">
        <f t="shared" si="1120"/>
        <v>0</v>
      </c>
      <c r="BE498" s="97">
        <f t="shared" si="1120"/>
        <v>0</v>
      </c>
      <c r="BF498" s="97">
        <f t="shared" si="1120"/>
        <v>0</v>
      </c>
      <c r="BG498" s="97">
        <f t="shared" si="1120"/>
        <v>0</v>
      </c>
      <c r="BH498" s="97">
        <f t="shared" si="1120"/>
        <v>0</v>
      </c>
      <c r="BI498" s="97">
        <f t="shared" si="1120"/>
        <v>0</v>
      </c>
      <c r="BJ498" s="97">
        <f t="shared" si="1120"/>
        <v>0</v>
      </c>
      <c r="BK498" s="97">
        <f t="shared" si="1120"/>
        <v>0</v>
      </c>
      <c r="BL498" s="97">
        <f t="shared" si="1120"/>
        <v>0</v>
      </c>
      <c r="BM498" s="97">
        <f t="shared" si="1120"/>
        <v>0</v>
      </c>
      <c r="BN498" s="97">
        <f t="shared" si="1120"/>
        <v>0</v>
      </c>
      <c r="BO498" s="97">
        <f t="shared" si="1120"/>
        <v>0</v>
      </c>
      <c r="BP498" s="97">
        <f t="shared" si="1120"/>
        <v>0</v>
      </c>
      <c r="BQ498" s="97">
        <f t="shared" si="1120"/>
        <v>0</v>
      </c>
      <c r="BR498" s="97">
        <f t="shared" si="1120"/>
        <v>0</v>
      </c>
    </row>
    <row r="499" spans="1:70">
      <c r="A499" s="105"/>
      <c r="B499" s="92"/>
      <c r="C499" s="92"/>
      <c r="D499" s="141"/>
      <c r="E499" s="141"/>
      <c r="F499" s="141"/>
      <c r="G499" s="91"/>
      <c r="H499" s="91"/>
      <c r="I499" s="92"/>
      <c r="J499" s="92"/>
      <c r="K499" s="92"/>
      <c r="L499" s="411"/>
      <c r="M499" s="854"/>
      <c r="N499" s="854"/>
      <c r="O499" s="415"/>
      <c r="P499" s="387" t="s">
        <v>539</v>
      </c>
      <c r="U499" s="11"/>
      <c r="W499">
        <v>185.5</v>
      </c>
      <c r="X499">
        <v>23.200000000000003</v>
      </c>
      <c r="Y499">
        <v>5.8000000000000007</v>
      </c>
      <c r="Z499">
        <v>6.2</v>
      </c>
      <c r="AA499">
        <v>1.9000000000000001</v>
      </c>
      <c r="AB499" s="66">
        <v>2</v>
      </c>
      <c r="AC499">
        <v>138</v>
      </c>
      <c r="AD499">
        <v>180</v>
      </c>
      <c r="AE499">
        <v>90</v>
      </c>
      <c r="AF499">
        <v>17</v>
      </c>
      <c r="AG499">
        <v>80</v>
      </c>
      <c r="AH499">
        <v>1</v>
      </c>
      <c r="AI499">
        <v>0.70000000000000007</v>
      </c>
      <c r="AJ499" s="66">
        <v>0.125</v>
      </c>
      <c r="AK499">
        <v>80</v>
      </c>
      <c r="AL499">
        <v>0.1</v>
      </c>
      <c r="AM499">
        <v>0.11000000000000001</v>
      </c>
      <c r="AN499">
        <v>1.2000000000000002</v>
      </c>
      <c r="AO499">
        <v>6.9999999999999993E-2</v>
      </c>
      <c r="AP499">
        <v>30</v>
      </c>
      <c r="AQ499">
        <v>0.18000000000000002</v>
      </c>
      <c r="AR499">
        <v>8</v>
      </c>
      <c r="AS499" s="66">
        <v>0.5</v>
      </c>
      <c r="AV499">
        <v>185.5</v>
      </c>
      <c r="AW499">
        <v>23.200000000000003</v>
      </c>
      <c r="AX499">
        <v>5.8000000000000007</v>
      </c>
      <c r="AY499">
        <v>6.2</v>
      </c>
      <c r="AZ499">
        <v>1.9000000000000001</v>
      </c>
      <c r="BA499" s="66">
        <v>2</v>
      </c>
      <c r="BB499">
        <v>138</v>
      </c>
      <c r="BC499">
        <v>180</v>
      </c>
      <c r="BD499">
        <v>90</v>
      </c>
      <c r="BE499">
        <v>17</v>
      </c>
      <c r="BF499">
        <v>80</v>
      </c>
      <c r="BG499">
        <v>1</v>
      </c>
      <c r="BH499">
        <v>0.70000000000000007</v>
      </c>
      <c r="BI499" s="66">
        <v>0.125</v>
      </c>
      <c r="BJ499">
        <v>80</v>
      </c>
      <c r="BK499">
        <v>0.1</v>
      </c>
      <c r="BL499">
        <v>0.11000000000000001</v>
      </c>
      <c r="BM499">
        <v>1.2000000000000002</v>
      </c>
      <c r="BN499">
        <v>6.9999999999999993E-2</v>
      </c>
      <c r="BO499">
        <v>30</v>
      </c>
      <c r="BP499">
        <v>0.18000000000000002</v>
      </c>
      <c r="BQ499">
        <v>8</v>
      </c>
      <c r="BR499" s="66">
        <v>0.5</v>
      </c>
    </row>
    <row r="500" spans="1:70">
      <c r="A500" s="105"/>
      <c r="B500" s="92"/>
      <c r="C500" s="92"/>
      <c r="D500" s="141"/>
      <c r="E500" s="141"/>
      <c r="F500" s="141"/>
      <c r="G500" s="91"/>
      <c r="H500" s="91"/>
      <c r="I500" s="92"/>
      <c r="J500" s="92"/>
      <c r="K500" s="92"/>
      <c r="L500" s="411"/>
      <c r="M500" s="854"/>
      <c r="N500" s="854"/>
      <c r="O500" s="415"/>
      <c r="P500" s="387" t="s">
        <v>407</v>
      </c>
      <c r="U500" s="11"/>
      <c r="W500" s="22">
        <f t="shared" ref="W500:AS500" si="1121">100*W498/W499</f>
        <v>0</v>
      </c>
      <c r="X500" s="22">
        <f t="shared" si="1121"/>
        <v>0</v>
      </c>
      <c r="Y500" s="22">
        <f t="shared" si="1121"/>
        <v>0</v>
      </c>
      <c r="Z500" s="22">
        <f t="shared" si="1121"/>
        <v>0</v>
      </c>
      <c r="AA500" s="22">
        <f t="shared" si="1121"/>
        <v>0</v>
      </c>
      <c r="AB500" s="118">
        <f t="shared" si="1121"/>
        <v>0</v>
      </c>
      <c r="AC500" s="22">
        <f t="shared" si="1121"/>
        <v>0</v>
      </c>
      <c r="AD500" s="22">
        <f t="shared" si="1121"/>
        <v>0</v>
      </c>
      <c r="AE500" s="22">
        <f t="shared" si="1121"/>
        <v>0</v>
      </c>
      <c r="AF500" s="22">
        <f t="shared" si="1121"/>
        <v>0</v>
      </c>
      <c r="AG500" s="22">
        <f t="shared" si="1121"/>
        <v>0</v>
      </c>
      <c r="AH500" s="22">
        <f t="shared" si="1121"/>
        <v>0</v>
      </c>
      <c r="AI500" s="22">
        <f t="shared" si="1121"/>
        <v>0</v>
      </c>
      <c r="AJ500" s="118">
        <f t="shared" si="1121"/>
        <v>0</v>
      </c>
      <c r="AK500" s="22">
        <f t="shared" si="1121"/>
        <v>0</v>
      </c>
      <c r="AL500" s="22">
        <f t="shared" si="1121"/>
        <v>0</v>
      </c>
      <c r="AM500" s="22">
        <f t="shared" si="1121"/>
        <v>0</v>
      </c>
      <c r="AN500" s="22">
        <f t="shared" si="1121"/>
        <v>0</v>
      </c>
      <c r="AO500" s="22">
        <f t="shared" si="1121"/>
        <v>0</v>
      </c>
      <c r="AP500" s="22">
        <f t="shared" si="1121"/>
        <v>0</v>
      </c>
      <c r="AQ500" s="22">
        <f t="shared" si="1121"/>
        <v>0</v>
      </c>
      <c r="AR500" s="22">
        <f t="shared" si="1121"/>
        <v>0</v>
      </c>
      <c r="AS500" s="118">
        <f t="shared" si="1121"/>
        <v>0</v>
      </c>
      <c r="AV500" s="119">
        <f t="shared" ref="AV500:BR500" si="1122">100*AV498/AV499</f>
        <v>0</v>
      </c>
      <c r="AW500" s="119">
        <f t="shared" si="1122"/>
        <v>0</v>
      </c>
      <c r="AX500" s="119">
        <f t="shared" si="1122"/>
        <v>0</v>
      </c>
      <c r="AY500" s="119">
        <f t="shared" si="1122"/>
        <v>0</v>
      </c>
      <c r="AZ500" s="119">
        <f t="shared" si="1122"/>
        <v>0</v>
      </c>
      <c r="BA500" s="119">
        <f t="shared" si="1122"/>
        <v>0</v>
      </c>
      <c r="BB500" s="119">
        <f t="shared" si="1122"/>
        <v>0</v>
      </c>
      <c r="BC500" s="119">
        <f t="shared" si="1122"/>
        <v>0</v>
      </c>
      <c r="BD500" s="119">
        <f t="shared" si="1122"/>
        <v>0</v>
      </c>
      <c r="BE500" s="119">
        <f t="shared" si="1122"/>
        <v>0</v>
      </c>
      <c r="BF500" s="119">
        <f t="shared" si="1122"/>
        <v>0</v>
      </c>
      <c r="BG500" s="119">
        <f t="shared" si="1122"/>
        <v>0</v>
      </c>
      <c r="BH500" s="119">
        <f t="shared" si="1122"/>
        <v>0</v>
      </c>
      <c r="BI500" s="119">
        <f t="shared" si="1122"/>
        <v>0</v>
      </c>
      <c r="BJ500" s="119">
        <f t="shared" si="1122"/>
        <v>0</v>
      </c>
      <c r="BK500" s="119">
        <f t="shared" si="1122"/>
        <v>0</v>
      </c>
      <c r="BL500" s="119">
        <f t="shared" si="1122"/>
        <v>0</v>
      </c>
      <c r="BM500" s="119">
        <f t="shared" si="1122"/>
        <v>0</v>
      </c>
      <c r="BN500" s="119">
        <f t="shared" si="1122"/>
        <v>0</v>
      </c>
      <c r="BO500" s="119">
        <f t="shared" si="1122"/>
        <v>0</v>
      </c>
      <c r="BP500" s="119">
        <f t="shared" si="1122"/>
        <v>0</v>
      </c>
      <c r="BQ500" s="119">
        <f t="shared" si="1122"/>
        <v>0</v>
      </c>
      <c r="BR500" s="119">
        <f t="shared" si="1122"/>
        <v>0</v>
      </c>
    </row>
    <row r="501" spans="1:70">
      <c r="A501" s="105"/>
      <c r="B501" s="92"/>
      <c r="C501" s="92"/>
      <c r="D501" s="141"/>
      <c r="E501" s="141"/>
      <c r="F501" s="141"/>
      <c r="G501" s="92"/>
      <c r="H501" s="91"/>
      <c r="I501" s="92"/>
      <c r="J501" s="92"/>
      <c r="K501" s="92"/>
      <c r="L501" s="411"/>
      <c r="M501" s="854"/>
      <c r="N501" s="854"/>
      <c r="O501" s="415"/>
      <c r="P501" s="387" t="s">
        <v>548</v>
      </c>
      <c r="U501" s="11"/>
      <c r="W501" s="5">
        <f>AV498</f>
        <v>0</v>
      </c>
      <c r="X501" s="5">
        <f t="shared" ref="X501:AD501" si="1123">AW498</f>
        <v>0</v>
      </c>
      <c r="Y501" s="5">
        <f t="shared" si="1123"/>
        <v>0</v>
      </c>
      <c r="Z501" s="5">
        <f t="shared" si="1123"/>
        <v>0</v>
      </c>
      <c r="AA501" s="5">
        <f t="shared" si="1123"/>
        <v>0</v>
      </c>
      <c r="AB501" s="116">
        <f t="shared" si="1123"/>
        <v>0</v>
      </c>
      <c r="AC501" s="5">
        <f t="shared" si="1123"/>
        <v>0</v>
      </c>
      <c r="AD501" s="5">
        <f t="shared" si="1123"/>
        <v>0</v>
      </c>
      <c r="AE501" s="5">
        <f>BD498</f>
        <v>0</v>
      </c>
      <c r="AF501" s="5">
        <f t="shared" ref="AF501:AM501" si="1124">BE498</f>
        <v>0</v>
      </c>
      <c r="AG501" s="5">
        <f t="shared" si="1124"/>
        <v>0</v>
      </c>
      <c r="AH501" s="5">
        <f t="shared" si="1124"/>
        <v>0</v>
      </c>
      <c r="AI501" s="5">
        <f t="shared" si="1124"/>
        <v>0</v>
      </c>
      <c r="AJ501" s="116">
        <f t="shared" si="1124"/>
        <v>0</v>
      </c>
      <c r="AK501" s="5">
        <f t="shared" si="1124"/>
        <v>0</v>
      </c>
      <c r="AL501" s="5">
        <f t="shared" si="1124"/>
        <v>0</v>
      </c>
      <c r="AM501" s="5">
        <f t="shared" si="1124"/>
        <v>0</v>
      </c>
      <c r="AN501" s="5">
        <f>BM498</f>
        <v>0</v>
      </c>
      <c r="AO501" s="5">
        <f t="shared" ref="AO501:AR501" si="1125">BN498</f>
        <v>0</v>
      </c>
      <c r="AP501" s="5">
        <f t="shared" si="1125"/>
        <v>0</v>
      </c>
      <c r="AQ501" s="5">
        <f t="shared" si="1125"/>
        <v>0</v>
      </c>
      <c r="AR501" s="5">
        <f t="shared" si="1125"/>
        <v>0</v>
      </c>
      <c r="AS501" s="116">
        <f>BR498</f>
        <v>0</v>
      </c>
    </row>
    <row r="502" spans="1:70" ht="15" thickBot="1">
      <c r="A502" s="105"/>
      <c r="B502" s="265"/>
      <c r="C502" s="265"/>
      <c r="D502" s="384"/>
      <c r="E502" s="384"/>
      <c r="F502" s="384"/>
      <c r="G502" s="385"/>
      <c r="H502" s="386"/>
      <c r="I502" s="265"/>
      <c r="J502" s="265"/>
      <c r="K502" s="265"/>
      <c r="L502" s="411"/>
      <c r="M502" s="854"/>
      <c r="N502" s="854"/>
      <c r="O502" s="415"/>
      <c r="P502" s="388" t="s">
        <v>546</v>
      </c>
      <c r="Q502" s="134"/>
      <c r="R502" s="134"/>
      <c r="S502" s="134"/>
      <c r="T502" s="134"/>
      <c r="U502" s="149"/>
      <c r="V502" s="138"/>
      <c r="W502" s="139">
        <f t="shared" ref="W502:AS502" si="1126">AV500</f>
        <v>0</v>
      </c>
      <c r="X502" s="139">
        <f t="shared" si="1126"/>
        <v>0</v>
      </c>
      <c r="Y502" s="139">
        <f t="shared" si="1126"/>
        <v>0</v>
      </c>
      <c r="Z502" s="139">
        <f t="shared" si="1126"/>
        <v>0</v>
      </c>
      <c r="AA502" s="139">
        <f t="shared" si="1126"/>
        <v>0</v>
      </c>
      <c r="AB502" s="140">
        <f t="shared" si="1126"/>
        <v>0</v>
      </c>
      <c r="AC502" s="139">
        <f t="shared" si="1126"/>
        <v>0</v>
      </c>
      <c r="AD502" s="139">
        <f t="shared" si="1126"/>
        <v>0</v>
      </c>
      <c r="AE502" s="139">
        <f t="shared" si="1126"/>
        <v>0</v>
      </c>
      <c r="AF502" s="139">
        <f t="shared" si="1126"/>
        <v>0</v>
      </c>
      <c r="AG502" s="139">
        <f t="shared" si="1126"/>
        <v>0</v>
      </c>
      <c r="AH502" s="139">
        <f t="shared" si="1126"/>
        <v>0</v>
      </c>
      <c r="AI502" s="139">
        <f t="shared" si="1126"/>
        <v>0</v>
      </c>
      <c r="AJ502" s="140">
        <f t="shared" si="1126"/>
        <v>0</v>
      </c>
      <c r="AK502" s="139">
        <f t="shared" si="1126"/>
        <v>0</v>
      </c>
      <c r="AL502" s="139">
        <f t="shared" si="1126"/>
        <v>0</v>
      </c>
      <c r="AM502" s="139">
        <f t="shared" si="1126"/>
        <v>0</v>
      </c>
      <c r="AN502" s="139">
        <f t="shared" si="1126"/>
        <v>0</v>
      </c>
      <c r="AO502" s="139">
        <f t="shared" si="1126"/>
        <v>0</v>
      </c>
      <c r="AP502" s="139">
        <f t="shared" si="1126"/>
        <v>0</v>
      </c>
      <c r="AQ502" s="139">
        <f t="shared" si="1126"/>
        <v>0</v>
      </c>
      <c r="AR502" s="139">
        <f t="shared" si="1126"/>
        <v>0</v>
      </c>
      <c r="AS502" s="140">
        <f t="shared" si="1126"/>
        <v>0</v>
      </c>
      <c r="AT502" s="1301"/>
      <c r="AU502" s="134"/>
      <c r="AV502" s="22"/>
      <c r="AW502" s="22"/>
      <c r="AX502" s="22"/>
      <c r="AY502" s="22"/>
      <c r="AZ502" s="22"/>
      <c r="BA502" s="119"/>
      <c r="BB502" s="22"/>
      <c r="BC502" s="22"/>
      <c r="BD502" s="22"/>
      <c r="BE502" s="22"/>
      <c r="BF502" s="22"/>
      <c r="BG502" s="22"/>
      <c r="BH502" s="22"/>
      <c r="BI502" s="119"/>
      <c r="BJ502" s="22"/>
      <c r="BK502" s="22"/>
      <c r="BL502" s="22"/>
      <c r="BM502" s="22"/>
      <c r="BN502" s="22"/>
      <c r="BO502" s="22"/>
      <c r="BP502" s="22"/>
      <c r="BQ502" s="22"/>
      <c r="BR502" s="119"/>
    </row>
    <row r="503" spans="1:70">
      <c r="A503" s="105"/>
      <c r="B503" s="92"/>
      <c r="C503" s="92"/>
      <c r="D503" s="141"/>
      <c r="E503" s="141"/>
      <c r="F503" s="141"/>
      <c r="G503" s="91"/>
      <c r="H503" s="91"/>
      <c r="I503" s="92"/>
      <c r="J503" s="92"/>
      <c r="K503" s="92"/>
      <c r="L503" s="411"/>
      <c r="M503" s="854"/>
      <c r="N503" s="854"/>
      <c r="O503" s="415"/>
      <c r="P503" s="387" t="s">
        <v>550</v>
      </c>
      <c r="Q503" s="22">
        <f t="shared" ref="Q503:S503" si="1127">Q428+Q447+Q479+Q498</f>
        <v>625.20000000000005</v>
      </c>
      <c r="R503" s="22">
        <f t="shared" si="1127"/>
        <v>138.40545270000001</v>
      </c>
      <c r="S503" s="22">
        <f t="shared" si="1127"/>
        <v>486.79454730000003</v>
      </c>
      <c r="T503" s="22">
        <f>T428+T447+T479+T498</f>
        <v>93.1737180392157</v>
      </c>
      <c r="U503" s="22">
        <f>U428+U447+U479+U498</f>
        <v>16.017590332768627</v>
      </c>
      <c r="V503" s="261">
        <f>V428+V447+V479+V498</f>
        <v>1207.7359999999999</v>
      </c>
      <c r="W503" s="22">
        <f>W428+W447+W479+W498</f>
        <v>1344.7750529260686</v>
      </c>
      <c r="X503" s="22">
        <f>X428+X447+X479+X498</f>
        <v>156.46823344250814</v>
      </c>
      <c r="Y503" s="22">
        <f t="shared" ref="Y503:AU503" si="1128">Y428+Y447+Y479+Y498</f>
        <v>33.359368187643049</v>
      </c>
      <c r="Z503" s="22">
        <f t="shared" si="1128"/>
        <v>63.300601537915441</v>
      </c>
      <c r="AA503" s="22">
        <f t="shared" si="1128"/>
        <v>10.621020692519602</v>
      </c>
      <c r="AB503" s="118">
        <f t="shared" si="1128"/>
        <v>6.655615570606459</v>
      </c>
      <c r="AC503" s="22">
        <f t="shared" si="1128"/>
        <v>655.77836548103403</v>
      </c>
      <c r="AD503" s="22">
        <f>AD428+AD447+AD479+AD498</f>
        <v>901.69686254545456</v>
      </c>
      <c r="AE503" s="22">
        <f t="shared" si="1128"/>
        <v>227.2068625454545</v>
      </c>
      <c r="AF503" s="22">
        <f t="shared" si="1128"/>
        <v>99.453308083916085</v>
      </c>
      <c r="AG503" s="22">
        <f t="shared" si="1128"/>
        <v>400.55884654545451</v>
      </c>
      <c r="AH503" s="22">
        <f t="shared" si="1128"/>
        <v>3.9685062204868102</v>
      </c>
      <c r="AI503" s="22">
        <f t="shared" si="1128"/>
        <v>5.6143747480573838</v>
      </c>
      <c r="AJ503" s="118">
        <f t="shared" si="1128"/>
        <v>0.80198306672821185</v>
      </c>
      <c r="AK503" s="22">
        <f t="shared" si="1128"/>
        <v>284.18089654545452</v>
      </c>
      <c r="AL503" s="22">
        <f t="shared" si="1128"/>
        <v>0.50361629500076843</v>
      </c>
      <c r="AM503" s="22">
        <f t="shared" si="1128"/>
        <v>0.44967984769000541</v>
      </c>
      <c r="AN503" s="22">
        <f t="shared" si="1128"/>
        <v>13.533005492573519</v>
      </c>
      <c r="AO503" s="22">
        <f t="shared" si="1128"/>
        <v>0.81609658921635675</v>
      </c>
      <c r="AP503" s="22">
        <f t="shared" si="1128"/>
        <v>100.89346892307692</v>
      </c>
      <c r="AQ503" s="22">
        <f t="shared" si="1128"/>
        <v>0.94175922786436794</v>
      </c>
      <c r="AR503" s="22">
        <f t="shared" si="1128"/>
        <v>21.326662545454546</v>
      </c>
      <c r="AS503" s="118">
        <f t="shared" si="1128"/>
        <v>1.2957061717372371</v>
      </c>
      <c r="AT503" s="22">
        <f t="shared" si="1128"/>
        <v>90.304884705882358</v>
      </c>
      <c r="AU503" s="22">
        <f t="shared" si="1128"/>
        <v>93.1737180392157</v>
      </c>
      <c r="AV503" s="22"/>
      <c r="AW503" s="22"/>
      <c r="AX503" s="22"/>
      <c r="AY503" s="22"/>
      <c r="AZ503" s="22"/>
      <c r="BA503" s="119"/>
      <c r="BB503" s="22"/>
      <c r="BC503" s="22"/>
      <c r="BD503" s="22"/>
      <c r="BE503" s="22"/>
      <c r="BF503" s="22"/>
      <c r="BG503" s="22"/>
      <c r="BH503" s="22"/>
      <c r="BI503" s="119"/>
      <c r="BJ503" s="22"/>
      <c r="BK503" s="22"/>
      <c r="BL503" s="22"/>
      <c r="BM503" s="22"/>
      <c r="BN503" s="22"/>
      <c r="BO503" s="22"/>
      <c r="BP503" s="22"/>
      <c r="BQ503" s="22"/>
      <c r="BR503" s="119"/>
    </row>
    <row r="504" spans="1:70" ht="15" thickBot="1">
      <c r="A504" s="441"/>
      <c r="B504" s="265"/>
      <c r="C504" s="265"/>
      <c r="D504" s="384"/>
      <c r="E504" s="384"/>
      <c r="F504" s="384"/>
      <c r="G504" s="385"/>
      <c r="H504" s="385"/>
      <c r="I504" s="265"/>
      <c r="J504" s="265"/>
      <c r="K504" s="265"/>
      <c r="L504" s="411"/>
      <c r="M504" s="854"/>
      <c r="N504" s="854"/>
      <c r="O504" s="415"/>
      <c r="P504" s="388" t="s">
        <v>549</v>
      </c>
      <c r="U504" s="11"/>
      <c r="W504" s="22">
        <f>W431+W450+W482+W501</f>
        <v>1018.6192399530565</v>
      </c>
      <c r="X504" s="22">
        <f>X431+X450+X482+X501</f>
        <v>117.37146450473735</v>
      </c>
      <c r="Y504" s="22">
        <f t="shared" ref="Y504:AS504" si="1129">Y431+Y450+Y482+Y501</f>
        <v>25.603681035069094</v>
      </c>
      <c r="Z504" s="22">
        <f t="shared" si="1129"/>
        <v>48.665487437770373</v>
      </c>
      <c r="AA504" s="22">
        <f t="shared" si="1129"/>
        <v>7.6917022058293387</v>
      </c>
      <c r="AB504" s="118">
        <f t="shared" si="1129"/>
        <v>5.2880935355038448</v>
      </c>
      <c r="AC504" s="22">
        <f t="shared" si="1129"/>
        <v>448.80821892931391</v>
      </c>
      <c r="AD504" s="22">
        <f t="shared" si="1129"/>
        <v>691.89460881700995</v>
      </c>
      <c r="AE504" s="22">
        <f t="shared" si="1129"/>
        <v>168.67205829727058</v>
      </c>
      <c r="AF504" s="22">
        <f t="shared" si="1129"/>
        <v>74.906670952412426</v>
      </c>
      <c r="AG504" s="22">
        <f t="shared" si="1129"/>
        <v>320.37875217182636</v>
      </c>
      <c r="AH504" s="22">
        <f t="shared" si="1129"/>
        <v>2.9559448320342741</v>
      </c>
      <c r="AI504" s="22">
        <f t="shared" si="1129"/>
        <v>3.9209101575356029</v>
      </c>
      <c r="AJ504" s="118">
        <f t="shared" si="1129"/>
        <v>0.59219625397987663</v>
      </c>
      <c r="AK504" s="22">
        <f t="shared" si="1129"/>
        <v>219.87103832929881</v>
      </c>
      <c r="AL504" s="22">
        <f t="shared" si="1129"/>
        <v>0.36925145822718447</v>
      </c>
      <c r="AM504" s="22">
        <f t="shared" si="1129"/>
        <v>0.35721663493359235</v>
      </c>
      <c r="AN504" s="22">
        <f t="shared" si="1129"/>
        <v>10.2003566794746</v>
      </c>
      <c r="AO504" s="22">
        <f t="shared" si="1129"/>
        <v>0.63179949393678425</v>
      </c>
      <c r="AP504" s="22">
        <f t="shared" si="1129"/>
        <v>74.740603234962492</v>
      </c>
      <c r="AQ504" s="22">
        <f t="shared" si="1129"/>
        <v>0.80162788594867385</v>
      </c>
      <c r="AR504" s="22">
        <f t="shared" si="1129"/>
        <v>16.605436076967539</v>
      </c>
      <c r="AS504" s="118">
        <f t="shared" si="1129"/>
        <v>1.0461447902894048</v>
      </c>
      <c r="AV504" s="22"/>
      <c r="AW504" s="22"/>
      <c r="AX504" s="22"/>
      <c r="AY504" s="22"/>
      <c r="AZ504" s="22"/>
      <c r="BA504" s="119"/>
      <c r="BB504" s="22"/>
      <c r="BC504" s="22"/>
      <c r="BD504" s="22"/>
      <c r="BE504" s="22"/>
      <c r="BF504" s="22"/>
      <c r="BG504" s="22"/>
      <c r="BH504" s="22"/>
      <c r="BI504" s="119"/>
      <c r="BJ504" s="22"/>
      <c r="BK504" s="22"/>
      <c r="BL504" s="22"/>
      <c r="BM504" s="22"/>
      <c r="BN504" s="22"/>
      <c r="BO504" s="22"/>
      <c r="BP504" s="22"/>
      <c r="BQ504" s="22"/>
      <c r="BR504" s="119"/>
    </row>
    <row r="505" spans="1:70" s="749" customFormat="1" ht="300" customHeight="1" thickBot="1">
      <c r="A505" s="267"/>
      <c r="B505" s="267"/>
      <c r="C505" s="267"/>
      <c r="D505" s="1364"/>
      <c r="E505" s="1364"/>
      <c r="F505" s="1364"/>
      <c r="G505" s="1366"/>
      <c r="H505" s="1366"/>
      <c r="I505" s="267"/>
      <c r="J505" s="267"/>
      <c r="K505" s="267"/>
      <c r="L505" s="1369"/>
      <c r="M505" s="854"/>
      <c r="N505" s="854"/>
      <c r="O505" s="415"/>
      <c r="P505" s="1363"/>
      <c r="U505" s="11"/>
      <c r="V505" s="66"/>
      <c r="W505" s="22"/>
      <c r="X505" s="22"/>
      <c r="Y505" s="22"/>
      <c r="Z505" s="22"/>
      <c r="AA505" s="22"/>
      <c r="AB505" s="118"/>
      <c r="AC505" s="22"/>
      <c r="AD505" s="22"/>
      <c r="AE505" s="22"/>
      <c r="AF505" s="22"/>
      <c r="AG505" s="22"/>
      <c r="AH505" s="22"/>
      <c r="AI505" s="22"/>
      <c r="AJ505" s="118"/>
      <c r="AK505" s="22"/>
      <c r="AL505" s="22"/>
      <c r="AM505" s="22"/>
      <c r="AN505" s="22"/>
      <c r="AO505" s="22"/>
      <c r="AP505" s="22"/>
      <c r="AQ505" s="22"/>
      <c r="AR505" s="22"/>
      <c r="AS505" s="118"/>
      <c r="AV505" s="22"/>
      <c r="AW505" s="22"/>
      <c r="AX505" s="22"/>
      <c r="AY505" s="22"/>
      <c r="AZ505" s="22"/>
      <c r="BA505" s="119"/>
      <c r="BB505" s="22"/>
      <c r="BC505" s="22"/>
      <c r="BD505" s="22"/>
      <c r="BE505" s="22"/>
      <c r="BF505" s="22"/>
      <c r="BG505" s="22"/>
      <c r="BH505" s="22"/>
      <c r="BI505" s="119"/>
      <c r="BJ505" s="22"/>
      <c r="BK505" s="22"/>
      <c r="BL505" s="22"/>
      <c r="BM505" s="22"/>
      <c r="BN505" s="22"/>
      <c r="BO505" s="22"/>
      <c r="BP505" s="22"/>
      <c r="BQ505" s="22"/>
      <c r="BR505" s="119"/>
    </row>
    <row r="506" spans="1:70" s="106" customFormat="1" ht="44" customHeight="1">
      <c r="A506" s="438"/>
      <c r="B506" s="185"/>
      <c r="C506" s="185"/>
      <c r="D506" s="186"/>
      <c r="E506" s="186"/>
      <c r="F506" s="186"/>
      <c r="G506" s="1414" t="s">
        <v>522</v>
      </c>
      <c r="H506" s="1414"/>
      <c r="I506" s="187" t="s">
        <v>562</v>
      </c>
      <c r="J506" s="187" t="s">
        <v>563</v>
      </c>
      <c r="K506" s="187"/>
      <c r="L506" s="187"/>
      <c r="M506" s="418"/>
      <c r="N506" s="418"/>
      <c r="O506" s="418"/>
      <c r="P506" s="187"/>
      <c r="Q506" s="188" t="s">
        <v>384</v>
      </c>
      <c r="R506" s="189" t="s">
        <v>455</v>
      </c>
      <c r="S506" s="189"/>
      <c r="T506" s="189" t="s">
        <v>456</v>
      </c>
      <c r="U506" s="189" t="s">
        <v>535</v>
      </c>
      <c r="V506" s="190" t="s">
        <v>457</v>
      </c>
      <c r="W506" s="189" t="s">
        <v>75</v>
      </c>
      <c r="X506" s="189" t="s">
        <v>385</v>
      </c>
      <c r="Y506" s="189" t="s">
        <v>386</v>
      </c>
      <c r="Z506" s="189" t="s">
        <v>387</v>
      </c>
      <c r="AA506" s="189" t="s">
        <v>388</v>
      </c>
      <c r="AB506" s="190" t="s">
        <v>389</v>
      </c>
      <c r="AC506" s="189" t="s">
        <v>390</v>
      </c>
      <c r="AD506" s="189" t="s">
        <v>391</v>
      </c>
      <c r="AE506" s="189" t="s">
        <v>392</v>
      </c>
      <c r="AF506" s="189" t="s">
        <v>393</v>
      </c>
      <c r="AG506" s="189" t="s">
        <v>394</v>
      </c>
      <c r="AH506" s="189" t="s">
        <v>395</v>
      </c>
      <c r="AI506" s="189" t="s">
        <v>396</v>
      </c>
      <c r="AJ506" s="190" t="s">
        <v>397</v>
      </c>
      <c r="AK506" s="189" t="s">
        <v>398</v>
      </c>
      <c r="AL506" s="189" t="s">
        <v>399</v>
      </c>
      <c r="AM506" s="189" t="s">
        <v>400</v>
      </c>
      <c r="AN506" s="189" t="s">
        <v>401</v>
      </c>
      <c r="AO506" s="189" t="s">
        <v>402</v>
      </c>
      <c r="AP506" s="189" t="s">
        <v>406</v>
      </c>
      <c r="AQ506" s="189" t="s">
        <v>405</v>
      </c>
      <c r="AR506" s="189" t="s">
        <v>403</v>
      </c>
      <c r="AS506" s="190" t="s">
        <v>404</v>
      </c>
      <c r="AT506" s="189" t="s">
        <v>456</v>
      </c>
      <c r="AU506" s="189" t="s">
        <v>456</v>
      </c>
    </row>
    <row r="507" spans="1:70" ht="15">
      <c r="A507" s="438"/>
      <c r="B507" s="1413" t="s">
        <v>580</v>
      </c>
      <c r="C507" s="1413"/>
      <c r="D507" s="1413"/>
      <c r="E507" s="1413"/>
      <c r="F507" s="1413"/>
      <c r="G507" s="122" t="s">
        <v>522</v>
      </c>
      <c r="H507" s="123" t="s">
        <v>521</v>
      </c>
      <c r="I507" s="5">
        <f t="shared" ref="I507:I511" si="1130">100*R507/(Q507+0.00001)</f>
        <v>0</v>
      </c>
      <c r="J507" s="5">
        <f t="shared" ref="J507:J511" si="1131">100*U507/(T507+0.00001)</f>
        <v>0</v>
      </c>
      <c r="K507" s="5"/>
      <c r="L507" s="5"/>
      <c r="M507" s="337"/>
      <c r="N507" s="337"/>
      <c r="O507" s="337"/>
      <c r="P507" s="5"/>
      <c r="Q507" s="5">
        <f t="shared" ref="Q507:AU507" si="1132">Q32</f>
        <v>0</v>
      </c>
      <c r="R507" s="5">
        <f t="shared" si="1132"/>
        <v>0</v>
      </c>
      <c r="S507" s="5">
        <f t="shared" ref="S507:S511" si="1133">Q507-R507</f>
        <v>0</v>
      </c>
      <c r="T507" s="5">
        <f t="shared" si="1132"/>
        <v>0</v>
      </c>
      <c r="U507" s="5">
        <f t="shared" si="1132"/>
        <v>0</v>
      </c>
      <c r="V507" s="116">
        <f t="shared" si="1132"/>
        <v>0</v>
      </c>
      <c r="W507" s="5">
        <f t="shared" si="1132"/>
        <v>0</v>
      </c>
      <c r="X507" s="5">
        <f t="shared" si="1132"/>
        <v>0</v>
      </c>
      <c r="Y507" s="5">
        <f t="shared" si="1132"/>
        <v>0</v>
      </c>
      <c r="Z507" s="5">
        <f t="shared" si="1132"/>
        <v>0</v>
      </c>
      <c r="AA507" s="5">
        <f t="shared" si="1132"/>
        <v>0</v>
      </c>
      <c r="AB507" s="116">
        <f t="shared" si="1132"/>
        <v>0</v>
      </c>
      <c r="AC507" s="5">
        <f t="shared" si="1132"/>
        <v>0</v>
      </c>
      <c r="AD507" s="5">
        <f t="shared" si="1132"/>
        <v>0</v>
      </c>
      <c r="AE507" s="5">
        <f t="shared" si="1132"/>
        <v>0</v>
      </c>
      <c r="AF507" s="5">
        <f t="shared" si="1132"/>
        <v>0</v>
      </c>
      <c r="AG507" s="5">
        <f t="shared" si="1132"/>
        <v>0</v>
      </c>
      <c r="AH507" s="5">
        <f t="shared" si="1132"/>
        <v>0</v>
      </c>
      <c r="AI507" s="5">
        <f t="shared" si="1132"/>
        <v>0</v>
      </c>
      <c r="AJ507" s="116">
        <f t="shared" si="1132"/>
        <v>0</v>
      </c>
      <c r="AK507" s="5">
        <f t="shared" si="1132"/>
        <v>0</v>
      </c>
      <c r="AL507" s="5">
        <f t="shared" si="1132"/>
        <v>0</v>
      </c>
      <c r="AM507" s="5">
        <f t="shared" si="1132"/>
        <v>0</v>
      </c>
      <c r="AN507" s="5">
        <f t="shared" si="1132"/>
        <v>0</v>
      </c>
      <c r="AO507" s="5">
        <f t="shared" si="1132"/>
        <v>0</v>
      </c>
      <c r="AP507" s="5">
        <f t="shared" si="1132"/>
        <v>0</v>
      </c>
      <c r="AQ507" s="5">
        <f t="shared" si="1132"/>
        <v>0</v>
      </c>
      <c r="AR507" s="5">
        <f t="shared" si="1132"/>
        <v>0</v>
      </c>
      <c r="AS507" s="116">
        <f t="shared" si="1132"/>
        <v>0</v>
      </c>
      <c r="AT507" s="5">
        <f t="shared" si="1132"/>
        <v>0</v>
      </c>
      <c r="AU507" s="5">
        <f t="shared" si="1132"/>
        <v>0</v>
      </c>
    </row>
    <row r="508" spans="1:70" ht="15">
      <c r="A508" s="438"/>
      <c r="B508" s="1413"/>
      <c r="C508" s="1413"/>
      <c r="D508" s="1413"/>
      <c r="E508" s="1413"/>
      <c r="F508" s="1413"/>
      <c r="G508" s="124" t="s">
        <v>522</v>
      </c>
      <c r="H508" s="125" t="s">
        <v>526</v>
      </c>
      <c r="I508" s="5">
        <f t="shared" si="1130"/>
        <v>0</v>
      </c>
      <c r="J508" s="5">
        <f t="shared" si="1131"/>
        <v>0</v>
      </c>
      <c r="K508" s="5"/>
      <c r="L508" s="5"/>
      <c r="M508" s="337"/>
      <c r="N508" s="337"/>
      <c r="O508" s="337"/>
      <c r="P508" s="5"/>
      <c r="Q508" s="5">
        <f t="shared" ref="Q508:AU508" si="1134">Q131</f>
        <v>0</v>
      </c>
      <c r="R508" s="5">
        <f t="shared" si="1134"/>
        <v>0</v>
      </c>
      <c r="S508" s="5">
        <f t="shared" si="1133"/>
        <v>0</v>
      </c>
      <c r="T508" s="5">
        <f t="shared" si="1134"/>
        <v>0</v>
      </c>
      <c r="U508" s="5">
        <f t="shared" si="1134"/>
        <v>0</v>
      </c>
      <c r="V508" s="116">
        <f t="shared" si="1134"/>
        <v>0</v>
      </c>
      <c r="W508" s="5">
        <f t="shared" si="1134"/>
        <v>0</v>
      </c>
      <c r="X508" s="5">
        <f t="shared" si="1134"/>
        <v>0</v>
      </c>
      <c r="Y508" s="5">
        <f t="shared" si="1134"/>
        <v>0</v>
      </c>
      <c r="Z508" s="5">
        <f t="shared" si="1134"/>
        <v>0</v>
      </c>
      <c r="AA508" s="5">
        <f t="shared" si="1134"/>
        <v>0</v>
      </c>
      <c r="AB508" s="116">
        <f t="shared" si="1134"/>
        <v>0</v>
      </c>
      <c r="AC508" s="5">
        <f t="shared" si="1134"/>
        <v>0</v>
      </c>
      <c r="AD508" s="5">
        <f t="shared" si="1134"/>
        <v>0</v>
      </c>
      <c r="AE508" s="5">
        <f t="shared" si="1134"/>
        <v>0</v>
      </c>
      <c r="AF508" s="5">
        <f t="shared" si="1134"/>
        <v>0</v>
      </c>
      <c r="AG508" s="5">
        <f t="shared" si="1134"/>
        <v>0</v>
      </c>
      <c r="AH508" s="5">
        <f t="shared" si="1134"/>
        <v>0</v>
      </c>
      <c r="AI508" s="5">
        <f t="shared" si="1134"/>
        <v>0</v>
      </c>
      <c r="AJ508" s="116">
        <f t="shared" si="1134"/>
        <v>0</v>
      </c>
      <c r="AK508" s="5">
        <f t="shared" si="1134"/>
        <v>0</v>
      </c>
      <c r="AL508" s="5">
        <f t="shared" si="1134"/>
        <v>0</v>
      </c>
      <c r="AM508" s="5">
        <f t="shared" si="1134"/>
        <v>0</v>
      </c>
      <c r="AN508" s="5">
        <f t="shared" si="1134"/>
        <v>0</v>
      </c>
      <c r="AO508" s="5">
        <f t="shared" si="1134"/>
        <v>0</v>
      </c>
      <c r="AP508" s="5">
        <f t="shared" si="1134"/>
        <v>0</v>
      </c>
      <c r="AQ508" s="5">
        <f t="shared" si="1134"/>
        <v>0</v>
      </c>
      <c r="AR508" s="5">
        <f t="shared" si="1134"/>
        <v>0</v>
      </c>
      <c r="AS508" s="116">
        <f t="shared" si="1134"/>
        <v>0</v>
      </c>
      <c r="AT508" s="5">
        <f t="shared" si="1134"/>
        <v>0</v>
      </c>
      <c r="AU508" s="5">
        <f t="shared" si="1134"/>
        <v>0</v>
      </c>
    </row>
    <row r="509" spans="1:70" ht="15">
      <c r="A509" s="438"/>
      <c r="B509" s="1413"/>
      <c r="C509" s="1413"/>
      <c r="D509" s="1413"/>
      <c r="E509" s="1413"/>
      <c r="F509" s="1413"/>
      <c r="G509" s="126" t="s">
        <v>522</v>
      </c>
      <c r="H509" s="127" t="s">
        <v>527</v>
      </c>
      <c r="I509" s="5">
        <f t="shared" si="1130"/>
        <v>0</v>
      </c>
      <c r="J509" s="5">
        <f t="shared" si="1131"/>
        <v>0</v>
      </c>
      <c r="K509" s="5"/>
      <c r="L509" s="5"/>
      <c r="M509" s="337"/>
      <c r="N509" s="337"/>
      <c r="O509" s="337"/>
      <c r="P509" s="5"/>
      <c r="Q509" s="5">
        <f t="shared" ref="Q509:AU509" si="1135">Q230</f>
        <v>0</v>
      </c>
      <c r="R509" s="5">
        <f t="shared" si="1135"/>
        <v>0</v>
      </c>
      <c r="S509" s="5">
        <f t="shared" si="1133"/>
        <v>0</v>
      </c>
      <c r="T509" s="5">
        <f t="shared" si="1135"/>
        <v>0</v>
      </c>
      <c r="U509" s="5">
        <f t="shared" si="1135"/>
        <v>0</v>
      </c>
      <c r="V509" s="116">
        <f t="shared" si="1135"/>
        <v>0</v>
      </c>
      <c r="W509" s="5">
        <f t="shared" si="1135"/>
        <v>0</v>
      </c>
      <c r="X509" s="5">
        <f t="shared" si="1135"/>
        <v>0</v>
      </c>
      <c r="Y509" s="5">
        <f t="shared" si="1135"/>
        <v>0</v>
      </c>
      <c r="Z509" s="5">
        <f t="shared" si="1135"/>
        <v>0</v>
      </c>
      <c r="AA509" s="5">
        <f t="shared" si="1135"/>
        <v>0</v>
      </c>
      <c r="AB509" s="116">
        <f t="shared" si="1135"/>
        <v>0</v>
      </c>
      <c r="AC509" s="5">
        <f t="shared" si="1135"/>
        <v>0</v>
      </c>
      <c r="AD509" s="5">
        <f t="shared" si="1135"/>
        <v>0</v>
      </c>
      <c r="AE509" s="5">
        <f t="shared" si="1135"/>
        <v>0</v>
      </c>
      <c r="AF509" s="5">
        <f t="shared" si="1135"/>
        <v>0</v>
      </c>
      <c r="AG509" s="5">
        <f t="shared" si="1135"/>
        <v>0</v>
      </c>
      <c r="AH509" s="5">
        <f t="shared" si="1135"/>
        <v>0</v>
      </c>
      <c r="AI509" s="5">
        <f t="shared" si="1135"/>
        <v>0</v>
      </c>
      <c r="AJ509" s="116">
        <f t="shared" si="1135"/>
        <v>0</v>
      </c>
      <c r="AK509" s="5">
        <f t="shared" si="1135"/>
        <v>0</v>
      </c>
      <c r="AL509" s="5">
        <f t="shared" si="1135"/>
        <v>0</v>
      </c>
      <c r="AM509" s="5">
        <f t="shared" si="1135"/>
        <v>0</v>
      </c>
      <c r="AN509" s="5">
        <f t="shared" si="1135"/>
        <v>0</v>
      </c>
      <c r="AO509" s="5">
        <f t="shared" si="1135"/>
        <v>0</v>
      </c>
      <c r="AP509" s="5">
        <f t="shared" si="1135"/>
        <v>0</v>
      </c>
      <c r="AQ509" s="5">
        <f t="shared" si="1135"/>
        <v>0</v>
      </c>
      <c r="AR509" s="5">
        <f t="shared" si="1135"/>
        <v>0</v>
      </c>
      <c r="AS509" s="116">
        <f t="shared" si="1135"/>
        <v>0</v>
      </c>
      <c r="AT509" s="5">
        <f t="shared" si="1135"/>
        <v>0</v>
      </c>
      <c r="AU509" s="5">
        <f t="shared" si="1135"/>
        <v>0</v>
      </c>
    </row>
    <row r="510" spans="1:70" ht="15">
      <c r="A510" s="438"/>
      <c r="B510" s="1413"/>
      <c r="C510" s="1413"/>
      <c r="D510" s="1413"/>
      <c r="E510" s="1413"/>
      <c r="F510" s="1413"/>
      <c r="G510" s="128" t="s">
        <v>522</v>
      </c>
      <c r="H510" s="129" t="s">
        <v>528</v>
      </c>
      <c r="I510" s="5">
        <f t="shared" si="1130"/>
        <v>0</v>
      </c>
      <c r="J510" s="5">
        <f t="shared" si="1131"/>
        <v>0</v>
      </c>
      <c r="K510" s="5"/>
      <c r="L510" s="5"/>
      <c r="M510" s="337"/>
      <c r="N510" s="337"/>
      <c r="O510" s="337"/>
      <c r="P510" s="5"/>
      <c r="Q510" s="5">
        <f t="shared" ref="Q510:AU510" si="1136">Q329</f>
        <v>0</v>
      </c>
      <c r="R510" s="5">
        <f t="shared" si="1136"/>
        <v>0</v>
      </c>
      <c r="S510" s="5">
        <f t="shared" si="1133"/>
        <v>0</v>
      </c>
      <c r="T510" s="5">
        <f t="shared" si="1136"/>
        <v>0</v>
      </c>
      <c r="U510" s="5">
        <f t="shared" si="1136"/>
        <v>0</v>
      </c>
      <c r="V510" s="116">
        <f t="shared" si="1136"/>
        <v>0</v>
      </c>
      <c r="W510" s="5">
        <f t="shared" si="1136"/>
        <v>0</v>
      </c>
      <c r="X510" s="5">
        <f t="shared" si="1136"/>
        <v>0</v>
      </c>
      <c r="Y510" s="5">
        <f t="shared" si="1136"/>
        <v>0</v>
      </c>
      <c r="Z510" s="5">
        <f t="shared" si="1136"/>
        <v>0</v>
      </c>
      <c r="AA510" s="5">
        <f t="shared" si="1136"/>
        <v>0</v>
      </c>
      <c r="AB510" s="116">
        <f t="shared" si="1136"/>
        <v>0</v>
      </c>
      <c r="AC510" s="5">
        <f t="shared" si="1136"/>
        <v>0</v>
      </c>
      <c r="AD510" s="5">
        <f t="shared" si="1136"/>
        <v>0</v>
      </c>
      <c r="AE510" s="5">
        <f t="shared" si="1136"/>
        <v>0</v>
      </c>
      <c r="AF510" s="5">
        <f t="shared" si="1136"/>
        <v>0</v>
      </c>
      <c r="AG510" s="5">
        <f t="shared" si="1136"/>
        <v>0</v>
      </c>
      <c r="AH510" s="5">
        <f t="shared" si="1136"/>
        <v>0</v>
      </c>
      <c r="AI510" s="5">
        <f t="shared" si="1136"/>
        <v>0</v>
      </c>
      <c r="AJ510" s="116">
        <f t="shared" si="1136"/>
        <v>0</v>
      </c>
      <c r="AK510" s="5">
        <f t="shared" si="1136"/>
        <v>0</v>
      </c>
      <c r="AL510" s="5">
        <f t="shared" si="1136"/>
        <v>0</v>
      </c>
      <c r="AM510" s="5">
        <f t="shared" si="1136"/>
        <v>0</v>
      </c>
      <c r="AN510" s="5">
        <f t="shared" si="1136"/>
        <v>0</v>
      </c>
      <c r="AO510" s="5">
        <f t="shared" si="1136"/>
        <v>0</v>
      </c>
      <c r="AP510" s="5">
        <f t="shared" si="1136"/>
        <v>0</v>
      </c>
      <c r="AQ510" s="5">
        <f t="shared" si="1136"/>
        <v>0</v>
      </c>
      <c r="AR510" s="5">
        <f t="shared" si="1136"/>
        <v>0</v>
      </c>
      <c r="AS510" s="116">
        <f t="shared" si="1136"/>
        <v>0</v>
      </c>
      <c r="AT510" s="5">
        <f t="shared" si="1136"/>
        <v>0</v>
      </c>
      <c r="AU510" s="5">
        <f t="shared" si="1136"/>
        <v>0</v>
      </c>
    </row>
    <row r="511" spans="1:70" ht="15">
      <c r="A511" s="438"/>
      <c r="B511" s="1413"/>
      <c r="C511" s="1413"/>
      <c r="D511" s="1413"/>
      <c r="E511" s="1413"/>
      <c r="F511" s="1413"/>
      <c r="G511" s="130" t="s">
        <v>522</v>
      </c>
      <c r="H511" s="131" t="s">
        <v>529</v>
      </c>
      <c r="I511" s="132">
        <f t="shared" si="1130"/>
        <v>0</v>
      </c>
      <c r="J511" s="132">
        <f t="shared" si="1131"/>
        <v>0</v>
      </c>
      <c r="K511" s="132"/>
      <c r="L511" s="132"/>
      <c r="M511" s="419"/>
      <c r="N511" s="419"/>
      <c r="O511" s="419"/>
      <c r="P511" s="132"/>
      <c r="Q511" s="132">
        <f t="shared" ref="Q511:AU511" si="1137">Q428</f>
        <v>0</v>
      </c>
      <c r="R511" s="132">
        <f t="shared" si="1137"/>
        <v>0</v>
      </c>
      <c r="S511" s="132">
        <f t="shared" si="1133"/>
        <v>0</v>
      </c>
      <c r="T511" s="132">
        <f t="shared" si="1137"/>
        <v>0</v>
      </c>
      <c r="U511" s="132">
        <f t="shared" si="1137"/>
        <v>0</v>
      </c>
      <c r="V511" s="133">
        <f t="shared" si="1137"/>
        <v>0</v>
      </c>
      <c r="W511" s="132">
        <f t="shared" si="1137"/>
        <v>0</v>
      </c>
      <c r="X511" s="132">
        <f t="shared" si="1137"/>
        <v>0</v>
      </c>
      <c r="Y511" s="132">
        <f t="shared" si="1137"/>
        <v>0</v>
      </c>
      <c r="Z511" s="132">
        <f t="shared" si="1137"/>
        <v>0</v>
      </c>
      <c r="AA511" s="132">
        <f t="shared" si="1137"/>
        <v>0</v>
      </c>
      <c r="AB511" s="133">
        <f t="shared" si="1137"/>
        <v>0</v>
      </c>
      <c r="AC511" s="132">
        <f t="shared" si="1137"/>
        <v>0</v>
      </c>
      <c r="AD511" s="132">
        <f t="shared" si="1137"/>
        <v>0</v>
      </c>
      <c r="AE511" s="132">
        <f t="shared" si="1137"/>
        <v>0</v>
      </c>
      <c r="AF511" s="132">
        <f t="shared" si="1137"/>
        <v>0</v>
      </c>
      <c r="AG511" s="132">
        <f t="shared" si="1137"/>
        <v>0</v>
      </c>
      <c r="AH511" s="132">
        <f t="shared" si="1137"/>
        <v>0</v>
      </c>
      <c r="AI511" s="132">
        <f t="shared" si="1137"/>
        <v>0</v>
      </c>
      <c r="AJ511" s="133">
        <f t="shared" si="1137"/>
        <v>0</v>
      </c>
      <c r="AK511" s="132">
        <f>AK428</f>
        <v>0</v>
      </c>
      <c r="AL511" s="132">
        <f t="shared" si="1137"/>
        <v>0</v>
      </c>
      <c r="AM511" s="132">
        <f t="shared" si="1137"/>
        <v>0</v>
      </c>
      <c r="AN511" s="132">
        <f t="shared" si="1137"/>
        <v>0</v>
      </c>
      <c r="AO511" s="132">
        <f t="shared" si="1137"/>
        <v>0</v>
      </c>
      <c r="AP511" s="132">
        <f t="shared" si="1137"/>
        <v>0</v>
      </c>
      <c r="AQ511" s="132">
        <f t="shared" si="1137"/>
        <v>0</v>
      </c>
      <c r="AR511" s="132">
        <f t="shared" si="1137"/>
        <v>0</v>
      </c>
      <c r="AS511" s="133">
        <f t="shared" si="1137"/>
        <v>0</v>
      </c>
      <c r="AT511" s="132">
        <f t="shared" si="1137"/>
        <v>0</v>
      </c>
      <c r="AU511" s="132">
        <f t="shared" si="1137"/>
        <v>0</v>
      </c>
    </row>
    <row r="512" spans="1:70" ht="15">
      <c r="A512" s="438"/>
      <c r="B512" s="1413"/>
      <c r="C512" s="1413"/>
      <c r="D512" s="1413"/>
      <c r="E512" s="1413"/>
      <c r="F512" s="1413"/>
      <c r="G512" s="84" t="s">
        <v>522</v>
      </c>
      <c r="H512" s="174" t="s">
        <v>551</v>
      </c>
      <c r="I512" s="175">
        <f t="shared" ref="I512:J512" si="1138">SUM(I507:I511)/(COUNTIF(I507:I511,"&gt;0.00")+0.00001)</f>
        <v>0</v>
      </c>
      <c r="J512" s="175">
        <f t="shared" si="1138"/>
        <v>0</v>
      </c>
      <c r="K512" s="175"/>
      <c r="L512" s="175"/>
      <c r="M512" s="420"/>
      <c r="N512" s="420"/>
      <c r="O512" s="420"/>
      <c r="P512" s="175"/>
      <c r="Q512" s="146">
        <f>SUM(Q507:Q511)/(COUNTIF($Q$507:$Q$511,"&gt;0.00")+0.00001)</f>
        <v>0</v>
      </c>
      <c r="R512" s="146">
        <f t="shared" ref="R512:AS512" si="1139">SUM(R507:R511)/(COUNTIF($Q$507:$Q$511,"&gt;0.00")+0.00001)</f>
        <v>0</v>
      </c>
      <c r="S512" s="146">
        <f t="shared" si="1139"/>
        <v>0</v>
      </c>
      <c r="T512" s="146">
        <f t="shared" si="1139"/>
        <v>0</v>
      </c>
      <c r="U512" s="146">
        <f t="shared" si="1139"/>
        <v>0</v>
      </c>
      <c r="V512" s="146">
        <f t="shared" si="1139"/>
        <v>0</v>
      </c>
      <c r="W512" s="146">
        <f t="shared" si="1139"/>
        <v>0</v>
      </c>
      <c r="X512" s="146">
        <f t="shared" si="1139"/>
        <v>0</v>
      </c>
      <c r="Y512" s="146">
        <f t="shared" si="1139"/>
        <v>0</v>
      </c>
      <c r="Z512" s="146">
        <f t="shared" si="1139"/>
        <v>0</v>
      </c>
      <c r="AA512" s="146">
        <f t="shared" si="1139"/>
        <v>0</v>
      </c>
      <c r="AB512" s="146">
        <f t="shared" si="1139"/>
        <v>0</v>
      </c>
      <c r="AC512" s="146">
        <f t="shared" si="1139"/>
        <v>0</v>
      </c>
      <c r="AD512" s="146">
        <f t="shared" si="1139"/>
        <v>0</v>
      </c>
      <c r="AE512" s="146">
        <f t="shared" si="1139"/>
        <v>0</v>
      </c>
      <c r="AF512" s="146">
        <f t="shared" si="1139"/>
        <v>0</v>
      </c>
      <c r="AG512" s="146">
        <f t="shared" si="1139"/>
        <v>0</v>
      </c>
      <c r="AH512" s="146">
        <f t="shared" si="1139"/>
        <v>0</v>
      </c>
      <c r="AI512" s="146">
        <f t="shared" si="1139"/>
        <v>0</v>
      </c>
      <c r="AJ512" s="146">
        <f t="shared" si="1139"/>
        <v>0</v>
      </c>
      <c r="AK512" s="146">
        <f t="shared" si="1139"/>
        <v>0</v>
      </c>
      <c r="AL512" s="146">
        <f t="shared" si="1139"/>
        <v>0</v>
      </c>
      <c r="AM512" s="146">
        <f t="shared" si="1139"/>
        <v>0</v>
      </c>
      <c r="AN512" s="146">
        <f t="shared" si="1139"/>
        <v>0</v>
      </c>
      <c r="AO512" s="146">
        <f t="shared" si="1139"/>
        <v>0</v>
      </c>
      <c r="AP512" s="146">
        <f t="shared" si="1139"/>
        <v>0</v>
      </c>
      <c r="AQ512" s="146">
        <f t="shared" si="1139"/>
        <v>0</v>
      </c>
      <c r="AR512" s="146">
        <f t="shared" si="1139"/>
        <v>0</v>
      </c>
      <c r="AS512" s="146">
        <f t="shared" si="1139"/>
        <v>0</v>
      </c>
      <c r="AT512" s="146">
        <f t="shared" ref="AT512:AU512" si="1140">SUM(AT507:AT511)/(IF($E$11&gt;0, 1,0)+IF($E$110&gt;0,1,0)+IF($E$209&gt;0,1,0)+IF($E$308&gt;0,1,0)+IF($E$407&gt;0,1)+0.00001)</f>
        <v>0</v>
      </c>
      <c r="AU512" s="146">
        <f t="shared" si="1140"/>
        <v>0</v>
      </c>
    </row>
    <row r="513" spans="1:70" ht="15">
      <c r="A513" s="438"/>
      <c r="B513" s="1413"/>
      <c r="C513" s="1413"/>
      <c r="D513" s="1413"/>
      <c r="E513" s="1413"/>
      <c r="F513" s="1413"/>
      <c r="G513" s="84" t="s">
        <v>522</v>
      </c>
      <c r="H513" s="174"/>
      <c r="Q513" s="1419" t="s">
        <v>552</v>
      </c>
      <c r="R513" s="1419"/>
      <c r="S513" s="1419"/>
      <c r="T513" s="1419"/>
      <c r="U513" s="1419"/>
      <c r="V513" s="1420"/>
      <c r="W513" s="146">
        <f>(W35+W134+W233+W332+W431)/(COUNTIF($W$507:$W$511,"&gt;0.00")+0.00001)</f>
        <v>0</v>
      </c>
      <c r="X513" s="146">
        <f t="shared" ref="X513:AS513" si="1141">(X35+X134+X233+X332+X431)/(COUNTIF($W$507:$W$511,"&gt;0.00")+0.00001)</f>
        <v>0</v>
      </c>
      <c r="Y513" s="146">
        <f t="shared" si="1141"/>
        <v>0</v>
      </c>
      <c r="Z513" s="146">
        <f t="shared" si="1141"/>
        <v>0</v>
      </c>
      <c r="AA513" s="146">
        <f t="shared" si="1141"/>
        <v>0</v>
      </c>
      <c r="AB513" s="146">
        <f t="shared" si="1141"/>
        <v>0</v>
      </c>
      <c r="AC513" s="146">
        <f t="shared" si="1141"/>
        <v>0</v>
      </c>
      <c r="AD513" s="146">
        <f t="shared" si="1141"/>
        <v>0</v>
      </c>
      <c r="AE513" s="146">
        <f t="shared" si="1141"/>
        <v>0</v>
      </c>
      <c r="AF513" s="146">
        <f t="shared" si="1141"/>
        <v>0</v>
      </c>
      <c r="AG513" s="146">
        <f t="shared" si="1141"/>
        <v>0</v>
      </c>
      <c r="AH513" s="146">
        <f t="shared" si="1141"/>
        <v>0</v>
      </c>
      <c r="AI513" s="146">
        <f t="shared" si="1141"/>
        <v>0</v>
      </c>
      <c r="AJ513" s="146">
        <f t="shared" si="1141"/>
        <v>0</v>
      </c>
      <c r="AK513" s="146">
        <f t="shared" si="1141"/>
        <v>0</v>
      </c>
      <c r="AL513" s="146">
        <f t="shared" si="1141"/>
        <v>0</v>
      </c>
      <c r="AM513" s="146">
        <f t="shared" si="1141"/>
        <v>0</v>
      </c>
      <c r="AN513" s="146">
        <f t="shared" si="1141"/>
        <v>0</v>
      </c>
      <c r="AO513" s="146">
        <f t="shared" si="1141"/>
        <v>0</v>
      </c>
      <c r="AP513" s="146">
        <f t="shared" si="1141"/>
        <v>0</v>
      </c>
      <c r="AQ513" s="146">
        <f t="shared" si="1141"/>
        <v>0</v>
      </c>
      <c r="AR513" s="146">
        <f t="shared" si="1141"/>
        <v>0</v>
      </c>
      <c r="AS513" s="146">
        <f t="shared" si="1141"/>
        <v>0</v>
      </c>
      <c r="AT513" s="176"/>
      <c r="AU513" s="176"/>
    </row>
    <row r="514" spans="1:70" s="106" customFormat="1" ht="15">
      <c r="A514" s="438"/>
      <c r="B514" s="1413"/>
      <c r="C514" s="1413"/>
      <c r="D514" s="1413"/>
      <c r="E514" s="1413"/>
      <c r="F514" s="1413"/>
      <c r="G514" s="84" t="s">
        <v>522</v>
      </c>
      <c r="H514" s="176"/>
      <c r="I514" s="177"/>
      <c r="J514" s="177"/>
      <c r="K514" s="177"/>
      <c r="L514" s="177"/>
      <c r="M514" s="422"/>
      <c r="N514" s="422"/>
      <c r="O514" s="422"/>
      <c r="P514" s="177"/>
      <c r="Q514" s="1419" t="s">
        <v>546</v>
      </c>
      <c r="R514" s="1419"/>
      <c r="S514" s="1419"/>
      <c r="T514" s="1419"/>
      <c r="U514" s="1419"/>
      <c r="V514" s="1420"/>
      <c r="W514" s="146">
        <f t="shared" ref="W514:AS514" si="1142">100*W513/W429</f>
        <v>0</v>
      </c>
      <c r="X514" s="146">
        <f t="shared" si="1142"/>
        <v>0</v>
      </c>
      <c r="Y514" s="146">
        <f t="shared" si="1142"/>
        <v>0</v>
      </c>
      <c r="Z514" s="146">
        <f t="shared" si="1142"/>
        <v>0</v>
      </c>
      <c r="AA514" s="146">
        <f t="shared" si="1142"/>
        <v>0</v>
      </c>
      <c r="AB514" s="137">
        <f t="shared" si="1142"/>
        <v>0</v>
      </c>
      <c r="AC514" s="146">
        <f t="shared" si="1142"/>
        <v>0</v>
      </c>
      <c r="AD514" s="146">
        <f t="shared" si="1142"/>
        <v>0</v>
      </c>
      <c r="AE514" s="146">
        <f t="shared" si="1142"/>
        <v>0</v>
      </c>
      <c r="AF514" s="146">
        <f t="shared" si="1142"/>
        <v>0</v>
      </c>
      <c r="AG514" s="146">
        <f t="shared" si="1142"/>
        <v>0</v>
      </c>
      <c r="AH514" s="146">
        <f t="shared" si="1142"/>
        <v>0</v>
      </c>
      <c r="AI514" s="146">
        <f t="shared" si="1142"/>
        <v>0</v>
      </c>
      <c r="AJ514" s="137">
        <f t="shared" si="1142"/>
        <v>0</v>
      </c>
      <c r="AK514" s="146">
        <f t="shared" si="1142"/>
        <v>0</v>
      </c>
      <c r="AL514" s="146">
        <f t="shared" si="1142"/>
        <v>0</v>
      </c>
      <c r="AM514" s="146">
        <f t="shared" si="1142"/>
        <v>0</v>
      </c>
      <c r="AN514" s="146">
        <f t="shared" si="1142"/>
        <v>0</v>
      </c>
      <c r="AO514" s="146">
        <f t="shared" si="1142"/>
        <v>0</v>
      </c>
      <c r="AP514" s="146">
        <f t="shared" si="1142"/>
        <v>0</v>
      </c>
      <c r="AQ514" s="146">
        <f t="shared" si="1142"/>
        <v>0</v>
      </c>
      <c r="AR514" s="146">
        <f t="shared" si="1142"/>
        <v>0</v>
      </c>
      <c r="AS514" s="137">
        <f t="shared" si="1142"/>
        <v>0</v>
      </c>
      <c r="AT514" s="176"/>
      <c r="AU514" s="176"/>
    </row>
    <row r="515" spans="1:70" ht="15" thickBot="1">
      <c r="A515" s="440"/>
      <c r="B515" s="169"/>
      <c r="C515" s="169"/>
      <c r="D515" s="170"/>
      <c r="E515" s="170"/>
      <c r="F515" s="170"/>
      <c r="G515" s="171"/>
      <c r="H515" s="171"/>
      <c r="I515" s="169"/>
      <c r="J515" s="169"/>
      <c r="K515" s="169"/>
      <c r="L515" s="169"/>
      <c r="M515" s="423"/>
      <c r="N515" s="423"/>
      <c r="O515" s="423"/>
      <c r="P515" s="169"/>
      <c r="Q515" s="169"/>
      <c r="R515" s="169"/>
      <c r="S515" s="169"/>
      <c r="T515" s="169"/>
      <c r="U515" s="169"/>
      <c r="V515" s="169"/>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172"/>
      <c r="AT515" s="169"/>
      <c r="AU515" s="169"/>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row>
    <row r="516" spans="1:70" ht="56">
      <c r="A516" s="152"/>
      <c r="B516" s="152"/>
      <c r="C516" s="152"/>
      <c r="D516" s="153"/>
      <c r="E516" s="153"/>
      <c r="F516" s="153"/>
      <c r="G516" s="1415" t="s">
        <v>523</v>
      </c>
      <c r="H516" s="1415"/>
      <c r="I516" s="191" t="s">
        <v>562</v>
      </c>
      <c r="J516" s="191" t="s">
        <v>563</v>
      </c>
      <c r="K516" s="191"/>
      <c r="L516" s="191"/>
      <c r="M516" s="424"/>
      <c r="N516" s="424"/>
      <c r="O516" s="424"/>
      <c r="P516" s="191"/>
      <c r="Q516" s="192" t="s">
        <v>384</v>
      </c>
      <c r="R516" s="193" t="s">
        <v>455</v>
      </c>
      <c r="S516" s="193"/>
      <c r="T516" s="193" t="s">
        <v>456</v>
      </c>
      <c r="U516" s="193" t="s">
        <v>535</v>
      </c>
      <c r="V516" s="194" t="s">
        <v>457</v>
      </c>
      <c r="W516" s="193" t="s">
        <v>75</v>
      </c>
      <c r="X516" s="193" t="s">
        <v>385</v>
      </c>
      <c r="Y516" s="193" t="s">
        <v>386</v>
      </c>
      <c r="Z516" s="193" t="s">
        <v>387</v>
      </c>
      <c r="AA516" s="193" t="s">
        <v>388</v>
      </c>
      <c r="AB516" s="194" t="s">
        <v>389</v>
      </c>
      <c r="AC516" s="193" t="s">
        <v>390</v>
      </c>
      <c r="AD516" s="193" t="s">
        <v>391</v>
      </c>
      <c r="AE516" s="193" t="s">
        <v>392</v>
      </c>
      <c r="AF516" s="193" t="s">
        <v>393</v>
      </c>
      <c r="AG516" s="193" t="s">
        <v>394</v>
      </c>
      <c r="AH516" s="193" t="s">
        <v>395</v>
      </c>
      <c r="AI516" s="193" t="s">
        <v>396</v>
      </c>
      <c r="AJ516" s="194" t="s">
        <v>397</v>
      </c>
      <c r="AK516" s="193" t="s">
        <v>398</v>
      </c>
      <c r="AL516" s="193" t="s">
        <v>399</v>
      </c>
      <c r="AM516" s="193" t="s">
        <v>400</v>
      </c>
      <c r="AN516" s="193" t="s">
        <v>401</v>
      </c>
      <c r="AO516" s="193" t="s">
        <v>402</v>
      </c>
      <c r="AP516" s="193" t="s">
        <v>406</v>
      </c>
      <c r="AQ516" s="193" t="s">
        <v>405</v>
      </c>
      <c r="AR516" s="193" t="s">
        <v>403</v>
      </c>
      <c r="AS516" s="194" t="s">
        <v>404</v>
      </c>
      <c r="AT516" s="193" t="s">
        <v>456</v>
      </c>
      <c r="AU516" s="193" t="s">
        <v>456</v>
      </c>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row>
    <row r="517" spans="1:70" ht="15">
      <c r="A517" s="152"/>
      <c r="B517" s="1413" t="s">
        <v>579</v>
      </c>
      <c r="C517" s="1413"/>
      <c r="D517" s="1413"/>
      <c r="E517" s="1413"/>
      <c r="F517" s="1413"/>
      <c r="G517" s="122" t="s">
        <v>523</v>
      </c>
      <c r="H517" s="123" t="s">
        <v>521</v>
      </c>
      <c r="I517" s="5">
        <f>100*R517/(Q517+0.00001)</f>
        <v>7.0827477873967037</v>
      </c>
      <c r="J517" s="5">
        <f>100*U517/(T517+0.00001)</f>
        <v>8.2311190220699935</v>
      </c>
      <c r="K517" s="5"/>
      <c r="L517" s="5"/>
      <c r="M517" s="337"/>
      <c r="N517" s="337"/>
      <c r="O517" s="337"/>
      <c r="P517" s="5"/>
      <c r="Q517" s="5">
        <f t="shared" ref="Q517:AU517" si="1143">Q51</f>
        <v>145</v>
      </c>
      <c r="R517" s="5">
        <f t="shared" si="1143"/>
        <v>10.269985</v>
      </c>
      <c r="S517" s="5">
        <f t="shared" ref="S517:S521" si="1144">Q517-R517</f>
        <v>134.73001500000001</v>
      </c>
      <c r="T517" s="5">
        <f t="shared" si="1143"/>
        <v>14.416699999999999</v>
      </c>
      <c r="U517" s="5">
        <f t="shared" si="1143"/>
        <v>1.1866565591666669</v>
      </c>
      <c r="V517" s="116">
        <f t="shared" si="1143"/>
        <v>399.59999999999997</v>
      </c>
      <c r="W517" s="5">
        <f t="shared" si="1143"/>
        <v>274.58136000000002</v>
      </c>
      <c r="X517" s="5">
        <f t="shared" si="1143"/>
        <v>14.560014939309058</v>
      </c>
      <c r="Y517" s="5">
        <f t="shared" si="1143"/>
        <v>6.434029878618114</v>
      </c>
      <c r="Z517" s="5">
        <f t="shared" si="1143"/>
        <v>21.337007469654527</v>
      </c>
      <c r="AA517" s="5">
        <f t="shared" si="1143"/>
        <v>1.095</v>
      </c>
      <c r="AB517" s="116">
        <f t="shared" si="1143"/>
        <v>3.9834298786181144</v>
      </c>
      <c r="AC517" s="5">
        <f t="shared" si="1143"/>
        <v>88.786000000000016</v>
      </c>
      <c r="AD517" s="5">
        <f t="shared" si="1143"/>
        <v>220.25000000000003</v>
      </c>
      <c r="AE517" s="5">
        <f t="shared" si="1143"/>
        <v>206.28200000000001</v>
      </c>
      <c r="AF517" s="5">
        <f t="shared" si="1143"/>
        <v>34.049999999999997</v>
      </c>
      <c r="AG517" s="5">
        <f t="shared" si="1143"/>
        <v>195.8</v>
      </c>
      <c r="AH517" s="5">
        <f t="shared" si="1143"/>
        <v>0.63300000000000001</v>
      </c>
      <c r="AI517" s="5">
        <f t="shared" si="1143"/>
        <v>1.2119701213818863</v>
      </c>
      <c r="AJ517" s="116">
        <f t="shared" si="1143"/>
        <v>0.11120224089635855</v>
      </c>
      <c r="AK517" s="5">
        <f t="shared" si="1143"/>
        <v>66.239999999999995</v>
      </c>
      <c r="AL517" s="5">
        <f t="shared" si="1143"/>
        <v>8.8902240896358536E-2</v>
      </c>
      <c r="AM517" s="5">
        <f t="shared" si="1143"/>
        <v>0.25850373482726424</v>
      </c>
      <c r="AN517" s="5">
        <f t="shared" si="1143"/>
        <v>1.4500336134453782</v>
      </c>
      <c r="AO517" s="5">
        <f t="shared" si="1143"/>
        <v>0.13806918767507001</v>
      </c>
      <c r="AP517" s="5">
        <f t="shared" si="1143"/>
        <v>18.329999999999998</v>
      </c>
      <c r="AQ517" s="5">
        <f t="shared" si="1143"/>
        <v>0.51500000000000001</v>
      </c>
      <c r="AR517" s="5">
        <f t="shared" si="1143"/>
        <v>0.5</v>
      </c>
      <c r="AS517" s="116">
        <f t="shared" si="1143"/>
        <v>0.1791813258636788</v>
      </c>
      <c r="AT517" s="5">
        <f t="shared" si="1143"/>
        <v>14.416699999999999</v>
      </c>
      <c r="AU517" s="5">
        <f t="shared" si="1143"/>
        <v>14.416699999999999</v>
      </c>
    </row>
    <row r="518" spans="1:70" ht="15">
      <c r="A518" s="152"/>
      <c r="B518" s="1413"/>
      <c r="C518" s="1413"/>
      <c r="D518" s="1413"/>
      <c r="E518" s="1413"/>
      <c r="F518" s="1413"/>
      <c r="G518" s="124" t="s">
        <v>523</v>
      </c>
      <c r="H518" s="125" t="s">
        <v>526</v>
      </c>
      <c r="I518" s="5">
        <f>100*R518/(Q518+0.00001)</f>
        <v>9.3513184134422467</v>
      </c>
      <c r="J518" s="5">
        <f t="shared" ref="J518:J521" si="1145">100*U518/(T518+0.00001)</f>
        <v>5.016770754424229</v>
      </c>
      <c r="K518" s="5"/>
      <c r="L518" s="5"/>
      <c r="M518" s="337"/>
      <c r="N518" s="337"/>
      <c r="O518" s="337"/>
      <c r="P518" s="5"/>
      <c r="Q518" s="5">
        <f t="shared" ref="Q518:AU518" si="1146">Q150</f>
        <v>185</v>
      </c>
      <c r="R518" s="5">
        <f t="shared" si="1146"/>
        <v>17.299939999999999</v>
      </c>
      <c r="S518" s="5">
        <f t="shared" si="1144"/>
        <v>167.70006000000001</v>
      </c>
      <c r="T518" s="5">
        <f t="shared" si="1146"/>
        <v>31.484000000000002</v>
      </c>
      <c r="U518" s="5">
        <f t="shared" si="1146"/>
        <v>1.579480606</v>
      </c>
      <c r="V518" s="116">
        <f t="shared" si="1146"/>
        <v>252.7</v>
      </c>
      <c r="W518" s="5">
        <f t="shared" si="1146"/>
        <v>349.97516666666667</v>
      </c>
      <c r="X518" s="5">
        <f t="shared" si="1146"/>
        <v>53.149860041987402</v>
      </c>
      <c r="Y518" s="5">
        <f t="shared" si="1146"/>
        <v>9.9502799160251918</v>
      </c>
      <c r="Z518" s="5">
        <f t="shared" si="1146"/>
        <v>11.1</v>
      </c>
      <c r="AA518" s="5">
        <f t="shared" si="1146"/>
        <v>1.1226</v>
      </c>
      <c r="AB518" s="116">
        <f t="shared" si="1146"/>
        <v>7.2476000000000003</v>
      </c>
      <c r="AC518" s="5">
        <f t="shared" si="1146"/>
        <v>43.497599999999998</v>
      </c>
      <c r="AD518" s="5">
        <f t="shared" si="1146"/>
        <v>166.99760000000001</v>
      </c>
      <c r="AE518" s="5">
        <f t="shared" si="1146"/>
        <v>152.99760000000001</v>
      </c>
      <c r="AF518" s="5">
        <f t="shared" si="1146"/>
        <v>44.497599999999998</v>
      </c>
      <c r="AG518" s="5">
        <f t="shared" si="1146"/>
        <v>136.74760000000001</v>
      </c>
      <c r="AH518" s="5">
        <f t="shared" si="1146"/>
        <v>0.43748803358992305</v>
      </c>
      <c r="AI518" s="5">
        <f t="shared" si="1146"/>
        <v>0.80776794961511555</v>
      </c>
      <c r="AJ518" s="116">
        <f t="shared" si="1146"/>
        <v>9.6600000000000002E-3</v>
      </c>
      <c r="AK518" s="5">
        <f t="shared" si="1146"/>
        <v>125.99760000000001</v>
      </c>
      <c r="AL518" s="5">
        <f t="shared" si="1146"/>
        <v>6.2488033589923032E-2</v>
      </c>
      <c r="AM518" s="5">
        <f t="shared" si="1146"/>
        <v>0.18755801259622115</v>
      </c>
      <c r="AN518" s="5">
        <f t="shared" si="1146"/>
        <v>1.297530020993702</v>
      </c>
      <c r="AO518" s="5">
        <f t="shared" si="1146"/>
        <v>5.248803358992303E-2</v>
      </c>
      <c r="AP518" s="5">
        <f t="shared" si="1146"/>
        <v>23.247599999999998</v>
      </c>
      <c r="AQ518" s="5">
        <f t="shared" si="1146"/>
        <v>0.41963403778866343</v>
      </c>
      <c r="AR518" s="5">
        <f t="shared" si="1146"/>
        <v>0.24759999999999999</v>
      </c>
      <c r="AS518" s="116">
        <f t="shared" si="1146"/>
        <v>2.0053911826452064E-2</v>
      </c>
      <c r="AT518" s="5">
        <f t="shared" si="1146"/>
        <v>31.484000000000002</v>
      </c>
      <c r="AU518" s="5">
        <f t="shared" si="1146"/>
        <v>31.484000000000002</v>
      </c>
    </row>
    <row r="519" spans="1:70" ht="15">
      <c r="A519" s="152"/>
      <c r="B519" s="1413"/>
      <c r="C519" s="1413"/>
      <c r="D519" s="1413"/>
      <c r="E519" s="1413"/>
      <c r="F519" s="1413"/>
      <c r="G519" s="126" t="s">
        <v>523</v>
      </c>
      <c r="H519" s="127" t="s">
        <v>527</v>
      </c>
      <c r="I519" s="5">
        <f t="shared" ref="I519:I521" si="1147">100*R519/(Q519+0.00001)</f>
        <v>4.0739885871119563</v>
      </c>
      <c r="J519" s="5">
        <f t="shared" si="1145"/>
        <v>7.7510975989671049</v>
      </c>
      <c r="K519" s="5"/>
      <c r="L519" s="5"/>
      <c r="M519" s="337"/>
      <c r="N519" s="337"/>
      <c r="O519" s="337"/>
      <c r="P519" s="5"/>
      <c r="Q519" s="5">
        <f t="shared" ref="Q519:AU519" si="1148">Q249</f>
        <v>135</v>
      </c>
      <c r="R519" s="5">
        <f t="shared" si="1148"/>
        <v>5.4998849999999999</v>
      </c>
      <c r="S519" s="5">
        <f t="shared" si="1144"/>
        <v>129.50011499999999</v>
      </c>
      <c r="T519" s="5">
        <f t="shared" si="1148"/>
        <v>40.445499999999996</v>
      </c>
      <c r="U519" s="5">
        <f t="shared" si="1148"/>
        <v>3.1349709545</v>
      </c>
      <c r="V519" s="116">
        <f t="shared" si="1148"/>
        <v>395</v>
      </c>
      <c r="W519" s="5">
        <f t="shared" si="1148"/>
        <v>271.25</v>
      </c>
      <c r="X519" s="5">
        <f t="shared" si="1148"/>
        <v>34.989999999999995</v>
      </c>
      <c r="Y519" s="5">
        <f t="shared" si="1148"/>
        <v>15.12</v>
      </c>
      <c r="Z519" s="5">
        <f t="shared" si="1148"/>
        <v>11.32</v>
      </c>
      <c r="AA519" s="5">
        <f t="shared" si="1148"/>
        <v>0.65710000000000002</v>
      </c>
      <c r="AB519" s="116">
        <f t="shared" si="1148"/>
        <v>4.4851000000000001</v>
      </c>
      <c r="AC519" s="5">
        <f t="shared" si="1148"/>
        <v>375.19709999999998</v>
      </c>
      <c r="AD519" s="5">
        <f t="shared" si="1148"/>
        <v>88.197100000000006</v>
      </c>
      <c r="AE519" s="5">
        <f t="shared" si="1148"/>
        <v>143.69710000000001</v>
      </c>
      <c r="AF519" s="5">
        <f t="shared" si="1148"/>
        <v>10.3971</v>
      </c>
      <c r="AG519" s="5">
        <f t="shared" si="1148"/>
        <v>112.8771</v>
      </c>
      <c r="AH519" s="5">
        <f t="shared" si="1148"/>
        <v>0.19109999999999999</v>
      </c>
      <c r="AI519" s="5">
        <f t="shared" si="1148"/>
        <v>0.85709999999999997</v>
      </c>
      <c r="AJ519" s="116">
        <f t="shared" si="1148"/>
        <v>0.18481999999999998</v>
      </c>
      <c r="AK519" s="5">
        <f t="shared" si="1148"/>
        <v>10.0291</v>
      </c>
      <c r="AL519" s="5">
        <f t="shared" si="1148"/>
        <v>1.9100000000000002E-2</v>
      </c>
      <c r="AM519" s="5">
        <f t="shared" si="1148"/>
        <v>7.51E-2</v>
      </c>
      <c r="AN519" s="5">
        <f t="shared" si="1148"/>
        <v>0.1371</v>
      </c>
      <c r="AO519" s="5">
        <f t="shared" si="1148"/>
        <v>4.6300000000000001E-2</v>
      </c>
      <c r="AP519" s="5">
        <f t="shared" si="1148"/>
        <v>5.7971000000000004</v>
      </c>
      <c r="AQ519" s="5">
        <f t="shared" si="1148"/>
        <v>0.39962000000000003</v>
      </c>
      <c r="AR519" s="5">
        <f t="shared" si="1148"/>
        <v>0.77710000000000001</v>
      </c>
      <c r="AS519" s="116">
        <f t="shared" si="1148"/>
        <v>0.12962000000000001</v>
      </c>
      <c r="AT519" s="5">
        <f t="shared" si="1148"/>
        <v>40.445499999999996</v>
      </c>
      <c r="AU519" s="5">
        <f t="shared" si="1148"/>
        <v>40.445499999999996</v>
      </c>
    </row>
    <row r="520" spans="1:70" ht="15">
      <c r="A520" s="152"/>
      <c r="B520" s="1413"/>
      <c r="C520" s="1413"/>
      <c r="D520" s="1413"/>
      <c r="E520" s="1413"/>
      <c r="F520" s="1413"/>
      <c r="G520" s="128" t="s">
        <v>523</v>
      </c>
      <c r="H520" s="129" t="s">
        <v>528</v>
      </c>
      <c r="I520" s="5">
        <f t="shared" si="1147"/>
        <v>-9.9999994117647416E-5</v>
      </c>
      <c r="J520" s="5">
        <f t="shared" si="1145"/>
        <v>-9.9999962735826338E-5</v>
      </c>
      <c r="K520" s="5"/>
      <c r="L520" s="5"/>
      <c r="M520" s="337"/>
      <c r="N520" s="337"/>
      <c r="O520" s="337"/>
      <c r="P520" s="5"/>
      <c r="Q520" s="5">
        <f t="shared" ref="Q520:AU520" si="1149">Q348</f>
        <v>170</v>
      </c>
      <c r="R520" s="5">
        <f t="shared" si="1149"/>
        <v>-1.7000000000000001E-4</v>
      </c>
      <c r="S520" s="5">
        <f t="shared" si="1144"/>
        <v>170.00017</v>
      </c>
      <c r="T520" s="5">
        <f t="shared" si="1149"/>
        <v>26.835416666666667</v>
      </c>
      <c r="U520" s="5">
        <f t="shared" si="1149"/>
        <v>-2.6835416666666671E-5</v>
      </c>
      <c r="V520" s="116">
        <f t="shared" si="1149"/>
        <v>268.39999999999998</v>
      </c>
      <c r="W520" s="5">
        <f t="shared" si="1149"/>
        <v>355.1</v>
      </c>
      <c r="X520" s="5">
        <f t="shared" si="1149"/>
        <v>35.299999999999997</v>
      </c>
      <c r="Y520" s="5">
        <f t="shared" si="1149"/>
        <v>7.1</v>
      </c>
      <c r="Z520" s="5">
        <f t="shared" si="1149"/>
        <v>18.57</v>
      </c>
      <c r="AA520" s="5">
        <f t="shared" si="1149"/>
        <v>0.56419999999999992</v>
      </c>
      <c r="AB520" s="116">
        <f t="shared" si="1149"/>
        <v>0.69719999999999993</v>
      </c>
      <c r="AC520" s="5">
        <f t="shared" si="1149"/>
        <v>42.797199999999997</v>
      </c>
      <c r="AD520" s="5">
        <f t="shared" si="1149"/>
        <v>153.99719999999999</v>
      </c>
      <c r="AE520" s="5">
        <f t="shared" si="1149"/>
        <v>10.7972</v>
      </c>
      <c r="AF520" s="5">
        <f t="shared" si="1149"/>
        <v>17.997199999999999</v>
      </c>
      <c r="AG520" s="5">
        <f t="shared" si="1149"/>
        <v>88.997200000000007</v>
      </c>
      <c r="AH520" s="5">
        <f t="shared" si="1149"/>
        <v>0.2402</v>
      </c>
      <c r="AI520" s="5">
        <f t="shared" si="1149"/>
        <v>0.45020000000000004</v>
      </c>
      <c r="AJ520" s="116">
        <f t="shared" si="1149"/>
        <v>0.12472</v>
      </c>
      <c r="AK520" s="5">
        <f t="shared" si="1149"/>
        <v>25.997199999999999</v>
      </c>
      <c r="AL520" s="5">
        <f t="shared" si="1149"/>
        <v>3.7000000000000005E-2</v>
      </c>
      <c r="AM520" s="5">
        <f t="shared" si="1149"/>
        <v>0.16620000000000001</v>
      </c>
      <c r="AN520" s="5">
        <f t="shared" si="1149"/>
        <v>0.1482</v>
      </c>
      <c r="AO520" s="5">
        <f t="shared" si="1149"/>
        <v>2.5700000000000001E-2</v>
      </c>
      <c r="AP520" s="5">
        <f t="shared" si="1149"/>
        <v>2.7971999999999997</v>
      </c>
      <c r="AQ520" s="5">
        <f t="shared" si="1149"/>
        <v>0.20471999999999999</v>
      </c>
      <c r="AR520" s="5">
        <f t="shared" si="1149"/>
        <v>-2.8000000000000004E-3</v>
      </c>
      <c r="AS520" s="116">
        <f t="shared" si="1149"/>
        <v>0.44972000000000001</v>
      </c>
      <c r="AT520" s="5">
        <f t="shared" si="1149"/>
        <v>26.835416666666667</v>
      </c>
      <c r="AU520" s="5">
        <f t="shared" si="1149"/>
        <v>26.835416666666667</v>
      </c>
    </row>
    <row r="521" spans="1:70" ht="15">
      <c r="A521" s="152"/>
      <c r="B521" s="1413"/>
      <c r="C521" s="1413"/>
      <c r="D521" s="1413"/>
      <c r="E521" s="1413"/>
      <c r="F521" s="1413"/>
      <c r="G521" s="130" t="s">
        <v>523</v>
      </c>
      <c r="H521" s="131" t="s">
        <v>529</v>
      </c>
      <c r="I521" s="132">
        <f t="shared" si="1147"/>
        <v>16.168931978848317</v>
      </c>
      <c r="J521" s="132">
        <f t="shared" si="1145"/>
        <v>6.5542061536805143</v>
      </c>
      <c r="K521" s="132"/>
      <c r="L521" s="132"/>
      <c r="M521" s="419"/>
      <c r="N521" s="419"/>
      <c r="O521" s="419"/>
      <c r="P521" s="132"/>
      <c r="Q521" s="132">
        <f t="shared" ref="Q521:AU521" si="1150">Q447</f>
        <v>136.6</v>
      </c>
      <c r="R521" s="132">
        <f t="shared" si="1150"/>
        <v>22.086762700000001</v>
      </c>
      <c r="S521" s="132">
        <f t="shared" si="1144"/>
        <v>114.51323729999999</v>
      </c>
      <c r="T521" s="132">
        <f t="shared" si="1150"/>
        <v>27.42329137254902</v>
      </c>
      <c r="U521" s="132">
        <f t="shared" si="1150"/>
        <v>1.7973797061019607</v>
      </c>
      <c r="V521" s="133">
        <f t="shared" si="1150"/>
        <v>299.10199999999998</v>
      </c>
      <c r="W521" s="132">
        <f t="shared" si="1150"/>
        <v>502.19925138760703</v>
      </c>
      <c r="X521" s="132">
        <f t="shared" si="1150"/>
        <v>48.948779692455446</v>
      </c>
      <c r="Y521" s="132">
        <f t="shared" si="1150"/>
        <v>5.8393533766667387</v>
      </c>
      <c r="Z521" s="132">
        <f t="shared" si="1150"/>
        <v>32.091311704635231</v>
      </c>
      <c r="AA521" s="132">
        <f t="shared" si="1150"/>
        <v>1.1749557855477857</v>
      </c>
      <c r="AB521" s="133">
        <f t="shared" si="1150"/>
        <v>2.5601109956971135</v>
      </c>
      <c r="AC521" s="132">
        <f t="shared" si="1150"/>
        <v>11.177585442890441</v>
      </c>
      <c r="AD521" s="132">
        <f t="shared" si="1150"/>
        <v>103.22940800000001</v>
      </c>
      <c r="AE521" s="132">
        <f t="shared" si="1150"/>
        <v>30.851408000000003</v>
      </c>
      <c r="AF521" s="132">
        <f t="shared" si="1150"/>
        <v>14.184188885780886</v>
      </c>
      <c r="AG521" s="132">
        <f t="shared" si="1150"/>
        <v>69.209407999999982</v>
      </c>
      <c r="AH521" s="132">
        <f t="shared" si="1150"/>
        <v>0.50998963646477147</v>
      </c>
      <c r="AI521" s="132">
        <f t="shared" si="1150"/>
        <v>0.43130642786183299</v>
      </c>
      <c r="AJ521" s="133">
        <f t="shared" si="1150"/>
        <v>0.23905009754516673</v>
      </c>
      <c r="AK521" s="132">
        <f t="shared" si="1150"/>
        <v>8.6214079999999971</v>
      </c>
      <c r="AL521" s="132">
        <f t="shared" si="1150"/>
        <v>7.751727974864088E-2</v>
      </c>
      <c r="AM521" s="132">
        <f t="shared" si="1150"/>
        <v>5.0858517402942484E-2</v>
      </c>
      <c r="AN521" s="132">
        <f t="shared" si="1150"/>
        <v>0.76026742293549443</v>
      </c>
      <c r="AO521" s="132">
        <f t="shared" si="1150"/>
        <v>4.1427526364769839E-2</v>
      </c>
      <c r="AP521" s="132">
        <f t="shared" si="1150"/>
        <v>8.9908462284382278</v>
      </c>
      <c r="AQ521" s="132">
        <f t="shared" si="1150"/>
        <v>0.15575791877345888</v>
      </c>
      <c r="AR521" s="132">
        <f t="shared" si="1150"/>
        <v>-5.9200000000000008E-4</v>
      </c>
      <c r="AS521" s="133">
        <f t="shared" si="1150"/>
        <v>4.3342457078039985E-2</v>
      </c>
      <c r="AT521" s="132">
        <f t="shared" si="1150"/>
        <v>27.42329137254902</v>
      </c>
      <c r="AU521" s="132">
        <f t="shared" si="1150"/>
        <v>27.42329137254902</v>
      </c>
    </row>
    <row r="522" spans="1:70" ht="15">
      <c r="A522" s="152"/>
      <c r="B522" s="1413"/>
      <c r="C522" s="1413"/>
      <c r="D522" s="1413"/>
      <c r="E522" s="1413"/>
      <c r="F522" s="1413"/>
      <c r="G522" s="84" t="s">
        <v>523</v>
      </c>
      <c r="H522" s="174" t="s">
        <v>551</v>
      </c>
      <c r="I522" s="175">
        <f t="shared" ref="I522:J522" si="1151">SUM(I517:I521)/(COUNTIF(I517:I521,"&gt;0.00")+0.00001)</f>
        <v>9.169198768704355</v>
      </c>
      <c r="J522" s="175">
        <f t="shared" si="1151"/>
        <v>6.8882561616543727</v>
      </c>
      <c r="K522" s="175"/>
      <c r="L522" s="175"/>
      <c r="M522" s="420"/>
      <c r="N522" s="420"/>
      <c r="O522" s="420"/>
      <c r="P522" s="175"/>
      <c r="Q522" s="146">
        <f>SUM(Q517:Q521)/(COUNTIF($Q$517:$Q$521,"&gt;0.00")+0.00001)</f>
        <v>154.3196913606173</v>
      </c>
      <c r="R522" s="146">
        <f t="shared" ref="R522:AS522" si="1152">SUM(R517:R521)/(COUNTIF($Q$517:$Q$521,"&gt;0.00")+0.00001)</f>
        <v>11.031258477483046</v>
      </c>
      <c r="S522" s="146">
        <f t="shared" si="1152"/>
        <v>143.28843288313425</v>
      </c>
      <c r="T522" s="146">
        <f t="shared" si="1152"/>
        <v>28.120925365992406</v>
      </c>
      <c r="U522" s="146">
        <f t="shared" si="1152"/>
        <v>1.5396891186921551</v>
      </c>
      <c r="V522" s="146">
        <f t="shared" si="1152"/>
        <v>322.95975408049179</v>
      </c>
      <c r="W522" s="146">
        <f t="shared" si="1152"/>
        <v>350.62045436994606</v>
      </c>
      <c r="X522" s="146">
        <f t="shared" si="1152"/>
        <v>37.389656155438068</v>
      </c>
      <c r="Y522" s="146">
        <f t="shared" si="1152"/>
        <v>8.888714856832296</v>
      </c>
      <c r="Z522" s="146">
        <f t="shared" si="1152"/>
        <v>18.883626067605817</v>
      </c>
      <c r="AA522" s="146">
        <f t="shared" si="1152"/>
        <v>0.92276931157093411</v>
      </c>
      <c r="AB522" s="146">
        <f t="shared" si="1152"/>
        <v>3.7946805855018746</v>
      </c>
      <c r="AC522" s="146">
        <f t="shared" si="1152"/>
        <v>112.29087250683307</v>
      </c>
      <c r="AD522" s="146">
        <f t="shared" si="1152"/>
        <v>146.53396853206297</v>
      </c>
      <c r="AE522" s="146">
        <f t="shared" si="1152"/>
        <v>108.9248437503125</v>
      </c>
      <c r="AF522" s="146">
        <f t="shared" si="1152"/>
        <v>24.225169326817522</v>
      </c>
      <c r="AG522" s="146">
        <f t="shared" si="1152"/>
        <v>120.72602014795969</v>
      </c>
      <c r="AH522" s="146">
        <f t="shared" si="1152"/>
        <v>0.40235472930148031</v>
      </c>
      <c r="AI522" s="146">
        <f t="shared" si="1152"/>
        <v>0.75166739643697411</v>
      </c>
      <c r="AJ522" s="146">
        <f t="shared" si="1152"/>
        <v>0.13389019990790527</v>
      </c>
      <c r="AK522" s="146">
        <f t="shared" si="1152"/>
        <v>47.37696684606631</v>
      </c>
      <c r="AL522" s="146">
        <f t="shared" si="1152"/>
        <v>5.700139684419081E-2</v>
      </c>
      <c r="AM522" s="146">
        <f t="shared" si="1152"/>
        <v>0.14764375767777022</v>
      </c>
      <c r="AN522" s="146">
        <f t="shared" si="1152"/>
        <v>0.75862469422552659</v>
      </c>
      <c r="AO522" s="146">
        <f t="shared" si="1152"/>
        <v>6.079682793229671E-2</v>
      </c>
      <c r="AP522" s="146">
        <f t="shared" si="1152"/>
        <v>11.832525580636485</v>
      </c>
      <c r="AQ522" s="146">
        <f t="shared" si="1152"/>
        <v>0.33894571342099766</v>
      </c>
      <c r="AR522" s="146">
        <f t="shared" si="1152"/>
        <v>0.30426099147801711</v>
      </c>
      <c r="AS522" s="146">
        <f t="shared" si="1152"/>
        <v>0.16438321018721383</v>
      </c>
      <c r="AT522" s="146">
        <f t="shared" ref="AT522:AU522" si="1153">SUM(AT517:AT521)/(IF($E$38&gt;0, 1,0)+IF($E$137&gt;0,1,0)+IF($E$236&gt;0,1,0)+IF($E$335&gt;0,1,0)+IF($E$434&gt;0,1)+0.00001)</f>
        <v>28.120925365992406</v>
      </c>
      <c r="AU522" s="146">
        <f t="shared" si="1153"/>
        <v>28.120925365992406</v>
      </c>
    </row>
    <row r="523" spans="1:70" ht="15">
      <c r="A523" s="152"/>
      <c r="B523" s="1413"/>
      <c r="C523" s="1413"/>
      <c r="D523" s="1413"/>
      <c r="E523" s="1413"/>
      <c r="F523" s="1413"/>
      <c r="G523" s="84" t="s">
        <v>523</v>
      </c>
      <c r="H523" s="174"/>
      <c r="Q523" s="1419" t="s">
        <v>552</v>
      </c>
      <c r="R523" s="1419"/>
      <c r="S523" s="1419"/>
      <c r="T523" s="1419"/>
      <c r="U523" s="1419"/>
      <c r="V523" s="1420"/>
      <c r="W523" s="146">
        <f>(W54+W153+W252+W351+W450)/(COUNTIF($W$517:$W$521,"&gt;0.00")+0.00001)</f>
        <v>313.38864545028571</v>
      </c>
      <c r="X523" s="146">
        <f t="shared" ref="X523:AS523" si="1154">(X54+X153+X252+X351+X450)/(COUNTIF($W$517:$W$521,"&gt;0.00")+0.00001)</f>
        <v>35.505099459002913</v>
      </c>
      <c r="Y523" s="146">
        <f t="shared" si="1154"/>
        <v>8.1932961383268026</v>
      </c>
      <c r="Z523" s="146">
        <f t="shared" si="1154"/>
        <v>15.713813201384539</v>
      </c>
      <c r="AA523" s="146">
        <f t="shared" si="1154"/>
        <v>0.87175075036458327</v>
      </c>
      <c r="AB523" s="146">
        <f t="shared" si="1154"/>
        <v>3.2581060034287006</v>
      </c>
      <c r="AC523" s="146">
        <f t="shared" si="1154"/>
        <v>100.78832543785578</v>
      </c>
      <c r="AD523" s="146">
        <f t="shared" si="1154"/>
        <v>134.27535672915471</v>
      </c>
      <c r="AE523" s="146">
        <f t="shared" si="1154"/>
        <v>93.760422152179629</v>
      </c>
      <c r="AF523" s="146">
        <f t="shared" si="1154"/>
        <v>22.672720456151698</v>
      </c>
      <c r="AG523" s="146">
        <f t="shared" si="1154"/>
        <v>107.06081001053988</v>
      </c>
      <c r="AH523" s="146">
        <f t="shared" si="1154"/>
        <v>0.37084104489804454</v>
      </c>
      <c r="AI523" s="146">
        <f t="shared" si="1154"/>
        <v>0.66300781865588843</v>
      </c>
      <c r="AJ523" s="146">
        <f t="shared" si="1154"/>
        <v>0.11274931945371229</v>
      </c>
      <c r="AK523" s="146">
        <f t="shared" si="1154"/>
        <v>45.474847354759163</v>
      </c>
      <c r="AL523" s="146">
        <f t="shared" si="1154"/>
        <v>5.1202351037378496E-2</v>
      </c>
      <c r="AM523" s="146">
        <f t="shared" si="1154"/>
        <v>0.13460848536621642</v>
      </c>
      <c r="AN523" s="146">
        <f t="shared" si="1154"/>
        <v>0.68637846380646739</v>
      </c>
      <c r="AO523" s="146">
        <f t="shared" si="1154"/>
        <v>5.6135868505775025E-2</v>
      </c>
      <c r="AP523" s="146">
        <f t="shared" si="1154"/>
        <v>10.899082968909806</v>
      </c>
      <c r="AQ523" s="146">
        <f t="shared" si="1154"/>
        <v>0.28996306728060151</v>
      </c>
      <c r="AR523" s="146">
        <f t="shared" si="1154"/>
        <v>0.29976104768547457</v>
      </c>
      <c r="AS523" s="146">
        <f t="shared" si="1154"/>
        <v>0.1521145698999454</v>
      </c>
      <c r="AT523" s="176"/>
      <c r="AU523" s="176"/>
    </row>
    <row r="524" spans="1:70" s="106" customFormat="1" ht="15">
      <c r="A524" s="152"/>
      <c r="B524" s="1413"/>
      <c r="C524" s="1413"/>
      <c r="D524" s="1413"/>
      <c r="E524" s="1413"/>
      <c r="F524" s="1413"/>
      <c r="G524" s="84" t="s">
        <v>523</v>
      </c>
      <c r="H524" s="176"/>
      <c r="I524" s="177"/>
      <c r="J524" s="177"/>
      <c r="K524" s="177"/>
      <c r="L524" s="177"/>
      <c r="M524" s="422"/>
      <c r="N524" s="422"/>
      <c r="O524" s="422"/>
      <c r="P524" s="177"/>
      <c r="Q524" s="1419" t="s">
        <v>546</v>
      </c>
      <c r="R524" s="1419"/>
      <c r="S524" s="1419"/>
      <c r="T524" s="1419"/>
      <c r="U524" s="1419"/>
      <c r="V524" s="1420"/>
      <c r="W524" s="146">
        <f t="shared" ref="W524:AS524" si="1155">100*W523/W499</f>
        <v>168.94266601093568</v>
      </c>
      <c r="X524" s="146">
        <f t="shared" si="1155"/>
        <v>153.03922180604701</v>
      </c>
      <c r="Y524" s="146">
        <f t="shared" si="1155"/>
        <v>141.26372652287588</v>
      </c>
      <c r="Z524" s="146">
        <f t="shared" si="1155"/>
        <v>253.44860002233128</v>
      </c>
      <c r="AA524" s="146">
        <f t="shared" si="1155"/>
        <v>45.881618440241219</v>
      </c>
      <c r="AB524" s="137">
        <f t="shared" si="1155"/>
        <v>162.90530017143504</v>
      </c>
      <c r="AC524" s="146">
        <f t="shared" si="1155"/>
        <v>73.035018433228828</v>
      </c>
      <c r="AD524" s="146">
        <f t="shared" si="1155"/>
        <v>74.597420405085941</v>
      </c>
      <c r="AE524" s="146">
        <f t="shared" si="1155"/>
        <v>104.17824683575515</v>
      </c>
      <c r="AF524" s="146">
        <f t="shared" si="1155"/>
        <v>133.36894385971587</v>
      </c>
      <c r="AG524" s="146">
        <f t="shared" si="1155"/>
        <v>133.82601251317485</v>
      </c>
      <c r="AH524" s="146">
        <f t="shared" si="1155"/>
        <v>37.084104489804453</v>
      </c>
      <c r="AI524" s="146">
        <f t="shared" si="1155"/>
        <v>94.715402665126916</v>
      </c>
      <c r="AJ524" s="137">
        <f t="shared" si="1155"/>
        <v>90.199455562969831</v>
      </c>
      <c r="AK524" s="146">
        <f t="shared" si="1155"/>
        <v>56.843559193448961</v>
      </c>
      <c r="AL524" s="146">
        <f t="shared" si="1155"/>
        <v>51.202351037378492</v>
      </c>
      <c r="AM524" s="146">
        <f t="shared" si="1155"/>
        <v>122.371350332924</v>
      </c>
      <c r="AN524" s="146">
        <f t="shared" si="1155"/>
        <v>57.198205317205606</v>
      </c>
      <c r="AO524" s="146">
        <f t="shared" si="1155"/>
        <v>80.194097865392905</v>
      </c>
      <c r="AP524" s="146">
        <f t="shared" si="1155"/>
        <v>36.33027656303269</v>
      </c>
      <c r="AQ524" s="146">
        <f t="shared" si="1155"/>
        <v>161.09059293366749</v>
      </c>
      <c r="AR524" s="146">
        <f t="shared" si="1155"/>
        <v>3.7470130960684322</v>
      </c>
      <c r="AS524" s="137">
        <f t="shared" si="1155"/>
        <v>30.42291397998908</v>
      </c>
      <c r="AT524" s="176"/>
      <c r="AU524" s="176"/>
    </row>
    <row r="525" spans="1:70" ht="15" thickBot="1">
      <c r="A525" s="165"/>
      <c r="B525" s="165"/>
      <c r="C525" s="165"/>
      <c r="D525" s="166"/>
      <c r="E525" s="166"/>
      <c r="F525" s="166"/>
      <c r="G525" s="167"/>
      <c r="H525" s="167"/>
      <c r="I525" s="165"/>
      <c r="J525" s="165"/>
      <c r="K525" s="165"/>
      <c r="L525" s="165"/>
      <c r="M525" s="425"/>
      <c r="N525" s="425"/>
      <c r="O525" s="425"/>
      <c r="P525" s="165"/>
      <c r="Q525" s="165"/>
      <c r="R525" s="165"/>
      <c r="S525" s="165"/>
      <c r="T525" s="165"/>
      <c r="U525" s="165"/>
      <c r="V525" s="165"/>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5"/>
      <c r="AU525" s="165"/>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row>
    <row r="526" spans="1:70" ht="56">
      <c r="A526" s="154"/>
      <c r="B526" s="154"/>
      <c r="C526" s="154"/>
      <c r="D526" s="155"/>
      <c r="E526" s="155"/>
      <c r="F526" s="155"/>
      <c r="G526" s="1416" t="s">
        <v>524</v>
      </c>
      <c r="H526" s="1416"/>
      <c r="I526" s="195" t="s">
        <v>562</v>
      </c>
      <c r="J526" s="195" t="s">
        <v>563</v>
      </c>
      <c r="K526" s="195"/>
      <c r="L526" s="195"/>
      <c r="M526" s="426"/>
      <c r="N526" s="426"/>
      <c r="O526" s="426"/>
      <c r="P526" s="195"/>
      <c r="Q526" s="196" t="s">
        <v>384</v>
      </c>
      <c r="R526" s="197" t="s">
        <v>455</v>
      </c>
      <c r="S526" s="197"/>
      <c r="T526" s="197" t="s">
        <v>456</v>
      </c>
      <c r="U526" s="197" t="s">
        <v>535</v>
      </c>
      <c r="V526" s="198" t="s">
        <v>457</v>
      </c>
      <c r="W526" s="197" t="s">
        <v>75</v>
      </c>
      <c r="X526" s="197" t="s">
        <v>385</v>
      </c>
      <c r="Y526" s="197" t="s">
        <v>386</v>
      </c>
      <c r="Z526" s="197" t="s">
        <v>387</v>
      </c>
      <c r="AA526" s="197" t="s">
        <v>388</v>
      </c>
      <c r="AB526" s="198" t="s">
        <v>389</v>
      </c>
      <c r="AC526" s="197" t="s">
        <v>390</v>
      </c>
      <c r="AD526" s="197" t="s">
        <v>391</v>
      </c>
      <c r="AE526" s="197" t="s">
        <v>392</v>
      </c>
      <c r="AF526" s="197" t="s">
        <v>393</v>
      </c>
      <c r="AG526" s="197" t="s">
        <v>394</v>
      </c>
      <c r="AH526" s="197" t="s">
        <v>395</v>
      </c>
      <c r="AI526" s="197" t="s">
        <v>396</v>
      </c>
      <c r="AJ526" s="198" t="s">
        <v>397</v>
      </c>
      <c r="AK526" s="197" t="s">
        <v>398</v>
      </c>
      <c r="AL526" s="197" t="s">
        <v>399</v>
      </c>
      <c r="AM526" s="197" t="s">
        <v>400</v>
      </c>
      <c r="AN526" s="197" t="s">
        <v>401</v>
      </c>
      <c r="AO526" s="197" t="s">
        <v>402</v>
      </c>
      <c r="AP526" s="197" t="s">
        <v>406</v>
      </c>
      <c r="AQ526" s="197" t="s">
        <v>405</v>
      </c>
      <c r="AR526" s="197" t="s">
        <v>403</v>
      </c>
      <c r="AS526" s="198" t="s">
        <v>404</v>
      </c>
      <c r="AT526" s="197" t="s">
        <v>456</v>
      </c>
      <c r="AU526" s="197" t="s">
        <v>456</v>
      </c>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row>
    <row r="527" spans="1:70" ht="15">
      <c r="A527" s="154"/>
      <c r="B527" s="1413" t="s">
        <v>581</v>
      </c>
      <c r="C527" s="1413"/>
      <c r="D527" s="1413"/>
      <c r="E527" s="1413"/>
      <c r="F527" s="1413"/>
      <c r="G527" s="122" t="s">
        <v>524</v>
      </c>
      <c r="H527" s="123" t="s">
        <v>521</v>
      </c>
      <c r="I527" s="5">
        <f t="shared" ref="I527:I531" si="1156">100*R527/(Q527+0.00001)</f>
        <v>25.737309638905437</v>
      </c>
      <c r="J527" s="5">
        <f t="shared" ref="J527:J531" si="1157">100*U527/(T527+0.00001)</f>
        <v>25.366977389221962</v>
      </c>
      <c r="K527" s="5"/>
      <c r="L527" s="5"/>
      <c r="M527" s="337"/>
      <c r="N527" s="337"/>
      <c r="O527" s="337"/>
      <c r="P527" s="5"/>
      <c r="Q527" s="5">
        <f t="shared" ref="Q527:AU527" si="1158">Q83</f>
        <v>618.6</v>
      </c>
      <c r="R527" s="5">
        <f t="shared" si="1158"/>
        <v>159.21099999999998</v>
      </c>
      <c r="S527" s="5">
        <f t="shared" ref="S527:S531" si="1159">Q527-R527</f>
        <v>459.38900000000001</v>
      </c>
      <c r="T527" s="5">
        <f t="shared" si="1158"/>
        <v>76.149608484848471</v>
      </c>
      <c r="U527" s="5">
        <f t="shared" si="1158"/>
        <v>19.316856503030301</v>
      </c>
      <c r="V527" s="116">
        <f t="shared" si="1158"/>
        <v>1110.4279999999997</v>
      </c>
      <c r="W527" s="5">
        <f t="shared" si="1158"/>
        <v>820.06842335664328</v>
      </c>
      <c r="X527" s="5">
        <f t="shared" si="1158"/>
        <v>80.619952645737953</v>
      </c>
      <c r="Y527" s="5">
        <f t="shared" si="1158"/>
        <v>24.385406068062942</v>
      </c>
      <c r="Z527" s="5">
        <f t="shared" si="1158"/>
        <v>41.121045717418291</v>
      </c>
      <c r="AA527" s="5">
        <f t="shared" si="1158"/>
        <v>12.981127749892554</v>
      </c>
      <c r="AB527" s="116">
        <f t="shared" si="1158"/>
        <v>11.13956346586547</v>
      </c>
      <c r="AC527" s="5">
        <f t="shared" si="1158"/>
        <v>809.38397668997675</v>
      </c>
      <c r="AD527" s="5">
        <f t="shared" si="1158"/>
        <v>1405.4560000000001</v>
      </c>
      <c r="AE527" s="5">
        <f t="shared" si="1158"/>
        <v>215.19199999999998</v>
      </c>
      <c r="AF527" s="5">
        <f t="shared" si="1158"/>
        <v>102.36995337995339</v>
      </c>
      <c r="AG527" s="5">
        <f t="shared" si="1158"/>
        <v>349.2879999999999</v>
      </c>
      <c r="AH527" s="5">
        <f t="shared" si="1158"/>
        <v>4.0491086791651174</v>
      </c>
      <c r="AI527" s="5">
        <f t="shared" si="1158"/>
        <v>4.8198025479683482</v>
      </c>
      <c r="AJ527" s="116">
        <f t="shared" si="1158"/>
        <v>0.69442529902411321</v>
      </c>
      <c r="AK527" s="5">
        <f t="shared" si="1158"/>
        <v>680.3</v>
      </c>
      <c r="AL527" s="5">
        <f t="shared" si="1158"/>
        <v>0.70439678097933234</v>
      </c>
      <c r="AM527" s="5">
        <f t="shared" si="1158"/>
        <v>0.48476672701538137</v>
      </c>
      <c r="AN527" s="5">
        <f t="shared" si="1158"/>
        <v>7.3522603349334315</v>
      </c>
      <c r="AO527" s="5">
        <f t="shared" si="1158"/>
        <v>1.5828845260849813</v>
      </c>
      <c r="AP527" s="5">
        <f t="shared" si="1158"/>
        <v>170.68009324009324</v>
      </c>
      <c r="AQ527" s="5">
        <f t="shared" si="1158"/>
        <v>0.96874792798524079</v>
      </c>
      <c r="AR527" s="5">
        <f t="shared" si="1158"/>
        <v>69.682000000000002</v>
      </c>
      <c r="AS527" s="116">
        <f t="shared" si="1158"/>
        <v>2.1648202705724233</v>
      </c>
      <c r="AT527" s="5">
        <f t="shared" si="1158"/>
        <v>66.564608484848492</v>
      </c>
      <c r="AU527" s="5">
        <f t="shared" si="1158"/>
        <v>76.149608484848471</v>
      </c>
    </row>
    <row r="528" spans="1:70" ht="15">
      <c r="A528" s="154"/>
      <c r="B528" s="1413"/>
      <c r="C528" s="1413"/>
      <c r="D528" s="1413"/>
      <c r="E528" s="1413"/>
      <c r="F528" s="1413"/>
      <c r="G528" s="124" t="s">
        <v>524</v>
      </c>
      <c r="H528" s="125" t="s">
        <v>526</v>
      </c>
      <c r="I528" s="5">
        <f t="shared" si="1156"/>
        <v>26.172019009871068</v>
      </c>
      <c r="J528" s="5">
        <f t="shared" si="1157"/>
        <v>24.732804082101122</v>
      </c>
      <c r="K528" s="5"/>
      <c r="L528" s="5"/>
      <c r="M528" s="337"/>
      <c r="N528" s="337"/>
      <c r="O528" s="337"/>
      <c r="P528" s="5"/>
      <c r="Q528" s="5">
        <f t="shared" ref="Q528:AU528" si="1160">Q182</f>
        <v>575.4</v>
      </c>
      <c r="R528" s="5">
        <f t="shared" si="1160"/>
        <v>150.59380000000002</v>
      </c>
      <c r="S528" s="5">
        <f t="shared" si="1159"/>
        <v>424.80619999999999</v>
      </c>
      <c r="T528" s="5">
        <f t="shared" si="1160"/>
        <v>70.448304285714286</v>
      </c>
      <c r="U528" s="5">
        <f t="shared" si="1160"/>
        <v>17.423843551428572</v>
      </c>
      <c r="V528" s="116">
        <f t="shared" si="1160"/>
        <v>996.16</v>
      </c>
      <c r="W528" s="5">
        <f t="shared" si="1160"/>
        <v>878.08254999999986</v>
      </c>
      <c r="X528" s="5">
        <f t="shared" si="1160"/>
        <v>155.30013358649495</v>
      </c>
      <c r="Y528" s="5">
        <f t="shared" si="1160"/>
        <v>26.39453308017173</v>
      </c>
      <c r="Z528" s="5">
        <f t="shared" si="1160"/>
        <v>12.785078733258668</v>
      </c>
      <c r="AA528" s="5">
        <f t="shared" si="1160"/>
        <v>15.756628199776003</v>
      </c>
      <c r="AB528" s="116">
        <f t="shared" si="1160"/>
        <v>2.1538968532362688</v>
      </c>
      <c r="AC528" s="5">
        <f t="shared" si="1160"/>
        <v>705.39</v>
      </c>
      <c r="AD528" s="5">
        <f t="shared" si="1160"/>
        <v>1273.068886886887</v>
      </c>
      <c r="AE528" s="5">
        <f t="shared" si="1160"/>
        <v>210.708</v>
      </c>
      <c r="AF528" s="5">
        <f t="shared" si="1160"/>
        <v>133.59882887854522</v>
      </c>
      <c r="AG528" s="5">
        <f t="shared" si="1160"/>
        <v>468.3758301715049</v>
      </c>
      <c r="AH528" s="5">
        <f t="shared" si="1160"/>
        <v>4.9544362358550629</v>
      </c>
      <c r="AI528" s="5">
        <f t="shared" si="1160"/>
        <v>4.8967867499928879</v>
      </c>
      <c r="AJ528" s="116">
        <f t="shared" si="1160"/>
        <v>0.91203464996996986</v>
      </c>
      <c r="AK528" s="5">
        <f t="shared" si="1160"/>
        <v>341.00400768234908</v>
      </c>
      <c r="AL528" s="5">
        <f t="shared" si="1160"/>
        <v>0.52522408035839285</v>
      </c>
      <c r="AM528" s="5">
        <f t="shared" si="1160"/>
        <v>0.36293068602607925</v>
      </c>
      <c r="AN528" s="5">
        <f t="shared" si="1160"/>
        <v>9.8559275587169974</v>
      </c>
      <c r="AO528" s="5">
        <f t="shared" si="1160"/>
        <v>0.70907319977600458</v>
      </c>
      <c r="AP528" s="5">
        <f t="shared" si="1160"/>
        <v>151.4043713793794</v>
      </c>
      <c r="AQ528" s="5">
        <f t="shared" si="1160"/>
        <v>0.56684595008341676</v>
      </c>
      <c r="AR528" s="5">
        <f t="shared" si="1160"/>
        <v>43.147000000000006</v>
      </c>
      <c r="AS528" s="116">
        <f t="shared" si="1160"/>
        <v>0.52976678758758755</v>
      </c>
      <c r="AT528" s="5">
        <f t="shared" si="1160"/>
        <v>58.718304285714289</v>
      </c>
      <c r="AU528" s="5">
        <f t="shared" si="1160"/>
        <v>70.448304285714286</v>
      </c>
    </row>
    <row r="529" spans="1:70" ht="15">
      <c r="A529" s="154"/>
      <c r="B529" s="1413"/>
      <c r="C529" s="1413"/>
      <c r="D529" s="1413"/>
      <c r="E529" s="1413"/>
      <c r="F529" s="1413"/>
      <c r="G529" s="126" t="s">
        <v>524</v>
      </c>
      <c r="H529" s="127" t="s">
        <v>527</v>
      </c>
      <c r="I529" s="5">
        <f t="shared" si="1156"/>
        <v>29.824329652859145</v>
      </c>
      <c r="J529" s="5">
        <f t="shared" si="1157"/>
        <v>31.613243589140502</v>
      </c>
      <c r="K529" s="5"/>
      <c r="L529" s="5"/>
      <c r="M529" s="337"/>
      <c r="N529" s="337"/>
      <c r="O529" s="337"/>
      <c r="P529" s="5"/>
      <c r="Q529" s="5">
        <f t="shared" ref="Q529:AU529" si="1161">Q281</f>
        <v>415.23</v>
      </c>
      <c r="R529" s="5">
        <f t="shared" si="1161"/>
        <v>123.83956699999999</v>
      </c>
      <c r="S529" s="5">
        <f t="shared" si="1159"/>
        <v>291.39043300000003</v>
      </c>
      <c r="T529" s="5">
        <f t="shared" si="1161"/>
        <v>64.980486666666664</v>
      </c>
      <c r="U529" s="5">
        <f t="shared" si="1161"/>
        <v>20.542442696666658</v>
      </c>
      <c r="V529" s="116">
        <f t="shared" si="1161"/>
        <v>687.00200000000018</v>
      </c>
      <c r="W529" s="5">
        <f t="shared" si="1161"/>
        <v>886.37926739417242</v>
      </c>
      <c r="X529" s="5">
        <f t="shared" si="1161"/>
        <v>119.94328380387614</v>
      </c>
      <c r="Y529" s="5">
        <f t="shared" si="1161"/>
        <v>28.88452439919622</v>
      </c>
      <c r="Z529" s="5">
        <f t="shared" si="1161"/>
        <v>31.66469329013179</v>
      </c>
      <c r="AA529" s="5">
        <f t="shared" si="1161"/>
        <v>18.945164446654026</v>
      </c>
      <c r="AB529" s="116">
        <f t="shared" si="1161"/>
        <v>4.7808666246272686</v>
      </c>
      <c r="AC529" s="5">
        <f t="shared" si="1161"/>
        <v>710.39182804195798</v>
      </c>
      <c r="AD529" s="5">
        <f t="shared" si="1161"/>
        <v>1512.8136999999999</v>
      </c>
      <c r="AE529" s="5">
        <f t="shared" si="1161"/>
        <v>219.06030000000001</v>
      </c>
      <c r="AF529" s="5">
        <f t="shared" si="1161"/>
        <v>156.81128608391609</v>
      </c>
      <c r="AG529" s="5">
        <f t="shared" si="1161"/>
        <v>381.34640000000007</v>
      </c>
      <c r="AH529" s="5">
        <f t="shared" si="1161"/>
        <v>6.4058049770173007</v>
      </c>
      <c r="AI529" s="5">
        <f t="shared" si="1161"/>
        <v>6.3295788346515645</v>
      </c>
      <c r="AJ529" s="116">
        <f t="shared" si="1161"/>
        <v>0.77745132928829441</v>
      </c>
      <c r="AK529" s="5">
        <f t="shared" si="1161"/>
        <v>276.97001399906668</v>
      </c>
      <c r="AL529" s="5">
        <f t="shared" si="1161"/>
        <v>0.66544768996057413</v>
      </c>
      <c r="AM529" s="5">
        <f t="shared" si="1161"/>
        <v>0.36924042117662031</v>
      </c>
      <c r="AN529" s="5">
        <f t="shared" si="1161"/>
        <v>5.7315912694428173</v>
      </c>
      <c r="AO529" s="5">
        <f t="shared" si="1161"/>
        <v>0.65483126647804246</v>
      </c>
      <c r="AP529" s="5">
        <f t="shared" si="1161"/>
        <v>192.66216783216788</v>
      </c>
      <c r="AQ529" s="5">
        <f t="shared" si="1161"/>
        <v>0.28495355938672939</v>
      </c>
      <c r="AR529" s="5">
        <f t="shared" si="1161"/>
        <v>38.989948670088658</v>
      </c>
      <c r="AS529" s="116">
        <f t="shared" si="1161"/>
        <v>0.83711184161091545</v>
      </c>
      <c r="AT529" s="5">
        <f t="shared" si="1161"/>
        <v>45.497486666666681</v>
      </c>
      <c r="AU529" s="5">
        <f t="shared" si="1161"/>
        <v>64.980486666666664</v>
      </c>
    </row>
    <row r="530" spans="1:70" ht="15">
      <c r="A530" s="154"/>
      <c r="B530" s="1413"/>
      <c r="C530" s="1413"/>
      <c r="D530" s="1413"/>
      <c r="E530" s="1413"/>
      <c r="F530" s="1413"/>
      <c r="G530" s="128" t="s">
        <v>524</v>
      </c>
      <c r="H530" s="129" t="s">
        <v>528</v>
      </c>
      <c r="I530" s="5">
        <f>100*R530/(Q530+0.00001)</f>
        <v>31.886850614958412</v>
      </c>
      <c r="J530" s="5">
        <f t="shared" si="1157"/>
        <v>33.779743772938474</v>
      </c>
      <c r="K530" s="5"/>
      <c r="L530" s="5"/>
      <c r="M530" s="337"/>
      <c r="N530" s="337"/>
      <c r="O530" s="337"/>
      <c r="P530" s="5"/>
      <c r="Q530" s="5">
        <f t="shared" ref="Q530:AU530" si="1162">Q380</f>
        <v>633.58999999999992</v>
      </c>
      <c r="R530" s="5">
        <f t="shared" si="1162"/>
        <v>202.03190000000001</v>
      </c>
      <c r="S530" s="5">
        <f t="shared" si="1159"/>
        <v>431.55809999999991</v>
      </c>
      <c r="T530" s="5">
        <f t="shared" si="1162"/>
        <v>74.183619238095233</v>
      </c>
      <c r="U530" s="5">
        <f t="shared" si="1162"/>
        <v>25.059039878095241</v>
      </c>
      <c r="V530" s="116">
        <f t="shared" si="1162"/>
        <v>1208.0762</v>
      </c>
      <c r="W530" s="5">
        <f t="shared" si="1162"/>
        <v>814.71861162114783</v>
      </c>
      <c r="X530" s="5">
        <f t="shared" si="1162"/>
        <v>88.350974982949623</v>
      </c>
      <c r="Y530" s="5">
        <f t="shared" si="1162"/>
        <v>22.993164013083653</v>
      </c>
      <c r="Z530" s="5">
        <f t="shared" si="1162"/>
        <v>38.67006529418294</v>
      </c>
      <c r="AA530" s="5">
        <f t="shared" si="1162"/>
        <v>12.9757331002331</v>
      </c>
      <c r="AB530" s="116">
        <f t="shared" si="1162"/>
        <v>7.3468725287131189</v>
      </c>
      <c r="AC530" s="5">
        <f t="shared" si="1162"/>
        <v>557.71109837995346</v>
      </c>
      <c r="AD530" s="5">
        <f t="shared" si="1162"/>
        <v>1507.2694000000001</v>
      </c>
      <c r="AE530" s="5">
        <f t="shared" si="1162"/>
        <v>496.81810000000002</v>
      </c>
      <c r="AF530" s="5">
        <f t="shared" si="1162"/>
        <v>123.16840675990677</v>
      </c>
      <c r="AG530" s="5">
        <f t="shared" si="1162"/>
        <v>327.88720000000001</v>
      </c>
      <c r="AH530" s="5">
        <f t="shared" si="1162"/>
        <v>6.6965698391102704</v>
      </c>
      <c r="AI530" s="5">
        <f t="shared" si="1162"/>
        <v>5.7554757288292011</v>
      </c>
      <c r="AJ530" s="116">
        <f t="shared" si="1162"/>
        <v>0.66975714870679348</v>
      </c>
      <c r="AK530" s="5">
        <f t="shared" si="1162"/>
        <v>967.54995000000008</v>
      </c>
      <c r="AL530" s="5">
        <f t="shared" si="1162"/>
        <v>0.64260003879571082</v>
      </c>
      <c r="AM530" s="5">
        <f t="shared" si="1162"/>
        <v>0.7337921025128129</v>
      </c>
      <c r="AN530" s="5">
        <f t="shared" si="1162"/>
        <v>7.1817546998168478</v>
      </c>
      <c r="AO530" s="5">
        <f t="shared" si="1162"/>
        <v>0.7915682565583404</v>
      </c>
      <c r="AP530" s="5">
        <f t="shared" si="1162"/>
        <v>396.7151864801865</v>
      </c>
      <c r="AQ530" s="5">
        <f t="shared" si="1162"/>
        <v>0.85209662573955081</v>
      </c>
      <c r="AR530" s="5">
        <f t="shared" si="1162"/>
        <v>75.831050000000005</v>
      </c>
      <c r="AS530" s="116">
        <f t="shared" si="1162"/>
        <v>0.68645209702448762</v>
      </c>
      <c r="AT530" s="5">
        <f t="shared" si="1162"/>
        <v>71.790785666666665</v>
      </c>
      <c r="AU530" s="5">
        <f t="shared" si="1162"/>
        <v>74.183619238095233</v>
      </c>
    </row>
    <row r="531" spans="1:70" ht="15">
      <c r="A531" s="154"/>
      <c r="B531" s="1413"/>
      <c r="C531" s="1413"/>
      <c r="D531" s="1413"/>
      <c r="E531" s="1413"/>
      <c r="F531" s="1413"/>
      <c r="G531" s="130" t="s">
        <v>524</v>
      </c>
      <c r="H531" s="131" t="s">
        <v>529</v>
      </c>
      <c r="I531" s="132">
        <f t="shared" si="1156"/>
        <v>23.806526324057998</v>
      </c>
      <c r="J531" s="132">
        <f t="shared" si="1157"/>
        <v>21.627553135135063</v>
      </c>
      <c r="K531" s="132"/>
      <c r="L531" s="132"/>
      <c r="M531" s="419"/>
      <c r="N531" s="419"/>
      <c r="O531" s="419"/>
      <c r="P531" s="132"/>
      <c r="Q531" s="132">
        <f t="shared" ref="Q531:AU531" si="1163">Q479</f>
        <v>488.6</v>
      </c>
      <c r="R531" s="132">
        <f t="shared" si="1163"/>
        <v>116.31869</v>
      </c>
      <c r="S531" s="132">
        <f t="shared" si="1159"/>
        <v>372.28131000000002</v>
      </c>
      <c r="T531" s="132">
        <f t="shared" si="1163"/>
        <v>65.750426666666684</v>
      </c>
      <c r="U531" s="132">
        <f t="shared" si="1163"/>
        <v>14.220210626666665</v>
      </c>
      <c r="V531" s="133">
        <f t="shared" si="1163"/>
        <v>908.63400000000001</v>
      </c>
      <c r="W531" s="132">
        <f t="shared" si="1163"/>
        <v>842.57580153846152</v>
      </c>
      <c r="X531" s="132">
        <f t="shared" si="1163"/>
        <v>107.51945375005269</v>
      </c>
      <c r="Y531" s="132">
        <f t="shared" si="1163"/>
        <v>27.52001481097631</v>
      </c>
      <c r="Z531" s="132">
        <f t="shared" si="1163"/>
        <v>31.209289833280209</v>
      </c>
      <c r="AA531" s="132">
        <f t="shared" si="1163"/>
        <v>9.4460649069718166</v>
      </c>
      <c r="AB531" s="133">
        <f t="shared" si="1163"/>
        <v>4.0955045749093451</v>
      </c>
      <c r="AC531" s="132">
        <f t="shared" si="1163"/>
        <v>644.60078003814363</v>
      </c>
      <c r="AD531" s="132">
        <f t="shared" si="1163"/>
        <v>798.46745454545453</v>
      </c>
      <c r="AE531" s="132">
        <f t="shared" si="1163"/>
        <v>196.35545454545451</v>
      </c>
      <c r="AF531" s="132">
        <f t="shared" si="1163"/>
        <v>85.269119198135201</v>
      </c>
      <c r="AG531" s="132">
        <f t="shared" si="1163"/>
        <v>331.34943854545452</v>
      </c>
      <c r="AH531" s="132">
        <f t="shared" si="1163"/>
        <v>3.4585165840220387</v>
      </c>
      <c r="AI531" s="132">
        <f t="shared" si="1163"/>
        <v>5.1830683201955505</v>
      </c>
      <c r="AJ531" s="133">
        <f t="shared" si="1163"/>
        <v>0.56293296918304514</v>
      </c>
      <c r="AK531" s="132">
        <f t="shared" si="1163"/>
        <v>275.55948854545454</v>
      </c>
      <c r="AL531" s="132">
        <f t="shared" si="1163"/>
        <v>0.42609901525212757</v>
      </c>
      <c r="AM531" s="132">
        <f t="shared" si="1163"/>
        <v>0.3988213302870629</v>
      </c>
      <c r="AN531" s="132">
        <f t="shared" si="1163"/>
        <v>12.772738069638025</v>
      </c>
      <c r="AO531" s="132">
        <f t="shared" si="1163"/>
        <v>0.77466906285158688</v>
      </c>
      <c r="AP531" s="132">
        <f t="shared" si="1163"/>
        <v>91.902622694638694</v>
      </c>
      <c r="AQ531" s="132">
        <f t="shared" si="1163"/>
        <v>0.78600130909090904</v>
      </c>
      <c r="AR531" s="132">
        <f t="shared" si="1163"/>
        <v>21.327254545454547</v>
      </c>
      <c r="AS531" s="133">
        <f t="shared" si="1163"/>
        <v>1.252363714659197</v>
      </c>
      <c r="AT531" s="132">
        <f t="shared" si="1163"/>
        <v>62.881593333333335</v>
      </c>
      <c r="AU531" s="132">
        <f t="shared" si="1163"/>
        <v>65.750426666666684</v>
      </c>
    </row>
    <row r="532" spans="1:70" ht="15">
      <c r="A532" s="154"/>
      <c r="B532" s="1413"/>
      <c r="C532" s="1413"/>
      <c r="D532" s="1413"/>
      <c r="E532" s="1413"/>
      <c r="F532" s="1413"/>
      <c r="G532" s="84" t="s">
        <v>524</v>
      </c>
      <c r="H532" s="174" t="s">
        <v>551</v>
      </c>
      <c r="I532" s="175">
        <f t="shared" ref="I532:J532" si="1164">SUM(I527:I531)/(COUNTIF(I527:I531,"&gt;0.00")+0.00001)</f>
        <v>27.48535207742626</v>
      </c>
      <c r="J532" s="175">
        <f t="shared" si="1164"/>
        <v>27.424009545688335</v>
      </c>
      <c r="K532" s="175"/>
      <c r="L532" s="175"/>
      <c r="M532" s="420"/>
      <c r="N532" s="420"/>
      <c r="O532" s="420"/>
      <c r="P532" s="175"/>
      <c r="Q532" s="146">
        <f>SUM(Q527:Q531)/(COUNTIF($Q$527:$Q$531,"&gt;0.00")+0.00001)</f>
        <v>546.28290743418506</v>
      </c>
      <c r="R532" s="146">
        <f t="shared" ref="R532:AS532" si="1165">SUM(R527:R531)/(COUNTIF($Q$527:$Q$531,"&gt;0.00")+0.00001)</f>
        <v>150.39869060261884</v>
      </c>
      <c r="S532" s="146">
        <f t="shared" si="1165"/>
        <v>395.88421683156639</v>
      </c>
      <c r="T532" s="146">
        <f t="shared" si="1165"/>
        <v>70.302348463701335</v>
      </c>
      <c r="U532" s="146">
        <f t="shared" si="1165"/>
        <v>19.312440026297434</v>
      </c>
      <c r="V532" s="146">
        <f t="shared" si="1165"/>
        <v>982.05807588384823</v>
      </c>
      <c r="W532" s="146">
        <f t="shared" si="1165"/>
        <v>848.36323405561689</v>
      </c>
      <c r="X532" s="146">
        <f t="shared" si="1165"/>
        <v>110.34653906074415</v>
      </c>
      <c r="Y532" s="146">
        <f t="shared" si="1165"/>
        <v>26.035476403345367</v>
      </c>
      <c r="Z532" s="146">
        <f t="shared" si="1165"/>
        <v>31.089972393709598</v>
      </c>
      <c r="AA532" s="146">
        <f t="shared" si="1165"/>
        <v>14.020915638874223</v>
      </c>
      <c r="AB532" s="146">
        <f t="shared" si="1165"/>
        <v>5.9033290028122893</v>
      </c>
      <c r="AC532" s="146">
        <f t="shared" si="1165"/>
        <v>685.49416564167507</v>
      </c>
      <c r="AD532" s="146">
        <f t="shared" si="1165"/>
        <v>1299.4124894614895</v>
      </c>
      <c r="AE532" s="146">
        <f t="shared" si="1165"/>
        <v>267.6262356566196</v>
      </c>
      <c r="AF532" s="146">
        <f t="shared" si="1165"/>
        <v>120.24327837353459</v>
      </c>
      <c r="AG532" s="146">
        <f t="shared" si="1165"/>
        <v>371.64863044613099</v>
      </c>
      <c r="AH532" s="146">
        <f t="shared" si="1165"/>
        <v>5.1128770372798833</v>
      </c>
      <c r="AI532" s="146">
        <f t="shared" si="1165"/>
        <v>5.3969316424642253</v>
      </c>
      <c r="AJ532" s="146">
        <f t="shared" si="1165"/>
        <v>0.72331883259677809</v>
      </c>
      <c r="AK532" s="146">
        <f t="shared" si="1165"/>
        <v>508.27567549402318</v>
      </c>
      <c r="AL532" s="146">
        <f t="shared" si="1165"/>
        <v>0.59275233556455642</v>
      </c>
      <c r="AM532" s="146">
        <f t="shared" si="1165"/>
        <v>0.46990931358496429</v>
      </c>
      <c r="AN532" s="146">
        <f t="shared" si="1165"/>
        <v>8.578837228835166</v>
      </c>
      <c r="AO532" s="146">
        <f t="shared" si="1165"/>
        <v>0.90260345714287693</v>
      </c>
      <c r="AP532" s="146">
        <f t="shared" si="1165"/>
        <v>200.67248698031921</v>
      </c>
      <c r="AQ532" s="146">
        <f t="shared" si="1165"/>
        <v>0.69172769100178744</v>
      </c>
      <c r="AR532" s="146">
        <f t="shared" si="1165"/>
        <v>49.795351052406545</v>
      </c>
      <c r="AS532" s="146">
        <f t="shared" si="1165"/>
        <v>1.0941007540894141</v>
      </c>
      <c r="AT532" s="146">
        <f t="shared" ref="AT532:AU532" si="1166">SUM(AT527:AT531)/(IF($E$57&gt;0, 1,0)+IF($E$156&gt;0,1,0)+IF($E$255&gt;0,1,0)+IF($E$354&gt;0,1,0)+IF($E$453&gt;0,1)+0.00001)</f>
        <v>61.090433506578876</v>
      </c>
      <c r="AU532" s="146">
        <f t="shared" si="1166"/>
        <v>70.302348463701335</v>
      </c>
    </row>
    <row r="533" spans="1:70" ht="15">
      <c r="A533" s="154"/>
      <c r="B533" s="1413"/>
      <c r="C533" s="1413"/>
      <c r="D533" s="1413"/>
      <c r="E533" s="1413"/>
      <c r="F533" s="1413"/>
      <c r="G533" s="84" t="s">
        <v>524</v>
      </c>
      <c r="H533" s="174"/>
      <c r="Q533" s="1419" t="s">
        <v>552</v>
      </c>
      <c r="R533" s="1419"/>
      <c r="S533" s="1419"/>
      <c r="T533" s="1419"/>
      <c r="U533" s="1419"/>
      <c r="V533" s="1420"/>
      <c r="W533" s="146">
        <f>(W86+W185+W284+W383+W482)/(COUNTIF($W$527:$W$531,"&gt;0.00")+0.00001)</f>
        <v>615.32317330218143</v>
      </c>
      <c r="X533" s="146">
        <f t="shared" ref="X533:AS533" si="1167">(X86+X185+X284+X383+X482)/(COUNTIF($W$527:$W$531,"&gt;0.00")+0.00001)</f>
        <v>79.420742304423811</v>
      </c>
      <c r="Y533" s="146">
        <f t="shared" si="1167"/>
        <v>18.687871918180107</v>
      </c>
      <c r="Z533" s="146">
        <f t="shared" si="1167"/>
        <v>23.06775236421058</v>
      </c>
      <c r="AA533" s="146">
        <f t="shared" si="1167"/>
        <v>9.9176584698819195</v>
      </c>
      <c r="AB533" s="146">
        <f t="shared" si="1167"/>
        <v>4.3857872075115516</v>
      </c>
      <c r="AC533" s="146">
        <f t="shared" si="1167"/>
        <v>463.21098872354372</v>
      </c>
      <c r="AD533" s="146">
        <f t="shared" si="1167"/>
        <v>919.550025744349</v>
      </c>
      <c r="AE533" s="146">
        <f t="shared" si="1167"/>
        <v>178.3363202245084</v>
      </c>
      <c r="AF533" s="146">
        <f t="shared" si="1167"/>
        <v>86.218818531750458</v>
      </c>
      <c r="AG533" s="146">
        <f t="shared" si="1167"/>
        <v>277.37256563251157</v>
      </c>
      <c r="AH533" s="146">
        <f t="shared" si="1167"/>
        <v>3.5454160261776346</v>
      </c>
      <c r="AI533" s="146">
        <f t="shared" si="1167"/>
        <v>3.6391306165148869</v>
      </c>
      <c r="AJ533" s="146">
        <f t="shared" si="1167"/>
        <v>0.50638090345983999</v>
      </c>
      <c r="AK533" s="146">
        <f t="shared" si="1167"/>
        <v>339.4305528139123</v>
      </c>
      <c r="AL533" s="146">
        <f t="shared" si="1167"/>
        <v>0.41017807496039427</v>
      </c>
      <c r="AM533" s="146">
        <f t="shared" si="1167"/>
        <v>0.33308286188874497</v>
      </c>
      <c r="AN533" s="146">
        <f t="shared" si="1167"/>
        <v>6.1315911819784237</v>
      </c>
      <c r="AO533" s="146">
        <f t="shared" si="1167"/>
        <v>0.66363587403444113</v>
      </c>
      <c r="AP533" s="146">
        <f t="shared" si="1167"/>
        <v>130.11957427608178</v>
      </c>
      <c r="AQ533" s="146">
        <f t="shared" si="1167"/>
        <v>0.55852410603156721</v>
      </c>
      <c r="AR533" s="146">
        <f t="shared" si="1167"/>
        <v>35.304850120771647</v>
      </c>
      <c r="AS533" s="146">
        <f t="shared" si="1167"/>
        <v>0.84153702259411756</v>
      </c>
      <c r="AT533" s="176"/>
      <c r="AU533" s="176"/>
    </row>
    <row r="534" spans="1:70" s="106" customFormat="1" ht="15">
      <c r="A534" s="154"/>
      <c r="B534" s="1413"/>
      <c r="C534" s="1413"/>
      <c r="D534" s="1413"/>
      <c r="E534" s="1413"/>
      <c r="F534" s="1413"/>
      <c r="G534" s="84" t="s">
        <v>524</v>
      </c>
      <c r="H534" s="176"/>
      <c r="I534" s="177"/>
      <c r="J534" s="177"/>
      <c r="K534" s="177"/>
      <c r="L534" s="177"/>
      <c r="M534" s="422"/>
      <c r="N534" s="422"/>
      <c r="O534" s="422"/>
      <c r="P534" s="177"/>
      <c r="Q534" s="1419" t="s">
        <v>546</v>
      </c>
      <c r="R534" s="1419"/>
      <c r="S534" s="1419"/>
      <c r="T534" s="1419"/>
      <c r="U534" s="1419"/>
      <c r="V534" s="1420"/>
      <c r="W534" s="146">
        <f t="shared" ref="W534:AS534" si="1168">100*W533/W480</f>
        <v>110.57020185124554</v>
      </c>
      <c r="X534" s="146">
        <f t="shared" si="1168"/>
        <v>114.11026193164342</v>
      </c>
      <c r="Y534" s="146">
        <f t="shared" si="1168"/>
        <v>107.40156274816155</v>
      </c>
      <c r="Z534" s="146">
        <f t="shared" si="1168"/>
        <v>124.02017400113218</v>
      </c>
      <c r="AA534" s="146">
        <f t="shared" si="1168"/>
        <v>173.99400824354242</v>
      </c>
      <c r="AB534" s="137">
        <f t="shared" si="1168"/>
        <v>73.096453458525858</v>
      </c>
      <c r="AC534" s="146">
        <f t="shared" si="1168"/>
        <v>111.8867122520637</v>
      </c>
      <c r="AD534" s="146">
        <f t="shared" si="1168"/>
        <v>170.28704180450907</v>
      </c>
      <c r="AE534" s="146">
        <f t="shared" si="1168"/>
        <v>66.050488972040142</v>
      </c>
      <c r="AF534" s="146">
        <f t="shared" si="1168"/>
        <v>169.05650692500089</v>
      </c>
      <c r="AG534" s="146">
        <f t="shared" si="1168"/>
        <v>115.57190234687982</v>
      </c>
      <c r="AH534" s="146">
        <f t="shared" si="1168"/>
        <v>118.18053420592116</v>
      </c>
      <c r="AI534" s="146">
        <f t="shared" si="1168"/>
        <v>173.29193411975652</v>
      </c>
      <c r="AJ534" s="137">
        <f t="shared" si="1168"/>
        <v>135.03490758929067</v>
      </c>
      <c r="AK534" s="146">
        <f t="shared" si="1168"/>
        <v>141.4293970057968</v>
      </c>
      <c r="AL534" s="146">
        <f t="shared" si="1168"/>
        <v>136.72602498679808</v>
      </c>
      <c r="AM534" s="146">
        <f t="shared" si="1168"/>
        <v>100.93420057234695</v>
      </c>
      <c r="AN534" s="146">
        <f t="shared" si="1168"/>
        <v>170.32197727717846</v>
      </c>
      <c r="AO534" s="146">
        <f t="shared" si="1168"/>
        <v>316.01708287354342</v>
      </c>
      <c r="AP534" s="146">
        <f t="shared" si="1168"/>
        <v>144.57730475120198</v>
      </c>
      <c r="AQ534" s="146">
        <f t="shared" si="1168"/>
        <v>103.43039000584577</v>
      </c>
      <c r="AR534" s="146">
        <f t="shared" si="1168"/>
        <v>147.10354216988188</v>
      </c>
      <c r="AS534" s="137">
        <f t="shared" si="1168"/>
        <v>56.102468172941172</v>
      </c>
      <c r="AT534" s="176"/>
      <c r="AU534" s="176"/>
    </row>
    <row r="535" spans="1:70" ht="15" thickBot="1">
      <c r="A535" s="161"/>
      <c r="B535" s="161"/>
      <c r="C535" s="161"/>
      <c r="D535" s="162"/>
      <c r="E535" s="162"/>
      <c r="F535" s="162"/>
      <c r="G535" s="163"/>
      <c r="H535" s="163"/>
      <c r="I535" s="161"/>
      <c r="J535" s="161"/>
      <c r="K535" s="161"/>
      <c r="L535" s="161"/>
      <c r="M535" s="427"/>
      <c r="N535" s="427"/>
      <c r="O535" s="427"/>
      <c r="P535" s="161"/>
      <c r="Q535" s="161"/>
      <c r="R535" s="161"/>
      <c r="S535" s="161"/>
      <c r="T535" s="161"/>
      <c r="U535" s="161"/>
      <c r="V535" s="161"/>
      <c r="W535" s="164"/>
      <c r="X535" s="164"/>
      <c r="Y535" s="164"/>
      <c r="Z535" s="164"/>
      <c r="AA535" s="164"/>
      <c r="AB535" s="164"/>
      <c r="AC535" s="164"/>
      <c r="AD535" s="164"/>
      <c r="AE535" s="164"/>
      <c r="AF535" s="164"/>
      <c r="AG535" s="164"/>
      <c r="AH535" s="164"/>
      <c r="AI535" s="164"/>
      <c r="AJ535" s="164"/>
      <c r="AK535" s="164"/>
      <c r="AL535" s="164"/>
      <c r="AM535" s="164"/>
      <c r="AN535" s="164"/>
      <c r="AO535" s="164"/>
      <c r="AP535" s="164"/>
      <c r="AQ535" s="164"/>
      <c r="AR535" s="164"/>
      <c r="AS535" s="164"/>
      <c r="AT535" s="161"/>
      <c r="AU535" s="161"/>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row>
    <row r="536" spans="1:70" ht="56">
      <c r="A536" s="156"/>
      <c r="B536" s="156"/>
      <c r="C536" s="156"/>
      <c r="D536" s="111"/>
      <c r="E536" s="111"/>
      <c r="F536" s="111"/>
      <c r="G536" s="1417" t="s">
        <v>525</v>
      </c>
      <c r="H536" s="1417"/>
      <c r="I536" s="199" t="s">
        <v>562</v>
      </c>
      <c r="J536" s="199" t="s">
        <v>563</v>
      </c>
      <c r="K536" s="199"/>
      <c r="L536" s="199"/>
      <c r="M536" s="428"/>
      <c r="N536" s="428"/>
      <c r="O536" s="428"/>
      <c r="P536" s="199"/>
      <c r="Q536" s="200" t="s">
        <v>384</v>
      </c>
      <c r="R536" s="201" t="s">
        <v>455</v>
      </c>
      <c r="S536" s="201"/>
      <c r="T536" s="201" t="s">
        <v>456</v>
      </c>
      <c r="U536" s="201" t="s">
        <v>535</v>
      </c>
      <c r="V536" s="202" t="s">
        <v>457</v>
      </c>
      <c r="W536" s="201" t="s">
        <v>75</v>
      </c>
      <c r="X536" s="201" t="s">
        <v>385</v>
      </c>
      <c r="Y536" s="201" t="s">
        <v>386</v>
      </c>
      <c r="Z536" s="201" t="s">
        <v>387</v>
      </c>
      <c r="AA536" s="201" t="s">
        <v>388</v>
      </c>
      <c r="AB536" s="202" t="s">
        <v>389</v>
      </c>
      <c r="AC536" s="201" t="s">
        <v>390</v>
      </c>
      <c r="AD536" s="201" t="s">
        <v>391</v>
      </c>
      <c r="AE536" s="201" t="s">
        <v>392</v>
      </c>
      <c r="AF536" s="201" t="s">
        <v>393</v>
      </c>
      <c r="AG536" s="201" t="s">
        <v>394</v>
      </c>
      <c r="AH536" s="201" t="s">
        <v>395</v>
      </c>
      <c r="AI536" s="201" t="s">
        <v>396</v>
      </c>
      <c r="AJ536" s="202" t="s">
        <v>397</v>
      </c>
      <c r="AK536" s="201" t="s">
        <v>398</v>
      </c>
      <c r="AL536" s="201" t="s">
        <v>399</v>
      </c>
      <c r="AM536" s="201" t="s">
        <v>400</v>
      </c>
      <c r="AN536" s="201" t="s">
        <v>401</v>
      </c>
      <c r="AO536" s="201" t="s">
        <v>402</v>
      </c>
      <c r="AP536" s="201" t="s">
        <v>406</v>
      </c>
      <c r="AQ536" s="201" t="s">
        <v>405</v>
      </c>
      <c r="AR536" s="201" t="s">
        <v>403</v>
      </c>
      <c r="AS536" s="202" t="s">
        <v>404</v>
      </c>
      <c r="AT536" s="201" t="s">
        <v>456</v>
      </c>
      <c r="AU536" s="201" t="s">
        <v>456</v>
      </c>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row>
    <row r="537" spans="1:70" ht="15">
      <c r="A537" s="156"/>
      <c r="B537" s="1413" t="s">
        <v>582</v>
      </c>
      <c r="C537" s="1413"/>
      <c r="D537" s="1413"/>
      <c r="E537" s="1413"/>
      <c r="F537" s="1413"/>
      <c r="G537" s="122" t="s">
        <v>525</v>
      </c>
      <c r="H537" s="123" t="s">
        <v>521</v>
      </c>
      <c r="I537" s="5">
        <f t="shared" ref="I537:I541" si="1169">100*R537/(Q537+0.00001)</f>
        <v>0</v>
      </c>
      <c r="J537" s="5">
        <f t="shared" ref="J537:J541" si="1170">100*U537/(T537+0.00001)</f>
        <v>0</v>
      </c>
      <c r="K537" s="5"/>
      <c r="L537" s="5"/>
      <c r="M537" s="337"/>
      <c r="N537" s="337"/>
      <c r="O537" s="337"/>
      <c r="P537" s="5"/>
      <c r="Q537" s="5">
        <f t="shared" ref="Q537:AU537" si="1171">Q102</f>
        <v>0</v>
      </c>
      <c r="R537" s="5">
        <f t="shared" si="1171"/>
        <v>0</v>
      </c>
      <c r="S537" s="5">
        <f t="shared" ref="S537:S541" si="1172">Q537-R537</f>
        <v>0</v>
      </c>
      <c r="T537" s="5">
        <f t="shared" si="1171"/>
        <v>0</v>
      </c>
      <c r="U537" s="5">
        <f t="shared" si="1171"/>
        <v>0</v>
      </c>
      <c r="V537" s="116">
        <f t="shared" si="1171"/>
        <v>0</v>
      </c>
      <c r="W537" s="5">
        <f t="shared" si="1171"/>
        <v>0</v>
      </c>
      <c r="X537" s="5">
        <f t="shared" si="1171"/>
        <v>0</v>
      </c>
      <c r="Y537" s="5">
        <f t="shared" si="1171"/>
        <v>0</v>
      </c>
      <c r="Z537" s="5">
        <f t="shared" si="1171"/>
        <v>0</v>
      </c>
      <c r="AA537" s="5">
        <f t="shared" si="1171"/>
        <v>0</v>
      </c>
      <c r="AB537" s="116">
        <f t="shared" si="1171"/>
        <v>0</v>
      </c>
      <c r="AC537" s="5">
        <f t="shared" si="1171"/>
        <v>0</v>
      </c>
      <c r="AD537" s="5">
        <f t="shared" si="1171"/>
        <v>0</v>
      </c>
      <c r="AE537" s="5">
        <f t="shared" si="1171"/>
        <v>0</v>
      </c>
      <c r="AF537" s="5">
        <f t="shared" si="1171"/>
        <v>0</v>
      </c>
      <c r="AG537" s="5">
        <f t="shared" si="1171"/>
        <v>0</v>
      </c>
      <c r="AH537" s="5">
        <f t="shared" si="1171"/>
        <v>0</v>
      </c>
      <c r="AI537" s="5">
        <f t="shared" si="1171"/>
        <v>0</v>
      </c>
      <c r="AJ537" s="116">
        <f t="shared" si="1171"/>
        <v>0</v>
      </c>
      <c r="AK537" s="5">
        <f t="shared" si="1171"/>
        <v>0</v>
      </c>
      <c r="AL537" s="5">
        <f t="shared" si="1171"/>
        <v>0</v>
      </c>
      <c r="AM537" s="5">
        <f t="shared" si="1171"/>
        <v>0</v>
      </c>
      <c r="AN537" s="5">
        <f t="shared" si="1171"/>
        <v>0</v>
      </c>
      <c r="AO537" s="5">
        <f t="shared" si="1171"/>
        <v>0</v>
      </c>
      <c r="AP537" s="5">
        <f t="shared" si="1171"/>
        <v>0</v>
      </c>
      <c r="AQ537" s="5">
        <f t="shared" si="1171"/>
        <v>0</v>
      </c>
      <c r="AR537" s="5">
        <f t="shared" si="1171"/>
        <v>0</v>
      </c>
      <c r="AS537" s="116">
        <f t="shared" si="1171"/>
        <v>0</v>
      </c>
      <c r="AT537" s="5">
        <f t="shared" si="1171"/>
        <v>0</v>
      </c>
      <c r="AU537" s="5">
        <f t="shared" si="1171"/>
        <v>0</v>
      </c>
    </row>
    <row r="538" spans="1:70" ht="15">
      <c r="A538" s="156"/>
      <c r="B538" s="1413"/>
      <c r="C538" s="1413"/>
      <c r="D538" s="1413"/>
      <c r="E538" s="1413"/>
      <c r="F538" s="1413"/>
      <c r="G538" s="124" t="s">
        <v>525</v>
      </c>
      <c r="H538" s="125" t="s">
        <v>526</v>
      </c>
      <c r="I538" s="5">
        <f t="shared" si="1169"/>
        <v>0</v>
      </c>
      <c r="J538" s="5">
        <f t="shared" si="1170"/>
        <v>0</v>
      </c>
      <c r="K538" s="5"/>
      <c r="L538" s="5"/>
      <c r="M538" s="337"/>
      <c r="N538" s="337"/>
      <c r="O538" s="337"/>
      <c r="P538" s="5"/>
      <c r="Q538" s="5">
        <f t="shared" ref="Q538:AU538" si="1173">Q201</f>
        <v>0</v>
      </c>
      <c r="R538" s="5">
        <f t="shared" si="1173"/>
        <v>0</v>
      </c>
      <c r="S538" s="5">
        <f t="shared" si="1172"/>
        <v>0</v>
      </c>
      <c r="T538" s="5">
        <f t="shared" si="1173"/>
        <v>0</v>
      </c>
      <c r="U538" s="5">
        <f t="shared" si="1173"/>
        <v>0</v>
      </c>
      <c r="V538" s="116">
        <f t="shared" si="1173"/>
        <v>0</v>
      </c>
      <c r="W538" s="5">
        <f t="shared" si="1173"/>
        <v>0</v>
      </c>
      <c r="X538" s="5">
        <f t="shared" si="1173"/>
        <v>0</v>
      </c>
      <c r="Y538" s="5">
        <f t="shared" si="1173"/>
        <v>0</v>
      </c>
      <c r="Z538" s="5">
        <f t="shared" si="1173"/>
        <v>0</v>
      </c>
      <c r="AA538" s="5">
        <f t="shared" si="1173"/>
        <v>0</v>
      </c>
      <c r="AB538" s="116">
        <f t="shared" si="1173"/>
        <v>0</v>
      </c>
      <c r="AC538" s="5">
        <f t="shared" si="1173"/>
        <v>0</v>
      </c>
      <c r="AD538" s="5">
        <f t="shared" si="1173"/>
        <v>0</v>
      </c>
      <c r="AE538" s="5">
        <f t="shared" si="1173"/>
        <v>0</v>
      </c>
      <c r="AF538" s="5">
        <f t="shared" si="1173"/>
        <v>0</v>
      </c>
      <c r="AG538" s="5">
        <f t="shared" si="1173"/>
        <v>0</v>
      </c>
      <c r="AH538" s="5">
        <f t="shared" si="1173"/>
        <v>0</v>
      </c>
      <c r="AI538" s="5">
        <f t="shared" si="1173"/>
        <v>0</v>
      </c>
      <c r="AJ538" s="116">
        <f t="shared" si="1173"/>
        <v>0</v>
      </c>
      <c r="AK538" s="5">
        <f t="shared" si="1173"/>
        <v>0</v>
      </c>
      <c r="AL538" s="5">
        <f t="shared" si="1173"/>
        <v>0</v>
      </c>
      <c r="AM538" s="5">
        <f t="shared" si="1173"/>
        <v>0</v>
      </c>
      <c r="AN538" s="5">
        <f t="shared" si="1173"/>
        <v>0</v>
      </c>
      <c r="AO538" s="5">
        <f t="shared" si="1173"/>
        <v>0</v>
      </c>
      <c r="AP538" s="5">
        <f t="shared" si="1173"/>
        <v>0</v>
      </c>
      <c r="AQ538" s="5">
        <f t="shared" si="1173"/>
        <v>0</v>
      </c>
      <c r="AR538" s="5">
        <f t="shared" si="1173"/>
        <v>0</v>
      </c>
      <c r="AS538" s="116">
        <f t="shared" si="1173"/>
        <v>0</v>
      </c>
      <c r="AT538" s="5">
        <f t="shared" si="1173"/>
        <v>0</v>
      </c>
      <c r="AU538" s="5">
        <f t="shared" si="1173"/>
        <v>0</v>
      </c>
    </row>
    <row r="539" spans="1:70" ht="15">
      <c r="A539" s="156"/>
      <c r="B539" s="1413"/>
      <c r="C539" s="1413"/>
      <c r="D539" s="1413"/>
      <c r="E539" s="1413"/>
      <c r="F539" s="1413"/>
      <c r="G539" s="126" t="s">
        <v>525</v>
      </c>
      <c r="H539" s="127" t="s">
        <v>527</v>
      </c>
      <c r="I539" s="5">
        <f t="shared" si="1169"/>
        <v>0</v>
      </c>
      <c r="J539" s="5">
        <f t="shared" si="1170"/>
        <v>0</v>
      </c>
      <c r="K539" s="5"/>
      <c r="L539" s="5"/>
      <c r="M539" s="337"/>
      <c r="N539" s="337"/>
      <c r="O539" s="337"/>
      <c r="P539" s="5"/>
      <c r="Q539" s="5">
        <f t="shared" ref="Q539:AU539" si="1174">Q300</f>
        <v>0</v>
      </c>
      <c r="R539" s="5">
        <f t="shared" si="1174"/>
        <v>0</v>
      </c>
      <c r="S539" s="5">
        <f t="shared" si="1172"/>
        <v>0</v>
      </c>
      <c r="T539" s="5">
        <f t="shared" si="1174"/>
        <v>0</v>
      </c>
      <c r="U539" s="5">
        <f t="shared" si="1174"/>
        <v>0</v>
      </c>
      <c r="V539" s="116">
        <f t="shared" si="1174"/>
        <v>0</v>
      </c>
      <c r="W539" s="5">
        <f t="shared" si="1174"/>
        <v>0</v>
      </c>
      <c r="X539" s="5">
        <f t="shared" si="1174"/>
        <v>0</v>
      </c>
      <c r="Y539" s="5">
        <f t="shared" si="1174"/>
        <v>0</v>
      </c>
      <c r="Z539" s="5">
        <f t="shared" si="1174"/>
        <v>0</v>
      </c>
      <c r="AA539" s="5">
        <f t="shared" si="1174"/>
        <v>0</v>
      </c>
      <c r="AB539" s="116">
        <f t="shared" si="1174"/>
        <v>0</v>
      </c>
      <c r="AC539" s="5">
        <f t="shared" si="1174"/>
        <v>0</v>
      </c>
      <c r="AD539" s="5">
        <f t="shared" si="1174"/>
        <v>0</v>
      </c>
      <c r="AE539" s="5">
        <f t="shared" si="1174"/>
        <v>0</v>
      </c>
      <c r="AF539" s="5">
        <f t="shared" si="1174"/>
        <v>0</v>
      </c>
      <c r="AG539" s="5">
        <f t="shared" si="1174"/>
        <v>0</v>
      </c>
      <c r="AH539" s="5">
        <f t="shared" si="1174"/>
        <v>0</v>
      </c>
      <c r="AI539" s="5">
        <f t="shared" si="1174"/>
        <v>0</v>
      </c>
      <c r="AJ539" s="116">
        <f t="shared" si="1174"/>
        <v>0</v>
      </c>
      <c r="AK539" s="5">
        <f t="shared" si="1174"/>
        <v>0</v>
      </c>
      <c r="AL539" s="5">
        <f t="shared" si="1174"/>
        <v>0</v>
      </c>
      <c r="AM539" s="5">
        <f t="shared" si="1174"/>
        <v>0</v>
      </c>
      <c r="AN539" s="5">
        <f t="shared" si="1174"/>
        <v>0</v>
      </c>
      <c r="AO539" s="5">
        <f t="shared" si="1174"/>
        <v>0</v>
      </c>
      <c r="AP539" s="5">
        <f t="shared" si="1174"/>
        <v>0</v>
      </c>
      <c r="AQ539" s="5">
        <f t="shared" si="1174"/>
        <v>0</v>
      </c>
      <c r="AR539" s="5">
        <f t="shared" si="1174"/>
        <v>0</v>
      </c>
      <c r="AS539" s="116">
        <f t="shared" si="1174"/>
        <v>0</v>
      </c>
      <c r="AT539" s="5">
        <f t="shared" si="1174"/>
        <v>0</v>
      </c>
      <c r="AU539" s="5">
        <f t="shared" si="1174"/>
        <v>0</v>
      </c>
    </row>
    <row r="540" spans="1:70" ht="15">
      <c r="A540" s="156"/>
      <c r="B540" s="1413"/>
      <c r="C540" s="1413"/>
      <c r="D540" s="1413"/>
      <c r="E540" s="1413"/>
      <c r="F540" s="1413"/>
      <c r="G540" s="128" t="s">
        <v>525</v>
      </c>
      <c r="H540" s="129" t="s">
        <v>528</v>
      </c>
      <c r="I540" s="5">
        <f t="shared" si="1169"/>
        <v>0</v>
      </c>
      <c r="J540" s="5">
        <f t="shared" si="1170"/>
        <v>0</v>
      </c>
      <c r="K540" s="5"/>
      <c r="L540" s="5"/>
      <c r="M540" s="337"/>
      <c r="N540" s="337"/>
      <c r="O540" s="337"/>
      <c r="P540" s="5"/>
      <c r="Q540" s="5">
        <f t="shared" ref="Q540:AU540" si="1175">Q399</f>
        <v>0</v>
      </c>
      <c r="R540" s="5">
        <f t="shared" si="1175"/>
        <v>0</v>
      </c>
      <c r="S540" s="5">
        <f t="shared" si="1172"/>
        <v>0</v>
      </c>
      <c r="T540" s="5">
        <f t="shared" si="1175"/>
        <v>0</v>
      </c>
      <c r="U540" s="5">
        <f t="shared" si="1175"/>
        <v>0</v>
      </c>
      <c r="V540" s="116">
        <f t="shared" si="1175"/>
        <v>0</v>
      </c>
      <c r="W540" s="5">
        <f t="shared" si="1175"/>
        <v>0</v>
      </c>
      <c r="X540" s="5">
        <f t="shared" si="1175"/>
        <v>0</v>
      </c>
      <c r="Y540" s="5">
        <f t="shared" si="1175"/>
        <v>0</v>
      </c>
      <c r="Z540" s="5">
        <f t="shared" si="1175"/>
        <v>0</v>
      </c>
      <c r="AA540" s="5">
        <f t="shared" si="1175"/>
        <v>0</v>
      </c>
      <c r="AB540" s="116">
        <f t="shared" si="1175"/>
        <v>0</v>
      </c>
      <c r="AC540" s="5">
        <f t="shared" si="1175"/>
        <v>0</v>
      </c>
      <c r="AD540" s="5">
        <f t="shared" si="1175"/>
        <v>0</v>
      </c>
      <c r="AE540" s="5">
        <f t="shared" si="1175"/>
        <v>0</v>
      </c>
      <c r="AF540" s="5">
        <f t="shared" si="1175"/>
        <v>0</v>
      </c>
      <c r="AG540" s="5">
        <f t="shared" si="1175"/>
        <v>0</v>
      </c>
      <c r="AH540" s="5">
        <f t="shared" si="1175"/>
        <v>0</v>
      </c>
      <c r="AI540" s="5">
        <f t="shared" si="1175"/>
        <v>0</v>
      </c>
      <c r="AJ540" s="116">
        <f t="shared" si="1175"/>
        <v>0</v>
      </c>
      <c r="AK540" s="5">
        <f t="shared" si="1175"/>
        <v>0</v>
      </c>
      <c r="AL540" s="5">
        <f t="shared" si="1175"/>
        <v>0</v>
      </c>
      <c r="AM540" s="5">
        <f t="shared" si="1175"/>
        <v>0</v>
      </c>
      <c r="AN540" s="5">
        <f t="shared" si="1175"/>
        <v>0</v>
      </c>
      <c r="AO540" s="5">
        <f t="shared" si="1175"/>
        <v>0</v>
      </c>
      <c r="AP540" s="5">
        <f t="shared" si="1175"/>
        <v>0</v>
      </c>
      <c r="AQ540" s="5">
        <f t="shared" si="1175"/>
        <v>0</v>
      </c>
      <c r="AR540" s="5">
        <f t="shared" si="1175"/>
        <v>0</v>
      </c>
      <c r="AS540" s="116">
        <f t="shared" si="1175"/>
        <v>0</v>
      </c>
      <c r="AT540" s="5">
        <f t="shared" si="1175"/>
        <v>0</v>
      </c>
      <c r="AU540" s="5">
        <f t="shared" si="1175"/>
        <v>0</v>
      </c>
    </row>
    <row r="541" spans="1:70" ht="15">
      <c r="A541" s="156"/>
      <c r="B541" s="1413"/>
      <c r="C541" s="1413"/>
      <c r="D541" s="1413"/>
      <c r="E541" s="1413"/>
      <c r="F541" s="1413"/>
      <c r="G541" s="130" t="s">
        <v>525</v>
      </c>
      <c r="H541" s="131" t="s">
        <v>529</v>
      </c>
      <c r="I541" s="132">
        <f t="shared" si="1169"/>
        <v>0</v>
      </c>
      <c r="J541" s="132">
        <f t="shared" si="1170"/>
        <v>0</v>
      </c>
      <c r="K541" s="132"/>
      <c r="L541" s="132"/>
      <c r="M541" s="419"/>
      <c r="N541" s="419"/>
      <c r="O541" s="419"/>
      <c r="P541" s="132"/>
      <c r="Q541" s="132">
        <f t="shared" ref="Q541:AU541" si="1176">Q498</f>
        <v>0</v>
      </c>
      <c r="R541" s="132">
        <f t="shared" si="1176"/>
        <v>0</v>
      </c>
      <c r="S541" s="132">
        <f t="shared" si="1172"/>
        <v>0</v>
      </c>
      <c r="T541" s="132">
        <f t="shared" si="1176"/>
        <v>0</v>
      </c>
      <c r="U541" s="132">
        <f t="shared" si="1176"/>
        <v>0</v>
      </c>
      <c r="V541" s="133">
        <f t="shared" si="1176"/>
        <v>0</v>
      </c>
      <c r="W541" s="132">
        <f t="shared" si="1176"/>
        <v>0</v>
      </c>
      <c r="X541" s="132">
        <f t="shared" si="1176"/>
        <v>0</v>
      </c>
      <c r="Y541" s="132">
        <f t="shared" si="1176"/>
        <v>0</v>
      </c>
      <c r="Z541" s="132">
        <f t="shared" si="1176"/>
        <v>0</v>
      </c>
      <c r="AA541" s="132">
        <f t="shared" si="1176"/>
        <v>0</v>
      </c>
      <c r="AB541" s="133">
        <f t="shared" si="1176"/>
        <v>0</v>
      </c>
      <c r="AC541" s="132">
        <f t="shared" si="1176"/>
        <v>0</v>
      </c>
      <c r="AD541" s="132">
        <f t="shared" si="1176"/>
        <v>0</v>
      </c>
      <c r="AE541" s="132">
        <f t="shared" si="1176"/>
        <v>0</v>
      </c>
      <c r="AF541" s="132">
        <f t="shared" si="1176"/>
        <v>0</v>
      </c>
      <c r="AG541" s="132">
        <f t="shared" si="1176"/>
        <v>0</v>
      </c>
      <c r="AH541" s="132">
        <f t="shared" si="1176"/>
        <v>0</v>
      </c>
      <c r="AI541" s="132">
        <f t="shared" si="1176"/>
        <v>0</v>
      </c>
      <c r="AJ541" s="133">
        <f t="shared" si="1176"/>
        <v>0</v>
      </c>
      <c r="AK541" s="132">
        <f t="shared" si="1176"/>
        <v>0</v>
      </c>
      <c r="AL541" s="132">
        <f t="shared" si="1176"/>
        <v>0</v>
      </c>
      <c r="AM541" s="132">
        <f t="shared" si="1176"/>
        <v>0</v>
      </c>
      <c r="AN541" s="132">
        <f t="shared" si="1176"/>
        <v>0</v>
      </c>
      <c r="AO541" s="132">
        <f t="shared" si="1176"/>
        <v>0</v>
      </c>
      <c r="AP541" s="132">
        <f t="shared" si="1176"/>
        <v>0</v>
      </c>
      <c r="AQ541" s="132">
        <f t="shared" si="1176"/>
        <v>0</v>
      </c>
      <c r="AR541" s="132">
        <f t="shared" si="1176"/>
        <v>0</v>
      </c>
      <c r="AS541" s="133">
        <f t="shared" si="1176"/>
        <v>0</v>
      </c>
      <c r="AT541" s="132">
        <f t="shared" si="1176"/>
        <v>0</v>
      </c>
      <c r="AU541" s="132">
        <f t="shared" si="1176"/>
        <v>0</v>
      </c>
    </row>
    <row r="542" spans="1:70" ht="15">
      <c r="A542" s="156"/>
      <c r="B542" s="1413"/>
      <c r="C542" s="1413"/>
      <c r="D542" s="1413"/>
      <c r="E542" s="1413"/>
      <c r="F542" s="1413"/>
      <c r="G542" s="84" t="s">
        <v>525</v>
      </c>
      <c r="H542" s="174" t="s">
        <v>551</v>
      </c>
      <c r="I542" s="175">
        <f t="shared" ref="I542:J542" si="1177">SUM(I537:I541)/(COUNTIF(I537:I541,"&gt;0.00")+0.00001)</f>
        <v>0</v>
      </c>
      <c r="J542" s="175">
        <f t="shared" si="1177"/>
        <v>0</v>
      </c>
      <c r="K542" s="175"/>
      <c r="L542" s="175"/>
      <c r="M542" s="420"/>
      <c r="N542" s="420"/>
      <c r="O542" s="420"/>
      <c r="P542" s="175"/>
      <c r="Q542" s="146">
        <f>SUM(Q537:Q541)/(COUNTIF($Q$537:$Q$541,"&gt;0.00")+0.00001)</f>
        <v>0</v>
      </c>
      <c r="R542" s="146">
        <f t="shared" ref="R542:AS542" si="1178">SUM(R537:R541)/(COUNTIF($Q$537:$Q$541,"&gt;0.00")+0.00001)</f>
        <v>0</v>
      </c>
      <c r="S542" s="146">
        <f t="shared" si="1178"/>
        <v>0</v>
      </c>
      <c r="T542" s="146">
        <f t="shared" si="1178"/>
        <v>0</v>
      </c>
      <c r="U542" s="146">
        <f t="shared" si="1178"/>
        <v>0</v>
      </c>
      <c r="V542" s="146">
        <f t="shared" si="1178"/>
        <v>0</v>
      </c>
      <c r="W542" s="146">
        <f t="shared" si="1178"/>
        <v>0</v>
      </c>
      <c r="X542" s="146">
        <f t="shared" si="1178"/>
        <v>0</v>
      </c>
      <c r="Y542" s="146">
        <f t="shared" si="1178"/>
        <v>0</v>
      </c>
      <c r="Z542" s="146">
        <f t="shared" si="1178"/>
        <v>0</v>
      </c>
      <c r="AA542" s="146">
        <f t="shared" si="1178"/>
        <v>0</v>
      </c>
      <c r="AB542" s="146">
        <f t="shared" si="1178"/>
        <v>0</v>
      </c>
      <c r="AC542" s="146">
        <f t="shared" si="1178"/>
        <v>0</v>
      </c>
      <c r="AD542" s="146">
        <f t="shared" si="1178"/>
        <v>0</v>
      </c>
      <c r="AE542" s="146">
        <f t="shared" si="1178"/>
        <v>0</v>
      </c>
      <c r="AF542" s="146">
        <f t="shared" si="1178"/>
        <v>0</v>
      </c>
      <c r="AG542" s="146">
        <f t="shared" si="1178"/>
        <v>0</v>
      </c>
      <c r="AH542" s="146">
        <f t="shared" si="1178"/>
        <v>0</v>
      </c>
      <c r="AI542" s="146">
        <f t="shared" si="1178"/>
        <v>0</v>
      </c>
      <c r="AJ542" s="146">
        <f t="shared" si="1178"/>
        <v>0</v>
      </c>
      <c r="AK542" s="146">
        <f t="shared" si="1178"/>
        <v>0</v>
      </c>
      <c r="AL542" s="146">
        <f t="shared" si="1178"/>
        <v>0</v>
      </c>
      <c r="AM542" s="146">
        <f t="shared" si="1178"/>
        <v>0</v>
      </c>
      <c r="AN542" s="146">
        <f t="shared" si="1178"/>
        <v>0</v>
      </c>
      <c r="AO542" s="146">
        <f t="shared" si="1178"/>
        <v>0</v>
      </c>
      <c r="AP542" s="146">
        <f t="shared" si="1178"/>
        <v>0</v>
      </c>
      <c r="AQ542" s="146">
        <f t="shared" si="1178"/>
        <v>0</v>
      </c>
      <c r="AR542" s="146">
        <f t="shared" si="1178"/>
        <v>0</v>
      </c>
      <c r="AS542" s="146">
        <f t="shared" si="1178"/>
        <v>0</v>
      </c>
      <c r="AT542" s="146">
        <f t="shared" ref="AT542:AU542" si="1179">SUM(AT537:AT541)/(IF($E$89&gt;0, 1,0)+IF($E$188&gt;0,1,0)+IF($E$287&gt;0,1,0)+IF($E$386&gt;0,1,0)+IF($E$485&gt;0,1)+0.00001)</f>
        <v>0</v>
      </c>
      <c r="AU542" s="146">
        <f t="shared" si="1179"/>
        <v>0</v>
      </c>
    </row>
    <row r="543" spans="1:70" ht="15">
      <c r="A543" s="156"/>
      <c r="B543" s="1413"/>
      <c r="C543" s="1413"/>
      <c r="D543" s="1413"/>
      <c r="E543" s="1413"/>
      <c r="F543" s="1413"/>
      <c r="G543" s="84" t="s">
        <v>525</v>
      </c>
      <c r="H543" s="174"/>
      <c r="Q543" s="1419" t="s">
        <v>552</v>
      </c>
      <c r="R543" s="1419"/>
      <c r="S543" s="1419"/>
      <c r="T543" s="1419"/>
      <c r="U543" s="1419"/>
      <c r="V543" s="1420"/>
      <c r="W543" s="146">
        <f>(W105+W204+W303+W402+W501)/(COUNTIF($W$537:$W$541,"&gt;0.00")+0.00001)</f>
        <v>0</v>
      </c>
      <c r="X543" s="146">
        <f t="shared" ref="X543:AS543" si="1180">(X105+X204+X303+X402+X501)/(COUNTIF($W$537:$W$541,"&gt;0.00")+0.00001)</f>
        <v>0</v>
      </c>
      <c r="Y543" s="146">
        <f t="shared" si="1180"/>
        <v>0</v>
      </c>
      <c r="Z543" s="146">
        <f t="shared" si="1180"/>
        <v>0</v>
      </c>
      <c r="AA543" s="146">
        <f t="shared" si="1180"/>
        <v>0</v>
      </c>
      <c r="AB543" s="146">
        <f t="shared" si="1180"/>
        <v>0</v>
      </c>
      <c r="AC543" s="146">
        <f t="shared" si="1180"/>
        <v>0</v>
      </c>
      <c r="AD543" s="146">
        <f t="shared" si="1180"/>
        <v>0</v>
      </c>
      <c r="AE543" s="146">
        <f t="shared" si="1180"/>
        <v>0</v>
      </c>
      <c r="AF543" s="146">
        <f t="shared" si="1180"/>
        <v>0</v>
      </c>
      <c r="AG543" s="146">
        <f t="shared" si="1180"/>
        <v>0</v>
      </c>
      <c r="AH543" s="146">
        <f t="shared" si="1180"/>
        <v>0</v>
      </c>
      <c r="AI543" s="146">
        <f t="shared" si="1180"/>
        <v>0</v>
      </c>
      <c r="AJ543" s="146">
        <f t="shared" si="1180"/>
        <v>0</v>
      </c>
      <c r="AK543" s="146">
        <f t="shared" si="1180"/>
        <v>0</v>
      </c>
      <c r="AL543" s="146">
        <f t="shared" si="1180"/>
        <v>0</v>
      </c>
      <c r="AM543" s="146">
        <f t="shared" si="1180"/>
        <v>0</v>
      </c>
      <c r="AN543" s="146">
        <f t="shared" si="1180"/>
        <v>0</v>
      </c>
      <c r="AO543" s="146">
        <f t="shared" si="1180"/>
        <v>0</v>
      </c>
      <c r="AP543" s="146">
        <f t="shared" si="1180"/>
        <v>0</v>
      </c>
      <c r="AQ543" s="146">
        <f t="shared" si="1180"/>
        <v>0</v>
      </c>
      <c r="AR543" s="146">
        <f t="shared" si="1180"/>
        <v>0</v>
      </c>
      <c r="AS543" s="146">
        <f t="shared" si="1180"/>
        <v>0</v>
      </c>
      <c r="AT543" s="176"/>
      <c r="AU543" s="176"/>
    </row>
    <row r="544" spans="1:70" s="106" customFormat="1" ht="15">
      <c r="A544" s="156"/>
      <c r="B544" s="1413"/>
      <c r="C544" s="1413"/>
      <c r="D544" s="1413"/>
      <c r="E544" s="1413"/>
      <c r="F544" s="1413"/>
      <c r="G544" s="84" t="s">
        <v>525</v>
      </c>
      <c r="H544" s="176"/>
      <c r="I544"/>
      <c r="J544"/>
      <c r="K544"/>
      <c r="L544" s="379"/>
      <c r="M544" s="421"/>
      <c r="N544" s="421"/>
      <c r="O544" s="421"/>
      <c r="P544" s="379"/>
      <c r="Q544" s="1419" t="s">
        <v>546</v>
      </c>
      <c r="R544" s="1419"/>
      <c r="S544" s="1419"/>
      <c r="T544" s="1419"/>
      <c r="U544" s="1419"/>
      <c r="V544" s="1420"/>
      <c r="W544" s="146">
        <f t="shared" ref="W544:AS544" si="1181">100*W543/W499</f>
        <v>0</v>
      </c>
      <c r="X544" s="146">
        <f t="shared" si="1181"/>
        <v>0</v>
      </c>
      <c r="Y544" s="146">
        <f t="shared" si="1181"/>
        <v>0</v>
      </c>
      <c r="Z544" s="146">
        <f t="shared" si="1181"/>
        <v>0</v>
      </c>
      <c r="AA544" s="146">
        <f t="shared" si="1181"/>
        <v>0</v>
      </c>
      <c r="AB544" s="137">
        <f t="shared" si="1181"/>
        <v>0</v>
      </c>
      <c r="AC544" s="146">
        <f t="shared" si="1181"/>
        <v>0</v>
      </c>
      <c r="AD544" s="146">
        <f t="shared" si="1181"/>
        <v>0</v>
      </c>
      <c r="AE544" s="146">
        <f t="shared" si="1181"/>
        <v>0</v>
      </c>
      <c r="AF544" s="146">
        <f t="shared" si="1181"/>
        <v>0</v>
      </c>
      <c r="AG544" s="146">
        <f t="shared" si="1181"/>
        <v>0</v>
      </c>
      <c r="AH544" s="146">
        <f t="shared" si="1181"/>
        <v>0</v>
      </c>
      <c r="AI544" s="146">
        <f t="shared" si="1181"/>
        <v>0</v>
      </c>
      <c r="AJ544" s="137">
        <f t="shared" si="1181"/>
        <v>0</v>
      </c>
      <c r="AK544" s="146">
        <f t="shared" si="1181"/>
        <v>0</v>
      </c>
      <c r="AL544" s="146">
        <f t="shared" si="1181"/>
        <v>0</v>
      </c>
      <c r="AM544" s="146">
        <f t="shared" si="1181"/>
        <v>0</v>
      </c>
      <c r="AN544" s="146">
        <f t="shared" si="1181"/>
        <v>0</v>
      </c>
      <c r="AO544" s="146">
        <f t="shared" si="1181"/>
        <v>0</v>
      </c>
      <c r="AP544" s="146">
        <f t="shared" si="1181"/>
        <v>0</v>
      </c>
      <c r="AQ544" s="146">
        <f t="shared" si="1181"/>
        <v>0</v>
      </c>
      <c r="AR544" s="146">
        <f t="shared" si="1181"/>
        <v>0</v>
      </c>
      <c r="AS544" s="137">
        <f t="shared" si="1181"/>
        <v>0</v>
      </c>
      <c r="AT544" s="176"/>
      <c r="AU544" s="176"/>
    </row>
    <row r="545" spans="1:70" ht="15" thickBot="1">
      <c r="A545" s="157"/>
      <c r="B545" s="157"/>
      <c r="C545" s="157"/>
      <c r="D545" s="158"/>
      <c r="E545" s="158"/>
      <c r="F545" s="158"/>
      <c r="G545" s="159"/>
      <c r="H545" s="159"/>
      <c r="I545" s="214"/>
      <c r="J545" s="214"/>
      <c r="K545" s="214"/>
      <c r="L545" s="214"/>
      <c r="M545" s="429"/>
      <c r="N545" s="429"/>
      <c r="O545" s="429"/>
      <c r="P545" s="214"/>
      <c r="Q545" s="157"/>
      <c r="R545" s="157"/>
      <c r="S545" s="157"/>
      <c r="T545" s="157"/>
      <c r="U545" s="157"/>
      <c r="V545" s="157"/>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57"/>
      <c r="AU545" s="157"/>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row>
    <row r="546" spans="1:70" s="106" customFormat="1" ht="44" customHeight="1">
      <c r="A546" s="216"/>
      <c r="B546" s="216"/>
      <c r="C546" s="216"/>
      <c r="D546" s="217"/>
      <c r="E546" s="217"/>
      <c r="F546" s="217"/>
      <c r="G546" s="1418" t="s">
        <v>589</v>
      </c>
      <c r="H546" s="1418"/>
      <c r="I546" s="259" t="s">
        <v>562</v>
      </c>
      <c r="J546" s="260" t="s">
        <v>563</v>
      </c>
      <c r="K546" s="281"/>
      <c r="L546" s="281"/>
      <c r="M546" s="430"/>
      <c r="N546" s="430"/>
      <c r="O546" s="430"/>
      <c r="P546" s="281"/>
      <c r="Q546" s="218" t="s">
        <v>384</v>
      </c>
      <c r="R546" s="219" t="s">
        <v>455</v>
      </c>
      <c r="S546" s="219"/>
      <c r="T546" s="219" t="s">
        <v>456</v>
      </c>
      <c r="U546" s="219" t="s">
        <v>535</v>
      </c>
      <c r="V546" s="220" t="s">
        <v>457</v>
      </c>
      <c r="W546" s="219" t="s">
        <v>75</v>
      </c>
      <c r="X546" s="219" t="s">
        <v>385</v>
      </c>
      <c r="Y546" s="219" t="s">
        <v>386</v>
      </c>
      <c r="Z546" s="219" t="s">
        <v>387</v>
      </c>
      <c r="AA546" s="219" t="s">
        <v>388</v>
      </c>
      <c r="AB546" s="221" t="s">
        <v>389</v>
      </c>
      <c r="AC546" s="219" t="s">
        <v>390</v>
      </c>
      <c r="AD546" s="219" t="s">
        <v>391</v>
      </c>
      <c r="AE546" s="219" t="s">
        <v>392</v>
      </c>
      <c r="AF546" s="219" t="s">
        <v>393</v>
      </c>
      <c r="AG546" s="219" t="s">
        <v>394</v>
      </c>
      <c r="AH546" s="219" t="s">
        <v>395</v>
      </c>
      <c r="AI546" s="219" t="s">
        <v>396</v>
      </c>
      <c r="AJ546" s="222" t="s">
        <v>397</v>
      </c>
      <c r="AK546" s="219" t="s">
        <v>398</v>
      </c>
      <c r="AL546" s="219" t="s">
        <v>399</v>
      </c>
      <c r="AM546" s="219" t="s">
        <v>400</v>
      </c>
      <c r="AN546" s="219" t="s">
        <v>401</v>
      </c>
      <c r="AO546" s="219" t="s">
        <v>402</v>
      </c>
      <c r="AP546" s="219" t="s">
        <v>406</v>
      </c>
      <c r="AQ546" s="219" t="s">
        <v>405</v>
      </c>
      <c r="AR546" s="219" t="s">
        <v>403</v>
      </c>
      <c r="AS546" s="220" t="s">
        <v>404</v>
      </c>
      <c r="AT546" s="219" t="s">
        <v>456</v>
      </c>
      <c r="AU546" s="219" t="s">
        <v>456</v>
      </c>
    </row>
    <row r="547" spans="1:70" ht="15">
      <c r="A547" s="216"/>
      <c r="B547" s="1413" t="s">
        <v>580</v>
      </c>
      <c r="C547" s="1413"/>
      <c r="D547" s="1413"/>
      <c r="E547" s="1413"/>
      <c r="F547" s="1413"/>
      <c r="G547" s="122" t="s">
        <v>589</v>
      </c>
      <c r="H547" s="123" t="s">
        <v>521</v>
      </c>
      <c r="I547" s="256">
        <f>100*R547/(Q547+0.00001)</f>
        <v>22.194995125785812</v>
      </c>
      <c r="J547" s="116">
        <f t="shared" ref="J547:J551" si="1182">100*U547/(T547+0.00001)</f>
        <v>22.639225492672711</v>
      </c>
      <c r="K547" s="97"/>
      <c r="L547" s="97"/>
      <c r="M547" s="98"/>
      <c r="N547" s="98"/>
      <c r="O547" s="98"/>
      <c r="P547" s="97"/>
      <c r="Q547" s="5">
        <f t="shared" ref="Q547:W548" si="1183">Q507+Q517+Q527+Q537</f>
        <v>763.6</v>
      </c>
      <c r="R547" s="5">
        <f t="shared" si="1183"/>
        <v>169.48098499999998</v>
      </c>
      <c r="S547" s="5">
        <f t="shared" ref="S547:S551" si="1184">Q547-R547</f>
        <v>594.11901499999999</v>
      </c>
      <c r="T547" s="5">
        <f t="shared" si="1183"/>
        <v>90.566308484848463</v>
      </c>
      <c r="U547" s="5">
        <f t="shared" si="1183"/>
        <v>20.503513062196969</v>
      </c>
      <c r="V547" s="5">
        <f t="shared" si="1183"/>
        <v>1510.0279999999996</v>
      </c>
      <c r="W547" s="5">
        <f t="shared" si="1183"/>
        <v>1094.6497833566432</v>
      </c>
      <c r="X547" s="5">
        <f t="shared" ref="X547:AS551" si="1185">X507+X517+X527+X537</f>
        <v>95.179967585047009</v>
      </c>
      <c r="Y547" s="5">
        <f t="shared" si="1185"/>
        <v>30.819435946681054</v>
      </c>
      <c r="Z547" s="5">
        <f t="shared" si="1185"/>
        <v>62.458053187072821</v>
      </c>
      <c r="AA547" s="5">
        <f t="shared" si="1185"/>
        <v>14.076127749892555</v>
      </c>
      <c r="AB547" s="228">
        <f t="shared" si="1185"/>
        <v>15.122993344483584</v>
      </c>
      <c r="AC547" s="5">
        <f t="shared" si="1185"/>
        <v>898.16997668997681</v>
      </c>
      <c r="AD547" s="5">
        <f t="shared" si="1185"/>
        <v>1625.7060000000001</v>
      </c>
      <c r="AE547" s="5">
        <f t="shared" si="1185"/>
        <v>421.47399999999999</v>
      </c>
      <c r="AF547" s="5">
        <f t="shared" si="1185"/>
        <v>136.41995337995337</v>
      </c>
      <c r="AG547" s="5">
        <f t="shared" si="1185"/>
        <v>545.08799999999997</v>
      </c>
      <c r="AH547" s="5">
        <f t="shared" si="1185"/>
        <v>4.6821086791651174</v>
      </c>
      <c r="AI547" s="5">
        <f t="shared" si="1185"/>
        <v>6.031772669350234</v>
      </c>
      <c r="AJ547" s="228">
        <f t="shared" si="1185"/>
        <v>0.80562753992047176</v>
      </c>
      <c r="AK547" s="5">
        <f t="shared" si="1185"/>
        <v>746.54</v>
      </c>
      <c r="AL547" s="5">
        <f t="shared" si="1185"/>
        <v>0.7932990218756909</v>
      </c>
      <c r="AM547" s="5">
        <f t="shared" si="1185"/>
        <v>0.74327046184264556</v>
      </c>
      <c r="AN547" s="5">
        <f t="shared" si="1185"/>
        <v>8.802293948378809</v>
      </c>
      <c r="AO547" s="5">
        <f t="shared" si="1185"/>
        <v>1.7209537137600512</v>
      </c>
      <c r="AP547" s="5">
        <f t="shared" si="1185"/>
        <v>189.01009324009323</v>
      </c>
      <c r="AQ547" s="5">
        <f t="shared" si="1185"/>
        <v>1.4837479279852408</v>
      </c>
      <c r="AR547" s="5">
        <f t="shared" si="1185"/>
        <v>70.182000000000002</v>
      </c>
      <c r="AS547" s="228">
        <f t="shared" si="1185"/>
        <v>2.3440015964361023</v>
      </c>
      <c r="AT547" s="5">
        <f t="shared" ref="AT547:AU551" si="1186">AT507+AT517+AT527+AT537</f>
        <v>80.981308484848483</v>
      </c>
      <c r="AU547" s="5">
        <f t="shared" si="1186"/>
        <v>90.566308484848463</v>
      </c>
    </row>
    <row r="548" spans="1:70" ht="15">
      <c r="A548" s="216"/>
      <c r="B548" s="1413"/>
      <c r="C548" s="1413"/>
      <c r="D548" s="1413"/>
      <c r="E548" s="1413"/>
      <c r="F548" s="1413"/>
      <c r="G548" s="124" t="s">
        <v>589</v>
      </c>
      <c r="H548" s="125" t="s">
        <v>526</v>
      </c>
      <c r="I548" s="256">
        <f>100*R548/(Q548+0.00001)</f>
        <v>22.07966041452314</v>
      </c>
      <c r="J548" s="116">
        <f t="shared" si="1182"/>
        <v>18.643081235419245</v>
      </c>
      <c r="K548" s="97"/>
      <c r="L548" s="97"/>
      <c r="M548" s="98"/>
      <c r="N548" s="98"/>
      <c r="O548" s="98"/>
      <c r="P548" s="97"/>
      <c r="Q548" s="5">
        <f t="shared" si="1183"/>
        <v>760.4</v>
      </c>
      <c r="R548" s="5">
        <f t="shared" si="1183"/>
        <v>167.89374000000001</v>
      </c>
      <c r="S548" s="5">
        <f t="shared" si="1184"/>
        <v>592.50626</v>
      </c>
      <c r="T548" s="5">
        <f t="shared" si="1183"/>
        <v>101.93230428571428</v>
      </c>
      <c r="U548" s="5">
        <f t="shared" si="1183"/>
        <v>19.003324157428573</v>
      </c>
      <c r="V548" s="5">
        <f t="shared" si="1183"/>
        <v>1248.8599999999999</v>
      </c>
      <c r="W548" s="5">
        <f t="shared" si="1183"/>
        <v>1228.0577166666665</v>
      </c>
      <c r="X548" s="5">
        <f t="shared" si="1185"/>
        <v>208.44999362848236</v>
      </c>
      <c r="Y548" s="5">
        <f t="shared" si="1185"/>
        <v>36.344812996196922</v>
      </c>
      <c r="Z548" s="5">
        <f t="shared" si="1185"/>
        <v>23.885078733258666</v>
      </c>
      <c r="AA548" s="5">
        <f t="shared" si="1185"/>
        <v>16.879228199776001</v>
      </c>
      <c r="AB548" s="116">
        <f t="shared" si="1185"/>
        <v>9.401496853236269</v>
      </c>
      <c r="AC548" s="5">
        <f t="shared" si="1185"/>
        <v>748.88760000000002</v>
      </c>
      <c r="AD548" s="5">
        <f t="shared" si="1185"/>
        <v>1440.0664868868869</v>
      </c>
      <c r="AE548" s="5">
        <f t="shared" si="1185"/>
        <v>363.7056</v>
      </c>
      <c r="AF548" s="5">
        <f t="shared" si="1185"/>
        <v>178.09642887854523</v>
      </c>
      <c r="AG548" s="5">
        <f t="shared" si="1185"/>
        <v>605.12343017150488</v>
      </c>
      <c r="AH548" s="5">
        <f t="shared" si="1185"/>
        <v>5.3919242694449858</v>
      </c>
      <c r="AI548" s="5">
        <f t="shared" si="1185"/>
        <v>5.7045546996080034</v>
      </c>
      <c r="AJ548" s="116">
        <f t="shared" si="1185"/>
        <v>0.92169464996996986</v>
      </c>
      <c r="AK548" s="5">
        <f t="shared" si="1185"/>
        <v>467.00160768234912</v>
      </c>
      <c r="AL548" s="5">
        <f t="shared" si="1185"/>
        <v>0.58771211394831591</v>
      </c>
      <c r="AM548" s="5">
        <f t="shared" si="1185"/>
        <v>0.55048869862230043</v>
      </c>
      <c r="AN548" s="5">
        <f t="shared" si="1185"/>
        <v>11.1534575797107</v>
      </c>
      <c r="AO548" s="5">
        <f t="shared" si="1185"/>
        <v>0.76156123336592763</v>
      </c>
      <c r="AP548" s="5">
        <f t="shared" si="1185"/>
        <v>174.6519713793794</v>
      </c>
      <c r="AQ548" s="5">
        <f t="shared" si="1185"/>
        <v>0.98647998787208024</v>
      </c>
      <c r="AR548" s="5">
        <f t="shared" si="1185"/>
        <v>43.394600000000004</v>
      </c>
      <c r="AS548" s="116">
        <f t="shared" si="1185"/>
        <v>0.54982069941403966</v>
      </c>
      <c r="AT548" s="5">
        <f t="shared" si="1186"/>
        <v>90.202304285714291</v>
      </c>
      <c r="AU548" s="5">
        <f t="shared" si="1186"/>
        <v>101.93230428571428</v>
      </c>
    </row>
    <row r="549" spans="1:70" ht="15">
      <c r="A549" s="216"/>
      <c r="B549" s="1413"/>
      <c r="C549" s="1413"/>
      <c r="D549" s="1413"/>
      <c r="E549" s="1413"/>
      <c r="F549" s="1413"/>
      <c r="G549" s="126" t="s">
        <v>589</v>
      </c>
      <c r="H549" s="127" t="s">
        <v>527</v>
      </c>
      <c r="I549" s="256">
        <f t="shared" ref="I549:I551" si="1187">100*R549/(Q549+0.00001)</f>
        <v>23.506433609464523</v>
      </c>
      <c r="J549" s="116">
        <f t="shared" si="1182"/>
        <v>22.458799916333092</v>
      </c>
      <c r="K549" s="97"/>
      <c r="L549" s="97"/>
      <c r="M549" s="98"/>
      <c r="N549" s="98"/>
      <c r="O549" s="98"/>
      <c r="P549" s="97"/>
      <c r="Q549" s="5">
        <f t="shared" ref="Q549:W550" si="1188">Q509+Q519+Q529+Q539</f>
        <v>550.23</v>
      </c>
      <c r="R549" s="5">
        <f t="shared" si="1188"/>
        <v>129.33945199999999</v>
      </c>
      <c r="S549" s="5">
        <f t="shared" si="1184"/>
        <v>420.89054800000002</v>
      </c>
      <c r="T549" s="5">
        <f t="shared" si="1188"/>
        <v>105.42598666666666</v>
      </c>
      <c r="U549" s="5">
        <f t="shared" si="1188"/>
        <v>23.67741365116666</v>
      </c>
      <c r="V549" s="5">
        <f>V509+V519+V529+V539</f>
        <v>1082.0020000000002</v>
      </c>
      <c r="W549" s="5">
        <f>W509+W519+W529+W539</f>
        <v>1157.6292673941725</v>
      </c>
      <c r="X549" s="5">
        <f t="shared" si="1185"/>
        <v>154.93328380387612</v>
      </c>
      <c r="Y549" s="5">
        <f t="shared" si="1185"/>
        <v>44.004524399196221</v>
      </c>
      <c r="Z549" s="5">
        <f t="shared" si="1185"/>
        <v>42.984693290131787</v>
      </c>
      <c r="AA549" s="5">
        <f t="shared" si="1185"/>
        <v>19.602264446654026</v>
      </c>
      <c r="AB549" s="116">
        <f t="shared" si="1185"/>
        <v>9.2659666246272678</v>
      </c>
      <c r="AC549" s="5">
        <f t="shared" si="1185"/>
        <v>1085.5889280419578</v>
      </c>
      <c r="AD549" s="5">
        <f t="shared" si="1185"/>
        <v>1601.0108</v>
      </c>
      <c r="AE549" s="5">
        <f t="shared" si="1185"/>
        <v>362.75740000000002</v>
      </c>
      <c r="AF549" s="5">
        <f t="shared" si="1185"/>
        <v>167.20838608391608</v>
      </c>
      <c r="AG549" s="5">
        <f t="shared" si="1185"/>
        <v>494.22350000000006</v>
      </c>
      <c r="AH549" s="5">
        <f t="shared" si="1185"/>
        <v>6.5969049770173003</v>
      </c>
      <c r="AI549" s="5">
        <f t="shared" si="1185"/>
        <v>7.1866788346515644</v>
      </c>
      <c r="AJ549" s="116">
        <f t="shared" si="1185"/>
        <v>0.9622713292882944</v>
      </c>
      <c r="AK549" s="5">
        <f t="shared" si="1185"/>
        <v>286.99911399906671</v>
      </c>
      <c r="AL549" s="5">
        <f t="shared" si="1185"/>
        <v>0.68454768996057413</v>
      </c>
      <c r="AM549" s="5">
        <f t="shared" si="1185"/>
        <v>0.44434042117662031</v>
      </c>
      <c r="AN549" s="5">
        <f t="shared" si="1185"/>
        <v>5.8686912694428175</v>
      </c>
      <c r="AO549" s="5">
        <f t="shared" si="1185"/>
        <v>0.70113126647804247</v>
      </c>
      <c r="AP549" s="5">
        <f t="shared" si="1185"/>
        <v>198.45926783216788</v>
      </c>
      <c r="AQ549" s="5">
        <f t="shared" si="1185"/>
        <v>0.68457355938672948</v>
      </c>
      <c r="AR549" s="5">
        <f t="shared" si="1185"/>
        <v>39.767048670088656</v>
      </c>
      <c r="AS549" s="116">
        <f t="shared" si="1185"/>
        <v>0.96673184161091541</v>
      </c>
      <c r="AT549" s="5">
        <f t="shared" si="1186"/>
        <v>85.942986666666684</v>
      </c>
      <c r="AU549" s="5">
        <f t="shared" si="1186"/>
        <v>105.42598666666666</v>
      </c>
    </row>
    <row r="550" spans="1:70" ht="15">
      <c r="A550" s="216"/>
      <c r="B550" s="1413"/>
      <c r="C550" s="1413"/>
      <c r="D550" s="1413"/>
      <c r="E550" s="1413"/>
      <c r="F550" s="1413"/>
      <c r="G550" s="128" t="s">
        <v>589</v>
      </c>
      <c r="H550" s="129" t="s">
        <v>528</v>
      </c>
      <c r="I550" s="256">
        <f t="shared" si="1187"/>
        <v>25.141145047335772</v>
      </c>
      <c r="J550" s="116">
        <f t="shared" si="1182"/>
        <v>24.80622621035597</v>
      </c>
      <c r="K550" s="97"/>
      <c r="L550" s="97"/>
      <c r="M550" s="98"/>
      <c r="N550" s="98"/>
      <c r="O550" s="98"/>
      <c r="P550" s="97"/>
      <c r="Q550" s="5">
        <f t="shared" si="1188"/>
        <v>803.58999999999992</v>
      </c>
      <c r="R550" s="5">
        <f t="shared" si="1188"/>
        <v>202.03173000000001</v>
      </c>
      <c r="S550" s="5">
        <f t="shared" si="1184"/>
        <v>601.55826999999988</v>
      </c>
      <c r="T550" s="5">
        <f>T510+T520+T530+T540</f>
        <v>101.01903590476189</v>
      </c>
      <c r="U550" s="5">
        <f t="shared" si="1188"/>
        <v>25.059013042678576</v>
      </c>
      <c r="V550" s="5">
        <f t="shared" si="1188"/>
        <v>1476.4762000000001</v>
      </c>
      <c r="W550" s="5">
        <f t="shared" si="1188"/>
        <v>1169.8186116211477</v>
      </c>
      <c r="X550" s="5">
        <f t="shared" si="1185"/>
        <v>123.65097498294962</v>
      </c>
      <c r="Y550" s="5">
        <f t="shared" si="1185"/>
        <v>30.093164013083651</v>
      </c>
      <c r="Z550" s="5">
        <f t="shared" si="1185"/>
        <v>57.240065294182941</v>
      </c>
      <c r="AA550" s="5">
        <f t="shared" si="1185"/>
        <v>13.5399331002331</v>
      </c>
      <c r="AB550" s="116">
        <f t="shared" si="1185"/>
        <v>8.0440725287131194</v>
      </c>
      <c r="AC550" s="5">
        <f t="shared" si="1185"/>
        <v>600.50829837995343</v>
      </c>
      <c r="AD550" s="5">
        <f t="shared" si="1185"/>
        <v>1661.2666000000002</v>
      </c>
      <c r="AE550" s="5">
        <f t="shared" si="1185"/>
        <v>507.61529999999999</v>
      </c>
      <c r="AF550" s="5">
        <f t="shared" si="1185"/>
        <v>141.16560675990678</v>
      </c>
      <c r="AG550" s="5">
        <f t="shared" si="1185"/>
        <v>416.88440000000003</v>
      </c>
      <c r="AH550" s="5">
        <f t="shared" si="1185"/>
        <v>6.9367698391102701</v>
      </c>
      <c r="AI550" s="5">
        <f t="shared" si="1185"/>
        <v>6.2056757288292008</v>
      </c>
      <c r="AJ550" s="116">
        <f t="shared" si="1185"/>
        <v>0.79447714870679342</v>
      </c>
      <c r="AK550" s="5">
        <f t="shared" si="1185"/>
        <v>993.5471500000001</v>
      </c>
      <c r="AL550" s="5">
        <f t="shared" si="1185"/>
        <v>0.67960003879571085</v>
      </c>
      <c r="AM550" s="5">
        <f t="shared" si="1185"/>
        <v>0.89999210251281292</v>
      </c>
      <c r="AN550" s="5">
        <f t="shared" si="1185"/>
        <v>7.3299546998168479</v>
      </c>
      <c r="AO550" s="5">
        <f t="shared" si="1185"/>
        <v>0.81726825655834046</v>
      </c>
      <c r="AP550" s="5">
        <f t="shared" si="1185"/>
        <v>399.51238648018648</v>
      </c>
      <c r="AQ550" s="5">
        <f t="shared" si="1185"/>
        <v>1.0568166257395508</v>
      </c>
      <c r="AR550" s="5">
        <f t="shared" si="1185"/>
        <v>75.828250000000011</v>
      </c>
      <c r="AS550" s="116">
        <f t="shared" si="1185"/>
        <v>1.1361720970244877</v>
      </c>
      <c r="AT550" s="5">
        <f t="shared" si="1186"/>
        <v>98.626202333333339</v>
      </c>
      <c r="AU550" s="5">
        <f t="shared" si="1186"/>
        <v>101.01903590476189</v>
      </c>
    </row>
    <row r="551" spans="1:70" ht="15">
      <c r="A551" s="216"/>
      <c r="B551" s="1413"/>
      <c r="C551" s="1413"/>
      <c r="D551" s="1413"/>
      <c r="E551" s="1413"/>
      <c r="F551" s="1413"/>
      <c r="G551" s="130" t="s">
        <v>589</v>
      </c>
      <c r="H551" s="131" t="s">
        <v>529</v>
      </c>
      <c r="I551" s="257">
        <f t="shared" si="1187"/>
        <v>22.137787985639989</v>
      </c>
      <c r="J551" s="133">
        <f t="shared" si="1182"/>
        <v>17.19110168697663</v>
      </c>
      <c r="K551" s="132"/>
      <c r="L551" s="132"/>
      <c r="M551" s="419"/>
      <c r="N551" s="419"/>
      <c r="O551" s="419"/>
      <c r="P551" s="132"/>
      <c r="Q551" s="132">
        <f>Q511+Q521+Q531+Q541</f>
        <v>625.20000000000005</v>
      </c>
      <c r="R551" s="132">
        <f>R511+R521+R531+R541</f>
        <v>138.40545270000001</v>
      </c>
      <c r="S551" s="132">
        <f t="shared" si="1184"/>
        <v>486.79454730000003</v>
      </c>
      <c r="T551" s="132">
        <f>T511+T521+T531+T541</f>
        <v>93.1737180392157</v>
      </c>
      <c r="U551" s="132">
        <f>U511+U521+U531+U541</f>
        <v>16.017590332768627</v>
      </c>
      <c r="V551" s="132">
        <f>V511+V521+V531+V541</f>
        <v>1207.7359999999999</v>
      </c>
      <c r="W551" s="132">
        <f>W511+W521+W531+W541</f>
        <v>1344.7750529260686</v>
      </c>
      <c r="X551" s="132">
        <f t="shared" si="1185"/>
        <v>156.46823344250814</v>
      </c>
      <c r="Y551" s="132">
        <f t="shared" si="1185"/>
        <v>33.359368187643049</v>
      </c>
      <c r="Z551" s="132">
        <f t="shared" si="1185"/>
        <v>63.300601537915441</v>
      </c>
      <c r="AA551" s="132">
        <f t="shared" si="1185"/>
        <v>10.621020692519602</v>
      </c>
      <c r="AB551" s="133">
        <f t="shared" si="1185"/>
        <v>6.655615570606459</v>
      </c>
      <c r="AC551" s="132">
        <f>AC511+AC521+AC531+AC541</f>
        <v>655.77836548103403</v>
      </c>
      <c r="AD551" s="132">
        <f t="shared" si="1185"/>
        <v>901.69686254545456</v>
      </c>
      <c r="AE551" s="132">
        <f t="shared" si="1185"/>
        <v>227.2068625454545</v>
      </c>
      <c r="AF551" s="132">
        <f t="shared" si="1185"/>
        <v>99.453308083916085</v>
      </c>
      <c r="AG551" s="132">
        <f t="shared" si="1185"/>
        <v>400.55884654545451</v>
      </c>
      <c r="AH551" s="132">
        <f t="shared" si="1185"/>
        <v>3.9685062204868102</v>
      </c>
      <c r="AI551" s="132">
        <f t="shared" si="1185"/>
        <v>5.6143747480573838</v>
      </c>
      <c r="AJ551" s="133">
        <f t="shared" si="1185"/>
        <v>0.80198306672821185</v>
      </c>
      <c r="AK551" s="132">
        <f t="shared" si="1185"/>
        <v>284.18089654545452</v>
      </c>
      <c r="AL551" s="132">
        <f t="shared" si="1185"/>
        <v>0.50361629500076843</v>
      </c>
      <c r="AM551" s="132">
        <f t="shared" si="1185"/>
        <v>0.44967984769000541</v>
      </c>
      <c r="AN551" s="132">
        <f t="shared" si="1185"/>
        <v>13.533005492573519</v>
      </c>
      <c r="AO551" s="132">
        <f t="shared" si="1185"/>
        <v>0.81609658921635675</v>
      </c>
      <c r="AP551" s="132">
        <f t="shared" si="1185"/>
        <v>100.89346892307692</v>
      </c>
      <c r="AQ551" s="132">
        <f t="shared" si="1185"/>
        <v>0.94175922786436794</v>
      </c>
      <c r="AR551" s="132">
        <f t="shared" si="1185"/>
        <v>21.326662545454546</v>
      </c>
      <c r="AS551" s="133">
        <f t="shared" si="1185"/>
        <v>1.2957061717372371</v>
      </c>
      <c r="AT551" s="132">
        <f t="shared" si="1186"/>
        <v>90.304884705882358</v>
      </c>
      <c r="AU551" s="132">
        <f t="shared" si="1186"/>
        <v>93.1737180392157</v>
      </c>
    </row>
    <row r="552" spans="1:70" ht="17">
      <c r="A552" s="216"/>
      <c r="B552" s="1413"/>
      <c r="C552" s="1413"/>
      <c r="D552" s="1413"/>
      <c r="E552" s="1413"/>
      <c r="F552" s="1413"/>
      <c r="G552" s="84" t="s">
        <v>589</v>
      </c>
      <c r="H552" s="252" t="s">
        <v>551</v>
      </c>
      <c r="I552" s="262">
        <f t="shared" ref="I552" si="1189">SUM(I547:I551)/(COUNTIF(I547:I551,"&gt;0.00")+0.00001)</f>
        <v>23.011958412633025</v>
      </c>
      <c r="J552" s="263">
        <f>SUM(J547:J551)/(COUNTIF(J547:J551,"&gt;0.00")+0.00001)</f>
        <v>21.147644613062305</v>
      </c>
      <c r="K552" s="282"/>
      <c r="L552" s="282"/>
      <c r="M552" s="431"/>
      <c r="N552" s="431"/>
      <c r="O552" s="431"/>
      <c r="P552" s="282"/>
      <c r="Q552" s="146">
        <f>SUM(Q547:Q551)/(COUNTIF($Q$547:$Q$551,"&gt;0.00")+0.00001)</f>
        <v>700.60259879480236</v>
      </c>
      <c r="R552" s="146">
        <f t="shared" ref="R552:AA552" si="1190">SUM(R547:R551)/(COUNTIF($Q$547:$Q$551,"&gt;0.00")+0.00001)</f>
        <v>161.42994908010186</v>
      </c>
      <c r="S552" s="146">
        <f t="shared" si="1190"/>
        <v>539.17264971470058</v>
      </c>
      <c r="T552" s="146">
        <f t="shared" si="1190"/>
        <v>98.423273829693755</v>
      </c>
      <c r="U552" s="146">
        <f t="shared" si="1190"/>
        <v>20.852129144989593</v>
      </c>
      <c r="V552" s="146">
        <f t="shared" si="1190"/>
        <v>1305.0178299643401</v>
      </c>
      <c r="W552" s="146">
        <f t="shared" si="1190"/>
        <v>1198.9836884255628</v>
      </c>
      <c r="X552" s="146">
        <f t="shared" si="1190"/>
        <v>147.73619521618221</v>
      </c>
      <c r="Y552" s="146">
        <f t="shared" si="1190"/>
        <v>34.924191260177658</v>
      </c>
      <c r="Z552" s="146">
        <f t="shared" si="1190"/>
        <v>49.973598461315419</v>
      </c>
      <c r="AA552" s="146">
        <f t="shared" si="1190"/>
        <v>14.94368495044516</v>
      </c>
      <c r="AB552" s="146">
        <f>SUM(AB547:AB551)/(COUNTIF($Q$547:$Q$551,"&gt;0.00")+0.00001)</f>
        <v>9.6980095883141644</v>
      </c>
      <c r="AC552" s="146">
        <f t="shared" ref="AC552" si="1191">SUM(AC547:AC551)/(COUNTIF($Q$547:$Q$551,"&gt;0.00")+0.00001)</f>
        <v>797.78503814850819</v>
      </c>
      <c r="AD552" s="146">
        <f t="shared" ref="AD552" si="1192">SUM(AD547:AD551)/(COUNTIF($Q$547:$Q$551,"&gt;0.00")+0.00001)</f>
        <v>1445.9464579935525</v>
      </c>
      <c r="AE552" s="146">
        <f t="shared" ref="AE552" si="1193">SUM(AE547:AE551)/(COUNTIF($Q$547:$Q$551,"&gt;0.00")+0.00001)</f>
        <v>376.55107940693205</v>
      </c>
      <c r="AF552" s="146">
        <f t="shared" ref="AF552" si="1194">SUM(AF547:AF551)/(COUNTIF($Q$547:$Q$551,"&gt;0.00")+0.00001)</f>
        <v>144.46844770035213</v>
      </c>
      <c r="AG552" s="146">
        <f t="shared" ref="AG552" si="1195">SUM(AG547:AG551)/(COUNTIF($Q$547:$Q$551,"&gt;0.00")+0.00001)</f>
        <v>492.37465059409072</v>
      </c>
      <c r="AH552" s="146">
        <f t="shared" ref="AH552" si="1196">SUM(AH547:AH551)/(COUNTIF($Q$547:$Q$551,"&gt;0.00")+0.00001)</f>
        <v>5.5152317665813637</v>
      </c>
      <c r="AI552" s="146">
        <f t="shared" ref="AI552" si="1197">SUM(AI547:AI551)/(COUNTIF($Q$547:$Q$551,"&gt;0.00")+0.00001)</f>
        <v>6.1485990389011995</v>
      </c>
      <c r="AJ552" s="146">
        <f t="shared" ref="AJ552" si="1198">SUM(AJ547:AJ551)/(COUNTIF($Q$547:$Q$551,"&gt;0.00")+0.00001)</f>
        <v>0.85720903250468328</v>
      </c>
      <c r="AK552" s="146">
        <f t="shared" ref="AK552" si="1199">SUM(AK547:AK551)/(COUNTIF($Q$547:$Q$551,"&gt;0.00")+0.00001)</f>
        <v>555.65264234008953</v>
      </c>
      <c r="AL552" s="146">
        <f>SUM(AL547:AL551)/(COUNTIF($Q$547:$Q$551,"&gt;0.00")+0.00001)</f>
        <v>0.64975373240874723</v>
      </c>
      <c r="AM552" s="146">
        <f t="shared" ref="AM552" si="1200">SUM(AM547:AM551)/(COUNTIF($Q$547:$Q$551,"&gt;0.00")+0.00001)</f>
        <v>0.6175530712627344</v>
      </c>
      <c r="AN552" s="146">
        <f t="shared" ref="AN552" si="1201">SUM(AN547:AN551)/(COUNTIF($Q$547:$Q$551,"&gt;0.00")+0.00001)</f>
        <v>9.3374619230606921</v>
      </c>
      <c r="AO552" s="146">
        <f t="shared" ref="AO552" si="1202">SUM(AO547:AO551)/(COUNTIF($Q$547:$Q$551,"&gt;0.00")+0.00001)</f>
        <v>0.9634002850751735</v>
      </c>
      <c r="AP552" s="146">
        <f t="shared" ref="AP552" si="1203">SUM(AP547:AP551)/(COUNTIF($Q$547:$Q$551,"&gt;0.00")+0.00001)</f>
        <v>212.50501256095566</v>
      </c>
      <c r="AQ552" s="146">
        <f t="shared" ref="AQ552" si="1204">SUM(AQ547:AQ551)/(COUNTIF($Q$547:$Q$551,"&gt;0.00")+0.00001)</f>
        <v>1.030673404422785</v>
      </c>
      <c r="AR552" s="146">
        <f t="shared" ref="AR552" si="1205">SUM(AR547:AR551)/(COUNTIF($Q$547:$Q$551,"&gt;0.00")+0.00001)</f>
        <v>50.099612043884562</v>
      </c>
      <c r="AS552" s="146">
        <f t="shared" ref="AS552:AU552" si="1206">SUM(AS547:AS551)/(COUNTIF($Q$547:$Q$551,"&gt;0.00")+0.00001)</f>
        <v>1.2584839642766279</v>
      </c>
      <c r="AT552" s="146">
        <f t="shared" si="1206"/>
        <v>89.211358872571296</v>
      </c>
      <c r="AU552" s="146">
        <f t="shared" si="1206"/>
        <v>98.423273829693755</v>
      </c>
    </row>
    <row r="553" spans="1:70" ht="17">
      <c r="A553" s="216"/>
      <c r="B553" s="1413"/>
      <c r="C553" s="1413"/>
      <c r="D553" s="1413"/>
      <c r="E553" s="1413"/>
      <c r="F553" s="1413"/>
      <c r="G553" s="84" t="s">
        <v>589</v>
      </c>
      <c r="H553" s="252" t="s">
        <v>751</v>
      </c>
      <c r="I553" s="253">
        <f>T552</f>
        <v>98.423273829693755</v>
      </c>
      <c r="M553" s="431"/>
      <c r="N553" s="431"/>
      <c r="O553" s="431"/>
      <c r="Q553" s="146"/>
      <c r="R553" s="146"/>
      <c r="S553" s="146"/>
      <c r="T553" s="146"/>
      <c r="U553" s="146"/>
      <c r="V553" s="137"/>
      <c r="W553" s="146"/>
      <c r="X553" s="146"/>
      <c r="Y553" s="146"/>
      <c r="Z553" s="146"/>
      <c r="AA553" s="146"/>
      <c r="AB553" s="137"/>
      <c r="AC553" s="146"/>
      <c r="AD553" s="146"/>
      <c r="AE553" s="146"/>
      <c r="AF553" s="146"/>
      <c r="AG553" s="146"/>
      <c r="AH553" s="146"/>
      <c r="AI553" s="146"/>
      <c r="AJ553" s="137"/>
      <c r="AK553" s="146"/>
      <c r="AL553" s="146"/>
      <c r="AM553" s="146"/>
      <c r="AN553" s="146"/>
      <c r="AO553" s="146"/>
      <c r="AP553" s="146"/>
      <c r="AQ553" s="146"/>
      <c r="AR553" s="146"/>
      <c r="AS553" s="137"/>
    </row>
    <row r="554" spans="1:70" s="106" customFormat="1" ht="16">
      <c r="A554" s="216"/>
      <c r="B554" s="1413"/>
      <c r="C554" s="1413"/>
      <c r="D554" s="1413"/>
      <c r="E554" s="1413"/>
      <c r="F554" s="1413"/>
      <c r="G554" s="84" t="s">
        <v>589</v>
      </c>
      <c r="H554" s="254" t="s">
        <v>752</v>
      </c>
      <c r="I554" s="255">
        <f>U552</f>
        <v>20.852129144989593</v>
      </c>
      <c r="J554" s="177"/>
      <c r="K554" s="177"/>
      <c r="L554" s="177"/>
      <c r="M554" s="421"/>
      <c r="N554" s="421"/>
      <c r="O554" s="421"/>
      <c r="P554" s="749"/>
      <c r="Q554" s="1419" t="s">
        <v>552</v>
      </c>
      <c r="R554" s="1419"/>
      <c r="S554" s="1419"/>
      <c r="T554" s="1419"/>
      <c r="U554" s="1419"/>
      <c r="V554" s="1420"/>
      <c r="W554" s="146">
        <f t="shared" ref="W554:AS554" si="1207">(W513+W523+W533+W543)</f>
        <v>928.71181875246714</v>
      </c>
      <c r="X554" s="146">
        <f t="shared" si="1207"/>
        <v>114.92584176342672</v>
      </c>
      <c r="Y554" s="146">
        <f t="shared" si="1207"/>
        <v>26.881168056506908</v>
      </c>
      <c r="Z554" s="146">
        <f t="shared" si="1207"/>
        <v>38.781565565595116</v>
      </c>
      <c r="AA554" s="146">
        <f t="shared" si="1207"/>
        <v>10.789409220246503</v>
      </c>
      <c r="AB554" s="137">
        <f t="shared" si="1207"/>
        <v>7.6438932109402522</v>
      </c>
      <c r="AC554" s="146">
        <f t="shared" si="1207"/>
        <v>563.99931416139952</v>
      </c>
      <c r="AD554" s="146">
        <f t="shared" si="1207"/>
        <v>1053.8253824735036</v>
      </c>
      <c r="AE554" s="146">
        <f t="shared" si="1207"/>
        <v>272.09674237668804</v>
      </c>
      <c r="AF554" s="146">
        <f t="shared" si="1207"/>
        <v>108.89153898790215</v>
      </c>
      <c r="AG554" s="146">
        <f t="shared" si="1207"/>
        <v>384.43337564305148</v>
      </c>
      <c r="AH554" s="146">
        <f t="shared" si="1207"/>
        <v>3.916257071075679</v>
      </c>
      <c r="AI554" s="146">
        <f t="shared" si="1207"/>
        <v>4.3021384351707752</v>
      </c>
      <c r="AJ554" s="137">
        <f t="shared" si="1207"/>
        <v>0.61913022291355224</v>
      </c>
      <c r="AK554" s="146">
        <f t="shared" si="1207"/>
        <v>384.90540016867146</v>
      </c>
      <c r="AL554" s="146">
        <f t="shared" si="1207"/>
        <v>0.46138042599777274</v>
      </c>
      <c r="AM554" s="146">
        <f t="shared" si="1207"/>
        <v>0.46769134725496142</v>
      </c>
      <c r="AN554" s="146">
        <f t="shared" si="1207"/>
        <v>6.8179696457848911</v>
      </c>
      <c r="AO554" s="146">
        <f t="shared" si="1207"/>
        <v>0.71977174254021614</v>
      </c>
      <c r="AP554" s="146">
        <f t="shared" si="1207"/>
        <v>141.01865724499157</v>
      </c>
      <c r="AQ554" s="146">
        <f t="shared" si="1207"/>
        <v>0.84848717331216872</v>
      </c>
      <c r="AR554" s="146">
        <f t="shared" si="1207"/>
        <v>35.604611168457119</v>
      </c>
      <c r="AS554" s="137">
        <f t="shared" si="1207"/>
        <v>0.99365159249406299</v>
      </c>
      <c r="AT554" s="749"/>
      <c r="AU554" s="749"/>
    </row>
    <row r="555" spans="1:70" ht="18">
      <c r="A555" s="216"/>
      <c r="B555" s="836"/>
      <c r="C555" s="836"/>
      <c r="D555" s="836"/>
      <c r="E555" s="836"/>
      <c r="F555" s="836"/>
      <c r="G555" s="84"/>
      <c r="H555" s="254"/>
      <c r="I555" s="255"/>
      <c r="J555" s="177"/>
      <c r="K555" s="177"/>
      <c r="L555" s="177"/>
      <c r="M555" s="422"/>
      <c r="N555" s="422"/>
      <c r="O555" s="422"/>
      <c r="P555" s="177"/>
      <c r="Q555" s="1419" t="s">
        <v>546</v>
      </c>
      <c r="R555" s="1419"/>
      <c r="S555" s="1419"/>
      <c r="T555" s="1419"/>
      <c r="U555" s="1419"/>
      <c r="V555" s="1420"/>
      <c r="W555" s="146">
        <f t="shared" ref="W555:AC555" si="1208">100*W554/(IF(W512&gt;0,W429,0)+IF(W522&gt;0,W448,0)+IF(W532&gt;0,W480,0)+IF(W542&gt;0,W499,0))</f>
        <v>125.16331789116806</v>
      </c>
      <c r="X555" s="146">
        <f t="shared" si="1208"/>
        <v>123.84250190024432</v>
      </c>
      <c r="Y555" s="146">
        <f t="shared" si="1208"/>
        <v>115.86710369184013</v>
      </c>
      <c r="Z555" s="146">
        <f t="shared" si="1208"/>
        <v>156.37728050643193</v>
      </c>
      <c r="AA555" s="146">
        <f t="shared" si="1208"/>
        <v>141.96591079271712</v>
      </c>
      <c r="AB555" s="137">
        <f t="shared" si="1208"/>
        <v>95.548665136753158</v>
      </c>
      <c r="AC555" s="136">
        <f t="shared" si="1208"/>
        <v>102.17378879735499</v>
      </c>
      <c r="AD555" s="136">
        <f>100*AD554/(AD429+AD448+AD480)</f>
        <v>78.061139442481746</v>
      </c>
      <c r="AE555" s="146">
        <f t="shared" ref="AE555:AS555" si="1209">100*AE554/(IF(AE512&gt;0,AE429,0)+IF(AE522&gt;0,AE448,0)+IF(AE532&gt;0,AE480,0)+IF(AE542&gt;0,AE499,0))</f>
        <v>75.5824284379689</v>
      </c>
      <c r="AF555" s="146">
        <f t="shared" si="1209"/>
        <v>160.13461615867962</v>
      </c>
      <c r="AG555" s="146">
        <f t="shared" si="1209"/>
        <v>120.13542988845359</v>
      </c>
      <c r="AH555" s="146">
        <f t="shared" si="1209"/>
        <v>97.906426776891976</v>
      </c>
      <c r="AI555" s="146">
        <f t="shared" si="1209"/>
        <v>153.64780125609909</v>
      </c>
      <c r="AJ555" s="137">
        <f t="shared" si="1209"/>
        <v>123.82604458271045</v>
      </c>
      <c r="AK555" s="146">
        <f t="shared" si="1209"/>
        <v>120.28293755270984</v>
      </c>
      <c r="AL555" s="146">
        <f t="shared" si="1209"/>
        <v>115.34510649944318</v>
      </c>
      <c r="AM555" s="146">
        <f t="shared" si="1209"/>
        <v>106.29348801249122</v>
      </c>
      <c r="AN555" s="146">
        <f t="shared" si="1209"/>
        <v>142.04103428718523</v>
      </c>
      <c r="AO555" s="146">
        <f t="shared" si="1209"/>
        <v>257.0613366215058</v>
      </c>
      <c r="AP555" s="146">
        <f t="shared" si="1209"/>
        <v>117.51554770415964</v>
      </c>
      <c r="AQ555" s="146">
        <f t="shared" si="1209"/>
        <v>117.8454407378012</v>
      </c>
      <c r="AR555" s="146">
        <f t="shared" si="1209"/>
        <v>111.26440990142849</v>
      </c>
      <c r="AS555" s="137">
        <f t="shared" si="1209"/>
        <v>49.682579624703152</v>
      </c>
      <c r="AT555" s="492"/>
      <c r="AU555" s="49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row>
    <row r="556" spans="1:70" ht="15" thickBot="1">
      <c r="A556" s="216"/>
      <c r="B556" s="223"/>
      <c r="C556" s="223"/>
      <c r="D556" s="224"/>
      <c r="E556" s="224"/>
      <c r="F556" s="224"/>
      <c r="G556" s="225"/>
      <c r="H556" s="225"/>
      <c r="I556" s="223"/>
      <c r="J556" s="223"/>
      <c r="K556" s="223"/>
      <c r="L556" s="223"/>
      <c r="M556" s="432"/>
      <c r="N556" s="432"/>
      <c r="O556" s="432"/>
      <c r="P556" s="223"/>
      <c r="Q556" s="223"/>
      <c r="R556" s="223"/>
      <c r="S556" s="223"/>
      <c r="T556" s="223"/>
      <c r="U556" s="223"/>
      <c r="V556" s="223"/>
      <c r="W556" s="226"/>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c r="AS556" s="227"/>
      <c r="AV556" s="749"/>
      <c r="AW556" s="749"/>
      <c r="AX556" s="749"/>
      <c r="AY556" s="749"/>
      <c r="AZ556" s="749"/>
      <c r="BA556" s="749"/>
      <c r="BB556" s="749"/>
      <c r="BC556" s="749"/>
      <c r="BD556" s="749"/>
      <c r="BE556" s="749"/>
      <c r="BF556" s="749"/>
      <c r="BG556" s="749"/>
      <c r="BH556" s="749"/>
      <c r="BI556" s="749"/>
      <c r="BJ556" s="749"/>
      <c r="BK556" s="749"/>
      <c r="BL556" s="749"/>
      <c r="BM556" s="749"/>
      <c r="BN556" s="749"/>
      <c r="BO556" s="749"/>
      <c r="BP556" s="749"/>
      <c r="BQ556" s="749"/>
      <c r="BR556" s="749"/>
    </row>
    <row r="557" spans="1:70" ht="15" thickBot="1">
      <c r="A557" s="439"/>
      <c r="B557" s="240"/>
      <c r="C557" s="240"/>
      <c r="D557" s="241"/>
      <c r="E557" s="241"/>
      <c r="F557" s="729" t="s">
        <v>2528</v>
      </c>
      <c r="G557" s="538" t="s">
        <v>544</v>
      </c>
      <c r="H557" s="538" t="s">
        <v>536</v>
      </c>
      <c r="I557" s="240"/>
      <c r="J557" s="240"/>
      <c r="K557" s="240"/>
      <c r="L557" s="433"/>
      <c r="M557" s="433"/>
      <c r="N557" s="433"/>
      <c r="O557" s="433"/>
      <c r="P557" s="240"/>
      <c r="Q557" s="240"/>
      <c r="R557" s="240"/>
      <c r="S557" s="240"/>
      <c r="T557" s="240"/>
      <c r="U557" s="240"/>
      <c r="V557" s="242"/>
      <c r="W557" s="240">
        <v>1674.5</v>
      </c>
      <c r="X557" s="240">
        <v>232</v>
      </c>
      <c r="Y557" s="240">
        <v>58</v>
      </c>
      <c r="Z557" s="240">
        <v>62</v>
      </c>
      <c r="AA557" s="240">
        <v>19</v>
      </c>
      <c r="AB557" s="242">
        <v>20</v>
      </c>
      <c r="AC557" s="240">
        <v>1380</v>
      </c>
      <c r="AD557" s="240">
        <v>1800</v>
      </c>
      <c r="AE557" s="240">
        <v>900</v>
      </c>
      <c r="AF557" s="240">
        <v>170</v>
      </c>
      <c r="AG557" s="240">
        <v>800</v>
      </c>
      <c r="AH557" s="243">
        <v>10</v>
      </c>
      <c r="AI557" s="243">
        <v>7</v>
      </c>
      <c r="AJ557" s="242">
        <v>1.25</v>
      </c>
      <c r="AK557" s="240">
        <v>800</v>
      </c>
      <c r="AL557" s="243">
        <v>1</v>
      </c>
      <c r="AM557" s="243">
        <v>1.1000000000000001</v>
      </c>
      <c r="AN557" s="243">
        <v>12</v>
      </c>
      <c r="AO557" s="243">
        <v>0.7</v>
      </c>
      <c r="AP557" s="243">
        <v>300</v>
      </c>
      <c r="AQ557" s="243">
        <v>1.8</v>
      </c>
      <c r="AR557" s="243">
        <v>80</v>
      </c>
      <c r="AS557" s="244">
        <v>5</v>
      </c>
      <c r="AV557" s="749">
        <v>1855</v>
      </c>
      <c r="AW557" s="749">
        <v>232</v>
      </c>
      <c r="AX557" s="749">
        <v>58</v>
      </c>
      <c r="AY557" s="749">
        <v>62</v>
      </c>
      <c r="AZ557" s="749">
        <v>19</v>
      </c>
      <c r="BA557" s="66">
        <v>20</v>
      </c>
      <c r="BB557" s="749">
        <v>1380</v>
      </c>
      <c r="BC557" s="749">
        <v>3800</v>
      </c>
      <c r="BD557" s="749">
        <v>900</v>
      </c>
      <c r="BE557" s="749">
        <v>170</v>
      </c>
      <c r="BF557" s="749">
        <v>800</v>
      </c>
      <c r="BG557" s="5">
        <v>10</v>
      </c>
      <c r="BH557" s="5">
        <v>7</v>
      </c>
      <c r="BI557" s="66">
        <v>1.25</v>
      </c>
      <c r="BJ557" s="749">
        <v>800</v>
      </c>
      <c r="BK557" s="5">
        <v>1</v>
      </c>
      <c r="BL557" s="5">
        <v>1.1000000000000001</v>
      </c>
      <c r="BM557" s="5">
        <v>12</v>
      </c>
      <c r="BN557" s="5">
        <v>0.7</v>
      </c>
      <c r="BO557" s="5">
        <v>300</v>
      </c>
      <c r="BP557" s="5">
        <v>1.8</v>
      </c>
      <c r="BQ557" s="5">
        <v>80</v>
      </c>
      <c r="BR557" s="116">
        <v>5</v>
      </c>
    </row>
    <row r="558" spans="1:70">
      <c r="A558" s="439"/>
      <c r="B558" s="240"/>
      <c r="C558" s="240"/>
      <c r="D558" s="241"/>
      <c r="E558" s="241"/>
      <c r="F558" s="729"/>
      <c r="G558" s="538" t="s">
        <v>544</v>
      </c>
      <c r="H558" s="538" t="s">
        <v>536</v>
      </c>
      <c r="I558" s="240"/>
      <c r="J558" s="240"/>
      <c r="K558" s="240"/>
      <c r="L558" s="433"/>
      <c r="M558" s="433"/>
      <c r="N558" s="433"/>
      <c r="O558" s="433"/>
      <c r="P558" s="240"/>
      <c r="Q558" s="240"/>
      <c r="R558" s="240"/>
      <c r="S558" s="240"/>
      <c r="T558" s="240"/>
      <c r="U558" s="240"/>
      <c r="V558" s="242"/>
      <c r="W558" s="240">
        <v>1855</v>
      </c>
      <c r="X558" s="240">
        <v>232</v>
      </c>
      <c r="Y558" s="240">
        <v>58</v>
      </c>
      <c r="Z558" s="240">
        <v>62</v>
      </c>
      <c r="AA558" s="240">
        <v>19</v>
      </c>
      <c r="AB558" s="242">
        <v>20</v>
      </c>
      <c r="AC558" s="240">
        <v>1380</v>
      </c>
      <c r="AD558" s="240">
        <v>1800</v>
      </c>
      <c r="AE558" s="240">
        <v>900</v>
      </c>
      <c r="AF558" s="240">
        <v>170</v>
      </c>
      <c r="AG558" s="240">
        <v>800</v>
      </c>
      <c r="AH558" s="243">
        <v>10</v>
      </c>
      <c r="AI558" s="243">
        <v>7</v>
      </c>
      <c r="AJ558" s="242">
        <v>1.25</v>
      </c>
      <c r="AK558" s="240">
        <v>800</v>
      </c>
      <c r="AL558" s="243">
        <v>1</v>
      </c>
      <c r="AM558" s="243">
        <v>1.1000000000000001</v>
      </c>
      <c r="AN558" s="243">
        <v>12</v>
      </c>
      <c r="AO558" s="243">
        <v>0.7</v>
      </c>
      <c r="AP558" s="243">
        <v>300</v>
      </c>
      <c r="AQ558" s="243">
        <v>1.8</v>
      </c>
      <c r="AR558" s="243">
        <v>80</v>
      </c>
      <c r="AS558" s="244">
        <v>5</v>
      </c>
      <c r="AV558" s="749">
        <v>1855</v>
      </c>
      <c r="AW558" s="749">
        <v>232</v>
      </c>
      <c r="AX558" s="749">
        <v>58</v>
      </c>
      <c r="AY558" s="749">
        <v>62</v>
      </c>
      <c r="AZ558" s="749">
        <v>19</v>
      </c>
      <c r="BA558" s="66">
        <v>20</v>
      </c>
      <c r="BB558" s="749">
        <v>1380</v>
      </c>
      <c r="BC558" s="749">
        <v>3800</v>
      </c>
      <c r="BD558" s="749">
        <v>900</v>
      </c>
      <c r="BE558" s="749">
        <v>170</v>
      </c>
      <c r="BF558" s="749">
        <v>800</v>
      </c>
      <c r="BG558" s="5">
        <v>10</v>
      </c>
      <c r="BH558" s="5">
        <v>7</v>
      </c>
      <c r="BI558" s="66">
        <v>1.25</v>
      </c>
      <c r="BJ558" s="749">
        <v>800</v>
      </c>
      <c r="BK558" s="5">
        <v>1</v>
      </c>
      <c r="BL558" s="5">
        <v>1.1000000000000001</v>
      </c>
      <c r="BM558" s="5">
        <v>12</v>
      </c>
      <c r="BN558" s="5">
        <v>0.7</v>
      </c>
      <c r="BO558" s="5">
        <v>300</v>
      </c>
      <c r="BP558" s="5">
        <v>1.8</v>
      </c>
      <c r="BQ558" s="5">
        <v>80</v>
      </c>
      <c r="BR558" s="116">
        <v>5</v>
      </c>
    </row>
    <row r="559" spans="1:70">
      <c r="G559" s="2"/>
      <c r="I559" t="s">
        <v>2088</v>
      </c>
      <c r="J559" t="s">
        <v>2089</v>
      </c>
      <c r="M559" s="102"/>
      <c r="N559" s="102"/>
      <c r="O559" s="291" t="s">
        <v>672</v>
      </c>
      <c r="P559" s="100" t="s">
        <v>2092</v>
      </c>
      <c r="Q559" s="66" t="s">
        <v>521</v>
      </c>
      <c r="R559" s="542">
        <f>COUNTIF(Q11:Q30,"&gt;0")+COUNTIF(Q38:Q49,"&gt;0")+COUNTIF(Q57:Q81,"&gt;0")+COUNTIF(Q89:Q100,"&gt;0")</f>
        <v>22</v>
      </c>
      <c r="S559" s="488"/>
      <c r="T559" s="488"/>
      <c r="U559" s="491" t="s">
        <v>2090</v>
      </c>
      <c r="V559" s="66" t="s">
        <v>521</v>
      </c>
      <c r="W559" s="491"/>
      <c r="X559" s="491"/>
      <c r="Y559" s="491"/>
      <c r="Z559" s="491"/>
      <c r="AA559" s="290">
        <f t="shared" ref="AA559:AS559" si="1210">AA10+AA37+AA56+AA88</f>
        <v>0</v>
      </c>
      <c r="AB559" s="290">
        <f t="shared" si="1210"/>
        <v>0</v>
      </c>
      <c r="AC559" s="290">
        <f t="shared" si="1210"/>
        <v>0</v>
      </c>
      <c r="AD559" s="290">
        <f t="shared" si="1210"/>
        <v>0</v>
      </c>
      <c r="AE559" s="290">
        <f t="shared" si="1210"/>
        <v>0</v>
      </c>
      <c r="AF559" s="290">
        <f t="shared" si="1210"/>
        <v>0</v>
      </c>
      <c r="AG559" s="290">
        <f t="shared" si="1210"/>
        <v>0</v>
      </c>
      <c r="AH559" s="290">
        <f t="shared" si="1210"/>
        <v>0</v>
      </c>
      <c r="AI559" s="290">
        <f t="shared" si="1210"/>
        <v>0</v>
      </c>
      <c r="AJ559" s="290">
        <f t="shared" si="1210"/>
        <v>0</v>
      </c>
      <c r="AK559" s="290">
        <f t="shared" si="1210"/>
        <v>0</v>
      </c>
      <c r="AL559" s="290">
        <f t="shared" si="1210"/>
        <v>0</v>
      </c>
      <c r="AM559" s="290">
        <f t="shared" si="1210"/>
        <v>0</v>
      </c>
      <c r="AN559" s="290">
        <f t="shared" si="1210"/>
        <v>0</v>
      </c>
      <c r="AO559" s="290">
        <f t="shared" si="1210"/>
        <v>0</v>
      </c>
      <c r="AP559" s="290">
        <f t="shared" si="1210"/>
        <v>0</v>
      </c>
      <c r="AQ559" s="290">
        <f t="shared" si="1210"/>
        <v>1</v>
      </c>
      <c r="AR559" s="290">
        <f t="shared" si="1210"/>
        <v>0</v>
      </c>
      <c r="AS559" s="290">
        <f t="shared" si="1210"/>
        <v>1</v>
      </c>
    </row>
    <row r="560" spans="1:70" ht="15">
      <c r="G560" s="2"/>
      <c r="H560" s="245" t="s">
        <v>767</v>
      </c>
      <c r="I560" s="491">
        <f>SUMIF(G12:G497,"Vegetables_mushrooms_fresh_frozen",Q12:Q497)</f>
        <v>903.5</v>
      </c>
      <c r="J560" s="119">
        <f>SUMIF(G12:G497,"Vegetables_mushrooms_fresh_frozen",S12:S497)</f>
        <v>617.13789999999995</v>
      </c>
      <c r="M560" s="102"/>
      <c r="N560" s="102"/>
      <c r="O560" s="490" t="s">
        <v>673</v>
      </c>
      <c r="P560" s="100" t="s">
        <v>2092</v>
      </c>
      <c r="Q560" s="66" t="s">
        <v>526</v>
      </c>
      <c r="R560" s="542">
        <f>COUNTIF(Q110:Q129,"&gt;0")+COUNTIF(Q137:Q148,"&gt;0")+COUNTIF(Q156:Q180,"&gt;0")+COUNTIF(Q188:Q199,"&gt;0")</f>
        <v>15</v>
      </c>
      <c r="S560" s="488"/>
      <c r="T560" s="491"/>
      <c r="U560" s="491" t="s">
        <v>2090</v>
      </c>
      <c r="V560" s="66" t="s">
        <v>526</v>
      </c>
      <c r="W560" s="491"/>
      <c r="X560" s="491"/>
      <c r="Y560" s="491"/>
      <c r="Z560" s="491"/>
      <c r="AA560" s="290">
        <f t="shared" ref="AA560:AS560" si="1211">AA109+AA136+AA155+AA187</f>
        <v>2</v>
      </c>
      <c r="AB560" s="290">
        <f t="shared" si="1211"/>
        <v>2</v>
      </c>
      <c r="AC560" s="290">
        <f t="shared" si="1211"/>
        <v>1</v>
      </c>
      <c r="AD560" s="290">
        <f t="shared" si="1211"/>
        <v>1</v>
      </c>
      <c r="AE560" s="290">
        <f t="shared" si="1211"/>
        <v>1</v>
      </c>
      <c r="AF560" s="290">
        <f t="shared" si="1211"/>
        <v>2</v>
      </c>
      <c r="AG560" s="290">
        <f t="shared" si="1211"/>
        <v>2</v>
      </c>
      <c r="AH560" s="290">
        <f t="shared" si="1211"/>
        <v>1</v>
      </c>
      <c r="AI560" s="290">
        <f t="shared" si="1211"/>
        <v>2</v>
      </c>
      <c r="AJ560" s="290">
        <f t="shared" si="1211"/>
        <v>3</v>
      </c>
      <c r="AK560" s="290">
        <f t="shared" si="1211"/>
        <v>2</v>
      </c>
      <c r="AL560" s="290">
        <f t="shared" si="1211"/>
        <v>2</v>
      </c>
      <c r="AM560" s="290">
        <f t="shared" si="1211"/>
        <v>2</v>
      </c>
      <c r="AN560" s="290">
        <f t="shared" si="1211"/>
        <v>2</v>
      </c>
      <c r="AO560" s="290">
        <f t="shared" si="1211"/>
        <v>2</v>
      </c>
      <c r="AP560" s="290">
        <f t="shared" si="1211"/>
        <v>2</v>
      </c>
      <c r="AQ560" s="290">
        <f t="shared" si="1211"/>
        <v>4</v>
      </c>
      <c r="AR560" s="290">
        <f t="shared" si="1211"/>
        <v>1</v>
      </c>
      <c r="AS560" s="290">
        <f t="shared" si="1211"/>
        <v>4</v>
      </c>
    </row>
    <row r="561" spans="8:45" ht="15">
      <c r="H561" s="245" t="s">
        <v>768</v>
      </c>
      <c r="I561" s="119">
        <f>SUMIF(G12:G497,"Vegetables_processed",Q12:Q497)</f>
        <v>60</v>
      </c>
      <c r="J561" s="119">
        <f>SUMIF(G12:G497,"Vegetables_processed",S12:S497)</f>
        <v>41.22</v>
      </c>
      <c r="M561" s="102"/>
      <c r="N561" s="102"/>
      <c r="O561" s="490" t="s">
        <v>785</v>
      </c>
      <c r="P561" s="100" t="s">
        <v>2092</v>
      </c>
      <c r="Q561" s="66" t="s">
        <v>527</v>
      </c>
      <c r="R561" s="542">
        <f>COUNTIF(Q209:Q228,"&gt;0")+COUNTIF(Q236:Q247,"&gt;0")+COUNTIF(Q255:Q279,"&gt;0")+COUNTIF(Q287:Q298,"&gt;0")</f>
        <v>26</v>
      </c>
      <c r="S561" s="488"/>
      <c r="T561" s="491"/>
      <c r="U561" s="491" t="s">
        <v>2090</v>
      </c>
      <c r="V561" s="66" t="s">
        <v>527</v>
      </c>
      <c r="W561" s="491"/>
      <c r="X561" s="491"/>
      <c r="Y561" s="491"/>
      <c r="Z561" s="491"/>
      <c r="AA561" s="290">
        <f t="shared" ref="AA561:AS561" si="1212">AA208+AA235+AA254+AA286</f>
        <v>3</v>
      </c>
      <c r="AB561" s="290">
        <f t="shared" si="1212"/>
        <v>3</v>
      </c>
      <c r="AC561" s="290">
        <f t="shared" si="1212"/>
        <v>3</v>
      </c>
      <c r="AD561" s="290">
        <f t="shared" si="1212"/>
        <v>3</v>
      </c>
      <c r="AE561" s="290">
        <f t="shared" si="1212"/>
        <v>3</v>
      </c>
      <c r="AF561" s="290">
        <f t="shared" si="1212"/>
        <v>3</v>
      </c>
      <c r="AG561" s="290">
        <f t="shared" si="1212"/>
        <v>3</v>
      </c>
      <c r="AH561" s="290">
        <f t="shared" si="1212"/>
        <v>3</v>
      </c>
      <c r="AI561" s="290">
        <f t="shared" si="1212"/>
        <v>3</v>
      </c>
      <c r="AJ561" s="290">
        <f t="shared" si="1212"/>
        <v>3</v>
      </c>
      <c r="AK561" s="290">
        <f t="shared" si="1212"/>
        <v>3</v>
      </c>
      <c r="AL561" s="290">
        <f t="shared" si="1212"/>
        <v>3</v>
      </c>
      <c r="AM561" s="290">
        <f t="shared" si="1212"/>
        <v>3</v>
      </c>
      <c r="AN561" s="290">
        <f t="shared" si="1212"/>
        <v>3</v>
      </c>
      <c r="AO561" s="290">
        <f t="shared" si="1212"/>
        <v>3</v>
      </c>
      <c r="AP561" s="290">
        <f t="shared" si="1212"/>
        <v>3</v>
      </c>
      <c r="AQ561" s="290">
        <f t="shared" si="1212"/>
        <v>3</v>
      </c>
      <c r="AR561" s="290">
        <f t="shared" si="1212"/>
        <v>3</v>
      </c>
      <c r="AS561" s="290">
        <f t="shared" si="1212"/>
        <v>3</v>
      </c>
    </row>
    <row r="562" spans="8:45" ht="15">
      <c r="H562" s="245" t="s">
        <v>769</v>
      </c>
      <c r="I562" s="119">
        <f>(I560+I561)/5</f>
        <v>192.7</v>
      </c>
      <c r="J562" s="119">
        <f>(J560+J561)/5</f>
        <v>131.67158000000001</v>
      </c>
      <c r="M562" s="102"/>
      <c r="N562" s="102"/>
      <c r="O562" s="490" t="s">
        <v>674</v>
      </c>
      <c r="P562" s="100" t="s">
        <v>2092</v>
      </c>
      <c r="Q562" s="66" t="s">
        <v>528</v>
      </c>
      <c r="R562" s="542">
        <f>COUNTIF(Q308:Q327,"&gt;0")+COUNTIF(Q335:Q346,"&gt;0")+COUNTIF(Q354:Q378,"&gt;0")+COUNTIF(Q386:Q397,"&gt;0")</f>
        <v>21</v>
      </c>
      <c r="S562" s="488"/>
      <c r="T562" s="491"/>
      <c r="U562" s="491" t="s">
        <v>2090</v>
      </c>
      <c r="V562" s="66" t="s">
        <v>528</v>
      </c>
      <c r="W562" s="491"/>
      <c r="X562" s="491"/>
      <c r="Y562" s="491"/>
      <c r="Z562" s="491"/>
      <c r="AA562" s="290">
        <f>AA406+AA433+AA452+AA484</f>
        <v>5</v>
      </c>
      <c r="AB562" s="290">
        <f t="shared" ref="AB562:AS562" si="1213">AB307+AB334+AB353+AB385</f>
        <v>1</v>
      </c>
      <c r="AC562" s="290">
        <f t="shared" si="1213"/>
        <v>1</v>
      </c>
      <c r="AD562" s="290">
        <f t="shared" si="1213"/>
        <v>1</v>
      </c>
      <c r="AE562" s="290">
        <f t="shared" si="1213"/>
        <v>1</v>
      </c>
      <c r="AF562" s="290">
        <f t="shared" si="1213"/>
        <v>1</v>
      </c>
      <c r="AG562" s="290">
        <f t="shared" si="1213"/>
        <v>1</v>
      </c>
      <c r="AH562" s="290">
        <f t="shared" si="1213"/>
        <v>1</v>
      </c>
      <c r="AI562" s="290">
        <f t="shared" si="1213"/>
        <v>1</v>
      </c>
      <c r="AJ562" s="290">
        <f t="shared" si="1213"/>
        <v>1</v>
      </c>
      <c r="AK562" s="290">
        <f t="shared" si="1213"/>
        <v>2</v>
      </c>
      <c r="AL562" s="290">
        <f t="shared" si="1213"/>
        <v>1</v>
      </c>
      <c r="AM562" s="290">
        <f t="shared" si="1213"/>
        <v>1</v>
      </c>
      <c r="AN562" s="290">
        <f t="shared" si="1213"/>
        <v>1</v>
      </c>
      <c r="AO562" s="290">
        <f t="shared" si="1213"/>
        <v>1</v>
      </c>
      <c r="AP562" s="290">
        <f t="shared" si="1213"/>
        <v>1</v>
      </c>
      <c r="AQ562" s="290">
        <f t="shared" si="1213"/>
        <v>2</v>
      </c>
      <c r="AR562" s="290">
        <f t="shared" si="1213"/>
        <v>1</v>
      </c>
      <c r="AS562" s="290">
        <f t="shared" si="1213"/>
        <v>2</v>
      </c>
    </row>
    <row r="563" spans="8:45" ht="15">
      <c r="H563" s="245" t="s">
        <v>770</v>
      </c>
      <c r="I563" s="119">
        <f>SUMIF(G12:G497,"Fruits_nuts_dried_fruit",Q12:Q497)</f>
        <v>620</v>
      </c>
      <c r="J563" s="119">
        <f>SUMIF(G12:G497,"Fruits_nuts_dried_fruit",S12:S497)</f>
        <v>485.70799999999997</v>
      </c>
      <c r="M563" s="102"/>
      <c r="N563" s="102"/>
      <c r="O563" s="490" t="s">
        <v>750</v>
      </c>
      <c r="P563" s="100" t="s">
        <v>2092</v>
      </c>
      <c r="Q563" s="277" t="s">
        <v>529</v>
      </c>
      <c r="R563" s="542">
        <f>COUNTIF(Q407:Q426,"&gt;0")+COUNTIF(Q434:Q445,"&gt;0")+COUNTIF(Q453:Q477,"&gt;0")+COUNTIF(Q485:Q496,"&gt;0")</f>
        <v>26</v>
      </c>
      <c r="S563" s="488"/>
      <c r="T563" s="491"/>
      <c r="U563" s="492" t="s">
        <v>2090</v>
      </c>
      <c r="V563" s="277" t="s">
        <v>529</v>
      </c>
      <c r="W563" s="492"/>
      <c r="X563" s="492"/>
      <c r="Y563" s="492"/>
      <c r="Z563" s="492"/>
      <c r="AA563" s="540">
        <f t="shared" ref="AA563:AS563" si="1214">AA406+AA433+AA452+AA484</f>
        <v>5</v>
      </c>
      <c r="AB563" s="540">
        <f t="shared" si="1214"/>
        <v>3</v>
      </c>
      <c r="AC563" s="540">
        <f t="shared" si="1214"/>
        <v>3</v>
      </c>
      <c r="AD563" s="540">
        <f t="shared" si="1214"/>
        <v>3</v>
      </c>
      <c r="AE563" s="540">
        <f t="shared" si="1214"/>
        <v>3</v>
      </c>
      <c r="AF563" s="540">
        <f t="shared" si="1214"/>
        <v>4</v>
      </c>
      <c r="AG563" s="540">
        <f t="shared" si="1214"/>
        <v>4</v>
      </c>
      <c r="AH563" s="540">
        <f t="shared" si="1214"/>
        <v>3</v>
      </c>
      <c r="AI563" s="540">
        <f t="shared" si="1214"/>
        <v>4</v>
      </c>
      <c r="AJ563" s="540">
        <f t="shared" si="1214"/>
        <v>4</v>
      </c>
      <c r="AK563" s="540">
        <f t="shared" si="1214"/>
        <v>4</v>
      </c>
      <c r="AL563" s="540">
        <f t="shared" si="1214"/>
        <v>4</v>
      </c>
      <c r="AM563" s="540">
        <f t="shared" si="1214"/>
        <v>4</v>
      </c>
      <c r="AN563" s="540">
        <f t="shared" si="1214"/>
        <v>4</v>
      </c>
      <c r="AO563" s="540">
        <f t="shared" si="1214"/>
        <v>4</v>
      </c>
      <c r="AP563" s="540">
        <f t="shared" si="1214"/>
        <v>4</v>
      </c>
      <c r="AQ563" s="540">
        <f t="shared" si="1214"/>
        <v>6</v>
      </c>
      <c r="AR563" s="540">
        <f t="shared" si="1214"/>
        <v>3</v>
      </c>
      <c r="AS563" s="540">
        <f t="shared" si="1214"/>
        <v>6</v>
      </c>
    </row>
    <row r="564" spans="8:45" ht="15">
      <c r="H564" s="245" t="s">
        <v>771</v>
      </c>
      <c r="I564" s="119">
        <f>I563/5</f>
        <v>124</v>
      </c>
      <c r="J564" s="119">
        <f>J563/5</f>
        <v>97.141599999999997</v>
      </c>
      <c r="M564" s="102"/>
      <c r="N564" s="102"/>
      <c r="O564" s="102"/>
      <c r="P564" s="100" t="s">
        <v>2093</v>
      </c>
      <c r="Q564" s="66"/>
      <c r="R564" s="542">
        <f>AVERAGE(R559:R563)</f>
        <v>22</v>
      </c>
      <c r="T564" s="491"/>
      <c r="U564" s="491"/>
      <c r="W564" s="491"/>
      <c r="X564" s="491"/>
      <c r="Y564" s="491"/>
      <c r="Z564" s="491"/>
      <c r="AA564" s="541">
        <f>AVERAGE(AA559:AA563)</f>
        <v>3</v>
      </c>
      <c r="AB564" s="541">
        <f t="shared" ref="AB564:AS564" si="1215">AVERAGE(AB559:AB563)</f>
        <v>1.8</v>
      </c>
      <c r="AC564" s="541">
        <f t="shared" si="1215"/>
        <v>1.6</v>
      </c>
      <c r="AD564" s="541">
        <f t="shared" si="1215"/>
        <v>1.6</v>
      </c>
      <c r="AE564" s="541">
        <f t="shared" si="1215"/>
        <v>1.6</v>
      </c>
      <c r="AF564" s="541">
        <f t="shared" si="1215"/>
        <v>2</v>
      </c>
      <c r="AG564" s="541">
        <f t="shared" si="1215"/>
        <v>2</v>
      </c>
      <c r="AH564" s="541">
        <f t="shared" si="1215"/>
        <v>1.6</v>
      </c>
      <c r="AI564" s="541">
        <f t="shared" si="1215"/>
        <v>2</v>
      </c>
      <c r="AJ564" s="541">
        <f>AVERAGE(AJ559:AJ563)</f>
        <v>2.2000000000000002</v>
      </c>
      <c r="AK564" s="541">
        <f t="shared" si="1215"/>
        <v>2.2000000000000002</v>
      </c>
      <c r="AL564" s="541">
        <f t="shared" si="1215"/>
        <v>2</v>
      </c>
      <c r="AM564" s="541">
        <f t="shared" si="1215"/>
        <v>2</v>
      </c>
      <c r="AN564" s="541">
        <f t="shared" si="1215"/>
        <v>2</v>
      </c>
      <c r="AO564" s="541">
        <f t="shared" si="1215"/>
        <v>2</v>
      </c>
      <c r="AP564" s="541">
        <f t="shared" si="1215"/>
        <v>2</v>
      </c>
      <c r="AQ564" s="541">
        <f t="shared" si="1215"/>
        <v>3.2</v>
      </c>
      <c r="AR564" s="541">
        <f t="shared" si="1215"/>
        <v>1.6</v>
      </c>
      <c r="AS564" s="541">
        <f t="shared" si="1215"/>
        <v>3.2</v>
      </c>
    </row>
    <row r="565" spans="8:45" ht="15">
      <c r="H565" s="245" t="s">
        <v>775</v>
      </c>
      <c r="I565" s="478" t="str">
        <f>IF(OR(SUMIF(H12:H497,"Chocolate milk 1% fat (at least 1 l)",Q12:Q497)&gt;0,SUMIF(H12:H497,"Chocolate milk 1% fat (less than 1 l)",Q12:Q497)&gt;0,SUMIF(H12:H497,"Chocolate milk, whole milk",Q12:Q497)&gt;0,SUMIF(H12:H497,"Fruit yogurt",Q12:Q497)&gt;0,SUMIF(H12:H497,"Fruit yogurt, low-fat",Q12:Q497)&gt;0),"Yes","No")</f>
        <v>Yes</v>
      </c>
      <c r="J565" s="491"/>
      <c r="K565" s="52"/>
      <c r="L565" s="52"/>
      <c r="M565" s="102"/>
      <c r="N565" s="102"/>
      <c r="O565" s="102"/>
      <c r="P565" s="100"/>
      <c r="Q565" s="66"/>
      <c r="R565" s="542"/>
      <c r="S565" s="488" t="s">
        <v>2094</v>
      </c>
      <c r="T565" s="491"/>
      <c r="U565" s="491"/>
      <c r="W565" s="491"/>
      <c r="X565" s="491"/>
      <c r="Y565" s="491"/>
      <c r="Z565" s="491"/>
      <c r="AA565" s="541" t="str">
        <f>RIGHT(AA564,1)</f>
        <v>3</v>
      </c>
      <c r="AB565" s="541" t="str">
        <f t="shared" ref="AB565:AS565" si="1216">RIGHT(AB564,1)</f>
        <v>8</v>
      </c>
      <c r="AC565" s="541" t="str">
        <f t="shared" si="1216"/>
        <v>6</v>
      </c>
      <c r="AD565" s="541" t="str">
        <f t="shared" si="1216"/>
        <v>6</v>
      </c>
      <c r="AE565" s="541" t="str">
        <f t="shared" si="1216"/>
        <v>6</v>
      </c>
      <c r="AF565" s="541" t="str">
        <f t="shared" si="1216"/>
        <v>2</v>
      </c>
      <c r="AG565" s="541" t="str">
        <f t="shared" si="1216"/>
        <v>2</v>
      </c>
      <c r="AH565" s="541" t="str">
        <f t="shared" si="1216"/>
        <v>6</v>
      </c>
      <c r="AI565" s="541" t="str">
        <f t="shared" si="1216"/>
        <v>2</v>
      </c>
      <c r="AJ565" s="541" t="str">
        <f t="shared" si="1216"/>
        <v>2</v>
      </c>
      <c r="AK565" s="541" t="str">
        <f t="shared" si="1216"/>
        <v>2</v>
      </c>
      <c r="AL565" s="541" t="str">
        <f t="shared" si="1216"/>
        <v>2</v>
      </c>
      <c r="AM565" s="541" t="str">
        <f t="shared" si="1216"/>
        <v>2</v>
      </c>
      <c r="AN565" s="541" t="str">
        <f t="shared" si="1216"/>
        <v>2</v>
      </c>
      <c r="AO565" s="541" t="str">
        <f t="shared" si="1216"/>
        <v>2</v>
      </c>
      <c r="AP565" s="541" t="str">
        <f t="shared" si="1216"/>
        <v>2</v>
      </c>
      <c r="AQ565" s="541" t="str">
        <f t="shared" si="1216"/>
        <v>2</v>
      </c>
      <c r="AR565" s="541" t="str">
        <f t="shared" si="1216"/>
        <v>6</v>
      </c>
      <c r="AS565" s="541" t="str">
        <f t="shared" si="1216"/>
        <v>2</v>
      </c>
    </row>
    <row r="566" spans="8:45" ht="15">
      <c r="H566" s="245" t="s">
        <v>778</v>
      </c>
      <c r="I566" s="491">
        <f>IF(COUNTIF(G$11:G$100,"Bread_and_pastries"),1,0)+IF(COUNTIF(G$110:G$199,"Bread_and_pastries"),1,0)+IF(COUNTIF(G$209:G$298,"Bread_and_pastries"),1,0)+IF(COUNTIF(G$308:G$397,"Bread_and_pastries"),1,0)+IF(COUNTIF(G$407:G$496,"Bread_and_pastries"),1,0)</f>
        <v>5</v>
      </c>
      <c r="J566" s="491"/>
      <c r="K566" s="52"/>
      <c r="L566" s="52"/>
      <c r="M566" s="102"/>
      <c r="N566" s="102"/>
      <c r="O566" s="102"/>
      <c r="P566" s="100"/>
      <c r="Q566" s="66"/>
      <c r="R566" s="542"/>
      <c r="S566" s="488"/>
      <c r="T566" s="491"/>
      <c r="U566" s="491"/>
      <c r="W566" s="491"/>
      <c r="X566" s="491"/>
      <c r="Y566" s="491"/>
      <c r="Z566" s="491"/>
      <c r="AA566" s="544">
        <f>MOD(AA563,3)</f>
        <v>2</v>
      </c>
      <c r="AB566" s="542">
        <f>INT(AB564)</f>
        <v>1</v>
      </c>
      <c r="AC566" s="542">
        <f t="shared" ref="AC566:AG566" si="1217">IF(AC565&gt;5,INT(AC564)+1,INT(AC564))</f>
        <v>2</v>
      </c>
      <c r="AD566" s="542">
        <f>IF(AD565&gt;5,INT(AD564)+1,INT(AD564))</f>
        <v>2</v>
      </c>
      <c r="AE566" s="542">
        <f t="shared" si="1217"/>
        <v>2</v>
      </c>
      <c r="AF566" s="542">
        <f t="shared" si="1217"/>
        <v>3</v>
      </c>
      <c r="AG566" s="542">
        <f t="shared" si="1217"/>
        <v>3</v>
      </c>
      <c r="AH566" s="541"/>
      <c r="AI566" s="541"/>
      <c r="AJ566" s="541"/>
      <c r="AK566" s="541"/>
      <c r="AL566" s="541"/>
      <c r="AM566" s="541"/>
      <c r="AN566" s="541"/>
      <c r="AO566" s="541"/>
      <c r="AP566" s="541"/>
      <c r="AQ566" s="541"/>
      <c r="AR566" s="541"/>
      <c r="AS566" s="541"/>
    </row>
    <row r="567" spans="8:45" ht="15">
      <c r="H567" s="245" t="s">
        <v>779</v>
      </c>
      <c r="I567" s="491">
        <f>IF(COUNTIF(G12:G101,"Vegetables_mushrooms_fresh_frozen"),1,0)+IF(COUNTIF(G111:G200,"Vegetables_mushrooms_fresh_frozen"),1,0)+IF(COUNTIF(G210:G299,"Vegetables_mushrooms_fresh_frozen"),1,0)+IF(COUNTIF(G309:G398,"Vegetables_mushrooms_fresh_frozen"),1,0)+IF(COUNTIF(G408:G497,"Vegetables_mushrooms_fresh_frozen"),1,0)</f>
        <v>5</v>
      </c>
      <c r="J567" s="491"/>
      <c r="K567" s="52"/>
      <c r="L567" s="52"/>
      <c r="M567" s="102"/>
      <c r="N567" s="102"/>
      <c r="O567" s="102"/>
      <c r="P567" s="100" t="s">
        <v>2092</v>
      </c>
      <c r="Q567" s="66" t="s">
        <v>522</v>
      </c>
      <c r="R567" s="542">
        <f>COUNTIF(Q11:Q30,"&gt;0")+COUNTIF(Q110:Q129,"&gt;0")+COUNTIF(Q209:Q228,"&gt;0")+COUNTIF(Q308:Q327,"&gt;0")+COUNTIF(Q407:Q426,"&gt;0")</f>
        <v>0</v>
      </c>
      <c r="S567" s="491">
        <f>R567/5</f>
        <v>0</v>
      </c>
      <c r="T567" s="488"/>
      <c r="U567" s="491" t="s">
        <v>2090</v>
      </c>
      <c r="V567" s="66" t="s">
        <v>522</v>
      </c>
      <c r="W567" s="491"/>
      <c r="X567" s="491"/>
      <c r="Y567" s="491"/>
      <c r="Z567" s="491"/>
      <c r="AA567" s="290">
        <f t="shared" ref="AA567:AS567" si="1218">AA10+AA109+AA208+AA307+AA406</f>
        <v>0</v>
      </c>
      <c r="AB567" s="290">
        <f t="shared" si="1218"/>
        <v>0</v>
      </c>
      <c r="AC567" s="290">
        <f t="shared" si="1218"/>
        <v>0</v>
      </c>
      <c r="AD567" s="290">
        <f t="shared" si="1218"/>
        <v>0</v>
      </c>
      <c r="AE567" s="290">
        <f t="shared" si="1218"/>
        <v>0</v>
      </c>
      <c r="AF567" s="290">
        <f t="shared" si="1218"/>
        <v>0</v>
      </c>
      <c r="AG567" s="290">
        <f t="shared" si="1218"/>
        <v>0</v>
      </c>
      <c r="AH567" s="290">
        <f t="shared" si="1218"/>
        <v>0</v>
      </c>
      <c r="AI567" s="290">
        <f t="shared" si="1218"/>
        <v>0</v>
      </c>
      <c r="AJ567" s="290">
        <f t="shared" si="1218"/>
        <v>0</v>
      </c>
      <c r="AK567" s="290">
        <f t="shared" si="1218"/>
        <v>0</v>
      </c>
      <c r="AL567" s="290">
        <f t="shared" si="1218"/>
        <v>0</v>
      </c>
      <c r="AM567" s="290">
        <f t="shared" si="1218"/>
        <v>0</v>
      </c>
      <c r="AN567" s="290">
        <f t="shared" si="1218"/>
        <v>0</v>
      </c>
      <c r="AO567" s="290">
        <f t="shared" si="1218"/>
        <v>0</v>
      </c>
      <c r="AP567" s="290">
        <f t="shared" si="1218"/>
        <v>0</v>
      </c>
      <c r="AQ567" s="290">
        <f t="shared" si="1218"/>
        <v>0</v>
      </c>
      <c r="AR567" s="290">
        <f t="shared" si="1218"/>
        <v>0</v>
      </c>
      <c r="AS567" s="290">
        <f t="shared" si="1218"/>
        <v>0</v>
      </c>
    </row>
    <row r="568" spans="8:45" ht="15">
      <c r="H568" s="245" t="s">
        <v>776</v>
      </c>
      <c r="I568" s="491">
        <f>IF(COUNTIF(G$11:G$100,"Fruits_nuts_dried_fruit"),1,0)+IF(COUNTIF(G$110:G$199,"Fruits_nuts_dried_fruit"),1,0)+IF(COUNTIF(G$209:G$298,"Fruits_nuts_dried_fruit"),1,0)+IF(COUNTIF(G$308:G$397,"Fruits_nuts_dried_fruit"),1,0)+IF(COUNTIF(G$407:G$496,"Fruits_nuts_dried_fruit"),1,0)</f>
        <v>5</v>
      </c>
      <c r="J568" s="749"/>
      <c r="K568" s="52"/>
      <c r="L568" s="52"/>
      <c r="M568" s="102"/>
      <c r="N568" s="102"/>
      <c r="O568" s="102"/>
      <c r="P568" s="100" t="s">
        <v>2092</v>
      </c>
      <c r="Q568" s="66" t="s">
        <v>2091</v>
      </c>
      <c r="R568" s="542">
        <f>COUNTIF(Q38:Q49,"&gt;0")+COUNTIF(Q137:Q148,"&gt;0")+COUNTIF(Q236:Q247,"&gt;0")+COUNTIF(Q335:Q346,"&gt;0")+COUNTIF(Q434:Q445,"&gt;0")</f>
        <v>23</v>
      </c>
      <c r="S568" s="491">
        <f t="shared" ref="S568:S570" si="1219">R568/5</f>
        <v>4.5999999999999996</v>
      </c>
      <c r="T568" s="488"/>
      <c r="U568" s="491" t="s">
        <v>2090</v>
      </c>
      <c r="V568" s="66" t="s">
        <v>2091</v>
      </c>
      <c r="W568" s="491"/>
      <c r="X568" s="491"/>
      <c r="Y568" s="491"/>
      <c r="Z568" s="491"/>
      <c r="AA568" s="290">
        <f t="shared" ref="AA568:AS568" si="1220">AA37+AA136+AA235+AA334+AA433</f>
        <v>8</v>
      </c>
      <c r="AB568" s="290">
        <f t="shared" si="1220"/>
        <v>7</v>
      </c>
      <c r="AC568" s="290">
        <f t="shared" si="1220"/>
        <v>8</v>
      </c>
      <c r="AD568" s="290">
        <f t="shared" si="1220"/>
        <v>8</v>
      </c>
      <c r="AE568" s="290">
        <f t="shared" si="1220"/>
        <v>8</v>
      </c>
      <c r="AF568" s="290">
        <f t="shared" si="1220"/>
        <v>8</v>
      </c>
      <c r="AG568" s="290">
        <f t="shared" si="1220"/>
        <v>8</v>
      </c>
      <c r="AH568" s="290">
        <f t="shared" si="1220"/>
        <v>8</v>
      </c>
      <c r="AI568" s="290">
        <f t="shared" si="1220"/>
        <v>8</v>
      </c>
      <c r="AJ568" s="290">
        <f t="shared" si="1220"/>
        <v>9</v>
      </c>
      <c r="AK568" s="290">
        <f t="shared" si="1220"/>
        <v>8</v>
      </c>
      <c r="AL568" s="290">
        <f t="shared" si="1220"/>
        <v>8</v>
      </c>
      <c r="AM568" s="290">
        <f t="shared" si="1220"/>
        <v>8</v>
      </c>
      <c r="AN568" s="290">
        <f t="shared" si="1220"/>
        <v>8</v>
      </c>
      <c r="AO568" s="290">
        <f t="shared" si="1220"/>
        <v>8</v>
      </c>
      <c r="AP568" s="290">
        <f t="shared" si="1220"/>
        <v>8</v>
      </c>
      <c r="AQ568" s="290">
        <f t="shared" si="1220"/>
        <v>8</v>
      </c>
      <c r="AR568" s="290">
        <f t="shared" si="1220"/>
        <v>8</v>
      </c>
      <c r="AS568" s="290">
        <f t="shared" si="1220"/>
        <v>8</v>
      </c>
    </row>
    <row r="569" spans="8:45" ht="15">
      <c r="H569" s="245" t="s">
        <v>780</v>
      </c>
      <c r="I569" s="491">
        <f>IF(COUNTIF(G$57:G$81,"Meat_fresh_frozen"),1,0)+IF(COUNTIF(G$156:G$180,"Meat_fresh_frozen"),1,0)+IF(COUNTIF(G$255:G$279,"Meat_fresh_frozen"),1,0)+IF(COUNTIF(G$354:G$378,"Meat_fresh_frozen"),1,0)+IF(COUNTIF(G$453:G$477,"Meat_fresh_frozen"),1,0)+IF(COUNTIF(G$57:G$81,"Meat_processed"),1,0)+IF(COUNTIF(G$156:G$180,"Meat_processed"),1,0)+IF(COUNTIF(G$255:G$279,"Meat_processed"),1,0)+IF(COUNTIF(G$354:G$378,"Meat_processed"),1,0)+IF(COUNTIF(G$453:G$477,"Meat_processed"),1,0)</f>
        <v>4</v>
      </c>
      <c r="J569" s="749"/>
      <c r="P569" s="100" t="s">
        <v>2092</v>
      </c>
      <c r="Q569" s="66" t="s">
        <v>524</v>
      </c>
      <c r="R569" s="542">
        <f>COUNTIF(Q57:Q81,"&gt;0")+COUNTIF(Q156:Q180,"&gt;0")+COUNTIF(Q255:Q279,"&gt;0")+COUNTIF(Q354:Q378,"&gt;0")+COUNTIF(Q453:Q477,"&gt;0")</f>
        <v>87</v>
      </c>
      <c r="S569" s="491">
        <f t="shared" si="1219"/>
        <v>17.399999999999999</v>
      </c>
      <c r="T569" s="488"/>
      <c r="U569" s="491" t="s">
        <v>2090</v>
      </c>
      <c r="V569" s="66" t="s">
        <v>524</v>
      </c>
      <c r="W569" s="491"/>
      <c r="X569" s="491"/>
      <c r="Y569" s="491"/>
      <c r="Z569" s="491"/>
      <c r="AA569" s="290">
        <f t="shared" ref="AA569:AS569" si="1221">AA56+AA155+AA254+AA353+AA452</f>
        <v>3</v>
      </c>
      <c r="AB569" s="290">
        <f t="shared" si="1221"/>
        <v>2</v>
      </c>
      <c r="AC569" s="290">
        <f t="shared" si="1221"/>
        <v>0</v>
      </c>
      <c r="AD569" s="290">
        <f t="shared" si="1221"/>
        <v>0</v>
      </c>
      <c r="AE569" s="290">
        <f t="shared" si="1221"/>
        <v>0</v>
      </c>
      <c r="AF569" s="290">
        <f t="shared" si="1221"/>
        <v>2</v>
      </c>
      <c r="AG569" s="290">
        <f t="shared" si="1221"/>
        <v>2</v>
      </c>
      <c r="AH569" s="290">
        <f t="shared" si="1221"/>
        <v>0</v>
      </c>
      <c r="AI569" s="290">
        <f t="shared" si="1221"/>
        <v>2</v>
      </c>
      <c r="AJ569" s="290">
        <f t="shared" si="1221"/>
        <v>2</v>
      </c>
      <c r="AK569" s="290">
        <f t="shared" si="1221"/>
        <v>3</v>
      </c>
      <c r="AL569" s="290">
        <f t="shared" si="1221"/>
        <v>2</v>
      </c>
      <c r="AM569" s="290">
        <f t="shared" si="1221"/>
        <v>2</v>
      </c>
      <c r="AN569" s="290">
        <f t="shared" si="1221"/>
        <v>2</v>
      </c>
      <c r="AO569" s="290">
        <f t="shared" si="1221"/>
        <v>2</v>
      </c>
      <c r="AP569" s="290">
        <f t="shared" si="1221"/>
        <v>2</v>
      </c>
      <c r="AQ569" s="290">
        <f t="shared" si="1221"/>
        <v>8</v>
      </c>
      <c r="AR569" s="290">
        <f t="shared" si="1221"/>
        <v>0</v>
      </c>
      <c r="AS569" s="290">
        <f t="shared" si="1221"/>
        <v>8</v>
      </c>
    </row>
    <row r="570" spans="8:45" ht="15">
      <c r="H570" s="245" t="s">
        <v>777</v>
      </c>
      <c r="I570" s="491">
        <f>IF(COUNTIF(G$11:G$100,"Fish_fresh_frozen"),1,0)+IF(COUNTIF(G$110:G$199,"Fish_fresh_frozen"),1,0)+IF(COUNTIF(G$209:G$298,"Fish_fresh_frozen"),1,0)+IF(COUNTIF(G$308:G$397,"Fish_fresh_frozen"),1,0)+IF(COUNTIF(G$407:G$496,"Fish_fresh_frozen"),1,0)+IF(COUNTIF(G$11:G$100,"Fish_processed_canned"),1,0)+IF(COUNTIF(G$110:G$199,"Fish_processed_canned"),1,0)+IF(COUNTIF(G$209:G$298,"Fish_processed_canned"),1,0)+IF(COUNTIF(G$308:G$397,"Fish_processed_canned"),1,0)+IF(COUNTIF(G$407:G$496,"Fish_processed_canned"),1,0)</f>
        <v>0</v>
      </c>
      <c r="J570" s="749"/>
      <c r="P570" s="100" t="s">
        <v>2092</v>
      </c>
      <c r="Q570" s="66" t="s">
        <v>1426</v>
      </c>
      <c r="R570" s="542">
        <f>COUNTIF(Q89:Q100,"&gt;0")+COUNTIF(Q188:Q199,"&gt;0")+COUNTIF(Q287:Q298,"&gt;0")+COUNTIF(Q386:Q397,"&gt;0")+COUNTIF(Q485:Q496,"&gt;0")</f>
        <v>0</v>
      </c>
      <c r="S570" s="491">
        <f t="shared" si="1219"/>
        <v>0</v>
      </c>
      <c r="T570" s="488"/>
      <c r="U570" s="491" t="s">
        <v>2090</v>
      </c>
      <c r="V570" s="66" t="s">
        <v>1426</v>
      </c>
      <c r="W570" s="491"/>
      <c r="X570" s="491"/>
      <c r="Y570" s="491"/>
      <c r="Z570" s="491"/>
      <c r="AA570" s="290">
        <f t="shared" ref="AA570:AS570" si="1222">AA88+AA187+AA286+AA385+AA484</f>
        <v>0</v>
      </c>
      <c r="AB570" s="290">
        <f t="shared" si="1222"/>
        <v>0</v>
      </c>
      <c r="AC570" s="290">
        <f t="shared" si="1222"/>
        <v>0</v>
      </c>
      <c r="AD570" s="290">
        <f t="shared" si="1222"/>
        <v>0</v>
      </c>
      <c r="AE570" s="290">
        <f t="shared" si="1222"/>
        <v>0</v>
      </c>
      <c r="AF570" s="290">
        <f t="shared" si="1222"/>
        <v>0</v>
      </c>
      <c r="AG570" s="290">
        <f t="shared" si="1222"/>
        <v>0</v>
      </c>
      <c r="AH570" s="290">
        <f t="shared" si="1222"/>
        <v>0</v>
      </c>
      <c r="AI570" s="290">
        <f t="shared" si="1222"/>
        <v>0</v>
      </c>
      <c r="AJ570" s="290">
        <f t="shared" si="1222"/>
        <v>0</v>
      </c>
      <c r="AK570" s="290">
        <f t="shared" si="1222"/>
        <v>0</v>
      </c>
      <c r="AL570" s="290">
        <f t="shared" si="1222"/>
        <v>0</v>
      </c>
      <c r="AM570" s="290">
        <f t="shared" si="1222"/>
        <v>0</v>
      </c>
      <c r="AN570" s="290">
        <f t="shared" si="1222"/>
        <v>0</v>
      </c>
      <c r="AO570" s="290">
        <f t="shared" si="1222"/>
        <v>0</v>
      </c>
      <c r="AP570" s="290">
        <f t="shared" si="1222"/>
        <v>0</v>
      </c>
      <c r="AQ570" s="290">
        <f t="shared" si="1222"/>
        <v>0</v>
      </c>
      <c r="AR570" s="290">
        <f t="shared" si="1222"/>
        <v>0</v>
      </c>
      <c r="AS570" s="290">
        <f t="shared" si="1222"/>
        <v>0</v>
      </c>
    </row>
    <row r="571" spans="8:45">
      <c r="H571" s="246" t="s">
        <v>784</v>
      </c>
      <c r="I571" s="23">
        <f>SUMIF(G11:G496,"Eggs",Q11:Q496)/60</f>
        <v>1.2549999999999999</v>
      </c>
      <c r="J571" s="749"/>
      <c r="K571" s="23"/>
      <c r="L571" s="23"/>
      <c r="P571" s="381" t="s">
        <v>2093</v>
      </c>
      <c r="Q571" s="492"/>
      <c r="R571" s="543"/>
      <c r="S571" s="492"/>
      <c r="T571" s="492"/>
      <c r="U571" s="492"/>
      <c r="V571" s="492"/>
      <c r="W571" s="492"/>
      <c r="X571" s="492"/>
      <c r="Y571" s="492"/>
      <c r="Z571" s="492"/>
      <c r="AA571" s="543"/>
      <c r="AB571" s="540"/>
      <c r="AC571" s="540"/>
      <c r="AD571" s="540"/>
      <c r="AE571" s="540"/>
      <c r="AF571" s="540"/>
      <c r="AG571" s="540"/>
      <c r="AH571" s="540"/>
      <c r="AI571" s="540"/>
      <c r="AJ571" s="540"/>
      <c r="AK571" s="540"/>
      <c r="AL571" s="540"/>
      <c r="AM571" s="540"/>
      <c r="AN571" s="540"/>
      <c r="AO571" s="540"/>
      <c r="AP571" s="540"/>
      <c r="AQ571" s="540"/>
      <c r="AR571" s="540"/>
      <c r="AS571" s="540"/>
    </row>
    <row r="572" spans="8:45" ht="15">
      <c r="H572" s="245" t="s">
        <v>782</v>
      </c>
      <c r="I572" s="749">
        <f>IF(COUNTIF(H$11:H$100,"Peas frozen"),1,0)+IF(COUNTIF(H$110:H$199,"Peas frozen"),1,0)+IF(COUNTIF(H$209:H$298,"Peas frozen"),1,0)+IF(COUNTIF(H$308:H$397,"Peas frozen"),1,0)+IF(COUNTIF(H$407:H$496,"Peas frozen"),1,0)+IF(COUNTIF(H$11:H$100,"Beans haricot (yellow)"),1,0)+IF(COUNTIF(H$110:H$199,"Beans haricot (yellow)"),1,0)+IF(COUNTIF(H$209:H$298,"Beans haricot (yellow)"),1,0)+IF(COUNTIF(H$308:H$397,"Beans haricot (yellow)"),1,0)+IF(COUNTIF(H$407:H$496,"Beans haricot (yellow)"),1,0)+IF(COUNTIF(H$11:H$100,"Beans (white)"),1,0)+IF(COUNTIF(H$110:H$199,"Beans (white)"),1,0)+IF(COUNTIF(H$209:H$298,"Beans (white)"),1,0)+IF(COUNTIF(H$308:H$397,"Beans (white)"),1,0)+IF(COUNTIF(H$407:H$496,"Beans (white)"),1,0)+IF(COUNTIF(H$11:H$100,"Beans (coloured)"),1,0)+IF(COUNTIF(H$110:H$199,"Beans (coloured)"),1,0)+IF(COUNTIF(H$209:H$298,"Beans (coloured)"),1,0)+IF(COUNTIF(H$308:H$397,"Beans (coloured)"),1,0)+IF(COUNTIF(H$407:H$496,"Beans (coloured)"),1,0)</f>
        <v>3</v>
      </c>
      <c r="J572" s="749"/>
      <c r="AA572" s="52" t="str">
        <f>IF(AA$555&lt;80,VLOOKUP(AA$9,'Recommendation texts'!$A:$AV,2,FALSE),"")</f>
        <v/>
      </c>
      <c r="AD572" s="52" t="str">
        <f>IF(AD$555&lt;80,VLOOKUP(AD$9,'Recommendation texts'!$A:$AV,2,FALSE),"")</f>
        <v>Beans haricot (yellow) 1530.0 mg, Beans (white) 1530.0 mg, Beans (coloured) 1530.0 mg, Cocoa powder, unsweetened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v>
      </c>
      <c r="AE572" s="52" t="str">
        <f>IF(AE$555&lt;80,VLOOKUP(AE$9,'Recommendation texts'!$A:$AV,2,FALSE),"")</f>
        <v>Poppy seeds 1357.0 mg, Parmesan cheese 1190.0 mg, Cheese, processed, slices 1000.0 mg, Cheese, hard 45% fat 990.0 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AF572" s="52" t="str">
        <f>IF(AF$555&lt;80,VLOOKUP(AF$9,'Recommendation texts'!$A:$AV,2,FALSE),"")</f>
        <v/>
      </c>
      <c r="AG572" s="52" t="str">
        <f>IF(AG$555&lt;80,VLOOKUP(AG$9,'Recommendation texts'!$A:$AV,2,FALSE),"")</f>
        <v/>
      </c>
      <c r="AH572" s="52" t="str">
        <f>IF(AH$555&lt;80,VLOOKUP(AH$9,'Recommendation texts'!$A:$AV,2,FALSE),"")</f>
        <v/>
      </c>
      <c r="AI572" s="52" t="str">
        <f>IF(AI$555&lt;80,VLOOKUP(AI$9,'Recommendation texts'!$A:$AV,2,FALSE),"")</f>
        <v/>
      </c>
      <c r="AJ572" s="66" t="str">
        <f>IF(AJ$555&lt;80,VLOOKUP(AJ$9,'Recommendation texts'!$A:$AV,2,FALSE),"")</f>
        <v/>
      </c>
      <c r="AK572" s="52" t="str">
        <f>IF(AK$555&lt;80,VLOOKUP(AK$9,'Recommendation texts'!$A:$AV,2,FALSE),"")</f>
        <v/>
      </c>
      <c r="AL572" s="52" t="str">
        <f>IF(AL$555&lt;80,VLOOKUP(AL$9,'Recommendation texts'!$A:$AV,2,FALSE),"")</f>
        <v/>
      </c>
      <c r="AM572" s="52" t="str">
        <f>IF(AM$555&lt;80,VLOOKUP(AM$9,'Recommendation texts'!$A:$AV,2,FALSE),"")</f>
        <v/>
      </c>
      <c r="AN572" s="52" t="str">
        <f>IF(AN$555&lt;80,VLOOKUP(AN$9,'Recommendation texts'!$A:$AV,2,FALSE),"")</f>
        <v/>
      </c>
      <c r="AO572" s="52" t="str">
        <f>IF(AO$555&lt;80,VLOOKUP(AO$9,'Recommendation texts'!$A:$AV,2,FALSE),"")</f>
        <v/>
      </c>
      <c r="AP572" s="52" t="str">
        <f>IF(AP$555&lt;80,VLOOKUP(AP$9,'Recommendation texts'!$A:$AV,2,FALSE),"")</f>
        <v/>
      </c>
      <c r="AQ572" s="52" t="str">
        <f>IF(AQ$555&lt;80,VLOOKUP(AQ$9,'Recommendation texts'!$A:$AV,2,FALSE),"")</f>
        <v/>
      </c>
      <c r="AR572" s="52" t="str">
        <f>IF(AR$555&lt;80,VLOOKUP(AR$9,'Recommendation texts'!$A:$AV,2,FALSE),"")</f>
        <v/>
      </c>
      <c r="AS572" s="52" t="str">
        <f>IF(AS$555&lt;80,VLOOKUP(AS$9,'Recommendation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row>
    <row r="573" spans="8:45" ht="15">
      <c r="H573" s="245" t="s">
        <v>781</v>
      </c>
      <c r="I573" s="491">
        <f>IF(COUNTIF(G$11:G$100,"Dairy_products"),1,0)+IF(COUNTIF(G$110:G$199,"Dairy_products"),1,0)+IF(COUNTIF(G$209:G$298,"Dairy_products"),1,0)+IF(COUNTIF(G$308:G$397,"Dairy_products"),1,0)+IF(COUNTIF(G$407:G$496,"Dairy_products"),1,0)</f>
        <v>5</v>
      </c>
      <c r="J573" s="749"/>
      <c r="AA573" s="52" t="str">
        <f>IF(AA$555&lt;80,VLOOKUP(AA$9,'Recommendation texts'!$A:$AV,3,FALSE),"")</f>
        <v/>
      </c>
      <c r="AD573" s="52">
        <f>IF(AD$555&lt;80,VLOOKUP(AD$9,'Recommendation texts'!$A:$AV,3,FALSE),"")</f>
        <v>0</v>
      </c>
      <c r="AE573" s="52">
        <f>IF(AE$555&lt;80,VLOOKUP(AE$9,'Recommendation texts'!$A:$AV,3,FALSE),"")</f>
        <v>0</v>
      </c>
      <c r="AF573" s="52" t="str">
        <f>IF(AF$555&lt;80,VLOOKUP(AF$9,'Recommendation texts'!$A:$AV,3,FALSE),"")</f>
        <v/>
      </c>
      <c r="AG573" s="52" t="str">
        <f>IF(AG$555&lt;80,VLOOKUP(AG$9,'Recommendation texts'!$A:$AV,3,FALSE),"")</f>
        <v/>
      </c>
      <c r="AH573" s="52" t="str">
        <f>IF(AH$555&lt;80,VLOOKUP(AH$9,'Recommendation texts'!$A:$AV,3,FALSE),"")</f>
        <v/>
      </c>
      <c r="AI573" s="52" t="str">
        <f>IF(AI$555&lt;80,VLOOKUP(AI$9,'Recommendation texts'!$A:$AV,3,FALSE),"")</f>
        <v/>
      </c>
      <c r="AJ573" s="66" t="str">
        <f>IF(AJ$555&lt;80,VLOOKUP(AJ$9,'Recommendation texts'!$A:$AV,3,FALSE),"")</f>
        <v/>
      </c>
      <c r="AK573" s="52" t="str">
        <f>IF(AK$555&lt;80,VLOOKUP(AK$9,'Recommendation texts'!$A:$AV,3,FALSE),"")</f>
        <v/>
      </c>
      <c r="AL573" s="52" t="str">
        <f>IF(AL$555&lt;80,VLOOKUP(AL$9,'Recommendation texts'!$A:$AV,3,FALSE),"")</f>
        <v/>
      </c>
      <c r="AM573" s="52" t="str">
        <f>IF(AM$555&lt;80,VLOOKUP(AM$9,'Recommendation texts'!$A:$AV,3,FALSE),"")</f>
        <v/>
      </c>
      <c r="AN573" s="52" t="str">
        <f>IF(AN$555&lt;80,VLOOKUP(AN$9,'Recommendation texts'!$A:$AV,3,FALSE),"")</f>
        <v/>
      </c>
      <c r="AO573" s="52" t="str">
        <f>IF(AO$555&lt;80,VLOOKUP(AO$9,'Recommendation texts'!$A:$AV,3,FALSE),"")</f>
        <v/>
      </c>
      <c r="AP573" s="52" t="str">
        <f>IF(AP$555&lt;80,VLOOKUP(AP$9,'Recommendation texts'!$A:$AV,3,FALSE),"")</f>
        <v/>
      </c>
      <c r="AQ573" s="52" t="str">
        <f>IF(AQ$555&lt;80,VLOOKUP(AQ$9,'Recommendation texts'!$A:$AV,3,FALSE),"")</f>
        <v/>
      </c>
      <c r="AR573" s="52" t="str">
        <f>IF(AR$555&lt;80,VLOOKUP(AR$9,'Recommendation texts'!$A:$AV,3,FALSE),"")</f>
        <v/>
      </c>
      <c r="AS573" s="52">
        <f>IF(AS$555&lt;80,VLOOKUP(AS$9,'Recommendation texts'!$A:$AV,3,FALSE),"")</f>
        <v>0</v>
      </c>
    </row>
    <row r="574" spans="8:45">
      <c r="AA574" s="52" t="str">
        <f>IF(AA$555&lt;80,VLOOKUP(AA$9,'Recommendation texts'!$A:$AV,4,FALSE),"")</f>
        <v/>
      </c>
      <c r="AD574" s="52">
        <f>IF(AD$555&lt;80,VLOOKUP(AD$9,'Recommendation texts'!$A:$AV,4,FALSE),"")</f>
        <v>0</v>
      </c>
      <c r="AE574" s="52">
        <f>IF(AE$555&lt;80,VLOOKUP(AE$9,'Recommendation texts'!$A:$AV,4,FALSE),"")</f>
        <v>0</v>
      </c>
      <c r="AF574" s="52" t="str">
        <f>IF(AF$555&lt;80,VLOOKUP(AF$9,'Recommendation texts'!$A:$AV,4,FALSE),"")</f>
        <v/>
      </c>
      <c r="AG574" s="52" t="str">
        <f>IF(AG$555&lt;80,VLOOKUP(AG$9,'Recommendation texts'!$A:$AV,4,FALSE),"")</f>
        <v/>
      </c>
      <c r="AH574" s="52" t="str">
        <f>IF(AH$555&lt;80,VLOOKUP(AH$9,'Recommendation texts'!$A:$AV,4,FALSE),"")</f>
        <v/>
      </c>
      <c r="AI574" s="52" t="str">
        <f>IF(AI$555&lt;80,VLOOKUP(AI$9,'Recommendation texts'!$A:$AV,4,FALSE),"")</f>
        <v/>
      </c>
      <c r="AJ574" s="66" t="str">
        <f>IF(AJ$555&lt;80,VLOOKUP(AJ$9,'Recommendation texts'!$A:$AV,4,FALSE),"")</f>
        <v/>
      </c>
      <c r="AK574" s="52" t="str">
        <f>IF(AK$555&lt;80,VLOOKUP(AK$9,'Recommendation texts'!$A:$AV,4,FALSE),"")</f>
        <v/>
      </c>
      <c r="AL574" s="52" t="str">
        <f>IF(AL$555&lt;80,VLOOKUP(AL$9,'Recommendation texts'!$A:$AV,4,FALSE),"")</f>
        <v/>
      </c>
      <c r="AM574" s="52" t="str">
        <f>IF(AM$555&lt;80,VLOOKUP(AM$9,'Recommendation texts'!$A:$AV,4,FALSE),"")</f>
        <v/>
      </c>
      <c r="AN574" s="52" t="str">
        <f>IF(AN$555&lt;80,VLOOKUP(AN$9,'Recommendation texts'!$A:$AV,4,FALSE),"")</f>
        <v/>
      </c>
      <c r="AO574" s="52" t="str">
        <f>IF(AO$555&lt;80,VLOOKUP(AO$9,'Recommendation texts'!$A:$AV,4,FALSE),"")</f>
        <v/>
      </c>
      <c r="AP574" s="52" t="str">
        <f>IF(AP$555&lt;80,VLOOKUP(AP$9,'Recommendation texts'!$A:$AV,4,FALSE),"")</f>
        <v/>
      </c>
      <c r="AQ574" s="52" t="str">
        <f>IF(AQ$555&lt;80,VLOOKUP(AQ$9,'Recommendation texts'!$A:$AV,4,FALSE),"")</f>
        <v/>
      </c>
      <c r="AR574" s="52" t="str">
        <f>IF(AR$555&lt;80,VLOOKUP(AR$9,'Recommendation texts'!$A:$AV,4,FALSE),"")</f>
        <v/>
      </c>
      <c r="AS574" s="52">
        <f>IF(AS$555&lt;80,VLOOKUP(AS$9,'Recommendation texts'!$A:$AV,4,FALSE),"")</f>
        <v>0</v>
      </c>
    </row>
    <row r="575" spans="8:45">
      <c r="M575" s="102"/>
      <c r="N575" s="102"/>
      <c r="O575" s="102"/>
      <c r="AA575" s="52" t="str">
        <f>IF(AA$555&lt;80,VLOOKUP(AA$9,'Recommendation texts'!$A:$AV,5,FALSE),"")</f>
        <v/>
      </c>
      <c r="AD575" s="52">
        <f>IF(AD$555&lt;80,VLOOKUP(AD$9,'Recommendation texts'!$A:$AV,5,FALSE),"")</f>
        <v>0</v>
      </c>
      <c r="AE575" s="52">
        <f>IF(AE$555&lt;80,VLOOKUP(AE$9,'Recommendation texts'!$A:$AV,5,FALSE),"")</f>
        <v>0</v>
      </c>
      <c r="AF575" s="52" t="str">
        <f>IF(AF$555&lt;80,VLOOKUP(AF$9,'Recommendation texts'!$A:$AV,5,FALSE),"")</f>
        <v/>
      </c>
      <c r="AG575" s="52" t="str">
        <f>IF(AG$555&lt;80,VLOOKUP(AG$9,'Recommendation texts'!$A:$AV,5,FALSE),"")</f>
        <v/>
      </c>
      <c r="AH575" s="52" t="str">
        <f>IF(AH$555&lt;80,VLOOKUP(AH$9,'Recommendation texts'!$A:$AV,5,FALSE),"")</f>
        <v/>
      </c>
      <c r="AI575" s="52" t="str">
        <f>IF(AI$555&lt;80,VLOOKUP(AI$9,'Recommendation texts'!$A:$AV,5,FALSE),"")</f>
        <v/>
      </c>
      <c r="AJ575" s="66" t="str">
        <f>IF(AJ$555&lt;80,VLOOKUP(AJ$9,'Recommendation texts'!$A:$AV,5,FALSE),"")</f>
        <v/>
      </c>
      <c r="AK575" s="52" t="str">
        <f>IF(AK$555&lt;80,VLOOKUP(AK$9,'Recommendation texts'!$A:$AV,5,FALSE),"")</f>
        <v/>
      </c>
      <c r="AL575" s="52" t="str">
        <f>IF(AL$555&lt;80,VLOOKUP(AL$9,'Recommendation texts'!$A:$AV,5,FALSE),"")</f>
        <v/>
      </c>
      <c r="AM575" s="52" t="str">
        <f>IF(AM$555&lt;80,VLOOKUP(AM$9,'Recommendation texts'!$A:$AV,5,FALSE),"")</f>
        <v/>
      </c>
      <c r="AN575" s="52" t="str">
        <f>IF(AN$555&lt;80,VLOOKUP(AN$9,'Recommendation texts'!$A:$AV,5,FALSE),"")</f>
        <v/>
      </c>
      <c r="AO575" s="52" t="str">
        <f>IF(AO$555&lt;80,VLOOKUP(AO$9,'Recommendation texts'!$A:$AV,5,FALSE),"")</f>
        <v/>
      </c>
      <c r="AP575" s="52" t="str">
        <f>IF(AP$555&lt;80,VLOOKUP(AP$9,'Recommendation texts'!$A:$AV,5,FALSE),"")</f>
        <v/>
      </c>
      <c r="AQ575" s="52" t="str">
        <f>IF(AQ$555&lt;80,VLOOKUP(AQ$9,'Recommendation texts'!$A:$AV,5,FALSE),"")</f>
        <v/>
      </c>
      <c r="AR575" s="52" t="str">
        <f>IF(AR$555&lt;80,VLOOKUP(AR$9,'Recommendation texts'!$A:$AV,5,FALSE),"")</f>
        <v/>
      </c>
      <c r="AS575" s="52">
        <f>IF(AS$555&lt;80,VLOOKUP(AS$9,'Recommendation texts'!$A:$AV,5,FALSE),"")</f>
        <v>0</v>
      </c>
    </row>
    <row r="576" spans="8:45">
      <c r="M576" s="102"/>
      <c r="N576" s="102"/>
      <c r="O576" s="102"/>
      <c r="AA576" s="52" t="str">
        <f>IF(AA$555&lt;80,VLOOKUP(AA$9,'Recommendation texts'!$A:$AV,6,FALSE),"")</f>
        <v/>
      </c>
      <c r="AD576" s="52">
        <f>IF(AD$555&lt;80,VLOOKUP(AD$9,'Recommendation texts'!$A:$AV,6,FALSE),"")</f>
        <v>0</v>
      </c>
      <c r="AE576" s="52">
        <f>IF(AE$555&lt;80,VLOOKUP(AE$9,'Recommendation texts'!$A:$AV,6,FALSE),"")</f>
        <v>0</v>
      </c>
      <c r="AF576" s="52" t="str">
        <f>IF(AF$555&lt;80,VLOOKUP(AF$9,'Recommendation texts'!$A:$AV,6,FALSE),"")</f>
        <v/>
      </c>
      <c r="AG576" s="52" t="str">
        <f>IF(AG$555&lt;80,VLOOKUP(AG$9,'Recommendation texts'!$A:$AV,6,FALSE),"")</f>
        <v/>
      </c>
      <c r="AH576" s="52" t="str">
        <f>IF(AH$555&lt;80,VLOOKUP(AH$9,'Recommendation texts'!$A:$AV,6,FALSE),"")</f>
        <v/>
      </c>
      <c r="AI576" s="52" t="str">
        <f>IF(AI$555&lt;80,VLOOKUP(AI$9,'Recommendation texts'!$A:$AV,6,FALSE),"")</f>
        <v/>
      </c>
      <c r="AJ576" s="66" t="str">
        <f>IF(AJ$555&lt;80,VLOOKUP(AJ$9,'Recommendation texts'!$A:$AV,6,FALSE),"")</f>
        <v/>
      </c>
      <c r="AK576" s="52" t="str">
        <f>IF(AK$555&lt;80,VLOOKUP(AK$9,'Recommendation texts'!$A:$AV,6,FALSE),"")</f>
        <v/>
      </c>
      <c r="AL576" s="52" t="str">
        <f>IF(AL$555&lt;80,VLOOKUP(AL$9,'Recommendation texts'!$A:$AV,6,FALSE),"")</f>
        <v/>
      </c>
      <c r="AM576" s="52" t="str">
        <f>IF(AM$555&lt;80,VLOOKUP(AM$9,'Recommendation texts'!$A:$AV,6,FALSE),"")</f>
        <v/>
      </c>
      <c r="AN576" s="52" t="str">
        <f>IF(AN$555&lt;80,VLOOKUP(AN$9,'Recommendation texts'!$A:$AV,6,FALSE),"")</f>
        <v/>
      </c>
      <c r="AO576" s="52" t="str">
        <f>IF(AO$555&lt;80,VLOOKUP(AO$9,'Recommendation texts'!$A:$AV,6,FALSE),"")</f>
        <v/>
      </c>
      <c r="AP576" s="52" t="str">
        <f>IF(AP$555&lt;80,VLOOKUP(AP$9,'Recommendation texts'!$A:$AV,6,FALSE),"")</f>
        <v/>
      </c>
      <c r="AQ576" s="52" t="str">
        <f>IF(AQ$555&lt;80,VLOOKUP(AQ$9,'Recommendation texts'!$A:$AV,6,FALSE),"")</f>
        <v/>
      </c>
      <c r="AR576" s="52" t="str">
        <f>IF(AR$555&lt;80,VLOOKUP(AR$9,'Recommendation texts'!$A:$AV,6,FALSE),"")</f>
        <v/>
      </c>
      <c r="AS576" s="52">
        <f>IF(AS$555&lt;80,VLOOKUP(AS$9,'Recommendation texts'!$A:$AV,6,FALSE),"")</f>
        <v>0</v>
      </c>
    </row>
    <row r="577" spans="13:45">
      <c r="M577" s="102"/>
      <c r="N577" s="102"/>
      <c r="O577" s="102"/>
      <c r="Q577" s="258"/>
      <c r="AA577" s="52" t="str">
        <f>IF(AA$555&lt;80,VLOOKUP(AA$9,'Recommendation texts'!$A:$AV,7,FALSE),"")</f>
        <v/>
      </c>
      <c r="AD577" s="52">
        <f>IF(AD$555&lt;80,VLOOKUP(AD$9,'Recommendation texts'!$A:$AV,7,FALSE),"")</f>
        <v>0</v>
      </c>
      <c r="AE577" s="52">
        <f>IF(AE$555&lt;80,VLOOKUP(AE$9,'Recommendation texts'!$A:$AV,7,FALSE),"")</f>
        <v>0</v>
      </c>
      <c r="AF577" s="52" t="str">
        <f>IF(AF$555&lt;80,VLOOKUP(AF$9,'Recommendation texts'!$A:$AV,7,FALSE),"")</f>
        <v/>
      </c>
      <c r="AG577" s="52" t="str">
        <f>IF(AG$555&lt;80,VLOOKUP(AG$9,'Recommendation texts'!$A:$AV,7,FALSE),"")</f>
        <v/>
      </c>
      <c r="AH577" s="52" t="str">
        <f>IF(AH$555&lt;80,VLOOKUP(AH$9,'Recommendation texts'!$A:$AV,7,FALSE),"")</f>
        <v/>
      </c>
      <c r="AI577" s="52" t="str">
        <f>IF(AI$555&lt;80,VLOOKUP(AI$9,'Recommendation texts'!$A:$AV,7,FALSE),"")</f>
        <v/>
      </c>
      <c r="AJ577" s="66" t="str">
        <f>IF(AJ$555&lt;80,VLOOKUP(AJ$9,'Recommendation texts'!$A:$AV,7,FALSE),"")</f>
        <v/>
      </c>
      <c r="AK577" s="52" t="str">
        <f>IF(AK$555&lt;80,VLOOKUP(AK$9,'Recommendation texts'!$A:$AV,7,FALSE),"")</f>
        <v/>
      </c>
      <c r="AL577" s="52" t="str">
        <f>IF(AL$555&lt;80,VLOOKUP(AL$9,'Recommendation texts'!$A:$AV,7,FALSE),"")</f>
        <v/>
      </c>
      <c r="AM577" s="52" t="str">
        <f>IF(AM$555&lt;80,VLOOKUP(AM$9,'Recommendation texts'!$A:$AV,7,FALSE),"")</f>
        <v/>
      </c>
      <c r="AN577" s="52" t="str">
        <f>IF(AN$555&lt;80,VLOOKUP(AN$9,'Recommendation texts'!$A:$AV,7,FALSE),"")</f>
        <v/>
      </c>
      <c r="AO577" s="52" t="str">
        <f>IF(AO$555&lt;80,VLOOKUP(AO$9,'Recommendation texts'!$A:$AV,7,FALSE),"")</f>
        <v/>
      </c>
      <c r="AP577" s="52" t="str">
        <f>IF(AP$555&lt;80,VLOOKUP(AP$9,'Recommendation texts'!$A:$AV,7,FALSE),"")</f>
        <v/>
      </c>
      <c r="AQ577" s="52" t="str">
        <f>IF(AQ$555&lt;80,VLOOKUP(AQ$9,'Recommendation texts'!$A:$AV,7,FALSE),"")</f>
        <v/>
      </c>
      <c r="AR577" s="52" t="str">
        <f>IF(AR$555&lt;80,VLOOKUP(AR$9,'Recommendation texts'!$A:$AV,7,FALSE),"")</f>
        <v/>
      </c>
      <c r="AS577" s="52">
        <f>IF(AS$555&lt;80,VLOOKUP(AS$9,'Recommendation texts'!$A:$AV,7,FALSE),"")</f>
        <v>0</v>
      </c>
    </row>
    <row r="578" spans="13:45">
      <c r="M578" s="102"/>
      <c r="N578" s="102"/>
      <c r="O578" s="102"/>
      <c r="P578" s="52"/>
      <c r="Q578" s="52"/>
      <c r="R578" s="52"/>
      <c r="S578" s="486"/>
      <c r="T578" s="52"/>
      <c r="AA578" s="52" t="str">
        <f>IF(AA$555&lt;80,VLOOKUP(AA$9,'Recommendation texts'!$A:$AV,8,FALSE),"")</f>
        <v/>
      </c>
      <c r="AD578" s="52">
        <f>IF(AD$555&lt;80,VLOOKUP(AD$9,'Recommendation texts'!$A:$AV,8,FALSE),"")</f>
        <v>0</v>
      </c>
      <c r="AE578" s="52">
        <f>IF(AE$555&lt;80,VLOOKUP(AE$9,'Recommendation texts'!$A:$AV,8,FALSE),"")</f>
        <v>0</v>
      </c>
      <c r="AF578" s="52" t="str">
        <f>IF(AF$555&lt;80,VLOOKUP(AF$9,'Recommendation texts'!$A:$AV,8,FALSE),"")</f>
        <v/>
      </c>
      <c r="AG578" s="52" t="str">
        <f>IF(AG$555&lt;80,VLOOKUP(AG$9,'Recommendation texts'!$A:$AV,8,FALSE),"")</f>
        <v/>
      </c>
      <c r="AH578" s="52" t="str">
        <f>IF(AH$555&lt;80,VLOOKUP(AH$9,'Recommendation texts'!$A:$AV,8,FALSE),"")</f>
        <v/>
      </c>
      <c r="AI578" s="52" t="str">
        <f>IF(AI$555&lt;80,VLOOKUP(AI$9,'Recommendation texts'!$A:$AV,8,FALSE),"")</f>
        <v/>
      </c>
      <c r="AJ578" s="66" t="str">
        <f>IF(AJ$555&lt;80,VLOOKUP(AJ$9,'Recommendation texts'!$A:$AV,8,FALSE),"")</f>
        <v/>
      </c>
      <c r="AK578" s="52" t="str">
        <f>IF(AK$555&lt;80,VLOOKUP(AK$9,'Recommendation texts'!$A:$AV,8,FALSE),"")</f>
        <v/>
      </c>
      <c r="AL578" s="52" t="str">
        <f>IF(AL$555&lt;80,VLOOKUP(AL$9,'Recommendation texts'!$A:$AV,8,FALSE),"")</f>
        <v/>
      </c>
      <c r="AM578" s="52" t="str">
        <f>IF(AM$555&lt;80,VLOOKUP(AM$9,'Recommendation texts'!$A:$AV,8,FALSE),"")</f>
        <v/>
      </c>
      <c r="AN578" s="52" t="str">
        <f>IF(AN$555&lt;80,VLOOKUP(AN$9,'Recommendation texts'!$A:$AV,8,FALSE),"")</f>
        <v/>
      </c>
      <c r="AO578" s="52" t="str">
        <f>IF(AO$555&lt;80,VLOOKUP(AO$9,'Recommendation texts'!$A:$AV,8,FALSE),"")</f>
        <v/>
      </c>
      <c r="AP578" s="52" t="str">
        <f>IF(AP$555&lt;80,VLOOKUP(AP$9,'Recommendation texts'!$A:$AV,8,FALSE),"")</f>
        <v/>
      </c>
      <c r="AQ578" s="52" t="str">
        <f>IF(AQ$555&lt;80,VLOOKUP(AQ$9,'Recommendation texts'!$A:$AV,8,FALSE),"")</f>
        <v/>
      </c>
      <c r="AR578" s="52" t="str">
        <f>IF(AR$555&lt;80,VLOOKUP(AR$9,'Recommendation texts'!$A:$AV,8,FALSE),"")</f>
        <v/>
      </c>
      <c r="AS578" s="52">
        <f>IF(AS$555&lt;80,VLOOKUP(AS$9,'Recommendation texts'!$A:$AV,8,FALSE),"")</f>
        <v>0</v>
      </c>
    </row>
    <row r="579" spans="13:45">
      <c r="P579" s="52"/>
      <c r="Q579" s="52"/>
      <c r="R579" s="52"/>
      <c r="S579" s="486"/>
      <c r="T579" s="52"/>
      <c r="AA579" s="52" t="str">
        <f>IF(AA$555&lt;80,VLOOKUP(AA$9,'Recommendation texts'!$A:$AV,9,FALSE),"")</f>
        <v/>
      </c>
      <c r="AD579" s="52">
        <f>IF(AD$555&lt;80,VLOOKUP(AD$9,'Recommendation texts'!$A:$AV,9,FALSE),"")</f>
        <v>0</v>
      </c>
      <c r="AE579" s="52">
        <f>IF(AE$555&lt;80,VLOOKUP(AE$9,'Recommendation texts'!$A:$AV,9,FALSE),"")</f>
        <v>0</v>
      </c>
      <c r="AF579" s="52" t="str">
        <f>IF(AF$555&lt;80,VLOOKUP(AF$9,'Recommendation texts'!$A:$AV,9,FALSE),"")</f>
        <v/>
      </c>
      <c r="AG579" s="52" t="str">
        <f>IF(AG$555&lt;80,VLOOKUP(AG$9,'Recommendation texts'!$A:$AV,9,FALSE),"")</f>
        <v/>
      </c>
      <c r="AH579" s="52" t="str">
        <f>IF(AH$555&lt;80,VLOOKUP(AH$9,'Recommendation texts'!$A:$AV,9,FALSE),"")</f>
        <v/>
      </c>
      <c r="AI579" s="52" t="str">
        <f>IF(AI$555&lt;80,VLOOKUP(AI$9,'Recommendation texts'!$A:$AV,9,FALSE),"")</f>
        <v/>
      </c>
      <c r="AJ579" s="66" t="str">
        <f>IF(AJ$555&lt;80,VLOOKUP(AJ$9,'Recommendation texts'!$A:$AV,9,FALSE),"")</f>
        <v/>
      </c>
      <c r="AK579" s="52" t="str">
        <f>IF(AK$555&lt;80,VLOOKUP(AK$9,'Recommendation texts'!$A:$AV,9,FALSE),"")</f>
        <v/>
      </c>
      <c r="AL579" s="52" t="str">
        <f>IF(AL$555&lt;80,VLOOKUP(AL$9,'Recommendation texts'!$A:$AV,9,FALSE),"")</f>
        <v/>
      </c>
      <c r="AM579" s="52" t="str">
        <f>IF(AM$555&lt;80,VLOOKUP(AM$9,'Recommendation texts'!$A:$AV,9,FALSE),"")</f>
        <v/>
      </c>
      <c r="AN579" s="52" t="str">
        <f>IF(AN$555&lt;80,VLOOKUP(AN$9,'Recommendation texts'!$A:$AV,9,FALSE),"")</f>
        <v/>
      </c>
      <c r="AO579" s="52" t="str">
        <f>IF(AO$555&lt;80,VLOOKUP(AO$9,'Recommendation texts'!$A:$AV,9,FALSE),"")</f>
        <v/>
      </c>
      <c r="AP579" s="52" t="str">
        <f>IF(AP$555&lt;80,VLOOKUP(AP$9,'Recommendation texts'!$A:$AV,9,FALSE),"")</f>
        <v/>
      </c>
      <c r="AQ579" s="52" t="str">
        <f>IF(AQ$555&lt;80,VLOOKUP(AQ$9,'Recommendation texts'!$A:$AV,9,FALSE),"")</f>
        <v/>
      </c>
      <c r="AR579" s="52" t="str">
        <f>IF(AR$555&lt;80,VLOOKUP(AR$9,'Recommendation texts'!$A:$AV,9,FALSE),"")</f>
        <v/>
      </c>
      <c r="AS579" s="52">
        <f>IF(AS$555&lt;80,VLOOKUP(AS$9,'Recommendation texts'!$A:$AV,9,FALSE),"")</f>
        <v>0</v>
      </c>
    </row>
    <row r="580" spans="13:45">
      <c r="P580" s="52"/>
      <c r="Q580" s="52"/>
      <c r="R580" s="52"/>
      <c r="S580" s="486"/>
      <c r="T580" s="52"/>
      <c r="AA580" s="52" t="str">
        <f>IF(AA$555&lt;80,VLOOKUP(AA$9,'Recommendation texts'!$A:$AV,10,FALSE),"")</f>
        <v/>
      </c>
      <c r="AD580" s="52">
        <f>IF(AD$555&lt;80,VLOOKUP(AD$9,'Recommendation texts'!$A:$AV,10,FALSE),"")</f>
        <v>0</v>
      </c>
      <c r="AE580" s="52">
        <f>IF(AE$555&lt;80,VLOOKUP(AE$9,'Recommendation texts'!$A:$AV,10,FALSE),"")</f>
        <v>0</v>
      </c>
      <c r="AF580" s="52" t="str">
        <f>IF(AF$555&lt;80,VLOOKUP(AF$9,'Recommendation texts'!$A:$AV,10,FALSE),"")</f>
        <v/>
      </c>
      <c r="AG580" s="52" t="str">
        <f>IF(AG$555&lt;80,VLOOKUP(AG$9,'Recommendation texts'!$A:$AV,10,FALSE),"")</f>
        <v/>
      </c>
      <c r="AH580" s="52" t="str">
        <f>IF(AH$555&lt;80,VLOOKUP(AH$9,'Recommendation texts'!$A:$AV,10,FALSE),"")</f>
        <v/>
      </c>
      <c r="AI580" s="52" t="str">
        <f>IF(AI$555&lt;80,VLOOKUP(AI$9,'Recommendation texts'!$A:$AV,10,FALSE),"")</f>
        <v/>
      </c>
      <c r="AJ580" s="66" t="str">
        <f>IF(AJ$555&lt;80,VLOOKUP(AJ$9,'Recommendation texts'!$A:$AV,10,FALSE),"")</f>
        <v/>
      </c>
      <c r="AK580" s="52" t="str">
        <f>IF(AK$555&lt;80,VLOOKUP(AK$9,'Recommendation texts'!$A:$AV,10,FALSE),"")</f>
        <v/>
      </c>
      <c r="AL580" s="52" t="str">
        <f>IF(AL$555&lt;80,VLOOKUP(AL$9,'Recommendation texts'!$A:$AV,10,FALSE),"")</f>
        <v/>
      </c>
      <c r="AM580" s="52" t="str">
        <f>IF(AM$555&lt;80,VLOOKUP(AM$9,'Recommendation texts'!$A:$AV,10,FALSE),"")</f>
        <v/>
      </c>
      <c r="AN580" s="52" t="str">
        <f>IF(AN$555&lt;80,VLOOKUP(AN$9,'Recommendation texts'!$A:$AV,10,FALSE),"")</f>
        <v/>
      </c>
      <c r="AO580" s="52" t="str">
        <f>IF(AO$555&lt;80,VLOOKUP(AO$9,'Recommendation texts'!$A:$AV,10,FALSE),"")</f>
        <v/>
      </c>
      <c r="AP580" s="52" t="str">
        <f>IF(AP$555&lt;80,VLOOKUP(AP$9,'Recommendation texts'!$A:$AV,10,FALSE),"")</f>
        <v/>
      </c>
      <c r="AQ580" s="52" t="str">
        <f>IF(AQ$555&lt;80,VLOOKUP(AQ$9,'Recommendation texts'!$A:$AV,10,FALSE),"")</f>
        <v/>
      </c>
      <c r="AR580" s="52" t="str">
        <f>IF(AR$555&lt;80,VLOOKUP(AR$9,'Recommendation texts'!$A:$AV,10,FALSE),"")</f>
        <v/>
      </c>
      <c r="AS580" s="52">
        <f>IF(AS$555&lt;80,VLOOKUP(AS$9,'Recommendation texts'!$A:$AV,10,FALSE),"")</f>
        <v>0</v>
      </c>
    </row>
    <row r="581" spans="13:45">
      <c r="M581" s="434"/>
      <c r="N581" s="434"/>
      <c r="O581" s="434"/>
      <c r="P581" s="52"/>
      <c r="Q581" s="52"/>
      <c r="R581" s="52"/>
      <c r="S581" s="486"/>
      <c r="T581" s="52"/>
      <c r="AA581" s="52" t="str">
        <f>IF(AA$555&lt;80,VLOOKUP(AA$9,'Recommendation texts'!$A:$AV,11,FALSE),"")</f>
        <v/>
      </c>
      <c r="AD581" s="52">
        <f>IF(AD$555&lt;80,VLOOKUP(AD$9,'Recommendation texts'!$A:$AV,11,FALSE),"")</f>
        <v>0</v>
      </c>
      <c r="AE581" s="52">
        <f>IF(AE$555&lt;80,VLOOKUP(AE$9,'Recommendation texts'!$A:$AV,11,FALSE),"")</f>
        <v>0</v>
      </c>
      <c r="AF581" s="52" t="str">
        <f>IF(AF$555&lt;80,VLOOKUP(AF$9,'Recommendation texts'!$A:$AV,11,FALSE),"")</f>
        <v/>
      </c>
      <c r="AG581" s="52" t="str">
        <f>IF(AG$555&lt;80,VLOOKUP(AG$9,'Recommendation texts'!$A:$AV,11,FALSE),"")</f>
        <v/>
      </c>
      <c r="AH581" s="52" t="str">
        <f>IF(AH$555&lt;80,VLOOKUP(AH$9,'Recommendation texts'!$A:$AV,11,FALSE),"")</f>
        <v/>
      </c>
      <c r="AI581" s="52" t="str">
        <f>IF(AI$555&lt;80,VLOOKUP(AI$9,'Recommendation texts'!$A:$AV,11,FALSE),"")</f>
        <v/>
      </c>
      <c r="AJ581" s="66" t="str">
        <f>IF(AJ$555&lt;80,VLOOKUP(AJ$9,'Recommendation texts'!$A:$AV,11,FALSE),"")</f>
        <v/>
      </c>
      <c r="AK581" s="52" t="str">
        <f>IF(AK$555&lt;80,VLOOKUP(AK$9,'Recommendation texts'!$A:$AV,11,FALSE),"")</f>
        <v/>
      </c>
      <c r="AL581" s="52" t="str">
        <f>IF(AL$555&lt;80,VLOOKUP(AL$9,'Recommendation texts'!$A:$AV,11,FALSE),"")</f>
        <v/>
      </c>
      <c r="AM581" s="52" t="str">
        <f>IF(AM$555&lt;80,VLOOKUP(AM$9,'Recommendation texts'!$A:$AV,11,FALSE),"")</f>
        <v/>
      </c>
      <c r="AN581" s="52" t="str">
        <f>IF(AN$555&lt;80,VLOOKUP(AN$9,'Recommendation texts'!$A:$AV,11,FALSE),"")</f>
        <v/>
      </c>
      <c r="AO581" s="52" t="str">
        <f>IF(AO$555&lt;80,VLOOKUP(AO$9,'Recommendation texts'!$A:$AV,11,FALSE),"")</f>
        <v/>
      </c>
      <c r="AP581" s="52" t="str">
        <f>IF(AP$555&lt;80,VLOOKUP(AP$9,'Recommendation texts'!$A:$AV,11,FALSE),"")</f>
        <v/>
      </c>
      <c r="AQ581" s="52" t="str">
        <f>IF(AQ$555&lt;80,VLOOKUP(AQ$9,'Recommendation texts'!$A:$AV,11,FALSE),"")</f>
        <v/>
      </c>
      <c r="AR581" s="52" t="str">
        <f>IF(AR$555&lt;80,VLOOKUP(AR$9,'Recommendation texts'!$A:$AV,11,FALSE),"")</f>
        <v/>
      </c>
      <c r="AS581" s="52">
        <f>IF(AS$555&lt;80,VLOOKUP(AS$9,'Recommendation texts'!$A:$AV,11,FALSE),"")</f>
        <v>0</v>
      </c>
    </row>
    <row r="582" spans="13:45">
      <c r="AA582" s="52" t="str">
        <f>IF(AA$555&lt;80,VLOOKUP(AA$9,'Recommendation texts'!$A:$AV,12,FALSE),"")</f>
        <v/>
      </c>
      <c r="AD582" s="52">
        <f>IF(AD$555&lt;80,VLOOKUP(AD$9,'Recommendation texts'!$A:$AV,12,FALSE),"")</f>
        <v>0</v>
      </c>
      <c r="AE582" s="52">
        <f>IF(AE$555&lt;80,VLOOKUP(AE$9,'Recommendation texts'!$A:$AV,12,FALSE),"")</f>
        <v>0</v>
      </c>
      <c r="AF582" s="52" t="str">
        <f>IF(AF$555&lt;80,VLOOKUP(AF$9,'Recommendation texts'!$A:$AV,12,FALSE),"")</f>
        <v/>
      </c>
      <c r="AG582" s="52" t="str">
        <f>IF(AG$555&lt;80,VLOOKUP(AG$9,'Recommendation texts'!$A:$AV,12,FALSE),"")</f>
        <v/>
      </c>
      <c r="AH582" s="52" t="str">
        <f>IF(AH$555&lt;80,VLOOKUP(AH$9,'Recommendation texts'!$A:$AV,12,FALSE),"")</f>
        <v/>
      </c>
      <c r="AI582" s="52" t="str">
        <f>IF(AI$555&lt;80,VLOOKUP(AI$9,'Recommendation texts'!$A:$AV,12,FALSE),"")</f>
        <v/>
      </c>
      <c r="AJ582" s="66" t="str">
        <f>IF(AJ$555&lt;80,VLOOKUP(AJ$9,'Recommendation texts'!$A:$AV,12,FALSE),"")</f>
        <v/>
      </c>
      <c r="AK582" s="52" t="str">
        <f>IF(AK$555&lt;80,VLOOKUP(AK$9,'Recommendation texts'!$A:$AV,12,FALSE),"")</f>
        <v/>
      </c>
      <c r="AL582" s="52" t="str">
        <f>IF(AL$555&lt;80,VLOOKUP(AL$9,'Recommendation texts'!$A:$AV,12,FALSE),"")</f>
        <v/>
      </c>
      <c r="AM582" s="52" t="str">
        <f>IF(AM$555&lt;80,VLOOKUP(AM$9,'Recommendation texts'!$A:$AV,12,FALSE),"")</f>
        <v/>
      </c>
      <c r="AN582" s="52" t="str">
        <f>IF(AN$555&lt;80,VLOOKUP(AN$9,'Recommendation texts'!$A:$AV,12,FALSE),"")</f>
        <v/>
      </c>
      <c r="AO582" s="52" t="str">
        <f>IF(AO$555&lt;80,VLOOKUP(AO$9,'Recommendation texts'!$A:$AV,12,FALSE),"")</f>
        <v/>
      </c>
      <c r="AP582" s="52" t="str">
        <f>IF(AP$555&lt;80,VLOOKUP(AP$9,'Recommendation texts'!$A:$AV,12,FALSE),"")</f>
        <v/>
      </c>
      <c r="AQ582" s="52" t="str">
        <f>IF(AQ$555&lt;80,VLOOKUP(AQ$9,'Recommendation texts'!$A:$AV,12,FALSE),"")</f>
        <v/>
      </c>
      <c r="AR582" s="52" t="str">
        <f>IF(AR$555&lt;80,VLOOKUP(AR$9,'Recommendation texts'!$A:$AV,12,FALSE),"")</f>
        <v/>
      </c>
      <c r="AS582" s="52">
        <f>IF(AS$555&lt;80,VLOOKUP(AS$9,'Recommendation texts'!$A:$AV,12,FALSE),"")</f>
        <v>0</v>
      </c>
    </row>
    <row r="583" spans="13:45">
      <c r="AA583" s="52" t="str">
        <f>IF(AA$555&lt;80,VLOOKUP(AA$9,'Recommendation texts'!$A:$AV,13,FALSE),"")</f>
        <v/>
      </c>
      <c r="AD583" s="52">
        <f>IF(AD$555&lt;80,VLOOKUP(AD$9,'Recommendation texts'!$A:$AV,13,FALSE),"")</f>
        <v>0</v>
      </c>
      <c r="AE583" s="52">
        <f>IF(AE$555&lt;80,VLOOKUP(AE$9,'Recommendation texts'!$A:$AV,13,FALSE),"")</f>
        <v>0</v>
      </c>
      <c r="AF583" s="52" t="str">
        <f>IF(AF$555&lt;80,VLOOKUP(AF$9,'Recommendation texts'!$A:$AV,13,FALSE),"")</f>
        <v/>
      </c>
      <c r="AG583" s="52" t="str">
        <f>IF(AG$555&lt;80,VLOOKUP(AG$9,'Recommendation texts'!$A:$AV,13,FALSE),"")</f>
        <v/>
      </c>
      <c r="AH583" s="52" t="str">
        <f>IF(AH$555&lt;80,VLOOKUP(AH$9,'Recommendation texts'!$A:$AV,13,FALSE),"")</f>
        <v/>
      </c>
      <c r="AI583" s="52" t="str">
        <f>IF(AI$555&lt;80,VLOOKUP(AI$9,'Recommendation texts'!$A:$AV,13,FALSE),"")</f>
        <v/>
      </c>
      <c r="AJ583" s="66" t="str">
        <f>IF(AJ$555&lt;80,VLOOKUP(AJ$9,'Recommendation texts'!$A:$AV,13,FALSE),"")</f>
        <v/>
      </c>
      <c r="AK583" s="52" t="str">
        <f>IF(AK$555&lt;80,VLOOKUP(AK$9,'Recommendation texts'!$A:$AV,13,FALSE),"")</f>
        <v/>
      </c>
      <c r="AL583" s="52" t="str">
        <f>IF(AL$555&lt;80,VLOOKUP(AL$9,'Recommendation texts'!$A:$AV,13,FALSE),"")</f>
        <v/>
      </c>
      <c r="AM583" s="52" t="str">
        <f>IF(AM$555&lt;80,VLOOKUP(AM$9,'Recommendation texts'!$A:$AV,13,FALSE),"")</f>
        <v/>
      </c>
      <c r="AN583" s="52" t="str">
        <f>IF(AN$555&lt;80,VLOOKUP(AN$9,'Recommendation texts'!$A:$AV,13,FALSE),"")</f>
        <v/>
      </c>
      <c r="AO583" s="52" t="str">
        <f>IF(AO$555&lt;80,VLOOKUP(AO$9,'Recommendation texts'!$A:$AV,13,FALSE),"")</f>
        <v/>
      </c>
      <c r="AP583" s="52" t="str">
        <f>IF(AP$555&lt;80,VLOOKUP(AP$9,'Recommendation texts'!$A:$AV,13,FALSE),"")</f>
        <v/>
      </c>
      <c r="AQ583" s="52" t="str">
        <f>IF(AQ$555&lt;80,VLOOKUP(AQ$9,'Recommendation texts'!$A:$AV,13,FALSE),"")</f>
        <v/>
      </c>
      <c r="AR583" s="52" t="str">
        <f>IF(AR$555&lt;80,VLOOKUP(AR$9,'Recommendation texts'!$A:$AV,13,FALSE),"")</f>
        <v/>
      </c>
      <c r="AS583" s="52">
        <f>IF(AS$555&lt;80,VLOOKUP(AS$9,'Recommendation texts'!$A:$AV,13,FALSE),"")</f>
        <v>0</v>
      </c>
    </row>
    <row r="584" spans="13:45">
      <c r="P584" s="23"/>
      <c r="AA584" s="52" t="str">
        <f>IF(AA$555&lt;80,VLOOKUP(AA$9,'Recommendation texts'!$A:$AV,14,FALSE),"")</f>
        <v/>
      </c>
      <c r="AD584" s="52">
        <f>IF(AD$555&lt;80,VLOOKUP(AD$9,'Recommendation texts'!$A:$AV,14,FALSE),"")</f>
        <v>0</v>
      </c>
      <c r="AE584" s="52">
        <f>IF(AE$555&lt;80,VLOOKUP(AE$9,'Recommendation texts'!$A:$AV,14,FALSE),"")</f>
        <v>0</v>
      </c>
      <c r="AF584" s="52" t="str">
        <f>IF(AF$555&lt;80,VLOOKUP(AF$9,'Recommendation texts'!$A:$AV,14,FALSE),"")</f>
        <v/>
      </c>
      <c r="AG584" s="52" t="str">
        <f>IF(AG$555&lt;80,VLOOKUP(AG$9,'Recommendation texts'!$A:$AV,14,FALSE),"")</f>
        <v/>
      </c>
      <c r="AH584" s="52" t="str">
        <f>IF(AH$555&lt;80,VLOOKUP(AH$9,'Recommendation texts'!$A:$AV,14,FALSE),"")</f>
        <v/>
      </c>
      <c r="AI584" s="52" t="str">
        <f>IF(AI$555&lt;80,VLOOKUP(AI$9,'Recommendation texts'!$A:$AV,14,FALSE),"")</f>
        <v/>
      </c>
      <c r="AJ584" s="66" t="str">
        <f>IF(AJ$555&lt;80,VLOOKUP(AJ$9,'Recommendation texts'!$A:$AV,14,FALSE),"")</f>
        <v/>
      </c>
      <c r="AK584" s="52" t="str">
        <f>IF(AK$555&lt;80,VLOOKUP(AK$9,'Recommendation texts'!$A:$AV,14,FALSE),"")</f>
        <v/>
      </c>
      <c r="AL584" s="52" t="str">
        <f>IF(AL$555&lt;80,VLOOKUP(AL$9,'Recommendation texts'!$A:$AV,14,FALSE),"")</f>
        <v/>
      </c>
      <c r="AM584" s="52" t="str">
        <f>IF(AM$555&lt;80,VLOOKUP(AM$9,'Recommendation texts'!$A:$AV,14,FALSE),"")</f>
        <v/>
      </c>
      <c r="AN584" s="52" t="str">
        <f>IF(AN$555&lt;80,VLOOKUP(AN$9,'Recommendation texts'!$A:$AV,14,FALSE),"")</f>
        <v/>
      </c>
      <c r="AO584" s="52" t="str">
        <f>IF(AO$555&lt;80,VLOOKUP(AO$9,'Recommendation texts'!$A:$AV,14,FALSE),"")</f>
        <v/>
      </c>
      <c r="AP584" s="52" t="str">
        <f>IF(AP$555&lt;80,VLOOKUP(AP$9,'Recommendation texts'!$A:$AV,14,FALSE),"")</f>
        <v/>
      </c>
      <c r="AQ584" s="52" t="str">
        <f>IF(AQ$555&lt;80,VLOOKUP(AQ$9,'Recommendation texts'!$A:$AV,14,FALSE),"")</f>
        <v/>
      </c>
      <c r="AR584" s="52" t="str">
        <f>IF(AR$555&lt;80,VLOOKUP(AR$9,'Recommendation texts'!$A:$AV,14,FALSE),"")</f>
        <v/>
      </c>
      <c r="AS584" s="52">
        <f>IF(AS$555&lt;80,VLOOKUP(AS$9,'Recommendation texts'!$A:$AV,14,FALSE),"")</f>
        <v>0</v>
      </c>
    </row>
    <row r="585" spans="13:45">
      <c r="AA585" s="52" t="str">
        <f>IF(AA$555&lt;80,VLOOKUP(AA$9,'Recommendation texts'!$A:$AV,15,FALSE),"")</f>
        <v/>
      </c>
      <c r="AD585" s="52">
        <f>IF(AD$555&lt;80,VLOOKUP(AD$9,'Recommendation texts'!$A:$AV,15,FALSE),"")</f>
        <v>0</v>
      </c>
      <c r="AE585" s="52">
        <f>IF(AE$555&lt;80,VLOOKUP(AE$9,'Recommendation texts'!$A:$AV,15,FALSE),"")</f>
        <v>0</v>
      </c>
      <c r="AF585" s="52" t="str">
        <f>IF(AF$555&lt;80,VLOOKUP(AF$9,'Recommendation texts'!$A:$AV,15,FALSE),"")</f>
        <v/>
      </c>
      <c r="AG585" s="52" t="str">
        <f>IF(AG$555&lt;80,VLOOKUP(AG$9,'Recommendation texts'!$A:$AV,15,FALSE),"")</f>
        <v/>
      </c>
      <c r="AH585" s="52" t="str">
        <f>IF(AH$555&lt;80,VLOOKUP(AH$9,'Recommendation texts'!$A:$AV,15,FALSE),"")</f>
        <v/>
      </c>
      <c r="AI585" s="52" t="str">
        <f>IF(AI$555&lt;80,VLOOKUP(AI$9,'Recommendation texts'!$A:$AV,15,FALSE),"")</f>
        <v/>
      </c>
      <c r="AJ585" s="66" t="str">
        <f>IF(AJ$555&lt;80,VLOOKUP(AJ$9,'Recommendation texts'!$A:$AV,15,FALSE),"")</f>
        <v/>
      </c>
      <c r="AK585" s="52" t="str">
        <f>IF(AK$555&lt;80,VLOOKUP(AK$9,'Recommendation texts'!$A:$AV,15,FALSE),"")</f>
        <v/>
      </c>
      <c r="AL585" s="52" t="str">
        <f>IF(AL$555&lt;80,VLOOKUP(AL$9,'Recommendation texts'!$A:$AV,15,FALSE),"")</f>
        <v/>
      </c>
      <c r="AM585" s="52" t="str">
        <f>IF(AM$555&lt;80,VLOOKUP(AM$9,'Recommendation texts'!$A:$AV,15,FALSE),"")</f>
        <v/>
      </c>
      <c r="AN585" s="52" t="str">
        <f>IF(AN$555&lt;80,VLOOKUP(AN$9,'Recommendation texts'!$A:$AV,15,FALSE),"")</f>
        <v/>
      </c>
      <c r="AO585" s="52" t="str">
        <f>IF(AO$555&lt;80,VLOOKUP(AO$9,'Recommendation texts'!$A:$AV,15,FALSE),"")</f>
        <v/>
      </c>
      <c r="AP585" s="52" t="str">
        <f>IF(AP$555&lt;80,VLOOKUP(AP$9,'Recommendation texts'!$A:$AV,15,FALSE),"")</f>
        <v/>
      </c>
      <c r="AQ585" s="52" t="str">
        <f>IF(AQ$555&lt;80,VLOOKUP(AQ$9,'Recommendation texts'!$A:$AV,15,FALSE),"")</f>
        <v/>
      </c>
      <c r="AR585" s="52" t="str">
        <f>IF(AR$555&lt;80,VLOOKUP(AR$9,'Recommendation texts'!$A:$AV,15,FALSE),"")</f>
        <v/>
      </c>
      <c r="AS585" s="52">
        <f>IF(AS$555&lt;80,VLOOKUP(AS$9,'Recommendation texts'!$A:$AV,15,FALSE),"")</f>
        <v>0</v>
      </c>
    </row>
    <row r="586" spans="13:45">
      <c r="AA586" s="52" t="str">
        <f>IF(AA$555&lt;80,VLOOKUP(AA$9,'Recommendation texts'!$A:$AV,16,FALSE),"")</f>
        <v/>
      </c>
      <c r="AD586" s="52">
        <f>IF(AD$555&lt;80,VLOOKUP(AD$9,'Recommendation texts'!$A:$AV,16,FALSE),"")</f>
        <v>0</v>
      </c>
      <c r="AE586" s="52">
        <f>IF(AE$555&lt;80,VLOOKUP(AE$9,'Recommendation texts'!$A:$AV,16,FALSE),"")</f>
        <v>0</v>
      </c>
      <c r="AF586" s="52" t="str">
        <f>IF(AF$555&lt;80,VLOOKUP(AF$9,'Recommendation texts'!$A:$AV,16,FALSE),"")</f>
        <v/>
      </c>
      <c r="AG586" s="52" t="str">
        <f>IF(AG$555&lt;80,VLOOKUP(AG$9,'Recommendation texts'!$A:$AV,16,FALSE),"")</f>
        <v/>
      </c>
      <c r="AH586" s="52" t="str">
        <f>IF(AH$555&lt;80,VLOOKUP(AH$9,'Recommendation texts'!$A:$AV,16,FALSE),"")</f>
        <v/>
      </c>
      <c r="AI586" s="52" t="str">
        <f>IF(AI$555&lt;80,VLOOKUP(AI$9,'Recommendation texts'!$A:$AV,16,FALSE),"")</f>
        <v/>
      </c>
      <c r="AJ586" s="66" t="str">
        <f>IF(AJ$555&lt;80,VLOOKUP(AJ$9,'Recommendation texts'!$A:$AV,16,FALSE),"")</f>
        <v/>
      </c>
      <c r="AK586" s="52" t="str">
        <f>IF(AK$555&lt;80,VLOOKUP(AK$9,'Recommendation texts'!$A:$AV,16,FALSE),"")</f>
        <v/>
      </c>
      <c r="AL586" s="52" t="str">
        <f>IF(AL$555&lt;80,VLOOKUP(AL$9,'Recommendation texts'!$A:$AV,16,FALSE),"")</f>
        <v/>
      </c>
      <c r="AM586" s="52" t="str">
        <f>IF(AM$555&lt;80,VLOOKUP(AM$9,'Recommendation texts'!$A:$AV,16,FALSE),"")</f>
        <v/>
      </c>
      <c r="AN586" s="52" t="str">
        <f>IF(AN$555&lt;80,VLOOKUP(AN$9,'Recommendation texts'!$A:$AV,16,FALSE),"")</f>
        <v/>
      </c>
      <c r="AO586" s="52" t="str">
        <f>IF(AO$555&lt;80,VLOOKUP(AO$9,'Recommendation texts'!$A:$AV,16,FALSE),"")</f>
        <v/>
      </c>
      <c r="AP586" s="52" t="str">
        <f>IF(AP$555&lt;80,VLOOKUP(AP$9,'Recommendation texts'!$A:$AV,16,FALSE),"")</f>
        <v/>
      </c>
      <c r="AQ586" s="52" t="str">
        <f>IF(AQ$555&lt;80,VLOOKUP(AQ$9,'Recommendation texts'!$A:$AV,16,FALSE),"")</f>
        <v/>
      </c>
      <c r="AR586" s="52" t="str">
        <f>IF(AR$555&lt;80,VLOOKUP(AR$9,'Recommendation texts'!$A:$AV,16,FALSE),"")</f>
        <v/>
      </c>
      <c r="AS586" s="52">
        <f>IF(AS$555&lt;80,VLOOKUP(AS$9,'Recommendation texts'!$A:$AV,16,FALSE),"")</f>
        <v>0</v>
      </c>
    </row>
    <row r="587" spans="13:45">
      <c r="AA587" s="52" t="str">
        <f>IF(AA$555&lt;80,VLOOKUP(AA$9,'Recommendation texts'!$A:$AV,17,FALSE),"")</f>
        <v/>
      </c>
      <c r="AD587" s="52">
        <f>IF(AD$555&lt;80,VLOOKUP(AD$9,'Recommendation texts'!$A:$AV,17,FALSE),"")</f>
        <v>0</v>
      </c>
      <c r="AE587" s="52">
        <f>IF(AE$555&lt;80,VLOOKUP(AE$9,'Recommendation texts'!$A:$AV,17,FALSE),"")</f>
        <v>0</v>
      </c>
      <c r="AF587" s="52" t="str">
        <f>IF(AF$555&lt;80,VLOOKUP(AF$9,'Recommendation texts'!$A:$AV,17,FALSE),"")</f>
        <v/>
      </c>
      <c r="AG587" s="52" t="str">
        <f>IF(AG$555&lt;80,VLOOKUP(AG$9,'Recommendation texts'!$A:$AV,17,FALSE),"")</f>
        <v/>
      </c>
      <c r="AH587" s="52" t="str">
        <f>IF(AH$555&lt;80,VLOOKUP(AH$9,'Recommendation texts'!$A:$AV,17,FALSE),"")</f>
        <v/>
      </c>
      <c r="AI587" s="52" t="str">
        <f>IF(AI$555&lt;80,VLOOKUP(AI$9,'Recommendation texts'!$A:$AV,17,FALSE),"")</f>
        <v/>
      </c>
      <c r="AJ587" s="66" t="str">
        <f>IF(AJ$555&lt;80,VLOOKUP(AJ$9,'Recommendation texts'!$A:$AV,17,FALSE),"")</f>
        <v/>
      </c>
      <c r="AK587" s="52" t="str">
        <f>IF(AK$555&lt;80,VLOOKUP(AK$9,'Recommendation texts'!$A:$AV,17,FALSE),"")</f>
        <v/>
      </c>
      <c r="AL587" s="52" t="str">
        <f>IF(AL$555&lt;80,VLOOKUP(AL$9,'Recommendation texts'!$A:$AV,17,FALSE),"")</f>
        <v/>
      </c>
      <c r="AM587" s="52" t="str">
        <f>IF(AM$555&lt;80,VLOOKUP(AM$9,'Recommendation texts'!$A:$AV,17,FALSE),"")</f>
        <v/>
      </c>
      <c r="AN587" s="52" t="str">
        <f>IF(AN$555&lt;80,VLOOKUP(AN$9,'Recommendation texts'!$A:$AV,17,FALSE),"")</f>
        <v/>
      </c>
      <c r="AO587" s="52" t="str">
        <f>IF(AO$555&lt;80,VLOOKUP(AO$9,'Recommendation texts'!$A:$AV,17,FALSE),"")</f>
        <v/>
      </c>
      <c r="AP587" s="52" t="str">
        <f>IF(AP$555&lt;80,VLOOKUP(AP$9,'Recommendation texts'!$A:$AV,17,FALSE),"")</f>
        <v/>
      </c>
      <c r="AQ587" s="52" t="str">
        <f>IF(AQ$555&lt;80,VLOOKUP(AQ$9,'Recommendation texts'!$A:$AV,17,FALSE),"")</f>
        <v/>
      </c>
      <c r="AR587" s="52" t="str">
        <f>IF(AR$555&lt;80,VLOOKUP(AR$9,'Recommendation texts'!$A:$AV,17,FALSE),"")</f>
        <v/>
      </c>
      <c r="AS587" s="52">
        <f>IF(AS$555&lt;80,VLOOKUP(AS$9,'Recommendation texts'!$A:$AV,17,FALSE),"")</f>
        <v>0</v>
      </c>
    </row>
    <row r="588" spans="13:45">
      <c r="AA588" s="52" t="str">
        <f>IF(AA$555&lt;80,VLOOKUP(AA$9,'Recommendation texts'!$A:$AV,18,FALSE),"")</f>
        <v/>
      </c>
      <c r="AD588" s="52">
        <f>IF(AD$555&lt;80,VLOOKUP(AD$9,'Recommendation texts'!$A:$AV,18,FALSE),"")</f>
        <v>0</v>
      </c>
      <c r="AE588" s="52">
        <f>IF(AE$555&lt;80,VLOOKUP(AE$9,'Recommendation texts'!$A:$AV,18,FALSE),"")</f>
        <v>0</v>
      </c>
      <c r="AF588" s="52" t="str">
        <f>IF(AF$555&lt;80,VLOOKUP(AF$9,'Recommendation texts'!$A:$AV,18,FALSE),"")</f>
        <v/>
      </c>
      <c r="AG588" s="52" t="str">
        <f>IF(AG$555&lt;80,VLOOKUP(AG$9,'Recommendation texts'!$A:$AV,18,FALSE),"")</f>
        <v/>
      </c>
      <c r="AH588" s="52" t="str">
        <f>IF(AH$555&lt;80,VLOOKUP(AH$9,'Recommendation texts'!$A:$AV,18,FALSE),"")</f>
        <v/>
      </c>
      <c r="AI588" s="52" t="str">
        <f>IF(AI$555&lt;80,VLOOKUP(AI$9,'Recommendation texts'!$A:$AV,18,FALSE),"")</f>
        <v/>
      </c>
      <c r="AJ588" s="66" t="str">
        <f>IF(AJ$555&lt;80,VLOOKUP(AJ$9,'Recommendation texts'!$A:$AV,18,FALSE),"")</f>
        <v/>
      </c>
      <c r="AK588" s="52" t="str">
        <f>IF(AK$555&lt;80,VLOOKUP(AK$9,'Recommendation texts'!$A:$AV,18,FALSE),"")</f>
        <v/>
      </c>
      <c r="AL588" s="52" t="str">
        <f>IF(AL$555&lt;80,VLOOKUP(AL$9,'Recommendation texts'!$A:$AV,18,FALSE),"")</f>
        <v/>
      </c>
      <c r="AM588" s="52" t="str">
        <f>IF(AM$555&lt;80,VLOOKUP(AM$9,'Recommendation texts'!$A:$AV,18,FALSE),"")</f>
        <v/>
      </c>
      <c r="AN588" s="52" t="str">
        <f>IF(AN$555&lt;80,VLOOKUP(AN$9,'Recommendation texts'!$A:$AV,18,FALSE),"")</f>
        <v/>
      </c>
      <c r="AO588" s="52" t="str">
        <f>IF(AO$555&lt;80,VLOOKUP(AO$9,'Recommendation texts'!$A:$AV,18,FALSE),"")</f>
        <v/>
      </c>
      <c r="AP588" s="52" t="str">
        <f>IF(AP$555&lt;80,VLOOKUP(AP$9,'Recommendation texts'!$A:$AV,18,FALSE),"")</f>
        <v/>
      </c>
      <c r="AQ588" s="52" t="str">
        <f>IF(AQ$555&lt;80,VLOOKUP(AQ$9,'Recommendation texts'!$A:$AV,18,FALSE),"")</f>
        <v/>
      </c>
      <c r="AR588" s="52" t="str">
        <f>IF(AR$555&lt;80,VLOOKUP(AR$9,'Recommendation texts'!$A:$AV,18,FALSE),"")</f>
        <v/>
      </c>
      <c r="AS588" s="52">
        <f>IF(AS$555&lt;80,VLOOKUP(AS$9,'Recommendation texts'!$A:$AV,18,FALSE),"")</f>
        <v>0</v>
      </c>
    </row>
  </sheetData>
  <autoFilter ref="B9:H514" xr:uid="{68739F50-C260-404D-B7EE-A53CA6ABA2A6}"/>
  <mergeCells count="24">
    <mergeCell ref="Q555:V555"/>
    <mergeCell ref="Q543:V543"/>
    <mergeCell ref="Q544:V544"/>
    <mergeCell ref="C3:F4"/>
    <mergeCell ref="G3:G4"/>
    <mergeCell ref="H3:K4"/>
    <mergeCell ref="C6:K7"/>
    <mergeCell ref="B527:F534"/>
    <mergeCell ref="G506:H506"/>
    <mergeCell ref="B507:F514"/>
    <mergeCell ref="G516:H516"/>
    <mergeCell ref="B517:F524"/>
    <mergeCell ref="G526:H526"/>
    <mergeCell ref="G536:H536"/>
    <mergeCell ref="B537:F544"/>
    <mergeCell ref="G546:H546"/>
    <mergeCell ref="Q513:V513"/>
    <mergeCell ref="Q514:V514"/>
    <mergeCell ref="B547:F554"/>
    <mergeCell ref="Q554:V554"/>
    <mergeCell ref="Q533:V533"/>
    <mergeCell ref="Q534:V534"/>
    <mergeCell ref="Q523:V523"/>
    <mergeCell ref="Q524:V524"/>
  </mergeCells>
  <conditionalFormatting sqref="W104:AA104 AC104 AE104:AS104">
    <cfRule type="colorScale" priority="777">
      <colorScale>
        <cfvo type="num" val="0"/>
        <cfvo type="num" val="80"/>
        <color rgb="FFFF0000"/>
        <color theme="0"/>
      </colorScale>
    </cfRule>
  </conditionalFormatting>
  <conditionalFormatting sqref="W53:AA53 AC53 AE53:AS53">
    <cfRule type="colorScale" priority="776">
      <colorScale>
        <cfvo type="num" val="0"/>
        <cfvo type="num" val="80"/>
        <color rgb="FFFF0000"/>
        <color theme="0"/>
      </colorScale>
    </cfRule>
  </conditionalFormatting>
  <conditionalFormatting sqref="W34:AA34 AC34 AE34:AS34">
    <cfRule type="colorScale" priority="775">
      <colorScale>
        <cfvo type="num" val="0"/>
        <cfvo type="num" val="80"/>
        <color rgb="FFFF0000"/>
        <color theme="0"/>
      </colorScale>
    </cfRule>
  </conditionalFormatting>
  <conditionalFormatting sqref="W133:AA133 AC133 AE133:AS133">
    <cfRule type="colorScale" priority="774">
      <colorScale>
        <cfvo type="num" val="0"/>
        <cfvo type="num" val="80"/>
        <color rgb="FFFF0000"/>
        <color theme="0"/>
      </colorScale>
    </cfRule>
  </conditionalFormatting>
  <conditionalFormatting sqref="W232:AA232 AC232 AE232:AS232">
    <cfRule type="colorScale" priority="773">
      <colorScale>
        <cfvo type="num" val="0"/>
        <cfvo type="num" val="80"/>
        <color rgb="FFFF0000"/>
        <color theme="0"/>
      </colorScale>
    </cfRule>
  </conditionalFormatting>
  <conditionalFormatting sqref="W331:AA331 AC331 AE331:AS331">
    <cfRule type="colorScale" priority="772">
      <colorScale>
        <cfvo type="num" val="0"/>
        <cfvo type="num" val="80"/>
        <color rgb="FFFF0000"/>
        <color theme="0"/>
      </colorScale>
    </cfRule>
  </conditionalFormatting>
  <conditionalFormatting sqref="W430:AA430 AC430 AE430:AS430">
    <cfRule type="colorScale" priority="771">
      <colorScale>
        <cfvo type="num" val="0"/>
        <cfvo type="num" val="80"/>
        <color rgb="FFFF0000"/>
        <color theme="0"/>
      </colorScale>
    </cfRule>
  </conditionalFormatting>
  <conditionalFormatting sqref="W152:AA152 AC152 AE152:AS152">
    <cfRule type="colorScale" priority="770">
      <colorScale>
        <cfvo type="num" val="0"/>
        <cfvo type="num" val="80"/>
        <color rgb="FFFF0000"/>
        <color theme="0"/>
      </colorScale>
    </cfRule>
  </conditionalFormatting>
  <conditionalFormatting sqref="W251:AA251 AC251 AE251:AS251">
    <cfRule type="colorScale" priority="769">
      <colorScale>
        <cfvo type="num" val="0"/>
        <cfvo type="num" val="80"/>
        <color rgb="FFFF0000"/>
        <color theme="0"/>
      </colorScale>
    </cfRule>
  </conditionalFormatting>
  <conditionalFormatting sqref="W350:AA350 AC350 AE350:AS350">
    <cfRule type="colorScale" priority="768">
      <colorScale>
        <cfvo type="num" val="0"/>
        <cfvo type="num" val="80"/>
        <color rgb="FFFF0000"/>
        <color theme="0"/>
      </colorScale>
    </cfRule>
  </conditionalFormatting>
  <conditionalFormatting sqref="W449:AA449 AC449 AE449:AS449">
    <cfRule type="colorScale" priority="767">
      <colorScale>
        <cfvo type="num" val="0"/>
        <cfvo type="num" val="80"/>
        <color rgb="FFFF0000"/>
        <color theme="0"/>
      </colorScale>
    </cfRule>
  </conditionalFormatting>
  <conditionalFormatting sqref="W184:AA184 AC184 AE184:AS184">
    <cfRule type="colorScale" priority="766">
      <colorScale>
        <cfvo type="num" val="0"/>
        <cfvo type="num" val="80"/>
        <color rgb="FFFF0000"/>
        <color theme="0"/>
      </colorScale>
    </cfRule>
  </conditionalFormatting>
  <conditionalFormatting sqref="W283:AA283 AC283 AE283:AS283">
    <cfRule type="colorScale" priority="765">
      <colorScale>
        <cfvo type="num" val="0"/>
        <cfvo type="num" val="80"/>
        <color rgb="FFFF0000"/>
        <color theme="0"/>
      </colorScale>
    </cfRule>
  </conditionalFormatting>
  <conditionalFormatting sqref="W382:AA382 AC382 AE382:AS382">
    <cfRule type="colorScale" priority="764">
      <colorScale>
        <cfvo type="num" val="0"/>
        <cfvo type="num" val="80"/>
        <color rgb="FFFF0000"/>
        <color theme="0"/>
      </colorScale>
    </cfRule>
  </conditionalFormatting>
  <conditionalFormatting sqref="W481:AA481 AC481 AE481:AS481">
    <cfRule type="colorScale" priority="763">
      <colorScale>
        <cfvo type="num" val="0"/>
        <cfvo type="num" val="80"/>
        <color rgb="FFFF0000"/>
        <color theme="0"/>
      </colorScale>
    </cfRule>
  </conditionalFormatting>
  <conditionalFormatting sqref="W203:AA203 AC203 AE203:AS203">
    <cfRule type="colorScale" priority="762">
      <colorScale>
        <cfvo type="num" val="0"/>
        <cfvo type="num" val="80"/>
        <color rgb="FFFF0000"/>
        <color theme="0"/>
      </colorScale>
    </cfRule>
  </conditionalFormatting>
  <conditionalFormatting sqref="W302:AA302 AC302 AE302:AS302">
    <cfRule type="colorScale" priority="761">
      <colorScale>
        <cfvo type="num" val="0"/>
        <cfvo type="num" val="80"/>
        <color rgb="FFFF0000"/>
        <color theme="0"/>
      </colorScale>
    </cfRule>
  </conditionalFormatting>
  <conditionalFormatting sqref="W401:AA401 AC401 AE401:AS401">
    <cfRule type="colorScale" priority="760">
      <colorScale>
        <cfvo type="num" val="0"/>
        <cfvo type="num" val="80"/>
        <color rgb="FFFF0000"/>
        <color theme="0"/>
      </colorScale>
    </cfRule>
  </conditionalFormatting>
  <conditionalFormatting sqref="W500:AA500 AC500 AE500:AS500">
    <cfRule type="colorScale" priority="759">
      <colorScale>
        <cfvo type="num" val="0"/>
        <cfvo type="num" val="80"/>
        <color rgb="FFFF0000"/>
        <color theme="0"/>
      </colorScale>
    </cfRule>
  </conditionalFormatting>
  <conditionalFormatting sqref="AB87">
    <cfRule type="colorScale" priority="758">
      <colorScale>
        <cfvo type="num" val="120"/>
        <cfvo type="num" val="200"/>
        <color theme="0"/>
        <color rgb="FFFF0000"/>
      </colorScale>
    </cfRule>
  </conditionalFormatting>
  <conditionalFormatting sqref="AE85:AS85 AC85">
    <cfRule type="colorScale" priority="757">
      <colorScale>
        <cfvo type="num" val="0"/>
        <cfvo type="num" val="80"/>
        <color rgb="FFFF0000"/>
        <color theme="0"/>
      </colorScale>
    </cfRule>
  </conditionalFormatting>
  <conditionalFormatting sqref="AB85">
    <cfRule type="colorScale" priority="756">
      <colorScale>
        <cfvo type="num" val="120"/>
        <cfvo type="num" val="200"/>
        <color theme="0"/>
        <color rgb="FFFF0000"/>
      </colorScale>
    </cfRule>
  </conditionalFormatting>
  <conditionalFormatting sqref="AB53">
    <cfRule type="colorScale" priority="755">
      <colorScale>
        <cfvo type="num" val="120"/>
        <cfvo type="num" val="200"/>
        <color theme="0"/>
        <color rgb="FFFF0000"/>
      </colorScale>
    </cfRule>
  </conditionalFormatting>
  <conditionalFormatting sqref="AB34">
    <cfRule type="colorScale" priority="754">
      <colorScale>
        <cfvo type="num" val="120"/>
        <cfvo type="num" val="200"/>
        <color theme="0"/>
        <color rgb="FFFF0000"/>
      </colorScale>
    </cfRule>
  </conditionalFormatting>
  <conditionalFormatting sqref="AB104">
    <cfRule type="colorScale" priority="753">
      <colorScale>
        <cfvo type="num" val="120"/>
        <cfvo type="num" val="200"/>
        <color theme="0"/>
        <color rgb="FFFF0000"/>
      </colorScale>
    </cfRule>
  </conditionalFormatting>
  <conditionalFormatting sqref="AB133">
    <cfRule type="colorScale" priority="752">
      <colorScale>
        <cfvo type="num" val="120"/>
        <cfvo type="num" val="200"/>
        <color theme="0"/>
        <color rgb="FFFF0000"/>
      </colorScale>
    </cfRule>
  </conditionalFormatting>
  <conditionalFormatting sqref="AB152">
    <cfRule type="colorScale" priority="751">
      <colorScale>
        <cfvo type="num" val="120"/>
        <cfvo type="num" val="200"/>
        <color theme="0"/>
        <color rgb="FFFF0000"/>
      </colorScale>
    </cfRule>
  </conditionalFormatting>
  <conditionalFormatting sqref="AB184">
    <cfRule type="colorScale" priority="750">
      <colorScale>
        <cfvo type="num" val="120"/>
        <cfvo type="num" val="200"/>
        <color theme="0"/>
        <color rgb="FFFF0000"/>
      </colorScale>
    </cfRule>
  </conditionalFormatting>
  <conditionalFormatting sqref="AB203">
    <cfRule type="colorScale" priority="749">
      <colorScale>
        <cfvo type="num" val="120"/>
        <cfvo type="num" val="200"/>
        <color theme="0"/>
        <color rgb="FFFF0000"/>
      </colorScale>
    </cfRule>
  </conditionalFormatting>
  <conditionalFormatting sqref="AB232">
    <cfRule type="colorScale" priority="748">
      <colorScale>
        <cfvo type="num" val="120"/>
        <cfvo type="num" val="200"/>
        <color theme="0"/>
        <color rgb="FFFF0000"/>
      </colorScale>
    </cfRule>
  </conditionalFormatting>
  <conditionalFormatting sqref="AB251">
    <cfRule type="colorScale" priority="747">
      <colorScale>
        <cfvo type="num" val="120"/>
        <cfvo type="num" val="200"/>
        <color theme="0"/>
        <color rgb="FFFF0000"/>
      </colorScale>
    </cfRule>
  </conditionalFormatting>
  <conditionalFormatting sqref="AB283">
    <cfRule type="colorScale" priority="746">
      <colorScale>
        <cfvo type="num" val="120"/>
        <cfvo type="num" val="200"/>
        <color theme="0"/>
        <color rgb="FFFF0000"/>
      </colorScale>
    </cfRule>
  </conditionalFormatting>
  <conditionalFormatting sqref="AB302">
    <cfRule type="colorScale" priority="745">
      <colorScale>
        <cfvo type="num" val="120"/>
        <cfvo type="num" val="200"/>
        <color theme="0"/>
        <color rgb="FFFF0000"/>
      </colorScale>
    </cfRule>
  </conditionalFormatting>
  <conditionalFormatting sqref="AB331">
    <cfRule type="colorScale" priority="744">
      <colorScale>
        <cfvo type="num" val="120"/>
        <cfvo type="num" val="200"/>
        <color theme="0"/>
        <color rgb="FFFF0000"/>
      </colorScale>
    </cfRule>
  </conditionalFormatting>
  <conditionalFormatting sqref="AB350">
    <cfRule type="colorScale" priority="743">
      <colorScale>
        <cfvo type="num" val="120"/>
        <cfvo type="num" val="200"/>
        <color theme="0"/>
        <color rgb="FFFF0000"/>
      </colorScale>
    </cfRule>
  </conditionalFormatting>
  <conditionalFormatting sqref="AB382">
    <cfRule type="colorScale" priority="742">
      <colorScale>
        <cfvo type="num" val="120"/>
        <cfvo type="num" val="200"/>
        <color theme="0"/>
        <color rgb="FFFF0000"/>
      </colorScale>
    </cfRule>
  </conditionalFormatting>
  <conditionalFormatting sqref="AB401">
    <cfRule type="colorScale" priority="741">
      <colorScale>
        <cfvo type="num" val="120"/>
        <cfvo type="num" val="200"/>
        <color theme="0"/>
        <color rgb="FFFF0000"/>
      </colorScale>
    </cfRule>
  </conditionalFormatting>
  <conditionalFormatting sqref="AB430">
    <cfRule type="colorScale" priority="740">
      <colorScale>
        <cfvo type="num" val="120"/>
        <cfvo type="num" val="200"/>
        <color theme="0"/>
        <color rgb="FFFF0000"/>
      </colorScale>
    </cfRule>
  </conditionalFormatting>
  <conditionalFormatting sqref="AB449">
    <cfRule type="colorScale" priority="739">
      <colorScale>
        <cfvo type="num" val="120"/>
        <cfvo type="num" val="200"/>
        <color theme="0"/>
        <color rgb="FFFF0000"/>
      </colorScale>
    </cfRule>
  </conditionalFormatting>
  <conditionalFormatting sqref="AB481">
    <cfRule type="colorScale" priority="738">
      <colorScale>
        <cfvo type="num" val="120"/>
        <cfvo type="num" val="200"/>
        <color theme="0"/>
        <color rgb="FFFF0000"/>
      </colorScale>
    </cfRule>
  </conditionalFormatting>
  <conditionalFormatting sqref="AB500">
    <cfRule type="colorScale" priority="737">
      <colorScale>
        <cfvo type="num" val="120"/>
        <cfvo type="num" val="200"/>
        <color theme="0"/>
        <color rgb="FFFF0000"/>
      </colorScale>
    </cfRule>
  </conditionalFormatting>
  <conditionalFormatting sqref="W85:AA85">
    <cfRule type="colorScale" priority="736">
      <colorScale>
        <cfvo type="num" val="0"/>
        <cfvo type="num" val="80"/>
        <color rgb="FFFF0000"/>
        <color theme="0"/>
      </colorScale>
    </cfRule>
  </conditionalFormatting>
  <conditionalFormatting sqref="W87:AA87">
    <cfRule type="colorScale" priority="735">
      <colorScale>
        <cfvo type="num" val="0"/>
        <cfvo type="num" val="80"/>
        <color rgb="FFFF0000"/>
        <color theme="0"/>
      </colorScale>
    </cfRule>
  </conditionalFormatting>
  <conditionalFormatting sqref="AE87:AS87 AC87">
    <cfRule type="colorScale" priority="734">
      <colorScale>
        <cfvo type="num" val="0"/>
        <cfvo type="num" val="80"/>
        <color rgb="FFFF0000"/>
        <color theme="0"/>
      </colorScale>
    </cfRule>
  </conditionalFormatting>
  <conditionalFormatting sqref="AB55">
    <cfRule type="colorScale" priority="733">
      <colorScale>
        <cfvo type="num" val="120"/>
        <cfvo type="num" val="200"/>
        <color theme="0"/>
        <color rgb="FFFF0000"/>
      </colorScale>
    </cfRule>
  </conditionalFormatting>
  <conditionalFormatting sqref="W55:AA55">
    <cfRule type="colorScale" priority="732">
      <colorScale>
        <cfvo type="num" val="0"/>
        <cfvo type="num" val="80"/>
        <color rgb="FFFF0000"/>
        <color theme="0"/>
      </colorScale>
    </cfRule>
  </conditionalFormatting>
  <conditionalFormatting sqref="AE55:AS55 AC55">
    <cfRule type="colorScale" priority="731">
      <colorScale>
        <cfvo type="num" val="0"/>
        <cfvo type="num" val="80"/>
        <color rgb="FFFF0000"/>
        <color theme="0"/>
      </colorScale>
    </cfRule>
  </conditionalFormatting>
  <conditionalFormatting sqref="AB36">
    <cfRule type="colorScale" priority="730">
      <colorScale>
        <cfvo type="num" val="120"/>
        <cfvo type="num" val="200"/>
        <color theme="0"/>
        <color rgb="FFFF0000"/>
      </colorScale>
    </cfRule>
  </conditionalFormatting>
  <conditionalFormatting sqref="W36:AA36">
    <cfRule type="colorScale" priority="729">
      <colorScale>
        <cfvo type="num" val="0"/>
        <cfvo type="num" val="80"/>
        <color rgb="FFFF0000"/>
        <color theme="0"/>
      </colorScale>
    </cfRule>
  </conditionalFormatting>
  <conditionalFormatting sqref="AE36:AS36 AC36">
    <cfRule type="colorScale" priority="728">
      <colorScale>
        <cfvo type="num" val="0"/>
        <cfvo type="num" val="80"/>
        <color rgb="FFFF0000"/>
        <color theme="0"/>
      </colorScale>
    </cfRule>
  </conditionalFormatting>
  <conditionalFormatting sqref="AB106">
    <cfRule type="colorScale" priority="727">
      <colorScale>
        <cfvo type="num" val="120"/>
        <cfvo type="num" val="200"/>
        <color theme="0"/>
        <color rgb="FFFF0000"/>
      </colorScale>
    </cfRule>
  </conditionalFormatting>
  <conditionalFormatting sqref="W106:AA106">
    <cfRule type="colorScale" priority="726">
      <colorScale>
        <cfvo type="num" val="0"/>
        <cfvo type="num" val="80"/>
        <color rgb="FFFF0000"/>
        <color theme="0"/>
      </colorScale>
    </cfRule>
  </conditionalFormatting>
  <conditionalFormatting sqref="AE106:AS106 AC106">
    <cfRule type="colorScale" priority="725">
      <colorScale>
        <cfvo type="num" val="0"/>
        <cfvo type="num" val="80"/>
        <color rgb="FFFF0000"/>
        <color theme="0"/>
      </colorScale>
    </cfRule>
  </conditionalFormatting>
  <conditionalFormatting sqref="AB135">
    <cfRule type="colorScale" priority="724">
      <colorScale>
        <cfvo type="num" val="120"/>
        <cfvo type="num" val="200"/>
        <color theme="0"/>
        <color rgb="FFFF0000"/>
      </colorScale>
    </cfRule>
  </conditionalFormatting>
  <conditionalFormatting sqref="W135:AA135">
    <cfRule type="colorScale" priority="723">
      <colorScale>
        <cfvo type="num" val="0"/>
        <cfvo type="num" val="80"/>
        <color rgb="FFFF0000"/>
        <color theme="0"/>
      </colorScale>
    </cfRule>
  </conditionalFormatting>
  <conditionalFormatting sqref="AE135:AS135 AC135">
    <cfRule type="colorScale" priority="722">
      <colorScale>
        <cfvo type="num" val="0"/>
        <cfvo type="num" val="80"/>
        <color rgb="FFFF0000"/>
        <color theme="0"/>
      </colorScale>
    </cfRule>
  </conditionalFormatting>
  <conditionalFormatting sqref="AB154">
    <cfRule type="colorScale" priority="721">
      <colorScale>
        <cfvo type="num" val="120"/>
        <cfvo type="num" val="200"/>
        <color theme="0"/>
        <color rgb="FFFF0000"/>
      </colorScale>
    </cfRule>
  </conditionalFormatting>
  <conditionalFormatting sqref="W154:AA154">
    <cfRule type="colorScale" priority="720">
      <colorScale>
        <cfvo type="num" val="0"/>
        <cfvo type="num" val="80"/>
        <color rgb="FFFF0000"/>
        <color theme="0"/>
      </colorScale>
    </cfRule>
  </conditionalFormatting>
  <conditionalFormatting sqref="AE154:AS154 AC154">
    <cfRule type="colorScale" priority="719">
      <colorScale>
        <cfvo type="num" val="0"/>
        <cfvo type="num" val="80"/>
        <color rgb="FFFF0000"/>
        <color theme="0"/>
      </colorScale>
    </cfRule>
  </conditionalFormatting>
  <conditionalFormatting sqref="AB186">
    <cfRule type="colorScale" priority="718">
      <colorScale>
        <cfvo type="num" val="120"/>
        <cfvo type="num" val="200"/>
        <color theme="0"/>
        <color rgb="FFFF0000"/>
      </colorScale>
    </cfRule>
  </conditionalFormatting>
  <conditionalFormatting sqref="W186:AA186">
    <cfRule type="colorScale" priority="717">
      <colorScale>
        <cfvo type="num" val="0"/>
        <cfvo type="num" val="80"/>
        <color rgb="FFFF0000"/>
        <color theme="0"/>
      </colorScale>
    </cfRule>
  </conditionalFormatting>
  <conditionalFormatting sqref="AE186:AS186 AC186">
    <cfRule type="colorScale" priority="716">
      <colorScale>
        <cfvo type="num" val="0"/>
        <cfvo type="num" val="80"/>
        <color rgb="FFFF0000"/>
        <color theme="0"/>
      </colorScale>
    </cfRule>
  </conditionalFormatting>
  <conditionalFormatting sqref="AB205">
    <cfRule type="colorScale" priority="715">
      <colorScale>
        <cfvo type="num" val="120"/>
        <cfvo type="num" val="200"/>
        <color theme="0"/>
        <color rgb="FFFF0000"/>
      </colorScale>
    </cfRule>
  </conditionalFormatting>
  <conditionalFormatting sqref="W205:AA205">
    <cfRule type="colorScale" priority="714">
      <colorScale>
        <cfvo type="num" val="0"/>
        <cfvo type="num" val="80"/>
        <color rgb="FFFF0000"/>
        <color theme="0"/>
      </colorScale>
    </cfRule>
  </conditionalFormatting>
  <conditionalFormatting sqref="AE205:AS205 AC205">
    <cfRule type="colorScale" priority="713">
      <colorScale>
        <cfvo type="num" val="0"/>
        <cfvo type="num" val="80"/>
        <color rgb="FFFF0000"/>
        <color theme="0"/>
      </colorScale>
    </cfRule>
  </conditionalFormatting>
  <conditionalFormatting sqref="AB234">
    <cfRule type="colorScale" priority="712">
      <colorScale>
        <cfvo type="num" val="120"/>
        <cfvo type="num" val="200"/>
        <color theme="0"/>
        <color rgb="FFFF0000"/>
      </colorScale>
    </cfRule>
  </conditionalFormatting>
  <conditionalFormatting sqref="W234:AA234">
    <cfRule type="colorScale" priority="711">
      <colorScale>
        <cfvo type="num" val="0"/>
        <cfvo type="num" val="80"/>
        <color rgb="FFFF0000"/>
        <color theme="0"/>
      </colorScale>
    </cfRule>
  </conditionalFormatting>
  <conditionalFormatting sqref="AE234:AS234 AC234">
    <cfRule type="colorScale" priority="710">
      <colorScale>
        <cfvo type="num" val="0"/>
        <cfvo type="num" val="80"/>
        <color rgb="FFFF0000"/>
        <color theme="0"/>
      </colorScale>
    </cfRule>
  </conditionalFormatting>
  <conditionalFormatting sqref="AB253">
    <cfRule type="colorScale" priority="709">
      <colorScale>
        <cfvo type="num" val="120"/>
        <cfvo type="num" val="200"/>
        <color theme="0"/>
        <color rgb="FFFF0000"/>
      </colorScale>
    </cfRule>
  </conditionalFormatting>
  <conditionalFormatting sqref="W253:AA253">
    <cfRule type="colorScale" priority="708">
      <colorScale>
        <cfvo type="num" val="0"/>
        <cfvo type="num" val="80"/>
        <color rgb="FFFF0000"/>
        <color theme="0"/>
      </colorScale>
    </cfRule>
  </conditionalFormatting>
  <conditionalFormatting sqref="AE253:AS253 AC253">
    <cfRule type="colorScale" priority="707">
      <colorScale>
        <cfvo type="num" val="0"/>
        <cfvo type="num" val="80"/>
        <color rgb="FFFF0000"/>
        <color theme="0"/>
      </colorScale>
    </cfRule>
  </conditionalFormatting>
  <conditionalFormatting sqref="AB285">
    <cfRule type="colorScale" priority="706">
      <colorScale>
        <cfvo type="num" val="120"/>
        <cfvo type="num" val="200"/>
        <color theme="0"/>
        <color rgb="FFFF0000"/>
      </colorScale>
    </cfRule>
  </conditionalFormatting>
  <conditionalFormatting sqref="W285:AA285">
    <cfRule type="colorScale" priority="705">
      <colorScale>
        <cfvo type="num" val="0"/>
        <cfvo type="num" val="80"/>
        <color rgb="FFFF0000"/>
        <color theme="0"/>
      </colorScale>
    </cfRule>
  </conditionalFormatting>
  <conditionalFormatting sqref="AE285:AS285 AC285">
    <cfRule type="colorScale" priority="704">
      <colorScale>
        <cfvo type="num" val="0"/>
        <cfvo type="num" val="80"/>
        <color rgb="FFFF0000"/>
        <color theme="0"/>
      </colorScale>
    </cfRule>
  </conditionalFormatting>
  <conditionalFormatting sqref="AB304">
    <cfRule type="colorScale" priority="703">
      <colorScale>
        <cfvo type="num" val="120"/>
        <cfvo type="num" val="200"/>
        <color theme="0"/>
        <color rgb="FFFF0000"/>
      </colorScale>
    </cfRule>
  </conditionalFormatting>
  <conditionalFormatting sqref="W304:AA304">
    <cfRule type="colorScale" priority="702">
      <colorScale>
        <cfvo type="num" val="0"/>
        <cfvo type="num" val="80"/>
        <color rgb="FFFF0000"/>
        <color theme="0"/>
      </colorScale>
    </cfRule>
  </conditionalFormatting>
  <conditionalFormatting sqref="AE304:AS304 AC304">
    <cfRule type="colorScale" priority="701">
      <colorScale>
        <cfvo type="num" val="0"/>
        <cfvo type="num" val="80"/>
        <color rgb="FFFF0000"/>
        <color theme="0"/>
      </colorScale>
    </cfRule>
  </conditionalFormatting>
  <conditionalFormatting sqref="AB333">
    <cfRule type="colorScale" priority="700">
      <colorScale>
        <cfvo type="num" val="120"/>
        <cfvo type="num" val="200"/>
        <color theme="0"/>
        <color rgb="FFFF0000"/>
      </colorScale>
    </cfRule>
  </conditionalFormatting>
  <conditionalFormatting sqref="W333:AA333">
    <cfRule type="colorScale" priority="699">
      <colorScale>
        <cfvo type="num" val="0"/>
        <cfvo type="num" val="80"/>
        <color rgb="FFFF0000"/>
        <color theme="0"/>
      </colorScale>
    </cfRule>
  </conditionalFormatting>
  <conditionalFormatting sqref="AE333:AS333 AC333">
    <cfRule type="colorScale" priority="698">
      <colorScale>
        <cfvo type="num" val="0"/>
        <cfvo type="num" val="80"/>
        <color rgb="FFFF0000"/>
        <color theme="0"/>
      </colorScale>
    </cfRule>
  </conditionalFormatting>
  <conditionalFormatting sqref="AB352">
    <cfRule type="colorScale" priority="697">
      <colorScale>
        <cfvo type="num" val="120"/>
        <cfvo type="num" val="200"/>
        <color theme="0"/>
        <color rgb="FFFF0000"/>
      </colorScale>
    </cfRule>
  </conditionalFormatting>
  <conditionalFormatting sqref="W352:AA352">
    <cfRule type="colorScale" priority="696">
      <colorScale>
        <cfvo type="num" val="0"/>
        <cfvo type="num" val="80"/>
        <color rgb="FFFF0000"/>
        <color theme="0"/>
      </colorScale>
    </cfRule>
  </conditionalFormatting>
  <conditionalFormatting sqref="AE352:AS352 AC352">
    <cfRule type="colorScale" priority="695">
      <colorScale>
        <cfvo type="num" val="0"/>
        <cfvo type="num" val="80"/>
        <color rgb="FFFF0000"/>
        <color theme="0"/>
      </colorScale>
    </cfRule>
  </conditionalFormatting>
  <conditionalFormatting sqref="AB384">
    <cfRule type="colorScale" priority="694">
      <colorScale>
        <cfvo type="num" val="120"/>
        <cfvo type="num" val="200"/>
        <color theme="0"/>
        <color rgb="FFFF0000"/>
      </colorScale>
    </cfRule>
  </conditionalFormatting>
  <conditionalFormatting sqref="W384:AA384">
    <cfRule type="colorScale" priority="693">
      <colorScale>
        <cfvo type="num" val="0"/>
        <cfvo type="num" val="80"/>
        <color rgb="FFFF0000"/>
        <color theme="0"/>
      </colorScale>
    </cfRule>
  </conditionalFormatting>
  <conditionalFormatting sqref="AE384:AS384 AC384">
    <cfRule type="colorScale" priority="692">
      <colorScale>
        <cfvo type="num" val="0"/>
        <cfvo type="num" val="80"/>
        <color rgb="FFFF0000"/>
        <color theme="0"/>
      </colorScale>
    </cfRule>
  </conditionalFormatting>
  <conditionalFormatting sqref="AB403">
    <cfRule type="colorScale" priority="691">
      <colorScale>
        <cfvo type="num" val="120"/>
        <cfvo type="num" val="200"/>
        <color theme="0"/>
        <color rgb="FFFF0000"/>
      </colorScale>
    </cfRule>
  </conditionalFormatting>
  <conditionalFormatting sqref="W403:AA403">
    <cfRule type="colorScale" priority="690">
      <colorScale>
        <cfvo type="num" val="0"/>
        <cfvo type="num" val="80"/>
        <color rgb="FFFF0000"/>
        <color theme="0"/>
      </colorScale>
    </cfRule>
  </conditionalFormatting>
  <conditionalFormatting sqref="AE403:AS403 AC403">
    <cfRule type="colorScale" priority="689">
      <colorScale>
        <cfvo type="num" val="0"/>
        <cfvo type="num" val="80"/>
        <color rgb="FFFF0000"/>
        <color theme="0"/>
      </colorScale>
    </cfRule>
  </conditionalFormatting>
  <conditionalFormatting sqref="AB432">
    <cfRule type="colorScale" priority="688">
      <colorScale>
        <cfvo type="num" val="120"/>
        <cfvo type="num" val="200"/>
        <color theme="0"/>
        <color rgb="FFFF0000"/>
      </colorScale>
    </cfRule>
  </conditionalFormatting>
  <conditionalFormatting sqref="W432:AA432">
    <cfRule type="colorScale" priority="687">
      <colorScale>
        <cfvo type="num" val="0"/>
        <cfvo type="num" val="80"/>
        <color rgb="FFFF0000"/>
        <color theme="0"/>
      </colorScale>
    </cfRule>
  </conditionalFormatting>
  <conditionalFormatting sqref="AE432:AS432 AC432">
    <cfRule type="colorScale" priority="686">
      <colorScale>
        <cfvo type="num" val="0"/>
        <cfvo type="num" val="80"/>
        <color rgb="FFFF0000"/>
        <color theme="0"/>
      </colorScale>
    </cfRule>
  </conditionalFormatting>
  <conditionalFormatting sqref="AB451">
    <cfRule type="colorScale" priority="685">
      <colorScale>
        <cfvo type="num" val="120"/>
        <cfvo type="num" val="200"/>
        <color theme="0"/>
        <color rgb="FFFF0000"/>
      </colorScale>
    </cfRule>
  </conditionalFormatting>
  <conditionalFormatting sqref="W451:AA451">
    <cfRule type="colorScale" priority="684">
      <colorScale>
        <cfvo type="num" val="0"/>
        <cfvo type="num" val="80"/>
        <color rgb="FFFF0000"/>
        <color theme="0"/>
      </colorScale>
    </cfRule>
  </conditionalFormatting>
  <conditionalFormatting sqref="AE451:AS451 AC451">
    <cfRule type="colorScale" priority="683">
      <colorScale>
        <cfvo type="num" val="0"/>
        <cfvo type="num" val="80"/>
        <color rgb="FFFF0000"/>
        <color theme="0"/>
      </colorScale>
    </cfRule>
  </conditionalFormatting>
  <conditionalFormatting sqref="AB483">
    <cfRule type="colorScale" priority="682">
      <colorScale>
        <cfvo type="num" val="120"/>
        <cfvo type="num" val="200"/>
        <color theme="0"/>
        <color rgb="FFFF0000"/>
      </colorScale>
    </cfRule>
  </conditionalFormatting>
  <conditionalFormatting sqref="W483:AA483">
    <cfRule type="colorScale" priority="681">
      <colorScale>
        <cfvo type="num" val="0"/>
        <cfvo type="num" val="80"/>
        <color rgb="FFFF0000"/>
        <color theme="0"/>
      </colorScale>
    </cfRule>
  </conditionalFormatting>
  <conditionalFormatting sqref="AE483:AS483 AC483">
    <cfRule type="colorScale" priority="680">
      <colorScale>
        <cfvo type="num" val="0"/>
        <cfvo type="num" val="80"/>
        <color rgb="FFFF0000"/>
        <color theme="0"/>
      </colorScale>
    </cfRule>
  </conditionalFormatting>
  <conditionalFormatting sqref="AB502">
    <cfRule type="colorScale" priority="679">
      <colorScale>
        <cfvo type="num" val="120"/>
        <cfvo type="num" val="200"/>
        <color theme="0"/>
        <color rgb="FFFF0000"/>
      </colorScale>
    </cfRule>
  </conditionalFormatting>
  <conditionalFormatting sqref="W502:AA502">
    <cfRule type="colorScale" priority="678">
      <colorScale>
        <cfvo type="num" val="0"/>
        <cfvo type="num" val="80"/>
        <color rgb="FFFF0000"/>
        <color theme="0"/>
      </colorScale>
    </cfRule>
  </conditionalFormatting>
  <conditionalFormatting sqref="AE502:AS502 AC502">
    <cfRule type="colorScale" priority="677">
      <colorScale>
        <cfvo type="num" val="0"/>
        <cfvo type="num" val="80"/>
        <color rgb="FFFF0000"/>
        <color theme="0"/>
      </colorScale>
    </cfRule>
  </conditionalFormatting>
  <conditionalFormatting sqref="R11:R30">
    <cfRule type="colorScale" priority="651">
      <colorScale>
        <cfvo type="num" val="-1.0000000000000001E-5"/>
        <cfvo type="num" val="0"/>
        <color rgb="FFFFFF00"/>
        <color theme="0"/>
      </colorScale>
    </cfRule>
  </conditionalFormatting>
  <conditionalFormatting sqref="R38:R49">
    <cfRule type="colorScale" priority="650">
      <colorScale>
        <cfvo type="num" val="-1.0000000000000001E-5"/>
        <cfvo type="num" val="0"/>
        <color rgb="FFFFFF00"/>
        <color theme="0"/>
      </colorScale>
    </cfRule>
  </conditionalFormatting>
  <conditionalFormatting sqref="R110:R129">
    <cfRule type="colorScale" priority="649">
      <colorScale>
        <cfvo type="num" val="-1.0000000000000001E-5"/>
        <cfvo type="num" val="0"/>
        <color rgb="FFFFFF00"/>
        <color theme="0"/>
      </colorScale>
    </cfRule>
  </conditionalFormatting>
  <conditionalFormatting sqref="R209:R228">
    <cfRule type="colorScale" priority="646">
      <colorScale>
        <cfvo type="num" val="-1.0000000000000001E-5"/>
        <cfvo type="num" val="0"/>
        <color rgb="FFFFFF00"/>
        <color theme="0"/>
      </colorScale>
    </cfRule>
  </conditionalFormatting>
  <conditionalFormatting sqref="R308:R327">
    <cfRule type="colorScale" priority="644">
      <colorScale>
        <cfvo type="num" val="-1.0000000000000001E-5"/>
        <cfvo type="num" val="0"/>
        <color rgb="FFFFFF00"/>
        <color theme="0"/>
      </colorScale>
    </cfRule>
  </conditionalFormatting>
  <conditionalFormatting sqref="R407:R426">
    <cfRule type="colorScale" priority="642">
      <colorScale>
        <cfvo type="num" val="-1.0000000000000001E-5"/>
        <cfvo type="num" val="0"/>
        <color rgb="FFFFFF00"/>
        <color theme="0"/>
      </colorScale>
    </cfRule>
  </conditionalFormatting>
  <conditionalFormatting sqref="R89:R100">
    <cfRule type="colorScale" priority="630">
      <colorScale>
        <cfvo type="num" val="-1.0000000000000001E-5"/>
        <cfvo type="num" val="0"/>
        <color rgb="FFFFFF00"/>
        <color theme="0"/>
      </colorScale>
    </cfRule>
  </conditionalFormatting>
  <conditionalFormatting sqref="R137:R148 V137:V148">
    <cfRule type="colorScale" priority="629">
      <colorScale>
        <cfvo type="num" val="-1.0000000000000001E-5"/>
        <cfvo type="num" val="0"/>
        <color rgb="FFFFFF00"/>
        <color theme="0"/>
      </colorScale>
    </cfRule>
  </conditionalFormatting>
  <conditionalFormatting sqref="R188:R199">
    <cfRule type="colorScale" priority="628">
      <colorScale>
        <cfvo type="num" val="-1.0000000000000001E-5"/>
        <cfvo type="num" val="0"/>
        <color rgb="FFFFFF00"/>
        <color theme="0"/>
      </colorScale>
    </cfRule>
  </conditionalFormatting>
  <conditionalFormatting sqref="R236:R247">
    <cfRule type="colorScale" priority="627">
      <colorScale>
        <cfvo type="num" val="-1.0000000000000001E-5"/>
        <cfvo type="num" val="0"/>
        <color rgb="FFFFFF00"/>
        <color theme="0"/>
      </colorScale>
    </cfRule>
  </conditionalFormatting>
  <conditionalFormatting sqref="R287:R298">
    <cfRule type="colorScale" priority="626">
      <colorScale>
        <cfvo type="num" val="-1.0000000000000001E-5"/>
        <cfvo type="num" val="0"/>
        <color rgb="FFFFFF00"/>
        <color theme="0"/>
      </colorScale>
    </cfRule>
  </conditionalFormatting>
  <conditionalFormatting sqref="R335:R346">
    <cfRule type="colorScale" priority="625">
      <colorScale>
        <cfvo type="num" val="-1.0000000000000001E-5"/>
        <cfvo type="num" val="0"/>
        <color rgb="FFFFFF00"/>
        <color theme="0"/>
      </colorScale>
    </cfRule>
  </conditionalFormatting>
  <conditionalFormatting sqref="R386:R397">
    <cfRule type="colorScale" priority="624">
      <colorScale>
        <cfvo type="num" val="-1.0000000000000001E-5"/>
        <cfvo type="num" val="0"/>
        <color rgb="FFFFFF00"/>
        <color theme="0"/>
      </colorScale>
    </cfRule>
  </conditionalFormatting>
  <conditionalFormatting sqref="R434:R445">
    <cfRule type="colorScale" priority="623">
      <colorScale>
        <cfvo type="num" val="-1.0000000000000001E-5"/>
        <cfvo type="num" val="0"/>
        <color rgb="FFFFFF00"/>
        <color theme="0"/>
      </colorScale>
    </cfRule>
  </conditionalFormatting>
  <conditionalFormatting sqref="R485:R496">
    <cfRule type="colorScale" priority="622">
      <colorScale>
        <cfvo type="num" val="-1.0000000000000001E-5"/>
        <cfvo type="num" val="0"/>
        <color rgb="FFFFFF00"/>
        <color theme="0"/>
      </colorScale>
    </cfRule>
  </conditionalFormatting>
  <conditionalFormatting sqref="R57:R81 V57:V81">
    <cfRule type="colorScale" priority="621">
      <colorScale>
        <cfvo type="num" val="-1.0000000000000001E-5"/>
        <cfvo type="num" val="0"/>
        <color rgb="FFFFFF00"/>
        <color theme="0"/>
      </colorScale>
    </cfRule>
  </conditionalFormatting>
  <conditionalFormatting sqref="R156:R180 V156:V180">
    <cfRule type="colorScale" priority="620">
      <colorScale>
        <cfvo type="num" val="-1.0000000000000001E-5"/>
        <cfvo type="num" val="0"/>
        <color rgb="FFFFFF00"/>
        <color theme="0"/>
      </colorScale>
    </cfRule>
  </conditionalFormatting>
  <conditionalFormatting sqref="R255:R279 V255:V279">
    <cfRule type="colorScale" priority="619">
      <colorScale>
        <cfvo type="num" val="-1.0000000000000001E-5"/>
        <cfvo type="num" val="0"/>
        <color rgb="FFFFFF00"/>
        <color theme="0"/>
      </colorScale>
    </cfRule>
  </conditionalFormatting>
  <conditionalFormatting sqref="R354:R378 V354:V378">
    <cfRule type="colorScale" priority="618">
      <colorScale>
        <cfvo type="num" val="-1.0000000000000001E-5"/>
        <cfvo type="num" val="0"/>
        <color rgb="FFFFFF00"/>
        <color theme="0"/>
      </colorScale>
    </cfRule>
  </conditionalFormatting>
  <conditionalFormatting sqref="R453:R477 V453:V477">
    <cfRule type="colorScale" priority="617">
      <colorScale>
        <cfvo type="num" val="-1.0000000000000001E-5"/>
        <cfvo type="num" val="0"/>
        <color rgb="FFFFFF00"/>
        <color theme="0"/>
      </colorScale>
    </cfRule>
  </conditionalFormatting>
  <conditionalFormatting sqref="AD104">
    <cfRule type="colorScale" priority="616">
      <colorScale>
        <cfvo type="num" val="0"/>
        <cfvo type="num" val="80"/>
        <color rgb="FFFF0000"/>
        <color theme="0"/>
      </colorScale>
    </cfRule>
  </conditionalFormatting>
  <conditionalFormatting sqref="AD53">
    <cfRule type="colorScale" priority="615">
      <colorScale>
        <cfvo type="num" val="0"/>
        <cfvo type="num" val="80"/>
        <color rgb="FFFF0000"/>
        <color theme="0"/>
      </colorScale>
    </cfRule>
  </conditionalFormatting>
  <conditionalFormatting sqref="AD34">
    <cfRule type="colorScale" priority="614">
      <colorScale>
        <cfvo type="num" val="0"/>
        <cfvo type="num" val="80"/>
        <color rgb="FFFF0000"/>
        <color theme="0"/>
      </colorScale>
    </cfRule>
  </conditionalFormatting>
  <conditionalFormatting sqref="AD133">
    <cfRule type="colorScale" priority="613">
      <colorScale>
        <cfvo type="num" val="0"/>
        <cfvo type="num" val="80"/>
        <color rgb="FFFF0000"/>
        <color theme="0"/>
      </colorScale>
    </cfRule>
  </conditionalFormatting>
  <conditionalFormatting sqref="AD232">
    <cfRule type="colorScale" priority="612">
      <colorScale>
        <cfvo type="num" val="0"/>
        <cfvo type="num" val="80"/>
        <color rgb="FFFF0000"/>
        <color theme="0"/>
      </colorScale>
    </cfRule>
  </conditionalFormatting>
  <conditionalFormatting sqref="AD331">
    <cfRule type="colorScale" priority="611">
      <colorScale>
        <cfvo type="num" val="0"/>
        <cfvo type="num" val="80"/>
        <color rgb="FFFF0000"/>
        <color theme="0"/>
      </colorScale>
    </cfRule>
  </conditionalFormatting>
  <conditionalFormatting sqref="AD430">
    <cfRule type="colorScale" priority="610">
      <colorScale>
        <cfvo type="num" val="0"/>
        <cfvo type="num" val="80"/>
        <color rgb="FFFF0000"/>
        <color theme="0"/>
      </colorScale>
    </cfRule>
  </conditionalFormatting>
  <conditionalFormatting sqref="AD152">
    <cfRule type="colorScale" priority="609">
      <colorScale>
        <cfvo type="num" val="0"/>
        <cfvo type="num" val="80"/>
        <color rgb="FFFF0000"/>
        <color theme="0"/>
      </colorScale>
    </cfRule>
  </conditionalFormatting>
  <conditionalFormatting sqref="AD251">
    <cfRule type="colorScale" priority="608">
      <colorScale>
        <cfvo type="num" val="0"/>
        <cfvo type="num" val="80"/>
        <color rgb="FFFF0000"/>
        <color theme="0"/>
      </colorScale>
    </cfRule>
  </conditionalFormatting>
  <conditionalFormatting sqref="AD350">
    <cfRule type="colorScale" priority="607">
      <colorScale>
        <cfvo type="num" val="0"/>
        <cfvo type="num" val="80"/>
        <color rgb="FFFF0000"/>
        <color theme="0"/>
      </colorScale>
    </cfRule>
  </conditionalFormatting>
  <conditionalFormatting sqref="AD449">
    <cfRule type="colorScale" priority="606">
      <colorScale>
        <cfvo type="num" val="0"/>
        <cfvo type="num" val="80"/>
        <color rgb="FFFF0000"/>
        <color theme="0"/>
      </colorScale>
    </cfRule>
  </conditionalFormatting>
  <conditionalFormatting sqref="AD184">
    <cfRule type="colorScale" priority="605">
      <colorScale>
        <cfvo type="num" val="0"/>
        <cfvo type="num" val="80"/>
        <color rgb="FFFF0000"/>
        <color theme="0"/>
      </colorScale>
    </cfRule>
  </conditionalFormatting>
  <conditionalFormatting sqref="AD283">
    <cfRule type="colorScale" priority="604">
      <colorScale>
        <cfvo type="num" val="0"/>
        <cfvo type="num" val="80"/>
        <color rgb="FFFF0000"/>
        <color theme="0"/>
      </colorScale>
    </cfRule>
  </conditionalFormatting>
  <conditionalFormatting sqref="AD382">
    <cfRule type="colorScale" priority="603">
      <colorScale>
        <cfvo type="num" val="0"/>
        <cfvo type="num" val="80"/>
        <color rgb="FFFF0000"/>
        <color theme="0"/>
      </colorScale>
    </cfRule>
  </conditionalFormatting>
  <conditionalFormatting sqref="AD481">
    <cfRule type="colorScale" priority="602">
      <colorScale>
        <cfvo type="num" val="0"/>
        <cfvo type="num" val="80"/>
        <color rgb="FFFF0000"/>
        <color theme="0"/>
      </colorScale>
    </cfRule>
  </conditionalFormatting>
  <conditionalFormatting sqref="AD203">
    <cfRule type="colorScale" priority="601">
      <colorScale>
        <cfvo type="num" val="0"/>
        <cfvo type="num" val="80"/>
        <color rgb="FFFF0000"/>
        <color theme="0"/>
      </colorScale>
    </cfRule>
  </conditionalFormatting>
  <conditionalFormatting sqref="AD302">
    <cfRule type="colorScale" priority="600">
      <colorScale>
        <cfvo type="num" val="0"/>
        <cfvo type="num" val="80"/>
        <color rgb="FFFF0000"/>
        <color theme="0"/>
      </colorScale>
    </cfRule>
  </conditionalFormatting>
  <conditionalFormatting sqref="AD401">
    <cfRule type="colorScale" priority="599">
      <colorScale>
        <cfvo type="num" val="0"/>
        <cfvo type="num" val="80"/>
        <color rgb="FFFF0000"/>
        <color theme="0"/>
      </colorScale>
    </cfRule>
  </conditionalFormatting>
  <conditionalFormatting sqref="AD500">
    <cfRule type="colorScale" priority="598">
      <colorScale>
        <cfvo type="num" val="0"/>
        <cfvo type="num" val="80"/>
        <color rgb="FFFF0000"/>
        <color theme="0"/>
      </colorScale>
    </cfRule>
  </conditionalFormatting>
  <conditionalFormatting sqref="AD85">
    <cfRule type="colorScale" priority="597">
      <colorScale>
        <cfvo type="num" val="0"/>
        <cfvo type="num" val="80"/>
        <color rgb="FFFF0000"/>
        <color theme="0"/>
      </colorScale>
    </cfRule>
  </conditionalFormatting>
  <conditionalFormatting sqref="AD87">
    <cfRule type="colorScale" priority="596">
      <colorScale>
        <cfvo type="num" val="0"/>
        <cfvo type="num" val="80"/>
        <color rgb="FFFF0000"/>
        <color theme="0"/>
      </colorScale>
    </cfRule>
  </conditionalFormatting>
  <conditionalFormatting sqref="AD55">
    <cfRule type="colorScale" priority="595">
      <colorScale>
        <cfvo type="num" val="0"/>
        <cfvo type="num" val="80"/>
        <color rgb="FFFF0000"/>
        <color theme="0"/>
      </colorScale>
    </cfRule>
  </conditionalFormatting>
  <conditionalFormatting sqref="AD36">
    <cfRule type="colorScale" priority="594">
      <colorScale>
        <cfvo type="num" val="0"/>
        <cfvo type="num" val="80"/>
        <color rgb="FFFF0000"/>
        <color theme="0"/>
      </colorScale>
    </cfRule>
  </conditionalFormatting>
  <conditionalFormatting sqref="AD106">
    <cfRule type="colorScale" priority="593">
      <colorScale>
        <cfvo type="num" val="0"/>
        <cfvo type="num" val="80"/>
        <color rgb="FFFF0000"/>
        <color theme="0"/>
      </colorScale>
    </cfRule>
  </conditionalFormatting>
  <conditionalFormatting sqref="AD135">
    <cfRule type="colorScale" priority="592">
      <colorScale>
        <cfvo type="num" val="0"/>
        <cfvo type="num" val="80"/>
        <color rgb="FFFF0000"/>
        <color theme="0"/>
      </colorScale>
    </cfRule>
  </conditionalFormatting>
  <conditionalFormatting sqref="AD154">
    <cfRule type="colorScale" priority="591">
      <colorScale>
        <cfvo type="num" val="0"/>
        <cfvo type="num" val="80"/>
        <color rgb="FFFF0000"/>
        <color theme="0"/>
      </colorScale>
    </cfRule>
  </conditionalFormatting>
  <conditionalFormatting sqref="AD186">
    <cfRule type="colorScale" priority="590">
      <colorScale>
        <cfvo type="num" val="0"/>
        <cfvo type="num" val="80"/>
        <color rgb="FFFF0000"/>
        <color theme="0"/>
      </colorScale>
    </cfRule>
  </conditionalFormatting>
  <conditionalFormatting sqref="AD205">
    <cfRule type="colorScale" priority="589">
      <colorScale>
        <cfvo type="num" val="0"/>
        <cfvo type="num" val="80"/>
        <color rgb="FFFF0000"/>
        <color theme="0"/>
      </colorScale>
    </cfRule>
  </conditionalFormatting>
  <conditionalFormatting sqref="AD234">
    <cfRule type="colorScale" priority="588">
      <colorScale>
        <cfvo type="num" val="0"/>
        <cfvo type="num" val="80"/>
        <color rgb="FFFF0000"/>
        <color theme="0"/>
      </colorScale>
    </cfRule>
  </conditionalFormatting>
  <conditionalFormatting sqref="AD253">
    <cfRule type="colorScale" priority="587">
      <colorScale>
        <cfvo type="num" val="0"/>
        <cfvo type="num" val="80"/>
        <color rgb="FFFF0000"/>
        <color theme="0"/>
      </colorScale>
    </cfRule>
  </conditionalFormatting>
  <conditionalFormatting sqref="AD285">
    <cfRule type="colorScale" priority="586">
      <colorScale>
        <cfvo type="num" val="0"/>
        <cfvo type="num" val="80"/>
        <color rgb="FFFF0000"/>
        <color theme="0"/>
      </colorScale>
    </cfRule>
  </conditionalFormatting>
  <conditionalFormatting sqref="AD304">
    <cfRule type="colorScale" priority="585">
      <colorScale>
        <cfvo type="num" val="0"/>
        <cfvo type="num" val="80"/>
        <color rgb="FFFF0000"/>
        <color theme="0"/>
      </colorScale>
    </cfRule>
  </conditionalFormatting>
  <conditionalFormatting sqref="AD333">
    <cfRule type="colorScale" priority="584">
      <colorScale>
        <cfvo type="num" val="0"/>
        <cfvo type="num" val="80"/>
        <color rgb="FFFF0000"/>
        <color theme="0"/>
      </colorScale>
    </cfRule>
  </conditionalFormatting>
  <conditionalFormatting sqref="AD352">
    <cfRule type="colorScale" priority="583">
      <colorScale>
        <cfvo type="num" val="0"/>
        <cfvo type="num" val="80"/>
        <color rgb="FFFF0000"/>
        <color theme="0"/>
      </colorScale>
    </cfRule>
  </conditionalFormatting>
  <conditionalFormatting sqref="AD384">
    <cfRule type="colorScale" priority="582">
      <colorScale>
        <cfvo type="num" val="0"/>
        <cfvo type="num" val="80"/>
        <color rgb="FFFF0000"/>
        <color theme="0"/>
      </colorScale>
    </cfRule>
  </conditionalFormatting>
  <conditionalFormatting sqref="AD403">
    <cfRule type="colorScale" priority="581">
      <colorScale>
        <cfvo type="num" val="0"/>
        <cfvo type="num" val="80"/>
        <color rgb="FFFF0000"/>
        <color theme="0"/>
      </colorScale>
    </cfRule>
  </conditionalFormatting>
  <conditionalFormatting sqref="AD432">
    <cfRule type="colorScale" priority="580">
      <colorScale>
        <cfvo type="num" val="0"/>
        <cfvo type="num" val="80"/>
        <color rgb="FFFF0000"/>
        <color theme="0"/>
      </colorScale>
    </cfRule>
  </conditionalFormatting>
  <conditionalFormatting sqref="AD451">
    <cfRule type="colorScale" priority="579">
      <colorScale>
        <cfvo type="num" val="0"/>
        <cfvo type="num" val="80"/>
        <color rgb="FFFF0000"/>
        <color theme="0"/>
      </colorScale>
    </cfRule>
  </conditionalFormatting>
  <conditionalFormatting sqref="AD483">
    <cfRule type="colorScale" priority="578">
      <colorScale>
        <cfvo type="num" val="0"/>
        <cfvo type="num" val="80"/>
        <color rgb="FFFF0000"/>
        <color theme="0"/>
      </colorScale>
    </cfRule>
  </conditionalFormatting>
  <conditionalFormatting sqref="AD502">
    <cfRule type="colorScale" priority="577">
      <colorScale>
        <cfvo type="num" val="0"/>
        <cfvo type="num" val="80"/>
        <color rgb="FFFF0000"/>
        <color theme="0"/>
      </colorScale>
    </cfRule>
  </conditionalFormatting>
  <conditionalFormatting sqref="W534:AA534">
    <cfRule type="colorScale" priority="470">
      <colorScale>
        <cfvo type="num" val="0"/>
        <cfvo type="num" val="80"/>
        <color rgb="FFFF0000"/>
        <color theme="0"/>
      </colorScale>
    </cfRule>
  </conditionalFormatting>
  <conditionalFormatting sqref="AD534:AS534">
    <cfRule type="colorScale" priority="469">
      <colorScale>
        <cfvo type="num" val="0"/>
        <cfvo type="num" val="80"/>
        <color rgb="FFFF0000"/>
        <color theme="0"/>
      </colorScale>
    </cfRule>
  </conditionalFormatting>
  <conditionalFormatting sqref="W514:AA514 AD514:AS514">
    <cfRule type="colorScale" priority="468">
      <colorScale>
        <cfvo type="num" val="0"/>
        <cfvo type="num" val="80"/>
        <color rgb="FFFF0000"/>
        <color theme="0"/>
      </colorScale>
    </cfRule>
  </conditionalFormatting>
  <conditionalFormatting sqref="W524:AA524 AD524:AS524">
    <cfRule type="colorScale" priority="467">
      <colorScale>
        <cfvo type="num" val="0"/>
        <cfvo type="num" val="80"/>
        <color rgb="FFFF0000"/>
        <color theme="0"/>
      </colorScale>
    </cfRule>
  </conditionalFormatting>
  <conditionalFormatting sqref="W544:AA544 AD544:AS544">
    <cfRule type="colorScale" priority="466">
      <colorScale>
        <cfvo type="num" val="0"/>
        <cfvo type="num" val="80"/>
        <color rgb="FFFF0000"/>
        <color theme="0"/>
      </colorScale>
    </cfRule>
  </conditionalFormatting>
  <conditionalFormatting sqref="AD534">
    <cfRule type="colorScale" priority="465">
      <colorScale>
        <cfvo type="num" val="0"/>
        <cfvo type="num" val="80"/>
        <color rgb="FFFF0000"/>
        <color theme="0"/>
      </colorScale>
    </cfRule>
  </conditionalFormatting>
  <conditionalFormatting sqref="AD514">
    <cfRule type="colorScale" priority="464">
      <colorScale>
        <cfvo type="num" val="0"/>
        <cfvo type="num" val="80"/>
        <color rgb="FFFF0000"/>
        <color theme="0"/>
      </colorScale>
    </cfRule>
  </conditionalFormatting>
  <conditionalFormatting sqref="AB534:AC534">
    <cfRule type="colorScale" priority="463">
      <colorScale>
        <cfvo type="num" val="120"/>
        <cfvo type="num" val="200"/>
        <color theme="0"/>
        <color rgb="FFFF0000"/>
      </colorScale>
    </cfRule>
  </conditionalFormatting>
  <conditionalFormatting sqref="AB524:AC524">
    <cfRule type="colorScale" priority="462">
      <colorScale>
        <cfvo type="num" val="120"/>
        <cfvo type="num" val="200"/>
        <color theme="0"/>
        <color rgb="FFFF0000"/>
      </colorScale>
    </cfRule>
  </conditionalFormatting>
  <conditionalFormatting sqref="AB514:AC514">
    <cfRule type="colorScale" priority="461">
      <colorScale>
        <cfvo type="num" val="120"/>
        <cfvo type="num" val="200"/>
        <color theme="0"/>
        <color rgb="FFFF0000"/>
      </colorScale>
    </cfRule>
  </conditionalFormatting>
  <conditionalFormatting sqref="AB544:AC544">
    <cfRule type="colorScale" priority="460">
      <colorScale>
        <cfvo type="num" val="120"/>
        <cfvo type="num" val="200"/>
        <color theme="0"/>
        <color rgb="FFFF0000"/>
      </colorScale>
    </cfRule>
  </conditionalFormatting>
  <conditionalFormatting sqref="W555:AA555">
    <cfRule type="colorScale" priority="459">
      <colorScale>
        <cfvo type="num" val="0"/>
        <cfvo type="num" val="80"/>
        <color rgb="FFFF0000"/>
        <color theme="0"/>
      </colorScale>
    </cfRule>
  </conditionalFormatting>
  <conditionalFormatting sqref="AB555:AC555">
    <cfRule type="colorScale" priority="458">
      <colorScale>
        <cfvo type="num" val="120"/>
        <cfvo type="num" val="200"/>
        <color theme="0"/>
        <color rgb="FFFF0000"/>
      </colorScale>
    </cfRule>
  </conditionalFormatting>
  <conditionalFormatting sqref="AD555">
    <cfRule type="colorScale" priority="457">
      <colorScale>
        <cfvo type="num" val="0"/>
        <cfvo type="num" val="80"/>
        <color rgb="FFFF0000"/>
        <color theme="0"/>
      </colorScale>
    </cfRule>
  </conditionalFormatting>
  <conditionalFormatting sqref="AF555:AS555">
    <cfRule type="colorScale" priority="455">
      <colorScale>
        <cfvo type="num" val="0"/>
        <cfvo type="num" val="80"/>
        <color rgb="FFFF0000"/>
        <color theme="0"/>
      </colorScale>
    </cfRule>
  </conditionalFormatting>
  <conditionalFormatting sqref="AE555">
    <cfRule type="colorScale" priority="456">
      <colorScale>
        <cfvo type="num" val="0"/>
        <cfvo type="num" val="80"/>
        <color rgb="FFFF0000"/>
        <color theme="0"/>
      </colorScale>
    </cfRule>
  </conditionalFormatting>
  <conditionalFormatting sqref="AA11:AS30">
    <cfRule type="colorScale" priority="414">
      <colorScale>
        <cfvo type="num" val="-1E-4"/>
        <cfvo type="num" val="0"/>
        <color rgb="FFFFFF00"/>
        <color theme="0"/>
      </colorScale>
    </cfRule>
  </conditionalFormatting>
  <conditionalFormatting sqref="AA38:AS49">
    <cfRule type="colorScale" priority="413">
      <colorScale>
        <cfvo type="num" val="-1E-4"/>
        <cfvo type="num" val="0"/>
        <color rgb="FFFFFF00"/>
        <color theme="0"/>
      </colorScale>
    </cfRule>
  </conditionalFormatting>
  <conditionalFormatting sqref="AA57:AS81">
    <cfRule type="colorScale" priority="412">
      <colorScale>
        <cfvo type="num" val="-1E-4"/>
        <cfvo type="num" val="0"/>
        <color rgb="FFFFFF00"/>
        <color theme="0"/>
      </colorScale>
    </cfRule>
  </conditionalFormatting>
  <conditionalFormatting sqref="AA89:AS100">
    <cfRule type="colorScale" priority="411">
      <colorScale>
        <cfvo type="num" val="-1E-4"/>
        <cfvo type="num" val="0"/>
        <color rgb="FFFFFF00"/>
        <color theme="0"/>
      </colorScale>
    </cfRule>
  </conditionalFormatting>
  <conditionalFormatting sqref="AA110:AS129">
    <cfRule type="colorScale" priority="410">
      <colorScale>
        <cfvo type="num" val="-1E-4"/>
        <cfvo type="num" val="0"/>
        <color rgb="FFFFFF00"/>
        <color theme="0"/>
      </colorScale>
    </cfRule>
  </conditionalFormatting>
  <conditionalFormatting sqref="AA137:AS148">
    <cfRule type="colorScale" priority="409">
      <colorScale>
        <cfvo type="num" val="-1E-4"/>
        <cfvo type="num" val="0"/>
        <color rgb="FFFFFF00"/>
        <color theme="0"/>
      </colorScale>
    </cfRule>
  </conditionalFormatting>
  <conditionalFormatting sqref="AA156:AS180">
    <cfRule type="colorScale" priority="408">
      <colorScale>
        <cfvo type="num" val="-1E-4"/>
        <cfvo type="num" val="0"/>
        <color rgb="FFFFFF00"/>
        <color theme="0"/>
      </colorScale>
    </cfRule>
  </conditionalFormatting>
  <conditionalFormatting sqref="AA188:AS199">
    <cfRule type="colorScale" priority="407">
      <colorScale>
        <cfvo type="num" val="-1E-4"/>
        <cfvo type="num" val="0"/>
        <color rgb="FFFFFF00"/>
        <color theme="0"/>
      </colorScale>
    </cfRule>
  </conditionalFormatting>
  <conditionalFormatting sqref="AA209:AS228">
    <cfRule type="colorScale" priority="406">
      <colorScale>
        <cfvo type="num" val="-1E-4"/>
        <cfvo type="num" val="0"/>
        <color rgb="FFFFFF00"/>
        <color theme="0"/>
      </colorScale>
    </cfRule>
  </conditionalFormatting>
  <conditionalFormatting sqref="AA236:AS247">
    <cfRule type="colorScale" priority="405">
      <colorScale>
        <cfvo type="num" val="-1E-4"/>
        <cfvo type="num" val="0"/>
        <color rgb="FFFFFF00"/>
        <color theme="0"/>
      </colorScale>
    </cfRule>
  </conditionalFormatting>
  <conditionalFormatting sqref="AA255:AS279">
    <cfRule type="colorScale" priority="404">
      <colorScale>
        <cfvo type="num" val="-1E-4"/>
        <cfvo type="num" val="0"/>
        <color rgb="FFFFFF00"/>
        <color theme="0"/>
      </colorScale>
    </cfRule>
  </conditionalFormatting>
  <conditionalFormatting sqref="AA287:AS298">
    <cfRule type="colorScale" priority="403">
      <colorScale>
        <cfvo type="num" val="-1E-4"/>
        <cfvo type="num" val="0"/>
        <color rgb="FFFFFF00"/>
        <color theme="0"/>
      </colorScale>
    </cfRule>
  </conditionalFormatting>
  <conditionalFormatting sqref="AA308:AS327">
    <cfRule type="colorScale" priority="402">
      <colorScale>
        <cfvo type="num" val="-1E-4"/>
        <cfvo type="num" val="0"/>
        <color rgb="FFFFFF00"/>
        <color theme="0"/>
      </colorScale>
    </cfRule>
  </conditionalFormatting>
  <conditionalFormatting sqref="AA335:AS346">
    <cfRule type="colorScale" priority="401">
      <colorScale>
        <cfvo type="num" val="-1E-4"/>
        <cfvo type="num" val="0"/>
        <color rgb="FFFFFF00"/>
        <color theme="0"/>
      </colorScale>
    </cfRule>
  </conditionalFormatting>
  <conditionalFormatting sqref="AA354:AS378">
    <cfRule type="colorScale" priority="400">
      <colorScale>
        <cfvo type="num" val="-1E-4"/>
        <cfvo type="num" val="0"/>
        <color rgb="FFFFFF00"/>
        <color theme="0"/>
      </colorScale>
    </cfRule>
  </conditionalFormatting>
  <conditionalFormatting sqref="AA386:AS397">
    <cfRule type="colorScale" priority="399">
      <colorScale>
        <cfvo type="num" val="-1E-4"/>
        <cfvo type="num" val="0"/>
        <color rgb="FFFFFF00"/>
        <color theme="0"/>
      </colorScale>
    </cfRule>
  </conditionalFormatting>
  <conditionalFormatting sqref="AA407:AS426">
    <cfRule type="colorScale" priority="398">
      <colorScale>
        <cfvo type="num" val="-1E-4"/>
        <cfvo type="num" val="0"/>
        <color rgb="FFFFFF00"/>
        <color theme="0"/>
      </colorScale>
    </cfRule>
  </conditionalFormatting>
  <conditionalFormatting sqref="AA434:AS445">
    <cfRule type="colorScale" priority="397">
      <colorScale>
        <cfvo type="num" val="-1E-4"/>
        <cfvo type="num" val="0"/>
        <color rgb="FFFFFF00"/>
        <color theme="0"/>
      </colorScale>
    </cfRule>
  </conditionalFormatting>
  <conditionalFormatting sqref="AA453:AS477">
    <cfRule type="colorScale" priority="396">
      <colorScale>
        <cfvo type="num" val="-1E-4"/>
        <cfvo type="num" val="0"/>
        <color rgb="FFFFFF00"/>
        <color theme="0"/>
      </colorScale>
    </cfRule>
  </conditionalFormatting>
  <conditionalFormatting sqref="AA485:AS496">
    <cfRule type="colorScale" priority="395">
      <colorScale>
        <cfvo type="num" val="-1E-4"/>
        <cfvo type="num" val="0"/>
        <color rgb="FFFFFF00"/>
        <color theme="0"/>
      </colorScale>
    </cfRule>
  </conditionalFormatting>
  <conditionalFormatting sqref="J1">
    <cfRule type="colorScale" priority="312">
      <colorScale>
        <cfvo type="num" val="0"/>
        <cfvo type="num" val="1"/>
        <color theme="0"/>
        <color rgb="FFF8787D"/>
      </colorScale>
    </cfRule>
  </conditionalFormatting>
  <conditionalFormatting sqref="I1">
    <cfRule type="colorScale" priority="311">
      <colorScale>
        <cfvo type="num" val="0"/>
        <cfvo type="num" val="1"/>
        <color theme="0"/>
        <color rgb="FFF8787D"/>
      </colorScale>
    </cfRule>
  </conditionalFormatting>
  <conditionalFormatting sqref="L497:L505">
    <cfRule type="colorScale" priority="310">
      <colorScale>
        <cfvo type="num" val="0"/>
        <cfvo type="num" val="1E-4"/>
        <color rgb="FFFF0000"/>
        <color theme="0"/>
      </colorScale>
    </cfRule>
  </conditionalFormatting>
  <conditionalFormatting sqref="S110:S129">
    <cfRule type="colorScale" priority="262">
      <colorScale>
        <cfvo type="num" val="-1.0000000000000001E-5"/>
        <cfvo type="num" val="0"/>
        <color rgb="FFFFFF00"/>
        <color theme="0"/>
      </colorScale>
    </cfRule>
  </conditionalFormatting>
  <conditionalFormatting sqref="S209:S228">
    <cfRule type="colorScale" priority="261">
      <colorScale>
        <cfvo type="num" val="-1.0000000000000001E-5"/>
        <cfvo type="num" val="0"/>
        <color rgb="FFFFFF00"/>
        <color theme="0"/>
      </colorScale>
    </cfRule>
  </conditionalFormatting>
  <conditionalFormatting sqref="S308:S327">
    <cfRule type="colorScale" priority="260">
      <colorScale>
        <cfvo type="num" val="-1.0000000000000001E-5"/>
        <cfvo type="num" val="0"/>
        <color rgb="FFFFFF00"/>
        <color theme="0"/>
      </colorScale>
    </cfRule>
  </conditionalFormatting>
  <conditionalFormatting sqref="S407:S426">
    <cfRule type="colorScale" priority="259">
      <colorScale>
        <cfvo type="num" val="-1.0000000000000001E-5"/>
        <cfvo type="num" val="0"/>
        <color rgb="FFFFFF00"/>
        <color theme="0"/>
      </colorScale>
    </cfRule>
  </conditionalFormatting>
  <conditionalFormatting sqref="S38:S49">
    <cfRule type="colorScale" priority="258">
      <colorScale>
        <cfvo type="num" val="-1.0000000000000001E-5"/>
        <cfvo type="num" val="0"/>
        <color rgb="FFFFFF00"/>
        <color theme="0"/>
      </colorScale>
    </cfRule>
  </conditionalFormatting>
  <conditionalFormatting sqref="S137:S148">
    <cfRule type="colorScale" priority="257">
      <colorScale>
        <cfvo type="num" val="-1.0000000000000001E-5"/>
        <cfvo type="num" val="0"/>
        <color rgb="FFFFFF00"/>
        <color theme="0"/>
      </colorScale>
    </cfRule>
  </conditionalFormatting>
  <conditionalFormatting sqref="S236:S247">
    <cfRule type="colorScale" priority="256">
      <colorScale>
        <cfvo type="num" val="-1.0000000000000001E-5"/>
        <cfvo type="num" val="0"/>
        <color rgb="FFFFFF00"/>
        <color theme="0"/>
      </colorScale>
    </cfRule>
  </conditionalFormatting>
  <conditionalFormatting sqref="S335:S346">
    <cfRule type="colorScale" priority="255">
      <colorScale>
        <cfvo type="num" val="-1.0000000000000001E-5"/>
        <cfvo type="num" val="0"/>
        <color rgb="FFFFFF00"/>
        <color theme="0"/>
      </colorScale>
    </cfRule>
  </conditionalFormatting>
  <conditionalFormatting sqref="S434:S445">
    <cfRule type="colorScale" priority="254">
      <colorScale>
        <cfvo type="num" val="-1.0000000000000001E-5"/>
        <cfvo type="num" val="0"/>
        <color rgb="FFFFFF00"/>
        <color theme="0"/>
      </colorScale>
    </cfRule>
  </conditionalFormatting>
  <conditionalFormatting sqref="S57:S81">
    <cfRule type="colorScale" priority="253">
      <colorScale>
        <cfvo type="num" val="-1.0000000000000001E-5"/>
        <cfvo type="num" val="0"/>
        <color rgb="FFFFFF00"/>
        <color theme="0"/>
      </colorScale>
    </cfRule>
  </conditionalFormatting>
  <conditionalFormatting sqref="S156:S180">
    <cfRule type="colorScale" priority="252">
      <colorScale>
        <cfvo type="num" val="-1.0000000000000001E-5"/>
        <cfvo type="num" val="0"/>
        <color rgb="FFFFFF00"/>
        <color theme="0"/>
      </colorScale>
    </cfRule>
  </conditionalFormatting>
  <conditionalFormatting sqref="S255:S279">
    <cfRule type="colorScale" priority="251">
      <colorScale>
        <cfvo type="num" val="-1.0000000000000001E-5"/>
        <cfvo type="num" val="0"/>
        <color rgb="FFFFFF00"/>
        <color theme="0"/>
      </colorScale>
    </cfRule>
  </conditionalFormatting>
  <conditionalFormatting sqref="S354:S378">
    <cfRule type="colorScale" priority="250">
      <colorScale>
        <cfvo type="num" val="-1.0000000000000001E-5"/>
        <cfvo type="num" val="0"/>
        <color rgb="FFFFFF00"/>
        <color theme="0"/>
      </colorScale>
    </cfRule>
  </conditionalFormatting>
  <conditionalFormatting sqref="S453:S477">
    <cfRule type="colorScale" priority="249">
      <colorScale>
        <cfvo type="num" val="-1.0000000000000001E-5"/>
        <cfvo type="num" val="0"/>
        <color rgb="FFFFFF00"/>
        <color theme="0"/>
      </colorScale>
    </cfRule>
  </conditionalFormatting>
  <conditionalFormatting sqref="S89:S100">
    <cfRule type="colorScale" priority="248">
      <colorScale>
        <cfvo type="num" val="-1.0000000000000001E-5"/>
        <cfvo type="num" val="0"/>
        <color rgb="FFFFFF00"/>
        <color theme="0"/>
      </colorScale>
    </cfRule>
  </conditionalFormatting>
  <conditionalFormatting sqref="S188:S199">
    <cfRule type="colorScale" priority="247">
      <colorScale>
        <cfvo type="num" val="-1.0000000000000001E-5"/>
        <cfvo type="num" val="0"/>
        <color rgb="FFFFFF00"/>
        <color theme="0"/>
      </colorScale>
    </cfRule>
  </conditionalFormatting>
  <conditionalFormatting sqref="S287:S298">
    <cfRule type="colorScale" priority="246">
      <colorScale>
        <cfvo type="num" val="-1.0000000000000001E-5"/>
        <cfvo type="num" val="0"/>
        <color rgb="FFFFFF00"/>
        <color theme="0"/>
      </colorScale>
    </cfRule>
  </conditionalFormatting>
  <conditionalFormatting sqref="S386:S397">
    <cfRule type="colorScale" priority="245">
      <colorScale>
        <cfvo type="num" val="-1.0000000000000001E-5"/>
        <cfvo type="num" val="0"/>
        <color rgb="FFFFFF00"/>
        <color theme="0"/>
      </colorScale>
    </cfRule>
  </conditionalFormatting>
  <conditionalFormatting sqref="S485:S496">
    <cfRule type="colorScale" priority="244">
      <colorScale>
        <cfvo type="num" val="-1.0000000000000001E-5"/>
        <cfvo type="num" val="0"/>
        <color rgb="FFFFFF00"/>
        <color theme="0"/>
      </colorScale>
    </cfRule>
  </conditionalFormatting>
  <conditionalFormatting sqref="S507:S511">
    <cfRule type="colorScale" priority="243">
      <colorScale>
        <cfvo type="num" val="-1.0000000000000001E-5"/>
        <cfvo type="num" val="0"/>
        <color rgb="FFFFFF00"/>
        <color theme="0"/>
      </colorScale>
    </cfRule>
  </conditionalFormatting>
  <conditionalFormatting sqref="S517:S521">
    <cfRule type="colorScale" priority="242">
      <colorScale>
        <cfvo type="num" val="-1.0000000000000001E-5"/>
        <cfvo type="num" val="0"/>
        <color rgb="FFFFFF00"/>
        <color theme="0"/>
      </colorScale>
    </cfRule>
  </conditionalFormatting>
  <conditionalFormatting sqref="S527:S531">
    <cfRule type="colorScale" priority="241">
      <colorScale>
        <cfvo type="num" val="-1.0000000000000001E-5"/>
        <cfvo type="num" val="0"/>
        <color rgb="FFFFFF00"/>
        <color theme="0"/>
      </colorScale>
    </cfRule>
  </conditionalFormatting>
  <conditionalFormatting sqref="S537:S541">
    <cfRule type="colorScale" priority="240">
      <colorScale>
        <cfvo type="num" val="-1.0000000000000001E-5"/>
        <cfvo type="num" val="0"/>
        <color rgb="FFFFFF00"/>
        <color theme="0"/>
      </colorScale>
    </cfRule>
  </conditionalFormatting>
  <conditionalFormatting sqref="S547:S551">
    <cfRule type="colorScale" priority="239">
      <colorScale>
        <cfvo type="num" val="-1.0000000000000001E-5"/>
        <cfvo type="num" val="0"/>
        <color rgb="FFFFFF00"/>
        <color theme="0"/>
      </colorScale>
    </cfRule>
  </conditionalFormatting>
  <conditionalFormatting sqref="S11:S30">
    <cfRule type="colorScale" priority="263">
      <colorScale>
        <cfvo type="num" val="-1.0000000000000001E-5"/>
        <cfvo type="num" val="0"/>
        <color rgb="FFFFFF00"/>
        <color theme="0"/>
      </colorScale>
    </cfRule>
  </conditionalFormatting>
  <conditionalFormatting sqref="N11">
    <cfRule type="colorScale" priority="157">
      <colorScale>
        <cfvo type="num" val="0"/>
        <cfvo type="num" val="600"/>
        <color rgb="FFFF0000"/>
        <color theme="0"/>
      </colorScale>
    </cfRule>
  </conditionalFormatting>
  <conditionalFormatting sqref="N110">
    <cfRule type="colorScale" priority="79">
      <colorScale>
        <cfvo type="num" val="0"/>
        <cfvo type="num" val="600"/>
        <color rgb="FFFF0000"/>
        <color theme="0"/>
      </colorScale>
    </cfRule>
  </conditionalFormatting>
  <conditionalFormatting sqref="N209">
    <cfRule type="colorScale" priority="78">
      <colorScale>
        <cfvo type="num" val="0"/>
        <cfvo type="num" val="600"/>
        <color rgb="FFFF0000"/>
        <color theme="0"/>
      </colorScale>
    </cfRule>
  </conditionalFormatting>
  <conditionalFormatting sqref="N308">
    <cfRule type="colorScale" priority="77">
      <colorScale>
        <cfvo type="num" val="0"/>
        <cfvo type="num" val="600"/>
        <color rgb="FFFF0000"/>
        <color theme="0"/>
      </colorScale>
    </cfRule>
  </conditionalFormatting>
  <conditionalFormatting sqref="N407">
    <cfRule type="colorScale" priority="76">
      <colorScale>
        <cfvo type="num" val="0"/>
        <cfvo type="num" val="600"/>
        <color rgb="FFFF0000"/>
        <color theme="0"/>
      </colorScale>
    </cfRule>
  </conditionalFormatting>
  <conditionalFormatting sqref="N38">
    <cfRule type="colorScale" priority="75">
      <colorScale>
        <cfvo type="num" val="0"/>
        <cfvo type="num" val="200"/>
        <color rgb="FFFF0000"/>
        <color theme="0"/>
      </colorScale>
    </cfRule>
  </conditionalFormatting>
  <conditionalFormatting sqref="N137">
    <cfRule type="colorScale" priority="74">
      <colorScale>
        <cfvo type="num" val="0"/>
        <cfvo type="num" val="200"/>
        <color rgb="FFFF0000"/>
        <color theme="0"/>
      </colorScale>
    </cfRule>
  </conditionalFormatting>
  <conditionalFormatting sqref="N236">
    <cfRule type="colorScale" priority="73">
      <colorScale>
        <cfvo type="num" val="0"/>
        <cfvo type="num" val="200"/>
        <color rgb="FFFF0000"/>
        <color theme="0"/>
      </colorScale>
    </cfRule>
  </conditionalFormatting>
  <conditionalFormatting sqref="N335">
    <cfRule type="colorScale" priority="72">
      <colorScale>
        <cfvo type="num" val="0"/>
        <cfvo type="num" val="200"/>
        <color rgb="FFFF0000"/>
        <color theme="0"/>
      </colorScale>
    </cfRule>
  </conditionalFormatting>
  <conditionalFormatting sqref="N434">
    <cfRule type="colorScale" priority="71">
      <colorScale>
        <cfvo type="num" val="0"/>
        <cfvo type="num" val="200"/>
        <color rgb="FFFF0000"/>
        <color theme="0"/>
      </colorScale>
    </cfRule>
  </conditionalFormatting>
  <conditionalFormatting sqref="N57">
    <cfRule type="colorScale" priority="70">
      <colorScale>
        <cfvo type="num" val="0"/>
        <cfvo type="num" val="600"/>
        <color rgb="FFFF0000"/>
        <color theme="0"/>
      </colorScale>
    </cfRule>
  </conditionalFormatting>
  <conditionalFormatting sqref="N156">
    <cfRule type="colorScale" priority="69">
      <colorScale>
        <cfvo type="num" val="0"/>
        <cfvo type="num" val="600"/>
        <color rgb="FFFF0000"/>
        <color theme="0"/>
      </colorScale>
    </cfRule>
  </conditionalFormatting>
  <conditionalFormatting sqref="N255">
    <cfRule type="colorScale" priority="68">
      <colorScale>
        <cfvo type="num" val="0"/>
        <cfvo type="num" val="600"/>
        <color rgb="FFFF0000"/>
        <color theme="0"/>
      </colorScale>
    </cfRule>
  </conditionalFormatting>
  <conditionalFormatting sqref="N354">
    <cfRule type="colorScale" priority="67">
      <colorScale>
        <cfvo type="num" val="0"/>
        <cfvo type="num" val="600"/>
        <color rgb="FFFF0000"/>
        <color theme="0"/>
      </colorScale>
    </cfRule>
  </conditionalFormatting>
  <conditionalFormatting sqref="N453">
    <cfRule type="colorScale" priority="66">
      <colorScale>
        <cfvo type="num" val="0"/>
        <cfvo type="num" val="600"/>
        <color rgb="FFFF0000"/>
        <color theme="0"/>
      </colorScale>
    </cfRule>
  </conditionalFormatting>
  <conditionalFormatting sqref="N89">
    <cfRule type="colorScale" priority="65">
      <colorScale>
        <cfvo type="num" val="0"/>
        <cfvo type="num" val="10"/>
        <cfvo type="num" val="200"/>
        <color theme="0"/>
        <color rgb="FFFF0000"/>
        <color theme="0"/>
      </colorScale>
    </cfRule>
  </conditionalFormatting>
  <conditionalFormatting sqref="N188">
    <cfRule type="colorScale" priority="64">
      <colorScale>
        <cfvo type="num" val="0"/>
        <cfvo type="num" val="10"/>
        <cfvo type="num" val="200"/>
        <color theme="0"/>
        <color rgb="FFFF0000"/>
        <color theme="0"/>
      </colorScale>
    </cfRule>
  </conditionalFormatting>
  <conditionalFormatting sqref="N287">
    <cfRule type="colorScale" priority="63">
      <colorScale>
        <cfvo type="num" val="0"/>
        <cfvo type="num" val="10"/>
        <cfvo type="num" val="200"/>
        <color theme="0"/>
        <color rgb="FFFF0000"/>
        <color theme="0"/>
      </colorScale>
    </cfRule>
  </conditionalFormatting>
  <conditionalFormatting sqref="N386">
    <cfRule type="colorScale" priority="62">
      <colorScale>
        <cfvo type="num" val="0"/>
        <cfvo type="num" val="10"/>
        <cfvo type="num" val="200"/>
        <color theme="0"/>
        <color rgb="FFFF0000"/>
        <color theme="0"/>
      </colorScale>
    </cfRule>
  </conditionalFormatting>
  <conditionalFormatting sqref="N485">
    <cfRule type="colorScale" priority="61">
      <colorScale>
        <cfvo type="num" val="0"/>
        <cfvo type="num" val="10"/>
        <cfvo type="num" val="200"/>
        <color theme="0"/>
        <color rgb="FFFF0000"/>
        <color theme="0"/>
      </colorScale>
    </cfRule>
  </conditionalFormatting>
  <conditionalFormatting sqref="L11:L30">
    <cfRule type="colorScale" priority="60">
      <colorScale>
        <cfvo type="num" val="0"/>
        <cfvo type="num" val="1E-4"/>
        <color rgb="FFFF0000"/>
        <color theme="0"/>
      </colorScale>
    </cfRule>
  </conditionalFormatting>
  <conditionalFormatting sqref="L38:L49">
    <cfRule type="colorScale" priority="59">
      <colorScale>
        <cfvo type="num" val="0"/>
        <cfvo type="num" val="1E-4"/>
        <color rgb="FFFF0000"/>
        <color theme="0"/>
      </colorScale>
    </cfRule>
  </conditionalFormatting>
  <conditionalFormatting sqref="L57:L81">
    <cfRule type="colorScale" priority="58">
      <colorScale>
        <cfvo type="num" val="0"/>
        <cfvo type="num" val="1E-4"/>
        <color rgb="FFFF0000"/>
        <color theme="0"/>
      </colorScale>
    </cfRule>
  </conditionalFormatting>
  <conditionalFormatting sqref="L89:L100">
    <cfRule type="colorScale" priority="57">
      <colorScale>
        <cfvo type="num" val="0"/>
        <cfvo type="num" val="1E-4"/>
        <color rgb="FFFF0000"/>
        <color theme="0"/>
      </colorScale>
    </cfRule>
  </conditionalFormatting>
  <conditionalFormatting sqref="L110:L129">
    <cfRule type="colorScale" priority="56">
      <colorScale>
        <cfvo type="num" val="0"/>
        <cfvo type="num" val="1E-4"/>
        <color rgb="FFFF0000"/>
        <color theme="0"/>
      </colorScale>
    </cfRule>
  </conditionalFormatting>
  <conditionalFormatting sqref="L137:L148">
    <cfRule type="colorScale" priority="55">
      <colorScale>
        <cfvo type="num" val="0"/>
        <cfvo type="num" val="1E-4"/>
        <color rgb="FFFF0000"/>
        <color theme="0"/>
      </colorScale>
    </cfRule>
  </conditionalFormatting>
  <conditionalFormatting sqref="L156:L180">
    <cfRule type="colorScale" priority="54">
      <colorScale>
        <cfvo type="num" val="0"/>
        <cfvo type="num" val="1E-4"/>
        <color rgb="FFFF0000"/>
        <color theme="0"/>
      </colorScale>
    </cfRule>
  </conditionalFormatting>
  <conditionalFormatting sqref="L188:L199">
    <cfRule type="colorScale" priority="53">
      <colorScale>
        <cfvo type="num" val="0"/>
        <cfvo type="num" val="1E-4"/>
        <color rgb="FFFF0000"/>
        <color theme="0"/>
      </colorScale>
    </cfRule>
  </conditionalFormatting>
  <conditionalFormatting sqref="L209:L228">
    <cfRule type="colorScale" priority="52">
      <colorScale>
        <cfvo type="num" val="0"/>
        <cfvo type="num" val="1E-4"/>
        <color rgb="FFFF0000"/>
        <color theme="0"/>
      </colorScale>
    </cfRule>
  </conditionalFormatting>
  <conditionalFormatting sqref="L236:L247">
    <cfRule type="colorScale" priority="51">
      <colorScale>
        <cfvo type="num" val="0"/>
        <cfvo type="num" val="1E-4"/>
        <color rgb="FFFF0000"/>
        <color theme="0"/>
      </colorScale>
    </cfRule>
  </conditionalFormatting>
  <conditionalFormatting sqref="L255:L279">
    <cfRule type="colorScale" priority="50">
      <colorScale>
        <cfvo type="num" val="0"/>
        <cfvo type="num" val="1E-4"/>
        <color rgb="FFFF0000"/>
        <color theme="0"/>
      </colorScale>
    </cfRule>
  </conditionalFormatting>
  <conditionalFormatting sqref="L287:L298">
    <cfRule type="colorScale" priority="49">
      <colorScale>
        <cfvo type="num" val="0"/>
        <cfvo type="num" val="1E-4"/>
        <color rgb="FFFF0000"/>
        <color theme="0"/>
      </colorScale>
    </cfRule>
  </conditionalFormatting>
  <conditionalFormatting sqref="L308:L327">
    <cfRule type="colorScale" priority="48">
      <colorScale>
        <cfvo type="num" val="0"/>
        <cfvo type="num" val="1E-4"/>
        <color rgb="FFFF0000"/>
        <color theme="0"/>
      </colorScale>
    </cfRule>
  </conditionalFormatting>
  <conditionalFormatting sqref="L335:L346">
    <cfRule type="colorScale" priority="47">
      <colorScale>
        <cfvo type="num" val="0"/>
        <cfvo type="num" val="1E-4"/>
        <color rgb="FFFF0000"/>
        <color theme="0"/>
      </colorScale>
    </cfRule>
  </conditionalFormatting>
  <conditionalFormatting sqref="L354:L378">
    <cfRule type="colorScale" priority="46">
      <colorScale>
        <cfvo type="num" val="0"/>
        <cfvo type="num" val="1E-4"/>
        <color rgb="FFFF0000"/>
        <color theme="0"/>
      </colorScale>
    </cfRule>
  </conditionalFormatting>
  <conditionalFormatting sqref="L386:L397">
    <cfRule type="colorScale" priority="45">
      <colorScale>
        <cfvo type="num" val="0"/>
        <cfvo type="num" val="1E-4"/>
        <color rgb="FFFF0000"/>
        <color theme="0"/>
      </colorScale>
    </cfRule>
  </conditionalFormatting>
  <conditionalFormatting sqref="L407:L426">
    <cfRule type="colorScale" priority="44">
      <colorScale>
        <cfvo type="num" val="0"/>
        <cfvo type="num" val="1E-4"/>
        <color rgb="FFFF0000"/>
        <color theme="0"/>
      </colorScale>
    </cfRule>
  </conditionalFormatting>
  <conditionalFormatting sqref="L434:L445">
    <cfRule type="colorScale" priority="43">
      <colorScale>
        <cfvo type="num" val="0"/>
        <cfvo type="num" val="1E-4"/>
        <color rgb="FFFF0000"/>
        <color theme="0"/>
      </colorScale>
    </cfRule>
  </conditionalFormatting>
  <conditionalFormatting sqref="L453:L477">
    <cfRule type="colorScale" priority="42">
      <colorScale>
        <cfvo type="num" val="0"/>
        <cfvo type="num" val="1E-4"/>
        <color rgb="FFFF0000"/>
        <color theme="0"/>
      </colorScale>
    </cfRule>
  </conditionalFormatting>
  <conditionalFormatting sqref="L485:L496">
    <cfRule type="colorScale" priority="41">
      <colorScale>
        <cfvo type="num" val="0"/>
        <cfvo type="num" val="1E-4"/>
        <color rgb="FFFF0000"/>
        <color theme="0"/>
      </colorScale>
    </cfRule>
  </conditionalFormatting>
  <conditionalFormatting sqref="T11:T30">
    <cfRule type="colorScale" priority="40">
      <colorScale>
        <cfvo type="num" val="-1.0000000000000001E-5"/>
        <cfvo type="num" val="0"/>
        <color rgb="FFFFFF00"/>
        <color theme="0"/>
      </colorScale>
    </cfRule>
  </conditionalFormatting>
  <conditionalFormatting sqref="U11:U30">
    <cfRule type="colorScale" priority="39">
      <colorScale>
        <cfvo type="num" val="-1.0000000000000001E-5"/>
        <cfvo type="num" val="0"/>
        <color rgb="FFFFFF00"/>
        <color theme="0"/>
      </colorScale>
    </cfRule>
  </conditionalFormatting>
  <conditionalFormatting sqref="T38:T49">
    <cfRule type="colorScale" priority="38">
      <colorScale>
        <cfvo type="num" val="-1.0000000000000001E-5"/>
        <cfvo type="num" val="0"/>
        <color rgb="FFFFFF00"/>
        <color theme="0"/>
      </colorScale>
    </cfRule>
  </conditionalFormatting>
  <conditionalFormatting sqref="U38:U49">
    <cfRule type="colorScale" priority="37">
      <colorScale>
        <cfvo type="num" val="-1.0000000000000001E-5"/>
        <cfvo type="num" val="0"/>
        <color rgb="FFFFFF00"/>
        <color theme="0"/>
      </colorScale>
    </cfRule>
  </conditionalFormatting>
  <conditionalFormatting sqref="T57:T81">
    <cfRule type="colorScale" priority="36">
      <colorScale>
        <cfvo type="num" val="-1.0000000000000001E-5"/>
        <cfvo type="num" val="0"/>
        <color rgb="FFFFFF00"/>
        <color theme="0"/>
      </colorScale>
    </cfRule>
  </conditionalFormatting>
  <conditionalFormatting sqref="U57:U81">
    <cfRule type="colorScale" priority="35">
      <colorScale>
        <cfvo type="num" val="-1.0000000000000001E-5"/>
        <cfvo type="num" val="0"/>
        <color rgb="FFFFFF00"/>
        <color theme="0"/>
      </colorScale>
    </cfRule>
  </conditionalFormatting>
  <conditionalFormatting sqref="T89:T100">
    <cfRule type="colorScale" priority="34">
      <colorScale>
        <cfvo type="num" val="-1.0000000000000001E-5"/>
        <cfvo type="num" val="0"/>
        <color rgb="FFFFFF00"/>
        <color theme="0"/>
      </colorScale>
    </cfRule>
  </conditionalFormatting>
  <conditionalFormatting sqref="U89:U100">
    <cfRule type="colorScale" priority="33">
      <colorScale>
        <cfvo type="num" val="-1.0000000000000001E-5"/>
        <cfvo type="num" val="0"/>
        <color rgb="FFFFFF00"/>
        <color theme="0"/>
      </colorScale>
    </cfRule>
  </conditionalFormatting>
  <conditionalFormatting sqref="T110:T129">
    <cfRule type="colorScale" priority="32">
      <colorScale>
        <cfvo type="num" val="-1.0000000000000001E-5"/>
        <cfvo type="num" val="0"/>
        <color rgb="FFFFFF00"/>
        <color theme="0"/>
      </colorScale>
    </cfRule>
  </conditionalFormatting>
  <conditionalFormatting sqref="U110:U129">
    <cfRule type="colorScale" priority="31">
      <colorScale>
        <cfvo type="num" val="-1.0000000000000001E-5"/>
        <cfvo type="num" val="0"/>
        <color rgb="FFFFFF00"/>
        <color theme="0"/>
      </colorScale>
    </cfRule>
  </conditionalFormatting>
  <conditionalFormatting sqref="T137:T148">
    <cfRule type="colorScale" priority="30">
      <colorScale>
        <cfvo type="num" val="-1.0000000000000001E-5"/>
        <cfvo type="num" val="0"/>
        <color rgb="FFFFFF00"/>
        <color theme="0"/>
      </colorScale>
    </cfRule>
  </conditionalFormatting>
  <conditionalFormatting sqref="U137:U148">
    <cfRule type="colorScale" priority="29">
      <colorScale>
        <cfvo type="num" val="-1.0000000000000001E-5"/>
        <cfvo type="num" val="0"/>
        <color rgb="FFFFFF00"/>
        <color theme="0"/>
      </colorScale>
    </cfRule>
  </conditionalFormatting>
  <conditionalFormatting sqref="T156:T180">
    <cfRule type="colorScale" priority="28">
      <colorScale>
        <cfvo type="num" val="-1.0000000000000001E-5"/>
        <cfvo type="num" val="0"/>
        <color rgb="FFFFFF00"/>
        <color theme="0"/>
      </colorScale>
    </cfRule>
  </conditionalFormatting>
  <conditionalFormatting sqref="U156:U180">
    <cfRule type="colorScale" priority="27">
      <colorScale>
        <cfvo type="num" val="-1.0000000000000001E-5"/>
        <cfvo type="num" val="0"/>
        <color rgb="FFFFFF00"/>
        <color theme="0"/>
      </colorScale>
    </cfRule>
  </conditionalFormatting>
  <conditionalFormatting sqref="T188:T199">
    <cfRule type="colorScale" priority="26">
      <colorScale>
        <cfvo type="num" val="-1.0000000000000001E-5"/>
        <cfvo type="num" val="0"/>
        <color rgb="FFFFFF00"/>
        <color theme="0"/>
      </colorScale>
    </cfRule>
  </conditionalFormatting>
  <conditionalFormatting sqref="U188:U199">
    <cfRule type="colorScale" priority="25">
      <colorScale>
        <cfvo type="num" val="-1.0000000000000001E-5"/>
        <cfvo type="num" val="0"/>
        <color rgb="FFFFFF00"/>
        <color theme="0"/>
      </colorScale>
    </cfRule>
  </conditionalFormatting>
  <conditionalFormatting sqref="T209:T228">
    <cfRule type="colorScale" priority="24">
      <colorScale>
        <cfvo type="num" val="-1.0000000000000001E-5"/>
        <cfvo type="num" val="0"/>
        <color rgb="FFFFFF00"/>
        <color theme="0"/>
      </colorScale>
    </cfRule>
  </conditionalFormatting>
  <conditionalFormatting sqref="U209:U228">
    <cfRule type="colorScale" priority="23">
      <colorScale>
        <cfvo type="num" val="-1.0000000000000001E-5"/>
        <cfvo type="num" val="0"/>
        <color rgb="FFFFFF00"/>
        <color theme="0"/>
      </colorScale>
    </cfRule>
  </conditionalFormatting>
  <conditionalFormatting sqref="T236:T247">
    <cfRule type="colorScale" priority="22">
      <colorScale>
        <cfvo type="num" val="-1.0000000000000001E-5"/>
        <cfvo type="num" val="0"/>
        <color rgb="FFFFFF00"/>
        <color theme="0"/>
      </colorScale>
    </cfRule>
  </conditionalFormatting>
  <conditionalFormatting sqref="U236:U247">
    <cfRule type="colorScale" priority="21">
      <colorScale>
        <cfvo type="num" val="-1.0000000000000001E-5"/>
        <cfvo type="num" val="0"/>
        <color rgb="FFFFFF00"/>
        <color theme="0"/>
      </colorScale>
    </cfRule>
  </conditionalFormatting>
  <conditionalFormatting sqref="T255:T279">
    <cfRule type="colorScale" priority="20">
      <colorScale>
        <cfvo type="num" val="-1.0000000000000001E-5"/>
        <cfvo type="num" val="0"/>
        <color rgb="FFFFFF00"/>
        <color theme="0"/>
      </colorScale>
    </cfRule>
  </conditionalFormatting>
  <conditionalFormatting sqref="U255:U279">
    <cfRule type="colorScale" priority="19">
      <colorScale>
        <cfvo type="num" val="-1.0000000000000001E-5"/>
        <cfvo type="num" val="0"/>
        <color rgb="FFFFFF00"/>
        <color theme="0"/>
      </colorScale>
    </cfRule>
  </conditionalFormatting>
  <conditionalFormatting sqref="T287:T298">
    <cfRule type="colorScale" priority="18">
      <colorScale>
        <cfvo type="num" val="-1.0000000000000001E-5"/>
        <cfvo type="num" val="0"/>
        <color rgb="FFFFFF00"/>
        <color theme="0"/>
      </colorScale>
    </cfRule>
  </conditionalFormatting>
  <conditionalFormatting sqref="U287:U298">
    <cfRule type="colorScale" priority="17">
      <colorScale>
        <cfvo type="num" val="-1.0000000000000001E-5"/>
        <cfvo type="num" val="0"/>
        <color rgb="FFFFFF00"/>
        <color theme="0"/>
      </colorScale>
    </cfRule>
  </conditionalFormatting>
  <conditionalFormatting sqref="T308:T327">
    <cfRule type="colorScale" priority="16">
      <colorScale>
        <cfvo type="num" val="-1.0000000000000001E-5"/>
        <cfvo type="num" val="0"/>
        <color rgb="FFFFFF00"/>
        <color theme="0"/>
      </colorScale>
    </cfRule>
  </conditionalFormatting>
  <conditionalFormatting sqref="U308:U327">
    <cfRule type="colorScale" priority="15">
      <colorScale>
        <cfvo type="num" val="-1.0000000000000001E-5"/>
        <cfvo type="num" val="0"/>
        <color rgb="FFFFFF00"/>
        <color theme="0"/>
      </colorScale>
    </cfRule>
  </conditionalFormatting>
  <conditionalFormatting sqref="T335:T346">
    <cfRule type="colorScale" priority="14">
      <colorScale>
        <cfvo type="num" val="-1.0000000000000001E-5"/>
        <cfvo type="num" val="0"/>
        <color rgb="FFFFFF00"/>
        <color theme="0"/>
      </colorScale>
    </cfRule>
  </conditionalFormatting>
  <conditionalFormatting sqref="U335:U346">
    <cfRule type="colorScale" priority="13">
      <colorScale>
        <cfvo type="num" val="-1.0000000000000001E-5"/>
        <cfvo type="num" val="0"/>
        <color rgb="FFFFFF00"/>
        <color theme="0"/>
      </colorScale>
    </cfRule>
  </conditionalFormatting>
  <conditionalFormatting sqref="T354:T378">
    <cfRule type="colorScale" priority="12">
      <colorScale>
        <cfvo type="num" val="-1.0000000000000001E-5"/>
        <cfvo type="num" val="0"/>
        <color rgb="FFFFFF00"/>
        <color theme="0"/>
      </colorScale>
    </cfRule>
  </conditionalFormatting>
  <conditionalFormatting sqref="U354:U378">
    <cfRule type="colorScale" priority="11">
      <colorScale>
        <cfvo type="num" val="-1.0000000000000001E-5"/>
        <cfvo type="num" val="0"/>
        <color rgb="FFFFFF00"/>
        <color theme="0"/>
      </colorScale>
    </cfRule>
  </conditionalFormatting>
  <conditionalFormatting sqref="T386:T397">
    <cfRule type="colorScale" priority="10">
      <colorScale>
        <cfvo type="num" val="-1.0000000000000001E-5"/>
        <cfvo type="num" val="0"/>
        <color rgb="FFFFFF00"/>
        <color theme="0"/>
      </colorScale>
    </cfRule>
  </conditionalFormatting>
  <conditionalFormatting sqref="U386:U397">
    <cfRule type="colorScale" priority="9">
      <colorScale>
        <cfvo type="num" val="-1.0000000000000001E-5"/>
        <cfvo type="num" val="0"/>
        <color rgb="FFFFFF00"/>
        <color theme="0"/>
      </colorScale>
    </cfRule>
  </conditionalFormatting>
  <conditionalFormatting sqref="T407:T426">
    <cfRule type="colorScale" priority="8">
      <colorScale>
        <cfvo type="num" val="-1.0000000000000001E-5"/>
        <cfvo type="num" val="0"/>
        <color rgb="FFFFFF00"/>
        <color theme="0"/>
      </colorScale>
    </cfRule>
  </conditionalFormatting>
  <conditionalFormatting sqref="U407:U426">
    <cfRule type="colorScale" priority="7">
      <colorScale>
        <cfvo type="num" val="-1.0000000000000001E-5"/>
        <cfvo type="num" val="0"/>
        <color rgb="FFFFFF00"/>
        <color theme="0"/>
      </colorScale>
    </cfRule>
  </conditionalFormatting>
  <conditionalFormatting sqref="T434:T445">
    <cfRule type="colorScale" priority="6">
      <colorScale>
        <cfvo type="num" val="-1.0000000000000001E-5"/>
        <cfvo type="num" val="0"/>
        <color rgb="FFFFFF00"/>
        <color theme="0"/>
      </colorScale>
    </cfRule>
  </conditionalFormatting>
  <conditionalFormatting sqref="U434:U445">
    <cfRule type="colorScale" priority="5">
      <colorScale>
        <cfvo type="num" val="-1.0000000000000001E-5"/>
        <cfvo type="num" val="0"/>
        <color rgb="FFFFFF00"/>
        <color theme="0"/>
      </colorScale>
    </cfRule>
  </conditionalFormatting>
  <conditionalFormatting sqref="T453:T477">
    <cfRule type="colorScale" priority="4">
      <colorScale>
        <cfvo type="num" val="-1.0000000000000001E-5"/>
        <cfvo type="num" val="0"/>
        <color rgb="FFFFFF00"/>
        <color theme="0"/>
      </colorScale>
    </cfRule>
  </conditionalFormatting>
  <conditionalFormatting sqref="U453:U477">
    <cfRule type="colorScale" priority="3">
      <colorScale>
        <cfvo type="num" val="-1.0000000000000001E-5"/>
        <cfvo type="num" val="0"/>
        <color rgb="FFFFFF00"/>
        <color theme="0"/>
      </colorScale>
    </cfRule>
  </conditionalFormatting>
  <conditionalFormatting sqref="T485:T496">
    <cfRule type="colorScale" priority="2">
      <colorScale>
        <cfvo type="num" val="-1.0000000000000001E-5"/>
        <cfvo type="num" val="0"/>
        <color rgb="FFFFFF00"/>
        <color theme="0"/>
      </colorScale>
    </cfRule>
  </conditionalFormatting>
  <conditionalFormatting sqref="U485:U496">
    <cfRule type="colorScale" priority="1">
      <colorScale>
        <cfvo type="num" val="-1.0000000000000001E-5"/>
        <cfvo type="num" val="0"/>
        <color rgb="FFFFFF00"/>
        <color theme="0"/>
      </colorScale>
    </cfRule>
  </conditionalFormatting>
  <dataValidations count="2">
    <dataValidation type="list" allowBlank="1" showInputMessage="1" showErrorMessage="1" sqref="H209:H228 H335:H346 H434:H445 H57:H81 H354:H378 H485:H496 H156:H180 H386:H397 H110:H129 H89:H100 H137:H148 H188:H199 H287:H298 H38:H49 H407:H426 H255:H279 H453:H477 H307:H327 H236:H247 H11:H30" xr:uid="{6A461DE3-8084-D946-8899-18E6A9EB5FEF}">
      <formula1>INDIRECT($G11)</formula1>
    </dataValidation>
    <dataValidation type="list" allowBlank="1" showInputMessage="1" showErrorMessage="1" sqref="G453:G477 G38:G49 G89:G100 G110:G129 G57:G81 G137:G148 G188:G199 G209:G228 G287:G298 G308:G327 G255:G279 G335:G346 G386:G397 G407:G426 G485:G496 G156:G180 G236:G247 G354:G378 G434:G445 G11:G30" xr:uid="{7D2B1FC5-BBBF-0D46-8DEC-0A5E0AAFB1E4}">
      <formula1>Food_category</formula1>
    </dataValidation>
  </dataValidations>
  <hyperlinks>
    <hyperlink ref="I1" location="Cene_sastojaka!A4" display="Cene_sastojaka!A4" xr:uid="{DF53CBEC-6338-8C45-A89E-5476F1D64FF6}"/>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Option Button 1">
              <controlPr defaultSize="0" autoFill="0" autoLine="0" autoPict="0">
                <anchor moveWithCells="1">
                  <from>
                    <xdr:col>6</xdr:col>
                    <xdr:colOff>25400</xdr:colOff>
                    <xdr:row>2</xdr:row>
                    <xdr:rowOff>127000</xdr:rowOff>
                  </from>
                  <to>
                    <xdr:col>6</xdr:col>
                    <xdr:colOff>711200</xdr:colOff>
                    <xdr:row>3</xdr:row>
                    <xdr:rowOff>114300</xdr:rowOff>
                  </to>
                </anchor>
              </controlPr>
            </control>
          </mc:Choice>
        </mc:AlternateContent>
        <mc:AlternateContent xmlns:mc="http://schemas.openxmlformats.org/markup-compatibility/2006">
          <mc:Choice Requires="x14">
            <control shapeId="2050" r:id="rId4" name="Option Button 2">
              <controlPr defaultSize="0" autoFill="0" autoLine="0" autoPict="0">
                <anchor moveWithCells="1">
                  <from>
                    <xdr:col>6</xdr:col>
                    <xdr:colOff>762000</xdr:colOff>
                    <xdr:row>2</xdr:row>
                    <xdr:rowOff>127000</xdr:rowOff>
                  </from>
                  <to>
                    <xdr:col>6</xdr:col>
                    <xdr:colOff>1562100</xdr:colOff>
                    <xdr:row>3</xdr:row>
                    <xdr:rowOff>127000</xdr:rowOff>
                  </to>
                </anchor>
              </controlPr>
            </control>
          </mc:Choice>
        </mc:AlternateContent>
        <mc:AlternateContent xmlns:mc="http://schemas.openxmlformats.org/markup-compatibility/2006">
          <mc:Choice Requires="x14">
            <control shapeId="2052" r:id="rId5" name="Option Button 4">
              <controlPr defaultSize="0" autoFill="0" autoLine="0" autoPict="0">
                <anchor moveWithCells="1">
                  <from>
                    <xdr:col>6</xdr:col>
                    <xdr:colOff>25400</xdr:colOff>
                    <xdr:row>2</xdr:row>
                    <xdr:rowOff>127000</xdr:rowOff>
                  </from>
                  <to>
                    <xdr:col>6</xdr:col>
                    <xdr:colOff>711200</xdr:colOff>
                    <xdr:row>3</xdr:row>
                    <xdr:rowOff>114300</xdr:rowOff>
                  </to>
                </anchor>
              </controlPr>
            </control>
          </mc:Choice>
        </mc:AlternateContent>
        <mc:AlternateContent xmlns:mc="http://schemas.openxmlformats.org/markup-compatibility/2006">
          <mc:Choice Requires="x14">
            <control shapeId="2053" r:id="rId6" name="Option Button 5">
              <controlPr defaultSize="0" autoFill="0" autoLine="0" autoPict="0">
                <anchor moveWithCells="1">
                  <from>
                    <xdr:col>6</xdr:col>
                    <xdr:colOff>762000</xdr:colOff>
                    <xdr:row>2</xdr:row>
                    <xdr:rowOff>127000</xdr:rowOff>
                  </from>
                  <to>
                    <xdr:col>6</xdr:col>
                    <xdr:colOff>1562100</xdr:colOff>
                    <xdr:row>3</xdr:row>
                    <xdr:rowOff>127000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7C93-44A4-894D-A012-2AE95FDDC320}">
  <dimension ref="A1:CI5012"/>
  <sheetViews>
    <sheetView zoomScaleNormal="100" workbookViewId="0">
      <pane ySplit="8" topLeftCell="A9" activePane="bottomLeft" state="frozen"/>
      <selection pane="bottomLeft" activeCell="C6" sqref="C6:D7"/>
    </sheetView>
  </sheetViews>
  <sheetFormatPr baseColWidth="10" defaultRowHeight="14"/>
  <cols>
    <col min="1" max="1" width="1.5" style="750" customWidth="1"/>
    <col min="2" max="2" width="27.6640625" style="751" customWidth="1"/>
    <col min="3" max="3" width="2.83203125" style="750" customWidth="1"/>
    <col min="4" max="4" width="13.33203125" style="749" customWidth="1"/>
    <col min="5" max="5" width="15.83203125" style="749" customWidth="1"/>
    <col min="6" max="10" width="15.33203125" style="749" customWidth="1"/>
    <col min="11" max="11" width="14.1640625" style="749" customWidth="1"/>
    <col min="12" max="17" width="13.83203125" style="749" customWidth="1"/>
    <col min="18" max="18" width="16.1640625" style="749" customWidth="1"/>
    <col min="19" max="21" width="15.33203125" style="749" customWidth="1"/>
    <col min="22" max="33" width="15.33203125" style="751" customWidth="1"/>
    <col min="34" max="38" width="15.33203125" style="752" customWidth="1"/>
    <col min="39" max="86" width="10.83203125" style="751"/>
    <col min="87" max="16384" width="10.83203125" style="749"/>
  </cols>
  <sheetData>
    <row r="1" spans="1:87" s="784" customFormat="1" ht="9" customHeight="1">
      <c r="A1" s="806"/>
      <c r="B1" s="807"/>
      <c r="C1" s="806"/>
      <c r="D1" s="807"/>
      <c r="E1" s="807"/>
      <c r="F1" s="807"/>
      <c r="G1" s="807"/>
      <c r="H1" s="807"/>
      <c r="I1" s="807"/>
      <c r="J1" s="807"/>
      <c r="K1" s="807"/>
      <c r="L1" s="807"/>
      <c r="M1" s="807"/>
      <c r="N1" s="807"/>
      <c r="O1" s="807"/>
      <c r="P1" s="807"/>
      <c r="Q1" s="807"/>
      <c r="R1" s="807"/>
      <c r="S1" s="807"/>
      <c r="T1" s="807"/>
      <c r="U1" s="807"/>
      <c r="V1" s="807"/>
      <c r="W1" s="807"/>
      <c r="X1" s="807"/>
      <c r="Y1" s="781"/>
      <c r="Z1" s="781"/>
      <c r="AA1" s="781"/>
      <c r="AB1" s="781"/>
      <c r="AC1" s="781"/>
      <c r="AD1" s="781"/>
      <c r="AE1" s="781"/>
      <c r="AF1" s="781"/>
      <c r="AG1" s="781"/>
      <c r="AH1" s="839"/>
      <c r="AI1" s="839"/>
      <c r="AJ1" s="839"/>
      <c r="AK1" s="839"/>
      <c r="AL1" s="839"/>
      <c r="AM1" s="781"/>
      <c r="AN1" s="781"/>
      <c r="AO1" s="781"/>
      <c r="AP1" s="781"/>
      <c r="AQ1" s="781"/>
      <c r="AR1" s="781"/>
      <c r="AS1" s="781"/>
      <c r="AT1" s="781"/>
      <c r="AU1" s="781"/>
      <c r="AV1" s="781"/>
      <c r="AW1" s="781"/>
      <c r="AX1" s="781"/>
      <c r="AY1" s="781"/>
      <c r="AZ1" s="781"/>
      <c r="BA1" s="781"/>
      <c r="BB1" s="781"/>
      <c r="BC1" s="781"/>
      <c r="BD1" s="781"/>
      <c r="BE1" s="781"/>
      <c r="BF1" s="781"/>
      <c r="BG1" s="781"/>
      <c r="BH1" s="781"/>
      <c r="BI1" s="781"/>
      <c r="BJ1" s="781"/>
      <c r="BK1" s="781"/>
      <c r="BL1" s="781"/>
      <c r="BM1" s="781"/>
      <c r="BN1" s="781"/>
      <c r="BO1" s="781"/>
      <c r="BP1" s="781"/>
      <c r="BQ1" s="781"/>
      <c r="BR1" s="781"/>
      <c r="BS1" s="781"/>
      <c r="BT1" s="781"/>
      <c r="BU1" s="781"/>
      <c r="BV1" s="781"/>
      <c r="BW1" s="781"/>
      <c r="BX1" s="781"/>
      <c r="BY1" s="781"/>
      <c r="BZ1" s="781"/>
      <c r="CA1" s="781"/>
      <c r="CB1" s="781"/>
      <c r="CC1" s="781"/>
      <c r="CD1" s="781"/>
      <c r="CE1" s="781"/>
      <c r="CF1" s="781"/>
      <c r="CG1" s="781"/>
      <c r="CH1" s="781"/>
      <c r="CI1" s="781"/>
    </row>
    <row r="2" spans="1:87" s="784" customFormat="1" ht="20" customHeight="1">
      <c r="A2" s="806"/>
      <c r="B2" s="1472" t="s">
        <v>3578</v>
      </c>
      <c r="C2" s="1473" t="s">
        <v>3722</v>
      </c>
      <c r="D2" s="1473"/>
      <c r="E2" s="1280" t="s">
        <v>3537</v>
      </c>
      <c r="F2" s="808" t="s">
        <v>3543</v>
      </c>
      <c r="G2" s="808" t="s">
        <v>3544</v>
      </c>
      <c r="H2" s="808" t="s">
        <v>3545</v>
      </c>
      <c r="I2" s="808" t="s">
        <v>3546</v>
      </c>
      <c r="J2" s="808" t="s">
        <v>3547</v>
      </c>
      <c r="K2" s="809"/>
      <c r="L2" s="807"/>
      <c r="M2" s="807"/>
      <c r="N2" s="807"/>
      <c r="O2" s="807"/>
      <c r="P2" s="807"/>
      <c r="Q2" s="807"/>
      <c r="R2" s="807"/>
      <c r="S2" s="1360"/>
      <c r="T2" s="807"/>
      <c r="U2" s="807"/>
      <c r="V2" s="807"/>
      <c r="W2" s="807"/>
      <c r="X2" s="807"/>
      <c r="Y2" s="781"/>
      <c r="Z2" s="781"/>
      <c r="AA2" s="781"/>
      <c r="AB2" s="781"/>
      <c r="AC2" s="781"/>
      <c r="AD2" s="781"/>
      <c r="AE2" s="781"/>
      <c r="AF2" s="781"/>
      <c r="AG2" s="781"/>
      <c r="AH2" s="839"/>
      <c r="AI2" s="839"/>
      <c r="AJ2" s="839"/>
      <c r="AK2" s="839"/>
      <c r="AL2" s="839"/>
      <c r="AM2" s="781"/>
      <c r="AN2" s="781"/>
      <c r="AO2" s="781"/>
      <c r="AP2" s="781"/>
      <c r="AQ2" s="781"/>
      <c r="AR2" s="781"/>
      <c r="AS2" s="781"/>
      <c r="AT2" s="781"/>
      <c r="AU2" s="781"/>
      <c r="AV2" s="781"/>
      <c r="AW2" s="781"/>
      <c r="AX2" s="781"/>
      <c r="AY2" s="781"/>
      <c r="AZ2" s="781"/>
      <c r="BA2" s="781"/>
      <c r="BB2" s="781"/>
      <c r="BC2" s="781"/>
      <c r="BD2" s="781"/>
      <c r="BE2" s="781"/>
      <c r="BF2" s="781"/>
      <c r="BG2" s="781"/>
      <c r="BH2" s="781"/>
      <c r="BI2" s="781"/>
      <c r="BJ2" s="781"/>
      <c r="BK2" s="781"/>
      <c r="BL2" s="781"/>
      <c r="BM2" s="781"/>
      <c r="BN2" s="781"/>
      <c r="BO2" s="781"/>
      <c r="BP2" s="781"/>
      <c r="BQ2" s="781"/>
      <c r="BR2" s="781"/>
      <c r="BS2" s="781"/>
      <c r="BT2" s="781"/>
      <c r="BU2" s="781"/>
      <c r="BV2" s="781"/>
      <c r="BW2" s="781"/>
      <c r="BX2" s="781"/>
      <c r="BY2" s="781"/>
      <c r="BZ2" s="781"/>
      <c r="CA2" s="781"/>
      <c r="CB2" s="781"/>
      <c r="CC2" s="781"/>
      <c r="CD2" s="781"/>
      <c r="CE2" s="781"/>
      <c r="CF2" s="781"/>
      <c r="CG2" s="781"/>
      <c r="CH2" s="781"/>
      <c r="CI2" s="781"/>
    </row>
    <row r="3" spans="1:87" s="817" customFormat="1" ht="18" customHeight="1">
      <c r="A3" s="810"/>
      <c r="B3" s="1472"/>
      <c r="C3" s="1473"/>
      <c r="D3" s="1473"/>
      <c r="E3" s="1127" t="s">
        <v>3538</v>
      </c>
      <c r="F3" s="811" t="s">
        <v>3536</v>
      </c>
      <c r="G3" s="812" t="s">
        <v>3536</v>
      </c>
      <c r="H3" s="813" t="s">
        <v>3536</v>
      </c>
      <c r="I3" s="814" t="s">
        <v>3536</v>
      </c>
      <c r="J3" s="815" t="s">
        <v>3536</v>
      </c>
      <c r="K3" s="816"/>
      <c r="L3" s="816"/>
      <c r="M3" s="816"/>
      <c r="N3" s="816"/>
      <c r="O3" s="816"/>
      <c r="P3" s="816"/>
      <c r="Q3" s="816"/>
      <c r="R3" s="816"/>
      <c r="S3" s="1360"/>
      <c r="T3" s="1360"/>
      <c r="U3" s="816"/>
      <c r="V3" s="816"/>
      <c r="W3" s="816"/>
      <c r="X3" s="816"/>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row>
    <row r="4" spans="1:87" s="817" customFormat="1" ht="18" customHeight="1">
      <c r="A4" s="810"/>
      <c r="B4" s="1476"/>
      <c r="C4" s="810"/>
      <c r="D4" s="1476"/>
      <c r="E4" s="888" t="s">
        <v>3539</v>
      </c>
      <c r="F4" s="819" t="s">
        <v>3535</v>
      </c>
      <c r="G4" s="819" t="s">
        <v>3535</v>
      </c>
      <c r="H4" s="819" t="s">
        <v>3535</v>
      </c>
      <c r="I4" s="819" t="s">
        <v>3535</v>
      </c>
      <c r="J4" s="819" t="s">
        <v>3535</v>
      </c>
      <c r="K4" s="816"/>
      <c r="L4" s="816"/>
      <c r="M4" s="816"/>
      <c r="N4" s="816"/>
      <c r="O4" s="816"/>
      <c r="P4" s="816"/>
      <c r="Q4" s="816"/>
      <c r="R4" s="816"/>
      <c r="S4" s="1360"/>
      <c r="T4" s="1360"/>
      <c r="U4" s="816"/>
      <c r="V4" s="816"/>
      <c r="W4" s="816"/>
      <c r="X4" s="816"/>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8"/>
      <c r="BO4" s="818"/>
      <c r="BP4" s="818"/>
      <c r="BQ4" s="818"/>
      <c r="BR4" s="818"/>
      <c r="BS4" s="818"/>
      <c r="BT4" s="818"/>
      <c r="BU4" s="818"/>
      <c r="BV4" s="818"/>
      <c r="BW4" s="818"/>
      <c r="BX4" s="818"/>
      <c r="BY4" s="818"/>
      <c r="BZ4" s="818"/>
      <c r="CA4" s="818"/>
      <c r="CB4" s="818"/>
      <c r="CC4" s="818"/>
      <c r="CD4" s="818"/>
      <c r="CE4" s="818"/>
      <c r="CF4" s="818"/>
      <c r="CG4" s="818"/>
      <c r="CH4" s="818"/>
      <c r="CI4" s="818"/>
    </row>
    <row r="5" spans="1:87" s="817" customFormat="1" ht="20" customHeight="1">
      <c r="A5" s="810"/>
      <c r="B5" s="1476"/>
      <c r="C5" s="810"/>
      <c r="D5" s="1476"/>
      <c r="E5" s="889" t="s">
        <v>3540</v>
      </c>
      <c r="F5" s="820" t="s">
        <v>3066</v>
      </c>
      <c r="G5" s="820" t="s">
        <v>3066</v>
      </c>
      <c r="H5" s="820" t="s">
        <v>3066</v>
      </c>
      <c r="I5" s="820" t="s">
        <v>3066</v>
      </c>
      <c r="J5" s="820" t="s">
        <v>3066</v>
      </c>
      <c r="K5" s="816"/>
      <c r="L5" s="816"/>
      <c r="M5" s="816"/>
      <c r="N5" s="816"/>
      <c r="O5" s="816"/>
      <c r="P5" s="816"/>
      <c r="Q5" s="816"/>
      <c r="R5" s="816"/>
      <c r="S5" s="1360"/>
      <c r="T5" s="1360"/>
      <c r="U5" s="816"/>
      <c r="V5" s="816"/>
      <c r="W5" s="816"/>
      <c r="X5" s="816"/>
      <c r="AM5" s="818"/>
      <c r="AN5" s="818"/>
      <c r="AO5" s="818"/>
      <c r="AP5" s="818"/>
      <c r="AQ5" s="818"/>
      <c r="AR5" s="818"/>
      <c r="AS5" s="818"/>
      <c r="AT5" s="818"/>
      <c r="AU5" s="818"/>
      <c r="AV5" s="818"/>
      <c r="AW5" s="818"/>
      <c r="AX5" s="818"/>
      <c r="AY5" s="818"/>
      <c r="AZ5" s="818"/>
      <c r="BA5" s="818"/>
      <c r="BB5" s="818"/>
      <c r="BC5" s="818"/>
      <c r="BD5" s="818"/>
      <c r="BE5" s="818"/>
      <c r="BF5" s="818"/>
      <c r="BG5" s="818"/>
      <c r="BH5" s="818"/>
      <c r="BI5" s="818"/>
      <c r="BJ5" s="818"/>
      <c r="BK5" s="818"/>
      <c r="BL5" s="818"/>
      <c r="BM5" s="818"/>
      <c r="BN5" s="818"/>
      <c r="BO5" s="818"/>
      <c r="BP5" s="818"/>
      <c r="BQ5" s="818"/>
      <c r="BR5" s="818"/>
      <c r="BS5" s="818"/>
      <c r="BT5" s="818"/>
      <c r="BU5" s="818"/>
      <c r="BV5" s="818"/>
      <c r="BW5" s="818"/>
      <c r="BX5" s="818"/>
      <c r="BY5" s="818"/>
      <c r="BZ5" s="818"/>
      <c r="CA5" s="818"/>
      <c r="CB5" s="818"/>
      <c r="CC5" s="818"/>
      <c r="CD5" s="818"/>
      <c r="CE5" s="818"/>
      <c r="CF5" s="818"/>
      <c r="CG5" s="818"/>
      <c r="CH5" s="818"/>
      <c r="CI5" s="818"/>
    </row>
    <row r="6" spans="1:87" s="817" customFormat="1" ht="18" customHeight="1">
      <c r="A6" s="810"/>
      <c r="B6" s="1472" t="s">
        <v>3579</v>
      </c>
      <c r="C6" s="1474" t="s">
        <v>3724</v>
      </c>
      <c r="D6" s="1474"/>
      <c r="E6" s="1128" t="s">
        <v>3541</v>
      </c>
      <c r="F6" s="821" t="s">
        <v>3534</v>
      </c>
      <c r="G6" s="821" t="s">
        <v>3534</v>
      </c>
      <c r="H6" s="821" t="s">
        <v>3534</v>
      </c>
      <c r="I6" s="821" t="s">
        <v>3534</v>
      </c>
      <c r="J6" s="821" t="s">
        <v>3534</v>
      </c>
      <c r="K6" s="816"/>
      <c r="L6" s="816"/>
      <c r="M6" s="816"/>
      <c r="N6" s="816"/>
      <c r="O6" s="816"/>
      <c r="P6" s="816"/>
      <c r="Q6" s="816"/>
      <c r="R6" s="816"/>
      <c r="S6" s="1360"/>
      <c r="T6" s="1360"/>
      <c r="U6" s="816"/>
      <c r="V6" s="816"/>
      <c r="W6" s="816"/>
      <c r="X6" s="816"/>
      <c r="AM6" s="818"/>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c r="BL6" s="818"/>
      <c r="BM6" s="818"/>
      <c r="BN6" s="818"/>
      <c r="BO6" s="818"/>
      <c r="BP6" s="818"/>
      <c r="BQ6" s="818"/>
      <c r="BR6" s="818"/>
      <c r="BS6" s="818"/>
      <c r="BT6" s="818"/>
      <c r="BU6" s="818"/>
      <c r="BV6" s="818"/>
      <c r="BW6" s="818"/>
      <c r="BX6" s="818"/>
      <c r="BY6" s="818"/>
      <c r="BZ6" s="818"/>
      <c r="CA6" s="818"/>
      <c r="CB6" s="818"/>
      <c r="CC6" s="818"/>
      <c r="CD6" s="818"/>
      <c r="CE6" s="818"/>
      <c r="CF6" s="818"/>
      <c r="CG6" s="818"/>
      <c r="CH6" s="818"/>
      <c r="CI6" s="818"/>
    </row>
    <row r="7" spans="1:87" s="817" customFormat="1" ht="18" customHeight="1">
      <c r="A7" s="810"/>
      <c r="B7" s="1472"/>
      <c r="C7" s="1474"/>
      <c r="D7" s="1474"/>
      <c r="E7" s="1129" t="s">
        <v>3542</v>
      </c>
      <c r="F7" s="822" t="s">
        <v>3533</v>
      </c>
      <c r="G7" s="822" t="s">
        <v>3533</v>
      </c>
      <c r="H7" s="822" t="s">
        <v>3533</v>
      </c>
      <c r="I7" s="822" t="s">
        <v>3533</v>
      </c>
      <c r="J7" s="822" t="s">
        <v>3533</v>
      </c>
      <c r="K7" s="823"/>
      <c r="L7" s="816"/>
      <c r="M7" s="816"/>
      <c r="N7" s="816"/>
      <c r="O7" s="816"/>
      <c r="P7" s="816"/>
      <c r="Q7" s="816"/>
      <c r="R7" s="816"/>
      <c r="S7" s="1360"/>
      <c r="T7" s="1360"/>
      <c r="U7" s="816"/>
      <c r="V7" s="816"/>
      <c r="W7" s="816"/>
      <c r="X7" s="816"/>
      <c r="Y7" s="817" t="s">
        <v>2598</v>
      </c>
      <c r="AM7" s="818"/>
      <c r="AN7" s="818"/>
      <c r="AO7" s="818"/>
      <c r="AP7" s="818"/>
      <c r="AQ7" s="818"/>
      <c r="AR7" s="818"/>
      <c r="AS7" s="818"/>
      <c r="AT7" s="818"/>
      <c r="AU7" s="818"/>
      <c r="AV7" s="818"/>
      <c r="AW7" s="818"/>
      <c r="AX7" s="818"/>
      <c r="AY7" s="818"/>
      <c r="AZ7" s="818"/>
      <c r="BA7" s="818"/>
      <c r="BB7" s="818"/>
      <c r="BC7" s="818"/>
      <c r="BD7" s="818"/>
      <c r="BE7" s="818"/>
      <c r="BF7" s="818"/>
      <c r="BG7" s="818"/>
      <c r="BH7" s="818"/>
      <c r="BI7" s="818"/>
      <c r="BJ7" s="818"/>
      <c r="BK7" s="818"/>
      <c r="BL7" s="818"/>
      <c r="BM7" s="818"/>
      <c r="BN7" s="818"/>
      <c r="BO7" s="818"/>
      <c r="BP7" s="818"/>
      <c r="BQ7" s="818"/>
      <c r="BR7" s="818"/>
      <c r="BS7" s="818"/>
      <c r="BT7" s="818"/>
      <c r="BU7" s="818"/>
      <c r="BV7" s="818"/>
      <c r="BW7" s="818"/>
      <c r="BX7" s="818"/>
      <c r="BY7" s="818"/>
      <c r="BZ7" s="818"/>
      <c r="CA7" s="818"/>
      <c r="CB7" s="818"/>
      <c r="CC7" s="818"/>
      <c r="CD7" s="818"/>
      <c r="CE7" s="818"/>
      <c r="CF7" s="818"/>
      <c r="CG7" s="818"/>
      <c r="CH7" s="818"/>
      <c r="CI7" s="818"/>
    </row>
    <row r="8" spans="1:87" s="774" customFormat="1" ht="8" customHeight="1">
      <c r="A8" s="824"/>
      <c r="B8" s="866"/>
      <c r="C8" s="824"/>
      <c r="D8" s="869"/>
      <c r="E8" s="825"/>
      <c r="F8" s="825"/>
      <c r="G8" s="807"/>
      <c r="H8" s="807"/>
      <c r="I8" s="807"/>
      <c r="J8" s="807"/>
      <c r="K8" s="826"/>
      <c r="L8" s="807"/>
      <c r="M8" s="807"/>
      <c r="N8" s="807"/>
      <c r="O8" s="807"/>
      <c r="P8" s="807"/>
      <c r="Q8" s="807"/>
      <c r="R8" s="807"/>
      <c r="S8" s="807"/>
      <c r="T8" s="807"/>
      <c r="U8" s="807"/>
      <c r="V8" s="807"/>
      <c r="W8" s="807"/>
      <c r="X8" s="807"/>
      <c r="Y8" s="781"/>
      <c r="Z8" s="781"/>
      <c r="AA8" s="781"/>
      <c r="AB8" s="781"/>
      <c r="AC8" s="781"/>
      <c r="AD8" s="781"/>
      <c r="AE8" s="781"/>
      <c r="AF8" s="781"/>
      <c r="AG8" s="781"/>
      <c r="AH8" s="839"/>
      <c r="AI8" s="839"/>
      <c r="AJ8" s="839"/>
      <c r="AK8" s="839"/>
      <c r="AL8" s="839"/>
      <c r="AM8" s="781"/>
      <c r="AN8" s="781"/>
      <c r="AO8" s="781"/>
      <c r="AP8" s="781"/>
      <c r="AQ8" s="781"/>
      <c r="AR8" s="781"/>
      <c r="AS8" s="781"/>
      <c r="AT8" s="781"/>
      <c r="AU8" s="781"/>
      <c r="AV8" s="781"/>
      <c r="AW8" s="781"/>
      <c r="AX8" s="781"/>
      <c r="AY8" s="781"/>
      <c r="AZ8" s="781"/>
      <c r="BA8" s="781"/>
      <c r="BB8" s="781"/>
      <c r="BC8" s="781"/>
      <c r="BD8" s="781"/>
      <c r="BE8" s="781"/>
      <c r="BF8" s="781"/>
      <c r="BG8" s="781"/>
      <c r="BH8" s="781"/>
      <c r="BI8" s="781"/>
      <c r="BJ8" s="781"/>
      <c r="BK8" s="781"/>
      <c r="BL8" s="781"/>
      <c r="BM8" s="781"/>
      <c r="BN8" s="781"/>
      <c r="BO8" s="781"/>
      <c r="BP8" s="781"/>
      <c r="BQ8" s="781"/>
      <c r="BR8" s="781"/>
      <c r="BS8" s="781"/>
      <c r="BT8" s="781"/>
      <c r="BU8" s="781"/>
      <c r="BV8" s="781"/>
      <c r="BW8" s="781"/>
      <c r="BX8" s="781"/>
      <c r="BY8" s="781"/>
      <c r="BZ8" s="781"/>
      <c r="CA8" s="781"/>
      <c r="CB8" s="781"/>
      <c r="CC8" s="781"/>
      <c r="CD8" s="781"/>
      <c r="CE8" s="781"/>
      <c r="CF8" s="781"/>
      <c r="CG8" s="781"/>
      <c r="CH8" s="781"/>
      <c r="CI8" s="781"/>
    </row>
    <row r="9" spans="1:87" s="774" customFormat="1" ht="8" customHeight="1">
      <c r="A9" s="794"/>
      <c r="B9" s="795"/>
      <c r="C9" s="794"/>
      <c r="D9" s="796"/>
      <c r="E9" s="796"/>
      <c r="J9" s="797"/>
      <c r="W9" s="1134"/>
      <c r="X9" s="1134"/>
      <c r="Y9" s="781"/>
      <c r="Z9" s="781"/>
      <c r="AA9" s="781"/>
      <c r="AB9" s="781"/>
      <c r="AC9" s="781"/>
      <c r="AD9" s="781"/>
      <c r="AE9" s="781"/>
      <c r="AF9" s="781"/>
      <c r="AG9" s="781"/>
      <c r="AH9" s="839"/>
      <c r="AI9" s="839"/>
      <c r="AJ9" s="839"/>
      <c r="AK9" s="839"/>
      <c r="AL9" s="839"/>
      <c r="AM9" s="781"/>
      <c r="AN9" s="781"/>
      <c r="AO9" s="781"/>
      <c r="AP9" s="781"/>
      <c r="AQ9" s="781"/>
      <c r="AR9" s="781"/>
      <c r="AS9" s="781"/>
      <c r="AT9" s="781"/>
      <c r="AU9" s="781"/>
      <c r="AV9" s="781"/>
      <c r="AW9" s="781"/>
      <c r="AX9" s="781"/>
      <c r="AY9" s="781"/>
      <c r="AZ9" s="781"/>
      <c r="BA9" s="781"/>
      <c r="BB9" s="781"/>
      <c r="BC9" s="781"/>
      <c r="BD9" s="781"/>
      <c r="BE9" s="781"/>
      <c r="BF9" s="781"/>
      <c r="BG9" s="781"/>
      <c r="BH9" s="781"/>
      <c r="BI9" s="781"/>
      <c r="BJ9" s="781"/>
      <c r="BK9" s="781"/>
      <c r="BL9" s="781"/>
      <c r="BM9" s="781"/>
      <c r="BN9" s="781"/>
      <c r="BO9" s="781"/>
      <c r="BP9" s="781"/>
      <c r="BQ9" s="781"/>
      <c r="BR9" s="781"/>
      <c r="BS9" s="781"/>
      <c r="BT9" s="781"/>
      <c r="BU9" s="781"/>
      <c r="BV9" s="781"/>
      <c r="BW9" s="781"/>
      <c r="BX9" s="781"/>
      <c r="BY9" s="781"/>
      <c r="BZ9" s="781"/>
      <c r="CA9" s="781"/>
      <c r="CB9" s="781"/>
      <c r="CC9" s="781"/>
      <c r="CD9" s="781"/>
      <c r="CE9" s="781"/>
      <c r="CF9" s="781"/>
      <c r="CG9" s="781"/>
      <c r="CH9" s="781"/>
    </row>
    <row r="10" spans="1:87" s="784" customFormat="1" ht="18" customHeight="1">
      <c r="A10" s="794"/>
      <c r="B10" s="1429" t="s">
        <v>3597</v>
      </c>
      <c r="C10" s="1430"/>
      <c r="D10" s="798" cm="1">
        <f t="array" ref="D10">IF($C$2="Week 1",INDEX(Sheet1!D228:AG228,0,$AF$33),INDEX(Sheet2!D228:AG228,0,$AF$33))</f>
        <v>546.28290743418506</v>
      </c>
      <c r="E10" s="756" t="s">
        <v>2526</v>
      </c>
      <c r="F10" s="1423"/>
      <c r="G10" s="1437" t="s">
        <v>3604</v>
      </c>
      <c r="H10" s="1437"/>
      <c r="I10" s="1437"/>
      <c r="J10" s="800" t="s">
        <v>3860</v>
      </c>
      <c r="K10" s="801" t="s">
        <v>1402</v>
      </c>
      <c r="L10" s="1438"/>
      <c r="M10" s="1470" t="s">
        <v>3605</v>
      </c>
      <c r="N10" s="1470"/>
      <c r="O10" s="1212" t="s">
        <v>67</v>
      </c>
      <c r="P10" s="1212" t="s">
        <v>1362</v>
      </c>
      <c r="Q10" s="1212" t="s">
        <v>69</v>
      </c>
      <c r="R10" s="1212" t="s">
        <v>1364</v>
      </c>
      <c r="S10" s="1223" cm="1">
        <f t="array" ref="S10">IF($C$2="Week 1",INDEX(Sheet1!D171:AG171,0,$AF$33),INDEX(Sheet2!D171:AG171,0,$AF$33))</f>
        <v>1.0941007540894141</v>
      </c>
      <c r="T10" s="1214"/>
      <c r="U10" s="774"/>
      <c r="V10" s="774"/>
      <c r="W10" s="1134"/>
      <c r="X10" s="1134"/>
      <c r="Y10" s="818" t="s">
        <v>2597</v>
      </c>
      <c r="Z10" s="781" t="s">
        <v>3721</v>
      </c>
      <c r="AA10" s="781"/>
      <c r="AB10" s="781"/>
      <c r="AC10" s="781"/>
      <c r="AD10" s="781"/>
      <c r="AE10" s="781"/>
      <c r="AF10" s="781"/>
      <c r="AG10" s="781"/>
      <c r="AH10" s="839"/>
      <c r="AI10" s="839"/>
      <c r="AJ10" s="839"/>
      <c r="AK10" s="839"/>
      <c r="AL10" s="839"/>
      <c r="AM10" s="781"/>
      <c r="AN10" s="781"/>
      <c r="AO10" s="781"/>
      <c r="AP10" s="781"/>
      <c r="AQ10" s="781"/>
      <c r="AR10" s="781"/>
      <c r="AS10" s="781"/>
      <c r="AT10" s="781"/>
      <c r="AU10" s="781"/>
      <c r="AV10" s="781"/>
      <c r="AW10" s="781"/>
      <c r="AX10" s="781"/>
      <c r="AY10" s="781"/>
      <c r="AZ10" s="781"/>
      <c r="BA10" s="781"/>
      <c r="BB10" s="781"/>
      <c r="BC10" s="781"/>
      <c r="BD10" s="781"/>
      <c r="BE10" s="781"/>
      <c r="BF10" s="781"/>
      <c r="BG10" s="781"/>
      <c r="BH10" s="781"/>
      <c r="BI10" s="781"/>
      <c r="BJ10" s="781"/>
      <c r="BK10" s="781"/>
      <c r="BL10" s="781"/>
      <c r="BM10" s="781"/>
      <c r="BN10" s="781"/>
      <c r="BO10" s="781"/>
      <c r="BP10" s="781"/>
      <c r="BQ10" s="781"/>
      <c r="BR10" s="781"/>
      <c r="BS10" s="781"/>
      <c r="BT10" s="781"/>
      <c r="BU10" s="781"/>
      <c r="BV10" s="781"/>
      <c r="BW10" s="781"/>
      <c r="BX10" s="781"/>
      <c r="BY10" s="781"/>
      <c r="BZ10" s="781"/>
      <c r="CA10" s="781"/>
      <c r="CB10" s="781"/>
      <c r="CC10" s="781"/>
      <c r="CD10" s="781"/>
      <c r="CE10" s="781"/>
      <c r="CF10" s="781"/>
      <c r="CG10" s="781"/>
      <c r="CH10" s="781"/>
    </row>
    <row r="11" spans="1:87" s="784" customFormat="1" ht="18" customHeight="1">
      <c r="A11" s="794"/>
      <c r="B11" s="1427" t="s">
        <v>3598</v>
      </c>
      <c r="C11" s="1428"/>
      <c r="D11" s="1439" cm="1">
        <f t="array" ref="D11">IF($C$2="Week 1",INDEX(Sheet1!D229:AG229,0,$AF$33),INDEX(Sheet2!D229:AG229,0,$AF$33))</f>
        <v>150.39869060261884</v>
      </c>
      <c r="E11" s="1475" cm="1">
        <f t="array" ref="E11">IF($C$2="Week 1",INDEX(Sheet1!D231:AG231,0,$AF$33),INDEX(Sheet2!D231:AG231,0,$AF$33))</f>
        <v>0.27485352077426262</v>
      </c>
      <c r="F11" s="1423"/>
      <c r="G11" s="1464" t="s">
        <v>3603</v>
      </c>
      <c r="H11" s="1465"/>
      <c r="I11" s="1466"/>
      <c r="J11" s="802" cm="1">
        <f t="array" ref="J11">IF($C$2="Week 1",INDEX(Sheet1!D232:AG232,0,$AF$33),INDEX(Sheet2!D232:AG232,0,$AF$33))</f>
        <v>70.302348463701335</v>
      </c>
      <c r="K11" s="829" t="s">
        <v>2527</v>
      </c>
      <c r="L11" s="1438"/>
      <c r="M11" s="1470" t="s">
        <v>3594</v>
      </c>
      <c r="N11" s="1470"/>
      <c r="O11" s="1212">
        <f>Sheet1!E122</f>
        <v>30</v>
      </c>
      <c r="P11" s="1212">
        <f>Sheet1!F122</f>
        <v>10</v>
      </c>
      <c r="Q11" s="1212">
        <f>Sheet1!G122</f>
        <v>30</v>
      </c>
      <c r="R11" s="1212">
        <f>Sheet1!H122</f>
        <v>10</v>
      </c>
      <c r="S11" s="1214"/>
      <c r="T11" s="1214"/>
      <c r="U11" s="774"/>
      <c r="V11" s="774"/>
      <c r="W11" s="1134"/>
      <c r="X11" s="1134"/>
      <c r="Y11" s="818" t="s">
        <v>1744</v>
      </c>
      <c r="Z11" s="781" t="s">
        <v>3722</v>
      </c>
      <c r="AA11" s="781"/>
      <c r="AB11" s="781"/>
      <c r="AC11" s="781"/>
      <c r="AD11" s="781"/>
      <c r="AE11" s="781"/>
      <c r="AF11" s="781"/>
      <c r="AG11" s="781"/>
      <c r="AH11" s="839"/>
      <c r="AI11" s="839"/>
      <c r="AJ11" s="839"/>
      <c r="AK11" s="839"/>
      <c r="AL11" s="839"/>
      <c r="AM11" s="781"/>
      <c r="AN11" s="781"/>
      <c r="AO11" s="781"/>
      <c r="AP11" s="781"/>
      <c r="AQ11" s="781"/>
      <c r="AR11" s="781"/>
      <c r="AS11" s="781"/>
      <c r="AT11" s="781"/>
      <c r="AU11" s="781"/>
      <c r="AV11" s="781"/>
      <c r="AW11" s="781"/>
      <c r="AX11" s="781"/>
      <c r="AY11" s="781"/>
      <c r="AZ11" s="781"/>
      <c r="BA11" s="781"/>
      <c r="BB11" s="781"/>
      <c r="BC11" s="781"/>
      <c r="BD11" s="781"/>
      <c r="BE11" s="781"/>
      <c r="BF11" s="781"/>
      <c r="BG11" s="781"/>
      <c r="BH11" s="781"/>
      <c r="BI11" s="781"/>
      <c r="BJ11" s="781"/>
      <c r="BK11" s="781"/>
      <c r="BL11" s="781"/>
      <c r="BM11" s="781"/>
      <c r="BN11" s="781"/>
      <c r="BO11" s="781"/>
      <c r="BP11" s="781"/>
      <c r="BQ11" s="781"/>
      <c r="BR11" s="781"/>
      <c r="BS11" s="781"/>
      <c r="BT11" s="781"/>
      <c r="BU11" s="781"/>
      <c r="BV11" s="781"/>
      <c r="BW11" s="781"/>
      <c r="BX11" s="781"/>
      <c r="BY11" s="781"/>
      <c r="BZ11" s="781"/>
      <c r="CA11" s="781"/>
      <c r="CB11" s="781"/>
      <c r="CC11" s="781"/>
      <c r="CD11" s="781"/>
      <c r="CE11" s="781"/>
      <c r="CF11" s="781"/>
      <c r="CG11" s="781"/>
      <c r="CH11" s="781"/>
    </row>
    <row r="12" spans="1:87" s="784" customFormat="1" ht="19" customHeight="1">
      <c r="A12" s="794"/>
      <c r="B12" s="1427"/>
      <c r="C12" s="1428"/>
      <c r="D12" s="1439"/>
      <c r="E12" s="1475"/>
      <c r="F12" s="1423"/>
      <c r="G12" s="1467" t="s">
        <v>3596</v>
      </c>
      <c r="H12" s="1468"/>
      <c r="I12" s="1469"/>
      <c r="J12" s="803" cm="1">
        <f t="array" ref="J12">IF($C$2="Week 1",INDEX(Sheet1!D233:AG233,0,$AF$33),INDEX(Sheet2!D233:AG233,0,$AF$33))</f>
        <v>19.312440026297434</v>
      </c>
      <c r="K12" s="804" cm="1">
        <f t="array" ref="K12">IF($C$2="Week 1",INDEX(Sheet1!D234:AG234,0,$AF$33),INDEX(Sheet2!D234:AG234,0,$AF$33))</f>
        <v>0.27424009545688333</v>
      </c>
      <c r="L12" s="1438"/>
      <c r="M12" s="1470" t="s">
        <v>3595</v>
      </c>
      <c r="N12" s="1470"/>
      <c r="O12" s="1212">
        <f>IF(SUM(Sheet1!N149:R149)=0,0,Sheet1!E122)</f>
        <v>30</v>
      </c>
      <c r="P12" s="1212">
        <f>IF(SUM(Sheet1!S149:W149)=0,0,Sheet1!F122)</f>
        <v>10</v>
      </c>
      <c r="Q12" s="1212">
        <f>IF(SUM(Sheet1!X149:AB149)=0,0,Sheet1!G122)</f>
        <v>30</v>
      </c>
      <c r="R12" s="1212">
        <f>IF(SUM(Sheet1!AC149:AG149)=0,0,Sheet1!H122)</f>
        <v>0</v>
      </c>
      <c r="S12" s="774"/>
      <c r="T12" s="774"/>
      <c r="U12" s="774"/>
      <c r="V12" s="774"/>
      <c r="W12" s="1134"/>
      <c r="X12" s="1134"/>
      <c r="Y12" s="818" t="s">
        <v>2612</v>
      </c>
      <c r="Z12" s="781" t="s">
        <v>3723</v>
      </c>
      <c r="AA12" s="781"/>
      <c r="AB12" s="781"/>
      <c r="AC12" s="781"/>
      <c r="AD12" s="781"/>
      <c r="AE12" s="781"/>
      <c r="AF12" s="781"/>
      <c r="AG12" s="781"/>
      <c r="AH12" s="839"/>
      <c r="AI12" s="839"/>
      <c r="AJ12" s="839"/>
      <c r="AK12" s="839"/>
      <c r="AL12" s="839"/>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c r="BK12" s="781"/>
      <c r="BL12" s="781"/>
      <c r="BM12" s="781"/>
      <c r="BN12" s="781"/>
      <c r="BO12" s="781"/>
      <c r="BP12" s="781"/>
      <c r="BQ12" s="781"/>
      <c r="BR12" s="781"/>
      <c r="BS12" s="781"/>
      <c r="BT12" s="781"/>
      <c r="BU12" s="781"/>
      <c r="BV12" s="781"/>
      <c r="BW12" s="781"/>
      <c r="BX12" s="781"/>
      <c r="BY12" s="781"/>
      <c r="BZ12" s="781"/>
      <c r="CA12" s="781"/>
      <c r="CB12" s="781"/>
      <c r="CC12" s="781"/>
      <c r="CD12" s="781"/>
      <c r="CE12" s="781"/>
      <c r="CF12" s="781"/>
      <c r="CG12" s="781"/>
      <c r="CH12" s="781"/>
    </row>
    <row r="13" spans="1:87" s="784" customFormat="1" ht="18" customHeight="1">
      <c r="A13" s="785"/>
      <c r="B13" s="1431" t="s">
        <v>3599</v>
      </c>
      <c r="C13" s="1432"/>
      <c r="D13" s="798" cm="1">
        <f t="array" ref="D13">IF($C$2="Week 1",INDEX(Sheet1!D230:AG230,0,$AF$33),INDEX(Sheet2!D230:AG230,0,$AF$33))</f>
        <v>982.05807588384823</v>
      </c>
      <c r="E13" s="756" t="s">
        <v>4150</v>
      </c>
      <c r="F13" s="1424"/>
      <c r="G13" s="1424"/>
      <c r="H13" s="1424"/>
      <c r="I13" s="1424"/>
      <c r="J13" s="1424"/>
      <c r="K13" s="1424"/>
      <c r="L13" s="1424"/>
      <c r="M13" s="1137"/>
      <c r="N13" s="1137"/>
      <c r="O13" s="775" cm="1">
        <f t="array" ref="O13">IF($C$2="Week 1",INDEX(Sheet1!D172:AG172,0,$AF$33),INDEX(Sheet2!D172:AG172,0,$AF$33))</f>
        <v>0</v>
      </c>
      <c r="P13" s="1137"/>
      <c r="Q13" s="1137"/>
      <c r="R13" s="776" t="str" cm="1">
        <f t="array" ref="R13">INDEX(Sheet1!D255:AG255,0,$AF$33)</f>
        <v>% by weight of food items (Weekly average: lunch)</v>
      </c>
      <c r="S13" s="774"/>
      <c r="T13" s="774"/>
      <c r="U13" s="774"/>
      <c r="V13" s="774"/>
      <c r="W13" s="1134"/>
      <c r="X13" s="1134"/>
      <c r="Y13" s="818" t="s">
        <v>2613</v>
      </c>
      <c r="Z13" s="1278" t="s">
        <v>3724</v>
      </c>
      <c r="AA13" s="781"/>
      <c r="AB13" s="781"/>
      <c r="AC13" s="781"/>
      <c r="AD13" s="781"/>
      <c r="AE13" s="781"/>
      <c r="AF13" s="781"/>
      <c r="AG13" s="781"/>
      <c r="AH13" s="839"/>
      <c r="AI13" s="839"/>
      <c r="AJ13" s="839"/>
      <c r="AK13" s="839"/>
      <c r="AL13" s="839"/>
      <c r="AM13" s="781"/>
      <c r="AN13" s="781"/>
      <c r="AO13" s="781"/>
      <c r="AP13" s="781"/>
      <c r="AQ13" s="781"/>
      <c r="AR13" s="781"/>
      <c r="AS13" s="781"/>
      <c r="AT13" s="781"/>
      <c r="AU13" s="781"/>
      <c r="AV13" s="781"/>
      <c r="AW13" s="781"/>
      <c r="AX13" s="781"/>
      <c r="AY13" s="781"/>
      <c r="AZ13" s="781"/>
      <c r="BA13" s="781"/>
      <c r="BB13" s="781"/>
      <c r="BC13" s="781"/>
      <c r="BD13" s="781"/>
      <c r="BE13" s="781"/>
      <c r="BF13" s="781"/>
      <c r="BG13" s="781"/>
      <c r="BH13" s="781"/>
      <c r="BI13" s="781"/>
      <c r="BJ13" s="781"/>
      <c r="BK13" s="781"/>
      <c r="BL13" s="781"/>
      <c r="BM13" s="781"/>
      <c r="BN13" s="781"/>
      <c r="BO13" s="781"/>
      <c r="BP13" s="781"/>
      <c r="BQ13" s="781"/>
      <c r="BR13" s="781"/>
      <c r="BS13" s="781"/>
      <c r="BT13" s="781"/>
      <c r="BU13" s="781"/>
      <c r="BV13" s="781"/>
      <c r="BW13" s="781"/>
      <c r="BX13" s="781"/>
      <c r="BY13" s="781"/>
      <c r="BZ13" s="781"/>
      <c r="CA13" s="781"/>
      <c r="CB13" s="781"/>
      <c r="CC13" s="781"/>
      <c r="CD13" s="781"/>
      <c r="CE13" s="781"/>
      <c r="CF13" s="781"/>
      <c r="CG13" s="781"/>
      <c r="CH13" s="781"/>
    </row>
    <row r="14" spans="1:87" s="774" customFormat="1" ht="21" customHeight="1">
      <c r="A14" s="794"/>
      <c r="B14" s="795" t="s">
        <v>3602</v>
      </c>
      <c r="C14" s="794"/>
      <c r="D14" s="1471" t="str" cm="1">
        <f t="array" ref="D14">IF($C$2="Week 1",INDEX(Sheet1!D256:AG256,0,$AF$33),INDEX(Sheet2!D256:AG256,0,$AF$33))</f>
        <v xml:space="preserve">Lunch - All days     </v>
      </c>
      <c r="E14" s="1471"/>
      <c r="F14" s="1471"/>
      <c r="G14" s="1424"/>
      <c r="H14" s="1424"/>
      <c r="I14" s="1424"/>
      <c r="J14" s="1424"/>
      <c r="K14" s="1424"/>
      <c r="L14" s="1424"/>
      <c r="M14" s="1137"/>
      <c r="N14" s="1137"/>
      <c r="O14" s="775" cm="1">
        <f t="array" ref="O14">IF($C$2="Week 1",INDEX(Sheet1!D173:AG173,0,$AF$33),INDEX(Sheet2!D173:AG173,0,$AF$33))</f>
        <v>0</v>
      </c>
      <c r="P14" s="1137"/>
      <c r="Q14" s="1137"/>
      <c r="R14" s="1137"/>
      <c r="W14" s="1134"/>
      <c r="X14" s="1134"/>
      <c r="Y14" s="781"/>
      <c r="Z14" s="781"/>
      <c r="AA14" s="781"/>
      <c r="AB14" s="781"/>
      <c r="AC14" s="781"/>
      <c r="AD14" s="781"/>
      <c r="AE14" s="781"/>
      <c r="AF14" s="781"/>
      <c r="AG14" s="781"/>
      <c r="AH14" s="839"/>
      <c r="AI14" s="839"/>
      <c r="AJ14" s="839"/>
      <c r="AK14" s="839"/>
      <c r="AL14" s="839"/>
      <c r="AM14" s="781"/>
      <c r="AN14" s="781"/>
      <c r="AO14" s="781"/>
      <c r="AP14" s="781"/>
      <c r="AQ14" s="781"/>
      <c r="AR14" s="781"/>
      <c r="AS14" s="781"/>
      <c r="AT14" s="781"/>
      <c r="AU14" s="781"/>
      <c r="AV14" s="781"/>
      <c r="AW14" s="781"/>
      <c r="AX14" s="781"/>
      <c r="AY14" s="781"/>
      <c r="AZ14" s="781"/>
      <c r="BA14" s="781"/>
      <c r="BB14" s="781"/>
      <c r="BC14" s="781"/>
      <c r="BD14" s="781"/>
      <c r="BE14" s="781"/>
      <c r="BF14" s="781"/>
      <c r="BG14" s="781"/>
      <c r="BH14" s="781"/>
      <c r="BI14" s="781"/>
      <c r="BJ14" s="781"/>
      <c r="BK14" s="781"/>
      <c r="BL14" s="781"/>
      <c r="BM14" s="781"/>
      <c r="BN14" s="781"/>
      <c r="BO14" s="781"/>
      <c r="BP14" s="781"/>
      <c r="BQ14" s="781"/>
      <c r="BR14" s="781"/>
      <c r="BS14" s="781"/>
      <c r="BT14" s="781"/>
      <c r="BU14" s="781"/>
      <c r="BV14" s="781"/>
      <c r="BW14" s="781"/>
      <c r="BX14" s="781"/>
      <c r="BY14" s="781"/>
      <c r="BZ14" s="781"/>
      <c r="CA14" s="781"/>
      <c r="CB14" s="781"/>
      <c r="CC14" s="781"/>
      <c r="CD14" s="781"/>
      <c r="CE14" s="781"/>
      <c r="CF14" s="781"/>
      <c r="CG14" s="781"/>
      <c r="CH14" s="781"/>
    </row>
    <row r="15" spans="1:87" s="784" customFormat="1" ht="23" customHeight="1">
      <c r="A15" s="786"/>
      <c r="B15" s="1433" t="s">
        <v>3601</v>
      </c>
      <c r="C15" s="1435" t="s">
        <v>2090</v>
      </c>
      <c r="D15" s="1456" t="str" cm="1">
        <f t="array" ref="D15">IF($C$2="Week 1",INDEX(Sheet1!D148:AG148,0,$AF$33),INDEX(Sheet2!D148:AG148,0,$AF$33))</f>
        <v>Amount given to children for lunch</v>
      </c>
      <c r="E15" s="1456" t="str" cm="1">
        <f t="array" ref="E15">IF($C$2="Week 1",INDEX(Sheet1!D175:AG175,0,$AF$33),INDEX(Sheet2!D175:AG175,0,$AF$33))</f>
        <v>Total given to children for lunch: % recommended</v>
      </c>
      <c r="F15" s="1458" t="str" cm="1">
        <f t="array" ref="F15">IF($C$2="Week 1",INDEX(Sheet1!D202:AG202,0,$AF$33),INDEX(Sheet2!D202:AG202,0,$AF$33))</f>
        <v>Lunch eaten by children: % recommended</v>
      </c>
      <c r="G15" s="1460"/>
      <c r="H15" s="1461"/>
      <c r="I15" s="1461"/>
      <c r="J15" s="1461"/>
      <c r="K15" s="1461"/>
      <c r="L15" s="1461"/>
      <c r="M15" s="989"/>
      <c r="N15" s="989"/>
      <c r="O15" s="1213" t="str" cm="1">
        <f t="array" ref="O15">IF($C$2="Week 1",INDEX(Sheet1!D202:AG202,0,$AF$33),INDEX(Sheet2!D202:AG202,0,$AF$33))</f>
        <v>Lunch eaten by children: % recommended</v>
      </c>
      <c r="P15" s="1137"/>
      <c r="Q15" s="1137"/>
      <c r="R15" s="1137"/>
      <c r="S15" s="774"/>
      <c r="T15" s="774"/>
      <c r="U15" s="774"/>
      <c r="V15" s="774"/>
      <c r="W15" s="1134"/>
      <c r="X15" s="1134"/>
      <c r="Y15" s="781"/>
      <c r="Z15" s="781"/>
      <c r="AA15" s="781"/>
      <c r="AB15" s="781"/>
      <c r="AC15" s="781"/>
      <c r="AD15" s="781"/>
      <c r="AE15" s="781"/>
      <c r="AF15" s="781"/>
      <c r="AG15" s="781"/>
      <c r="AH15" s="839"/>
      <c r="AI15" s="839"/>
      <c r="AJ15" s="839"/>
      <c r="AK15" s="839"/>
      <c r="AL15" s="839"/>
      <c r="AM15" s="781"/>
      <c r="AN15" s="781"/>
      <c r="AO15" s="781"/>
      <c r="AP15" s="781"/>
      <c r="AQ15" s="781"/>
      <c r="AR15" s="781"/>
      <c r="AS15" s="781"/>
      <c r="AT15" s="781"/>
      <c r="AU15" s="781"/>
      <c r="AV15" s="781"/>
      <c r="AW15" s="781"/>
      <c r="AX15" s="781"/>
      <c r="AY15" s="781"/>
      <c r="AZ15" s="781"/>
      <c r="BA15" s="781"/>
      <c r="BB15" s="781"/>
      <c r="BC15" s="781"/>
      <c r="BD15" s="781"/>
      <c r="BE15" s="781"/>
      <c r="BF15" s="781"/>
      <c r="BG15" s="781"/>
      <c r="BH15" s="781"/>
      <c r="BI15" s="781"/>
      <c r="BJ15" s="781"/>
      <c r="BK15" s="781"/>
      <c r="BL15" s="781"/>
      <c r="BM15" s="781"/>
      <c r="BN15" s="781"/>
      <c r="BO15" s="781"/>
      <c r="BP15" s="781"/>
      <c r="BQ15" s="781"/>
      <c r="BR15" s="781"/>
      <c r="BS15" s="781"/>
      <c r="BT15" s="781"/>
      <c r="BU15" s="781"/>
      <c r="BV15" s="781"/>
      <c r="BW15" s="781"/>
      <c r="BX15" s="781"/>
      <c r="BY15" s="781"/>
      <c r="BZ15" s="781"/>
      <c r="CA15" s="781"/>
      <c r="CB15" s="781"/>
      <c r="CC15" s="781"/>
      <c r="CD15" s="781"/>
      <c r="CE15" s="781"/>
      <c r="CF15" s="781"/>
      <c r="CG15" s="781"/>
      <c r="CH15" s="781"/>
    </row>
    <row r="16" spans="1:87" s="784" customFormat="1" ht="24" customHeight="1">
      <c r="A16" s="786"/>
      <c r="B16" s="1433"/>
      <c r="C16" s="1435"/>
      <c r="D16" s="1456"/>
      <c r="E16" s="1456"/>
      <c r="F16" s="1458"/>
      <c r="G16" s="1460"/>
      <c r="H16" s="1461"/>
      <c r="I16" s="1461"/>
      <c r="J16" s="1461"/>
      <c r="K16" s="1461"/>
      <c r="L16" s="1461"/>
      <c r="M16" s="980"/>
      <c r="N16" s="981"/>
      <c r="O16" s="1213" t="str" cm="1">
        <f t="array" ref="O16">IF($C$2="Week 1",INDEX(Sheet1!D175:AG175,0,$AF$33),INDEX(Sheet2!D175:AG175,0,$AF$33))</f>
        <v>Total given to children for lunch: % recommended</v>
      </c>
      <c r="P16" s="1137"/>
      <c r="Q16" s="1137"/>
      <c r="R16" s="1137"/>
      <c r="S16" s="774"/>
      <c r="T16" s="774"/>
      <c r="U16" s="774"/>
      <c r="V16" s="774"/>
      <c r="W16" s="1134"/>
      <c r="X16" s="1134"/>
      <c r="Y16" s="781"/>
      <c r="Z16" s="781"/>
      <c r="AA16" s="781"/>
      <c r="AB16" s="781"/>
      <c r="AC16" s="781"/>
      <c r="AD16" s="781"/>
      <c r="AE16" s="781"/>
      <c r="AF16" s="781"/>
      <c r="AG16" s="781"/>
      <c r="AH16" s="839"/>
      <c r="AI16" s="839"/>
      <c r="AJ16" s="839"/>
      <c r="AK16" s="839"/>
      <c r="AL16" s="839"/>
      <c r="AM16" s="781"/>
      <c r="AN16" s="781"/>
      <c r="AO16" s="781"/>
      <c r="AP16" s="781"/>
      <c r="AQ16" s="781"/>
      <c r="AR16" s="781"/>
      <c r="AS16" s="781"/>
      <c r="AT16" s="781"/>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1"/>
      <c r="BX16" s="781"/>
      <c r="BY16" s="781"/>
      <c r="BZ16" s="781"/>
      <c r="CA16" s="781"/>
      <c r="CB16" s="781"/>
      <c r="CC16" s="781"/>
      <c r="CD16" s="781"/>
      <c r="CE16" s="781"/>
      <c r="CF16" s="781"/>
      <c r="CG16" s="781"/>
      <c r="CH16" s="781"/>
    </row>
    <row r="17" spans="1:86" s="784" customFormat="1" ht="20" customHeight="1">
      <c r="A17" s="786"/>
      <c r="B17" s="1434"/>
      <c r="C17" s="1436"/>
      <c r="D17" s="1457"/>
      <c r="E17" s="1457"/>
      <c r="F17" s="1459"/>
      <c r="G17" s="1462" t="str">
        <f>'Charts and graphs'!$O$16</f>
        <v>Total given to children for lunch: % recommended</v>
      </c>
      <c r="H17" s="1463"/>
      <c r="I17" s="1463"/>
      <c r="J17" s="1463"/>
      <c r="K17" s="1463"/>
      <c r="L17" s="1463"/>
      <c r="M17" s="1441" t="str">
        <f>'Charts and graphs'!$O$15</f>
        <v>Lunch eaten by children: % recommended</v>
      </c>
      <c r="N17" s="1441"/>
      <c r="O17" s="1441"/>
      <c r="P17" s="1441"/>
      <c r="Q17" s="1441"/>
      <c r="R17" s="1441"/>
      <c r="S17" s="774"/>
      <c r="T17" s="774"/>
      <c r="U17" s="774"/>
      <c r="V17" s="774"/>
      <c r="W17" s="1134"/>
      <c r="X17" s="1134"/>
      <c r="Y17" s="781"/>
      <c r="Z17" s="781"/>
      <c r="AA17" s="781"/>
      <c r="AB17" s="781"/>
      <c r="AC17" s="781"/>
      <c r="AD17" s="781"/>
      <c r="AE17" s="781"/>
      <c r="AF17" s="781"/>
      <c r="AG17" s="781"/>
      <c r="AH17" s="839"/>
      <c r="AI17" s="839"/>
      <c r="AJ17" s="839"/>
      <c r="AK17" s="839"/>
      <c r="AL17" s="839"/>
      <c r="AM17" s="781"/>
      <c r="AN17" s="781"/>
      <c r="AO17" s="781"/>
      <c r="AP17" s="781"/>
      <c r="AQ17" s="781"/>
      <c r="AR17" s="781"/>
      <c r="AS17" s="781"/>
      <c r="AT17" s="781"/>
      <c r="AU17" s="781"/>
      <c r="AV17" s="781"/>
      <c r="AW17" s="781"/>
      <c r="AX17" s="781"/>
      <c r="AY17" s="781"/>
      <c r="AZ17" s="781"/>
      <c r="BA17" s="781"/>
      <c r="BB17" s="781"/>
      <c r="BC17" s="781"/>
      <c r="BD17" s="781"/>
      <c r="BE17" s="781"/>
      <c r="BF17" s="781"/>
      <c r="BG17" s="781"/>
      <c r="BH17" s="781"/>
      <c r="BI17" s="781"/>
      <c r="BJ17" s="781"/>
      <c r="BK17" s="781"/>
      <c r="BL17" s="781"/>
      <c r="BM17" s="781"/>
      <c r="BN17" s="781"/>
      <c r="BO17" s="781"/>
      <c r="BP17" s="781"/>
      <c r="BQ17" s="781"/>
      <c r="BR17" s="781"/>
      <c r="BS17" s="781"/>
      <c r="BT17" s="781"/>
      <c r="BU17" s="781"/>
      <c r="BV17" s="781"/>
      <c r="BW17" s="781"/>
      <c r="BX17" s="781"/>
      <c r="BY17" s="781"/>
      <c r="BZ17" s="781"/>
      <c r="CA17" s="781"/>
      <c r="CB17" s="781"/>
      <c r="CC17" s="781"/>
      <c r="CD17" s="781"/>
      <c r="CE17" s="781"/>
      <c r="CF17" s="781"/>
      <c r="CG17" s="781"/>
      <c r="CH17" s="781"/>
    </row>
    <row r="18" spans="1:86" s="784" customFormat="1" ht="16" customHeight="1">
      <c r="A18" s="1224" t="s">
        <v>3861</v>
      </c>
      <c r="B18" s="768" t="s">
        <v>3878</v>
      </c>
      <c r="C18" s="1113">
        <v>0</v>
      </c>
      <c r="D18" s="867" cm="1">
        <f t="array" ref="D18">IF($C$2="Week 1",INDEX(Sheet1!D149:AG149,0,$AF$33),INDEX(Sheet2!D149:AG149,0,$AF$33))</f>
        <v>848.36323405561689</v>
      </c>
      <c r="E18" s="868" cm="1">
        <f t="array" ref="E18">IF($C$2="Week 1",INDEX(Sheet1!D176:AG176,0,$AF$33),INDEX(Sheet2!D176:AG176,0,$AF$33))</f>
        <v>141.3938723426028</v>
      </c>
      <c r="F18" s="769" cm="1">
        <f t="array" ref="F18">IF($C$2="Week 1",INDEX(Sheet1!D203:AG203,0,$AF$33),INDEX(Sheet2!D203:AG203,0,$AF$33))</f>
        <v>102.55386221703024</v>
      </c>
      <c r="G18" s="1462"/>
      <c r="H18" s="1463"/>
      <c r="I18" s="1463"/>
      <c r="J18" s="1463"/>
      <c r="K18" s="1463"/>
      <c r="L18" s="1463"/>
      <c r="M18" s="1441"/>
      <c r="N18" s="1441"/>
      <c r="O18" s="1441"/>
      <c r="P18" s="1441"/>
      <c r="Q18" s="1441"/>
      <c r="R18" s="1441"/>
      <c r="S18" s="774"/>
      <c r="T18" s="774"/>
      <c r="U18" s="774"/>
      <c r="V18" s="774"/>
      <c r="W18" s="1134"/>
      <c r="X18" s="1134"/>
      <c r="Y18" s="781"/>
      <c r="Z18" s="781"/>
      <c r="AA18" s="781"/>
      <c r="AB18" s="781"/>
      <c r="AC18" s="781"/>
      <c r="AD18" s="781"/>
      <c r="AE18" s="781"/>
      <c r="AF18" s="781"/>
      <c r="AG18" s="781"/>
      <c r="AH18" s="839"/>
      <c r="AI18" s="839"/>
      <c r="AJ18" s="839"/>
      <c r="AK18" s="839"/>
      <c r="AL18" s="839"/>
      <c r="AM18" s="781"/>
      <c r="AN18" s="781"/>
      <c r="AO18" s="781"/>
      <c r="AP18" s="781"/>
      <c r="AQ18" s="781"/>
      <c r="AR18" s="781"/>
      <c r="AS18" s="781"/>
      <c r="AT18" s="781"/>
      <c r="AU18" s="781"/>
      <c r="AV18" s="781"/>
      <c r="AW18" s="781"/>
      <c r="AX18" s="781"/>
      <c r="AY18" s="781"/>
      <c r="AZ18" s="781"/>
      <c r="BA18" s="781"/>
      <c r="BB18" s="781"/>
      <c r="BC18" s="781"/>
      <c r="BD18" s="781"/>
      <c r="BE18" s="781"/>
      <c r="BF18" s="781"/>
      <c r="BG18" s="781"/>
      <c r="BH18" s="781"/>
      <c r="BI18" s="781"/>
      <c r="BJ18" s="781"/>
      <c r="BK18" s="781"/>
      <c r="BL18" s="781"/>
      <c r="BM18" s="781"/>
      <c r="BN18" s="781"/>
      <c r="BO18" s="781"/>
      <c r="BP18" s="781"/>
      <c r="BQ18" s="781"/>
      <c r="BR18" s="781"/>
      <c r="BS18" s="781"/>
      <c r="BT18" s="781"/>
      <c r="BU18" s="781"/>
      <c r="BV18" s="781"/>
      <c r="BW18" s="781"/>
      <c r="BX18" s="781"/>
      <c r="BY18" s="781"/>
      <c r="BZ18" s="781"/>
      <c r="CA18" s="781"/>
      <c r="CB18" s="781"/>
      <c r="CC18" s="781"/>
      <c r="CD18" s="781"/>
      <c r="CE18" s="781"/>
      <c r="CF18" s="781"/>
      <c r="CG18" s="781"/>
      <c r="CH18" s="781"/>
    </row>
    <row r="19" spans="1:86" s="784" customFormat="1" ht="16" customHeight="1">
      <c r="A19" s="1224" t="s">
        <v>3862</v>
      </c>
      <c r="B19" s="768" t="s">
        <v>3879</v>
      </c>
      <c r="C19" s="1113">
        <v>0</v>
      </c>
      <c r="D19" s="867" cm="1">
        <f t="array" ref="D19">IF($C$2="Week 1",INDEX(Sheet1!D150:AG150,0,$AF$33),INDEX(Sheet2!D150:AG150,0,$AF$33))</f>
        <v>110.34653906074415</v>
      </c>
      <c r="E19" s="868" cm="1">
        <f t="array" ref="E19">IF($C$2="Week 1",INDEX(Sheet1!D177:AG177,0,$AF$33),INDEX(Sheet2!D177:AG177,0,$AF$33))</f>
        <v>133.75338067968988</v>
      </c>
      <c r="F19" s="769" cm="1">
        <f t="array" ref="F19">IF($C$2="Week 1",INDEX(Sheet1!D204:AG204,0,$AF$33),INDEX(Sheet2!D204:AG204,0,$AF$33))</f>
        <v>96.267566429604614</v>
      </c>
      <c r="G19" s="774"/>
      <c r="H19" s="774"/>
      <c r="I19" s="774"/>
      <c r="J19" s="774"/>
      <c r="K19" s="774"/>
      <c r="L19" s="774"/>
      <c r="M19" s="1441"/>
      <c r="N19" s="1441"/>
      <c r="O19" s="1441"/>
      <c r="P19" s="1441"/>
      <c r="Q19" s="1441"/>
      <c r="R19" s="1441"/>
      <c r="S19" s="774"/>
      <c r="T19" s="774"/>
      <c r="U19" s="774"/>
      <c r="V19" s="774"/>
      <c r="W19" s="1134"/>
      <c r="X19" s="1134"/>
      <c r="Y19" s="781"/>
      <c r="Z19" s="781"/>
      <c r="AA19" s="781"/>
      <c r="AB19" s="781"/>
      <c r="AC19" s="781"/>
      <c r="AD19" s="781"/>
      <c r="AE19" s="781"/>
      <c r="AF19" s="781"/>
      <c r="AG19" s="781"/>
      <c r="AH19" s="839"/>
      <c r="AI19" s="839"/>
      <c r="AJ19" s="839"/>
      <c r="AK19" s="839"/>
      <c r="AL19" s="839"/>
      <c r="AM19" s="781"/>
      <c r="AN19" s="781"/>
      <c r="AO19" s="781"/>
      <c r="AP19" s="781"/>
      <c r="AQ19" s="781"/>
      <c r="AR19" s="781"/>
      <c r="AS19" s="781"/>
      <c r="AT19" s="781"/>
      <c r="AU19" s="781"/>
      <c r="AV19" s="781"/>
      <c r="AW19" s="781"/>
      <c r="AX19" s="781"/>
      <c r="AY19" s="781"/>
      <c r="AZ19" s="781"/>
      <c r="BA19" s="781"/>
      <c r="BB19" s="781"/>
      <c r="BC19" s="781"/>
      <c r="BD19" s="781"/>
      <c r="BE19" s="781"/>
      <c r="BF19" s="781"/>
      <c r="BG19" s="781"/>
      <c r="BH19" s="781"/>
      <c r="BI19" s="781"/>
      <c r="BJ19" s="781"/>
      <c r="BK19" s="781"/>
      <c r="BL19" s="781"/>
      <c r="BM19" s="781"/>
      <c r="BN19" s="781"/>
      <c r="BO19" s="781"/>
      <c r="BP19" s="781"/>
      <c r="BQ19" s="781"/>
      <c r="BR19" s="781"/>
      <c r="BS19" s="781"/>
      <c r="BT19" s="781"/>
      <c r="BU19" s="781"/>
      <c r="BV19" s="781"/>
      <c r="BW19" s="781"/>
      <c r="BX19" s="781"/>
      <c r="BY19" s="781"/>
      <c r="BZ19" s="781"/>
      <c r="CA19" s="781"/>
      <c r="CB19" s="781"/>
      <c r="CC19" s="781"/>
      <c r="CD19" s="781"/>
      <c r="CE19" s="781"/>
      <c r="CF19" s="781"/>
      <c r="CG19" s="781"/>
      <c r="CH19" s="781"/>
    </row>
    <row r="20" spans="1:86" s="784" customFormat="1" ht="16" customHeight="1">
      <c r="A20" s="1224" t="s">
        <v>3863</v>
      </c>
      <c r="B20" s="768" t="s">
        <v>3880</v>
      </c>
      <c r="C20" s="1113">
        <v>0</v>
      </c>
      <c r="D20" s="867" cm="1">
        <f t="array" ref="D20">IF($C$2="Week 1",INDEX(Sheet1!D151:AG151,0,$AF$33),INDEX(Sheet2!D151:AG151,0,$AF$33))</f>
        <v>26.035476403345367</v>
      </c>
      <c r="E20" s="868" cm="1">
        <f t="array" ref="E20">IF($C$2="Week 1",INDEX(Sheet1!D178:AG178,0,$AF$33),INDEX(Sheet2!D178:AG178,0,$AF$33))</f>
        <v>124.69097894322493</v>
      </c>
      <c r="F20" s="769" cm="1">
        <f t="array" ref="F20">IF($C$2="Week 1",INDEX(Sheet1!D205:AG205,0,$AF$33),INDEX(Sheet2!D205:AG205,0,$AF$33))</f>
        <v>89.501302290134618</v>
      </c>
      <c r="G20" s="774"/>
      <c r="H20" s="774"/>
      <c r="I20" s="774"/>
      <c r="J20" s="774"/>
      <c r="K20" s="774"/>
      <c r="L20" s="774"/>
      <c r="M20" s="1441"/>
      <c r="N20" s="1441"/>
      <c r="O20" s="1441"/>
      <c r="P20" s="1441"/>
      <c r="Q20" s="1441"/>
      <c r="R20" s="1441"/>
      <c r="S20" s="774"/>
      <c r="T20" s="774"/>
      <c r="U20" s="805"/>
      <c r="V20" s="805"/>
      <c r="W20" s="805"/>
      <c r="X20" s="805"/>
      <c r="Y20" s="782"/>
      <c r="Z20" s="782"/>
      <c r="AA20" s="782"/>
      <c r="AB20" s="782"/>
      <c r="AC20" s="782"/>
      <c r="AD20" s="782"/>
      <c r="AE20" s="782"/>
      <c r="AF20" s="782"/>
      <c r="AG20" s="782"/>
      <c r="AH20" s="782"/>
      <c r="AI20" s="782"/>
      <c r="AJ20" s="782"/>
      <c r="AK20" s="782"/>
      <c r="AL20" s="782"/>
      <c r="AM20" s="781"/>
      <c r="AN20" s="781"/>
      <c r="AO20" s="781"/>
      <c r="AP20" s="781"/>
      <c r="AQ20" s="781"/>
      <c r="AR20" s="781"/>
      <c r="AS20" s="781"/>
      <c r="AT20" s="781"/>
      <c r="AU20" s="781"/>
      <c r="AV20" s="781"/>
      <c r="AW20" s="781"/>
      <c r="AX20" s="781"/>
      <c r="AY20" s="781"/>
      <c r="AZ20" s="781"/>
      <c r="BA20" s="781"/>
      <c r="BB20" s="781"/>
      <c r="BC20" s="781"/>
      <c r="BD20" s="781"/>
      <c r="BE20" s="781"/>
      <c r="BF20" s="781"/>
      <c r="BG20" s="781"/>
      <c r="BH20" s="781"/>
      <c r="BI20" s="781"/>
      <c r="BJ20" s="781"/>
      <c r="BK20" s="781"/>
      <c r="BL20" s="781"/>
      <c r="BM20" s="781"/>
      <c r="BN20" s="781"/>
      <c r="BO20" s="781"/>
      <c r="BP20" s="781"/>
      <c r="BQ20" s="781"/>
      <c r="BR20" s="781"/>
      <c r="BS20" s="781"/>
      <c r="BT20" s="781"/>
      <c r="BU20" s="781"/>
      <c r="BV20" s="781"/>
      <c r="BW20" s="781"/>
      <c r="BX20" s="781"/>
      <c r="BY20" s="781"/>
      <c r="BZ20" s="781"/>
      <c r="CA20" s="781"/>
      <c r="CB20" s="781"/>
      <c r="CC20" s="781"/>
      <c r="CD20" s="781"/>
      <c r="CE20" s="781"/>
      <c r="CF20" s="781"/>
      <c r="CG20" s="781"/>
      <c r="CH20" s="781"/>
    </row>
    <row r="21" spans="1:86" s="784" customFormat="1" ht="16" customHeight="1">
      <c r="A21" s="1224" t="s">
        <v>3864</v>
      </c>
      <c r="B21" s="768" t="s">
        <v>3881</v>
      </c>
      <c r="C21" s="1113">
        <v>0</v>
      </c>
      <c r="D21" s="867" cm="1">
        <f t="array" ref="D21">IF($C$2="Week 1",INDEX(Sheet1!D152:AG152,0,$AF$33),INDEX(Sheet2!D152:AG152,0,$AF$33))</f>
        <v>31.089972393709598</v>
      </c>
      <c r="E21" s="868" cm="1">
        <f t="array" ref="E21">IF($C$2="Week 1",INDEX(Sheet1!D179:AG179,0,$AF$33),INDEX(Sheet2!D179:AG179,0,$AF$33))</f>
        <v>155.44987751353577</v>
      </c>
      <c r="F21" s="769" cm="1">
        <f t="array" ref="F21">IF($C$2="Week 1",INDEX(Sheet1!D206:AG206,0,$AF$33),INDEX(Sheet2!D206:AG206,0,$AF$33))</f>
        <v>115.33877335493024</v>
      </c>
      <c r="G21" s="774"/>
      <c r="H21" s="774"/>
      <c r="I21" s="774"/>
      <c r="J21" s="774"/>
      <c r="K21" s="774"/>
      <c r="L21" s="774"/>
      <c r="M21" s="1441"/>
      <c r="N21" s="1441"/>
      <c r="O21" s="1441"/>
      <c r="P21" s="1441"/>
      <c r="Q21" s="1441"/>
      <c r="R21" s="1441"/>
      <c r="S21" s="774"/>
      <c r="T21" s="774"/>
      <c r="U21" s="805"/>
      <c r="V21" s="805"/>
      <c r="W21" s="805"/>
      <c r="X21" s="805"/>
      <c r="Y21" s="782"/>
      <c r="Z21" s="782"/>
      <c r="AA21" s="782"/>
      <c r="AB21" s="782"/>
      <c r="AC21" s="782"/>
      <c r="AD21" s="782"/>
      <c r="AE21" s="782"/>
      <c r="AF21" s="782"/>
      <c r="AG21" s="782"/>
      <c r="AH21" s="782"/>
      <c r="AI21" s="782"/>
      <c r="AJ21" s="782"/>
      <c r="AK21" s="782"/>
      <c r="AL21" s="782"/>
      <c r="AM21" s="781"/>
      <c r="AN21" s="781"/>
      <c r="AO21" s="781"/>
      <c r="AP21" s="781"/>
      <c r="AQ21" s="781"/>
      <c r="AR21" s="781"/>
      <c r="AS21" s="781"/>
      <c r="AT21" s="781"/>
      <c r="AU21" s="781"/>
      <c r="AV21" s="781"/>
      <c r="AW21" s="781"/>
      <c r="AX21" s="781"/>
      <c r="AY21" s="781"/>
      <c r="AZ21" s="781"/>
      <c r="BA21" s="781"/>
      <c r="BB21" s="781"/>
      <c r="BC21" s="781"/>
      <c r="BD21" s="781"/>
      <c r="BE21" s="781"/>
      <c r="BF21" s="781"/>
      <c r="BG21" s="781"/>
      <c r="BH21" s="781"/>
      <c r="BI21" s="781"/>
      <c r="BJ21" s="781"/>
      <c r="BK21" s="781"/>
      <c r="BL21" s="781"/>
      <c r="BM21" s="781"/>
      <c r="BN21" s="781"/>
      <c r="BO21" s="781"/>
      <c r="BP21" s="781"/>
      <c r="BQ21" s="781"/>
      <c r="BR21" s="781"/>
      <c r="BS21" s="781"/>
      <c r="BT21" s="781"/>
      <c r="BU21" s="781"/>
      <c r="BV21" s="781"/>
      <c r="BW21" s="781"/>
      <c r="BX21" s="781"/>
      <c r="BY21" s="781"/>
      <c r="BZ21" s="781"/>
      <c r="CA21" s="781"/>
      <c r="CB21" s="781"/>
      <c r="CC21" s="781"/>
      <c r="CD21" s="781"/>
      <c r="CE21" s="781"/>
      <c r="CF21" s="781"/>
      <c r="CG21" s="781"/>
      <c r="CH21" s="781"/>
    </row>
    <row r="22" spans="1:86" s="784" customFormat="1" ht="16" customHeight="1">
      <c r="A22" s="1225" t="s">
        <v>3865</v>
      </c>
      <c r="B22" s="770" t="s">
        <v>3882</v>
      </c>
      <c r="C22" s="1114" cm="1">
        <f t="array" ref="C22">IF($C$2="Week 1",INDEX(Sheet1!D459:AG459,0,$AF$33),INDEX(Sheet2!D459:AG459,0,$AF$33))</f>
        <v>0.6</v>
      </c>
      <c r="D22" s="867" cm="1">
        <f t="array" ref="D22">IF($C$2="Week 1",INDEX(Sheet1!D153:AG153,0,$AF$33),INDEX(Sheet2!D153:AG153,0,$AF$33))</f>
        <v>14.020915638874223</v>
      </c>
      <c r="E22" s="868" cm="1">
        <f t="array" ref="E22">IF($C$2="Week 1",INDEX(Sheet1!D180:AG180,0,$AF$33),INDEX(Sheet2!D180:AG180,0,$AF$33))</f>
        <v>233.6819273145704</v>
      </c>
      <c r="F22" s="769" cm="1">
        <f t="array" ref="F22">IF($C$2="Week 1",INDEX(Sheet1!D207:AG207,0,$AF$33),INDEX(Sheet2!D207:AG207,0,$AF$33))</f>
        <v>165.29430783136533</v>
      </c>
      <c r="G22" s="774"/>
      <c r="H22" s="774"/>
      <c r="I22" s="774"/>
      <c r="J22" s="774"/>
      <c r="K22" s="774"/>
      <c r="L22" s="774"/>
      <c r="M22" s="1441"/>
      <c r="N22" s="1441"/>
      <c r="O22" s="1441"/>
      <c r="P22" s="1441"/>
      <c r="Q22" s="1441"/>
      <c r="R22" s="1441"/>
      <c r="S22" s="774"/>
      <c r="T22" s="774"/>
      <c r="U22" s="805"/>
      <c r="V22" s="805"/>
      <c r="W22" s="805"/>
      <c r="X22" s="805"/>
      <c r="Y22" s="782"/>
      <c r="Z22" s="782"/>
      <c r="AA22" s="782"/>
      <c r="AB22" s="782"/>
      <c r="AC22" s="782"/>
      <c r="AD22" s="782"/>
      <c r="AE22" s="782"/>
      <c r="AF22" s="782"/>
      <c r="AG22" s="782"/>
      <c r="AH22" s="782"/>
      <c r="AI22" s="782"/>
      <c r="AJ22" s="782"/>
      <c r="AK22" s="782"/>
      <c r="AL22" s="782"/>
      <c r="AM22" s="781"/>
      <c r="AN22" s="781"/>
      <c r="AO22" s="781"/>
      <c r="AP22" s="781"/>
      <c r="AQ22" s="781"/>
      <c r="AR22" s="781"/>
      <c r="AS22" s="781"/>
      <c r="AT22" s="781"/>
      <c r="AU22" s="781"/>
      <c r="AV22" s="781"/>
      <c r="AW22" s="781"/>
      <c r="AX22" s="781"/>
      <c r="AY22" s="781"/>
      <c r="AZ22" s="781"/>
      <c r="BA22" s="781"/>
      <c r="BB22" s="781"/>
      <c r="BC22" s="781"/>
      <c r="BD22" s="781"/>
      <c r="BE22" s="781"/>
      <c r="BF22" s="781"/>
      <c r="BG22" s="781"/>
      <c r="BH22" s="781"/>
      <c r="BI22" s="781"/>
      <c r="BJ22" s="781"/>
      <c r="BK22" s="781"/>
      <c r="BL22" s="781"/>
      <c r="BM22" s="781"/>
      <c r="BN22" s="781"/>
      <c r="BO22" s="781"/>
      <c r="BP22" s="781"/>
      <c r="BQ22" s="781"/>
      <c r="BR22" s="781"/>
      <c r="BS22" s="781"/>
      <c r="BT22" s="781"/>
      <c r="BU22" s="781"/>
      <c r="BV22" s="781"/>
      <c r="BW22" s="781"/>
      <c r="BX22" s="781"/>
      <c r="BY22" s="781"/>
      <c r="BZ22" s="781"/>
      <c r="CA22" s="781"/>
      <c r="CB22" s="781"/>
      <c r="CC22" s="781"/>
      <c r="CD22" s="781"/>
      <c r="CE22" s="781"/>
      <c r="CF22" s="781"/>
      <c r="CG22" s="781"/>
      <c r="CH22" s="781"/>
    </row>
    <row r="23" spans="1:86" s="784" customFormat="1" ht="16" customHeight="1">
      <c r="A23" s="1226" t="s">
        <v>3866</v>
      </c>
      <c r="B23" s="771" t="s">
        <v>3883</v>
      </c>
      <c r="C23" s="1114" cm="1">
        <f t="array" ref="C23">IF($C$2="Week 1",INDEX(Sheet1!D460:AG460,0,$AF$33),INDEX(Sheet2!D460:AG460,0,$AF$33))</f>
        <v>0.4</v>
      </c>
      <c r="D23" s="867" cm="1">
        <f t="array" ref="D23">IF($C$2="Week 1",INDEX(Sheet1!D154:AG154,0,$AF$33),INDEX(Sheet2!D154:AG154,0,$AF$33))</f>
        <v>5.9033290028122893</v>
      </c>
      <c r="E23" s="868" cm="1">
        <f t="array" ref="E23">IF($C$2="Week 1",INDEX(Sheet1!D181:AG181,0,$AF$33),INDEX(Sheet2!D181:AG181,0,$AF$33))</f>
        <v>89.444378830489228</v>
      </c>
      <c r="F23" s="769" cm="1">
        <f t="array" ref="F23">IF($C$2="Week 1",INDEX(Sheet1!D208:AG208,0,$AF$33),INDEX(Sheet2!D208:AG208,0,$AF$33))</f>
        <v>66.451321325932611</v>
      </c>
      <c r="G23" s="774"/>
      <c r="H23" s="774"/>
      <c r="I23" s="774"/>
      <c r="J23" s="774"/>
      <c r="K23" s="774"/>
      <c r="L23" s="774"/>
      <c r="M23" s="1441"/>
      <c r="N23" s="1441"/>
      <c r="O23" s="1441"/>
      <c r="P23" s="1441"/>
      <c r="Q23" s="1441"/>
      <c r="R23" s="1441"/>
      <c r="S23" s="774"/>
      <c r="T23" s="774"/>
      <c r="U23" s="805"/>
      <c r="V23" s="805"/>
      <c r="W23" s="805"/>
      <c r="X23" s="805"/>
      <c r="Y23" s="782"/>
      <c r="Z23" s="782"/>
      <c r="AA23" s="782"/>
      <c r="AB23" s="782"/>
      <c r="AC23" s="782"/>
      <c r="AD23" s="782"/>
      <c r="AE23" s="782"/>
      <c r="AF23" s="782"/>
      <c r="AG23" s="782"/>
      <c r="AH23" s="782"/>
      <c r="AI23" s="782"/>
      <c r="AJ23" s="782"/>
      <c r="AK23" s="782"/>
      <c r="AL23" s="782"/>
      <c r="AM23" s="781"/>
      <c r="AN23" s="781"/>
      <c r="AO23" s="781"/>
      <c r="AP23" s="781"/>
      <c r="AQ23" s="781"/>
      <c r="AR23" s="781"/>
      <c r="AS23" s="781"/>
      <c r="AT23" s="781"/>
      <c r="AU23" s="781"/>
      <c r="AV23" s="781"/>
      <c r="AW23" s="781"/>
      <c r="AX23" s="781"/>
      <c r="AY23" s="781"/>
      <c r="AZ23" s="781"/>
      <c r="BA23" s="781"/>
      <c r="BB23" s="781"/>
      <c r="BC23" s="781"/>
      <c r="BD23" s="781"/>
      <c r="BE23" s="781"/>
      <c r="BF23" s="781"/>
      <c r="BG23" s="781"/>
      <c r="BH23" s="781"/>
      <c r="BI23" s="781"/>
      <c r="BJ23" s="781"/>
      <c r="BK23" s="781"/>
      <c r="BL23" s="781"/>
      <c r="BM23" s="781"/>
      <c r="BN23" s="781"/>
      <c r="BO23" s="781"/>
      <c r="BP23" s="781"/>
      <c r="BQ23" s="781"/>
      <c r="BR23" s="781"/>
      <c r="BS23" s="781"/>
      <c r="BT23" s="781"/>
      <c r="BU23" s="781"/>
      <c r="BV23" s="781"/>
      <c r="BW23" s="781"/>
      <c r="BX23" s="781"/>
      <c r="BY23" s="781"/>
      <c r="BZ23" s="781"/>
      <c r="CA23" s="781"/>
      <c r="CB23" s="781"/>
      <c r="CC23" s="781"/>
      <c r="CD23" s="781"/>
      <c r="CE23" s="781"/>
      <c r="CF23" s="781"/>
      <c r="CG23" s="781"/>
      <c r="CH23" s="781"/>
    </row>
    <row r="24" spans="1:86" s="784" customFormat="1" ht="16" customHeight="1">
      <c r="A24" s="1225" t="s">
        <v>3867</v>
      </c>
      <c r="B24" s="770" t="s">
        <v>3884</v>
      </c>
      <c r="C24" s="1114" cm="1">
        <f t="array" ref="C24">IF($C$2="Week 1",INDEX(Sheet1!D461:AG461,0,$AF$33),INDEX(Sheet2!D461:AG461,0,$AF$33))</f>
        <v>0</v>
      </c>
      <c r="D24" s="867" cm="1">
        <f t="array" ref="D24">IF($C$2="Week 1",INDEX(Sheet1!D155:AG155,0,$AF$33),INDEX(Sheet2!D155:AG155,0,$AF$33))</f>
        <v>685.49416564167507</v>
      </c>
      <c r="E24" s="868" cm="1">
        <f t="array" ref="E24">IF($C$2="Week 1",INDEX(Sheet1!D182:AG182,0,$AF$33),INDEX(Sheet2!D182:AG182,0,$AF$33))</f>
        <v>153.57387406585838</v>
      </c>
      <c r="F24" s="769" cm="1">
        <f t="array" ref="F24">IF($C$2="Week 1",INDEX(Sheet1!D209:AG209,0,$AF$33),INDEX(Sheet2!D209:AG209,0,$AF$33))</f>
        <v>103.77492561378909</v>
      </c>
      <c r="G24" s="774"/>
      <c r="H24" s="774"/>
      <c r="I24" s="774"/>
      <c r="J24" s="774"/>
      <c r="K24" s="774"/>
      <c r="L24" s="774"/>
      <c r="M24" s="1441"/>
      <c r="N24" s="1441"/>
      <c r="O24" s="1441"/>
      <c r="P24" s="1441"/>
      <c r="Q24" s="1441"/>
      <c r="R24" s="1441"/>
      <c r="S24" s="774"/>
      <c r="T24" s="774"/>
      <c r="U24" s="805"/>
      <c r="V24" s="805"/>
      <c r="W24" s="805"/>
      <c r="X24" s="805"/>
      <c r="Y24" s="782"/>
      <c r="Z24" s="782"/>
      <c r="AA24" s="782"/>
      <c r="AB24" s="782"/>
      <c r="AC24" s="782"/>
      <c r="AD24" s="782"/>
      <c r="AE24" s="782"/>
      <c r="AF24" s="782"/>
      <c r="AG24" s="782"/>
      <c r="AH24" s="782"/>
      <c r="AI24" s="782"/>
      <c r="AJ24" s="782"/>
      <c r="AK24" s="782"/>
      <c r="AL24" s="782"/>
      <c r="AM24" s="781"/>
      <c r="AN24" s="781"/>
      <c r="AO24" s="781"/>
      <c r="AP24" s="781"/>
      <c r="AQ24" s="781"/>
      <c r="AR24" s="781"/>
      <c r="AS24" s="781"/>
      <c r="AT24" s="781"/>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1"/>
      <c r="BW24" s="781"/>
      <c r="BX24" s="781"/>
      <c r="BY24" s="781"/>
      <c r="BZ24" s="781"/>
      <c r="CA24" s="781"/>
      <c r="CB24" s="781"/>
      <c r="CC24" s="781"/>
      <c r="CD24" s="781"/>
      <c r="CE24" s="781"/>
      <c r="CF24" s="781"/>
      <c r="CG24" s="781"/>
      <c r="CH24" s="781"/>
    </row>
    <row r="25" spans="1:86" s="784" customFormat="1" ht="16" customHeight="1">
      <c r="A25" s="1225" t="s">
        <v>3868</v>
      </c>
      <c r="B25" s="770" t="s">
        <v>3885</v>
      </c>
      <c r="C25" s="1114" cm="1">
        <f t="array" ref="C25">IF($C$2="Week 1",INDEX(Sheet1!D462:AG462,0,$AF$33),INDEX(Sheet2!D462:AG462,0,$AF$33))</f>
        <v>0</v>
      </c>
      <c r="D25" s="867" cm="1">
        <f t="array" ref="D25">IF($C$2="Week 1",INDEX(Sheet1!D156:AG156,0,$AF$33),INDEX(Sheet2!D156:AG156,0,$AF$33))</f>
        <v>1299.4124894614895</v>
      </c>
      <c r="E25" s="868" cm="1">
        <f t="array" ref="E25">IF($C$2="Week 1",INDEX(Sheet1!D183:AG183,0,$AF$33),INDEX(Sheet2!D183:AG183,0,$AF$33))</f>
        <v>240.6319424928684</v>
      </c>
      <c r="F25" s="769" cm="1">
        <f t="array" ref="F25">IF($C$2="Week 1",INDEX(Sheet1!D210:AG210,0,$AF$33),INDEX(Sheet2!D210:AG210,0,$AF$33))</f>
        <v>170.28704180450907</v>
      </c>
      <c r="G25" s="774"/>
      <c r="H25" s="774"/>
      <c r="I25" s="774"/>
      <c r="J25" s="774"/>
      <c r="K25" s="774"/>
      <c r="L25" s="774"/>
      <c r="M25" s="1441"/>
      <c r="N25" s="1441"/>
      <c r="O25" s="1441"/>
      <c r="P25" s="1441"/>
      <c r="Q25" s="1441"/>
      <c r="R25" s="1441"/>
      <c r="S25" s="774"/>
      <c r="T25" s="774"/>
      <c r="U25" s="805"/>
      <c r="V25" s="805"/>
      <c r="W25" s="805"/>
      <c r="X25" s="805"/>
      <c r="Y25" s="782"/>
      <c r="Z25" s="782"/>
      <c r="AA25" s="782"/>
      <c r="AB25" s="782"/>
      <c r="AC25" s="782"/>
      <c r="AD25" s="782"/>
      <c r="AE25" s="782"/>
      <c r="AF25" s="782"/>
      <c r="AG25" s="782"/>
      <c r="AH25" s="782"/>
      <c r="AI25" s="782"/>
      <c r="AJ25" s="782"/>
      <c r="AK25" s="782"/>
      <c r="AL25" s="782"/>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1"/>
      <c r="BJ25" s="781"/>
      <c r="BK25" s="781"/>
      <c r="BL25" s="781"/>
      <c r="BM25" s="781"/>
      <c r="BN25" s="781"/>
      <c r="BO25" s="781"/>
      <c r="BP25" s="781"/>
      <c r="BQ25" s="781"/>
      <c r="BR25" s="781"/>
      <c r="BS25" s="781"/>
      <c r="BT25" s="781"/>
      <c r="BU25" s="781"/>
      <c r="BV25" s="781"/>
      <c r="BW25" s="781"/>
      <c r="BX25" s="781"/>
      <c r="BY25" s="781"/>
      <c r="BZ25" s="781"/>
      <c r="CA25" s="781"/>
      <c r="CB25" s="781"/>
      <c r="CC25" s="781"/>
      <c r="CD25" s="781"/>
      <c r="CE25" s="781"/>
      <c r="CF25" s="781"/>
      <c r="CG25" s="781"/>
      <c r="CH25" s="781"/>
    </row>
    <row r="26" spans="1:86" s="784" customFormat="1" ht="16" customHeight="1">
      <c r="A26" s="1225" t="s">
        <v>3869</v>
      </c>
      <c r="B26" s="770" t="s">
        <v>3886</v>
      </c>
      <c r="C26" s="1114" cm="1">
        <f t="array" ref="C26">IF($C$2="Week 1",INDEX(Sheet1!D463:AG463,0,$AF$33),INDEX(Sheet2!D463:AG463,0,$AF$33))</f>
        <v>0</v>
      </c>
      <c r="D26" s="867" cm="1">
        <f t="array" ref="D26">IF($C$2="Week 1",INDEX(Sheet1!D157:AG157,0,$AF$33),INDEX(Sheet2!D157:AG157,0,$AF$33))</f>
        <v>267.6262356566196</v>
      </c>
      <c r="E26" s="868" cm="1">
        <f t="array" ref="E26">IF($C$2="Week 1",INDEX(Sheet1!D184:AG184,0,$AF$33),INDEX(Sheet2!D184:AG184,0,$AF$33))</f>
        <v>112.92246230237113</v>
      </c>
      <c r="F26" s="769" cm="1">
        <f t="array" ref="F26">IF($C$2="Week 1",INDEX(Sheet1!D211:AG211,0,$AF$33),INDEX(Sheet2!D211:AG211,0,$AF$33))</f>
        <v>75.247392499792568</v>
      </c>
      <c r="G26" s="774"/>
      <c r="H26" s="774"/>
      <c r="I26" s="774"/>
      <c r="J26" s="774"/>
      <c r="K26" s="774"/>
      <c r="L26" s="774"/>
      <c r="M26" s="1441"/>
      <c r="N26" s="1441"/>
      <c r="O26" s="1441"/>
      <c r="P26" s="1441"/>
      <c r="Q26" s="1441"/>
      <c r="R26" s="1441"/>
      <c r="S26" s="774"/>
      <c r="T26" s="774"/>
      <c r="U26" s="805"/>
      <c r="V26" s="805"/>
      <c r="W26" s="805"/>
      <c r="X26" s="805"/>
      <c r="Y26" s="782"/>
      <c r="Z26" s="782"/>
      <c r="AA26" s="782"/>
      <c r="AB26" s="782"/>
      <c r="AC26" s="782"/>
      <c r="AD26" s="782"/>
      <c r="AE26" s="782"/>
      <c r="AF26" s="782"/>
      <c r="AG26" s="782"/>
      <c r="AH26" s="782"/>
      <c r="AI26" s="782"/>
      <c r="AJ26" s="782"/>
      <c r="AK26" s="782"/>
      <c r="AL26" s="782"/>
      <c r="AM26" s="781"/>
      <c r="AN26" s="781"/>
      <c r="AO26" s="781"/>
      <c r="AP26" s="781"/>
      <c r="AQ26" s="781"/>
      <c r="AR26" s="781"/>
      <c r="AS26" s="781"/>
      <c r="AT26" s="781"/>
      <c r="AU26" s="781"/>
      <c r="AV26" s="781"/>
      <c r="AW26" s="781"/>
      <c r="AX26" s="781"/>
      <c r="AY26" s="781"/>
      <c r="AZ26" s="781"/>
      <c r="BA26" s="781"/>
      <c r="BB26" s="781"/>
      <c r="BC26" s="781"/>
      <c r="BD26" s="781"/>
      <c r="BE26" s="781"/>
      <c r="BF26" s="781"/>
      <c r="BG26" s="781"/>
      <c r="BH26" s="781"/>
      <c r="BI26" s="781"/>
      <c r="BJ26" s="781"/>
      <c r="BK26" s="781"/>
      <c r="BL26" s="781"/>
      <c r="BM26" s="781"/>
      <c r="BN26" s="781"/>
      <c r="BO26" s="781"/>
      <c r="BP26" s="781"/>
      <c r="BQ26" s="781"/>
      <c r="BR26" s="781"/>
      <c r="BS26" s="781"/>
      <c r="BT26" s="781"/>
      <c r="BU26" s="781"/>
      <c r="BV26" s="781"/>
      <c r="BW26" s="781"/>
      <c r="BX26" s="781"/>
      <c r="BY26" s="781"/>
      <c r="BZ26" s="781"/>
      <c r="CA26" s="781"/>
      <c r="CB26" s="781"/>
      <c r="CC26" s="781"/>
      <c r="CD26" s="781"/>
      <c r="CE26" s="781"/>
      <c r="CF26" s="781"/>
      <c r="CG26" s="781"/>
      <c r="CH26" s="781"/>
    </row>
    <row r="27" spans="1:86" s="784" customFormat="1" ht="16" customHeight="1">
      <c r="A27" s="1225" t="s">
        <v>3870</v>
      </c>
      <c r="B27" s="770" t="s">
        <v>3887</v>
      </c>
      <c r="C27" s="1114" cm="1">
        <f t="array" ref="C27">IF($C$2="Week 1",INDEX(Sheet1!D464:AG464,0,$AF$33),INDEX(Sheet2!D464:AG464,0,$AF$33))</f>
        <v>0.4</v>
      </c>
      <c r="D27" s="867" cm="1">
        <f t="array" ref="D27">IF($C$2="Week 1",INDEX(Sheet1!D158:AG158,0,$AF$33),INDEX(Sheet2!D158:AG158,0,$AF$33))</f>
        <v>120.24327837353459</v>
      </c>
      <c r="E27" s="868" cm="1">
        <f t="array" ref="E27">IF($C$2="Week 1",INDEX(Sheet1!D185:AG185,0,$AF$33),INDEX(Sheet2!D185:AG185,0,$AF$33))</f>
        <v>200.40546395589098</v>
      </c>
      <c r="F27" s="769" cm="1">
        <f t="array" ref="F27">IF($C$2="Week 1",INDEX(Sheet1!D212:AG212,0,$AF$33),INDEX(Sheet2!D212:AG212,0,$AF$33))</f>
        <v>143.69803088625079</v>
      </c>
      <c r="G27" s="774"/>
      <c r="H27" s="774"/>
      <c r="I27" s="774"/>
      <c r="J27" s="774"/>
      <c r="K27" s="774"/>
      <c r="L27" s="774"/>
      <c r="M27" s="1441"/>
      <c r="N27" s="1441"/>
      <c r="O27" s="1441"/>
      <c r="P27" s="1441"/>
      <c r="Q27" s="1441"/>
      <c r="R27" s="1441"/>
      <c r="S27" s="774"/>
      <c r="T27" s="774"/>
      <c r="U27" s="805"/>
      <c r="V27" s="805"/>
      <c r="W27" s="805"/>
      <c r="X27" s="805"/>
      <c r="Y27" s="782"/>
      <c r="Z27" s="782"/>
      <c r="AA27" s="782"/>
      <c r="AB27" s="782"/>
      <c r="AC27" s="782"/>
      <c r="AD27" s="782"/>
      <c r="AE27" s="782"/>
      <c r="AF27" s="782"/>
      <c r="AG27" s="782"/>
      <c r="AH27" s="782"/>
      <c r="AI27" s="782"/>
      <c r="AJ27" s="782"/>
      <c r="AK27" s="782"/>
      <c r="AL27" s="782"/>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c r="BP27" s="781"/>
      <c r="BQ27" s="781"/>
      <c r="BR27" s="781"/>
      <c r="BS27" s="781"/>
      <c r="BT27" s="781"/>
      <c r="BU27" s="781"/>
      <c r="BV27" s="781"/>
      <c r="BW27" s="781"/>
      <c r="BX27" s="781"/>
      <c r="BY27" s="781"/>
      <c r="BZ27" s="781"/>
      <c r="CA27" s="781"/>
      <c r="CB27" s="781"/>
      <c r="CC27" s="781"/>
      <c r="CD27" s="781"/>
      <c r="CE27" s="781"/>
      <c r="CF27" s="781"/>
      <c r="CG27" s="781"/>
      <c r="CH27" s="781"/>
    </row>
    <row r="28" spans="1:86" s="784" customFormat="1" ht="16" customHeight="1">
      <c r="A28" s="1225" t="s">
        <v>3871</v>
      </c>
      <c r="B28" s="770" t="s">
        <v>3888</v>
      </c>
      <c r="C28" s="1114" cm="1">
        <f t="array" ref="C28">IF($C$2="Week 1",INDEX(Sheet1!D465:AG465,0,$AF$33),INDEX(Sheet2!D465:AG465,0,$AF$33))</f>
        <v>0.4</v>
      </c>
      <c r="D28" s="867" cm="1">
        <f t="array" ref="D28">IF($C$2="Week 1",INDEX(Sheet1!D159:AG159,0,$AF$33),INDEX(Sheet2!D159:AG159,0,$AF$33))</f>
        <v>371.64863044613099</v>
      </c>
      <c r="E28" s="868" cm="1">
        <f t="array" ref="E28">IF($C$2="Week 1",INDEX(Sheet1!D186:AG186,0,$AF$33),INDEX(Sheet2!D186:AG186,0,$AF$33))</f>
        <v>199.81109163770483</v>
      </c>
      <c r="F28" s="769" cm="1">
        <f t="array" ref="F28">IF($C$2="Week 1",INDEX(Sheet1!D213:AG213,0,$AF$33),INDEX(Sheet2!D213:AG213,0,$AF$33))</f>
        <v>149.12503528629654</v>
      </c>
      <c r="G28" s="774"/>
      <c r="H28" s="774"/>
      <c r="I28" s="774"/>
      <c r="J28" s="774"/>
      <c r="K28" s="774"/>
      <c r="L28" s="774"/>
      <c r="M28" s="1441"/>
      <c r="N28" s="1441"/>
      <c r="O28" s="1441"/>
      <c r="P28" s="1441"/>
      <c r="Q28" s="1441"/>
      <c r="R28" s="1441"/>
      <c r="S28" s="774"/>
      <c r="T28" s="774"/>
      <c r="U28" s="805"/>
      <c r="V28" s="805"/>
      <c r="W28" s="805"/>
      <c r="X28" s="805"/>
      <c r="Y28" s="782"/>
      <c r="Z28" s="782"/>
      <c r="AA28" s="782"/>
      <c r="AB28" s="782"/>
      <c r="AC28" s="782"/>
      <c r="AD28" s="782"/>
      <c r="AE28" s="782"/>
      <c r="AF28" s="782"/>
      <c r="AG28" s="782"/>
      <c r="AH28" s="782"/>
      <c r="AI28" s="782"/>
      <c r="AJ28" s="782"/>
      <c r="AK28" s="782"/>
      <c r="AL28" s="782"/>
      <c r="AM28" s="781"/>
      <c r="AN28" s="781"/>
      <c r="AO28" s="781"/>
      <c r="AP28" s="781"/>
      <c r="AQ28" s="781"/>
      <c r="AR28" s="78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c r="BP28" s="781"/>
      <c r="BQ28" s="781"/>
      <c r="BR28" s="781"/>
      <c r="BS28" s="781"/>
      <c r="BT28" s="781"/>
      <c r="BU28" s="781"/>
      <c r="BV28" s="781"/>
      <c r="BW28" s="781"/>
      <c r="BX28" s="781"/>
      <c r="BY28" s="781"/>
      <c r="BZ28" s="781"/>
      <c r="CA28" s="781"/>
      <c r="CB28" s="781"/>
      <c r="CC28" s="781"/>
      <c r="CD28" s="781"/>
      <c r="CE28" s="781"/>
      <c r="CF28" s="781"/>
      <c r="CG28" s="781"/>
      <c r="CH28" s="781"/>
    </row>
    <row r="29" spans="1:86" s="784" customFormat="1" ht="16" customHeight="1">
      <c r="A29" s="1225" t="s">
        <v>3872</v>
      </c>
      <c r="B29" s="770" t="s">
        <v>3889</v>
      </c>
      <c r="C29" s="1114" cm="1">
        <f t="array" ref="C29">IF($C$2="Week 1",INDEX(Sheet1!D466:AG466,0,$AF$33),INDEX(Sheet2!D466:AG466,0,$AF$33))</f>
        <v>0</v>
      </c>
      <c r="D29" s="867" cm="1">
        <f t="array" ref="D29">IF($C$2="Week 1",INDEX(Sheet1!D160:AG160,0,$AF$33),INDEX(Sheet2!D160:AG160,0,$AF$33))</f>
        <v>5.1128770372798833</v>
      </c>
      <c r="E29" s="868" cm="1">
        <f t="array" ref="E29">IF($C$2="Week 1",INDEX(Sheet1!D187:AG187,0,$AF$33),INDEX(Sheet2!D187:AG187,0,$AF$33))</f>
        <v>154.93566779636009</v>
      </c>
      <c r="F29" s="769" cm="1">
        <f t="array" ref="F29">IF($C$2="Week 1",INDEX(Sheet1!D214:AG214,0,$AF$33),INDEX(Sheet2!D214:AG214,0,$AF$33))</f>
        <v>107.43684927811016</v>
      </c>
      <c r="G29" s="774"/>
      <c r="H29" s="774"/>
      <c r="I29" s="774"/>
      <c r="J29" s="774"/>
      <c r="K29" s="774"/>
      <c r="L29" s="774"/>
      <c r="M29" s="1441"/>
      <c r="N29" s="1441"/>
      <c r="O29" s="1441"/>
      <c r="P29" s="1441"/>
      <c r="Q29" s="1441"/>
      <c r="R29" s="1441"/>
      <c r="S29" s="774"/>
      <c r="T29" s="774"/>
      <c r="U29" s="805"/>
      <c r="V29" s="805"/>
      <c r="W29" s="805"/>
      <c r="X29" s="805"/>
      <c r="Y29" s="782"/>
      <c r="Z29" s="782"/>
      <c r="AA29" s="782"/>
      <c r="AB29" s="782"/>
      <c r="AC29" s="782"/>
      <c r="AD29" s="782"/>
      <c r="AE29" s="782"/>
      <c r="AF29" s="782"/>
      <c r="AG29" s="782"/>
      <c r="AH29" s="782"/>
      <c r="AI29" s="782"/>
      <c r="AJ29" s="782"/>
      <c r="AK29" s="782"/>
      <c r="AL29" s="782"/>
      <c r="AM29" s="781"/>
      <c r="AN29" s="781"/>
      <c r="AO29" s="781"/>
      <c r="AP29" s="781"/>
      <c r="AQ29" s="781"/>
      <c r="AR29" s="78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c r="BP29" s="781"/>
      <c r="BQ29" s="781"/>
      <c r="BR29" s="781"/>
      <c r="BS29" s="781"/>
      <c r="BT29" s="781"/>
      <c r="BU29" s="781"/>
      <c r="BV29" s="781"/>
      <c r="BW29" s="781"/>
      <c r="BX29" s="781"/>
      <c r="BY29" s="781"/>
      <c r="BZ29" s="781"/>
      <c r="CA29" s="781"/>
      <c r="CB29" s="781"/>
      <c r="CC29" s="781"/>
      <c r="CD29" s="781"/>
      <c r="CE29" s="781"/>
      <c r="CF29" s="781"/>
      <c r="CG29" s="781"/>
      <c r="CH29" s="781"/>
    </row>
    <row r="30" spans="1:86" s="784" customFormat="1" ht="16" customHeight="1">
      <c r="A30" s="1225" t="s">
        <v>3873</v>
      </c>
      <c r="B30" s="770" t="s">
        <v>3890</v>
      </c>
      <c r="C30" s="1114" cm="1">
        <f t="array" ref="C30">IF($C$2="Week 1",INDEX(Sheet1!D467:AG467,0,$AF$33),INDEX(Sheet2!D467:AG467,0,$AF$33))</f>
        <v>0.4</v>
      </c>
      <c r="D30" s="867" cm="1">
        <f t="array" ref="D30">IF($C$2="Week 1",INDEX(Sheet1!D161:AG161,0,$AF$33),INDEX(Sheet2!D161:AG161,0,$AF$33))</f>
        <v>5.3969316424642253</v>
      </c>
      <c r="E30" s="868" cm="1">
        <f t="array" ref="E30">IF($C$2="Week 1",INDEX(Sheet1!D188:AG188,0,$AF$33),INDEX(Sheet2!D188:AG188,0,$AF$33))</f>
        <v>256.99674487924881</v>
      </c>
      <c r="F30" s="769" cm="1">
        <f t="array" ref="F30">IF($C$2="Week 1",INDEX(Sheet1!D215:AG215,0,$AF$33),INDEX(Sheet2!D215:AG215,0,$AF$33))</f>
        <v>173.29193411975652</v>
      </c>
      <c r="G30" s="774"/>
      <c r="H30" s="774"/>
      <c r="I30" s="774"/>
      <c r="J30" s="774"/>
      <c r="K30" s="774"/>
      <c r="L30" s="774"/>
      <c r="M30" s="1441"/>
      <c r="N30" s="1441"/>
      <c r="O30" s="1441"/>
      <c r="P30" s="1441"/>
      <c r="Q30" s="1441"/>
      <c r="R30" s="1441"/>
      <c r="S30" s="774"/>
      <c r="T30" s="774"/>
      <c r="U30" s="805"/>
      <c r="V30" s="805"/>
      <c r="W30" s="805"/>
      <c r="X30" s="805"/>
      <c r="Y30" s="782"/>
      <c r="Z30" s="782"/>
      <c r="AA30" s="782"/>
      <c r="AB30" s="782"/>
      <c r="AC30" s="782"/>
      <c r="AD30" s="782"/>
      <c r="AE30" s="782"/>
      <c r="AF30" s="782"/>
      <c r="AG30" s="782"/>
      <c r="AH30" s="782"/>
      <c r="AI30" s="782"/>
      <c r="AJ30" s="782"/>
      <c r="AK30" s="782"/>
      <c r="AL30" s="782"/>
      <c r="AM30" s="781"/>
      <c r="AN30" s="781"/>
      <c r="AO30" s="781"/>
      <c r="AP30" s="781"/>
      <c r="AQ30" s="781"/>
      <c r="AR30" s="78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c r="BP30" s="781"/>
      <c r="BQ30" s="781"/>
      <c r="BR30" s="781"/>
      <c r="BS30" s="781"/>
      <c r="BT30" s="781"/>
      <c r="BU30" s="781"/>
      <c r="BV30" s="781"/>
      <c r="BW30" s="781"/>
      <c r="BX30" s="781"/>
      <c r="BY30" s="781"/>
      <c r="BZ30" s="781"/>
      <c r="CA30" s="781"/>
      <c r="CB30" s="781"/>
      <c r="CC30" s="781"/>
      <c r="CD30" s="781"/>
      <c r="CE30" s="781"/>
      <c r="CF30" s="781"/>
      <c r="CG30" s="781"/>
      <c r="CH30" s="781"/>
    </row>
    <row r="31" spans="1:86" s="784" customFormat="1" ht="16" customHeight="1">
      <c r="A31" s="1225" t="s">
        <v>3874</v>
      </c>
      <c r="B31" s="770" t="s">
        <v>3891</v>
      </c>
      <c r="C31" s="1114" cm="1">
        <f t="array" ref="C31">IF($C$2="Week 1",INDEX(Sheet1!D468:AG468,0,$AF$33),INDEX(Sheet2!D468:AG468,0,$AF$33))</f>
        <v>0.4</v>
      </c>
      <c r="D31" s="867" cm="1">
        <f t="array" ref="D31">IF($C$2="Week 1",INDEX(Sheet1!D162:AG162,0,$AF$33),INDEX(Sheet2!D162:AG162,0,$AF$33))</f>
        <v>0.72331883259677809</v>
      </c>
      <c r="E31" s="868" cm="1">
        <f t="array" ref="E31">IF($C$2="Week 1",INDEX(Sheet1!D189:AG189,0,$AF$33),INDEX(Sheet2!D189:AG189,0,$AF$33))</f>
        <v>241.10627753225938</v>
      </c>
      <c r="F31" s="769" cm="1">
        <f t="array" ref="F31">IF($C$2="Week 1",INDEX(Sheet1!D216:AG216,0,$AF$33),INDEX(Sheet2!D216:AG216,0,$AF$33))</f>
        <v>168.79363448661331</v>
      </c>
      <c r="G31" s="774"/>
      <c r="H31" s="774"/>
      <c r="I31" s="774"/>
      <c r="J31" s="774"/>
      <c r="K31" s="774"/>
      <c r="L31" s="774"/>
      <c r="M31" s="1441"/>
      <c r="N31" s="1441"/>
      <c r="O31" s="1441"/>
      <c r="P31" s="1441"/>
      <c r="Q31" s="1441"/>
      <c r="R31" s="1441"/>
      <c r="S31" s="774"/>
      <c r="T31" s="774"/>
      <c r="U31" s="805"/>
      <c r="V31" s="805"/>
      <c r="W31" s="805"/>
      <c r="X31" s="805"/>
      <c r="Y31" s="782"/>
      <c r="Z31" s="782"/>
      <c r="AA31" s="782"/>
      <c r="AB31" s="782"/>
      <c r="AC31" s="782"/>
      <c r="AD31" s="782"/>
      <c r="AE31" s="782"/>
      <c r="AF31" s="782"/>
      <c r="AG31" s="782"/>
      <c r="AH31" s="782"/>
      <c r="AI31" s="782"/>
      <c r="AJ31" s="782"/>
      <c r="AK31" s="782"/>
      <c r="AL31" s="782"/>
      <c r="AM31" s="781"/>
      <c r="AN31" s="781"/>
      <c r="AO31" s="781"/>
      <c r="AP31" s="781"/>
      <c r="AQ31" s="781"/>
      <c r="AR31" s="78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c r="BP31" s="781"/>
      <c r="BQ31" s="781"/>
      <c r="BR31" s="781"/>
      <c r="BS31" s="781"/>
      <c r="BT31" s="781"/>
      <c r="BU31" s="781"/>
      <c r="BV31" s="781"/>
      <c r="BW31" s="781"/>
      <c r="BX31" s="781"/>
      <c r="BY31" s="781"/>
      <c r="BZ31" s="781"/>
      <c r="CA31" s="781"/>
      <c r="CB31" s="781"/>
      <c r="CC31" s="781"/>
      <c r="CD31" s="781"/>
      <c r="CE31" s="781"/>
      <c r="CF31" s="781"/>
      <c r="CG31" s="781"/>
      <c r="CH31" s="781"/>
    </row>
    <row r="32" spans="1:86" s="784" customFormat="1" ht="16" customHeight="1">
      <c r="A32" s="1225" t="s">
        <v>2997</v>
      </c>
      <c r="B32" s="770" t="s">
        <v>2990</v>
      </c>
      <c r="C32" s="1114" cm="1">
        <f t="array" ref="C32">IF($C$2="Week 1",INDEX(Sheet1!D469:AG469,0,$AF$33),INDEX(Sheet2!D469:AG469,0,$AF$33))</f>
        <v>0.6</v>
      </c>
      <c r="D32" s="867" cm="1">
        <f t="array" ref="D32">IF($C$2="Week 1",INDEX(Sheet1!D163:AG163,0,$AF$33),INDEX(Sheet2!D163:AG163,0,$AF$33))</f>
        <v>508.27567549402318</v>
      </c>
      <c r="E32" s="868" cm="1">
        <f t="array" ref="E32">IF($C$2="Week 1",INDEX(Sheet1!D190:AG190,0,$AF$33),INDEX(Sheet2!D190:AG190,0,$AF$33))</f>
        <v>211.78153145584298</v>
      </c>
      <c r="F32" s="769" cm="1">
        <f t="array" ref="F32">IF($C$2="Week 1",INDEX(Sheet1!D217:AG217,0,$AF$33),INDEX(Sheet2!D217:AG217,0,$AF$33))</f>
        <v>141.4293970057968</v>
      </c>
      <c r="G32" s="774"/>
      <c r="H32" s="774"/>
      <c r="I32" s="774"/>
      <c r="J32" s="774"/>
      <c r="K32" s="774"/>
      <c r="L32" s="774"/>
      <c r="M32" s="1441"/>
      <c r="N32" s="1441"/>
      <c r="O32" s="1441"/>
      <c r="P32" s="1441"/>
      <c r="Q32" s="1441"/>
      <c r="R32" s="1441"/>
      <c r="S32" s="774"/>
      <c r="T32" s="774"/>
      <c r="U32" s="805"/>
      <c r="V32" s="805"/>
      <c r="W32" s="805"/>
      <c r="X32" s="805"/>
      <c r="Y32" s="782"/>
      <c r="Z32" s="782"/>
      <c r="AA32" s="782"/>
      <c r="AB32" s="782"/>
      <c r="AC32" s="782"/>
      <c r="AD32" s="782"/>
      <c r="AE32" s="782"/>
      <c r="AF32" s="782"/>
      <c r="AG32" s="782"/>
      <c r="AH32" s="782"/>
      <c r="AI32" s="782"/>
      <c r="AJ32" s="782"/>
      <c r="AK32" s="782"/>
      <c r="AL32" s="782"/>
      <c r="AM32" s="781"/>
      <c r="AN32" s="781"/>
      <c r="AO32" s="781"/>
      <c r="AP32" s="781"/>
      <c r="AQ32" s="781"/>
      <c r="AR32" s="78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c r="BP32" s="781"/>
      <c r="BQ32" s="781"/>
      <c r="BR32" s="781"/>
      <c r="BS32" s="781"/>
      <c r="BT32" s="781"/>
      <c r="BU32" s="781"/>
      <c r="BV32" s="781"/>
      <c r="BW32" s="781"/>
      <c r="BX32" s="781"/>
      <c r="BY32" s="781"/>
      <c r="BZ32" s="781"/>
      <c r="CA32" s="781"/>
      <c r="CB32" s="781"/>
      <c r="CC32" s="781"/>
      <c r="CD32" s="781"/>
      <c r="CE32" s="781"/>
      <c r="CF32" s="781"/>
      <c r="CG32" s="781"/>
      <c r="CH32" s="781"/>
    </row>
    <row r="33" spans="1:86" s="784" customFormat="1" ht="16" customHeight="1">
      <c r="A33" s="1225" t="s">
        <v>3875</v>
      </c>
      <c r="B33" s="770" t="s">
        <v>3892</v>
      </c>
      <c r="C33" s="1114" cm="1">
        <f t="array" ref="C33">IF($C$2="Week 1",INDEX(Sheet1!D470:AG470,0,$AF$33),INDEX(Sheet2!D470:AG470,0,$AF$33))</f>
        <v>0.4</v>
      </c>
      <c r="D33" s="867" cm="1">
        <f t="array" ref="D33">IF($C$2="Week 1",INDEX(Sheet1!D164:AG164,0,$AF$33),INDEX(Sheet2!D164:AG164,0,$AF$33))</f>
        <v>0.59275233556455642</v>
      </c>
      <c r="E33" s="868" cm="1">
        <f t="array" ref="E33">IF($C$2="Week 1",INDEX(Sheet1!D191:AG191,0,$AF$33),INDEX(Sheet2!D191:AG191,0,$AF$33))</f>
        <v>197.58411185485215</v>
      </c>
      <c r="F33" s="769" cm="1">
        <f t="array" ref="F33">IF($C$2="Week 1",INDEX(Sheet1!D218:AG218,0,$AF$33),INDEX(Sheet2!D218:AG218,0,$AF$33))</f>
        <v>136.72602498679811</v>
      </c>
      <c r="G33" s="774"/>
      <c r="H33" s="774"/>
      <c r="I33" s="774"/>
      <c r="J33" s="774"/>
      <c r="K33" s="774"/>
      <c r="L33" s="774"/>
      <c r="M33" s="1441"/>
      <c r="N33" s="1441"/>
      <c r="O33" s="1441"/>
      <c r="P33" s="1441"/>
      <c r="Q33" s="1441"/>
      <c r="R33" s="1441"/>
      <c r="S33" s="774"/>
      <c r="T33" s="774"/>
      <c r="U33" s="805"/>
      <c r="V33" s="805"/>
      <c r="W33" s="805"/>
      <c r="X33" s="805"/>
      <c r="Y33" s="782"/>
      <c r="Z33" s="782"/>
      <c r="AA33" s="782"/>
      <c r="AB33" s="782"/>
      <c r="AC33" s="782"/>
      <c r="AD33" s="782"/>
      <c r="AE33" s="862" t="s">
        <v>2568</v>
      </c>
      <c r="AF33" s="759">
        <v>4</v>
      </c>
      <c r="AG33" s="781"/>
      <c r="AH33" s="781"/>
      <c r="AI33" s="781"/>
      <c r="AJ33" s="781"/>
      <c r="AK33" s="781"/>
      <c r="AL33" s="781"/>
      <c r="AM33" s="781"/>
      <c r="AN33" s="781"/>
      <c r="AO33" s="781"/>
      <c r="AP33" s="781"/>
      <c r="AQ33" s="781"/>
      <c r="AR33" s="78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c r="BP33" s="781"/>
      <c r="BQ33" s="781"/>
      <c r="BR33" s="781"/>
      <c r="BS33" s="781"/>
      <c r="BT33" s="781"/>
      <c r="BU33" s="781"/>
      <c r="BV33" s="781"/>
      <c r="BW33" s="781"/>
      <c r="BX33" s="781"/>
      <c r="BY33" s="781"/>
      <c r="BZ33" s="781"/>
      <c r="CA33" s="781"/>
    </row>
    <row r="34" spans="1:86" s="784" customFormat="1" ht="16" customHeight="1">
      <c r="A34" s="1225" t="s">
        <v>2998</v>
      </c>
      <c r="B34" s="1217" t="s">
        <v>2985</v>
      </c>
      <c r="C34" s="1114" cm="1">
        <f t="array" ref="C34">IF($C$2="Week 1",INDEX(Sheet1!D471:AG471,0,$AF$33),INDEX(Sheet2!D471:AG471,0,$AF$33))</f>
        <v>0.4</v>
      </c>
      <c r="D34" s="867" cm="1">
        <f t="array" ref="D34">IF($C$2="Week 1",INDEX(Sheet1!D165:AG165,0,$AF$33),INDEX(Sheet2!D165:AG165,0,$AF$33))</f>
        <v>0.46990931358496429</v>
      </c>
      <c r="E34" s="868" cm="1">
        <f t="array" ref="E34">IF($C$2="Week 1",INDEX(Sheet1!D192:AG192,0,$AF$33),INDEX(Sheet2!D192:AG192,0,$AF$33))</f>
        <v>149.17755986824264</v>
      </c>
      <c r="F34" s="769" cm="1">
        <f t="array" ref="F34">IF($C$2="Week 1",INDEX(Sheet1!D219:AG219,0,$AF$33),INDEX(Sheet2!D219:AG219,0,$AF$33))</f>
        <v>105.74059107579205</v>
      </c>
      <c r="G34" s="774"/>
      <c r="H34" s="774"/>
      <c r="I34" s="774"/>
      <c r="J34" s="774"/>
      <c r="K34" s="774"/>
      <c r="L34" s="774"/>
      <c r="M34" s="1441"/>
      <c r="N34" s="1441"/>
      <c r="O34" s="1441"/>
      <c r="P34" s="1441"/>
      <c r="Q34" s="1441"/>
      <c r="R34" s="1441"/>
      <c r="S34" s="774"/>
      <c r="T34" s="774"/>
      <c r="U34" s="805"/>
      <c r="V34" s="805"/>
      <c r="W34" s="805"/>
      <c r="X34" s="805"/>
      <c r="Y34" s="782"/>
      <c r="Z34" s="782"/>
      <c r="AA34" s="782"/>
      <c r="AB34" s="782"/>
      <c r="AC34" s="782"/>
      <c r="AD34" s="782"/>
      <c r="AE34" s="863" t="s">
        <v>2567</v>
      </c>
      <c r="AF34" s="759">
        <f>IF($AF$33&lt;=5,1,IF($AF$33&lt;=10,2,IF($AF$33&lt;=15,3,IF($AF$33&lt;=20,4,IF($AF$33&lt;=25,5,6)))))</f>
        <v>1</v>
      </c>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c r="BP34" s="781"/>
      <c r="BQ34" s="781"/>
      <c r="BR34" s="781"/>
      <c r="BS34" s="781"/>
      <c r="BT34" s="781"/>
      <c r="BU34" s="781"/>
      <c r="BV34" s="781"/>
      <c r="BW34" s="781"/>
      <c r="BX34" s="781"/>
      <c r="BY34" s="781"/>
      <c r="BZ34" s="781"/>
      <c r="CA34" s="781"/>
    </row>
    <row r="35" spans="1:86" s="784" customFormat="1" ht="16" customHeight="1">
      <c r="A35" s="1225" t="s">
        <v>3876</v>
      </c>
      <c r="B35" s="770" t="s">
        <v>3893</v>
      </c>
      <c r="C35" s="1114" cm="1">
        <f t="array" ref="C35">IF($C$2="Week 1",INDEX(Sheet1!D472:AG472,0,$AF$33),INDEX(Sheet2!D472:AG472,0,$AF$33))</f>
        <v>0.4</v>
      </c>
      <c r="D35" s="867" cm="1">
        <f t="array" ref="D35">IF($C$2="Week 1",INDEX(Sheet1!D166:AG166,0,$AF$33),INDEX(Sheet2!D166:AG166,0,$AF$33))</f>
        <v>8.578837228835166</v>
      </c>
      <c r="E35" s="868" cm="1">
        <f t="array" ref="E35">IF($C$2="Week 1",INDEX(Sheet1!D193:AG193,0,$AF$33),INDEX(Sheet2!D193:AG193,0,$AF$33))</f>
        <v>219.97018535474785</v>
      </c>
      <c r="F35" s="769" cm="1">
        <f t="array" ref="F35">IF($C$2="Week 1",INDEX(Sheet1!D220:AG220,0,$AF$33),INDEX(Sheet2!D220:AG220,0,$AF$33))</f>
        <v>157.22028671739548</v>
      </c>
      <c r="G35" s="774"/>
      <c r="H35" s="774"/>
      <c r="I35" s="774"/>
      <c r="J35" s="774"/>
      <c r="K35" s="774"/>
      <c r="L35" s="774"/>
      <c r="M35" s="1441"/>
      <c r="N35" s="1441"/>
      <c r="O35" s="1441"/>
      <c r="P35" s="1441"/>
      <c r="Q35" s="1441"/>
      <c r="R35" s="1441"/>
      <c r="S35" s="774"/>
      <c r="T35" s="774"/>
      <c r="U35" s="805"/>
      <c r="V35" s="805"/>
      <c r="W35" s="805"/>
      <c r="X35" s="805"/>
      <c r="Y35" s="782"/>
      <c r="Z35" s="782"/>
      <c r="AA35" s="782"/>
      <c r="AB35" s="782"/>
      <c r="AC35" s="782"/>
      <c r="AD35" s="782"/>
      <c r="AE35" s="864" t="s">
        <v>2566</v>
      </c>
      <c r="AF35" s="781" t="str">
        <f>C2</f>
        <v>Week 2</v>
      </c>
      <c r="AG35" s="781"/>
      <c r="AH35" s="781"/>
      <c r="AI35" s="781"/>
      <c r="AJ35" s="781"/>
      <c r="AK35" s="781"/>
      <c r="AL35" s="781"/>
      <c r="AM35" s="781"/>
      <c r="AN35" s="781"/>
      <c r="AO35" s="781"/>
      <c r="AP35" s="781"/>
      <c r="AQ35" s="781"/>
      <c r="AR35" s="78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c r="BP35" s="781"/>
      <c r="BQ35" s="781"/>
      <c r="BR35" s="781"/>
      <c r="BS35" s="781"/>
      <c r="BT35" s="781"/>
      <c r="BU35" s="781"/>
      <c r="BV35" s="781"/>
      <c r="BW35" s="781"/>
      <c r="BX35" s="781"/>
      <c r="BY35" s="781"/>
      <c r="BZ35" s="781"/>
      <c r="CA35" s="781"/>
    </row>
    <row r="36" spans="1:86" s="784" customFormat="1" ht="16" customHeight="1">
      <c r="A36" s="1225" t="s">
        <v>2999</v>
      </c>
      <c r="B36" s="770" t="s">
        <v>2986</v>
      </c>
      <c r="C36" s="1114" cm="1">
        <f t="array" ref="C36">IF($C$2="Week 1",INDEX(Sheet1!D473:AG473,0,$AF$33),INDEX(Sheet2!D473:AG473,0,$AF$33))</f>
        <v>0.4</v>
      </c>
      <c r="D36" s="867" cm="1">
        <f t="array" ref="D36">IF($C$2="Week 1",INDEX(Sheet1!D167:AG167,0,$AF$33),INDEX(Sheet2!D167:AG167,0,$AF$33))</f>
        <v>0.90260345714287693</v>
      </c>
      <c r="E36" s="868" cm="1">
        <f t="array" ref="E36">IF($C$2="Week 1",INDEX(Sheet1!D194:AG194,0,$AF$33),INDEX(Sheet2!D194:AG194,0,$AF$33))</f>
        <v>353.96214005603019</v>
      </c>
      <c r="F36" s="769" cm="1">
        <f t="array" ref="F36">IF($C$2="Week 1",INDEX(Sheet1!D221:AG221,0,$AF$33),INDEX(Sheet2!D221:AG221,0,$AF$33))</f>
        <v>260.24936236644749</v>
      </c>
      <c r="G36" s="774"/>
      <c r="H36" s="774"/>
      <c r="I36" s="774"/>
      <c r="J36" s="774"/>
      <c r="K36" s="774"/>
      <c r="L36" s="774"/>
      <c r="M36" s="1441"/>
      <c r="N36" s="1441"/>
      <c r="O36" s="1441"/>
      <c r="P36" s="1441"/>
      <c r="Q36" s="1441"/>
      <c r="R36" s="1441"/>
      <c r="S36" s="774"/>
      <c r="T36" s="774"/>
      <c r="U36" s="774"/>
      <c r="V36" s="774"/>
      <c r="W36" s="1134"/>
      <c r="X36" s="1134"/>
      <c r="Y36" s="781"/>
      <c r="Z36" s="781"/>
      <c r="AA36" s="781"/>
      <c r="AB36" s="781"/>
      <c r="AC36" s="781"/>
      <c r="AD36" s="781"/>
      <c r="AE36" s="781" t="s">
        <v>2982</v>
      </c>
      <c r="AF36" s="781" t="str">
        <f>C6</f>
        <v>Organic</v>
      </c>
      <c r="AG36" s="781"/>
      <c r="AH36" s="839"/>
      <c r="AI36" s="839"/>
      <c r="AJ36" s="839"/>
      <c r="AK36" s="839"/>
      <c r="AL36" s="839"/>
      <c r="AM36" s="781"/>
      <c r="AN36" s="781"/>
      <c r="AO36" s="781"/>
      <c r="AP36" s="781"/>
      <c r="AQ36" s="781"/>
      <c r="AR36" s="781"/>
      <c r="AS36" s="781"/>
      <c r="AT36" s="781"/>
      <c r="AU36" s="781"/>
      <c r="AV36" s="781"/>
      <c r="AW36" s="781"/>
      <c r="AX36" s="781"/>
      <c r="AY36" s="781"/>
      <c r="AZ36" s="781"/>
      <c r="BA36" s="781"/>
      <c r="BB36" s="781"/>
      <c r="BC36" s="781"/>
      <c r="BD36" s="781"/>
      <c r="BE36" s="781"/>
      <c r="BF36" s="781"/>
      <c r="BG36" s="781"/>
      <c r="BH36" s="781"/>
      <c r="BI36" s="781"/>
      <c r="BJ36" s="781"/>
      <c r="BK36" s="781"/>
      <c r="BL36" s="781"/>
      <c r="BM36" s="781"/>
      <c r="BN36" s="781"/>
      <c r="BO36" s="781"/>
      <c r="BP36" s="781"/>
      <c r="BQ36" s="781"/>
      <c r="BR36" s="781"/>
      <c r="BS36" s="781"/>
      <c r="BT36" s="781"/>
      <c r="BU36" s="781"/>
      <c r="BV36" s="781"/>
      <c r="BW36" s="781"/>
      <c r="BX36" s="781"/>
      <c r="BY36" s="781"/>
      <c r="BZ36" s="781"/>
      <c r="CA36" s="781"/>
      <c r="CB36" s="781"/>
      <c r="CC36" s="781"/>
      <c r="CD36" s="781"/>
      <c r="CE36" s="781"/>
      <c r="CF36" s="781"/>
      <c r="CG36" s="781"/>
      <c r="CH36" s="781"/>
    </row>
    <row r="37" spans="1:86" s="784" customFormat="1" ht="16" customHeight="1">
      <c r="A37" s="1225" t="s">
        <v>3877</v>
      </c>
      <c r="B37" s="770" t="s">
        <v>3894</v>
      </c>
      <c r="C37" s="1114" cm="1">
        <f t="array" ref="C37">IF($C$2="Week 1",INDEX(Sheet1!D474:AG474,0,$AF$33),INDEX(Sheet2!D474:AG474,0,$AF$33))</f>
        <v>0.4</v>
      </c>
      <c r="D37" s="867" cm="1">
        <f t="array" ref="D37">IF($C$2="Week 1",INDEX(Sheet1!D168:AG168,0,$AF$33),INDEX(Sheet2!D168:AG168,0,$AF$33))</f>
        <v>200.67248698031921</v>
      </c>
      <c r="E37" s="868" cm="1">
        <f t="array" ref="E37">IF($C$2="Week 1",INDEX(Sheet1!D195:AG195,0,$AF$33),INDEX(Sheet2!D195:AG195,0,$AF$33))</f>
        <v>267.5633159737589</v>
      </c>
      <c r="F37" s="769" cm="1">
        <f t="array" ref="F37">IF($C$2="Week 1",INDEX(Sheet1!D222:AG222,0,$AF$33),INDEX(Sheet2!D222:AG222,0,$AF$33))</f>
        <v>173.49276570144235</v>
      </c>
      <c r="G37" s="774"/>
      <c r="H37" s="774"/>
      <c r="I37" s="774"/>
      <c r="J37" s="774"/>
      <c r="K37" s="774"/>
      <c r="L37" s="774"/>
      <c r="M37" s="1441"/>
      <c r="N37" s="1441"/>
      <c r="O37" s="1441"/>
      <c r="P37" s="1441"/>
      <c r="Q37" s="1441"/>
      <c r="R37" s="1441"/>
      <c r="S37" s="989"/>
      <c r="T37" s="774"/>
      <c r="U37" s="774"/>
      <c r="V37" s="774"/>
      <c r="W37" s="1134"/>
      <c r="X37" s="1134"/>
      <c r="Y37" s="781"/>
      <c r="Z37" s="781"/>
      <c r="AA37" s="781"/>
      <c r="AB37" s="781"/>
      <c r="AC37" s="781"/>
      <c r="AD37" s="781"/>
      <c r="AE37" s="781"/>
      <c r="AF37" s="781"/>
      <c r="AG37" s="781"/>
      <c r="AH37" s="839"/>
      <c r="AI37" s="839"/>
      <c r="AJ37" s="839"/>
      <c r="AK37" s="839"/>
      <c r="AL37" s="839"/>
      <c r="AM37" s="781"/>
      <c r="AN37" s="781"/>
      <c r="AO37" s="781"/>
      <c r="AP37" s="781"/>
      <c r="AQ37" s="781"/>
      <c r="AR37" s="781"/>
      <c r="AS37" s="781"/>
      <c r="AT37" s="781"/>
      <c r="AU37" s="781"/>
      <c r="AV37" s="781"/>
      <c r="AW37" s="781"/>
      <c r="AX37" s="781"/>
      <c r="AY37" s="781"/>
      <c r="AZ37" s="781"/>
      <c r="BA37" s="781"/>
      <c r="BB37" s="781"/>
      <c r="BC37" s="781"/>
      <c r="BD37" s="781"/>
      <c r="BE37" s="781"/>
      <c r="BF37" s="781"/>
      <c r="BG37" s="781"/>
      <c r="BH37" s="781"/>
      <c r="BI37" s="781"/>
      <c r="BJ37" s="781"/>
      <c r="BK37" s="781"/>
      <c r="BL37" s="781"/>
      <c r="BM37" s="781"/>
      <c r="BN37" s="781"/>
      <c r="BO37" s="781"/>
      <c r="BP37" s="781"/>
      <c r="BQ37" s="781"/>
      <c r="BR37" s="781"/>
      <c r="BS37" s="781"/>
      <c r="BT37" s="781"/>
      <c r="BU37" s="781"/>
      <c r="BV37" s="781"/>
      <c r="BW37" s="781"/>
      <c r="BX37" s="781"/>
      <c r="BY37" s="781"/>
      <c r="BZ37" s="781"/>
      <c r="CA37" s="781"/>
      <c r="CB37" s="781"/>
      <c r="CC37" s="781"/>
      <c r="CD37" s="781"/>
      <c r="CE37" s="781"/>
      <c r="CF37" s="781"/>
      <c r="CG37" s="781"/>
      <c r="CH37" s="781"/>
    </row>
    <row r="38" spans="1:86" s="784" customFormat="1" ht="16" customHeight="1">
      <c r="A38" s="1225" t="s">
        <v>3000</v>
      </c>
      <c r="B38" s="770" t="s">
        <v>2987</v>
      </c>
      <c r="C38" s="1114" cm="1">
        <f t="array" ref="C38">IF($C$2="Week 1",INDEX(Sheet1!D475:AG475,0,$AF$33),INDEX(Sheet2!D475:AG475,0,$AF$33))</f>
        <v>1.6</v>
      </c>
      <c r="D38" s="867" cm="1">
        <f t="array" ref="D38">IF($C$2="Week 1",INDEX(Sheet1!D169:AG169,0,$AF$33),INDEX(Sheet2!D169:AG169,0,$AF$33))</f>
        <v>0.69172769100178744</v>
      </c>
      <c r="E38" s="868" cm="1">
        <f t="array" ref="E38">IF($C$2="Week 1",INDEX(Sheet1!D196:AG196,0,$AF$33),INDEX(Sheet2!D196:AG196,0,$AF$33))</f>
        <v>92.230358800238321</v>
      </c>
      <c r="F38" s="769" cm="1">
        <f t="array" ref="F38">IF($C$2="Week 1",INDEX(Sheet1!D223:AG223,0,$AF$33),INDEX(Sheet2!D223:AG223,0,$AF$33))</f>
        <v>74.469880804208955</v>
      </c>
      <c r="G38" s="774"/>
      <c r="H38" s="774"/>
      <c r="I38" s="774"/>
      <c r="J38" s="774"/>
      <c r="K38" s="774"/>
      <c r="L38" s="774"/>
      <c r="M38" s="1441"/>
      <c r="N38" s="1441"/>
      <c r="O38" s="1441"/>
      <c r="P38" s="1441"/>
      <c r="Q38" s="1441"/>
      <c r="R38" s="1441"/>
      <c r="S38" s="774"/>
      <c r="T38" s="774"/>
      <c r="U38" s="774"/>
      <c r="V38" s="774"/>
      <c r="W38" s="1134"/>
      <c r="X38" s="1134"/>
      <c r="Y38" s="781"/>
      <c r="Z38" s="781"/>
      <c r="AA38" s="781"/>
      <c r="AB38" s="781"/>
      <c r="AC38" s="781"/>
      <c r="AD38" s="781"/>
      <c r="AE38" s="781"/>
      <c r="AF38" s="781"/>
      <c r="AG38" s="781"/>
      <c r="AH38" s="839"/>
      <c r="AI38" s="839"/>
      <c r="AJ38" s="839"/>
      <c r="AK38" s="839"/>
      <c r="AL38" s="839"/>
      <c r="AM38" s="781"/>
      <c r="AN38" s="781"/>
      <c r="AO38" s="781"/>
      <c r="AP38" s="781"/>
      <c r="AQ38" s="781"/>
      <c r="AR38" s="781"/>
      <c r="AS38" s="781"/>
      <c r="AT38" s="781"/>
      <c r="AU38" s="781"/>
      <c r="AV38" s="781"/>
      <c r="AW38" s="781"/>
      <c r="AX38" s="781"/>
      <c r="AY38" s="781"/>
      <c r="AZ38" s="781"/>
      <c r="BA38" s="781"/>
      <c r="BB38" s="781"/>
      <c r="BC38" s="781"/>
      <c r="BD38" s="781"/>
      <c r="BE38" s="781"/>
      <c r="BF38" s="781"/>
      <c r="BG38" s="781"/>
      <c r="BH38" s="781"/>
      <c r="BI38" s="781"/>
      <c r="BJ38" s="781"/>
      <c r="BK38" s="781"/>
      <c r="BL38" s="781"/>
      <c r="BM38" s="781"/>
      <c r="BN38" s="781"/>
      <c r="BO38" s="781"/>
      <c r="BP38" s="781"/>
      <c r="BQ38" s="781"/>
      <c r="BR38" s="781"/>
      <c r="BS38" s="781"/>
      <c r="BT38" s="781"/>
      <c r="BU38" s="781"/>
      <c r="BV38" s="781"/>
      <c r="BW38" s="781"/>
      <c r="BX38" s="781"/>
      <c r="BY38" s="781"/>
      <c r="BZ38" s="781"/>
      <c r="CA38" s="781"/>
      <c r="CB38" s="781"/>
      <c r="CC38" s="781"/>
      <c r="CD38" s="781"/>
      <c r="CE38" s="781"/>
      <c r="CF38" s="781"/>
      <c r="CG38" s="781"/>
      <c r="CH38" s="781"/>
    </row>
    <row r="39" spans="1:86" s="784" customFormat="1" ht="16" customHeight="1">
      <c r="A39" s="1225" t="s">
        <v>3001</v>
      </c>
      <c r="B39" s="770" t="s">
        <v>2988</v>
      </c>
      <c r="C39" s="1114" cm="1">
        <f t="array" ref="C39">IF($C$2="Week 1",INDEX(Sheet1!D476:AG476,0,$AF$33),INDEX(Sheet2!D476:AG476,0,$AF$33))</f>
        <v>0</v>
      </c>
      <c r="D39" s="867" cm="1">
        <f t="array" ref="D39">IF($C$2="Week 1",INDEX(Sheet1!D170:AG170,0,$AF$33),INDEX(Sheet2!D170:AG170,0,$AF$33))</f>
        <v>49.795351052406545</v>
      </c>
      <c r="E39" s="868" cm="1">
        <f t="array" ref="E39">IF($C$2="Week 1",INDEX(Sheet1!D197:AG197,0,$AF$33),INDEX(Sheet2!D197:AG197,0,$AF$33))</f>
        <v>207.48062938502727</v>
      </c>
      <c r="F39" s="769" cm="1">
        <f t="array" ref="F39">IF($C$2="Week 1",INDEX(Sheet1!D224:AG224,0,$AF$33),INDEX(Sheet2!D224:AG224,0,$AF$33))</f>
        <v>120.73696735291796</v>
      </c>
      <c r="G39" s="1444"/>
      <c r="H39" s="1423"/>
      <c r="I39" s="1423"/>
      <c r="J39" s="1423"/>
      <c r="K39" s="1423"/>
      <c r="L39" s="1423"/>
      <c r="M39" s="1441"/>
      <c r="N39" s="1441"/>
      <c r="O39" s="1441"/>
      <c r="P39" s="1441"/>
      <c r="Q39" s="1441"/>
      <c r="R39" s="1441"/>
      <c r="S39" s="774"/>
      <c r="T39" s="774"/>
      <c r="U39" s="774"/>
      <c r="V39" s="774"/>
      <c r="W39" s="1134"/>
      <c r="X39" s="1134"/>
      <c r="Y39" s="781"/>
      <c r="Z39" s="781"/>
      <c r="AA39" s="781"/>
      <c r="AB39" s="781"/>
      <c r="AC39" s="781"/>
      <c r="AD39" s="781"/>
      <c r="AE39" s="781"/>
      <c r="AF39" s="781"/>
      <c r="AG39" s="781"/>
      <c r="AH39" s="839"/>
      <c r="AI39" s="839"/>
      <c r="AJ39" s="839"/>
      <c r="AK39" s="839"/>
      <c r="AL39" s="839"/>
      <c r="AM39" s="781"/>
      <c r="AN39" s="781"/>
      <c r="AO39" s="781"/>
      <c r="AP39" s="781"/>
      <c r="AQ39" s="781"/>
      <c r="AR39" s="781"/>
      <c r="AS39" s="781"/>
      <c r="AT39" s="781"/>
      <c r="AU39" s="781"/>
      <c r="AV39" s="781"/>
      <c r="AW39" s="781"/>
      <c r="AX39" s="781"/>
      <c r="AY39" s="781"/>
      <c r="AZ39" s="781"/>
      <c r="BA39" s="781"/>
      <c r="BB39" s="781"/>
      <c r="BC39" s="781"/>
      <c r="BD39" s="781"/>
      <c r="BE39" s="781"/>
      <c r="BF39" s="781"/>
      <c r="BG39" s="781"/>
      <c r="BH39" s="781"/>
      <c r="BI39" s="781"/>
      <c r="BJ39" s="781"/>
      <c r="BK39" s="781"/>
      <c r="BL39" s="781"/>
      <c r="BM39" s="781"/>
      <c r="BN39" s="781"/>
      <c r="BO39" s="781"/>
      <c r="BP39" s="781"/>
      <c r="BQ39" s="781"/>
      <c r="BR39" s="781"/>
      <c r="BS39" s="781"/>
      <c r="BT39" s="781"/>
      <c r="BU39" s="781"/>
      <c r="BV39" s="781"/>
      <c r="BW39" s="781"/>
      <c r="BX39" s="781"/>
      <c r="BY39" s="781"/>
      <c r="BZ39" s="781"/>
      <c r="CA39" s="781"/>
      <c r="CB39" s="781"/>
      <c r="CC39" s="781"/>
      <c r="CD39" s="781"/>
      <c r="CE39" s="781"/>
      <c r="CF39" s="781"/>
      <c r="CG39" s="781"/>
      <c r="CH39" s="781"/>
    </row>
    <row r="40" spans="1:86" s="784" customFormat="1" ht="16" customHeight="1">
      <c r="A40" s="1227" t="s">
        <v>3002</v>
      </c>
      <c r="B40" s="979" t="s">
        <v>2989</v>
      </c>
      <c r="C40" s="1115" cm="1">
        <f t="array" ref="C40">IF($C$2="Week 1",INDEX(Sheet1!D477:AG477,0,$AF$33),INDEX(Sheet2!D477:AG477,0,$AF$33))</f>
        <v>1.6</v>
      </c>
      <c r="D40" s="976" cm="1">
        <f t="array" ref="D40">IF($C$2="Week 1",INDEX(Sheet1!D171:AG171,0,$AF$33),INDEX(Sheet2!D171:AG171,0,$AF$33))</f>
        <v>1.0941007540894141</v>
      </c>
      <c r="E40" s="977" cm="1">
        <f t="array" ref="E40">IF($C$2="Week 1",INDEX(Sheet1!D198:AG198,0,$AF$33),INDEX(Sheet2!D198:AG198,0,$AF$33))</f>
        <v>72.940050272627616</v>
      </c>
      <c r="F40" s="978" cm="1">
        <f t="array" ref="F40">IF($C$2="Week 1",INDEX(Sheet1!D225:AG225,0,$AF$33),INDEX(Sheet2!D225:AG225,0,$AF$33))</f>
        <v>56.10246817294118</v>
      </c>
      <c r="G40" s="1444"/>
      <c r="H40" s="1423"/>
      <c r="I40" s="1423"/>
      <c r="J40" s="1423"/>
      <c r="K40" s="1423"/>
      <c r="L40" s="1423"/>
      <c r="M40" s="1441"/>
      <c r="N40" s="1441"/>
      <c r="O40" s="1441"/>
      <c r="P40" s="1441"/>
      <c r="Q40" s="1441"/>
      <c r="R40" s="1441"/>
      <c r="S40" s="774"/>
      <c r="T40" s="774"/>
      <c r="U40" s="774"/>
      <c r="V40" s="774"/>
      <c r="W40" s="1134"/>
      <c r="X40" s="1134"/>
      <c r="Y40" s="781"/>
      <c r="Z40" s="781"/>
      <c r="AA40" s="781"/>
      <c r="AB40" s="781"/>
      <c r="AC40" s="781"/>
      <c r="AD40" s="781"/>
      <c r="AE40" s="781"/>
      <c r="AF40" s="781"/>
      <c r="AG40" s="781"/>
      <c r="AH40" s="839"/>
      <c r="AI40" s="839"/>
      <c r="AJ40" s="839"/>
      <c r="AK40" s="839"/>
      <c r="AL40" s="839"/>
      <c r="AM40" s="781"/>
      <c r="AN40" s="781"/>
      <c r="AO40" s="781"/>
      <c r="AP40" s="781"/>
      <c r="AQ40" s="781"/>
      <c r="AR40" s="781"/>
      <c r="AS40" s="781"/>
      <c r="AT40" s="781"/>
      <c r="AU40" s="781"/>
      <c r="AV40" s="781"/>
      <c r="AW40" s="781"/>
      <c r="AX40" s="781"/>
      <c r="AY40" s="781"/>
      <c r="AZ40" s="781"/>
      <c r="BA40" s="781"/>
      <c r="BB40" s="781"/>
      <c r="BC40" s="781"/>
      <c r="BD40" s="781"/>
      <c r="BE40" s="781"/>
      <c r="BF40" s="781"/>
      <c r="BG40" s="781"/>
      <c r="BH40" s="781"/>
      <c r="BI40" s="781"/>
      <c r="BJ40" s="781"/>
      <c r="BK40" s="781"/>
      <c r="BL40" s="781"/>
      <c r="BM40" s="781"/>
      <c r="BN40" s="781"/>
      <c r="BO40" s="781"/>
      <c r="BP40" s="781"/>
      <c r="BQ40" s="781"/>
      <c r="BR40" s="781"/>
      <c r="BS40" s="781"/>
      <c r="BT40" s="781"/>
      <c r="BU40" s="781"/>
      <c r="BV40" s="781"/>
      <c r="BW40" s="781"/>
      <c r="BX40" s="781"/>
      <c r="BY40" s="781"/>
      <c r="BZ40" s="781"/>
      <c r="CA40" s="781"/>
      <c r="CB40" s="781"/>
      <c r="CC40" s="781"/>
      <c r="CD40" s="781"/>
      <c r="CE40" s="781"/>
      <c r="CF40" s="781"/>
      <c r="CG40" s="781"/>
      <c r="CH40" s="781"/>
    </row>
    <row r="41" spans="1:86" s="784" customFormat="1" ht="12" customHeight="1">
      <c r="A41" s="786"/>
      <c r="B41" s="779"/>
      <c r="C41" s="778"/>
      <c r="D41" s="774"/>
      <c r="E41" s="774"/>
      <c r="F41" s="774"/>
      <c r="G41" s="774"/>
      <c r="H41" s="774"/>
      <c r="I41" s="774"/>
      <c r="J41" s="774"/>
      <c r="K41" s="774"/>
      <c r="L41" s="777"/>
      <c r="M41" s="777"/>
      <c r="N41" s="777"/>
      <c r="O41" s="777"/>
      <c r="P41" s="777"/>
      <c r="Q41" s="777"/>
      <c r="R41" s="777"/>
      <c r="S41" s="774"/>
      <c r="T41" s="774"/>
      <c r="U41" s="774"/>
      <c r="V41" s="774"/>
      <c r="W41" s="1134"/>
      <c r="X41" s="1134"/>
      <c r="Y41" s="781"/>
      <c r="Z41" s="781"/>
      <c r="AA41" s="781"/>
      <c r="AB41" s="781"/>
      <c r="AC41" s="781"/>
      <c r="AD41" s="781"/>
      <c r="AE41" s="781"/>
      <c r="AF41" s="781"/>
      <c r="AG41" s="781"/>
      <c r="AH41" s="839"/>
      <c r="AI41" s="839"/>
      <c r="AJ41" s="839"/>
      <c r="AK41" s="839"/>
      <c r="AL41" s="839"/>
      <c r="AM41" s="781"/>
      <c r="AN41" s="781"/>
      <c r="AO41" s="781"/>
      <c r="AP41" s="781"/>
      <c r="AQ41" s="781"/>
      <c r="AR41" s="781"/>
      <c r="AS41" s="781"/>
      <c r="AT41" s="781"/>
      <c r="AU41" s="781"/>
      <c r="AV41" s="781"/>
      <c r="AW41" s="781"/>
      <c r="AX41" s="781"/>
      <c r="AY41" s="781"/>
      <c r="AZ41" s="781"/>
      <c r="BA41" s="781"/>
      <c r="BB41" s="781"/>
      <c r="BC41" s="781"/>
      <c r="BD41" s="781"/>
      <c r="BE41" s="781"/>
      <c r="BF41" s="781"/>
      <c r="BG41" s="781"/>
      <c r="BH41" s="781"/>
      <c r="BI41" s="781"/>
      <c r="BJ41" s="781"/>
      <c r="BK41" s="781"/>
      <c r="BL41" s="781"/>
      <c r="BM41" s="781"/>
      <c r="BN41" s="781"/>
      <c r="BO41" s="781"/>
      <c r="BP41" s="781"/>
      <c r="BQ41" s="781"/>
      <c r="BR41" s="781"/>
      <c r="BS41" s="781"/>
      <c r="BT41" s="781"/>
      <c r="BU41" s="781"/>
      <c r="BV41" s="781"/>
      <c r="BW41" s="781"/>
      <c r="BX41" s="781"/>
      <c r="BY41" s="781"/>
      <c r="BZ41" s="781"/>
      <c r="CA41" s="781"/>
      <c r="CB41" s="781"/>
      <c r="CC41" s="781"/>
      <c r="CD41" s="781"/>
      <c r="CE41" s="781"/>
      <c r="CF41" s="781"/>
      <c r="CG41" s="781"/>
      <c r="CH41" s="781"/>
    </row>
    <row r="42" spans="1:86" s="1218" customFormat="1">
      <c r="A42" s="763"/>
      <c r="B42" s="763"/>
      <c r="C42" s="763"/>
      <c r="D42" s="763"/>
      <c r="E42" s="763"/>
      <c r="F42" s="763"/>
      <c r="G42" s="1215"/>
      <c r="H42" s="763"/>
      <c r="I42" s="763"/>
      <c r="J42" s="763"/>
      <c r="K42" s="763"/>
      <c r="L42" s="763"/>
      <c r="M42" s="763"/>
      <c r="N42" s="763"/>
      <c r="O42" s="763"/>
      <c r="P42" s="763"/>
      <c r="Q42" s="763"/>
      <c r="R42" s="758"/>
      <c r="S42" s="1215"/>
      <c r="T42" s="1215"/>
      <c r="U42" s="1215"/>
      <c r="V42" s="1215"/>
      <c r="W42" s="1215"/>
      <c r="X42" s="1215"/>
    </row>
    <row r="43" spans="1:86" s="1218" customFormat="1">
      <c r="A43" s="764"/>
      <c r="B43" s="760"/>
      <c r="C43" s="764"/>
      <c r="D43" s="760"/>
      <c r="E43" s="760"/>
      <c r="F43" s="760"/>
      <c r="G43" s="760"/>
      <c r="H43" s="1443"/>
      <c r="I43" s="1443"/>
      <c r="J43" s="1443"/>
      <c r="K43" s="1443"/>
      <c r="L43" s="1443"/>
      <c r="M43" s="758"/>
      <c r="N43" s="758"/>
      <c r="O43" s="758"/>
      <c r="P43" s="758"/>
      <c r="Q43" s="758"/>
      <c r="R43" s="758"/>
      <c r="S43" s="1215"/>
      <c r="T43" s="1215"/>
      <c r="U43" s="1215"/>
      <c r="V43" s="1215"/>
      <c r="W43" s="1215"/>
      <c r="X43" s="1215"/>
    </row>
    <row r="44" spans="1:86" s="1218" customFormat="1">
      <c r="A44" s="764"/>
      <c r="B44" s="760"/>
      <c r="C44" s="865"/>
      <c r="D44" s="760"/>
      <c r="E44" s="760"/>
      <c r="F44" s="760"/>
      <c r="G44" s="1215"/>
      <c r="H44" s="1215"/>
      <c r="I44" s="1215"/>
      <c r="J44" s="1215"/>
      <c r="K44" s="1215"/>
      <c r="L44" s="758"/>
      <c r="M44" s="758"/>
      <c r="N44" s="758"/>
      <c r="O44" s="758"/>
      <c r="P44" s="758"/>
      <c r="Q44" s="758"/>
      <c r="R44" s="758"/>
      <c r="S44" s="1215"/>
      <c r="T44" s="1215"/>
      <c r="U44" s="1215"/>
      <c r="V44" s="1215"/>
      <c r="W44" s="1215"/>
      <c r="X44" s="1215"/>
    </row>
    <row r="45" spans="1:86" s="1218" customFormat="1">
      <c r="A45" s="764"/>
      <c r="B45" s="760"/>
      <c r="C45" s="865"/>
      <c r="D45" s="760"/>
      <c r="E45" s="760"/>
      <c r="F45" s="760"/>
      <c r="G45" s="1215"/>
      <c r="H45" s="1215"/>
      <c r="I45" s="1215"/>
      <c r="J45" s="1215"/>
      <c r="K45" s="1215"/>
      <c r="L45" s="758"/>
      <c r="M45" s="758"/>
      <c r="N45" s="758"/>
      <c r="O45" s="758"/>
      <c r="P45" s="758"/>
      <c r="Q45" s="758"/>
      <c r="R45" s="758"/>
      <c r="S45" s="1215"/>
      <c r="T45" s="1215"/>
      <c r="U45" s="1215"/>
      <c r="V45" s="1215"/>
      <c r="W45" s="1215"/>
      <c r="X45" s="1215"/>
    </row>
    <row r="46" spans="1:86" s="1218" customFormat="1">
      <c r="A46" s="764"/>
      <c r="B46" s="760"/>
      <c r="C46" s="865"/>
      <c r="D46" s="760"/>
      <c r="E46" s="760"/>
      <c r="F46" s="760"/>
      <c r="G46" s="1215"/>
      <c r="H46" s="1215"/>
      <c r="I46" s="1215"/>
      <c r="J46" s="1215"/>
      <c r="K46" s="1215"/>
      <c r="L46" s="758"/>
      <c r="M46" s="758"/>
      <c r="N46" s="758"/>
      <c r="O46" s="758"/>
      <c r="P46" s="758"/>
      <c r="Q46" s="758"/>
      <c r="R46" s="758"/>
      <c r="S46" s="1215"/>
      <c r="T46" s="1215"/>
      <c r="U46" s="1215"/>
      <c r="V46" s="1215"/>
      <c r="W46" s="1215"/>
      <c r="X46" s="1215"/>
    </row>
    <row r="47" spans="1:86" s="1218" customFormat="1">
      <c r="A47" s="764"/>
      <c r="B47" s="760"/>
      <c r="C47" s="865"/>
      <c r="D47" s="1215"/>
      <c r="E47" s="1215"/>
      <c r="F47" s="1215"/>
      <c r="G47" s="1215"/>
      <c r="H47" s="1215"/>
      <c r="I47" s="1215"/>
      <c r="J47" s="1215"/>
      <c r="K47" s="1215"/>
      <c r="L47" s="758"/>
      <c r="M47" s="758"/>
      <c r="N47" s="758"/>
      <c r="O47" s="758"/>
      <c r="P47" s="758"/>
      <c r="Q47" s="758"/>
      <c r="R47" s="758"/>
      <c r="S47" s="1215"/>
      <c r="T47" s="1215"/>
      <c r="U47" s="1215"/>
      <c r="V47" s="1215"/>
      <c r="W47" s="1215"/>
      <c r="X47" s="1215"/>
    </row>
    <row r="48" spans="1:86" s="1218" customFormat="1">
      <c r="A48" s="764"/>
      <c r="B48" s="760"/>
      <c r="C48" s="865"/>
      <c r="D48" s="1215"/>
      <c r="E48" s="1215"/>
      <c r="F48" s="1215"/>
      <c r="G48" s="1215"/>
      <c r="H48" s="1215"/>
      <c r="I48" s="1215"/>
      <c r="J48" s="1215"/>
      <c r="K48" s="1215"/>
      <c r="L48" s="758"/>
      <c r="M48" s="758"/>
      <c r="N48" s="758"/>
      <c r="O48" s="758"/>
      <c r="P48" s="758"/>
      <c r="Q48" s="758"/>
      <c r="R48" s="758"/>
      <c r="S48" s="1215"/>
      <c r="T48" s="1215"/>
      <c r="U48" s="1215"/>
      <c r="V48" s="1215"/>
      <c r="W48" s="1215"/>
      <c r="X48" s="1215"/>
    </row>
    <row r="49" spans="1:86" s="1218" customFormat="1">
      <c r="A49" s="764"/>
      <c r="B49" s="760"/>
      <c r="C49" s="865"/>
      <c r="D49" s="1215"/>
      <c r="E49" s="1215"/>
      <c r="F49" s="1215"/>
      <c r="G49" s="1215"/>
      <c r="H49" s="1215"/>
      <c r="I49" s="1215"/>
      <c r="J49" s="1215"/>
      <c r="K49" s="1215"/>
      <c r="L49" s="758"/>
      <c r="M49" s="758"/>
      <c r="N49" s="758"/>
      <c r="O49" s="758"/>
      <c r="P49" s="758"/>
      <c r="Q49" s="758"/>
      <c r="R49" s="758"/>
      <c r="S49" s="1215"/>
      <c r="T49" s="1215"/>
      <c r="U49" s="1215"/>
      <c r="V49" s="1215"/>
      <c r="W49" s="1215"/>
      <c r="X49" s="1215"/>
    </row>
    <row r="50" spans="1:86" s="1218" customFormat="1">
      <c r="A50" s="764"/>
      <c r="B50" s="760"/>
      <c r="C50" s="865"/>
      <c r="D50" s="1215"/>
      <c r="E50" s="1215"/>
      <c r="F50" s="1215"/>
      <c r="G50" s="1215"/>
      <c r="H50" s="1215"/>
      <c r="I50" s="1215"/>
      <c r="J50" s="1215"/>
      <c r="K50" s="1215"/>
      <c r="L50" s="758"/>
      <c r="M50" s="758"/>
      <c r="N50" s="758"/>
      <c r="O50" s="758"/>
      <c r="P50" s="758"/>
      <c r="Q50" s="758"/>
      <c r="R50" s="758"/>
      <c r="S50" s="1215"/>
      <c r="T50" s="1215"/>
      <c r="U50" s="1215"/>
      <c r="V50" s="1215"/>
      <c r="W50" s="1215"/>
      <c r="X50" s="1215"/>
    </row>
    <row r="51" spans="1:86" s="1218" customFormat="1">
      <c r="A51" s="764"/>
      <c r="B51" s="760"/>
      <c r="C51" s="865"/>
      <c r="D51" s="1215"/>
      <c r="E51" s="1215"/>
      <c r="F51" s="1215"/>
      <c r="G51" s="1215"/>
      <c r="H51" s="1215"/>
      <c r="I51" s="1215"/>
      <c r="J51" s="1215"/>
      <c r="K51" s="1215"/>
      <c r="L51" s="758"/>
      <c r="M51" s="758"/>
      <c r="N51" s="758"/>
      <c r="O51" s="758"/>
      <c r="P51" s="758"/>
      <c r="Q51" s="758"/>
      <c r="R51" s="758"/>
      <c r="S51" s="1215"/>
      <c r="T51" s="1215"/>
      <c r="U51" s="1215"/>
      <c r="V51" s="1215"/>
      <c r="W51" s="1215"/>
      <c r="X51" s="1215"/>
    </row>
    <row r="52" spans="1:86" s="1218" customFormat="1">
      <c r="A52" s="764"/>
      <c r="B52" s="760"/>
      <c r="C52" s="865"/>
      <c r="D52" s="1215"/>
      <c r="E52" s="1215"/>
      <c r="F52" s="1215"/>
      <c r="G52" s="1215"/>
      <c r="H52" s="1215"/>
      <c r="I52" s="1215"/>
      <c r="J52" s="1215"/>
      <c r="K52" s="1215"/>
      <c r="L52" s="758"/>
      <c r="M52" s="758"/>
      <c r="N52" s="758"/>
      <c r="O52" s="758"/>
      <c r="P52" s="758"/>
      <c r="Q52" s="758"/>
      <c r="R52" s="758"/>
      <c r="S52" s="1215"/>
      <c r="T52" s="1215"/>
      <c r="U52" s="1215"/>
      <c r="V52" s="1215"/>
      <c r="W52" s="1215"/>
      <c r="X52" s="1215"/>
    </row>
    <row r="53" spans="1:86" s="1218" customFormat="1">
      <c r="A53" s="764"/>
      <c r="B53" s="760"/>
      <c r="C53" s="865"/>
      <c r="D53" s="1215"/>
      <c r="E53" s="1215"/>
      <c r="F53" s="1215"/>
      <c r="G53" s="1215"/>
      <c r="H53" s="1215"/>
      <c r="I53" s="1215"/>
      <c r="J53" s="1215"/>
      <c r="K53" s="1215"/>
      <c r="L53" s="758"/>
      <c r="M53" s="758"/>
      <c r="N53" s="758"/>
      <c r="O53" s="758"/>
      <c r="P53" s="758"/>
      <c r="Q53" s="758"/>
      <c r="R53" s="758"/>
      <c r="S53" s="1215"/>
      <c r="T53" s="1215"/>
      <c r="U53" s="1215"/>
      <c r="V53" s="1215"/>
      <c r="W53" s="1215"/>
      <c r="X53" s="1215"/>
    </row>
    <row r="54" spans="1:86" s="1218" customFormat="1" ht="16" customHeight="1">
      <c r="A54" s="764"/>
      <c r="B54" s="760"/>
      <c r="C54" s="865"/>
      <c r="D54" s="1215"/>
      <c r="E54" s="1215"/>
      <c r="F54" s="1215"/>
      <c r="G54" s="1215"/>
      <c r="H54" s="1215"/>
      <c r="I54" s="1215"/>
      <c r="J54" s="1215"/>
      <c r="K54" s="1215"/>
      <c r="L54" s="758"/>
      <c r="M54" s="758"/>
      <c r="N54" s="758"/>
      <c r="O54" s="758"/>
      <c r="P54" s="758"/>
      <c r="Q54" s="758"/>
      <c r="R54" s="758"/>
      <c r="S54" s="1215"/>
      <c r="T54" s="1215"/>
      <c r="U54" s="1215"/>
      <c r="V54" s="1215"/>
      <c r="W54" s="1215"/>
      <c r="X54" s="1215"/>
    </row>
    <row r="55" spans="1:86" s="1218" customFormat="1">
      <c r="A55" s="764"/>
      <c r="B55" s="760"/>
      <c r="C55" s="865"/>
      <c r="D55" s="1215"/>
      <c r="E55" s="1215"/>
      <c r="F55" s="1215"/>
      <c r="G55" s="1215"/>
      <c r="H55" s="1215"/>
      <c r="I55" s="1215"/>
      <c r="J55" s="1215"/>
      <c r="K55" s="1215"/>
      <c r="L55" s="758"/>
      <c r="M55" s="758"/>
      <c r="N55" s="758"/>
      <c r="O55" s="758"/>
      <c r="P55" s="758"/>
      <c r="Q55" s="758"/>
      <c r="R55" s="758"/>
      <c r="S55" s="1215"/>
      <c r="T55" s="1215"/>
      <c r="U55" s="1215"/>
      <c r="V55" s="1215"/>
      <c r="W55" s="1215"/>
      <c r="X55" s="1215"/>
    </row>
    <row r="56" spans="1:86" s="1218" customFormat="1" ht="15" customHeight="1">
      <c r="A56" s="764"/>
      <c r="B56" s="760"/>
      <c r="C56" s="865"/>
      <c r="D56" s="1215"/>
      <c r="E56" s="1215"/>
      <c r="F56" s="1215"/>
      <c r="G56" s="1215"/>
      <c r="H56" s="1215"/>
      <c r="I56" s="1215"/>
      <c r="J56" s="1215"/>
      <c r="K56" s="1215"/>
      <c r="L56" s="758"/>
      <c r="M56" s="758"/>
      <c r="N56" s="758"/>
      <c r="O56" s="758"/>
      <c r="P56" s="758"/>
      <c r="Q56" s="758"/>
      <c r="R56" s="758"/>
      <c r="S56" s="1215"/>
      <c r="T56" s="1215"/>
      <c r="U56" s="1215"/>
      <c r="V56" s="1215"/>
      <c r="W56" s="1215"/>
      <c r="X56" s="1215"/>
    </row>
    <row r="57" spans="1:86" s="1218" customFormat="1" ht="15" customHeight="1">
      <c r="A57" s="764"/>
      <c r="B57" s="767"/>
      <c r="C57" s="865"/>
      <c r="L57" s="765"/>
      <c r="M57" s="765"/>
      <c r="N57" s="765"/>
      <c r="O57" s="765"/>
      <c r="P57" s="765"/>
      <c r="Q57" s="765"/>
      <c r="R57" s="758"/>
      <c r="S57" s="1215"/>
      <c r="T57" s="1215"/>
      <c r="U57" s="1215"/>
      <c r="V57" s="1215"/>
      <c r="W57" s="1215"/>
      <c r="X57" s="1215"/>
    </row>
    <row r="58" spans="1:86" s="1218" customFormat="1" ht="16" customHeight="1">
      <c r="A58" s="764"/>
      <c r="B58" s="1450"/>
      <c r="C58" s="1450"/>
      <c r="D58" s="1451" t="s">
        <v>3733</v>
      </c>
      <c r="E58" s="1451"/>
      <c r="F58" s="1451"/>
      <c r="G58" s="1451"/>
      <c r="H58" s="1451"/>
      <c r="I58" s="1451"/>
      <c r="J58" s="1451"/>
      <c r="K58" s="1451"/>
      <c r="L58" s="1451"/>
      <c r="M58" s="1451"/>
      <c r="N58" s="1451"/>
      <c r="O58" s="1451"/>
      <c r="P58" s="1451"/>
      <c r="Q58" s="766"/>
      <c r="R58" s="758"/>
      <c r="S58" s="1215"/>
      <c r="T58" s="1215"/>
      <c r="U58" s="1215"/>
      <c r="V58" s="1215"/>
      <c r="W58" s="1215"/>
      <c r="X58" s="1215"/>
    </row>
    <row r="59" spans="1:86" s="1218" customFormat="1" ht="15" customHeight="1">
      <c r="A59" s="764"/>
      <c r="B59" s="1452"/>
      <c r="C59" s="1452"/>
      <c r="D59" s="1453" t="s">
        <v>3576</v>
      </c>
      <c r="E59" s="1453"/>
      <c r="F59" s="1453"/>
      <c r="G59" s="1453"/>
      <c r="H59" s="1453"/>
      <c r="I59" s="1453"/>
      <c r="J59" s="1453"/>
      <c r="K59" s="1453"/>
      <c r="L59" s="1453"/>
      <c r="M59" s="1453"/>
      <c r="N59" s="1453"/>
      <c r="O59" s="1453"/>
      <c r="P59" s="1453"/>
      <c r="Q59" s="766"/>
      <c r="R59" s="758"/>
      <c r="S59" s="1215"/>
      <c r="T59" s="1215"/>
      <c r="U59" s="1215"/>
      <c r="V59" s="1215"/>
      <c r="W59" s="1215"/>
      <c r="X59" s="1215"/>
    </row>
    <row r="60" spans="1:86" s="1216" customFormat="1" ht="16" customHeight="1">
      <c r="A60" s="778"/>
      <c r="B60" s="779"/>
      <c r="C60" s="778"/>
      <c r="D60" s="776" cm="1">
        <f t="array" ref="D60">IF($C$2="Week 1",INDEX(Sheet1!H273:M273,0,$AF$34),INDEX(Sheet2!H273:M273,0,$AF$34))</f>
        <v>1.0000000000000001E-5</v>
      </c>
      <c r="E60" s="776"/>
      <c r="F60" s="776"/>
      <c r="G60" s="776"/>
      <c r="H60" s="776" cm="1">
        <f t="array" ref="H60">IF($C$2="Week 1",INDEX(Sheet1!H324:M324,0,$AF$34),INDEX(Sheet2!H324:M324,0,$AF$34))</f>
        <v>0</v>
      </c>
      <c r="I60" s="776"/>
      <c r="J60" s="776"/>
      <c r="K60" s="776"/>
      <c r="L60" s="780"/>
      <c r="M60" s="780"/>
      <c r="N60" s="776" cm="1">
        <f t="array" ref="N60">IF($C$2="Week 1",INDEX(Sheet1!H368:M368,0,$AF$34),INDEX(Sheet1!H368:M368,0,$AF$34))</f>
        <v>3.9999920000160003</v>
      </c>
      <c r="O60" s="989"/>
      <c r="P60" s="989"/>
      <c r="Q60" s="989"/>
      <c r="R60" s="989"/>
      <c r="S60" s="1137"/>
      <c r="T60" s="1137"/>
      <c r="U60" s="1137"/>
      <c r="V60" s="1137"/>
      <c r="W60" s="1137"/>
      <c r="X60" s="1137"/>
    </row>
    <row r="61" spans="1:86" s="755" customFormat="1" ht="14" customHeight="1">
      <c r="A61" s="757"/>
      <c r="B61" s="1442" t="str">
        <f>'Charts and graphs'!$R$86</f>
        <v xml:space="preserve">     Meal component % of meal price (Weekly average: lunch)</v>
      </c>
      <c r="C61" s="1442"/>
      <c r="D61" s="1442"/>
      <c r="E61" s="1442"/>
      <c r="F61" s="1442"/>
      <c r="G61" s="1440" t="str">
        <f>'Charts and graphs'!$R$13</f>
        <v>% by weight of food items (Weekly average: lunch)</v>
      </c>
      <c r="H61" s="1440"/>
      <c r="I61" s="1440"/>
      <c r="J61" s="1440"/>
      <c r="K61" s="1440"/>
      <c r="L61" s="1440"/>
      <c r="M61" s="1440" t="str">
        <f>'Charts and graphs'!$R$63</f>
        <v>% CO2 emissions of food items (Weekly average: lunch)</v>
      </c>
      <c r="N61" s="1440"/>
      <c r="O61" s="1440"/>
      <c r="P61" s="1440"/>
      <c r="Q61" s="1440"/>
      <c r="R61" s="758"/>
      <c r="S61" s="753"/>
      <c r="T61" s="753"/>
      <c r="U61" s="753"/>
      <c r="V61" s="870"/>
      <c r="W61" s="1133"/>
      <c r="X61" s="1133"/>
      <c r="Y61" s="754"/>
      <c r="Z61" s="754"/>
      <c r="AA61" s="754"/>
      <c r="AB61" s="754"/>
      <c r="AC61" s="754"/>
      <c r="AD61" s="754"/>
      <c r="AE61" s="754"/>
      <c r="AF61" s="754"/>
      <c r="AG61" s="754"/>
      <c r="AH61" s="838"/>
      <c r="AI61" s="838"/>
      <c r="AJ61" s="838"/>
      <c r="AK61" s="838"/>
      <c r="AL61" s="838"/>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4"/>
      <c r="BJ61" s="754"/>
      <c r="BK61" s="754"/>
      <c r="BL61" s="754"/>
      <c r="BM61" s="754"/>
      <c r="BN61" s="754"/>
      <c r="BO61" s="754"/>
      <c r="BP61" s="754"/>
      <c r="BQ61" s="754"/>
      <c r="BR61" s="754"/>
      <c r="BS61" s="754"/>
      <c r="BT61" s="754"/>
      <c r="BU61" s="754"/>
      <c r="BV61" s="754"/>
      <c r="BW61" s="754"/>
      <c r="BX61" s="754"/>
      <c r="BY61" s="754"/>
      <c r="BZ61" s="754"/>
      <c r="CA61" s="754"/>
      <c r="CB61" s="754"/>
      <c r="CC61" s="754"/>
      <c r="CD61" s="754"/>
      <c r="CE61" s="754"/>
      <c r="CF61" s="754"/>
      <c r="CG61" s="754"/>
      <c r="CH61" s="754"/>
    </row>
    <row r="62" spans="1:86" s="755" customFormat="1" ht="14" customHeight="1">
      <c r="A62" s="757"/>
      <c r="B62" s="1442"/>
      <c r="C62" s="1442"/>
      <c r="D62" s="1442"/>
      <c r="E62" s="1442"/>
      <c r="F62" s="1442"/>
      <c r="G62" s="1440"/>
      <c r="H62" s="1440"/>
      <c r="I62" s="1440"/>
      <c r="J62" s="1440"/>
      <c r="K62" s="1440"/>
      <c r="L62" s="1440"/>
      <c r="M62" s="1440"/>
      <c r="N62" s="1440"/>
      <c r="O62" s="1440"/>
      <c r="P62" s="1440"/>
      <c r="Q62" s="1440"/>
      <c r="R62" s="758"/>
      <c r="S62" s="753"/>
      <c r="T62" s="753"/>
      <c r="U62" s="753"/>
      <c r="V62" s="870"/>
      <c r="W62" s="1133"/>
      <c r="X62" s="1133"/>
      <c r="Y62" s="754"/>
      <c r="Z62" s="754"/>
      <c r="AA62" s="754"/>
      <c r="AB62" s="754"/>
      <c r="AC62" s="754"/>
      <c r="AD62" s="754"/>
      <c r="AE62" s="754"/>
      <c r="AF62" s="754"/>
      <c r="AG62" s="754"/>
      <c r="AH62" s="838"/>
      <c r="AI62" s="838"/>
      <c r="AJ62" s="838"/>
      <c r="AK62" s="838"/>
      <c r="AL62" s="838"/>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c r="CB62" s="754"/>
      <c r="CC62" s="754"/>
      <c r="CD62" s="754"/>
      <c r="CE62" s="754"/>
      <c r="CF62" s="754"/>
      <c r="CG62" s="754"/>
      <c r="CH62" s="754"/>
    </row>
    <row r="63" spans="1:86" s="755" customFormat="1" ht="14" customHeight="1">
      <c r="A63" s="761" t="s">
        <v>1402</v>
      </c>
      <c r="B63" s="1442"/>
      <c r="C63" s="1442"/>
      <c r="D63" s="1442"/>
      <c r="E63" s="1442"/>
      <c r="F63" s="1442"/>
      <c r="G63" s="1440"/>
      <c r="H63" s="1440"/>
      <c r="I63" s="1440"/>
      <c r="J63" s="1440"/>
      <c r="K63" s="1440"/>
      <c r="L63" s="1440"/>
      <c r="M63" s="1440"/>
      <c r="N63" s="1440"/>
      <c r="O63" s="1440"/>
      <c r="P63" s="1440"/>
      <c r="Q63" s="1440"/>
      <c r="R63" s="762" t="str" cm="1">
        <f t="array" ref="R63">IF($C$2="Week 1",INDEX(Sheet1!D278:AG278,0,$AF$33),INDEX(Sheet2!D278:AG278,0,$AF$33))</f>
        <v>% CO2 emissions of food items (Weekly average: lunch)</v>
      </c>
      <c r="S63" s="753"/>
      <c r="T63" s="753"/>
      <c r="U63" s="753"/>
      <c r="V63" s="870"/>
      <c r="W63" s="1133"/>
      <c r="X63" s="1133"/>
      <c r="Y63" s="754"/>
      <c r="Z63" s="754"/>
      <c r="AA63" s="754"/>
      <c r="AB63" s="754"/>
      <c r="AC63" s="754"/>
      <c r="AD63" s="754"/>
      <c r="AE63" s="754"/>
      <c r="AF63" s="754"/>
      <c r="AG63" s="754"/>
      <c r="AH63" s="838"/>
      <c r="AI63" s="838"/>
      <c r="AJ63" s="838"/>
      <c r="AK63" s="838"/>
      <c r="AL63" s="838"/>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c r="CB63" s="754"/>
      <c r="CC63" s="754"/>
      <c r="CD63" s="754"/>
      <c r="CE63" s="754"/>
      <c r="CF63" s="754"/>
      <c r="CG63" s="754"/>
      <c r="CH63" s="754"/>
    </row>
    <row r="64" spans="1:86" s="754" customFormat="1" ht="13" customHeight="1">
      <c r="A64" s="761"/>
      <c r="B64" s="1442"/>
      <c r="C64" s="1442"/>
      <c r="D64" s="1442"/>
      <c r="E64" s="1442"/>
      <c r="F64" s="1442"/>
      <c r="G64" s="1440"/>
      <c r="H64" s="1440"/>
      <c r="I64" s="1440"/>
      <c r="J64" s="1440"/>
      <c r="K64" s="1440"/>
      <c r="L64" s="1440"/>
      <c r="M64" s="1440"/>
      <c r="N64" s="1440"/>
      <c r="O64" s="1440"/>
      <c r="P64" s="1440"/>
      <c r="Q64" s="1440"/>
      <c r="R64" s="758"/>
      <c r="S64" s="753"/>
      <c r="T64" s="753"/>
      <c r="U64" s="753"/>
      <c r="V64" s="870"/>
      <c r="W64" s="1133"/>
      <c r="X64" s="1133"/>
      <c r="AH64" s="838"/>
      <c r="AI64" s="838"/>
      <c r="AJ64" s="838"/>
      <c r="AK64" s="838"/>
      <c r="AL64" s="838"/>
    </row>
    <row r="65" spans="1:38" s="754" customFormat="1" ht="8" customHeight="1">
      <c r="A65" s="761"/>
      <c r="B65" s="1442"/>
      <c r="C65" s="1442"/>
      <c r="D65" s="1442"/>
      <c r="E65" s="1442"/>
      <c r="F65" s="1442"/>
      <c r="G65" s="1440"/>
      <c r="H65" s="1440"/>
      <c r="I65" s="1440"/>
      <c r="J65" s="1440"/>
      <c r="K65" s="1440"/>
      <c r="L65" s="1440"/>
      <c r="M65" s="1440"/>
      <c r="N65" s="1440"/>
      <c r="O65" s="1440"/>
      <c r="P65" s="1440"/>
      <c r="Q65" s="1440"/>
      <c r="R65" s="758"/>
      <c r="S65" s="753"/>
      <c r="T65" s="753"/>
      <c r="U65" s="753"/>
      <c r="V65" s="870"/>
      <c r="W65" s="1133"/>
      <c r="X65" s="1133"/>
      <c r="AH65" s="838"/>
      <c r="AI65" s="838"/>
      <c r="AJ65" s="838"/>
      <c r="AK65" s="838"/>
      <c r="AL65" s="838"/>
    </row>
    <row r="66" spans="1:38" s="754" customFormat="1" ht="16" customHeight="1">
      <c r="A66" s="761"/>
      <c r="B66" s="761"/>
      <c r="C66" s="837"/>
      <c r="D66" s="761"/>
      <c r="E66" s="761"/>
      <c r="F66" s="761"/>
      <c r="G66" s="827" t="s">
        <v>1402</v>
      </c>
      <c r="H66" s="988"/>
      <c r="I66" s="988"/>
      <c r="J66" s="988"/>
      <c r="K66" s="988"/>
      <c r="L66" s="1118" t="s">
        <v>1402</v>
      </c>
      <c r="M66" s="1440"/>
      <c r="N66" s="1440"/>
      <c r="O66" s="1440"/>
      <c r="P66" s="1440"/>
      <c r="Q66" s="1440"/>
      <c r="R66" s="1445" t="s">
        <v>3859</v>
      </c>
      <c r="S66" s="1446"/>
      <c r="T66" s="772" t="s">
        <v>1402</v>
      </c>
      <c r="U66" s="753"/>
      <c r="V66" s="870"/>
      <c r="W66" s="1133"/>
      <c r="X66" s="1133"/>
      <c r="AH66" s="838"/>
      <c r="AI66" s="838"/>
      <c r="AJ66" s="838"/>
      <c r="AK66" s="838"/>
      <c r="AL66" s="838"/>
    </row>
    <row r="67" spans="1:38" s="754" customFormat="1" ht="16" customHeight="1">
      <c r="A67" s="761"/>
      <c r="B67" s="761"/>
      <c r="C67" s="837"/>
      <c r="D67" s="761"/>
      <c r="E67" s="761"/>
      <c r="F67" s="761"/>
      <c r="G67" s="828" cm="1">
        <f t="array" ref="G67">IF($C$2="Week 1",INDEX(Sheet1!D282:AG282,0,$AF$33),INDEX(Sheet2!D282:AG282,0,$AF$33))</f>
        <v>37.50149683695458</v>
      </c>
      <c r="H67" s="988"/>
      <c r="I67" s="988"/>
      <c r="J67" s="988"/>
      <c r="K67" s="988"/>
      <c r="L67" s="1119" cm="1">
        <f t="array" ref="L67">IF($C$2="Week 1",INDEX(Sheet1!D238:AG238,0,$AF$33),INDEX(Sheet2!D238:AG238,0,$AF$33))</f>
        <v>33.078032671650647</v>
      </c>
      <c r="M67" s="1440"/>
      <c r="N67" s="1440"/>
      <c r="O67" s="1440"/>
      <c r="P67" s="1440"/>
      <c r="Q67" s="1440"/>
      <c r="R67" s="1454" t="s">
        <v>3725</v>
      </c>
      <c r="S67" s="1455"/>
      <c r="T67" s="773" cm="1">
        <f t="array" ref="T67">IF($C$2="Week 1",INDEX(Sheet1!D261:AG261,0,$AF$33),INDEX(Sheet2!D261:AG261,0,$AF$33))</f>
        <v>15.411277705587127</v>
      </c>
      <c r="U67" s="753"/>
      <c r="V67" s="870"/>
      <c r="W67" s="1133"/>
      <c r="X67" s="1133"/>
      <c r="AH67" s="838"/>
      <c r="AI67" s="838"/>
      <c r="AJ67" s="838"/>
      <c r="AK67" s="838"/>
      <c r="AL67" s="838"/>
    </row>
    <row r="68" spans="1:38" s="754" customFormat="1" ht="16" customHeight="1">
      <c r="A68" s="761"/>
      <c r="B68" s="761"/>
      <c r="C68" s="837"/>
      <c r="D68" s="761"/>
      <c r="E68" s="761"/>
      <c r="F68" s="761"/>
      <c r="G68" s="828" cm="1">
        <f t="array" ref="G68">IF($C$2="Week 1",INDEX(Sheet1!D283:AG283,0,$AF$33),INDEX(Sheet2!D283:AG283,0,$AF$33))</f>
        <v>1.2874975966529876</v>
      </c>
      <c r="H68" s="988"/>
      <c r="I68" s="988"/>
      <c r="J68" s="988"/>
      <c r="K68" s="988"/>
      <c r="L68" s="1119" cm="1">
        <f t="array" ref="L68">IF($C$2="Week 1",INDEX(Sheet1!D239:AG239,0,$AF$33),INDEX(Sheet2!D239:AG239,0,$AF$33))</f>
        <v>2.1966596129485767</v>
      </c>
      <c r="M68" s="1440"/>
      <c r="N68" s="1440"/>
      <c r="O68" s="1440"/>
      <c r="P68" s="1440"/>
      <c r="Q68" s="1440"/>
      <c r="R68" s="1447" t="s">
        <v>3726</v>
      </c>
      <c r="S68" s="1448"/>
      <c r="T68" s="773" cm="1">
        <f t="array" ref="T68">IF($C$2="Week 1",INDEX(Sheet1!D262:AG262,0,$AF$33),INDEX(Sheet2!D262:AG262,0,$AF$33))</f>
        <v>1.9550739484319106</v>
      </c>
      <c r="U68" s="753"/>
      <c r="V68" s="870"/>
      <c r="W68" s="1133"/>
      <c r="X68" s="1133"/>
      <c r="AH68" s="838"/>
      <c r="AI68" s="838"/>
      <c r="AJ68" s="838"/>
      <c r="AK68" s="838"/>
      <c r="AL68" s="838"/>
    </row>
    <row r="69" spans="1:38" s="754" customFormat="1" ht="16" customHeight="1">
      <c r="A69" s="761"/>
      <c r="B69" s="761"/>
      <c r="C69" s="837"/>
      <c r="D69" s="761"/>
      <c r="E69" s="761"/>
      <c r="F69" s="761"/>
      <c r="G69" s="828" cm="1">
        <f t="array" ref="G69">IF($C$2="Week 1",INDEX(Sheet1!D284:AG284,0,$AF$33),INDEX(Sheet2!D284:AG284,0,$AF$33))</f>
        <v>8.7308430773030725</v>
      </c>
      <c r="H69" s="988"/>
      <c r="I69" s="988"/>
      <c r="J69" s="988"/>
      <c r="K69" s="988"/>
      <c r="L69" s="1119" cm="1">
        <f t="array" ref="L69">IF($C$2="Week 1",INDEX(Sheet1!D240:AG240,0,$AF$33),INDEX(Sheet2!D240:AG240,0,$AF$33))</f>
        <v>22.698816000468625</v>
      </c>
      <c r="M69" s="1440"/>
      <c r="N69" s="1440"/>
      <c r="O69" s="1440"/>
      <c r="P69" s="1440"/>
      <c r="Q69" s="1440"/>
      <c r="R69" s="1447" t="s">
        <v>3727</v>
      </c>
      <c r="S69" s="1448"/>
      <c r="T69" s="773" cm="1">
        <f t="array" ref="T69">IF($C$2="Week 1",INDEX(Sheet1!D263:AG263,0,$AF$33),INDEX(Sheet2!D263:AG263,0,$AF$33))</f>
        <v>5.429403277624453</v>
      </c>
      <c r="U69" s="753"/>
      <c r="V69" s="870"/>
      <c r="W69" s="1133"/>
      <c r="X69" s="1133"/>
      <c r="AH69" s="838"/>
      <c r="AI69" s="838"/>
      <c r="AJ69" s="838"/>
      <c r="AK69" s="838"/>
      <c r="AL69" s="838"/>
    </row>
    <row r="70" spans="1:38" s="754" customFormat="1" ht="16" customHeight="1">
      <c r="A70" s="761"/>
      <c r="B70" s="761"/>
      <c r="C70" s="837"/>
      <c r="D70" s="761"/>
      <c r="E70" s="761"/>
      <c r="F70" s="761"/>
      <c r="G70" s="828" cm="1">
        <f t="array" ref="G70">IF($C$2="Week 1",INDEX(Sheet1!D285:AG285,0,$AF$33),INDEX(Sheet2!D285:AG285,0,$AF$33))</f>
        <v>16.272539068808594</v>
      </c>
      <c r="H70" s="988"/>
      <c r="I70" s="988"/>
      <c r="J70" s="988"/>
      <c r="K70" s="988"/>
      <c r="L70" s="1119" cm="1">
        <f t="array" ref="L70">IF($C$2="Week 1",INDEX(Sheet1!D241:AG241,0,$AF$33),INDEX(Sheet2!D241:AG241,0,$AF$33))</f>
        <v>5.4916490323714413</v>
      </c>
      <c r="M70" s="1440"/>
      <c r="N70" s="1440"/>
      <c r="O70" s="1440"/>
      <c r="P70" s="1440"/>
      <c r="Q70" s="1440"/>
      <c r="R70" s="1447" t="s">
        <v>3728</v>
      </c>
      <c r="S70" s="1448"/>
      <c r="T70" s="773" cm="1">
        <f t="array" ref="T70">IF($C$2="Week 1",INDEX(Sheet1!D264:AG264,0,$AF$33),INDEX(Sheet2!D264:AG264,0,$AF$33))</f>
        <v>21.740014999490256</v>
      </c>
      <c r="U70" s="753"/>
      <c r="V70" s="870"/>
      <c r="W70" s="1133"/>
      <c r="X70" s="1133"/>
      <c r="AH70" s="838"/>
      <c r="AI70" s="838"/>
      <c r="AJ70" s="838"/>
      <c r="AK70" s="838"/>
      <c r="AL70" s="838"/>
    </row>
    <row r="71" spans="1:38" s="754" customFormat="1" ht="16" customHeight="1">
      <c r="A71" s="761"/>
      <c r="B71" s="761"/>
      <c r="C71" s="837"/>
      <c r="D71" s="761"/>
      <c r="E71" s="761"/>
      <c r="F71" s="761"/>
      <c r="G71" s="828" cm="1">
        <f t="array" ref="G71">IF($C$2="Week 1",INDEX(Sheet1!D286:AG286,0,$AF$33),INDEX(Sheet2!D286:AG286,0,$AF$33))</f>
        <v>3.1748520281102079</v>
      </c>
      <c r="H71" s="988"/>
      <c r="I71" s="988"/>
      <c r="J71" s="988"/>
      <c r="K71" s="988"/>
      <c r="L71" s="1119" cm="1">
        <f t="array" ref="L71">IF($C$2="Week 1",INDEX(Sheet1!D242:AG242,0,$AF$33),INDEX(Sheet2!D242:AG242,0,$AF$33))</f>
        <v>1.0983298064742884</v>
      </c>
      <c r="M71" s="1440"/>
      <c r="N71" s="1440"/>
      <c r="O71" s="1440"/>
      <c r="P71" s="1440"/>
      <c r="Q71" s="1440"/>
      <c r="R71" s="1447" t="s">
        <v>3729</v>
      </c>
      <c r="S71" s="1448"/>
      <c r="T71" s="773" cm="1">
        <f t="array" ref="T71">IF($C$2="Week 1",INDEX(Sheet1!D265:AG265,0,$AF$33),INDEX(Sheet2!D265:AG265,0,$AF$33))</f>
        <v>5.5230839043201474</v>
      </c>
      <c r="U71" s="753"/>
      <c r="V71" s="870"/>
      <c r="W71" s="1133"/>
      <c r="X71" s="1133"/>
      <c r="AH71" s="838"/>
      <c r="AI71" s="838"/>
      <c r="AJ71" s="838"/>
      <c r="AK71" s="838"/>
      <c r="AL71" s="838"/>
    </row>
    <row r="72" spans="1:38" s="754" customFormat="1" ht="16" customHeight="1">
      <c r="A72" s="761"/>
      <c r="B72" s="761"/>
      <c r="C72" s="837"/>
      <c r="D72" s="761"/>
      <c r="E72" s="761"/>
      <c r="F72" s="761"/>
      <c r="G72" s="828" cm="1">
        <f t="array" ref="G72">IF($C$2="Week 1",INDEX(Sheet1!D287:AG287,0,$AF$33),INDEX(Sheet2!D287:AG287,0,$AF$33))</f>
        <v>0</v>
      </c>
      <c r="H72" s="988"/>
      <c r="I72" s="988"/>
      <c r="J72" s="988"/>
      <c r="K72" s="988"/>
      <c r="L72" s="1119" cm="1">
        <f t="array" ref="L72">IF($C$2="Week 1",INDEX(Sheet1!D243:AG243,0,$AF$33),INDEX(Sheet2!D243:AG243,0,$AF$33))</f>
        <v>0</v>
      </c>
      <c r="M72" s="1440"/>
      <c r="N72" s="1440"/>
      <c r="O72" s="1440"/>
      <c r="P72" s="1440"/>
      <c r="Q72" s="1440"/>
      <c r="R72" s="1447" t="s">
        <v>3730</v>
      </c>
      <c r="S72" s="1448"/>
      <c r="T72" s="773" cm="1">
        <f t="array" ref="T72">IF($C$2="Week 1",INDEX(Sheet1!D266:AG266,0,$AF$33),INDEX(Sheet2!D266:AG266,0,$AF$33))</f>
        <v>0</v>
      </c>
      <c r="U72" s="753"/>
      <c r="V72" s="870"/>
      <c r="W72" s="1133"/>
      <c r="X72" s="1133"/>
      <c r="AH72" s="838"/>
      <c r="AI72" s="838"/>
      <c r="AJ72" s="838"/>
      <c r="AK72" s="838"/>
      <c r="AL72" s="838"/>
    </row>
    <row r="73" spans="1:38" s="754" customFormat="1" ht="16" customHeight="1">
      <c r="A73" s="761"/>
      <c r="B73" s="761"/>
      <c r="C73" s="837"/>
      <c r="D73" s="761"/>
      <c r="E73" s="761"/>
      <c r="F73" s="761"/>
      <c r="G73" s="828" cm="1">
        <f t="array" ref="G73">IF($C$2="Week 1",INDEX(Sheet1!D288:AG288,0,$AF$33),INDEX(Sheet2!D288:AG288,0,$AF$33))</f>
        <v>3.3901123060017904</v>
      </c>
      <c r="H73" s="988"/>
      <c r="I73" s="988"/>
      <c r="J73" s="988"/>
      <c r="K73" s="988"/>
      <c r="L73" s="1119" cm="1">
        <f t="array" ref="L73">IF($C$2="Week 1",INDEX(Sheet1!D244:AG244,0,$AF$33),INDEX(Sheet2!D244:AG244,0,$AF$33))</f>
        <v>2.3797145806942912</v>
      </c>
      <c r="M73" s="1440"/>
      <c r="N73" s="1440"/>
      <c r="O73" s="1440"/>
      <c r="P73" s="1440"/>
      <c r="Q73" s="1440"/>
      <c r="R73" s="1447" t="s">
        <v>3731</v>
      </c>
      <c r="S73" s="1448"/>
      <c r="T73" s="773" cm="1">
        <f t="array" ref="T73">IF($C$2="Week 1",INDEX(Sheet1!D267:AG267,0,$AF$33),INDEX(Sheet2!D267:AG267,0,$AF$33))</f>
        <v>4.0241938771890169</v>
      </c>
      <c r="U73" s="753"/>
      <c r="V73" s="870"/>
      <c r="W73" s="1133"/>
      <c r="X73" s="1133"/>
      <c r="AH73" s="838"/>
      <c r="AI73" s="838"/>
      <c r="AJ73" s="838"/>
      <c r="AK73" s="838"/>
      <c r="AL73" s="838"/>
    </row>
    <row r="74" spans="1:38" s="754" customFormat="1" ht="16" customHeight="1">
      <c r="A74" s="761"/>
      <c r="B74" s="761"/>
      <c r="C74" s="837"/>
      <c r="D74" s="761"/>
      <c r="E74" s="761"/>
      <c r="F74" s="761"/>
      <c r="G74" s="828" cm="1">
        <f t="array" ref="G74">IF($C$2="Week 1",INDEX(Sheet1!D289:AG289,0,$AF$33),INDEX(Sheet2!D289:AG289,0,$AF$33))</f>
        <v>8.0143392853677344</v>
      </c>
      <c r="H74" s="988"/>
      <c r="I74" s="988"/>
      <c r="J74" s="988"/>
      <c r="K74" s="988"/>
      <c r="L74" s="1119" cm="1">
        <f t="array" ref="L74">IF($C$2="Week 1",INDEX(Sheet1!D245:AG245,0,$AF$33),INDEX(Sheet2!D245:AG245,0,$AF$33))</f>
        <v>5.6014820130188703</v>
      </c>
      <c r="M74" s="1440"/>
      <c r="N74" s="1440"/>
      <c r="O74" s="1440"/>
      <c r="P74" s="1440"/>
      <c r="Q74" s="1440"/>
      <c r="R74" s="1447" t="s">
        <v>3732</v>
      </c>
      <c r="S74" s="1448"/>
      <c r="T74" s="773" cm="1">
        <f t="array" ref="T74">IF($C$2="Week 1",INDEX(Sheet1!D268:AG268,0,$AF$33),INDEX(Sheet2!D268:AG268,0,$AF$33))</f>
        <v>7.9298613962543474</v>
      </c>
      <c r="U74" s="753"/>
      <c r="V74" s="870"/>
      <c r="W74" s="1133"/>
      <c r="X74" s="1133"/>
      <c r="AH74" s="838"/>
      <c r="AI74" s="838"/>
      <c r="AJ74" s="838"/>
      <c r="AK74" s="838"/>
      <c r="AL74" s="838"/>
    </row>
    <row r="75" spans="1:38" s="754" customFormat="1" ht="16" customHeight="1">
      <c r="A75" s="761"/>
      <c r="B75" s="761"/>
      <c r="C75" s="837"/>
      <c r="D75" s="761"/>
      <c r="E75" s="761"/>
      <c r="F75" s="761"/>
      <c r="G75" s="828" cm="1">
        <f t="array" ref="G75">IF($C$2="Week 1",INDEX(Sheet1!D290:AG290,0,$AF$33),INDEX(Sheet2!D290:AG290,0,$AF$33))</f>
        <v>4.7132897339896322</v>
      </c>
      <c r="H75" s="988"/>
      <c r="I75" s="988"/>
      <c r="J75" s="988"/>
      <c r="K75" s="988"/>
      <c r="L75" s="1119" cm="1">
        <f t="array" ref="L75">IF($C$2="Week 1",INDEX(Sheet1!D246:AG246,0,$AF$33),INDEX(Sheet2!D246:AG246,0,$AF$33))</f>
        <v>3.6537771562044656</v>
      </c>
      <c r="M75" s="1440"/>
      <c r="N75" s="1440"/>
      <c r="O75" s="1440"/>
      <c r="P75" s="1440"/>
      <c r="Q75" s="1440"/>
      <c r="R75" s="1447" t="s">
        <v>3734</v>
      </c>
      <c r="S75" s="1448"/>
      <c r="T75" s="773" cm="1">
        <f t="array" ref="T75">IF($C$2="Week 1",INDEX(Sheet1!D269:AG269,0,$AF$33),INDEX(Sheet2!D269:AG269,0,$AF$33))</f>
        <v>9.6135466422195517</v>
      </c>
      <c r="U75" s="753"/>
      <c r="V75" s="870"/>
      <c r="W75" s="1133"/>
      <c r="X75" s="1133"/>
      <c r="AH75" s="838"/>
      <c r="AI75" s="838"/>
      <c r="AJ75" s="838"/>
      <c r="AK75" s="838"/>
      <c r="AL75" s="838"/>
    </row>
    <row r="76" spans="1:38" s="754" customFormat="1" ht="16" customHeight="1">
      <c r="A76" s="761"/>
      <c r="B76" s="761"/>
      <c r="C76" s="837"/>
      <c r="D76" s="761"/>
      <c r="E76" s="761"/>
      <c r="F76" s="761"/>
      <c r="G76" s="828" cm="1">
        <f t="array" ref="G76">IF($C$2="Week 1",INDEX(Sheet1!D291:AG291,0,$AF$33),INDEX(Sheet2!D291:AG291,0,$AF$33))</f>
        <v>7.7780916045233051</v>
      </c>
      <c r="H76" s="988"/>
      <c r="I76" s="988"/>
      <c r="J76" s="988"/>
      <c r="K76" s="988"/>
      <c r="L76" s="1119" cm="1">
        <f t="array" ref="L76">IF($C$2="Week 1",INDEX(Sheet1!D247:AG247,0,$AF$33),INDEX(Sheet2!D247:AG247,0,$AF$33))</f>
        <v>8.3473065292045909</v>
      </c>
      <c r="M76" s="1440"/>
      <c r="N76" s="1440"/>
      <c r="O76" s="1440"/>
      <c r="P76" s="1440"/>
      <c r="Q76" s="1440"/>
      <c r="R76" s="1447" t="s">
        <v>3735</v>
      </c>
      <c r="S76" s="1448"/>
      <c r="T76" s="773" cm="1">
        <f t="array" ref="T76">IF($C$2="Week 1",INDEX(Sheet1!D270:AG270,0,$AF$33),INDEX(Sheet2!D270:AG270,0,$AF$33))</f>
        <v>14.489134493243409</v>
      </c>
      <c r="U76" s="753"/>
      <c r="V76" s="870"/>
      <c r="W76" s="1133"/>
      <c r="X76" s="1133"/>
      <c r="AH76" s="838"/>
      <c r="AI76" s="838"/>
      <c r="AJ76" s="838"/>
      <c r="AK76" s="838"/>
      <c r="AL76" s="838"/>
    </row>
    <row r="77" spans="1:38" s="754" customFormat="1" ht="16" customHeight="1">
      <c r="A77" s="761"/>
      <c r="B77" s="761"/>
      <c r="C77" s="837"/>
      <c r="D77" s="761"/>
      <c r="E77" s="761"/>
      <c r="F77" s="761"/>
      <c r="G77" s="828" cm="1">
        <f t="array" ref="G77">IF($C$2="Week 1",INDEX(Sheet1!D292:AG292,0,$AF$33),INDEX(Sheet2!D292:AG292,0,$AF$33))</f>
        <v>1.9954530518421729</v>
      </c>
      <c r="H77" s="988"/>
      <c r="I77" s="988"/>
      <c r="J77" s="988"/>
      <c r="K77" s="988"/>
      <c r="L77" s="1119" cm="1">
        <f t="array" ref="L77">IF($C$2="Week 1",INDEX(Sheet1!D248:AG248,0,$AF$33),INDEX(Sheet2!D248:AG248,0,$AF$33))</f>
        <v>1.7031434199061297</v>
      </c>
      <c r="M77" s="1440"/>
      <c r="N77" s="1440"/>
      <c r="O77" s="1440"/>
      <c r="P77" s="1440"/>
      <c r="Q77" s="1440"/>
      <c r="R77" s="1447" t="s">
        <v>3736</v>
      </c>
      <c r="S77" s="1448"/>
      <c r="T77" s="773" cm="1">
        <f t="array" ref="T77">IF($C$2="Week 1",INDEX(Sheet1!D271:AG271,0,$AF$33),INDEX(Sheet2!D271:AG271,0,$AF$33))</f>
        <v>2.0128748951031548</v>
      </c>
      <c r="U77" s="753"/>
      <c r="V77" s="870"/>
      <c r="W77" s="1133"/>
      <c r="X77" s="1133"/>
      <c r="AH77" s="838"/>
      <c r="AI77" s="838"/>
      <c r="AJ77" s="838"/>
      <c r="AK77" s="838"/>
      <c r="AL77" s="838"/>
    </row>
    <row r="78" spans="1:38" s="754" customFormat="1" ht="16" customHeight="1">
      <c r="A78" s="761"/>
      <c r="B78" s="761"/>
      <c r="C78" s="837"/>
      <c r="D78" s="761"/>
      <c r="E78" s="761"/>
      <c r="F78" s="761"/>
      <c r="G78" s="828" cm="1">
        <f t="array" ref="G78">IF($C$2="Week 1",INDEX(Sheet1!D293:AG293,0,$AF$33),INDEX(Sheet2!D293:AG293,0,$AF$33))</f>
        <v>0.41513750632079771</v>
      </c>
      <c r="H78" s="988"/>
      <c r="I78" s="988"/>
      <c r="J78" s="988"/>
      <c r="K78" s="988"/>
      <c r="L78" s="1119" cm="1">
        <f t="array" ref="L78">IF($C$2="Week 1",INDEX(Sheet1!D249:AG249,0,$AF$33),INDEX(Sheet2!D249:AG249,0,$AF$33))</f>
        <v>0.75418646711234461</v>
      </c>
      <c r="M78" s="1440"/>
      <c r="N78" s="1440"/>
      <c r="O78" s="1440"/>
      <c r="P78" s="1440"/>
      <c r="Q78" s="1440"/>
      <c r="R78" s="1447" t="s">
        <v>3737</v>
      </c>
      <c r="S78" s="1448"/>
      <c r="T78" s="773" cm="1">
        <f t="array" ref="T78">IF($C$2="Week 1",INDEX(Sheet1!D272:AG272,0,$AF$33),INDEX(Sheet2!D272:AG272,0,$AF$33))</f>
        <v>0.15941998821171874</v>
      </c>
      <c r="U78" s="753"/>
      <c r="V78" s="870"/>
      <c r="W78" s="1133"/>
      <c r="X78" s="1133"/>
      <c r="AH78" s="838"/>
      <c r="AI78" s="838"/>
      <c r="AJ78" s="838"/>
      <c r="AK78" s="838"/>
      <c r="AL78" s="838"/>
    </row>
    <row r="79" spans="1:38" s="754" customFormat="1" ht="16" customHeight="1">
      <c r="A79" s="761"/>
      <c r="B79" s="761"/>
      <c r="C79" s="837"/>
      <c r="D79" s="761"/>
      <c r="E79" s="761"/>
      <c r="F79" s="761"/>
      <c r="G79" s="828" cm="1">
        <f t="array" ref="G79">IF($C$2="Week 1",INDEX(Sheet1!D294:AG294,0,$AF$33),INDEX(Sheet2!D294:AG294,0,$AF$33))</f>
        <v>6.7263479041251211</v>
      </c>
      <c r="H79" s="988"/>
      <c r="I79" s="988"/>
      <c r="J79" s="988"/>
      <c r="K79" s="988"/>
      <c r="L79" s="1119" cm="1">
        <f t="array" ref="L79">IF($C$2="Week 1",INDEX(Sheet1!D250:AG250,0,$AF$33),INDEX(Sheet2!D250:AG250,0,$AF$33))</f>
        <v>12.996902709945743</v>
      </c>
      <c r="M79" s="1440"/>
      <c r="N79" s="1440"/>
      <c r="O79" s="1440"/>
      <c r="P79" s="1440"/>
      <c r="Q79" s="1440"/>
      <c r="R79" s="1447" t="s">
        <v>3738</v>
      </c>
      <c r="S79" s="1448"/>
      <c r="T79" s="773" cm="1">
        <f t="array" ref="T79">IF($C$2="Week 1",INDEX(Sheet1!D273:AG273,0,$AF$33),INDEX(Sheet2!D273:AG273,0,$AF$33))</f>
        <v>11.712114872324914</v>
      </c>
      <c r="U79" s="753"/>
      <c r="V79" s="870"/>
      <c r="W79" s="1133"/>
      <c r="X79" s="1133"/>
      <c r="AH79" s="838"/>
      <c r="AI79" s="838"/>
      <c r="AJ79" s="838"/>
      <c r="AK79" s="838"/>
      <c r="AL79" s="838"/>
    </row>
    <row r="80" spans="1:38" s="754" customFormat="1" ht="16" customHeight="1">
      <c r="A80" s="761"/>
      <c r="B80" s="761"/>
      <c r="C80" s="837"/>
      <c r="D80" s="761"/>
      <c r="E80" s="761"/>
      <c r="F80" s="761"/>
      <c r="G80" s="828" cm="1">
        <f t="array" ref="G80">IF($C$2="Week 1",INDEX(Sheet1!D295:AG295,0,$AF$33),INDEX(Sheet2!D295:AG295,0,$AF$33))</f>
        <v>0</v>
      </c>
      <c r="H80" s="988"/>
      <c r="I80" s="988"/>
      <c r="J80" s="988"/>
      <c r="K80" s="988"/>
      <c r="L80" s="1119" cm="1">
        <f t="array" ref="L80">IF($C$2="Week 1",INDEX(Sheet1!D251:AG251,0,$AF$33),INDEX(Sheet2!D251:AG251,0,$AF$33))</f>
        <v>0</v>
      </c>
      <c r="M80" s="1440"/>
      <c r="N80" s="1440"/>
      <c r="O80" s="1440"/>
      <c r="P80" s="1440"/>
      <c r="Q80" s="1440"/>
      <c r="R80" s="1447" t="s">
        <v>3739</v>
      </c>
      <c r="S80" s="1448"/>
      <c r="T80" s="773" cm="1">
        <f t="array" ref="T80">IF($C$2="Week 1",INDEX(Sheet1!D274:AG274,0,$AF$33),INDEX(Sheet2!D274:AG274,0,$AF$33))</f>
        <v>0</v>
      </c>
      <c r="U80" s="753"/>
      <c r="V80" s="870"/>
      <c r="W80" s="1133"/>
      <c r="X80" s="1133"/>
      <c r="AH80" s="838"/>
      <c r="AI80" s="838"/>
      <c r="AJ80" s="838"/>
      <c r="AK80" s="838"/>
      <c r="AL80" s="838"/>
    </row>
    <row r="81" spans="1:38" s="754" customFormat="1" ht="16" customHeight="1">
      <c r="A81" s="761"/>
      <c r="B81" s="761"/>
      <c r="C81" s="837"/>
      <c r="D81" s="761"/>
      <c r="E81" s="761"/>
      <c r="F81" s="761"/>
      <c r="G81" s="828" cm="1">
        <f t="array" ref="G81">IF($C$2="Week 1",INDEX(Sheet1!D296:AG296,0,$AF$33),INDEX(Sheet2!D296:AG296,0,$AF$33))</f>
        <v>0</v>
      </c>
      <c r="H81" s="988"/>
      <c r="I81" s="988"/>
      <c r="J81" s="988"/>
      <c r="K81" s="988"/>
      <c r="L81" s="1119" cm="1">
        <f t="array" ref="L81">IF($C$2="Week 1",INDEX(Sheet1!D252:AG252,0,$AF$33),INDEX(Sheet2!D252:AG252,0,$AF$33))</f>
        <v>0</v>
      </c>
      <c r="M81" s="1440"/>
      <c r="N81" s="1440"/>
      <c r="O81" s="1440"/>
      <c r="P81" s="1440"/>
      <c r="Q81" s="1440"/>
      <c r="R81" s="1477" t="s">
        <v>3740</v>
      </c>
      <c r="S81" s="1478"/>
      <c r="T81" s="773" cm="1">
        <f t="array" ref="T81">IF($C$2="Week 1",INDEX(Sheet1!D275:AG275,0,$AF$33),INDEX(Sheet2!D275:AG275,0,$AF$33))</f>
        <v>0</v>
      </c>
      <c r="U81" s="753"/>
      <c r="V81" s="870"/>
      <c r="W81" s="1133"/>
      <c r="X81" s="1133"/>
      <c r="AH81" s="838"/>
      <c r="AI81" s="838"/>
      <c r="AJ81" s="838"/>
      <c r="AK81" s="838"/>
      <c r="AL81" s="838"/>
    </row>
    <row r="82" spans="1:38" s="754" customFormat="1" ht="16" customHeight="1">
      <c r="A82" s="761"/>
      <c r="B82" s="761"/>
      <c r="C82" s="837"/>
      <c r="D82" s="761"/>
      <c r="E82" s="761"/>
      <c r="F82" s="761"/>
      <c r="G82" s="828" cm="1">
        <f t="array" ref="G82">IF($C$2="Week 1",INDEX(Sheet1!D297:AG297,0,$AF$33),INDEX(Sheet2!D297:AG297,0,$AF$33))</f>
        <v>0</v>
      </c>
      <c r="H82" s="988"/>
      <c r="I82" s="988"/>
      <c r="J82" s="988"/>
      <c r="K82" s="988"/>
      <c r="L82" s="1119" cm="1">
        <f t="array" ref="L82">IF($C$2="Week 1",INDEX(Sheet1!D253:AG253,0,$AF$33),INDEX(Sheet2!D253:AG253,0,$AF$33))</f>
        <v>0</v>
      </c>
      <c r="M82" s="1440"/>
      <c r="N82" s="1440"/>
      <c r="O82" s="1440"/>
      <c r="P82" s="1440"/>
      <c r="Q82" s="1440"/>
      <c r="R82" s="1447" t="s">
        <v>3741</v>
      </c>
      <c r="S82" s="1448"/>
      <c r="T82" s="773" cm="1">
        <f t="array" ref="T82">IF($C$2="Week 1",INDEX(Sheet1!D276:AG276,0,$AF$33),INDEX(Sheet2!D276:AG276,0,$AF$33))</f>
        <v>0</v>
      </c>
      <c r="U82" s="753"/>
      <c r="V82" s="870"/>
      <c r="W82" s="1133"/>
      <c r="X82" s="1133"/>
      <c r="AH82" s="838"/>
      <c r="AI82" s="838"/>
      <c r="AJ82" s="838"/>
      <c r="AK82" s="838"/>
      <c r="AL82" s="838"/>
    </row>
    <row r="83" spans="1:38" s="754" customFormat="1" ht="15" customHeight="1">
      <c r="A83" s="761"/>
      <c r="B83" s="761"/>
      <c r="C83" s="837"/>
      <c r="D83" s="761"/>
      <c r="E83" s="761"/>
      <c r="F83" s="761"/>
      <c r="G83" s="1449"/>
      <c r="H83" s="988"/>
      <c r="I83" s="988"/>
      <c r="J83" s="988"/>
      <c r="K83" s="988"/>
      <c r="L83" s="988"/>
      <c r="M83" s="1440"/>
      <c r="N83" s="1440"/>
      <c r="O83" s="1440"/>
      <c r="P83" s="1440"/>
      <c r="Q83" s="1440"/>
      <c r="R83" s="753"/>
      <c r="S83" s="753"/>
      <c r="T83" s="753"/>
      <c r="U83" s="753"/>
      <c r="V83" s="870"/>
      <c r="W83" s="1133"/>
      <c r="X83" s="1133"/>
      <c r="AH83" s="838"/>
      <c r="AI83" s="838"/>
      <c r="AJ83" s="838"/>
      <c r="AK83" s="838"/>
      <c r="AL83" s="838"/>
    </row>
    <row r="84" spans="1:38" s="754" customFormat="1" ht="17" customHeight="1">
      <c r="A84" s="761"/>
      <c r="B84" s="761"/>
      <c r="C84" s="837"/>
      <c r="D84" s="761"/>
      <c r="E84" s="761"/>
      <c r="F84" s="761"/>
      <c r="G84" s="1449"/>
      <c r="H84" s="988"/>
      <c r="I84" s="988"/>
      <c r="J84" s="988"/>
      <c r="K84" s="988"/>
      <c r="L84" s="988"/>
      <c r="M84" s="1440"/>
      <c r="N84" s="1440"/>
      <c r="O84" s="1440"/>
      <c r="P84" s="1440"/>
      <c r="Q84" s="1440"/>
      <c r="R84" s="753"/>
      <c r="S84" s="753"/>
      <c r="T84" s="753"/>
      <c r="U84" s="753"/>
      <c r="V84" s="870"/>
      <c r="W84" s="1133"/>
      <c r="X84" s="1133"/>
      <c r="AH84" s="838"/>
      <c r="AI84" s="838"/>
      <c r="AJ84" s="838"/>
      <c r="AK84" s="838"/>
      <c r="AL84" s="838"/>
    </row>
    <row r="85" spans="1:38" s="754" customFormat="1">
      <c r="A85" s="761"/>
      <c r="B85" s="761"/>
      <c r="C85" s="837"/>
      <c r="D85" s="761"/>
      <c r="E85" s="761"/>
      <c r="F85" s="761"/>
      <c r="G85" s="1449"/>
      <c r="H85" s="988"/>
      <c r="I85" s="988"/>
      <c r="J85" s="988"/>
      <c r="K85" s="988"/>
      <c r="L85" s="988"/>
      <c r="M85" s="1440"/>
      <c r="N85" s="1440"/>
      <c r="O85" s="1440"/>
      <c r="P85" s="1440"/>
      <c r="Q85" s="1440"/>
      <c r="R85" s="758"/>
      <c r="S85" s="753"/>
      <c r="T85" s="753"/>
      <c r="U85" s="753"/>
      <c r="V85" s="870"/>
      <c r="W85" s="1133"/>
      <c r="X85" s="1133"/>
      <c r="AH85" s="838"/>
      <c r="AI85" s="838"/>
      <c r="AJ85" s="838"/>
      <c r="AK85" s="838"/>
      <c r="AL85" s="838"/>
    </row>
    <row r="86" spans="1:38" s="754" customFormat="1">
      <c r="A86" s="761"/>
      <c r="B86" s="761"/>
      <c r="C86" s="837"/>
      <c r="D86" s="761"/>
      <c r="E86" s="761"/>
      <c r="F86" s="761"/>
      <c r="G86" s="1449"/>
      <c r="H86" s="988"/>
      <c r="I86" s="988"/>
      <c r="J86" s="988"/>
      <c r="K86" s="988"/>
      <c r="L86" s="988"/>
      <c r="M86" s="1440"/>
      <c r="N86" s="1440"/>
      <c r="O86" s="1440"/>
      <c r="P86" s="1440"/>
      <c r="Q86" s="1440"/>
      <c r="R86" s="762" t="str" cm="1">
        <f t="array" ref="R86">IF($C$2="Week 1",INDEX(Sheet1!D299:AG299,0,$AF$33),INDEX(Sheet2!D299:AG299,0,$AF$33))</f>
        <v xml:space="preserve">     Meal component % of meal price (Weekly average: lunch)</v>
      </c>
      <c r="S86" s="753"/>
      <c r="T86" s="753"/>
      <c r="U86" s="753"/>
      <c r="V86" s="870"/>
      <c r="W86" s="1133"/>
      <c r="X86" s="1133"/>
      <c r="Y86" s="1279"/>
      <c r="AH86" s="838"/>
      <c r="AI86" s="838"/>
      <c r="AJ86" s="838"/>
      <c r="AK86" s="838"/>
      <c r="AL86" s="838"/>
    </row>
    <row r="87" spans="1:38" s="754" customFormat="1">
      <c r="A87" s="761"/>
      <c r="B87" s="763"/>
      <c r="C87" s="763"/>
      <c r="D87" s="763"/>
      <c r="E87" s="763"/>
      <c r="F87" s="763"/>
      <c r="G87" s="763"/>
      <c r="H87" s="763"/>
      <c r="I87" s="763"/>
      <c r="J87" s="763"/>
      <c r="K87" s="763"/>
      <c r="L87" s="763"/>
      <c r="M87" s="763"/>
      <c r="N87" s="763"/>
      <c r="O87" s="763"/>
      <c r="P87" s="763"/>
      <c r="Q87" s="763"/>
      <c r="R87" s="758"/>
      <c r="S87" s="753"/>
      <c r="T87" s="753"/>
      <c r="U87" s="753"/>
      <c r="V87" s="870"/>
      <c r="W87" s="1133"/>
      <c r="X87" s="1133"/>
      <c r="AH87" s="838"/>
      <c r="AI87" s="838"/>
      <c r="AJ87" s="838"/>
      <c r="AK87" s="838"/>
      <c r="AL87" s="838"/>
    </row>
    <row r="88" spans="1:38" s="754" customFormat="1">
      <c r="A88" s="761"/>
      <c r="B88" s="763"/>
      <c r="C88" s="763"/>
      <c r="D88" s="763"/>
      <c r="E88" s="763"/>
      <c r="F88" s="763"/>
      <c r="G88" s="753"/>
      <c r="H88" s="763"/>
      <c r="I88" s="763"/>
      <c r="J88" s="763"/>
      <c r="K88" s="763"/>
      <c r="L88" s="763"/>
      <c r="M88" s="763"/>
      <c r="N88" s="763"/>
      <c r="O88" s="763"/>
      <c r="P88" s="763"/>
      <c r="Q88" s="763"/>
      <c r="R88" s="758"/>
      <c r="S88" s="753"/>
      <c r="T88" s="753"/>
      <c r="U88" s="753"/>
      <c r="V88" s="870"/>
      <c r="W88" s="1133"/>
      <c r="X88" s="1133"/>
      <c r="AH88" s="838"/>
      <c r="AI88" s="838"/>
      <c r="AJ88" s="838"/>
      <c r="AK88" s="838"/>
      <c r="AL88" s="838"/>
    </row>
    <row r="89" spans="1:38" s="754" customFormat="1">
      <c r="A89" s="764"/>
      <c r="B89" s="760"/>
      <c r="C89" s="764"/>
      <c r="D89" s="760"/>
      <c r="E89" s="760"/>
      <c r="F89" s="760"/>
      <c r="G89" s="760"/>
      <c r="H89" s="1443"/>
      <c r="I89" s="1443"/>
      <c r="J89" s="1443"/>
      <c r="K89" s="1443"/>
      <c r="L89" s="1443"/>
      <c r="M89" s="758"/>
      <c r="N89" s="758"/>
      <c r="O89" s="758"/>
      <c r="P89" s="758"/>
      <c r="Q89" s="758"/>
      <c r="R89" s="758"/>
      <c r="S89" s="870"/>
      <c r="T89" s="870"/>
      <c r="U89" s="753"/>
      <c r="V89" s="870"/>
      <c r="W89" s="1133"/>
      <c r="X89" s="1133"/>
      <c r="AH89" s="838"/>
      <c r="AI89" s="838"/>
      <c r="AJ89" s="838"/>
      <c r="AK89" s="838"/>
      <c r="AL89" s="838"/>
    </row>
    <row r="90" spans="1:38" s="754" customFormat="1">
      <c r="A90" s="764"/>
      <c r="B90" s="760"/>
      <c r="C90" s="764"/>
      <c r="D90" s="760"/>
      <c r="E90" s="760"/>
      <c r="F90" s="760"/>
      <c r="G90" s="753"/>
      <c r="H90" s="753"/>
      <c r="I90" s="753"/>
      <c r="J90" s="753"/>
      <c r="K90" s="753"/>
      <c r="L90" s="758"/>
      <c r="M90" s="758"/>
      <c r="N90" s="758"/>
      <c r="O90" s="758"/>
      <c r="P90" s="758"/>
      <c r="Q90" s="758"/>
      <c r="R90" s="758"/>
      <c r="S90" s="870"/>
      <c r="T90" s="870"/>
      <c r="U90" s="753"/>
      <c r="V90" s="870"/>
      <c r="W90" s="1133"/>
      <c r="X90" s="1133"/>
      <c r="AH90" s="838"/>
      <c r="AI90" s="838"/>
      <c r="AJ90" s="838"/>
      <c r="AK90" s="838"/>
      <c r="AL90" s="838"/>
    </row>
    <row r="91" spans="1:38" s="754" customFormat="1">
      <c r="A91" s="764"/>
      <c r="B91" s="760"/>
      <c r="C91" s="764"/>
      <c r="D91" s="760"/>
      <c r="E91" s="760"/>
      <c r="F91" s="760"/>
      <c r="G91" s="753"/>
      <c r="H91" s="753"/>
      <c r="I91" s="753"/>
      <c r="J91" s="753"/>
      <c r="K91" s="753"/>
      <c r="L91" s="758"/>
      <c r="M91" s="758"/>
      <c r="N91" s="758"/>
      <c r="O91" s="758"/>
      <c r="P91" s="758"/>
      <c r="Q91" s="758"/>
      <c r="R91" s="758"/>
      <c r="S91" s="870"/>
      <c r="T91" s="870"/>
      <c r="U91" s="753"/>
      <c r="V91" s="870"/>
      <c r="W91" s="1133"/>
      <c r="X91" s="1133"/>
      <c r="AH91" s="838"/>
      <c r="AI91" s="838"/>
      <c r="AJ91" s="838"/>
      <c r="AK91" s="838"/>
      <c r="AL91" s="838"/>
    </row>
    <row r="92" spans="1:38" s="754" customFormat="1">
      <c r="A92" s="764"/>
      <c r="B92" s="760"/>
      <c r="C92" s="764"/>
      <c r="D92" s="760"/>
      <c r="E92" s="760"/>
      <c r="F92" s="760"/>
      <c r="G92" s="753"/>
      <c r="H92" s="753"/>
      <c r="I92" s="753"/>
      <c r="J92" s="753"/>
      <c r="K92" s="753"/>
      <c r="L92" s="758"/>
      <c r="M92" s="758"/>
      <c r="N92" s="758"/>
      <c r="O92" s="758"/>
      <c r="P92" s="758"/>
      <c r="Q92" s="758"/>
      <c r="R92" s="758"/>
      <c r="S92" s="870"/>
      <c r="T92" s="870"/>
      <c r="U92" s="753"/>
      <c r="V92" s="870"/>
      <c r="W92" s="1133"/>
      <c r="X92" s="1133"/>
      <c r="AH92" s="838"/>
      <c r="AI92" s="838"/>
      <c r="AJ92" s="838"/>
      <c r="AK92" s="838"/>
      <c r="AL92" s="838"/>
    </row>
    <row r="93" spans="1:38" s="754" customFormat="1">
      <c r="A93" s="764"/>
      <c r="B93" s="760"/>
      <c r="C93" s="764"/>
      <c r="D93" s="753"/>
      <c r="E93" s="753"/>
      <c r="F93" s="753"/>
      <c r="G93" s="753"/>
      <c r="H93" s="753"/>
      <c r="I93" s="753"/>
      <c r="J93" s="753"/>
      <c r="K93" s="753"/>
      <c r="L93" s="758"/>
      <c r="M93" s="758"/>
      <c r="N93" s="758"/>
      <c r="O93" s="758"/>
      <c r="P93" s="758"/>
      <c r="Q93" s="758"/>
      <c r="R93" s="758"/>
      <c r="S93" s="870"/>
      <c r="T93" s="870"/>
      <c r="U93" s="753"/>
      <c r="V93" s="870"/>
      <c r="W93" s="1133"/>
      <c r="X93" s="1133"/>
      <c r="AH93" s="838"/>
      <c r="AI93" s="838"/>
      <c r="AJ93" s="838"/>
      <c r="AK93" s="838"/>
      <c r="AL93" s="838"/>
    </row>
    <row r="94" spans="1:38" s="754" customFormat="1">
      <c r="A94" s="764"/>
      <c r="B94" s="760"/>
      <c r="C94" s="764"/>
      <c r="D94" s="753"/>
      <c r="E94" s="753"/>
      <c r="F94" s="753"/>
      <c r="G94" s="753"/>
      <c r="H94" s="753"/>
      <c r="I94" s="753"/>
      <c r="J94" s="753"/>
      <c r="K94" s="753"/>
      <c r="L94" s="758"/>
      <c r="M94" s="758"/>
      <c r="N94" s="758"/>
      <c r="O94" s="758"/>
      <c r="P94" s="758"/>
      <c r="Q94" s="758"/>
      <c r="R94" s="758"/>
      <c r="S94" s="870"/>
      <c r="T94" s="870"/>
      <c r="U94" s="753"/>
      <c r="V94" s="870"/>
      <c r="W94" s="1133"/>
      <c r="X94" s="1133"/>
      <c r="AH94" s="838"/>
      <c r="AI94" s="838"/>
      <c r="AJ94" s="838"/>
      <c r="AK94" s="838"/>
      <c r="AL94" s="838"/>
    </row>
    <row r="95" spans="1:38" s="754" customFormat="1">
      <c r="A95" s="764"/>
      <c r="B95" s="760"/>
      <c r="C95" s="764"/>
      <c r="D95" s="753"/>
      <c r="E95" s="753"/>
      <c r="F95" s="753"/>
      <c r="G95" s="753"/>
      <c r="H95" s="753"/>
      <c r="I95" s="753"/>
      <c r="J95" s="753"/>
      <c r="K95" s="753"/>
      <c r="L95" s="758"/>
      <c r="M95" s="758"/>
      <c r="N95" s="758"/>
      <c r="O95" s="758"/>
      <c r="P95" s="758"/>
      <c r="Q95" s="758"/>
      <c r="R95" s="758"/>
      <c r="S95" s="870"/>
      <c r="T95" s="870"/>
      <c r="U95" s="753"/>
      <c r="V95" s="870"/>
      <c r="W95" s="1133"/>
      <c r="X95" s="1133"/>
      <c r="AH95" s="838"/>
      <c r="AI95" s="838"/>
      <c r="AJ95" s="838"/>
      <c r="AK95" s="838"/>
      <c r="AL95" s="838"/>
    </row>
    <row r="96" spans="1:38" s="754" customFormat="1">
      <c r="A96" s="764"/>
      <c r="B96" s="760"/>
      <c r="C96" s="764"/>
      <c r="D96" s="753"/>
      <c r="E96" s="753"/>
      <c r="F96" s="753"/>
      <c r="G96" s="753"/>
      <c r="H96" s="753"/>
      <c r="I96" s="753"/>
      <c r="J96" s="753"/>
      <c r="K96" s="753"/>
      <c r="L96" s="758"/>
      <c r="M96" s="758"/>
      <c r="N96" s="758"/>
      <c r="O96" s="758"/>
      <c r="P96" s="758"/>
      <c r="Q96" s="758"/>
      <c r="R96" s="758"/>
      <c r="S96" s="870"/>
      <c r="T96" s="870"/>
      <c r="U96" s="753"/>
      <c r="V96" s="870"/>
      <c r="W96" s="1133"/>
      <c r="X96" s="1133"/>
      <c r="AH96" s="838"/>
      <c r="AI96" s="838"/>
      <c r="AJ96" s="838"/>
      <c r="AK96" s="838"/>
      <c r="AL96" s="838"/>
    </row>
    <row r="97" spans="1:38" s="754" customFormat="1">
      <c r="A97" s="764"/>
      <c r="B97" s="760"/>
      <c r="C97" s="764"/>
      <c r="D97" s="753"/>
      <c r="E97" s="753"/>
      <c r="F97" s="753"/>
      <c r="G97" s="753"/>
      <c r="H97" s="753"/>
      <c r="I97" s="753"/>
      <c r="J97" s="753"/>
      <c r="K97" s="753"/>
      <c r="L97" s="758"/>
      <c r="M97" s="758"/>
      <c r="N97" s="758"/>
      <c r="O97" s="758"/>
      <c r="P97" s="758"/>
      <c r="Q97" s="758"/>
      <c r="R97" s="758"/>
      <c r="S97" s="870"/>
      <c r="T97" s="870"/>
      <c r="U97" s="753"/>
      <c r="V97" s="870"/>
      <c r="W97" s="1133"/>
      <c r="X97" s="1133"/>
      <c r="AH97" s="838"/>
      <c r="AI97" s="838"/>
      <c r="AJ97" s="838"/>
      <c r="AK97" s="838"/>
      <c r="AL97" s="838"/>
    </row>
    <row r="98" spans="1:38" s="754" customFormat="1">
      <c r="A98" s="764"/>
      <c r="B98" s="760"/>
      <c r="C98" s="764"/>
      <c r="D98" s="753"/>
      <c r="E98" s="753"/>
      <c r="F98" s="753"/>
      <c r="G98" s="753"/>
      <c r="H98" s="753"/>
      <c r="I98" s="753"/>
      <c r="J98" s="753"/>
      <c r="K98" s="753"/>
      <c r="L98" s="758"/>
      <c r="M98" s="758"/>
      <c r="N98" s="758"/>
      <c r="O98" s="758"/>
      <c r="P98" s="758"/>
      <c r="Q98" s="758"/>
      <c r="R98" s="758"/>
      <c r="S98" s="870"/>
      <c r="T98" s="870"/>
      <c r="U98" s="753"/>
      <c r="V98" s="870"/>
      <c r="W98" s="1133"/>
      <c r="X98" s="1133"/>
      <c r="AH98" s="838"/>
      <c r="AI98" s="838"/>
      <c r="AJ98" s="838"/>
      <c r="AK98" s="838"/>
      <c r="AL98" s="838"/>
    </row>
    <row r="99" spans="1:38" s="754" customFormat="1">
      <c r="A99" s="764"/>
      <c r="B99" s="760"/>
      <c r="C99" s="764"/>
      <c r="D99" s="753"/>
      <c r="E99" s="753"/>
      <c r="F99" s="753"/>
      <c r="G99" s="753"/>
      <c r="H99" s="753"/>
      <c r="I99" s="753"/>
      <c r="J99" s="753"/>
      <c r="K99" s="753"/>
      <c r="L99" s="758"/>
      <c r="M99" s="758"/>
      <c r="N99" s="758"/>
      <c r="O99" s="758"/>
      <c r="P99" s="758"/>
      <c r="Q99" s="758"/>
      <c r="R99" s="758"/>
      <c r="S99" s="870"/>
      <c r="T99" s="870"/>
      <c r="U99" s="753"/>
      <c r="V99" s="870"/>
      <c r="W99" s="1133"/>
      <c r="X99" s="1133"/>
      <c r="AH99" s="838"/>
      <c r="AI99" s="838"/>
      <c r="AJ99" s="838"/>
      <c r="AK99" s="838"/>
      <c r="AL99" s="838"/>
    </row>
    <row r="100" spans="1:38" s="754" customFormat="1" ht="16" customHeight="1">
      <c r="A100" s="764"/>
      <c r="B100" s="760"/>
      <c r="C100" s="764"/>
      <c r="D100" s="753"/>
      <c r="E100" s="753"/>
      <c r="F100" s="753"/>
      <c r="G100" s="753"/>
      <c r="H100" s="753"/>
      <c r="I100" s="753"/>
      <c r="J100" s="753"/>
      <c r="K100" s="753"/>
      <c r="L100" s="758"/>
      <c r="M100" s="758"/>
      <c r="N100" s="758"/>
      <c r="O100" s="758"/>
      <c r="P100" s="758"/>
      <c r="Q100" s="758"/>
      <c r="R100" s="758"/>
      <c r="S100" s="870"/>
      <c r="T100" s="870"/>
      <c r="U100" s="753"/>
      <c r="V100" s="870"/>
      <c r="W100" s="1133"/>
      <c r="X100" s="1133"/>
      <c r="AH100" s="838"/>
      <c r="AI100" s="838"/>
      <c r="AJ100" s="838"/>
      <c r="AK100" s="838"/>
      <c r="AL100" s="838"/>
    </row>
    <row r="101" spans="1:38" s="754" customFormat="1">
      <c r="A101" s="764"/>
      <c r="B101" s="760"/>
      <c r="C101" s="764"/>
      <c r="D101" s="753"/>
      <c r="E101" s="753"/>
      <c r="F101" s="753"/>
      <c r="G101" s="753"/>
      <c r="H101" s="753"/>
      <c r="I101" s="753"/>
      <c r="J101" s="753"/>
      <c r="K101" s="753"/>
      <c r="L101" s="758"/>
      <c r="M101" s="758"/>
      <c r="N101" s="758"/>
      <c r="O101" s="758"/>
      <c r="P101" s="758"/>
      <c r="Q101" s="758"/>
      <c r="R101" s="758"/>
      <c r="S101" s="870"/>
      <c r="T101" s="870"/>
      <c r="U101" s="753"/>
      <c r="V101" s="870"/>
      <c r="W101" s="1133"/>
      <c r="X101" s="1133"/>
      <c r="AH101" s="838"/>
      <c r="AI101" s="838"/>
      <c r="AJ101" s="838"/>
      <c r="AK101" s="838"/>
      <c r="AL101" s="838"/>
    </row>
    <row r="102" spans="1:38" s="754" customFormat="1" ht="15" customHeight="1">
      <c r="A102" s="764"/>
      <c r="B102" s="760"/>
      <c r="C102" s="764"/>
      <c r="D102" s="753"/>
      <c r="E102" s="753"/>
      <c r="F102" s="753"/>
      <c r="G102" s="753"/>
      <c r="H102" s="753"/>
      <c r="I102" s="753"/>
      <c r="J102" s="753"/>
      <c r="K102" s="753"/>
      <c r="L102" s="758"/>
      <c r="M102" s="758"/>
      <c r="N102" s="758"/>
      <c r="O102" s="758"/>
      <c r="P102" s="758"/>
      <c r="Q102" s="758"/>
      <c r="R102" s="758"/>
      <c r="S102" s="870"/>
      <c r="T102" s="870"/>
      <c r="U102" s="753"/>
      <c r="V102" s="870"/>
      <c r="W102" s="1133"/>
      <c r="X102" s="1133"/>
      <c r="AH102" s="838"/>
      <c r="AI102" s="838"/>
      <c r="AJ102" s="838"/>
      <c r="AK102" s="838"/>
      <c r="AL102" s="838"/>
    </row>
    <row r="103" spans="1:38" s="754" customFormat="1" ht="15" customHeight="1">
      <c r="A103" s="764"/>
      <c r="B103" s="760"/>
      <c r="C103" s="764"/>
      <c r="D103" s="1215"/>
      <c r="E103" s="1215"/>
      <c r="F103" s="1215"/>
      <c r="G103" s="1215"/>
      <c r="H103" s="1215"/>
      <c r="I103" s="1215"/>
      <c r="J103" s="1215"/>
      <c r="K103" s="1215"/>
      <c r="L103" s="758"/>
      <c r="M103" s="758"/>
      <c r="N103" s="758"/>
      <c r="O103" s="758"/>
      <c r="P103" s="758"/>
      <c r="Q103" s="758"/>
      <c r="R103" s="758"/>
      <c r="S103" s="870"/>
      <c r="T103" s="870"/>
      <c r="U103" s="753"/>
      <c r="V103" s="870"/>
      <c r="W103" s="1133"/>
      <c r="X103" s="1133"/>
      <c r="AH103" s="838"/>
      <c r="AI103" s="838"/>
      <c r="AJ103" s="838"/>
      <c r="AK103" s="838"/>
      <c r="AL103" s="838"/>
    </row>
    <row r="104" spans="1:38" s="754" customFormat="1" ht="16" customHeight="1">
      <c r="A104" s="764"/>
      <c r="B104" s="1421"/>
      <c r="C104" s="1421"/>
      <c r="D104" s="1425"/>
      <c r="E104" s="1425"/>
      <c r="F104" s="1425"/>
      <c r="G104" s="1425"/>
      <c r="H104" s="1425"/>
      <c r="I104" s="1425"/>
      <c r="J104" s="1425"/>
      <c r="K104" s="1425"/>
      <c r="L104" s="1425"/>
      <c r="M104" s="1425"/>
      <c r="N104" s="1425"/>
      <c r="O104" s="1425"/>
      <c r="P104" s="1425"/>
      <c r="Q104" s="1222"/>
      <c r="R104" s="758"/>
      <c r="S104" s="870"/>
      <c r="T104" s="870"/>
      <c r="U104" s="753"/>
      <c r="V104" s="870"/>
      <c r="W104" s="1133"/>
      <c r="X104" s="1133"/>
      <c r="AH104" s="838"/>
      <c r="AI104" s="838"/>
      <c r="AJ104" s="838"/>
      <c r="AK104" s="838"/>
      <c r="AL104" s="838"/>
    </row>
    <row r="105" spans="1:38" s="754" customFormat="1" ht="15" customHeight="1">
      <c r="A105" s="764"/>
      <c r="B105" s="1422"/>
      <c r="C105" s="1422"/>
      <c r="D105" s="1426"/>
      <c r="E105" s="1426"/>
      <c r="F105" s="1426"/>
      <c r="G105" s="1426"/>
      <c r="H105" s="1426"/>
      <c r="I105" s="1426"/>
      <c r="J105" s="1426"/>
      <c r="K105" s="1426"/>
      <c r="L105" s="1426"/>
      <c r="M105" s="1426"/>
      <c r="N105" s="1426"/>
      <c r="O105" s="1426"/>
      <c r="P105" s="1426"/>
      <c r="Q105" s="1222"/>
      <c r="R105" s="758"/>
      <c r="S105" s="870"/>
      <c r="T105" s="870"/>
      <c r="U105" s="753"/>
      <c r="V105" s="870"/>
      <c r="W105" s="1133"/>
      <c r="X105" s="1133"/>
      <c r="AH105" s="838"/>
      <c r="AI105" s="838"/>
      <c r="AJ105" s="838"/>
      <c r="AK105" s="838"/>
      <c r="AL105" s="838"/>
    </row>
    <row r="106" spans="1:38" s="781" customFormat="1" ht="15" customHeight="1">
      <c r="A106" s="778"/>
      <c r="B106" s="779"/>
      <c r="C106" s="778"/>
      <c r="D106" s="776" t="str" cm="1">
        <f t="array" ref="D106">IF($C$2="Week 1",INDEX(Sheet1!H320:M320,0,$AF$34),INDEX(Sheet2!H320:M320,0,$AF$34))</f>
        <v>Cumulative costs of food categories per meal: average (din)</v>
      </c>
      <c r="E106" s="776"/>
      <c r="F106" s="776"/>
      <c r="G106" s="776"/>
      <c r="H106" s="776" t="str" cm="1">
        <f t="array" ref="H106">IF($C$2="Week 1",INDEX(Sheet1!H371:M371,0,$AF$34),INDEX(Sheet2!H371:M371,0,$AF$34))</f>
        <v>Cumulative weight of food categories per meal: average (g)</v>
      </c>
      <c r="I106" s="776"/>
      <c r="J106" s="776"/>
      <c r="K106" s="776"/>
      <c r="L106" s="780"/>
      <c r="M106" s="780"/>
      <c r="N106" s="776" t="str" cm="1">
        <f t="array" ref="N106">IF($C$2="Week 1",INDEX(Sheet1!H415:M415,0,$AF$34),INDEX(Sheet1!H415:M415,0,$AF$34))</f>
        <v>Food contribution to global warming: Cumulative CO2 (g/g) from food category - weekly average for</v>
      </c>
      <c r="O106" s="777"/>
      <c r="P106" s="777"/>
      <c r="Q106" s="777"/>
      <c r="R106" s="777"/>
      <c r="S106" s="774"/>
      <c r="T106" s="774"/>
      <c r="U106" s="774"/>
      <c r="V106" s="774"/>
      <c r="W106" s="1134"/>
      <c r="X106" s="1134"/>
      <c r="AH106" s="839"/>
      <c r="AI106" s="839"/>
      <c r="AJ106" s="839"/>
      <c r="AK106" s="839"/>
      <c r="AL106" s="839"/>
    </row>
    <row r="107" spans="1:38" s="781" customFormat="1" ht="15" customHeight="1">
      <c r="A107" s="778"/>
      <c r="B107" s="779"/>
      <c r="C107" s="778"/>
      <c r="D107" s="774"/>
      <c r="E107" s="774"/>
      <c r="F107" s="774"/>
      <c r="G107" s="774"/>
      <c r="H107" s="774"/>
      <c r="I107" s="774"/>
      <c r="J107" s="774"/>
      <c r="K107" s="774"/>
      <c r="L107" s="774"/>
      <c r="M107" s="774"/>
      <c r="N107" s="774"/>
      <c r="O107" s="774"/>
      <c r="P107" s="777"/>
      <c r="Q107" s="777"/>
      <c r="R107" s="777"/>
      <c r="S107" s="774"/>
      <c r="T107" s="774"/>
      <c r="U107" s="774"/>
      <c r="V107" s="774"/>
      <c r="W107" s="1134"/>
      <c r="X107" s="1134"/>
      <c r="AH107" s="839"/>
      <c r="AI107" s="839"/>
      <c r="AJ107" s="839"/>
      <c r="AK107" s="839"/>
      <c r="AL107" s="839"/>
    </row>
    <row r="108" spans="1:38" s="781" customFormat="1" ht="15" customHeight="1">
      <c r="A108" s="778"/>
      <c r="B108" s="779"/>
      <c r="C108" s="778"/>
      <c r="D108" s="774"/>
      <c r="E108" s="774"/>
      <c r="F108" s="774"/>
      <c r="G108" s="774"/>
      <c r="H108" s="774"/>
      <c r="I108" s="774"/>
      <c r="J108" s="774"/>
      <c r="K108" s="774"/>
      <c r="L108" s="774"/>
      <c r="M108" s="774"/>
      <c r="N108" s="774"/>
      <c r="O108" s="774"/>
      <c r="P108" s="777"/>
      <c r="Q108" s="777"/>
      <c r="R108" s="777"/>
      <c r="S108" s="774"/>
      <c r="T108" s="774"/>
      <c r="U108" s="774"/>
      <c r="V108" s="774"/>
      <c r="W108" s="1134"/>
      <c r="X108" s="1134"/>
      <c r="AH108" s="839"/>
      <c r="AI108" s="839"/>
      <c r="AJ108" s="839"/>
      <c r="AK108" s="839"/>
      <c r="AL108" s="839"/>
    </row>
    <row r="109" spans="1:38" s="781" customFormat="1" ht="15" customHeight="1">
      <c r="A109" s="778"/>
      <c r="B109" s="779"/>
      <c r="C109" s="778"/>
      <c r="D109" s="774"/>
      <c r="E109" s="774"/>
      <c r="F109" s="774"/>
      <c r="G109" s="774"/>
      <c r="H109" s="774"/>
      <c r="I109" s="774"/>
      <c r="J109" s="774"/>
      <c r="K109" s="774"/>
      <c r="L109" s="774"/>
      <c r="M109" s="774"/>
      <c r="N109" s="774"/>
      <c r="O109" s="774"/>
      <c r="P109" s="777"/>
      <c r="Q109" s="777"/>
      <c r="R109" s="777"/>
      <c r="S109" s="774"/>
      <c r="T109" s="774"/>
      <c r="U109" s="774"/>
      <c r="V109" s="774"/>
      <c r="W109" s="1134"/>
      <c r="X109" s="1134"/>
      <c r="AH109" s="839"/>
      <c r="AI109" s="839"/>
      <c r="AJ109" s="839"/>
      <c r="AK109" s="839"/>
      <c r="AL109" s="839"/>
    </row>
    <row r="110" spans="1:38" s="781" customFormat="1" ht="15" customHeight="1">
      <c r="A110" s="778"/>
      <c r="B110" s="779"/>
      <c r="C110" s="778"/>
      <c r="D110" s="774"/>
      <c r="E110" s="774"/>
      <c r="F110" s="774"/>
      <c r="G110" s="774"/>
      <c r="H110" s="774"/>
      <c r="I110" s="774"/>
      <c r="J110" s="774"/>
      <c r="K110" s="774"/>
      <c r="L110" s="774"/>
      <c r="M110" s="774"/>
      <c r="N110" s="774"/>
      <c r="O110" s="774"/>
      <c r="P110" s="777"/>
      <c r="Q110" s="777"/>
      <c r="R110" s="777"/>
      <c r="S110" s="774"/>
      <c r="T110" s="774"/>
      <c r="U110" s="774"/>
      <c r="V110" s="774"/>
      <c r="W110" s="1134"/>
      <c r="X110" s="1134"/>
      <c r="AH110" s="839"/>
      <c r="AI110" s="839"/>
      <c r="AJ110" s="839"/>
      <c r="AK110" s="839"/>
      <c r="AL110" s="839"/>
    </row>
    <row r="111" spans="1:38" s="781" customFormat="1" ht="15" customHeight="1">
      <c r="A111" s="778"/>
      <c r="B111" s="779"/>
      <c r="C111" s="778"/>
      <c r="D111" s="774"/>
      <c r="E111" s="774"/>
      <c r="F111" s="774"/>
      <c r="G111" s="774"/>
      <c r="H111" s="774"/>
      <c r="I111" s="774"/>
      <c r="J111" s="774"/>
      <c r="K111" s="774"/>
      <c r="L111" s="774"/>
      <c r="M111" s="774"/>
      <c r="N111" s="774"/>
      <c r="O111" s="774"/>
      <c r="P111" s="777"/>
      <c r="Q111" s="777"/>
      <c r="R111" s="777"/>
      <c r="S111" s="774"/>
      <c r="T111" s="774"/>
      <c r="U111" s="774"/>
      <c r="V111" s="774"/>
      <c r="W111" s="1134"/>
      <c r="X111" s="1134"/>
      <c r="AH111" s="839"/>
      <c r="AI111" s="839"/>
      <c r="AJ111" s="839"/>
      <c r="AK111" s="839"/>
      <c r="AL111" s="839"/>
    </row>
    <row r="112" spans="1:38" s="781" customFormat="1" ht="15" customHeight="1">
      <c r="A112" s="778"/>
      <c r="B112" s="779"/>
      <c r="C112" s="778"/>
      <c r="D112" s="774"/>
      <c r="E112" s="774"/>
      <c r="F112" s="774"/>
      <c r="G112" s="774"/>
      <c r="H112" s="774"/>
      <c r="I112" s="774"/>
      <c r="J112" s="774"/>
      <c r="K112" s="774"/>
      <c r="L112" s="774"/>
      <c r="M112" s="774"/>
      <c r="N112" s="774"/>
      <c r="O112" s="774"/>
      <c r="P112" s="777"/>
      <c r="Q112" s="777"/>
      <c r="R112" s="777"/>
      <c r="S112" s="774"/>
      <c r="T112" s="774"/>
      <c r="U112" s="774"/>
      <c r="V112" s="774"/>
      <c r="W112" s="1134"/>
      <c r="X112" s="1134"/>
      <c r="AH112" s="839"/>
      <c r="AI112" s="839"/>
      <c r="AJ112" s="839"/>
      <c r="AK112" s="839"/>
      <c r="AL112" s="839"/>
    </row>
    <row r="113" spans="1:38" s="781" customFormat="1" ht="15" customHeight="1">
      <c r="A113" s="778"/>
      <c r="B113" s="779"/>
      <c r="C113" s="778"/>
      <c r="D113" s="774"/>
      <c r="E113" s="774"/>
      <c r="F113" s="774"/>
      <c r="G113" s="774"/>
      <c r="H113" s="774"/>
      <c r="I113" s="774"/>
      <c r="J113" s="774"/>
      <c r="K113" s="774"/>
      <c r="L113" s="774"/>
      <c r="M113" s="774"/>
      <c r="N113" s="774"/>
      <c r="O113" s="774"/>
      <c r="P113" s="777"/>
      <c r="Q113" s="777"/>
      <c r="R113" s="777"/>
      <c r="S113" s="774"/>
      <c r="T113" s="774"/>
      <c r="U113" s="774"/>
      <c r="V113" s="774"/>
      <c r="W113" s="1134"/>
      <c r="X113" s="1134"/>
      <c r="AH113" s="839"/>
      <c r="AI113" s="839"/>
      <c r="AJ113" s="839"/>
      <c r="AK113" s="839"/>
      <c r="AL113" s="839"/>
    </row>
    <row r="114" spans="1:38" s="781" customFormat="1" ht="15" customHeight="1">
      <c r="A114" s="778"/>
      <c r="B114" s="779"/>
      <c r="C114" s="778"/>
      <c r="D114" s="774"/>
      <c r="E114" s="774"/>
      <c r="F114" s="774"/>
      <c r="G114" s="774"/>
      <c r="H114" s="774"/>
      <c r="I114" s="774"/>
      <c r="J114" s="774"/>
      <c r="K114" s="774"/>
      <c r="L114" s="774"/>
      <c r="M114" s="774"/>
      <c r="N114" s="774"/>
      <c r="O114" s="774"/>
      <c r="P114" s="777"/>
      <c r="Q114" s="777"/>
      <c r="R114" s="777"/>
      <c r="S114" s="774"/>
      <c r="T114" s="774"/>
      <c r="U114" s="774"/>
      <c r="V114" s="774"/>
      <c r="W114" s="1134"/>
      <c r="X114" s="1134"/>
      <c r="AH114" s="839"/>
      <c r="AI114" s="839"/>
      <c r="AJ114" s="839"/>
      <c r="AK114" s="839"/>
      <c r="AL114" s="839"/>
    </row>
    <row r="115" spans="1:38" s="781" customFormat="1" ht="15" customHeight="1">
      <c r="A115" s="778"/>
      <c r="B115" s="779"/>
      <c r="C115" s="778"/>
      <c r="D115" s="774"/>
      <c r="E115" s="774"/>
      <c r="F115" s="774"/>
      <c r="G115" s="774"/>
      <c r="H115" s="774"/>
      <c r="I115" s="774"/>
      <c r="J115" s="774"/>
      <c r="K115" s="774"/>
      <c r="L115" s="774"/>
      <c r="M115" s="774"/>
      <c r="N115" s="774"/>
      <c r="O115" s="774"/>
      <c r="P115" s="777"/>
      <c r="Q115" s="777"/>
      <c r="R115" s="777"/>
      <c r="S115" s="774"/>
      <c r="T115" s="774"/>
      <c r="U115" s="774"/>
      <c r="V115" s="774"/>
      <c r="W115" s="1134"/>
      <c r="X115" s="1134"/>
      <c r="AH115" s="839"/>
      <c r="AI115" s="839"/>
      <c r="AJ115" s="839"/>
      <c r="AK115" s="839"/>
      <c r="AL115" s="839"/>
    </row>
    <row r="116" spans="1:38" s="781" customFormat="1" ht="15" customHeight="1">
      <c r="A116" s="778"/>
      <c r="B116" s="779"/>
      <c r="C116" s="778"/>
      <c r="D116" s="774"/>
      <c r="E116" s="774"/>
      <c r="F116" s="774"/>
      <c r="G116" s="774"/>
      <c r="H116" s="774"/>
      <c r="I116" s="774"/>
      <c r="J116" s="774"/>
      <c r="K116" s="774"/>
      <c r="L116" s="774"/>
      <c r="M116" s="774"/>
      <c r="N116" s="774"/>
      <c r="O116" s="774"/>
      <c r="P116" s="777"/>
      <c r="Q116" s="777"/>
      <c r="R116" s="777"/>
      <c r="S116" s="774"/>
      <c r="T116" s="774"/>
      <c r="U116" s="774"/>
      <c r="V116" s="774"/>
      <c r="W116" s="1134"/>
      <c r="X116" s="1134"/>
      <c r="AH116" s="839"/>
      <c r="AI116" s="839"/>
      <c r="AJ116" s="839"/>
      <c r="AK116" s="839"/>
      <c r="AL116" s="839"/>
    </row>
    <row r="117" spans="1:38" s="781" customFormat="1" ht="15" customHeight="1">
      <c r="A117" s="778"/>
      <c r="B117" s="779"/>
      <c r="C117" s="778"/>
      <c r="D117" s="774"/>
      <c r="E117" s="774"/>
      <c r="F117" s="774"/>
      <c r="G117" s="774"/>
      <c r="H117" s="774"/>
      <c r="I117" s="774"/>
      <c r="J117" s="774"/>
      <c r="K117" s="774"/>
      <c r="L117" s="774"/>
      <c r="M117" s="774"/>
      <c r="N117" s="774"/>
      <c r="O117" s="774"/>
      <c r="P117" s="777"/>
      <c r="Q117" s="777"/>
      <c r="R117" s="777"/>
      <c r="S117" s="774"/>
      <c r="T117" s="774"/>
      <c r="U117" s="774"/>
      <c r="V117" s="774"/>
      <c r="W117" s="1134"/>
      <c r="X117" s="1134"/>
      <c r="AH117" s="839"/>
      <c r="AI117" s="839"/>
      <c r="AJ117" s="839"/>
      <c r="AK117" s="839"/>
      <c r="AL117" s="839"/>
    </row>
    <row r="118" spans="1:38" s="781" customFormat="1" ht="15" customHeight="1">
      <c r="A118" s="778"/>
      <c r="B118" s="779"/>
      <c r="C118" s="778"/>
      <c r="D118" s="774"/>
      <c r="E118" s="774"/>
      <c r="F118" s="774"/>
      <c r="G118" s="774"/>
      <c r="H118" s="774"/>
      <c r="I118" s="774"/>
      <c r="J118" s="774"/>
      <c r="K118" s="774"/>
      <c r="L118" s="774"/>
      <c r="M118" s="774"/>
      <c r="N118" s="774"/>
      <c r="O118" s="774"/>
      <c r="P118" s="777"/>
      <c r="Q118" s="777"/>
      <c r="R118" s="777"/>
      <c r="S118" s="774"/>
      <c r="T118" s="774"/>
      <c r="U118" s="774"/>
      <c r="V118" s="774"/>
      <c r="W118" s="1134"/>
      <c r="X118" s="1134"/>
      <c r="AH118" s="839"/>
      <c r="AI118" s="839"/>
      <c r="AJ118" s="839"/>
      <c r="AK118" s="839"/>
      <c r="AL118" s="839"/>
    </row>
    <row r="119" spans="1:38" s="781" customFormat="1" ht="15" customHeight="1">
      <c r="A119" s="778"/>
      <c r="B119" s="779"/>
      <c r="C119" s="778"/>
      <c r="D119" s="774"/>
      <c r="E119" s="774"/>
      <c r="F119" s="774"/>
      <c r="G119" s="774"/>
      <c r="H119" s="774"/>
      <c r="I119" s="774"/>
      <c r="J119" s="774"/>
      <c r="K119" s="774"/>
      <c r="L119" s="774"/>
      <c r="M119" s="774"/>
      <c r="N119" s="774"/>
      <c r="O119" s="774"/>
      <c r="P119" s="777"/>
      <c r="Q119" s="777"/>
      <c r="R119" s="777"/>
      <c r="S119" s="774"/>
      <c r="T119" s="774"/>
      <c r="U119" s="774"/>
      <c r="V119" s="774"/>
      <c r="W119" s="1134"/>
      <c r="X119" s="1134"/>
      <c r="AH119" s="839"/>
      <c r="AI119" s="839"/>
      <c r="AJ119" s="839"/>
      <c r="AK119" s="839"/>
      <c r="AL119" s="839"/>
    </row>
    <row r="120" spans="1:38" s="781" customFormat="1" ht="15" customHeight="1">
      <c r="A120" s="778"/>
      <c r="B120" s="779"/>
      <c r="C120" s="778"/>
      <c r="D120" s="774"/>
      <c r="E120" s="774"/>
      <c r="F120" s="774"/>
      <c r="G120" s="774"/>
      <c r="H120" s="774"/>
      <c r="I120" s="774"/>
      <c r="J120" s="774"/>
      <c r="K120" s="774"/>
      <c r="L120" s="774"/>
      <c r="M120" s="774"/>
      <c r="N120" s="774"/>
      <c r="O120" s="774"/>
      <c r="P120" s="777"/>
      <c r="Q120" s="777"/>
      <c r="R120" s="777"/>
      <c r="S120" s="774"/>
      <c r="T120" s="774"/>
      <c r="U120" s="774"/>
      <c r="V120" s="774"/>
      <c r="W120" s="1134"/>
      <c r="X120" s="1134"/>
      <c r="Y120" s="799"/>
      <c r="Z120" s="799"/>
      <c r="AA120" s="799"/>
      <c r="AB120" s="799"/>
      <c r="AC120" s="799"/>
      <c r="AD120" s="799"/>
      <c r="AE120" s="799"/>
      <c r="AF120" s="799"/>
      <c r="AG120" s="799"/>
      <c r="AH120" s="839"/>
      <c r="AI120" s="839"/>
      <c r="AJ120" s="839"/>
      <c r="AK120" s="839"/>
      <c r="AL120" s="839"/>
    </row>
    <row r="121" spans="1:38" s="781" customFormat="1" ht="15" customHeight="1">
      <c r="A121" s="778"/>
      <c r="B121" s="779"/>
      <c r="C121" s="778"/>
      <c r="D121" s="774"/>
      <c r="E121" s="774"/>
      <c r="F121" s="774"/>
      <c r="G121" s="774"/>
      <c r="H121" s="774"/>
      <c r="I121" s="774"/>
      <c r="J121" s="774"/>
      <c r="K121" s="774"/>
      <c r="L121" s="774"/>
      <c r="M121" s="774"/>
      <c r="N121" s="774"/>
      <c r="O121" s="774"/>
      <c r="P121" s="777"/>
      <c r="Q121" s="777"/>
      <c r="R121" s="777"/>
      <c r="S121" s="774"/>
      <c r="T121" s="774"/>
      <c r="U121" s="774"/>
      <c r="V121" s="774"/>
      <c r="W121" s="1134"/>
      <c r="X121" s="1134"/>
      <c r="Y121" s="799"/>
      <c r="Z121" s="799"/>
      <c r="AA121" s="799"/>
      <c r="AB121" s="799"/>
      <c r="AC121" s="799"/>
      <c r="AD121" s="799"/>
      <c r="AE121" s="799"/>
      <c r="AF121" s="799"/>
      <c r="AG121" s="799"/>
      <c r="AH121" s="839"/>
      <c r="AI121" s="839"/>
      <c r="AJ121" s="839"/>
      <c r="AK121" s="839"/>
      <c r="AL121" s="839"/>
    </row>
    <row r="122" spans="1:38" s="781" customFormat="1" ht="15" customHeight="1">
      <c r="A122" s="778"/>
      <c r="B122" s="779"/>
      <c r="C122" s="778"/>
      <c r="D122" s="774"/>
      <c r="E122" s="774"/>
      <c r="F122" s="774"/>
      <c r="G122" s="774"/>
      <c r="H122" s="774"/>
      <c r="I122" s="774"/>
      <c r="J122" s="774"/>
      <c r="K122" s="774"/>
      <c r="L122" s="774"/>
      <c r="M122" s="774"/>
      <c r="N122" s="774"/>
      <c r="O122" s="774"/>
      <c r="P122" s="777"/>
      <c r="Q122" s="777"/>
      <c r="R122" s="777"/>
      <c r="S122" s="774"/>
      <c r="T122" s="774"/>
      <c r="U122" s="774"/>
      <c r="V122" s="774"/>
      <c r="W122" s="1134"/>
      <c r="X122" s="1134"/>
      <c r="Y122" s="799"/>
      <c r="Z122" s="799"/>
      <c r="AA122" s="799"/>
      <c r="AB122" s="799"/>
      <c r="AC122" s="799"/>
      <c r="AD122" s="799"/>
      <c r="AE122" s="799"/>
      <c r="AF122" s="799"/>
      <c r="AG122" s="799"/>
      <c r="AH122" s="839"/>
      <c r="AI122" s="839"/>
      <c r="AJ122" s="839"/>
      <c r="AK122" s="839"/>
      <c r="AL122" s="839"/>
    </row>
    <row r="123" spans="1:38" s="781" customFormat="1" ht="15" customHeight="1">
      <c r="A123" s="778"/>
      <c r="B123" s="779"/>
      <c r="C123" s="778"/>
      <c r="D123" s="774"/>
      <c r="E123" s="774"/>
      <c r="F123" s="774"/>
      <c r="G123" s="774"/>
      <c r="H123" s="774"/>
      <c r="I123" s="774"/>
      <c r="J123" s="774"/>
      <c r="K123" s="774"/>
      <c r="L123" s="774"/>
      <c r="M123" s="774"/>
      <c r="N123" s="774"/>
      <c r="O123" s="774"/>
      <c r="P123" s="777"/>
      <c r="Q123" s="777"/>
      <c r="R123" s="777"/>
      <c r="S123" s="774"/>
      <c r="T123" s="774"/>
      <c r="U123" s="774"/>
      <c r="V123" s="774"/>
      <c r="W123" s="1134"/>
      <c r="X123" s="1134"/>
      <c r="Y123" s="799"/>
      <c r="Z123" s="799"/>
      <c r="AA123" s="799"/>
      <c r="AB123" s="799"/>
      <c r="AC123" s="799"/>
      <c r="AD123" s="799"/>
      <c r="AE123" s="799"/>
      <c r="AF123" s="799"/>
      <c r="AG123" s="799"/>
      <c r="AH123" s="839"/>
      <c r="AI123" s="839"/>
      <c r="AJ123" s="839"/>
      <c r="AK123" s="839"/>
      <c r="AL123" s="839"/>
    </row>
    <row r="124" spans="1:38" s="781" customFormat="1" ht="15" customHeight="1">
      <c r="A124" s="778"/>
      <c r="B124" s="779"/>
      <c r="C124" s="778"/>
      <c r="D124" s="774"/>
      <c r="E124" s="774"/>
      <c r="F124" s="774"/>
      <c r="G124" s="774"/>
      <c r="H124" s="774"/>
      <c r="I124" s="774"/>
      <c r="J124" s="774"/>
      <c r="K124" s="774"/>
      <c r="L124" s="774"/>
      <c r="M124" s="774"/>
      <c r="N124" s="774"/>
      <c r="O124" s="774"/>
      <c r="P124" s="777"/>
      <c r="Q124" s="777"/>
      <c r="R124" s="777"/>
      <c r="S124" s="774"/>
      <c r="T124" s="774"/>
      <c r="U124" s="774"/>
      <c r="V124" s="774"/>
      <c r="W124" s="1134"/>
      <c r="X124" s="1134"/>
      <c r="Y124" s="799"/>
      <c r="Z124" s="799"/>
      <c r="AA124" s="799"/>
      <c r="AB124" s="799"/>
      <c r="AC124" s="799"/>
      <c r="AD124" s="799"/>
      <c r="AE124" s="799"/>
      <c r="AF124" s="799"/>
      <c r="AG124" s="799"/>
      <c r="AH124" s="839"/>
      <c r="AI124" s="839"/>
      <c r="AJ124" s="839"/>
      <c r="AK124" s="839"/>
      <c r="AL124" s="839"/>
    </row>
    <row r="125" spans="1:38" s="781" customFormat="1" ht="17" customHeight="1">
      <c r="A125" s="778"/>
      <c r="B125" s="779"/>
      <c r="C125" s="778"/>
      <c r="D125" s="774"/>
      <c r="E125" s="774"/>
      <c r="F125" s="774"/>
      <c r="G125" s="774"/>
      <c r="H125" s="774"/>
      <c r="I125" s="774"/>
      <c r="J125" s="774"/>
      <c r="K125" s="774"/>
      <c r="L125" s="774"/>
      <c r="M125" s="774"/>
      <c r="N125" s="774"/>
      <c r="O125" s="774"/>
      <c r="P125" s="777"/>
      <c r="Q125" s="777"/>
      <c r="R125" s="777"/>
      <c r="S125" s="774"/>
      <c r="T125" s="774"/>
      <c r="U125" s="774"/>
      <c r="V125" s="774"/>
      <c r="W125" s="1134"/>
      <c r="X125" s="1134"/>
      <c r="Y125" s="799"/>
      <c r="Z125" s="799"/>
      <c r="AA125" s="799"/>
      <c r="AB125" s="799"/>
      <c r="AC125" s="799"/>
      <c r="AD125" s="799"/>
      <c r="AE125" s="799"/>
      <c r="AF125" s="799"/>
      <c r="AG125" s="799"/>
      <c r="AH125" s="839"/>
      <c r="AI125" s="839"/>
      <c r="AJ125" s="839"/>
      <c r="AK125" s="839"/>
      <c r="AL125" s="839"/>
    </row>
    <row r="126" spans="1:38" s="781" customFormat="1" ht="15" customHeight="1">
      <c r="A126" s="778"/>
      <c r="B126" s="779"/>
      <c r="C126" s="778"/>
      <c r="D126" s="774"/>
      <c r="E126" s="774"/>
      <c r="F126" s="774"/>
      <c r="G126" s="774"/>
      <c r="H126" s="774"/>
      <c r="I126" s="774"/>
      <c r="J126" s="774"/>
      <c r="K126" s="774"/>
      <c r="L126" s="774"/>
      <c r="M126" s="774"/>
      <c r="N126" s="774"/>
      <c r="O126" s="774"/>
      <c r="P126" s="777"/>
      <c r="Q126" s="777"/>
      <c r="R126" s="777"/>
      <c r="S126" s="774"/>
      <c r="T126" s="774"/>
      <c r="U126" s="774"/>
      <c r="V126" s="774"/>
      <c r="W126" s="1134"/>
      <c r="X126" s="1134"/>
      <c r="Y126" s="799"/>
      <c r="Z126" s="799"/>
      <c r="AA126" s="799"/>
      <c r="AB126" s="799"/>
      <c r="AC126" s="799"/>
      <c r="AD126" s="799"/>
      <c r="AE126" s="799"/>
      <c r="AF126" s="799"/>
      <c r="AG126" s="799"/>
      <c r="AH126" s="839"/>
      <c r="AI126" s="839"/>
      <c r="AJ126" s="839"/>
      <c r="AK126" s="839"/>
      <c r="AL126" s="839"/>
    </row>
    <row r="127" spans="1:38" s="781" customFormat="1" ht="15" customHeight="1">
      <c r="A127" s="778"/>
      <c r="B127" s="779"/>
      <c r="C127" s="778"/>
      <c r="D127" s="774"/>
      <c r="E127" s="774"/>
      <c r="F127" s="774"/>
      <c r="G127" s="774"/>
      <c r="H127" s="774"/>
      <c r="I127" s="774"/>
      <c r="J127" s="774"/>
      <c r="K127" s="774"/>
      <c r="L127" s="774"/>
      <c r="M127" s="774"/>
      <c r="N127" s="774"/>
      <c r="O127" s="774"/>
      <c r="P127" s="777"/>
      <c r="Q127" s="777"/>
      <c r="R127" s="777"/>
      <c r="S127" s="774"/>
      <c r="T127" s="774"/>
      <c r="U127" s="774"/>
      <c r="V127" s="774"/>
      <c r="W127" s="1134"/>
      <c r="X127" s="1134"/>
      <c r="Y127" s="799"/>
      <c r="Z127" s="799"/>
      <c r="AA127" s="799"/>
      <c r="AB127" s="799"/>
      <c r="AC127" s="799"/>
      <c r="AD127" s="799"/>
      <c r="AE127" s="799"/>
      <c r="AF127" s="799"/>
      <c r="AG127" s="799"/>
      <c r="AH127" s="839"/>
      <c r="AI127" s="839"/>
      <c r="AJ127" s="839"/>
      <c r="AK127" s="839"/>
      <c r="AL127" s="839"/>
    </row>
    <row r="128" spans="1:38" s="781" customFormat="1" ht="15" customHeight="1">
      <c r="A128" s="778"/>
      <c r="B128" s="779"/>
      <c r="C128" s="778"/>
      <c r="D128" s="774"/>
      <c r="E128" s="774"/>
      <c r="F128" s="774"/>
      <c r="G128" s="774"/>
      <c r="H128" s="774"/>
      <c r="I128" s="774"/>
      <c r="J128" s="774"/>
      <c r="K128" s="774"/>
      <c r="L128" s="774"/>
      <c r="M128" s="774"/>
      <c r="N128" s="774"/>
      <c r="O128" s="774"/>
      <c r="P128" s="777"/>
      <c r="Q128" s="777"/>
      <c r="R128" s="777"/>
      <c r="S128" s="774"/>
      <c r="T128" s="774"/>
      <c r="U128" s="774"/>
      <c r="V128" s="774"/>
      <c r="W128" s="1134"/>
      <c r="X128" s="1134"/>
      <c r="Y128" s="799"/>
      <c r="Z128" s="799"/>
      <c r="AA128" s="799"/>
      <c r="AB128" s="799"/>
      <c r="AC128" s="799"/>
      <c r="AD128" s="799"/>
      <c r="AE128" s="799"/>
      <c r="AF128" s="799"/>
      <c r="AG128" s="799"/>
      <c r="AH128" s="839"/>
      <c r="AI128" s="839"/>
      <c r="AJ128" s="839"/>
      <c r="AK128" s="839"/>
      <c r="AL128" s="839"/>
    </row>
    <row r="129" spans="1:38" s="781" customFormat="1" ht="15" customHeight="1">
      <c r="A129" s="778"/>
      <c r="B129" s="779"/>
      <c r="C129" s="778"/>
      <c r="D129" s="774"/>
      <c r="E129" s="774"/>
      <c r="F129" s="774"/>
      <c r="G129" s="774"/>
      <c r="H129" s="774"/>
      <c r="I129" s="774"/>
      <c r="J129" s="774"/>
      <c r="K129" s="774"/>
      <c r="L129" s="774"/>
      <c r="M129" s="774"/>
      <c r="N129" s="774"/>
      <c r="O129" s="774"/>
      <c r="P129" s="777"/>
      <c r="Q129" s="777"/>
      <c r="R129" s="777"/>
      <c r="S129" s="774"/>
      <c r="T129" s="774"/>
      <c r="U129" s="774"/>
      <c r="V129" s="774"/>
      <c r="W129" s="1134"/>
      <c r="X129" s="1134"/>
      <c r="Y129" s="799"/>
      <c r="Z129" s="799"/>
      <c r="AA129" s="799"/>
      <c r="AB129" s="799"/>
      <c r="AC129" s="799"/>
      <c r="AD129" s="799"/>
      <c r="AE129" s="799"/>
      <c r="AF129" s="799"/>
      <c r="AG129" s="799"/>
      <c r="AH129" s="839"/>
      <c r="AI129" s="839"/>
      <c r="AJ129" s="839"/>
      <c r="AK129" s="839"/>
      <c r="AL129" s="839"/>
    </row>
    <row r="130" spans="1:38" s="781" customFormat="1" ht="15" customHeight="1">
      <c r="A130" s="778"/>
      <c r="B130" s="779"/>
      <c r="C130" s="778"/>
      <c r="D130" s="774"/>
      <c r="E130" s="774"/>
      <c r="F130" s="774"/>
      <c r="G130" s="774"/>
      <c r="H130" s="774"/>
      <c r="I130" s="774"/>
      <c r="J130" s="774"/>
      <c r="K130" s="774"/>
      <c r="L130" s="774"/>
      <c r="M130" s="774"/>
      <c r="N130" s="774"/>
      <c r="O130" s="774"/>
      <c r="P130" s="777"/>
      <c r="Q130" s="777"/>
      <c r="R130" s="777"/>
      <c r="S130" s="774"/>
      <c r="T130" s="774"/>
      <c r="U130" s="774"/>
      <c r="V130" s="774"/>
      <c r="W130" s="1134"/>
      <c r="X130" s="1134"/>
      <c r="Y130" s="799"/>
      <c r="Z130" s="799"/>
      <c r="AA130" s="799"/>
      <c r="AB130" s="799"/>
      <c r="AC130" s="799"/>
      <c r="AD130" s="799"/>
      <c r="AE130" s="799"/>
      <c r="AF130" s="799"/>
      <c r="AG130" s="799"/>
      <c r="AH130" s="839"/>
      <c r="AI130" s="839"/>
      <c r="AJ130" s="839"/>
      <c r="AK130" s="839"/>
      <c r="AL130" s="839"/>
    </row>
    <row r="131" spans="1:38" s="781" customFormat="1" ht="15" customHeight="1">
      <c r="A131" s="778"/>
      <c r="B131" s="779"/>
      <c r="C131" s="778"/>
      <c r="D131" s="774"/>
      <c r="E131" s="774"/>
      <c r="F131" s="774"/>
      <c r="G131" s="774"/>
      <c r="H131" s="774"/>
      <c r="I131" s="774"/>
      <c r="J131" s="774"/>
      <c r="K131" s="774"/>
      <c r="L131" s="774"/>
      <c r="M131" s="774"/>
      <c r="N131" s="774"/>
      <c r="O131" s="774"/>
      <c r="P131" s="777"/>
      <c r="Q131" s="777"/>
      <c r="R131" s="777"/>
      <c r="S131" s="774"/>
      <c r="T131" s="774"/>
      <c r="U131" s="774"/>
      <c r="V131" s="774"/>
      <c r="W131" s="1134"/>
      <c r="X131" s="1134"/>
      <c r="Y131" s="799"/>
      <c r="Z131" s="799"/>
      <c r="AA131" s="799"/>
      <c r="AB131" s="799"/>
      <c r="AC131" s="799"/>
      <c r="AD131" s="799"/>
      <c r="AE131" s="799"/>
      <c r="AF131" s="799"/>
      <c r="AG131" s="799"/>
      <c r="AH131" s="839"/>
      <c r="AI131" s="839"/>
      <c r="AJ131" s="839"/>
      <c r="AK131" s="839"/>
      <c r="AL131" s="839"/>
    </row>
    <row r="132" spans="1:38" s="781" customFormat="1" ht="15" customHeight="1">
      <c r="A132" s="778"/>
      <c r="B132" s="779"/>
      <c r="C132" s="778"/>
      <c r="D132" s="774"/>
      <c r="E132" s="774"/>
      <c r="F132" s="774"/>
      <c r="G132" s="774"/>
      <c r="H132" s="774"/>
      <c r="I132" s="774"/>
      <c r="J132" s="774"/>
      <c r="K132" s="774"/>
      <c r="L132" s="774"/>
      <c r="M132" s="774"/>
      <c r="N132" s="774"/>
      <c r="O132" s="774"/>
      <c r="P132" s="777"/>
      <c r="Q132" s="777"/>
      <c r="R132" s="777"/>
      <c r="S132" s="774"/>
      <c r="T132" s="774"/>
      <c r="U132" s="774"/>
      <c r="V132" s="774"/>
      <c r="W132" s="1134"/>
      <c r="X132" s="1134"/>
      <c r="Y132" s="799"/>
      <c r="Z132" s="799"/>
      <c r="AA132" s="799"/>
      <c r="AB132" s="799"/>
      <c r="AC132" s="799"/>
      <c r="AD132" s="799"/>
      <c r="AE132" s="799"/>
      <c r="AF132" s="799"/>
      <c r="AG132" s="799"/>
      <c r="AH132" s="839"/>
      <c r="AI132" s="839"/>
      <c r="AJ132" s="839"/>
      <c r="AK132" s="839"/>
      <c r="AL132" s="839"/>
    </row>
    <row r="133" spans="1:38" s="781" customFormat="1" ht="15" customHeight="1">
      <c r="A133" s="778"/>
      <c r="B133" s="779"/>
      <c r="C133" s="778"/>
      <c r="D133" s="774"/>
      <c r="E133" s="774"/>
      <c r="F133" s="774"/>
      <c r="G133" s="774"/>
      <c r="H133" s="774"/>
      <c r="I133" s="774"/>
      <c r="J133" s="774"/>
      <c r="K133" s="774"/>
      <c r="L133" s="774"/>
      <c r="M133" s="774"/>
      <c r="N133" s="774"/>
      <c r="O133" s="774"/>
      <c r="P133" s="777"/>
      <c r="Q133" s="777"/>
      <c r="R133" s="777"/>
      <c r="S133" s="774"/>
      <c r="T133" s="774"/>
      <c r="U133" s="774"/>
      <c r="V133" s="774"/>
      <c r="W133" s="1134"/>
      <c r="X133" s="1134"/>
      <c r="Y133" s="799"/>
      <c r="Z133" s="799"/>
      <c r="AA133" s="799"/>
      <c r="AB133" s="799"/>
      <c r="AC133" s="799"/>
      <c r="AD133" s="799"/>
      <c r="AE133" s="799"/>
      <c r="AF133" s="799"/>
      <c r="AG133" s="799"/>
      <c r="AH133" s="839"/>
      <c r="AI133" s="839"/>
      <c r="AJ133" s="839"/>
      <c r="AK133" s="839"/>
      <c r="AL133" s="839"/>
    </row>
    <row r="134" spans="1:38" s="781" customFormat="1" ht="15" customHeight="1">
      <c r="A134" s="778"/>
      <c r="B134" s="779"/>
      <c r="C134" s="778"/>
      <c r="D134" s="774"/>
      <c r="E134" s="774"/>
      <c r="F134" s="774"/>
      <c r="G134" s="774"/>
      <c r="H134" s="774"/>
      <c r="I134" s="774"/>
      <c r="J134" s="774"/>
      <c r="K134" s="774"/>
      <c r="L134" s="774"/>
      <c r="M134" s="774"/>
      <c r="N134" s="774"/>
      <c r="O134" s="774"/>
      <c r="P134" s="777"/>
      <c r="Q134" s="777"/>
      <c r="R134" s="777"/>
      <c r="S134" s="774"/>
      <c r="T134" s="774"/>
      <c r="U134" s="774"/>
      <c r="V134" s="774"/>
      <c r="W134" s="1134"/>
      <c r="X134" s="1134"/>
      <c r="Y134" s="799"/>
      <c r="Z134" s="799"/>
      <c r="AA134" s="799"/>
      <c r="AB134" s="799"/>
      <c r="AC134" s="799"/>
      <c r="AD134" s="799"/>
      <c r="AE134" s="799"/>
      <c r="AF134" s="799"/>
      <c r="AG134" s="799"/>
      <c r="AH134" s="839"/>
      <c r="AI134" s="839"/>
      <c r="AJ134" s="839"/>
      <c r="AK134" s="839"/>
      <c r="AL134" s="839"/>
    </row>
    <row r="135" spans="1:38" s="781" customFormat="1" ht="15" customHeight="1">
      <c r="A135" s="778"/>
      <c r="B135" s="779"/>
      <c r="C135" s="778"/>
      <c r="D135" s="774"/>
      <c r="E135" s="774"/>
      <c r="F135" s="774"/>
      <c r="G135" s="774"/>
      <c r="H135" s="774"/>
      <c r="I135" s="774"/>
      <c r="J135" s="774"/>
      <c r="K135" s="774"/>
      <c r="L135" s="774"/>
      <c r="M135" s="774"/>
      <c r="N135" s="774"/>
      <c r="O135" s="774"/>
      <c r="P135" s="777"/>
      <c r="Q135" s="777"/>
      <c r="R135" s="777"/>
      <c r="S135" s="774"/>
      <c r="T135" s="774"/>
      <c r="U135" s="774"/>
      <c r="V135" s="774"/>
      <c r="W135" s="1134"/>
      <c r="X135" s="1134"/>
      <c r="Y135" s="799"/>
      <c r="Z135" s="799"/>
      <c r="AA135" s="799"/>
      <c r="AB135" s="799"/>
      <c r="AC135" s="799"/>
      <c r="AD135" s="799"/>
      <c r="AE135" s="799"/>
      <c r="AF135" s="799"/>
      <c r="AG135" s="799"/>
      <c r="AH135" s="839"/>
      <c r="AI135" s="839"/>
      <c r="AJ135" s="839"/>
      <c r="AK135" s="839"/>
      <c r="AL135" s="839"/>
    </row>
    <row r="136" spans="1:38" s="781" customFormat="1" ht="15" customHeight="1">
      <c r="A136" s="778"/>
      <c r="B136" s="779"/>
      <c r="C136" s="778"/>
      <c r="D136" s="774"/>
      <c r="E136" s="774"/>
      <c r="F136" s="774"/>
      <c r="G136" s="774"/>
      <c r="H136" s="774"/>
      <c r="I136" s="774"/>
      <c r="J136" s="774"/>
      <c r="K136" s="774"/>
      <c r="L136" s="774"/>
      <c r="M136" s="774"/>
      <c r="N136" s="774"/>
      <c r="O136" s="774"/>
      <c r="P136" s="777"/>
      <c r="Q136" s="777"/>
      <c r="R136" s="777"/>
      <c r="S136" s="774"/>
      <c r="T136" s="774"/>
      <c r="U136" s="774"/>
      <c r="V136" s="774"/>
      <c r="W136" s="1134"/>
      <c r="X136" s="1134"/>
      <c r="AH136" s="839"/>
      <c r="AI136" s="839"/>
      <c r="AJ136" s="839"/>
      <c r="AK136" s="839"/>
      <c r="AL136" s="839"/>
    </row>
    <row r="137" spans="1:38" s="781" customFormat="1" ht="15" customHeight="1">
      <c r="A137" s="778"/>
      <c r="B137" s="779"/>
      <c r="C137" s="778"/>
      <c r="D137" s="783"/>
      <c r="E137" s="783"/>
      <c r="F137" s="783"/>
      <c r="G137" s="783"/>
      <c r="H137" s="783"/>
      <c r="I137" s="783"/>
      <c r="J137" s="783"/>
      <c r="K137" s="783"/>
      <c r="L137" s="783"/>
      <c r="M137" s="783"/>
      <c r="N137" s="783"/>
      <c r="O137" s="783"/>
      <c r="P137" s="777"/>
      <c r="Q137" s="777"/>
      <c r="R137" s="777"/>
      <c r="S137" s="774"/>
      <c r="T137" s="774"/>
      <c r="U137" s="774"/>
      <c r="V137" s="774"/>
      <c r="W137" s="1134"/>
      <c r="X137" s="1134"/>
      <c r="AH137" s="839"/>
      <c r="AI137" s="839"/>
      <c r="AJ137" s="839"/>
      <c r="AK137" s="839"/>
      <c r="AL137" s="839"/>
    </row>
    <row r="138" spans="1:38" s="781" customFormat="1" ht="15" customHeight="1">
      <c r="A138" s="778"/>
      <c r="B138" s="779"/>
      <c r="C138" s="778"/>
      <c r="D138" s="776"/>
      <c r="E138" s="776"/>
      <c r="F138" s="776"/>
      <c r="G138" s="776"/>
      <c r="H138" s="776"/>
      <c r="I138" s="776"/>
      <c r="J138" s="776"/>
      <c r="K138" s="776"/>
      <c r="L138" s="780"/>
      <c r="M138" s="780"/>
      <c r="N138" s="776"/>
      <c r="O138" s="777"/>
      <c r="P138" s="777"/>
      <c r="Q138" s="777"/>
      <c r="R138" s="777"/>
      <c r="S138" s="774"/>
      <c r="T138" s="774"/>
      <c r="U138" s="774"/>
      <c r="V138" s="774"/>
      <c r="W138" s="1134"/>
      <c r="X138" s="1134"/>
      <c r="AH138" s="839"/>
      <c r="AI138" s="839"/>
      <c r="AJ138" s="839"/>
      <c r="AK138" s="839"/>
      <c r="AL138" s="839"/>
    </row>
    <row r="139" spans="1:38" s="781" customFormat="1" ht="15" customHeight="1">
      <c r="A139" s="778"/>
      <c r="B139" s="779"/>
      <c r="C139" s="778"/>
      <c r="D139" s="776"/>
      <c r="E139" s="776"/>
      <c r="F139" s="776"/>
      <c r="G139" s="776"/>
      <c r="H139" s="776"/>
      <c r="I139" s="776"/>
      <c r="J139" s="776"/>
      <c r="K139" s="776"/>
      <c r="L139" s="780"/>
      <c r="M139" s="780"/>
      <c r="N139" s="776"/>
      <c r="O139" s="777"/>
      <c r="P139" s="777"/>
      <c r="Q139" s="777"/>
      <c r="R139" s="777"/>
      <c r="S139" s="774"/>
      <c r="T139" s="774"/>
      <c r="U139" s="774"/>
      <c r="V139" s="774"/>
      <c r="W139" s="1134"/>
      <c r="X139" s="1134"/>
      <c r="Y139" s="839"/>
      <c r="Z139" s="839"/>
      <c r="AA139" s="839"/>
      <c r="AB139" s="839"/>
      <c r="AC139" s="839"/>
      <c r="AD139" s="839"/>
      <c r="AE139" s="839"/>
      <c r="AF139" s="839"/>
      <c r="AG139" s="839"/>
      <c r="AH139" s="839"/>
      <c r="AI139" s="839"/>
      <c r="AJ139" s="839"/>
      <c r="AK139" s="839"/>
      <c r="AL139" s="839"/>
    </row>
    <row r="140" spans="1:38">
      <c r="C140" s="100"/>
    </row>
    <row r="141" spans="1:38">
      <c r="C141" s="100"/>
    </row>
    <row r="142" spans="1:38">
      <c r="C142" s="100"/>
    </row>
    <row r="143" spans="1:38">
      <c r="C143" s="100"/>
    </row>
    <row r="144" spans="1:38">
      <c r="C144" s="100"/>
    </row>
    <row r="145" spans="3:3">
      <c r="C145" s="100"/>
    </row>
    <row r="146" spans="3:3">
      <c r="C146" s="100"/>
    </row>
    <row r="147" spans="3:3">
      <c r="C147" s="100"/>
    </row>
    <row r="148" spans="3:3">
      <c r="C148" s="100"/>
    </row>
    <row r="149" spans="3:3">
      <c r="C149" s="100"/>
    </row>
    <row r="150" spans="3:3">
      <c r="C150" s="100"/>
    </row>
    <row r="151" spans="3:3">
      <c r="C151" s="100"/>
    </row>
    <row r="152" spans="3:3">
      <c r="C152" s="100"/>
    </row>
    <row r="153" spans="3:3">
      <c r="C153" s="100"/>
    </row>
    <row r="154" spans="3:3">
      <c r="C154" s="100"/>
    </row>
    <row r="155" spans="3:3">
      <c r="C155" s="100"/>
    </row>
    <row r="156" spans="3:3">
      <c r="C156" s="100"/>
    </row>
    <row r="157" spans="3:3">
      <c r="C157" s="100"/>
    </row>
    <row r="158" spans="3:3">
      <c r="C158" s="100"/>
    </row>
    <row r="159" spans="3:3">
      <c r="C159" s="100"/>
    </row>
    <row r="160" spans="3:3">
      <c r="C160" s="100"/>
    </row>
    <row r="161" spans="3:3">
      <c r="C161" s="100"/>
    </row>
    <row r="162" spans="3:3">
      <c r="C162" s="100"/>
    </row>
    <row r="163" spans="3:3">
      <c r="C163" s="100"/>
    </row>
    <row r="164" spans="3:3">
      <c r="C164" s="100"/>
    </row>
    <row r="165" spans="3:3">
      <c r="C165" s="100"/>
    </row>
    <row r="166" spans="3:3">
      <c r="C166" s="100"/>
    </row>
    <row r="167" spans="3:3">
      <c r="C167" s="100"/>
    </row>
    <row r="168" spans="3:3">
      <c r="C168" s="100"/>
    </row>
    <row r="169" spans="3:3">
      <c r="C169" s="100"/>
    </row>
    <row r="170" spans="3:3">
      <c r="C170" s="100"/>
    </row>
    <row r="171" spans="3:3">
      <c r="C171" s="100"/>
    </row>
    <row r="172" spans="3:3">
      <c r="C172" s="100"/>
    </row>
    <row r="173" spans="3:3">
      <c r="C173" s="100"/>
    </row>
    <row r="174" spans="3:3">
      <c r="C174" s="100"/>
    </row>
    <row r="175" spans="3:3">
      <c r="C175" s="100"/>
    </row>
    <row r="176" spans="3:3">
      <c r="C176" s="100"/>
    </row>
    <row r="177" spans="3:3">
      <c r="C177" s="100"/>
    </row>
    <row r="178" spans="3:3">
      <c r="C178" s="100"/>
    </row>
    <row r="179" spans="3:3">
      <c r="C179" s="100"/>
    </row>
    <row r="180" spans="3:3">
      <c r="C180" s="100"/>
    </row>
    <row r="181" spans="3:3">
      <c r="C181" s="100"/>
    </row>
    <row r="182" spans="3:3">
      <c r="C182" s="100"/>
    </row>
    <row r="183" spans="3:3">
      <c r="C183" s="100"/>
    </row>
    <row r="184" spans="3:3">
      <c r="C184" s="100"/>
    </row>
    <row r="185" spans="3:3">
      <c r="C185" s="100"/>
    </row>
    <row r="186" spans="3:3">
      <c r="C186" s="100"/>
    </row>
    <row r="187" spans="3:3">
      <c r="C187" s="100"/>
    </row>
    <row r="188" spans="3:3">
      <c r="C188" s="100"/>
    </row>
    <row r="189" spans="3:3">
      <c r="C189" s="100"/>
    </row>
    <row r="190" spans="3:3">
      <c r="C190" s="100"/>
    </row>
    <row r="191" spans="3:3">
      <c r="C191" s="100"/>
    </row>
    <row r="192" spans="3:3">
      <c r="C192" s="100"/>
    </row>
    <row r="193" spans="3:3">
      <c r="C193" s="100"/>
    </row>
    <row r="194" spans="3:3">
      <c r="C194" s="100"/>
    </row>
    <row r="195" spans="3:3">
      <c r="C195" s="100"/>
    </row>
    <row r="196" spans="3:3">
      <c r="C196" s="100"/>
    </row>
    <row r="197" spans="3:3">
      <c r="C197" s="100"/>
    </row>
    <row r="198" spans="3:3">
      <c r="C198" s="100"/>
    </row>
    <row r="199" spans="3:3">
      <c r="C199" s="100"/>
    </row>
    <row r="200" spans="3:3">
      <c r="C200" s="100"/>
    </row>
    <row r="201" spans="3:3">
      <c r="C201" s="100"/>
    </row>
    <row r="202" spans="3:3">
      <c r="C202" s="100"/>
    </row>
    <row r="203" spans="3:3">
      <c r="C203" s="100"/>
    </row>
    <row r="204" spans="3:3">
      <c r="C204" s="100"/>
    </row>
    <row r="205" spans="3:3">
      <c r="C205" s="100"/>
    </row>
    <row r="206" spans="3:3">
      <c r="C206" s="100"/>
    </row>
    <row r="207" spans="3:3">
      <c r="C207" s="100"/>
    </row>
    <row r="208" spans="3:3">
      <c r="C208" s="100"/>
    </row>
    <row r="209" spans="3:3">
      <c r="C209" s="100"/>
    </row>
    <row r="210" spans="3:3">
      <c r="C210" s="100"/>
    </row>
    <row r="211" spans="3:3">
      <c r="C211" s="100"/>
    </row>
    <row r="212" spans="3:3">
      <c r="C212" s="100"/>
    </row>
    <row r="213" spans="3:3">
      <c r="C213" s="100"/>
    </row>
    <row r="214" spans="3:3">
      <c r="C214" s="100"/>
    </row>
    <row r="215" spans="3:3">
      <c r="C215" s="100"/>
    </row>
    <row r="216" spans="3:3">
      <c r="C216" s="100"/>
    </row>
    <row r="217" spans="3:3">
      <c r="C217" s="100"/>
    </row>
    <row r="218" spans="3:3">
      <c r="C218" s="100"/>
    </row>
    <row r="219" spans="3:3">
      <c r="C219" s="100"/>
    </row>
    <row r="220" spans="3:3">
      <c r="C220" s="100"/>
    </row>
    <row r="221" spans="3:3">
      <c r="C221" s="100"/>
    </row>
    <row r="222" spans="3:3">
      <c r="C222" s="100"/>
    </row>
    <row r="223" spans="3:3">
      <c r="C223" s="100"/>
    </row>
    <row r="224" spans="3:3">
      <c r="C224" s="100"/>
    </row>
    <row r="225" spans="3:3">
      <c r="C225" s="100"/>
    </row>
    <row r="226" spans="3:3">
      <c r="C226" s="100"/>
    </row>
    <row r="227" spans="3:3">
      <c r="C227" s="100"/>
    </row>
    <row r="228" spans="3:3">
      <c r="C228" s="100"/>
    </row>
    <row r="229" spans="3:3">
      <c r="C229" s="100"/>
    </row>
    <row r="230" spans="3:3">
      <c r="C230" s="100"/>
    </row>
    <row r="231" spans="3:3">
      <c r="C231" s="100"/>
    </row>
    <row r="232" spans="3:3">
      <c r="C232" s="100"/>
    </row>
    <row r="233" spans="3:3">
      <c r="C233" s="100"/>
    </row>
    <row r="234" spans="3:3">
      <c r="C234" s="100"/>
    </row>
    <row r="235" spans="3:3">
      <c r="C235" s="100"/>
    </row>
    <row r="236" spans="3:3">
      <c r="C236" s="100"/>
    </row>
    <row r="237" spans="3:3">
      <c r="C237" s="100"/>
    </row>
    <row r="238" spans="3:3">
      <c r="C238" s="100"/>
    </row>
    <row r="239" spans="3:3">
      <c r="C239" s="100"/>
    </row>
    <row r="240" spans="3:3">
      <c r="C240" s="100"/>
    </row>
    <row r="241" spans="3:3">
      <c r="C241" s="100"/>
    </row>
    <row r="242" spans="3:3">
      <c r="C242" s="100"/>
    </row>
    <row r="243" spans="3:3">
      <c r="C243" s="100"/>
    </row>
    <row r="244" spans="3:3">
      <c r="C244" s="100"/>
    </row>
    <row r="245" spans="3:3">
      <c r="C245" s="100"/>
    </row>
    <row r="246" spans="3:3">
      <c r="C246" s="100"/>
    </row>
    <row r="247" spans="3:3">
      <c r="C247" s="100"/>
    </row>
    <row r="248" spans="3:3">
      <c r="C248" s="100"/>
    </row>
    <row r="249" spans="3:3">
      <c r="C249" s="100"/>
    </row>
    <row r="250" spans="3:3">
      <c r="C250" s="100"/>
    </row>
    <row r="251" spans="3:3">
      <c r="C251" s="100"/>
    </row>
    <row r="252" spans="3:3">
      <c r="C252" s="100"/>
    </row>
    <row r="253" spans="3:3">
      <c r="C253" s="100"/>
    </row>
    <row r="254" spans="3:3">
      <c r="C254" s="100"/>
    </row>
    <row r="255" spans="3:3">
      <c r="C255" s="100"/>
    </row>
    <row r="256" spans="3:3">
      <c r="C256" s="100"/>
    </row>
    <row r="257" spans="3:3">
      <c r="C257" s="100"/>
    </row>
    <row r="258" spans="3:3">
      <c r="C258" s="100"/>
    </row>
    <row r="259" spans="3:3">
      <c r="C259" s="100"/>
    </row>
    <row r="260" spans="3:3">
      <c r="C260" s="100"/>
    </row>
    <row r="261" spans="3:3">
      <c r="C261" s="100"/>
    </row>
    <row r="262" spans="3:3">
      <c r="C262" s="100"/>
    </row>
    <row r="263" spans="3:3">
      <c r="C263" s="100"/>
    </row>
    <row r="264" spans="3:3">
      <c r="C264" s="100"/>
    </row>
    <row r="265" spans="3:3">
      <c r="C265" s="100"/>
    </row>
    <row r="266" spans="3:3">
      <c r="C266" s="100"/>
    </row>
    <row r="267" spans="3:3">
      <c r="C267" s="100"/>
    </row>
    <row r="268" spans="3:3">
      <c r="C268" s="100"/>
    </row>
    <row r="269" spans="3:3">
      <c r="C269" s="100"/>
    </row>
    <row r="270" spans="3:3">
      <c r="C270" s="100"/>
    </row>
    <row r="271" spans="3:3">
      <c r="C271" s="100"/>
    </row>
    <row r="272" spans="3:3">
      <c r="C272" s="100"/>
    </row>
    <row r="273" spans="3:3">
      <c r="C273" s="100"/>
    </row>
    <row r="274" spans="3:3">
      <c r="C274" s="100"/>
    </row>
    <row r="275" spans="3:3">
      <c r="C275" s="100"/>
    </row>
    <row r="276" spans="3:3">
      <c r="C276" s="100"/>
    </row>
    <row r="277" spans="3:3">
      <c r="C277" s="100"/>
    </row>
    <row r="278" spans="3:3">
      <c r="C278" s="100"/>
    </row>
    <row r="279" spans="3:3">
      <c r="C279" s="100"/>
    </row>
    <row r="280" spans="3:3">
      <c r="C280" s="100"/>
    </row>
    <row r="281" spans="3:3">
      <c r="C281" s="100"/>
    </row>
    <row r="282" spans="3:3">
      <c r="C282" s="100"/>
    </row>
    <row r="283" spans="3:3">
      <c r="C283" s="100"/>
    </row>
    <row r="284" spans="3:3">
      <c r="C284" s="100"/>
    </row>
    <row r="285" spans="3:3">
      <c r="C285" s="100"/>
    </row>
    <row r="286" spans="3:3">
      <c r="C286" s="100"/>
    </row>
    <row r="287" spans="3:3">
      <c r="C287" s="100"/>
    </row>
    <row r="288" spans="3:3">
      <c r="C288" s="100"/>
    </row>
    <row r="289" spans="3:3">
      <c r="C289" s="100"/>
    </row>
    <row r="290" spans="3:3">
      <c r="C290" s="100"/>
    </row>
    <row r="291" spans="3:3">
      <c r="C291" s="100"/>
    </row>
    <row r="292" spans="3:3">
      <c r="C292" s="100"/>
    </row>
    <row r="293" spans="3:3">
      <c r="C293" s="100"/>
    </row>
    <row r="294" spans="3:3">
      <c r="C294" s="100"/>
    </row>
    <row r="295" spans="3:3">
      <c r="C295" s="100"/>
    </row>
    <row r="296" spans="3:3">
      <c r="C296" s="100"/>
    </row>
    <row r="297" spans="3:3">
      <c r="C297" s="100"/>
    </row>
    <row r="298" spans="3:3">
      <c r="C298" s="100"/>
    </row>
    <row r="299" spans="3:3">
      <c r="C299" s="100"/>
    </row>
    <row r="300" spans="3:3">
      <c r="C300" s="100"/>
    </row>
    <row r="301" spans="3:3">
      <c r="C301" s="100"/>
    </row>
    <row r="302" spans="3:3">
      <c r="C302" s="100"/>
    </row>
    <row r="303" spans="3:3">
      <c r="C303" s="100"/>
    </row>
    <row r="304" spans="3:3">
      <c r="C304" s="100"/>
    </row>
    <row r="305" spans="3:3">
      <c r="C305" s="100"/>
    </row>
    <row r="306" spans="3:3">
      <c r="C306" s="100"/>
    </row>
    <row r="307" spans="3:3">
      <c r="C307" s="100"/>
    </row>
    <row r="308" spans="3:3">
      <c r="C308" s="100"/>
    </row>
    <row r="309" spans="3:3">
      <c r="C309" s="100"/>
    </row>
    <row r="310" spans="3:3">
      <c r="C310" s="100"/>
    </row>
    <row r="311" spans="3:3">
      <c r="C311" s="100"/>
    </row>
    <row r="312" spans="3:3">
      <c r="C312" s="100"/>
    </row>
    <row r="313" spans="3:3">
      <c r="C313" s="100"/>
    </row>
    <row r="314" spans="3:3">
      <c r="C314" s="100"/>
    </row>
    <row r="315" spans="3:3">
      <c r="C315" s="100"/>
    </row>
    <row r="316" spans="3:3">
      <c r="C316" s="100"/>
    </row>
    <row r="317" spans="3:3">
      <c r="C317" s="100"/>
    </row>
    <row r="318" spans="3:3">
      <c r="C318" s="100"/>
    </row>
    <row r="319" spans="3:3">
      <c r="C319" s="100"/>
    </row>
    <row r="320" spans="3:3">
      <c r="C320" s="100"/>
    </row>
    <row r="321" spans="3:3">
      <c r="C321" s="100"/>
    </row>
    <row r="322" spans="3:3">
      <c r="C322" s="100"/>
    </row>
    <row r="323" spans="3:3">
      <c r="C323" s="100"/>
    </row>
    <row r="324" spans="3:3">
      <c r="C324" s="100"/>
    </row>
    <row r="325" spans="3:3">
      <c r="C325" s="100"/>
    </row>
    <row r="326" spans="3:3">
      <c r="C326" s="100"/>
    </row>
    <row r="327" spans="3:3">
      <c r="C327" s="100"/>
    </row>
    <row r="328" spans="3:3">
      <c r="C328" s="100"/>
    </row>
    <row r="329" spans="3:3">
      <c r="C329" s="100"/>
    </row>
    <row r="330" spans="3:3">
      <c r="C330" s="100"/>
    </row>
    <row r="331" spans="3:3">
      <c r="C331" s="100"/>
    </row>
    <row r="332" spans="3:3">
      <c r="C332" s="100"/>
    </row>
    <row r="333" spans="3:3">
      <c r="C333" s="100"/>
    </row>
    <row r="334" spans="3:3">
      <c r="C334" s="100"/>
    </row>
    <row r="335" spans="3:3">
      <c r="C335" s="100"/>
    </row>
    <row r="336" spans="3:3">
      <c r="C336" s="100"/>
    </row>
    <row r="337" spans="3:3">
      <c r="C337" s="100"/>
    </row>
    <row r="338" spans="3:3">
      <c r="C338" s="100"/>
    </row>
    <row r="339" spans="3:3">
      <c r="C339" s="100"/>
    </row>
    <row r="340" spans="3:3">
      <c r="C340" s="100"/>
    </row>
    <row r="341" spans="3:3">
      <c r="C341" s="100"/>
    </row>
    <row r="342" spans="3:3">
      <c r="C342" s="100"/>
    </row>
    <row r="343" spans="3:3">
      <c r="C343" s="100"/>
    </row>
    <row r="344" spans="3:3">
      <c r="C344" s="100"/>
    </row>
    <row r="345" spans="3:3">
      <c r="C345" s="100"/>
    </row>
    <row r="346" spans="3:3">
      <c r="C346" s="100"/>
    </row>
    <row r="347" spans="3:3">
      <c r="C347" s="100"/>
    </row>
    <row r="348" spans="3:3">
      <c r="C348" s="100"/>
    </row>
    <row r="349" spans="3:3">
      <c r="C349" s="100"/>
    </row>
    <row r="350" spans="3:3">
      <c r="C350" s="100"/>
    </row>
    <row r="351" spans="3:3">
      <c r="C351" s="100"/>
    </row>
    <row r="352" spans="3:3">
      <c r="C352" s="100"/>
    </row>
    <row r="353" spans="3:3">
      <c r="C353" s="100"/>
    </row>
    <row r="354" spans="3:3">
      <c r="C354" s="100"/>
    </row>
    <row r="355" spans="3:3">
      <c r="C355" s="100"/>
    </row>
    <row r="356" spans="3:3">
      <c r="C356" s="100"/>
    </row>
    <row r="357" spans="3:3">
      <c r="C357" s="100"/>
    </row>
    <row r="358" spans="3:3">
      <c r="C358" s="100"/>
    </row>
    <row r="359" spans="3:3">
      <c r="C359" s="100"/>
    </row>
    <row r="360" spans="3:3">
      <c r="C360" s="100"/>
    </row>
    <row r="361" spans="3:3">
      <c r="C361" s="100"/>
    </row>
    <row r="362" spans="3:3">
      <c r="C362" s="100"/>
    </row>
    <row r="363" spans="3:3">
      <c r="C363" s="100"/>
    </row>
    <row r="364" spans="3:3">
      <c r="C364" s="100"/>
    </row>
    <row r="365" spans="3:3">
      <c r="C365" s="100"/>
    </row>
    <row r="366" spans="3:3">
      <c r="C366" s="100"/>
    </row>
    <row r="367" spans="3:3">
      <c r="C367" s="100"/>
    </row>
    <row r="368" spans="3:3">
      <c r="C368" s="100"/>
    </row>
    <row r="369" spans="3:3">
      <c r="C369" s="100"/>
    </row>
    <row r="370" spans="3:3">
      <c r="C370" s="100"/>
    </row>
    <row r="371" spans="3:3">
      <c r="C371" s="100"/>
    </row>
    <row r="372" spans="3:3">
      <c r="C372" s="100"/>
    </row>
    <row r="373" spans="3:3">
      <c r="C373" s="100"/>
    </row>
    <row r="374" spans="3:3">
      <c r="C374" s="100"/>
    </row>
    <row r="375" spans="3:3">
      <c r="C375" s="100"/>
    </row>
    <row r="376" spans="3:3">
      <c r="C376" s="100"/>
    </row>
    <row r="377" spans="3:3">
      <c r="C377" s="100"/>
    </row>
    <row r="378" spans="3:3">
      <c r="C378" s="100"/>
    </row>
    <row r="379" spans="3:3">
      <c r="C379" s="100"/>
    </row>
    <row r="380" spans="3:3">
      <c r="C380" s="100"/>
    </row>
    <row r="381" spans="3:3">
      <c r="C381" s="100"/>
    </row>
    <row r="382" spans="3:3">
      <c r="C382" s="100"/>
    </row>
    <row r="383" spans="3:3">
      <c r="C383" s="100"/>
    </row>
    <row r="384" spans="3:3">
      <c r="C384" s="100"/>
    </row>
    <row r="385" spans="3:3">
      <c r="C385" s="100"/>
    </row>
    <row r="386" spans="3:3">
      <c r="C386" s="100"/>
    </row>
    <row r="387" spans="3:3">
      <c r="C387" s="100"/>
    </row>
    <row r="388" spans="3:3">
      <c r="C388" s="100"/>
    </row>
    <row r="389" spans="3:3">
      <c r="C389" s="100"/>
    </row>
    <row r="390" spans="3:3">
      <c r="C390" s="100"/>
    </row>
    <row r="391" spans="3:3">
      <c r="C391" s="100"/>
    </row>
    <row r="392" spans="3:3">
      <c r="C392" s="100"/>
    </row>
    <row r="393" spans="3:3">
      <c r="C393" s="100"/>
    </row>
    <row r="394" spans="3:3">
      <c r="C394" s="100"/>
    </row>
    <row r="395" spans="3:3">
      <c r="C395" s="100"/>
    </row>
    <row r="396" spans="3:3">
      <c r="C396" s="100"/>
    </row>
    <row r="397" spans="3:3">
      <c r="C397" s="100"/>
    </row>
    <row r="398" spans="3:3">
      <c r="C398" s="100"/>
    </row>
    <row r="399" spans="3:3">
      <c r="C399" s="100"/>
    </row>
    <row r="400" spans="3:3">
      <c r="C400" s="100"/>
    </row>
    <row r="401" spans="3:3">
      <c r="C401" s="100"/>
    </row>
    <row r="402" spans="3:3">
      <c r="C402" s="100"/>
    </row>
    <row r="403" spans="3:3">
      <c r="C403" s="100"/>
    </row>
    <row r="404" spans="3:3">
      <c r="C404" s="100"/>
    </row>
    <row r="405" spans="3:3">
      <c r="C405" s="100"/>
    </row>
    <row r="406" spans="3:3">
      <c r="C406" s="100"/>
    </row>
    <row r="407" spans="3:3">
      <c r="C407" s="100"/>
    </row>
    <row r="408" spans="3:3">
      <c r="C408" s="100"/>
    </row>
    <row r="409" spans="3:3">
      <c r="C409" s="100"/>
    </row>
    <row r="410" spans="3:3">
      <c r="C410" s="100"/>
    </row>
    <row r="411" spans="3:3">
      <c r="C411" s="100"/>
    </row>
    <row r="412" spans="3:3">
      <c r="C412" s="100"/>
    </row>
    <row r="413" spans="3:3">
      <c r="C413" s="100"/>
    </row>
    <row r="414" spans="3:3">
      <c r="C414" s="100"/>
    </row>
    <row r="415" spans="3:3">
      <c r="C415" s="100"/>
    </row>
    <row r="416" spans="3:3">
      <c r="C416" s="100"/>
    </row>
    <row r="417" spans="3:3">
      <c r="C417" s="100"/>
    </row>
    <row r="418" spans="3:3">
      <c r="C418" s="100"/>
    </row>
    <row r="419" spans="3:3">
      <c r="C419" s="100"/>
    </row>
    <row r="420" spans="3:3">
      <c r="C420" s="100"/>
    </row>
    <row r="421" spans="3:3">
      <c r="C421" s="100"/>
    </row>
    <row r="422" spans="3:3">
      <c r="C422" s="100"/>
    </row>
    <row r="423" spans="3:3">
      <c r="C423" s="100"/>
    </row>
    <row r="424" spans="3:3">
      <c r="C424" s="100"/>
    </row>
    <row r="425" spans="3:3">
      <c r="C425" s="100"/>
    </row>
    <row r="426" spans="3:3">
      <c r="C426" s="100"/>
    </row>
    <row r="427" spans="3:3">
      <c r="C427" s="100"/>
    </row>
    <row r="428" spans="3:3">
      <c r="C428" s="100"/>
    </row>
    <row r="429" spans="3:3">
      <c r="C429" s="100"/>
    </row>
    <row r="430" spans="3:3">
      <c r="C430" s="100"/>
    </row>
    <row r="431" spans="3:3">
      <c r="C431" s="100"/>
    </row>
    <row r="432" spans="3:3">
      <c r="C432" s="100"/>
    </row>
    <row r="433" spans="3:3">
      <c r="C433" s="100"/>
    </row>
    <row r="434" spans="3:3">
      <c r="C434" s="100"/>
    </row>
    <row r="435" spans="3:3">
      <c r="C435" s="100"/>
    </row>
    <row r="436" spans="3:3">
      <c r="C436" s="100"/>
    </row>
    <row r="437" spans="3:3">
      <c r="C437" s="100"/>
    </row>
    <row r="438" spans="3:3">
      <c r="C438" s="100"/>
    </row>
    <row r="439" spans="3:3">
      <c r="C439" s="100"/>
    </row>
    <row r="440" spans="3:3">
      <c r="C440" s="100"/>
    </row>
    <row r="441" spans="3:3">
      <c r="C441" s="100"/>
    </row>
    <row r="442" spans="3:3">
      <c r="C442" s="100"/>
    </row>
    <row r="443" spans="3:3">
      <c r="C443" s="100"/>
    </row>
    <row r="444" spans="3:3">
      <c r="C444" s="100"/>
    </row>
    <row r="445" spans="3:3">
      <c r="C445" s="100"/>
    </row>
    <row r="446" spans="3:3">
      <c r="C446" s="100"/>
    </row>
    <row r="447" spans="3:3">
      <c r="C447" s="100"/>
    </row>
    <row r="448" spans="3:3">
      <c r="C448" s="100"/>
    </row>
    <row r="449" spans="3:3">
      <c r="C449" s="100"/>
    </row>
    <row r="450" spans="3:3">
      <c r="C450" s="100"/>
    </row>
    <row r="451" spans="3:3">
      <c r="C451" s="100"/>
    </row>
    <row r="452" spans="3:3">
      <c r="C452" s="100"/>
    </row>
    <row r="453" spans="3:3">
      <c r="C453" s="100"/>
    </row>
    <row r="454" spans="3:3">
      <c r="C454" s="100"/>
    </row>
    <row r="455" spans="3:3">
      <c r="C455" s="100"/>
    </row>
    <row r="456" spans="3:3">
      <c r="C456" s="100"/>
    </row>
    <row r="457" spans="3:3">
      <c r="C457" s="100"/>
    </row>
    <row r="458" spans="3:3">
      <c r="C458" s="100"/>
    </row>
    <row r="459" spans="3:3">
      <c r="C459" s="100"/>
    </row>
    <row r="460" spans="3:3">
      <c r="C460" s="100"/>
    </row>
    <row r="461" spans="3:3">
      <c r="C461" s="100"/>
    </row>
    <row r="462" spans="3:3">
      <c r="C462" s="100"/>
    </row>
    <row r="463" spans="3:3">
      <c r="C463" s="100"/>
    </row>
    <row r="464" spans="3:3">
      <c r="C464" s="100"/>
    </row>
    <row r="465" spans="3:3">
      <c r="C465" s="100"/>
    </row>
    <row r="466" spans="3:3">
      <c r="C466" s="100"/>
    </row>
    <row r="467" spans="3:3">
      <c r="C467" s="100"/>
    </row>
    <row r="468" spans="3:3">
      <c r="C468" s="100"/>
    </row>
    <row r="469" spans="3:3">
      <c r="C469" s="100"/>
    </row>
    <row r="470" spans="3:3">
      <c r="C470" s="100"/>
    </row>
    <row r="471" spans="3:3">
      <c r="C471" s="100"/>
    </row>
    <row r="472" spans="3:3">
      <c r="C472" s="100"/>
    </row>
    <row r="473" spans="3:3">
      <c r="C473" s="100"/>
    </row>
    <row r="474" spans="3:3">
      <c r="C474" s="100"/>
    </row>
    <row r="475" spans="3:3">
      <c r="C475" s="100"/>
    </row>
    <row r="476" spans="3:3">
      <c r="C476" s="100"/>
    </row>
    <row r="477" spans="3:3">
      <c r="C477" s="100"/>
    </row>
    <row r="478" spans="3:3">
      <c r="C478" s="100"/>
    </row>
    <row r="479" spans="3:3">
      <c r="C479" s="100"/>
    </row>
    <row r="480" spans="3:3">
      <c r="C480" s="100"/>
    </row>
    <row r="481" spans="3:3">
      <c r="C481" s="100"/>
    </row>
    <row r="482" spans="3:3">
      <c r="C482" s="100"/>
    </row>
    <row r="483" spans="3:3">
      <c r="C483" s="100"/>
    </row>
    <row r="484" spans="3:3">
      <c r="C484" s="100"/>
    </row>
    <row r="485" spans="3:3">
      <c r="C485" s="100"/>
    </row>
    <row r="486" spans="3:3">
      <c r="C486" s="100"/>
    </row>
    <row r="487" spans="3:3">
      <c r="C487" s="100"/>
    </row>
    <row r="488" spans="3:3">
      <c r="C488" s="100"/>
    </row>
    <row r="489" spans="3:3">
      <c r="C489" s="100"/>
    </row>
    <row r="490" spans="3:3">
      <c r="C490" s="100"/>
    </row>
    <row r="491" spans="3:3">
      <c r="C491" s="100"/>
    </row>
    <row r="492" spans="3:3">
      <c r="C492" s="100"/>
    </row>
    <row r="493" spans="3:3">
      <c r="C493" s="100"/>
    </row>
    <row r="494" spans="3:3">
      <c r="C494" s="100"/>
    </row>
    <row r="495" spans="3:3">
      <c r="C495" s="100"/>
    </row>
    <row r="496" spans="3:3">
      <c r="C496" s="100"/>
    </row>
    <row r="497" spans="3:3">
      <c r="C497" s="100"/>
    </row>
    <row r="498" spans="3:3">
      <c r="C498" s="100"/>
    </row>
    <row r="499" spans="3:3">
      <c r="C499" s="100"/>
    </row>
    <row r="500" spans="3:3">
      <c r="C500" s="100"/>
    </row>
    <row r="501" spans="3:3">
      <c r="C501" s="100"/>
    </row>
    <row r="502" spans="3:3">
      <c r="C502" s="100"/>
    </row>
    <row r="503" spans="3:3">
      <c r="C503" s="100"/>
    </row>
    <row r="504" spans="3:3">
      <c r="C504" s="100"/>
    </row>
    <row r="505" spans="3:3">
      <c r="C505" s="100"/>
    </row>
    <row r="506" spans="3:3">
      <c r="C506" s="100"/>
    </row>
    <row r="507" spans="3:3">
      <c r="C507" s="100"/>
    </row>
    <row r="508" spans="3:3">
      <c r="C508" s="100"/>
    </row>
    <row r="509" spans="3:3">
      <c r="C509" s="100"/>
    </row>
    <row r="510" spans="3:3">
      <c r="C510" s="100"/>
    </row>
    <row r="511" spans="3:3">
      <c r="C511" s="100"/>
    </row>
    <row r="512" spans="3:3">
      <c r="C512" s="100"/>
    </row>
    <row r="513" spans="3:3">
      <c r="C513" s="100"/>
    </row>
    <row r="514" spans="3:3">
      <c r="C514" s="100"/>
    </row>
    <row r="515" spans="3:3">
      <c r="C515" s="100"/>
    </row>
    <row r="516" spans="3:3">
      <c r="C516" s="100"/>
    </row>
    <row r="517" spans="3:3">
      <c r="C517" s="100"/>
    </row>
    <row r="518" spans="3:3">
      <c r="C518" s="100"/>
    </row>
    <row r="519" spans="3:3">
      <c r="C519" s="100"/>
    </row>
    <row r="520" spans="3:3">
      <c r="C520" s="100"/>
    </row>
    <row r="521" spans="3:3">
      <c r="C521" s="100"/>
    </row>
    <row r="522" spans="3:3">
      <c r="C522" s="100"/>
    </row>
    <row r="523" spans="3:3">
      <c r="C523" s="100"/>
    </row>
    <row r="524" spans="3:3">
      <c r="C524" s="100"/>
    </row>
    <row r="525" spans="3:3">
      <c r="C525" s="100"/>
    </row>
    <row r="526" spans="3:3">
      <c r="C526" s="100"/>
    </row>
    <row r="527" spans="3:3">
      <c r="C527" s="100"/>
    </row>
    <row r="528" spans="3:3">
      <c r="C528" s="100"/>
    </row>
    <row r="529" spans="3:3">
      <c r="C529" s="100"/>
    </row>
    <row r="530" spans="3:3">
      <c r="C530" s="100"/>
    </row>
    <row r="531" spans="3:3">
      <c r="C531" s="100"/>
    </row>
    <row r="532" spans="3:3">
      <c r="C532" s="100"/>
    </row>
    <row r="533" spans="3:3">
      <c r="C533" s="100"/>
    </row>
    <row r="534" spans="3:3">
      <c r="C534" s="100"/>
    </row>
    <row r="535" spans="3:3">
      <c r="C535" s="100"/>
    </row>
    <row r="536" spans="3:3">
      <c r="C536" s="100"/>
    </row>
    <row r="537" spans="3:3">
      <c r="C537" s="100"/>
    </row>
    <row r="538" spans="3:3">
      <c r="C538" s="100"/>
    </row>
    <row r="539" spans="3:3">
      <c r="C539" s="100"/>
    </row>
    <row r="540" spans="3:3">
      <c r="C540" s="100"/>
    </row>
    <row r="541" spans="3:3">
      <c r="C541" s="100"/>
    </row>
    <row r="542" spans="3:3">
      <c r="C542" s="100"/>
    </row>
    <row r="543" spans="3:3">
      <c r="C543" s="100"/>
    </row>
    <row r="544" spans="3:3">
      <c r="C544" s="100"/>
    </row>
    <row r="545" spans="3:3">
      <c r="C545" s="100"/>
    </row>
    <row r="546" spans="3:3">
      <c r="C546" s="100"/>
    </row>
    <row r="547" spans="3:3">
      <c r="C547" s="100"/>
    </row>
    <row r="548" spans="3:3">
      <c r="C548" s="100"/>
    </row>
    <row r="549" spans="3:3">
      <c r="C549" s="100"/>
    </row>
    <row r="550" spans="3:3">
      <c r="C550" s="100"/>
    </row>
    <row r="551" spans="3:3">
      <c r="C551" s="100"/>
    </row>
    <row r="552" spans="3:3">
      <c r="C552" s="100"/>
    </row>
    <row r="553" spans="3:3">
      <c r="C553" s="100"/>
    </row>
    <row r="554" spans="3:3">
      <c r="C554" s="100"/>
    </row>
    <row r="555" spans="3:3">
      <c r="C555" s="100"/>
    </row>
    <row r="556" spans="3:3">
      <c r="C556" s="100"/>
    </row>
    <row r="557" spans="3:3">
      <c r="C557" s="100"/>
    </row>
    <row r="558" spans="3:3">
      <c r="C558" s="100"/>
    </row>
    <row r="559" spans="3:3">
      <c r="C559" s="100"/>
    </row>
    <row r="560" spans="3:3">
      <c r="C560" s="100"/>
    </row>
    <row r="561" spans="3:3">
      <c r="C561" s="100"/>
    </row>
    <row r="562" spans="3:3">
      <c r="C562" s="100"/>
    </row>
    <row r="563" spans="3:3">
      <c r="C563" s="100"/>
    </row>
    <row r="564" spans="3:3">
      <c r="C564" s="100"/>
    </row>
    <row r="565" spans="3:3">
      <c r="C565" s="100"/>
    </row>
    <row r="566" spans="3:3">
      <c r="C566" s="100"/>
    </row>
    <row r="567" spans="3:3">
      <c r="C567" s="100"/>
    </row>
    <row r="568" spans="3:3">
      <c r="C568" s="100"/>
    </row>
    <row r="569" spans="3:3">
      <c r="C569" s="100"/>
    </row>
    <row r="570" spans="3:3">
      <c r="C570" s="100"/>
    </row>
    <row r="571" spans="3:3">
      <c r="C571" s="100"/>
    </row>
    <row r="572" spans="3:3">
      <c r="C572" s="100"/>
    </row>
    <row r="573" spans="3:3">
      <c r="C573" s="100"/>
    </row>
    <row r="574" spans="3:3">
      <c r="C574" s="100"/>
    </row>
    <row r="575" spans="3:3">
      <c r="C575" s="100"/>
    </row>
    <row r="576" spans="3:3">
      <c r="C576" s="100"/>
    </row>
    <row r="577" spans="3:3">
      <c r="C577" s="100"/>
    </row>
    <row r="578" spans="3:3">
      <c r="C578" s="100"/>
    </row>
    <row r="579" spans="3:3">
      <c r="C579" s="100"/>
    </row>
    <row r="580" spans="3:3">
      <c r="C580" s="100"/>
    </row>
    <row r="581" spans="3:3">
      <c r="C581" s="100"/>
    </row>
    <row r="582" spans="3:3">
      <c r="C582" s="100"/>
    </row>
    <row r="583" spans="3:3">
      <c r="C583" s="100"/>
    </row>
    <row r="584" spans="3:3">
      <c r="C584" s="100"/>
    </row>
    <row r="585" spans="3:3">
      <c r="C585" s="100"/>
    </row>
    <row r="586" spans="3:3">
      <c r="C586" s="100"/>
    </row>
    <row r="587" spans="3:3">
      <c r="C587" s="100"/>
    </row>
    <row r="588" spans="3:3">
      <c r="C588" s="100"/>
    </row>
    <row r="589" spans="3:3">
      <c r="C589" s="100"/>
    </row>
    <row r="590" spans="3:3">
      <c r="C590" s="100"/>
    </row>
    <row r="591" spans="3:3">
      <c r="C591" s="100"/>
    </row>
    <row r="592" spans="3:3">
      <c r="C592" s="100"/>
    </row>
    <row r="593" spans="3:3">
      <c r="C593" s="100"/>
    </row>
    <row r="594" spans="3:3">
      <c r="C594" s="100"/>
    </row>
    <row r="595" spans="3:3">
      <c r="C595" s="100"/>
    </row>
    <row r="596" spans="3:3">
      <c r="C596" s="100"/>
    </row>
    <row r="597" spans="3:3">
      <c r="C597" s="100"/>
    </row>
    <row r="598" spans="3:3">
      <c r="C598" s="100"/>
    </row>
    <row r="599" spans="3:3">
      <c r="C599" s="100"/>
    </row>
    <row r="600" spans="3:3">
      <c r="C600" s="100"/>
    </row>
    <row r="601" spans="3:3">
      <c r="C601" s="100"/>
    </row>
    <row r="602" spans="3:3">
      <c r="C602" s="100"/>
    </row>
    <row r="603" spans="3:3">
      <c r="C603" s="100"/>
    </row>
    <row r="604" spans="3:3">
      <c r="C604" s="100"/>
    </row>
    <row r="605" spans="3:3">
      <c r="C605" s="100"/>
    </row>
    <row r="606" spans="3:3">
      <c r="C606" s="100"/>
    </row>
    <row r="607" spans="3:3">
      <c r="C607" s="100"/>
    </row>
    <row r="608" spans="3:3">
      <c r="C608" s="100"/>
    </row>
    <row r="609" spans="3:3">
      <c r="C609" s="100"/>
    </row>
    <row r="610" spans="3:3">
      <c r="C610" s="100"/>
    </row>
    <row r="611" spans="3:3">
      <c r="C611" s="100"/>
    </row>
    <row r="612" spans="3:3">
      <c r="C612" s="100"/>
    </row>
    <row r="613" spans="3:3">
      <c r="C613" s="100"/>
    </row>
    <row r="614" spans="3:3">
      <c r="C614" s="100"/>
    </row>
    <row r="615" spans="3:3">
      <c r="C615" s="100"/>
    </row>
    <row r="616" spans="3:3">
      <c r="C616" s="100"/>
    </row>
    <row r="617" spans="3:3">
      <c r="C617" s="100"/>
    </row>
    <row r="618" spans="3:3">
      <c r="C618" s="100"/>
    </row>
    <row r="619" spans="3:3">
      <c r="C619" s="100"/>
    </row>
    <row r="620" spans="3:3">
      <c r="C620" s="100"/>
    </row>
    <row r="621" spans="3:3">
      <c r="C621" s="100"/>
    </row>
    <row r="622" spans="3:3">
      <c r="C622" s="100"/>
    </row>
    <row r="623" spans="3:3">
      <c r="C623" s="100"/>
    </row>
    <row r="624" spans="3:3">
      <c r="C624" s="100"/>
    </row>
    <row r="625" spans="3:3">
      <c r="C625" s="100"/>
    </row>
    <row r="626" spans="3:3">
      <c r="C626" s="100"/>
    </row>
    <row r="627" spans="3:3">
      <c r="C627" s="100"/>
    </row>
    <row r="628" spans="3:3">
      <c r="C628" s="100"/>
    </row>
    <row r="629" spans="3:3">
      <c r="C629" s="100"/>
    </row>
    <row r="630" spans="3:3">
      <c r="C630" s="100"/>
    </row>
    <row r="631" spans="3:3">
      <c r="C631" s="100"/>
    </row>
    <row r="632" spans="3:3">
      <c r="C632" s="100"/>
    </row>
    <row r="633" spans="3:3">
      <c r="C633" s="100"/>
    </row>
    <row r="634" spans="3:3">
      <c r="C634" s="100"/>
    </row>
    <row r="635" spans="3:3">
      <c r="C635" s="100"/>
    </row>
    <row r="636" spans="3:3">
      <c r="C636" s="100"/>
    </row>
    <row r="637" spans="3:3">
      <c r="C637" s="100"/>
    </row>
    <row r="638" spans="3:3">
      <c r="C638" s="100"/>
    </row>
    <row r="639" spans="3:3">
      <c r="C639" s="100"/>
    </row>
    <row r="640" spans="3:3">
      <c r="C640" s="100"/>
    </row>
    <row r="641" spans="3:3">
      <c r="C641" s="100"/>
    </row>
    <row r="642" spans="3:3">
      <c r="C642" s="100"/>
    </row>
    <row r="643" spans="3:3">
      <c r="C643" s="100"/>
    </row>
    <row r="644" spans="3:3">
      <c r="C644" s="100"/>
    </row>
    <row r="645" spans="3:3">
      <c r="C645" s="100"/>
    </row>
    <row r="646" spans="3:3">
      <c r="C646" s="100"/>
    </row>
    <row r="647" spans="3:3">
      <c r="C647" s="100"/>
    </row>
    <row r="648" spans="3:3">
      <c r="C648" s="100"/>
    </row>
    <row r="649" spans="3:3">
      <c r="C649" s="100"/>
    </row>
    <row r="650" spans="3:3">
      <c r="C650" s="100"/>
    </row>
    <row r="651" spans="3:3">
      <c r="C651" s="100"/>
    </row>
    <row r="652" spans="3:3">
      <c r="C652" s="100"/>
    </row>
    <row r="653" spans="3:3">
      <c r="C653" s="100"/>
    </row>
    <row r="654" spans="3:3">
      <c r="C654" s="100"/>
    </row>
    <row r="655" spans="3:3">
      <c r="C655" s="100"/>
    </row>
    <row r="656" spans="3:3">
      <c r="C656" s="100"/>
    </row>
    <row r="657" spans="3:3">
      <c r="C657" s="100"/>
    </row>
    <row r="658" spans="3:3">
      <c r="C658" s="100"/>
    </row>
    <row r="659" spans="3:3">
      <c r="C659" s="100"/>
    </row>
    <row r="660" spans="3:3">
      <c r="C660" s="100"/>
    </row>
    <row r="661" spans="3:3">
      <c r="C661" s="100"/>
    </row>
    <row r="662" spans="3:3">
      <c r="C662" s="100"/>
    </row>
    <row r="663" spans="3:3">
      <c r="C663" s="100"/>
    </row>
    <row r="664" spans="3:3">
      <c r="C664" s="100"/>
    </row>
    <row r="665" spans="3:3">
      <c r="C665" s="100"/>
    </row>
    <row r="666" spans="3:3">
      <c r="C666" s="100"/>
    </row>
    <row r="667" spans="3:3">
      <c r="C667" s="100"/>
    </row>
    <row r="668" spans="3:3">
      <c r="C668" s="100"/>
    </row>
    <row r="669" spans="3:3">
      <c r="C669" s="100"/>
    </row>
    <row r="670" spans="3:3">
      <c r="C670" s="100"/>
    </row>
    <row r="671" spans="3:3">
      <c r="C671" s="100"/>
    </row>
    <row r="672" spans="3:3">
      <c r="C672" s="100"/>
    </row>
    <row r="673" spans="3:3">
      <c r="C673" s="100"/>
    </row>
    <row r="674" spans="3:3">
      <c r="C674" s="100"/>
    </row>
    <row r="675" spans="3:3">
      <c r="C675" s="100"/>
    </row>
    <row r="676" spans="3:3">
      <c r="C676" s="100"/>
    </row>
    <row r="677" spans="3:3">
      <c r="C677" s="100"/>
    </row>
    <row r="678" spans="3:3">
      <c r="C678" s="100"/>
    </row>
    <row r="679" spans="3:3">
      <c r="C679" s="100"/>
    </row>
    <row r="680" spans="3:3">
      <c r="C680" s="100"/>
    </row>
    <row r="681" spans="3:3">
      <c r="C681" s="100"/>
    </row>
    <row r="682" spans="3:3">
      <c r="C682" s="100"/>
    </row>
    <row r="683" spans="3:3">
      <c r="C683" s="100"/>
    </row>
    <row r="684" spans="3:3">
      <c r="C684" s="100"/>
    </row>
    <row r="685" spans="3:3">
      <c r="C685" s="100"/>
    </row>
    <row r="686" spans="3:3">
      <c r="C686" s="100"/>
    </row>
    <row r="687" spans="3:3">
      <c r="C687" s="100"/>
    </row>
    <row r="688" spans="3:3">
      <c r="C688" s="100"/>
    </row>
    <row r="689" spans="3:3">
      <c r="C689" s="100"/>
    </row>
    <row r="690" spans="3:3">
      <c r="C690" s="100"/>
    </row>
    <row r="691" spans="3:3">
      <c r="C691" s="100"/>
    </row>
    <row r="692" spans="3:3">
      <c r="C692" s="100"/>
    </row>
    <row r="693" spans="3:3">
      <c r="C693" s="100"/>
    </row>
    <row r="694" spans="3:3">
      <c r="C694" s="100"/>
    </row>
    <row r="695" spans="3:3">
      <c r="C695" s="100"/>
    </row>
    <row r="696" spans="3:3">
      <c r="C696" s="100"/>
    </row>
    <row r="697" spans="3:3">
      <c r="C697" s="100"/>
    </row>
    <row r="698" spans="3:3">
      <c r="C698" s="100"/>
    </row>
    <row r="699" spans="3:3">
      <c r="C699" s="100"/>
    </row>
    <row r="700" spans="3:3">
      <c r="C700" s="100"/>
    </row>
    <row r="701" spans="3:3">
      <c r="C701" s="100"/>
    </row>
    <row r="702" spans="3:3">
      <c r="C702" s="100"/>
    </row>
    <row r="703" spans="3:3">
      <c r="C703" s="100"/>
    </row>
    <row r="704" spans="3:3">
      <c r="C704" s="100"/>
    </row>
    <row r="705" spans="3:3">
      <c r="C705" s="100"/>
    </row>
    <row r="706" spans="3:3">
      <c r="C706" s="100"/>
    </row>
    <row r="707" spans="3:3">
      <c r="C707" s="100"/>
    </row>
    <row r="708" spans="3:3">
      <c r="C708" s="100"/>
    </row>
    <row r="709" spans="3:3">
      <c r="C709" s="100"/>
    </row>
    <row r="710" spans="3:3">
      <c r="C710" s="100"/>
    </row>
    <row r="711" spans="3:3">
      <c r="C711" s="100"/>
    </row>
    <row r="712" spans="3:3">
      <c r="C712" s="100"/>
    </row>
    <row r="713" spans="3:3">
      <c r="C713" s="100"/>
    </row>
    <row r="714" spans="3:3">
      <c r="C714" s="100"/>
    </row>
    <row r="715" spans="3:3">
      <c r="C715" s="100"/>
    </row>
    <row r="716" spans="3:3">
      <c r="C716" s="100"/>
    </row>
    <row r="717" spans="3:3">
      <c r="C717" s="100"/>
    </row>
    <row r="718" spans="3:3">
      <c r="C718" s="100"/>
    </row>
    <row r="719" spans="3:3">
      <c r="C719" s="100"/>
    </row>
    <row r="720" spans="3:3">
      <c r="C720" s="100"/>
    </row>
    <row r="721" spans="3:3">
      <c r="C721" s="100"/>
    </row>
    <row r="722" spans="3:3">
      <c r="C722" s="100"/>
    </row>
    <row r="723" spans="3:3">
      <c r="C723" s="100"/>
    </row>
    <row r="724" spans="3:3">
      <c r="C724" s="100"/>
    </row>
    <row r="725" spans="3:3">
      <c r="C725" s="100"/>
    </row>
    <row r="726" spans="3:3">
      <c r="C726" s="100"/>
    </row>
    <row r="727" spans="3:3">
      <c r="C727" s="100"/>
    </row>
    <row r="728" spans="3:3">
      <c r="C728" s="100"/>
    </row>
    <row r="729" spans="3:3">
      <c r="C729" s="100"/>
    </row>
    <row r="730" spans="3:3">
      <c r="C730" s="100"/>
    </row>
    <row r="731" spans="3:3">
      <c r="C731" s="100"/>
    </row>
    <row r="732" spans="3:3">
      <c r="C732" s="100"/>
    </row>
    <row r="733" spans="3:3">
      <c r="C733" s="100"/>
    </row>
    <row r="734" spans="3:3">
      <c r="C734" s="100"/>
    </row>
    <row r="735" spans="3:3">
      <c r="C735" s="100"/>
    </row>
    <row r="736" spans="3:3">
      <c r="C736" s="100"/>
    </row>
    <row r="737" spans="3:3">
      <c r="C737" s="100"/>
    </row>
    <row r="738" spans="3:3">
      <c r="C738" s="100"/>
    </row>
    <row r="739" spans="3:3">
      <c r="C739" s="100"/>
    </row>
    <row r="740" spans="3:3">
      <c r="C740" s="100"/>
    </row>
    <row r="741" spans="3:3">
      <c r="C741" s="100"/>
    </row>
    <row r="742" spans="3:3">
      <c r="C742" s="100"/>
    </row>
    <row r="743" spans="3:3">
      <c r="C743" s="100"/>
    </row>
    <row r="744" spans="3:3">
      <c r="C744" s="100"/>
    </row>
    <row r="745" spans="3:3">
      <c r="C745" s="100"/>
    </row>
    <row r="746" spans="3:3">
      <c r="C746" s="100"/>
    </row>
    <row r="747" spans="3:3">
      <c r="C747" s="100"/>
    </row>
    <row r="748" spans="3:3">
      <c r="C748" s="100"/>
    </row>
    <row r="749" spans="3:3">
      <c r="C749" s="100"/>
    </row>
    <row r="750" spans="3:3">
      <c r="C750" s="100"/>
    </row>
    <row r="751" spans="3:3">
      <c r="C751" s="100"/>
    </row>
    <row r="752" spans="3:3">
      <c r="C752" s="100"/>
    </row>
    <row r="753" spans="3:3">
      <c r="C753" s="100"/>
    </row>
    <row r="754" spans="3:3">
      <c r="C754" s="100"/>
    </row>
    <row r="755" spans="3:3">
      <c r="C755" s="100"/>
    </row>
    <row r="756" spans="3:3">
      <c r="C756" s="100"/>
    </row>
    <row r="757" spans="3:3">
      <c r="C757" s="100"/>
    </row>
    <row r="758" spans="3:3">
      <c r="C758" s="100"/>
    </row>
    <row r="759" spans="3:3">
      <c r="C759" s="100"/>
    </row>
    <row r="760" spans="3:3">
      <c r="C760" s="100"/>
    </row>
    <row r="761" spans="3:3">
      <c r="C761" s="100"/>
    </row>
    <row r="762" spans="3:3">
      <c r="C762" s="100"/>
    </row>
    <row r="763" spans="3:3">
      <c r="C763" s="100"/>
    </row>
    <row r="764" spans="3:3">
      <c r="C764" s="100"/>
    </row>
    <row r="765" spans="3:3">
      <c r="C765" s="100"/>
    </row>
    <row r="766" spans="3:3">
      <c r="C766" s="100"/>
    </row>
    <row r="767" spans="3:3">
      <c r="C767" s="100"/>
    </row>
    <row r="768" spans="3:3">
      <c r="C768" s="100"/>
    </row>
    <row r="769" spans="3:3">
      <c r="C769" s="100"/>
    </row>
    <row r="770" spans="3:3">
      <c r="C770" s="100"/>
    </row>
    <row r="771" spans="3:3">
      <c r="C771" s="100"/>
    </row>
    <row r="772" spans="3:3">
      <c r="C772" s="100"/>
    </row>
    <row r="773" spans="3:3">
      <c r="C773" s="100"/>
    </row>
    <row r="774" spans="3:3">
      <c r="C774" s="100"/>
    </row>
    <row r="775" spans="3:3">
      <c r="C775" s="100"/>
    </row>
    <row r="776" spans="3:3">
      <c r="C776" s="100"/>
    </row>
    <row r="777" spans="3:3">
      <c r="C777" s="100"/>
    </row>
    <row r="778" spans="3:3">
      <c r="C778" s="100"/>
    </row>
    <row r="779" spans="3:3">
      <c r="C779" s="100"/>
    </row>
    <row r="780" spans="3:3">
      <c r="C780" s="100"/>
    </row>
    <row r="781" spans="3:3">
      <c r="C781" s="100"/>
    </row>
    <row r="782" spans="3:3">
      <c r="C782" s="100"/>
    </row>
    <row r="783" spans="3:3">
      <c r="C783" s="100"/>
    </row>
    <row r="784" spans="3:3">
      <c r="C784" s="100"/>
    </row>
    <row r="785" spans="3:3">
      <c r="C785" s="100"/>
    </row>
    <row r="786" spans="3:3">
      <c r="C786" s="100"/>
    </row>
    <row r="787" spans="3:3">
      <c r="C787" s="100"/>
    </row>
    <row r="788" spans="3:3">
      <c r="C788" s="100"/>
    </row>
    <row r="789" spans="3:3">
      <c r="C789" s="100"/>
    </row>
    <row r="790" spans="3:3">
      <c r="C790" s="100"/>
    </row>
    <row r="791" spans="3:3">
      <c r="C791" s="100"/>
    </row>
    <row r="792" spans="3:3">
      <c r="C792" s="100"/>
    </row>
    <row r="793" spans="3:3">
      <c r="C793" s="100"/>
    </row>
    <row r="794" spans="3:3">
      <c r="C794" s="100"/>
    </row>
    <row r="795" spans="3:3">
      <c r="C795" s="100"/>
    </row>
    <row r="796" spans="3:3">
      <c r="C796" s="100"/>
    </row>
    <row r="797" spans="3:3">
      <c r="C797" s="100"/>
    </row>
    <row r="798" spans="3:3">
      <c r="C798" s="100"/>
    </row>
    <row r="799" spans="3:3">
      <c r="C799" s="100"/>
    </row>
    <row r="800" spans="3:3">
      <c r="C800" s="100"/>
    </row>
    <row r="801" spans="3:3">
      <c r="C801" s="100"/>
    </row>
    <row r="802" spans="3:3">
      <c r="C802" s="100"/>
    </row>
    <row r="803" spans="3:3">
      <c r="C803" s="100"/>
    </row>
    <row r="804" spans="3:3">
      <c r="C804" s="100"/>
    </row>
    <row r="805" spans="3:3">
      <c r="C805" s="100"/>
    </row>
    <row r="806" spans="3:3">
      <c r="C806" s="100"/>
    </row>
    <row r="807" spans="3:3">
      <c r="C807" s="100"/>
    </row>
    <row r="808" spans="3:3">
      <c r="C808" s="100"/>
    </row>
    <row r="809" spans="3:3">
      <c r="C809" s="100"/>
    </row>
    <row r="810" spans="3:3">
      <c r="C810" s="100"/>
    </row>
    <row r="811" spans="3:3">
      <c r="C811" s="100"/>
    </row>
    <row r="812" spans="3:3">
      <c r="C812" s="100"/>
    </row>
    <row r="813" spans="3:3">
      <c r="C813" s="100"/>
    </row>
    <row r="814" spans="3:3">
      <c r="C814" s="100"/>
    </row>
    <row r="815" spans="3:3">
      <c r="C815" s="100"/>
    </row>
    <row r="816" spans="3:3">
      <c r="C816" s="100"/>
    </row>
    <row r="817" spans="3:3">
      <c r="C817" s="100"/>
    </row>
    <row r="818" spans="3:3">
      <c r="C818" s="100"/>
    </row>
    <row r="819" spans="3:3">
      <c r="C819" s="100"/>
    </row>
    <row r="820" spans="3:3">
      <c r="C820" s="100"/>
    </row>
    <row r="821" spans="3:3">
      <c r="C821" s="100"/>
    </row>
    <row r="822" spans="3:3">
      <c r="C822" s="100"/>
    </row>
    <row r="823" spans="3:3">
      <c r="C823" s="100"/>
    </row>
    <row r="824" spans="3:3">
      <c r="C824" s="100"/>
    </row>
    <row r="825" spans="3:3">
      <c r="C825" s="100"/>
    </row>
    <row r="826" spans="3:3">
      <c r="C826" s="100"/>
    </row>
    <row r="827" spans="3:3">
      <c r="C827" s="100"/>
    </row>
    <row r="828" spans="3:3">
      <c r="C828" s="100"/>
    </row>
    <row r="829" spans="3:3">
      <c r="C829" s="100"/>
    </row>
    <row r="830" spans="3:3">
      <c r="C830" s="100"/>
    </row>
    <row r="831" spans="3:3">
      <c r="C831" s="100"/>
    </row>
    <row r="832" spans="3:3">
      <c r="C832" s="100"/>
    </row>
    <row r="833" spans="3:3">
      <c r="C833" s="100"/>
    </row>
    <row r="834" spans="3:3">
      <c r="C834" s="100"/>
    </row>
    <row r="835" spans="3:3">
      <c r="C835" s="100"/>
    </row>
    <row r="836" spans="3:3">
      <c r="C836" s="100"/>
    </row>
    <row r="837" spans="3:3">
      <c r="C837" s="100"/>
    </row>
    <row r="838" spans="3:3">
      <c r="C838" s="100"/>
    </row>
    <row r="839" spans="3:3">
      <c r="C839" s="100"/>
    </row>
    <row r="840" spans="3:3">
      <c r="C840" s="100"/>
    </row>
    <row r="841" spans="3:3">
      <c r="C841" s="100"/>
    </row>
    <row r="842" spans="3:3">
      <c r="C842" s="100"/>
    </row>
    <row r="843" spans="3:3">
      <c r="C843" s="100"/>
    </row>
    <row r="844" spans="3:3">
      <c r="C844" s="100"/>
    </row>
    <row r="845" spans="3:3">
      <c r="C845" s="100"/>
    </row>
    <row r="846" spans="3:3">
      <c r="C846" s="100"/>
    </row>
    <row r="847" spans="3:3">
      <c r="C847" s="100"/>
    </row>
    <row r="848" spans="3:3">
      <c r="C848" s="100"/>
    </row>
    <row r="849" spans="3:3">
      <c r="C849" s="100"/>
    </row>
    <row r="850" spans="3:3">
      <c r="C850" s="100"/>
    </row>
    <row r="851" spans="3:3">
      <c r="C851" s="100"/>
    </row>
    <row r="852" spans="3:3">
      <c r="C852" s="100"/>
    </row>
    <row r="853" spans="3:3">
      <c r="C853" s="100"/>
    </row>
    <row r="854" spans="3:3">
      <c r="C854" s="100"/>
    </row>
    <row r="855" spans="3:3">
      <c r="C855" s="100"/>
    </row>
    <row r="856" spans="3:3">
      <c r="C856" s="100"/>
    </row>
    <row r="857" spans="3:3">
      <c r="C857" s="100"/>
    </row>
    <row r="858" spans="3:3">
      <c r="C858" s="100"/>
    </row>
    <row r="859" spans="3:3">
      <c r="C859" s="100"/>
    </row>
    <row r="860" spans="3:3">
      <c r="C860" s="100"/>
    </row>
    <row r="861" spans="3:3">
      <c r="C861" s="100"/>
    </row>
    <row r="862" spans="3:3">
      <c r="C862" s="100"/>
    </row>
    <row r="863" spans="3:3">
      <c r="C863" s="100"/>
    </row>
    <row r="864" spans="3:3">
      <c r="C864" s="100"/>
    </row>
    <row r="865" spans="3:3">
      <c r="C865" s="100"/>
    </row>
    <row r="866" spans="3:3">
      <c r="C866" s="100"/>
    </row>
    <row r="867" spans="3:3">
      <c r="C867" s="100"/>
    </row>
    <row r="868" spans="3:3">
      <c r="C868" s="100"/>
    </row>
    <row r="869" spans="3:3">
      <c r="C869" s="100"/>
    </row>
    <row r="870" spans="3:3">
      <c r="C870" s="100"/>
    </row>
    <row r="871" spans="3:3">
      <c r="C871" s="100"/>
    </row>
    <row r="872" spans="3:3">
      <c r="C872" s="100"/>
    </row>
    <row r="873" spans="3:3">
      <c r="C873" s="100"/>
    </row>
    <row r="874" spans="3:3">
      <c r="C874" s="100"/>
    </row>
    <row r="875" spans="3:3">
      <c r="C875" s="100"/>
    </row>
    <row r="876" spans="3:3">
      <c r="C876" s="100"/>
    </row>
    <row r="877" spans="3:3">
      <c r="C877" s="100"/>
    </row>
    <row r="878" spans="3:3">
      <c r="C878" s="100"/>
    </row>
    <row r="879" spans="3:3">
      <c r="C879" s="100"/>
    </row>
    <row r="880" spans="3:3">
      <c r="C880" s="100"/>
    </row>
    <row r="881" spans="3:3">
      <c r="C881" s="100"/>
    </row>
    <row r="882" spans="3:3">
      <c r="C882" s="100"/>
    </row>
    <row r="883" spans="3:3">
      <c r="C883" s="100"/>
    </row>
    <row r="884" spans="3:3">
      <c r="C884" s="100"/>
    </row>
    <row r="885" spans="3:3">
      <c r="C885" s="100"/>
    </row>
    <row r="886" spans="3:3">
      <c r="C886" s="100"/>
    </row>
    <row r="887" spans="3:3">
      <c r="C887" s="100"/>
    </row>
    <row r="888" spans="3:3">
      <c r="C888" s="100"/>
    </row>
    <row r="889" spans="3:3">
      <c r="C889" s="100"/>
    </row>
    <row r="890" spans="3:3">
      <c r="C890" s="100"/>
    </row>
    <row r="891" spans="3:3">
      <c r="C891" s="100"/>
    </row>
    <row r="892" spans="3:3">
      <c r="C892" s="100"/>
    </row>
    <row r="893" spans="3:3">
      <c r="C893" s="100"/>
    </row>
    <row r="894" spans="3:3">
      <c r="C894" s="100"/>
    </row>
    <row r="895" spans="3:3">
      <c r="C895" s="100"/>
    </row>
    <row r="896" spans="3:3">
      <c r="C896" s="100"/>
    </row>
    <row r="897" spans="3:3">
      <c r="C897" s="100"/>
    </row>
    <row r="898" spans="3:3">
      <c r="C898" s="100"/>
    </row>
    <row r="899" spans="3:3">
      <c r="C899" s="100"/>
    </row>
    <row r="900" spans="3:3">
      <c r="C900" s="100"/>
    </row>
    <row r="901" spans="3:3">
      <c r="C901" s="100"/>
    </row>
    <row r="902" spans="3:3">
      <c r="C902" s="100"/>
    </row>
    <row r="903" spans="3:3">
      <c r="C903" s="100"/>
    </row>
    <row r="904" spans="3:3">
      <c r="C904" s="100"/>
    </row>
    <row r="905" spans="3:3">
      <c r="C905" s="100"/>
    </row>
    <row r="906" spans="3:3">
      <c r="C906" s="100"/>
    </row>
    <row r="907" spans="3:3">
      <c r="C907" s="100"/>
    </row>
    <row r="908" spans="3:3">
      <c r="C908" s="100"/>
    </row>
    <row r="909" spans="3:3">
      <c r="C909" s="100"/>
    </row>
    <row r="910" spans="3:3">
      <c r="C910" s="100"/>
    </row>
    <row r="911" spans="3:3">
      <c r="C911" s="100"/>
    </row>
    <row r="912" spans="3:3">
      <c r="C912" s="100"/>
    </row>
    <row r="913" spans="3:3">
      <c r="C913" s="100"/>
    </row>
    <row r="914" spans="3:3">
      <c r="C914" s="100"/>
    </row>
    <row r="915" spans="3:3">
      <c r="C915" s="100"/>
    </row>
    <row r="916" spans="3:3">
      <c r="C916" s="100"/>
    </row>
    <row r="917" spans="3:3">
      <c r="C917" s="100"/>
    </row>
    <row r="918" spans="3:3">
      <c r="C918" s="100"/>
    </row>
    <row r="919" spans="3:3">
      <c r="C919" s="100"/>
    </row>
    <row r="920" spans="3:3">
      <c r="C920" s="100"/>
    </row>
    <row r="921" spans="3:3">
      <c r="C921" s="100"/>
    </row>
    <row r="922" spans="3:3">
      <c r="C922" s="100"/>
    </row>
    <row r="923" spans="3:3">
      <c r="C923" s="100"/>
    </row>
    <row r="924" spans="3:3">
      <c r="C924" s="100"/>
    </row>
    <row r="925" spans="3:3">
      <c r="C925" s="100"/>
    </row>
    <row r="926" spans="3:3">
      <c r="C926" s="100"/>
    </row>
    <row r="927" spans="3:3">
      <c r="C927" s="100"/>
    </row>
    <row r="928" spans="3:3">
      <c r="C928" s="100"/>
    </row>
    <row r="929" spans="3:3">
      <c r="C929" s="100"/>
    </row>
    <row r="930" spans="3:3">
      <c r="C930" s="100"/>
    </row>
    <row r="931" spans="3:3">
      <c r="C931" s="100"/>
    </row>
    <row r="932" spans="3:3">
      <c r="C932" s="100"/>
    </row>
    <row r="933" spans="3:3">
      <c r="C933" s="100"/>
    </row>
    <row r="934" spans="3:3">
      <c r="C934" s="100"/>
    </row>
    <row r="935" spans="3:3">
      <c r="C935" s="100"/>
    </row>
    <row r="936" spans="3:3">
      <c r="C936" s="100"/>
    </row>
    <row r="937" spans="3:3">
      <c r="C937" s="100"/>
    </row>
    <row r="938" spans="3:3">
      <c r="C938" s="100"/>
    </row>
    <row r="939" spans="3:3">
      <c r="C939" s="100"/>
    </row>
    <row r="940" spans="3:3">
      <c r="C940" s="100"/>
    </row>
    <row r="941" spans="3:3">
      <c r="C941" s="100"/>
    </row>
    <row r="942" spans="3:3">
      <c r="C942" s="100"/>
    </row>
    <row r="943" spans="3:3">
      <c r="C943" s="100"/>
    </row>
    <row r="944" spans="3:3">
      <c r="C944" s="100"/>
    </row>
    <row r="945" spans="3:3">
      <c r="C945" s="100"/>
    </row>
    <row r="946" spans="3:3">
      <c r="C946" s="100"/>
    </row>
    <row r="947" spans="3:3">
      <c r="C947" s="100"/>
    </row>
    <row r="948" spans="3:3">
      <c r="C948" s="100"/>
    </row>
    <row r="949" spans="3:3">
      <c r="C949" s="100"/>
    </row>
    <row r="950" spans="3:3">
      <c r="C950" s="100"/>
    </row>
    <row r="951" spans="3:3">
      <c r="C951" s="100"/>
    </row>
    <row r="952" spans="3:3">
      <c r="C952" s="100"/>
    </row>
    <row r="953" spans="3:3">
      <c r="C953" s="100"/>
    </row>
    <row r="954" spans="3:3">
      <c r="C954" s="100"/>
    </row>
    <row r="955" spans="3:3">
      <c r="C955" s="100"/>
    </row>
    <row r="956" spans="3:3">
      <c r="C956" s="100"/>
    </row>
    <row r="957" spans="3:3">
      <c r="C957" s="100"/>
    </row>
    <row r="958" spans="3:3">
      <c r="C958" s="100"/>
    </row>
    <row r="959" spans="3:3">
      <c r="C959" s="100"/>
    </row>
    <row r="960" spans="3:3">
      <c r="C960" s="100"/>
    </row>
    <row r="961" spans="3:3">
      <c r="C961" s="100"/>
    </row>
    <row r="962" spans="3:3">
      <c r="C962" s="100"/>
    </row>
    <row r="963" spans="3:3">
      <c r="C963" s="100"/>
    </row>
    <row r="964" spans="3:3">
      <c r="C964" s="100"/>
    </row>
    <row r="965" spans="3:3">
      <c r="C965" s="100"/>
    </row>
    <row r="966" spans="3:3">
      <c r="C966" s="100"/>
    </row>
    <row r="967" spans="3:3">
      <c r="C967" s="100"/>
    </row>
    <row r="968" spans="3:3">
      <c r="C968" s="100"/>
    </row>
    <row r="969" spans="3:3">
      <c r="C969" s="100"/>
    </row>
    <row r="970" spans="3:3">
      <c r="C970" s="100"/>
    </row>
    <row r="971" spans="3:3">
      <c r="C971" s="100"/>
    </row>
    <row r="972" spans="3:3">
      <c r="C972" s="100"/>
    </row>
    <row r="973" spans="3:3">
      <c r="C973" s="100"/>
    </row>
    <row r="974" spans="3:3">
      <c r="C974" s="100"/>
    </row>
    <row r="975" spans="3:3">
      <c r="C975" s="100"/>
    </row>
    <row r="976" spans="3:3">
      <c r="C976" s="100"/>
    </row>
    <row r="977" spans="3:3">
      <c r="C977" s="100"/>
    </row>
    <row r="978" spans="3:3">
      <c r="C978" s="100"/>
    </row>
    <row r="979" spans="3:3">
      <c r="C979" s="100"/>
    </row>
    <row r="980" spans="3:3">
      <c r="C980" s="100"/>
    </row>
    <row r="981" spans="3:3">
      <c r="C981" s="100"/>
    </row>
    <row r="982" spans="3:3">
      <c r="C982" s="100"/>
    </row>
    <row r="983" spans="3:3">
      <c r="C983" s="100"/>
    </row>
    <row r="984" spans="3:3">
      <c r="C984" s="100"/>
    </row>
    <row r="985" spans="3:3">
      <c r="C985" s="100"/>
    </row>
    <row r="986" spans="3:3">
      <c r="C986" s="100"/>
    </row>
    <row r="987" spans="3:3">
      <c r="C987" s="100"/>
    </row>
    <row r="988" spans="3:3">
      <c r="C988" s="100"/>
    </row>
    <row r="989" spans="3:3">
      <c r="C989" s="100"/>
    </row>
    <row r="990" spans="3:3">
      <c r="C990" s="100"/>
    </row>
    <row r="991" spans="3:3">
      <c r="C991" s="100"/>
    </row>
    <row r="992" spans="3:3">
      <c r="C992" s="100"/>
    </row>
    <row r="993" spans="3:3">
      <c r="C993" s="100"/>
    </row>
    <row r="994" spans="3:3">
      <c r="C994" s="100"/>
    </row>
    <row r="995" spans="3:3">
      <c r="C995" s="100"/>
    </row>
    <row r="996" spans="3:3">
      <c r="C996" s="100"/>
    </row>
    <row r="997" spans="3:3">
      <c r="C997" s="100"/>
    </row>
    <row r="998" spans="3:3">
      <c r="C998" s="100"/>
    </row>
    <row r="999" spans="3:3">
      <c r="C999" s="100"/>
    </row>
    <row r="1000" spans="3:3">
      <c r="C1000" s="100"/>
    </row>
    <row r="1001" spans="3:3">
      <c r="C1001" s="100"/>
    </row>
    <row r="1002" spans="3:3">
      <c r="C1002" s="100"/>
    </row>
    <row r="1003" spans="3:3">
      <c r="C1003" s="100"/>
    </row>
    <row r="1004" spans="3:3">
      <c r="C1004" s="100"/>
    </row>
    <row r="1005" spans="3:3">
      <c r="C1005" s="100"/>
    </row>
    <row r="1006" spans="3:3">
      <c r="C1006" s="100"/>
    </row>
    <row r="1007" spans="3:3">
      <c r="C1007" s="100"/>
    </row>
    <row r="1008" spans="3:3">
      <c r="C1008" s="100"/>
    </row>
    <row r="1009" spans="3:3">
      <c r="C1009" s="100"/>
    </row>
    <row r="1010" spans="3:3">
      <c r="C1010" s="100"/>
    </row>
    <row r="1011" spans="3:3">
      <c r="C1011" s="100"/>
    </row>
    <row r="1012" spans="3:3">
      <c r="C1012" s="100"/>
    </row>
    <row r="1013" spans="3:3">
      <c r="C1013" s="100"/>
    </row>
    <row r="1014" spans="3:3">
      <c r="C1014" s="100"/>
    </row>
    <row r="1015" spans="3:3">
      <c r="C1015" s="100"/>
    </row>
    <row r="1016" spans="3:3">
      <c r="C1016" s="100"/>
    </row>
    <row r="1017" spans="3:3">
      <c r="C1017" s="100"/>
    </row>
    <row r="1018" spans="3:3">
      <c r="C1018" s="100"/>
    </row>
    <row r="1019" spans="3:3">
      <c r="C1019" s="100"/>
    </row>
    <row r="1020" spans="3:3">
      <c r="C1020" s="100"/>
    </row>
    <row r="1021" spans="3:3">
      <c r="C1021" s="100"/>
    </row>
    <row r="1022" spans="3:3">
      <c r="C1022" s="100"/>
    </row>
    <row r="1023" spans="3:3">
      <c r="C1023" s="100"/>
    </row>
    <row r="1024" spans="3:3">
      <c r="C1024" s="100"/>
    </row>
    <row r="1025" spans="3:3">
      <c r="C1025" s="100"/>
    </row>
    <row r="1026" spans="3:3">
      <c r="C1026" s="100"/>
    </row>
    <row r="1027" spans="3:3">
      <c r="C1027" s="100"/>
    </row>
    <row r="1028" spans="3:3">
      <c r="C1028" s="100"/>
    </row>
    <row r="1029" spans="3:3">
      <c r="C1029" s="100"/>
    </row>
    <row r="1030" spans="3:3">
      <c r="C1030" s="100"/>
    </row>
    <row r="1031" spans="3:3">
      <c r="C1031" s="100"/>
    </row>
    <row r="1032" spans="3:3">
      <c r="C1032" s="100"/>
    </row>
    <row r="1033" spans="3:3">
      <c r="C1033" s="100"/>
    </row>
    <row r="1034" spans="3:3">
      <c r="C1034" s="100"/>
    </row>
    <row r="1035" spans="3:3">
      <c r="C1035" s="100"/>
    </row>
    <row r="1036" spans="3:3">
      <c r="C1036" s="100"/>
    </row>
    <row r="1037" spans="3:3">
      <c r="C1037" s="100"/>
    </row>
    <row r="1038" spans="3:3">
      <c r="C1038" s="100"/>
    </row>
    <row r="1039" spans="3:3">
      <c r="C1039" s="100"/>
    </row>
    <row r="1040" spans="3:3">
      <c r="C1040" s="100"/>
    </row>
    <row r="1041" spans="3:3">
      <c r="C1041" s="100"/>
    </row>
    <row r="1042" spans="3:3">
      <c r="C1042" s="100"/>
    </row>
    <row r="1043" spans="3:3">
      <c r="C1043" s="100"/>
    </row>
    <row r="1044" spans="3:3">
      <c r="C1044" s="100"/>
    </row>
    <row r="1045" spans="3:3">
      <c r="C1045" s="100"/>
    </row>
    <row r="1046" spans="3:3">
      <c r="C1046" s="100"/>
    </row>
    <row r="1047" spans="3:3">
      <c r="C1047" s="100"/>
    </row>
    <row r="1048" spans="3:3">
      <c r="C1048" s="100"/>
    </row>
    <row r="1049" spans="3:3">
      <c r="C1049" s="100"/>
    </row>
    <row r="1050" spans="3:3">
      <c r="C1050" s="100"/>
    </row>
    <row r="1051" spans="3:3">
      <c r="C1051" s="100"/>
    </row>
    <row r="1052" spans="3:3">
      <c r="C1052" s="100"/>
    </row>
    <row r="1053" spans="3:3">
      <c r="C1053" s="100"/>
    </row>
    <row r="1054" spans="3:3">
      <c r="C1054" s="100"/>
    </row>
    <row r="1055" spans="3:3">
      <c r="C1055" s="100"/>
    </row>
    <row r="1056" spans="3:3">
      <c r="C1056" s="100"/>
    </row>
    <row r="1057" spans="3:3">
      <c r="C1057" s="100"/>
    </row>
    <row r="1058" spans="3:3">
      <c r="C1058" s="100"/>
    </row>
    <row r="1059" spans="3:3">
      <c r="C1059" s="100"/>
    </row>
    <row r="1060" spans="3:3">
      <c r="C1060" s="100"/>
    </row>
    <row r="1061" spans="3:3">
      <c r="C1061" s="100"/>
    </row>
    <row r="1062" spans="3:3">
      <c r="C1062" s="100"/>
    </row>
    <row r="1063" spans="3:3">
      <c r="C1063" s="100"/>
    </row>
    <row r="1064" spans="3:3">
      <c r="C1064" s="100"/>
    </row>
    <row r="1065" spans="3:3">
      <c r="C1065" s="100"/>
    </row>
    <row r="1066" spans="3:3">
      <c r="C1066" s="100"/>
    </row>
    <row r="1067" spans="3:3">
      <c r="C1067" s="100"/>
    </row>
    <row r="1068" spans="3:3">
      <c r="C1068" s="100"/>
    </row>
    <row r="1069" spans="3:3">
      <c r="C1069" s="100"/>
    </row>
    <row r="1070" spans="3:3">
      <c r="C1070" s="100"/>
    </row>
    <row r="1071" spans="3:3">
      <c r="C1071" s="100"/>
    </row>
    <row r="1072" spans="3:3">
      <c r="C1072" s="100"/>
    </row>
    <row r="1073" spans="3:3">
      <c r="C1073" s="100"/>
    </row>
    <row r="1074" spans="3:3">
      <c r="C1074" s="100"/>
    </row>
    <row r="1075" spans="3:3">
      <c r="C1075" s="100"/>
    </row>
    <row r="1076" spans="3:3">
      <c r="C1076" s="100"/>
    </row>
    <row r="1077" spans="3:3">
      <c r="C1077" s="100"/>
    </row>
    <row r="1078" spans="3:3">
      <c r="C1078" s="100"/>
    </row>
    <row r="1079" spans="3:3">
      <c r="C1079" s="100"/>
    </row>
    <row r="1080" spans="3:3">
      <c r="C1080" s="100"/>
    </row>
    <row r="1081" spans="3:3">
      <c r="C1081" s="100"/>
    </row>
    <row r="1082" spans="3:3">
      <c r="C1082" s="100"/>
    </row>
    <row r="1083" spans="3:3">
      <c r="C1083" s="100"/>
    </row>
    <row r="1084" spans="3:3">
      <c r="C1084" s="100"/>
    </row>
    <row r="1085" spans="3:3">
      <c r="C1085" s="100"/>
    </row>
    <row r="1086" spans="3:3">
      <c r="C1086" s="100"/>
    </row>
    <row r="1087" spans="3:3">
      <c r="C1087" s="100"/>
    </row>
    <row r="1088" spans="3:3">
      <c r="C1088" s="100"/>
    </row>
    <row r="1089" spans="3:3">
      <c r="C1089" s="100"/>
    </row>
    <row r="1090" spans="3:3">
      <c r="C1090" s="100"/>
    </row>
    <row r="1091" spans="3:3">
      <c r="C1091" s="100"/>
    </row>
    <row r="1092" spans="3:3">
      <c r="C1092" s="100"/>
    </row>
    <row r="1093" spans="3:3">
      <c r="C1093" s="100"/>
    </row>
    <row r="1094" spans="3:3">
      <c r="C1094" s="100"/>
    </row>
    <row r="1095" spans="3:3">
      <c r="C1095" s="100"/>
    </row>
    <row r="1096" spans="3:3">
      <c r="C1096" s="100"/>
    </row>
    <row r="1097" spans="3:3">
      <c r="C1097" s="100"/>
    </row>
    <row r="1098" spans="3:3">
      <c r="C1098" s="100"/>
    </row>
    <row r="1099" spans="3:3">
      <c r="C1099" s="100"/>
    </row>
    <row r="1100" spans="3:3">
      <c r="C1100" s="100"/>
    </row>
    <row r="1101" spans="3:3">
      <c r="C1101" s="100"/>
    </row>
    <row r="1102" spans="3:3">
      <c r="C1102" s="100"/>
    </row>
    <row r="1103" spans="3:3">
      <c r="C1103" s="100"/>
    </row>
    <row r="1104" spans="3:3">
      <c r="C1104" s="100"/>
    </row>
    <row r="1105" spans="3:3">
      <c r="C1105" s="100"/>
    </row>
    <row r="1106" spans="3:3">
      <c r="C1106" s="100"/>
    </row>
    <row r="1107" spans="3:3">
      <c r="C1107" s="100"/>
    </row>
    <row r="1108" spans="3:3">
      <c r="C1108" s="100"/>
    </row>
    <row r="1109" spans="3:3">
      <c r="C1109" s="100"/>
    </row>
    <row r="1110" spans="3:3">
      <c r="C1110" s="100"/>
    </row>
    <row r="1111" spans="3:3">
      <c r="C1111" s="100"/>
    </row>
    <row r="1112" spans="3:3">
      <c r="C1112" s="100"/>
    </row>
    <row r="1113" spans="3:3">
      <c r="C1113" s="100"/>
    </row>
    <row r="1114" spans="3:3">
      <c r="C1114" s="100"/>
    </row>
    <row r="1115" spans="3:3">
      <c r="C1115" s="100"/>
    </row>
    <row r="1116" spans="3:3">
      <c r="C1116" s="100"/>
    </row>
    <row r="1117" spans="3:3">
      <c r="C1117" s="100"/>
    </row>
    <row r="1118" spans="3:3">
      <c r="C1118" s="100"/>
    </row>
    <row r="1119" spans="3:3">
      <c r="C1119" s="100"/>
    </row>
    <row r="1120" spans="3:3">
      <c r="C1120" s="100"/>
    </row>
    <row r="1121" spans="3:3">
      <c r="C1121" s="100"/>
    </row>
    <row r="1122" spans="3:3">
      <c r="C1122" s="100"/>
    </row>
    <row r="1123" spans="3:3">
      <c r="C1123" s="100"/>
    </row>
    <row r="1124" spans="3:3">
      <c r="C1124" s="100"/>
    </row>
    <row r="1125" spans="3:3">
      <c r="C1125" s="100"/>
    </row>
    <row r="1126" spans="3:3">
      <c r="C1126" s="100"/>
    </row>
    <row r="1127" spans="3:3">
      <c r="C1127" s="100"/>
    </row>
    <row r="1128" spans="3:3">
      <c r="C1128" s="100"/>
    </row>
    <row r="1129" spans="3:3">
      <c r="C1129" s="100"/>
    </row>
    <row r="1130" spans="3:3">
      <c r="C1130" s="100"/>
    </row>
    <row r="1131" spans="3:3">
      <c r="C1131" s="100"/>
    </row>
    <row r="1132" spans="3:3">
      <c r="C1132" s="100"/>
    </row>
    <row r="1133" spans="3:3">
      <c r="C1133" s="100"/>
    </row>
    <row r="1134" spans="3:3">
      <c r="C1134" s="100"/>
    </row>
    <row r="1135" spans="3:3">
      <c r="C1135" s="100"/>
    </row>
    <row r="1136" spans="3:3">
      <c r="C1136" s="100"/>
    </row>
    <row r="1137" spans="3:3">
      <c r="C1137" s="100"/>
    </row>
    <row r="1138" spans="3:3">
      <c r="C1138" s="100"/>
    </row>
    <row r="1139" spans="3:3">
      <c r="C1139" s="100"/>
    </row>
    <row r="1140" spans="3:3">
      <c r="C1140" s="100"/>
    </row>
    <row r="1141" spans="3:3">
      <c r="C1141" s="100"/>
    </row>
    <row r="1142" spans="3:3">
      <c r="C1142" s="100"/>
    </row>
    <row r="1143" spans="3:3">
      <c r="C1143" s="100"/>
    </row>
    <row r="1144" spans="3:3">
      <c r="C1144" s="100"/>
    </row>
    <row r="1145" spans="3:3">
      <c r="C1145" s="100"/>
    </row>
    <row r="1146" spans="3:3">
      <c r="C1146" s="100"/>
    </row>
    <row r="1147" spans="3:3">
      <c r="C1147" s="100"/>
    </row>
    <row r="1148" spans="3:3">
      <c r="C1148" s="100"/>
    </row>
    <row r="1149" spans="3:3">
      <c r="C1149" s="100"/>
    </row>
    <row r="1150" spans="3:3">
      <c r="C1150" s="100"/>
    </row>
    <row r="1151" spans="3:3">
      <c r="C1151" s="100"/>
    </row>
    <row r="1152" spans="3:3">
      <c r="C1152" s="100"/>
    </row>
    <row r="1153" spans="3:3">
      <c r="C1153" s="100"/>
    </row>
    <row r="1154" spans="3:3">
      <c r="C1154" s="100"/>
    </row>
    <row r="1155" spans="3:3">
      <c r="C1155" s="100"/>
    </row>
    <row r="1156" spans="3:3">
      <c r="C1156" s="100"/>
    </row>
    <row r="1157" spans="3:3">
      <c r="C1157" s="100"/>
    </row>
    <row r="1158" spans="3:3">
      <c r="C1158" s="100"/>
    </row>
    <row r="1159" spans="3:3">
      <c r="C1159" s="100"/>
    </row>
    <row r="1160" spans="3:3">
      <c r="C1160" s="100"/>
    </row>
    <row r="1161" spans="3:3">
      <c r="C1161" s="100"/>
    </row>
    <row r="1162" spans="3:3">
      <c r="C1162" s="100"/>
    </row>
    <row r="1163" spans="3:3">
      <c r="C1163" s="100"/>
    </row>
    <row r="1164" spans="3:3">
      <c r="C1164" s="100"/>
    </row>
    <row r="1165" spans="3:3">
      <c r="C1165" s="100"/>
    </row>
    <row r="1166" spans="3:3">
      <c r="C1166" s="100"/>
    </row>
    <row r="1167" spans="3:3">
      <c r="C1167" s="100"/>
    </row>
    <row r="1168" spans="3:3">
      <c r="C1168" s="100"/>
    </row>
    <row r="1169" spans="3:3">
      <c r="C1169" s="100"/>
    </row>
    <row r="1170" spans="3:3">
      <c r="C1170" s="100"/>
    </row>
    <row r="1171" spans="3:3">
      <c r="C1171" s="100"/>
    </row>
    <row r="1172" spans="3:3">
      <c r="C1172" s="100"/>
    </row>
    <row r="1173" spans="3:3">
      <c r="C1173" s="100"/>
    </row>
    <row r="1174" spans="3:3">
      <c r="C1174" s="100"/>
    </row>
    <row r="1175" spans="3:3">
      <c r="C1175" s="100"/>
    </row>
    <row r="1176" spans="3:3">
      <c r="C1176" s="100"/>
    </row>
    <row r="1177" spans="3:3">
      <c r="C1177" s="100"/>
    </row>
    <row r="1178" spans="3:3">
      <c r="C1178" s="100"/>
    </row>
    <row r="1179" spans="3:3">
      <c r="C1179" s="100"/>
    </row>
    <row r="1180" spans="3:3">
      <c r="C1180" s="100"/>
    </row>
    <row r="1181" spans="3:3">
      <c r="C1181" s="100"/>
    </row>
    <row r="1182" spans="3:3">
      <c r="C1182" s="100"/>
    </row>
    <row r="1183" spans="3:3">
      <c r="C1183" s="100"/>
    </row>
    <row r="1184" spans="3:3">
      <c r="C1184" s="100"/>
    </row>
    <row r="1185" spans="3:3">
      <c r="C1185" s="100"/>
    </row>
    <row r="1186" spans="3:3">
      <c r="C1186" s="100"/>
    </row>
    <row r="1187" spans="3:3">
      <c r="C1187" s="100"/>
    </row>
    <row r="1188" spans="3:3">
      <c r="C1188" s="100"/>
    </row>
    <row r="1189" spans="3:3">
      <c r="C1189" s="100"/>
    </row>
    <row r="1190" spans="3:3">
      <c r="C1190" s="100"/>
    </row>
    <row r="1191" spans="3:3">
      <c r="C1191" s="100"/>
    </row>
    <row r="1192" spans="3:3">
      <c r="C1192" s="100"/>
    </row>
    <row r="1193" spans="3:3">
      <c r="C1193" s="100"/>
    </row>
    <row r="1194" spans="3:3">
      <c r="C1194" s="100"/>
    </row>
    <row r="1195" spans="3:3">
      <c r="C1195" s="100"/>
    </row>
    <row r="1196" spans="3:3">
      <c r="C1196" s="100"/>
    </row>
    <row r="1197" spans="3:3">
      <c r="C1197" s="100"/>
    </row>
    <row r="1198" spans="3:3">
      <c r="C1198" s="100"/>
    </row>
    <row r="1199" spans="3:3">
      <c r="C1199" s="100"/>
    </row>
    <row r="1200" spans="3:3">
      <c r="C1200" s="100"/>
    </row>
    <row r="1201" spans="3:3">
      <c r="C1201" s="100"/>
    </row>
    <row r="1202" spans="3:3">
      <c r="C1202" s="100"/>
    </row>
    <row r="1203" spans="3:3">
      <c r="C1203" s="100"/>
    </row>
    <row r="1204" spans="3:3">
      <c r="C1204" s="100"/>
    </row>
    <row r="1205" spans="3:3">
      <c r="C1205" s="100"/>
    </row>
    <row r="1206" spans="3:3">
      <c r="C1206" s="100"/>
    </row>
    <row r="1207" spans="3:3">
      <c r="C1207" s="100"/>
    </row>
    <row r="1208" spans="3:3">
      <c r="C1208" s="100"/>
    </row>
    <row r="1209" spans="3:3">
      <c r="C1209" s="100"/>
    </row>
    <row r="1210" spans="3:3">
      <c r="C1210" s="100"/>
    </row>
    <row r="1211" spans="3:3">
      <c r="C1211" s="100"/>
    </row>
    <row r="1212" spans="3:3">
      <c r="C1212" s="100"/>
    </row>
    <row r="1213" spans="3:3">
      <c r="C1213" s="100"/>
    </row>
    <row r="1214" spans="3:3">
      <c r="C1214" s="100"/>
    </row>
    <row r="1215" spans="3:3">
      <c r="C1215" s="100"/>
    </row>
    <row r="1216" spans="3:3">
      <c r="C1216" s="100"/>
    </row>
    <row r="1217" spans="3:3">
      <c r="C1217" s="100"/>
    </row>
    <row r="1218" spans="3:3">
      <c r="C1218" s="100"/>
    </row>
    <row r="1219" spans="3:3">
      <c r="C1219" s="100"/>
    </row>
    <row r="1220" spans="3:3">
      <c r="C1220" s="100"/>
    </row>
    <row r="1221" spans="3:3">
      <c r="C1221" s="100"/>
    </row>
    <row r="1222" spans="3:3">
      <c r="C1222" s="100"/>
    </row>
    <row r="1223" spans="3:3">
      <c r="C1223" s="100"/>
    </row>
    <row r="1224" spans="3:3">
      <c r="C1224" s="100"/>
    </row>
    <row r="1225" spans="3:3">
      <c r="C1225" s="100"/>
    </row>
    <row r="1226" spans="3:3">
      <c r="C1226" s="100"/>
    </row>
    <row r="1227" spans="3:3">
      <c r="C1227" s="100"/>
    </row>
    <row r="1228" spans="3:3">
      <c r="C1228" s="100"/>
    </row>
    <row r="1229" spans="3:3">
      <c r="C1229" s="100"/>
    </row>
    <row r="1230" spans="3:3">
      <c r="C1230" s="100"/>
    </row>
    <row r="1231" spans="3:3">
      <c r="C1231" s="100"/>
    </row>
    <row r="1232" spans="3:3">
      <c r="C1232" s="100"/>
    </row>
    <row r="1233" spans="3:3">
      <c r="C1233" s="100"/>
    </row>
    <row r="1234" spans="3:3">
      <c r="C1234" s="100"/>
    </row>
    <row r="1235" spans="3:3">
      <c r="C1235" s="100"/>
    </row>
    <row r="1236" spans="3:3">
      <c r="C1236" s="100"/>
    </row>
    <row r="1237" spans="3:3">
      <c r="C1237" s="100"/>
    </row>
    <row r="1238" spans="3:3">
      <c r="C1238" s="100"/>
    </row>
    <row r="1239" spans="3:3">
      <c r="C1239" s="100"/>
    </row>
    <row r="1240" spans="3:3">
      <c r="C1240" s="100"/>
    </row>
    <row r="1241" spans="3:3">
      <c r="C1241" s="100"/>
    </row>
    <row r="1242" spans="3:3">
      <c r="C1242" s="100"/>
    </row>
    <row r="1243" spans="3:3">
      <c r="C1243" s="100"/>
    </row>
    <row r="1244" spans="3:3">
      <c r="C1244" s="100"/>
    </row>
    <row r="1245" spans="3:3">
      <c r="C1245" s="100"/>
    </row>
    <row r="1246" spans="3:3">
      <c r="C1246" s="100"/>
    </row>
    <row r="1247" spans="3:3">
      <c r="C1247" s="100"/>
    </row>
    <row r="1248" spans="3:3">
      <c r="C1248" s="100"/>
    </row>
    <row r="1249" spans="3:3">
      <c r="C1249" s="100"/>
    </row>
    <row r="1250" spans="3:3">
      <c r="C1250" s="100"/>
    </row>
    <row r="1251" spans="3:3">
      <c r="C1251" s="100"/>
    </row>
    <row r="1252" spans="3:3">
      <c r="C1252" s="100"/>
    </row>
    <row r="1253" spans="3:3">
      <c r="C1253" s="100"/>
    </row>
    <row r="1254" spans="3:3">
      <c r="C1254" s="100"/>
    </row>
    <row r="1255" spans="3:3">
      <c r="C1255" s="100"/>
    </row>
    <row r="1256" spans="3:3">
      <c r="C1256" s="100"/>
    </row>
    <row r="1257" spans="3:3">
      <c r="C1257" s="100"/>
    </row>
    <row r="1258" spans="3:3">
      <c r="C1258" s="100"/>
    </row>
    <row r="1259" spans="3:3">
      <c r="C1259" s="100"/>
    </row>
    <row r="1260" spans="3:3">
      <c r="C1260" s="100"/>
    </row>
    <row r="1261" spans="3:3">
      <c r="C1261" s="100"/>
    </row>
    <row r="1262" spans="3:3">
      <c r="C1262" s="100"/>
    </row>
    <row r="1263" spans="3:3">
      <c r="C1263" s="100"/>
    </row>
    <row r="1264" spans="3:3">
      <c r="C1264" s="100"/>
    </row>
    <row r="1265" spans="3:3">
      <c r="C1265" s="100"/>
    </row>
    <row r="1266" spans="3:3">
      <c r="C1266" s="100"/>
    </row>
    <row r="1267" spans="3:3">
      <c r="C1267" s="100"/>
    </row>
    <row r="1268" spans="3:3">
      <c r="C1268" s="100"/>
    </row>
    <row r="1269" spans="3:3">
      <c r="C1269" s="100"/>
    </row>
    <row r="1270" spans="3:3">
      <c r="C1270" s="100"/>
    </row>
    <row r="1271" spans="3:3">
      <c r="C1271" s="100"/>
    </row>
    <row r="1272" spans="3:3">
      <c r="C1272" s="100"/>
    </row>
    <row r="1273" spans="3:3">
      <c r="C1273" s="100"/>
    </row>
    <row r="1274" spans="3:3">
      <c r="C1274" s="100"/>
    </row>
    <row r="1275" spans="3:3">
      <c r="C1275" s="100"/>
    </row>
    <row r="1276" spans="3:3">
      <c r="C1276" s="100"/>
    </row>
    <row r="1277" spans="3:3">
      <c r="C1277" s="100"/>
    </row>
    <row r="1278" spans="3:3">
      <c r="C1278" s="100"/>
    </row>
    <row r="1279" spans="3:3">
      <c r="C1279" s="100"/>
    </row>
    <row r="1280" spans="3:3">
      <c r="C1280" s="100"/>
    </row>
    <row r="1281" spans="3:3">
      <c r="C1281" s="100"/>
    </row>
    <row r="1282" spans="3:3">
      <c r="C1282" s="100"/>
    </row>
    <row r="1283" spans="3:3">
      <c r="C1283" s="100"/>
    </row>
    <row r="1284" spans="3:3">
      <c r="C1284" s="100"/>
    </row>
    <row r="1285" spans="3:3">
      <c r="C1285" s="100"/>
    </row>
    <row r="1286" spans="3:3">
      <c r="C1286" s="100"/>
    </row>
    <row r="1287" spans="3:3">
      <c r="C1287" s="100"/>
    </row>
    <row r="1288" spans="3:3">
      <c r="C1288" s="100"/>
    </row>
    <row r="1289" spans="3:3">
      <c r="C1289" s="100"/>
    </row>
    <row r="1290" spans="3:3">
      <c r="C1290" s="100"/>
    </row>
    <row r="1291" spans="3:3">
      <c r="C1291" s="100"/>
    </row>
    <row r="1292" spans="3:3">
      <c r="C1292" s="100"/>
    </row>
    <row r="1293" spans="3:3">
      <c r="C1293" s="100"/>
    </row>
    <row r="1294" spans="3:3">
      <c r="C1294" s="100"/>
    </row>
    <row r="1295" spans="3:3">
      <c r="C1295" s="100"/>
    </row>
    <row r="1296" spans="3:3">
      <c r="C1296" s="100"/>
    </row>
    <row r="1297" spans="3:3">
      <c r="C1297" s="100"/>
    </row>
    <row r="1298" spans="3:3">
      <c r="C1298" s="100"/>
    </row>
    <row r="1299" spans="3:3">
      <c r="C1299" s="100"/>
    </row>
    <row r="1300" spans="3:3">
      <c r="C1300" s="100"/>
    </row>
    <row r="1301" spans="3:3">
      <c r="C1301" s="100"/>
    </row>
    <row r="1302" spans="3:3">
      <c r="C1302" s="100"/>
    </row>
    <row r="1303" spans="3:3">
      <c r="C1303" s="100"/>
    </row>
    <row r="1304" spans="3:3">
      <c r="C1304" s="100"/>
    </row>
    <row r="1305" spans="3:3">
      <c r="C1305" s="100"/>
    </row>
    <row r="1306" spans="3:3">
      <c r="C1306" s="100"/>
    </row>
    <row r="1307" spans="3:3">
      <c r="C1307" s="100"/>
    </row>
    <row r="1308" spans="3:3">
      <c r="C1308" s="100"/>
    </row>
    <row r="1309" spans="3:3">
      <c r="C1309" s="100"/>
    </row>
    <row r="1310" spans="3:3">
      <c r="C1310" s="100"/>
    </row>
    <row r="1311" spans="3:3">
      <c r="C1311" s="100"/>
    </row>
    <row r="1312" spans="3:3">
      <c r="C1312" s="100"/>
    </row>
    <row r="1313" spans="3:3">
      <c r="C1313" s="100"/>
    </row>
    <row r="1314" spans="3:3">
      <c r="C1314" s="100"/>
    </row>
    <row r="1315" spans="3:3">
      <c r="C1315" s="100"/>
    </row>
    <row r="1316" spans="3:3">
      <c r="C1316" s="100"/>
    </row>
    <row r="1317" spans="3:3">
      <c r="C1317" s="100"/>
    </row>
    <row r="1318" spans="3:3">
      <c r="C1318" s="100"/>
    </row>
    <row r="1319" spans="3:3">
      <c r="C1319" s="100"/>
    </row>
    <row r="1320" spans="3:3">
      <c r="C1320" s="100"/>
    </row>
    <row r="1321" spans="3:3">
      <c r="C1321" s="100"/>
    </row>
    <row r="1322" spans="3:3">
      <c r="C1322" s="100"/>
    </row>
    <row r="1323" spans="3:3">
      <c r="C1323" s="100"/>
    </row>
    <row r="1324" spans="3:3">
      <c r="C1324" s="100"/>
    </row>
    <row r="1325" spans="3:3">
      <c r="C1325" s="100"/>
    </row>
    <row r="1326" spans="3:3">
      <c r="C1326" s="100"/>
    </row>
    <row r="1327" spans="3:3">
      <c r="C1327" s="100"/>
    </row>
    <row r="1328" spans="3:3">
      <c r="C1328" s="100"/>
    </row>
    <row r="1329" spans="3:3">
      <c r="C1329" s="100"/>
    </row>
    <row r="1330" spans="3:3">
      <c r="C1330" s="100"/>
    </row>
    <row r="1331" spans="3:3">
      <c r="C1331" s="100"/>
    </row>
    <row r="1332" spans="3:3">
      <c r="C1332" s="100"/>
    </row>
    <row r="1333" spans="3:3">
      <c r="C1333" s="100"/>
    </row>
    <row r="1334" spans="3:3">
      <c r="C1334" s="100"/>
    </row>
    <row r="1335" spans="3:3">
      <c r="C1335" s="100"/>
    </row>
    <row r="1336" spans="3:3">
      <c r="C1336" s="100"/>
    </row>
    <row r="1337" spans="3:3">
      <c r="C1337" s="100"/>
    </row>
    <row r="1338" spans="3:3">
      <c r="C1338" s="100"/>
    </row>
    <row r="1339" spans="3:3">
      <c r="C1339" s="100"/>
    </row>
    <row r="1340" spans="3:3">
      <c r="C1340" s="100"/>
    </row>
    <row r="1341" spans="3:3">
      <c r="C1341" s="100"/>
    </row>
    <row r="1342" spans="3:3">
      <c r="C1342" s="100"/>
    </row>
    <row r="1343" spans="3:3">
      <c r="C1343" s="100"/>
    </row>
    <row r="1344" spans="3:3">
      <c r="C1344" s="100"/>
    </row>
    <row r="1345" spans="3:3">
      <c r="C1345" s="100"/>
    </row>
    <row r="1346" spans="3:3">
      <c r="C1346" s="100"/>
    </row>
    <row r="1347" spans="3:3">
      <c r="C1347" s="100"/>
    </row>
    <row r="1348" spans="3:3">
      <c r="C1348" s="100"/>
    </row>
    <row r="1349" spans="3:3">
      <c r="C1349" s="100"/>
    </row>
    <row r="1350" spans="3:3">
      <c r="C1350" s="100"/>
    </row>
    <row r="1351" spans="3:3">
      <c r="C1351" s="100"/>
    </row>
    <row r="1352" spans="3:3">
      <c r="C1352" s="100"/>
    </row>
    <row r="1353" spans="3:3">
      <c r="C1353" s="100"/>
    </row>
    <row r="1354" spans="3:3">
      <c r="C1354" s="100"/>
    </row>
    <row r="1355" spans="3:3">
      <c r="C1355" s="100"/>
    </row>
    <row r="1356" spans="3:3">
      <c r="C1356" s="100"/>
    </row>
    <row r="1357" spans="3:3">
      <c r="C1357" s="100"/>
    </row>
    <row r="1358" spans="3:3">
      <c r="C1358" s="100"/>
    </row>
    <row r="1359" spans="3:3">
      <c r="C1359" s="100"/>
    </row>
    <row r="1360" spans="3:3">
      <c r="C1360" s="100"/>
    </row>
    <row r="1361" spans="3:3">
      <c r="C1361" s="100"/>
    </row>
    <row r="1362" spans="3:3">
      <c r="C1362" s="100"/>
    </row>
    <row r="1363" spans="3:3">
      <c r="C1363" s="100"/>
    </row>
    <row r="1364" spans="3:3">
      <c r="C1364" s="100"/>
    </row>
    <row r="1365" spans="3:3">
      <c r="C1365" s="100"/>
    </row>
    <row r="1366" spans="3:3">
      <c r="C1366" s="100"/>
    </row>
    <row r="1367" spans="3:3">
      <c r="C1367" s="100"/>
    </row>
    <row r="1368" spans="3:3">
      <c r="C1368" s="100"/>
    </row>
    <row r="1369" spans="3:3">
      <c r="C1369" s="100"/>
    </row>
    <row r="1370" spans="3:3">
      <c r="C1370" s="100"/>
    </row>
    <row r="1371" spans="3:3">
      <c r="C1371" s="100"/>
    </row>
    <row r="1372" spans="3:3">
      <c r="C1372" s="100"/>
    </row>
    <row r="1373" spans="3:3">
      <c r="C1373" s="100"/>
    </row>
    <row r="1374" spans="3:3">
      <c r="C1374" s="100"/>
    </row>
    <row r="1375" spans="3:3">
      <c r="C1375" s="100"/>
    </row>
    <row r="1376" spans="3:3">
      <c r="C1376" s="100"/>
    </row>
    <row r="1377" spans="3:3">
      <c r="C1377" s="100"/>
    </row>
    <row r="1378" spans="3:3">
      <c r="C1378" s="100"/>
    </row>
    <row r="1379" spans="3:3">
      <c r="C1379" s="100"/>
    </row>
    <row r="1380" spans="3:3">
      <c r="C1380" s="100"/>
    </row>
    <row r="1381" spans="3:3">
      <c r="C1381" s="100"/>
    </row>
    <row r="1382" spans="3:3">
      <c r="C1382" s="100"/>
    </row>
    <row r="1383" spans="3:3">
      <c r="C1383" s="100"/>
    </row>
    <row r="1384" spans="3:3">
      <c r="C1384" s="100"/>
    </row>
    <row r="1385" spans="3:3">
      <c r="C1385" s="100"/>
    </row>
    <row r="1386" spans="3:3">
      <c r="C1386" s="100"/>
    </row>
    <row r="1387" spans="3:3">
      <c r="C1387" s="100"/>
    </row>
    <row r="1388" spans="3:3">
      <c r="C1388" s="100"/>
    </row>
    <row r="1389" spans="3:3">
      <c r="C1389" s="100"/>
    </row>
    <row r="1390" spans="3:3">
      <c r="C1390" s="100"/>
    </row>
    <row r="1391" spans="3:3">
      <c r="C1391" s="100"/>
    </row>
    <row r="1392" spans="3:3">
      <c r="C1392" s="100"/>
    </row>
    <row r="1393" spans="3:3">
      <c r="C1393" s="100"/>
    </row>
    <row r="1394" spans="3:3">
      <c r="C1394" s="100"/>
    </row>
    <row r="1395" spans="3:3">
      <c r="C1395" s="100"/>
    </row>
    <row r="1396" spans="3:3">
      <c r="C1396" s="100"/>
    </row>
    <row r="1397" spans="3:3">
      <c r="C1397" s="100"/>
    </row>
    <row r="1398" spans="3:3">
      <c r="C1398" s="100"/>
    </row>
    <row r="1399" spans="3:3">
      <c r="C1399" s="100"/>
    </row>
    <row r="1400" spans="3:3">
      <c r="C1400" s="100"/>
    </row>
    <row r="1401" spans="3:3">
      <c r="C1401" s="100"/>
    </row>
    <row r="1402" spans="3:3">
      <c r="C1402" s="100"/>
    </row>
    <row r="1403" spans="3:3">
      <c r="C1403" s="100"/>
    </row>
    <row r="1404" spans="3:3">
      <c r="C1404" s="100"/>
    </row>
    <row r="1405" spans="3:3">
      <c r="C1405" s="100"/>
    </row>
    <row r="1406" spans="3:3">
      <c r="C1406" s="100"/>
    </row>
    <row r="1407" spans="3:3">
      <c r="C1407" s="100"/>
    </row>
    <row r="1408" spans="3:3">
      <c r="C1408" s="100"/>
    </row>
    <row r="1409" spans="3:3">
      <c r="C1409" s="100"/>
    </row>
    <row r="1410" spans="3:3">
      <c r="C1410" s="100"/>
    </row>
    <row r="1411" spans="3:3">
      <c r="C1411" s="100"/>
    </row>
    <row r="1412" spans="3:3">
      <c r="C1412" s="100"/>
    </row>
    <row r="1413" spans="3:3">
      <c r="C1413" s="100"/>
    </row>
    <row r="1414" spans="3:3">
      <c r="C1414" s="100"/>
    </row>
    <row r="1415" spans="3:3">
      <c r="C1415" s="100"/>
    </row>
    <row r="1416" spans="3:3">
      <c r="C1416" s="100"/>
    </row>
    <row r="1417" spans="3:3">
      <c r="C1417" s="100"/>
    </row>
    <row r="1418" spans="3:3">
      <c r="C1418" s="100"/>
    </row>
    <row r="1419" spans="3:3">
      <c r="C1419" s="100"/>
    </row>
    <row r="1420" spans="3:3">
      <c r="C1420" s="100"/>
    </row>
    <row r="1421" spans="3:3">
      <c r="C1421" s="100"/>
    </row>
    <row r="1422" spans="3:3">
      <c r="C1422" s="100"/>
    </row>
    <row r="1423" spans="3:3">
      <c r="C1423" s="100"/>
    </row>
    <row r="1424" spans="3:3">
      <c r="C1424" s="100"/>
    </row>
    <row r="1425" spans="3:3">
      <c r="C1425" s="100"/>
    </row>
    <row r="1426" spans="3:3">
      <c r="C1426" s="100"/>
    </row>
    <row r="1427" spans="3:3">
      <c r="C1427" s="100"/>
    </row>
    <row r="1428" spans="3:3">
      <c r="C1428" s="100"/>
    </row>
    <row r="1429" spans="3:3">
      <c r="C1429" s="100"/>
    </row>
    <row r="1430" spans="3:3">
      <c r="C1430" s="100"/>
    </row>
    <row r="1431" spans="3:3">
      <c r="C1431" s="100"/>
    </row>
    <row r="1432" spans="3:3">
      <c r="C1432" s="100"/>
    </row>
    <row r="1433" spans="3:3">
      <c r="C1433" s="100"/>
    </row>
    <row r="1434" spans="3:3">
      <c r="C1434" s="100"/>
    </row>
    <row r="1435" spans="3:3">
      <c r="C1435" s="100"/>
    </row>
    <row r="1436" spans="3:3">
      <c r="C1436" s="100"/>
    </row>
    <row r="1437" spans="3:3">
      <c r="C1437" s="100"/>
    </row>
    <row r="1438" spans="3:3">
      <c r="C1438" s="100"/>
    </row>
    <row r="1439" spans="3:3">
      <c r="C1439" s="100"/>
    </row>
    <row r="1440" spans="3:3">
      <c r="C1440" s="100"/>
    </row>
    <row r="1441" spans="3:3">
      <c r="C1441" s="100"/>
    </row>
    <row r="1442" spans="3:3">
      <c r="C1442" s="100"/>
    </row>
    <row r="1443" spans="3:3">
      <c r="C1443" s="100"/>
    </row>
    <row r="1444" spans="3:3">
      <c r="C1444" s="100"/>
    </row>
    <row r="1445" spans="3:3">
      <c r="C1445" s="100"/>
    </row>
    <row r="1446" spans="3:3">
      <c r="C1446" s="100"/>
    </row>
    <row r="1447" spans="3:3">
      <c r="C1447" s="100"/>
    </row>
    <row r="1448" spans="3:3">
      <c r="C1448" s="100"/>
    </row>
    <row r="1449" spans="3:3">
      <c r="C1449" s="100"/>
    </row>
    <row r="1450" spans="3:3">
      <c r="C1450" s="100"/>
    </row>
    <row r="1451" spans="3:3">
      <c r="C1451" s="100"/>
    </row>
    <row r="1452" spans="3:3">
      <c r="C1452" s="100"/>
    </row>
    <row r="1453" spans="3:3">
      <c r="C1453" s="100"/>
    </row>
    <row r="1454" spans="3:3">
      <c r="C1454" s="100"/>
    </row>
    <row r="1455" spans="3:3">
      <c r="C1455" s="100"/>
    </row>
    <row r="1456" spans="3:3">
      <c r="C1456" s="100"/>
    </row>
    <row r="1457" spans="3:3">
      <c r="C1457" s="100"/>
    </row>
    <row r="1458" spans="3:3">
      <c r="C1458" s="100"/>
    </row>
    <row r="1459" spans="3:3">
      <c r="C1459" s="100"/>
    </row>
    <row r="1460" spans="3:3">
      <c r="C1460" s="100"/>
    </row>
    <row r="1461" spans="3:3">
      <c r="C1461" s="100"/>
    </row>
    <row r="1462" spans="3:3">
      <c r="C1462" s="100"/>
    </row>
    <row r="1463" spans="3:3">
      <c r="C1463" s="100"/>
    </row>
    <row r="1464" spans="3:3">
      <c r="C1464" s="100"/>
    </row>
    <row r="1465" spans="3:3">
      <c r="C1465" s="100"/>
    </row>
    <row r="1466" spans="3:3">
      <c r="C1466" s="100"/>
    </row>
    <row r="1467" spans="3:3">
      <c r="C1467" s="100"/>
    </row>
    <row r="1468" spans="3:3">
      <c r="C1468" s="100"/>
    </row>
    <row r="1469" spans="3:3">
      <c r="C1469" s="100"/>
    </row>
    <row r="1470" spans="3:3">
      <c r="C1470" s="100"/>
    </row>
    <row r="1471" spans="3:3">
      <c r="C1471" s="100"/>
    </row>
    <row r="1472" spans="3:3">
      <c r="C1472" s="100"/>
    </row>
    <row r="1473" spans="3:3">
      <c r="C1473" s="100"/>
    </row>
    <row r="1474" spans="3:3">
      <c r="C1474" s="100"/>
    </row>
    <row r="1475" spans="3:3">
      <c r="C1475" s="100"/>
    </row>
    <row r="1476" spans="3:3">
      <c r="C1476" s="100"/>
    </row>
    <row r="1477" spans="3:3">
      <c r="C1477" s="100"/>
    </row>
    <row r="1478" spans="3:3">
      <c r="C1478" s="100"/>
    </row>
    <row r="1479" spans="3:3">
      <c r="C1479" s="100"/>
    </row>
    <row r="1480" spans="3:3">
      <c r="C1480" s="100"/>
    </row>
    <row r="1481" spans="3:3">
      <c r="C1481" s="100"/>
    </row>
    <row r="1482" spans="3:3">
      <c r="C1482" s="100"/>
    </row>
    <row r="1483" spans="3:3">
      <c r="C1483" s="100"/>
    </row>
    <row r="1484" spans="3:3">
      <c r="C1484" s="100"/>
    </row>
    <row r="1485" spans="3:3">
      <c r="C1485" s="100"/>
    </row>
    <row r="1486" spans="3:3">
      <c r="C1486" s="100"/>
    </row>
    <row r="1487" spans="3:3">
      <c r="C1487" s="100"/>
    </row>
    <row r="1488" spans="3:3">
      <c r="C1488" s="100"/>
    </row>
    <row r="1489" spans="3:3">
      <c r="C1489" s="100"/>
    </row>
    <row r="1490" spans="3:3">
      <c r="C1490" s="100"/>
    </row>
    <row r="1491" spans="3:3">
      <c r="C1491" s="100"/>
    </row>
    <row r="1492" spans="3:3">
      <c r="C1492" s="100"/>
    </row>
    <row r="1493" spans="3:3">
      <c r="C1493" s="100"/>
    </row>
    <row r="1494" spans="3:3">
      <c r="C1494" s="100"/>
    </row>
    <row r="1495" spans="3:3">
      <c r="C1495" s="100"/>
    </row>
    <row r="1496" spans="3:3">
      <c r="C1496" s="100"/>
    </row>
    <row r="1497" spans="3:3">
      <c r="C1497" s="100"/>
    </row>
    <row r="1498" spans="3:3">
      <c r="C1498" s="100"/>
    </row>
    <row r="1499" spans="3:3">
      <c r="C1499" s="100"/>
    </row>
    <row r="1500" spans="3:3">
      <c r="C1500" s="100"/>
    </row>
    <row r="1501" spans="3:3">
      <c r="C1501" s="100"/>
    </row>
    <row r="1502" spans="3:3">
      <c r="C1502" s="100"/>
    </row>
    <row r="1503" spans="3:3">
      <c r="C1503" s="100"/>
    </row>
    <row r="1504" spans="3:3">
      <c r="C1504" s="100"/>
    </row>
    <row r="1505" spans="3:3">
      <c r="C1505" s="100"/>
    </row>
    <row r="1506" spans="3:3">
      <c r="C1506" s="100"/>
    </row>
    <row r="1507" spans="3:3">
      <c r="C1507" s="100"/>
    </row>
    <row r="1508" spans="3:3">
      <c r="C1508" s="100"/>
    </row>
    <row r="1509" spans="3:3">
      <c r="C1509" s="100"/>
    </row>
    <row r="1510" spans="3:3">
      <c r="C1510" s="100"/>
    </row>
    <row r="1511" spans="3:3">
      <c r="C1511" s="100"/>
    </row>
    <row r="1512" spans="3:3">
      <c r="C1512" s="100"/>
    </row>
    <row r="1513" spans="3:3">
      <c r="C1513" s="100"/>
    </row>
    <row r="1514" spans="3:3">
      <c r="C1514" s="100"/>
    </row>
    <row r="1515" spans="3:3">
      <c r="C1515" s="100"/>
    </row>
    <row r="1516" spans="3:3">
      <c r="C1516" s="100"/>
    </row>
    <row r="1517" spans="3:3">
      <c r="C1517" s="100"/>
    </row>
    <row r="1518" spans="3:3">
      <c r="C1518" s="100"/>
    </row>
    <row r="1519" spans="3:3">
      <c r="C1519" s="100"/>
    </row>
    <row r="1520" spans="3:3">
      <c r="C1520" s="100"/>
    </row>
    <row r="1521" spans="3:3">
      <c r="C1521" s="100"/>
    </row>
    <row r="1522" spans="3:3">
      <c r="C1522" s="100"/>
    </row>
    <row r="1523" spans="3:3">
      <c r="C1523" s="100"/>
    </row>
    <row r="1524" spans="3:3">
      <c r="C1524" s="100"/>
    </row>
    <row r="1525" spans="3:3">
      <c r="C1525" s="100"/>
    </row>
    <row r="1526" spans="3:3">
      <c r="C1526" s="100"/>
    </row>
    <row r="1527" spans="3:3">
      <c r="C1527" s="100"/>
    </row>
    <row r="1528" spans="3:3">
      <c r="C1528" s="100"/>
    </row>
    <row r="1529" spans="3:3">
      <c r="C1529" s="100"/>
    </row>
    <row r="1530" spans="3:3">
      <c r="C1530" s="100"/>
    </row>
    <row r="1531" spans="3:3">
      <c r="C1531" s="100"/>
    </row>
    <row r="1532" spans="3:3">
      <c r="C1532" s="100"/>
    </row>
    <row r="1533" spans="3:3">
      <c r="C1533" s="100"/>
    </row>
    <row r="1534" spans="3:3">
      <c r="C1534" s="100"/>
    </row>
    <row r="1535" spans="3:3">
      <c r="C1535" s="100"/>
    </row>
    <row r="1536" spans="3:3">
      <c r="C1536" s="100"/>
    </row>
    <row r="1537" spans="3:3">
      <c r="C1537" s="100"/>
    </row>
    <row r="1538" spans="3:3">
      <c r="C1538" s="100"/>
    </row>
    <row r="1539" spans="3:3">
      <c r="C1539" s="100"/>
    </row>
    <row r="1540" spans="3:3">
      <c r="C1540" s="100"/>
    </row>
    <row r="1541" spans="3:3">
      <c r="C1541" s="100"/>
    </row>
    <row r="1542" spans="3:3">
      <c r="C1542" s="100"/>
    </row>
    <row r="1543" spans="3:3">
      <c r="C1543" s="100"/>
    </row>
    <row r="1544" spans="3:3">
      <c r="C1544" s="100"/>
    </row>
    <row r="1545" spans="3:3">
      <c r="C1545" s="100"/>
    </row>
    <row r="1546" spans="3:3">
      <c r="C1546" s="100"/>
    </row>
    <row r="1547" spans="3:3">
      <c r="C1547" s="100"/>
    </row>
    <row r="1548" spans="3:3">
      <c r="C1548" s="100"/>
    </row>
    <row r="1549" spans="3:3">
      <c r="C1549" s="100"/>
    </row>
    <row r="1550" spans="3:3">
      <c r="C1550" s="100"/>
    </row>
    <row r="1551" spans="3:3">
      <c r="C1551" s="100"/>
    </row>
    <row r="1552" spans="3:3">
      <c r="C1552" s="100"/>
    </row>
    <row r="1553" spans="3:3">
      <c r="C1553" s="100"/>
    </row>
    <row r="1554" spans="3:3">
      <c r="C1554" s="100"/>
    </row>
    <row r="1555" spans="3:3">
      <c r="C1555" s="100"/>
    </row>
    <row r="1556" spans="3:3">
      <c r="C1556" s="100"/>
    </row>
    <row r="1557" spans="3:3">
      <c r="C1557" s="100"/>
    </row>
    <row r="1558" spans="3:3">
      <c r="C1558" s="100"/>
    </row>
    <row r="1559" spans="3:3">
      <c r="C1559" s="100"/>
    </row>
    <row r="1560" spans="3:3">
      <c r="C1560" s="100"/>
    </row>
    <row r="1561" spans="3:3">
      <c r="C1561" s="100"/>
    </row>
    <row r="1562" spans="3:3">
      <c r="C1562" s="100"/>
    </row>
    <row r="1563" spans="3:3">
      <c r="C1563" s="100"/>
    </row>
    <row r="1564" spans="3:3">
      <c r="C1564" s="100"/>
    </row>
    <row r="1565" spans="3:3">
      <c r="C1565" s="100"/>
    </row>
    <row r="1566" spans="3:3">
      <c r="C1566" s="100"/>
    </row>
    <row r="1567" spans="3:3">
      <c r="C1567" s="100"/>
    </row>
    <row r="1568" spans="3:3">
      <c r="C1568" s="100"/>
    </row>
    <row r="1569" spans="3:3">
      <c r="C1569" s="100"/>
    </row>
    <row r="1570" spans="3:3">
      <c r="C1570" s="100"/>
    </row>
    <row r="1571" spans="3:3">
      <c r="C1571" s="100"/>
    </row>
    <row r="1572" spans="3:3">
      <c r="C1572" s="100"/>
    </row>
    <row r="1573" spans="3:3">
      <c r="C1573" s="100"/>
    </row>
    <row r="1574" spans="3:3">
      <c r="C1574" s="100"/>
    </row>
    <row r="1575" spans="3:3">
      <c r="C1575" s="100"/>
    </row>
    <row r="1576" spans="3:3">
      <c r="C1576" s="100"/>
    </row>
    <row r="1577" spans="3:3">
      <c r="C1577" s="100"/>
    </row>
    <row r="1578" spans="3:3">
      <c r="C1578" s="100"/>
    </row>
    <row r="1579" spans="3:3">
      <c r="C1579" s="100"/>
    </row>
    <row r="1580" spans="3:3">
      <c r="C1580" s="100"/>
    </row>
    <row r="1581" spans="3:3">
      <c r="C1581" s="100"/>
    </row>
    <row r="1582" spans="3:3">
      <c r="C1582" s="100"/>
    </row>
    <row r="1583" spans="3:3">
      <c r="C1583" s="100"/>
    </row>
    <row r="1584" spans="3:3">
      <c r="C1584" s="100"/>
    </row>
    <row r="1585" spans="3:3">
      <c r="C1585" s="100"/>
    </row>
    <row r="1586" spans="3:3">
      <c r="C1586" s="100"/>
    </row>
    <row r="1587" spans="3:3">
      <c r="C1587" s="100"/>
    </row>
    <row r="1588" spans="3:3">
      <c r="C1588" s="100"/>
    </row>
    <row r="1589" spans="3:3">
      <c r="C1589" s="100"/>
    </row>
    <row r="1590" spans="3:3">
      <c r="C1590" s="100"/>
    </row>
    <row r="1591" spans="3:3">
      <c r="C1591" s="100"/>
    </row>
    <row r="1592" spans="3:3">
      <c r="C1592" s="100"/>
    </row>
    <row r="1593" spans="3:3">
      <c r="C1593" s="100"/>
    </row>
    <row r="1594" spans="3:3">
      <c r="C1594" s="100"/>
    </row>
    <row r="1595" spans="3:3">
      <c r="C1595" s="100"/>
    </row>
    <row r="1596" spans="3:3">
      <c r="C1596" s="100"/>
    </row>
    <row r="1597" spans="3:3">
      <c r="C1597" s="100"/>
    </row>
    <row r="1598" spans="3:3">
      <c r="C1598" s="100"/>
    </row>
    <row r="1599" spans="3:3">
      <c r="C1599" s="100"/>
    </row>
    <row r="1600" spans="3:3">
      <c r="C1600" s="100"/>
    </row>
    <row r="1601" spans="3:3">
      <c r="C1601" s="100"/>
    </row>
    <row r="1602" spans="3:3">
      <c r="C1602" s="100"/>
    </row>
    <row r="1603" spans="3:3">
      <c r="C1603" s="100"/>
    </row>
    <row r="1604" spans="3:3">
      <c r="C1604" s="100"/>
    </row>
    <row r="1605" spans="3:3">
      <c r="C1605" s="100"/>
    </row>
    <row r="1606" spans="3:3">
      <c r="C1606" s="100"/>
    </row>
    <row r="1607" spans="3:3">
      <c r="C1607" s="100"/>
    </row>
    <row r="1608" spans="3:3">
      <c r="C1608" s="100"/>
    </row>
    <row r="1609" spans="3:3">
      <c r="C1609" s="100"/>
    </row>
    <row r="1610" spans="3:3">
      <c r="C1610" s="100"/>
    </row>
    <row r="1611" spans="3:3">
      <c r="C1611" s="100"/>
    </row>
    <row r="1612" spans="3:3">
      <c r="C1612" s="100"/>
    </row>
    <row r="1613" spans="3:3">
      <c r="C1613" s="100"/>
    </row>
    <row r="1614" spans="3:3">
      <c r="C1614" s="100"/>
    </row>
    <row r="1615" spans="3:3">
      <c r="C1615" s="100"/>
    </row>
    <row r="1616" spans="3:3">
      <c r="C1616" s="100"/>
    </row>
    <row r="1617" spans="3:3">
      <c r="C1617" s="100"/>
    </row>
    <row r="1618" spans="3:3">
      <c r="C1618" s="100"/>
    </row>
    <row r="1619" spans="3:3">
      <c r="C1619" s="100"/>
    </row>
    <row r="1620" spans="3:3">
      <c r="C1620" s="100"/>
    </row>
    <row r="1621" spans="3:3">
      <c r="C1621" s="100"/>
    </row>
    <row r="1622" spans="3:3">
      <c r="C1622" s="100"/>
    </row>
    <row r="1623" spans="3:3">
      <c r="C1623" s="100"/>
    </row>
    <row r="1624" spans="3:3">
      <c r="C1624" s="100"/>
    </row>
    <row r="1625" spans="3:3">
      <c r="C1625" s="100"/>
    </row>
    <row r="1626" spans="3:3">
      <c r="C1626" s="100"/>
    </row>
    <row r="1627" spans="3:3">
      <c r="C1627" s="100"/>
    </row>
    <row r="1628" spans="3:3">
      <c r="C1628" s="100"/>
    </row>
    <row r="1629" spans="3:3">
      <c r="C1629" s="100"/>
    </row>
    <row r="1630" spans="3:3">
      <c r="C1630" s="100"/>
    </row>
    <row r="1631" spans="3:3">
      <c r="C1631" s="100"/>
    </row>
    <row r="1632" spans="3:3">
      <c r="C1632" s="100"/>
    </row>
    <row r="1633" spans="3:3">
      <c r="C1633" s="100"/>
    </row>
    <row r="1634" spans="3:3">
      <c r="C1634" s="100"/>
    </row>
    <row r="1635" spans="3:3">
      <c r="C1635" s="100"/>
    </row>
    <row r="1636" spans="3:3">
      <c r="C1636" s="100"/>
    </row>
    <row r="1637" spans="3:3">
      <c r="C1637" s="100"/>
    </row>
    <row r="1638" spans="3:3">
      <c r="C1638" s="100"/>
    </row>
    <row r="1639" spans="3:3">
      <c r="C1639" s="100"/>
    </row>
    <row r="1640" spans="3:3">
      <c r="C1640" s="100"/>
    </row>
    <row r="1641" spans="3:3">
      <c r="C1641" s="100"/>
    </row>
    <row r="1642" spans="3:3">
      <c r="C1642" s="100"/>
    </row>
    <row r="1643" spans="3:3">
      <c r="C1643" s="100"/>
    </row>
    <row r="1644" spans="3:3">
      <c r="C1644" s="100"/>
    </row>
    <row r="1645" spans="3:3">
      <c r="C1645" s="100"/>
    </row>
    <row r="1646" spans="3:3">
      <c r="C1646" s="100"/>
    </row>
    <row r="1647" spans="3:3">
      <c r="C1647" s="100"/>
    </row>
    <row r="1648" spans="3:3">
      <c r="C1648" s="100"/>
    </row>
    <row r="1649" spans="3:3">
      <c r="C1649" s="100"/>
    </row>
    <row r="1650" spans="3:3">
      <c r="C1650" s="100"/>
    </row>
    <row r="1651" spans="3:3">
      <c r="C1651" s="100"/>
    </row>
    <row r="1652" spans="3:3">
      <c r="C1652" s="100"/>
    </row>
    <row r="1653" spans="3:3">
      <c r="C1653" s="100"/>
    </row>
    <row r="1654" spans="3:3">
      <c r="C1654" s="100"/>
    </row>
    <row r="1655" spans="3:3">
      <c r="C1655" s="100"/>
    </row>
    <row r="1656" spans="3:3">
      <c r="C1656" s="100"/>
    </row>
    <row r="1657" spans="3:3">
      <c r="C1657" s="100"/>
    </row>
    <row r="1658" spans="3:3">
      <c r="C1658" s="100"/>
    </row>
    <row r="1659" spans="3:3">
      <c r="C1659" s="100"/>
    </row>
    <row r="1660" spans="3:3">
      <c r="C1660" s="100"/>
    </row>
    <row r="1661" spans="3:3">
      <c r="C1661" s="100"/>
    </row>
    <row r="1662" spans="3:3">
      <c r="C1662" s="100"/>
    </row>
    <row r="1663" spans="3:3">
      <c r="C1663" s="100"/>
    </row>
    <row r="1664" spans="3:3">
      <c r="C1664" s="100"/>
    </row>
    <row r="1665" spans="3:3">
      <c r="C1665" s="100"/>
    </row>
    <row r="1666" spans="3:3">
      <c r="C1666" s="100"/>
    </row>
    <row r="1667" spans="3:3">
      <c r="C1667" s="100"/>
    </row>
    <row r="1668" spans="3:3">
      <c r="C1668" s="100"/>
    </row>
    <row r="1669" spans="3:3">
      <c r="C1669" s="100"/>
    </row>
    <row r="1670" spans="3:3">
      <c r="C1670" s="100"/>
    </row>
    <row r="1671" spans="3:3">
      <c r="C1671" s="100"/>
    </row>
    <row r="1672" spans="3:3">
      <c r="C1672" s="100"/>
    </row>
    <row r="1673" spans="3:3">
      <c r="C1673" s="100"/>
    </row>
    <row r="1674" spans="3:3">
      <c r="C1674" s="100"/>
    </row>
    <row r="1675" spans="3:3">
      <c r="C1675" s="100"/>
    </row>
    <row r="1676" spans="3:3">
      <c r="C1676" s="100"/>
    </row>
    <row r="1677" spans="3:3">
      <c r="C1677" s="100"/>
    </row>
    <row r="1678" spans="3:3">
      <c r="C1678" s="100"/>
    </row>
    <row r="1679" spans="3:3">
      <c r="C1679" s="100"/>
    </row>
    <row r="1680" spans="3:3">
      <c r="C1680" s="100"/>
    </row>
    <row r="1681" spans="3:3">
      <c r="C1681" s="100"/>
    </row>
    <row r="1682" spans="3:3">
      <c r="C1682" s="100"/>
    </row>
    <row r="1683" spans="3:3">
      <c r="C1683" s="100"/>
    </row>
    <row r="1684" spans="3:3">
      <c r="C1684" s="100"/>
    </row>
    <row r="1685" spans="3:3">
      <c r="C1685" s="100"/>
    </row>
    <row r="1686" spans="3:3">
      <c r="C1686" s="100"/>
    </row>
    <row r="1687" spans="3:3">
      <c r="C1687" s="100"/>
    </row>
    <row r="1688" spans="3:3">
      <c r="C1688" s="100"/>
    </row>
    <row r="1689" spans="3:3">
      <c r="C1689" s="100"/>
    </row>
    <row r="1690" spans="3:3">
      <c r="C1690" s="100"/>
    </row>
    <row r="1691" spans="3:3">
      <c r="C1691" s="100"/>
    </row>
    <row r="1692" spans="3:3">
      <c r="C1692" s="100"/>
    </row>
    <row r="1693" spans="3:3">
      <c r="C1693" s="100"/>
    </row>
    <row r="1694" spans="3:3">
      <c r="C1694" s="100"/>
    </row>
    <row r="1695" spans="3:3">
      <c r="C1695" s="100"/>
    </row>
    <row r="1696" spans="3:3">
      <c r="C1696" s="100"/>
    </row>
    <row r="1697" spans="3:3">
      <c r="C1697" s="100"/>
    </row>
    <row r="1698" spans="3:3">
      <c r="C1698" s="100"/>
    </row>
    <row r="1699" spans="3:3">
      <c r="C1699" s="100"/>
    </row>
    <row r="1700" spans="3:3">
      <c r="C1700" s="100"/>
    </row>
    <row r="1701" spans="3:3">
      <c r="C1701" s="100"/>
    </row>
    <row r="1702" spans="3:3">
      <c r="C1702" s="100"/>
    </row>
    <row r="1703" spans="3:3">
      <c r="C1703" s="100"/>
    </row>
    <row r="1704" spans="3:3">
      <c r="C1704" s="100"/>
    </row>
    <row r="1705" spans="3:3">
      <c r="C1705" s="100"/>
    </row>
    <row r="1706" spans="3:3">
      <c r="C1706" s="100"/>
    </row>
    <row r="1707" spans="3:3">
      <c r="C1707" s="100"/>
    </row>
    <row r="1708" spans="3:3">
      <c r="C1708" s="100"/>
    </row>
    <row r="1709" spans="3:3">
      <c r="C1709" s="100"/>
    </row>
    <row r="1710" spans="3:3">
      <c r="C1710" s="100"/>
    </row>
    <row r="1711" spans="3:3">
      <c r="C1711" s="100"/>
    </row>
    <row r="1712" spans="3:3">
      <c r="C1712" s="100"/>
    </row>
    <row r="1713" spans="3:3">
      <c r="C1713" s="100"/>
    </row>
    <row r="1714" spans="3:3">
      <c r="C1714" s="100"/>
    </row>
    <row r="1715" spans="3:3">
      <c r="C1715" s="100"/>
    </row>
    <row r="1716" spans="3:3">
      <c r="C1716" s="100"/>
    </row>
    <row r="1717" spans="3:3">
      <c r="C1717" s="100"/>
    </row>
    <row r="1718" spans="3:3">
      <c r="C1718" s="100"/>
    </row>
    <row r="1719" spans="3:3">
      <c r="C1719" s="100"/>
    </row>
    <row r="1720" spans="3:3">
      <c r="C1720" s="100"/>
    </row>
    <row r="1721" spans="3:3">
      <c r="C1721" s="100"/>
    </row>
    <row r="1722" spans="3:3">
      <c r="C1722" s="100"/>
    </row>
    <row r="1723" spans="3:3">
      <c r="C1723" s="100"/>
    </row>
    <row r="1724" spans="3:3">
      <c r="C1724" s="100"/>
    </row>
    <row r="1725" spans="3:3">
      <c r="C1725" s="100"/>
    </row>
    <row r="1726" spans="3:3">
      <c r="C1726" s="100"/>
    </row>
    <row r="1727" spans="3:3">
      <c r="C1727" s="100"/>
    </row>
    <row r="1728" spans="3:3">
      <c r="C1728" s="100"/>
    </row>
    <row r="1729" spans="3:3">
      <c r="C1729" s="100"/>
    </row>
    <row r="1730" spans="3:3">
      <c r="C1730" s="100"/>
    </row>
    <row r="1731" spans="3:3">
      <c r="C1731" s="100"/>
    </row>
    <row r="1732" spans="3:3">
      <c r="C1732" s="100"/>
    </row>
    <row r="1733" spans="3:3">
      <c r="C1733" s="100"/>
    </row>
    <row r="1734" spans="3:3">
      <c r="C1734" s="100"/>
    </row>
    <row r="1735" spans="3:3">
      <c r="C1735" s="100"/>
    </row>
    <row r="1736" spans="3:3">
      <c r="C1736" s="100"/>
    </row>
    <row r="1737" spans="3:3">
      <c r="C1737" s="100"/>
    </row>
    <row r="1738" spans="3:3">
      <c r="C1738" s="100"/>
    </row>
    <row r="1739" spans="3:3">
      <c r="C1739" s="100"/>
    </row>
    <row r="1740" spans="3:3">
      <c r="C1740" s="100"/>
    </row>
    <row r="1741" spans="3:3">
      <c r="C1741" s="100"/>
    </row>
    <row r="1742" spans="3:3">
      <c r="C1742" s="100"/>
    </row>
    <row r="1743" spans="3:3">
      <c r="C1743" s="100"/>
    </row>
    <row r="1744" spans="3:3">
      <c r="C1744" s="100"/>
    </row>
    <row r="1745" spans="3:3">
      <c r="C1745" s="100"/>
    </row>
    <row r="1746" spans="3:3">
      <c r="C1746" s="100"/>
    </row>
    <row r="1747" spans="3:3">
      <c r="C1747" s="100"/>
    </row>
    <row r="1748" spans="3:3">
      <c r="C1748" s="100"/>
    </row>
    <row r="1749" spans="3:3">
      <c r="C1749" s="100"/>
    </row>
    <row r="1750" spans="3:3">
      <c r="C1750" s="100"/>
    </row>
    <row r="1751" spans="3:3">
      <c r="C1751" s="100"/>
    </row>
    <row r="1752" spans="3:3">
      <c r="C1752" s="100"/>
    </row>
    <row r="1753" spans="3:3">
      <c r="C1753" s="100"/>
    </row>
    <row r="1754" spans="3:3">
      <c r="C1754" s="100"/>
    </row>
    <row r="1755" spans="3:3">
      <c r="C1755" s="100"/>
    </row>
    <row r="1756" spans="3:3">
      <c r="C1756" s="100"/>
    </row>
    <row r="1757" spans="3:3">
      <c r="C1757" s="100"/>
    </row>
    <row r="1758" spans="3:3">
      <c r="C1758" s="100"/>
    </row>
    <row r="1759" spans="3:3">
      <c r="C1759" s="100"/>
    </row>
    <row r="1760" spans="3:3">
      <c r="C1760" s="100"/>
    </row>
    <row r="1761" spans="3:3">
      <c r="C1761" s="100"/>
    </row>
    <row r="1762" spans="3:3">
      <c r="C1762" s="100"/>
    </row>
    <row r="1763" spans="3:3">
      <c r="C1763" s="100"/>
    </row>
    <row r="1764" spans="3:3">
      <c r="C1764" s="100"/>
    </row>
    <row r="1765" spans="3:3">
      <c r="C1765" s="100"/>
    </row>
    <row r="1766" spans="3:3">
      <c r="C1766" s="100"/>
    </row>
    <row r="1767" spans="3:3">
      <c r="C1767" s="100"/>
    </row>
    <row r="1768" spans="3:3">
      <c r="C1768" s="100"/>
    </row>
    <row r="1769" spans="3:3">
      <c r="C1769" s="100"/>
    </row>
    <row r="1770" spans="3:3">
      <c r="C1770" s="100"/>
    </row>
    <row r="1771" spans="3:3">
      <c r="C1771" s="100"/>
    </row>
    <row r="1772" spans="3:3">
      <c r="C1772" s="100"/>
    </row>
    <row r="1773" spans="3:3">
      <c r="C1773" s="100"/>
    </row>
    <row r="1774" spans="3:3">
      <c r="C1774" s="100"/>
    </row>
    <row r="1775" spans="3:3">
      <c r="C1775" s="100"/>
    </row>
    <row r="1776" spans="3:3">
      <c r="C1776" s="100"/>
    </row>
    <row r="1777" spans="3:3">
      <c r="C1777" s="100"/>
    </row>
    <row r="1778" spans="3:3">
      <c r="C1778" s="100"/>
    </row>
    <row r="1779" spans="3:3">
      <c r="C1779" s="100"/>
    </row>
    <row r="1780" spans="3:3">
      <c r="C1780" s="100"/>
    </row>
    <row r="1781" spans="3:3">
      <c r="C1781" s="100"/>
    </row>
    <row r="1782" spans="3:3">
      <c r="C1782" s="100"/>
    </row>
    <row r="1783" spans="3:3">
      <c r="C1783" s="100"/>
    </row>
    <row r="1784" spans="3:3">
      <c r="C1784" s="100"/>
    </row>
    <row r="1785" spans="3:3">
      <c r="C1785" s="100"/>
    </row>
    <row r="1786" spans="3:3">
      <c r="C1786" s="100"/>
    </row>
    <row r="1787" spans="3:3">
      <c r="C1787" s="100"/>
    </row>
    <row r="1788" spans="3:3">
      <c r="C1788" s="100"/>
    </row>
    <row r="1789" spans="3:3">
      <c r="C1789" s="100"/>
    </row>
    <row r="1790" spans="3:3">
      <c r="C1790" s="100"/>
    </row>
    <row r="1791" spans="3:3">
      <c r="C1791" s="100"/>
    </row>
    <row r="1792" spans="3:3">
      <c r="C1792" s="100"/>
    </row>
    <row r="1793" spans="3:3">
      <c r="C1793" s="100"/>
    </row>
    <row r="1794" spans="3:3">
      <c r="C1794" s="100"/>
    </row>
    <row r="1795" spans="3:3">
      <c r="C1795" s="100"/>
    </row>
    <row r="1796" spans="3:3">
      <c r="C1796" s="100"/>
    </row>
    <row r="1797" spans="3:3">
      <c r="C1797" s="100"/>
    </row>
    <row r="1798" spans="3:3">
      <c r="C1798" s="100"/>
    </row>
    <row r="1799" spans="3:3">
      <c r="C1799" s="100"/>
    </row>
    <row r="1800" spans="3:3">
      <c r="C1800" s="100"/>
    </row>
    <row r="1801" spans="3:3">
      <c r="C1801" s="100"/>
    </row>
    <row r="1802" spans="3:3">
      <c r="C1802" s="100"/>
    </row>
    <row r="1803" spans="3:3">
      <c r="C1803" s="100"/>
    </row>
    <row r="1804" spans="3:3">
      <c r="C1804" s="100"/>
    </row>
    <row r="1805" spans="3:3">
      <c r="C1805" s="100"/>
    </row>
    <row r="1806" spans="3:3">
      <c r="C1806" s="100"/>
    </row>
    <row r="1807" spans="3:3">
      <c r="C1807" s="100"/>
    </row>
    <row r="1808" spans="3:3">
      <c r="C1808" s="100"/>
    </row>
    <row r="1809" spans="3:3">
      <c r="C1809" s="100"/>
    </row>
    <row r="1810" spans="3:3">
      <c r="C1810" s="100"/>
    </row>
    <row r="1811" spans="3:3">
      <c r="C1811" s="100"/>
    </row>
    <row r="1812" spans="3:3">
      <c r="C1812" s="100"/>
    </row>
    <row r="1813" spans="3:3">
      <c r="C1813" s="100"/>
    </row>
    <row r="1814" spans="3:3">
      <c r="C1814" s="100"/>
    </row>
    <row r="1815" spans="3:3">
      <c r="C1815" s="100"/>
    </row>
    <row r="1816" spans="3:3">
      <c r="C1816" s="100"/>
    </row>
    <row r="1817" spans="3:3">
      <c r="C1817" s="100"/>
    </row>
    <row r="1818" spans="3:3">
      <c r="C1818" s="100"/>
    </row>
    <row r="1819" spans="3:3">
      <c r="C1819" s="100"/>
    </row>
    <row r="1820" spans="3:3">
      <c r="C1820" s="100"/>
    </row>
    <row r="1821" spans="3:3">
      <c r="C1821" s="100"/>
    </row>
    <row r="1822" spans="3:3">
      <c r="C1822" s="100"/>
    </row>
    <row r="1823" spans="3:3">
      <c r="C1823" s="100"/>
    </row>
    <row r="1824" spans="3:3">
      <c r="C1824" s="100"/>
    </row>
    <row r="1825" spans="3:3">
      <c r="C1825" s="100"/>
    </row>
    <row r="1826" spans="3:3">
      <c r="C1826" s="100"/>
    </row>
    <row r="1827" spans="3:3">
      <c r="C1827" s="100"/>
    </row>
    <row r="1828" spans="3:3">
      <c r="C1828" s="100"/>
    </row>
    <row r="1829" spans="3:3">
      <c r="C1829" s="100"/>
    </row>
    <row r="1830" spans="3:3">
      <c r="C1830" s="100"/>
    </row>
    <row r="1831" spans="3:3">
      <c r="C1831" s="100"/>
    </row>
    <row r="1832" spans="3:3">
      <c r="C1832" s="100"/>
    </row>
    <row r="1833" spans="3:3">
      <c r="C1833" s="100"/>
    </row>
    <row r="1834" spans="3:3">
      <c r="C1834" s="100"/>
    </row>
    <row r="1835" spans="3:3">
      <c r="C1835" s="100"/>
    </row>
    <row r="1836" spans="3:3">
      <c r="C1836" s="100"/>
    </row>
    <row r="1837" spans="3:3">
      <c r="C1837" s="100"/>
    </row>
    <row r="1838" spans="3:3">
      <c r="C1838" s="100"/>
    </row>
    <row r="1839" spans="3:3">
      <c r="C1839" s="100"/>
    </row>
    <row r="1840" spans="3:3">
      <c r="C1840" s="100"/>
    </row>
    <row r="1841" spans="3:3">
      <c r="C1841" s="100"/>
    </row>
    <row r="1842" spans="3:3">
      <c r="C1842" s="100"/>
    </row>
    <row r="1843" spans="3:3">
      <c r="C1843" s="100"/>
    </row>
    <row r="1844" spans="3:3">
      <c r="C1844" s="100"/>
    </row>
    <row r="1845" spans="3:3">
      <c r="C1845" s="100"/>
    </row>
    <row r="1846" spans="3:3">
      <c r="C1846" s="100"/>
    </row>
    <row r="1847" spans="3:3">
      <c r="C1847" s="100"/>
    </row>
    <row r="1848" spans="3:3">
      <c r="C1848" s="100"/>
    </row>
    <row r="1849" spans="3:3">
      <c r="C1849" s="100"/>
    </row>
    <row r="1850" spans="3:3">
      <c r="C1850" s="100"/>
    </row>
    <row r="1851" spans="3:3">
      <c r="C1851" s="100"/>
    </row>
    <row r="1852" spans="3:3">
      <c r="C1852" s="100"/>
    </row>
    <row r="1853" spans="3:3">
      <c r="C1853" s="100"/>
    </row>
    <row r="1854" spans="3:3">
      <c r="C1854" s="100"/>
    </row>
    <row r="1855" spans="3:3">
      <c r="C1855" s="100"/>
    </row>
    <row r="1856" spans="3:3">
      <c r="C1856" s="100"/>
    </row>
    <row r="1857" spans="3:3">
      <c r="C1857" s="100"/>
    </row>
    <row r="1858" spans="3:3">
      <c r="C1858" s="100"/>
    </row>
    <row r="1859" spans="3:3">
      <c r="C1859" s="100"/>
    </row>
    <row r="1860" spans="3:3">
      <c r="C1860" s="100"/>
    </row>
    <row r="1861" spans="3:3">
      <c r="C1861" s="100"/>
    </row>
    <row r="1862" spans="3:3">
      <c r="C1862" s="100"/>
    </row>
    <row r="1863" spans="3:3">
      <c r="C1863" s="100"/>
    </row>
    <row r="1864" spans="3:3">
      <c r="C1864" s="100"/>
    </row>
    <row r="1865" spans="3:3">
      <c r="C1865" s="100"/>
    </row>
    <row r="1866" spans="3:3">
      <c r="C1866" s="100"/>
    </row>
    <row r="1867" spans="3:3">
      <c r="C1867" s="100"/>
    </row>
    <row r="1868" spans="3:3">
      <c r="C1868" s="100"/>
    </row>
    <row r="1869" spans="3:3">
      <c r="C1869" s="100"/>
    </row>
    <row r="1870" spans="3:3">
      <c r="C1870" s="100"/>
    </row>
    <row r="1871" spans="3:3">
      <c r="C1871" s="100"/>
    </row>
    <row r="1872" spans="3:3">
      <c r="C1872" s="100"/>
    </row>
    <row r="1873" spans="3:3">
      <c r="C1873" s="100"/>
    </row>
    <row r="1874" spans="3:3">
      <c r="C1874" s="100"/>
    </row>
    <row r="1875" spans="3:3">
      <c r="C1875" s="100"/>
    </row>
    <row r="1876" spans="3:3">
      <c r="C1876" s="100"/>
    </row>
    <row r="1877" spans="3:3">
      <c r="C1877" s="100"/>
    </row>
    <row r="1878" spans="3:3">
      <c r="C1878" s="100"/>
    </row>
    <row r="1879" spans="3:3">
      <c r="C1879" s="100"/>
    </row>
    <row r="1880" spans="3:3">
      <c r="C1880" s="100"/>
    </row>
    <row r="1881" spans="3:3">
      <c r="C1881" s="100"/>
    </row>
    <row r="1882" spans="3:3">
      <c r="C1882" s="100"/>
    </row>
    <row r="1883" spans="3:3">
      <c r="C1883" s="100"/>
    </row>
    <row r="1884" spans="3:3">
      <c r="C1884" s="100"/>
    </row>
    <row r="1885" spans="3:3">
      <c r="C1885" s="100"/>
    </row>
    <row r="1886" spans="3:3">
      <c r="C1886" s="100"/>
    </row>
    <row r="1887" spans="3:3">
      <c r="C1887" s="100"/>
    </row>
    <row r="1888" spans="3:3">
      <c r="C1888" s="100"/>
    </row>
    <row r="1889" spans="3:3">
      <c r="C1889" s="100"/>
    </row>
    <row r="1890" spans="3:3">
      <c r="C1890" s="100"/>
    </row>
    <row r="1891" spans="3:3">
      <c r="C1891" s="100"/>
    </row>
    <row r="1892" spans="3:3">
      <c r="C1892" s="100"/>
    </row>
    <row r="1893" spans="3:3">
      <c r="C1893" s="100"/>
    </row>
    <row r="1894" spans="3:3">
      <c r="C1894" s="100"/>
    </row>
    <row r="1895" spans="3:3">
      <c r="C1895" s="100"/>
    </row>
    <row r="1896" spans="3:3">
      <c r="C1896" s="100"/>
    </row>
    <row r="1897" spans="3:3">
      <c r="C1897" s="100"/>
    </row>
    <row r="1898" spans="3:3">
      <c r="C1898" s="100"/>
    </row>
    <row r="1899" spans="3:3">
      <c r="C1899" s="100"/>
    </row>
    <row r="1900" spans="3:3">
      <c r="C1900" s="100"/>
    </row>
    <row r="1901" spans="3:3">
      <c r="C1901" s="100"/>
    </row>
    <row r="1902" spans="3:3">
      <c r="C1902" s="100"/>
    </row>
    <row r="1903" spans="3:3">
      <c r="C1903" s="100"/>
    </row>
    <row r="1904" spans="3:3">
      <c r="C1904" s="100"/>
    </row>
    <row r="1905" spans="3:3">
      <c r="C1905" s="100"/>
    </row>
    <row r="1906" spans="3:3">
      <c r="C1906" s="100"/>
    </row>
    <row r="1907" spans="3:3">
      <c r="C1907" s="100"/>
    </row>
    <row r="1908" spans="3:3">
      <c r="C1908" s="100"/>
    </row>
    <row r="1909" spans="3:3">
      <c r="C1909" s="100"/>
    </row>
    <row r="1910" spans="3:3">
      <c r="C1910" s="100"/>
    </row>
    <row r="1911" spans="3:3">
      <c r="C1911" s="100"/>
    </row>
    <row r="1912" spans="3:3">
      <c r="C1912" s="100"/>
    </row>
    <row r="1913" spans="3:3">
      <c r="C1913" s="100"/>
    </row>
    <row r="1914" spans="3:3">
      <c r="C1914" s="100"/>
    </row>
    <row r="1915" spans="3:3">
      <c r="C1915" s="100"/>
    </row>
    <row r="1916" spans="3:3">
      <c r="C1916" s="100"/>
    </row>
    <row r="1917" spans="3:3">
      <c r="C1917" s="100"/>
    </row>
    <row r="1918" spans="3:3">
      <c r="C1918" s="100"/>
    </row>
    <row r="1919" spans="3:3">
      <c r="C1919" s="100"/>
    </row>
    <row r="1920" spans="3:3">
      <c r="C1920" s="100"/>
    </row>
    <row r="1921" spans="3:3">
      <c r="C1921" s="100"/>
    </row>
    <row r="1922" spans="3:3">
      <c r="C1922" s="100"/>
    </row>
    <row r="1923" spans="3:3">
      <c r="C1923" s="100"/>
    </row>
    <row r="1924" spans="3:3">
      <c r="C1924" s="100"/>
    </row>
    <row r="1925" spans="3:3">
      <c r="C1925" s="100"/>
    </row>
    <row r="1926" spans="3:3">
      <c r="C1926" s="100"/>
    </row>
    <row r="1927" spans="3:3">
      <c r="C1927" s="100"/>
    </row>
    <row r="1928" spans="3:3">
      <c r="C1928" s="100"/>
    </row>
    <row r="1929" spans="3:3">
      <c r="C1929" s="100"/>
    </row>
    <row r="1930" spans="3:3">
      <c r="C1930" s="100"/>
    </row>
    <row r="1931" spans="3:3">
      <c r="C1931" s="100"/>
    </row>
    <row r="1932" spans="3:3">
      <c r="C1932" s="100"/>
    </row>
    <row r="1933" spans="3:3">
      <c r="C1933" s="100"/>
    </row>
    <row r="1934" spans="3:3">
      <c r="C1934" s="100"/>
    </row>
    <row r="1935" spans="3:3">
      <c r="C1935" s="100"/>
    </row>
    <row r="1936" spans="3:3">
      <c r="C1936" s="100"/>
    </row>
    <row r="1937" spans="3:3">
      <c r="C1937" s="100"/>
    </row>
    <row r="1938" spans="3:3">
      <c r="C1938" s="100"/>
    </row>
    <row r="1939" spans="3:3">
      <c r="C1939" s="100"/>
    </row>
    <row r="1940" spans="3:3">
      <c r="C1940" s="100"/>
    </row>
    <row r="1941" spans="3:3">
      <c r="C1941" s="100"/>
    </row>
    <row r="1942" spans="3:3">
      <c r="C1942" s="100"/>
    </row>
    <row r="1943" spans="3:3">
      <c r="C1943" s="100"/>
    </row>
    <row r="1944" spans="3:3">
      <c r="C1944" s="100"/>
    </row>
    <row r="1945" spans="3:3">
      <c r="C1945" s="100"/>
    </row>
    <row r="1946" spans="3:3">
      <c r="C1946" s="100"/>
    </row>
    <row r="1947" spans="3:3">
      <c r="C1947" s="100"/>
    </row>
    <row r="1948" spans="3:3">
      <c r="C1948" s="100"/>
    </row>
    <row r="1949" spans="3:3">
      <c r="C1949" s="100"/>
    </row>
    <row r="1950" spans="3:3">
      <c r="C1950" s="100"/>
    </row>
    <row r="1951" spans="3:3">
      <c r="C1951" s="100"/>
    </row>
    <row r="1952" spans="3:3">
      <c r="C1952" s="100"/>
    </row>
    <row r="1953" spans="3:3">
      <c r="C1953" s="100"/>
    </row>
    <row r="1954" spans="3:3">
      <c r="C1954" s="100"/>
    </row>
    <row r="1955" spans="3:3">
      <c r="C1955" s="100"/>
    </row>
    <row r="1956" spans="3:3">
      <c r="C1956" s="100"/>
    </row>
    <row r="1957" spans="3:3">
      <c r="C1957" s="100"/>
    </row>
    <row r="1958" spans="3:3">
      <c r="C1958" s="100"/>
    </row>
    <row r="1959" spans="3:3">
      <c r="C1959" s="100"/>
    </row>
    <row r="1960" spans="3:3">
      <c r="C1960" s="100"/>
    </row>
    <row r="1961" spans="3:3">
      <c r="C1961" s="100"/>
    </row>
    <row r="1962" spans="3:3">
      <c r="C1962" s="100"/>
    </row>
    <row r="1963" spans="3:3">
      <c r="C1963" s="100"/>
    </row>
    <row r="1964" spans="3:3">
      <c r="C1964" s="100"/>
    </row>
    <row r="1965" spans="3:3">
      <c r="C1965" s="100"/>
    </row>
    <row r="1966" spans="3:3">
      <c r="C1966" s="100"/>
    </row>
    <row r="1967" spans="3:3">
      <c r="C1967" s="100"/>
    </row>
    <row r="1968" spans="3:3">
      <c r="C1968" s="100"/>
    </row>
    <row r="1969" spans="3:3">
      <c r="C1969" s="100"/>
    </row>
    <row r="1970" spans="3:3">
      <c r="C1970" s="100"/>
    </row>
    <row r="1971" spans="3:3">
      <c r="C1971" s="100"/>
    </row>
    <row r="1972" spans="3:3">
      <c r="C1972" s="100"/>
    </row>
    <row r="1973" spans="3:3">
      <c r="C1973" s="100"/>
    </row>
    <row r="1974" spans="3:3">
      <c r="C1974" s="100"/>
    </row>
    <row r="1975" spans="3:3">
      <c r="C1975" s="100"/>
    </row>
    <row r="1976" spans="3:3">
      <c r="C1976" s="100"/>
    </row>
    <row r="1977" spans="3:3">
      <c r="C1977" s="100"/>
    </row>
    <row r="1978" spans="3:3">
      <c r="C1978" s="100"/>
    </row>
    <row r="1979" spans="3:3">
      <c r="C1979" s="100"/>
    </row>
    <row r="1980" spans="3:3">
      <c r="C1980" s="100"/>
    </row>
    <row r="1981" spans="3:3">
      <c r="C1981" s="100"/>
    </row>
    <row r="1982" spans="3:3">
      <c r="C1982" s="100"/>
    </row>
    <row r="1983" spans="3:3">
      <c r="C1983" s="100"/>
    </row>
    <row r="1984" spans="3:3">
      <c r="C1984" s="100"/>
    </row>
    <row r="1985" spans="3:3">
      <c r="C1985" s="100"/>
    </row>
    <row r="1986" spans="3:3">
      <c r="C1986" s="100"/>
    </row>
    <row r="1987" spans="3:3">
      <c r="C1987" s="100"/>
    </row>
    <row r="1988" spans="3:3">
      <c r="C1988" s="100"/>
    </row>
    <row r="1989" spans="3:3">
      <c r="C1989" s="100"/>
    </row>
    <row r="1990" spans="3:3">
      <c r="C1990" s="100"/>
    </row>
    <row r="1991" spans="3:3">
      <c r="C1991" s="100"/>
    </row>
    <row r="1992" spans="3:3">
      <c r="C1992" s="100"/>
    </row>
    <row r="1993" spans="3:3">
      <c r="C1993" s="100"/>
    </row>
    <row r="1994" spans="3:3">
      <c r="C1994" s="100"/>
    </row>
    <row r="1995" spans="3:3">
      <c r="C1995" s="100"/>
    </row>
    <row r="1996" spans="3:3">
      <c r="C1996" s="100"/>
    </row>
    <row r="1997" spans="3:3">
      <c r="C1997" s="100"/>
    </row>
    <row r="1998" spans="3:3">
      <c r="C1998" s="100"/>
    </row>
    <row r="1999" spans="3:3">
      <c r="C1999" s="100"/>
    </row>
    <row r="2000" spans="3:3">
      <c r="C2000" s="100"/>
    </row>
    <row r="2001" spans="3:3">
      <c r="C2001" s="100"/>
    </row>
    <row r="2002" spans="3:3">
      <c r="C2002" s="100"/>
    </row>
    <row r="2003" spans="3:3">
      <c r="C2003" s="100"/>
    </row>
    <row r="2004" spans="3:3">
      <c r="C2004" s="100"/>
    </row>
    <row r="2005" spans="3:3">
      <c r="C2005" s="100"/>
    </row>
    <row r="2006" spans="3:3">
      <c r="C2006" s="100"/>
    </row>
    <row r="2007" spans="3:3">
      <c r="C2007" s="100"/>
    </row>
    <row r="2008" spans="3:3">
      <c r="C2008" s="100"/>
    </row>
    <row r="2009" spans="3:3">
      <c r="C2009" s="100"/>
    </row>
    <row r="2010" spans="3:3">
      <c r="C2010" s="100"/>
    </row>
    <row r="2011" spans="3:3">
      <c r="C2011" s="100"/>
    </row>
    <row r="2012" spans="3:3">
      <c r="C2012" s="100"/>
    </row>
    <row r="2013" spans="3:3">
      <c r="C2013" s="100"/>
    </row>
    <row r="2014" spans="3:3">
      <c r="C2014" s="100"/>
    </row>
    <row r="2015" spans="3:3">
      <c r="C2015" s="100"/>
    </row>
    <row r="2016" spans="3:3">
      <c r="C2016" s="100"/>
    </row>
    <row r="2017" spans="3:3">
      <c r="C2017" s="100"/>
    </row>
    <row r="2018" spans="3:3">
      <c r="C2018" s="100"/>
    </row>
    <row r="2019" spans="3:3">
      <c r="C2019" s="100"/>
    </row>
    <row r="2020" spans="3:3">
      <c r="C2020" s="100"/>
    </row>
    <row r="2021" spans="3:3">
      <c r="C2021" s="100"/>
    </row>
    <row r="2022" spans="3:3">
      <c r="C2022" s="100"/>
    </row>
    <row r="2023" spans="3:3">
      <c r="C2023" s="100"/>
    </row>
    <row r="2024" spans="3:3">
      <c r="C2024" s="100"/>
    </row>
    <row r="2025" spans="3:3">
      <c r="C2025" s="100"/>
    </row>
    <row r="2026" spans="3:3">
      <c r="C2026" s="100"/>
    </row>
    <row r="2027" spans="3:3">
      <c r="C2027" s="100"/>
    </row>
    <row r="2028" spans="3:3">
      <c r="C2028" s="100"/>
    </row>
    <row r="2029" spans="3:3">
      <c r="C2029" s="100"/>
    </row>
    <row r="2030" spans="3:3">
      <c r="C2030" s="100"/>
    </row>
    <row r="2031" spans="3:3">
      <c r="C2031" s="100"/>
    </row>
    <row r="2032" spans="3:3">
      <c r="C2032" s="100"/>
    </row>
    <row r="2033" spans="3:3">
      <c r="C2033" s="100"/>
    </row>
    <row r="2034" spans="3:3">
      <c r="C2034" s="100"/>
    </row>
    <row r="2035" spans="3:3">
      <c r="C2035" s="100"/>
    </row>
    <row r="2036" spans="3:3">
      <c r="C2036" s="100"/>
    </row>
    <row r="2037" spans="3:3">
      <c r="C2037" s="100"/>
    </row>
    <row r="2038" spans="3:3">
      <c r="C2038" s="100"/>
    </row>
    <row r="2039" spans="3:3">
      <c r="C2039" s="100"/>
    </row>
    <row r="2040" spans="3:3">
      <c r="C2040" s="100"/>
    </row>
    <row r="2041" spans="3:3">
      <c r="C2041" s="100"/>
    </row>
    <row r="2042" spans="3:3">
      <c r="C2042" s="100"/>
    </row>
    <row r="2043" spans="3:3">
      <c r="C2043" s="100"/>
    </row>
    <row r="2044" spans="3:3">
      <c r="C2044" s="100"/>
    </row>
    <row r="2045" spans="3:3">
      <c r="C2045" s="100"/>
    </row>
    <row r="2046" spans="3:3">
      <c r="C2046" s="100"/>
    </row>
    <row r="2047" spans="3:3">
      <c r="C2047" s="100"/>
    </row>
    <row r="2048" spans="3:3">
      <c r="C2048" s="100"/>
    </row>
    <row r="2049" spans="3:3">
      <c r="C2049" s="100"/>
    </row>
    <row r="2050" spans="3:3">
      <c r="C2050" s="100"/>
    </row>
    <row r="2051" spans="3:3">
      <c r="C2051" s="100"/>
    </row>
    <row r="2052" spans="3:3">
      <c r="C2052" s="100"/>
    </row>
    <row r="2053" spans="3:3">
      <c r="C2053" s="100"/>
    </row>
    <row r="2054" spans="3:3">
      <c r="C2054" s="100"/>
    </row>
    <row r="2055" spans="3:3">
      <c r="C2055" s="100"/>
    </row>
    <row r="2056" spans="3:3">
      <c r="C2056" s="100"/>
    </row>
    <row r="2057" spans="3:3">
      <c r="C2057" s="100"/>
    </row>
    <row r="2058" spans="3:3">
      <c r="C2058" s="100"/>
    </row>
    <row r="2059" spans="3:3">
      <c r="C2059" s="100"/>
    </row>
    <row r="2060" spans="3:3">
      <c r="C2060" s="100"/>
    </row>
    <row r="2061" spans="3:3">
      <c r="C2061" s="100"/>
    </row>
    <row r="2062" spans="3:3">
      <c r="C2062" s="100"/>
    </row>
    <row r="2063" spans="3:3">
      <c r="C2063" s="100"/>
    </row>
    <row r="2064" spans="3:3">
      <c r="C2064" s="100"/>
    </row>
    <row r="2065" spans="3:3">
      <c r="C2065" s="100"/>
    </row>
    <row r="2066" spans="3:3">
      <c r="C2066" s="100"/>
    </row>
    <row r="2067" spans="3:3">
      <c r="C2067" s="100"/>
    </row>
    <row r="2068" spans="3:3">
      <c r="C2068" s="100"/>
    </row>
    <row r="2069" spans="3:3">
      <c r="C2069" s="100"/>
    </row>
    <row r="2070" spans="3:3">
      <c r="C2070" s="100"/>
    </row>
    <row r="2071" spans="3:3">
      <c r="C2071" s="100"/>
    </row>
    <row r="2072" spans="3:3">
      <c r="C2072" s="100"/>
    </row>
    <row r="2073" spans="3:3">
      <c r="C2073" s="100"/>
    </row>
    <row r="2074" spans="3:3">
      <c r="C2074" s="100"/>
    </row>
    <row r="2075" spans="3:3">
      <c r="C2075" s="100"/>
    </row>
    <row r="2076" spans="3:3">
      <c r="C2076" s="100"/>
    </row>
    <row r="2077" spans="3:3">
      <c r="C2077" s="100"/>
    </row>
    <row r="2078" spans="3:3">
      <c r="C2078" s="100"/>
    </row>
    <row r="2079" spans="3:3">
      <c r="C2079" s="100"/>
    </row>
    <row r="2080" spans="3:3">
      <c r="C2080" s="100"/>
    </row>
    <row r="2081" spans="3:3">
      <c r="C2081" s="100"/>
    </row>
    <row r="2082" spans="3:3">
      <c r="C2082" s="100"/>
    </row>
    <row r="2083" spans="3:3">
      <c r="C2083" s="100"/>
    </row>
    <row r="2084" spans="3:3">
      <c r="C2084" s="100"/>
    </row>
    <row r="2085" spans="3:3">
      <c r="C2085" s="100"/>
    </row>
    <row r="2086" spans="3:3">
      <c r="C2086" s="100"/>
    </row>
    <row r="2087" spans="3:3">
      <c r="C2087" s="100"/>
    </row>
    <row r="2088" spans="3:3">
      <c r="C2088" s="100"/>
    </row>
    <row r="2089" spans="3:3">
      <c r="C2089" s="100"/>
    </row>
    <row r="2090" spans="3:3">
      <c r="C2090" s="100"/>
    </row>
    <row r="2091" spans="3:3">
      <c r="C2091" s="100"/>
    </row>
    <row r="2092" spans="3:3">
      <c r="C2092" s="100"/>
    </row>
    <row r="2093" spans="3:3">
      <c r="C2093" s="100"/>
    </row>
    <row r="2094" spans="3:3">
      <c r="C2094" s="100"/>
    </row>
    <row r="2095" spans="3:3">
      <c r="C2095" s="100"/>
    </row>
    <row r="2096" spans="3:3">
      <c r="C2096" s="100"/>
    </row>
    <row r="2097" spans="3:3">
      <c r="C2097" s="100"/>
    </row>
    <row r="2098" spans="3:3">
      <c r="C2098" s="100"/>
    </row>
    <row r="2099" spans="3:3">
      <c r="C2099" s="100"/>
    </row>
    <row r="2100" spans="3:3">
      <c r="C2100" s="100"/>
    </row>
    <row r="2101" spans="3:3">
      <c r="C2101" s="100"/>
    </row>
    <row r="2102" spans="3:3">
      <c r="C2102" s="100"/>
    </row>
    <row r="2103" spans="3:3">
      <c r="C2103" s="100"/>
    </row>
    <row r="2104" spans="3:3">
      <c r="C2104" s="100"/>
    </row>
    <row r="2105" spans="3:3">
      <c r="C2105" s="100"/>
    </row>
    <row r="2106" spans="3:3">
      <c r="C2106" s="100"/>
    </row>
    <row r="2107" spans="3:3">
      <c r="C2107" s="100"/>
    </row>
    <row r="2108" spans="3:3">
      <c r="C2108" s="100"/>
    </row>
    <row r="2109" spans="3:3">
      <c r="C2109" s="100"/>
    </row>
    <row r="2110" spans="3:3">
      <c r="C2110" s="100"/>
    </row>
    <row r="2111" spans="3:3">
      <c r="C2111" s="100"/>
    </row>
    <row r="2112" spans="3:3">
      <c r="C2112" s="100"/>
    </row>
    <row r="2113" spans="3:3">
      <c r="C2113" s="100"/>
    </row>
    <row r="2114" spans="3:3">
      <c r="C2114" s="100"/>
    </row>
    <row r="2115" spans="3:3">
      <c r="C2115" s="100"/>
    </row>
    <row r="2116" spans="3:3">
      <c r="C2116" s="100"/>
    </row>
    <row r="2117" spans="3:3">
      <c r="C2117" s="100"/>
    </row>
    <row r="2118" spans="3:3">
      <c r="C2118" s="100"/>
    </row>
    <row r="2119" spans="3:3">
      <c r="C2119" s="100"/>
    </row>
    <row r="2120" spans="3:3">
      <c r="C2120" s="100"/>
    </row>
    <row r="2121" spans="3:3">
      <c r="C2121" s="100"/>
    </row>
    <row r="2122" spans="3:3">
      <c r="C2122" s="100"/>
    </row>
    <row r="2123" spans="3:3">
      <c r="C2123" s="100"/>
    </row>
    <row r="2124" spans="3:3">
      <c r="C2124" s="100"/>
    </row>
    <row r="2125" spans="3:3">
      <c r="C2125" s="100"/>
    </row>
    <row r="2126" spans="3:3">
      <c r="C2126" s="100"/>
    </row>
    <row r="2127" spans="3:3">
      <c r="C2127" s="100"/>
    </row>
    <row r="2128" spans="3:3">
      <c r="C2128" s="100"/>
    </row>
    <row r="2129" spans="3:3">
      <c r="C2129" s="100"/>
    </row>
    <row r="2130" spans="3:3">
      <c r="C2130" s="100"/>
    </row>
    <row r="2131" spans="3:3">
      <c r="C2131" s="100"/>
    </row>
    <row r="2132" spans="3:3">
      <c r="C2132" s="100"/>
    </row>
    <row r="2133" spans="3:3">
      <c r="C2133" s="100"/>
    </row>
    <row r="2134" spans="3:3">
      <c r="C2134" s="100"/>
    </row>
    <row r="2135" spans="3:3">
      <c r="C2135" s="100"/>
    </row>
    <row r="2136" spans="3:3">
      <c r="C2136" s="100"/>
    </row>
    <row r="2137" spans="3:3">
      <c r="C2137" s="100"/>
    </row>
    <row r="2138" spans="3:3">
      <c r="C2138" s="100"/>
    </row>
    <row r="2139" spans="3:3">
      <c r="C2139" s="100"/>
    </row>
    <row r="2140" spans="3:3">
      <c r="C2140" s="100"/>
    </row>
    <row r="2141" spans="3:3">
      <c r="C2141" s="100"/>
    </row>
    <row r="2142" spans="3:3">
      <c r="C2142" s="100"/>
    </row>
    <row r="2143" spans="3:3">
      <c r="C2143" s="100"/>
    </row>
    <row r="2144" spans="3:3">
      <c r="C2144" s="100"/>
    </row>
    <row r="2145" spans="3:3">
      <c r="C2145" s="100"/>
    </row>
    <row r="2146" spans="3:3">
      <c r="C2146" s="100"/>
    </row>
    <row r="2147" spans="3:3">
      <c r="C2147" s="100"/>
    </row>
    <row r="2148" spans="3:3">
      <c r="C2148" s="100"/>
    </row>
    <row r="2149" spans="3:3">
      <c r="C2149" s="100"/>
    </row>
    <row r="2150" spans="3:3">
      <c r="C2150" s="100"/>
    </row>
    <row r="2151" spans="3:3">
      <c r="C2151" s="100"/>
    </row>
    <row r="2152" spans="3:3">
      <c r="C2152" s="100"/>
    </row>
    <row r="2153" spans="3:3">
      <c r="C2153" s="100"/>
    </row>
    <row r="2154" spans="3:3">
      <c r="C2154" s="100"/>
    </row>
    <row r="2155" spans="3:3">
      <c r="C2155" s="100"/>
    </row>
    <row r="2156" spans="3:3">
      <c r="C2156" s="100"/>
    </row>
    <row r="2157" spans="3:3">
      <c r="C2157" s="100"/>
    </row>
    <row r="2158" spans="3:3">
      <c r="C2158" s="100"/>
    </row>
    <row r="2159" spans="3:3">
      <c r="C2159" s="100"/>
    </row>
    <row r="2160" spans="3:3">
      <c r="C2160" s="100"/>
    </row>
    <row r="2161" spans="3:3">
      <c r="C2161" s="100"/>
    </row>
    <row r="2162" spans="3:3">
      <c r="C2162" s="100"/>
    </row>
    <row r="2163" spans="3:3">
      <c r="C2163" s="100"/>
    </row>
    <row r="2164" spans="3:3">
      <c r="C2164" s="100"/>
    </row>
    <row r="2165" spans="3:3">
      <c r="C2165" s="100"/>
    </row>
    <row r="2166" spans="3:3">
      <c r="C2166" s="100"/>
    </row>
    <row r="2167" spans="3:3">
      <c r="C2167" s="100"/>
    </row>
    <row r="2168" spans="3:3">
      <c r="C2168" s="100"/>
    </row>
    <row r="2169" spans="3:3">
      <c r="C2169" s="100"/>
    </row>
    <row r="2170" spans="3:3">
      <c r="C2170" s="100"/>
    </row>
    <row r="2171" spans="3:3">
      <c r="C2171" s="100"/>
    </row>
    <row r="2172" spans="3:3">
      <c r="C2172" s="100"/>
    </row>
    <row r="2173" spans="3:3">
      <c r="C2173" s="100"/>
    </row>
    <row r="2174" spans="3:3">
      <c r="C2174" s="100"/>
    </row>
    <row r="2175" spans="3:3">
      <c r="C2175" s="100"/>
    </row>
    <row r="2176" spans="3:3">
      <c r="C2176" s="100"/>
    </row>
    <row r="2177" spans="3:3">
      <c r="C2177" s="100"/>
    </row>
    <row r="2178" spans="3:3">
      <c r="C2178" s="100"/>
    </row>
    <row r="2179" spans="3:3">
      <c r="C2179" s="100"/>
    </row>
    <row r="2180" spans="3:3">
      <c r="C2180" s="100"/>
    </row>
    <row r="2181" spans="3:3">
      <c r="C2181" s="100"/>
    </row>
    <row r="2182" spans="3:3">
      <c r="C2182" s="100"/>
    </row>
    <row r="2183" spans="3:3">
      <c r="C2183" s="100"/>
    </row>
    <row r="2184" spans="3:3">
      <c r="C2184" s="100"/>
    </row>
    <row r="2185" spans="3:3">
      <c r="C2185" s="100"/>
    </row>
    <row r="2186" spans="3:3">
      <c r="C2186" s="100"/>
    </row>
    <row r="2187" spans="3:3">
      <c r="C2187" s="100"/>
    </row>
    <row r="2188" spans="3:3">
      <c r="C2188" s="100"/>
    </row>
    <row r="2189" spans="3:3">
      <c r="C2189" s="100"/>
    </row>
    <row r="2190" spans="3:3">
      <c r="C2190" s="100"/>
    </row>
    <row r="2191" spans="3:3">
      <c r="C2191" s="100"/>
    </row>
    <row r="2192" spans="3:3">
      <c r="C2192" s="100"/>
    </row>
    <row r="2193" spans="3:3">
      <c r="C2193" s="100"/>
    </row>
    <row r="2194" spans="3:3">
      <c r="C2194" s="100"/>
    </row>
    <row r="2195" spans="3:3">
      <c r="C2195" s="100"/>
    </row>
    <row r="2196" spans="3:3">
      <c r="C2196" s="100"/>
    </row>
    <row r="2197" spans="3:3">
      <c r="C2197" s="100"/>
    </row>
    <row r="2198" spans="3:3">
      <c r="C2198" s="100"/>
    </row>
    <row r="2199" spans="3:3">
      <c r="C2199" s="100"/>
    </row>
    <row r="2200" spans="3:3">
      <c r="C2200" s="100"/>
    </row>
    <row r="2201" spans="3:3">
      <c r="C2201" s="100"/>
    </row>
    <row r="2202" spans="3:3">
      <c r="C2202" s="100"/>
    </row>
    <row r="2203" spans="3:3">
      <c r="C2203" s="100"/>
    </row>
    <row r="2204" spans="3:3">
      <c r="C2204" s="100"/>
    </row>
    <row r="2205" spans="3:3">
      <c r="C2205" s="100"/>
    </row>
    <row r="2206" spans="3:3">
      <c r="C2206" s="100"/>
    </row>
    <row r="2207" spans="3:3">
      <c r="C2207" s="100"/>
    </row>
    <row r="2208" spans="3:3">
      <c r="C2208" s="100"/>
    </row>
    <row r="2209" spans="3:3">
      <c r="C2209" s="100"/>
    </row>
    <row r="2210" spans="3:3">
      <c r="C2210" s="100"/>
    </row>
    <row r="2211" spans="3:3">
      <c r="C2211" s="100"/>
    </row>
    <row r="2212" spans="3:3">
      <c r="C2212" s="100"/>
    </row>
    <row r="2213" spans="3:3">
      <c r="C2213" s="100"/>
    </row>
    <row r="2214" spans="3:3">
      <c r="C2214" s="100"/>
    </row>
    <row r="2215" spans="3:3">
      <c r="C2215" s="100"/>
    </row>
    <row r="2216" spans="3:3">
      <c r="C2216" s="100"/>
    </row>
    <row r="2217" spans="3:3">
      <c r="C2217" s="100"/>
    </row>
    <row r="2218" spans="3:3">
      <c r="C2218" s="100"/>
    </row>
    <row r="2219" spans="3:3">
      <c r="C2219" s="100"/>
    </row>
    <row r="2220" spans="3:3">
      <c r="C2220" s="100"/>
    </row>
    <row r="2221" spans="3:3">
      <c r="C2221" s="100"/>
    </row>
    <row r="2222" spans="3:3">
      <c r="C2222" s="100"/>
    </row>
    <row r="2223" spans="3:3">
      <c r="C2223" s="100"/>
    </row>
    <row r="2224" spans="3:3">
      <c r="C2224" s="100"/>
    </row>
    <row r="2225" spans="3:3">
      <c r="C2225" s="100"/>
    </row>
    <row r="2226" spans="3:3">
      <c r="C2226" s="100"/>
    </row>
    <row r="2227" spans="3:3">
      <c r="C2227" s="100"/>
    </row>
    <row r="2228" spans="3:3">
      <c r="C2228" s="100"/>
    </row>
    <row r="2229" spans="3:3">
      <c r="C2229" s="100"/>
    </row>
    <row r="2230" spans="3:3">
      <c r="C2230" s="100"/>
    </row>
    <row r="2231" spans="3:3">
      <c r="C2231" s="100"/>
    </row>
    <row r="2232" spans="3:3">
      <c r="C2232" s="100"/>
    </row>
    <row r="2233" spans="3:3">
      <c r="C2233" s="100"/>
    </row>
    <row r="2234" spans="3:3">
      <c r="C2234" s="100"/>
    </row>
    <row r="2235" spans="3:3">
      <c r="C2235" s="100"/>
    </row>
    <row r="2236" spans="3:3">
      <c r="C2236" s="100"/>
    </row>
    <row r="2237" spans="3:3">
      <c r="C2237" s="100"/>
    </row>
    <row r="2238" spans="3:3">
      <c r="C2238" s="100"/>
    </row>
    <row r="2239" spans="3:3">
      <c r="C2239" s="100"/>
    </row>
    <row r="2240" spans="3:3">
      <c r="C2240" s="100"/>
    </row>
    <row r="2241" spans="3:3">
      <c r="C2241" s="100"/>
    </row>
    <row r="2242" spans="3:3">
      <c r="C2242" s="100"/>
    </row>
    <row r="2243" spans="3:3">
      <c r="C2243" s="100"/>
    </row>
    <row r="2244" spans="3:3">
      <c r="C2244" s="100"/>
    </row>
    <row r="2245" spans="3:3">
      <c r="C2245" s="100"/>
    </row>
    <row r="2246" spans="3:3">
      <c r="C2246" s="100"/>
    </row>
    <row r="2247" spans="3:3">
      <c r="C2247" s="100"/>
    </row>
    <row r="2248" spans="3:3">
      <c r="C2248" s="100"/>
    </row>
    <row r="2249" spans="3:3">
      <c r="C2249" s="100"/>
    </row>
    <row r="2250" spans="3:3">
      <c r="C2250" s="100"/>
    </row>
    <row r="2251" spans="3:3">
      <c r="C2251" s="100"/>
    </row>
    <row r="2252" spans="3:3">
      <c r="C2252" s="100"/>
    </row>
    <row r="2253" spans="3:3">
      <c r="C2253" s="100"/>
    </row>
    <row r="2254" spans="3:3">
      <c r="C2254" s="100"/>
    </row>
    <row r="2255" spans="3:3">
      <c r="C2255" s="100"/>
    </row>
    <row r="2256" spans="3:3">
      <c r="C2256" s="100"/>
    </row>
    <row r="2257" spans="3:3">
      <c r="C2257" s="100"/>
    </row>
    <row r="2258" spans="3:3">
      <c r="C2258" s="100"/>
    </row>
    <row r="2259" spans="3:3">
      <c r="C2259" s="100"/>
    </row>
    <row r="2260" spans="3:3">
      <c r="C2260" s="100"/>
    </row>
    <row r="2261" spans="3:3">
      <c r="C2261" s="100"/>
    </row>
    <row r="2262" spans="3:3">
      <c r="C2262" s="100"/>
    </row>
    <row r="2263" spans="3:3">
      <c r="C2263" s="100"/>
    </row>
    <row r="2264" spans="3:3">
      <c r="C2264" s="100"/>
    </row>
    <row r="2265" spans="3:3">
      <c r="C2265" s="100"/>
    </row>
    <row r="2266" spans="3:3">
      <c r="C2266" s="100"/>
    </row>
    <row r="2267" spans="3:3">
      <c r="C2267" s="100"/>
    </row>
    <row r="2268" spans="3:3">
      <c r="C2268" s="100"/>
    </row>
    <row r="2269" spans="3:3">
      <c r="C2269" s="100"/>
    </row>
    <row r="2270" spans="3:3">
      <c r="C2270" s="100"/>
    </row>
    <row r="2271" spans="3:3">
      <c r="C2271" s="100"/>
    </row>
    <row r="2272" spans="3:3">
      <c r="C2272" s="100"/>
    </row>
    <row r="2273" spans="3:3">
      <c r="C2273" s="100"/>
    </row>
    <row r="2274" spans="3:3">
      <c r="C2274" s="100"/>
    </row>
    <row r="2275" spans="3:3">
      <c r="C2275" s="100"/>
    </row>
    <row r="2276" spans="3:3">
      <c r="C2276" s="100"/>
    </row>
    <row r="2277" spans="3:3">
      <c r="C2277" s="100"/>
    </row>
    <row r="2278" spans="3:3">
      <c r="C2278" s="100"/>
    </row>
    <row r="2279" spans="3:3">
      <c r="C2279" s="100"/>
    </row>
    <row r="2280" spans="3:3">
      <c r="C2280" s="100"/>
    </row>
    <row r="2281" spans="3:3">
      <c r="C2281" s="100"/>
    </row>
    <row r="2282" spans="3:3">
      <c r="C2282" s="100"/>
    </row>
    <row r="2283" spans="3:3">
      <c r="C2283" s="100"/>
    </row>
    <row r="2284" spans="3:3">
      <c r="C2284" s="100"/>
    </row>
    <row r="2285" spans="3:3">
      <c r="C2285" s="100"/>
    </row>
    <row r="2286" spans="3:3">
      <c r="C2286" s="100"/>
    </row>
    <row r="2287" spans="3:3">
      <c r="C2287" s="100"/>
    </row>
    <row r="2288" spans="3:3">
      <c r="C2288" s="100"/>
    </row>
    <row r="2289" spans="3:3">
      <c r="C2289" s="100"/>
    </row>
    <row r="2290" spans="3:3">
      <c r="C2290" s="100"/>
    </row>
    <row r="2291" spans="3:3">
      <c r="C2291" s="100"/>
    </row>
    <row r="2292" spans="3:3">
      <c r="C2292" s="100"/>
    </row>
    <row r="2293" spans="3:3">
      <c r="C2293" s="100"/>
    </row>
    <row r="2294" spans="3:3">
      <c r="C2294" s="100"/>
    </row>
    <row r="2295" spans="3:3">
      <c r="C2295" s="100"/>
    </row>
    <row r="2296" spans="3:3">
      <c r="C2296" s="100"/>
    </row>
    <row r="2297" spans="3:3">
      <c r="C2297" s="100"/>
    </row>
    <row r="2298" spans="3:3">
      <c r="C2298" s="100"/>
    </row>
    <row r="2299" spans="3:3">
      <c r="C2299" s="100"/>
    </row>
    <row r="2300" spans="3:3">
      <c r="C2300" s="100"/>
    </row>
    <row r="2301" spans="3:3">
      <c r="C2301" s="100"/>
    </row>
    <row r="2302" spans="3:3">
      <c r="C2302" s="100"/>
    </row>
    <row r="2303" spans="3:3">
      <c r="C2303" s="100"/>
    </row>
    <row r="2304" spans="3:3">
      <c r="C2304" s="100"/>
    </row>
    <row r="2305" spans="3:3">
      <c r="C2305" s="100"/>
    </row>
    <row r="2306" spans="3:3">
      <c r="C2306" s="100"/>
    </row>
    <row r="2307" spans="3:3">
      <c r="C2307" s="100"/>
    </row>
    <row r="2308" spans="3:3">
      <c r="C2308" s="100"/>
    </row>
    <row r="2309" spans="3:3">
      <c r="C2309" s="100"/>
    </row>
    <row r="2310" spans="3:3">
      <c r="C2310" s="100"/>
    </row>
    <row r="2311" spans="3:3">
      <c r="C2311" s="100"/>
    </row>
    <row r="2312" spans="3:3">
      <c r="C2312" s="100"/>
    </row>
    <row r="2313" spans="3:3">
      <c r="C2313" s="100"/>
    </row>
    <row r="2314" spans="3:3">
      <c r="C2314" s="100"/>
    </row>
    <row r="2315" spans="3:3">
      <c r="C2315" s="100"/>
    </row>
    <row r="2316" spans="3:3">
      <c r="C2316" s="100"/>
    </row>
    <row r="2317" spans="3:3">
      <c r="C2317" s="100"/>
    </row>
    <row r="2318" spans="3:3">
      <c r="C2318" s="100"/>
    </row>
    <row r="2319" spans="3:3">
      <c r="C2319" s="100"/>
    </row>
    <row r="2320" spans="3:3">
      <c r="C2320" s="100"/>
    </row>
    <row r="2321" spans="3:3">
      <c r="C2321" s="100"/>
    </row>
    <row r="2322" spans="3:3">
      <c r="C2322" s="100"/>
    </row>
    <row r="2323" spans="3:3">
      <c r="C2323" s="100"/>
    </row>
    <row r="2324" spans="3:3">
      <c r="C2324" s="100"/>
    </row>
    <row r="2325" spans="3:3">
      <c r="C2325" s="100"/>
    </row>
    <row r="2326" spans="3:3">
      <c r="C2326" s="100"/>
    </row>
    <row r="2327" spans="3:3">
      <c r="C2327" s="100"/>
    </row>
    <row r="2328" spans="3:3">
      <c r="C2328" s="100"/>
    </row>
    <row r="2329" spans="3:3">
      <c r="C2329" s="100"/>
    </row>
    <row r="2330" spans="3:3">
      <c r="C2330" s="100"/>
    </row>
    <row r="2331" spans="3:3">
      <c r="C2331" s="100"/>
    </row>
    <row r="2332" spans="3:3">
      <c r="C2332" s="100"/>
    </row>
    <row r="2333" spans="3:3">
      <c r="C2333" s="100"/>
    </row>
    <row r="2334" spans="3:3">
      <c r="C2334" s="100"/>
    </row>
    <row r="2335" spans="3:3">
      <c r="C2335" s="100"/>
    </row>
    <row r="2336" spans="3:3">
      <c r="C2336" s="100"/>
    </row>
    <row r="2337" spans="3:3">
      <c r="C2337" s="100"/>
    </row>
    <row r="2338" spans="3:3">
      <c r="C2338" s="100"/>
    </row>
    <row r="2339" spans="3:3">
      <c r="C2339" s="100"/>
    </row>
    <row r="2340" spans="3:3">
      <c r="C2340" s="100"/>
    </row>
    <row r="2341" spans="3:3">
      <c r="C2341" s="100"/>
    </row>
    <row r="2342" spans="3:3">
      <c r="C2342" s="100"/>
    </row>
    <row r="2343" spans="3:3">
      <c r="C2343" s="100"/>
    </row>
    <row r="2344" spans="3:3">
      <c r="C2344" s="100"/>
    </row>
    <row r="2345" spans="3:3">
      <c r="C2345" s="100"/>
    </row>
    <row r="2346" spans="3:3">
      <c r="C2346" s="100"/>
    </row>
    <row r="2347" spans="3:3">
      <c r="C2347" s="100"/>
    </row>
    <row r="2348" spans="3:3">
      <c r="C2348" s="100"/>
    </row>
    <row r="2349" spans="3:3">
      <c r="C2349" s="100"/>
    </row>
    <row r="2350" spans="3:3">
      <c r="C2350" s="100"/>
    </row>
    <row r="2351" spans="3:3">
      <c r="C2351" s="100"/>
    </row>
    <row r="2352" spans="3:3">
      <c r="C2352" s="100"/>
    </row>
    <row r="2353" spans="3:3">
      <c r="C2353" s="100"/>
    </row>
    <row r="2354" spans="3:3">
      <c r="C2354" s="100"/>
    </row>
    <row r="2355" spans="3:3">
      <c r="C2355" s="100"/>
    </row>
    <row r="2356" spans="3:3">
      <c r="C2356" s="100"/>
    </row>
    <row r="2357" spans="3:3">
      <c r="C2357" s="100"/>
    </row>
    <row r="2358" spans="3:3">
      <c r="C2358" s="100"/>
    </row>
    <row r="2359" spans="3:3">
      <c r="C2359" s="100"/>
    </row>
    <row r="2360" spans="3:3">
      <c r="C2360" s="100"/>
    </row>
    <row r="2361" spans="3:3">
      <c r="C2361" s="100"/>
    </row>
    <row r="2362" spans="3:3">
      <c r="C2362" s="100"/>
    </row>
    <row r="2363" spans="3:3">
      <c r="C2363" s="100"/>
    </row>
    <row r="2364" spans="3:3">
      <c r="C2364" s="100"/>
    </row>
    <row r="2365" spans="3:3">
      <c r="C2365" s="100"/>
    </row>
    <row r="2366" spans="3:3">
      <c r="C2366" s="100"/>
    </row>
    <row r="2367" spans="3:3">
      <c r="C2367" s="100"/>
    </row>
    <row r="2368" spans="3:3">
      <c r="C2368" s="100"/>
    </row>
    <row r="2369" spans="3:3">
      <c r="C2369" s="100"/>
    </row>
    <row r="2370" spans="3:3">
      <c r="C2370" s="100"/>
    </row>
    <row r="2371" spans="3:3">
      <c r="C2371" s="100"/>
    </row>
    <row r="2372" spans="3:3">
      <c r="C2372" s="100"/>
    </row>
    <row r="2373" spans="3:3">
      <c r="C2373" s="100"/>
    </row>
    <row r="2374" spans="3:3">
      <c r="C2374" s="100"/>
    </row>
    <row r="2375" spans="3:3">
      <c r="C2375" s="100"/>
    </row>
    <row r="2376" spans="3:3">
      <c r="C2376" s="100"/>
    </row>
    <row r="2377" spans="3:3">
      <c r="C2377" s="100"/>
    </row>
    <row r="2378" spans="3:3">
      <c r="C2378" s="100"/>
    </row>
    <row r="2379" spans="3:3">
      <c r="C2379" s="100"/>
    </row>
    <row r="2380" spans="3:3">
      <c r="C2380" s="100"/>
    </row>
    <row r="2381" spans="3:3">
      <c r="C2381" s="100"/>
    </row>
    <row r="2382" spans="3:3">
      <c r="C2382" s="100"/>
    </row>
    <row r="2383" spans="3:3">
      <c r="C2383" s="100"/>
    </row>
    <row r="2384" spans="3:3">
      <c r="C2384" s="100"/>
    </row>
    <row r="2385" spans="3:3">
      <c r="C2385" s="100"/>
    </row>
    <row r="2386" spans="3:3">
      <c r="C2386" s="100"/>
    </row>
    <row r="2387" spans="3:3">
      <c r="C2387" s="100"/>
    </row>
    <row r="2388" spans="3:3">
      <c r="C2388" s="100"/>
    </row>
    <row r="2389" spans="3:3">
      <c r="C2389" s="100"/>
    </row>
    <row r="2390" spans="3:3">
      <c r="C2390" s="100"/>
    </row>
    <row r="2391" spans="3:3">
      <c r="C2391" s="100"/>
    </row>
    <row r="2392" spans="3:3">
      <c r="C2392" s="100"/>
    </row>
    <row r="2393" spans="3:3">
      <c r="C2393" s="100"/>
    </row>
    <row r="2394" spans="3:3">
      <c r="C2394" s="100"/>
    </row>
    <row r="2395" spans="3:3">
      <c r="C2395" s="100"/>
    </row>
    <row r="2396" spans="3:3">
      <c r="C2396" s="100"/>
    </row>
    <row r="2397" spans="3:3">
      <c r="C2397" s="100"/>
    </row>
    <row r="2398" spans="3:3">
      <c r="C2398" s="100"/>
    </row>
    <row r="2399" spans="3:3">
      <c r="C2399" s="100"/>
    </row>
    <row r="2400" spans="3:3">
      <c r="C2400" s="100"/>
    </row>
    <row r="2401" spans="3:3">
      <c r="C2401" s="100"/>
    </row>
    <row r="2402" spans="3:3">
      <c r="C2402" s="100"/>
    </row>
    <row r="2403" spans="3:3">
      <c r="C2403" s="100"/>
    </row>
    <row r="2404" spans="3:3">
      <c r="C2404" s="100"/>
    </row>
    <row r="2405" spans="3:3">
      <c r="C2405" s="100"/>
    </row>
    <row r="2406" spans="3:3">
      <c r="C2406" s="100"/>
    </row>
    <row r="2407" spans="3:3">
      <c r="C2407" s="100"/>
    </row>
    <row r="2408" spans="3:3">
      <c r="C2408" s="100"/>
    </row>
    <row r="2409" spans="3:3">
      <c r="C2409" s="100"/>
    </row>
    <row r="2410" spans="3:3">
      <c r="C2410" s="100"/>
    </row>
    <row r="2411" spans="3:3">
      <c r="C2411" s="100"/>
    </row>
    <row r="2412" spans="3:3">
      <c r="C2412" s="100"/>
    </row>
    <row r="2413" spans="3:3">
      <c r="C2413" s="100"/>
    </row>
    <row r="2414" spans="3:3">
      <c r="C2414" s="100"/>
    </row>
    <row r="2415" spans="3:3">
      <c r="C2415" s="100"/>
    </row>
    <row r="2416" spans="3:3">
      <c r="C2416" s="100"/>
    </row>
    <row r="2417" spans="3:3">
      <c r="C2417" s="100"/>
    </row>
    <row r="2418" spans="3:3">
      <c r="C2418" s="100"/>
    </row>
    <row r="2419" spans="3:3">
      <c r="C2419" s="100"/>
    </row>
    <row r="2420" spans="3:3">
      <c r="C2420" s="100"/>
    </row>
    <row r="2421" spans="3:3">
      <c r="C2421" s="100"/>
    </row>
    <row r="2422" spans="3:3">
      <c r="C2422" s="100"/>
    </row>
    <row r="2423" spans="3:3">
      <c r="C2423" s="100"/>
    </row>
    <row r="2424" spans="3:3">
      <c r="C2424" s="100"/>
    </row>
    <row r="2425" spans="3:3">
      <c r="C2425" s="100"/>
    </row>
    <row r="2426" spans="3:3">
      <c r="C2426" s="100"/>
    </row>
    <row r="2427" spans="3:3">
      <c r="C2427" s="100"/>
    </row>
    <row r="2428" spans="3:3">
      <c r="C2428" s="100"/>
    </row>
    <row r="2429" spans="3:3">
      <c r="C2429" s="100"/>
    </row>
    <row r="2430" spans="3:3">
      <c r="C2430" s="100"/>
    </row>
    <row r="2431" spans="3:3">
      <c r="C2431" s="100"/>
    </row>
    <row r="2432" spans="3:3">
      <c r="C2432" s="100"/>
    </row>
    <row r="2433" spans="3:3">
      <c r="C2433" s="100"/>
    </row>
    <row r="2434" spans="3:3">
      <c r="C2434" s="100"/>
    </row>
    <row r="2435" spans="3:3">
      <c r="C2435" s="100"/>
    </row>
    <row r="2436" spans="3:3">
      <c r="C2436" s="100"/>
    </row>
    <row r="2437" spans="3:3">
      <c r="C2437" s="100"/>
    </row>
    <row r="2438" spans="3:3">
      <c r="C2438" s="100"/>
    </row>
    <row r="2439" spans="3:3">
      <c r="C2439" s="100"/>
    </row>
    <row r="2440" spans="3:3">
      <c r="C2440" s="100"/>
    </row>
    <row r="2441" spans="3:3">
      <c r="C2441" s="100"/>
    </row>
    <row r="2442" spans="3:3">
      <c r="C2442" s="100"/>
    </row>
    <row r="2443" spans="3:3">
      <c r="C2443" s="100"/>
    </row>
    <row r="2444" spans="3:3">
      <c r="C2444" s="100"/>
    </row>
    <row r="2445" spans="3:3">
      <c r="C2445" s="100"/>
    </row>
    <row r="2446" spans="3:3">
      <c r="C2446" s="100"/>
    </row>
    <row r="2447" spans="3:3">
      <c r="C2447" s="100"/>
    </row>
    <row r="2448" spans="3:3">
      <c r="C2448" s="100"/>
    </row>
    <row r="2449" spans="3:3">
      <c r="C2449" s="100"/>
    </row>
    <row r="2450" spans="3:3">
      <c r="C2450" s="100"/>
    </row>
    <row r="2451" spans="3:3">
      <c r="C2451" s="100"/>
    </row>
    <row r="2452" spans="3:3">
      <c r="C2452" s="100"/>
    </row>
    <row r="2453" spans="3:3">
      <c r="C2453" s="100"/>
    </row>
    <row r="2454" spans="3:3">
      <c r="C2454" s="100"/>
    </row>
    <row r="2455" spans="3:3">
      <c r="C2455" s="100"/>
    </row>
    <row r="2456" spans="3:3">
      <c r="C2456" s="100"/>
    </row>
    <row r="2457" spans="3:3">
      <c r="C2457" s="100"/>
    </row>
    <row r="2458" spans="3:3">
      <c r="C2458" s="100"/>
    </row>
    <row r="2459" spans="3:3">
      <c r="C2459" s="100"/>
    </row>
    <row r="2460" spans="3:3">
      <c r="C2460" s="100"/>
    </row>
    <row r="2461" spans="3:3">
      <c r="C2461" s="100"/>
    </row>
    <row r="2462" spans="3:3">
      <c r="C2462" s="100"/>
    </row>
    <row r="2463" spans="3:3">
      <c r="C2463" s="100"/>
    </row>
    <row r="2464" spans="3:3">
      <c r="C2464" s="100"/>
    </row>
    <row r="2465" spans="3:3">
      <c r="C2465" s="100"/>
    </row>
    <row r="2466" spans="3:3">
      <c r="C2466" s="100"/>
    </row>
    <row r="2467" spans="3:3">
      <c r="C2467" s="100"/>
    </row>
    <row r="2468" spans="3:3">
      <c r="C2468" s="100"/>
    </row>
    <row r="2469" spans="3:3">
      <c r="C2469" s="100"/>
    </row>
    <row r="2470" spans="3:3">
      <c r="C2470" s="100"/>
    </row>
    <row r="2471" spans="3:3">
      <c r="C2471" s="100"/>
    </row>
    <row r="2472" spans="3:3">
      <c r="C2472" s="100"/>
    </row>
    <row r="2473" spans="3:3">
      <c r="C2473" s="100"/>
    </row>
    <row r="2474" spans="3:3">
      <c r="C2474" s="100"/>
    </row>
    <row r="2475" spans="3:3">
      <c r="C2475" s="100"/>
    </row>
    <row r="2476" spans="3:3">
      <c r="C2476" s="100"/>
    </row>
    <row r="2477" spans="3:3">
      <c r="C2477" s="100"/>
    </row>
    <row r="2478" spans="3:3">
      <c r="C2478" s="100"/>
    </row>
    <row r="2479" spans="3:3">
      <c r="C2479" s="100"/>
    </row>
    <row r="2480" spans="3:3">
      <c r="C2480" s="100"/>
    </row>
    <row r="2481" spans="3:3">
      <c r="C2481" s="100"/>
    </row>
    <row r="2482" spans="3:3">
      <c r="C2482" s="100"/>
    </row>
    <row r="2483" spans="3:3">
      <c r="C2483" s="100"/>
    </row>
    <row r="2484" spans="3:3">
      <c r="C2484" s="100"/>
    </row>
    <row r="2485" spans="3:3">
      <c r="C2485" s="100"/>
    </row>
    <row r="2486" spans="3:3">
      <c r="C2486" s="100"/>
    </row>
    <row r="2487" spans="3:3">
      <c r="C2487" s="100"/>
    </row>
    <row r="2488" spans="3:3">
      <c r="C2488" s="100"/>
    </row>
    <row r="2489" spans="3:3">
      <c r="C2489" s="100"/>
    </row>
    <row r="2490" spans="3:3">
      <c r="C2490" s="100"/>
    </row>
    <row r="2491" spans="3:3">
      <c r="C2491" s="100"/>
    </row>
    <row r="2492" spans="3:3">
      <c r="C2492" s="100"/>
    </row>
    <row r="2493" spans="3:3">
      <c r="C2493" s="100"/>
    </row>
    <row r="2494" spans="3:3">
      <c r="C2494" s="100"/>
    </row>
    <row r="2495" spans="3:3">
      <c r="C2495" s="100"/>
    </row>
    <row r="2496" spans="3:3">
      <c r="C2496" s="100"/>
    </row>
    <row r="2497" spans="3:3">
      <c r="C2497" s="100"/>
    </row>
    <row r="2498" spans="3:3">
      <c r="C2498" s="100"/>
    </row>
    <row r="2499" spans="3:3">
      <c r="C2499" s="100"/>
    </row>
    <row r="2500" spans="3:3">
      <c r="C2500" s="100"/>
    </row>
    <row r="2501" spans="3:3">
      <c r="C2501" s="100"/>
    </row>
    <row r="2502" spans="3:3">
      <c r="C2502" s="100"/>
    </row>
    <row r="2503" spans="3:3">
      <c r="C2503" s="100"/>
    </row>
    <row r="2504" spans="3:3">
      <c r="C2504" s="100"/>
    </row>
    <row r="2505" spans="3:3">
      <c r="C2505" s="100"/>
    </row>
    <row r="2506" spans="3:3">
      <c r="C2506" s="100"/>
    </row>
    <row r="2507" spans="3:3">
      <c r="C2507" s="100"/>
    </row>
    <row r="2508" spans="3:3">
      <c r="C2508" s="100"/>
    </row>
    <row r="2509" spans="3:3">
      <c r="C2509" s="100"/>
    </row>
    <row r="2510" spans="3:3">
      <c r="C2510" s="100"/>
    </row>
    <row r="2511" spans="3:3">
      <c r="C2511" s="100"/>
    </row>
    <row r="2512" spans="3:3">
      <c r="C2512" s="100"/>
    </row>
    <row r="2513" spans="3:3">
      <c r="C2513" s="100"/>
    </row>
    <row r="2514" spans="3:3">
      <c r="C2514" s="100"/>
    </row>
    <row r="2515" spans="3:3">
      <c r="C2515" s="100"/>
    </row>
    <row r="2516" spans="3:3">
      <c r="C2516" s="100"/>
    </row>
    <row r="2517" spans="3:3">
      <c r="C2517" s="100"/>
    </row>
    <row r="2518" spans="3:3">
      <c r="C2518" s="100"/>
    </row>
    <row r="2519" spans="3:3">
      <c r="C2519" s="100"/>
    </row>
    <row r="2520" spans="3:3">
      <c r="C2520" s="100"/>
    </row>
    <row r="2521" spans="3:3">
      <c r="C2521" s="100"/>
    </row>
    <row r="2522" spans="3:3">
      <c r="C2522" s="100"/>
    </row>
    <row r="2523" spans="3:3">
      <c r="C2523" s="100"/>
    </row>
    <row r="2524" spans="3:3">
      <c r="C2524" s="100"/>
    </row>
    <row r="2525" spans="3:3">
      <c r="C2525" s="100"/>
    </row>
    <row r="2526" spans="3:3">
      <c r="C2526" s="100"/>
    </row>
    <row r="2527" spans="3:3">
      <c r="C2527" s="100"/>
    </row>
    <row r="2528" spans="3:3">
      <c r="C2528" s="100"/>
    </row>
    <row r="2529" spans="3:3">
      <c r="C2529" s="100"/>
    </row>
    <row r="2530" spans="3:3">
      <c r="C2530" s="100"/>
    </row>
    <row r="2531" spans="3:3">
      <c r="C2531" s="100"/>
    </row>
    <row r="2532" spans="3:3">
      <c r="C2532" s="100"/>
    </row>
    <row r="2533" spans="3:3">
      <c r="C2533" s="100"/>
    </row>
    <row r="2534" spans="3:3">
      <c r="C2534" s="100"/>
    </row>
    <row r="2535" spans="3:3">
      <c r="C2535" s="100"/>
    </row>
    <row r="2536" spans="3:3">
      <c r="C2536" s="100"/>
    </row>
    <row r="2537" spans="3:3">
      <c r="C2537" s="100"/>
    </row>
    <row r="2538" spans="3:3">
      <c r="C2538" s="100"/>
    </row>
    <row r="2539" spans="3:3">
      <c r="C2539" s="100"/>
    </row>
    <row r="2540" spans="3:3">
      <c r="C2540" s="100"/>
    </row>
    <row r="2541" spans="3:3">
      <c r="C2541" s="100"/>
    </row>
    <row r="2542" spans="3:3">
      <c r="C2542" s="100"/>
    </row>
    <row r="2543" spans="3:3">
      <c r="C2543" s="100"/>
    </row>
    <row r="2544" spans="3:3">
      <c r="C2544" s="100"/>
    </row>
    <row r="2545" spans="3:3">
      <c r="C2545" s="100"/>
    </row>
    <row r="2546" spans="3:3">
      <c r="C2546" s="100"/>
    </row>
    <row r="2547" spans="3:3">
      <c r="C2547" s="100"/>
    </row>
    <row r="2548" spans="3:3">
      <c r="C2548" s="100"/>
    </row>
    <row r="2549" spans="3:3">
      <c r="C2549" s="100"/>
    </row>
    <row r="2550" spans="3:3">
      <c r="C2550" s="100"/>
    </row>
    <row r="2551" spans="3:3">
      <c r="C2551" s="100"/>
    </row>
    <row r="2552" spans="3:3">
      <c r="C2552" s="100"/>
    </row>
    <row r="2553" spans="3:3">
      <c r="C2553" s="100"/>
    </row>
    <row r="2554" spans="3:3">
      <c r="C2554" s="100"/>
    </row>
    <row r="2555" spans="3:3">
      <c r="C2555" s="100"/>
    </row>
    <row r="2556" spans="3:3">
      <c r="C2556" s="100"/>
    </row>
    <row r="2557" spans="3:3">
      <c r="C2557" s="100"/>
    </row>
    <row r="2558" spans="3:3">
      <c r="C2558" s="100"/>
    </row>
    <row r="2559" spans="3:3">
      <c r="C2559" s="100"/>
    </row>
    <row r="2560" spans="3:3">
      <c r="C2560" s="100"/>
    </row>
    <row r="2561" spans="3:3">
      <c r="C2561" s="100"/>
    </row>
    <row r="2562" spans="3:3">
      <c r="C2562" s="100"/>
    </row>
    <row r="2563" spans="3:3">
      <c r="C2563" s="100"/>
    </row>
    <row r="2564" spans="3:3">
      <c r="C2564" s="100"/>
    </row>
    <row r="2565" spans="3:3">
      <c r="C2565" s="100"/>
    </row>
    <row r="2566" spans="3:3">
      <c r="C2566" s="100"/>
    </row>
    <row r="2567" spans="3:3">
      <c r="C2567" s="100"/>
    </row>
    <row r="2568" spans="3:3">
      <c r="C2568" s="100"/>
    </row>
    <row r="2569" spans="3:3">
      <c r="C2569" s="100"/>
    </row>
    <row r="2570" spans="3:3">
      <c r="C2570" s="100"/>
    </row>
    <row r="2571" spans="3:3">
      <c r="C2571" s="100"/>
    </row>
    <row r="2572" spans="3:3">
      <c r="C2572" s="100"/>
    </row>
    <row r="2573" spans="3:3">
      <c r="C2573" s="100"/>
    </row>
    <row r="2574" spans="3:3">
      <c r="C2574" s="100"/>
    </row>
    <row r="2575" spans="3:3">
      <c r="C2575" s="100"/>
    </row>
    <row r="2576" spans="3:3">
      <c r="C2576" s="100"/>
    </row>
    <row r="2577" spans="3:3">
      <c r="C2577" s="100"/>
    </row>
    <row r="2578" spans="3:3">
      <c r="C2578" s="100"/>
    </row>
    <row r="2579" spans="3:3">
      <c r="C2579" s="100"/>
    </row>
    <row r="2580" spans="3:3">
      <c r="C2580" s="100"/>
    </row>
    <row r="2581" spans="3:3">
      <c r="C2581" s="100"/>
    </row>
    <row r="2582" spans="3:3">
      <c r="C2582" s="100"/>
    </row>
    <row r="2583" spans="3:3">
      <c r="C2583" s="100"/>
    </row>
    <row r="2584" spans="3:3">
      <c r="C2584" s="100"/>
    </row>
    <row r="2585" spans="3:3">
      <c r="C2585" s="100"/>
    </row>
    <row r="2586" spans="3:3">
      <c r="C2586" s="100"/>
    </row>
    <row r="2587" spans="3:3">
      <c r="C2587" s="100"/>
    </row>
    <row r="2588" spans="3:3">
      <c r="C2588" s="100"/>
    </row>
    <row r="2589" spans="3:3">
      <c r="C2589" s="100"/>
    </row>
    <row r="2590" spans="3:3">
      <c r="C2590" s="100"/>
    </row>
    <row r="2591" spans="3:3">
      <c r="C2591" s="100"/>
    </row>
    <row r="2592" spans="3:3">
      <c r="C2592" s="100"/>
    </row>
    <row r="2593" spans="3:3">
      <c r="C2593" s="100"/>
    </row>
    <row r="2594" spans="3:3">
      <c r="C2594" s="100"/>
    </row>
    <row r="2595" spans="3:3">
      <c r="C2595" s="100"/>
    </row>
    <row r="2596" spans="3:3">
      <c r="C2596" s="100"/>
    </row>
    <row r="2597" spans="3:3">
      <c r="C2597" s="100"/>
    </row>
    <row r="2598" spans="3:3">
      <c r="C2598" s="100"/>
    </row>
    <row r="2599" spans="3:3">
      <c r="C2599" s="100"/>
    </row>
    <row r="2600" spans="3:3">
      <c r="C2600" s="100"/>
    </row>
    <row r="2601" spans="3:3">
      <c r="C2601" s="100"/>
    </row>
    <row r="2602" spans="3:3">
      <c r="C2602" s="100"/>
    </row>
    <row r="2603" spans="3:3">
      <c r="C2603" s="100"/>
    </row>
    <row r="2604" spans="3:3">
      <c r="C2604" s="100"/>
    </row>
    <row r="2605" spans="3:3">
      <c r="C2605" s="100"/>
    </row>
    <row r="2606" spans="3:3">
      <c r="C2606" s="100"/>
    </row>
    <row r="2607" spans="3:3">
      <c r="C2607" s="100"/>
    </row>
    <row r="2608" spans="3:3">
      <c r="C2608" s="100"/>
    </row>
    <row r="2609" spans="3:3">
      <c r="C2609" s="100"/>
    </row>
    <row r="2610" spans="3:3">
      <c r="C2610" s="100"/>
    </row>
    <row r="2611" spans="3:3">
      <c r="C2611" s="100"/>
    </row>
    <row r="2612" spans="3:3">
      <c r="C2612" s="100"/>
    </row>
    <row r="2613" spans="3:3">
      <c r="C2613" s="100"/>
    </row>
    <row r="2614" spans="3:3">
      <c r="C2614" s="100"/>
    </row>
    <row r="2615" spans="3:3">
      <c r="C2615" s="100"/>
    </row>
    <row r="2616" spans="3:3">
      <c r="C2616" s="100"/>
    </row>
    <row r="2617" spans="3:3">
      <c r="C2617" s="100"/>
    </row>
    <row r="2618" spans="3:3">
      <c r="C2618" s="100"/>
    </row>
    <row r="2619" spans="3:3">
      <c r="C2619" s="100"/>
    </row>
    <row r="2620" spans="3:3">
      <c r="C2620" s="100"/>
    </row>
    <row r="2621" spans="3:3">
      <c r="C2621" s="100"/>
    </row>
    <row r="2622" spans="3:3">
      <c r="C2622" s="100"/>
    </row>
    <row r="2623" spans="3:3">
      <c r="C2623" s="100"/>
    </row>
    <row r="2624" spans="3:3">
      <c r="C2624" s="100"/>
    </row>
    <row r="2625" spans="3:3">
      <c r="C2625" s="100"/>
    </row>
    <row r="2626" spans="3:3">
      <c r="C2626" s="100"/>
    </row>
    <row r="2627" spans="3:3">
      <c r="C2627" s="100"/>
    </row>
    <row r="2628" spans="3:3">
      <c r="C2628" s="100"/>
    </row>
    <row r="2629" spans="3:3">
      <c r="C2629" s="100"/>
    </row>
    <row r="2630" spans="3:3">
      <c r="C2630" s="100"/>
    </row>
    <row r="2631" spans="3:3">
      <c r="C2631" s="100"/>
    </row>
    <row r="2632" spans="3:3">
      <c r="C2632" s="100"/>
    </row>
    <row r="2633" spans="3:3">
      <c r="C2633" s="100"/>
    </row>
    <row r="2634" spans="3:3">
      <c r="C2634" s="100"/>
    </row>
    <row r="2635" spans="3:3">
      <c r="C2635" s="100"/>
    </row>
    <row r="2636" spans="3:3">
      <c r="C2636" s="100"/>
    </row>
    <row r="2637" spans="3:3">
      <c r="C2637" s="100"/>
    </row>
    <row r="2638" spans="3:3">
      <c r="C2638" s="100"/>
    </row>
    <row r="2639" spans="3:3">
      <c r="C2639" s="100"/>
    </row>
    <row r="2640" spans="3:3">
      <c r="C2640" s="100"/>
    </row>
    <row r="2641" spans="3:3">
      <c r="C2641" s="100"/>
    </row>
    <row r="2642" spans="3:3">
      <c r="C2642" s="100"/>
    </row>
    <row r="2643" spans="3:3">
      <c r="C2643" s="100"/>
    </row>
    <row r="2644" spans="3:3">
      <c r="C2644" s="100"/>
    </row>
    <row r="2645" spans="3:3">
      <c r="C2645" s="100"/>
    </row>
    <row r="2646" spans="3:3">
      <c r="C2646" s="100"/>
    </row>
    <row r="2647" spans="3:3">
      <c r="C2647" s="100"/>
    </row>
    <row r="2648" spans="3:3">
      <c r="C2648" s="100"/>
    </row>
    <row r="2649" spans="3:3">
      <c r="C2649" s="100"/>
    </row>
    <row r="2650" spans="3:3">
      <c r="C2650" s="100"/>
    </row>
    <row r="2651" spans="3:3">
      <c r="C2651" s="100"/>
    </row>
    <row r="2652" spans="3:3">
      <c r="C2652" s="100"/>
    </row>
    <row r="2653" spans="3:3">
      <c r="C2653" s="100"/>
    </row>
    <row r="2654" spans="3:3">
      <c r="C2654" s="100"/>
    </row>
    <row r="2655" spans="3:3">
      <c r="C2655" s="100"/>
    </row>
    <row r="2656" spans="3:3">
      <c r="C2656" s="100"/>
    </row>
    <row r="2657" spans="3:3">
      <c r="C2657" s="100"/>
    </row>
    <row r="2658" spans="3:3">
      <c r="C2658" s="100"/>
    </row>
    <row r="2659" spans="3:3">
      <c r="C2659" s="100"/>
    </row>
    <row r="2660" spans="3:3">
      <c r="C2660" s="100"/>
    </row>
    <row r="2661" spans="3:3">
      <c r="C2661" s="100"/>
    </row>
    <row r="2662" spans="3:3">
      <c r="C2662" s="100"/>
    </row>
    <row r="2663" spans="3:3">
      <c r="C2663" s="100"/>
    </row>
    <row r="2664" spans="3:3">
      <c r="C2664" s="100"/>
    </row>
    <row r="2665" spans="3:3">
      <c r="C2665" s="100"/>
    </row>
    <row r="2666" spans="3:3">
      <c r="C2666" s="100"/>
    </row>
    <row r="2667" spans="3:3">
      <c r="C2667" s="100"/>
    </row>
    <row r="2668" spans="3:3">
      <c r="C2668" s="100"/>
    </row>
    <row r="2669" spans="3:3">
      <c r="C2669" s="100"/>
    </row>
    <row r="2670" spans="3:3">
      <c r="C2670" s="100"/>
    </row>
    <row r="2671" spans="3:3">
      <c r="C2671" s="100"/>
    </row>
    <row r="2672" spans="3:3">
      <c r="C2672" s="100"/>
    </row>
    <row r="2673" spans="3:3">
      <c r="C2673" s="100"/>
    </row>
    <row r="2674" spans="3:3">
      <c r="C2674" s="100"/>
    </row>
    <row r="2675" spans="3:3">
      <c r="C2675" s="100"/>
    </row>
    <row r="2676" spans="3:3">
      <c r="C2676" s="100"/>
    </row>
    <row r="2677" spans="3:3">
      <c r="C2677" s="100"/>
    </row>
    <row r="2678" spans="3:3">
      <c r="C2678" s="100"/>
    </row>
    <row r="2679" spans="3:3">
      <c r="C2679" s="100"/>
    </row>
    <row r="2680" spans="3:3">
      <c r="C2680" s="100"/>
    </row>
    <row r="2681" spans="3:3">
      <c r="C2681" s="100"/>
    </row>
    <row r="2682" spans="3:3">
      <c r="C2682" s="100"/>
    </row>
    <row r="2683" spans="3:3">
      <c r="C2683" s="100"/>
    </row>
    <row r="2684" spans="3:3">
      <c r="C2684" s="100"/>
    </row>
    <row r="2685" spans="3:3">
      <c r="C2685" s="100"/>
    </row>
    <row r="2686" spans="3:3">
      <c r="C2686" s="100"/>
    </row>
    <row r="2687" spans="3:3">
      <c r="C2687" s="100"/>
    </row>
    <row r="2688" spans="3:3">
      <c r="C2688" s="100"/>
    </row>
    <row r="2689" spans="3:3">
      <c r="C2689" s="100"/>
    </row>
    <row r="2690" spans="3:3">
      <c r="C2690" s="100"/>
    </row>
    <row r="2691" spans="3:3">
      <c r="C2691" s="100"/>
    </row>
    <row r="2692" spans="3:3">
      <c r="C2692" s="100"/>
    </row>
    <row r="2693" spans="3:3">
      <c r="C2693" s="100"/>
    </row>
    <row r="2694" spans="3:3">
      <c r="C2694" s="100"/>
    </row>
    <row r="2695" spans="3:3">
      <c r="C2695" s="100"/>
    </row>
    <row r="2696" spans="3:3">
      <c r="C2696" s="100"/>
    </row>
    <row r="2697" spans="3:3">
      <c r="C2697" s="100"/>
    </row>
    <row r="2698" spans="3:3">
      <c r="C2698" s="100"/>
    </row>
    <row r="2699" spans="3:3">
      <c r="C2699" s="100"/>
    </row>
    <row r="2700" spans="3:3">
      <c r="C2700" s="100"/>
    </row>
    <row r="2701" spans="3:3">
      <c r="C2701" s="100"/>
    </row>
    <row r="2702" spans="3:3">
      <c r="C2702" s="100"/>
    </row>
    <row r="2703" spans="3:3">
      <c r="C2703" s="100"/>
    </row>
    <row r="2704" spans="3:3">
      <c r="C2704" s="100"/>
    </row>
    <row r="2705" spans="3:3">
      <c r="C2705" s="100"/>
    </row>
    <row r="2706" spans="3:3">
      <c r="C2706" s="100"/>
    </row>
    <row r="2707" spans="3:3">
      <c r="C2707" s="100"/>
    </row>
    <row r="2708" spans="3:3">
      <c r="C2708" s="100"/>
    </row>
    <row r="2709" spans="3:3">
      <c r="C2709" s="100"/>
    </row>
    <row r="2710" spans="3:3">
      <c r="C2710" s="100"/>
    </row>
    <row r="2711" spans="3:3">
      <c r="C2711" s="100"/>
    </row>
    <row r="2712" spans="3:3">
      <c r="C2712" s="100"/>
    </row>
    <row r="2713" spans="3:3">
      <c r="C2713" s="100"/>
    </row>
    <row r="2714" spans="3:3">
      <c r="C2714" s="100"/>
    </row>
    <row r="2715" spans="3:3">
      <c r="C2715" s="100"/>
    </row>
    <row r="2716" spans="3:3">
      <c r="C2716" s="100"/>
    </row>
    <row r="2717" spans="3:3">
      <c r="C2717" s="100"/>
    </row>
    <row r="2718" spans="3:3">
      <c r="C2718" s="100"/>
    </row>
    <row r="2719" spans="3:3">
      <c r="C2719" s="100"/>
    </row>
    <row r="2720" spans="3:3">
      <c r="C2720" s="100"/>
    </row>
    <row r="2721" spans="3:3">
      <c r="C2721" s="100"/>
    </row>
    <row r="2722" spans="3:3">
      <c r="C2722" s="100"/>
    </row>
    <row r="2723" spans="3:3">
      <c r="C2723" s="100"/>
    </row>
    <row r="2724" spans="3:3">
      <c r="C2724" s="100"/>
    </row>
    <row r="2725" spans="3:3">
      <c r="C2725" s="100"/>
    </row>
    <row r="2726" spans="3:3">
      <c r="C2726" s="100"/>
    </row>
    <row r="2727" spans="3:3">
      <c r="C2727" s="100"/>
    </row>
    <row r="2728" spans="3:3">
      <c r="C2728" s="100"/>
    </row>
    <row r="2729" spans="3:3">
      <c r="C2729" s="100"/>
    </row>
    <row r="2730" spans="3:3">
      <c r="C2730" s="100"/>
    </row>
    <row r="2731" spans="3:3">
      <c r="C2731" s="100"/>
    </row>
    <row r="2732" spans="3:3">
      <c r="C2732" s="100"/>
    </row>
    <row r="2733" spans="3:3">
      <c r="C2733" s="100"/>
    </row>
    <row r="2734" spans="3:3">
      <c r="C2734" s="100"/>
    </row>
    <row r="2735" spans="3:3">
      <c r="C2735" s="100"/>
    </row>
    <row r="2736" spans="3:3">
      <c r="C2736" s="100"/>
    </row>
    <row r="2737" spans="3:3">
      <c r="C2737" s="100"/>
    </row>
    <row r="2738" spans="3:3">
      <c r="C2738" s="100"/>
    </row>
    <row r="2739" spans="3:3">
      <c r="C2739" s="100"/>
    </row>
    <row r="2740" spans="3:3">
      <c r="C2740" s="100"/>
    </row>
    <row r="2741" spans="3:3">
      <c r="C2741" s="100"/>
    </row>
    <row r="2742" spans="3:3">
      <c r="C2742" s="100"/>
    </row>
    <row r="2743" spans="3:3">
      <c r="C2743" s="100"/>
    </row>
    <row r="2744" spans="3:3">
      <c r="C2744" s="100"/>
    </row>
    <row r="2745" spans="3:3">
      <c r="C2745" s="100"/>
    </row>
    <row r="2746" spans="3:3">
      <c r="C2746" s="100"/>
    </row>
    <row r="2747" spans="3:3">
      <c r="C2747" s="100"/>
    </row>
    <row r="2748" spans="3:3">
      <c r="C2748" s="100"/>
    </row>
    <row r="2749" spans="3:3">
      <c r="C2749" s="100"/>
    </row>
    <row r="2750" spans="3:3">
      <c r="C2750" s="100"/>
    </row>
    <row r="2751" spans="3:3">
      <c r="C2751" s="100"/>
    </row>
    <row r="2752" spans="3:3">
      <c r="C2752" s="100"/>
    </row>
    <row r="2753" spans="3:3">
      <c r="C2753" s="100"/>
    </row>
    <row r="2754" spans="3:3">
      <c r="C2754" s="100"/>
    </row>
    <row r="2755" spans="3:3">
      <c r="C2755" s="100"/>
    </row>
    <row r="2756" spans="3:3">
      <c r="C2756" s="100"/>
    </row>
    <row r="2757" spans="3:3">
      <c r="C2757" s="100"/>
    </row>
    <row r="2758" spans="3:3">
      <c r="C2758" s="100"/>
    </row>
    <row r="2759" spans="3:3">
      <c r="C2759" s="100"/>
    </row>
    <row r="2760" spans="3:3">
      <c r="C2760" s="100"/>
    </row>
    <row r="2761" spans="3:3">
      <c r="C2761" s="100"/>
    </row>
    <row r="2762" spans="3:3">
      <c r="C2762" s="100"/>
    </row>
    <row r="2763" spans="3:3">
      <c r="C2763" s="100"/>
    </row>
    <row r="2764" spans="3:3">
      <c r="C2764" s="100"/>
    </row>
    <row r="2765" spans="3:3">
      <c r="C2765" s="100"/>
    </row>
    <row r="2766" spans="3:3">
      <c r="C2766" s="100"/>
    </row>
    <row r="2767" spans="3:3">
      <c r="C2767" s="100"/>
    </row>
    <row r="2768" spans="3:3">
      <c r="C2768" s="100"/>
    </row>
    <row r="2769" spans="3:3">
      <c r="C2769" s="100"/>
    </row>
    <row r="2770" spans="3:3">
      <c r="C2770" s="100"/>
    </row>
    <row r="2771" spans="3:3">
      <c r="C2771" s="100"/>
    </row>
    <row r="2772" spans="3:3">
      <c r="C2772" s="100"/>
    </row>
    <row r="2773" spans="3:3">
      <c r="C2773" s="100"/>
    </row>
    <row r="2774" spans="3:3">
      <c r="C2774" s="100"/>
    </row>
    <row r="2775" spans="3:3">
      <c r="C2775" s="100"/>
    </row>
    <row r="2776" spans="3:3">
      <c r="C2776" s="100"/>
    </row>
    <row r="2777" spans="3:3">
      <c r="C2777" s="100"/>
    </row>
    <row r="2778" spans="3:3">
      <c r="C2778" s="100"/>
    </row>
    <row r="2779" spans="3:3">
      <c r="C2779" s="100"/>
    </row>
    <row r="2780" spans="3:3">
      <c r="C2780" s="100"/>
    </row>
    <row r="2781" spans="3:3">
      <c r="C2781" s="100"/>
    </row>
    <row r="2782" spans="3:3">
      <c r="C2782" s="100"/>
    </row>
    <row r="2783" spans="3:3">
      <c r="C2783" s="100"/>
    </row>
    <row r="2784" spans="3:3">
      <c r="C2784" s="100"/>
    </row>
    <row r="2785" spans="3:3">
      <c r="C2785" s="100"/>
    </row>
    <row r="2786" spans="3:3">
      <c r="C2786" s="100"/>
    </row>
    <row r="2787" spans="3:3">
      <c r="C2787" s="100"/>
    </row>
    <row r="2788" spans="3:3">
      <c r="C2788" s="100"/>
    </row>
    <row r="2789" spans="3:3">
      <c r="C2789" s="100"/>
    </row>
    <row r="2790" spans="3:3">
      <c r="C2790" s="100"/>
    </row>
    <row r="2791" spans="3:3">
      <c r="C2791" s="100"/>
    </row>
    <row r="2792" spans="3:3">
      <c r="C2792" s="100"/>
    </row>
    <row r="2793" spans="3:3">
      <c r="C2793" s="100"/>
    </row>
    <row r="2794" spans="3:3">
      <c r="C2794" s="100"/>
    </row>
    <row r="2795" spans="3:3">
      <c r="C2795" s="100"/>
    </row>
    <row r="2796" spans="3:3">
      <c r="C2796" s="100"/>
    </row>
    <row r="2797" spans="3:3">
      <c r="C2797" s="100"/>
    </row>
    <row r="2798" spans="3:3">
      <c r="C2798" s="100"/>
    </row>
    <row r="2799" spans="3:3">
      <c r="C2799" s="100"/>
    </row>
    <row r="2800" spans="3:3">
      <c r="C2800" s="100"/>
    </row>
    <row r="2801" spans="3:3">
      <c r="C2801" s="100"/>
    </row>
    <row r="2802" spans="3:3">
      <c r="C2802" s="100"/>
    </row>
    <row r="2803" spans="3:3">
      <c r="C2803" s="100"/>
    </row>
    <row r="2804" spans="3:3">
      <c r="C2804" s="100"/>
    </row>
    <row r="2805" spans="3:3">
      <c r="C2805" s="100"/>
    </row>
    <row r="2806" spans="3:3">
      <c r="C2806" s="100"/>
    </row>
    <row r="2807" spans="3:3">
      <c r="C2807" s="100"/>
    </row>
    <row r="2808" spans="3:3">
      <c r="C2808" s="100"/>
    </row>
    <row r="2809" spans="3:3">
      <c r="C2809" s="100"/>
    </row>
    <row r="2810" spans="3:3">
      <c r="C2810" s="100"/>
    </row>
    <row r="2811" spans="3:3">
      <c r="C2811" s="100"/>
    </row>
    <row r="2812" spans="3:3">
      <c r="C2812" s="100"/>
    </row>
    <row r="2813" spans="3:3">
      <c r="C2813" s="100"/>
    </row>
    <row r="2814" spans="3:3">
      <c r="C2814" s="100"/>
    </row>
    <row r="2815" spans="3:3">
      <c r="C2815" s="100"/>
    </row>
    <row r="2816" spans="3:3">
      <c r="C2816" s="100"/>
    </row>
    <row r="2817" spans="3:3">
      <c r="C2817" s="100"/>
    </row>
    <row r="2818" spans="3:3">
      <c r="C2818" s="100"/>
    </row>
    <row r="2819" spans="3:3">
      <c r="C2819" s="100"/>
    </row>
    <row r="2820" spans="3:3">
      <c r="C2820" s="100"/>
    </row>
    <row r="2821" spans="3:3">
      <c r="C2821" s="100"/>
    </row>
    <row r="2822" spans="3:3">
      <c r="C2822" s="100"/>
    </row>
    <row r="2823" spans="3:3">
      <c r="C2823" s="100"/>
    </row>
    <row r="2824" spans="3:3">
      <c r="C2824" s="100"/>
    </row>
    <row r="2825" spans="3:3">
      <c r="C2825" s="100"/>
    </row>
    <row r="2826" spans="3:3">
      <c r="C2826" s="100"/>
    </row>
    <row r="2827" spans="3:3">
      <c r="C2827" s="100"/>
    </row>
    <row r="2828" spans="3:3">
      <c r="C2828" s="100"/>
    </row>
    <row r="2829" spans="3:3">
      <c r="C2829" s="100"/>
    </row>
    <row r="2830" spans="3:3">
      <c r="C2830" s="100"/>
    </row>
    <row r="2831" spans="3:3">
      <c r="C2831" s="100"/>
    </row>
    <row r="2832" spans="3:3">
      <c r="C2832" s="100"/>
    </row>
    <row r="2833" spans="3:3">
      <c r="C2833" s="100"/>
    </row>
    <row r="2834" spans="3:3">
      <c r="C2834" s="100"/>
    </row>
    <row r="2835" spans="3:3">
      <c r="C2835" s="100"/>
    </row>
    <row r="2836" spans="3:3">
      <c r="C2836" s="100"/>
    </row>
    <row r="2837" spans="3:3">
      <c r="C2837" s="100"/>
    </row>
    <row r="2838" spans="3:3">
      <c r="C2838" s="100"/>
    </row>
    <row r="2839" spans="3:3">
      <c r="C2839" s="100"/>
    </row>
    <row r="2840" spans="3:3">
      <c r="C2840" s="100"/>
    </row>
    <row r="2841" spans="3:3">
      <c r="C2841" s="100"/>
    </row>
    <row r="2842" spans="3:3">
      <c r="C2842" s="100"/>
    </row>
    <row r="2843" spans="3:3">
      <c r="C2843" s="100"/>
    </row>
    <row r="2844" spans="3:3">
      <c r="C2844" s="100"/>
    </row>
    <row r="2845" spans="3:3">
      <c r="C2845" s="100"/>
    </row>
    <row r="2846" spans="3:3">
      <c r="C2846" s="100"/>
    </row>
    <row r="2847" spans="3:3">
      <c r="C2847" s="100"/>
    </row>
    <row r="2848" spans="3:3">
      <c r="C2848" s="100"/>
    </row>
    <row r="2849" spans="3:3">
      <c r="C2849" s="100"/>
    </row>
    <row r="2850" spans="3:3">
      <c r="C2850" s="100"/>
    </row>
    <row r="2851" spans="3:3">
      <c r="C2851" s="100"/>
    </row>
    <row r="2852" spans="3:3">
      <c r="C2852" s="100"/>
    </row>
    <row r="2853" spans="3:3">
      <c r="C2853" s="100"/>
    </row>
    <row r="2854" spans="3:3">
      <c r="C2854" s="100"/>
    </row>
    <row r="2855" spans="3:3">
      <c r="C2855" s="100"/>
    </row>
    <row r="2856" spans="3:3">
      <c r="C2856" s="100"/>
    </row>
    <row r="2857" spans="3:3">
      <c r="C2857" s="100"/>
    </row>
    <row r="2858" spans="3:3">
      <c r="C2858" s="100"/>
    </row>
    <row r="2859" spans="3:3">
      <c r="C2859" s="100"/>
    </row>
    <row r="2860" spans="3:3">
      <c r="C2860" s="100"/>
    </row>
    <row r="2861" spans="3:3">
      <c r="C2861" s="100"/>
    </row>
    <row r="2862" spans="3:3">
      <c r="C2862" s="100"/>
    </row>
    <row r="2863" spans="3:3">
      <c r="C2863" s="100"/>
    </row>
    <row r="2864" spans="3:3">
      <c r="C2864" s="100"/>
    </row>
    <row r="2865" spans="3:3">
      <c r="C2865" s="100"/>
    </row>
    <row r="2866" spans="3:3">
      <c r="C2866" s="100"/>
    </row>
    <row r="2867" spans="3:3">
      <c r="C2867" s="100"/>
    </row>
    <row r="2868" spans="3:3">
      <c r="C2868" s="100"/>
    </row>
    <row r="2869" spans="3:3">
      <c r="C2869" s="100"/>
    </row>
    <row r="2870" spans="3:3">
      <c r="C2870" s="100"/>
    </row>
    <row r="2871" spans="3:3">
      <c r="C2871" s="100"/>
    </row>
    <row r="2872" spans="3:3">
      <c r="C2872" s="100"/>
    </row>
    <row r="2873" spans="3:3">
      <c r="C2873" s="100"/>
    </row>
    <row r="2874" spans="3:3">
      <c r="C2874" s="100"/>
    </row>
    <row r="2875" spans="3:3">
      <c r="C2875" s="100"/>
    </row>
    <row r="2876" spans="3:3">
      <c r="C2876" s="100"/>
    </row>
    <row r="2877" spans="3:3">
      <c r="C2877" s="100"/>
    </row>
    <row r="2878" spans="3:3">
      <c r="C2878" s="100"/>
    </row>
    <row r="2879" spans="3:3">
      <c r="C2879" s="100"/>
    </row>
    <row r="2880" spans="3:3">
      <c r="C2880" s="100"/>
    </row>
    <row r="2881" spans="3:3">
      <c r="C2881" s="100"/>
    </row>
    <row r="2882" spans="3:3">
      <c r="C2882" s="100"/>
    </row>
    <row r="2883" spans="3:3">
      <c r="C2883" s="100"/>
    </row>
    <row r="2884" spans="3:3">
      <c r="C2884" s="100"/>
    </row>
    <row r="2885" spans="3:3">
      <c r="C2885" s="100"/>
    </row>
    <row r="2886" spans="3:3">
      <c r="C2886" s="100"/>
    </row>
    <row r="2887" spans="3:3">
      <c r="C2887" s="100"/>
    </row>
    <row r="2888" spans="3:3">
      <c r="C2888" s="100"/>
    </row>
    <row r="2889" spans="3:3">
      <c r="C2889" s="100"/>
    </row>
    <row r="2890" spans="3:3">
      <c r="C2890" s="100"/>
    </row>
    <row r="2891" spans="3:3">
      <c r="C2891" s="100"/>
    </row>
    <row r="2892" spans="3:3">
      <c r="C2892" s="100"/>
    </row>
    <row r="2893" spans="3:3">
      <c r="C2893" s="100"/>
    </row>
    <row r="2894" spans="3:3">
      <c r="C2894" s="100"/>
    </row>
    <row r="2895" spans="3:3">
      <c r="C2895" s="100"/>
    </row>
    <row r="2896" spans="3:3">
      <c r="C2896" s="100"/>
    </row>
    <row r="2897" spans="3:3">
      <c r="C2897" s="100"/>
    </row>
    <row r="2898" spans="3:3">
      <c r="C2898" s="100"/>
    </row>
    <row r="2899" spans="3:3">
      <c r="C2899" s="100"/>
    </row>
    <row r="2900" spans="3:3">
      <c r="C2900" s="100"/>
    </row>
    <row r="2901" spans="3:3">
      <c r="C2901" s="100"/>
    </row>
    <row r="2902" spans="3:3">
      <c r="C2902" s="100"/>
    </row>
    <row r="2903" spans="3:3">
      <c r="C2903" s="100"/>
    </row>
    <row r="2904" spans="3:3">
      <c r="C2904" s="100"/>
    </row>
    <row r="2905" spans="3:3">
      <c r="C2905" s="100"/>
    </row>
    <row r="2906" spans="3:3">
      <c r="C2906" s="100"/>
    </row>
    <row r="2907" spans="3:3">
      <c r="C2907" s="100"/>
    </row>
    <row r="2908" spans="3:3">
      <c r="C2908" s="100"/>
    </row>
    <row r="2909" spans="3:3">
      <c r="C2909" s="100"/>
    </row>
    <row r="2910" spans="3:3">
      <c r="C2910" s="100"/>
    </row>
    <row r="2911" spans="3:3">
      <c r="C2911" s="100"/>
    </row>
    <row r="2912" spans="3:3">
      <c r="C2912" s="100"/>
    </row>
    <row r="2913" spans="3:3">
      <c r="C2913" s="100"/>
    </row>
    <row r="2914" spans="3:3">
      <c r="C2914" s="100"/>
    </row>
    <row r="2915" spans="3:3">
      <c r="C2915" s="100"/>
    </row>
    <row r="2916" spans="3:3">
      <c r="C2916" s="100"/>
    </row>
    <row r="2917" spans="3:3">
      <c r="C2917" s="100"/>
    </row>
    <row r="2918" spans="3:3">
      <c r="C2918" s="100"/>
    </row>
    <row r="2919" spans="3:3">
      <c r="C2919" s="100"/>
    </row>
    <row r="2920" spans="3:3">
      <c r="C2920" s="100"/>
    </row>
    <row r="2921" spans="3:3">
      <c r="C2921" s="100"/>
    </row>
    <row r="2922" spans="3:3">
      <c r="C2922" s="100"/>
    </row>
    <row r="2923" spans="3:3">
      <c r="C2923" s="100"/>
    </row>
    <row r="2924" spans="3:3">
      <c r="C2924" s="100"/>
    </row>
    <row r="2925" spans="3:3">
      <c r="C2925" s="100"/>
    </row>
    <row r="2926" spans="3:3">
      <c r="C2926" s="100"/>
    </row>
    <row r="2927" spans="3:3">
      <c r="C2927" s="100"/>
    </row>
    <row r="2928" spans="3:3">
      <c r="C2928" s="100"/>
    </row>
    <row r="2929" spans="3:3">
      <c r="C2929" s="100"/>
    </row>
    <row r="2930" spans="3:3">
      <c r="C2930" s="100"/>
    </row>
    <row r="2931" spans="3:3">
      <c r="C2931" s="100"/>
    </row>
    <row r="2932" spans="3:3">
      <c r="C2932" s="100"/>
    </row>
    <row r="2933" spans="3:3">
      <c r="C2933" s="100"/>
    </row>
    <row r="2934" spans="3:3">
      <c r="C2934" s="100"/>
    </row>
    <row r="2935" spans="3:3">
      <c r="C2935" s="100"/>
    </row>
    <row r="2936" spans="3:3">
      <c r="C2936" s="100"/>
    </row>
    <row r="2937" spans="3:3">
      <c r="C2937" s="100"/>
    </row>
    <row r="2938" spans="3:3">
      <c r="C2938" s="100"/>
    </row>
    <row r="2939" spans="3:3">
      <c r="C2939" s="100"/>
    </row>
    <row r="2940" spans="3:3">
      <c r="C2940" s="100"/>
    </row>
    <row r="2941" spans="3:3">
      <c r="C2941" s="100"/>
    </row>
    <row r="2942" spans="3:3">
      <c r="C2942" s="100"/>
    </row>
    <row r="2943" spans="3:3">
      <c r="C2943" s="100"/>
    </row>
    <row r="2944" spans="3:3">
      <c r="C2944" s="100"/>
    </row>
    <row r="2945" spans="3:3">
      <c r="C2945" s="100"/>
    </row>
    <row r="2946" spans="3:3">
      <c r="C2946" s="100"/>
    </row>
    <row r="2947" spans="3:3">
      <c r="C2947" s="100"/>
    </row>
    <row r="2948" spans="3:3">
      <c r="C2948" s="100"/>
    </row>
    <row r="2949" spans="3:3">
      <c r="C2949" s="100"/>
    </row>
    <row r="2950" spans="3:3">
      <c r="C2950" s="100"/>
    </row>
    <row r="2951" spans="3:3">
      <c r="C2951" s="100"/>
    </row>
    <row r="2952" spans="3:3">
      <c r="C2952" s="100"/>
    </row>
    <row r="2953" spans="3:3">
      <c r="C2953" s="100"/>
    </row>
    <row r="2954" spans="3:3">
      <c r="C2954" s="100"/>
    </row>
    <row r="2955" spans="3:3">
      <c r="C2955" s="100"/>
    </row>
    <row r="2956" spans="3:3">
      <c r="C2956" s="100"/>
    </row>
    <row r="2957" spans="3:3">
      <c r="C2957" s="100"/>
    </row>
    <row r="2958" spans="3:3">
      <c r="C2958" s="100"/>
    </row>
    <row r="2959" spans="3:3">
      <c r="C2959" s="100"/>
    </row>
    <row r="2960" spans="3:3">
      <c r="C2960" s="100"/>
    </row>
    <row r="2961" spans="3:3">
      <c r="C2961" s="100"/>
    </row>
    <row r="2962" spans="3:3">
      <c r="C2962" s="100"/>
    </row>
    <row r="2963" spans="3:3">
      <c r="C2963" s="100"/>
    </row>
    <row r="2964" spans="3:3">
      <c r="C2964" s="100"/>
    </row>
    <row r="2965" spans="3:3">
      <c r="C2965" s="100"/>
    </row>
    <row r="2966" spans="3:3">
      <c r="C2966" s="100"/>
    </row>
    <row r="2967" spans="3:3">
      <c r="C2967" s="100"/>
    </row>
    <row r="2968" spans="3:3">
      <c r="C2968" s="100"/>
    </row>
    <row r="2969" spans="3:3">
      <c r="C2969" s="100"/>
    </row>
    <row r="2970" spans="3:3">
      <c r="C2970" s="100"/>
    </row>
    <row r="2971" spans="3:3">
      <c r="C2971" s="100"/>
    </row>
    <row r="2972" spans="3:3">
      <c r="C2972" s="100"/>
    </row>
    <row r="2973" spans="3:3">
      <c r="C2973" s="100"/>
    </row>
    <row r="2974" spans="3:3">
      <c r="C2974" s="100"/>
    </row>
    <row r="2975" spans="3:3">
      <c r="C2975" s="100"/>
    </row>
    <row r="2976" spans="3:3">
      <c r="C2976" s="100"/>
    </row>
    <row r="2977" spans="3:3">
      <c r="C2977" s="100"/>
    </row>
    <row r="2978" spans="3:3">
      <c r="C2978" s="100"/>
    </row>
    <row r="2979" spans="3:3">
      <c r="C2979" s="100"/>
    </row>
    <row r="2980" spans="3:3">
      <c r="C2980" s="100"/>
    </row>
    <row r="2981" spans="3:3">
      <c r="C2981" s="100"/>
    </row>
    <row r="2982" spans="3:3">
      <c r="C2982" s="100"/>
    </row>
    <row r="2983" spans="3:3">
      <c r="C2983" s="100"/>
    </row>
    <row r="2984" spans="3:3">
      <c r="C2984" s="100"/>
    </row>
    <row r="2985" spans="3:3">
      <c r="C2985" s="100"/>
    </row>
    <row r="2986" spans="3:3">
      <c r="C2986" s="100"/>
    </row>
    <row r="2987" spans="3:3">
      <c r="C2987" s="100"/>
    </row>
    <row r="2988" spans="3:3">
      <c r="C2988" s="100"/>
    </row>
    <row r="2989" spans="3:3">
      <c r="C2989" s="100"/>
    </row>
    <row r="2990" spans="3:3">
      <c r="C2990" s="100"/>
    </row>
    <row r="2991" spans="3:3">
      <c r="C2991" s="100"/>
    </row>
    <row r="2992" spans="3:3">
      <c r="C2992" s="100"/>
    </row>
    <row r="2993" spans="3:3">
      <c r="C2993" s="100"/>
    </row>
    <row r="2994" spans="3:3">
      <c r="C2994" s="100"/>
    </row>
    <row r="2995" spans="3:3">
      <c r="C2995" s="100"/>
    </row>
    <row r="2996" spans="3:3">
      <c r="C2996" s="100"/>
    </row>
    <row r="2997" spans="3:3">
      <c r="C2997" s="100"/>
    </row>
    <row r="2998" spans="3:3">
      <c r="C2998" s="100"/>
    </row>
    <row r="2999" spans="3:3">
      <c r="C2999" s="100"/>
    </row>
    <row r="3000" spans="3:3">
      <c r="C3000" s="100"/>
    </row>
    <row r="3001" spans="3:3">
      <c r="C3001" s="100"/>
    </row>
    <row r="3002" spans="3:3">
      <c r="C3002" s="100"/>
    </row>
    <row r="3003" spans="3:3">
      <c r="C3003" s="100"/>
    </row>
    <row r="3004" spans="3:3">
      <c r="C3004" s="100"/>
    </row>
    <row r="3005" spans="3:3">
      <c r="C3005" s="100"/>
    </row>
    <row r="3006" spans="3:3">
      <c r="C3006" s="100"/>
    </row>
    <row r="3007" spans="3:3">
      <c r="C3007" s="100"/>
    </row>
    <row r="3008" spans="3:3">
      <c r="C3008" s="100"/>
    </row>
    <row r="3009" spans="3:3">
      <c r="C3009" s="100"/>
    </row>
    <row r="3010" spans="3:3">
      <c r="C3010" s="100"/>
    </row>
    <row r="3011" spans="3:3">
      <c r="C3011" s="100"/>
    </row>
    <row r="3012" spans="3:3">
      <c r="C3012" s="100"/>
    </row>
    <row r="3013" spans="3:3">
      <c r="C3013" s="100"/>
    </row>
    <row r="3014" spans="3:3">
      <c r="C3014" s="100"/>
    </row>
    <row r="3015" spans="3:3">
      <c r="C3015" s="100"/>
    </row>
    <row r="3016" spans="3:3">
      <c r="C3016" s="100"/>
    </row>
    <row r="3017" spans="3:3">
      <c r="C3017" s="100"/>
    </row>
    <row r="3018" spans="3:3">
      <c r="C3018" s="100"/>
    </row>
    <row r="3019" spans="3:3">
      <c r="C3019" s="100"/>
    </row>
    <row r="3020" spans="3:3">
      <c r="C3020" s="100"/>
    </row>
    <row r="3021" spans="3:3">
      <c r="C3021" s="100"/>
    </row>
    <row r="3022" spans="3:3">
      <c r="C3022" s="100"/>
    </row>
    <row r="3023" spans="3:3">
      <c r="C3023" s="100"/>
    </row>
    <row r="3024" spans="3:3">
      <c r="C3024" s="100"/>
    </row>
    <row r="3025" spans="3:3">
      <c r="C3025" s="100"/>
    </row>
    <row r="3026" spans="3:3">
      <c r="C3026" s="100"/>
    </row>
    <row r="3027" spans="3:3">
      <c r="C3027" s="100"/>
    </row>
    <row r="3028" spans="3:3">
      <c r="C3028" s="100"/>
    </row>
    <row r="3029" spans="3:3">
      <c r="C3029" s="100"/>
    </row>
    <row r="3030" spans="3:3">
      <c r="C3030" s="100"/>
    </row>
    <row r="3031" spans="3:3">
      <c r="C3031" s="100"/>
    </row>
    <row r="3032" spans="3:3">
      <c r="C3032" s="100"/>
    </row>
    <row r="3033" spans="3:3">
      <c r="C3033" s="100"/>
    </row>
    <row r="3034" spans="3:3">
      <c r="C3034" s="100"/>
    </row>
    <row r="3035" spans="3:3">
      <c r="C3035" s="100"/>
    </row>
    <row r="3036" spans="3:3">
      <c r="C3036" s="100"/>
    </row>
    <row r="3037" spans="3:3">
      <c r="C3037" s="100"/>
    </row>
    <row r="3038" spans="3:3">
      <c r="C3038" s="100"/>
    </row>
    <row r="3039" spans="3:3">
      <c r="C3039" s="100"/>
    </row>
    <row r="3040" spans="3:3">
      <c r="C3040" s="100"/>
    </row>
    <row r="3041" spans="3:3">
      <c r="C3041" s="100"/>
    </row>
    <row r="3042" spans="3:3">
      <c r="C3042" s="100"/>
    </row>
    <row r="3043" spans="3:3">
      <c r="C3043" s="100"/>
    </row>
    <row r="3044" spans="3:3">
      <c r="C3044" s="100"/>
    </row>
    <row r="3045" spans="3:3">
      <c r="C3045" s="100"/>
    </row>
    <row r="3046" spans="3:3">
      <c r="C3046" s="100"/>
    </row>
    <row r="3047" spans="3:3">
      <c r="C3047" s="100"/>
    </row>
    <row r="3048" spans="3:3">
      <c r="C3048" s="100"/>
    </row>
    <row r="3049" spans="3:3">
      <c r="C3049" s="100"/>
    </row>
    <row r="3050" spans="3:3">
      <c r="C3050" s="100"/>
    </row>
    <row r="3051" spans="3:3">
      <c r="C3051" s="100"/>
    </row>
    <row r="3052" spans="3:3">
      <c r="C3052" s="100"/>
    </row>
    <row r="3053" spans="3:3">
      <c r="C3053" s="100"/>
    </row>
    <row r="3054" spans="3:3">
      <c r="C3054" s="100"/>
    </row>
    <row r="3055" spans="3:3">
      <c r="C3055" s="100"/>
    </row>
    <row r="3056" spans="3:3">
      <c r="C3056" s="100"/>
    </row>
    <row r="3057" spans="3:3">
      <c r="C3057" s="100"/>
    </row>
    <row r="3058" spans="3:3">
      <c r="C3058" s="100"/>
    </row>
    <row r="3059" spans="3:3">
      <c r="C3059" s="100"/>
    </row>
    <row r="3060" spans="3:3">
      <c r="C3060" s="100"/>
    </row>
    <row r="3061" spans="3:3">
      <c r="C3061" s="100"/>
    </row>
    <row r="3062" spans="3:3">
      <c r="C3062" s="100"/>
    </row>
    <row r="3063" spans="3:3">
      <c r="C3063" s="100"/>
    </row>
    <row r="3064" spans="3:3">
      <c r="C3064" s="100"/>
    </row>
    <row r="3065" spans="3:3">
      <c r="C3065" s="100"/>
    </row>
    <row r="3066" spans="3:3">
      <c r="C3066" s="100"/>
    </row>
    <row r="3067" spans="3:3">
      <c r="C3067" s="100"/>
    </row>
    <row r="3068" spans="3:3">
      <c r="C3068" s="100"/>
    </row>
    <row r="3069" spans="3:3">
      <c r="C3069" s="100"/>
    </row>
    <row r="3070" spans="3:3">
      <c r="C3070" s="100"/>
    </row>
    <row r="3071" spans="3:3">
      <c r="C3071" s="100"/>
    </row>
    <row r="3072" spans="3:3">
      <c r="C3072" s="100"/>
    </row>
    <row r="3073" spans="3:3">
      <c r="C3073" s="100"/>
    </row>
    <row r="3074" spans="3:3">
      <c r="C3074" s="100"/>
    </row>
    <row r="3075" spans="3:3">
      <c r="C3075" s="100"/>
    </row>
    <row r="3076" spans="3:3">
      <c r="C3076" s="100"/>
    </row>
    <row r="3077" spans="3:3">
      <c r="C3077" s="100"/>
    </row>
    <row r="3078" spans="3:3">
      <c r="C3078" s="100"/>
    </row>
    <row r="3079" spans="3:3">
      <c r="C3079" s="100"/>
    </row>
    <row r="3080" spans="3:3">
      <c r="C3080" s="100"/>
    </row>
    <row r="3081" spans="3:3">
      <c r="C3081" s="100"/>
    </row>
    <row r="3082" spans="3:3">
      <c r="C3082" s="100"/>
    </row>
    <row r="3083" spans="3:3">
      <c r="C3083" s="100"/>
    </row>
    <row r="3084" spans="3:3">
      <c r="C3084" s="100"/>
    </row>
    <row r="3085" spans="3:3">
      <c r="C3085" s="100"/>
    </row>
    <row r="3086" spans="3:3">
      <c r="C3086" s="100"/>
    </row>
    <row r="3087" spans="3:3">
      <c r="C3087" s="100"/>
    </row>
    <row r="3088" spans="3:3">
      <c r="C3088" s="100"/>
    </row>
    <row r="3089" spans="3:3">
      <c r="C3089" s="100"/>
    </row>
    <row r="3090" spans="3:3">
      <c r="C3090" s="100"/>
    </row>
    <row r="3091" spans="3:3">
      <c r="C3091" s="100"/>
    </row>
    <row r="3092" spans="3:3">
      <c r="C3092" s="100"/>
    </row>
    <row r="3093" spans="3:3">
      <c r="C3093" s="100"/>
    </row>
    <row r="3094" spans="3:3">
      <c r="C3094" s="100"/>
    </row>
    <row r="3095" spans="3:3">
      <c r="C3095" s="100"/>
    </row>
    <row r="3096" spans="3:3">
      <c r="C3096" s="100"/>
    </row>
    <row r="3097" spans="3:3">
      <c r="C3097" s="100"/>
    </row>
    <row r="3098" spans="3:3">
      <c r="C3098" s="100"/>
    </row>
    <row r="3099" spans="3:3">
      <c r="C3099" s="100"/>
    </row>
    <row r="3100" spans="3:3">
      <c r="C3100" s="100"/>
    </row>
    <row r="3101" spans="3:3">
      <c r="C3101" s="100"/>
    </row>
    <row r="3102" spans="3:3">
      <c r="C3102" s="100"/>
    </row>
    <row r="3103" spans="3:3">
      <c r="C3103" s="100"/>
    </row>
    <row r="3104" spans="3:3">
      <c r="C3104" s="100"/>
    </row>
    <row r="3105" spans="3:3">
      <c r="C3105" s="100"/>
    </row>
    <row r="3106" spans="3:3">
      <c r="C3106" s="100"/>
    </row>
    <row r="3107" spans="3:3">
      <c r="C3107" s="100"/>
    </row>
    <row r="3108" spans="3:3">
      <c r="C3108" s="100"/>
    </row>
    <row r="3109" spans="3:3">
      <c r="C3109" s="100"/>
    </row>
    <row r="3110" spans="3:3">
      <c r="C3110" s="100"/>
    </row>
    <row r="3111" spans="3:3">
      <c r="C3111" s="100"/>
    </row>
    <row r="3112" spans="3:3">
      <c r="C3112" s="100"/>
    </row>
    <row r="3113" spans="3:3">
      <c r="C3113" s="100"/>
    </row>
    <row r="3114" spans="3:3">
      <c r="C3114" s="100"/>
    </row>
    <row r="3115" spans="3:3">
      <c r="C3115" s="100"/>
    </row>
    <row r="3116" spans="3:3">
      <c r="C3116" s="100"/>
    </row>
    <row r="3117" spans="3:3">
      <c r="C3117" s="100"/>
    </row>
    <row r="3118" spans="3:3">
      <c r="C3118" s="100"/>
    </row>
    <row r="3119" spans="3:3">
      <c r="C3119" s="100"/>
    </row>
    <row r="3120" spans="3:3">
      <c r="C3120" s="100"/>
    </row>
    <row r="3121" spans="3:3">
      <c r="C3121" s="100"/>
    </row>
    <row r="3122" spans="3:3">
      <c r="C3122" s="100"/>
    </row>
    <row r="3123" spans="3:3">
      <c r="C3123" s="100"/>
    </row>
    <row r="3124" spans="3:3">
      <c r="C3124" s="100"/>
    </row>
    <row r="3125" spans="3:3">
      <c r="C3125" s="100"/>
    </row>
    <row r="3126" spans="3:3">
      <c r="C3126" s="100"/>
    </row>
    <row r="3127" spans="3:3">
      <c r="C3127" s="100"/>
    </row>
    <row r="3128" spans="3:3">
      <c r="C3128" s="100"/>
    </row>
    <row r="3129" spans="3:3">
      <c r="C3129" s="100"/>
    </row>
    <row r="3130" spans="3:3">
      <c r="C3130" s="100"/>
    </row>
    <row r="3131" spans="3:3">
      <c r="C3131" s="100"/>
    </row>
    <row r="3132" spans="3:3">
      <c r="C3132" s="100"/>
    </row>
    <row r="3133" spans="3:3">
      <c r="C3133" s="100"/>
    </row>
    <row r="3134" spans="3:3">
      <c r="C3134" s="100"/>
    </row>
    <row r="3135" spans="3:3">
      <c r="C3135" s="100"/>
    </row>
    <row r="3136" spans="3:3">
      <c r="C3136" s="100"/>
    </row>
    <row r="3137" spans="3:3">
      <c r="C3137" s="100"/>
    </row>
    <row r="3138" spans="3:3">
      <c r="C3138" s="100"/>
    </row>
    <row r="3139" spans="3:3">
      <c r="C3139" s="100"/>
    </row>
    <row r="3140" spans="3:3">
      <c r="C3140" s="100"/>
    </row>
    <row r="3141" spans="3:3">
      <c r="C3141" s="100"/>
    </row>
    <row r="3142" spans="3:3">
      <c r="C3142" s="100"/>
    </row>
    <row r="3143" spans="3:3">
      <c r="C3143" s="100"/>
    </row>
    <row r="3144" spans="3:3">
      <c r="C3144" s="100"/>
    </row>
    <row r="3145" spans="3:3">
      <c r="C3145" s="100"/>
    </row>
    <row r="3146" spans="3:3">
      <c r="C3146" s="100"/>
    </row>
    <row r="3147" spans="3:3">
      <c r="C3147" s="100"/>
    </row>
    <row r="3148" spans="3:3">
      <c r="C3148" s="100"/>
    </row>
    <row r="3149" spans="3:3">
      <c r="C3149" s="100"/>
    </row>
    <row r="3150" spans="3:3">
      <c r="C3150" s="100"/>
    </row>
    <row r="3151" spans="3:3">
      <c r="C3151" s="100"/>
    </row>
    <row r="3152" spans="3:3">
      <c r="C3152" s="100"/>
    </row>
    <row r="3153" spans="3:3">
      <c r="C3153" s="100"/>
    </row>
    <row r="3154" spans="3:3">
      <c r="C3154" s="100"/>
    </row>
    <row r="3155" spans="3:3">
      <c r="C3155" s="100"/>
    </row>
    <row r="3156" spans="3:3">
      <c r="C3156" s="100"/>
    </row>
    <row r="3157" spans="3:3">
      <c r="C3157" s="100"/>
    </row>
    <row r="3158" spans="3:3">
      <c r="C3158" s="100"/>
    </row>
    <row r="3159" spans="3:3">
      <c r="C3159" s="100"/>
    </row>
    <row r="3160" spans="3:3">
      <c r="C3160" s="100"/>
    </row>
    <row r="3161" spans="3:3">
      <c r="C3161" s="100"/>
    </row>
    <row r="3162" spans="3:3">
      <c r="C3162" s="100"/>
    </row>
    <row r="3163" spans="3:3">
      <c r="C3163" s="100"/>
    </row>
    <row r="3164" spans="3:3">
      <c r="C3164" s="100"/>
    </row>
    <row r="3165" spans="3:3">
      <c r="C3165" s="100"/>
    </row>
    <row r="3166" spans="3:3">
      <c r="C3166" s="100"/>
    </row>
    <row r="3167" spans="3:3">
      <c r="C3167" s="100"/>
    </row>
    <row r="3168" spans="3:3">
      <c r="C3168" s="100"/>
    </row>
    <row r="3169" spans="3:3">
      <c r="C3169" s="100"/>
    </row>
    <row r="3170" spans="3:3">
      <c r="C3170" s="100"/>
    </row>
    <row r="3171" spans="3:3">
      <c r="C3171" s="100"/>
    </row>
    <row r="3172" spans="3:3">
      <c r="C3172" s="100"/>
    </row>
    <row r="3173" spans="3:3">
      <c r="C3173" s="100"/>
    </row>
    <row r="3174" spans="3:3">
      <c r="C3174" s="100"/>
    </row>
    <row r="3175" spans="3:3">
      <c r="C3175" s="100"/>
    </row>
    <row r="3176" spans="3:3">
      <c r="C3176" s="100"/>
    </row>
    <row r="3177" spans="3:3">
      <c r="C3177" s="100"/>
    </row>
    <row r="3178" spans="3:3">
      <c r="C3178" s="100"/>
    </row>
    <row r="3179" spans="3:3">
      <c r="C3179" s="100"/>
    </row>
    <row r="3180" spans="3:3">
      <c r="C3180" s="100"/>
    </row>
    <row r="3181" spans="3:3">
      <c r="C3181" s="100"/>
    </row>
    <row r="3182" spans="3:3">
      <c r="C3182" s="100"/>
    </row>
    <row r="3183" spans="3:3">
      <c r="C3183" s="100"/>
    </row>
    <row r="3184" spans="3:3">
      <c r="C3184" s="100"/>
    </row>
    <row r="3185" spans="3:3">
      <c r="C3185" s="100"/>
    </row>
    <row r="3186" spans="3:3">
      <c r="C3186" s="100"/>
    </row>
    <row r="3187" spans="3:3">
      <c r="C3187" s="100"/>
    </row>
    <row r="3188" spans="3:3">
      <c r="C3188" s="100"/>
    </row>
    <row r="3189" spans="3:3">
      <c r="C3189" s="100"/>
    </row>
    <row r="3190" spans="3:3">
      <c r="C3190" s="100"/>
    </row>
    <row r="3191" spans="3:3">
      <c r="C3191" s="100"/>
    </row>
    <row r="3192" spans="3:3">
      <c r="C3192" s="100"/>
    </row>
    <row r="3193" spans="3:3">
      <c r="C3193" s="100"/>
    </row>
    <row r="3194" spans="3:3">
      <c r="C3194" s="100"/>
    </row>
    <row r="3195" spans="3:3">
      <c r="C3195" s="100"/>
    </row>
    <row r="3196" spans="3:3">
      <c r="C3196" s="100"/>
    </row>
    <row r="3197" spans="3:3">
      <c r="C3197" s="100"/>
    </row>
    <row r="3198" spans="3:3">
      <c r="C3198" s="100"/>
    </row>
    <row r="3199" spans="3:3">
      <c r="C3199" s="100"/>
    </row>
    <row r="3200" spans="3:3">
      <c r="C3200" s="100"/>
    </row>
    <row r="3201" spans="3:3">
      <c r="C3201" s="100"/>
    </row>
    <row r="3202" spans="3:3">
      <c r="C3202" s="100"/>
    </row>
    <row r="3203" spans="3:3">
      <c r="C3203" s="100"/>
    </row>
    <row r="3204" spans="3:3">
      <c r="C3204" s="100"/>
    </row>
    <row r="3205" spans="3:3">
      <c r="C3205" s="100"/>
    </row>
    <row r="3206" spans="3:3">
      <c r="C3206" s="100"/>
    </row>
    <row r="3207" spans="3:3">
      <c r="C3207" s="100"/>
    </row>
    <row r="3208" spans="3:3">
      <c r="C3208" s="100"/>
    </row>
    <row r="3209" spans="3:3">
      <c r="C3209" s="100"/>
    </row>
    <row r="3210" spans="3:3">
      <c r="C3210" s="100"/>
    </row>
    <row r="3211" spans="3:3">
      <c r="C3211" s="100"/>
    </row>
    <row r="3212" spans="3:3">
      <c r="C3212" s="100"/>
    </row>
    <row r="3213" spans="3:3">
      <c r="C3213" s="100"/>
    </row>
    <row r="3214" spans="3:3">
      <c r="C3214" s="100"/>
    </row>
    <row r="3215" spans="3:3">
      <c r="C3215" s="100"/>
    </row>
    <row r="3216" spans="3:3">
      <c r="C3216" s="100"/>
    </row>
    <row r="3217" spans="3:3">
      <c r="C3217" s="100"/>
    </row>
    <row r="3218" spans="3:3">
      <c r="C3218" s="100"/>
    </row>
    <row r="3219" spans="3:3">
      <c r="C3219" s="100"/>
    </row>
    <row r="3220" spans="3:3">
      <c r="C3220" s="100"/>
    </row>
    <row r="3221" spans="3:3">
      <c r="C3221" s="100"/>
    </row>
    <row r="3222" spans="3:3">
      <c r="C3222" s="100"/>
    </row>
    <row r="3223" spans="3:3">
      <c r="C3223" s="100"/>
    </row>
    <row r="3224" spans="3:3">
      <c r="C3224" s="100"/>
    </row>
    <row r="3225" spans="3:3">
      <c r="C3225" s="100"/>
    </row>
    <row r="3226" spans="3:3">
      <c r="C3226" s="100"/>
    </row>
    <row r="3227" spans="3:3">
      <c r="C3227" s="100"/>
    </row>
    <row r="3228" spans="3:3">
      <c r="C3228" s="100"/>
    </row>
    <row r="3229" spans="3:3">
      <c r="C3229" s="100"/>
    </row>
    <row r="3230" spans="3:3">
      <c r="C3230" s="100"/>
    </row>
    <row r="3231" spans="3:3">
      <c r="C3231" s="100"/>
    </row>
    <row r="3232" spans="3:3">
      <c r="C3232" s="100"/>
    </row>
    <row r="3233" spans="3:3">
      <c r="C3233" s="100"/>
    </row>
    <row r="3234" spans="3:3">
      <c r="C3234" s="100"/>
    </row>
    <row r="3235" spans="3:3">
      <c r="C3235" s="100"/>
    </row>
    <row r="3236" spans="3:3">
      <c r="C3236" s="100"/>
    </row>
    <row r="3237" spans="3:3">
      <c r="C3237" s="100"/>
    </row>
    <row r="3238" spans="3:3">
      <c r="C3238" s="100"/>
    </row>
    <row r="3239" spans="3:3">
      <c r="C3239" s="100"/>
    </row>
    <row r="3240" spans="3:3">
      <c r="C3240" s="100"/>
    </row>
    <row r="3241" spans="3:3">
      <c r="C3241" s="100"/>
    </row>
    <row r="3242" spans="3:3">
      <c r="C3242" s="100"/>
    </row>
    <row r="3243" spans="3:3">
      <c r="C3243" s="100"/>
    </row>
    <row r="3244" spans="3:3">
      <c r="C3244" s="100"/>
    </row>
    <row r="3245" spans="3:3">
      <c r="C3245" s="100"/>
    </row>
    <row r="3246" spans="3:3">
      <c r="C3246" s="100"/>
    </row>
    <row r="3247" spans="3:3">
      <c r="C3247" s="100"/>
    </row>
    <row r="3248" spans="3:3">
      <c r="C3248" s="100"/>
    </row>
    <row r="3249" spans="3:3">
      <c r="C3249" s="100"/>
    </row>
    <row r="3250" spans="3:3">
      <c r="C3250" s="100"/>
    </row>
    <row r="3251" spans="3:3">
      <c r="C3251" s="100"/>
    </row>
    <row r="3252" spans="3:3">
      <c r="C3252" s="100"/>
    </row>
    <row r="3253" spans="3:3">
      <c r="C3253" s="100"/>
    </row>
    <row r="3254" spans="3:3">
      <c r="C3254" s="100"/>
    </row>
    <row r="3255" spans="3:3">
      <c r="C3255" s="100"/>
    </row>
    <row r="3256" spans="3:3">
      <c r="C3256" s="100"/>
    </row>
    <row r="3257" spans="3:3">
      <c r="C3257" s="100"/>
    </row>
    <row r="3258" spans="3:3">
      <c r="C3258" s="100"/>
    </row>
    <row r="3259" spans="3:3">
      <c r="C3259" s="100"/>
    </row>
    <row r="3260" spans="3:3">
      <c r="C3260" s="100"/>
    </row>
    <row r="3261" spans="3:3">
      <c r="C3261" s="100"/>
    </row>
    <row r="3262" spans="3:3">
      <c r="C3262" s="100"/>
    </row>
    <row r="3263" spans="3:3">
      <c r="C3263" s="100"/>
    </row>
    <row r="3264" spans="3:3">
      <c r="C3264" s="100"/>
    </row>
    <row r="3265" spans="3:3">
      <c r="C3265" s="100"/>
    </row>
    <row r="3266" spans="3:3">
      <c r="C3266" s="100"/>
    </row>
    <row r="3267" spans="3:3">
      <c r="C3267" s="100"/>
    </row>
    <row r="3268" spans="3:3">
      <c r="C3268" s="100"/>
    </row>
    <row r="3269" spans="3:3">
      <c r="C3269" s="100"/>
    </row>
    <row r="3270" spans="3:3">
      <c r="C3270" s="100"/>
    </row>
    <row r="3271" spans="3:3">
      <c r="C3271" s="100"/>
    </row>
    <row r="3272" spans="3:3">
      <c r="C3272" s="100"/>
    </row>
    <row r="3273" spans="3:3">
      <c r="C3273" s="100"/>
    </row>
    <row r="3274" spans="3:3">
      <c r="C3274" s="100"/>
    </row>
    <row r="3275" spans="3:3">
      <c r="C3275" s="100"/>
    </row>
    <row r="3276" spans="3:3">
      <c r="C3276" s="100"/>
    </row>
    <row r="3277" spans="3:3">
      <c r="C3277" s="100"/>
    </row>
    <row r="3278" spans="3:3">
      <c r="C3278" s="100"/>
    </row>
    <row r="3279" spans="3:3">
      <c r="C3279" s="100"/>
    </row>
    <row r="3280" spans="3:3">
      <c r="C3280" s="100"/>
    </row>
    <row r="3281" spans="3:3">
      <c r="C3281" s="100"/>
    </row>
    <row r="3282" spans="3:3">
      <c r="C3282" s="100"/>
    </row>
    <row r="3283" spans="3:3">
      <c r="C3283" s="100"/>
    </row>
    <row r="3284" spans="3:3">
      <c r="C3284" s="100"/>
    </row>
    <row r="3285" spans="3:3">
      <c r="C3285" s="100"/>
    </row>
    <row r="3286" spans="3:3">
      <c r="C3286" s="100"/>
    </row>
    <row r="3287" spans="3:3">
      <c r="C3287" s="100"/>
    </row>
    <row r="3288" spans="3:3">
      <c r="C3288" s="100"/>
    </row>
    <row r="3289" spans="3:3">
      <c r="C3289" s="100"/>
    </row>
    <row r="3290" spans="3:3">
      <c r="C3290" s="100"/>
    </row>
    <row r="3291" spans="3:3">
      <c r="C3291" s="100"/>
    </row>
    <row r="3292" spans="3:3">
      <c r="C3292" s="100"/>
    </row>
    <row r="3293" spans="3:3">
      <c r="C3293" s="100"/>
    </row>
    <row r="3294" spans="3:3">
      <c r="C3294" s="100"/>
    </row>
    <row r="3295" spans="3:3">
      <c r="C3295" s="100"/>
    </row>
    <row r="3296" spans="3:3">
      <c r="C3296" s="100"/>
    </row>
    <row r="3297" spans="3:3">
      <c r="C3297" s="100"/>
    </row>
    <row r="3298" spans="3:3">
      <c r="C3298" s="100"/>
    </row>
    <row r="3299" spans="3:3">
      <c r="C3299" s="100"/>
    </row>
    <row r="3300" spans="3:3">
      <c r="C3300" s="100"/>
    </row>
    <row r="3301" spans="3:3">
      <c r="C3301" s="100"/>
    </row>
    <row r="3302" spans="3:3">
      <c r="C3302" s="100"/>
    </row>
    <row r="3303" spans="3:3">
      <c r="C3303" s="100"/>
    </row>
    <row r="3304" spans="3:3">
      <c r="C3304" s="100"/>
    </row>
    <row r="3305" spans="3:3">
      <c r="C3305" s="100"/>
    </row>
    <row r="3306" spans="3:3">
      <c r="C3306" s="100"/>
    </row>
    <row r="3307" spans="3:3">
      <c r="C3307" s="100"/>
    </row>
    <row r="3308" spans="3:3">
      <c r="C3308" s="100"/>
    </row>
    <row r="3309" spans="3:3">
      <c r="C3309" s="100"/>
    </row>
    <row r="3310" spans="3:3">
      <c r="C3310" s="100"/>
    </row>
    <row r="3311" spans="3:3">
      <c r="C3311" s="100"/>
    </row>
    <row r="3312" spans="3:3">
      <c r="C3312" s="100"/>
    </row>
    <row r="3313" spans="3:3">
      <c r="C3313" s="100"/>
    </row>
    <row r="3314" spans="3:3">
      <c r="C3314" s="100"/>
    </row>
    <row r="3315" spans="3:3">
      <c r="C3315" s="100"/>
    </row>
    <row r="3316" spans="3:3">
      <c r="C3316" s="100"/>
    </row>
    <row r="3317" spans="3:3">
      <c r="C3317" s="100"/>
    </row>
    <row r="3318" spans="3:3">
      <c r="C3318" s="100"/>
    </row>
    <row r="3319" spans="3:3">
      <c r="C3319" s="100"/>
    </row>
    <row r="3320" spans="3:3">
      <c r="C3320" s="100"/>
    </row>
    <row r="3321" spans="3:3">
      <c r="C3321" s="100"/>
    </row>
    <row r="3322" spans="3:3">
      <c r="C3322" s="100"/>
    </row>
    <row r="3323" spans="3:3">
      <c r="C3323" s="100"/>
    </row>
    <row r="3324" spans="3:3">
      <c r="C3324" s="100"/>
    </row>
    <row r="3325" spans="3:3">
      <c r="C3325" s="100"/>
    </row>
    <row r="3326" spans="3:3">
      <c r="C3326" s="100"/>
    </row>
    <row r="3327" spans="3:3">
      <c r="C3327" s="100"/>
    </row>
    <row r="3328" spans="3:3">
      <c r="C3328" s="100"/>
    </row>
    <row r="3329" spans="3:3">
      <c r="C3329" s="100"/>
    </row>
    <row r="3330" spans="3:3">
      <c r="C3330" s="100"/>
    </row>
    <row r="3331" spans="3:3">
      <c r="C3331" s="100"/>
    </row>
    <row r="3332" spans="3:3">
      <c r="C3332" s="100"/>
    </row>
    <row r="3333" spans="3:3">
      <c r="C3333" s="100"/>
    </row>
    <row r="3334" spans="3:3">
      <c r="C3334" s="100"/>
    </row>
    <row r="3335" spans="3:3">
      <c r="C3335" s="100"/>
    </row>
    <row r="3336" spans="3:3">
      <c r="C3336" s="100"/>
    </row>
    <row r="3337" spans="3:3">
      <c r="C3337" s="100"/>
    </row>
    <row r="3338" spans="3:3">
      <c r="C3338" s="100"/>
    </row>
    <row r="3339" spans="3:3">
      <c r="C3339" s="100"/>
    </row>
    <row r="3340" spans="3:3">
      <c r="C3340" s="100"/>
    </row>
    <row r="3341" spans="3:3">
      <c r="C3341" s="100"/>
    </row>
    <row r="3342" spans="3:3">
      <c r="C3342" s="100"/>
    </row>
    <row r="3343" spans="3:3">
      <c r="C3343" s="100"/>
    </row>
    <row r="3344" spans="3:3">
      <c r="C3344" s="100"/>
    </row>
    <row r="3345" spans="3:3">
      <c r="C3345" s="100"/>
    </row>
    <row r="3346" spans="3:3">
      <c r="C3346" s="100"/>
    </row>
    <row r="3347" spans="3:3">
      <c r="C3347" s="100"/>
    </row>
    <row r="3348" spans="3:3">
      <c r="C3348" s="100"/>
    </row>
    <row r="3349" spans="3:3">
      <c r="C3349" s="100"/>
    </row>
    <row r="3350" spans="3:3">
      <c r="C3350" s="100"/>
    </row>
    <row r="3351" spans="3:3">
      <c r="C3351" s="100"/>
    </row>
    <row r="3352" spans="3:3">
      <c r="C3352" s="100"/>
    </row>
    <row r="3353" spans="3:3">
      <c r="C3353" s="100"/>
    </row>
    <row r="3354" spans="3:3">
      <c r="C3354" s="100"/>
    </row>
    <row r="3355" spans="3:3">
      <c r="C3355" s="100"/>
    </row>
    <row r="3356" spans="3:3">
      <c r="C3356" s="100"/>
    </row>
    <row r="3357" spans="3:3">
      <c r="C3357" s="100"/>
    </row>
    <row r="3358" spans="3:3">
      <c r="C3358" s="100"/>
    </row>
    <row r="3359" spans="3:3">
      <c r="C3359" s="100"/>
    </row>
    <row r="3360" spans="3:3">
      <c r="C3360" s="100"/>
    </row>
    <row r="3361" spans="3:3">
      <c r="C3361" s="100"/>
    </row>
    <row r="3362" spans="3:3">
      <c r="C3362" s="100"/>
    </row>
    <row r="3363" spans="3:3">
      <c r="C3363" s="100"/>
    </row>
    <row r="3364" spans="3:3">
      <c r="C3364" s="100"/>
    </row>
    <row r="3365" spans="3:3">
      <c r="C3365" s="100"/>
    </row>
    <row r="3366" spans="3:3">
      <c r="C3366" s="100"/>
    </row>
    <row r="3367" spans="3:3">
      <c r="C3367" s="100"/>
    </row>
    <row r="3368" spans="3:3">
      <c r="C3368" s="100"/>
    </row>
    <row r="3369" spans="3:3">
      <c r="C3369" s="100"/>
    </row>
    <row r="3370" spans="3:3">
      <c r="C3370" s="100"/>
    </row>
    <row r="3371" spans="3:3">
      <c r="C3371" s="100"/>
    </row>
    <row r="3372" spans="3:3">
      <c r="C3372" s="100"/>
    </row>
    <row r="3373" spans="3:3">
      <c r="C3373" s="100"/>
    </row>
    <row r="3374" spans="3:3">
      <c r="C3374" s="100"/>
    </row>
    <row r="3375" spans="3:3">
      <c r="C3375" s="100"/>
    </row>
    <row r="3376" spans="3:3">
      <c r="C3376" s="100"/>
    </row>
    <row r="3377" spans="3:3">
      <c r="C3377" s="100"/>
    </row>
    <row r="3378" spans="3:3">
      <c r="C3378" s="100"/>
    </row>
    <row r="3379" spans="3:3">
      <c r="C3379" s="100"/>
    </row>
    <row r="3380" spans="3:3">
      <c r="C3380" s="100"/>
    </row>
    <row r="3381" spans="3:3">
      <c r="C3381" s="100"/>
    </row>
    <row r="3382" spans="3:3">
      <c r="C3382" s="100"/>
    </row>
    <row r="3383" spans="3:3">
      <c r="C3383" s="100"/>
    </row>
    <row r="3384" spans="3:3">
      <c r="C3384" s="100"/>
    </row>
    <row r="3385" spans="3:3">
      <c r="C3385" s="100"/>
    </row>
    <row r="3386" spans="3:3">
      <c r="C3386" s="100"/>
    </row>
    <row r="3387" spans="3:3">
      <c r="C3387" s="100"/>
    </row>
    <row r="3388" spans="3:3">
      <c r="C3388" s="100"/>
    </row>
    <row r="3389" spans="3:3">
      <c r="C3389" s="100"/>
    </row>
    <row r="3390" spans="3:3">
      <c r="C3390" s="100"/>
    </row>
    <row r="3391" spans="3:3">
      <c r="C3391" s="100"/>
    </row>
    <row r="3392" spans="3:3">
      <c r="C3392" s="100"/>
    </row>
    <row r="3393" spans="3:3">
      <c r="C3393" s="100"/>
    </row>
    <row r="3394" spans="3:3">
      <c r="C3394" s="100"/>
    </row>
    <row r="3395" spans="3:3">
      <c r="C3395" s="100"/>
    </row>
    <row r="3396" spans="3:3">
      <c r="C3396" s="100"/>
    </row>
    <row r="3397" spans="3:3">
      <c r="C3397" s="100"/>
    </row>
    <row r="3398" spans="3:3">
      <c r="C3398" s="100"/>
    </row>
    <row r="3399" spans="3:3">
      <c r="C3399" s="100"/>
    </row>
    <row r="3400" spans="3:3">
      <c r="C3400" s="100"/>
    </row>
    <row r="3401" spans="3:3">
      <c r="C3401" s="100"/>
    </row>
    <row r="3402" spans="3:3">
      <c r="C3402" s="100"/>
    </row>
    <row r="3403" spans="3:3">
      <c r="C3403" s="100"/>
    </row>
    <row r="3404" spans="3:3">
      <c r="C3404" s="100"/>
    </row>
    <row r="3405" spans="3:3">
      <c r="C3405" s="100"/>
    </row>
    <row r="3406" spans="3:3">
      <c r="C3406" s="100"/>
    </row>
    <row r="3407" spans="3:3">
      <c r="C3407" s="100"/>
    </row>
    <row r="3408" spans="3:3">
      <c r="C3408" s="100"/>
    </row>
    <row r="3409" spans="3:3">
      <c r="C3409" s="100"/>
    </row>
    <row r="3410" spans="3:3">
      <c r="C3410" s="100"/>
    </row>
    <row r="3411" spans="3:3">
      <c r="C3411" s="100"/>
    </row>
    <row r="3412" spans="3:3">
      <c r="C3412" s="100"/>
    </row>
    <row r="3413" spans="3:3">
      <c r="C3413" s="100"/>
    </row>
    <row r="3414" spans="3:3">
      <c r="C3414" s="100"/>
    </row>
    <row r="3415" spans="3:3">
      <c r="C3415" s="100"/>
    </row>
    <row r="3416" spans="3:3">
      <c r="C3416" s="100"/>
    </row>
    <row r="3417" spans="3:3">
      <c r="C3417" s="100"/>
    </row>
    <row r="3418" spans="3:3">
      <c r="C3418" s="100"/>
    </row>
    <row r="3419" spans="3:3">
      <c r="C3419" s="100"/>
    </row>
    <row r="3420" spans="3:3">
      <c r="C3420" s="100"/>
    </row>
    <row r="3421" spans="3:3">
      <c r="C3421" s="100"/>
    </row>
    <row r="3422" spans="3:3">
      <c r="C3422" s="100"/>
    </row>
    <row r="3423" spans="3:3">
      <c r="C3423" s="100"/>
    </row>
    <row r="3424" spans="3:3">
      <c r="C3424" s="100"/>
    </row>
    <row r="3425" spans="3:3">
      <c r="C3425" s="100"/>
    </row>
    <row r="3426" spans="3:3">
      <c r="C3426" s="100"/>
    </row>
    <row r="3427" spans="3:3">
      <c r="C3427" s="100"/>
    </row>
    <row r="3428" spans="3:3">
      <c r="C3428" s="100"/>
    </row>
    <row r="3429" spans="3:3">
      <c r="C3429" s="100"/>
    </row>
    <row r="3430" spans="3:3">
      <c r="C3430" s="100"/>
    </row>
    <row r="3431" spans="3:3">
      <c r="C3431" s="100"/>
    </row>
    <row r="3432" spans="3:3">
      <c r="C3432" s="100"/>
    </row>
    <row r="3433" spans="3:3">
      <c r="C3433" s="100"/>
    </row>
    <row r="3434" spans="3:3">
      <c r="C3434" s="100"/>
    </row>
    <row r="3435" spans="3:3">
      <c r="C3435" s="100"/>
    </row>
    <row r="3436" spans="3:3">
      <c r="C3436" s="100"/>
    </row>
    <row r="3437" spans="3:3">
      <c r="C3437" s="100"/>
    </row>
    <row r="3438" spans="3:3">
      <c r="C3438" s="100"/>
    </row>
    <row r="3439" spans="3:3">
      <c r="C3439" s="100"/>
    </row>
    <row r="3440" spans="3:3">
      <c r="C3440" s="100"/>
    </row>
    <row r="3441" spans="3:3">
      <c r="C3441" s="100"/>
    </row>
    <row r="3442" spans="3:3">
      <c r="C3442" s="100"/>
    </row>
    <row r="3443" spans="3:3">
      <c r="C3443" s="100"/>
    </row>
    <row r="3444" spans="3:3">
      <c r="C3444" s="100"/>
    </row>
    <row r="3445" spans="3:3">
      <c r="C3445" s="100"/>
    </row>
    <row r="3446" spans="3:3">
      <c r="C3446" s="100"/>
    </row>
    <row r="3447" spans="3:3">
      <c r="C3447" s="100"/>
    </row>
    <row r="3448" spans="3:3">
      <c r="C3448" s="100"/>
    </row>
    <row r="3449" spans="3:3">
      <c r="C3449" s="100"/>
    </row>
    <row r="3450" spans="3:3">
      <c r="C3450" s="100"/>
    </row>
    <row r="3451" spans="3:3">
      <c r="C3451" s="100"/>
    </row>
    <row r="3452" spans="3:3">
      <c r="C3452" s="100"/>
    </row>
    <row r="3453" spans="3:3">
      <c r="C3453" s="100"/>
    </row>
    <row r="3454" spans="3:3">
      <c r="C3454" s="100"/>
    </row>
    <row r="3455" spans="3:3">
      <c r="C3455" s="100"/>
    </row>
    <row r="3456" spans="3:3">
      <c r="C3456" s="100"/>
    </row>
    <row r="3457" spans="3:3">
      <c r="C3457" s="100"/>
    </row>
    <row r="3458" spans="3:3">
      <c r="C3458" s="100"/>
    </row>
    <row r="3459" spans="3:3">
      <c r="C3459" s="100"/>
    </row>
    <row r="3460" spans="3:3">
      <c r="C3460" s="100"/>
    </row>
    <row r="3461" spans="3:3">
      <c r="C3461" s="100"/>
    </row>
    <row r="3462" spans="3:3">
      <c r="C3462" s="100"/>
    </row>
    <row r="3463" spans="3:3">
      <c r="C3463" s="100"/>
    </row>
    <row r="3464" spans="3:3">
      <c r="C3464" s="100"/>
    </row>
    <row r="3465" spans="3:3">
      <c r="C3465" s="100"/>
    </row>
    <row r="3466" spans="3:3">
      <c r="C3466" s="100"/>
    </row>
    <row r="3467" spans="3:3">
      <c r="C3467" s="100"/>
    </row>
    <row r="3468" spans="3:3">
      <c r="C3468" s="100"/>
    </row>
    <row r="3469" spans="3:3">
      <c r="C3469" s="100"/>
    </row>
    <row r="3470" spans="3:3">
      <c r="C3470" s="100"/>
    </row>
    <row r="3471" spans="3:3">
      <c r="C3471" s="100"/>
    </row>
    <row r="3472" spans="3:3">
      <c r="C3472" s="100"/>
    </row>
    <row r="3473" spans="3:3">
      <c r="C3473" s="100"/>
    </row>
    <row r="3474" spans="3:3">
      <c r="C3474" s="100"/>
    </row>
    <row r="3475" spans="3:3">
      <c r="C3475" s="100"/>
    </row>
    <row r="3476" spans="3:3">
      <c r="C3476" s="100"/>
    </row>
    <row r="3477" spans="3:3">
      <c r="C3477" s="100"/>
    </row>
    <row r="3478" spans="3:3">
      <c r="C3478" s="100"/>
    </row>
    <row r="3479" spans="3:3">
      <c r="C3479" s="100"/>
    </row>
    <row r="3480" spans="3:3">
      <c r="C3480" s="100"/>
    </row>
    <row r="3481" spans="3:3">
      <c r="C3481" s="100"/>
    </row>
    <row r="3482" spans="3:3">
      <c r="C3482" s="100"/>
    </row>
    <row r="3483" spans="3:3">
      <c r="C3483" s="100"/>
    </row>
    <row r="3484" spans="3:3">
      <c r="C3484" s="100"/>
    </row>
    <row r="3485" spans="3:3">
      <c r="C3485" s="100"/>
    </row>
    <row r="3486" spans="3:3">
      <c r="C3486" s="100"/>
    </row>
    <row r="3487" spans="3:3">
      <c r="C3487" s="100"/>
    </row>
    <row r="3488" spans="3:3">
      <c r="C3488" s="100"/>
    </row>
    <row r="3489" spans="3:3">
      <c r="C3489" s="100"/>
    </row>
    <row r="3490" spans="3:3">
      <c r="C3490" s="100"/>
    </row>
    <row r="3491" spans="3:3">
      <c r="C3491" s="100"/>
    </row>
    <row r="3492" spans="3:3">
      <c r="C3492" s="100"/>
    </row>
    <row r="3493" spans="3:3">
      <c r="C3493" s="100"/>
    </row>
    <row r="3494" spans="3:3">
      <c r="C3494" s="100"/>
    </row>
    <row r="3495" spans="3:3">
      <c r="C3495" s="100"/>
    </row>
    <row r="3496" spans="3:3">
      <c r="C3496" s="100"/>
    </row>
    <row r="3497" spans="3:3">
      <c r="C3497" s="100"/>
    </row>
    <row r="3498" spans="3:3">
      <c r="C3498" s="100"/>
    </row>
    <row r="3499" spans="3:3">
      <c r="C3499" s="100"/>
    </row>
    <row r="3500" spans="3:3">
      <c r="C3500" s="100"/>
    </row>
    <row r="3501" spans="3:3">
      <c r="C3501" s="100"/>
    </row>
    <row r="3502" spans="3:3">
      <c r="C3502" s="100"/>
    </row>
    <row r="3503" spans="3:3">
      <c r="C3503" s="100"/>
    </row>
    <row r="3504" spans="3:3">
      <c r="C3504" s="100"/>
    </row>
    <row r="3505" spans="3:3">
      <c r="C3505" s="100"/>
    </row>
    <row r="3506" spans="3:3">
      <c r="C3506" s="100"/>
    </row>
    <row r="3507" spans="3:3">
      <c r="C3507" s="100"/>
    </row>
    <row r="3508" spans="3:3">
      <c r="C3508" s="100"/>
    </row>
    <row r="3509" spans="3:3">
      <c r="C3509" s="100"/>
    </row>
    <row r="3510" spans="3:3">
      <c r="C3510" s="100"/>
    </row>
    <row r="3511" spans="3:3">
      <c r="C3511" s="100"/>
    </row>
    <row r="3512" spans="3:3">
      <c r="C3512" s="100"/>
    </row>
    <row r="3513" spans="3:3">
      <c r="C3513" s="100"/>
    </row>
    <row r="3514" spans="3:3">
      <c r="C3514" s="100"/>
    </row>
    <row r="3515" spans="3:3">
      <c r="C3515" s="100"/>
    </row>
    <row r="3516" spans="3:3">
      <c r="C3516" s="100"/>
    </row>
    <row r="3517" spans="3:3">
      <c r="C3517" s="100"/>
    </row>
    <row r="3518" spans="3:3">
      <c r="C3518" s="100"/>
    </row>
    <row r="3519" spans="3:3">
      <c r="C3519" s="100"/>
    </row>
    <row r="3520" spans="3:3">
      <c r="C3520" s="100"/>
    </row>
    <row r="3521" spans="3:3">
      <c r="C3521" s="100"/>
    </row>
    <row r="3522" spans="3:3">
      <c r="C3522" s="100"/>
    </row>
    <row r="3523" spans="3:3">
      <c r="C3523" s="100"/>
    </row>
    <row r="3524" spans="3:3">
      <c r="C3524" s="100"/>
    </row>
    <row r="3525" spans="3:3">
      <c r="C3525" s="100"/>
    </row>
    <row r="3526" spans="3:3">
      <c r="C3526" s="100"/>
    </row>
    <row r="3527" spans="3:3">
      <c r="C3527" s="100"/>
    </row>
    <row r="3528" spans="3:3">
      <c r="C3528" s="100"/>
    </row>
    <row r="3529" spans="3:3">
      <c r="C3529" s="100"/>
    </row>
    <row r="3530" spans="3:3">
      <c r="C3530" s="100"/>
    </row>
    <row r="3531" spans="3:3">
      <c r="C3531" s="100"/>
    </row>
    <row r="3532" spans="3:3">
      <c r="C3532" s="100"/>
    </row>
    <row r="3533" spans="3:3">
      <c r="C3533" s="100"/>
    </row>
    <row r="3534" spans="3:3">
      <c r="C3534" s="100"/>
    </row>
    <row r="3535" spans="3:3">
      <c r="C3535" s="100"/>
    </row>
    <row r="3536" spans="3:3">
      <c r="C3536" s="100"/>
    </row>
    <row r="3537" spans="3:3">
      <c r="C3537" s="100"/>
    </row>
    <row r="3538" spans="3:3">
      <c r="C3538" s="100"/>
    </row>
    <row r="3539" spans="3:3">
      <c r="C3539" s="100"/>
    </row>
    <row r="3540" spans="3:3">
      <c r="C3540" s="100"/>
    </row>
    <row r="3541" spans="3:3">
      <c r="C3541" s="100"/>
    </row>
    <row r="3542" spans="3:3">
      <c r="C3542" s="100"/>
    </row>
    <row r="3543" spans="3:3">
      <c r="C3543" s="100"/>
    </row>
    <row r="3544" spans="3:3">
      <c r="C3544" s="100"/>
    </row>
    <row r="3545" spans="3:3">
      <c r="C3545" s="100"/>
    </row>
    <row r="3546" spans="3:3">
      <c r="C3546" s="100"/>
    </row>
    <row r="3547" spans="3:3">
      <c r="C3547" s="100"/>
    </row>
    <row r="3548" spans="3:3">
      <c r="C3548" s="100"/>
    </row>
    <row r="3549" spans="3:3">
      <c r="C3549" s="100"/>
    </row>
    <row r="3550" spans="3:3">
      <c r="C3550" s="100"/>
    </row>
    <row r="3551" spans="3:3">
      <c r="C3551" s="100"/>
    </row>
    <row r="3552" spans="3:3">
      <c r="C3552" s="100"/>
    </row>
    <row r="3553" spans="3:3">
      <c r="C3553" s="100"/>
    </row>
    <row r="3554" spans="3:3">
      <c r="C3554" s="100"/>
    </row>
    <row r="3555" spans="3:3">
      <c r="C3555" s="100"/>
    </row>
    <row r="3556" spans="3:3">
      <c r="C3556" s="100"/>
    </row>
    <row r="3557" spans="3:3">
      <c r="C3557" s="100"/>
    </row>
    <row r="3558" spans="3:3">
      <c r="C3558" s="100"/>
    </row>
    <row r="3559" spans="3:3">
      <c r="C3559" s="100"/>
    </row>
    <row r="3560" spans="3:3">
      <c r="C3560" s="100"/>
    </row>
    <row r="3561" spans="3:3">
      <c r="C3561" s="100"/>
    </row>
    <row r="3562" spans="3:3">
      <c r="C3562" s="100"/>
    </row>
    <row r="3563" spans="3:3">
      <c r="C3563" s="100"/>
    </row>
    <row r="3564" spans="3:3">
      <c r="C3564" s="100"/>
    </row>
    <row r="3565" spans="3:3">
      <c r="C3565" s="100"/>
    </row>
    <row r="3566" spans="3:3">
      <c r="C3566" s="100"/>
    </row>
    <row r="3567" spans="3:3">
      <c r="C3567" s="100"/>
    </row>
    <row r="3568" spans="3:3">
      <c r="C3568" s="100"/>
    </row>
    <row r="3569" spans="3:3">
      <c r="C3569" s="100"/>
    </row>
    <row r="3570" spans="3:3">
      <c r="C3570" s="100"/>
    </row>
    <row r="3571" spans="3:3">
      <c r="C3571" s="100"/>
    </row>
    <row r="3572" spans="3:3">
      <c r="C3572" s="100"/>
    </row>
    <row r="3573" spans="3:3">
      <c r="C3573" s="100"/>
    </row>
    <row r="3574" spans="3:3">
      <c r="C3574" s="100"/>
    </row>
    <row r="3575" spans="3:3">
      <c r="C3575" s="100"/>
    </row>
    <row r="3576" spans="3:3">
      <c r="C3576" s="100"/>
    </row>
    <row r="3577" spans="3:3">
      <c r="C3577" s="100"/>
    </row>
    <row r="3578" spans="3:3">
      <c r="C3578" s="100"/>
    </row>
    <row r="3579" spans="3:3">
      <c r="C3579" s="100"/>
    </row>
    <row r="3580" spans="3:3">
      <c r="C3580" s="100"/>
    </row>
    <row r="3581" spans="3:3">
      <c r="C3581" s="100"/>
    </row>
    <row r="3582" spans="3:3">
      <c r="C3582" s="100"/>
    </row>
    <row r="3583" spans="3:3">
      <c r="C3583" s="100"/>
    </row>
    <row r="3584" spans="3:3">
      <c r="C3584" s="100"/>
    </row>
    <row r="3585" spans="3:3">
      <c r="C3585" s="100"/>
    </row>
    <row r="3586" spans="3:3">
      <c r="C3586" s="100"/>
    </row>
    <row r="3587" spans="3:3">
      <c r="C3587" s="100"/>
    </row>
    <row r="3588" spans="3:3">
      <c r="C3588" s="100"/>
    </row>
    <row r="3589" spans="3:3">
      <c r="C3589" s="100"/>
    </row>
    <row r="3590" spans="3:3">
      <c r="C3590" s="100"/>
    </row>
    <row r="3591" spans="3:3">
      <c r="C3591" s="100"/>
    </row>
    <row r="3592" spans="3:3">
      <c r="C3592" s="100"/>
    </row>
    <row r="3593" spans="3:3">
      <c r="C3593" s="100"/>
    </row>
    <row r="3594" spans="3:3">
      <c r="C3594" s="100"/>
    </row>
    <row r="3595" spans="3:3">
      <c r="C3595" s="100"/>
    </row>
    <row r="3596" spans="3:3">
      <c r="C3596" s="100"/>
    </row>
    <row r="3597" spans="3:3">
      <c r="C3597" s="100"/>
    </row>
    <row r="3598" spans="3:3">
      <c r="C3598" s="100"/>
    </row>
    <row r="3599" spans="3:3">
      <c r="C3599" s="100"/>
    </row>
    <row r="3600" spans="3:3">
      <c r="C3600" s="100"/>
    </row>
    <row r="3601" spans="3:3">
      <c r="C3601" s="100"/>
    </row>
    <row r="3602" spans="3:3">
      <c r="C3602" s="100"/>
    </row>
    <row r="3603" spans="3:3">
      <c r="C3603" s="100"/>
    </row>
    <row r="3604" spans="3:3">
      <c r="C3604" s="100"/>
    </row>
    <row r="3605" spans="3:3">
      <c r="C3605" s="100"/>
    </row>
    <row r="3606" spans="3:3">
      <c r="C3606" s="100"/>
    </row>
    <row r="3607" spans="3:3">
      <c r="C3607" s="100"/>
    </row>
    <row r="3608" spans="3:3">
      <c r="C3608" s="100"/>
    </row>
    <row r="3609" spans="3:3">
      <c r="C3609" s="100"/>
    </row>
    <row r="3610" spans="3:3">
      <c r="C3610" s="100"/>
    </row>
    <row r="3611" spans="3:3">
      <c r="C3611" s="100"/>
    </row>
    <row r="3612" spans="3:3">
      <c r="C3612" s="100"/>
    </row>
    <row r="3613" spans="3:3">
      <c r="C3613" s="100"/>
    </row>
    <row r="3614" spans="3:3">
      <c r="C3614" s="100"/>
    </row>
    <row r="3615" spans="3:3">
      <c r="C3615" s="100"/>
    </row>
    <row r="3616" spans="3:3">
      <c r="C3616" s="100"/>
    </row>
    <row r="3617" spans="3:3">
      <c r="C3617" s="100"/>
    </row>
    <row r="3618" spans="3:3">
      <c r="C3618" s="100"/>
    </row>
    <row r="3619" spans="3:3">
      <c r="C3619" s="100"/>
    </row>
    <row r="3620" spans="3:3">
      <c r="C3620" s="100"/>
    </row>
    <row r="3621" spans="3:3">
      <c r="C3621" s="100"/>
    </row>
    <row r="3622" spans="3:3">
      <c r="C3622" s="100"/>
    </row>
    <row r="3623" spans="3:3">
      <c r="C3623" s="100"/>
    </row>
    <row r="3624" spans="3:3">
      <c r="C3624" s="100"/>
    </row>
    <row r="3625" spans="3:3">
      <c r="C3625" s="100"/>
    </row>
    <row r="3626" spans="3:3">
      <c r="C3626" s="100"/>
    </row>
    <row r="3627" spans="3:3">
      <c r="C3627" s="100"/>
    </row>
    <row r="3628" spans="3:3">
      <c r="C3628" s="100"/>
    </row>
    <row r="3629" spans="3:3">
      <c r="C3629" s="100"/>
    </row>
    <row r="3630" spans="3:3">
      <c r="C3630" s="100"/>
    </row>
    <row r="3631" spans="3:3">
      <c r="C3631" s="100"/>
    </row>
    <row r="3632" spans="3:3">
      <c r="C3632" s="100"/>
    </row>
    <row r="3633" spans="3:3">
      <c r="C3633" s="100"/>
    </row>
    <row r="3634" spans="3:3">
      <c r="C3634" s="100"/>
    </row>
    <row r="3635" spans="3:3">
      <c r="C3635" s="100"/>
    </row>
    <row r="3636" spans="3:3">
      <c r="C3636" s="100"/>
    </row>
    <row r="3637" spans="3:3">
      <c r="C3637" s="100"/>
    </row>
    <row r="3638" spans="3:3">
      <c r="C3638" s="100"/>
    </row>
    <row r="3639" spans="3:3">
      <c r="C3639" s="100"/>
    </row>
    <row r="3640" spans="3:3">
      <c r="C3640" s="100"/>
    </row>
    <row r="3641" spans="3:3">
      <c r="C3641" s="100"/>
    </row>
    <row r="3642" spans="3:3">
      <c r="C3642" s="100"/>
    </row>
    <row r="3643" spans="3:3">
      <c r="C3643" s="100"/>
    </row>
    <row r="3644" spans="3:3">
      <c r="C3644" s="100"/>
    </row>
    <row r="3645" spans="3:3">
      <c r="C3645" s="100"/>
    </row>
    <row r="3646" spans="3:3">
      <c r="C3646" s="100"/>
    </row>
    <row r="3647" spans="3:3">
      <c r="C3647" s="100"/>
    </row>
    <row r="3648" spans="3:3">
      <c r="C3648" s="100"/>
    </row>
    <row r="3649" spans="3:3">
      <c r="C3649" s="100"/>
    </row>
    <row r="3650" spans="3:3">
      <c r="C3650" s="100"/>
    </row>
    <row r="3651" spans="3:3">
      <c r="C3651" s="100"/>
    </row>
    <row r="3652" spans="3:3">
      <c r="C3652" s="100"/>
    </row>
    <row r="3653" spans="3:3">
      <c r="C3653" s="100"/>
    </row>
    <row r="3654" spans="3:3">
      <c r="C3654" s="100"/>
    </row>
    <row r="3655" spans="3:3">
      <c r="C3655" s="100"/>
    </row>
    <row r="3656" spans="3:3">
      <c r="C3656" s="100"/>
    </row>
    <row r="3657" spans="3:3">
      <c r="C3657" s="100"/>
    </row>
    <row r="3658" spans="3:3">
      <c r="C3658" s="100"/>
    </row>
    <row r="3659" spans="3:3">
      <c r="C3659" s="100"/>
    </row>
    <row r="3660" spans="3:3">
      <c r="C3660" s="100"/>
    </row>
    <row r="3661" spans="3:3">
      <c r="C3661" s="100"/>
    </row>
    <row r="3662" spans="3:3">
      <c r="C3662" s="100"/>
    </row>
    <row r="3663" spans="3:3">
      <c r="C3663" s="100"/>
    </row>
    <row r="3664" spans="3:3">
      <c r="C3664" s="100"/>
    </row>
    <row r="3665" spans="3:3">
      <c r="C3665" s="100"/>
    </row>
    <row r="3666" spans="3:3">
      <c r="C3666" s="100"/>
    </row>
    <row r="3667" spans="3:3">
      <c r="C3667" s="100"/>
    </row>
    <row r="3668" spans="3:3">
      <c r="C3668" s="100"/>
    </row>
    <row r="3669" spans="3:3">
      <c r="C3669" s="100"/>
    </row>
    <row r="3670" spans="3:3">
      <c r="C3670" s="100"/>
    </row>
    <row r="3671" spans="3:3">
      <c r="C3671" s="100"/>
    </row>
    <row r="3672" spans="3:3">
      <c r="C3672" s="100"/>
    </row>
    <row r="3673" spans="3:3">
      <c r="C3673" s="100"/>
    </row>
    <row r="3674" spans="3:3">
      <c r="C3674" s="100"/>
    </row>
    <row r="3675" spans="3:3">
      <c r="C3675" s="100"/>
    </row>
    <row r="3676" spans="3:3">
      <c r="C3676" s="100"/>
    </row>
    <row r="3677" spans="3:3">
      <c r="C3677" s="100"/>
    </row>
    <row r="3678" spans="3:3">
      <c r="C3678" s="100"/>
    </row>
    <row r="3679" spans="3:3">
      <c r="C3679" s="100"/>
    </row>
    <row r="3680" spans="3:3">
      <c r="C3680" s="100"/>
    </row>
    <row r="3681" spans="3:3">
      <c r="C3681" s="100"/>
    </row>
    <row r="3682" spans="3:3">
      <c r="C3682" s="100"/>
    </row>
    <row r="3683" spans="3:3">
      <c r="C3683" s="100"/>
    </row>
    <row r="3684" spans="3:3">
      <c r="C3684" s="100"/>
    </row>
    <row r="3685" spans="3:3">
      <c r="C3685" s="100"/>
    </row>
    <row r="3686" spans="3:3">
      <c r="C3686" s="100"/>
    </row>
    <row r="3687" spans="3:3">
      <c r="C3687" s="100"/>
    </row>
    <row r="3688" spans="3:3">
      <c r="C3688" s="100"/>
    </row>
    <row r="3689" spans="3:3">
      <c r="C3689" s="100"/>
    </row>
    <row r="3690" spans="3:3">
      <c r="C3690" s="100"/>
    </row>
    <row r="3691" spans="3:3">
      <c r="C3691" s="100"/>
    </row>
    <row r="3692" spans="3:3">
      <c r="C3692" s="100"/>
    </row>
    <row r="3693" spans="3:3">
      <c r="C3693" s="100"/>
    </row>
    <row r="3694" spans="3:3">
      <c r="C3694" s="100"/>
    </row>
    <row r="3695" spans="3:3">
      <c r="C3695" s="100"/>
    </row>
    <row r="3696" spans="3:3">
      <c r="C3696" s="100"/>
    </row>
    <row r="3697" spans="3:3">
      <c r="C3697" s="100"/>
    </row>
    <row r="3698" spans="3:3">
      <c r="C3698" s="100"/>
    </row>
    <row r="3699" spans="3:3">
      <c r="C3699" s="100"/>
    </row>
    <row r="3700" spans="3:3">
      <c r="C3700" s="100"/>
    </row>
    <row r="3701" spans="3:3">
      <c r="C3701" s="100"/>
    </row>
    <row r="3702" spans="3:3">
      <c r="C3702" s="100"/>
    </row>
    <row r="3703" spans="3:3">
      <c r="C3703" s="100"/>
    </row>
    <row r="3704" spans="3:3">
      <c r="C3704" s="100"/>
    </row>
    <row r="3705" spans="3:3">
      <c r="C3705" s="100"/>
    </row>
    <row r="3706" spans="3:3">
      <c r="C3706" s="100"/>
    </row>
    <row r="3707" spans="3:3">
      <c r="C3707" s="100"/>
    </row>
    <row r="3708" spans="3:3">
      <c r="C3708" s="100"/>
    </row>
    <row r="3709" spans="3:3">
      <c r="C3709" s="100"/>
    </row>
    <row r="3710" spans="3:3">
      <c r="C3710" s="100"/>
    </row>
    <row r="3711" spans="3:3">
      <c r="C3711" s="100"/>
    </row>
    <row r="3712" spans="3:3">
      <c r="C3712" s="100"/>
    </row>
    <row r="3713" spans="3:3">
      <c r="C3713" s="100"/>
    </row>
    <row r="3714" spans="3:3">
      <c r="C3714" s="100"/>
    </row>
    <row r="3715" spans="3:3">
      <c r="C3715" s="100"/>
    </row>
    <row r="3716" spans="3:3">
      <c r="C3716" s="100"/>
    </row>
    <row r="3717" spans="3:3">
      <c r="C3717" s="100"/>
    </row>
    <row r="3718" spans="3:3">
      <c r="C3718" s="100"/>
    </row>
    <row r="3719" spans="3:3">
      <c r="C3719" s="100"/>
    </row>
    <row r="3720" spans="3:3">
      <c r="C3720" s="100"/>
    </row>
    <row r="3721" spans="3:3">
      <c r="C3721" s="100"/>
    </row>
    <row r="3722" spans="3:3">
      <c r="C3722" s="100"/>
    </row>
    <row r="3723" spans="3:3">
      <c r="C3723" s="100"/>
    </row>
    <row r="3724" spans="3:3">
      <c r="C3724" s="100"/>
    </row>
    <row r="3725" spans="3:3">
      <c r="C3725" s="100"/>
    </row>
    <row r="3726" spans="3:3">
      <c r="C3726" s="100"/>
    </row>
    <row r="3727" spans="3:3">
      <c r="C3727" s="100"/>
    </row>
    <row r="3728" spans="3:3">
      <c r="C3728" s="100"/>
    </row>
    <row r="3729" spans="3:3">
      <c r="C3729" s="100"/>
    </row>
    <row r="3730" spans="3:3">
      <c r="C3730" s="100"/>
    </row>
    <row r="3731" spans="3:3">
      <c r="C3731" s="100"/>
    </row>
    <row r="3732" spans="3:3">
      <c r="C3732" s="100"/>
    </row>
    <row r="3733" spans="3:3">
      <c r="C3733" s="100"/>
    </row>
    <row r="3734" spans="3:3">
      <c r="C3734" s="100"/>
    </row>
    <row r="3735" spans="3:3">
      <c r="C3735" s="100"/>
    </row>
    <row r="3736" spans="3:3">
      <c r="C3736" s="100"/>
    </row>
    <row r="3737" spans="3:3">
      <c r="C3737" s="100"/>
    </row>
    <row r="3738" spans="3:3">
      <c r="C3738" s="100"/>
    </row>
    <row r="3739" spans="3:3">
      <c r="C3739" s="100"/>
    </row>
    <row r="3740" spans="3:3">
      <c r="C3740" s="100"/>
    </row>
    <row r="3741" spans="3:3">
      <c r="C3741" s="100"/>
    </row>
    <row r="3742" spans="3:3">
      <c r="C3742" s="100"/>
    </row>
    <row r="3743" spans="3:3">
      <c r="C3743" s="100"/>
    </row>
    <row r="3744" spans="3:3">
      <c r="C3744" s="100"/>
    </row>
    <row r="3745" spans="3:3">
      <c r="C3745" s="100"/>
    </row>
    <row r="3746" spans="3:3">
      <c r="C3746" s="100"/>
    </row>
    <row r="3747" spans="3:3">
      <c r="C3747" s="100"/>
    </row>
    <row r="3748" spans="3:3">
      <c r="C3748" s="100"/>
    </row>
    <row r="3749" spans="3:3">
      <c r="C3749" s="100"/>
    </row>
    <row r="3750" spans="3:3">
      <c r="C3750" s="100"/>
    </row>
    <row r="3751" spans="3:3">
      <c r="C3751" s="100"/>
    </row>
    <row r="3752" spans="3:3">
      <c r="C3752" s="100"/>
    </row>
    <row r="3753" spans="3:3">
      <c r="C3753" s="100"/>
    </row>
    <row r="3754" spans="3:3">
      <c r="C3754" s="100"/>
    </row>
    <row r="3755" spans="3:3">
      <c r="C3755" s="100"/>
    </row>
    <row r="3756" spans="3:3">
      <c r="C3756" s="100"/>
    </row>
    <row r="3757" spans="3:3">
      <c r="C3757" s="100"/>
    </row>
    <row r="3758" spans="3:3">
      <c r="C3758" s="100"/>
    </row>
    <row r="3759" spans="3:3">
      <c r="C3759" s="100"/>
    </row>
    <row r="3760" spans="3:3">
      <c r="C3760" s="100"/>
    </row>
    <row r="3761" spans="3:3">
      <c r="C3761" s="100"/>
    </row>
    <row r="3762" spans="3:3">
      <c r="C3762" s="100"/>
    </row>
    <row r="3763" spans="3:3">
      <c r="C3763" s="100"/>
    </row>
    <row r="3764" spans="3:3">
      <c r="C3764" s="100"/>
    </row>
    <row r="3765" spans="3:3">
      <c r="C3765" s="100"/>
    </row>
    <row r="3766" spans="3:3">
      <c r="C3766" s="100"/>
    </row>
    <row r="3767" spans="3:3">
      <c r="C3767" s="100"/>
    </row>
    <row r="3768" spans="3:3">
      <c r="C3768" s="100"/>
    </row>
    <row r="3769" spans="3:3">
      <c r="C3769" s="100"/>
    </row>
    <row r="3770" spans="3:3">
      <c r="C3770" s="100"/>
    </row>
    <row r="3771" spans="3:3">
      <c r="C3771" s="100"/>
    </row>
    <row r="3772" spans="3:3">
      <c r="C3772" s="100"/>
    </row>
    <row r="3773" spans="3:3">
      <c r="C3773" s="100"/>
    </row>
    <row r="3774" spans="3:3">
      <c r="C3774" s="100"/>
    </row>
    <row r="3775" spans="3:3">
      <c r="C3775" s="100"/>
    </row>
    <row r="3776" spans="3:3">
      <c r="C3776" s="100"/>
    </row>
    <row r="3777" spans="3:3">
      <c r="C3777" s="100"/>
    </row>
    <row r="3778" spans="3:3">
      <c r="C3778" s="100"/>
    </row>
    <row r="3779" spans="3:3">
      <c r="C3779" s="100"/>
    </row>
    <row r="3780" spans="3:3">
      <c r="C3780" s="100"/>
    </row>
    <row r="3781" spans="3:3">
      <c r="C3781" s="100"/>
    </row>
    <row r="3782" spans="3:3">
      <c r="C3782" s="100"/>
    </row>
    <row r="3783" spans="3:3">
      <c r="C3783" s="100"/>
    </row>
    <row r="3784" spans="3:3">
      <c r="C3784" s="100"/>
    </row>
    <row r="3785" spans="3:3">
      <c r="C3785" s="100"/>
    </row>
    <row r="3786" spans="3:3">
      <c r="C3786" s="100"/>
    </row>
    <row r="3787" spans="3:3">
      <c r="C3787" s="100"/>
    </row>
    <row r="3788" spans="3:3">
      <c r="C3788" s="100"/>
    </row>
    <row r="3789" spans="3:3">
      <c r="C3789" s="100"/>
    </row>
    <row r="3790" spans="3:3">
      <c r="C3790" s="100"/>
    </row>
    <row r="3791" spans="3:3">
      <c r="C3791" s="100"/>
    </row>
    <row r="3792" spans="3:3">
      <c r="C3792" s="100"/>
    </row>
    <row r="3793" spans="3:3">
      <c r="C3793" s="100"/>
    </row>
    <row r="3794" spans="3:3">
      <c r="C3794" s="100"/>
    </row>
    <row r="3795" spans="3:3">
      <c r="C3795" s="100"/>
    </row>
    <row r="3796" spans="3:3">
      <c r="C3796" s="100"/>
    </row>
    <row r="3797" spans="3:3">
      <c r="C3797" s="100"/>
    </row>
    <row r="3798" spans="3:3">
      <c r="C3798" s="100"/>
    </row>
    <row r="3799" spans="3:3">
      <c r="C3799" s="100"/>
    </row>
    <row r="3800" spans="3:3">
      <c r="C3800" s="100"/>
    </row>
    <row r="3801" spans="3:3">
      <c r="C3801" s="100"/>
    </row>
    <row r="3802" spans="3:3">
      <c r="C3802" s="100"/>
    </row>
    <row r="3803" spans="3:3">
      <c r="C3803" s="100"/>
    </row>
    <row r="3804" spans="3:3">
      <c r="C3804" s="100"/>
    </row>
    <row r="3805" spans="3:3">
      <c r="C3805" s="100"/>
    </row>
    <row r="3806" spans="3:3">
      <c r="C3806" s="100"/>
    </row>
    <row r="3807" spans="3:3">
      <c r="C3807" s="100"/>
    </row>
    <row r="3808" spans="3:3">
      <c r="C3808" s="100"/>
    </row>
    <row r="3809" spans="3:3">
      <c r="C3809" s="100"/>
    </row>
    <row r="3810" spans="3:3">
      <c r="C3810" s="100"/>
    </row>
    <row r="3811" spans="3:3">
      <c r="C3811" s="100"/>
    </row>
    <row r="3812" spans="3:3">
      <c r="C3812" s="100"/>
    </row>
    <row r="3813" spans="3:3">
      <c r="C3813" s="100"/>
    </row>
    <row r="3814" spans="3:3">
      <c r="C3814" s="100"/>
    </row>
    <row r="3815" spans="3:3">
      <c r="C3815" s="100"/>
    </row>
    <row r="3816" spans="3:3">
      <c r="C3816" s="100"/>
    </row>
    <row r="3817" spans="3:3">
      <c r="C3817" s="100"/>
    </row>
    <row r="3818" spans="3:3">
      <c r="C3818" s="100"/>
    </row>
    <row r="3819" spans="3:3">
      <c r="C3819" s="100"/>
    </row>
    <row r="3820" spans="3:3">
      <c r="C3820" s="100"/>
    </row>
    <row r="3821" spans="3:3">
      <c r="C3821" s="100"/>
    </row>
    <row r="3822" spans="3:3">
      <c r="C3822" s="100"/>
    </row>
    <row r="3823" spans="3:3">
      <c r="C3823" s="100"/>
    </row>
    <row r="3824" spans="3:3">
      <c r="C3824" s="100"/>
    </row>
    <row r="3825" spans="3:3">
      <c r="C3825" s="100"/>
    </row>
    <row r="3826" spans="3:3">
      <c r="C3826" s="100"/>
    </row>
    <row r="3827" spans="3:3">
      <c r="C3827" s="100"/>
    </row>
    <row r="3828" spans="3:3">
      <c r="C3828" s="100"/>
    </row>
    <row r="3829" spans="3:3">
      <c r="C3829" s="100"/>
    </row>
    <row r="3830" spans="3:3">
      <c r="C3830" s="100"/>
    </row>
    <row r="3831" spans="3:3">
      <c r="C3831" s="100"/>
    </row>
    <row r="3832" spans="3:3">
      <c r="C3832" s="100"/>
    </row>
    <row r="3833" spans="3:3">
      <c r="C3833" s="100"/>
    </row>
    <row r="3834" spans="3:3">
      <c r="C3834" s="100"/>
    </row>
    <row r="3835" spans="3:3">
      <c r="C3835" s="100"/>
    </row>
    <row r="3836" spans="3:3">
      <c r="C3836" s="100"/>
    </row>
    <row r="3837" spans="3:3">
      <c r="C3837" s="100"/>
    </row>
    <row r="3838" spans="3:3">
      <c r="C3838" s="100"/>
    </row>
    <row r="3839" spans="3:3">
      <c r="C3839" s="100"/>
    </row>
    <row r="3840" spans="3:3">
      <c r="C3840" s="100"/>
    </row>
    <row r="3841" spans="3:3">
      <c r="C3841" s="100"/>
    </row>
    <row r="3842" spans="3:3">
      <c r="C3842" s="100"/>
    </row>
    <row r="3843" spans="3:3">
      <c r="C3843" s="100"/>
    </row>
    <row r="3844" spans="3:3">
      <c r="C3844" s="100"/>
    </row>
    <row r="3845" spans="3:3">
      <c r="C3845" s="100"/>
    </row>
    <row r="3846" spans="3:3">
      <c r="C3846" s="100"/>
    </row>
    <row r="3847" spans="3:3">
      <c r="C3847" s="100"/>
    </row>
    <row r="3848" spans="3:3">
      <c r="C3848" s="100"/>
    </row>
    <row r="3849" spans="3:3">
      <c r="C3849" s="100"/>
    </row>
    <row r="3850" spans="3:3">
      <c r="C3850" s="100"/>
    </row>
    <row r="3851" spans="3:3">
      <c r="C3851" s="100"/>
    </row>
    <row r="3852" spans="3:3">
      <c r="C3852" s="100"/>
    </row>
    <row r="3853" spans="3:3">
      <c r="C3853" s="100"/>
    </row>
    <row r="3854" spans="3:3">
      <c r="C3854" s="100"/>
    </row>
    <row r="3855" spans="3:3">
      <c r="C3855" s="100"/>
    </row>
    <row r="3856" spans="3:3">
      <c r="C3856" s="100"/>
    </row>
    <row r="3857" spans="3:3">
      <c r="C3857" s="100"/>
    </row>
    <row r="3858" spans="3:3">
      <c r="C3858" s="100"/>
    </row>
    <row r="3859" spans="3:3">
      <c r="C3859" s="100"/>
    </row>
    <row r="3860" spans="3:3">
      <c r="C3860" s="100"/>
    </row>
    <row r="3861" spans="3:3">
      <c r="C3861" s="100"/>
    </row>
    <row r="3862" spans="3:3">
      <c r="C3862" s="100"/>
    </row>
    <row r="3863" spans="3:3">
      <c r="C3863" s="100"/>
    </row>
    <row r="3864" spans="3:3">
      <c r="C3864" s="100"/>
    </row>
    <row r="3865" spans="3:3">
      <c r="C3865" s="100"/>
    </row>
    <row r="3866" spans="3:3">
      <c r="C3866" s="100"/>
    </row>
    <row r="3867" spans="3:3">
      <c r="C3867" s="100"/>
    </row>
    <row r="3868" spans="3:3">
      <c r="C3868" s="100"/>
    </row>
    <row r="3869" spans="3:3">
      <c r="C3869" s="100"/>
    </row>
    <row r="3870" spans="3:3">
      <c r="C3870" s="100"/>
    </row>
    <row r="3871" spans="3:3">
      <c r="C3871" s="100"/>
    </row>
    <row r="3872" spans="3:3">
      <c r="C3872" s="100"/>
    </row>
    <row r="3873" spans="3:3">
      <c r="C3873" s="100"/>
    </row>
    <row r="3874" spans="3:3">
      <c r="C3874" s="100"/>
    </row>
    <row r="3875" spans="3:3">
      <c r="C3875" s="100"/>
    </row>
    <row r="3876" spans="3:3">
      <c r="C3876" s="100"/>
    </row>
    <row r="3877" spans="3:3">
      <c r="C3877" s="100"/>
    </row>
    <row r="3878" spans="3:3">
      <c r="C3878" s="100"/>
    </row>
    <row r="3879" spans="3:3">
      <c r="C3879" s="100"/>
    </row>
    <row r="3880" spans="3:3">
      <c r="C3880" s="100"/>
    </row>
    <row r="3881" spans="3:3">
      <c r="C3881" s="100"/>
    </row>
    <row r="3882" spans="3:3">
      <c r="C3882" s="100"/>
    </row>
    <row r="3883" spans="3:3">
      <c r="C3883" s="100"/>
    </row>
    <row r="3884" spans="3:3">
      <c r="C3884" s="100"/>
    </row>
    <row r="3885" spans="3:3">
      <c r="C3885" s="100"/>
    </row>
    <row r="3886" spans="3:3">
      <c r="C3886" s="100"/>
    </row>
    <row r="3887" spans="3:3">
      <c r="C3887" s="100"/>
    </row>
    <row r="3888" spans="3:3">
      <c r="C3888" s="100"/>
    </row>
    <row r="3889" spans="3:3">
      <c r="C3889" s="100"/>
    </row>
    <row r="3890" spans="3:3">
      <c r="C3890" s="100"/>
    </row>
    <row r="3891" spans="3:3">
      <c r="C3891" s="100"/>
    </row>
    <row r="3892" spans="3:3">
      <c r="C3892" s="100"/>
    </row>
    <row r="3893" spans="3:3">
      <c r="C3893" s="100"/>
    </row>
    <row r="3894" spans="3:3">
      <c r="C3894" s="100"/>
    </row>
    <row r="3895" spans="3:3">
      <c r="C3895" s="100"/>
    </row>
    <row r="3896" spans="3:3">
      <c r="C3896" s="100"/>
    </row>
    <row r="3897" spans="3:3">
      <c r="C3897" s="100"/>
    </row>
    <row r="3898" spans="3:3">
      <c r="C3898" s="100"/>
    </row>
    <row r="3899" spans="3:3">
      <c r="C3899" s="100"/>
    </row>
    <row r="3900" spans="3:3">
      <c r="C3900" s="100"/>
    </row>
    <row r="3901" spans="3:3">
      <c r="C3901" s="100"/>
    </row>
    <row r="3902" spans="3:3">
      <c r="C3902" s="100"/>
    </row>
    <row r="3903" spans="3:3">
      <c r="C3903" s="100"/>
    </row>
    <row r="3904" spans="3:3">
      <c r="C3904" s="100"/>
    </row>
    <row r="3905" spans="3:3">
      <c r="C3905" s="100"/>
    </row>
    <row r="3906" spans="3:3">
      <c r="C3906" s="100"/>
    </row>
    <row r="3907" spans="3:3">
      <c r="C3907" s="100"/>
    </row>
    <row r="3908" spans="3:3">
      <c r="C3908" s="100"/>
    </row>
    <row r="3909" spans="3:3">
      <c r="C3909" s="100"/>
    </row>
    <row r="3910" spans="3:3">
      <c r="C3910" s="100"/>
    </row>
    <row r="3911" spans="3:3">
      <c r="C3911" s="100"/>
    </row>
    <row r="3912" spans="3:3">
      <c r="C3912" s="100"/>
    </row>
    <row r="3913" spans="3:3">
      <c r="C3913" s="100"/>
    </row>
    <row r="3914" spans="3:3">
      <c r="C3914" s="100"/>
    </row>
    <row r="3915" spans="3:3">
      <c r="C3915" s="100"/>
    </row>
    <row r="3916" spans="3:3">
      <c r="C3916" s="100"/>
    </row>
    <row r="3917" spans="3:3">
      <c r="C3917" s="100"/>
    </row>
    <row r="3918" spans="3:3">
      <c r="C3918" s="100"/>
    </row>
    <row r="3919" spans="3:3">
      <c r="C3919" s="100"/>
    </row>
    <row r="3920" spans="3:3">
      <c r="C3920" s="100"/>
    </row>
    <row r="3921" spans="3:3">
      <c r="C3921" s="100"/>
    </row>
    <row r="3922" spans="3:3">
      <c r="C3922" s="100"/>
    </row>
    <row r="3923" spans="3:3">
      <c r="C3923" s="100"/>
    </row>
    <row r="3924" spans="3:3">
      <c r="C3924" s="100"/>
    </row>
    <row r="3925" spans="3:3">
      <c r="C3925" s="100"/>
    </row>
    <row r="3926" spans="3:3">
      <c r="C3926" s="100"/>
    </row>
    <row r="3927" spans="3:3">
      <c r="C3927" s="100"/>
    </row>
    <row r="3928" spans="3:3">
      <c r="C3928" s="100"/>
    </row>
    <row r="3929" spans="3:3">
      <c r="C3929" s="100"/>
    </row>
    <row r="3930" spans="3:3">
      <c r="C3930" s="100"/>
    </row>
    <row r="3931" spans="3:3">
      <c r="C3931" s="100"/>
    </row>
    <row r="3932" spans="3:3">
      <c r="C3932" s="100"/>
    </row>
    <row r="3933" spans="3:3">
      <c r="C3933" s="100"/>
    </row>
    <row r="3934" spans="3:3">
      <c r="C3934" s="100"/>
    </row>
    <row r="3935" spans="3:3">
      <c r="C3935" s="100"/>
    </row>
    <row r="3936" spans="3:3">
      <c r="C3936" s="100"/>
    </row>
    <row r="3937" spans="3:3">
      <c r="C3937" s="100"/>
    </row>
    <row r="3938" spans="3:3">
      <c r="C3938" s="100"/>
    </row>
    <row r="3939" spans="3:3">
      <c r="C3939" s="100"/>
    </row>
    <row r="3940" spans="3:3">
      <c r="C3940" s="100"/>
    </row>
    <row r="3941" spans="3:3">
      <c r="C3941" s="100"/>
    </row>
    <row r="3942" spans="3:3">
      <c r="C3942" s="100"/>
    </row>
    <row r="3943" spans="3:3">
      <c r="C3943" s="100"/>
    </row>
    <row r="3944" spans="3:3">
      <c r="C3944" s="100"/>
    </row>
    <row r="3945" spans="3:3">
      <c r="C3945" s="100"/>
    </row>
    <row r="3946" spans="3:3">
      <c r="C3946" s="100"/>
    </row>
    <row r="3947" spans="3:3">
      <c r="C3947" s="100"/>
    </row>
    <row r="3948" spans="3:3">
      <c r="C3948" s="100"/>
    </row>
    <row r="3949" spans="3:3">
      <c r="C3949" s="100"/>
    </row>
    <row r="3950" spans="3:3">
      <c r="C3950" s="100"/>
    </row>
    <row r="3951" spans="3:3">
      <c r="C3951" s="100"/>
    </row>
    <row r="3952" spans="3:3">
      <c r="C3952" s="100"/>
    </row>
    <row r="3953" spans="3:3">
      <c r="C3953" s="100"/>
    </row>
    <row r="3954" spans="3:3">
      <c r="C3954" s="100"/>
    </row>
    <row r="3955" spans="3:3">
      <c r="C3955" s="100"/>
    </row>
    <row r="3956" spans="3:3">
      <c r="C3956" s="100"/>
    </row>
    <row r="3957" spans="3:3">
      <c r="C3957" s="100"/>
    </row>
    <row r="3958" spans="3:3">
      <c r="C3958" s="100"/>
    </row>
    <row r="3959" spans="3:3">
      <c r="C3959" s="100"/>
    </row>
    <row r="3960" spans="3:3">
      <c r="C3960" s="100"/>
    </row>
    <row r="3961" spans="3:3">
      <c r="C3961" s="100"/>
    </row>
    <row r="3962" spans="3:3">
      <c r="C3962" s="100"/>
    </row>
    <row r="3963" spans="3:3">
      <c r="C3963" s="100"/>
    </row>
    <row r="3964" spans="3:3">
      <c r="C3964" s="100"/>
    </row>
    <row r="3965" spans="3:3">
      <c r="C3965" s="100"/>
    </row>
    <row r="3966" spans="3:3">
      <c r="C3966" s="100"/>
    </row>
    <row r="3967" spans="3:3">
      <c r="C3967" s="100"/>
    </row>
    <row r="3968" spans="3:3">
      <c r="C3968" s="100"/>
    </row>
    <row r="3969" spans="3:3">
      <c r="C3969" s="100"/>
    </row>
    <row r="3970" spans="3:3">
      <c r="C3970" s="100"/>
    </row>
    <row r="3971" spans="3:3">
      <c r="C3971" s="100"/>
    </row>
    <row r="3972" spans="3:3">
      <c r="C3972" s="100"/>
    </row>
    <row r="3973" spans="3:3">
      <c r="C3973" s="100"/>
    </row>
    <row r="3974" spans="3:3">
      <c r="C3974" s="100"/>
    </row>
    <row r="3975" spans="3:3">
      <c r="C3975" s="100"/>
    </row>
    <row r="3976" spans="3:3">
      <c r="C3976" s="100"/>
    </row>
    <row r="3977" spans="3:3">
      <c r="C3977" s="100"/>
    </row>
    <row r="3978" spans="3:3">
      <c r="C3978" s="100"/>
    </row>
    <row r="3979" spans="3:3">
      <c r="C3979" s="100"/>
    </row>
    <row r="3980" spans="3:3">
      <c r="C3980" s="100"/>
    </row>
    <row r="3981" spans="3:3">
      <c r="C3981" s="100"/>
    </row>
    <row r="3982" spans="3:3">
      <c r="C3982" s="100"/>
    </row>
    <row r="3983" spans="3:3">
      <c r="C3983" s="100"/>
    </row>
    <row r="3984" spans="3:3">
      <c r="C3984" s="100"/>
    </row>
    <row r="3985" spans="3:3">
      <c r="C3985" s="100"/>
    </row>
    <row r="3986" spans="3:3">
      <c r="C3986" s="100"/>
    </row>
    <row r="3987" spans="3:3">
      <c r="C3987" s="100"/>
    </row>
    <row r="3988" spans="3:3">
      <c r="C3988" s="100"/>
    </row>
    <row r="3989" spans="3:3">
      <c r="C3989" s="100"/>
    </row>
    <row r="3990" spans="3:3">
      <c r="C3990" s="100"/>
    </row>
    <row r="3991" spans="3:3">
      <c r="C3991" s="100"/>
    </row>
    <row r="3992" spans="3:3">
      <c r="C3992" s="100"/>
    </row>
    <row r="3993" spans="3:3">
      <c r="C3993" s="100"/>
    </row>
    <row r="3994" spans="3:3">
      <c r="C3994" s="100"/>
    </row>
    <row r="3995" spans="3:3">
      <c r="C3995" s="100"/>
    </row>
    <row r="3996" spans="3:3">
      <c r="C3996" s="100"/>
    </row>
    <row r="3997" spans="3:3">
      <c r="C3997" s="100"/>
    </row>
    <row r="3998" spans="3:3">
      <c r="C3998" s="100"/>
    </row>
    <row r="3999" spans="3:3">
      <c r="C3999" s="100"/>
    </row>
    <row r="4000" spans="3:3">
      <c r="C4000" s="100"/>
    </row>
    <row r="4001" spans="3:3">
      <c r="C4001" s="100"/>
    </row>
    <row r="4002" spans="3:3">
      <c r="C4002" s="100"/>
    </row>
    <row r="4003" spans="3:3">
      <c r="C4003" s="100"/>
    </row>
    <row r="4004" spans="3:3">
      <c r="C4004" s="100"/>
    </row>
    <row r="4005" spans="3:3">
      <c r="C4005" s="100"/>
    </row>
    <row r="4006" spans="3:3">
      <c r="C4006" s="100"/>
    </row>
    <row r="4007" spans="3:3">
      <c r="C4007" s="100"/>
    </row>
    <row r="4008" spans="3:3">
      <c r="C4008" s="100"/>
    </row>
    <row r="4009" spans="3:3">
      <c r="C4009" s="100"/>
    </row>
    <row r="4010" spans="3:3">
      <c r="C4010" s="100"/>
    </row>
    <row r="4011" spans="3:3">
      <c r="C4011" s="100"/>
    </row>
    <row r="4012" spans="3:3">
      <c r="C4012" s="100"/>
    </row>
    <row r="4013" spans="3:3">
      <c r="C4013" s="100"/>
    </row>
    <row r="4014" spans="3:3">
      <c r="C4014" s="100"/>
    </row>
    <row r="4015" spans="3:3">
      <c r="C4015" s="100"/>
    </row>
    <row r="4016" spans="3:3">
      <c r="C4016" s="100"/>
    </row>
    <row r="4017" spans="3:3">
      <c r="C4017" s="100"/>
    </row>
    <row r="4018" spans="3:3">
      <c r="C4018" s="100"/>
    </row>
    <row r="4019" spans="3:3">
      <c r="C4019" s="100"/>
    </row>
    <row r="4020" spans="3:3">
      <c r="C4020" s="100"/>
    </row>
    <row r="4021" spans="3:3">
      <c r="C4021" s="100"/>
    </row>
    <row r="4022" spans="3:3">
      <c r="C4022" s="100"/>
    </row>
    <row r="4023" spans="3:3">
      <c r="C4023" s="100"/>
    </row>
    <row r="4024" spans="3:3">
      <c r="C4024" s="100"/>
    </row>
    <row r="4025" spans="3:3">
      <c r="C4025" s="100"/>
    </row>
    <row r="4026" spans="3:3">
      <c r="C4026" s="100"/>
    </row>
    <row r="4027" spans="3:3">
      <c r="C4027" s="100"/>
    </row>
    <row r="4028" spans="3:3">
      <c r="C4028" s="100"/>
    </row>
    <row r="4029" spans="3:3">
      <c r="C4029" s="100"/>
    </row>
    <row r="4030" spans="3:3">
      <c r="C4030" s="100"/>
    </row>
    <row r="4031" spans="3:3">
      <c r="C4031" s="100"/>
    </row>
    <row r="4032" spans="3:3">
      <c r="C4032" s="100"/>
    </row>
    <row r="4033" spans="3:3">
      <c r="C4033" s="100"/>
    </row>
    <row r="4034" spans="3:3">
      <c r="C4034" s="100"/>
    </row>
    <row r="4035" spans="3:3">
      <c r="C4035" s="100"/>
    </row>
    <row r="4036" spans="3:3">
      <c r="C4036" s="100"/>
    </row>
    <row r="4037" spans="3:3">
      <c r="C4037" s="100"/>
    </row>
    <row r="4038" spans="3:3">
      <c r="C4038" s="100"/>
    </row>
    <row r="4039" spans="3:3">
      <c r="C4039" s="100"/>
    </row>
    <row r="4040" spans="3:3">
      <c r="C4040" s="100"/>
    </row>
    <row r="4041" spans="3:3">
      <c r="C4041" s="100"/>
    </row>
    <row r="4042" spans="3:3">
      <c r="C4042" s="100"/>
    </row>
    <row r="4043" spans="3:3">
      <c r="C4043" s="100"/>
    </row>
    <row r="4044" spans="3:3">
      <c r="C4044" s="100"/>
    </row>
    <row r="4045" spans="3:3">
      <c r="C4045" s="100"/>
    </row>
    <row r="4046" spans="3:3">
      <c r="C4046" s="100"/>
    </row>
    <row r="4047" spans="3:3">
      <c r="C4047" s="100"/>
    </row>
    <row r="4048" spans="3:3">
      <c r="C4048" s="100"/>
    </row>
    <row r="4049" spans="3:3">
      <c r="C4049" s="100"/>
    </row>
    <row r="4050" spans="3:3">
      <c r="C4050" s="100"/>
    </row>
    <row r="4051" spans="3:3">
      <c r="C4051" s="100"/>
    </row>
    <row r="4052" spans="3:3">
      <c r="C4052" s="100"/>
    </row>
    <row r="4053" spans="3:3">
      <c r="C4053" s="100"/>
    </row>
    <row r="4054" spans="3:3">
      <c r="C4054" s="100"/>
    </row>
    <row r="4055" spans="3:3">
      <c r="C4055" s="100"/>
    </row>
    <row r="4056" spans="3:3">
      <c r="C4056" s="100"/>
    </row>
    <row r="4057" spans="3:3">
      <c r="C4057" s="100"/>
    </row>
    <row r="4058" spans="3:3">
      <c r="C4058" s="100"/>
    </row>
    <row r="4059" spans="3:3">
      <c r="C4059" s="100"/>
    </row>
    <row r="4060" spans="3:3">
      <c r="C4060" s="100"/>
    </row>
    <row r="4061" spans="3:3">
      <c r="C4061" s="100"/>
    </row>
    <row r="4062" spans="3:3">
      <c r="C4062" s="100"/>
    </row>
    <row r="4063" spans="3:3">
      <c r="C4063" s="100"/>
    </row>
    <row r="4064" spans="3:3">
      <c r="C4064" s="100"/>
    </row>
    <row r="4065" spans="3:3">
      <c r="C4065" s="100"/>
    </row>
    <row r="4066" spans="3:3">
      <c r="C4066" s="100"/>
    </row>
    <row r="4067" spans="3:3">
      <c r="C4067" s="100"/>
    </row>
    <row r="4068" spans="3:3">
      <c r="C4068" s="100"/>
    </row>
    <row r="4069" spans="3:3">
      <c r="C4069" s="100"/>
    </row>
    <row r="4070" spans="3:3">
      <c r="C4070" s="100"/>
    </row>
    <row r="4071" spans="3:3">
      <c r="C4071" s="100"/>
    </row>
    <row r="4072" spans="3:3">
      <c r="C4072" s="100"/>
    </row>
    <row r="4073" spans="3:3">
      <c r="C4073" s="100"/>
    </row>
    <row r="4074" spans="3:3">
      <c r="C4074" s="100"/>
    </row>
    <row r="4075" spans="3:3">
      <c r="C4075" s="100"/>
    </row>
    <row r="4076" spans="3:3">
      <c r="C4076" s="100"/>
    </row>
    <row r="4077" spans="3:3">
      <c r="C4077" s="100"/>
    </row>
    <row r="4078" spans="3:3">
      <c r="C4078" s="100"/>
    </row>
    <row r="4079" spans="3:3">
      <c r="C4079" s="100"/>
    </row>
    <row r="4080" spans="3:3">
      <c r="C4080" s="100"/>
    </row>
    <row r="4081" spans="3:3">
      <c r="C4081" s="100"/>
    </row>
    <row r="4082" spans="3:3">
      <c r="C4082" s="100"/>
    </row>
    <row r="4083" spans="3:3">
      <c r="C4083" s="100"/>
    </row>
    <row r="4084" spans="3:3">
      <c r="C4084" s="100"/>
    </row>
    <row r="4085" spans="3:3">
      <c r="C4085" s="100"/>
    </row>
    <row r="4086" spans="3:3">
      <c r="C4086" s="100"/>
    </row>
    <row r="4087" spans="3:3">
      <c r="C4087" s="100"/>
    </row>
    <row r="4088" spans="3:3">
      <c r="C4088" s="100"/>
    </row>
    <row r="4089" spans="3:3">
      <c r="C4089" s="100"/>
    </row>
    <row r="4090" spans="3:3">
      <c r="C4090" s="100"/>
    </row>
    <row r="4091" spans="3:3">
      <c r="C4091" s="100"/>
    </row>
    <row r="4092" spans="3:3">
      <c r="C4092" s="100"/>
    </row>
    <row r="4093" spans="3:3">
      <c r="C4093" s="100"/>
    </row>
    <row r="4094" spans="3:3">
      <c r="C4094" s="100"/>
    </row>
    <row r="4095" spans="3:3">
      <c r="C4095" s="100"/>
    </row>
    <row r="4096" spans="3:3">
      <c r="C4096" s="100"/>
    </row>
    <row r="4097" spans="3:3">
      <c r="C4097" s="100"/>
    </row>
    <row r="4098" spans="3:3">
      <c r="C4098" s="100"/>
    </row>
    <row r="4099" spans="3:3">
      <c r="C4099" s="100"/>
    </row>
    <row r="4100" spans="3:3">
      <c r="C4100" s="100"/>
    </row>
    <row r="4101" spans="3:3">
      <c r="C4101" s="100"/>
    </row>
    <row r="4102" spans="3:3">
      <c r="C4102" s="100"/>
    </row>
    <row r="4103" spans="3:3">
      <c r="C4103" s="100"/>
    </row>
    <row r="4104" spans="3:3">
      <c r="C4104" s="100"/>
    </row>
    <row r="4105" spans="3:3">
      <c r="C4105" s="100"/>
    </row>
    <row r="4106" spans="3:3">
      <c r="C4106" s="100"/>
    </row>
    <row r="4107" spans="3:3">
      <c r="C4107" s="100"/>
    </row>
    <row r="4108" spans="3:3">
      <c r="C4108" s="100"/>
    </row>
    <row r="4109" spans="3:3">
      <c r="C4109" s="100"/>
    </row>
    <row r="4110" spans="3:3">
      <c r="C4110" s="100"/>
    </row>
    <row r="4111" spans="3:3">
      <c r="C4111" s="100"/>
    </row>
    <row r="4112" spans="3:3">
      <c r="C4112" s="100"/>
    </row>
    <row r="4113" spans="3:3">
      <c r="C4113" s="100"/>
    </row>
    <row r="4114" spans="3:3">
      <c r="C4114" s="100"/>
    </row>
    <row r="4115" spans="3:3">
      <c r="C4115" s="100"/>
    </row>
    <row r="4116" spans="3:3">
      <c r="C4116" s="100"/>
    </row>
    <row r="4117" spans="3:3">
      <c r="C4117" s="100"/>
    </row>
    <row r="4118" spans="3:3">
      <c r="C4118" s="100"/>
    </row>
    <row r="4119" spans="3:3">
      <c r="C4119" s="100"/>
    </row>
    <row r="4120" spans="3:3">
      <c r="C4120" s="100"/>
    </row>
    <row r="4121" spans="3:3">
      <c r="C4121" s="100"/>
    </row>
    <row r="4122" spans="3:3">
      <c r="C4122" s="100"/>
    </row>
    <row r="4123" spans="3:3">
      <c r="C4123" s="100"/>
    </row>
    <row r="4124" spans="3:3">
      <c r="C4124" s="100"/>
    </row>
    <row r="4125" spans="3:3">
      <c r="C4125" s="100"/>
    </row>
    <row r="4126" spans="3:3">
      <c r="C4126" s="100"/>
    </row>
    <row r="4127" spans="3:3">
      <c r="C4127" s="100"/>
    </row>
    <row r="4128" spans="3:3">
      <c r="C4128" s="100"/>
    </row>
    <row r="4129" spans="3:3">
      <c r="C4129" s="100"/>
    </row>
    <row r="4130" spans="3:3">
      <c r="C4130" s="100"/>
    </row>
    <row r="4131" spans="3:3">
      <c r="C4131" s="100"/>
    </row>
    <row r="4132" spans="3:3">
      <c r="C4132" s="100"/>
    </row>
    <row r="4133" spans="3:3">
      <c r="C4133" s="100"/>
    </row>
    <row r="4134" spans="3:3">
      <c r="C4134" s="100"/>
    </row>
    <row r="4135" spans="3:3">
      <c r="C4135" s="100"/>
    </row>
    <row r="4136" spans="3:3">
      <c r="C4136" s="100"/>
    </row>
    <row r="4137" spans="3:3">
      <c r="C4137" s="100"/>
    </row>
    <row r="4138" spans="3:3">
      <c r="C4138" s="100"/>
    </row>
    <row r="4139" spans="3:3">
      <c r="C4139" s="100"/>
    </row>
    <row r="4140" spans="3:3">
      <c r="C4140" s="100"/>
    </row>
    <row r="4141" spans="3:3">
      <c r="C4141" s="100"/>
    </row>
    <row r="4142" spans="3:3">
      <c r="C4142" s="100"/>
    </row>
    <row r="4143" spans="3:3">
      <c r="C4143" s="100"/>
    </row>
    <row r="4144" spans="3:3">
      <c r="C4144" s="100"/>
    </row>
    <row r="4145" spans="3:3">
      <c r="C4145" s="100"/>
    </row>
    <row r="4146" spans="3:3">
      <c r="C4146" s="100"/>
    </row>
    <row r="4147" spans="3:3">
      <c r="C4147" s="100"/>
    </row>
    <row r="4148" spans="3:3">
      <c r="C4148" s="100"/>
    </row>
    <row r="4149" spans="3:3">
      <c r="C4149" s="100"/>
    </row>
    <row r="4150" spans="3:3">
      <c r="C4150" s="100"/>
    </row>
    <row r="4151" spans="3:3">
      <c r="C4151" s="100"/>
    </row>
    <row r="4152" spans="3:3">
      <c r="C4152" s="100"/>
    </row>
    <row r="4153" spans="3:3">
      <c r="C4153" s="100"/>
    </row>
    <row r="4154" spans="3:3">
      <c r="C4154" s="100"/>
    </row>
    <row r="4155" spans="3:3">
      <c r="C4155" s="100"/>
    </row>
    <row r="4156" spans="3:3">
      <c r="C4156" s="100"/>
    </row>
    <row r="4157" spans="3:3">
      <c r="C4157" s="100"/>
    </row>
    <row r="4158" spans="3:3">
      <c r="C4158" s="100"/>
    </row>
    <row r="4159" spans="3:3">
      <c r="C4159" s="100"/>
    </row>
    <row r="4160" spans="3:3">
      <c r="C4160" s="100"/>
    </row>
    <row r="4161" spans="3:3">
      <c r="C4161" s="100"/>
    </row>
    <row r="4162" spans="3:3">
      <c r="C4162" s="100"/>
    </row>
    <row r="4163" spans="3:3">
      <c r="C4163" s="100"/>
    </row>
    <row r="4164" spans="3:3">
      <c r="C4164" s="100"/>
    </row>
    <row r="4165" spans="3:3">
      <c r="C4165" s="100"/>
    </row>
    <row r="4166" spans="3:3">
      <c r="C4166" s="100"/>
    </row>
    <row r="4167" spans="3:3">
      <c r="C4167" s="100"/>
    </row>
    <row r="4168" spans="3:3">
      <c r="C4168" s="100"/>
    </row>
    <row r="4169" spans="3:3">
      <c r="C4169" s="100"/>
    </row>
    <row r="4170" spans="3:3">
      <c r="C4170" s="100"/>
    </row>
    <row r="4171" spans="3:3">
      <c r="C4171" s="100"/>
    </row>
    <row r="4172" spans="3:3">
      <c r="C4172" s="100"/>
    </row>
    <row r="4173" spans="3:3">
      <c r="C4173" s="100"/>
    </row>
    <row r="4174" spans="3:3">
      <c r="C4174" s="100"/>
    </row>
    <row r="4175" spans="3:3">
      <c r="C4175" s="100"/>
    </row>
    <row r="4176" spans="3:3">
      <c r="C4176" s="100"/>
    </row>
    <row r="4177" spans="3:3">
      <c r="C4177" s="100"/>
    </row>
    <row r="4178" spans="3:3">
      <c r="C4178" s="100"/>
    </row>
    <row r="4179" spans="3:3">
      <c r="C4179" s="100"/>
    </row>
    <row r="4180" spans="3:3">
      <c r="C4180" s="100"/>
    </row>
    <row r="4181" spans="3:3">
      <c r="C4181" s="100"/>
    </row>
    <row r="4182" spans="3:3">
      <c r="C4182" s="100"/>
    </row>
    <row r="4183" spans="3:3">
      <c r="C4183" s="100"/>
    </row>
    <row r="4184" spans="3:3">
      <c r="C4184" s="100"/>
    </row>
    <row r="4185" spans="3:3">
      <c r="C4185" s="100"/>
    </row>
    <row r="4186" spans="3:3">
      <c r="C4186" s="100"/>
    </row>
    <row r="4187" spans="3:3">
      <c r="C4187" s="100"/>
    </row>
    <row r="4188" spans="3:3">
      <c r="C4188" s="100"/>
    </row>
    <row r="4189" spans="3:3">
      <c r="C4189" s="100"/>
    </row>
    <row r="4190" spans="3:3">
      <c r="C4190" s="100"/>
    </row>
    <row r="4191" spans="3:3">
      <c r="C4191" s="100"/>
    </row>
    <row r="4192" spans="3:3">
      <c r="C4192" s="100"/>
    </row>
    <row r="4193" spans="3:3">
      <c r="C4193" s="100"/>
    </row>
    <row r="4194" spans="3:3">
      <c r="C4194" s="100"/>
    </row>
    <row r="4195" spans="3:3">
      <c r="C4195" s="100"/>
    </row>
    <row r="4196" spans="3:3">
      <c r="C4196" s="100"/>
    </row>
    <row r="4197" spans="3:3">
      <c r="C4197" s="100"/>
    </row>
    <row r="4198" spans="3:3">
      <c r="C4198" s="100"/>
    </row>
    <row r="4199" spans="3:3">
      <c r="C4199" s="100"/>
    </row>
    <row r="4200" spans="3:3">
      <c r="C4200" s="100"/>
    </row>
    <row r="4201" spans="3:3">
      <c r="C4201" s="100"/>
    </row>
    <row r="4202" spans="3:3">
      <c r="C4202" s="100"/>
    </row>
    <row r="4203" spans="3:3">
      <c r="C4203" s="100"/>
    </row>
    <row r="4204" spans="3:3">
      <c r="C4204" s="100"/>
    </row>
    <row r="4205" spans="3:3">
      <c r="C4205" s="100"/>
    </row>
    <row r="4206" spans="3:3">
      <c r="C4206" s="100"/>
    </row>
    <row r="4207" spans="3:3">
      <c r="C4207" s="100"/>
    </row>
    <row r="4208" spans="3:3">
      <c r="C4208" s="100"/>
    </row>
    <row r="4209" spans="3:3">
      <c r="C4209" s="100"/>
    </row>
    <row r="4210" spans="3:3">
      <c r="C4210" s="100"/>
    </row>
    <row r="4211" spans="3:3">
      <c r="C4211" s="100"/>
    </row>
    <row r="4212" spans="3:3">
      <c r="C4212" s="100"/>
    </row>
    <row r="4213" spans="3:3">
      <c r="C4213" s="100"/>
    </row>
    <row r="4214" spans="3:3">
      <c r="C4214" s="100"/>
    </row>
    <row r="4215" spans="3:3">
      <c r="C4215" s="100"/>
    </row>
    <row r="4216" spans="3:3">
      <c r="C4216" s="100"/>
    </row>
    <row r="4217" spans="3:3">
      <c r="C4217" s="100"/>
    </row>
    <row r="4218" spans="3:3">
      <c r="C4218" s="100"/>
    </row>
    <row r="4219" spans="3:3">
      <c r="C4219" s="100"/>
    </row>
    <row r="4220" spans="3:3">
      <c r="C4220" s="100"/>
    </row>
    <row r="4221" spans="3:3">
      <c r="C4221" s="100"/>
    </row>
    <row r="4222" spans="3:3">
      <c r="C4222" s="100"/>
    </row>
    <row r="4223" spans="3:3">
      <c r="C4223" s="100"/>
    </row>
    <row r="4224" spans="3:3">
      <c r="C4224" s="100"/>
    </row>
    <row r="4225" spans="3:3">
      <c r="C4225" s="100"/>
    </row>
    <row r="4226" spans="3:3">
      <c r="C4226" s="100"/>
    </row>
    <row r="4227" spans="3:3">
      <c r="C4227" s="100"/>
    </row>
    <row r="4228" spans="3:3">
      <c r="C4228" s="100"/>
    </row>
    <row r="4229" spans="3:3">
      <c r="C4229" s="100"/>
    </row>
    <row r="4230" spans="3:3">
      <c r="C4230" s="100"/>
    </row>
    <row r="4231" spans="3:3">
      <c r="C4231" s="100"/>
    </row>
    <row r="4232" spans="3:3">
      <c r="C4232" s="100"/>
    </row>
    <row r="4233" spans="3:3">
      <c r="C4233" s="100"/>
    </row>
    <row r="4234" spans="3:3">
      <c r="C4234" s="100"/>
    </row>
    <row r="4235" spans="3:3">
      <c r="C4235" s="100"/>
    </row>
    <row r="4236" spans="3:3">
      <c r="C4236" s="100"/>
    </row>
    <row r="4237" spans="3:3">
      <c r="C4237" s="100"/>
    </row>
    <row r="4238" spans="3:3">
      <c r="C4238" s="100"/>
    </row>
    <row r="4239" spans="3:3">
      <c r="C4239" s="100"/>
    </row>
    <row r="4240" spans="3:3">
      <c r="C4240" s="100"/>
    </row>
    <row r="4241" spans="3:3">
      <c r="C4241" s="100"/>
    </row>
    <row r="4242" spans="3:3">
      <c r="C4242" s="100"/>
    </row>
    <row r="4243" spans="3:3">
      <c r="C4243" s="100"/>
    </row>
    <row r="4244" spans="3:3">
      <c r="C4244" s="100"/>
    </row>
    <row r="4245" spans="3:3">
      <c r="C4245" s="100"/>
    </row>
    <row r="4246" spans="3:3">
      <c r="C4246" s="100"/>
    </row>
    <row r="4247" spans="3:3">
      <c r="C4247" s="100"/>
    </row>
    <row r="4248" spans="3:3">
      <c r="C4248" s="100"/>
    </row>
    <row r="4249" spans="3:3">
      <c r="C4249" s="100"/>
    </row>
    <row r="4250" spans="3:3">
      <c r="C4250" s="100"/>
    </row>
    <row r="4251" spans="3:3">
      <c r="C4251" s="100"/>
    </row>
    <row r="4252" spans="3:3">
      <c r="C4252" s="100"/>
    </row>
    <row r="4253" spans="3:3">
      <c r="C4253" s="100"/>
    </row>
    <row r="4254" spans="3:3">
      <c r="C4254" s="100"/>
    </row>
    <row r="4255" spans="3:3">
      <c r="C4255" s="100"/>
    </row>
    <row r="4256" spans="3:3">
      <c r="C4256" s="100"/>
    </row>
    <row r="4257" spans="3:3">
      <c r="C4257" s="100"/>
    </row>
    <row r="4258" spans="3:3">
      <c r="C4258" s="100"/>
    </row>
    <row r="4259" spans="3:3">
      <c r="C4259" s="100"/>
    </row>
    <row r="4260" spans="3:3">
      <c r="C4260" s="100"/>
    </row>
    <row r="4261" spans="3:3">
      <c r="C4261" s="100"/>
    </row>
    <row r="4262" spans="3:3">
      <c r="C4262" s="100"/>
    </row>
    <row r="4263" spans="3:3">
      <c r="C4263" s="100"/>
    </row>
    <row r="4264" spans="3:3">
      <c r="C4264" s="100"/>
    </row>
    <row r="4265" spans="3:3">
      <c r="C4265" s="100"/>
    </row>
    <row r="4266" spans="3:3">
      <c r="C4266" s="100"/>
    </row>
    <row r="4267" spans="3:3">
      <c r="C4267" s="100"/>
    </row>
    <row r="4268" spans="3:3">
      <c r="C4268" s="100"/>
    </row>
    <row r="4269" spans="3:3">
      <c r="C4269" s="100"/>
    </row>
    <row r="4270" spans="3:3">
      <c r="C4270" s="100"/>
    </row>
    <row r="4271" spans="3:3">
      <c r="C4271" s="100"/>
    </row>
    <row r="4272" spans="3:3">
      <c r="C4272" s="100"/>
    </row>
    <row r="4273" spans="3:3">
      <c r="C4273" s="100"/>
    </row>
    <row r="4274" spans="3:3">
      <c r="C4274" s="100"/>
    </row>
    <row r="4275" spans="3:3">
      <c r="C4275" s="100"/>
    </row>
    <row r="4276" spans="3:3">
      <c r="C4276" s="100"/>
    </row>
    <row r="4277" spans="3:3">
      <c r="C4277" s="100"/>
    </row>
    <row r="4278" spans="3:3">
      <c r="C4278" s="100"/>
    </row>
    <row r="4279" spans="3:3">
      <c r="C4279" s="100"/>
    </row>
    <row r="4280" spans="3:3">
      <c r="C4280" s="100"/>
    </row>
    <row r="4281" spans="3:3">
      <c r="C4281" s="100"/>
    </row>
    <row r="4282" spans="3:3">
      <c r="C4282" s="100"/>
    </row>
    <row r="4283" spans="3:3">
      <c r="C4283" s="100"/>
    </row>
    <row r="4284" spans="3:3">
      <c r="C4284" s="100"/>
    </row>
    <row r="4285" spans="3:3">
      <c r="C4285" s="100"/>
    </row>
    <row r="4286" spans="3:3">
      <c r="C4286" s="100"/>
    </row>
    <row r="4287" spans="3:3">
      <c r="C4287" s="100"/>
    </row>
    <row r="4288" spans="3:3">
      <c r="C4288" s="100"/>
    </row>
    <row r="4289" spans="3:3">
      <c r="C4289" s="100"/>
    </row>
    <row r="4290" spans="3:3">
      <c r="C4290" s="100"/>
    </row>
    <row r="4291" spans="3:3">
      <c r="C4291" s="100"/>
    </row>
    <row r="4292" spans="3:3">
      <c r="C4292" s="100"/>
    </row>
    <row r="4293" spans="3:3">
      <c r="C4293" s="100"/>
    </row>
    <row r="4294" spans="3:3">
      <c r="C4294" s="100"/>
    </row>
    <row r="4295" spans="3:3">
      <c r="C4295" s="100"/>
    </row>
    <row r="4296" spans="3:3">
      <c r="C4296" s="100"/>
    </row>
    <row r="4297" spans="3:3">
      <c r="C4297" s="100"/>
    </row>
    <row r="4298" spans="3:3">
      <c r="C4298" s="100"/>
    </row>
    <row r="4299" spans="3:3">
      <c r="C4299" s="100"/>
    </row>
    <row r="4300" spans="3:3">
      <c r="C4300" s="100"/>
    </row>
    <row r="4301" spans="3:3">
      <c r="C4301" s="100"/>
    </row>
    <row r="4302" spans="3:3">
      <c r="C4302" s="100"/>
    </row>
    <row r="4303" spans="3:3">
      <c r="C4303" s="100"/>
    </row>
    <row r="4304" spans="3:3">
      <c r="C4304" s="100"/>
    </row>
    <row r="4305" spans="3:3">
      <c r="C4305" s="100"/>
    </row>
    <row r="4306" spans="3:3">
      <c r="C4306" s="100"/>
    </row>
    <row r="4307" spans="3:3">
      <c r="C4307" s="100"/>
    </row>
    <row r="4308" spans="3:3">
      <c r="C4308" s="100"/>
    </row>
    <row r="4309" spans="3:3">
      <c r="C4309" s="100"/>
    </row>
    <row r="4310" spans="3:3">
      <c r="C4310" s="100"/>
    </row>
    <row r="4311" spans="3:3">
      <c r="C4311" s="100"/>
    </row>
    <row r="4312" spans="3:3">
      <c r="C4312" s="100"/>
    </row>
    <row r="4313" spans="3:3">
      <c r="C4313" s="100"/>
    </row>
    <row r="4314" spans="3:3">
      <c r="C4314" s="100"/>
    </row>
    <row r="4315" spans="3:3">
      <c r="C4315" s="100"/>
    </row>
    <row r="4316" spans="3:3">
      <c r="C4316" s="100"/>
    </row>
    <row r="4317" spans="3:3">
      <c r="C4317" s="100"/>
    </row>
    <row r="4318" spans="3:3">
      <c r="C4318" s="100"/>
    </row>
    <row r="4319" spans="3:3">
      <c r="C4319" s="100"/>
    </row>
    <row r="4320" spans="3:3">
      <c r="C4320" s="100"/>
    </row>
    <row r="4321" spans="3:3">
      <c r="C4321" s="100"/>
    </row>
    <row r="4322" spans="3:3">
      <c r="C4322" s="100"/>
    </row>
    <row r="4323" spans="3:3">
      <c r="C4323" s="100"/>
    </row>
    <row r="4324" spans="3:3">
      <c r="C4324" s="100"/>
    </row>
    <row r="4325" spans="3:3">
      <c r="C4325" s="100"/>
    </row>
    <row r="4326" spans="3:3">
      <c r="C4326" s="100"/>
    </row>
    <row r="4327" spans="3:3">
      <c r="C4327" s="100"/>
    </row>
    <row r="4328" spans="3:3">
      <c r="C4328" s="100"/>
    </row>
    <row r="4329" spans="3:3">
      <c r="C4329" s="100"/>
    </row>
    <row r="4330" spans="3:3">
      <c r="C4330" s="100"/>
    </row>
    <row r="4331" spans="3:3">
      <c r="C4331" s="100"/>
    </row>
    <row r="4332" spans="3:3">
      <c r="C4332" s="100"/>
    </row>
    <row r="4333" spans="3:3">
      <c r="C4333" s="100"/>
    </row>
    <row r="4334" spans="3:3">
      <c r="C4334" s="100"/>
    </row>
    <row r="4335" spans="3:3">
      <c r="C4335" s="100"/>
    </row>
    <row r="4336" spans="3:3">
      <c r="C4336" s="100"/>
    </row>
    <row r="4337" spans="3:3">
      <c r="C4337" s="100"/>
    </row>
    <row r="4338" spans="3:3">
      <c r="C4338" s="100"/>
    </row>
    <row r="4339" spans="3:3">
      <c r="C4339" s="100"/>
    </row>
    <row r="4340" spans="3:3">
      <c r="C4340" s="100"/>
    </row>
    <row r="4341" spans="3:3">
      <c r="C4341" s="100"/>
    </row>
    <row r="4342" spans="3:3">
      <c r="C4342" s="100"/>
    </row>
    <row r="4343" spans="3:3">
      <c r="C4343" s="100"/>
    </row>
    <row r="4344" spans="3:3">
      <c r="C4344" s="100"/>
    </row>
    <row r="4345" spans="3:3">
      <c r="C4345" s="100"/>
    </row>
    <row r="4346" spans="3:3">
      <c r="C4346" s="100"/>
    </row>
    <row r="4347" spans="3:3">
      <c r="C4347" s="100"/>
    </row>
    <row r="4348" spans="3:3">
      <c r="C4348" s="100"/>
    </row>
    <row r="4349" spans="3:3">
      <c r="C4349" s="100"/>
    </row>
    <row r="4350" spans="3:3">
      <c r="C4350" s="100"/>
    </row>
    <row r="4351" spans="3:3">
      <c r="C4351" s="100"/>
    </row>
    <row r="4352" spans="3:3">
      <c r="C4352" s="100"/>
    </row>
    <row r="4353" spans="3:3">
      <c r="C4353" s="100"/>
    </row>
    <row r="4354" spans="3:3">
      <c r="C4354" s="100"/>
    </row>
    <row r="4355" spans="3:3">
      <c r="C4355" s="100"/>
    </row>
    <row r="4356" spans="3:3">
      <c r="C4356" s="100"/>
    </row>
    <row r="4357" spans="3:3">
      <c r="C4357" s="100"/>
    </row>
    <row r="4358" spans="3:3">
      <c r="C4358" s="100"/>
    </row>
    <row r="4359" spans="3:3">
      <c r="C4359" s="100"/>
    </row>
    <row r="4360" spans="3:3">
      <c r="C4360" s="100"/>
    </row>
    <row r="4361" spans="3:3">
      <c r="C4361" s="100"/>
    </row>
    <row r="4362" spans="3:3">
      <c r="C4362" s="100"/>
    </row>
    <row r="4363" spans="3:3">
      <c r="C4363" s="100"/>
    </row>
    <row r="4364" spans="3:3">
      <c r="C4364" s="100"/>
    </row>
    <row r="4365" spans="3:3">
      <c r="C4365" s="100"/>
    </row>
    <row r="4366" spans="3:3">
      <c r="C4366" s="100"/>
    </row>
    <row r="4367" spans="3:3">
      <c r="C4367" s="100"/>
    </row>
    <row r="4368" spans="3:3">
      <c r="C4368" s="100"/>
    </row>
    <row r="4369" spans="3:3">
      <c r="C4369" s="100"/>
    </row>
    <row r="4370" spans="3:3">
      <c r="C4370" s="100"/>
    </row>
    <row r="4371" spans="3:3">
      <c r="C4371" s="100"/>
    </row>
    <row r="4372" spans="3:3">
      <c r="C4372" s="100"/>
    </row>
    <row r="4373" spans="3:3">
      <c r="C4373" s="100"/>
    </row>
    <row r="4374" spans="3:3">
      <c r="C4374" s="100"/>
    </row>
    <row r="4375" spans="3:3">
      <c r="C4375" s="100"/>
    </row>
    <row r="4376" spans="3:3">
      <c r="C4376" s="100"/>
    </row>
    <row r="4377" spans="3:3">
      <c r="C4377" s="100"/>
    </row>
    <row r="4378" spans="3:3">
      <c r="C4378" s="100"/>
    </row>
    <row r="4379" spans="3:3">
      <c r="C4379" s="100"/>
    </row>
    <row r="4380" spans="3:3">
      <c r="C4380" s="100"/>
    </row>
    <row r="4381" spans="3:3">
      <c r="C4381" s="100"/>
    </row>
    <row r="4382" spans="3:3">
      <c r="C4382" s="100"/>
    </row>
    <row r="4383" spans="3:3">
      <c r="C4383" s="100"/>
    </row>
    <row r="4384" spans="3:3">
      <c r="C4384" s="100"/>
    </row>
    <row r="4385" spans="3:3">
      <c r="C4385" s="100"/>
    </row>
    <row r="4386" spans="3:3">
      <c r="C4386" s="100"/>
    </row>
    <row r="4387" spans="3:3">
      <c r="C4387" s="100"/>
    </row>
    <row r="4388" spans="3:3">
      <c r="C4388" s="100"/>
    </row>
    <row r="4389" spans="3:3">
      <c r="C4389" s="100"/>
    </row>
    <row r="4390" spans="3:3">
      <c r="C4390" s="100"/>
    </row>
    <row r="4391" spans="3:3">
      <c r="C4391" s="100"/>
    </row>
    <row r="4392" spans="3:3">
      <c r="C4392" s="100"/>
    </row>
    <row r="4393" spans="3:3">
      <c r="C4393" s="100"/>
    </row>
    <row r="4394" spans="3:3">
      <c r="C4394" s="100"/>
    </row>
    <row r="4395" spans="3:3">
      <c r="C4395" s="100"/>
    </row>
    <row r="4396" spans="3:3">
      <c r="C4396" s="100"/>
    </row>
    <row r="4397" spans="3:3">
      <c r="C4397" s="100"/>
    </row>
    <row r="4398" spans="3:3">
      <c r="C4398" s="100"/>
    </row>
    <row r="4399" spans="3:3">
      <c r="C4399" s="100"/>
    </row>
    <row r="4400" spans="3:3">
      <c r="C4400" s="100"/>
    </row>
    <row r="4401" spans="3:3">
      <c r="C4401" s="100"/>
    </row>
    <row r="4402" spans="3:3">
      <c r="C4402" s="100"/>
    </row>
    <row r="4403" spans="3:3">
      <c r="C4403" s="100"/>
    </row>
    <row r="4404" spans="3:3">
      <c r="C4404" s="100"/>
    </row>
    <row r="4405" spans="3:3">
      <c r="C4405" s="100"/>
    </row>
    <row r="4406" spans="3:3">
      <c r="C4406" s="100"/>
    </row>
    <row r="4407" spans="3:3">
      <c r="C4407" s="100"/>
    </row>
    <row r="4408" spans="3:3">
      <c r="C4408" s="100"/>
    </row>
    <row r="4409" spans="3:3">
      <c r="C4409" s="100"/>
    </row>
    <row r="4410" spans="3:3">
      <c r="C4410" s="100"/>
    </row>
    <row r="4411" spans="3:3">
      <c r="C4411" s="100"/>
    </row>
    <row r="4412" spans="3:3">
      <c r="C4412" s="100"/>
    </row>
    <row r="4413" spans="3:3">
      <c r="C4413" s="100"/>
    </row>
    <row r="4414" spans="3:3">
      <c r="C4414" s="100"/>
    </row>
    <row r="4415" spans="3:3">
      <c r="C4415" s="100"/>
    </row>
    <row r="4416" spans="3:3">
      <c r="C4416" s="100"/>
    </row>
    <row r="4417" spans="3:3">
      <c r="C4417" s="100"/>
    </row>
    <row r="4418" spans="3:3">
      <c r="C4418" s="100"/>
    </row>
    <row r="4419" spans="3:3">
      <c r="C4419" s="100"/>
    </row>
    <row r="4420" spans="3:3">
      <c r="C4420" s="100"/>
    </row>
    <row r="4421" spans="3:3">
      <c r="C4421" s="100"/>
    </row>
    <row r="4422" spans="3:3">
      <c r="C4422" s="100"/>
    </row>
    <row r="4423" spans="3:3">
      <c r="C4423" s="100"/>
    </row>
    <row r="4424" spans="3:3">
      <c r="C4424" s="100"/>
    </row>
    <row r="4425" spans="3:3">
      <c r="C4425" s="100"/>
    </row>
    <row r="4426" spans="3:3">
      <c r="C4426" s="100"/>
    </row>
    <row r="4427" spans="3:3">
      <c r="C4427" s="100"/>
    </row>
    <row r="4428" spans="3:3">
      <c r="C4428" s="100"/>
    </row>
    <row r="4429" spans="3:3">
      <c r="C4429" s="100"/>
    </row>
    <row r="4430" spans="3:3">
      <c r="C4430" s="100"/>
    </row>
    <row r="4431" spans="3:3">
      <c r="C4431" s="100"/>
    </row>
    <row r="4432" spans="3:3">
      <c r="C4432" s="100"/>
    </row>
    <row r="4433" spans="3:3">
      <c r="C4433" s="100"/>
    </row>
    <row r="4434" spans="3:3">
      <c r="C4434" s="100"/>
    </row>
    <row r="4435" spans="3:3">
      <c r="C4435" s="100"/>
    </row>
    <row r="4436" spans="3:3">
      <c r="C4436" s="100"/>
    </row>
    <row r="4437" spans="3:3">
      <c r="C4437" s="100"/>
    </row>
    <row r="4438" spans="3:3">
      <c r="C4438" s="100"/>
    </row>
    <row r="4439" spans="3:3">
      <c r="C4439" s="100"/>
    </row>
    <row r="4440" spans="3:3">
      <c r="C4440" s="100"/>
    </row>
    <row r="4441" spans="3:3">
      <c r="C4441" s="100"/>
    </row>
    <row r="4442" spans="3:3">
      <c r="C4442" s="100"/>
    </row>
    <row r="4443" spans="3:3">
      <c r="C4443" s="100"/>
    </row>
    <row r="4444" spans="3:3">
      <c r="C4444" s="100"/>
    </row>
    <row r="4445" spans="3:3">
      <c r="C4445" s="100"/>
    </row>
    <row r="4446" spans="3:3">
      <c r="C4446" s="100"/>
    </row>
    <row r="4447" spans="3:3">
      <c r="C4447" s="100"/>
    </row>
    <row r="4448" spans="3:3">
      <c r="C4448" s="100"/>
    </row>
    <row r="4449" spans="3:3">
      <c r="C4449" s="100"/>
    </row>
    <row r="4450" spans="3:3">
      <c r="C4450" s="100"/>
    </row>
    <row r="4451" spans="3:3">
      <c r="C4451" s="100"/>
    </row>
    <row r="4452" spans="3:3">
      <c r="C4452" s="100"/>
    </row>
    <row r="4453" spans="3:3">
      <c r="C4453" s="100"/>
    </row>
    <row r="4454" spans="3:3">
      <c r="C4454" s="100"/>
    </row>
    <row r="4455" spans="3:3">
      <c r="C4455" s="100"/>
    </row>
    <row r="4456" spans="3:3">
      <c r="C4456" s="100"/>
    </row>
    <row r="4457" spans="3:3">
      <c r="C4457" s="100"/>
    </row>
    <row r="4458" spans="3:3">
      <c r="C4458" s="100"/>
    </row>
    <row r="4459" spans="3:3">
      <c r="C4459" s="100"/>
    </row>
    <row r="4460" spans="3:3">
      <c r="C4460" s="100"/>
    </row>
    <row r="4461" spans="3:3">
      <c r="C4461" s="100"/>
    </row>
    <row r="4462" spans="3:3">
      <c r="C4462" s="100"/>
    </row>
    <row r="4463" spans="3:3">
      <c r="C4463" s="100"/>
    </row>
    <row r="4464" spans="3:3">
      <c r="C4464" s="100"/>
    </row>
    <row r="4465" spans="3:3">
      <c r="C4465" s="100"/>
    </row>
    <row r="4466" spans="3:3">
      <c r="C4466" s="100"/>
    </row>
    <row r="4467" spans="3:3">
      <c r="C4467" s="100"/>
    </row>
    <row r="4468" spans="3:3">
      <c r="C4468" s="100"/>
    </row>
    <row r="4469" spans="3:3">
      <c r="C4469" s="100"/>
    </row>
    <row r="4470" spans="3:3">
      <c r="C4470" s="100"/>
    </row>
    <row r="4471" spans="3:3">
      <c r="C4471" s="100"/>
    </row>
    <row r="4472" spans="3:3">
      <c r="C4472" s="100"/>
    </row>
    <row r="4473" spans="3:3">
      <c r="C4473" s="100"/>
    </row>
    <row r="4474" spans="3:3">
      <c r="C4474" s="100"/>
    </row>
    <row r="4475" spans="3:3">
      <c r="C4475" s="100"/>
    </row>
    <row r="4476" spans="3:3">
      <c r="C4476" s="100"/>
    </row>
    <row r="4477" spans="3:3">
      <c r="C4477" s="100"/>
    </row>
    <row r="4478" spans="3:3">
      <c r="C4478" s="100"/>
    </row>
    <row r="4479" spans="3:3">
      <c r="C4479" s="100"/>
    </row>
    <row r="4480" spans="3:3">
      <c r="C4480" s="100"/>
    </row>
    <row r="4481" spans="3:3">
      <c r="C4481" s="100"/>
    </row>
    <row r="4482" spans="3:3">
      <c r="C4482" s="100"/>
    </row>
    <row r="4483" spans="3:3">
      <c r="C4483" s="100"/>
    </row>
    <row r="4484" spans="3:3">
      <c r="C4484" s="100"/>
    </row>
    <row r="4485" spans="3:3">
      <c r="C4485" s="100"/>
    </row>
    <row r="4486" spans="3:3">
      <c r="C4486" s="100"/>
    </row>
    <row r="4487" spans="3:3">
      <c r="C4487" s="100"/>
    </row>
    <row r="4488" spans="3:3">
      <c r="C4488" s="100"/>
    </row>
    <row r="4489" spans="3:3">
      <c r="C4489" s="100"/>
    </row>
    <row r="4490" spans="3:3">
      <c r="C4490" s="100"/>
    </row>
    <row r="4491" spans="3:3">
      <c r="C4491" s="100"/>
    </row>
    <row r="4492" spans="3:3">
      <c r="C4492" s="100"/>
    </row>
    <row r="4493" spans="3:3">
      <c r="C4493" s="100"/>
    </row>
    <row r="4494" spans="3:3">
      <c r="C4494" s="100"/>
    </row>
    <row r="4495" spans="3:3">
      <c r="C4495" s="100"/>
    </row>
    <row r="4496" spans="3:3">
      <c r="C4496" s="100"/>
    </row>
    <row r="4497" spans="3:3">
      <c r="C4497" s="100"/>
    </row>
    <row r="4498" spans="3:3">
      <c r="C4498" s="100"/>
    </row>
    <row r="4499" spans="3:3">
      <c r="C4499" s="100"/>
    </row>
    <row r="4500" spans="3:3">
      <c r="C4500" s="100"/>
    </row>
    <row r="4501" spans="3:3">
      <c r="C4501" s="100"/>
    </row>
    <row r="4502" spans="3:3">
      <c r="C4502" s="100"/>
    </row>
    <row r="4503" spans="3:3">
      <c r="C4503" s="100"/>
    </row>
    <row r="4504" spans="3:3">
      <c r="C4504" s="100"/>
    </row>
    <row r="4505" spans="3:3">
      <c r="C4505" s="100"/>
    </row>
    <row r="4506" spans="3:3">
      <c r="C4506" s="100"/>
    </row>
    <row r="4507" spans="3:3">
      <c r="C4507" s="100"/>
    </row>
    <row r="4508" spans="3:3">
      <c r="C4508" s="100"/>
    </row>
    <row r="4509" spans="3:3">
      <c r="C4509" s="100"/>
    </row>
    <row r="4510" spans="3:3">
      <c r="C4510" s="100"/>
    </row>
    <row r="4511" spans="3:3">
      <c r="C4511" s="100"/>
    </row>
    <row r="4512" spans="3:3">
      <c r="C4512" s="100"/>
    </row>
    <row r="4513" spans="3:3">
      <c r="C4513" s="100"/>
    </row>
    <row r="4514" spans="3:3">
      <c r="C4514" s="100"/>
    </row>
    <row r="4515" spans="3:3">
      <c r="C4515" s="100"/>
    </row>
    <row r="4516" spans="3:3">
      <c r="C4516" s="100"/>
    </row>
    <row r="4517" spans="3:3">
      <c r="C4517" s="100"/>
    </row>
    <row r="4518" spans="3:3">
      <c r="C4518" s="100"/>
    </row>
    <row r="4519" spans="3:3">
      <c r="C4519" s="100"/>
    </row>
    <row r="4520" spans="3:3">
      <c r="C4520" s="100"/>
    </row>
    <row r="4521" spans="3:3">
      <c r="C4521" s="100"/>
    </row>
    <row r="4522" spans="3:3">
      <c r="C4522" s="100"/>
    </row>
    <row r="4523" spans="3:3">
      <c r="C4523" s="100"/>
    </row>
    <row r="4524" spans="3:3">
      <c r="C4524" s="100"/>
    </row>
    <row r="4525" spans="3:3">
      <c r="C4525" s="100"/>
    </row>
    <row r="4526" spans="3:3">
      <c r="C4526" s="100"/>
    </row>
    <row r="4527" spans="3:3">
      <c r="C4527" s="100"/>
    </row>
    <row r="4528" spans="3:3">
      <c r="C4528" s="100"/>
    </row>
    <row r="4529" spans="3:3">
      <c r="C4529" s="100"/>
    </row>
    <row r="4530" spans="3:3">
      <c r="C4530" s="100"/>
    </row>
    <row r="4531" spans="3:3">
      <c r="C4531" s="100"/>
    </row>
    <row r="4532" spans="3:3">
      <c r="C4532" s="100"/>
    </row>
    <row r="4533" spans="3:3">
      <c r="C4533" s="100"/>
    </row>
    <row r="4534" spans="3:3">
      <c r="C4534" s="100"/>
    </row>
    <row r="4535" spans="3:3">
      <c r="C4535" s="100"/>
    </row>
    <row r="4536" spans="3:3">
      <c r="C4536" s="100"/>
    </row>
    <row r="4537" spans="3:3">
      <c r="C4537" s="100"/>
    </row>
    <row r="4538" spans="3:3">
      <c r="C4538" s="100"/>
    </row>
    <row r="4539" spans="3:3">
      <c r="C4539" s="100"/>
    </row>
    <row r="4540" spans="3:3">
      <c r="C4540" s="100"/>
    </row>
    <row r="4541" spans="3:3">
      <c r="C4541" s="100"/>
    </row>
    <row r="4542" spans="3:3">
      <c r="C4542" s="100"/>
    </row>
    <row r="4543" spans="3:3">
      <c r="C4543" s="100"/>
    </row>
    <row r="4544" spans="3:3">
      <c r="C4544" s="100"/>
    </row>
    <row r="4545" spans="3:3">
      <c r="C4545" s="100"/>
    </row>
    <row r="4546" spans="3:3">
      <c r="C4546" s="100"/>
    </row>
    <row r="4547" spans="3:3">
      <c r="C4547" s="100"/>
    </row>
    <row r="4548" spans="3:3">
      <c r="C4548" s="100"/>
    </row>
    <row r="4549" spans="3:3">
      <c r="C4549" s="100"/>
    </row>
    <row r="4550" spans="3:3">
      <c r="C4550" s="100"/>
    </row>
    <row r="4551" spans="3:3">
      <c r="C4551" s="100"/>
    </row>
    <row r="4552" spans="3:3">
      <c r="C4552" s="100"/>
    </row>
    <row r="4553" spans="3:3">
      <c r="C4553" s="100"/>
    </row>
    <row r="4554" spans="3:3">
      <c r="C4554" s="100"/>
    </row>
    <row r="4555" spans="3:3">
      <c r="C4555" s="100"/>
    </row>
    <row r="4556" spans="3:3">
      <c r="C4556" s="100"/>
    </row>
    <row r="4557" spans="3:3">
      <c r="C4557" s="100"/>
    </row>
    <row r="4558" spans="3:3">
      <c r="C4558" s="100"/>
    </row>
    <row r="4559" spans="3:3">
      <c r="C4559" s="100"/>
    </row>
    <row r="4560" spans="3:3">
      <c r="C4560" s="100"/>
    </row>
    <row r="4561" spans="3:3">
      <c r="C4561" s="100"/>
    </row>
    <row r="4562" spans="3:3">
      <c r="C4562" s="100"/>
    </row>
    <row r="4563" spans="3:3">
      <c r="C4563" s="100"/>
    </row>
    <row r="4564" spans="3:3">
      <c r="C4564" s="100"/>
    </row>
    <row r="4565" spans="3:3">
      <c r="C4565" s="100"/>
    </row>
    <row r="4566" spans="3:3">
      <c r="C4566" s="100"/>
    </row>
    <row r="4567" spans="3:3">
      <c r="C4567" s="100"/>
    </row>
    <row r="4568" spans="3:3">
      <c r="C4568" s="100"/>
    </row>
    <row r="4569" spans="3:3">
      <c r="C4569" s="100"/>
    </row>
    <row r="4570" spans="3:3">
      <c r="C4570" s="100"/>
    </row>
    <row r="4571" spans="3:3">
      <c r="C4571" s="100"/>
    </row>
    <row r="4572" spans="3:3">
      <c r="C4572" s="100"/>
    </row>
    <row r="4573" spans="3:3">
      <c r="C4573" s="100"/>
    </row>
    <row r="4574" spans="3:3">
      <c r="C4574" s="100"/>
    </row>
    <row r="4575" spans="3:3">
      <c r="C4575" s="100"/>
    </row>
    <row r="4576" spans="3:3">
      <c r="C4576" s="100"/>
    </row>
    <row r="4577" spans="3:3">
      <c r="C4577" s="100"/>
    </row>
    <row r="4578" spans="3:3">
      <c r="C4578" s="100"/>
    </row>
    <row r="4579" spans="3:3">
      <c r="C4579" s="100"/>
    </row>
    <row r="4580" spans="3:3">
      <c r="C4580" s="100"/>
    </row>
    <row r="4581" spans="3:3">
      <c r="C4581" s="100"/>
    </row>
    <row r="4582" spans="3:3">
      <c r="C4582" s="100"/>
    </row>
    <row r="4583" spans="3:3">
      <c r="C4583" s="100"/>
    </row>
    <row r="4584" spans="3:3">
      <c r="C4584" s="100"/>
    </row>
    <row r="4585" spans="3:3">
      <c r="C4585" s="100"/>
    </row>
    <row r="4586" spans="3:3">
      <c r="C4586" s="100"/>
    </row>
    <row r="4587" spans="3:3">
      <c r="C4587" s="100"/>
    </row>
    <row r="4588" spans="3:3">
      <c r="C4588" s="100"/>
    </row>
    <row r="4589" spans="3:3">
      <c r="C4589" s="100"/>
    </row>
    <row r="4590" spans="3:3">
      <c r="C4590" s="100"/>
    </row>
    <row r="4591" spans="3:3">
      <c r="C4591" s="100"/>
    </row>
    <row r="4592" spans="3:3">
      <c r="C4592" s="100"/>
    </row>
    <row r="4593" spans="3:3">
      <c r="C4593" s="100"/>
    </row>
    <row r="4594" spans="3:3">
      <c r="C4594" s="100"/>
    </row>
    <row r="4595" spans="3:3">
      <c r="C4595" s="100"/>
    </row>
    <row r="4596" spans="3:3">
      <c r="C4596" s="100"/>
    </row>
    <row r="4597" spans="3:3">
      <c r="C4597" s="100"/>
    </row>
    <row r="4598" spans="3:3">
      <c r="C4598" s="100"/>
    </row>
    <row r="4599" spans="3:3">
      <c r="C4599" s="100"/>
    </row>
    <row r="4600" spans="3:3">
      <c r="C4600" s="100"/>
    </row>
    <row r="4601" spans="3:3">
      <c r="C4601" s="100"/>
    </row>
    <row r="4602" spans="3:3">
      <c r="C4602" s="100"/>
    </row>
    <row r="4603" spans="3:3">
      <c r="C4603" s="100"/>
    </row>
    <row r="4604" spans="3:3">
      <c r="C4604" s="100"/>
    </row>
    <row r="4605" spans="3:3">
      <c r="C4605" s="100"/>
    </row>
    <row r="4606" spans="3:3">
      <c r="C4606" s="100"/>
    </row>
    <row r="4607" spans="3:3">
      <c r="C4607" s="100"/>
    </row>
    <row r="4608" spans="3:3">
      <c r="C4608" s="100"/>
    </row>
    <row r="4609" spans="3:3">
      <c r="C4609" s="100"/>
    </row>
    <row r="4610" spans="3:3">
      <c r="C4610" s="100"/>
    </row>
    <row r="4611" spans="3:3">
      <c r="C4611" s="100"/>
    </row>
    <row r="4612" spans="3:3">
      <c r="C4612" s="100"/>
    </row>
    <row r="4613" spans="3:3">
      <c r="C4613" s="100"/>
    </row>
    <row r="4614" spans="3:3">
      <c r="C4614" s="100"/>
    </row>
    <row r="4615" spans="3:3">
      <c r="C4615" s="100"/>
    </row>
    <row r="4616" spans="3:3">
      <c r="C4616" s="100"/>
    </row>
    <row r="4617" spans="3:3">
      <c r="C4617" s="100"/>
    </row>
    <row r="4618" spans="3:3">
      <c r="C4618" s="100"/>
    </row>
    <row r="4619" spans="3:3">
      <c r="C4619" s="100"/>
    </row>
    <row r="4620" spans="3:3">
      <c r="C4620" s="100"/>
    </row>
    <row r="4621" spans="3:3">
      <c r="C4621" s="100"/>
    </row>
    <row r="4622" spans="3:3">
      <c r="C4622" s="100"/>
    </row>
    <row r="4623" spans="3:3">
      <c r="C4623" s="100"/>
    </row>
    <row r="4624" spans="3:3">
      <c r="C4624" s="100"/>
    </row>
    <row r="4625" spans="3:3">
      <c r="C4625" s="100"/>
    </row>
    <row r="4626" spans="3:3">
      <c r="C4626" s="100"/>
    </row>
    <row r="4627" spans="3:3">
      <c r="C4627" s="100"/>
    </row>
    <row r="4628" spans="3:3">
      <c r="C4628" s="100"/>
    </row>
    <row r="4629" spans="3:3">
      <c r="C4629" s="100"/>
    </row>
    <row r="4630" spans="3:3">
      <c r="C4630" s="100"/>
    </row>
    <row r="4631" spans="3:3">
      <c r="C4631" s="100"/>
    </row>
    <row r="4632" spans="3:3">
      <c r="C4632" s="100"/>
    </row>
    <row r="4633" spans="3:3">
      <c r="C4633" s="100"/>
    </row>
    <row r="4634" spans="3:3">
      <c r="C4634" s="100"/>
    </row>
    <row r="4635" spans="3:3">
      <c r="C4635" s="100"/>
    </row>
    <row r="4636" spans="3:3">
      <c r="C4636" s="100"/>
    </row>
    <row r="4637" spans="3:3">
      <c r="C4637" s="100"/>
    </row>
    <row r="4638" spans="3:3">
      <c r="C4638" s="100"/>
    </row>
    <row r="4639" spans="3:3">
      <c r="C4639" s="100"/>
    </row>
    <row r="4640" spans="3:3">
      <c r="C4640" s="100"/>
    </row>
    <row r="4641" spans="3:3">
      <c r="C4641" s="100"/>
    </row>
    <row r="4642" spans="3:3">
      <c r="C4642" s="100"/>
    </row>
    <row r="4643" spans="3:3">
      <c r="C4643" s="100"/>
    </row>
    <row r="4644" spans="3:3">
      <c r="C4644" s="100"/>
    </row>
    <row r="4645" spans="3:3">
      <c r="C4645" s="100"/>
    </row>
    <row r="4646" spans="3:3">
      <c r="C4646" s="100"/>
    </row>
    <row r="4647" spans="3:3">
      <c r="C4647" s="100"/>
    </row>
    <row r="4648" spans="3:3">
      <c r="C4648" s="100"/>
    </row>
    <row r="4649" spans="3:3">
      <c r="C4649" s="100"/>
    </row>
    <row r="4650" spans="3:3">
      <c r="C4650" s="100"/>
    </row>
    <row r="4651" spans="3:3">
      <c r="C4651" s="100"/>
    </row>
    <row r="4652" spans="3:3">
      <c r="C4652" s="100"/>
    </row>
    <row r="4653" spans="3:3">
      <c r="C4653" s="100"/>
    </row>
    <row r="4654" spans="3:3">
      <c r="C4654" s="100"/>
    </row>
    <row r="4655" spans="3:3">
      <c r="C4655" s="100"/>
    </row>
    <row r="4656" spans="3:3">
      <c r="C4656" s="100"/>
    </row>
    <row r="4657" spans="3:3">
      <c r="C4657" s="100"/>
    </row>
    <row r="4658" spans="3:3">
      <c r="C4658" s="100"/>
    </row>
    <row r="4659" spans="3:3">
      <c r="C4659" s="100"/>
    </row>
    <row r="4660" spans="3:3">
      <c r="C4660" s="100"/>
    </row>
    <row r="4661" spans="3:3">
      <c r="C4661" s="100"/>
    </row>
    <row r="4662" spans="3:3">
      <c r="C4662" s="100"/>
    </row>
    <row r="4663" spans="3:3">
      <c r="C4663" s="100"/>
    </row>
    <row r="4664" spans="3:3">
      <c r="C4664" s="100"/>
    </row>
    <row r="4665" spans="3:3">
      <c r="C4665" s="100"/>
    </row>
    <row r="4666" spans="3:3">
      <c r="C4666" s="100"/>
    </row>
    <row r="4667" spans="3:3">
      <c r="C4667" s="100"/>
    </row>
    <row r="4668" spans="3:3">
      <c r="C4668" s="100"/>
    </row>
    <row r="4669" spans="3:3">
      <c r="C4669" s="100"/>
    </row>
    <row r="4670" spans="3:3">
      <c r="C4670" s="100"/>
    </row>
    <row r="4671" spans="3:3">
      <c r="C4671" s="100"/>
    </row>
    <row r="4672" spans="3:3">
      <c r="C4672" s="100"/>
    </row>
    <row r="4673" spans="3:3">
      <c r="C4673" s="100"/>
    </row>
    <row r="4674" spans="3:3">
      <c r="C4674" s="100"/>
    </row>
    <row r="4675" spans="3:3">
      <c r="C4675" s="100"/>
    </row>
    <row r="4676" spans="3:3">
      <c r="C4676" s="100"/>
    </row>
    <row r="4677" spans="3:3">
      <c r="C4677" s="100"/>
    </row>
    <row r="4678" spans="3:3">
      <c r="C4678" s="100"/>
    </row>
    <row r="4679" spans="3:3">
      <c r="C4679" s="100"/>
    </row>
    <row r="4680" spans="3:3">
      <c r="C4680" s="100"/>
    </row>
    <row r="4681" spans="3:3">
      <c r="C4681" s="100"/>
    </row>
    <row r="4682" spans="3:3">
      <c r="C4682" s="100"/>
    </row>
    <row r="4683" spans="3:3">
      <c r="C4683" s="100"/>
    </row>
    <row r="4684" spans="3:3">
      <c r="C4684" s="100"/>
    </row>
    <row r="4685" spans="3:3">
      <c r="C4685" s="100"/>
    </row>
    <row r="4686" spans="3:3">
      <c r="C4686" s="100"/>
    </row>
    <row r="4687" spans="3:3">
      <c r="C4687" s="100"/>
    </row>
    <row r="4688" spans="3:3">
      <c r="C4688" s="100"/>
    </row>
    <row r="4689" spans="3:3">
      <c r="C4689" s="100"/>
    </row>
    <row r="4690" spans="3:3">
      <c r="C4690" s="100"/>
    </row>
    <row r="4691" spans="3:3">
      <c r="C4691" s="100"/>
    </row>
    <row r="4692" spans="3:3">
      <c r="C4692" s="100"/>
    </row>
    <row r="4693" spans="3:3">
      <c r="C4693" s="100"/>
    </row>
    <row r="4694" spans="3:3">
      <c r="C4694" s="100"/>
    </row>
    <row r="4695" spans="3:3">
      <c r="C4695" s="100"/>
    </row>
    <row r="4696" spans="3:3">
      <c r="C4696" s="100"/>
    </row>
    <row r="4697" spans="3:3">
      <c r="C4697" s="100"/>
    </row>
    <row r="4698" spans="3:3">
      <c r="C4698" s="100"/>
    </row>
    <row r="4699" spans="3:3">
      <c r="C4699" s="100"/>
    </row>
    <row r="4700" spans="3:3">
      <c r="C4700" s="100"/>
    </row>
    <row r="4701" spans="3:3">
      <c r="C4701" s="100"/>
    </row>
    <row r="4702" spans="3:3">
      <c r="C4702" s="100"/>
    </row>
    <row r="4703" spans="3:3">
      <c r="C4703" s="100"/>
    </row>
    <row r="4704" spans="3:3">
      <c r="C4704" s="100"/>
    </row>
    <row r="4705" spans="3:3">
      <c r="C4705" s="100"/>
    </row>
    <row r="4706" spans="3:3">
      <c r="C4706" s="100"/>
    </row>
    <row r="4707" spans="3:3">
      <c r="C4707" s="100"/>
    </row>
    <row r="4708" spans="3:3">
      <c r="C4708" s="100"/>
    </row>
    <row r="4709" spans="3:3">
      <c r="C4709" s="100"/>
    </row>
    <row r="4710" spans="3:3">
      <c r="C4710" s="100"/>
    </row>
    <row r="4711" spans="3:3">
      <c r="C4711" s="100"/>
    </row>
    <row r="4712" spans="3:3">
      <c r="C4712" s="100"/>
    </row>
    <row r="4713" spans="3:3">
      <c r="C4713" s="100"/>
    </row>
    <row r="4714" spans="3:3">
      <c r="C4714" s="100"/>
    </row>
    <row r="4715" spans="3:3">
      <c r="C4715" s="100"/>
    </row>
    <row r="4716" spans="3:3">
      <c r="C4716" s="100"/>
    </row>
    <row r="4717" spans="3:3">
      <c r="C4717" s="100"/>
    </row>
    <row r="4718" spans="3:3">
      <c r="C4718" s="100"/>
    </row>
    <row r="4719" spans="3:3">
      <c r="C4719" s="100"/>
    </row>
    <row r="4720" spans="3:3">
      <c r="C4720" s="100"/>
    </row>
    <row r="4721" spans="3:3">
      <c r="C4721" s="100"/>
    </row>
    <row r="4722" spans="3:3">
      <c r="C4722" s="100"/>
    </row>
    <row r="4723" spans="3:3">
      <c r="C4723" s="100"/>
    </row>
    <row r="4724" spans="3:3">
      <c r="C4724" s="100"/>
    </row>
    <row r="4725" spans="3:3">
      <c r="C4725" s="100"/>
    </row>
    <row r="4726" spans="3:3">
      <c r="C4726" s="100"/>
    </row>
    <row r="4727" spans="3:3">
      <c r="C4727" s="100"/>
    </row>
    <row r="4728" spans="3:3">
      <c r="C4728" s="100"/>
    </row>
    <row r="4729" spans="3:3">
      <c r="C4729" s="100"/>
    </row>
    <row r="4730" spans="3:3">
      <c r="C4730" s="100"/>
    </row>
    <row r="4731" spans="3:3">
      <c r="C4731" s="100"/>
    </row>
    <row r="4732" spans="3:3">
      <c r="C4732" s="100"/>
    </row>
    <row r="4733" spans="3:3">
      <c r="C4733" s="100"/>
    </row>
    <row r="4734" spans="3:3">
      <c r="C4734" s="100"/>
    </row>
    <row r="4735" spans="3:3">
      <c r="C4735" s="100"/>
    </row>
    <row r="4736" spans="3:3">
      <c r="C4736" s="100"/>
    </row>
    <row r="4737" spans="3:3">
      <c r="C4737" s="100"/>
    </row>
    <row r="4738" spans="3:3">
      <c r="C4738" s="100"/>
    </row>
    <row r="4739" spans="3:3">
      <c r="C4739" s="100"/>
    </row>
    <row r="4740" spans="3:3">
      <c r="C4740" s="100"/>
    </row>
    <row r="4741" spans="3:3">
      <c r="C4741" s="100"/>
    </row>
    <row r="4742" spans="3:3">
      <c r="C4742" s="100"/>
    </row>
    <row r="4743" spans="3:3">
      <c r="C4743" s="100"/>
    </row>
    <row r="4744" spans="3:3">
      <c r="C4744" s="100"/>
    </row>
    <row r="4745" spans="3:3">
      <c r="C4745" s="100"/>
    </row>
    <row r="4746" spans="3:3">
      <c r="C4746" s="100"/>
    </row>
    <row r="4747" spans="3:3">
      <c r="C4747" s="100"/>
    </row>
    <row r="4748" spans="3:3">
      <c r="C4748" s="100"/>
    </row>
    <row r="4749" spans="3:3">
      <c r="C4749" s="100"/>
    </row>
    <row r="4750" spans="3:3">
      <c r="C4750" s="100"/>
    </row>
    <row r="4751" spans="3:3">
      <c r="C4751" s="100"/>
    </row>
    <row r="4752" spans="3:3">
      <c r="C4752" s="100"/>
    </row>
    <row r="4753" spans="3:3">
      <c r="C4753" s="100"/>
    </row>
    <row r="4754" spans="3:3">
      <c r="C4754" s="100"/>
    </row>
    <row r="4755" spans="3:3">
      <c r="C4755" s="100"/>
    </row>
    <row r="4756" spans="3:3">
      <c r="C4756" s="100"/>
    </row>
    <row r="4757" spans="3:3">
      <c r="C4757" s="100"/>
    </row>
    <row r="4758" spans="3:3">
      <c r="C4758" s="100"/>
    </row>
    <row r="4759" spans="3:3">
      <c r="C4759" s="100"/>
    </row>
    <row r="4760" spans="3:3">
      <c r="C4760" s="100"/>
    </row>
    <row r="4761" spans="3:3">
      <c r="C4761" s="100"/>
    </row>
    <row r="4762" spans="3:3">
      <c r="C4762" s="100"/>
    </row>
    <row r="4763" spans="3:3">
      <c r="C4763" s="100"/>
    </row>
    <row r="4764" spans="3:3">
      <c r="C4764" s="100"/>
    </row>
    <row r="4765" spans="3:3">
      <c r="C4765" s="100"/>
    </row>
    <row r="4766" spans="3:3">
      <c r="C4766" s="100"/>
    </row>
    <row r="4767" spans="3:3">
      <c r="C4767" s="100"/>
    </row>
    <row r="4768" spans="3:3">
      <c r="C4768" s="100"/>
    </row>
    <row r="4769" spans="3:3">
      <c r="C4769" s="100"/>
    </row>
    <row r="4770" spans="3:3">
      <c r="C4770" s="100"/>
    </row>
    <row r="4771" spans="3:3">
      <c r="C4771" s="100"/>
    </row>
    <row r="4772" spans="3:3">
      <c r="C4772" s="100"/>
    </row>
    <row r="4773" spans="3:3">
      <c r="C4773" s="100"/>
    </row>
    <row r="4774" spans="3:3">
      <c r="C4774" s="100"/>
    </row>
    <row r="4775" spans="3:3">
      <c r="C4775" s="100"/>
    </row>
    <row r="4776" spans="3:3">
      <c r="C4776" s="100"/>
    </row>
    <row r="4777" spans="3:3">
      <c r="C4777" s="100"/>
    </row>
    <row r="4778" spans="3:3">
      <c r="C4778" s="100"/>
    </row>
    <row r="4779" spans="3:3">
      <c r="C4779" s="100"/>
    </row>
    <row r="4780" spans="3:3">
      <c r="C4780" s="100"/>
    </row>
    <row r="4781" spans="3:3">
      <c r="C4781" s="100"/>
    </row>
    <row r="4782" spans="3:3">
      <c r="C4782" s="100"/>
    </row>
    <row r="4783" spans="3:3">
      <c r="C4783" s="100"/>
    </row>
    <row r="4784" spans="3:3">
      <c r="C4784" s="100"/>
    </row>
    <row r="4785" spans="3:3">
      <c r="C4785" s="100"/>
    </row>
    <row r="4786" spans="3:3">
      <c r="C4786" s="100"/>
    </row>
    <row r="4787" spans="3:3">
      <c r="C4787" s="100"/>
    </row>
    <row r="4788" spans="3:3">
      <c r="C4788" s="100"/>
    </row>
    <row r="4789" spans="3:3">
      <c r="C4789" s="100"/>
    </row>
    <row r="4790" spans="3:3">
      <c r="C4790" s="100"/>
    </row>
    <row r="4791" spans="3:3">
      <c r="C4791" s="100"/>
    </row>
    <row r="4792" spans="3:3">
      <c r="C4792" s="100"/>
    </row>
    <row r="4793" spans="3:3">
      <c r="C4793" s="100"/>
    </row>
    <row r="4794" spans="3:3">
      <c r="C4794" s="100"/>
    </row>
    <row r="4795" spans="3:3">
      <c r="C4795" s="100"/>
    </row>
    <row r="4796" spans="3:3">
      <c r="C4796" s="100"/>
    </row>
    <row r="4797" spans="3:3">
      <c r="C4797" s="100"/>
    </row>
    <row r="4798" spans="3:3">
      <c r="C4798" s="100"/>
    </row>
    <row r="4799" spans="3:3">
      <c r="C4799" s="100"/>
    </row>
    <row r="4800" spans="3:3">
      <c r="C4800" s="100"/>
    </row>
    <row r="4801" spans="3:3">
      <c r="C4801" s="100"/>
    </row>
    <row r="4802" spans="3:3">
      <c r="C4802" s="100"/>
    </row>
    <row r="4803" spans="3:3">
      <c r="C4803" s="100"/>
    </row>
    <row r="4804" spans="3:3">
      <c r="C4804" s="100"/>
    </row>
    <row r="4805" spans="3:3">
      <c r="C4805" s="100"/>
    </row>
    <row r="4806" spans="3:3">
      <c r="C4806" s="100"/>
    </row>
    <row r="4807" spans="3:3">
      <c r="C4807" s="100"/>
    </row>
    <row r="4808" spans="3:3">
      <c r="C4808" s="100"/>
    </row>
    <row r="4809" spans="3:3">
      <c r="C4809" s="100"/>
    </row>
    <row r="4810" spans="3:3">
      <c r="C4810" s="100"/>
    </row>
    <row r="4811" spans="3:3">
      <c r="C4811" s="100"/>
    </row>
    <row r="4812" spans="3:3">
      <c r="C4812" s="100"/>
    </row>
    <row r="4813" spans="3:3">
      <c r="C4813" s="100"/>
    </row>
    <row r="4814" spans="3:3">
      <c r="C4814" s="100"/>
    </row>
    <row r="4815" spans="3:3">
      <c r="C4815" s="100"/>
    </row>
    <row r="4816" spans="3:3">
      <c r="C4816" s="100"/>
    </row>
    <row r="4817" spans="3:3">
      <c r="C4817" s="100"/>
    </row>
    <row r="4818" spans="3:3">
      <c r="C4818" s="100"/>
    </row>
    <row r="4819" spans="3:3">
      <c r="C4819" s="100"/>
    </row>
    <row r="4820" spans="3:3">
      <c r="C4820" s="100"/>
    </row>
    <row r="4821" spans="3:3">
      <c r="C4821" s="100"/>
    </row>
    <row r="4822" spans="3:3">
      <c r="C4822" s="100"/>
    </row>
    <row r="4823" spans="3:3">
      <c r="C4823" s="100"/>
    </row>
    <row r="4824" spans="3:3">
      <c r="C4824" s="100"/>
    </row>
    <row r="4825" spans="3:3">
      <c r="C4825" s="100"/>
    </row>
    <row r="4826" spans="3:3">
      <c r="C4826" s="100"/>
    </row>
    <row r="4827" spans="3:3">
      <c r="C4827" s="100"/>
    </row>
    <row r="4828" spans="3:3">
      <c r="C4828" s="100"/>
    </row>
    <row r="4829" spans="3:3">
      <c r="C4829" s="100"/>
    </row>
    <row r="4830" spans="3:3">
      <c r="C4830" s="100"/>
    </row>
    <row r="4831" spans="3:3">
      <c r="C4831" s="100"/>
    </row>
    <row r="4832" spans="3:3">
      <c r="C4832" s="100"/>
    </row>
    <row r="4833" spans="3:3">
      <c r="C4833" s="100"/>
    </row>
    <row r="4834" spans="3:3">
      <c r="C4834" s="100"/>
    </row>
    <row r="4835" spans="3:3">
      <c r="C4835" s="100"/>
    </row>
    <row r="4836" spans="3:3">
      <c r="C4836" s="100"/>
    </row>
    <row r="4837" spans="3:3">
      <c r="C4837" s="100"/>
    </row>
    <row r="4838" spans="3:3">
      <c r="C4838" s="100"/>
    </row>
    <row r="4839" spans="3:3">
      <c r="C4839" s="100"/>
    </row>
    <row r="4840" spans="3:3">
      <c r="C4840" s="100"/>
    </row>
    <row r="4841" spans="3:3">
      <c r="C4841" s="100"/>
    </row>
    <row r="4842" spans="3:3">
      <c r="C4842" s="100"/>
    </row>
    <row r="4843" spans="3:3">
      <c r="C4843" s="100"/>
    </row>
    <row r="4844" spans="3:3">
      <c r="C4844" s="100"/>
    </row>
    <row r="4845" spans="3:3">
      <c r="C4845" s="100"/>
    </row>
    <row r="4846" spans="3:3">
      <c r="C4846" s="100"/>
    </row>
    <row r="4847" spans="3:3">
      <c r="C4847" s="100"/>
    </row>
    <row r="4848" spans="3:3">
      <c r="C4848" s="100"/>
    </row>
    <row r="4849" spans="3:3">
      <c r="C4849" s="100"/>
    </row>
    <row r="4850" spans="3:3">
      <c r="C4850" s="100"/>
    </row>
    <row r="4851" spans="3:3">
      <c r="C4851" s="100"/>
    </row>
    <row r="4852" spans="3:3">
      <c r="C4852" s="100"/>
    </row>
    <row r="4853" spans="3:3">
      <c r="C4853" s="100"/>
    </row>
    <row r="4854" spans="3:3">
      <c r="C4854" s="100"/>
    </row>
    <row r="4855" spans="3:3">
      <c r="C4855" s="100"/>
    </row>
    <row r="4856" spans="3:3">
      <c r="C4856" s="100"/>
    </row>
    <row r="4857" spans="3:3">
      <c r="C4857" s="100"/>
    </row>
    <row r="4858" spans="3:3">
      <c r="C4858" s="100"/>
    </row>
    <row r="4859" spans="3:3">
      <c r="C4859" s="100"/>
    </row>
    <row r="4860" spans="3:3">
      <c r="C4860" s="100"/>
    </row>
    <row r="4861" spans="3:3">
      <c r="C4861" s="100"/>
    </row>
    <row r="4862" spans="3:3">
      <c r="C4862" s="100"/>
    </row>
    <row r="4863" spans="3:3">
      <c r="C4863" s="100"/>
    </row>
    <row r="4864" spans="3:3">
      <c r="C4864" s="100"/>
    </row>
    <row r="4865" spans="3:3">
      <c r="C4865" s="100"/>
    </row>
    <row r="4866" spans="3:3">
      <c r="C4866" s="100"/>
    </row>
    <row r="4867" spans="3:3">
      <c r="C4867" s="100"/>
    </row>
    <row r="4868" spans="3:3">
      <c r="C4868" s="100"/>
    </row>
    <row r="4869" spans="3:3">
      <c r="C4869" s="100"/>
    </row>
    <row r="4870" spans="3:3">
      <c r="C4870" s="100"/>
    </row>
    <row r="4871" spans="3:3">
      <c r="C4871" s="100"/>
    </row>
    <row r="4872" spans="3:3">
      <c r="C4872" s="100"/>
    </row>
    <row r="4873" spans="3:3">
      <c r="C4873" s="100"/>
    </row>
    <row r="4874" spans="3:3">
      <c r="C4874" s="100"/>
    </row>
    <row r="4875" spans="3:3">
      <c r="C4875" s="100"/>
    </row>
    <row r="4876" spans="3:3">
      <c r="C4876" s="100"/>
    </row>
    <row r="4877" spans="3:3">
      <c r="C4877" s="100"/>
    </row>
    <row r="4878" spans="3:3">
      <c r="C4878" s="100"/>
    </row>
    <row r="4879" spans="3:3">
      <c r="C4879" s="100"/>
    </row>
    <row r="4880" spans="3:3">
      <c r="C4880" s="100"/>
    </row>
    <row r="4881" spans="3:3">
      <c r="C4881" s="100"/>
    </row>
    <row r="4882" spans="3:3">
      <c r="C4882" s="100"/>
    </row>
    <row r="4883" spans="3:3">
      <c r="C4883" s="100"/>
    </row>
    <row r="4884" spans="3:3">
      <c r="C4884" s="100"/>
    </row>
    <row r="4885" spans="3:3">
      <c r="C4885" s="100"/>
    </row>
    <row r="4886" spans="3:3">
      <c r="C4886" s="100"/>
    </row>
    <row r="4887" spans="3:3">
      <c r="C4887" s="100"/>
    </row>
    <row r="4888" spans="3:3">
      <c r="C4888" s="100"/>
    </row>
    <row r="4889" spans="3:3">
      <c r="C4889" s="100"/>
    </row>
    <row r="4890" spans="3:3">
      <c r="C4890" s="100"/>
    </row>
    <row r="4891" spans="3:3">
      <c r="C4891" s="100"/>
    </row>
    <row r="4892" spans="3:3">
      <c r="C4892" s="100"/>
    </row>
    <row r="4893" spans="3:3">
      <c r="C4893" s="100"/>
    </row>
    <row r="4894" spans="3:3">
      <c r="C4894" s="100"/>
    </row>
    <row r="4895" spans="3:3">
      <c r="C4895" s="100"/>
    </row>
    <row r="4896" spans="3:3">
      <c r="C4896" s="100"/>
    </row>
    <row r="4897" spans="3:3">
      <c r="C4897" s="100"/>
    </row>
    <row r="4898" spans="3:3">
      <c r="C4898" s="100"/>
    </row>
    <row r="4899" spans="3:3">
      <c r="C4899" s="100"/>
    </row>
    <row r="4900" spans="3:3">
      <c r="C4900" s="100"/>
    </row>
    <row r="4901" spans="3:3">
      <c r="C4901" s="100"/>
    </row>
    <row r="4902" spans="3:3">
      <c r="C4902" s="100"/>
    </row>
    <row r="4903" spans="3:3">
      <c r="C4903" s="100"/>
    </row>
    <row r="4904" spans="3:3">
      <c r="C4904" s="100"/>
    </row>
    <row r="4905" spans="3:3">
      <c r="C4905" s="100"/>
    </row>
    <row r="4906" spans="3:3">
      <c r="C4906" s="100"/>
    </row>
    <row r="4907" spans="3:3">
      <c r="C4907" s="100"/>
    </row>
    <row r="4908" spans="3:3">
      <c r="C4908" s="100"/>
    </row>
    <row r="4909" spans="3:3">
      <c r="C4909" s="100"/>
    </row>
    <row r="4910" spans="3:3">
      <c r="C4910" s="100"/>
    </row>
    <row r="4911" spans="3:3">
      <c r="C4911" s="100"/>
    </row>
    <row r="4912" spans="3:3">
      <c r="C4912" s="100"/>
    </row>
    <row r="4913" spans="3:3">
      <c r="C4913" s="100"/>
    </row>
    <row r="4914" spans="3:3">
      <c r="C4914" s="100"/>
    </row>
    <row r="4915" spans="3:3">
      <c r="C4915" s="100"/>
    </row>
    <row r="4916" spans="3:3">
      <c r="C4916" s="100"/>
    </row>
    <row r="4917" spans="3:3">
      <c r="C4917" s="100"/>
    </row>
    <row r="4918" spans="3:3">
      <c r="C4918" s="100"/>
    </row>
    <row r="4919" spans="3:3">
      <c r="C4919" s="100"/>
    </row>
    <row r="4920" spans="3:3">
      <c r="C4920" s="100"/>
    </row>
    <row r="4921" spans="3:3">
      <c r="C4921" s="100"/>
    </row>
    <row r="4922" spans="3:3">
      <c r="C4922" s="100"/>
    </row>
    <row r="4923" spans="3:3">
      <c r="C4923" s="100"/>
    </row>
    <row r="4924" spans="3:3">
      <c r="C4924" s="100"/>
    </row>
    <row r="4925" spans="3:3">
      <c r="C4925" s="100"/>
    </row>
    <row r="4926" spans="3:3">
      <c r="C4926" s="100"/>
    </row>
    <row r="4927" spans="3:3">
      <c r="C4927" s="100"/>
    </row>
    <row r="4928" spans="3:3">
      <c r="C4928" s="100"/>
    </row>
    <row r="4929" spans="3:3">
      <c r="C4929" s="100"/>
    </row>
    <row r="4930" spans="3:3">
      <c r="C4930" s="100"/>
    </row>
    <row r="4931" spans="3:3">
      <c r="C4931" s="100"/>
    </row>
    <row r="4932" spans="3:3">
      <c r="C4932" s="100"/>
    </row>
    <row r="4933" spans="3:3">
      <c r="C4933" s="100"/>
    </row>
    <row r="4934" spans="3:3">
      <c r="C4934" s="100"/>
    </row>
    <row r="4935" spans="3:3">
      <c r="C4935" s="100"/>
    </row>
    <row r="4936" spans="3:3">
      <c r="C4936" s="100"/>
    </row>
    <row r="4937" spans="3:3">
      <c r="C4937" s="100"/>
    </row>
    <row r="4938" spans="3:3">
      <c r="C4938" s="100"/>
    </row>
    <row r="4939" spans="3:3">
      <c r="C4939" s="100"/>
    </row>
    <row r="4940" spans="3:3">
      <c r="C4940" s="100"/>
    </row>
    <row r="4941" spans="3:3">
      <c r="C4941" s="100"/>
    </row>
    <row r="4942" spans="3:3">
      <c r="C4942" s="100"/>
    </row>
    <row r="4943" spans="3:3">
      <c r="C4943" s="100"/>
    </row>
    <row r="4944" spans="3:3">
      <c r="C4944" s="100"/>
    </row>
    <row r="4945" spans="3:3">
      <c r="C4945" s="100"/>
    </row>
    <row r="4946" spans="3:3">
      <c r="C4946" s="100"/>
    </row>
    <row r="4947" spans="3:3">
      <c r="C4947" s="100"/>
    </row>
    <row r="4948" spans="3:3">
      <c r="C4948" s="100"/>
    </row>
    <row r="4949" spans="3:3">
      <c r="C4949" s="100"/>
    </row>
    <row r="4950" spans="3:3">
      <c r="C4950" s="100"/>
    </row>
    <row r="4951" spans="3:3">
      <c r="C4951" s="100"/>
    </row>
    <row r="4952" spans="3:3">
      <c r="C4952" s="100"/>
    </row>
    <row r="4953" spans="3:3">
      <c r="C4953" s="100"/>
    </row>
    <row r="4954" spans="3:3">
      <c r="C4954" s="100"/>
    </row>
    <row r="4955" spans="3:3">
      <c r="C4955" s="100"/>
    </row>
    <row r="4956" spans="3:3">
      <c r="C4956" s="100"/>
    </row>
    <row r="4957" spans="3:3">
      <c r="C4957" s="100"/>
    </row>
    <row r="4958" spans="3:3">
      <c r="C4958" s="100"/>
    </row>
    <row r="4959" spans="3:3">
      <c r="C4959" s="100"/>
    </row>
    <row r="4960" spans="3:3">
      <c r="C4960" s="100"/>
    </row>
    <row r="4961" spans="3:3">
      <c r="C4961" s="100"/>
    </row>
    <row r="4962" spans="3:3">
      <c r="C4962" s="100"/>
    </row>
    <row r="4963" spans="3:3">
      <c r="C4963" s="100"/>
    </row>
    <row r="4964" spans="3:3">
      <c r="C4964" s="100"/>
    </row>
    <row r="4965" spans="3:3">
      <c r="C4965" s="100"/>
    </row>
    <row r="4966" spans="3:3">
      <c r="C4966" s="100"/>
    </row>
    <row r="4967" spans="3:3">
      <c r="C4967" s="100"/>
    </row>
    <row r="4968" spans="3:3">
      <c r="C4968" s="100"/>
    </row>
    <row r="4969" spans="3:3">
      <c r="C4969" s="100"/>
    </row>
    <row r="4970" spans="3:3">
      <c r="C4970" s="100"/>
    </row>
    <row r="4971" spans="3:3">
      <c r="C4971" s="100"/>
    </row>
    <row r="4972" spans="3:3">
      <c r="C4972" s="100"/>
    </row>
    <row r="4973" spans="3:3">
      <c r="C4973" s="100"/>
    </row>
    <row r="4974" spans="3:3">
      <c r="C4974" s="100"/>
    </row>
    <row r="4975" spans="3:3">
      <c r="C4975" s="100"/>
    </row>
    <row r="4976" spans="3:3">
      <c r="C4976" s="100"/>
    </row>
    <row r="4977" spans="3:3">
      <c r="C4977" s="100"/>
    </row>
    <row r="4978" spans="3:3">
      <c r="C4978" s="100"/>
    </row>
    <row r="4979" spans="3:3">
      <c r="C4979" s="100"/>
    </row>
    <row r="4980" spans="3:3">
      <c r="C4980" s="100"/>
    </row>
    <row r="4981" spans="3:3">
      <c r="C4981" s="100"/>
    </row>
    <row r="4982" spans="3:3">
      <c r="C4982" s="100"/>
    </row>
    <row r="4983" spans="3:3">
      <c r="C4983" s="100"/>
    </row>
    <row r="4984" spans="3:3">
      <c r="C4984" s="100"/>
    </row>
    <row r="4985" spans="3:3">
      <c r="C4985" s="100"/>
    </row>
    <row r="4986" spans="3:3">
      <c r="C4986" s="100"/>
    </row>
    <row r="4987" spans="3:3">
      <c r="C4987" s="100"/>
    </row>
    <row r="4988" spans="3:3">
      <c r="C4988" s="100"/>
    </row>
    <row r="4989" spans="3:3">
      <c r="C4989" s="100"/>
    </row>
    <row r="4990" spans="3:3">
      <c r="C4990" s="100"/>
    </row>
    <row r="4991" spans="3:3">
      <c r="C4991" s="100"/>
    </row>
    <row r="4992" spans="3:3">
      <c r="C4992" s="100"/>
    </row>
    <row r="4993" spans="3:3">
      <c r="C4993" s="100"/>
    </row>
    <row r="4994" spans="3:3">
      <c r="C4994" s="100"/>
    </row>
    <row r="4995" spans="3:3">
      <c r="C4995" s="100"/>
    </row>
    <row r="4996" spans="3:3">
      <c r="C4996" s="100"/>
    </row>
    <row r="4997" spans="3:3">
      <c r="C4997" s="100"/>
    </row>
    <row r="4998" spans="3:3">
      <c r="C4998" s="100"/>
    </row>
    <row r="4999" spans="3:3">
      <c r="C4999" s="100"/>
    </row>
    <row r="5000" spans="3:3">
      <c r="C5000" s="100"/>
    </row>
    <row r="5001" spans="3:3">
      <c r="C5001" s="100"/>
    </row>
    <row r="5002" spans="3:3">
      <c r="C5002" s="100"/>
    </row>
    <row r="5003" spans="3:3">
      <c r="C5003" s="100"/>
    </row>
    <row r="5004" spans="3:3">
      <c r="C5004" s="100"/>
    </row>
    <row r="5005" spans="3:3">
      <c r="C5005" s="100"/>
    </row>
    <row r="5006" spans="3:3">
      <c r="C5006" s="100"/>
    </row>
    <row r="5007" spans="3:3">
      <c r="C5007" s="100"/>
    </row>
    <row r="5008" spans="3:3">
      <c r="C5008" s="100"/>
    </row>
    <row r="5009" spans="3:3">
      <c r="C5009" s="100"/>
    </row>
    <row r="5010" spans="3:3">
      <c r="C5010" s="100"/>
    </row>
    <row r="5011" spans="3:3">
      <c r="C5011" s="100"/>
    </row>
    <row r="5012" spans="3:3">
      <c r="C5012" s="100"/>
    </row>
  </sheetData>
  <mergeCells count="61">
    <mergeCell ref="R76:S76"/>
    <mergeCell ref="R77:S77"/>
    <mergeCell ref="R79:S79"/>
    <mergeCell ref="R80:S80"/>
    <mergeCell ref="R81:S81"/>
    <mergeCell ref="R68:S68"/>
    <mergeCell ref="R69:S69"/>
    <mergeCell ref="R70:S70"/>
    <mergeCell ref="R72:S72"/>
    <mergeCell ref="R75:S75"/>
    <mergeCell ref="B2:B3"/>
    <mergeCell ref="C2:D3"/>
    <mergeCell ref="C6:D7"/>
    <mergeCell ref="B6:B7"/>
    <mergeCell ref="E11:E12"/>
    <mergeCell ref="D4:D5"/>
    <mergeCell ref="B4:B5"/>
    <mergeCell ref="G11:I11"/>
    <mergeCell ref="G12:I12"/>
    <mergeCell ref="M10:N10"/>
    <mergeCell ref="G13:L14"/>
    <mergeCell ref="D14:F14"/>
    <mergeCell ref="M11:N11"/>
    <mergeCell ref="M12:N12"/>
    <mergeCell ref="D15:D17"/>
    <mergeCell ref="E15:E17"/>
    <mergeCell ref="F15:F17"/>
    <mergeCell ref="G15:L16"/>
    <mergeCell ref="G17:L18"/>
    <mergeCell ref="B61:F65"/>
    <mergeCell ref="H89:L89"/>
    <mergeCell ref="G39:L40"/>
    <mergeCell ref="R66:S66"/>
    <mergeCell ref="R73:S73"/>
    <mergeCell ref="R82:S82"/>
    <mergeCell ref="G83:G86"/>
    <mergeCell ref="H43:L43"/>
    <mergeCell ref="B58:C58"/>
    <mergeCell ref="D58:P58"/>
    <mergeCell ref="B59:C59"/>
    <mergeCell ref="D59:P59"/>
    <mergeCell ref="R74:S74"/>
    <mergeCell ref="R78:S78"/>
    <mergeCell ref="R71:S71"/>
    <mergeCell ref="R67:S67"/>
    <mergeCell ref="B104:C104"/>
    <mergeCell ref="B105:C105"/>
    <mergeCell ref="F10:F13"/>
    <mergeCell ref="D104:P104"/>
    <mergeCell ref="D105:P105"/>
    <mergeCell ref="B11:C12"/>
    <mergeCell ref="B10:C10"/>
    <mergeCell ref="B13:C13"/>
    <mergeCell ref="B15:B17"/>
    <mergeCell ref="C15:C17"/>
    <mergeCell ref="G10:I10"/>
    <mergeCell ref="L10:L12"/>
    <mergeCell ref="D11:D12"/>
    <mergeCell ref="M61:Q86"/>
    <mergeCell ref="G61:L65"/>
    <mergeCell ref="M17:R40"/>
  </mergeCells>
  <conditionalFormatting sqref="K7:N7">
    <cfRule type="expression" dxfId="22" priority="65">
      <formula>#REF!=4</formula>
    </cfRule>
  </conditionalFormatting>
  <conditionalFormatting sqref="K7">
    <cfRule type="expression" dxfId="21" priority="66">
      <formula>#REF!=2</formula>
    </cfRule>
  </conditionalFormatting>
  <conditionalFormatting sqref="A89:A139 A41 A61:A62">
    <cfRule type="colorScale" priority="55">
      <colorScale>
        <cfvo type="num" val="0"/>
        <cfvo type="num" val="80"/>
        <color rgb="FFFF0000"/>
        <color theme="0"/>
      </colorScale>
    </cfRule>
  </conditionalFormatting>
  <conditionalFormatting sqref="F18">
    <cfRule type="colorScale" priority="53">
      <colorScale>
        <cfvo type="num" val="0"/>
        <cfvo type="num" val="80"/>
        <color rgb="FFFF0000"/>
        <color theme="0"/>
      </colorScale>
    </cfRule>
  </conditionalFormatting>
  <conditionalFormatting sqref="F23:F24">
    <cfRule type="colorScale" priority="52">
      <colorScale>
        <cfvo type="num" val="120"/>
        <cfvo type="num" val="200"/>
        <color theme="0"/>
        <color rgb="FFFF0000"/>
      </colorScale>
    </cfRule>
  </conditionalFormatting>
  <conditionalFormatting sqref="E18">
    <cfRule type="colorScale" priority="48">
      <colorScale>
        <cfvo type="num" val="0"/>
        <cfvo type="num" val="80"/>
        <color rgb="FFFF0000"/>
        <color theme="0"/>
      </colorScale>
    </cfRule>
  </conditionalFormatting>
  <conditionalFormatting sqref="E23:E24">
    <cfRule type="colorScale" priority="46">
      <colorScale>
        <cfvo type="num" val="120"/>
        <cfvo type="num" val="200"/>
        <color theme="0"/>
        <color rgb="FFFF0000"/>
      </colorScale>
    </cfRule>
  </conditionalFormatting>
  <conditionalFormatting sqref="B15 D15:F17">
    <cfRule type="expression" dxfId="20" priority="36">
      <formula>OR($AF$33=10,$AF$33=15,$AF$33=20,$AF$33=25,$AF$33=30)</formula>
    </cfRule>
    <cfRule type="expression" dxfId="19" priority="37">
      <formula>OR($AF$33=9,$AF$33=14,$AF$33=19,$AF$33=24,$AF$33=29)</formula>
    </cfRule>
    <cfRule type="expression" dxfId="18" priority="38">
      <formula>OR($AF$33=8,$AF$33=13,$AF$33=18,$AF$33=23,$AF$33=28)</formula>
    </cfRule>
    <cfRule type="expression" dxfId="17" priority="39">
      <formula>OR($AF$33=7,$AF$33=12,$AF$33=17,$AF$33=22,$AF$33=27)</formula>
    </cfRule>
    <cfRule type="expression" dxfId="16" priority="40">
      <formula>OR($AF$33=6,$AF$33=11,$AF$33=16,$AF$33=21,$AF$33=26)</formula>
    </cfRule>
    <cfRule type="expression" dxfId="15" priority="41">
      <formula>$AF$33=5</formula>
    </cfRule>
    <cfRule type="expression" dxfId="14" priority="42">
      <formula>$AF$33=4</formula>
    </cfRule>
    <cfRule type="expression" dxfId="13" priority="43">
      <formula>$AF$33=3</formula>
    </cfRule>
    <cfRule type="expression" dxfId="12" priority="44">
      <formula>$AF$33=2</formula>
    </cfRule>
    <cfRule type="expression" dxfId="11" priority="45">
      <formula>$AF$33=1</formula>
    </cfRule>
  </conditionalFormatting>
  <conditionalFormatting sqref="C89:C103 C41 C106:C139">
    <cfRule type="colorScale" priority="24">
      <colorScale>
        <cfvo type="num" val="0"/>
        <cfvo type="num" val="80"/>
        <color rgb="FFFF0000"/>
        <color theme="0"/>
      </colorScale>
    </cfRule>
  </conditionalFormatting>
  <conditionalFormatting sqref="C15">
    <cfRule type="expression" dxfId="10" priority="11">
      <formula>OR($AF$33=10,$AF$33=15,$AF$33=20,$AF$33=25,$AF$33=30)</formula>
    </cfRule>
    <cfRule type="expression" dxfId="9" priority="12">
      <formula>OR($AF$33=9,$AF$33=14,$AF$33=19,$AF$33=24,$AF$33=29)</formula>
    </cfRule>
    <cfRule type="expression" dxfId="8" priority="13">
      <formula>OR($AF$33=8,$AF$33=13,$AF$33=18,$AF$33=23,$AF$33=28)</formula>
    </cfRule>
    <cfRule type="expression" dxfId="7" priority="14">
      <formula>OR($AF$33=7,$AF$33=12,$AF$33=17,$AF$33=22,$AF$33=27)</formula>
    </cfRule>
    <cfRule type="expression" dxfId="6" priority="15">
      <formula>OR($AF$33=6,$AF$33=11,$AF$33=16,$AF$33=21,$AF$33=26)</formula>
    </cfRule>
    <cfRule type="expression" dxfId="5" priority="16">
      <formula>$AF$33=5</formula>
    </cfRule>
    <cfRule type="expression" dxfId="4" priority="17">
      <formula>$AF$33=4</formula>
    </cfRule>
    <cfRule type="expression" dxfId="3" priority="18">
      <formula>$AF$33=3</formula>
    </cfRule>
    <cfRule type="expression" dxfId="2" priority="19">
      <formula>$AF$33=2</formula>
    </cfRule>
    <cfRule type="expression" dxfId="1" priority="20">
      <formula>$AF$33=1</formula>
    </cfRule>
  </conditionalFormatting>
  <conditionalFormatting sqref="F19:F22">
    <cfRule type="colorScale" priority="6">
      <colorScale>
        <cfvo type="num" val="0"/>
        <cfvo type="num" val="80"/>
        <color rgb="FFFF0000"/>
        <color theme="0"/>
      </colorScale>
    </cfRule>
  </conditionalFormatting>
  <conditionalFormatting sqref="E19:E22">
    <cfRule type="colorScale" priority="5">
      <colorScale>
        <cfvo type="num" val="0"/>
        <cfvo type="num" val="80"/>
        <color rgb="FFFF0000"/>
        <color theme="0"/>
      </colorScale>
    </cfRule>
  </conditionalFormatting>
  <conditionalFormatting sqref="F25:F40">
    <cfRule type="colorScale" priority="4">
      <colorScale>
        <cfvo type="num" val="0"/>
        <cfvo type="num" val="80"/>
        <color rgb="FFFF0000"/>
        <color theme="0"/>
      </colorScale>
    </cfRule>
  </conditionalFormatting>
  <conditionalFormatting sqref="E25:E40">
    <cfRule type="colorScale" priority="3">
      <colorScale>
        <cfvo type="num" val="0"/>
        <cfvo type="num" val="80"/>
        <color rgb="FFFF0000"/>
        <color theme="0"/>
      </colorScale>
    </cfRule>
  </conditionalFormatting>
  <conditionalFormatting sqref="A43:A60">
    <cfRule type="colorScale" priority="2">
      <colorScale>
        <cfvo type="num" val="0"/>
        <cfvo type="num" val="80"/>
        <color rgb="FFFF0000"/>
        <color theme="0"/>
      </colorScale>
    </cfRule>
  </conditionalFormatting>
  <conditionalFormatting sqref="C43:C57 C60">
    <cfRule type="colorScale" priority="1">
      <colorScale>
        <cfvo type="num" val="0"/>
        <cfvo type="num" val="80"/>
        <color rgb="FFFF0000"/>
        <color theme="0"/>
      </colorScale>
    </cfRule>
  </conditionalFormatting>
  <dataValidations count="2">
    <dataValidation type="list" allowBlank="1" showInputMessage="1" showErrorMessage="1" sqref="C2:D3" xr:uid="{C9C830AB-1E97-5445-9A51-1E6C34A4E1E0}">
      <formula1>$Z$10:$Z$11</formula1>
    </dataValidation>
    <dataValidation type="list" allowBlank="1" showInputMessage="1" showErrorMessage="1" sqref="C6:D7" xr:uid="{C3F2BB16-EF74-BD40-8725-B584819E84F6}">
      <formula1>$Z$12:$Z$13</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6081" r:id="rId3" name="Option Button 1">
              <controlPr locked="0" defaultSize="0" autoFill="0" autoLine="0" autoPict="0">
                <anchor moveWithCells="1">
                  <from>
                    <xdr:col>4</xdr:col>
                    <xdr:colOff>114300</xdr:colOff>
                    <xdr:row>2</xdr:row>
                    <xdr:rowOff>0</xdr:rowOff>
                  </from>
                  <to>
                    <xdr:col>4</xdr:col>
                    <xdr:colOff>1193800</xdr:colOff>
                    <xdr:row>3</xdr:row>
                    <xdr:rowOff>12700</xdr:rowOff>
                  </to>
                </anchor>
              </controlPr>
            </control>
          </mc:Choice>
        </mc:AlternateContent>
        <mc:AlternateContent xmlns:mc="http://schemas.openxmlformats.org/markup-compatibility/2006">
          <mc:Choice Requires="x14">
            <control shapeId="46082" r:id="rId4" name="Option Button 2">
              <controlPr defaultSize="0" autoFill="0" autoLine="0" autoPict="0" altText="Doručak_x000a_">
                <anchor moveWithCells="1">
                  <from>
                    <xdr:col>4</xdr:col>
                    <xdr:colOff>114300</xdr:colOff>
                    <xdr:row>3</xdr:row>
                    <xdr:rowOff>0</xdr:rowOff>
                  </from>
                  <to>
                    <xdr:col>4</xdr:col>
                    <xdr:colOff>1193800</xdr:colOff>
                    <xdr:row>4</xdr:row>
                    <xdr:rowOff>12700</xdr:rowOff>
                  </to>
                </anchor>
              </controlPr>
            </control>
          </mc:Choice>
        </mc:AlternateContent>
        <mc:AlternateContent xmlns:mc="http://schemas.openxmlformats.org/markup-compatibility/2006">
          <mc:Choice Requires="x14">
            <control shapeId="46083" r:id="rId5" name="Option Button 3">
              <controlPr defaultSize="0" autoFill="0" autoLine="0" autoPict="0" altText="Užina 1">
                <anchor moveWithCells="1">
                  <from>
                    <xdr:col>4</xdr:col>
                    <xdr:colOff>114300</xdr:colOff>
                    <xdr:row>4</xdr:row>
                    <xdr:rowOff>0</xdr:rowOff>
                  </from>
                  <to>
                    <xdr:col>4</xdr:col>
                    <xdr:colOff>1193800</xdr:colOff>
                    <xdr:row>4</xdr:row>
                    <xdr:rowOff>241300</xdr:rowOff>
                  </to>
                </anchor>
              </controlPr>
            </control>
          </mc:Choice>
        </mc:AlternateContent>
        <mc:AlternateContent xmlns:mc="http://schemas.openxmlformats.org/markup-compatibility/2006">
          <mc:Choice Requires="x14">
            <control shapeId="46084" r:id="rId6" name="Option Button 4">
              <controlPr defaultSize="0" autoFill="0" autoLine="0" autoPict="0">
                <anchor moveWithCells="1">
                  <from>
                    <xdr:col>4</xdr:col>
                    <xdr:colOff>114300</xdr:colOff>
                    <xdr:row>4</xdr:row>
                    <xdr:rowOff>241300</xdr:rowOff>
                  </from>
                  <to>
                    <xdr:col>4</xdr:col>
                    <xdr:colOff>1193800</xdr:colOff>
                    <xdr:row>6</xdr:row>
                    <xdr:rowOff>0</xdr:rowOff>
                  </to>
                </anchor>
              </controlPr>
            </control>
          </mc:Choice>
        </mc:AlternateContent>
        <mc:AlternateContent xmlns:mc="http://schemas.openxmlformats.org/markup-compatibility/2006">
          <mc:Choice Requires="x14">
            <control shapeId="46085" r:id="rId7" name="Option Button 5">
              <controlPr defaultSize="0" autoFill="0" autoLine="0" autoPict="0">
                <anchor moveWithCells="1">
                  <from>
                    <xdr:col>4</xdr:col>
                    <xdr:colOff>114300</xdr:colOff>
                    <xdr:row>5</xdr:row>
                    <xdr:rowOff>215900</xdr:rowOff>
                  </from>
                  <to>
                    <xdr:col>4</xdr:col>
                    <xdr:colOff>1193800</xdr:colOff>
                    <xdr:row>7</xdr:row>
                    <xdr:rowOff>0</xdr:rowOff>
                  </to>
                </anchor>
              </controlPr>
            </control>
          </mc:Choice>
        </mc:AlternateContent>
        <mc:AlternateContent xmlns:mc="http://schemas.openxmlformats.org/markup-compatibility/2006">
          <mc:Choice Requires="x14">
            <control shapeId="46086" r:id="rId8" name="Option Button 6">
              <controlPr locked="0" defaultSize="0" autoFill="0" autoLine="0" autoPict="0">
                <anchor moveWithCells="1">
                  <from>
                    <xdr:col>4</xdr:col>
                    <xdr:colOff>1181100</xdr:colOff>
                    <xdr:row>2</xdr:row>
                    <xdr:rowOff>12700</xdr:rowOff>
                  </from>
                  <to>
                    <xdr:col>5</xdr:col>
                    <xdr:colOff>1130300</xdr:colOff>
                    <xdr:row>3</xdr:row>
                    <xdr:rowOff>0</xdr:rowOff>
                  </to>
                </anchor>
              </controlPr>
            </control>
          </mc:Choice>
        </mc:AlternateContent>
        <mc:AlternateContent xmlns:mc="http://schemas.openxmlformats.org/markup-compatibility/2006">
          <mc:Choice Requires="x14">
            <control shapeId="46087" r:id="rId9" name="Option Button 7">
              <controlPr defaultSize="0" autoFill="0" autoLine="0" autoPict="0" altText="Doručak_x000a_">
                <anchor moveWithCells="1">
                  <from>
                    <xdr:col>4</xdr:col>
                    <xdr:colOff>1181100</xdr:colOff>
                    <xdr:row>2</xdr:row>
                    <xdr:rowOff>190500</xdr:rowOff>
                  </from>
                  <to>
                    <xdr:col>6</xdr:col>
                    <xdr:colOff>0</xdr:colOff>
                    <xdr:row>4</xdr:row>
                    <xdr:rowOff>25400</xdr:rowOff>
                  </to>
                </anchor>
              </controlPr>
            </control>
          </mc:Choice>
        </mc:AlternateContent>
        <mc:AlternateContent xmlns:mc="http://schemas.openxmlformats.org/markup-compatibility/2006">
          <mc:Choice Requires="x14">
            <control shapeId="46088" r:id="rId10" name="Option Button 8">
              <controlPr defaultSize="0" autoFill="0" autoLine="0" autoPict="0" altText="Užina 1">
                <anchor moveWithCells="1">
                  <from>
                    <xdr:col>4</xdr:col>
                    <xdr:colOff>1181100</xdr:colOff>
                    <xdr:row>4</xdr:row>
                    <xdr:rowOff>12700</xdr:rowOff>
                  </from>
                  <to>
                    <xdr:col>6</xdr:col>
                    <xdr:colOff>38100</xdr:colOff>
                    <xdr:row>4</xdr:row>
                    <xdr:rowOff>228600</xdr:rowOff>
                  </to>
                </anchor>
              </controlPr>
            </control>
          </mc:Choice>
        </mc:AlternateContent>
        <mc:AlternateContent xmlns:mc="http://schemas.openxmlformats.org/markup-compatibility/2006">
          <mc:Choice Requires="x14">
            <control shapeId="46089" r:id="rId11" name="Option Button 9">
              <controlPr defaultSize="0" autoFill="0" autoLine="0" autoPict="0">
                <anchor moveWithCells="1">
                  <from>
                    <xdr:col>4</xdr:col>
                    <xdr:colOff>1181100</xdr:colOff>
                    <xdr:row>5</xdr:row>
                    <xdr:rowOff>0</xdr:rowOff>
                  </from>
                  <to>
                    <xdr:col>6</xdr:col>
                    <xdr:colOff>38100</xdr:colOff>
                    <xdr:row>5</xdr:row>
                    <xdr:rowOff>215900</xdr:rowOff>
                  </to>
                </anchor>
              </controlPr>
            </control>
          </mc:Choice>
        </mc:AlternateContent>
        <mc:AlternateContent xmlns:mc="http://schemas.openxmlformats.org/markup-compatibility/2006">
          <mc:Choice Requires="x14">
            <control shapeId="46090" r:id="rId12" name="Option Button 10">
              <controlPr defaultSize="0" autoFill="0" autoLine="0" autoPict="0">
                <anchor moveWithCells="1">
                  <from>
                    <xdr:col>4</xdr:col>
                    <xdr:colOff>1181100</xdr:colOff>
                    <xdr:row>6</xdr:row>
                    <xdr:rowOff>0</xdr:rowOff>
                  </from>
                  <to>
                    <xdr:col>6</xdr:col>
                    <xdr:colOff>0</xdr:colOff>
                    <xdr:row>6</xdr:row>
                    <xdr:rowOff>215900</xdr:rowOff>
                  </to>
                </anchor>
              </controlPr>
            </control>
          </mc:Choice>
        </mc:AlternateContent>
        <mc:AlternateContent xmlns:mc="http://schemas.openxmlformats.org/markup-compatibility/2006">
          <mc:Choice Requires="x14">
            <control shapeId="46091" r:id="rId13" name="Option Button 11">
              <controlPr locked="0" defaultSize="0" autoFill="0" autoLine="0" autoPict="0">
                <anchor moveWithCells="1">
                  <from>
                    <xdr:col>5</xdr:col>
                    <xdr:colOff>1143000</xdr:colOff>
                    <xdr:row>2</xdr:row>
                    <xdr:rowOff>0</xdr:rowOff>
                  </from>
                  <to>
                    <xdr:col>6</xdr:col>
                    <xdr:colOff>1130300</xdr:colOff>
                    <xdr:row>2</xdr:row>
                    <xdr:rowOff>215900</xdr:rowOff>
                  </to>
                </anchor>
              </controlPr>
            </control>
          </mc:Choice>
        </mc:AlternateContent>
        <mc:AlternateContent xmlns:mc="http://schemas.openxmlformats.org/markup-compatibility/2006">
          <mc:Choice Requires="x14">
            <control shapeId="46092" r:id="rId14" name="Option Button 12">
              <controlPr defaultSize="0" autoFill="0" autoLine="0" autoPict="0" altText="Doručak_x000a_">
                <anchor moveWithCells="1">
                  <from>
                    <xdr:col>5</xdr:col>
                    <xdr:colOff>1143000</xdr:colOff>
                    <xdr:row>3</xdr:row>
                    <xdr:rowOff>0</xdr:rowOff>
                  </from>
                  <to>
                    <xdr:col>6</xdr:col>
                    <xdr:colOff>1143000</xdr:colOff>
                    <xdr:row>3</xdr:row>
                    <xdr:rowOff>215900</xdr:rowOff>
                  </to>
                </anchor>
              </controlPr>
            </control>
          </mc:Choice>
        </mc:AlternateContent>
        <mc:AlternateContent xmlns:mc="http://schemas.openxmlformats.org/markup-compatibility/2006">
          <mc:Choice Requires="x14">
            <control shapeId="46093" r:id="rId15" name="Option Button 13">
              <controlPr defaultSize="0" autoFill="0" autoLine="0" autoPict="0" altText="Užina 1">
                <anchor moveWithCells="1">
                  <from>
                    <xdr:col>5</xdr:col>
                    <xdr:colOff>1143000</xdr:colOff>
                    <xdr:row>4</xdr:row>
                    <xdr:rowOff>12700</xdr:rowOff>
                  </from>
                  <to>
                    <xdr:col>6</xdr:col>
                    <xdr:colOff>1130300</xdr:colOff>
                    <xdr:row>4</xdr:row>
                    <xdr:rowOff>228600</xdr:rowOff>
                  </to>
                </anchor>
              </controlPr>
            </control>
          </mc:Choice>
        </mc:AlternateContent>
        <mc:AlternateContent xmlns:mc="http://schemas.openxmlformats.org/markup-compatibility/2006">
          <mc:Choice Requires="x14">
            <control shapeId="46094" r:id="rId16" name="Option Button 14">
              <controlPr defaultSize="0" autoFill="0" autoLine="0" autoPict="0">
                <anchor moveWithCells="1">
                  <from>
                    <xdr:col>5</xdr:col>
                    <xdr:colOff>1143000</xdr:colOff>
                    <xdr:row>5</xdr:row>
                    <xdr:rowOff>0</xdr:rowOff>
                  </from>
                  <to>
                    <xdr:col>6</xdr:col>
                    <xdr:colOff>1143000</xdr:colOff>
                    <xdr:row>5</xdr:row>
                    <xdr:rowOff>215900</xdr:rowOff>
                  </to>
                </anchor>
              </controlPr>
            </control>
          </mc:Choice>
        </mc:AlternateContent>
        <mc:AlternateContent xmlns:mc="http://schemas.openxmlformats.org/markup-compatibility/2006">
          <mc:Choice Requires="x14">
            <control shapeId="46095" r:id="rId17" name="Option Button 15">
              <controlPr defaultSize="0" autoFill="0" autoLine="0" autoPict="0">
                <anchor moveWithCells="1">
                  <from>
                    <xdr:col>5</xdr:col>
                    <xdr:colOff>1143000</xdr:colOff>
                    <xdr:row>6</xdr:row>
                    <xdr:rowOff>0</xdr:rowOff>
                  </from>
                  <to>
                    <xdr:col>6</xdr:col>
                    <xdr:colOff>1130300</xdr:colOff>
                    <xdr:row>6</xdr:row>
                    <xdr:rowOff>215900</xdr:rowOff>
                  </to>
                </anchor>
              </controlPr>
            </control>
          </mc:Choice>
        </mc:AlternateContent>
        <mc:AlternateContent xmlns:mc="http://schemas.openxmlformats.org/markup-compatibility/2006">
          <mc:Choice Requires="x14">
            <control shapeId="46096" r:id="rId18" name="Option Button 16">
              <controlPr locked="0" defaultSize="0" autoFill="0" autoLine="0" autoPict="0">
                <anchor moveWithCells="1">
                  <from>
                    <xdr:col>6</xdr:col>
                    <xdr:colOff>1143000</xdr:colOff>
                    <xdr:row>2</xdr:row>
                    <xdr:rowOff>0</xdr:rowOff>
                  </from>
                  <to>
                    <xdr:col>7</xdr:col>
                    <xdr:colOff>1143000</xdr:colOff>
                    <xdr:row>2</xdr:row>
                    <xdr:rowOff>215900</xdr:rowOff>
                  </to>
                </anchor>
              </controlPr>
            </control>
          </mc:Choice>
        </mc:AlternateContent>
        <mc:AlternateContent xmlns:mc="http://schemas.openxmlformats.org/markup-compatibility/2006">
          <mc:Choice Requires="x14">
            <control shapeId="46097" r:id="rId19" name="Option Button 17">
              <controlPr defaultSize="0" autoFill="0" autoLine="0" autoPict="0" altText="Doručak_x000a_">
                <anchor moveWithCells="1">
                  <from>
                    <xdr:col>6</xdr:col>
                    <xdr:colOff>1143000</xdr:colOff>
                    <xdr:row>3</xdr:row>
                    <xdr:rowOff>0</xdr:rowOff>
                  </from>
                  <to>
                    <xdr:col>7</xdr:col>
                    <xdr:colOff>1143000</xdr:colOff>
                    <xdr:row>3</xdr:row>
                    <xdr:rowOff>215900</xdr:rowOff>
                  </to>
                </anchor>
              </controlPr>
            </control>
          </mc:Choice>
        </mc:AlternateContent>
        <mc:AlternateContent xmlns:mc="http://schemas.openxmlformats.org/markup-compatibility/2006">
          <mc:Choice Requires="x14">
            <control shapeId="46098" r:id="rId20" name="Option Button 18">
              <controlPr defaultSize="0" autoFill="0" autoLine="0" autoPict="0" altText="Užina 1">
                <anchor moveWithCells="1">
                  <from>
                    <xdr:col>6</xdr:col>
                    <xdr:colOff>1143000</xdr:colOff>
                    <xdr:row>4</xdr:row>
                    <xdr:rowOff>12700</xdr:rowOff>
                  </from>
                  <to>
                    <xdr:col>7</xdr:col>
                    <xdr:colOff>1130300</xdr:colOff>
                    <xdr:row>4</xdr:row>
                    <xdr:rowOff>228600</xdr:rowOff>
                  </to>
                </anchor>
              </controlPr>
            </control>
          </mc:Choice>
        </mc:AlternateContent>
        <mc:AlternateContent xmlns:mc="http://schemas.openxmlformats.org/markup-compatibility/2006">
          <mc:Choice Requires="x14">
            <control shapeId="46099" r:id="rId21" name="Option Button 19">
              <controlPr defaultSize="0" autoFill="0" autoLine="0" autoPict="0">
                <anchor moveWithCells="1">
                  <from>
                    <xdr:col>6</xdr:col>
                    <xdr:colOff>1143000</xdr:colOff>
                    <xdr:row>5</xdr:row>
                    <xdr:rowOff>0</xdr:rowOff>
                  </from>
                  <to>
                    <xdr:col>7</xdr:col>
                    <xdr:colOff>1130300</xdr:colOff>
                    <xdr:row>5</xdr:row>
                    <xdr:rowOff>215900</xdr:rowOff>
                  </to>
                </anchor>
              </controlPr>
            </control>
          </mc:Choice>
        </mc:AlternateContent>
        <mc:AlternateContent xmlns:mc="http://schemas.openxmlformats.org/markup-compatibility/2006">
          <mc:Choice Requires="x14">
            <control shapeId="46100" r:id="rId22" name="Option Button 20">
              <controlPr defaultSize="0" autoFill="0" autoLine="0" autoPict="0">
                <anchor moveWithCells="1">
                  <from>
                    <xdr:col>6</xdr:col>
                    <xdr:colOff>1143000</xdr:colOff>
                    <xdr:row>6</xdr:row>
                    <xdr:rowOff>12700</xdr:rowOff>
                  </from>
                  <to>
                    <xdr:col>7</xdr:col>
                    <xdr:colOff>1130300</xdr:colOff>
                    <xdr:row>7</xdr:row>
                    <xdr:rowOff>0</xdr:rowOff>
                  </to>
                </anchor>
              </controlPr>
            </control>
          </mc:Choice>
        </mc:AlternateContent>
        <mc:AlternateContent xmlns:mc="http://schemas.openxmlformats.org/markup-compatibility/2006">
          <mc:Choice Requires="x14">
            <control shapeId="46101" r:id="rId23" name="Option Button 21">
              <controlPr locked="0" defaultSize="0" autoFill="0" autoLine="0" autoPict="0">
                <anchor moveWithCells="1">
                  <from>
                    <xdr:col>7</xdr:col>
                    <xdr:colOff>1143000</xdr:colOff>
                    <xdr:row>2</xdr:row>
                    <xdr:rowOff>0</xdr:rowOff>
                  </from>
                  <to>
                    <xdr:col>8</xdr:col>
                    <xdr:colOff>1155700</xdr:colOff>
                    <xdr:row>2</xdr:row>
                    <xdr:rowOff>215900</xdr:rowOff>
                  </to>
                </anchor>
              </controlPr>
            </control>
          </mc:Choice>
        </mc:AlternateContent>
        <mc:AlternateContent xmlns:mc="http://schemas.openxmlformats.org/markup-compatibility/2006">
          <mc:Choice Requires="x14">
            <control shapeId="46102" r:id="rId24" name="Option Button 22">
              <controlPr defaultSize="0" autoFill="0" autoLine="0" autoPict="0" altText="Doručak_x000a_">
                <anchor moveWithCells="1">
                  <from>
                    <xdr:col>7</xdr:col>
                    <xdr:colOff>1143000</xdr:colOff>
                    <xdr:row>3</xdr:row>
                    <xdr:rowOff>12700</xdr:rowOff>
                  </from>
                  <to>
                    <xdr:col>8</xdr:col>
                    <xdr:colOff>1130300</xdr:colOff>
                    <xdr:row>4</xdr:row>
                    <xdr:rowOff>0</xdr:rowOff>
                  </to>
                </anchor>
              </controlPr>
            </control>
          </mc:Choice>
        </mc:AlternateContent>
        <mc:AlternateContent xmlns:mc="http://schemas.openxmlformats.org/markup-compatibility/2006">
          <mc:Choice Requires="x14">
            <control shapeId="46103" r:id="rId25" name="Option Button 23">
              <controlPr defaultSize="0" autoFill="0" autoLine="0" autoPict="0" altText="Užina 1">
                <anchor moveWithCells="1">
                  <from>
                    <xdr:col>7</xdr:col>
                    <xdr:colOff>1143000</xdr:colOff>
                    <xdr:row>4</xdr:row>
                    <xdr:rowOff>12700</xdr:rowOff>
                  </from>
                  <to>
                    <xdr:col>8</xdr:col>
                    <xdr:colOff>1117600</xdr:colOff>
                    <xdr:row>4</xdr:row>
                    <xdr:rowOff>228600</xdr:rowOff>
                  </to>
                </anchor>
              </controlPr>
            </control>
          </mc:Choice>
        </mc:AlternateContent>
        <mc:AlternateContent xmlns:mc="http://schemas.openxmlformats.org/markup-compatibility/2006">
          <mc:Choice Requires="x14">
            <control shapeId="46104" r:id="rId26" name="Option Button 24">
              <controlPr defaultSize="0" autoFill="0" autoLine="0" autoPict="0">
                <anchor moveWithCells="1">
                  <from>
                    <xdr:col>7</xdr:col>
                    <xdr:colOff>1143000</xdr:colOff>
                    <xdr:row>5</xdr:row>
                    <xdr:rowOff>0</xdr:rowOff>
                  </from>
                  <to>
                    <xdr:col>8</xdr:col>
                    <xdr:colOff>1155700</xdr:colOff>
                    <xdr:row>5</xdr:row>
                    <xdr:rowOff>215900</xdr:rowOff>
                  </to>
                </anchor>
              </controlPr>
            </control>
          </mc:Choice>
        </mc:AlternateContent>
        <mc:AlternateContent xmlns:mc="http://schemas.openxmlformats.org/markup-compatibility/2006">
          <mc:Choice Requires="x14">
            <control shapeId="46105" r:id="rId27" name="Option Button 25">
              <controlPr defaultSize="0" autoFill="0" autoLine="0" autoPict="0">
                <anchor moveWithCells="1">
                  <from>
                    <xdr:col>7</xdr:col>
                    <xdr:colOff>1143000</xdr:colOff>
                    <xdr:row>6</xdr:row>
                    <xdr:rowOff>0</xdr:rowOff>
                  </from>
                  <to>
                    <xdr:col>8</xdr:col>
                    <xdr:colOff>1130300</xdr:colOff>
                    <xdr:row>6</xdr:row>
                    <xdr:rowOff>215900</xdr:rowOff>
                  </to>
                </anchor>
              </controlPr>
            </control>
          </mc:Choice>
        </mc:AlternateContent>
        <mc:AlternateContent xmlns:mc="http://schemas.openxmlformats.org/markup-compatibility/2006">
          <mc:Choice Requires="x14">
            <control shapeId="46106" r:id="rId28" name="Option Button 26">
              <controlPr locked="0" defaultSize="0" autoFill="0" autoLine="0" autoPict="0">
                <anchor moveWithCells="1">
                  <from>
                    <xdr:col>8</xdr:col>
                    <xdr:colOff>1143000</xdr:colOff>
                    <xdr:row>2</xdr:row>
                    <xdr:rowOff>0</xdr:rowOff>
                  </from>
                  <to>
                    <xdr:col>9</xdr:col>
                    <xdr:colOff>1155700</xdr:colOff>
                    <xdr:row>2</xdr:row>
                    <xdr:rowOff>215900</xdr:rowOff>
                  </to>
                </anchor>
              </controlPr>
            </control>
          </mc:Choice>
        </mc:AlternateContent>
        <mc:AlternateContent xmlns:mc="http://schemas.openxmlformats.org/markup-compatibility/2006">
          <mc:Choice Requires="x14">
            <control shapeId="46107" r:id="rId29" name="Option Button 27">
              <controlPr defaultSize="0" autoFill="0" autoLine="0" autoPict="0" altText="Doručak_x000a_">
                <anchor moveWithCells="1">
                  <from>
                    <xdr:col>8</xdr:col>
                    <xdr:colOff>1143000</xdr:colOff>
                    <xdr:row>3</xdr:row>
                    <xdr:rowOff>12700</xdr:rowOff>
                  </from>
                  <to>
                    <xdr:col>9</xdr:col>
                    <xdr:colOff>1092200</xdr:colOff>
                    <xdr:row>4</xdr:row>
                    <xdr:rowOff>0</xdr:rowOff>
                  </to>
                </anchor>
              </controlPr>
            </control>
          </mc:Choice>
        </mc:AlternateContent>
        <mc:AlternateContent xmlns:mc="http://schemas.openxmlformats.org/markup-compatibility/2006">
          <mc:Choice Requires="x14">
            <control shapeId="46108" r:id="rId30" name="Option Button 28">
              <controlPr defaultSize="0" autoFill="0" autoLine="0" autoPict="0" altText="Užina 1">
                <anchor moveWithCells="1">
                  <from>
                    <xdr:col>8</xdr:col>
                    <xdr:colOff>1143000</xdr:colOff>
                    <xdr:row>4</xdr:row>
                    <xdr:rowOff>12700</xdr:rowOff>
                  </from>
                  <to>
                    <xdr:col>9</xdr:col>
                    <xdr:colOff>1092200</xdr:colOff>
                    <xdr:row>4</xdr:row>
                    <xdr:rowOff>228600</xdr:rowOff>
                  </to>
                </anchor>
              </controlPr>
            </control>
          </mc:Choice>
        </mc:AlternateContent>
        <mc:AlternateContent xmlns:mc="http://schemas.openxmlformats.org/markup-compatibility/2006">
          <mc:Choice Requires="x14">
            <control shapeId="46109" r:id="rId31" name="Option Button 29">
              <controlPr defaultSize="0" autoFill="0" autoLine="0" autoPict="0">
                <anchor moveWithCells="1">
                  <from>
                    <xdr:col>8</xdr:col>
                    <xdr:colOff>1143000</xdr:colOff>
                    <xdr:row>5</xdr:row>
                    <xdr:rowOff>0</xdr:rowOff>
                  </from>
                  <to>
                    <xdr:col>9</xdr:col>
                    <xdr:colOff>1104900</xdr:colOff>
                    <xdr:row>5</xdr:row>
                    <xdr:rowOff>215900</xdr:rowOff>
                  </to>
                </anchor>
              </controlPr>
            </control>
          </mc:Choice>
        </mc:AlternateContent>
        <mc:AlternateContent xmlns:mc="http://schemas.openxmlformats.org/markup-compatibility/2006">
          <mc:Choice Requires="x14">
            <control shapeId="46110" r:id="rId32" name="Option Button 30">
              <controlPr defaultSize="0" autoFill="0" autoLine="0" autoPict="0">
                <anchor moveWithCells="1">
                  <from>
                    <xdr:col>8</xdr:col>
                    <xdr:colOff>1143000</xdr:colOff>
                    <xdr:row>6</xdr:row>
                    <xdr:rowOff>0</xdr:rowOff>
                  </from>
                  <to>
                    <xdr:col>9</xdr:col>
                    <xdr:colOff>1104900</xdr:colOff>
                    <xdr:row>6</xdr:row>
                    <xdr:rowOff>215900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65993-8AE4-8F4C-88AF-0B82CE73F480}">
  <dimension ref="A33:AN501"/>
  <sheetViews>
    <sheetView topLeftCell="A341" workbookViewId="0">
      <selection activeCell="H371" sqref="H371:P371"/>
    </sheetView>
  </sheetViews>
  <sheetFormatPr baseColWidth="10" defaultRowHeight="14"/>
  <cols>
    <col min="1" max="1" width="2.1640625" style="406" customWidth="1"/>
    <col min="2" max="2" width="29.5" style="1005" customWidth="1"/>
    <col min="3" max="3" width="2.6640625" style="406" customWidth="1"/>
    <col min="4" max="33" width="14" style="406" customWidth="1"/>
    <col min="34" max="16384" width="10.83203125" style="406"/>
  </cols>
  <sheetData>
    <row r="33" spans="31:32">
      <c r="AE33" s="1006" t="s">
        <v>2568</v>
      </c>
      <c r="AF33" s="1007">
        <f>'Charts and graphs'!AF33</f>
        <v>4</v>
      </c>
    </row>
    <row r="34" spans="31:32">
      <c r="AE34" s="1008" t="s">
        <v>2567</v>
      </c>
      <c r="AF34" s="1007">
        <f>'Charts and graphs'!AF34</f>
        <v>1</v>
      </c>
    </row>
    <row r="35" spans="31:32">
      <c r="AE35" s="1009" t="s">
        <v>2566</v>
      </c>
      <c r="AF35" s="913" t="str">
        <f>'Charts and graphs'!AF35</f>
        <v>Week 2</v>
      </c>
    </row>
    <row r="36" spans="31:32">
      <c r="AE36" s="406" t="s">
        <v>2982</v>
      </c>
      <c r="AF36" s="913" t="str">
        <f>'Charts and graphs'!AF36</f>
        <v>Organic</v>
      </c>
    </row>
    <row r="87" spans="1:18" s="913" customFormat="1" ht="15" customHeight="1">
      <c r="A87" s="919"/>
      <c r="B87" s="939"/>
      <c r="C87" s="919"/>
      <c r="D87" s="1010" t="str" cm="1">
        <f t="array" ref="D87">INDEX(H320:M320,0,$AF$34)</f>
        <v>Cumulative costs of food categories per meal: average (din)</v>
      </c>
      <c r="E87" s="1010"/>
      <c r="F87" s="1010"/>
      <c r="G87" s="1010"/>
      <c r="H87" s="1010" t="str" cm="1">
        <f t="array" ref="H87">INDEX(H371:M371,0,$AF$34)</f>
        <v>Cumulative weight of food categories per meal: average (g)</v>
      </c>
      <c r="I87" s="1010"/>
      <c r="J87" s="1010"/>
      <c r="K87" s="1010"/>
      <c r="L87" s="1011"/>
      <c r="M87" s="1011"/>
      <c r="N87" s="1010" t="str" cm="1">
        <f t="array" ref="N87">INDEX(H415:M415,0,$AF$34)</f>
        <v>Food contribution to global warming: Cumulative CO2 (g/g) from food category - weekly average for</v>
      </c>
      <c r="O87" s="1012"/>
      <c r="P87" s="1012"/>
      <c r="Q87" s="1012"/>
      <c r="R87" s="1012"/>
    </row>
    <row r="90" spans="1:18">
      <c r="B90" s="406">
        <f>IF('Charts and graphs'!$C$2="Week 1",1,2)</f>
        <v>2</v>
      </c>
    </row>
    <row r="91" spans="1:18">
      <c r="B91" s="406">
        <f>IF('Charts and graphs'!$C$6="Conventional",1,2)</f>
        <v>2</v>
      </c>
    </row>
    <row r="119" spans="1:38">
      <c r="AH119" s="891" t="s">
        <v>2599</v>
      </c>
      <c r="AI119" s="891" t="s">
        <v>2601</v>
      </c>
      <c r="AJ119" s="891"/>
      <c r="AK119" s="891"/>
      <c r="AL119" s="891"/>
    </row>
    <row r="120" spans="1:38">
      <c r="S120" s="1284"/>
      <c r="T120" s="1284"/>
      <c r="U120" s="1284"/>
      <c r="V120" s="1284"/>
      <c r="W120" s="1284"/>
      <c r="AH120" s="891" t="s">
        <v>2600</v>
      </c>
      <c r="AI120" s="891" t="s">
        <v>2602</v>
      </c>
      <c r="AJ120" s="891"/>
      <c r="AK120" s="891"/>
      <c r="AL120" s="891"/>
    </row>
    <row r="121" spans="1:38" ht="15">
      <c r="A121" s="1004"/>
      <c r="B121" s="1013" t="s">
        <v>1402</v>
      </c>
      <c r="C121" s="919"/>
      <c r="D121" s="1015" t="s">
        <v>3778</v>
      </c>
      <c r="E121" s="1016" t="s">
        <v>67</v>
      </c>
      <c r="F121" s="1016" t="s">
        <v>1362</v>
      </c>
      <c r="G121" s="1016" t="s">
        <v>69</v>
      </c>
      <c r="H121" s="1017" t="s">
        <v>1364</v>
      </c>
      <c r="I121" s="1015" t="s">
        <v>3778</v>
      </c>
      <c r="J121" s="1016" t="s">
        <v>3778</v>
      </c>
      <c r="K121" s="1016" t="s">
        <v>3778</v>
      </c>
      <c r="L121" s="1016" t="s">
        <v>3778</v>
      </c>
      <c r="M121" s="1017" t="s">
        <v>3778</v>
      </c>
      <c r="N121" s="1015" t="s">
        <v>67</v>
      </c>
      <c r="O121" s="1016" t="s">
        <v>67</v>
      </c>
      <c r="P121" s="1016" t="s">
        <v>67</v>
      </c>
      <c r="Q121" s="1016" t="s">
        <v>67</v>
      </c>
      <c r="R121" s="1017" t="s">
        <v>67</v>
      </c>
      <c r="S121" s="1285" t="s">
        <v>1362</v>
      </c>
      <c r="T121" s="1285" t="s">
        <v>1362</v>
      </c>
      <c r="U121" s="1285" t="s">
        <v>1362</v>
      </c>
      <c r="V121" s="1285" t="s">
        <v>1362</v>
      </c>
      <c r="W121" s="1285" t="s">
        <v>1362</v>
      </c>
      <c r="X121" s="1016" t="s">
        <v>69</v>
      </c>
      <c r="Y121" s="1016" t="s">
        <v>69</v>
      </c>
      <c r="Z121" s="1016" t="s">
        <v>69</v>
      </c>
      <c r="AA121" s="1016" t="s">
        <v>69</v>
      </c>
      <c r="AB121" s="1017" t="s">
        <v>69</v>
      </c>
      <c r="AC121" s="1015" t="s">
        <v>1364</v>
      </c>
      <c r="AD121" s="1016" t="s">
        <v>1364</v>
      </c>
      <c r="AE121" s="1016" t="s">
        <v>1364</v>
      </c>
      <c r="AF121" s="1016" t="s">
        <v>1364</v>
      </c>
      <c r="AG121" s="1017" t="s">
        <v>1364</v>
      </c>
      <c r="AH121" s="1014" t="s">
        <v>589</v>
      </c>
      <c r="AI121" s="1018" t="s">
        <v>2562</v>
      </c>
      <c r="AJ121" s="1019" t="s">
        <v>2531</v>
      </c>
      <c r="AK121" s="891"/>
      <c r="AL121" s="891"/>
    </row>
    <row r="122" spans="1:38">
      <c r="A122" s="1004"/>
      <c r="B122" s="1020">
        <f>AH122</f>
        <v>80</v>
      </c>
      <c r="C122" s="919"/>
      <c r="D122" s="1282">
        <f>IF($E146&gt;0,$E$122,0)+IF($F146&gt;0,$F$122,0)+IF($G146&gt;0,$G$122,0)+IF($H146&gt;0,$H$122,0)</f>
        <v>70</v>
      </c>
      <c r="E122" s="1029">
        <f>IF((Meal_entry_week_1!L3=1),30,35)</f>
        <v>30</v>
      </c>
      <c r="F122" s="1029">
        <f>IF((Meal_entry_week_1!E38)-(Meal_entry_week_1!E57)&gt;9,15,10)</f>
        <v>10</v>
      </c>
      <c r="G122" s="1029">
        <v>30</v>
      </c>
      <c r="H122" s="1283">
        <f>IF(E122=35,5,10)</f>
        <v>10</v>
      </c>
      <c r="I122" s="1021">
        <f t="shared" ref="I122:M137" si="0">$D122</f>
        <v>70</v>
      </c>
      <c r="J122" s="945">
        <f t="shared" si="0"/>
        <v>70</v>
      </c>
      <c r="K122" s="945">
        <f t="shared" si="0"/>
        <v>70</v>
      </c>
      <c r="L122" s="945">
        <f t="shared" si="0"/>
        <v>70</v>
      </c>
      <c r="M122" s="1022">
        <f t="shared" si="0"/>
        <v>70</v>
      </c>
      <c r="N122" s="1023">
        <f t="shared" ref="N122:R137" si="1">$E122</f>
        <v>30</v>
      </c>
      <c r="O122" s="1024">
        <f t="shared" si="1"/>
        <v>30</v>
      </c>
      <c r="P122" s="1024">
        <f t="shared" si="1"/>
        <v>30</v>
      </c>
      <c r="Q122" s="1024">
        <f t="shared" si="1"/>
        <v>30</v>
      </c>
      <c r="R122" s="1025">
        <f t="shared" si="1"/>
        <v>30</v>
      </c>
      <c r="S122" s="1026">
        <f t="shared" ref="S122:W137" si="2">$F122</f>
        <v>10</v>
      </c>
      <c r="T122" s="1027">
        <f t="shared" si="2"/>
        <v>10</v>
      </c>
      <c r="U122" s="1027">
        <f t="shared" si="2"/>
        <v>10</v>
      </c>
      <c r="V122" s="1027">
        <f t="shared" si="2"/>
        <v>10</v>
      </c>
      <c r="W122" s="1028">
        <f t="shared" si="2"/>
        <v>10</v>
      </c>
      <c r="X122" s="1027">
        <f t="shared" ref="X122:AB137" si="3">$G122</f>
        <v>30</v>
      </c>
      <c r="Y122" s="1027">
        <f t="shared" si="3"/>
        <v>30</v>
      </c>
      <c r="Z122" s="1027">
        <f t="shared" si="3"/>
        <v>30</v>
      </c>
      <c r="AA122" s="1027">
        <f t="shared" si="3"/>
        <v>30</v>
      </c>
      <c r="AB122" s="1028">
        <f t="shared" si="3"/>
        <v>30</v>
      </c>
      <c r="AC122" s="1026">
        <f t="shared" ref="AC122:AG137" si="4">$H122</f>
        <v>10</v>
      </c>
      <c r="AD122" s="1027">
        <f t="shared" si="4"/>
        <v>10</v>
      </c>
      <c r="AE122" s="1027">
        <f t="shared" si="4"/>
        <v>10</v>
      </c>
      <c r="AF122" s="1027">
        <f t="shared" si="4"/>
        <v>10</v>
      </c>
      <c r="AG122" s="1028">
        <f t="shared" si="4"/>
        <v>10</v>
      </c>
      <c r="AH122" s="1029">
        <f t="shared" ref="AH122" si="5">SUM($E122:$H122)</f>
        <v>80</v>
      </c>
      <c r="AI122" s="1027">
        <f>IF($E146&gt;0,$E122,0)+IF($F146&gt;0,$F122,0)+IF($G146&gt;0,$G122,0)+IF($H146&gt;0,$H122,0)</f>
        <v>70</v>
      </c>
      <c r="AJ122" s="1029">
        <v>100</v>
      </c>
      <c r="AK122" s="891"/>
      <c r="AL122" s="891"/>
    </row>
    <row r="123" spans="1:38" ht="15">
      <c r="A123" s="1004"/>
      <c r="B123" s="1030" t="s">
        <v>2530</v>
      </c>
      <c r="C123" s="919"/>
      <c r="D123" s="1015">
        <f>IF($E$146&gt;0,$E123,0)+IF($F$146&gt;0,$F123,0)+IF($G$146&gt;0,$G123,0)+IF($H$146&gt;0,$H123,0)</f>
        <v>1400</v>
      </c>
      <c r="E123" s="1016">
        <f t="shared" ref="E123:E145" si="6">E$122*AJ123/100</f>
        <v>600</v>
      </c>
      <c r="F123" s="1016">
        <f t="shared" ref="F123:F145" si="7">F$122*AJ123/100</f>
        <v>200</v>
      </c>
      <c r="G123" s="1016">
        <f t="shared" ref="G123:G145" si="8">G$122*AJ123/100</f>
        <v>600</v>
      </c>
      <c r="H123" s="1017">
        <f t="shared" ref="H123:H145" si="9">H$122*AJ123/100</f>
        <v>200</v>
      </c>
      <c r="I123" s="1031">
        <f t="shared" si="0"/>
        <v>1400</v>
      </c>
      <c r="J123" s="1032">
        <f t="shared" si="0"/>
        <v>1400</v>
      </c>
      <c r="K123" s="1032">
        <f t="shared" si="0"/>
        <v>1400</v>
      </c>
      <c r="L123" s="1032">
        <f t="shared" si="0"/>
        <v>1400</v>
      </c>
      <c r="M123" s="1033">
        <f t="shared" si="0"/>
        <v>1400</v>
      </c>
      <c r="N123" s="1034">
        <f t="shared" si="1"/>
        <v>600</v>
      </c>
      <c r="O123" s="1034">
        <f t="shared" si="1"/>
        <v>600</v>
      </c>
      <c r="P123" s="1034">
        <f t="shared" si="1"/>
        <v>600</v>
      </c>
      <c r="Q123" s="1034">
        <f t="shared" si="1"/>
        <v>600</v>
      </c>
      <c r="R123" s="1035">
        <f t="shared" si="1"/>
        <v>600</v>
      </c>
      <c r="S123" s="1036">
        <f t="shared" si="2"/>
        <v>200</v>
      </c>
      <c r="T123" s="1034">
        <f t="shared" si="2"/>
        <v>200</v>
      </c>
      <c r="U123" s="1034">
        <f t="shared" si="2"/>
        <v>200</v>
      </c>
      <c r="V123" s="1034">
        <f t="shared" si="2"/>
        <v>200</v>
      </c>
      <c r="W123" s="1035">
        <f t="shared" si="2"/>
        <v>200</v>
      </c>
      <c r="X123" s="1036">
        <f t="shared" si="3"/>
        <v>600</v>
      </c>
      <c r="Y123" s="1034">
        <f t="shared" si="3"/>
        <v>600</v>
      </c>
      <c r="Z123" s="1034">
        <f t="shared" si="3"/>
        <v>600</v>
      </c>
      <c r="AA123" s="1034">
        <f t="shared" si="3"/>
        <v>600</v>
      </c>
      <c r="AB123" s="1035">
        <f t="shared" si="3"/>
        <v>600</v>
      </c>
      <c r="AC123" s="1036">
        <f t="shared" si="4"/>
        <v>200</v>
      </c>
      <c r="AD123" s="1034">
        <f t="shared" si="4"/>
        <v>200</v>
      </c>
      <c r="AE123" s="1034">
        <f t="shared" si="4"/>
        <v>200</v>
      </c>
      <c r="AF123" s="1034">
        <f t="shared" si="4"/>
        <v>200</v>
      </c>
      <c r="AG123" s="1035">
        <f t="shared" si="4"/>
        <v>200</v>
      </c>
      <c r="AH123" s="1018">
        <f t="shared" ref="AH123:AH145" si="10">SUM($E123:$H123)</f>
        <v>1600</v>
      </c>
      <c r="AI123" s="945">
        <f t="shared" ref="AI123:AI145" si="11">IF($E$146&gt;0,E123,0)+IF($F$146&gt;0,F123,0)+IF($G$146&gt;0,G123,0)+IF($H$146&gt;0,H123,0)</f>
        <v>1400</v>
      </c>
      <c r="AJ123" s="406">
        <v>2000</v>
      </c>
      <c r="AK123" s="945" t="s">
        <v>2536</v>
      </c>
    </row>
    <row r="124" spans="1:38">
      <c r="A124" s="1004"/>
      <c r="B124" s="956" t="s">
        <v>2541</v>
      </c>
      <c r="C124" s="1037"/>
      <c r="D124" s="1038">
        <f>IF($E$146&gt;0,$E124,0)+IF($F$146&gt;0,$F124,0)+IF($G$146&gt;0,$G124,0)+IF($H$146&gt;0,$H124,0)</f>
        <v>192.5</v>
      </c>
      <c r="E124" s="1038">
        <f t="shared" si="6"/>
        <v>82.5</v>
      </c>
      <c r="F124" s="1038">
        <f t="shared" si="7"/>
        <v>27.5</v>
      </c>
      <c r="G124" s="1038">
        <f t="shared" si="8"/>
        <v>82.5</v>
      </c>
      <c r="H124" s="1039">
        <f t="shared" si="9"/>
        <v>27.5</v>
      </c>
      <c r="I124" s="941">
        <f t="shared" si="0"/>
        <v>192.5</v>
      </c>
      <c r="J124" s="922">
        <f t="shared" si="0"/>
        <v>192.5</v>
      </c>
      <c r="K124" s="922">
        <f t="shared" si="0"/>
        <v>192.5</v>
      </c>
      <c r="L124" s="922">
        <f t="shared" si="0"/>
        <v>192.5</v>
      </c>
      <c r="M124" s="1040">
        <f t="shared" si="0"/>
        <v>192.5</v>
      </c>
      <c r="N124" s="1041">
        <f t="shared" si="1"/>
        <v>82.5</v>
      </c>
      <c r="O124" s="1041">
        <f t="shared" si="1"/>
        <v>82.5</v>
      </c>
      <c r="P124" s="1041">
        <f t="shared" si="1"/>
        <v>82.5</v>
      </c>
      <c r="Q124" s="1041">
        <f t="shared" si="1"/>
        <v>82.5</v>
      </c>
      <c r="R124" s="1042">
        <f t="shared" si="1"/>
        <v>82.5</v>
      </c>
      <c r="S124" s="1043">
        <f t="shared" si="2"/>
        <v>27.5</v>
      </c>
      <c r="T124" s="1041">
        <f t="shared" si="2"/>
        <v>27.5</v>
      </c>
      <c r="U124" s="1041">
        <f t="shared" si="2"/>
        <v>27.5</v>
      </c>
      <c r="V124" s="1041">
        <f t="shared" si="2"/>
        <v>27.5</v>
      </c>
      <c r="W124" s="1042">
        <f t="shared" si="2"/>
        <v>27.5</v>
      </c>
      <c r="X124" s="1043">
        <f t="shared" si="3"/>
        <v>82.5</v>
      </c>
      <c r="Y124" s="1041">
        <f t="shared" si="3"/>
        <v>82.5</v>
      </c>
      <c r="Z124" s="1041">
        <f t="shared" si="3"/>
        <v>82.5</v>
      </c>
      <c r="AA124" s="1041">
        <f t="shared" si="3"/>
        <v>82.5</v>
      </c>
      <c r="AB124" s="1042">
        <f t="shared" si="3"/>
        <v>82.5</v>
      </c>
      <c r="AC124" s="1043">
        <f t="shared" si="4"/>
        <v>27.5</v>
      </c>
      <c r="AD124" s="1041">
        <f t="shared" si="4"/>
        <v>27.5</v>
      </c>
      <c r="AE124" s="1041">
        <f t="shared" si="4"/>
        <v>27.5</v>
      </c>
      <c r="AF124" s="1041">
        <f t="shared" si="4"/>
        <v>27.5</v>
      </c>
      <c r="AG124" s="1042">
        <f t="shared" si="4"/>
        <v>27.5</v>
      </c>
      <c r="AH124" s="1038">
        <f t="shared" si="10"/>
        <v>220</v>
      </c>
      <c r="AI124" s="922">
        <f t="shared" si="11"/>
        <v>192.5</v>
      </c>
      <c r="AJ124" s="407">
        <v>275</v>
      </c>
      <c r="AK124" s="945" t="s">
        <v>2537</v>
      </c>
    </row>
    <row r="125" spans="1:38">
      <c r="A125" s="1004"/>
      <c r="B125" s="1044" t="s">
        <v>2542</v>
      </c>
      <c r="C125" s="1037"/>
      <c r="D125" s="1038">
        <f t="shared" ref="D125:D145" si="12">IF($E$146&gt;0,$E125,0)+IF($F$146&gt;0,$F125,0)+IF($G$146&gt;0,$G125,0)+IF($H$146&gt;0,$H125,0)</f>
        <v>48.72</v>
      </c>
      <c r="E125" s="1038">
        <f t="shared" si="6"/>
        <v>20.88</v>
      </c>
      <c r="F125" s="1038">
        <f t="shared" si="7"/>
        <v>6.96</v>
      </c>
      <c r="G125" s="1038">
        <f t="shared" si="8"/>
        <v>20.88</v>
      </c>
      <c r="H125" s="1039">
        <f t="shared" si="9"/>
        <v>6.96</v>
      </c>
      <c r="I125" s="941">
        <f t="shared" si="0"/>
        <v>48.72</v>
      </c>
      <c r="J125" s="922">
        <f t="shared" si="0"/>
        <v>48.72</v>
      </c>
      <c r="K125" s="922">
        <f t="shared" si="0"/>
        <v>48.72</v>
      </c>
      <c r="L125" s="922">
        <f t="shared" si="0"/>
        <v>48.72</v>
      </c>
      <c r="M125" s="1040">
        <f t="shared" si="0"/>
        <v>48.72</v>
      </c>
      <c r="N125" s="1041">
        <f t="shared" si="1"/>
        <v>20.88</v>
      </c>
      <c r="O125" s="1041">
        <f t="shared" si="1"/>
        <v>20.88</v>
      </c>
      <c r="P125" s="1041">
        <f t="shared" si="1"/>
        <v>20.88</v>
      </c>
      <c r="Q125" s="1041">
        <f t="shared" si="1"/>
        <v>20.88</v>
      </c>
      <c r="R125" s="1042">
        <f t="shared" si="1"/>
        <v>20.88</v>
      </c>
      <c r="S125" s="1043">
        <f t="shared" si="2"/>
        <v>6.96</v>
      </c>
      <c r="T125" s="1041">
        <f t="shared" si="2"/>
        <v>6.96</v>
      </c>
      <c r="U125" s="1041">
        <f t="shared" si="2"/>
        <v>6.96</v>
      </c>
      <c r="V125" s="1041">
        <f t="shared" si="2"/>
        <v>6.96</v>
      </c>
      <c r="W125" s="1042">
        <f t="shared" si="2"/>
        <v>6.96</v>
      </c>
      <c r="X125" s="1043">
        <f t="shared" si="3"/>
        <v>20.88</v>
      </c>
      <c r="Y125" s="1041">
        <f t="shared" si="3"/>
        <v>20.88</v>
      </c>
      <c r="Z125" s="1041">
        <f t="shared" si="3"/>
        <v>20.88</v>
      </c>
      <c r="AA125" s="1041">
        <f t="shared" si="3"/>
        <v>20.88</v>
      </c>
      <c r="AB125" s="1042">
        <f t="shared" si="3"/>
        <v>20.88</v>
      </c>
      <c r="AC125" s="1043">
        <f t="shared" si="4"/>
        <v>6.96</v>
      </c>
      <c r="AD125" s="1041">
        <f t="shared" si="4"/>
        <v>6.96</v>
      </c>
      <c r="AE125" s="1041">
        <f t="shared" si="4"/>
        <v>6.96</v>
      </c>
      <c r="AF125" s="1041">
        <f t="shared" si="4"/>
        <v>6.96</v>
      </c>
      <c r="AG125" s="1042">
        <f t="shared" si="4"/>
        <v>6.96</v>
      </c>
      <c r="AH125" s="1038">
        <f t="shared" si="10"/>
        <v>55.68</v>
      </c>
      <c r="AI125" s="922">
        <f t="shared" si="11"/>
        <v>48.72</v>
      </c>
      <c r="AJ125" s="407">
        <v>69.599999999999994</v>
      </c>
      <c r="AK125" s="945" t="s">
        <v>2540</v>
      </c>
    </row>
    <row r="126" spans="1:38">
      <c r="A126" s="1004"/>
      <c r="B126" s="1044" t="s">
        <v>2543</v>
      </c>
      <c r="C126" s="1037"/>
      <c r="D126" s="1038">
        <f t="shared" si="12"/>
        <v>46.666661999999995</v>
      </c>
      <c r="E126" s="1038">
        <f t="shared" si="6"/>
        <v>19.999997999999998</v>
      </c>
      <c r="F126" s="1038">
        <f t="shared" si="7"/>
        <v>6.6666659999999993</v>
      </c>
      <c r="G126" s="1038">
        <f t="shared" si="8"/>
        <v>19.999997999999998</v>
      </c>
      <c r="H126" s="1039">
        <f t="shared" si="9"/>
        <v>6.6666659999999993</v>
      </c>
      <c r="I126" s="941">
        <f t="shared" si="0"/>
        <v>46.666661999999995</v>
      </c>
      <c r="J126" s="922">
        <f t="shared" si="0"/>
        <v>46.666661999999995</v>
      </c>
      <c r="K126" s="922">
        <f t="shared" si="0"/>
        <v>46.666661999999995</v>
      </c>
      <c r="L126" s="922">
        <f t="shared" si="0"/>
        <v>46.666661999999995</v>
      </c>
      <c r="M126" s="1040">
        <f t="shared" si="0"/>
        <v>46.666661999999995</v>
      </c>
      <c r="N126" s="1041">
        <f t="shared" si="1"/>
        <v>19.999997999999998</v>
      </c>
      <c r="O126" s="1041">
        <f t="shared" si="1"/>
        <v>19.999997999999998</v>
      </c>
      <c r="P126" s="1041">
        <f t="shared" si="1"/>
        <v>19.999997999999998</v>
      </c>
      <c r="Q126" s="1041">
        <f t="shared" si="1"/>
        <v>19.999997999999998</v>
      </c>
      <c r="R126" s="1042">
        <f t="shared" si="1"/>
        <v>19.999997999999998</v>
      </c>
      <c r="S126" s="1043">
        <f t="shared" si="2"/>
        <v>6.6666659999999993</v>
      </c>
      <c r="T126" s="1041">
        <f t="shared" si="2"/>
        <v>6.6666659999999993</v>
      </c>
      <c r="U126" s="1041">
        <f t="shared" si="2"/>
        <v>6.6666659999999993</v>
      </c>
      <c r="V126" s="1041">
        <f t="shared" si="2"/>
        <v>6.6666659999999993</v>
      </c>
      <c r="W126" s="1042">
        <f t="shared" si="2"/>
        <v>6.6666659999999993</v>
      </c>
      <c r="X126" s="1043">
        <f t="shared" si="3"/>
        <v>19.999997999999998</v>
      </c>
      <c r="Y126" s="1041">
        <f t="shared" si="3"/>
        <v>19.999997999999998</v>
      </c>
      <c r="Z126" s="1041">
        <f t="shared" si="3"/>
        <v>19.999997999999998</v>
      </c>
      <c r="AA126" s="1041">
        <f t="shared" si="3"/>
        <v>19.999997999999998</v>
      </c>
      <c r="AB126" s="1042">
        <f t="shared" si="3"/>
        <v>19.999997999999998</v>
      </c>
      <c r="AC126" s="1043">
        <f t="shared" si="4"/>
        <v>6.6666659999999993</v>
      </c>
      <c r="AD126" s="1041">
        <f t="shared" si="4"/>
        <v>6.6666659999999993</v>
      </c>
      <c r="AE126" s="1041">
        <f t="shared" si="4"/>
        <v>6.6666659999999993</v>
      </c>
      <c r="AF126" s="1041">
        <f t="shared" si="4"/>
        <v>6.6666659999999993</v>
      </c>
      <c r="AG126" s="1042">
        <f t="shared" si="4"/>
        <v>6.6666659999999993</v>
      </c>
      <c r="AH126" s="1038">
        <f t="shared" si="10"/>
        <v>53.333327999999995</v>
      </c>
      <c r="AI126" s="922">
        <f t="shared" si="11"/>
        <v>46.666661999999995</v>
      </c>
      <c r="AJ126" s="407">
        <v>66.666659999999993</v>
      </c>
      <c r="AK126" s="945" t="s">
        <v>2538</v>
      </c>
    </row>
    <row r="127" spans="1:38" ht="15">
      <c r="A127" s="1004"/>
      <c r="B127" s="1045" t="s">
        <v>2544</v>
      </c>
      <c r="C127" s="1037"/>
      <c r="D127" s="1038">
        <f t="shared" si="12"/>
        <v>14</v>
      </c>
      <c r="E127" s="1038">
        <f t="shared" si="6"/>
        <v>6</v>
      </c>
      <c r="F127" s="1038">
        <f t="shared" si="7"/>
        <v>2</v>
      </c>
      <c r="G127" s="1038">
        <f t="shared" si="8"/>
        <v>6</v>
      </c>
      <c r="H127" s="1039">
        <f t="shared" si="9"/>
        <v>2</v>
      </c>
      <c r="I127" s="941">
        <f t="shared" si="0"/>
        <v>14</v>
      </c>
      <c r="J127" s="922">
        <f t="shared" si="0"/>
        <v>14</v>
      </c>
      <c r="K127" s="922">
        <f t="shared" si="0"/>
        <v>14</v>
      </c>
      <c r="L127" s="922">
        <f t="shared" si="0"/>
        <v>14</v>
      </c>
      <c r="M127" s="1040">
        <f t="shared" si="0"/>
        <v>14</v>
      </c>
      <c r="N127" s="1041">
        <f t="shared" si="1"/>
        <v>6</v>
      </c>
      <c r="O127" s="1041">
        <f t="shared" si="1"/>
        <v>6</v>
      </c>
      <c r="P127" s="1041">
        <f t="shared" si="1"/>
        <v>6</v>
      </c>
      <c r="Q127" s="1041">
        <f t="shared" si="1"/>
        <v>6</v>
      </c>
      <c r="R127" s="1042">
        <f t="shared" si="1"/>
        <v>6</v>
      </c>
      <c r="S127" s="1043">
        <f t="shared" si="2"/>
        <v>2</v>
      </c>
      <c r="T127" s="1041">
        <f t="shared" si="2"/>
        <v>2</v>
      </c>
      <c r="U127" s="1041">
        <f t="shared" si="2"/>
        <v>2</v>
      </c>
      <c r="V127" s="1041">
        <f t="shared" si="2"/>
        <v>2</v>
      </c>
      <c r="W127" s="1042">
        <f t="shared" si="2"/>
        <v>2</v>
      </c>
      <c r="X127" s="1043">
        <f t="shared" si="3"/>
        <v>6</v>
      </c>
      <c r="Y127" s="1041">
        <f t="shared" si="3"/>
        <v>6</v>
      </c>
      <c r="Z127" s="1041">
        <f t="shared" si="3"/>
        <v>6</v>
      </c>
      <c r="AA127" s="1041">
        <f t="shared" si="3"/>
        <v>6</v>
      </c>
      <c r="AB127" s="1042">
        <f t="shared" si="3"/>
        <v>6</v>
      </c>
      <c r="AC127" s="1043">
        <f t="shared" si="4"/>
        <v>2</v>
      </c>
      <c r="AD127" s="1041">
        <f t="shared" si="4"/>
        <v>2</v>
      </c>
      <c r="AE127" s="1041">
        <f t="shared" si="4"/>
        <v>2</v>
      </c>
      <c r="AF127" s="1041">
        <f t="shared" si="4"/>
        <v>2</v>
      </c>
      <c r="AG127" s="1042">
        <f t="shared" si="4"/>
        <v>2</v>
      </c>
      <c r="AH127" s="1038">
        <f t="shared" si="10"/>
        <v>16</v>
      </c>
      <c r="AI127" s="922">
        <f t="shared" si="11"/>
        <v>14</v>
      </c>
      <c r="AJ127" s="407">
        <v>20</v>
      </c>
      <c r="AK127" s="913" t="s">
        <v>2539</v>
      </c>
    </row>
    <row r="128" spans="1:38">
      <c r="A128" s="1004"/>
      <c r="B128" s="1044" t="s">
        <v>2545</v>
      </c>
      <c r="C128" s="1037"/>
      <c r="D128" s="1038">
        <f t="shared" si="12"/>
        <v>15.4</v>
      </c>
      <c r="E128" s="1038">
        <f t="shared" si="6"/>
        <v>6.6</v>
      </c>
      <c r="F128" s="1038">
        <f t="shared" si="7"/>
        <v>2.2000000000000002</v>
      </c>
      <c r="G128" s="1038">
        <f t="shared" si="8"/>
        <v>6.6</v>
      </c>
      <c r="H128" s="1039">
        <f t="shared" si="9"/>
        <v>2.2000000000000002</v>
      </c>
      <c r="I128" s="941">
        <f t="shared" si="0"/>
        <v>15.4</v>
      </c>
      <c r="J128" s="922">
        <f t="shared" si="0"/>
        <v>15.4</v>
      </c>
      <c r="K128" s="922">
        <f t="shared" si="0"/>
        <v>15.4</v>
      </c>
      <c r="L128" s="922">
        <f t="shared" si="0"/>
        <v>15.4</v>
      </c>
      <c r="M128" s="1040">
        <f t="shared" si="0"/>
        <v>15.4</v>
      </c>
      <c r="N128" s="1041">
        <f t="shared" si="1"/>
        <v>6.6</v>
      </c>
      <c r="O128" s="1041">
        <f t="shared" si="1"/>
        <v>6.6</v>
      </c>
      <c r="P128" s="1041">
        <f t="shared" si="1"/>
        <v>6.6</v>
      </c>
      <c r="Q128" s="1041">
        <f t="shared" si="1"/>
        <v>6.6</v>
      </c>
      <c r="R128" s="1042">
        <f t="shared" si="1"/>
        <v>6.6</v>
      </c>
      <c r="S128" s="1043">
        <f t="shared" si="2"/>
        <v>2.2000000000000002</v>
      </c>
      <c r="T128" s="1041">
        <f t="shared" si="2"/>
        <v>2.2000000000000002</v>
      </c>
      <c r="U128" s="1041">
        <f t="shared" si="2"/>
        <v>2.2000000000000002</v>
      </c>
      <c r="V128" s="1041">
        <f t="shared" si="2"/>
        <v>2.2000000000000002</v>
      </c>
      <c r="W128" s="1042">
        <f t="shared" si="2"/>
        <v>2.2000000000000002</v>
      </c>
      <c r="X128" s="1043">
        <f t="shared" si="3"/>
        <v>6.6</v>
      </c>
      <c r="Y128" s="1041">
        <f t="shared" si="3"/>
        <v>6.6</v>
      </c>
      <c r="Z128" s="1041">
        <f t="shared" si="3"/>
        <v>6.6</v>
      </c>
      <c r="AA128" s="1041">
        <f t="shared" si="3"/>
        <v>6.6</v>
      </c>
      <c r="AB128" s="1042">
        <f t="shared" si="3"/>
        <v>6.6</v>
      </c>
      <c r="AC128" s="1043">
        <f t="shared" si="4"/>
        <v>2.2000000000000002</v>
      </c>
      <c r="AD128" s="1041">
        <f t="shared" si="4"/>
        <v>2.2000000000000002</v>
      </c>
      <c r="AE128" s="1041">
        <f t="shared" si="4"/>
        <v>2.2000000000000002</v>
      </c>
      <c r="AF128" s="1041">
        <f t="shared" si="4"/>
        <v>2.2000000000000002</v>
      </c>
      <c r="AG128" s="1042">
        <f t="shared" si="4"/>
        <v>2.2000000000000002</v>
      </c>
      <c r="AH128" s="1038">
        <f t="shared" si="10"/>
        <v>17.600000000000001</v>
      </c>
      <c r="AI128" s="922">
        <f t="shared" si="11"/>
        <v>15.4</v>
      </c>
      <c r="AJ128" s="407">
        <v>22</v>
      </c>
      <c r="AK128" s="913" t="s">
        <v>2539</v>
      </c>
    </row>
    <row r="129" spans="1:37" ht="15">
      <c r="A129" s="1004"/>
      <c r="B129" s="1045" t="s">
        <v>1374</v>
      </c>
      <c r="C129" s="1037"/>
      <c r="D129" s="1038">
        <f t="shared" si="12"/>
        <v>1041.509433962264</v>
      </c>
      <c r="E129" s="1038">
        <f t="shared" si="6"/>
        <v>446.36118598382745</v>
      </c>
      <c r="F129" s="1038">
        <f t="shared" si="7"/>
        <v>148.78706199460913</v>
      </c>
      <c r="G129" s="1038">
        <f t="shared" si="8"/>
        <v>446.36118598382745</v>
      </c>
      <c r="H129" s="1039">
        <f t="shared" si="9"/>
        <v>148.78706199460913</v>
      </c>
      <c r="I129" s="941">
        <f t="shared" si="0"/>
        <v>1041.509433962264</v>
      </c>
      <c r="J129" s="922">
        <f t="shared" si="0"/>
        <v>1041.509433962264</v>
      </c>
      <c r="K129" s="922">
        <f t="shared" si="0"/>
        <v>1041.509433962264</v>
      </c>
      <c r="L129" s="922">
        <f t="shared" si="0"/>
        <v>1041.509433962264</v>
      </c>
      <c r="M129" s="1040">
        <f t="shared" si="0"/>
        <v>1041.509433962264</v>
      </c>
      <c r="N129" s="1041">
        <f t="shared" si="1"/>
        <v>446.36118598382745</v>
      </c>
      <c r="O129" s="1041">
        <f t="shared" si="1"/>
        <v>446.36118598382745</v>
      </c>
      <c r="P129" s="1041">
        <f t="shared" si="1"/>
        <v>446.36118598382745</v>
      </c>
      <c r="Q129" s="1041">
        <f t="shared" si="1"/>
        <v>446.36118598382745</v>
      </c>
      <c r="R129" s="1042">
        <f t="shared" si="1"/>
        <v>446.36118598382745</v>
      </c>
      <c r="S129" s="1043">
        <f t="shared" si="2"/>
        <v>148.78706199460913</v>
      </c>
      <c r="T129" s="1041">
        <f t="shared" si="2"/>
        <v>148.78706199460913</v>
      </c>
      <c r="U129" s="1041">
        <f t="shared" si="2"/>
        <v>148.78706199460913</v>
      </c>
      <c r="V129" s="1041">
        <f t="shared" si="2"/>
        <v>148.78706199460913</v>
      </c>
      <c r="W129" s="1042">
        <f t="shared" si="2"/>
        <v>148.78706199460913</v>
      </c>
      <c r="X129" s="1043">
        <f t="shared" si="3"/>
        <v>446.36118598382745</v>
      </c>
      <c r="Y129" s="1041">
        <f t="shared" si="3"/>
        <v>446.36118598382745</v>
      </c>
      <c r="Z129" s="1041">
        <f t="shared" si="3"/>
        <v>446.36118598382745</v>
      </c>
      <c r="AA129" s="1041">
        <f t="shared" si="3"/>
        <v>446.36118598382745</v>
      </c>
      <c r="AB129" s="1042">
        <f t="shared" si="3"/>
        <v>446.36118598382745</v>
      </c>
      <c r="AC129" s="1043">
        <f t="shared" si="4"/>
        <v>148.78706199460913</v>
      </c>
      <c r="AD129" s="1041">
        <f t="shared" si="4"/>
        <v>148.78706199460913</v>
      </c>
      <c r="AE129" s="1041">
        <f t="shared" si="4"/>
        <v>148.78706199460913</v>
      </c>
      <c r="AF129" s="1041">
        <f t="shared" si="4"/>
        <v>148.78706199460913</v>
      </c>
      <c r="AG129" s="1042">
        <f t="shared" si="4"/>
        <v>148.78706199460913</v>
      </c>
      <c r="AH129" s="1038">
        <f t="shared" si="10"/>
        <v>1190.2964959568731</v>
      </c>
      <c r="AI129" s="922">
        <f t="shared" si="11"/>
        <v>1041.509433962264</v>
      </c>
      <c r="AJ129" s="407">
        <v>1487.8706199460914</v>
      </c>
      <c r="AK129" s="913" t="s">
        <v>2535</v>
      </c>
    </row>
    <row r="130" spans="1:37" ht="15">
      <c r="A130" s="1004"/>
      <c r="B130" s="1045" t="s">
        <v>2546</v>
      </c>
      <c r="C130" s="1037"/>
      <c r="D130" s="1038">
        <f t="shared" si="12"/>
        <v>1260</v>
      </c>
      <c r="E130" s="1038">
        <f t="shared" si="6"/>
        <v>540</v>
      </c>
      <c r="F130" s="1038">
        <f t="shared" si="7"/>
        <v>180</v>
      </c>
      <c r="G130" s="1038">
        <f t="shared" si="8"/>
        <v>540</v>
      </c>
      <c r="H130" s="1039">
        <f t="shared" si="9"/>
        <v>180</v>
      </c>
      <c r="I130" s="941">
        <f t="shared" si="0"/>
        <v>1260</v>
      </c>
      <c r="J130" s="922">
        <f t="shared" si="0"/>
        <v>1260</v>
      </c>
      <c r="K130" s="922">
        <f t="shared" si="0"/>
        <v>1260</v>
      </c>
      <c r="L130" s="922">
        <f t="shared" si="0"/>
        <v>1260</v>
      </c>
      <c r="M130" s="1040">
        <f t="shared" si="0"/>
        <v>1260</v>
      </c>
      <c r="N130" s="1041">
        <f t="shared" si="1"/>
        <v>540</v>
      </c>
      <c r="O130" s="1041">
        <f t="shared" si="1"/>
        <v>540</v>
      </c>
      <c r="P130" s="1041">
        <f t="shared" si="1"/>
        <v>540</v>
      </c>
      <c r="Q130" s="1041">
        <f t="shared" si="1"/>
        <v>540</v>
      </c>
      <c r="R130" s="1042">
        <f t="shared" si="1"/>
        <v>540</v>
      </c>
      <c r="S130" s="1043">
        <f t="shared" si="2"/>
        <v>180</v>
      </c>
      <c r="T130" s="1041">
        <f t="shared" si="2"/>
        <v>180</v>
      </c>
      <c r="U130" s="1041">
        <f t="shared" si="2"/>
        <v>180</v>
      </c>
      <c r="V130" s="1041">
        <f t="shared" si="2"/>
        <v>180</v>
      </c>
      <c r="W130" s="1042">
        <f t="shared" si="2"/>
        <v>180</v>
      </c>
      <c r="X130" s="1043">
        <f t="shared" si="3"/>
        <v>540</v>
      </c>
      <c r="Y130" s="1041">
        <f t="shared" si="3"/>
        <v>540</v>
      </c>
      <c r="Z130" s="1041">
        <f t="shared" si="3"/>
        <v>540</v>
      </c>
      <c r="AA130" s="1041">
        <f t="shared" si="3"/>
        <v>540</v>
      </c>
      <c r="AB130" s="1042">
        <f t="shared" si="3"/>
        <v>540</v>
      </c>
      <c r="AC130" s="1043">
        <f t="shared" si="4"/>
        <v>180</v>
      </c>
      <c r="AD130" s="1041">
        <f t="shared" si="4"/>
        <v>180</v>
      </c>
      <c r="AE130" s="1041">
        <f t="shared" si="4"/>
        <v>180</v>
      </c>
      <c r="AF130" s="1041">
        <f t="shared" si="4"/>
        <v>180</v>
      </c>
      <c r="AG130" s="1042">
        <f t="shared" si="4"/>
        <v>180</v>
      </c>
      <c r="AH130" s="1038">
        <f t="shared" si="10"/>
        <v>1440</v>
      </c>
      <c r="AI130" s="922">
        <f t="shared" si="11"/>
        <v>1260</v>
      </c>
      <c r="AJ130" s="407">
        <v>1800</v>
      </c>
      <c r="AK130" s="913" t="s">
        <v>2535</v>
      </c>
    </row>
    <row r="131" spans="1:37" ht="15">
      <c r="A131" s="1004"/>
      <c r="B131" s="1045" t="s">
        <v>2547</v>
      </c>
      <c r="C131" s="1037"/>
      <c r="D131" s="1038">
        <f t="shared" si="12"/>
        <v>553</v>
      </c>
      <c r="E131" s="1038">
        <f t="shared" si="6"/>
        <v>237</v>
      </c>
      <c r="F131" s="1038">
        <f t="shared" si="7"/>
        <v>79</v>
      </c>
      <c r="G131" s="1038">
        <f t="shared" si="8"/>
        <v>237</v>
      </c>
      <c r="H131" s="1039">
        <f t="shared" si="9"/>
        <v>79</v>
      </c>
      <c r="I131" s="941">
        <f t="shared" si="0"/>
        <v>553</v>
      </c>
      <c r="J131" s="922">
        <f t="shared" si="0"/>
        <v>553</v>
      </c>
      <c r="K131" s="922">
        <f t="shared" si="0"/>
        <v>553</v>
      </c>
      <c r="L131" s="922">
        <f t="shared" si="0"/>
        <v>553</v>
      </c>
      <c r="M131" s="1040">
        <f t="shared" si="0"/>
        <v>553</v>
      </c>
      <c r="N131" s="1041">
        <f t="shared" si="1"/>
        <v>237</v>
      </c>
      <c r="O131" s="1041">
        <f t="shared" si="1"/>
        <v>237</v>
      </c>
      <c r="P131" s="1041">
        <f t="shared" si="1"/>
        <v>237</v>
      </c>
      <c r="Q131" s="1041">
        <f t="shared" si="1"/>
        <v>237</v>
      </c>
      <c r="R131" s="1042">
        <f t="shared" si="1"/>
        <v>237</v>
      </c>
      <c r="S131" s="1043">
        <f t="shared" si="2"/>
        <v>79</v>
      </c>
      <c r="T131" s="1041">
        <f t="shared" si="2"/>
        <v>79</v>
      </c>
      <c r="U131" s="1041">
        <f t="shared" si="2"/>
        <v>79</v>
      </c>
      <c r="V131" s="1041">
        <f t="shared" si="2"/>
        <v>79</v>
      </c>
      <c r="W131" s="1042">
        <f t="shared" si="2"/>
        <v>79</v>
      </c>
      <c r="X131" s="1043">
        <f t="shared" si="3"/>
        <v>237</v>
      </c>
      <c r="Y131" s="1041">
        <f t="shared" si="3"/>
        <v>237</v>
      </c>
      <c r="Z131" s="1041">
        <f t="shared" si="3"/>
        <v>237</v>
      </c>
      <c r="AA131" s="1041">
        <f t="shared" si="3"/>
        <v>237</v>
      </c>
      <c r="AB131" s="1042">
        <f t="shared" si="3"/>
        <v>237</v>
      </c>
      <c r="AC131" s="1043">
        <f t="shared" si="4"/>
        <v>79</v>
      </c>
      <c r="AD131" s="1041">
        <f t="shared" si="4"/>
        <v>79</v>
      </c>
      <c r="AE131" s="1041">
        <f t="shared" si="4"/>
        <v>79</v>
      </c>
      <c r="AF131" s="1041">
        <f t="shared" si="4"/>
        <v>79</v>
      </c>
      <c r="AG131" s="1042">
        <f t="shared" si="4"/>
        <v>79</v>
      </c>
      <c r="AH131" s="1038">
        <f t="shared" si="10"/>
        <v>632</v>
      </c>
      <c r="AI131" s="922">
        <f t="shared" si="11"/>
        <v>553</v>
      </c>
      <c r="AJ131" s="407">
        <v>790</v>
      </c>
      <c r="AK131" s="913" t="s">
        <v>2533</v>
      </c>
    </row>
    <row r="132" spans="1:37" ht="15">
      <c r="A132" s="1004"/>
      <c r="B132" s="1045" t="s">
        <v>2548</v>
      </c>
      <c r="C132" s="1037"/>
      <c r="D132" s="1038">
        <f t="shared" si="12"/>
        <v>140</v>
      </c>
      <c r="E132" s="1038">
        <f t="shared" si="6"/>
        <v>60</v>
      </c>
      <c r="F132" s="1038">
        <f t="shared" si="7"/>
        <v>20</v>
      </c>
      <c r="G132" s="1038">
        <f t="shared" si="8"/>
        <v>60</v>
      </c>
      <c r="H132" s="1039">
        <f t="shared" si="9"/>
        <v>20</v>
      </c>
      <c r="I132" s="941">
        <f t="shared" si="0"/>
        <v>140</v>
      </c>
      <c r="J132" s="922">
        <f t="shared" si="0"/>
        <v>140</v>
      </c>
      <c r="K132" s="922">
        <f t="shared" si="0"/>
        <v>140</v>
      </c>
      <c r="L132" s="922">
        <f t="shared" si="0"/>
        <v>140</v>
      </c>
      <c r="M132" s="1040">
        <f t="shared" si="0"/>
        <v>140</v>
      </c>
      <c r="N132" s="1041">
        <f t="shared" si="1"/>
        <v>60</v>
      </c>
      <c r="O132" s="1041">
        <f t="shared" si="1"/>
        <v>60</v>
      </c>
      <c r="P132" s="1041">
        <f t="shared" si="1"/>
        <v>60</v>
      </c>
      <c r="Q132" s="1041">
        <f t="shared" si="1"/>
        <v>60</v>
      </c>
      <c r="R132" s="1042">
        <f t="shared" si="1"/>
        <v>60</v>
      </c>
      <c r="S132" s="1043">
        <f t="shared" si="2"/>
        <v>20</v>
      </c>
      <c r="T132" s="1041">
        <f t="shared" si="2"/>
        <v>20</v>
      </c>
      <c r="U132" s="1041">
        <f t="shared" si="2"/>
        <v>20</v>
      </c>
      <c r="V132" s="1041">
        <f t="shared" si="2"/>
        <v>20</v>
      </c>
      <c r="W132" s="1042">
        <f t="shared" si="2"/>
        <v>20</v>
      </c>
      <c r="X132" s="1043">
        <f t="shared" si="3"/>
        <v>60</v>
      </c>
      <c r="Y132" s="1041">
        <f t="shared" si="3"/>
        <v>60</v>
      </c>
      <c r="Z132" s="1041">
        <f t="shared" si="3"/>
        <v>60</v>
      </c>
      <c r="AA132" s="1041">
        <f t="shared" si="3"/>
        <v>60</v>
      </c>
      <c r="AB132" s="1042">
        <f t="shared" si="3"/>
        <v>60</v>
      </c>
      <c r="AC132" s="1043">
        <f t="shared" si="4"/>
        <v>20</v>
      </c>
      <c r="AD132" s="1041">
        <f t="shared" si="4"/>
        <v>20</v>
      </c>
      <c r="AE132" s="1041">
        <f t="shared" si="4"/>
        <v>20</v>
      </c>
      <c r="AF132" s="1041">
        <f t="shared" si="4"/>
        <v>20</v>
      </c>
      <c r="AG132" s="1042">
        <f t="shared" si="4"/>
        <v>20</v>
      </c>
      <c r="AH132" s="1038">
        <f t="shared" si="10"/>
        <v>160</v>
      </c>
      <c r="AI132" s="922">
        <f t="shared" si="11"/>
        <v>140</v>
      </c>
      <c r="AJ132" s="407">
        <v>200</v>
      </c>
      <c r="AK132" s="913" t="s">
        <v>2533</v>
      </c>
    </row>
    <row r="133" spans="1:37" ht="15">
      <c r="A133" s="1004"/>
      <c r="B133" s="1045" t="s">
        <v>2549</v>
      </c>
      <c r="C133" s="1037"/>
      <c r="D133" s="1038">
        <f t="shared" si="12"/>
        <v>434</v>
      </c>
      <c r="E133" s="1038">
        <f t="shared" si="6"/>
        <v>186</v>
      </c>
      <c r="F133" s="1038">
        <f t="shared" si="7"/>
        <v>62</v>
      </c>
      <c r="G133" s="1038">
        <f t="shared" si="8"/>
        <v>186</v>
      </c>
      <c r="H133" s="1039">
        <f t="shared" si="9"/>
        <v>62</v>
      </c>
      <c r="I133" s="941">
        <f t="shared" si="0"/>
        <v>434</v>
      </c>
      <c r="J133" s="922">
        <f t="shared" si="0"/>
        <v>434</v>
      </c>
      <c r="K133" s="922">
        <f t="shared" si="0"/>
        <v>434</v>
      </c>
      <c r="L133" s="922">
        <f t="shared" si="0"/>
        <v>434</v>
      </c>
      <c r="M133" s="1040">
        <f t="shared" si="0"/>
        <v>434</v>
      </c>
      <c r="N133" s="1041">
        <f t="shared" si="1"/>
        <v>186</v>
      </c>
      <c r="O133" s="1041">
        <f t="shared" si="1"/>
        <v>186</v>
      </c>
      <c r="P133" s="1041">
        <f t="shared" si="1"/>
        <v>186</v>
      </c>
      <c r="Q133" s="1041">
        <f t="shared" si="1"/>
        <v>186</v>
      </c>
      <c r="R133" s="1042">
        <f t="shared" si="1"/>
        <v>186</v>
      </c>
      <c r="S133" s="1043">
        <f t="shared" si="2"/>
        <v>62</v>
      </c>
      <c r="T133" s="1041">
        <f t="shared" si="2"/>
        <v>62</v>
      </c>
      <c r="U133" s="1041">
        <f t="shared" si="2"/>
        <v>62</v>
      </c>
      <c r="V133" s="1041">
        <f t="shared" si="2"/>
        <v>62</v>
      </c>
      <c r="W133" s="1042">
        <f t="shared" si="2"/>
        <v>62</v>
      </c>
      <c r="X133" s="1043">
        <f t="shared" si="3"/>
        <v>186</v>
      </c>
      <c r="Y133" s="1041">
        <f t="shared" si="3"/>
        <v>186</v>
      </c>
      <c r="Z133" s="1041">
        <f t="shared" si="3"/>
        <v>186</v>
      </c>
      <c r="AA133" s="1041">
        <f t="shared" si="3"/>
        <v>186</v>
      </c>
      <c r="AB133" s="1042">
        <f t="shared" si="3"/>
        <v>186</v>
      </c>
      <c r="AC133" s="1043">
        <f t="shared" si="4"/>
        <v>62</v>
      </c>
      <c r="AD133" s="1041">
        <f t="shared" si="4"/>
        <v>62</v>
      </c>
      <c r="AE133" s="1041">
        <f t="shared" si="4"/>
        <v>62</v>
      </c>
      <c r="AF133" s="1041">
        <f t="shared" si="4"/>
        <v>62</v>
      </c>
      <c r="AG133" s="1042">
        <f t="shared" si="4"/>
        <v>62</v>
      </c>
      <c r="AH133" s="1038">
        <f>SUM($E133:$H133)</f>
        <v>496</v>
      </c>
      <c r="AI133" s="922">
        <f>IF($E$146&gt;0,E133,0)+IF($F$146&gt;0,F133,0)+IF($G$146&gt;0,G133,0)+IF($H$146&gt;0,H133,0)</f>
        <v>434</v>
      </c>
      <c r="AJ133" s="407">
        <v>620</v>
      </c>
      <c r="AK133" s="913" t="s">
        <v>2533</v>
      </c>
    </row>
    <row r="134" spans="1:37" ht="15">
      <c r="A134" s="1004"/>
      <c r="B134" s="1045" t="s">
        <v>2550</v>
      </c>
      <c r="C134" s="1037"/>
      <c r="D134" s="1038">
        <f t="shared" si="12"/>
        <v>7.7</v>
      </c>
      <c r="E134" s="1038">
        <f t="shared" si="6"/>
        <v>3.3</v>
      </c>
      <c r="F134" s="1038">
        <f t="shared" si="7"/>
        <v>1.1000000000000001</v>
      </c>
      <c r="G134" s="1038">
        <f t="shared" si="8"/>
        <v>3.3</v>
      </c>
      <c r="H134" s="1039">
        <f t="shared" si="9"/>
        <v>1.1000000000000001</v>
      </c>
      <c r="I134" s="941">
        <f t="shared" si="0"/>
        <v>7.7</v>
      </c>
      <c r="J134" s="922">
        <f t="shared" si="0"/>
        <v>7.7</v>
      </c>
      <c r="K134" s="922">
        <f t="shared" si="0"/>
        <v>7.7</v>
      </c>
      <c r="L134" s="922">
        <f t="shared" si="0"/>
        <v>7.7</v>
      </c>
      <c r="M134" s="1040">
        <f t="shared" si="0"/>
        <v>7.7</v>
      </c>
      <c r="N134" s="1041">
        <f t="shared" si="1"/>
        <v>3.3</v>
      </c>
      <c r="O134" s="1041">
        <f t="shared" si="1"/>
        <v>3.3</v>
      </c>
      <c r="P134" s="1041">
        <f t="shared" si="1"/>
        <v>3.3</v>
      </c>
      <c r="Q134" s="1041">
        <f t="shared" si="1"/>
        <v>3.3</v>
      </c>
      <c r="R134" s="1042">
        <f t="shared" si="1"/>
        <v>3.3</v>
      </c>
      <c r="S134" s="1043">
        <f t="shared" si="2"/>
        <v>1.1000000000000001</v>
      </c>
      <c r="T134" s="1041">
        <f t="shared" si="2"/>
        <v>1.1000000000000001</v>
      </c>
      <c r="U134" s="1041">
        <f t="shared" si="2"/>
        <v>1.1000000000000001</v>
      </c>
      <c r="V134" s="1041">
        <f t="shared" si="2"/>
        <v>1.1000000000000001</v>
      </c>
      <c r="W134" s="1042">
        <f t="shared" si="2"/>
        <v>1.1000000000000001</v>
      </c>
      <c r="X134" s="1043">
        <f t="shared" si="3"/>
        <v>3.3</v>
      </c>
      <c r="Y134" s="1041">
        <f t="shared" si="3"/>
        <v>3.3</v>
      </c>
      <c r="Z134" s="1041">
        <f t="shared" si="3"/>
        <v>3.3</v>
      </c>
      <c r="AA134" s="1041">
        <f t="shared" si="3"/>
        <v>3.3</v>
      </c>
      <c r="AB134" s="1042">
        <f t="shared" si="3"/>
        <v>3.3</v>
      </c>
      <c r="AC134" s="1043">
        <f t="shared" si="4"/>
        <v>1.1000000000000001</v>
      </c>
      <c r="AD134" s="1041">
        <f t="shared" si="4"/>
        <v>1.1000000000000001</v>
      </c>
      <c r="AE134" s="1041">
        <f t="shared" si="4"/>
        <v>1.1000000000000001</v>
      </c>
      <c r="AF134" s="1041">
        <f t="shared" si="4"/>
        <v>1.1000000000000001</v>
      </c>
      <c r="AG134" s="1042">
        <f t="shared" si="4"/>
        <v>1.1000000000000001</v>
      </c>
      <c r="AH134" s="1038">
        <f t="shared" si="10"/>
        <v>8.8000000000000007</v>
      </c>
      <c r="AI134" s="922">
        <f t="shared" si="11"/>
        <v>7.7</v>
      </c>
      <c r="AJ134" s="407">
        <v>11</v>
      </c>
      <c r="AK134" s="913" t="s">
        <v>2535</v>
      </c>
    </row>
    <row r="135" spans="1:37" ht="15">
      <c r="A135" s="1004"/>
      <c r="B135" s="1045" t="s">
        <v>2551</v>
      </c>
      <c r="C135" s="1037"/>
      <c r="D135" s="1038">
        <f t="shared" si="12"/>
        <v>4.9000000000000004</v>
      </c>
      <c r="E135" s="1038">
        <f t="shared" si="6"/>
        <v>2.1</v>
      </c>
      <c r="F135" s="1038">
        <f t="shared" si="7"/>
        <v>0.7</v>
      </c>
      <c r="G135" s="1038">
        <f t="shared" si="8"/>
        <v>2.1</v>
      </c>
      <c r="H135" s="1039">
        <f t="shared" si="9"/>
        <v>0.7</v>
      </c>
      <c r="I135" s="941">
        <f t="shared" si="0"/>
        <v>4.9000000000000004</v>
      </c>
      <c r="J135" s="922">
        <f t="shared" si="0"/>
        <v>4.9000000000000004</v>
      </c>
      <c r="K135" s="922">
        <f t="shared" si="0"/>
        <v>4.9000000000000004</v>
      </c>
      <c r="L135" s="922">
        <f t="shared" si="0"/>
        <v>4.9000000000000004</v>
      </c>
      <c r="M135" s="1040">
        <f t="shared" si="0"/>
        <v>4.9000000000000004</v>
      </c>
      <c r="N135" s="1041">
        <f t="shared" si="1"/>
        <v>2.1</v>
      </c>
      <c r="O135" s="1041">
        <f t="shared" si="1"/>
        <v>2.1</v>
      </c>
      <c r="P135" s="1041">
        <f t="shared" si="1"/>
        <v>2.1</v>
      </c>
      <c r="Q135" s="1041">
        <f t="shared" si="1"/>
        <v>2.1</v>
      </c>
      <c r="R135" s="1042">
        <f t="shared" si="1"/>
        <v>2.1</v>
      </c>
      <c r="S135" s="1043">
        <f t="shared" si="2"/>
        <v>0.7</v>
      </c>
      <c r="T135" s="1041">
        <f t="shared" si="2"/>
        <v>0.7</v>
      </c>
      <c r="U135" s="1041">
        <f t="shared" si="2"/>
        <v>0.7</v>
      </c>
      <c r="V135" s="1041">
        <f t="shared" si="2"/>
        <v>0.7</v>
      </c>
      <c r="W135" s="1042">
        <f t="shared" si="2"/>
        <v>0.7</v>
      </c>
      <c r="X135" s="1043">
        <f t="shared" si="3"/>
        <v>2.1</v>
      </c>
      <c r="Y135" s="1041">
        <f t="shared" si="3"/>
        <v>2.1</v>
      </c>
      <c r="Z135" s="1041">
        <f t="shared" si="3"/>
        <v>2.1</v>
      </c>
      <c r="AA135" s="1041">
        <f t="shared" si="3"/>
        <v>2.1</v>
      </c>
      <c r="AB135" s="1042">
        <f t="shared" si="3"/>
        <v>2.1</v>
      </c>
      <c r="AC135" s="1043">
        <f t="shared" si="4"/>
        <v>0.7</v>
      </c>
      <c r="AD135" s="1041">
        <f t="shared" si="4"/>
        <v>0.7</v>
      </c>
      <c r="AE135" s="1041">
        <f t="shared" si="4"/>
        <v>0.7</v>
      </c>
      <c r="AF135" s="1041">
        <f t="shared" si="4"/>
        <v>0.7</v>
      </c>
      <c r="AG135" s="1042">
        <f t="shared" si="4"/>
        <v>0.7</v>
      </c>
      <c r="AH135" s="1038">
        <f t="shared" si="10"/>
        <v>5.6000000000000005</v>
      </c>
      <c r="AI135" s="922">
        <f t="shared" si="11"/>
        <v>4.9000000000000004</v>
      </c>
      <c r="AJ135" s="407">
        <v>7</v>
      </c>
      <c r="AK135" s="913" t="s">
        <v>2539</v>
      </c>
    </row>
    <row r="136" spans="1:37" ht="15">
      <c r="A136" s="1004"/>
      <c r="B136" s="1045" t="s">
        <v>2552</v>
      </c>
      <c r="C136" s="1037"/>
      <c r="D136" s="1038">
        <f t="shared" si="12"/>
        <v>0.7</v>
      </c>
      <c r="E136" s="1038">
        <f t="shared" si="6"/>
        <v>0.3</v>
      </c>
      <c r="F136" s="1038">
        <f t="shared" si="7"/>
        <v>0.1</v>
      </c>
      <c r="G136" s="1038">
        <f t="shared" si="8"/>
        <v>0.3</v>
      </c>
      <c r="H136" s="1039">
        <f t="shared" si="9"/>
        <v>0.1</v>
      </c>
      <c r="I136" s="941">
        <f t="shared" si="0"/>
        <v>0.7</v>
      </c>
      <c r="J136" s="922">
        <f t="shared" si="0"/>
        <v>0.7</v>
      </c>
      <c r="K136" s="922">
        <f t="shared" si="0"/>
        <v>0.7</v>
      </c>
      <c r="L136" s="922">
        <f t="shared" si="0"/>
        <v>0.7</v>
      </c>
      <c r="M136" s="1040">
        <f t="shared" si="0"/>
        <v>0.7</v>
      </c>
      <c r="N136" s="1041">
        <f t="shared" si="1"/>
        <v>0.3</v>
      </c>
      <c r="O136" s="1041">
        <f t="shared" si="1"/>
        <v>0.3</v>
      </c>
      <c r="P136" s="1041">
        <f t="shared" si="1"/>
        <v>0.3</v>
      </c>
      <c r="Q136" s="1041">
        <f t="shared" si="1"/>
        <v>0.3</v>
      </c>
      <c r="R136" s="1042">
        <f t="shared" si="1"/>
        <v>0.3</v>
      </c>
      <c r="S136" s="1043">
        <f t="shared" si="2"/>
        <v>0.1</v>
      </c>
      <c r="T136" s="1041">
        <f t="shared" si="2"/>
        <v>0.1</v>
      </c>
      <c r="U136" s="1041">
        <f t="shared" si="2"/>
        <v>0.1</v>
      </c>
      <c r="V136" s="1041">
        <f t="shared" si="2"/>
        <v>0.1</v>
      </c>
      <c r="W136" s="1042">
        <f t="shared" si="2"/>
        <v>0.1</v>
      </c>
      <c r="X136" s="1043">
        <f t="shared" si="3"/>
        <v>0.3</v>
      </c>
      <c r="Y136" s="1041">
        <f t="shared" si="3"/>
        <v>0.3</v>
      </c>
      <c r="Z136" s="1041">
        <f t="shared" si="3"/>
        <v>0.3</v>
      </c>
      <c r="AA136" s="1041">
        <f t="shared" si="3"/>
        <v>0.3</v>
      </c>
      <c r="AB136" s="1042">
        <f t="shared" si="3"/>
        <v>0.3</v>
      </c>
      <c r="AC136" s="1043">
        <f t="shared" si="4"/>
        <v>0.1</v>
      </c>
      <c r="AD136" s="1041">
        <f t="shared" si="4"/>
        <v>0.1</v>
      </c>
      <c r="AE136" s="1041">
        <f t="shared" si="4"/>
        <v>0.1</v>
      </c>
      <c r="AF136" s="1041">
        <f t="shared" si="4"/>
        <v>0.1</v>
      </c>
      <c r="AG136" s="1042">
        <f t="shared" si="4"/>
        <v>0.1</v>
      </c>
      <c r="AH136" s="1038">
        <f t="shared" si="10"/>
        <v>0.79999999999999993</v>
      </c>
      <c r="AI136" s="922">
        <f t="shared" si="11"/>
        <v>0.7</v>
      </c>
      <c r="AJ136" s="407">
        <v>1</v>
      </c>
      <c r="AK136" s="913" t="s">
        <v>2533</v>
      </c>
    </row>
    <row r="137" spans="1:37" ht="15">
      <c r="A137" s="1004"/>
      <c r="B137" s="1045" t="s">
        <v>2553</v>
      </c>
      <c r="C137" s="1037"/>
      <c r="D137" s="1038">
        <f t="shared" si="12"/>
        <v>560</v>
      </c>
      <c r="E137" s="1038">
        <f t="shared" si="6"/>
        <v>240</v>
      </c>
      <c r="F137" s="1038">
        <f t="shared" si="7"/>
        <v>80</v>
      </c>
      <c r="G137" s="1038">
        <f t="shared" si="8"/>
        <v>240</v>
      </c>
      <c r="H137" s="1039">
        <f t="shared" si="9"/>
        <v>80</v>
      </c>
      <c r="I137" s="941">
        <f>$D137</f>
        <v>560</v>
      </c>
      <c r="J137" s="922">
        <f t="shared" si="0"/>
        <v>560</v>
      </c>
      <c r="K137" s="922">
        <f t="shared" si="0"/>
        <v>560</v>
      </c>
      <c r="L137" s="922">
        <f t="shared" si="0"/>
        <v>560</v>
      </c>
      <c r="M137" s="1040">
        <f t="shared" si="0"/>
        <v>560</v>
      </c>
      <c r="N137" s="1041">
        <f t="shared" si="1"/>
        <v>240</v>
      </c>
      <c r="O137" s="1041">
        <f t="shared" si="1"/>
        <v>240</v>
      </c>
      <c r="P137" s="1041">
        <f t="shared" si="1"/>
        <v>240</v>
      </c>
      <c r="Q137" s="1041">
        <f t="shared" si="1"/>
        <v>240</v>
      </c>
      <c r="R137" s="1042">
        <f t="shared" si="1"/>
        <v>240</v>
      </c>
      <c r="S137" s="1043">
        <f t="shared" si="2"/>
        <v>80</v>
      </c>
      <c r="T137" s="1041">
        <f t="shared" si="2"/>
        <v>80</v>
      </c>
      <c r="U137" s="1041">
        <f t="shared" si="2"/>
        <v>80</v>
      </c>
      <c r="V137" s="1041">
        <f t="shared" si="2"/>
        <v>80</v>
      </c>
      <c r="W137" s="1042">
        <f t="shared" si="2"/>
        <v>80</v>
      </c>
      <c r="X137" s="1043">
        <f t="shared" si="3"/>
        <v>240</v>
      </c>
      <c r="Y137" s="1041">
        <f t="shared" si="3"/>
        <v>240</v>
      </c>
      <c r="Z137" s="1041">
        <f t="shared" si="3"/>
        <v>240</v>
      </c>
      <c r="AA137" s="1041">
        <f t="shared" si="3"/>
        <v>240</v>
      </c>
      <c r="AB137" s="1042">
        <f t="shared" si="3"/>
        <v>240</v>
      </c>
      <c r="AC137" s="1043">
        <f t="shared" si="4"/>
        <v>80</v>
      </c>
      <c r="AD137" s="1041">
        <f t="shared" si="4"/>
        <v>80</v>
      </c>
      <c r="AE137" s="1041">
        <f t="shared" si="4"/>
        <v>80</v>
      </c>
      <c r="AF137" s="1041">
        <f t="shared" si="4"/>
        <v>80</v>
      </c>
      <c r="AG137" s="1042">
        <f t="shared" si="4"/>
        <v>80</v>
      </c>
      <c r="AH137" s="1038">
        <f t="shared" si="10"/>
        <v>640</v>
      </c>
      <c r="AI137" s="922">
        <f t="shared" si="11"/>
        <v>560</v>
      </c>
      <c r="AJ137" s="407">
        <v>800</v>
      </c>
      <c r="AK137" s="913" t="s">
        <v>2534</v>
      </c>
    </row>
    <row r="138" spans="1:37" ht="15">
      <c r="A138" s="1004"/>
      <c r="B138" s="1045" t="s">
        <v>2554</v>
      </c>
      <c r="C138" s="1037"/>
      <c r="D138" s="1038">
        <f t="shared" si="12"/>
        <v>0.7</v>
      </c>
      <c r="E138" s="1038">
        <f t="shared" si="6"/>
        <v>0.3</v>
      </c>
      <c r="F138" s="1038">
        <f t="shared" si="7"/>
        <v>0.1</v>
      </c>
      <c r="G138" s="1038">
        <f t="shared" si="8"/>
        <v>0.3</v>
      </c>
      <c r="H138" s="1039">
        <f t="shared" si="9"/>
        <v>0.1</v>
      </c>
      <c r="I138" s="941">
        <f t="shared" ref="I138:M145" si="13">$D138</f>
        <v>0.7</v>
      </c>
      <c r="J138" s="922">
        <f t="shared" si="13"/>
        <v>0.7</v>
      </c>
      <c r="K138" s="922">
        <f t="shared" si="13"/>
        <v>0.7</v>
      </c>
      <c r="L138" s="922">
        <f t="shared" si="13"/>
        <v>0.7</v>
      </c>
      <c r="M138" s="1040">
        <f t="shared" si="13"/>
        <v>0.7</v>
      </c>
      <c r="N138" s="1041">
        <f t="shared" ref="N138:R145" si="14">$E138</f>
        <v>0.3</v>
      </c>
      <c r="O138" s="1041">
        <f t="shared" si="14"/>
        <v>0.3</v>
      </c>
      <c r="P138" s="1041">
        <f t="shared" si="14"/>
        <v>0.3</v>
      </c>
      <c r="Q138" s="1041">
        <f t="shared" si="14"/>
        <v>0.3</v>
      </c>
      <c r="R138" s="1042">
        <f t="shared" si="14"/>
        <v>0.3</v>
      </c>
      <c r="S138" s="1043">
        <f t="shared" ref="S138:W145" si="15">$F138</f>
        <v>0.1</v>
      </c>
      <c r="T138" s="1041">
        <f t="shared" si="15"/>
        <v>0.1</v>
      </c>
      <c r="U138" s="1041">
        <f t="shared" si="15"/>
        <v>0.1</v>
      </c>
      <c r="V138" s="1041">
        <f t="shared" si="15"/>
        <v>0.1</v>
      </c>
      <c r="W138" s="1042">
        <f t="shared" si="15"/>
        <v>0.1</v>
      </c>
      <c r="X138" s="1043">
        <f t="shared" ref="X138:AB145" si="16">$G138</f>
        <v>0.3</v>
      </c>
      <c r="Y138" s="1041">
        <f t="shared" si="16"/>
        <v>0.3</v>
      </c>
      <c r="Z138" s="1041">
        <f t="shared" si="16"/>
        <v>0.3</v>
      </c>
      <c r="AA138" s="1041">
        <f t="shared" si="16"/>
        <v>0.3</v>
      </c>
      <c r="AB138" s="1042">
        <f t="shared" si="16"/>
        <v>0.3</v>
      </c>
      <c r="AC138" s="1043">
        <f t="shared" ref="AC138:AG145" si="17">$H138</f>
        <v>0.1</v>
      </c>
      <c r="AD138" s="1041">
        <f t="shared" si="17"/>
        <v>0.1</v>
      </c>
      <c r="AE138" s="1041">
        <f t="shared" si="17"/>
        <v>0.1</v>
      </c>
      <c r="AF138" s="1041">
        <f t="shared" si="17"/>
        <v>0.1</v>
      </c>
      <c r="AG138" s="1042">
        <f t="shared" si="17"/>
        <v>0.1</v>
      </c>
      <c r="AH138" s="1038">
        <f t="shared" si="10"/>
        <v>0.79999999999999993</v>
      </c>
      <c r="AI138" s="922">
        <f t="shared" si="11"/>
        <v>0.7</v>
      </c>
      <c r="AJ138" s="407">
        <v>1</v>
      </c>
      <c r="AK138" s="913" t="s">
        <v>2534</v>
      </c>
    </row>
    <row r="139" spans="1:37" ht="15">
      <c r="A139" s="1004"/>
      <c r="B139" s="1045" t="s">
        <v>2555</v>
      </c>
      <c r="C139" s="1037"/>
      <c r="D139" s="1038">
        <f t="shared" si="12"/>
        <v>0.73499999999999999</v>
      </c>
      <c r="E139" s="1038">
        <f t="shared" si="6"/>
        <v>0.315</v>
      </c>
      <c r="F139" s="1038">
        <f t="shared" si="7"/>
        <v>0.105</v>
      </c>
      <c r="G139" s="1038">
        <f t="shared" si="8"/>
        <v>0.315</v>
      </c>
      <c r="H139" s="1039">
        <f t="shared" si="9"/>
        <v>0.105</v>
      </c>
      <c r="I139" s="941">
        <f t="shared" si="13"/>
        <v>0.73499999999999999</v>
      </c>
      <c r="J139" s="922">
        <f t="shared" si="13"/>
        <v>0.73499999999999999</v>
      </c>
      <c r="K139" s="922">
        <f t="shared" si="13"/>
        <v>0.73499999999999999</v>
      </c>
      <c r="L139" s="922">
        <f t="shared" si="13"/>
        <v>0.73499999999999999</v>
      </c>
      <c r="M139" s="1040">
        <f t="shared" si="13"/>
        <v>0.73499999999999999</v>
      </c>
      <c r="N139" s="1041">
        <f t="shared" si="14"/>
        <v>0.315</v>
      </c>
      <c r="O139" s="1041">
        <f t="shared" si="14"/>
        <v>0.315</v>
      </c>
      <c r="P139" s="1041">
        <f t="shared" si="14"/>
        <v>0.315</v>
      </c>
      <c r="Q139" s="1041">
        <f t="shared" si="14"/>
        <v>0.315</v>
      </c>
      <c r="R139" s="1042">
        <f t="shared" si="14"/>
        <v>0.315</v>
      </c>
      <c r="S139" s="1043">
        <f t="shared" si="15"/>
        <v>0.105</v>
      </c>
      <c r="T139" s="1041">
        <f t="shared" si="15"/>
        <v>0.105</v>
      </c>
      <c r="U139" s="1041">
        <f t="shared" si="15"/>
        <v>0.105</v>
      </c>
      <c r="V139" s="1041">
        <f t="shared" si="15"/>
        <v>0.105</v>
      </c>
      <c r="W139" s="1042">
        <f t="shared" si="15"/>
        <v>0.105</v>
      </c>
      <c r="X139" s="1043">
        <f t="shared" si="16"/>
        <v>0.315</v>
      </c>
      <c r="Y139" s="1041">
        <f t="shared" si="16"/>
        <v>0.315</v>
      </c>
      <c r="Z139" s="1041">
        <f t="shared" si="16"/>
        <v>0.315</v>
      </c>
      <c r="AA139" s="1041">
        <f t="shared" si="16"/>
        <v>0.315</v>
      </c>
      <c r="AB139" s="1042">
        <f t="shared" si="16"/>
        <v>0.315</v>
      </c>
      <c r="AC139" s="1043">
        <f t="shared" si="17"/>
        <v>0.105</v>
      </c>
      <c r="AD139" s="1041">
        <f t="shared" si="17"/>
        <v>0.105</v>
      </c>
      <c r="AE139" s="1041">
        <f t="shared" si="17"/>
        <v>0.105</v>
      </c>
      <c r="AF139" s="1041">
        <f t="shared" si="17"/>
        <v>0.105</v>
      </c>
      <c r="AG139" s="1042">
        <f t="shared" si="17"/>
        <v>0.105</v>
      </c>
      <c r="AH139" s="1038">
        <f t="shared" si="10"/>
        <v>0.84</v>
      </c>
      <c r="AI139" s="922">
        <f t="shared" si="11"/>
        <v>0.73499999999999999</v>
      </c>
      <c r="AJ139" s="407">
        <v>1.05</v>
      </c>
      <c r="AK139" s="913" t="s">
        <v>2533</v>
      </c>
    </row>
    <row r="140" spans="1:37" ht="15">
      <c r="A140" s="1004"/>
      <c r="B140" s="1045" t="s">
        <v>2556</v>
      </c>
      <c r="C140" s="1037"/>
      <c r="D140" s="1038">
        <f t="shared" si="12"/>
        <v>9.1</v>
      </c>
      <c r="E140" s="1038">
        <f t="shared" si="6"/>
        <v>3.9</v>
      </c>
      <c r="F140" s="1038">
        <f t="shared" si="7"/>
        <v>1.3</v>
      </c>
      <c r="G140" s="1038">
        <f t="shared" si="8"/>
        <v>3.9</v>
      </c>
      <c r="H140" s="1039">
        <f t="shared" si="9"/>
        <v>1.3</v>
      </c>
      <c r="I140" s="941">
        <f t="shared" si="13"/>
        <v>9.1</v>
      </c>
      <c r="J140" s="922">
        <f t="shared" si="13"/>
        <v>9.1</v>
      </c>
      <c r="K140" s="922">
        <f t="shared" si="13"/>
        <v>9.1</v>
      </c>
      <c r="L140" s="922">
        <f t="shared" si="13"/>
        <v>9.1</v>
      </c>
      <c r="M140" s="1040">
        <f t="shared" si="13"/>
        <v>9.1</v>
      </c>
      <c r="N140" s="1041">
        <f t="shared" si="14"/>
        <v>3.9</v>
      </c>
      <c r="O140" s="1041">
        <f t="shared" si="14"/>
        <v>3.9</v>
      </c>
      <c r="P140" s="1041">
        <f t="shared" si="14"/>
        <v>3.9</v>
      </c>
      <c r="Q140" s="1041">
        <f t="shared" si="14"/>
        <v>3.9</v>
      </c>
      <c r="R140" s="1042">
        <f t="shared" si="14"/>
        <v>3.9</v>
      </c>
      <c r="S140" s="1043">
        <f t="shared" si="15"/>
        <v>1.3</v>
      </c>
      <c r="T140" s="1041">
        <f t="shared" si="15"/>
        <v>1.3</v>
      </c>
      <c r="U140" s="1041">
        <f t="shared" si="15"/>
        <v>1.3</v>
      </c>
      <c r="V140" s="1041">
        <f t="shared" si="15"/>
        <v>1.3</v>
      </c>
      <c r="W140" s="1042">
        <f t="shared" si="15"/>
        <v>1.3</v>
      </c>
      <c r="X140" s="1043">
        <f t="shared" si="16"/>
        <v>3.9</v>
      </c>
      <c r="Y140" s="1041">
        <f t="shared" si="16"/>
        <v>3.9</v>
      </c>
      <c r="Z140" s="1041">
        <f t="shared" si="16"/>
        <v>3.9</v>
      </c>
      <c r="AA140" s="1041">
        <f t="shared" si="16"/>
        <v>3.9</v>
      </c>
      <c r="AB140" s="1042">
        <f t="shared" si="16"/>
        <v>3.9</v>
      </c>
      <c r="AC140" s="1043">
        <f t="shared" si="17"/>
        <v>1.3</v>
      </c>
      <c r="AD140" s="1041">
        <f t="shared" si="17"/>
        <v>1.3</v>
      </c>
      <c r="AE140" s="1041">
        <f t="shared" si="17"/>
        <v>1.3</v>
      </c>
      <c r="AF140" s="1041">
        <f t="shared" si="17"/>
        <v>1.3</v>
      </c>
      <c r="AG140" s="1042">
        <f t="shared" si="17"/>
        <v>1.3</v>
      </c>
      <c r="AH140" s="1038">
        <f t="shared" si="10"/>
        <v>10.4</v>
      </c>
      <c r="AI140" s="922">
        <f t="shared" si="11"/>
        <v>9.1</v>
      </c>
      <c r="AJ140" s="407">
        <v>13</v>
      </c>
      <c r="AK140" s="913" t="s">
        <v>2533</v>
      </c>
    </row>
    <row r="141" spans="1:37" ht="15">
      <c r="A141" s="1004"/>
      <c r="B141" s="1045" t="s">
        <v>276</v>
      </c>
      <c r="C141" s="1037"/>
      <c r="D141" s="1038">
        <f t="shared" si="12"/>
        <v>0.59499999999999997</v>
      </c>
      <c r="E141" s="1038">
        <f t="shared" si="6"/>
        <v>0.255</v>
      </c>
      <c r="F141" s="1038">
        <f t="shared" si="7"/>
        <v>8.5000000000000006E-2</v>
      </c>
      <c r="G141" s="1038">
        <f t="shared" si="8"/>
        <v>0.255</v>
      </c>
      <c r="H141" s="1039">
        <f t="shared" si="9"/>
        <v>8.5000000000000006E-2</v>
      </c>
      <c r="I141" s="941">
        <f t="shared" si="13"/>
        <v>0.59499999999999997</v>
      </c>
      <c r="J141" s="922">
        <f t="shared" si="13"/>
        <v>0.59499999999999997</v>
      </c>
      <c r="K141" s="922">
        <f t="shared" si="13"/>
        <v>0.59499999999999997</v>
      </c>
      <c r="L141" s="922">
        <f t="shared" si="13"/>
        <v>0.59499999999999997</v>
      </c>
      <c r="M141" s="1040">
        <f t="shared" si="13"/>
        <v>0.59499999999999997</v>
      </c>
      <c r="N141" s="1041">
        <f t="shared" si="14"/>
        <v>0.255</v>
      </c>
      <c r="O141" s="1041">
        <f t="shared" si="14"/>
        <v>0.255</v>
      </c>
      <c r="P141" s="1041">
        <f t="shared" si="14"/>
        <v>0.255</v>
      </c>
      <c r="Q141" s="1041">
        <f t="shared" si="14"/>
        <v>0.255</v>
      </c>
      <c r="R141" s="1042">
        <f t="shared" si="14"/>
        <v>0.255</v>
      </c>
      <c r="S141" s="1043">
        <f t="shared" si="15"/>
        <v>8.5000000000000006E-2</v>
      </c>
      <c r="T141" s="1041">
        <f t="shared" si="15"/>
        <v>8.5000000000000006E-2</v>
      </c>
      <c r="U141" s="1041">
        <f t="shared" si="15"/>
        <v>8.5000000000000006E-2</v>
      </c>
      <c r="V141" s="1041">
        <f t="shared" si="15"/>
        <v>8.5000000000000006E-2</v>
      </c>
      <c r="W141" s="1042">
        <f t="shared" si="15"/>
        <v>8.5000000000000006E-2</v>
      </c>
      <c r="X141" s="1043">
        <f t="shared" si="16"/>
        <v>0.255</v>
      </c>
      <c r="Y141" s="1041">
        <f t="shared" si="16"/>
        <v>0.255</v>
      </c>
      <c r="Z141" s="1041">
        <f t="shared" si="16"/>
        <v>0.255</v>
      </c>
      <c r="AA141" s="1041">
        <f t="shared" si="16"/>
        <v>0.255</v>
      </c>
      <c r="AB141" s="1042">
        <f t="shared" si="16"/>
        <v>0.255</v>
      </c>
      <c r="AC141" s="1043">
        <f t="shared" si="17"/>
        <v>8.5000000000000006E-2</v>
      </c>
      <c r="AD141" s="1041">
        <f t="shared" si="17"/>
        <v>8.5000000000000006E-2</v>
      </c>
      <c r="AE141" s="1041">
        <f t="shared" si="17"/>
        <v>8.5000000000000006E-2</v>
      </c>
      <c r="AF141" s="1041">
        <f t="shared" si="17"/>
        <v>8.5000000000000006E-2</v>
      </c>
      <c r="AG141" s="1042">
        <f t="shared" si="17"/>
        <v>8.5000000000000006E-2</v>
      </c>
      <c r="AH141" s="1038">
        <f t="shared" si="10"/>
        <v>0.67999999999999994</v>
      </c>
      <c r="AI141" s="922">
        <f t="shared" si="11"/>
        <v>0.59499999999999997</v>
      </c>
      <c r="AJ141" s="407">
        <v>0.85</v>
      </c>
      <c r="AK141" s="913" t="s">
        <v>2533</v>
      </c>
    </row>
    <row r="142" spans="1:37" ht="15">
      <c r="A142" s="1004"/>
      <c r="B142" s="1045" t="s">
        <v>2557</v>
      </c>
      <c r="C142" s="1037"/>
      <c r="D142" s="1038">
        <f t="shared" si="12"/>
        <v>175</v>
      </c>
      <c r="E142" s="1038">
        <f t="shared" si="6"/>
        <v>75</v>
      </c>
      <c r="F142" s="1038">
        <f t="shared" si="7"/>
        <v>25</v>
      </c>
      <c r="G142" s="1038">
        <f t="shared" si="8"/>
        <v>75</v>
      </c>
      <c r="H142" s="1039">
        <f t="shared" si="9"/>
        <v>25</v>
      </c>
      <c r="I142" s="941">
        <f t="shared" si="13"/>
        <v>175</v>
      </c>
      <c r="J142" s="922">
        <f t="shared" si="13"/>
        <v>175</v>
      </c>
      <c r="K142" s="922">
        <f t="shared" si="13"/>
        <v>175</v>
      </c>
      <c r="L142" s="922">
        <f t="shared" si="13"/>
        <v>175</v>
      </c>
      <c r="M142" s="1040">
        <f t="shared" si="13"/>
        <v>175</v>
      </c>
      <c r="N142" s="1041">
        <f t="shared" si="14"/>
        <v>75</v>
      </c>
      <c r="O142" s="1041">
        <f t="shared" si="14"/>
        <v>75</v>
      </c>
      <c r="P142" s="1041">
        <f t="shared" si="14"/>
        <v>75</v>
      </c>
      <c r="Q142" s="1041">
        <f t="shared" si="14"/>
        <v>75</v>
      </c>
      <c r="R142" s="1042">
        <f t="shared" si="14"/>
        <v>75</v>
      </c>
      <c r="S142" s="1043">
        <f t="shared" si="15"/>
        <v>25</v>
      </c>
      <c r="T142" s="1041">
        <f t="shared" si="15"/>
        <v>25</v>
      </c>
      <c r="U142" s="1041">
        <f t="shared" si="15"/>
        <v>25</v>
      </c>
      <c r="V142" s="1041">
        <f t="shared" si="15"/>
        <v>25</v>
      </c>
      <c r="W142" s="1042">
        <f t="shared" si="15"/>
        <v>25</v>
      </c>
      <c r="X142" s="1043">
        <f t="shared" si="16"/>
        <v>75</v>
      </c>
      <c r="Y142" s="1041">
        <f t="shared" si="16"/>
        <v>75</v>
      </c>
      <c r="Z142" s="1041">
        <f t="shared" si="16"/>
        <v>75</v>
      </c>
      <c r="AA142" s="1041">
        <f t="shared" si="16"/>
        <v>75</v>
      </c>
      <c r="AB142" s="1042">
        <f t="shared" si="16"/>
        <v>75</v>
      </c>
      <c r="AC142" s="1043">
        <f t="shared" si="17"/>
        <v>25</v>
      </c>
      <c r="AD142" s="1041">
        <f t="shared" si="17"/>
        <v>25</v>
      </c>
      <c r="AE142" s="1041">
        <f t="shared" si="17"/>
        <v>25</v>
      </c>
      <c r="AF142" s="1041">
        <f t="shared" si="17"/>
        <v>25</v>
      </c>
      <c r="AG142" s="1042">
        <f t="shared" si="17"/>
        <v>25</v>
      </c>
      <c r="AH142" s="1038">
        <f t="shared" si="10"/>
        <v>200</v>
      </c>
      <c r="AI142" s="922">
        <f t="shared" si="11"/>
        <v>175</v>
      </c>
      <c r="AJ142" s="407">
        <v>250</v>
      </c>
      <c r="AK142" s="913" t="s">
        <v>2533</v>
      </c>
    </row>
    <row r="143" spans="1:37" ht="15">
      <c r="A143" s="1004"/>
      <c r="B143" s="1045" t="s">
        <v>2558</v>
      </c>
      <c r="C143" s="1037"/>
      <c r="D143" s="1038">
        <f t="shared" si="12"/>
        <v>1.75</v>
      </c>
      <c r="E143" s="1038">
        <f t="shared" si="6"/>
        <v>0.75</v>
      </c>
      <c r="F143" s="1038">
        <f t="shared" si="7"/>
        <v>0.25</v>
      </c>
      <c r="G143" s="1038">
        <f t="shared" si="8"/>
        <v>0.75</v>
      </c>
      <c r="H143" s="1039">
        <f t="shared" si="9"/>
        <v>0.25</v>
      </c>
      <c r="I143" s="941">
        <f t="shared" si="13"/>
        <v>1.75</v>
      </c>
      <c r="J143" s="922">
        <f t="shared" si="13"/>
        <v>1.75</v>
      </c>
      <c r="K143" s="922">
        <f t="shared" si="13"/>
        <v>1.75</v>
      </c>
      <c r="L143" s="922">
        <f t="shared" si="13"/>
        <v>1.75</v>
      </c>
      <c r="M143" s="1040">
        <f t="shared" si="13"/>
        <v>1.75</v>
      </c>
      <c r="N143" s="1041">
        <f t="shared" si="14"/>
        <v>0.75</v>
      </c>
      <c r="O143" s="1041">
        <f t="shared" si="14"/>
        <v>0.75</v>
      </c>
      <c r="P143" s="1041">
        <f t="shared" si="14"/>
        <v>0.75</v>
      </c>
      <c r="Q143" s="1041">
        <f t="shared" si="14"/>
        <v>0.75</v>
      </c>
      <c r="R143" s="1042">
        <f t="shared" si="14"/>
        <v>0.75</v>
      </c>
      <c r="S143" s="1043">
        <f t="shared" si="15"/>
        <v>0.25</v>
      </c>
      <c r="T143" s="1041">
        <f t="shared" si="15"/>
        <v>0.25</v>
      </c>
      <c r="U143" s="1041">
        <f t="shared" si="15"/>
        <v>0.25</v>
      </c>
      <c r="V143" s="1041">
        <f t="shared" si="15"/>
        <v>0.25</v>
      </c>
      <c r="W143" s="1042">
        <f t="shared" si="15"/>
        <v>0.25</v>
      </c>
      <c r="X143" s="1043">
        <f t="shared" si="16"/>
        <v>0.75</v>
      </c>
      <c r="Y143" s="1041">
        <f t="shared" si="16"/>
        <v>0.75</v>
      </c>
      <c r="Z143" s="1041">
        <f t="shared" si="16"/>
        <v>0.75</v>
      </c>
      <c r="AA143" s="1041">
        <f t="shared" si="16"/>
        <v>0.75</v>
      </c>
      <c r="AB143" s="1042">
        <f t="shared" si="16"/>
        <v>0.75</v>
      </c>
      <c r="AC143" s="1043">
        <f t="shared" si="17"/>
        <v>0.25</v>
      </c>
      <c r="AD143" s="1041">
        <f t="shared" si="17"/>
        <v>0.25</v>
      </c>
      <c r="AE143" s="1041">
        <f t="shared" si="17"/>
        <v>0.25</v>
      </c>
      <c r="AF143" s="1041">
        <f t="shared" si="17"/>
        <v>0.25</v>
      </c>
      <c r="AG143" s="1042">
        <f t="shared" si="17"/>
        <v>0.25</v>
      </c>
      <c r="AH143" s="1038">
        <f t="shared" si="10"/>
        <v>2</v>
      </c>
      <c r="AI143" s="922">
        <f t="shared" si="11"/>
        <v>1.75</v>
      </c>
      <c r="AJ143" s="407">
        <v>2.5</v>
      </c>
      <c r="AK143" s="913" t="s">
        <v>2535</v>
      </c>
    </row>
    <row r="144" spans="1:37" ht="15">
      <c r="A144" s="1004"/>
      <c r="B144" s="1045" t="s">
        <v>381</v>
      </c>
      <c r="C144" s="1037"/>
      <c r="D144" s="1038">
        <f t="shared" si="12"/>
        <v>56</v>
      </c>
      <c r="E144" s="1038">
        <f t="shared" si="6"/>
        <v>24</v>
      </c>
      <c r="F144" s="1038">
        <f t="shared" si="7"/>
        <v>8</v>
      </c>
      <c r="G144" s="1038">
        <f t="shared" si="8"/>
        <v>24</v>
      </c>
      <c r="H144" s="1039">
        <f t="shared" si="9"/>
        <v>8</v>
      </c>
      <c r="I144" s="941">
        <f t="shared" si="13"/>
        <v>56</v>
      </c>
      <c r="J144" s="922">
        <f t="shared" si="13"/>
        <v>56</v>
      </c>
      <c r="K144" s="922">
        <f t="shared" si="13"/>
        <v>56</v>
      </c>
      <c r="L144" s="922">
        <f t="shared" si="13"/>
        <v>56</v>
      </c>
      <c r="M144" s="1040">
        <f t="shared" si="13"/>
        <v>56</v>
      </c>
      <c r="N144" s="1041">
        <f t="shared" si="14"/>
        <v>24</v>
      </c>
      <c r="O144" s="1041">
        <f t="shared" si="14"/>
        <v>24</v>
      </c>
      <c r="P144" s="1041">
        <f t="shared" si="14"/>
        <v>24</v>
      </c>
      <c r="Q144" s="1041">
        <f t="shared" si="14"/>
        <v>24</v>
      </c>
      <c r="R144" s="1042">
        <f t="shared" si="14"/>
        <v>24</v>
      </c>
      <c r="S144" s="1043">
        <f t="shared" si="15"/>
        <v>8</v>
      </c>
      <c r="T144" s="1041">
        <f t="shared" si="15"/>
        <v>8</v>
      </c>
      <c r="U144" s="1041">
        <f t="shared" si="15"/>
        <v>8</v>
      </c>
      <c r="V144" s="1041">
        <f t="shared" si="15"/>
        <v>8</v>
      </c>
      <c r="W144" s="1042">
        <f t="shared" si="15"/>
        <v>8</v>
      </c>
      <c r="X144" s="1043">
        <f t="shared" si="16"/>
        <v>24</v>
      </c>
      <c r="Y144" s="1041">
        <f t="shared" si="16"/>
        <v>24</v>
      </c>
      <c r="Z144" s="1041">
        <f t="shared" si="16"/>
        <v>24</v>
      </c>
      <c r="AA144" s="1041">
        <f t="shared" si="16"/>
        <v>24</v>
      </c>
      <c r="AB144" s="1042">
        <f t="shared" si="16"/>
        <v>24</v>
      </c>
      <c r="AC144" s="1043">
        <f t="shared" si="17"/>
        <v>8</v>
      </c>
      <c r="AD144" s="1041">
        <f t="shared" si="17"/>
        <v>8</v>
      </c>
      <c r="AE144" s="1041">
        <f t="shared" si="17"/>
        <v>8</v>
      </c>
      <c r="AF144" s="1041">
        <f t="shared" si="17"/>
        <v>8</v>
      </c>
      <c r="AG144" s="1042">
        <f t="shared" si="17"/>
        <v>8</v>
      </c>
      <c r="AH144" s="1038">
        <f t="shared" si="10"/>
        <v>64</v>
      </c>
      <c r="AI144" s="922">
        <f t="shared" si="11"/>
        <v>56</v>
      </c>
      <c r="AJ144" s="407">
        <v>80</v>
      </c>
      <c r="AK144" s="913" t="s">
        <v>2534</v>
      </c>
    </row>
    <row r="145" spans="1:37" ht="16" thickBot="1">
      <c r="A145" s="1004"/>
      <c r="B145" s="1046" t="s">
        <v>2559</v>
      </c>
      <c r="C145" s="1037"/>
      <c r="D145" s="1047">
        <f t="shared" si="12"/>
        <v>3.5</v>
      </c>
      <c r="E145" s="1048">
        <f t="shared" si="6"/>
        <v>1.5</v>
      </c>
      <c r="F145" s="1048">
        <f t="shared" si="7"/>
        <v>0.5</v>
      </c>
      <c r="G145" s="1048">
        <f t="shared" si="8"/>
        <v>1.5</v>
      </c>
      <c r="H145" s="1049">
        <f t="shared" si="9"/>
        <v>0.5</v>
      </c>
      <c r="I145" s="1050">
        <f t="shared" si="13"/>
        <v>3.5</v>
      </c>
      <c r="J145" s="1051">
        <f t="shared" si="13"/>
        <v>3.5</v>
      </c>
      <c r="K145" s="1051">
        <f t="shared" si="13"/>
        <v>3.5</v>
      </c>
      <c r="L145" s="1051">
        <f t="shared" si="13"/>
        <v>3.5</v>
      </c>
      <c r="M145" s="1052">
        <f t="shared" si="13"/>
        <v>3.5</v>
      </c>
      <c r="N145" s="1053">
        <f t="shared" si="14"/>
        <v>1.5</v>
      </c>
      <c r="O145" s="1053">
        <f t="shared" si="14"/>
        <v>1.5</v>
      </c>
      <c r="P145" s="1053">
        <f t="shared" si="14"/>
        <v>1.5</v>
      </c>
      <c r="Q145" s="1053">
        <f t="shared" si="14"/>
        <v>1.5</v>
      </c>
      <c r="R145" s="1054">
        <f t="shared" si="14"/>
        <v>1.5</v>
      </c>
      <c r="S145" s="1055">
        <f t="shared" si="15"/>
        <v>0.5</v>
      </c>
      <c r="T145" s="1053">
        <f t="shared" si="15"/>
        <v>0.5</v>
      </c>
      <c r="U145" s="1053">
        <f t="shared" si="15"/>
        <v>0.5</v>
      </c>
      <c r="V145" s="1053">
        <f t="shared" si="15"/>
        <v>0.5</v>
      </c>
      <c r="W145" s="1054">
        <f t="shared" si="15"/>
        <v>0.5</v>
      </c>
      <c r="X145" s="1055">
        <f t="shared" si="16"/>
        <v>1.5</v>
      </c>
      <c r="Y145" s="1053">
        <f t="shared" si="16"/>
        <v>1.5</v>
      </c>
      <c r="Z145" s="1053">
        <f t="shared" si="16"/>
        <v>1.5</v>
      </c>
      <c r="AA145" s="1053">
        <f t="shared" si="16"/>
        <v>1.5</v>
      </c>
      <c r="AB145" s="1054">
        <f t="shared" si="16"/>
        <v>1.5</v>
      </c>
      <c r="AC145" s="1055">
        <f t="shared" si="17"/>
        <v>0.5</v>
      </c>
      <c r="AD145" s="1053">
        <f t="shared" si="17"/>
        <v>0.5</v>
      </c>
      <c r="AE145" s="1053">
        <f t="shared" si="17"/>
        <v>0.5</v>
      </c>
      <c r="AF145" s="1053">
        <f t="shared" si="17"/>
        <v>0.5</v>
      </c>
      <c r="AG145" s="1054">
        <f t="shared" si="17"/>
        <v>0.5</v>
      </c>
      <c r="AH145" s="1038">
        <f t="shared" si="10"/>
        <v>4</v>
      </c>
      <c r="AI145" s="922">
        <f t="shared" si="11"/>
        <v>3.5</v>
      </c>
      <c r="AJ145" s="407">
        <v>5</v>
      </c>
      <c r="AK145" s="913" t="s">
        <v>2560</v>
      </c>
    </row>
    <row r="146" spans="1:37" ht="16" thickBot="1">
      <c r="A146" s="1004"/>
      <c r="B146" s="1030" t="s">
        <v>2561</v>
      </c>
      <c r="C146" s="919"/>
      <c r="D146" s="1056">
        <f>COUNTIF(I146:M146,"&gt;0")</f>
        <v>5</v>
      </c>
      <c r="E146" s="1056">
        <f>COUNTIF(N146:R146,"&gt;0")</f>
        <v>4</v>
      </c>
      <c r="F146" s="1056">
        <f>COUNTIF(S146:W146,"&gt;0")</f>
        <v>5</v>
      </c>
      <c r="G146" s="1056">
        <f>COUNTIF(X146:AB146,"&gt;0")</f>
        <v>5</v>
      </c>
      <c r="H146" s="1056">
        <f>COUNTIF(AC146:AG146,"&gt;0")</f>
        <v>0</v>
      </c>
      <c r="I146" s="1057">
        <f>N146+S146+X146+AC146</f>
        <v>200</v>
      </c>
      <c r="J146" s="1057">
        <f t="shared" ref="J146:M146" si="18">O146+T146+Y146+AD146</f>
        <v>300</v>
      </c>
      <c r="K146" s="1057">
        <f t="shared" si="18"/>
        <v>300</v>
      </c>
      <c r="L146" s="1057">
        <f>Q146+V146+AA146+AF146</f>
        <v>300</v>
      </c>
      <c r="M146" s="1057">
        <f t="shared" si="18"/>
        <v>300</v>
      </c>
      <c r="N146" s="1058">
        <f>Meal_entry_week_1!E11</f>
        <v>0</v>
      </c>
      <c r="O146" s="1058">
        <f>Meal_entry_week_1!E110</f>
        <v>100</v>
      </c>
      <c r="P146" s="1058">
        <f>Meal_entry_week_1!E209</f>
        <v>100</v>
      </c>
      <c r="Q146" s="1058">
        <f>Meal_entry_week_1!E308</f>
        <v>100</v>
      </c>
      <c r="R146" s="1058">
        <f>Meal_entry_week_1!E407</f>
        <v>100</v>
      </c>
      <c r="S146" s="1058">
        <f>Meal_entry_week_1!E38</f>
        <v>100</v>
      </c>
      <c r="T146" s="1058">
        <f>Meal_entry_week_1!E137</f>
        <v>100</v>
      </c>
      <c r="U146" s="1058">
        <f>Meal_entry_week_1!E236</f>
        <v>100</v>
      </c>
      <c r="V146" s="1058">
        <f>Meal_entry_week_1!E335</f>
        <v>100</v>
      </c>
      <c r="W146" s="1058">
        <f>Meal_entry_week_1!E434</f>
        <v>100</v>
      </c>
      <c r="X146" s="1058">
        <f>Meal_entry_week_1!E57</f>
        <v>100</v>
      </c>
      <c r="Y146" s="1058">
        <f>Meal_entry_week_1!E156</f>
        <v>100</v>
      </c>
      <c r="Z146" s="1058">
        <f>Meal_entry_week_1!E255</f>
        <v>100</v>
      </c>
      <c r="AA146" s="1058">
        <f>Meal_entry_week_1!E354</f>
        <v>100</v>
      </c>
      <c r="AB146" s="1058">
        <f>Meal_entry_week_1!E453</f>
        <v>100</v>
      </c>
      <c r="AC146" s="1058">
        <f>Meal_entry_week_1!E89</f>
        <v>0</v>
      </c>
      <c r="AD146" s="1058">
        <f>Meal_entry_week_1!E188</f>
        <v>0</v>
      </c>
      <c r="AE146" s="1058">
        <f>Meal_entry_week_1!E287</f>
        <v>0</v>
      </c>
      <c r="AF146" s="1058">
        <f>Meal_entry_week_1!E386</f>
        <v>0</v>
      </c>
      <c r="AG146" s="1058">
        <f>Meal_entry_week_1!E485</f>
        <v>0</v>
      </c>
      <c r="AH146" s="1058"/>
      <c r="AI146" s="1058"/>
      <c r="AJ146" s="1018"/>
      <c r="AK146" s="1018"/>
    </row>
    <row r="147" spans="1:37" ht="15" thickBot="1">
      <c r="A147" s="1004"/>
      <c r="B147" s="1034"/>
      <c r="C147" s="919"/>
      <c r="D147" s="914" t="s">
        <v>3773</v>
      </c>
      <c r="E147" s="915" t="s">
        <v>3774</v>
      </c>
      <c r="F147" s="915" t="s">
        <v>3775</v>
      </c>
      <c r="G147" s="915" t="s">
        <v>3776</v>
      </c>
      <c r="H147" s="916" t="s">
        <v>3777</v>
      </c>
      <c r="I147" s="914" t="s">
        <v>3773</v>
      </c>
      <c r="J147" s="914" t="s">
        <v>3773</v>
      </c>
      <c r="K147" s="914" t="s">
        <v>3773</v>
      </c>
      <c r="L147" s="914" t="s">
        <v>3773</v>
      </c>
      <c r="M147" s="914" t="s">
        <v>3773</v>
      </c>
      <c r="N147" s="914" t="s">
        <v>67</v>
      </c>
      <c r="O147" s="914" t="s">
        <v>67</v>
      </c>
      <c r="P147" s="914" t="s">
        <v>67</v>
      </c>
      <c r="Q147" s="914" t="s">
        <v>67</v>
      </c>
      <c r="R147" s="917" t="s">
        <v>67</v>
      </c>
      <c r="S147" s="914" t="s">
        <v>1362</v>
      </c>
      <c r="T147" s="914" t="s">
        <v>1362</v>
      </c>
      <c r="U147" s="914" t="s">
        <v>1362</v>
      </c>
      <c r="V147" s="914" t="s">
        <v>1362</v>
      </c>
      <c r="W147" s="914" t="s">
        <v>1362</v>
      </c>
      <c r="X147" s="914" t="s">
        <v>69</v>
      </c>
      <c r="Y147" s="914" t="s">
        <v>69</v>
      </c>
      <c r="Z147" s="914" t="s">
        <v>69</v>
      </c>
      <c r="AA147" s="914" t="s">
        <v>69</v>
      </c>
      <c r="AB147" s="914" t="s">
        <v>69</v>
      </c>
      <c r="AC147" s="1281" t="s">
        <v>1364</v>
      </c>
      <c r="AD147" s="1281" t="s">
        <v>1364</v>
      </c>
      <c r="AE147" s="1281" t="s">
        <v>1364</v>
      </c>
      <c r="AF147" s="1281" t="s">
        <v>1364</v>
      </c>
      <c r="AG147" s="1281" t="s">
        <v>1364</v>
      </c>
    </row>
    <row r="148" spans="1:37" ht="45">
      <c r="A148" s="1004"/>
      <c r="B148" s="940" t="s">
        <v>3742</v>
      </c>
      <c r="C148" s="919"/>
      <c r="D148" s="874" t="s">
        <v>3743</v>
      </c>
      <c r="E148" s="875" t="s">
        <v>3744</v>
      </c>
      <c r="F148" s="876" t="s">
        <v>3745</v>
      </c>
      <c r="G148" s="877" t="s">
        <v>3746</v>
      </c>
      <c r="H148" s="878" t="s">
        <v>3747</v>
      </c>
      <c r="I148" s="874" t="s">
        <v>3748</v>
      </c>
      <c r="J148" s="874" t="s">
        <v>3749</v>
      </c>
      <c r="K148" s="874" t="s">
        <v>3750</v>
      </c>
      <c r="L148" s="874" t="s">
        <v>3751</v>
      </c>
      <c r="M148" s="874" t="s">
        <v>3752</v>
      </c>
      <c r="N148" s="880" t="s">
        <v>3753</v>
      </c>
      <c r="O148" s="880" t="s">
        <v>3754</v>
      </c>
      <c r="P148" s="880" t="s">
        <v>3755</v>
      </c>
      <c r="Q148" s="880" t="s">
        <v>3756</v>
      </c>
      <c r="R148" s="880" t="s">
        <v>3757</v>
      </c>
      <c r="S148" s="882" t="s">
        <v>3758</v>
      </c>
      <c r="T148" s="882" t="s">
        <v>3759</v>
      </c>
      <c r="U148" s="882" t="s">
        <v>3760</v>
      </c>
      <c r="V148" s="882" t="s">
        <v>3761</v>
      </c>
      <c r="W148" s="882" t="s">
        <v>3762</v>
      </c>
      <c r="X148" s="884" t="s">
        <v>3768</v>
      </c>
      <c r="Y148" s="884" t="s">
        <v>3769</v>
      </c>
      <c r="Z148" s="884" t="s">
        <v>3770</v>
      </c>
      <c r="AA148" s="884" t="s">
        <v>3771</v>
      </c>
      <c r="AB148" s="884" t="s">
        <v>3772</v>
      </c>
      <c r="AC148" s="886" t="s">
        <v>3763</v>
      </c>
      <c r="AD148" s="886" t="s">
        <v>3764</v>
      </c>
      <c r="AE148" s="886" t="s">
        <v>3765</v>
      </c>
      <c r="AF148" s="886" t="s">
        <v>3766</v>
      </c>
      <c r="AG148" s="886" t="s">
        <v>3767</v>
      </c>
    </row>
    <row r="149" spans="1:37">
      <c r="A149" s="1004"/>
      <c r="B149" s="918" t="s">
        <v>1370</v>
      </c>
      <c r="C149" s="919"/>
      <c r="D149" s="921">
        <f>SUM(E149:H149)</f>
        <v>1191.9205425142479</v>
      </c>
      <c r="E149" s="922">
        <f>Meal_entry_week_1!$W$512</f>
        <v>5.9999850000375003</v>
      </c>
      <c r="F149" s="941">
        <f>Meal_entry_week_1!$W$522</f>
        <v>352.63002373630354</v>
      </c>
      <c r="G149" s="941">
        <f>Meal_entry_week_1!$W$532</f>
        <v>833.29053377790683</v>
      </c>
      <c r="H149" s="942">
        <f>Meal_entry_week_1!$W$542</f>
        <v>0</v>
      </c>
      <c r="I149" s="921">
        <f>Meal_entry_week_1!$W$547</f>
        <v>1168.7228250349649</v>
      </c>
      <c r="J149" s="922">
        <f>Meal_entry_week_1!$W$548</f>
        <v>1039.551305034965</v>
      </c>
      <c r="K149" s="922">
        <f>Meal_entry_week_1!$W$549</f>
        <v>1353.9482766899766</v>
      </c>
      <c r="L149" s="922">
        <f>Meal_entry_week_1!$W$550</f>
        <v>1250.7879333267433</v>
      </c>
      <c r="M149" s="923">
        <f>Meal_entry_week_1!$W$551</f>
        <v>1140.6043066899767</v>
      </c>
      <c r="N149" s="922">
        <f>IF(Meal_entry_week_1!$W$32&lt;0,0,Meal_entry_week_1!$W$32)</f>
        <v>0</v>
      </c>
      <c r="O149" s="922">
        <f>IF(Meal_entry_week_1!$W$131&lt;0,0,Meal_entry_week_1!$W$131)</f>
        <v>0</v>
      </c>
      <c r="P149" s="922">
        <f>IF(Meal_entry_week_1!$W$230&lt;0,0,Meal_entry_week_1!$W$230)</f>
        <v>24</v>
      </c>
      <c r="Q149" s="922">
        <f>IF(Meal_entry_week_1!$W$329&lt;0,0,Meal_entry_week_1!$W$329)</f>
        <v>0</v>
      </c>
      <c r="R149" s="922">
        <f>IF(Meal_entry_week_1!$W$428&lt;0,0,Meal_entry_week_1!$W$428)</f>
        <v>0</v>
      </c>
      <c r="S149" s="921">
        <f>IF(Meal_entry_week_1!$W$51&lt;0,0,Meal_entry_week_1!$W$51)</f>
        <v>376.33749999999998</v>
      </c>
      <c r="T149" s="922">
        <f>IF(Meal_entry_week_1!$W$150&lt;0,0,Meal_entry_week_1!$W$150)</f>
        <v>218.8</v>
      </c>
      <c r="U149" s="922">
        <f>IF(Meal_entry_week_1!$W$249&lt;0,0,Meal_entry_week_1!$W$249)</f>
        <v>424</v>
      </c>
      <c r="V149" s="922">
        <f>IF(Meal_entry_week_1!$W$348&lt;0,0,Meal_entry_week_1!$W$348)</f>
        <v>395.01614498175491</v>
      </c>
      <c r="W149" s="923">
        <f>IF(Meal_entry_week_1!$W$447&lt;0,0,Meal_entry_week_1!$W$447)</f>
        <v>349</v>
      </c>
      <c r="X149" s="921">
        <f>IF(Meal_entry_week_1!$W$83&lt;0,0,Meal_entry_week_1!$W$83)</f>
        <v>792.38532503496504</v>
      </c>
      <c r="Y149" s="922">
        <f>IF(Meal_entry_week_1!$W$182&lt;0,0,Meal_entry_week_1!$W$182)</f>
        <v>820.75130503496507</v>
      </c>
      <c r="Z149" s="922">
        <f>IF(Meal_entry_week_1!$W$281&lt;0,0,Meal_entry_week_1!$W$281)</f>
        <v>905.94827668997664</v>
      </c>
      <c r="AA149" s="922">
        <f>IF(Meal_entry_week_1!$W$380&lt;0,0,Meal_entry_week_1!$W$380)</f>
        <v>855.77178834498841</v>
      </c>
      <c r="AB149" s="923">
        <f>IF(Meal_entry_week_1!$W$479&lt;0,0,Meal_entry_week_1!$W$479)</f>
        <v>791.60430668997674</v>
      </c>
      <c r="AC149" s="921">
        <f>IF(Meal_entry_week_1!$W$102&lt;0,0,Meal_entry_week_1!$W$102)</f>
        <v>0</v>
      </c>
      <c r="AD149" s="922">
        <f>IF(Meal_entry_week_1!$W$201&lt;0,0,Meal_entry_week_1!$W$201)</f>
        <v>0</v>
      </c>
      <c r="AE149" s="922">
        <f>IF(Meal_entry_week_1!$W$300&lt;0,0,Meal_entry_week_1!$W$300)</f>
        <v>0</v>
      </c>
      <c r="AF149" s="922">
        <f>IF(Meal_entry_week_1!$W$399&lt;0,0,Meal_entry_week_1!$W$399)</f>
        <v>0</v>
      </c>
      <c r="AG149" s="923">
        <f>IF(Meal_entry_week_1!$W$498&lt;0,0,Meal_entry_week_1!$W$498)</f>
        <v>0</v>
      </c>
    </row>
    <row r="150" spans="1:37">
      <c r="A150" s="1059"/>
      <c r="B150" s="918" t="s">
        <v>1403</v>
      </c>
      <c r="C150" s="925"/>
      <c r="D150" s="921">
        <f t="shared" ref="D150:D171" si="19">SUM(E150:H150)</f>
        <v>151.46580362724998</v>
      </c>
      <c r="E150" s="922">
        <f>Meal_entry_week_1!$X$512</f>
        <v>1.0249974375064062</v>
      </c>
      <c r="F150" s="941">
        <f>Meal_entry_week_1!$X$522</f>
        <v>37.464850619531589</v>
      </c>
      <c r="G150" s="941">
        <f>Meal_entry_week_1!$X$532</f>
        <v>112.97595557021199</v>
      </c>
      <c r="H150" s="942">
        <f>Meal_entry_week_1!$X$542</f>
        <v>0</v>
      </c>
      <c r="I150" s="921">
        <f>Meal_entry_week_1!$X$547</f>
        <v>156.18715893711638</v>
      </c>
      <c r="J150" s="922">
        <f>Meal_entry_week_1!$X$548</f>
        <v>157.52708935859991</v>
      </c>
      <c r="K150" s="922">
        <f>Meal_entry_week_1!$X$549</f>
        <v>148.07297668997668</v>
      </c>
      <c r="L150" s="922">
        <f>Meal_entry_week_1!$X$550</f>
        <v>171.33068029214178</v>
      </c>
      <c r="M150" s="923">
        <f>Meal_entry_week_1!$X$551</f>
        <v>123.18763007894499</v>
      </c>
      <c r="N150" s="922">
        <f>IF(Meal_entry_week_1!$X$32&lt;0,0,Meal_entry_week_1!$X$32)</f>
        <v>0</v>
      </c>
      <c r="O150" s="922">
        <f>IF(Meal_entry_week_1!$X$131&lt;0,0,Meal_entry_week_1!$X$131)</f>
        <v>0</v>
      </c>
      <c r="P150" s="922">
        <f>IF(Meal_entry_week_1!$X$230&lt;0,0,Meal_entry_week_1!$X$230)</f>
        <v>4.0999999999999996</v>
      </c>
      <c r="Q150" s="922">
        <f>IF(Meal_entry_week_1!$X$329&lt;0,0,Meal_entry_week_1!$X$329)</f>
        <v>0</v>
      </c>
      <c r="R150" s="922">
        <f>IF(Meal_entry_week_1!$X$428&lt;0,0,Meal_entry_week_1!$X$428)</f>
        <v>0</v>
      </c>
      <c r="S150" s="921">
        <f>IF(Meal_entry_week_1!$X$51&lt;0,0,Meal_entry_week_1!$X$51)</f>
        <v>41.480124999999994</v>
      </c>
      <c r="T150" s="922">
        <f>IF(Meal_entry_week_1!$X$150&lt;0,0,Meal_entry_week_1!$X$150)</f>
        <v>34.392000000000003</v>
      </c>
      <c r="U150" s="922">
        <f>IF(Meal_entry_week_1!$X$249&lt;0,0,Meal_entry_week_1!$X$249)</f>
        <v>28.9</v>
      </c>
      <c r="V150" s="922">
        <f>IF(Meal_entry_week_1!$X$348&lt;0,0,Meal_entry_week_1!$X$348)</f>
        <v>53.55250274616413</v>
      </c>
      <c r="W150" s="923">
        <f>IF(Meal_entry_week_1!$X$447&lt;0,0,Meal_entry_week_1!$X$447)</f>
        <v>29</v>
      </c>
      <c r="X150" s="921">
        <f>IF(Meal_entry_week_1!$X$83&lt;0,0,Meal_entry_week_1!$X$83)</f>
        <v>114.70703393711639</v>
      </c>
      <c r="Y150" s="922">
        <f>IF(Meal_entry_week_1!$X$182&lt;0,0,Meal_entry_week_1!$X$182)</f>
        <v>123.13508935859991</v>
      </c>
      <c r="Z150" s="922">
        <f>IF(Meal_entry_week_1!$X$281&lt;0,0,Meal_entry_week_1!$X$281)</f>
        <v>115.07297668997668</v>
      </c>
      <c r="AA150" s="922">
        <f>IF(Meal_entry_week_1!$X$380&lt;0,0,Meal_entry_week_1!$X$380)</f>
        <v>117.77817754597766</v>
      </c>
      <c r="AB150" s="923">
        <f>IF(Meal_entry_week_1!$X$479&lt;0,0,Meal_entry_week_1!$X$479)</f>
        <v>94.187630078944991</v>
      </c>
      <c r="AC150" s="921">
        <f>IF(Meal_entry_week_1!$X$102&lt;0,0,Meal_entry_week_1!$X$102)</f>
        <v>0</v>
      </c>
      <c r="AD150" s="922">
        <f>IF(Meal_entry_week_1!$X$201&lt;0,0,Meal_entry_week_1!$X$201)</f>
        <v>0</v>
      </c>
      <c r="AE150" s="922">
        <f>IF(Meal_entry_week_1!$X$300&lt;0,0,Meal_entry_week_1!$X$300)</f>
        <v>0</v>
      </c>
      <c r="AF150" s="922">
        <f>IF(Meal_entry_week_1!$X$399&lt;0,0,Meal_entry_week_1!$X$399)</f>
        <v>0</v>
      </c>
      <c r="AG150" s="923">
        <f>IF(Meal_entry_week_1!$X$498&lt;0,0,Meal_entry_week_1!$X$498)</f>
        <v>0</v>
      </c>
    </row>
    <row r="151" spans="1:37">
      <c r="A151" s="872"/>
      <c r="B151" s="918" t="s">
        <v>1404</v>
      </c>
      <c r="C151" s="873"/>
      <c r="D151" s="921">
        <f t="shared" si="19"/>
        <v>38.536101320764558</v>
      </c>
      <c r="E151" s="922">
        <f>Meal_entry_week_1!$Y$512</f>
        <v>0.299999250001875</v>
      </c>
      <c r="F151" s="941">
        <f>Meal_entry_week_1!$Y$522</f>
        <v>9.9439685817173658</v>
      </c>
      <c r="G151" s="941">
        <f>Meal_entry_week_1!$Y$532</f>
        <v>28.292133489045316</v>
      </c>
      <c r="H151" s="942">
        <f>Meal_entry_week_1!$Y$542</f>
        <v>0</v>
      </c>
      <c r="I151" s="921">
        <f>Meal_entry_week_1!$Y$547</f>
        <v>45.009290831742192</v>
      </c>
      <c r="J151" s="922">
        <f>Meal_entry_week_1!$Y$548</f>
        <v>35.441551040731525</v>
      </c>
      <c r="K151" s="922">
        <f>Meal_entry_week_1!$Y$549</f>
        <v>51.694333333333333</v>
      </c>
      <c r="L151" s="922">
        <f>Meal_entry_week_1!$Y$550</f>
        <v>28.713934830768473</v>
      </c>
      <c r="M151" s="923">
        <f>Meal_entry_week_1!$Y$551</f>
        <v>31.521782678258589</v>
      </c>
      <c r="N151" s="922">
        <f>IF(Meal_entry_week_1!$Y$32&lt;0,0,Meal_entry_week_1!$Y$32)</f>
        <v>0</v>
      </c>
      <c r="O151" s="922">
        <f>IF(Meal_entry_week_1!$Y$131&lt;0,0,Meal_entry_week_1!$Y$131)</f>
        <v>0</v>
      </c>
      <c r="P151" s="922">
        <f>IF(Meal_entry_week_1!$Y$230&lt;0,0,Meal_entry_week_1!$Y$230)</f>
        <v>1.2</v>
      </c>
      <c r="Q151" s="922">
        <f>IF(Meal_entry_week_1!$Y$329&lt;0,0,Meal_entry_week_1!$Y$329)</f>
        <v>0</v>
      </c>
      <c r="R151" s="922">
        <f>IF(Meal_entry_week_1!$Y$428&lt;0,0,Meal_entry_week_1!$Y$428)</f>
        <v>0</v>
      </c>
      <c r="S151" s="921">
        <f>IF(Meal_entry_week_1!$Y$51&lt;0,0,Meal_entry_week_1!$Y$51)</f>
        <v>15.035625</v>
      </c>
      <c r="T151" s="922">
        <f>IF(Meal_entry_week_1!$Y$150&lt;0,0,Meal_entry_week_1!$Y$150)</f>
        <v>10.466000000000001</v>
      </c>
      <c r="U151" s="922">
        <f>IF(Meal_entry_week_1!$Y$249&lt;0,0,Meal_entry_week_1!$Y$249)</f>
        <v>12.57</v>
      </c>
      <c r="V151" s="922">
        <f>IF(Meal_entry_week_1!$Y$348&lt;0,0,Meal_entry_week_1!$Y$348)</f>
        <v>4.9483173482726421</v>
      </c>
      <c r="W151" s="923">
        <f>IF(Meal_entry_week_1!$Y$447&lt;0,0,Meal_entry_week_1!$Y$447)</f>
        <v>6.7</v>
      </c>
      <c r="X151" s="921">
        <f>IF(Meal_entry_week_1!$Y$83&lt;0,0,Meal_entry_week_1!$Y$83)</f>
        <v>29.973665831742192</v>
      </c>
      <c r="Y151" s="922">
        <f>IF(Meal_entry_week_1!$Y$182&lt;0,0,Meal_entry_week_1!$Y$182)</f>
        <v>24.975551040731528</v>
      </c>
      <c r="Z151" s="922">
        <f>IF(Meal_entry_week_1!$Y$281&lt;0,0,Meal_entry_week_1!$Y$281)</f>
        <v>37.924333333333337</v>
      </c>
      <c r="AA151" s="922">
        <f>IF(Meal_entry_week_1!$Y$380&lt;0,0,Meal_entry_week_1!$Y$380)</f>
        <v>23.765617482495831</v>
      </c>
      <c r="AB151" s="923">
        <f>IF(Meal_entry_week_1!$Y$479&lt;0,0,Meal_entry_week_1!$Y$479)</f>
        <v>24.82178267825859</v>
      </c>
      <c r="AC151" s="921">
        <f>IF(Meal_entry_week_1!$Y$102&lt;0,0,Meal_entry_week_1!$Y$102)</f>
        <v>0</v>
      </c>
      <c r="AD151" s="922">
        <f>IF(Meal_entry_week_1!$Y$201&lt;0,0,Meal_entry_week_1!$Y$201)</f>
        <v>0</v>
      </c>
      <c r="AE151" s="922">
        <f>IF(Meal_entry_week_1!$Y$300&lt;0,0,Meal_entry_week_1!$Y$300)</f>
        <v>0</v>
      </c>
      <c r="AF151" s="922">
        <f>IF(Meal_entry_week_1!$Y$399&lt;0,0,Meal_entry_week_1!$Y$399)</f>
        <v>0</v>
      </c>
      <c r="AG151" s="923">
        <f>IF(Meal_entry_week_1!$Y$498&lt;0,0,Meal_entry_week_1!$Y$498)</f>
        <v>0</v>
      </c>
    </row>
    <row r="152" spans="1:37">
      <c r="A152" s="872"/>
      <c r="B152" s="918" t="s">
        <v>1405</v>
      </c>
      <c r="C152" s="873"/>
      <c r="D152" s="921">
        <f t="shared" si="19"/>
        <v>45.506815166489176</v>
      </c>
      <c r="E152" s="922">
        <f>Meal_entry_week_1!$Z$512</f>
        <v>4.9999875000312506E-2</v>
      </c>
      <c r="F152" s="941">
        <f>Meal_entry_week_1!$Z$522</f>
        <v>17.556822872649008</v>
      </c>
      <c r="G152" s="941">
        <f>Meal_entry_week_1!$Z$532</f>
        <v>27.899992418839854</v>
      </c>
      <c r="H152" s="942">
        <f>Meal_entry_week_1!$Z$542</f>
        <v>0</v>
      </c>
      <c r="I152" s="921">
        <f>Meal_entry_week_1!$Z$547</f>
        <v>38.274943576127448</v>
      </c>
      <c r="J152" s="922">
        <f>Meal_entry_week_1!$Z$548</f>
        <v>27.421929759660344</v>
      </c>
      <c r="K152" s="922">
        <f>Meal_entry_week_1!$Z$549</f>
        <v>60.221289976689974</v>
      </c>
      <c r="L152" s="922">
        <f>Meal_entry_week_1!$Z$550</f>
        <v>47.213814725271646</v>
      </c>
      <c r="M152" s="923">
        <f>Meal_entry_week_1!$Z$551</f>
        <v>54.352552987847801</v>
      </c>
      <c r="N152" s="922">
        <f>IF(Meal_entry_week_1!$Z$32&lt;0,0,Meal_entry_week_1!$Z$32)</f>
        <v>0</v>
      </c>
      <c r="O152" s="922">
        <f>IF(Meal_entry_week_1!$Z$131&lt;0,0,Meal_entry_week_1!$Z$131)</f>
        <v>0</v>
      </c>
      <c r="P152" s="922">
        <f>IF(Meal_entry_week_1!$Z$230&lt;0,0,Meal_entry_week_1!$Z$230)</f>
        <v>0.2</v>
      </c>
      <c r="Q152" s="922">
        <f>IF(Meal_entry_week_1!$Z$329&lt;0,0,Meal_entry_week_1!$Z$329)</f>
        <v>0</v>
      </c>
      <c r="R152" s="922">
        <f>IF(Meal_entry_week_1!$Z$428&lt;0,0,Meal_entry_week_1!$Z$428)</f>
        <v>0</v>
      </c>
      <c r="S152" s="921">
        <f>IF(Meal_entry_week_1!$Z$51&lt;0,0,Meal_entry_week_1!$Z$51)</f>
        <v>16.687875000000002</v>
      </c>
      <c r="T152" s="922">
        <f>IF(Meal_entry_week_1!$Z$150&lt;0,0,Meal_entry_week_1!$Z$150)</f>
        <v>4.2367333333333335</v>
      </c>
      <c r="U152" s="922">
        <f>IF(Meal_entry_week_1!$Z$249&lt;0,0,Meal_entry_week_1!$Z$249)</f>
        <v>28.3</v>
      </c>
      <c r="V152" s="922">
        <f>IF(Meal_entry_week_1!$Z$348&lt;0,0,Meal_entry_week_1!$Z$348)</f>
        <v>17.859681598140419</v>
      </c>
      <c r="W152" s="923">
        <f>IF(Meal_entry_week_1!$Y$447&lt;0,0,Meal_entry_week_1!$Y$447)</f>
        <v>6.7</v>
      </c>
      <c r="X152" s="921">
        <f>IF(Meal_entry_week_1!$Z$83&lt;0,0,Meal_entry_week_1!$Z$83)</f>
        <v>21.587068576127447</v>
      </c>
      <c r="Y152" s="922">
        <f>IF(Meal_entry_week_1!$Z$182&lt;0,0,Meal_entry_week_1!$Z$182)</f>
        <v>23.18519642632701</v>
      </c>
      <c r="Z152" s="922">
        <f>IF(Meal_entry_week_1!$Z$281&lt;0,0,Meal_entry_week_1!$Z$281)</f>
        <v>31.72128997668997</v>
      </c>
      <c r="AA152" s="922">
        <f>IF(Meal_entry_week_1!$Z$380&lt;0,0,Meal_entry_week_1!$Z$380)</f>
        <v>29.354133127131231</v>
      </c>
      <c r="AB152" s="923">
        <f>IF(Meal_entry_week_1!$Z$479&lt;0,0,Meal_entry_week_1!$Z$479)</f>
        <v>33.652552987847798</v>
      </c>
      <c r="AC152" s="921">
        <f>IF(Meal_entry_week_1!$Z$102&lt;0,0,Meal_entry_week_1!$Z$102)</f>
        <v>0</v>
      </c>
      <c r="AD152" s="922">
        <f>IF(Meal_entry_week_1!$Z$201&lt;0,0,Meal_entry_week_1!$Z$201)</f>
        <v>0</v>
      </c>
      <c r="AE152" s="922">
        <f>IF(Meal_entry_week_1!$Z$300&lt;0,0,Meal_entry_week_1!$Z$300)</f>
        <v>0</v>
      </c>
      <c r="AF152" s="922">
        <f>IF(Meal_entry_week_1!$Z$399&lt;0,0,Meal_entry_week_1!$Z$399)</f>
        <v>0</v>
      </c>
      <c r="AG152" s="923">
        <f>IF(Meal_entry_week_1!$Z$498&lt;0,0,Meal_entry_week_1!$Z$498)</f>
        <v>0</v>
      </c>
    </row>
    <row r="153" spans="1:37">
      <c r="A153" s="872"/>
      <c r="B153" s="918" t="s">
        <v>1406</v>
      </c>
      <c r="C153" s="873"/>
      <c r="D153" s="921">
        <f t="shared" si="19"/>
        <v>17.692886207744035</v>
      </c>
      <c r="E153" s="922">
        <f>Meal_entry_week_1!$AA$512</f>
        <v>0.62499843750390627</v>
      </c>
      <c r="F153" s="941">
        <f>Meal_entry_week_1!$AA$522</f>
        <v>1.205774849522562</v>
      </c>
      <c r="G153" s="941">
        <f>Meal_entry_week_1!$AA$532</f>
        <v>15.862112920717568</v>
      </c>
      <c r="H153" s="942">
        <f>Meal_entry_week_1!$AA$542</f>
        <v>0</v>
      </c>
      <c r="I153" s="921">
        <f>Meal_entry_week_1!$AA$547</f>
        <v>21.540816624838833</v>
      </c>
      <c r="J153" s="922">
        <f>Meal_entry_week_1!$AA$548</f>
        <v>13.027966825174826</v>
      </c>
      <c r="K153" s="922">
        <f>Meal_entry_week_1!$AA$549</f>
        <v>25.445116550116552</v>
      </c>
      <c r="L153" s="922">
        <f>Meal_entry_week_1!$AA$550</f>
        <v>12.557341979971588</v>
      </c>
      <c r="M153" s="923">
        <f>Meal_entry_week_1!$AA$551</f>
        <v>15.268367549976553</v>
      </c>
      <c r="N153" s="922">
        <f>IF(Meal_entry_week_1!$AA$32&lt;0,0,Meal_entry_week_1!$AA$32)</f>
        <v>0</v>
      </c>
      <c r="O153" s="922">
        <f>IF(Meal_entry_week_1!$AA$131&lt;0,0,Meal_entry_week_1!$AA$131)</f>
        <v>0</v>
      </c>
      <c r="P153" s="922">
        <f>IF(Meal_entry_week_1!$AA$230&lt;0,0,Meal_entry_week_1!$AA$230)</f>
        <v>2.5</v>
      </c>
      <c r="Q153" s="922">
        <f>IF(Meal_entry_week_1!$AA$329&lt;0,0,Meal_entry_week_1!$AA$329)</f>
        <v>0</v>
      </c>
      <c r="R153" s="922">
        <f>IF(Meal_entry_week_1!$AA$428&lt;0,0,Meal_entry_week_1!$AA$428)</f>
        <v>0</v>
      </c>
      <c r="S153" s="921">
        <f>IF(Meal_entry_week_1!$AA$51&lt;0,0,Meal_entry_week_1!$AA$51)</f>
        <v>4.6556249999999997</v>
      </c>
      <c r="T153" s="922">
        <f>IF(Meal_entry_week_1!$AA$150&lt;0,0,Meal_entry_week_1!$AA$150)</f>
        <v>0.23679999999999998</v>
      </c>
      <c r="U153" s="922">
        <f>IF(Meal_entry_week_1!$AA$249&lt;0,0,Meal_entry_week_1!$AA$249)</f>
        <v>0</v>
      </c>
      <c r="V153" s="922">
        <f>IF(Meal_entry_week_1!$AA$348&lt;0,0,Meal_entry_week_1!$AA$348)</f>
        <v>1.1432613053613054</v>
      </c>
      <c r="W153" s="923">
        <f>IF(Meal_entry_week_1!$AA$447&lt;0,0,Meal_entry_week_1!$AA$447)</f>
        <v>0</v>
      </c>
      <c r="X153" s="921">
        <f>IF(Meal_entry_week_1!$AA$83&lt;0,0,Meal_entry_week_1!$AA$83)</f>
        <v>16.885191624838832</v>
      </c>
      <c r="Y153" s="922">
        <f>IF(Meal_entry_week_1!$AA$182&lt;0,0,Meal_entry_week_1!$AA$182)</f>
        <v>12.791166825174825</v>
      </c>
      <c r="Z153" s="922">
        <f>IF(Meal_entry_week_1!$AA$281&lt;0,0,Meal_entry_week_1!$AA$281)</f>
        <v>22.949116550116553</v>
      </c>
      <c r="AA153" s="922">
        <f>IF(Meal_entry_week_1!$AA$380&lt;0,0,Meal_entry_week_1!$AA$380)</f>
        <v>11.414080674610283</v>
      </c>
      <c r="AB153" s="923">
        <f>IF(Meal_entry_week_1!$AA$479&lt;0,0,Meal_entry_week_1!$AA$479)</f>
        <v>15.271167549976553</v>
      </c>
      <c r="AC153" s="921">
        <f>IF(Meal_entry_week_1!$AA$102&lt;0,0,Meal_entry_week_1!$AA$102)</f>
        <v>0</v>
      </c>
      <c r="AD153" s="922">
        <f>IF(Meal_entry_week_1!$AA$201&lt;0,0,Meal_entry_week_1!$AA$201)</f>
        <v>0</v>
      </c>
      <c r="AE153" s="922">
        <f>IF(Meal_entry_week_1!$AA$300&lt;0,0,Meal_entry_week_1!$AA$300)</f>
        <v>0</v>
      </c>
      <c r="AF153" s="922">
        <f>IF(Meal_entry_week_1!$AA$399&lt;0,0,Meal_entry_week_1!$AA$399)</f>
        <v>0</v>
      </c>
      <c r="AG153" s="923">
        <f>IF(Meal_entry_week_1!$AA$498&lt;0,0,Meal_entry_week_1!$AA$498)</f>
        <v>0</v>
      </c>
    </row>
    <row r="154" spans="1:37">
      <c r="A154" s="872"/>
      <c r="B154" s="918" t="s">
        <v>1407</v>
      </c>
      <c r="C154" s="873"/>
      <c r="D154" s="921">
        <f t="shared" si="19"/>
        <v>9.5302724104377177</v>
      </c>
      <c r="E154" s="922">
        <f>Meal_entry_week_1!$AB$512</f>
        <v>2.4999937500156253E-2</v>
      </c>
      <c r="F154" s="941">
        <f>Meal_entry_week_1!$AB$522</f>
        <v>2.7817259341746881</v>
      </c>
      <c r="G154" s="941">
        <f>Meal_entry_week_1!$AB$532</f>
        <v>6.7235465387628741</v>
      </c>
      <c r="H154" s="942">
        <f>Meal_entry_week_1!$AB$542</f>
        <v>0</v>
      </c>
      <c r="I154" s="921">
        <f>Meal_entry_week_1!$AB$547</f>
        <v>9.3154851987982035</v>
      </c>
      <c r="J154" s="922">
        <f>Meal_entry_week_1!$AB$548</f>
        <v>4.5290797332996684</v>
      </c>
      <c r="K154" s="922">
        <f>Meal_entry_week_1!$AB$549</f>
        <v>10.412583916083914</v>
      </c>
      <c r="L154" s="922">
        <f>Meal_entry_week_1!$AB$550</f>
        <v>10.06272517505624</v>
      </c>
      <c r="M154" s="923">
        <f>Meal_entry_week_1!$AB$551</f>
        <v>13.30658339417451</v>
      </c>
      <c r="N154" s="922">
        <f>IF(Meal_entry_week_1!$AB$32&lt;0,0,Meal_entry_week_1!$AB$32)</f>
        <v>0</v>
      </c>
      <c r="O154" s="922">
        <f>IF(Meal_entry_week_1!$AB$131&lt;0,0,Meal_entry_week_1!$AB$131)</f>
        <v>0</v>
      </c>
      <c r="P154" s="922">
        <f>IF(Meal_entry_week_1!$AB$230&lt;0,0,Meal_entry_week_1!$AB$230)</f>
        <v>0.1</v>
      </c>
      <c r="Q154" s="922">
        <f>IF(Meal_entry_week_1!$AB$329&lt;0,0,Meal_entry_week_1!$AB$329)</f>
        <v>0</v>
      </c>
      <c r="R154" s="922">
        <f>IF(Meal_entry_week_1!$AB$428&lt;0,0,Meal_entry_week_1!$AB$428)</f>
        <v>0</v>
      </c>
      <c r="S154" s="921">
        <f>IF(Meal_entry_week_1!$AB$51&lt;0,0,Meal_entry_week_1!$AB$51)</f>
        <v>6.7454999999999998</v>
      </c>
      <c r="T154" s="922">
        <f>IF(Meal_entry_week_1!$AB$150&lt;0,0,Meal_entry_week_1!$AB$150)</f>
        <v>1.2165999999999999</v>
      </c>
      <c r="U154" s="922">
        <f>IF(Meal_entry_week_1!$AB$249&lt;0,0,Meal_entry_week_1!$AB$249)</f>
        <v>2.0960000000000001</v>
      </c>
      <c r="V154" s="922">
        <f>IF(Meal_entry_week_1!$AB$348&lt;0,0,Meal_entry_week_1!$AB$348)</f>
        <v>1.7533574881327827</v>
      </c>
      <c r="W154" s="923">
        <f>IF(Meal_entry_week_1!$AB$447&lt;0,0,Meal_entry_week_1!$AB$447)</f>
        <v>2.0972</v>
      </c>
      <c r="X154" s="921">
        <f>IF(Meal_entry_week_1!$AB$83&lt;0,0,Meal_entry_week_1!$AB$83)</f>
        <v>2.5699851987982045</v>
      </c>
      <c r="Y154" s="922">
        <f>IF(Meal_entry_week_1!$AB$182&lt;0,0,Meal_entry_week_1!$AB$182)</f>
        <v>3.3124797332996683</v>
      </c>
      <c r="Z154" s="922">
        <f>IF(Meal_entry_week_1!$AB$281&lt;0,0,Meal_entry_week_1!$AB$281)</f>
        <v>8.2165839160839145</v>
      </c>
      <c r="AA154" s="922">
        <f>IF(Meal_entry_week_1!$AB$380&lt;0,0,Meal_entry_week_1!$AB$380)</f>
        <v>8.3093676869234567</v>
      </c>
      <c r="AB154" s="923">
        <f>IF(Meal_entry_week_1!$AB$479&lt;0,0,Meal_entry_week_1!$AB$479)</f>
        <v>11.209383394174511</v>
      </c>
      <c r="AC154" s="921">
        <f>IF(Meal_entry_week_1!$AB$102&lt;0,0,Meal_entry_week_1!$AB$102)</f>
        <v>0</v>
      </c>
      <c r="AD154" s="922">
        <f>IF(Meal_entry_week_1!$AB$201&lt;0,0,Meal_entry_week_1!$AB$201)</f>
        <v>0</v>
      </c>
      <c r="AE154" s="922">
        <f>IF(Meal_entry_week_1!$AB$300&lt;0,0,Meal_entry_week_1!$AB$300)</f>
        <v>0</v>
      </c>
      <c r="AF154" s="922">
        <f>IF(Meal_entry_week_1!$AB$399&lt;0,0,Meal_entry_week_1!$AB$399)</f>
        <v>0</v>
      </c>
      <c r="AG154" s="923">
        <f>IF(Meal_entry_week_1!$AB$498&lt;0,0,Meal_entry_week_1!$AB$498)</f>
        <v>0</v>
      </c>
    </row>
    <row r="155" spans="1:37">
      <c r="A155" s="872"/>
      <c r="B155" s="918" t="s">
        <v>1408</v>
      </c>
      <c r="C155" s="873"/>
      <c r="D155" s="921">
        <f t="shared" si="19"/>
        <v>958.67291533593084</v>
      </c>
      <c r="E155" s="922">
        <f>Meal_entry_week_1!$AC$512</f>
        <v>1.2499968750078125</v>
      </c>
      <c r="F155" s="941">
        <f>Meal_entry_week_1!$AC$522</f>
        <v>199.41814011150535</v>
      </c>
      <c r="G155" s="941">
        <f>Meal_entry_week_1!$AC$532</f>
        <v>758.00477834941762</v>
      </c>
      <c r="H155" s="942">
        <f>Meal_entry_week_1!$AC$542</f>
        <v>0</v>
      </c>
      <c r="I155" s="921">
        <f>Meal_entry_week_1!$AC$547</f>
        <v>1554.279965034965</v>
      </c>
      <c r="J155" s="922">
        <f>Meal_entry_week_1!$AC$548</f>
        <v>859.16576503496492</v>
      </c>
      <c r="K155" s="922">
        <f>Meal_entry_week_1!$AC$549</f>
        <v>782.93597668997666</v>
      </c>
      <c r="L155" s="922">
        <f>Meal_entry_week_1!$AC$550</f>
        <v>829.08268308391609</v>
      </c>
      <c r="M155" s="923">
        <f>Meal_entry_week_1!$AC$551</f>
        <v>766.65977668997675</v>
      </c>
      <c r="N155" s="922">
        <f>IF(Meal_entry_week_1!$AC$32&lt;0,0,Meal_entry_week_1!$AC$32)</f>
        <v>0</v>
      </c>
      <c r="O155" s="922">
        <f>IF(Meal_entry_week_1!$AC$131&lt;0,0,Meal_entry_week_1!$AC$131)</f>
        <v>0</v>
      </c>
      <c r="P155" s="922">
        <f>IF(Meal_entry_week_1!$AC$230&lt;0,0,Meal_entry_week_1!$AC$230)</f>
        <v>5</v>
      </c>
      <c r="Q155" s="922">
        <f>IF(Meal_entry_week_1!$AC$329&lt;0,0,Meal_entry_week_1!$AC$329)</f>
        <v>0</v>
      </c>
      <c r="R155" s="922">
        <f>IF(Meal_entry_week_1!$AC$428&lt;0,0,Meal_entry_week_1!$AC$428)</f>
        <v>0</v>
      </c>
      <c r="S155" s="921">
        <f>IF(Meal_entry_week_1!$AC$51&lt;0,0,Meal_entry_week_1!$AC$51)</f>
        <v>845.875</v>
      </c>
      <c r="T155" s="922">
        <f>IF(Meal_entry_week_1!$AC$150&lt;0,0,Meal_entry_week_1!$AC$150)</f>
        <v>35.9968</v>
      </c>
      <c r="U155" s="922">
        <f>IF(Meal_entry_week_1!$AC$249&lt;0,0,Meal_entry_week_1!$AC$249)</f>
        <v>45.996000000000002</v>
      </c>
      <c r="V155" s="922">
        <f>IF(Meal_entry_week_1!$AC$348&lt;0,0,Meal_entry_week_1!$AC$348)</f>
        <v>23.227694738927738</v>
      </c>
      <c r="W155" s="923">
        <f>IF(Meal_entry_week_1!$AC$447&lt;0,0,Meal_entry_week_1!$AC$447)</f>
        <v>45.997199999999999</v>
      </c>
      <c r="X155" s="921">
        <f>IF(Meal_entry_week_1!$AC$83&lt;0,0,Meal_entry_week_1!$AC$83)</f>
        <v>708.40496503496502</v>
      </c>
      <c r="Y155" s="922">
        <f>IF(Meal_entry_week_1!$AC$182&lt;0,0,Meal_entry_week_1!$AC$182)</f>
        <v>823.16896503496491</v>
      </c>
      <c r="Z155" s="922">
        <f>IF(Meal_entry_week_1!$AC$281&lt;0,0,Meal_entry_week_1!$AC$281)</f>
        <v>731.93997668997667</v>
      </c>
      <c r="AA155" s="922">
        <f>IF(Meal_entry_week_1!$AC$380&lt;0,0,Meal_entry_week_1!$AC$380)</f>
        <v>805.85498834498833</v>
      </c>
      <c r="AB155" s="923">
        <f>IF(Meal_entry_week_1!$AC$479&lt;0,0,Meal_entry_week_1!$AC$479)</f>
        <v>720.66257668997673</v>
      </c>
      <c r="AC155" s="921">
        <f>IF(Meal_entry_week_1!$AC$102&lt;0,0,Meal_entry_week_1!$AC$102)</f>
        <v>0</v>
      </c>
      <c r="AD155" s="922">
        <f>IF(Meal_entry_week_1!$AC$201&lt;0,0,Meal_entry_week_1!$AC$201)</f>
        <v>0</v>
      </c>
      <c r="AE155" s="922">
        <f>IF(Meal_entry_week_1!$AC$300&lt;0,0,Meal_entry_week_1!$AC$300)</f>
        <v>0</v>
      </c>
      <c r="AF155" s="922">
        <f>IF(Meal_entry_week_1!$AC$399&lt;0,0,Meal_entry_week_1!$AC$399)</f>
        <v>0</v>
      </c>
      <c r="AG155" s="923">
        <f>IF(Meal_entry_week_1!$AC$498&lt;0,0,Meal_entry_week_1!$AC$498)</f>
        <v>0</v>
      </c>
    </row>
    <row r="156" spans="1:37">
      <c r="A156" s="872"/>
      <c r="B156" s="918" t="s">
        <v>1409</v>
      </c>
      <c r="C156" s="873"/>
      <c r="D156" s="921">
        <f t="shared" si="19"/>
        <v>1618.7194025612948</v>
      </c>
      <c r="E156" s="922">
        <f>Meal_entry_week_1!$AD$512</f>
        <v>79.999800000500002</v>
      </c>
      <c r="F156" s="941">
        <f>Meal_entry_week_1!$AD$522</f>
        <v>153.99567200865599</v>
      </c>
      <c r="G156" s="941">
        <f>Meal_entry_week_1!$AD$532</f>
        <v>1384.7239305521389</v>
      </c>
      <c r="H156" s="942">
        <f>Meal_entry_week_1!$AD$542</f>
        <v>0</v>
      </c>
      <c r="I156" s="921">
        <f>Meal_entry_week_1!$AD$547</f>
        <v>1984.8160000000003</v>
      </c>
      <c r="J156" s="922">
        <f>Meal_entry_week_1!$AD$548</f>
        <v>1179.5387999999998</v>
      </c>
      <c r="K156" s="922">
        <f>Meal_entry_week_1!$AD$549</f>
        <v>1877.8560000000002</v>
      </c>
      <c r="L156" s="922">
        <f>Meal_entry_week_1!$AD$550</f>
        <v>1588.6218999999999</v>
      </c>
      <c r="M156" s="923">
        <f>Meal_entry_week_1!$AD$551</f>
        <v>1382.7807</v>
      </c>
      <c r="N156" s="922">
        <f>IF(Meal_entry_week_1!$AD$32&lt;0,0,Meal_entry_week_1!$AD$32)</f>
        <v>0</v>
      </c>
      <c r="O156" s="922">
        <f>IF(Meal_entry_week_1!$AD$131&lt;0,0,Meal_entry_week_1!$AD$131)</f>
        <v>0</v>
      </c>
      <c r="P156" s="922">
        <f>IF(Meal_entry_week_1!$AD$230&lt;0,0,Meal_entry_week_1!$AD$230)</f>
        <v>320</v>
      </c>
      <c r="Q156" s="922">
        <f>IF(Meal_entry_week_1!$AD$329&lt;0,0,Meal_entry_week_1!$AD$329)</f>
        <v>0</v>
      </c>
      <c r="R156" s="922">
        <f>IF(Meal_entry_week_1!$AD$428&lt;0,0,Meal_entry_week_1!$AD$428)</f>
        <v>0</v>
      </c>
      <c r="S156" s="921">
        <f>IF(Meal_entry_week_1!$AD$51&lt;0,0,Meal_entry_week_1!$AD$51)</f>
        <v>319.14999999999998</v>
      </c>
      <c r="T156" s="922">
        <f>IF(Meal_entry_week_1!$AD$150&lt;0,0,Meal_entry_week_1!$AD$150)</f>
        <v>25.9968</v>
      </c>
      <c r="U156" s="922">
        <f>IF(Meal_entry_week_1!$AD$249&lt;0,0,Meal_entry_week_1!$AD$249)</f>
        <v>154.99600000000001</v>
      </c>
      <c r="V156" s="922">
        <f>IF(Meal_entry_week_1!$AD$348&lt;0,0,Meal_entry_week_1!$AD$348)</f>
        <v>114.83989999999999</v>
      </c>
      <c r="W156" s="923">
        <f>IF(Meal_entry_week_1!$AD$447&lt;0,0,Meal_entry_week_1!$AD$447)</f>
        <v>154.99719999999999</v>
      </c>
      <c r="X156" s="921">
        <f>IF(Meal_entry_week_1!$AD$83&lt;0,0,Meal_entry_week_1!$AD$83)</f>
        <v>1665.6660000000002</v>
      </c>
      <c r="Y156" s="922">
        <f>IF(Meal_entry_week_1!$AD$182&lt;0,0,Meal_entry_week_1!$AD$182)</f>
        <v>1153.5419999999999</v>
      </c>
      <c r="Z156" s="922">
        <f>IF(Meal_entry_week_1!$AD$281&lt;0,0,Meal_entry_week_1!$AD$281)</f>
        <v>1402.8600000000001</v>
      </c>
      <c r="AA156" s="922">
        <f>IF(Meal_entry_week_1!$AD$380&lt;0,0,Meal_entry_week_1!$AD$380)</f>
        <v>1473.7819999999999</v>
      </c>
      <c r="AB156" s="923">
        <f>IF(Meal_entry_week_1!$AD$479&lt;0,0,Meal_entry_week_1!$AD$479)</f>
        <v>1227.7835</v>
      </c>
      <c r="AC156" s="921">
        <f>IF(Meal_entry_week_1!$AD$102&lt;0,0,Meal_entry_week_1!$AD$102)</f>
        <v>0</v>
      </c>
      <c r="AD156" s="922">
        <f>IF(Meal_entry_week_1!$AD$201&lt;0,0,Meal_entry_week_1!$AD$201)</f>
        <v>0</v>
      </c>
      <c r="AE156" s="922">
        <f>IF(Meal_entry_week_1!$AD$300&lt;0,0,Meal_entry_week_1!$AD$300)</f>
        <v>0</v>
      </c>
      <c r="AF156" s="922">
        <f>IF(Meal_entry_week_1!$AD$399&lt;0,0,Meal_entry_week_1!$AD$399)</f>
        <v>0</v>
      </c>
      <c r="AG156" s="923">
        <f>IF(Meal_entry_week_1!$AD$498&lt;0,0,Meal_entry_week_1!$AD$498)</f>
        <v>0</v>
      </c>
    </row>
    <row r="157" spans="1:37">
      <c r="A157" s="872"/>
      <c r="B157" s="918" t="s">
        <v>1410</v>
      </c>
      <c r="C157" s="873"/>
      <c r="D157" s="921">
        <f t="shared" si="19"/>
        <v>294.06066662867988</v>
      </c>
      <c r="E157" s="922">
        <f>Meal_entry_week_1!$AE$512</f>
        <v>10.499973750065626</v>
      </c>
      <c r="F157" s="941">
        <f>Meal_entry_week_1!$AE$522</f>
        <v>95.506188987622039</v>
      </c>
      <c r="G157" s="941">
        <f>Meal_entry_week_1!$AE$532</f>
        <v>188.05450389099224</v>
      </c>
      <c r="H157" s="942">
        <f>Meal_entry_week_1!$AE$542</f>
        <v>0</v>
      </c>
      <c r="I157" s="921">
        <f>Meal_entry_week_1!$AE$547</f>
        <v>374.47699999999998</v>
      </c>
      <c r="J157" s="922">
        <f>Meal_entry_week_1!$AE$548</f>
        <v>141.9228</v>
      </c>
      <c r="K157" s="922">
        <f>Meal_entry_week_1!$AE$549</f>
        <v>351.42899999999997</v>
      </c>
      <c r="L157" s="922">
        <f>Meal_entry_week_1!$AE$550</f>
        <v>220.28989999999999</v>
      </c>
      <c r="M157" s="923">
        <f>Meal_entry_week_1!$AE$551</f>
        <v>371.68760000000003</v>
      </c>
      <c r="N157" s="922">
        <f>IF(Meal_entry_week_1!$AE$32&lt;0,0,Meal_entry_week_1!$AE$32)</f>
        <v>0</v>
      </c>
      <c r="O157" s="922">
        <f>IF(Meal_entry_week_1!$AE$131&lt;0,0,Meal_entry_week_1!$AE$131)</f>
        <v>0</v>
      </c>
      <c r="P157" s="922">
        <f>IF(Meal_entry_week_1!$AE$230&lt;0,0,Meal_entry_week_1!$AE$230)</f>
        <v>42</v>
      </c>
      <c r="Q157" s="922">
        <f>IF(Meal_entry_week_1!$AE$329&lt;0,0,Meal_entry_week_1!$AE$329)</f>
        <v>0</v>
      </c>
      <c r="R157" s="922">
        <f>IF(Meal_entry_week_1!$AE$428&lt;0,0,Meal_entry_week_1!$AE$428)</f>
        <v>0</v>
      </c>
      <c r="S157" s="921">
        <f>IF(Meal_entry_week_1!$AE$51&lt;0,0,Meal_entry_week_1!$AE$51)</f>
        <v>192.4</v>
      </c>
      <c r="T157" s="922">
        <f>IF(Meal_entry_week_1!$AE$150&lt;0,0,Meal_entry_week_1!$AE$150)</f>
        <v>12.396800000000001</v>
      </c>
      <c r="U157" s="922">
        <f>IF(Meal_entry_week_1!$AE$249&lt;0,0,Meal_entry_week_1!$AE$249)</f>
        <v>119.996</v>
      </c>
      <c r="V157" s="922">
        <f>IF(Meal_entry_week_1!$AE$348&lt;0,0,Meal_entry_week_1!$AE$348)</f>
        <v>32.741900000000001</v>
      </c>
      <c r="W157" s="923">
        <f>IF(Meal_entry_week_1!$AE$447&lt;0,0,Meal_entry_week_1!$AE$447)</f>
        <v>119.99720000000001</v>
      </c>
      <c r="X157" s="921">
        <f>IF(Meal_entry_week_1!$AE$83&lt;0,0,Meal_entry_week_1!$AE$83)</f>
        <v>182.077</v>
      </c>
      <c r="Y157" s="922">
        <f>IF(Meal_entry_week_1!$AE$182&lt;0,0,Meal_entry_week_1!$AE$182)</f>
        <v>129.52599999999998</v>
      </c>
      <c r="Z157" s="922">
        <f>IF(Meal_entry_week_1!$AE$281&lt;0,0,Meal_entry_week_1!$AE$281)</f>
        <v>189.43300000000002</v>
      </c>
      <c r="AA157" s="922">
        <f>IF(Meal_entry_week_1!$AE$380&lt;0,0,Meal_entry_week_1!$AE$380)</f>
        <v>187.548</v>
      </c>
      <c r="AB157" s="923">
        <f>IF(Meal_entry_week_1!$AE$479&lt;0,0,Meal_entry_week_1!$AE$479)</f>
        <v>251.69040000000001</v>
      </c>
      <c r="AC157" s="921">
        <f>IF(Meal_entry_week_1!$AE$102&lt;0,0,Meal_entry_week_1!$AE$102)</f>
        <v>0</v>
      </c>
      <c r="AD157" s="922">
        <f>IF(Meal_entry_week_1!$AE$201&lt;0,0,Meal_entry_week_1!$AE$201)</f>
        <v>0</v>
      </c>
      <c r="AE157" s="922">
        <f>IF(Meal_entry_week_1!$AE$300&lt;0,0,Meal_entry_week_1!$AE$300)</f>
        <v>0</v>
      </c>
      <c r="AF157" s="922">
        <f>IF(Meal_entry_week_1!$AE$399&lt;0,0,Meal_entry_week_1!$AE$399)</f>
        <v>0</v>
      </c>
      <c r="AG157" s="923">
        <f>IF(Meal_entry_week_1!$AE$498&lt;0,0,Meal_entry_week_1!$AE$498)</f>
        <v>0</v>
      </c>
    </row>
    <row r="158" spans="1:37">
      <c r="A158" s="872"/>
      <c r="B158" s="918" t="s">
        <v>1411</v>
      </c>
      <c r="C158" s="873"/>
      <c r="D158" s="921">
        <f t="shared" si="19"/>
        <v>147.18584389183641</v>
      </c>
      <c r="E158" s="922">
        <f>Meal_entry_week_1!$AF$512</f>
        <v>3.4999912500218753</v>
      </c>
      <c r="F158" s="941">
        <f>Meal_entry_week_1!$AF$522</f>
        <v>13.48324912907284</v>
      </c>
      <c r="G158" s="941">
        <f>Meal_entry_week_1!$AF$532</f>
        <v>130.20260351274169</v>
      </c>
      <c r="H158" s="942">
        <f>Meal_entry_week_1!$AF$542</f>
        <v>0</v>
      </c>
      <c r="I158" s="921">
        <f>Meal_entry_week_1!$AF$547</f>
        <v>185.69855506993005</v>
      </c>
      <c r="J158" s="922">
        <f>Meal_entry_week_1!$AF$548</f>
        <v>103.44172206993008</v>
      </c>
      <c r="K158" s="922">
        <f>Meal_entry_week_1!$AF$549</f>
        <v>168.3659533799534</v>
      </c>
      <c r="L158" s="922">
        <f>Meal_entry_week_1!$AF$550</f>
        <v>152.56773216783216</v>
      </c>
      <c r="M158" s="923">
        <f>Meal_entry_week_1!$AF$551</f>
        <v>122.35673737995339</v>
      </c>
      <c r="N158" s="922">
        <f>IF(Meal_entry_week_1!$AF$32&lt;0,0,Meal_entry_week_1!$AF$32)</f>
        <v>0</v>
      </c>
      <c r="O158" s="922">
        <f>IF(Meal_entry_week_1!$AF$131&lt;0,0,Meal_entry_week_1!$AF$131)</f>
        <v>0</v>
      </c>
      <c r="P158" s="922">
        <f>IF(Meal_entry_week_1!$AF$230&lt;0,0,Meal_entry_week_1!$AF$230)</f>
        <v>14</v>
      </c>
      <c r="Q158" s="922">
        <f>IF(Meal_entry_week_1!$AF$329&lt;0,0,Meal_entry_week_1!$AF$329)</f>
        <v>0</v>
      </c>
      <c r="R158" s="922">
        <f>IF(Meal_entry_week_1!$AF$428&lt;0,0,Meal_entry_week_1!$AF$428)</f>
        <v>0</v>
      </c>
      <c r="S158" s="921">
        <f>IF(Meal_entry_week_1!$AF$51&lt;0,0,Meal_entry_week_1!$AF$51)</f>
        <v>30.578624999999999</v>
      </c>
      <c r="T158" s="922">
        <f>IF(Meal_entry_week_1!$AF$150&lt;0,0,Meal_entry_week_1!$AF$150)</f>
        <v>2.0968</v>
      </c>
      <c r="U158" s="922">
        <f>IF(Meal_entry_week_1!$AF$249&lt;0,0,Meal_entry_week_1!$AF$249)</f>
        <v>10.996</v>
      </c>
      <c r="V158" s="922">
        <f>IF(Meal_entry_week_1!$AF$348&lt;0,0,Meal_entry_week_1!$AF$348)</f>
        <v>12.747755477855478</v>
      </c>
      <c r="W158" s="923">
        <f>IF(Meal_entry_week_1!$AF$447&lt;0,0,Meal_entry_week_1!$AF$447)</f>
        <v>10.997199999999999</v>
      </c>
      <c r="X158" s="921">
        <f>IF(Meal_entry_week_1!$AF$83&lt;0,0,Meal_entry_week_1!$AF$83)</f>
        <v>155.11993006993006</v>
      </c>
      <c r="Y158" s="922">
        <f>IF(Meal_entry_week_1!$AF$182&lt;0,0,Meal_entry_week_1!$AF$182)</f>
        <v>101.34492206993008</v>
      </c>
      <c r="Z158" s="922">
        <f>IF(Meal_entry_week_1!$AF$281&lt;0,0,Meal_entry_week_1!$AF$281)</f>
        <v>143.36995337995339</v>
      </c>
      <c r="AA158" s="922">
        <f>IF(Meal_entry_week_1!$AF$380&lt;0,0,Meal_entry_week_1!$AF$380)</f>
        <v>139.8199766899767</v>
      </c>
      <c r="AB158" s="923">
        <f>IF(Meal_entry_week_1!$AF$479&lt;0,0,Meal_entry_week_1!$AF$479)</f>
        <v>111.35953737995338</v>
      </c>
      <c r="AC158" s="921">
        <f>IF(Meal_entry_week_1!$AF$102&lt;0,0,Meal_entry_week_1!$AF$102)</f>
        <v>0</v>
      </c>
      <c r="AD158" s="922">
        <f>IF(Meal_entry_week_1!$AF$201&lt;0,0,Meal_entry_week_1!$AF$201)</f>
        <v>0</v>
      </c>
      <c r="AE158" s="922">
        <f>IF(Meal_entry_week_1!$AF$300&lt;0,0,Meal_entry_week_1!$AF$300)</f>
        <v>0</v>
      </c>
      <c r="AF158" s="922">
        <f>IF(Meal_entry_week_1!$AF$399&lt;0,0,Meal_entry_week_1!$AF$399)</f>
        <v>0</v>
      </c>
      <c r="AG158" s="923">
        <f>IF(Meal_entry_week_1!$AF$498&lt;0,0,Meal_entry_week_1!$AF$498)</f>
        <v>0</v>
      </c>
    </row>
    <row r="159" spans="1:37">
      <c r="A159" s="872"/>
      <c r="B159" s="918" t="s">
        <v>1412</v>
      </c>
      <c r="C159" s="873"/>
      <c r="D159" s="921">
        <f t="shared" si="19"/>
        <v>488.49923320154608</v>
      </c>
      <c r="E159" s="922">
        <f>Meal_entry_week_1!$AG$512</f>
        <v>9.9999750000625003</v>
      </c>
      <c r="F159" s="941">
        <f>Meal_entry_week_1!$AG$522</f>
        <v>105.12476975046049</v>
      </c>
      <c r="G159" s="941">
        <f>Meal_entry_week_1!$AG$532</f>
        <v>373.37448845102307</v>
      </c>
      <c r="H159" s="942">
        <f>Meal_entry_week_1!$AG$542</f>
        <v>0</v>
      </c>
      <c r="I159" s="921">
        <f>Meal_entry_week_1!$AG$547</f>
        <v>681.46699999999998</v>
      </c>
      <c r="J159" s="922">
        <f>Meal_entry_week_1!$AG$548</f>
        <v>306.41279199999991</v>
      </c>
      <c r="K159" s="922">
        <f>Meal_entry_week_1!$AG$549</f>
        <v>566.15600000000006</v>
      </c>
      <c r="L159" s="922">
        <f>Meal_entry_week_1!$AG$550</f>
        <v>433.11589999999995</v>
      </c>
      <c r="M159" s="923">
        <f>Meal_entry_week_1!$AG$551</f>
        <v>445.34938399999999</v>
      </c>
      <c r="N159" s="922">
        <f>IF(Meal_entry_week_1!$AG$32&lt;0,0,Meal_entry_week_1!$AG$32)</f>
        <v>0</v>
      </c>
      <c r="O159" s="922">
        <f>IF(Meal_entry_week_1!$AG$131&lt;0,0,Meal_entry_week_1!$AG$131)</f>
        <v>0</v>
      </c>
      <c r="P159" s="922">
        <f>IF(Meal_entry_week_1!$AG$230&lt;0,0,Meal_entry_week_1!$AG$230)</f>
        <v>40</v>
      </c>
      <c r="Q159" s="922">
        <f>IF(Meal_entry_week_1!$AG$329&lt;0,0,Meal_entry_week_1!$AG$329)</f>
        <v>0</v>
      </c>
      <c r="R159" s="922">
        <f>IF(Meal_entry_week_1!$AG$428&lt;0,0,Meal_entry_week_1!$AG$428)</f>
        <v>0</v>
      </c>
      <c r="S159" s="921">
        <f>IF(Meal_entry_week_1!$AG$51&lt;0,0,Meal_entry_week_1!$AG$51)</f>
        <v>251.375</v>
      </c>
      <c r="T159" s="922">
        <f>IF(Meal_entry_week_1!$AG$150&lt;0,0,Meal_entry_week_1!$AG$150)</f>
        <v>10.5968</v>
      </c>
      <c r="U159" s="922">
        <f>IF(Meal_entry_week_1!$AG$249&lt;0,0,Meal_entry_week_1!$AG$249)</f>
        <v>94.995999999999995</v>
      </c>
      <c r="V159" s="922">
        <f>IF(Meal_entry_week_1!$AG$348&lt;0,0,Meal_entry_week_1!$AG$348)</f>
        <v>73.659899999999979</v>
      </c>
      <c r="W159" s="923">
        <f>IF(Meal_entry_week_1!$AG$447&lt;0,0,Meal_entry_week_1!$AG$447)</f>
        <v>94.997200000000007</v>
      </c>
      <c r="X159" s="921">
        <f>IF(Meal_entry_week_1!$AG$83&lt;0,0,Meal_entry_week_1!$AG$83)</f>
        <v>430.09199999999998</v>
      </c>
      <c r="Y159" s="922">
        <f>IF(Meal_entry_week_1!$AG$182&lt;0,0,Meal_entry_week_1!$AG$182)</f>
        <v>295.81599199999994</v>
      </c>
      <c r="Z159" s="922">
        <f>IF(Meal_entry_week_1!$AG$281&lt;0,0,Meal_entry_week_1!$AG$281)</f>
        <v>431.16000000000008</v>
      </c>
      <c r="AA159" s="922">
        <f>IF(Meal_entry_week_1!$AG$380&lt;0,0,Meal_entry_week_1!$AG$380)</f>
        <v>359.45599999999996</v>
      </c>
      <c r="AB159" s="923">
        <f>IF(Meal_entry_week_1!$AG$479&lt;0,0,Meal_entry_week_1!$AG$479)</f>
        <v>350.35218399999997</v>
      </c>
      <c r="AC159" s="921">
        <f>IF(Meal_entry_week_1!$AG$102&lt;0,0,Meal_entry_week_1!$AG$102)</f>
        <v>0</v>
      </c>
      <c r="AD159" s="922">
        <f>IF(Meal_entry_week_1!$AG$201&lt;0,0,Meal_entry_week_1!$AG$201)</f>
        <v>0</v>
      </c>
      <c r="AE159" s="922">
        <f>IF(Meal_entry_week_1!$AG$300&lt;0,0,Meal_entry_week_1!$AG$300)</f>
        <v>0</v>
      </c>
      <c r="AF159" s="922">
        <f>IF(Meal_entry_week_1!$AG$399&lt;0,0,Meal_entry_week_1!$AG$399)</f>
        <v>0</v>
      </c>
      <c r="AG159" s="923">
        <f>IF(Meal_entry_week_1!$AG$498&lt;0,0,Meal_entry_week_1!$AG$498)</f>
        <v>0</v>
      </c>
    </row>
    <row r="160" spans="1:37">
      <c r="A160" s="872"/>
      <c r="B160" s="918" t="s">
        <v>1413</v>
      </c>
      <c r="C160" s="873"/>
      <c r="D160" s="921">
        <f t="shared" si="19"/>
        <v>7.4375135581846932</v>
      </c>
      <c r="E160" s="922">
        <f>Meal_entry_week_1!$AH$512</f>
        <v>9.9999750000625012E-2</v>
      </c>
      <c r="F160" s="941">
        <f>Meal_entry_week_1!$AH$522</f>
        <v>0.63653698809289527</v>
      </c>
      <c r="G160" s="941">
        <f>Meal_entry_week_1!$AH$532</f>
        <v>6.7009768200911726</v>
      </c>
      <c r="H160" s="942">
        <f>Meal_entry_week_1!$AH$542</f>
        <v>0</v>
      </c>
      <c r="I160" s="921">
        <f>Meal_entry_week_1!$AH$547</f>
        <v>8.8756669935552353</v>
      </c>
      <c r="J160" s="922">
        <f>Meal_entry_week_1!$AH$548</f>
        <v>5.0026292006417403</v>
      </c>
      <c r="K160" s="922">
        <f>Meal_entry_week_1!$AH$549</f>
        <v>12.061144289044288</v>
      </c>
      <c r="L160" s="922">
        <f>Meal_entry_week_1!$AH$550</f>
        <v>5.1512094104442046</v>
      </c>
      <c r="M160" s="923">
        <f>Meal_entry_week_1!$AH$551</f>
        <v>5.9969925223729561</v>
      </c>
      <c r="N160" s="922">
        <f>IF(Meal_entry_week_1!$AH$32&lt;0,0,Meal_entry_week_1!$AH$32)</f>
        <v>0</v>
      </c>
      <c r="O160" s="922">
        <f>IF(Meal_entry_week_1!$AH$131&lt;0,0,Meal_entry_week_1!$AH$131)</f>
        <v>0</v>
      </c>
      <c r="P160" s="922">
        <f>IF(Meal_entry_week_1!$AH$230&lt;0,0,Meal_entry_week_1!$AH$230)</f>
        <v>0.4</v>
      </c>
      <c r="Q160" s="922">
        <f>IF(Meal_entry_week_1!$AH$329&lt;0,0,Meal_entry_week_1!$AH$329)</f>
        <v>0</v>
      </c>
      <c r="R160" s="922">
        <f>IF(Meal_entry_week_1!$AH$428&lt;0,0,Meal_entry_week_1!$AH$428)</f>
        <v>0</v>
      </c>
      <c r="S160" s="921">
        <f>IF(Meal_entry_week_1!$AH$51&lt;0,0,Meal_entry_week_1!$AH$51)</f>
        <v>2.2230000000000003</v>
      </c>
      <c r="T160" s="922">
        <f>IF(Meal_entry_week_1!$AH$150&lt;0,0,Meal_entry_week_1!$AH$150)</f>
        <v>4.8399999999999999E-2</v>
      </c>
      <c r="U160" s="922">
        <f>IF(Meal_entry_week_1!$AH$249&lt;0,0,Meal_entry_week_1!$AH$249)</f>
        <v>9.6000000000000002E-2</v>
      </c>
      <c r="V160" s="922">
        <f>IF(Meal_entry_week_1!$AH$348&lt;0,0,Meal_entry_week_1!$AH$348)</f>
        <v>0.71809130583435687</v>
      </c>
      <c r="W160" s="923">
        <f>IF(Meal_entry_week_1!$AH$447&lt;0,0,Meal_entry_week_1!$AH$447)</f>
        <v>9.7200000000000009E-2</v>
      </c>
      <c r="X160" s="921">
        <f>IF(Meal_entry_week_1!$AH$83&lt;0,0,Meal_entry_week_1!$AH$83)</f>
        <v>6.6526669935552354</v>
      </c>
      <c r="Y160" s="922">
        <f>IF(Meal_entry_week_1!$AH$182&lt;0,0,Meal_entry_week_1!$AH$182)</f>
        <v>4.9542292006417403</v>
      </c>
      <c r="Z160" s="922">
        <f>IF(Meal_entry_week_1!$AH$281&lt;0,0,Meal_entry_week_1!$AH$281)</f>
        <v>11.565144289044287</v>
      </c>
      <c r="AA160" s="922">
        <f>IF(Meal_entry_week_1!$AH$380&lt;0,0,Meal_entry_week_1!$AH$380)</f>
        <v>4.4331181046098473</v>
      </c>
      <c r="AB160" s="923">
        <f>IF(Meal_entry_week_1!$AH$479&lt;0,0,Meal_entry_week_1!$AH$479)</f>
        <v>5.8997925223729561</v>
      </c>
      <c r="AC160" s="921">
        <f>IF(Meal_entry_week_1!$AH$102&lt;0,0,Meal_entry_week_1!$AH$102)</f>
        <v>0</v>
      </c>
      <c r="AD160" s="922">
        <f>IF(Meal_entry_week_1!$AH$201&lt;0,0,Meal_entry_week_1!$AH$201)</f>
        <v>0</v>
      </c>
      <c r="AE160" s="922">
        <f>IF(Meal_entry_week_1!$AH$300&lt;0,0,Meal_entry_week_1!$AH$300)</f>
        <v>0</v>
      </c>
      <c r="AF160" s="922">
        <f>IF(Meal_entry_week_1!$AH$399&lt;0,0,Meal_entry_week_1!$AH$399)</f>
        <v>0</v>
      </c>
      <c r="AG160" s="923">
        <f>IF(Meal_entry_week_1!$AH$498&lt;0,0,Meal_entry_week_1!$AH$498)</f>
        <v>0</v>
      </c>
    </row>
    <row r="161" spans="1:34">
      <c r="A161" s="872"/>
      <c r="B161" s="918" t="s">
        <v>1414</v>
      </c>
      <c r="C161" s="873"/>
      <c r="D161" s="921">
        <f t="shared" si="19"/>
        <v>7.1664465831825401</v>
      </c>
      <c r="E161" s="922">
        <f>Meal_entry_week_1!$AI$512</f>
        <v>4.9999875000312506E-2</v>
      </c>
      <c r="F161" s="941">
        <f>Meal_entry_week_1!$AI$522</f>
        <v>0.9714647507166303</v>
      </c>
      <c r="G161" s="941">
        <f>Meal_entry_week_1!$AI$532</f>
        <v>6.1449819574655971</v>
      </c>
      <c r="H161" s="942">
        <f>Meal_entry_week_1!$AI$542</f>
        <v>0</v>
      </c>
      <c r="I161" s="921">
        <f>Meal_entry_week_1!$AI$547</f>
        <v>9.1307888597411839</v>
      </c>
      <c r="J161" s="922">
        <f>Meal_entry_week_1!$AI$548</f>
        <v>5.2172156905500318</v>
      </c>
      <c r="K161" s="922">
        <f>Meal_entry_week_1!$AI$549</f>
        <v>8.9212300699300684</v>
      </c>
      <c r="L161" s="922">
        <f>Meal_entry_week_1!$AI$550</f>
        <v>6.6360320601847853</v>
      </c>
      <c r="M161" s="923">
        <f>Meal_entry_week_1!$AI$551</f>
        <v>5.8770380249721468</v>
      </c>
      <c r="N161" s="922">
        <f>IF(Meal_entry_week_1!$AI$32&lt;0,0,Meal_entry_week_1!$AI$32)</f>
        <v>0</v>
      </c>
      <c r="O161" s="922">
        <f>IF(Meal_entry_week_1!$AI$131&lt;0,0,Meal_entry_week_1!$AI$131)</f>
        <v>0</v>
      </c>
      <c r="P161" s="922">
        <f>IF(Meal_entry_week_1!$AI$230&lt;0,0,Meal_entry_week_1!$AI$230)</f>
        <v>0.2</v>
      </c>
      <c r="Q161" s="922">
        <f>IF(Meal_entry_week_1!$AI$329&lt;0,0,Meal_entry_week_1!$AI$329)</f>
        <v>0</v>
      </c>
      <c r="R161" s="922">
        <f>IF(Meal_entry_week_1!$AI$428&lt;0,0,Meal_entry_week_1!$AI$428)</f>
        <v>0</v>
      </c>
      <c r="S161" s="921">
        <f>IF(Meal_entry_week_1!$AI$51&lt;0,0,Meal_entry_week_1!$AI$51)</f>
        <v>3.1444999999999999</v>
      </c>
      <c r="T161" s="922">
        <f>IF(Meal_entry_week_1!$AI$150&lt;0,0,Meal_entry_week_1!$AI$150)</f>
        <v>0.06</v>
      </c>
      <c r="U161" s="922">
        <f>IF(Meal_entry_week_1!$AI$249&lt;0,0,Meal_entry_week_1!$AI$249)</f>
        <v>0.58599999999999997</v>
      </c>
      <c r="V161" s="922">
        <f>IF(Meal_entry_week_1!$AI$348&lt;0,0,Meal_entry_week_1!$AI$348)</f>
        <v>0.47963346823065833</v>
      </c>
      <c r="W161" s="923">
        <f>IF(Meal_entry_week_1!$AI$447&lt;0,0,Meal_entry_week_1!$AI$447)</f>
        <v>0.58719999999999994</v>
      </c>
      <c r="X161" s="921">
        <f>IF(Meal_entry_week_1!$AI$83&lt;0,0,Meal_entry_week_1!$AI$83)</f>
        <v>5.986288859741185</v>
      </c>
      <c r="Y161" s="922">
        <f>IF(Meal_entry_week_1!$AI$182&lt;0,0,Meal_entry_week_1!$AI$182)</f>
        <v>5.1572156905500321</v>
      </c>
      <c r="Z161" s="922">
        <f>IF(Meal_entry_week_1!$AI$281&lt;0,0,Meal_entry_week_1!$AI$281)</f>
        <v>8.1352300699300688</v>
      </c>
      <c r="AA161" s="922">
        <f>IF(Meal_entry_week_1!$AI$380&lt;0,0,Meal_entry_week_1!$AI$380)</f>
        <v>6.1563985919541269</v>
      </c>
      <c r="AB161" s="923">
        <f>IF(Meal_entry_week_1!$AI$479&lt;0,0,Meal_entry_week_1!$AI$479)</f>
        <v>5.2898380249721466</v>
      </c>
      <c r="AC161" s="921">
        <f>IF(Meal_entry_week_1!$AI$102&lt;0,0,Meal_entry_week_1!$AI$102)</f>
        <v>0</v>
      </c>
      <c r="AD161" s="922">
        <f>IF(Meal_entry_week_1!$AI$201&lt;0,0,Meal_entry_week_1!$AI$201)</f>
        <v>0</v>
      </c>
      <c r="AE161" s="922">
        <f>IF(Meal_entry_week_1!$AI$300&lt;0,0,Meal_entry_week_1!$AI$300)</f>
        <v>0</v>
      </c>
      <c r="AF161" s="922">
        <f>IF(Meal_entry_week_1!$AI$399&lt;0,0,Meal_entry_week_1!$AI$399)</f>
        <v>0</v>
      </c>
      <c r="AG161" s="923">
        <f>IF(Meal_entry_week_1!$AI$498&lt;0,0,Meal_entry_week_1!$AI$498)</f>
        <v>0</v>
      </c>
    </row>
    <row r="162" spans="1:34">
      <c r="A162" s="872"/>
      <c r="B162" s="918" t="s">
        <v>1415</v>
      </c>
      <c r="C162" s="873"/>
      <c r="D162" s="921">
        <f t="shared" si="19"/>
        <v>1.0640551883465914</v>
      </c>
      <c r="E162" s="922">
        <f>Meal_entry_week_1!$AJ$512</f>
        <v>9.5833093750598963E-3</v>
      </c>
      <c r="F162" s="941">
        <f>Meal_entry_week_1!$AJ$522</f>
        <v>9.4417296329264488E-2</v>
      </c>
      <c r="G162" s="941">
        <f>Meal_entry_week_1!$AJ$532</f>
        <v>0.96005458264226706</v>
      </c>
      <c r="H162" s="942">
        <f>Meal_entry_week_1!$AJ$542</f>
        <v>0</v>
      </c>
      <c r="I162" s="921">
        <f>Meal_entry_week_1!$AJ$547</f>
        <v>1.3645106152028363</v>
      </c>
      <c r="J162" s="922">
        <f>Meal_entry_week_1!$AJ$548</f>
        <v>0.65472034155426662</v>
      </c>
      <c r="K162" s="922">
        <f>Meal_entry_week_1!$AJ$549</f>
        <v>1.3061815501165501</v>
      </c>
      <c r="L162" s="922">
        <f>Meal_entry_week_1!$AJ$550</f>
        <v>1.1575435292248999</v>
      </c>
      <c r="M162" s="923">
        <f>Meal_entry_week_1!$AJ$551</f>
        <v>0.82774723681122797</v>
      </c>
      <c r="N162" s="922">
        <f>IF(Meal_entry_week_1!$AJ$32&lt;0,0,Meal_entry_week_1!$AJ$32)</f>
        <v>0</v>
      </c>
      <c r="O162" s="922">
        <f>IF(Meal_entry_week_1!$AJ$131&lt;0,0,Meal_entry_week_1!$AJ$131)</f>
        <v>0</v>
      </c>
      <c r="P162" s="922">
        <f>IF(Meal_entry_week_1!$AJ$230&lt;0,0,Meal_entry_week_1!$AJ$230)</f>
        <v>3.833333333333333E-2</v>
      </c>
      <c r="Q162" s="922">
        <f>IF(Meal_entry_week_1!$AJ$329&lt;0,0,Meal_entry_week_1!$AJ$329)</f>
        <v>0</v>
      </c>
      <c r="R162" s="922">
        <f>IF(Meal_entry_week_1!$AJ$428&lt;0,0,Meal_entry_week_1!$AJ$428)</f>
        <v>0</v>
      </c>
      <c r="S162" s="921">
        <f>IF(Meal_entry_week_1!$AJ$51&lt;0,0,Meal_entry_week_1!$AJ$51)</f>
        <v>0.25575000000000003</v>
      </c>
      <c r="T162" s="922">
        <f>IF(Meal_entry_week_1!$AJ$150&lt;0,0,Meal_entry_week_1!$AJ$150)</f>
        <v>8.0133333333333341E-3</v>
      </c>
      <c r="U162" s="922">
        <f>IF(Meal_entry_week_1!$AJ$249&lt;0,0,Meal_entry_week_1!$AJ$249)</f>
        <v>8.6E-3</v>
      </c>
      <c r="V162" s="922">
        <f>IF(Meal_entry_week_1!$AJ$348&lt;0,0,Meal_entry_week_1!$AJ$348)</f>
        <v>0.19100409248595232</v>
      </c>
      <c r="W162" s="923">
        <f>IF(Meal_entry_week_1!$AJ$447&lt;0,0,Meal_entry_week_1!$AJ$447)</f>
        <v>8.7199999999999986E-3</v>
      </c>
      <c r="X162" s="921">
        <f>IF(Meal_entry_week_1!$AJ$83&lt;0,0,Meal_entry_week_1!$AJ$83)</f>
        <v>1.1087606152028362</v>
      </c>
      <c r="Y162" s="922">
        <f>IF(Meal_entry_week_1!$AJ$182&lt;0,0,Meal_entry_week_1!$AJ$182)</f>
        <v>0.6467070082209333</v>
      </c>
      <c r="Z162" s="922">
        <f>IF(Meal_entry_week_1!$AJ$281&lt;0,0,Meal_entry_week_1!$AJ$281)</f>
        <v>1.2592482167832169</v>
      </c>
      <c r="AA162" s="922">
        <f>IF(Meal_entry_week_1!$AJ$380&lt;0,0,Meal_entry_week_1!$AJ$380)</f>
        <v>0.96653943673894749</v>
      </c>
      <c r="AB162" s="923">
        <f>IF(Meal_entry_week_1!$AJ$479&lt;0,0,Meal_entry_week_1!$AJ$479)</f>
        <v>0.81902723681122802</v>
      </c>
      <c r="AC162" s="921">
        <f>IF(Meal_entry_week_1!$AJ$102&lt;0,0,Meal_entry_week_1!$AJ$102)</f>
        <v>0</v>
      </c>
      <c r="AD162" s="922">
        <f>IF(Meal_entry_week_1!$AJ$201&lt;0,0,Meal_entry_week_1!$AJ$201)</f>
        <v>0</v>
      </c>
      <c r="AE162" s="922">
        <f>IF(Meal_entry_week_1!$AJ$300&lt;0,0,Meal_entry_week_1!$AJ$300)</f>
        <v>0</v>
      </c>
      <c r="AF162" s="922">
        <f>IF(Meal_entry_week_1!$AJ$399&lt;0,0,Meal_entry_week_1!$AJ$399)</f>
        <v>0</v>
      </c>
      <c r="AG162" s="923">
        <f>IF(Meal_entry_week_1!$AJ$498&lt;0,0,Meal_entry_week_1!$AJ$498)</f>
        <v>0</v>
      </c>
    </row>
    <row r="163" spans="1:34">
      <c r="A163" s="872"/>
      <c r="B163" s="918" t="s">
        <v>1416</v>
      </c>
      <c r="C163" s="873"/>
      <c r="D163" s="921">
        <f t="shared" si="19"/>
        <v>415.15650419949338</v>
      </c>
      <c r="E163" s="922">
        <f>Meal_entry_week_1!$AK$512</f>
        <v>1.3749965625085938</v>
      </c>
      <c r="F163" s="941">
        <f>Meal_entry_week_1!$AK$522</f>
        <v>31.074917850164297</v>
      </c>
      <c r="G163" s="941">
        <f>Meal_entry_week_1!$AK$532</f>
        <v>382.70658978682047</v>
      </c>
      <c r="H163" s="942">
        <f>Meal_entry_week_1!$AK$542</f>
        <v>0</v>
      </c>
      <c r="I163" s="921">
        <f>Meal_entry_week_1!$AK$547</f>
        <v>492.46899999999999</v>
      </c>
      <c r="J163" s="922">
        <f>Meal_entry_week_1!$AK$548</f>
        <v>386.80679199999997</v>
      </c>
      <c r="K163" s="922">
        <f>Meal_entry_week_1!$AK$549</f>
        <v>368.02569999999997</v>
      </c>
      <c r="L163" s="922">
        <f>Meal_entry_week_1!$AK$550</f>
        <v>419.64990000000006</v>
      </c>
      <c r="M163" s="923">
        <f>Meal_entry_week_1!$AK$551</f>
        <v>407.460284</v>
      </c>
      <c r="N163" s="922">
        <f>IF(Meal_entry_week_1!$AK$32&lt;0,0,Meal_entry_week_1!$AK$32)</f>
        <v>0</v>
      </c>
      <c r="O163" s="922">
        <f>IF(Meal_entry_week_1!$AK$131&lt;0,0,Meal_entry_week_1!$AK$131)</f>
        <v>0</v>
      </c>
      <c r="P163" s="922">
        <f>IF(Meal_entry_week_1!$AK$230&lt;0,0,Meal_entry_week_1!$AK$230)</f>
        <v>5.5</v>
      </c>
      <c r="Q163" s="922">
        <f>IF(Meal_entry_week_1!$AK$329&lt;0,0,Meal_entry_week_1!$AK$329)</f>
        <v>0</v>
      </c>
      <c r="R163" s="922">
        <f>IF(Meal_entry_week_1!$AK$428&lt;0,0,Meal_entry_week_1!$AK$428)</f>
        <v>0</v>
      </c>
      <c r="S163" s="921">
        <f>IF(Meal_entry_week_1!$AK$51&lt;0,0,Meal_entry_week_1!$AK$51)</f>
        <v>30.375</v>
      </c>
      <c r="T163" s="922">
        <f>IF(Meal_entry_week_1!$AK$150&lt;0,0,Meal_entry_week_1!$AK$150)</f>
        <v>29.996799999999997</v>
      </c>
      <c r="U163" s="922">
        <f>IF(Meal_entry_week_1!$AK$249&lt;0,0,Meal_entry_week_1!$AK$249)</f>
        <v>29.995999999999999</v>
      </c>
      <c r="V163" s="922">
        <f>IF(Meal_entry_week_1!$AK$348&lt;0,0,Meal_entry_week_1!$AK$348)</f>
        <v>35.009899999999995</v>
      </c>
      <c r="W163" s="923">
        <f>IF(Meal_entry_week_1!$AK$447&lt;0,0,Meal_entry_week_1!$AK$447)</f>
        <v>29.997199999999999</v>
      </c>
      <c r="X163" s="921">
        <f>IF(Meal_entry_week_1!$AK$83&lt;0,0,Meal_entry_week_1!$AK$83)</f>
        <v>462.09399999999999</v>
      </c>
      <c r="Y163" s="922">
        <f>IF(Meal_entry_week_1!$AK$182&lt;0,0,Meal_entry_week_1!$AK$182)</f>
        <v>356.80999199999997</v>
      </c>
      <c r="Z163" s="922">
        <f>IF(Meal_entry_week_1!$AK$281&lt;0,0,Meal_entry_week_1!$AK$281)</f>
        <v>332.52969999999999</v>
      </c>
      <c r="AA163" s="922">
        <f>IF(Meal_entry_week_1!$AK$380&lt;0,0,Meal_entry_week_1!$AK$380)</f>
        <v>384.64000000000004</v>
      </c>
      <c r="AB163" s="923">
        <f>IF(Meal_entry_week_1!$AK$479&lt;0,0,Meal_entry_week_1!$AK$479)</f>
        <v>377.46308399999998</v>
      </c>
      <c r="AC163" s="921">
        <f>IF(Meal_entry_week_1!$AK$102&lt;0,0,Meal_entry_week_1!$AK$102)</f>
        <v>0</v>
      </c>
      <c r="AD163" s="922">
        <f>IF(Meal_entry_week_1!$AK$201&lt;0,0,Meal_entry_week_1!$AK$201)</f>
        <v>0</v>
      </c>
      <c r="AE163" s="922">
        <f>IF(Meal_entry_week_1!$AK$300&lt;0,0,Meal_entry_week_1!$AK$300)</f>
        <v>0</v>
      </c>
      <c r="AF163" s="922">
        <f>IF(Meal_entry_week_1!$AK$399&lt;0,0,Meal_entry_week_1!$AK$399)</f>
        <v>0</v>
      </c>
      <c r="AG163" s="923">
        <f>IF(Meal_entry_week_1!$AK$498&lt;0,0,Meal_entry_week_1!$AK$498)</f>
        <v>0</v>
      </c>
    </row>
    <row r="164" spans="1:34">
      <c r="A164" s="872"/>
      <c r="B164" s="918" t="s">
        <v>1417</v>
      </c>
      <c r="C164" s="873"/>
      <c r="D164" s="921">
        <f t="shared" si="19"/>
        <v>0.82061763339544858</v>
      </c>
      <c r="E164" s="922">
        <f>Meal_entry_week_1!$AL$512</f>
        <v>1.7499956250109378E-2</v>
      </c>
      <c r="F164" s="941">
        <f>Meal_entry_week_1!$AL$522</f>
        <v>6.4493848485809913E-2</v>
      </c>
      <c r="G164" s="941">
        <f>Meal_entry_week_1!$AL$532</f>
        <v>0.73862382865952925</v>
      </c>
      <c r="H164" s="942">
        <f>Meal_entry_week_1!$AL$542</f>
        <v>0</v>
      </c>
      <c r="I164" s="921">
        <f>Meal_entry_week_1!$AL$547</f>
        <v>0.94729914627655631</v>
      </c>
      <c r="J164" s="922">
        <f>Meal_entry_week_1!$AL$548</f>
        <v>0.91156576654457111</v>
      </c>
      <c r="K164" s="922">
        <f>Meal_entry_week_1!$AL$549</f>
        <v>0.88691841491841494</v>
      </c>
      <c r="L164" s="922">
        <f>Meal_entry_week_1!$AL$550</f>
        <v>0.77277267066016908</v>
      </c>
      <c r="M164" s="923">
        <f>Meal_entry_week_1!$AL$551</f>
        <v>0.56704041850375497</v>
      </c>
      <c r="N164" s="922">
        <f>IF(Meal_entry_week_1!$AL$32&lt;0,0,Meal_entry_week_1!$AL$32)</f>
        <v>0</v>
      </c>
      <c r="O164" s="922">
        <f>IF(Meal_entry_week_1!$AL$131&lt;0,0,Meal_entry_week_1!$AL$131)</f>
        <v>0</v>
      </c>
      <c r="P164" s="922">
        <f>IF(Meal_entry_week_1!$AL$230&lt;0,0,Meal_entry_week_1!$AL$230)</f>
        <v>7.0000000000000007E-2</v>
      </c>
      <c r="Q164" s="922">
        <f>IF(Meal_entry_week_1!$AL$329&lt;0,0,Meal_entry_week_1!$AL$329)</f>
        <v>0</v>
      </c>
      <c r="R164" s="922">
        <f>IF(Meal_entry_week_1!$AL$428&lt;0,0,Meal_entry_week_1!$AL$428)</f>
        <v>0</v>
      </c>
      <c r="S164" s="921">
        <f>IF(Meal_entry_week_1!$AL$51&lt;0,0,Meal_entry_week_1!$AL$51)</f>
        <v>0.20749999999999999</v>
      </c>
      <c r="T164" s="922">
        <f>IF(Meal_entry_week_1!$AL$150&lt;0,0,Meal_entry_week_1!$AL$150)</f>
        <v>1.5200000000000001E-3</v>
      </c>
      <c r="U164" s="922">
        <f>IF(Meal_entry_week_1!$AL$249&lt;0,0,Meal_entry_week_1!$AL$249)</f>
        <v>2.5999999999999999E-2</v>
      </c>
      <c r="V164" s="922">
        <f>IF(Meal_entry_week_1!$AL$348&lt;0,0,Meal_entry_week_1!$AL$348)</f>
        <v>6.0249887367534422E-2</v>
      </c>
      <c r="W164" s="923">
        <f>IF(Meal_entry_week_1!$AL$447&lt;0,0,Meal_entry_week_1!$AL$447)</f>
        <v>2.7199999999999998E-2</v>
      </c>
      <c r="X164" s="921">
        <f>IF(Meal_entry_week_1!$AL$83&lt;0,0,Meal_entry_week_1!$AL$83)</f>
        <v>0.7397991462765563</v>
      </c>
      <c r="Y164" s="922">
        <f>IF(Meal_entry_week_1!$AL$182&lt;0,0,Meal_entry_week_1!$AL$182)</f>
        <v>0.91004576654457114</v>
      </c>
      <c r="Z164" s="922">
        <f>IF(Meal_entry_week_1!$AL$281&lt;0,0,Meal_entry_week_1!$AL$281)</f>
        <v>0.79091841491841497</v>
      </c>
      <c r="AA164" s="922">
        <f>IF(Meal_entry_week_1!$AL$380&lt;0,0,Meal_entry_week_1!$AL$380)</f>
        <v>0.71252278329263463</v>
      </c>
      <c r="AB164" s="923">
        <f>IF(Meal_entry_week_1!$AL$479&lt;0,0,Meal_entry_week_1!$AL$479)</f>
        <v>0.53984041850375497</v>
      </c>
      <c r="AC164" s="921">
        <f>IF(Meal_entry_week_1!$AL$102&lt;0,0,Meal_entry_week_1!$AL$102)</f>
        <v>0</v>
      </c>
      <c r="AD164" s="922">
        <f>IF(Meal_entry_week_1!$AL$201&lt;0,0,Meal_entry_week_1!$AL$201)</f>
        <v>0</v>
      </c>
      <c r="AE164" s="922">
        <f>IF(Meal_entry_week_1!$AL$300&lt;0,0,Meal_entry_week_1!$AL$300)</f>
        <v>0</v>
      </c>
      <c r="AF164" s="922">
        <f>IF(Meal_entry_week_1!$AL$399&lt;0,0,Meal_entry_week_1!$AL$399)</f>
        <v>0</v>
      </c>
      <c r="AG164" s="923">
        <f>IF(Meal_entry_week_1!$AL$498&lt;0,0,Meal_entry_week_1!$AL$498)</f>
        <v>0</v>
      </c>
    </row>
    <row r="165" spans="1:34">
      <c r="A165" s="872"/>
      <c r="B165" s="918" t="s">
        <v>1418</v>
      </c>
      <c r="C165" s="873"/>
      <c r="D165" s="921">
        <f t="shared" si="19"/>
        <v>0.6698780971145355</v>
      </c>
      <c r="E165" s="922">
        <f>Meal_entry_week_1!$AM$512</f>
        <v>1.2499968750078127E-2</v>
      </c>
      <c r="F165" s="941">
        <f>Meal_entry_week_1!$AM$522</f>
        <v>0.13063244349880551</v>
      </c>
      <c r="G165" s="941">
        <f>Meal_entry_week_1!$AM$532</f>
        <v>0.52674568486565188</v>
      </c>
      <c r="H165" s="942">
        <f>Meal_entry_week_1!$AM$542</f>
        <v>0</v>
      </c>
      <c r="I165" s="921">
        <f>Meal_entry_week_1!$AM$547</f>
        <v>0.78877158107590617</v>
      </c>
      <c r="J165" s="922">
        <f>Meal_entry_week_1!$AM$548</f>
        <v>0.61412557818377489</v>
      </c>
      <c r="K165" s="922">
        <f>Meal_entry_week_1!$AM$549</f>
        <v>0.72726270396270398</v>
      </c>
      <c r="L165" s="922">
        <f>Meal_entry_week_1!$AM$550</f>
        <v>0.52885644301223611</v>
      </c>
      <c r="M165" s="923">
        <f>Meal_entry_week_1!$AM$551</f>
        <v>0.67788090936894885</v>
      </c>
      <c r="N165" s="922">
        <f>IF(Meal_entry_week_1!$AM$32&lt;0,0,Meal_entry_week_1!$AM$32)</f>
        <v>0</v>
      </c>
      <c r="O165" s="922">
        <f>IF(Meal_entry_week_1!$AM$131&lt;0,0,Meal_entry_week_1!$AM$131)</f>
        <v>0</v>
      </c>
      <c r="P165" s="922">
        <f>IF(Meal_entry_week_1!$AM$230&lt;0,0,Meal_entry_week_1!$AM$230)</f>
        <v>0.05</v>
      </c>
      <c r="Q165" s="922">
        <f>IF(Meal_entry_week_1!$AM$329&lt;0,0,Meal_entry_week_1!$AM$329)</f>
        <v>0</v>
      </c>
      <c r="R165" s="922">
        <f>IF(Meal_entry_week_1!$AM$428&lt;0,0,Meal_entry_week_1!$AM$428)</f>
        <v>0</v>
      </c>
      <c r="S165" s="921">
        <f>IF(Meal_entry_week_1!$AM$51&lt;0,0,Meal_entry_week_1!$AM$51)</f>
        <v>0.28125</v>
      </c>
      <c r="T165" s="922">
        <f>IF(Meal_entry_week_1!$AM$150&lt;0,0,Meal_entry_week_1!$AM$150)</f>
        <v>1.6199999999999999E-2</v>
      </c>
      <c r="U165" s="922">
        <f>IF(Meal_entry_week_1!$AM$249&lt;0,0,Meal_entry_week_1!$AM$249)</f>
        <v>0.13600000000000001</v>
      </c>
      <c r="V165" s="922">
        <f>IF(Meal_entry_week_1!$AM$348&lt;0,0,Meal_entry_week_1!$AM$348)</f>
        <v>8.2513523818462581E-2</v>
      </c>
      <c r="W165" s="923">
        <f>IF(Meal_entry_week_1!$AM$447&lt;0,0,Meal_entry_week_1!$AM$447)</f>
        <v>0.13720000000000002</v>
      </c>
      <c r="X165" s="921">
        <f>IF(Meal_entry_week_1!$AM$83&lt;0,0,Meal_entry_week_1!$AM$83)</f>
        <v>0.50752158107590617</v>
      </c>
      <c r="Y165" s="922">
        <f>IF(Meal_entry_week_1!$AM$182&lt;0,0,Meal_entry_week_1!$AM$182)</f>
        <v>0.5979255781837749</v>
      </c>
      <c r="Z165" s="922">
        <f>IF(Meal_entry_week_1!$AM$281&lt;0,0,Meal_entry_week_1!$AM$281)</f>
        <v>0.54126270396270404</v>
      </c>
      <c r="AA165" s="922">
        <f>IF(Meal_entry_week_1!$AM$380&lt;0,0,Meal_entry_week_1!$AM$380)</f>
        <v>0.4463429191937735</v>
      </c>
      <c r="AB165" s="923">
        <f>IF(Meal_entry_week_1!$AM$479&lt;0,0,Meal_entry_week_1!$AM$479)</f>
        <v>0.54068090936894886</v>
      </c>
      <c r="AC165" s="921">
        <f>IF(Meal_entry_week_1!$AM$102&lt;0,0,Meal_entry_week_1!$AM$102)</f>
        <v>0</v>
      </c>
      <c r="AD165" s="922">
        <f>IF(Meal_entry_week_1!$AM$201&lt;0,0,Meal_entry_week_1!$AM$201)</f>
        <v>0</v>
      </c>
      <c r="AE165" s="922">
        <f>IF(Meal_entry_week_1!$AM$300&lt;0,0,Meal_entry_week_1!$AM$300)</f>
        <v>0</v>
      </c>
      <c r="AF165" s="922">
        <f>IF(Meal_entry_week_1!$AM$399&lt;0,0,Meal_entry_week_1!$AM$399)</f>
        <v>0</v>
      </c>
      <c r="AG165" s="923">
        <f>IF(Meal_entry_week_1!$AM$498&lt;0,0,Meal_entry_week_1!$AM$498)</f>
        <v>0</v>
      </c>
    </row>
    <row r="166" spans="1:34">
      <c r="A166" s="872"/>
      <c r="B166" s="918" t="s">
        <v>1419</v>
      </c>
      <c r="C166" s="873"/>
      <c r="D166" s="921">
        <f t="shared" si="19"/>
        <v>10.874156685737415</v>
      </c>
      <c r="E166" s="922">
        <f>Meal_entry_week_1!$AN$512</f>
        <v>0.19999950000125002</v>
      </c>
      <c r="F166" s="941">
        <f>Meal_entry_week_1!$AN$522</f>
        <v>0.792065264452261</v>
      </c>
      <c r="G166" s="941">
        <f>Meal_entry_week_1!$AN$532</f>
        <v>9.8820919212839033</v>
      </c>
      <c r="H166" s="942">
        <f>Meal_entry_week_1!$AN$542</f>
        <v>0</v>
      </c>
      <c r="I166" s="921">
        <f>Meal_entry_week_1!$AN$547</f>
        <v>17.822007986654871</v>
      </c>
      <c r="J166" s="922">
        <f>Meal_entry_week_1!$AN$548</f>
        <v>8.5621118096206885</v>
      </c>
      <c r="K166" s="922">
        <f>Meal_entry_week_1!$AN$549</f>
        <v>9.5284773310023319</v>
      </c>
      <c r="L166" s="922">
        <f>Meal_entry_week_1!$AN$550</f>
        <v>9.0487033616642876</v>
      </c>
      <c r="M166" s="923">
        <f>Meal_entry_week_1!$AN$551</f>
        <v>9.2095921813105015</v>
      </c>
      <c r="N166" s="922">
        <f>IF(Meal_entry_week_1!$AN$32&lt;0,0,Meal_entry_week_1!$AN$32)</f>
        <v>0</v>
      </c>
      <c r="O166" s="922">
        <f>IF(Meal_entry_week_1!$AN$131&lt;0,0,Meal_entry_week_1!$AN$131)</f>
        <v>0</v>
      </c>
      <c r="P166" s="922">
        <f>IF(Meal_entry_week_1!$AN$230&lt;0,0,Meal_entry_week_1!$AN$230)</f>
        <v>0.8</v>
      </c>
      <c r="Q166" s="922">
        <f>IF(Meal_entry_week_1!$AN$329&lt;0,0,Meal_entry_week_1!$AN$329)</f>
        <v>0</v>
      </c>
      <c r="R166" s="922">
        <f>IF(Meal_entry_week_1!$AN$428&lt;0,0,Meal_entry_week_1!$AN$428)</f>
        <v>0</v>
      </c>
      <c r="S166" s="921">
        <f>IF(Meal_entry_week_1!$AN$51&lt;0,0,Meal_entry_week_1!$AN$51)</f>
        <v>3.2636250000000002</v>
      </c>
      <c r="T166" s="922">
        <f>IF(Meal_entry_week_1!$AN$150&lt;0,0,Meal_entry_week_1!$AN$150)</f>
        <v>6.6800000000000012E-2</v>
      </c>
      <c r="U166" s="922">
        <f>IF(Meal_entry_week_1!$AN$249&lt;0,0,Meal_entry_week_1!$AN$249)</f>
        <v>9.6000000000000002E-2</v>
      </c>
      <c r="V166" s="922">
        <f>IF(Meal_entry_week_1!$AN$348&lt;0,0,Meal_entry_week_1!$AN$348)</f>
        <v>0.4367092429139488</v>
      </c>
      <c r="W166" s="923">
        <f>IF(Meal_entry_week_1!$AN$447&lt;0,0,Meal_entry_week_1!$AN$447)</f>
        <v>9.7200000000000009E-2</v>
      </c>
      <c r="X166" s="921">
        <f>IF(Meal_entry_week_1!$AN$83&lt;0,0,Meal_entry_week_1!$AN$83)</f>
        <v>14.55838298665487</v>
      </c>
      <c r="Y166" s="922">
        <f>IF(Meal_entry_week_1!$AN$182&lt;0,0,Meal_entry_week_1!$AN$182)</f>
        <v>8.4953118096206879</v>
      </c>
      <c r="Z166" s="922">
        <f>IF(Meal_entry_week_1!$AN$281&lt;0,0,Meal_entry_week_1!$AN$281)</f>
        <v>8.6324773310023311</v>
      </c>
      <c r="AA166" s="922">
        <f>IF(Meal_entry_week_1!$AN$380&lt;0,0,Meal_entry_week_1!$AN$380)</f>
        <v>8.6119941187503386</v>
      </c>
      <c r="AB166" s="923">
        <f>IF(Meal_entry_week_1!$AN$479&lt;0,0,Meal_entry_week_1!$AN$479)</f>
        <v>9.1123921813105007</v>
      </c>
      <c r="AC166" s="921">
        <f>IF(Meal_entry_week_1!$AN$102&lt;0,0,Meal_entry_week_1!$AN$102)</f>
        <v>0</v>
      </c>
      <c r="AD166" s="922">
        <f>IF(Meal_entry_week_1!$AN$201&lt;0,0,Meal_entry_week_1!$AN$201)</f>
        <v>0</v>
      </c>
      <c r="AE166" s="922">
        <f>IF(Meal_entry_week_1!$AN$300&lt;0,0,Meal_entry_week_1!$AN$300)</f>
        <v>0</v>
      </c>
      <c r="AF166" s="922">
        <f>IF(Meal_entry_week_1!$AN$399&lt;0,0,Meal_entry_week_1!$AN$399)</f>
        <v>0</v>
      </c>
      <c r="AG166" s="923">
        <f>IF(Meal_entry_week_1!$AN$498&lt;0,0,Meal_entry_week_1!$AN$498)</f>
        <v>0</v>
      </c>
    </row>
    <row r="167" spans="1:34">
      <c r="A167" s="872"/>
      <c r="B167" s="918" t="s">
        <v>1420</v>
      </c>
      <c r="C167" s="873"/>
      <c r="D167" s="921">
        <f t="shared" si="19"/>
        <v>1.0647204947417626</v>
      </c>
      <c r="E167" s="922">
        <f>Meal_entry_week_1!$AO$512</f>
        <v>9.4999762500593762E-3</v>
      </c>
      <c r="F167" s="941">
        <f>Meal_entry_week_1!$AO$522</f>
        <v>5.5444517032064454E-2</v>
      </c>
      <c r="G167" s="941">
        <f>Meal_entry_week_1!$AO$532</f>
        <v>0.99977600145963863</v>
      </c>
      <c r="H167" s="942">
        <f>Meal_entry_week_1!$AO$542</f>
        <v>0</v>
      </c>
      <c r="I167" s="921">
        <f>Meal_entry_week_1!$AO$547</f>
        <v>1.32126076393503</v>
      </c>
      <c r="J167" s="922">
        <f>Meal_entry_week_1!$AO$548</f>
        <v>0.70843043012041018</v>
      </c>
      <c r="K167" s="922">
        <f>Meal_entry_week_1!$AO$549</f>
        <v>0.97508300699300698</v>
      </c>
      <c r="L167" s="922">
        <f>Meal_entry_week_1!$AO$550</f>
        <v>1.4045844829807304</v>
      </c>
      <c r="M167" s="923">
        <f>Meal_entry_week_1!$AO$551</f>
        <v>0.90475446063452247</v>
      </c>
      <c r="N167" s="922">
        <f>IF(Meal_entry_week_1!$AO$32&lt;0,0,Meal_entry_week_1!$AO$32)</f>
        <v>0</v>
      </c>
      <c r="O167" s="922">
        <f>IF(Meal_entry_week_1!$AO$131&lt;0,0,Meal_entry_week_1!$AO$131)</f>
        <v>0</v>
      </c>
      <c r="P167" s="922">
        <f>IF(Meal_entry_week_1!$AO$230&lt;0,0,Meal_entry_week_1!$AO$230)</f>
        <v>3.7999999999999999E-2</v>
      </c>
      <c r="Q167" s="922">
        <f>IF(Meal_entry_week_1!$AO$329&lt;0,0,Meal_entry_week_1!$AO$329)</f>
        <v>0</v>
      </c>
      <c r="R167" s="922">
        <f>IF(Meal_entry_week_1!$AO$428&lt;0,0,Meal_entry_week_1!$AO$428)</f>
        <v>0</v>
      </c>
      <c r="S167" s="921">
        <f>IF(Meal_entry_week_1!$AO$51&lt;0,0,Meal_entry_week_1!$AO$51)</f>
        <v>0.16070000000000001</v>
      </c>
      <c r="T167" s="922">
        <f>IF(Meal_entry_week_1!$AO$150&lt;0,0,Meal_entry_week_1!$AO$150)</f>
        <v>2.6000000000000003E-3</v>
      </c>
      <c r="U167" s="922">
        <f>IF(Meal_entry_week_1!$AO$249&lt;0,0,Meal_entry_week_1!$AO$249)</f>
        <v>3.1000000000000003E-2</v>
      </c>
      <c r="V167" s="922">
        <f>IF(Meal_entry_week_1!$AO$348&lt;0,0,Meal_entry_week_1!$AO$348)</f>
        <v>5.0723139605492545E-2</v>
      </c>
      <c r="W167" s="923">
        <f>IF(Meal_entry_week_1!$AO$447&lt;0,0,Meal_entry_week_1!$AO$447)</f>
        <v>3.2200000000000006E-2</v>
      </c>
      <c r="X167" s="921">
        <f>IF(Meal_entry_week_1!$AO$83&lt;0,0,Meal_entry_week_1!$AO$83)</f>
        <v>1.1605607639350299</v>
      </c>
      <c r="Y167" s="922">
        <f>IF(Meal_entry_week_1!$AO$182&lt;0,0,Meal_entry_week_1!$AO$182)</f>
        <v>0.70583043012041013</v>
      </c>
      <c r="Z167" s="922">
        <f>IF(Meal_entry_week_1!$AO$281&lt;0,0,Meal_entry_week_1!$AO$281)</f>
        <v>0.90608300699300703</v>
      </c>
      <c r="AA167" s="922">
        <f>IF(Meal_entry_week_1!$AO$380&lt;0,0,Meal_entry_week_1!$AO$380)</f>
        <v>1.3538613433752378</v>
      </c>
      <c r="AB167" s="923">
        <f>IF(Meal_entry_week_1!$AO$479&lt;0,0,Meal_entry_week_1!$AO$479)</f>
        <v>0.87255446063452247</v>
      </c>
      <c r="AC167" s="921">
        <f>IF(Meal_entry_week_1!$AO$102&lt;0,0,Meal_entry_week_1!$AO$102)</f>
        <v>0</v>
      </c>
      <c r="AD167" s="922">
        <f>IF(Meal_entry_week_1!$AO$201&lt;0,0,Meal_entry_week_1!$AO$201)</f>
        <v>0</v>
      </c>
      <c r="AE167" s="922">
        <f>IF(Meal_entry_week_1!$AO$300&lt;0,0,Meal_entry_week_1!$AO$300)</f>
        <v>0</v>
      </c>
      <c r="AF167" s="922">
        <f>IF(Meal_entry_week_1!$AO$399&lt;0,0,Meal_entry_week_1!$AO$399)</f>
        <v>0</v>
      </c>
      <c r="AG167" s="923">
        <f>IF(Meal_entry_week_1!$AO$498&lt;0,0,Meal_entry_week_1!$AO$498)</f>
        <v>0</v>
      </c>
    </row>
    <row r="168" spans="1:34">
      <c r="A168" s="872"/>
      <c r="B168" s="918" t="s">
        <v>1421</v>
      </c>
      <c r="C168" s="873"/>
      <c r="D168" s="921">
        <f t="shared" si="19"/>
        <v>144.7879522595652</v>
      </c>
      <c r="E168" s="922">
        <f>Meal_entry_week_1!$AP$512</f>
        <v>7.4749813125467188</v>
      </c>
      <c r="F168" s="941">
        <f>Meal_entry_week_1!$AP$522</f>
        <v>11.89181402522976</v>
      </c>
      <c r="G168" s="941">
        <f>Meal_entry_week_1!$AP$532</f>
        <v>125.42115692178872</v>
      </c>
      <c r="H168" s="942">
        <f>Meal_entry_week_1!$AP$542</f>
        <v>0</v>
      </c>
      <c r="I168" s="921">
        <f>Meal_entry_week_1!$AP$547</f>
        <v>166.48513986013984</v>
      </c>
      <c r="J168" s="922">
        <f>Meal_entry_week_1!$AP$548</f>
        <v>119.09693186013988</v>
      </c>
      <c r="K168" s="922">
        <f>Meal_entry_week_1!$AP$549</f>
        <v>189.87609324009321</v>
      </c>
      <c r="L168" s="922">
        <f>Meal_entry_week_1!$AP$550</f>
        <v>97.374235664335671</v>
      </c>
      <c r="M168" s="923">
        <f>Meal_entry_week_1!$AP$551</f>
        <v>143.63382724009321</v>
      </c>
      <c r="N168" s="922">
        <f>IF(Meal_entry_week_1!$AP$32&lt;0,0,Meal_entry_week_1!$AP$32)</f>
        <v>0</v>
      </c>
      <c r="O168" s="922">
        <f>IF(Meal_entry_week_1!$AP$131&lt;0,0,Meal_entry_week_1!$AP$131)</f>
        <v>0</v>
      </c>
      <c r="P168" s="922">
        <f>IF(Meal_entry_week_1!$AP$230&lt;0,0,Meal_entry_week_1!$AP$230)</f>
        <v>29.9</v>
      </c>
      <c r="Q168" s="922">
        <f>IF(Meal_entry_week_1!$AP$329&lt;0,0,Meal_entry_week_1!$AP$329)</f>
        <v>0</v>
      </c>
      <c r="R168" s="922">
        <f>IF(Meal_entry_week_1!$AP$428&lt;0,0,Meal_entry_week_1!$AP$428)</f>
        <v>0</v>
      </c>
      <c r="S168" s="921">
        <f>IF(Meal_entry_week_1!$AP$51&lt;0,0,Meal_entry_week_1!$AP$51)</f>
        <v>32.674999999999997</v>
      </c>
      <c r="T168" s="922">
        <f>IF(Meal_entry_week_1!$AP$150&lt;0,0,Meal_entry_week_1!$AP$150)</f>
        <v>2.0968</v>
      </c>
      <c r="U168" s="922">
        <f>IF(Meal_entry_week_1!$AP$249&lt;0,0,Meal_entry_week_1!$AP$249)</f>
        <v>7.9960000000000004</v>
      </c>
      <c r="V168" s="922">
        <f>IF(Meal_entry_week_1!$AP$348&lt;0,0,Meal_entry_week_1!$AP$348)</f>
        <v>8.694189044289045</v>
      </c>
      <c r="W168" s="923">
        <f>IF(Meal_entry_week_1!$AP$447&lt;0,0,Meal_entry_week_1!$AP$447)</f>
        <v>7.9972000000000003</v>
      </c>
      <c r="X168" s="921">
        <f>IF(Meal_entry_week_1!$AP$83&lt;0,0,Meal_entry_week_1!$AP$83)</f>
        <v>133.81013986013986</v>
      </c>
      <c r="Y168" s="922">
        <f>IF(Meal_entry_week_1!$AP$182&lt;0,0,Meal_entry_week_1!$AP$182)</f>
        <v>117.00013186013987</v>
      </c>
      <c r="Z168" s="922">
        <f>IF(Meal_entry_week_1!$AP$281&lt;0,0,Meal_entry_week_1!$AP$281)</f>
        <v>151.98009324009323</v>
      </c>
      <c r="AA168" s="922">
        <f>IF(Meal_entry_week_1!$AP$380&lt;0,0,Meal_entry_week_1!$AP$380)</f>
        <v>88.680046620046625</v>
      </c>
      <c r="AB168" s="923">
        <f>IF(Meal_entry_week_1!$AP$479&lt;0,0,Meal_entry_week_1!$AP$479)</f>
        <v>135.63662724009322</v>
      </c>
      <c r="AC168" s="921">
        <f>IF(Meal_entry_week_1!$AP$102&lt;0,0,Meal_entry_week_1!$AP$102)</f>
        <v>0</v>
      </c>
      <c r="AD168" s="922">
        <f>IF(Meal_entry_week_1!$AP$201&lt;0,0,Meal_entry_week_1!$AP$201)</f>
        <v>0</v>
      </c>
      <c r="AE168" s="922">
        <f>IF(Meal_entry_week_1!$AP$300&lt;0,0,Meal_entry_week_1!$AP$300)</f>
        <v>0</v>
      </c>
      <c r="AF168" s="922">
        <f>IF(Meal_entry_week_1!$AP$399&lt;0,0,Meal_entry_week_1!$AP$399)</f>
        <v>0</v>
      </c>
      <c r="AG168" s="923">
        <f>IF(Meal_entry_week_1!$AP$498&lt;0,0,Meal_entry_week_1!$AP$498)</f>
        <v>0</v>
      </c>
    </row>
    <row r="169" spans="1:34">
      <c r="A169" s="872"/>
      <c r="B169" s="918" t="s">
        <v>1422</v>
      </c>
      <c r="C169" s="873"/>
      <c r="D169" s="921">
        <f t="shared" si="19"/>
        <v>1.0048153970286626</v>
      </c>
      <c r="E169" s="922">
        <f>Meal_entry_week_1!$AQ$512</f>
        <v>0</v>
      </c>
      <c r="F169" s="941">
        <f>Meal_entry_week_1!$AQ$522</f>
        <v>0.25794744774146816</v>
      </c>
      <c r="G169" s="941">
        <f>Meal_entry_week_1!$AQ$532</f>
        <v>0.74686794928719458</v>
      </c>
      <c r="H169" s="942">
        <f>Meal_entry_week_1!$AQ$542</f>
        <v>0</v>
      </c>
      <c r="I169" s="921">
        <f>Meal_entry_week_1!$AQ$547</f>
        <v>1.1101063636363637</v>
      </c>
      <c r="J169" s="922">
        <f>Meal_entry_week_1!$AQ$548</f>
        <v>1.0474755636363635</v>
      </c>
      <c r="K169" s="922">
        <f>Meal_entry_week_1!$AQ$549</f>
        <v>0.59361090909090908</v>
      </c>
      <c r="L169" s="922">
        <f>Meal_entry_week_1!$AQ$550</f>
        <v>1.0983648878427381</v>
      </c>
      <c r="M169" s="923">
        <f>Meal_entry_week_1!$AQ$551</f>
        <v>1.174529309090909</v>
      </c>
      <c r="N169" s="922">
        <f>IF(Meal_entry_week_1!$AQ$32&lt;0,0,Meal_entry_week_1!$AQ$32)</f>
        <v>0</v>
      </c>
      <c r="O169" s="922">
        <f>IF(Meal_entry_week_1!$AQ$131&lt;0,0,Meal_entry_week_1!$AQ$131)</f>
        <v>0</v>
      </c>
      <c r="P169" s="922">
        <f>IF(Meal_entry_week_1!$AQ$230&lt;0,0,Meal_entry_week_1!$AQ$230)</f>
        <v>0</v>
      </c>
      <c r="Q169" s="922">
        <f>IF(Meal_entry_week_1!$AQ$329&lt;0,0,Meal_entry_week_1!$AQ$329)</f>
        <v>0</v>
      </c>
      <c r="R169" s="922">
        <f>IF(Meal_entry_week_1!$AQ$428&lt;0,0,Meal_entry_week_1!$AQ$428)</f>
        <v>0</v>
      </c>
      <c r="S169" s="921">
        <f>IF(Meal_entry_week_1!$AQ$51&lt;0,0,Meal_entry_week_1!$AQ$51)</f>
        <v>0.38474999999999998</v>
      </c>
      <c r="T169" s="922">
        <f>IF(Meal_entry_week_1!$AQ$150&lt;0,0,Meal_entry_week_1!$AQ$150)</f>
        <v>2.9679999999999998E-2</v>
      </c>
      <c r="U169" s="922">
        <f>IF(Meal_entry_week_1!$AQ$249&lt;0,0,Meal_entry_week_1!$AQ$249)</f>
        <v>0.29959999999999998</v>
      </c>
      <c r="V169" s="922">
        <f>IF(Meal_entry_week_1!$AQ$348&lt;0,0,Meal_entry_week_1!$AQ$348)</f>
        <v>0.27598981818181817</v>
      </c>
      <c r="W169" s="923">
        <f>IF(Meal_entry_week_1!$AQ$447&lt;0,0,Meal_entry_week_1!$AQ$447)</f>
        <v>0.29971999999999999</v>
      </c>
      <c r="X169" s="921">
        <f>IF(Meal_entry_week_1!$AQ$83&lt;0,0,Meal_entry_week_1!$AQ$83)</f>
        <v>0.72535636363636369</v>
      </c>
      <c r="Y169" s="922">
        <f>IF(Meal_entry_week_1!$AQ$182&lt;0,0,Meal_entry_week_1!$AQ$182)</f>
        <v>1.0177955636363636</v>
      </c>
      <c r="Z169" s="922">
        <f>IF(Meal_entry_week_1!$AQ$281&lt;0,0,Meal_entry_week_1!$AQ$281)</f>
        <v>0.2940109090909091</v>
      </c>
      <c r="AA169" s="922">
        <f>IF(Meal_entry_week_1!$AQ$380&lt;0,0,Meal_entry_week_1!$AQ$380)</f>
        <v>0.82237506966091989</v>
      </c>
      <c r="AB169" s="923">
        <f>IF(Meal_entry_week_1!$AQ$479&lt;0,0,Meal_entry_week_1!$AQ$479)</f>
        <v>0.87480930909090915</v>
      </c>
      <c r="AC169" s="921">
        <f>IF(Meal_entry_week_1!$AQ$102&lt;0,0,Meal_entry_week_1!$AQ$102)</f>
        <v>0</v>
      </c>
      <c r="AD169" s="922">
        <f>IF(Meal_entry_week_1!$AQ$201&lt;0,0,Meal_entry_week_1!$AQ$201)</f>
        <v>0</v>
      </c>
      <c r="AE169" s="922">
        <f>IF(Meal_entry_week_1!$AQ$300&lt;0,0,Meal_entry_week_1!$AQ$300)</f>
        <v>0</v>
      </c>
      <c r="AF169" s="922">
        <f>IF(Meal_entry_week_1!$AQ$399&lt;0,0,Meal_entry_week_1!$AQ$399)</f>
        <v>0</v>
      </c>
      <c r="AG169" s="923">
        <f>IF(Meal_entry_week_1!$AQ$498&lt;0,0,Meal_entry_week_1!$AQ$498)</f>
        <v>0</v>
      </c>
    </row>
    <row r="170" spans="1:34">
      <c r="A170" s="872"/>
      <c r="B170" s="918" t="s">
        <v>1423</v>
      </c>
      <c r="C170" s="873"/>
      <c r="D170" s="921">
        <f t="shared" si="19"/>
        <v>57.32586067329035</v>
      </c>
      <c r="E170" s="922">
        <f>Meal_entry_week_1!$AR$512</f>
        <v>9.3499766250584386</v>
      </c>
      <c r="F170" s="941">
        <f>Meal_entry_week_1!$AR$522</f>
        <v>0.75977848044303919</v>
      </c>
      <c r="G170" s="941">
        <f>Meal_entry_week_1!$AR$532</f>
        <v>47.216105567788873</v>
      </c>
      <c r="H170" s="942">
        <f>Meal_entry_week_1!$AR$542</f>
        <v>0</v>
      </c>
      <c r="I170" s="921">
        <f>Meal_entry_week_1!$AR$547</f>
        <v>70.512</v>
      </c>
      <c r="J170" s="922">
        <f>Meal_entry_week_1!$AR$548</f>
        <v>29.675799999999999</v>
      </c>
      <c r="K170" s="922">
        <f>Meal_entry_week_1!$AR$549</f>
        <v>72.429299999999998</v>
      </c>
      <c r="L170" s="922">
        <f>Meal_entry_week_1!$AR$550</f>
        <v>41.379900000000006</v>
      </c>
      <c r="M170" s="923">
        <f>Meal_entry_week_1!$AR$551</f>
        <v>63.282900000000005</v>
      </c>
      <c r="N170" s="922">
        <f>IF(Meal_entry_week_1!$AR$32&lt;0,0,Meal_entry_week_1!$AR$32)</f>
        <v>0</v>
      </c>
      <c r="O170" s="922">
        <f>IF(Meal_entry_week_1!$AR$131&lt;0,0,Meal_entry_week_1!$AR$131)</f>
        <v>0</v>
      </c>
      <c r="P170" s="922">
        <f>IF(Meal_entry_week_1!$AR$230&lt;0,0,Meal_entry_week_1!$AR$230)</f>
        <v>37.4</v>
      </c>
      <c r="Q170" s="922">
        <f>IF(Meal_entry_week_1!$AR$329&lt;0,0,Meal_entry_week_1!$AR$329)</f>
        <v>0</v>
      </c>
      <c r="R170" s="922">
        <f>IF(Meal_entry_week_1!$AR$428&lt;0,0,Meal_entry_week_1!$AR$428)</f>
        <v>0</v>
      </c>
      <c r="S170" s="921">
        <f>IF(Meal_entry_week_1!$AR$51&lt;0,0,Meal_entry_week_1!$AR$51)</f>
        <v>0.57499999999999996</v>
      </c>
      <c r="T170" s="922">
        <f>IF(Meal_entry_week_1!$AR$150&lt;0,0,Meal_entry_week_1!$AR$150)</f>
        <v>0.67879999999999996</v>
      </c>
      <c r="U170" s="922">
        <f>IF(Meal_entry_week_1!$AR$249&lt;0,0,Meal_entry_week_1!$AR$249)</f>
        <v>0.496</v>
      </c>
      <c r="V170" s="922">
        <f>IF(Meal_entry_week_1!$AR$348&lt;0,0,Meal_entry_week_1!$AR$348)</f>
        <v>1.5519000000000003</v>
      </c>
      <c r="W170" s="923">
        <f>IF(Meal_entry_week_1!$AR$447&lt;0,0,Meal_entry_week_1!$AR$447)</f>
        <v>0.49719999999999998</v>
      </c>
      <c r="X170" s="921">
        <f>IF(Meal_entry_week_1!$AR$83&lt;0,0,Meal_entry_week_1!$AR$83)</f>
        <v>69.936999999999998</v>
      </c>
      <c r="Y170" s="922">
        <f>IF(Meal_entry_week_1!$AR$182&lt;0,0,Meal_entry_week_1!$AR$182)</f>
        <v>28.997</v>
      </c>
      <c r="Z170" s="922">
        <f>IF(Meal_entry_week_1!$AR$281&lt;0,0,Meal_entry_week_1!$AR$281)</f>
        <v>34.533299999999997</v>
      </c>
      <c r="AA170" s="922">
        <f>IF(Meal_entry_week_1!$AR$380&lt;0,0,Meal_entry_week_1!$AR$380)</f>
        <v>39.828000000000003</v>
      </c>
      <c r="AB170" s="923">
        <f>IF(Meal_entry_week_1!$AR$479&lt;0,0,Meal_entry_week_1!$AR$479)</f>
        <v>62.785700000000006</v>
      </c>
      <c r="AC170" s="921">
        <f>IF(Meal_entry_week_1!$AR$102&lt;0,0,Meal_entry_week_1!$AR$102)</f>
        <v>0</v>
      </c>
      <c r="AD170" s="922">
        <f>IF(Meal_entry_week_1!$AR$201&lt;0,0,Meal_entry_week_1!$AR$201)</f>
        <v>0</v>
      </c>
      <c r="AE170" s="922">
        <f>IF(Meal_entry_week_1!$AR$300&lt;0,0,Meal_entry_week_1!$AR$300)</f>
        <v>0</v>
      </c>
      <c r="AF170" s="922">
        <f>IF(Meal_entry_week_1!$AR$399&lt;0,0,Meal_entry_week_1!$AR$399)</f>
        <v>0</v>
      </c>
      <c r="AG170" s="923">
        <f>IF(Meal_entry_week_1!$AR$498&lt;0,0,Meal_entry_week_1!$AR$498)</f>
        <v>0</v>
      </c>
    </row>
    <row r="171" spans="1:34" ht="15" thickBot="1">
      <c r="A171" s="872"/>
      <c r="B171" s="1060" t="s">
        <v>1424</v>
      </c>
      <c r="C171" s="873"/>
      <c r="D171" s="930">
        <f t="shared" si="19"/>
        <v>1.5437538572964782</v>
      </c>
      <c r="E171" s="931">
        <f>Meal_entry_week_1!$AS$512</f>
        <v>0</v>
      </c>
      <c r="F171" s="943">
        <f>Meal_entry_week_1!$AS$522</f>
        <v>0.34894223358145254</v>
      </c>
      <c r="G171" s="943">
        <f>Meal_entry_week_1!$AS$532</f>
        <v>1.1948116237150257</v>
      </c>
      <c r="H171" s="944">
        <f>Meal_entry_week_1!$AS$542</f>
        <v>0</v>
      </c>
      <c r="I171" s="930">
        <f>Meal_entry_week_1!$AS$547</f>
        <v>1.4283999719887954</v>
      </c>
      <c r="J171" s="931">
        <f>Meal_entry_week_1!$AS$548</f>
        <v>2.1091491719887956</v>
      </c>
      <c r="K171" s="931">
        <f>Meal_entry_week_1!$AS$549</f>
        <v>1.3220200000000002</v>
      </c>
      <c r="L171" s="931">
        <f>Meal_entry_week_1!$AS$550</f>
        <v>1.3873472080545772</v>
      </c>
      <c r="M171" s="932">
        <f>Meal_entry_week_1!$AS$551</f>
        <v>1.4718683719887957</v>
      </c>
      <c r="N171" s="931">
        <f>IF(Meal_entry_week_1!$AS$32&lt;0,0,Meal_entry_week_1!$AS$32)</f>
        <v>0</v>
      </c>
      <c r="O171" s="931">
        <f>IF(Meal_entry_week_1!$AS$131&lt;0,0,Meal_entry_week_1!$AS$131)</f>
        <v>0</v>
      </c>
      <c r="P171" s="931">
        <f>IF(Meal_entry_week_1!$AS$230&lt;0,0,Meal_entry_week_1!$AS$230)</f>
        <v>0</v>
      </c>
      <c r="Q171" s="931">
        <f>IF(Meal_entry_week_1!$AS$329&lt;0,0,Meal_entry_week_1!$AS$329)</f>
        <v>0</v>
      </c>
      <c r="R171" s="931">
        <f>IF(Meal_entry_week_1!$AS$428&lt;0,0,Meal_entry_week_1!$AS$428)</f>
        <v>0</v>
      </c>
      <c r="S171" s="930">
        <f>IF(Meal_entry_week_1!$AS$51&lt;0,0,Meal_entry_week_1!$AS$51)</f>
        <v>0.22125</v>
      </c>
      <c r="T171" s="931">
        <f>IF(Meal_entry_week_1!$AS$150&lt;0,0,Meal_entry_week_1!$AS$150)</f>
        <v>1.21976</v>
      </c>
      <c r="U171" s="931">
        <f>IF(Meal_entry_week_1!$AS$249&lt;0,0,Meal_entry_week_1!$AS$249)</f>
        <v>5.96E-2</v>
      </c>
      <c r="V171" s="931">
        <f>IF(Meal_entry_week_1!$AS$348&lt;0,0,Meal_entry_week_1!$AS$348)</f>
        <v>0.18438465732959852</v>
      </c>
      <c r="W171" s="932">
        <f>IF(Meal_entry_week_1!$AS$447&lt;0,0,Meal_entry_week_1!$AS$447)</f>
        <v>5.9719999999999995E-2</v>
      </c>
      <c r="X171" s="930">
        <f>IF(Meal_entry_week_1!$AS$83&lt;0,0,Meal_entry_week_1!$AS$83)</f>
        <v>1.2071499719887955</v>
      </c>
      <c r="Y171" s="931">
        <f>IF(Meal_entry_week_1!$AS$182&lt;0,0,Meal_entry_week_1!$AS$182)</f>
        <v>0.88938917198879552</v>
      </c>
      <c r="Z171" s="931">
        <f>IF(Meal_entry_week_1!$AS$281&lt;0,0,Meal_entry_week_1!$AS$281)</f>
        <v>1.2624200000000001</v>
      </c>
      <c r="AA171" s="931">
        <f>IF(Meal_entry_week_1!$AS$380&lt;0,0,Meal_entry_week_1!$AS$380)</f>
        <v>1.2029625507249786</v>
      </c>
      <c r="AB171" s="932">
        <f>IF(Meal_entry_week_1!$AS$479&lt;0,0,Meal_entry_week_1!$AS$479)</f>
        <v>1.4121483719887957</v>
      </c>
      <c r="AC171" s="930">
        <f>IF(Meal_entry_week_1!$AS$102&lt;0,0,Meal_entry_week_1!$AS$102)</f>
        <v>0</v>
      </c>
      <c r="AD171" s="931">
        <f>IF(Meal_entry_week_1!$AS$201&lt;0,0,Meal_entry_week_1!$AS$201)</f>
        <v>0</v>
      </c>
      <c r="AE171" s="931">
        <f>IF(Meal_entry_week_1!$AS$300&lt;0,0,Meal_entry_week_1!$AS$300)</f>
        <v>0</v>
      </c>
      <c r="AF171" s="931">
        <f>IF(Meal_entry_week_1!$AS$399&lt;0,0,Meal_entry_week_1!$AS$399)</f>
        <v>0</v>
      </c>
      <c r="AG171" s="932">
        <f>IF(Meal_entry_week_1!$AS$498&lt;0,0,Meal_entry_week_1!$AS$498)</f>
        <v>0</v>
      </c>
    </row>
    <row r="172" spans="1:34">
      <c r="A172" s="872"/>
      <c r="B172" s="1034"/>
      <c r="C172" s="873"/>
      <c r="D172" s="919" t="s">
        <v>3580</v>
      </c>
      <c r="E172" s="945"/>
      <c r="F172" s="913"/>
      <c r="G172" s="913"/>
      <c r="H172" s="913"/>
      <c r="I172" s="913"/>
      <c r="J172" s="913"/>
      <c r="K172" s="913"/>
      <c r="L172" s="913"/>
      <c r="M172" s="913"/>
      <c r="N172" s="913"/>
      <c r="O172" s="913"/>
      <c r="P172" s="913"/>
      <c r="Q172" s="913"/>
      <c r="R172" s="913"/>
      <c r="S172" s="913"/>
      <c r="T172" s="913"/>
      <c r="U172" s="913"/>
      <c r="V172" s="913"/>
      <c r="W172" s="913"/>
      <c r="X172" s="913"/>
      <c r="Y172" s="913"/>
      <c r="Z172" s="913"/>
      <c r="AA172" s="913"/>
      <c r="AB172" s="913"/>
      <c r="AC172" s="913"/>
      <c r="AD172" s="913"/>
      <c r="AE172" s="913"/>
      <c r="AF172" s="913"/>
      <c r="AG172" s="913"/>
    </row>
    <row r="173" spans="1:34" ht="15" thickBot="1">
      <c r="A173" s="872"/>
      <c r="B173" s="1034"/>
      <c r="C173" s="873"/>
      <c r="D173" s="913" t="s">
        <v>3581</v>
      </c>
      <c r="E173" s="945"/>
      <c r="F173" s="913"/>
      <c r="G173" s="913"/>
      <c r="H173" s="913"/>
      <c r="I173" s="913"/>
      <c r="J173" s="913"/>
      <c r="K173" s="913"/>
      <c r="L173" s="913"/>
      <c r="M173" s="913"/>
      <c r="N173" s="913"/>
      <c r="O173" s="913"/>
      <c r="P173" s="913"/>
      <c r="Q173" s="913"/>
      <c r="R173" s="913"/>
      <c r="S173" s="913"/>
      <c r="T173" s="913"/>
      <c r="U173" s="913"/>
      <c r="V173" s="913"/>
      <c r="W173" s="913"/>
      <c r="X173" s="913"/>
      <c r="Y173" s="913"/>
      <c r="Z173" s="913"/>
      <c r="AA173" s="913"/>
      <c r="AB173" s="913"/>
      <c r="AC173" s="913"/>
      <c r="AD173" s="913"/>
      <c r="AE173" s="913"/>
      <c r="AF173" s="913"/>
      <c r="AG173" s="913"/>
    </row>
    <row r="174" spans="1:34" ht="15" thickBot="1">
      <c r="A174" s="872"/>
      <c r="B174" s="913"/>
      <c r="C174" s="873"/>
      <c r="D174" s="914" t="s">
        <v>3773</v>
      </c>
      <c r="E174" s="915" t="s">
        <v>3774</v>
      </c>
      <c r="F174" s="915" t="s">
        <v>3775</v>
      </c>
      <c r="G174" s="915" t="s">
        <v>3776</v>
      </c>
      <c r="H174" s="916" t="s">
        <v>3777</v>
      </c>
      <c r="I174" s="914" t="s">
        <v>3773</v>
      </c>
      <c r="J174" s="914" t="s">
        <v>3773</v>
      </c>
      <c r="K174" s="914" t="s">
        <v>3773</v>
      </c>
      <c r="L174" s="914" t="s">
        <v>3773</v>
      </c>
      <c r="M174" s="914" t="s">
        <v>3773</v>
      </c>
      <c r="N174" s="914" t="s">
        <v>67</v>
      </c>
      <c r="O174" s="914" t="s">
        <v>67</v>
      </c>
      <c r="P174" s="914" t="s">
        <v>67</v>
      </c>
      <c r="Q174" s="914" t="s">
        <v>67</v>
      </c>
      <c r="R174" s="917" t="s">
        <v>67</v>
      </c>
      <c r="S174" s="914" t="s">
        <v>1362</v>
      </c>
      <c r="T174" s="914" t="s">
        <v>1362</v>
      </c>
      <c r="U174" s="914" t="s">
        <v>1362</v>
      </c>
      <c r="V174" s="914" t="s">
        <v>1362</v>
      </c>
      <c r="W174" s="914" t="s">
        <v>1362</v>
      </c>
      <c r="X174" s="914" t="s">
        <v>69</v>
      </c>
      <c r="Y174" s="914" t="s">
        <v>69</v>
      </c>
      <c r="Z174" s="914" t="s">
        <v>69</v>
      </c>
      <c r="AA174" s="914" t="s">
        <v>69</v>
      </c>
      <c r="AB174" s="914" t="s">
        <v>69</v>
      </c>
      <c r="AC174" s="1281" t="s">
        <v>1364</v>
      </c>
      <c r="AD174" s="1281" t="s">
        <v>1364</v>
      </c>
      <c r="AE174" s="1281" t="s">
        <v>1364</v>
      </c>
      <c r="AF174" s="1281" t="s">
        <v>1364</v>
      </c>
      <c r="AG174" s="1281" t="s">
        <v>1364</v>
      </c>
      <c r="AH174" s="1018"/>
    </row>
    <row r="175" spans="1:34" ht="60">
      <c r="A175" s="872"/>
      <c r="B175" s="940" t="s">
        <v>3600</v>
      </c>
      <c r="C175" s="873"/>
      <c r="D175" s="874" t="s">
        <v>3779</v>
      </c>
      <c r="E175" s="875" t="s">
        <v>3780</v>
      </c>
      <c r="F175" s="876" t="s">
        <v>3783</v>
      </c>
      <c r="G175" s="877" t="s">
        <v>3782</v>
      </c>
      <c r="H175" s="878" t="s">
        <v>3781</v>
      </c>
      <c r="I175" s="874" t="s">
        <v>3784</v>
      </c>
      <c r="J175" s="874" t="s">
        <v>3785</v>
      </c>
      <c r="K175" s="874" t="s">
        <v>3786</v>
      </c>
      <c r="L175" s="874" t="s">
        <v>3787</v>
      </c>
      <c r="M175" s="879" t="s">
        <v>3788</v>
      </c>
      <c r="N175" s="880" t="s">
        <v>3789</v>
      </c>
      <c r="O175" s="875" t="s">
        <v>3790</v>
      </c>
      <c r="P175" s="875" t="s">
        <v>3791</v>
      </c>
      <c r="Q175" s="875" t="s">
        <v>3792</v>
      </c>
      <c r="R175" s="881" t="s">
        <v>3793</v>
      </c>
      <c r="S175" s="882" t="s">
        <v>3794</v>
      </c>
      <c r="T175" s="876" t="s">
        <v>3795</v>
      </c>
      <c r="U175" s="876" t="s">
        <v>3796</v>
      </c>
      <c r="V175" s="876" t="s">
        <v>3797</v>
      </c>
      <c r="W175" s="883" t="s">
        <v>3798</v>
      </c>
      <c r="X175" s="884" t="s">
        <v>3799</v>
      </c>
      <c r="Y175" s="877" t="s">
        <v>3800</v>
      </c>
      <c r="Z175" s="877" t="s">
        <v>3801</v>
      </c>
      <c r="AA175" s="877" t="s">
        <v>3802</v>
      </c>
      <c r="AB175" s="885" t="s">
        <v>3803</v>
      </c>
      <c r="AC175" s="886" t="s">
        <v>3804</v>
      </c>
      <c r="AD175" s="878" t="s">
        <v>3805</v>
      </c>
      <c r="AE175" s="878" t="s">
        <v>3806</v>
      </c>
      <c r="AF175" s="878" t="s">
        <v>3807</v>
      </c>
      <c r="AG175" s="878" t="s">
        <v>3808</v>
      </c>
      <c r="AH175" s="887"/>
    </row>
    <row r="176" spans="1:34">
      <c r="A176" s="872"/>
      <c r="B176" s="918" t="s">
        <v>1370</v>
      </c>
      <c r="C176" s="873"/>
      <c r="D176" s="873">
        <f t="shared" ref="D176:AG184" si="20">100*(D149/D123)</f>
        <v>85.13718160816056</v>
      </c>
      <c r="E176" s="919">
        <f t="shared" si="20"/>
        <v>0.99999750000624998</v>
      </c>
      <c r="F176" s="919">
        <f t="shared" si="20"/>
        <v>176.31501186815177</v>
      </c>
      <c r="G176" s="919">
        <f t="shared" si="20"/>
        <v>138.88175562965114</v>
      </c>
      <c r="H176" s="920">
        <f t="shared" si="20"/>
        <v>0</v>
      </c>
      <c r="I176" s="873">
        <f t="shared" si="20"/>
        <v>83.480201788211787</v>
      </c>
      <c r="J176" s="919">
        <f t="shared" si="20"/>
        <v>74.253664645354647</v>
      </c>
      <c r="K176" s="919">
        <f t="shared" si="20"/>
        <v>96.710591192141194</v>
      </c>
      <c r="L176" s="919">
        <f t="shared" si="20"/>
        <v>89.341995237624531</v>
      </c>
      <c r="M176" s="920">
        <f t="shared" si="20"/>
        <v>81.471736192141194</v>
      </c>
      <c r="N176" s="873">
        <f t="shared" si="20"/>
        <v>0</v>
      </c>
      <c r="O176" s="919">
        <f t="shared" si="20"/>
        <v>0</v>
      </c>
      <c r="P176" s="919">
        <f t="shared" si="20"/>
        <v>4</v>
      </c>
      <c r="Q176" s="919">
        <f t="shared" si="20"/>
        <v>0</v>
      </c>
      <c r="R176" s="920">
        <f t="shared" si="20"/>
        <v>0</v>
      </c>
      <c r="S176" s="873">
        <f t="shared" si="20"/>
        <v>188.16874999999999</v>
      </c>
      <c r="T176" s="919">
        <f t="shared" si="20"/>
        <v>109.4</v>
      </c>
      <c r="U176" s="919">
        <f t="shared" si="20"/>
        <v>212</v>
      </c>
      <c r="V176" s="919">
        <f t="shared" si="20"/>
        <v>197.50807249087745</v>
      </c>
      <c r="W176" s="920">
        <f t="shared" si="20"/>
        <v>174.5</v>
      </c>
      <c r="X176" s="873">
        <f t="shared" si="20"/>
        <v>132.06422083916084</v>
      </c>
      <c r="Y176" s="919">
        <f t="shared" si="20"/>
        <v>136.79188417249418</v>
      </c>
      <c r="Z176" s="919">
        <f t="shared" si="20"/>
        <v>150.99137944832944</v>
      </c>
      <c r="AA176" s="919">
        <f t="shared" si="20"/>
        <v>142.6286313908314</v>
      </c>
      <c r="AB176" s="920">
        <f t="shared" si="20"/>
        <v>131.93405111499612</v>
      </c>
      <c r="AC176" s="873">
        <f t="shared" si="20"/>
        <v>0</v>
      </c>
      <c r="AD176" s="919">
        <f t="shared" si="20"/>
        <v>0</v>
      </c>
      <c r="AE176" s="919">
        <f t="shared" si="20"/>
        <v>0</v>
      </c>
      <c r="AF176" s="919">
        <f t="shared" si="20"/>
        <v>0</v>
      </c>
      <c r="AG176" s="920">
        <f t="shared" si="20"/>
        <v>0</v>
      </c>
      <c r="AH176" s="922"/>
    </row>
    <row r="177" spans="1:34">
      <c r="A177" s="872"/>
      <c r="B177" s="918" t="s">
        <v>1403</v>
      </c>
      <c r="C177" s="873"/>
      <c r="D177" s="873">
        <f t="shared" si="20"/>
        <v>78.683534351818167</v>
      </c>
      <c r="E177" s="919">
        <f t="shared" si="20"/>
        <v>1.2424211363714015</v>
      </c>
      <c r="F177" s="919">
        <f t="shared" si="20"/>
        <v>136.23582043466033</v>
      </c>
      <c r="G177" s="919">
        <f t="shared" si="20"/>
        <v>136.94055220631759</v>
      </c>
      <c r="H177" s="920">
        <f t="shared" si="20"/>
        <v>0</v>
      </c>
      <c r="I177" s="873">
        <f t="shared" si="20"/>
        <v>81.136186460839681</v>
      </c>
      <c r="J177" s="919">
        <f t="shared" si="20"/>
        <v>81.832254212259699</v>
      </c>
      <c r="K177" s="919">
        <f t="shared" si="20"/>
        <v>76.921026851935935</v>
      </c>
      <c r="L177" s="919">
        <f t="shared" si="20"/>
        <v>89.002950801112618</v>
      </c>
      <c r="M177" s="920">
        <f t="shared" si="20"/>
        <v>63.993574066984415</v>
      </c>
      <c r="N177" s="873">
        <f t="shared" si="20"/>
        <v>0</v>
      </c>
      <c r="O177" s="919">
        <f t="shared" si="20"/>
        <v>0</v>
      </c>
      <c r="P177" s="919">
        <f t="shared" si="20"/>
        <v>4.9696969696969688</v>
      </c>
      <c r="Q177" s="919">
        <f t="shared" si="20"/>
        <v>0</v>
      </c>
      <c r="R177" s="920">
        <f t="shared" si="20"/>
        <v>0</v>
      </c>
      <c r="S177" s="873">
        <f t="shared" si="20"/>
        <v>150.83681818181816</v>
      </c>
      <c r="T177" s="919">
        <f t="shared" si="20"/>
        <v>125.06181818181818</v>
      </c>
      <c r="U177" s="919">
        <f t="shared" si="20"/>
        <v>105.09090909090908</v>
      </c>
      <c r="V177" s="919">
        <f t="shared" si="20"/>
        <v>194.73637362241502</v>
      </c>
      <c r="W177" s="920">
        <f t="shared" si="20"/>
        <v>105.45454545454544</v>
      </c>
      <c r="X177" s="873">
        <f t="shared" si="20"/>
        <v>139.03882901468654</v>
      </c>
      <c r="Y177" s="919">
        <f t="shared" si="20"/>
        <v>149.25465376799988</v>
      </c>
      <c r="Z177" s="919">
        <f t="shared" si="20"/>
        <v>139.48239598785054</v>
      </c>
      <c r="AA177" s="919">
        <f t="shared" si="20"/>
        <v>142.76142732845776</v>
      </c>
      <c r="AB177" s="920">
        <f t="shared" si="20"/>
        <v>114.16682433811513</v>
      </c>
      <c r="AC177" s="873">
        <f t="shared" si="20"/>
        <v>0</v>
      </c>
      <c r="AD177" s="919">
        <f t="shared" si="20"/>
        <v>0</v>
      </c>
      <c r="AE177" s="919">
        <f t="shared" si="20"/>
        <v>0</v>
      </c>
      <c r="AF177" s="919">
        <f t="shared" si="20"/>
        <v>0</v>
      </c>
      <c r="AG177" s="920">
        <f t="shared" si="20"/>
        <v>0</v>
      </c>
      <c r="AH177" s="922"/>
    </row>
    <row r="178" spans="1:34">
      <c r="A178" s="872"/>
      <c r="B178" s="918" t="s">
        <v>1404</v>
      </c>
      <c r="C178" s="873"/>
      <c r="D178" s="873">
        <f t="shared" si="20"/>
        <v>79.097088096807383</v>
      </c>
      <c r="E178" s="919">
        <f t="shared" si="20"/>
        <v>1.4367780172503593</v>
      </c>
      <c r="F178" s="919">
        <f t="shared" si="20"/>
        <v>142.87311180628399</v>
      </c>
      <c r="G178" s="919">
        <f t="shared" si="20"/>
        <v>135.49872360653887</v>
      </c>
      <c r="H178" s="920">
        <f t="shared" si="20"/>
        <v>0</v>
      </c>
      <c r="I178" s="873">
        <f t="shared" si="20"/>
        <v>92.383601871392017</v>
      </c>
      <c r="J178" s="919">
        <f t="shared" si="20"/>
        <v>72.745383909547471</v>
      </c>
      <c r="K178" s="919">
        <f t="shared" si="20"/>
        <v>106.10495347564313</v>
      </c>
      <c r="L178" s="919">
        <f t="shared" si="20"/>
        <v>58.93664784640491</v>
      </c>
      <c r="M178" s="920">
        <f t="shared" si="20"/>
        <v>64.699882344537329</v>
      </c>
      <c r="N178" s="873">
        <f t="shared" si="20"/>
        <v>0</v>
      </c>
      <c r="O178" s="919">
        <f t="shared" si="20"/>
        <v>0</v>
      </c>
      <c r="P178" s="919">
        <f t="shared" si="20"/>
        <v>5.7471264367816088</v>
      </c>
      <c r="Q178" s="919">
        <f t="shared" si="20"/>
        <v>0</v>
      </c>
      <c r="R178" s="920">
        <f t="shared" si="20"/>
        <v>0</v>
      </c>
      <c r="S178" s="873">
        <f t="shared" si="20"/>
        <v>216.02909482758622</v>
      </c>
      <c r="T178" s="919">
        <f t="shared" si="20"/>
        <v>150.37356321839081</v>
      </c>
      <c r="U178" s="919">
        <f t="shared" si="20"/>
        <v>180.60344827586206</v>
      </c>
      <c r="V178" s="919">
        <f t="shared" si="20"/>
        <v>71.096513624606928</v>
      </c>
      <c r="W178" s="920">
        <f t="shared" si="20"/>
        <v>96.264367816091962</v>
      </c>
      <c r="X178" s="873">
        <f t="shared" si="20"/>
        <v>143.55203942405265</v>
      </c>
      <c r="Y178" s="919">
        <f t="shared" si="20"/>
        <v>119.61470804948051</v>
      </c>
      <c r="Z178" s="919">
        <f t="shared" si="20"/>
        <v>181.62994891443168</v>
      </c>
      <c r="AA178" s="919">
        <f t="shared" si="20"/>
        <v>113.82000710007583</v>
      </c>
      <c r="AB178" s="920">
        <f t="shared" si="20"/>
        <v>118.8782695318898</v>
      </c>
      <c r="AC178" s="873">
        <f t="shared" si="20"/>
        <v>0</v>
      </c>
      <c r="AD178" s="919">
        <f t="shared" si="20"/>
        <v>0</v>
      </c>
      <c r="AE178" s="919">
        <f t="shared" si="20"/>
        <v>0</v>
      </c>
      <c r="AF178" s="919">
        <f t="shared" si="20"/>
        <v>0</v>
      </c>
      <c r="AG178" s="920">
        <f t="shared" si="20"/>
        <v>0</v>
      </c>
      <c r="AH178" s="922"/>
    </row>
    <row r="179" spans="1:34">
      <c r="A179" s="1004"/>
      <c r="B179" s="918" t="s">
        <v>1405</v>
      </c>
      <c r="C179" s="919"/>
      <c r="D179" s="873">
        <f t="shared" si="20"/>
        <v>97.51461367965247</v>
      </c>
      <c r="E179" s="919">
        <f t="shared" si="20"/>
        <v>0.24999940000150256</v>
      </c>
      <c r="F179" s="919">
        <f t="shared" si="20"/>
        <v>263.35236942497204</v>
      </c>
      <c r="G179" s="919">
        <f t="shared" si="20"/>
        <v>139.49997604419687</v>
      </c>
      <c r="H179" s="920">
        <f t="shared" si="20"/>
        <v>0</v>
      </c>
      <c r="I179" s="873">
        <f t="shared" si="20"/>
        <v>82.017744436333274</v>
      </c>
      <c r="J179" s="919">
        <f t="shared" si="20"/>
        <v>58.761283932543421</v>
      </c>
      <c r="K179" s="919">
        <f t="shared" si="20"/>
        <v>129.0456342831848</v>
      </c>
      <c r="L179" s="919">
        <f t="shared" si="20"/>
        <v>101.17247024282914</v>
      </c>
      <c r="M179" s="920">
        <f t="shared" si="20"/>
        <v>116.46976804950782</v>
      </c>
      <c r="N179" s="873">
        <f t="shared" si="20"/>
        <v>0</v>
      </c>
      <c r="O179" s="919">
        <f t="shared" si="20"/>
        <v>0</v>
      </c>
      <c r="P179" s="919">
        <f t="shared" si="20"/>
        <v>1.0000001000000103</v>
      </c>
      <c r="Q179" s="919">
        <f t="shared" si="20"/>
        <v>0</v>
      </c>
      <c r="R179" s="920">
        <f t="shared" si="20"/>
        <v>0</v>
      </c>
      <c r="S179" s="873">
        <f t="shared" si="20"/>
        <v>250.31815003181507</v>
      </c>
      <c r="T179" s="919">
        <f t="shared" si="20"/>
        <v>63.551006355100647</v>
      </c>
      <c r="U179" s="919">
        <f t="shared" si="20"/>
        <v>424.50004245000434</v>
      </c>
      <c r="V179" s="919">
        <f t="shared" si="20"/>
        <v>267.89525076163142</v>
      </c>
      <c r="W179" s="920">
        <f t="shared" si="20"/>
        <v>100.50001005000102</v>
      </c>
      <c r="X179" s="873">
        <f t="shared" si="20"/>
        <v>107.93535367417262</v>
      </c>
      <c r="Y179" s="919">
        <f t="shared" si="20"/>
        <v>115.92599372423444</v>
      </c>
      <c r="Z179" s="919">
        <f t="shared" si="20"/>
        <v>158.60646574409645</v>
      </c>
      <c r="AA179" s="919">
        <f t="shared" si="20"/>
        <v>146.77068031272421</v>
      </c>
      <c r="AB179" s="920">
        <f t="shared" si="20"/>
        <v>168.26278176551719</v>
      </c>
      <c r="AC179" s="873">
        <f t="shared" si="20"/>
        <v>0</v>
      </c>
      <c r="AD179" s="919">
        <f t="shared" si="20"/>
        <v>0</v>
      </c>
      <c r="AE179" s="919">
        <f t="shared" si="20"/>
        <v>0</v>
      </c>
      <c r="AF179" s="919">
        <f t="shared" si="20"/>
        <v>0</v>
      </c>
      <c r="AG179" s="920">
        <f t="shared" si="20"/>
        <v>0</v>
      </c>
      <c r="AH179" s="922"/>
    </row>
    <row r="180" spans="1:34" ht="15">
      <c r="A180" s="1004"/>
      <c r="B180" s="924" t="s">
        <v>1406</v>
      </c>
      <c r="C180" s="919"/>
      <c r="D180" s="873">
        <f t="shared" si="20"/>
        <v>126.3777586267431</v>
      </c>
      <c r="E180" s="919">
        <f t="shared" si="20"/>
        <v>10.416640625065105</v>
      </c>
      <c r="F180" s="919">
        <f t="shared" si="20"/>
        <v>60.2887424761281</v>
      </c>
      <c r="G180" s="919">
        <f t="shared" si="20"/>
        <v>264.3685486786261</v>
      </c>
      <c r="H180" s="920">
        <f t="shared" si="20"/>
        <v>0</v>
      </c>
      <c r="I180" s="873">
        <f t="shared" si="20"/>
        <v>153.86297589170596</v>
      </c>
      <c r="J180" s="919">
        <f t="shared" si="20"/>
        <v>93.056905894105896</v>
      </c>
      <c r="K180" s="919">
        <f t="shared" si="20"/>
        <v>181.7508325008325</v>
      </c>
      <c r="L180" s="919">
        <f t="shared" si="20"/>
        <v>89.695299856939911</v>
      </c>
      <c r="M180" s="920">
        <f t="shared" si="20"/>
        <v>109.05976821411822</v>
      </c>
      <c r="N180" s="873">
        <f t="shared" si="20"/>
        <v>0</v>
      </c>
      <c r="O180" s="919">
        <f t="shared" si="20"/>
        <v>0</v>
      </c>
      <c r="P180" s="919">
        <f t="shared" si="20"/>
        <v>41.666666666666671</v>
      </c>
      <c r="Q180" s="919">
        <f t="shared" si="20"/>
        <v>0</v>
      </c>
      <c r="R180" s="920">
        <f t="shared" si="20"/>
        <v>0</v>
      </c>
      <c r="S180" s="873">
        <f t="shared" si="20"/>
        <v>232.78124999999997</v>
      </c>
      <c r="T180" s="919">
        <f t="shared" si="20"/>
        <v>11.84</v>
      </c>
      <c r="U180" s="919">
        <f t="shared" si="20"/>
        <v>0</v>
      </c>
      <c r="V180" s="919">
        <f t="shared" si="20"/>
        <v>57.163065268065274</v>
      </c>
      <c r="W180" s="920">
        <f t="shared" si="20"/>
        <v>0</v>
      </c>
      <c r="X180" s="873">
        <f t="shared" si="20"/>
        <v>281.41986041398053</v>
      </c>
      <c r="Y180" s="919">
        <f t="shared" si="20"/>
        <v>213.18611375291377</v>
      </c>
      <c r="Z180" s="919">
        <f t="shared" si="20"/>
        <v>382.4852758352759</v>
      </c>
      <c r="AA180" s="919">
        <f t="shared" si="20"/>
        <v>190.23467791017137</v>
      </c>
      <c r="AB180" s="920">
        <f t="shared" si="20"/>
        <v>254.51945916627588</v>
      </c>
      <c r="AC180" s="873">
        <f t="shared" si="20"/>
        <v>0</v>
      </c>
      <c r="AD180" s="919">
        <f t="shared" si="20"/>
        <v>0</v>
      </c>
      <c r="AE180" s="919">
        <f t="shared" si="20"/>
        <v>0</v>
      </c>
      <c r="AF180" s="919">
        <f t="shared" si="20"/>
        <v>0</v>
      </c>
      <c r="AG180" s="920">
        <f t="shared" si="20"/>
        <v>0</v>
      </c>
      <c r="AH180" s="922"/>
    </row>
    <row r="181" spans="1:34" ht="15">
      <c r="A181" s="1059"/>
      <c r="B181" s="924" t="s">
        <v>1407</v>
      </c>
      <c r="C181" s="925"/>
      <c r="D181" s="873">
        <f t="shared" si="20"/>
        <v>61.884885782063101</v>
      </c>
      <c r="E181" s="919">
        <f t="shared" si="20"/>
        <v>0.37878693182054929</v>
      </c>
      <c r="F181" s="919">
        <f t="shared" si="20"/>
        <v>126.44208791703126</v>
      </c>
      <c r="G181" s="919">
        <f t="shared" si="20"/>
        <v>101.87191725398294</v>
      </c>
      <c r="H181" s="920">
        <f t="shared" si="20"/>
        <v>0</v>
      </c>
      <c r="I181" s="873">
        <f t="shared" si="20"/>
        <v>60.490163628559756</v>
      </c>
      <c r="J181" s="919">
        <f t="shared" si="20"/>
        <v>29.409608657790052</v>
      </c>
      <c r="K181" s="919">
        <f t="shared" si="20"/>
        <v>67.614181273272166</v>
      </c>
      <c r="L181" s="919">
        <f t="shared" si="20"/>
        <v>65.34237126659896</v>
      </c>
      <c r="M181" s="920">
        <f t="shared" si="20"/>
        <v>86.406385676457859</v>
      </c>
      <c r="N181" s="873">
        <f t="shared" si="20"/>
        <v>0</v>
      </c>
      <c r="O181" s="919">
        <f t="shared" si="20"/>
        <v>0</v>
      </c>
      <c r="P181" s="919">
        <f t="shared" si="20"/>
        <v>1.5151515151515154</v>
      </c>
      <c r="Q181" s="919">
        <f t="shared" si="20"/>
        <v>0</v>
      </c>
      <c r="R181" s="920">
        <f t="shared" si="20"/>
        <v>0</v>
      </c>
      <c r="S181" s="873">
        <f t="shared" si="20"/>
        <v>306.61363636363632</v>
      </c>
      <c r="T181" s="919">
        <f t="shared" si="20"/>
        <v>55.3</v>
      </c>
      <c r="U181" s="919">
        <f t="shared" si="20"/>
        <v>95.272727272727266</v>
      </c>
      <c r="V181" s="919">
        <f t="shared" si="20"/>
        <v>79.698067642399209</v>
      </c>
      <c r="W181" s="920">
        <f t="shared" si="20"/>
        <v>95.327272727272714</v>
      </c>
      <c r="X181" s="873">
        <f t="shared" si="20"/>
        <v>38.939169678760678</v>
      </c>
      <c r="Y181" s="919">
        <f t="shared" si="20"/>
        <v>50.189086868176794</v>
      </c>
      <c r="Z181" s="919">
        <f t="shared" si="20"/>
        <v>124.49369569824114</v>
      </c>
      <c r="AA181" s="919">
        <f t="shared" si="20"/>
        <v>125.89951040793117</v>
      </c>
      <c r="AB181" s="920">
        <f t="shared" si="20"/>
        <v>169.83914233597744</v>
      </c>
      <c r="AC181" s="873">
        <f>100*(AC154/AC128)</f>
        <v>0</v>
      </c>
      <c r="AD181" s="919">
        <f t="shared" si="20"/>
        <v>0</v>
      </c>
      <c r="AE181" s="919">
        <f t="shared" si="20"/>
        <v>0</v>
      </c>
      <c r="AF181" s="919">
        <f t="shared" si="20"/>
        <v>0</v>
      </c>
      <c r="AG181" s="920">
        <f t="shared" si="20"/>
        <v>0</v>
      </c>
      <c r="AH181" s="922"/>
    </row>
    <row r="182" spans="1:34" ht="15">
      <c r="A182" s="872"/>
      <c r="B182" s="924" t="s">
        <v>1408</v>
      </c>
      <c r="C182" s="873"/>
      <c r="D182" s="873">
        <f t="shared" si="20"/>
        <v>92.046493682616557</v>
      </c>
      <c r="E182" s="919">
        <f t="shared" si="20"/>
        <v>0.28004157042747491</v>
      </c>
      <c r="F182" s="919">
        <f t="shared" si="20"/>
        <v>134.02922098074004</v>
      </c>
      <c r="G182" s="919">
        <f t="shared" si="20"/>
        <v>169.81870336209781</v>
      </c>
      <c r="H182" s="920">
        <f t="shared" si="20"/>
        <v>0</v>
      </c>
      <c r="I182" s="873">
        <f t="shared" si="20"/>
        <v>149.23340243995139</v>
      </c>
      <c r="J182" s="919">
        <f t="shared" si="20"/>
        <v>82.49236512111078</v>
      </c>
      <c r="K182" s="919">
        <f t="shared" si="20"/>
        <v>75.173200660450661</v>
      </c>
      <c r="L182" s="919">
        <f t="shared" si="20"/>
        <v>79.603953267115145</v>
      </c>
      <c r="M182" s="920">
        <f t="shared" si="20"/>
        <v>73.610449573494151</v>
      </c>
      <c r="N182" s="873">
        <f t="shared" si="20"/>
        <v>0</v>
      </c>
      <c r="O182" s="919">
        <f t="shared" si="20"/>
        <v>0</v>
      </c>
      <c r="P182" s="919">
        <f t="shared" si="20"/>
        <v>1.1201690821256038</v>
      </c>
      <c r="Q182" s="919">
        <f t="shared" si="20"/>
        <v>0</v>
      </c>
      <c r="R182" s="920">
        <f t="shared" si="20"/>
        <v>0</v>
      </c>
      <c r="S182" s="873">
        <f t="shared" si="20"/>
        <v>568.51381340579724</v>
      </c>
      <c r="T182" s="919">
        <f t="shared" si="20"/>
        <v>24.193501449275367</v>
      </c>
      <c r="U182" s="919">
        <f t="shared" si="20"/>
        <v>30.913978260869573</v>
      </c>
      <c r="V182" s="919">
        <f t="shared" si="20"/>
        <v>15.611367297359044</v>
      </c>
      <c r="W182" s="920">
        <f t="shared" si="20"/>
        <v>30.914784782608702</v>
      </c>
      <c r="X182" s="873">
        <f t="shared" si="20"/>
        <v>158.70666789128748</v>
      </c>
      <c r="Y182" s="919">
        <f t="shared" si="20"/>
        <v>184.41768479949999</v>
      </c>
      <c r="Z182" s="919">
        <f t="shared" si="20"/>
        <v>163.97930637196941</v>
      </c>
      <c r="AA182" s="919">
        <f t="shared" si="20"/>
        <v>180.53876852414896</v>
      </c>
      <c r="AB182" s="920">
        <f t="shared" si="20"/>
        <v>161.45278741061676</v>
      </c>
      <c r="AC182" s="873">
        <f t="shared" si="20"/>
        <v>0</v>
      </c>
      <c r="AD182" s="919">
        <f t="shared" si="20"/>
        <v>0</v>
      </c>
      <c r="AE182" s="919">
        <f t="shared" si="20"/>
        <v>0</v>
      </c>
      <c r="AF182" s="919">
        <f t="shared" si="20"/>
        <v>0</v>
      </c>
      <c r="AG182" s="920">
        <f t="shared" si="20"/>
        <v>0</v>
      </c>
      <c r="AH182" s="922"/>
    </row>
    <row r="183" spans="1:34" ht="15">
      <c r="A183" s="872"/>
      <c r="B183" s="924" t="s">
        <v>1409</v>
      </c>
      <c r="C183" s="873"/>
      <c r="D183" s="873">
        <f t="shared" si="20"/>
        <v>128.46979385407101</v>
      </c>
      <c r="E183" s="919">
        <f t="shared" si="20"/>
        <v>14.814777777870372</v>
      </c>
      <c r="F183" s="919">
        <f t="shared" si="20"/>
        <v>85.553151115919988</v>
      </c>
      <c r="G183" s="919">
        <f t="shared" si="20"/>
        <v>256.43035750965532</v>
      </c>
      <c r="H183" s="920">
        <f t="shared" si="20"/>
        <v>0</v>
      </c>
      <c r="I183" s="873">
        <f t="shared" si="20"/>
        <v>157.52507936507939</v>
      </c>
      <c r="J183" s="919">
        <f t="shared" si="20"/>
        <v>93.614190476190458</v>
      </c>
      <c r="K183" s="919">
        <f t="shared" si="20"/>
        <v>149.03619047619051</v>
      </c>
      <c r="L183" s="919">
        <f t="shared" si="20"/>
        <v>126.08110317460317</v>
      </c>
      <c r="M183" s="920">
        <f t="shared" si="20"/>
        <v>109.7445</v>
      </c>
      <c r="N183" s="873">
        <f t="shared" si="20"/>
        <v>0</v>
      </c>
      <c r="O183" s="919">
        <f t="shared" si="20"/>
        <v>0</v>
      </c>
      <c r="P183" s="919">
        <f t="shared" si="20"/>
        <v>59.259259259259252</v>
      </c>
      <c r="Q183" s="919">
        <f t="shared" si="20"/>
        <v>0</v>
      </c>
      <c r="R183" s="920">
        <f t="shared" si="20"/>
        <v>0</v>
      </c>
      <c r="S183" s="873">
        <f t="shared" si="20"/>
        <v>177.30555555555554</v>
      </c>
      <c r="T183" s="919">
        <f t="shared" si="20"/>
        <v>14.442666666666668</v>
      </c>
      <c r="U183" s="919">
        <f t="shared" si="20"/>
        <v>86.108888888888885</v>
      </c>
      <c r="V183" s="919">
        <f t="shared" si="20"/>
        <v>63.799944444444435</v>
      </c>
      <c r="W183" s="920">
        <f t="shared" si="20"/>
        <v>86.109555555555545</v>
      </c>
      <c r="X183" s="873">
        <f t="shared" si="20"/>
        <v>308.45666666666671</v>
      </c>
      <c r="Y183" s="919">
        <f t="shared" si="20"/>
        <v>213.6188888888889</v>
      </c>
      <c r="Z183" s="919">
        <f t="shared" si="20"/>
        <v>259.78888888888889</v>
      </c>
      <c r="AA183" s="919">
        <f t="shared" si="20"/>
        <v>272.92259259259259</v>
      </c>
      <c r="AB183" s="920">
        <f t="shared" si="20"/>
        <v>227.36731481481479</v>
      </c>
      <c r="AC183" s="873">
        <f t="shared" si="20"/>
        <v>0</v>
      </c>
      <c r="AD183" s="919">
        <f t="shared" si="20"/>
        <v>0</v>
      </c>
      <c r="AE183" s="919">
        <f t="shared" si="20"/>
        <v>0</v>
      </c>
      <c r="AF183" s="919">
        <f t="shared" si="20"/>
        <v>0</v>
      </c>
      <c r="AG183" s="920">
        <f t="shared" si="20"/>
        <v>0</v>
      </c>
      <c r="AH183" s="922"/>
    </row>
    <row r="184" spans="1:34" ht="15">
      <c r="A184" s="872"/>
      <c r="B184" s="924" t="s">
        <v>1410</v>
      </c>
      <c r="C184" s="873"/>
      <c r="D184" s="873">
        <f t="shared" si="20"/>
        <v>53.175527419291114</v>
      </c>
      <c r="E184" s="919">
        <f t="shared" si="20"/>
        <v>4.430368670913766</v>
      </c>
      <c r="F184" s="919">
        <f t="shared" si="20"/>
        <v>120.89391011091396</v>
      </c>
      <c r="G184" s="919">
        <f t="shared" si="20"/>
        <v>79.347891937127528</v>
      </c>
      <c r="H184" s="920">
        <f t="shared" si="20"/>
        <v>0</v>
      </c>
      <c r="I184" s="873">
        <f t="shared" si="20"/>
        <v>67.717359855334536</v>
      </c>
      <c r="J184" s="919">
        <f t="shared" si="20"/>
        <v>25.664159132007232</v>
      </c>
      <c r="K184" s="919">
        <f t="shared" si="20"/>
        <v>63.549547920433994</v>
      </c>
      <c r="L184" s="919">
        <f t="shared" si="20"/>
        <v>39.835424954792046</v>
      </c>
      <c r="M184" s="920">
        <f t="shared" si="20"/>
        <v>67.212947558770352</v>
      </c>
      <c r="N184" s="873">
        <f t="shared" si="20"/>
        <v>0</v>
      </c>
      <c r="O184" s="919">
        <f t="shared" si="20"/>
        <v>0</v>
      </c>
      <c r="P184" s="919">
        <f t="shared" si="20"/>
        <v>17.721518987341771</v>
      </c>
      <c r="Q184" s="919">
        <f t="shared" si="20"/>
        <v>0</v>
      </c>
      <c r="R184" s="920">
        <f t="shared" si="20"/>
        <v>0</v>
      </c>
      <c r="S184" s="873">
        <f t="shared" ref="S184:AG184" si="21">100*(S157/S131)</f>
        <v>243.54430379746836</v>
      </c>
      <c r="T184" s="919">
        <f t="shared" si="21"/>
        <v>15.692151898734178</v>
      </c>
      <c r="U184" s="919">
        <f t="shared" si="21"/>
        <v>151.89367088607594</v>
      </c>
      <c r="V184" s="919">
        <f t="shared" si="21"/>
        <v>41.445443037974684</v>
      </c>
      <c r="W184" s="920">
        <f t="shared" si="21"/>
        <v>151.89518987341773</v>
      </c>
      <c r="X184" s="873">
        <f t="shared" si="21"/>
        <v>76.825738396624473</v>
      </c>
      <c r="Y184" s="919">
        <f t="shared" si="21"/>
        <v>54.652320675105479</v>
      </c>
      <c r="Z184" s="919">
        <f t="shared" si="21"/>
        <v>79.929535864978902</v>
      </c>
      <c r="AA184" s="919">
        <f t="shared" si="21"/>
        <v>79.134177215189865</v>
      </c>
      <c r="AB184" s="920">
        <f t="shared" si="21"/>
        <v>106.19848101265823</v>
      </c>
      <c r="AC184" s="873">
        <f t="shared" si="21"/>
        <v>0</v>
      </c>
      <c r="AD184" s="919">
        <f t="shared" si="21"/>
        <v>0</v>
      </c>
      <c r="AE184" s="919">
        <f t="shared" si="21"/>
        <v>0</v>
      </c>
      <c r="AF184" s="919">
        <f t="shared" si="21"/>
        <v>0</v>
      </c>
      <c r="AG184" s="920">
        <f t="shared" si="21"/>
        <v>0</v>
      </c>
      <c r="AH184" s="922"/>
    </row>
    <row r="185" spans="1:34" ht="15">
      <c r="A185" s="872"/>
      <c r="B185" s="924" t="s">
        <v>1411</v>
      </c>
      <c r="C185" s="873"/>
      <c r="D185" s="873">
        <f t="shared" ref="D185:AG193" si="22">100*(D158/D132)</f>
        <v>105.13274563702602</v>
      </c>
      <c r="E185" s="919">
        <f t="shared" si="22"/>
        <v>5.8333187500364581</v>
      </c>
      <c r="F185" s="919">
        <f t="shared" si="22"/>
        <v>67.416245645364199</v>
      </c>
      <c r="G185" s="919">
        <f t="shared" si="22"/>
        <v>217.00433918790281</v>
      </c>
      <c r="H185" s="920">
        <f t="shared" si="22"/>
        <v>0</v>
      </c>
      <c r="I185" s="873">
        <f t="shared" si="22"/>
        <v>132.64182504995003</v>
      </c>
      <c r="J185" s="919">
        <f t="shared" si="22"/>
        <v>73.886944335664339</v>
      </c>
      <c r="K185" s="919">
        <f t="shared" si="22"/>
        <v>120.26139527139527</v>
      </c>
      <c r="L185" s="919">
        <f t="shared" si="22"/>
        <v>108.97695154845155</v>
      </c>
      <c r="M185" s="920">
        <f t="shared" si="22"/>
        <v>87.397669557109552</v>
      </c>
      <c r="N185" s="873">
        <f t="shared" si="22"/>
        <v>0</v>
      </c>
      <c r="O185" s="919">
        <f t="shared" si="22"/>
        <v>0</v>
      </c>
      <c r="P185" s="919">
        <f t="shared" si="22"/>
        <v>23.333333333333332</v>
      </c>
      <c r="Q185" s="919">
        <f t="shared" si="22"/>
        <v>0</v>
      </c>
      <c r="R185" s="920">
        <f t="shared" si="22"/>
        <v>0</v>
      </c>
      <c r="S185" s="873">
        <f t="shared" si="22"/>
        <v>152.893125</v>
      </c>
      <c r="T185" s="919">
        <f t="shared" si="22"/>
        <v>10.484</v>
      </c>
      <c r="U185" s="919">
        <f t="shared" si="22"/>
        <v>54.980000000000004</v>
      </c>
      <c r="V185" s="919">
        <f t="shared" si="22"/>
        <v>63.738777389277388</v>
      </c>
      <c r="W185" s="920">
        <f t="shared" si="22"/>
        <v>54.986000000000004</v>
      </c>
      <c r="X185" s="873">
        <f t="shared" si="22"/>
        <v>258.5332167832168</v>
      </c>
      <c r="Y185" s="919">
        <f t="shared" si="22"/>
        <v>168.90820344988347</v>
      </c>
      <c r="Z185" s="919">
        <f t="shared" si="22"/>
        <v>238.94992229992229</v>
      </c>
      <c r="AA185" s="919">
        <f t="shared" si="22"/>
        <v>233.0332944832945</v>
      </c>
      <c r="AB185" s="920">
        <f t="shared" si="22"/>
        <v>185.59922896658895</v>
      </c>
      <c r="AC185" s="873">
        <f t="shared" si="22"/>
        <v>0</v>
      </c>
      <c r="AD185" s="919">
        <f t="shared" si="22"/>
        <v>0</v>
      </c>
      <c r="AE185" s="919">
        <f t="shared" si="22"/>
        <v>0</v>
      </c>
      <c r="AF185" s="919">
        <f t="shared" si="22"/>
        <v>0</v>
      </c>
      <c r="AG185" s="920">
        <f t="shared" si="22"/>
        <v>0</v>
      </c>
      <c r="AH185" s="922"/>
    </row>
    <row r="186" spans="1:34" ht="15">
      <c r="A186" s="872"/>
      <c r="B186" s="924" t="s">
        <v>1412</v>
      </c>
      <c r="C186" s="873"/>
      <c r="D186" s="873">
        <f t="shared" si="22"/>
        <v>112.55742700496454</v>
      </c>
      <c r="E186" s="919">
        <f t="shared" si="22"/>
        <v>5.3763306451948925</v>
      </c>
      <c r="F186" s="919">
        <f t="shared" si="22"/>
        <v>169.55608024267821</v>
      </c>
      <c r="G186" s="919">
        <f t="shared" si="22"/>
        <v>200.73897228549629</v>
      </c>
      <c r="H186" s="920">
        <f t="shared" si="22"/>
        <v>0</v>
      </c>
      <c r="I186" s="873">
        <f t="shared" si="22"/>
        <v>157.02004608294931</v>
      </c>
      <c r="J186" s="919">
        <f t="shared" si="22"/>
        <v>70.602025806451593</v>
      </c>
      <c r="K186" s="919">
        <f t="shared" si="22"/>
        <v>130.45069124423964</v>
      </c>
      <c r="L186" s="919">
        <f t="shared" si="22"/>
        <v>99.796290322580631</v>
      </c>
      <c r="M186" s="920">
        <f t="shared" si="22"/>
        <v>102.61506543778802</v>
      </c>
      <c r="N186" s="873">
        <f t="shared" si="22"/>
        <v>0</v>
      </c>
      <c r="O186" s="919">
        <f t="shared" si="22"/>
        <v>0</v>
      </c>
      <c r="P186" s="919">
        <f t="shared" si="22"/>
        <v>21.50537634408602</v>
      </c>
      <c r="Q186" s="919">
        <f t="shared" si="22"/>
        <v>0</v>
      </c>
      <c r="R186" s="920">
        <f t="shared" si="22"/>
        <v>0</v>
      </c>
      <c r="S186" s="873">
        <f t="shared" si="22"/>
        <v>405.44354838709683</v>
      </c>
      <c r="T186" s="919">
        <f t="shared" si="22"/>
        <v>17.091612903225805</v>
      </c>
      <c r="U186" s="919">
        <f t="shared" si="22"/>
        <v>153.21935483870968</v>
      </c>
      <c r="V186" s="919">
        <f t="shared" si="22"/>
        <v>118.80629032258061</v>
      </c>
      <c r="W186" s="920">
        <f t="shared" si="22"/>
        <v>153.22129032258064</v>
      </c>
      <c r="X186" s="873">
        <f t="shared" si="22"/>
        <v>231.23225806451612</v>
      </c>
      <c r="Y186" s="919">
        <f t="shared" si="22"/>
        <v>159.04085591397845</v>
      </c>
      <c r="Z186" s="919">
        <f t="shared" si="22"/>
        <v>231.80645161290326</v>
      </c>
      <c r="AA186" s="919">
        <f t="shared" si="22"/>
        <v>193.25591397849459</v>
      </c>
      <c r="AB186" s="920">
        <f t="shared" si="22"/>
        <v>188.36138924731182</v>
      </c>
      <c r="AC186" s="873">
        <f t="shared" si="22"/>
        <v>0</v>
      </c>
      <c r="AD186" s="919">
        <f t="shared" si="22"/>
        <v>0</v>
      </c>
      <c r="AE186" s="919">
        <f t="shared" si="22"/>
        <v>0</v>
      </c>
      <c r="AF186" s="919">
        <f t="shared" si="22"/>
        <v>0</v>
      </c>
      <c r="AG186" s="920">
        <f t="shared" si="22"/>
        <v>0</v>
      </c>
      <c r="AH186" s="922"/>
    </row>
    <row r="187" spans="1:34" ht="15">
      <c r="A187" s="872"/>
      <c r="B187" s="924" t="s">
        <v>1413</v>
      </c>
      <c r="C187" s="873"/>
      <c r="D187" s="873">
        <f t="shared" si="22"/>
        <v>96.591085171229778</v>
      </c>
      <c r="E187" s="919">
        <f t="shared" si="22"/>
        <v>3.0302954545643943</v>
      </c>
      <c r="F187" s="919">
        <f t="shared" si="22"/>
        <v>57.866998917535931</v>
      </c>
      <c r="G187" s="919">
        <f t="shared" si="22"/>
        <v>203.05990363912647</v>
      </c>
      <c r="H187" s="920">
        <f t="shared" si="22"/>
        <v>0</v>
      </c>
      <c r="I187" s="873">
        <f t="shared" si="22"/>
        <v>115.26840251370436</v>
      </c>
      <c r="J187" s="919">
        <f t="shared" si="22"/>
        <v>64.969210397944678</v>
      </c>
      <c r="K187" s="919">
        <f t="shared" si="22"/>
        <v>156.63823752005567</v>
      </c>
      <c r="L187" s="919">
        <f t="shared" si="22"/>
        <v>66.898823512262396</v>
      </c>
      <c r="M187" s="920">
        <f t="shared" si="22"/>
        <v>77.883019771077358</v>
      </c>
      <c r="N187" s="873">
        <f t="shared" si="22"/>
        <v>0</v>
      </c>
      <c r="O187" s="919">
        <f t="shared" si="22"/>
        <v>0</v>
      </c>
      <c r="P187" s="919">
        <f t="shared" si="22"/>
        <v>12.121212121212123</v>
      </c>
      <c r="Q187" s="919">
        <f t="shared" si="22"/>
        <v>0</v>
      </c>
      <c r="R187" s="920">
        <f t="shared" si="22"/>
        <v>0</v>
      </c>
      <c r="S187" s="873">
        <f t="shared" si="22"/>
        <v>202.09090909090909</v>
      </c>
      <c r="T187" s="919">
        <f t="shared" si="22"/>
        <v>4.3999999999999995</v>
      </c>
      <c r="U187" s="919">
        <f t="shared" si="22"/>
        <v>8.7272727272727266</v>
      </c>
      <c r="V187" s="919">
        <f t="shared" si="22"/>
        <v>65.281027803123351</v>
      </c>
      <c r="W187" s="920">
        <f t="shared" si="22"/>
        <v>8.836363636363636</v>
      </c>
      <c r="X187" s="873">
        <f t="shared" si="22"/>
        <v>201.59596950167381</v>
      </c>
      <c r="Y187" s="919">
        <f t="shared" si="22"/>
        <v>150.12815759520427</v>
      </c>
      <c r="Z187" s="919">
        <f t="shared" si="22"/>
        <v>350.45891784982695</v>
      </c>
      <c r="AA187" s="919">
        <f t="shared" si="22"/>
        <v>134.33691226090448</v>
      </c>
      <c r="AB187" s="920">
        <f t="shared" si="22"/>
        <v>178.7815915870593</v>
      </c>
      <c r="AC187" s="873">
        <f t="shared" si="22"/>
        <v>0</v>
      </c>
      <c r="AD187" s="919">
        <f t="shared" si="22"/>
        <v>0</v>
      </c>
      <c r="AE187" s="919">
        <f t="shared" si="22"/>
        <v>0</v>
      </c>
      <c r="AF187" s="919">
        <f t="shared" si="22"/>
        <v>0</v>
      </c>
      <c r="AG187" s="920">
        <f t="shared" si="22"/>
        <v>0</v>
      </c>
      <c r="AH187" s="922"/>
    </row>
    <row r="188" spans="1:34" ht="15">
      <c r="A188" s="872"/>
      <c r="B188" s="924" t="s">
        <v>1414</v>
      </c>
      <c r="C188" s="873"/>
      <c r="D188" s="873">
        <f t="shared" si="22"/>
        <v>146.25401190168446</v>
      </c>
      <c r="E188" s="919">
        <f t="shared" si="22"/>
        <v>2.3809464285863098</v>
      </c>
      <c r="F188" s="919">
        <f t="shared" si="22"/>
        <v>138.78067867380435</v>
      </c>
      <c r="G188" s="919">
        <f t="shared" si="22"/>
        <v>292.61818845074271</v>
      </c>
      <c r="H188" s="920">
        <f t="shared" si="22"/>
        <v>0</v>
      </c>
      <c r="I188" s="873">
        <f t="shared" si="22"/>
        <v>186.34262979063638</v>
      </c>
      <c r="J188" s="919">
        <f t="shared" si="22"/>
        <v>106.47378960306186</v>
      </c>
      <c r="K188" s="919">
        <f t="shared" si="22"/>
        <v>182.06591979449118</v>
      </c>
      <c r="L188" s="919">
        <f t="shared" si="22"/>
        <v>135.42922571805681</v>
      </c>
      <c r="M188" s="920">
        <f t="shared" si="22"/>
        <v>119.93955153004381</v>
      </c>
      <c r="N188" s="873">
        <f t="shared" si="22"/>
        <v>0</v>
      </c>
      <c r="O188" s="919">
        <f t="shared" si="22"/>
        <v>0</v>
      </c>
      <c r="P188" s="919">
        <f t="shared" si="22"/>
        <v>9.5238095238095237</v>
      </c>
      <c r="Q188" s="919">
        <f t="shared" si="22"/>
        <v>0</v>
      </c>
      <c r="R188" s="920">
        <f t="shared" si="22"/>
        <v>0</v>
      </c>
      <c r="S188" s="873">
        <f t="shared" si="22"/>
        <v>449.21428571428572</v>
      </c>
      <c r="T188" s="919">
        <f t="shared" si="22"/>
        <v>8.5714285714285712</v>
      </c>
      <c r="U188" s="919">
        <f t="shared" si="22"/>
        <v>83.714285714285722</v>
      </c>
      <c r="V188" s="919">
        <f t="shared" si="22"/>
        <v>68.519066890094052</v>
      </c>
      <c r="W188" s="920">
        <f t="shared" si="22"/>
        <v>83.885714285714286</v>
      </c>
      <c r="X188" s="873">
        <f t="shared" si="22"/>
        <v>285.06137427338973</v>
      </c>
      <c r="Y188" s="919">
        <f t="shared" si="22"/>
        <v>245.58169955000153</v>
      </c>
      <c r="Z188" s="919">
        <f t="shared" si="22"/>
        <v>387.39190809190802</v>
      </c>
      <c r="AA188" s="919">
        <f t="shared" si="22"/>
        <v>293.16183771210126</v>
      </c>
      <c r="AB188" s="920">
        <f t="shared" si="22"/>
        <v>251.89704880819744</v>
      </c>
      <c r="AC188" s="873">
        <f t="shared" si="22"/>
        <v>0</v>
      </c>
      <c r="AD188" s="919">
        <f t="shared" si="22"/>
        <v>0</v>
      </c>
      <c r="AE188" s="919">
        <f t="shared" si="22"/>
        <v>0</v>
      </c>
      <c r="AF188" s="919">
        <f t="shared" si="22"/>
        <v>0</v>
      </c>
      <c r="AG188" s="920">
        <f t="shared" si="22"/>
        <v>0</v>
      </c>
      <c r="AH188" s="922"/>
    </row>
    <row r="189" spans="1:34" ht="15">
      <c r="A189" s="872"/>
      <c r="B189" s="924" t="s">
        <v>1415</v>
      </c>
      <c r="C189" s="873"/>
      <c r="D189" s="873">
        <f t="shared" si="22"/>
        <v>152.00788404951305</v>
      </c>
      <c r="E189" s="919">
        <f t="shared" si="22"/>
        <v>3.1944364583532989</v>
      </c>
      <c r="F189" s="919">
        <f t="shared" si="22"/>
        <v>94.417296329264488</v>
      </c>
      <c r="G189" s="919">
        <f t="shared" si="22"/>
        <v>320.01819421408902</v>
      </c>
      <c r="H189" s="920">
        <f t="shared" si="22"/>
        <v>0</v>
      </c>
      <c r="I189" s="873">
        <f t="shared" si="22"/>
        <v>194.93008788611951</v>
      </c>
      <c r="J189" s="919">
        <f t="shared" si="22"/>
        <v>93.531477364895238</v>
      </c>
      <c r="K189" s="919">
        <f t="shared" si="22"/>
        <v>186.5973643023643</v>
      </c>
      <c r="L189" s="919">
        <f t="shared" si="22"/>
        <v>165.36336131784287</v>
      </c>
      <c r="M189" s="920">
        <f t="shared" si="22"/>
        <v>118.24960525874685</v>
      </c>
      <c r="N189" s="873">
        <f t="shared" si="22"/>
        <v>0</v>
      </c>
      <c r="O189" s="919">
        <f t="shared" si="22"/>
        <v>0</v>
      </c>
      <c r="P189" s="919">
        <f t="shared" si="22"/>
        <v>12.777777777777777</v>
      </c>
      <c r="Q189" s="919">
        <f t="shared" si="22"/>
        <v>0</v>
      </c>
      <c r="R189" s="920">
        <f t="shared" si="22"/>
        <v>0</v>
      </c>
      <c r="S189" s="873">
        <f t="shared" si="22"/>
        <v>255.75</v>
      </c>
      <c r="T189" s="919">
        <f t="shared" si="22"/>
        <v>8.0133333333333336</v>
      </c>
      <c r="U189" s="919">
        <f t="shared" si="22"/>
        <v>8.6</v>
      </c>
      <c r="V189" s="919">
        <f t="shared" si="22"/>
        <v>191.00409248595233</v>
      </c>
      <c r="W189" s="920">
        <f t="shared" si="22"/>
        <v>8.7199999999999989</v>
      </c>
      <c r="X189" s="873">
        <f t="shared" si="22"/>
        <v>369.58687173427876</v>
      </c>
      <c r="Y189" s="919">
        <f t="shared" si="22"/>
        <v>215.56900274031113</v>
      </c>
      <c r="Z189" s="919">
        <f t="shared" si="22"/>
        <v>419.74940559440563</v>
      </c>
      <c r="AA189" s="919">
        <f t="shared" si="22"/>
        <v>322.17981224631586</v>
      </c>
      <c r="AB189" s="920">
        <f t="shared" si="22"/>
        <v>273.00907893707603</v>
      </c>
      <c r="AC189" s="873">
        <f t="shared" si="22"/>
        <v>0</v>
      </c>
      <c r="AD189" s="919">
        <f t="shared" si="22"/>
        <v>0</v>
      </c>
      <c r="AE189" s="919">
        <f t="shared" si="22"/>
        <v>0</v>
      </c>
      <c r="AF189" s="919">
        <f t="shared" si="22"/>
        <v>0</v>
      </c>
      <c r="AG189" s="920">
        <f t="shared" si="22"/>
        <v>0</v>
      </c>
      <c r="AH189" s="922"/>
    </row>
    <row r="190" spans="1:34" ht="15">
      <c r="A190" s="872"/>
      <c r="B190" s="924" t="s">
        <v>1416</v>
      </c>
      <c r="C190" s="873"/>
      <c r="D190" s="873">
        <f t="shared" si="22"/>
        <v>74.135090035623818</v>
      </c>
      <c r="E190" s="919">
        <f t="shared" si="22"/>
        <v>0.57291523437858072</v>
      </c>
      <c r="F190" s="919">
        <f t="shared" si="22"/>
        <v>38.843647312705372</v>
      </c>
      <c r="G190" s="919">
        <f t="shared" si="22"/>
        <v>159.46107907784187</v>
      </c>
      <c r="H190" s="920">
        <f t="shared" si="22"/>
        <v>0</v>
      </c>
      <c r="I190" s="873">
        <f t="shared" si="22"/>
        <v>87.940892857142856</v>
      </c>
      <c r="J190" s="919">
        <f t="shared" si="22"/>
        <v>69.07264142857143</v>
      </c>
      <c r="K190" s="919">
        <f t="shared" si="22"/>
        <v>65.718874999999997</v>
      </c>
      <c r="L190" s="919">
        <f t="shared" si="22"/>
        <v>74.937482142857149</v>
      </c>
      <c r="M190" s="920">
        <f t="shared" si="22"/>
        <v>72.760765000000006</v>
      </c>
      <c r="N190" s="873">
        <f t="shared" si="22"/>
        <v>0</v>
      </c>
      <c r="O190" s="919">
        <f t="shared" si="22"/>
        <v>0</v>
      </c>
      <c r="P190" s="919">
        <f t="shared" si="22"/>
        <v>2.2916666666666665</v>
      </c>
      <c r="Q190" s="919">
        <f t="shared" si="22"/>
        <v>0</v>
      </c>
      <c r="R190" s="920">
        <f t="shared" si="22"/>
        <v>0</v>
      </c>
      <c r="S190" s="873">
        <f t="shared" si="22"/>
        <v>37.96875</v>
      </c>
      <c r="T190" s="919">
        <f t="shared" si="22"/>
        <v>37.495999999999995</v>
      </c>
      <c r="U190" s="919">
        <f t="shared" si="22"/>
        <v>37.494999999999997</v>
      </c>
      <c r="V190" s="919">
        <f t="shared" si="22"/>
        <v>43.762374999999992</v>
      </c>
      <c r="W190" s="920">
        <f t="shared" si="22"/>
        <v>37.496499999999997</v>
      </c>
      <c r="X190" s="873">
        <f t="shared" si="22"/>
        <v>192.53916666666666</v>
      </c>
      <c r="Y190" s="919">
        <f t="shared" si="22"/>
        <v>148.67083</v>
      </c>
      <c r="Z190" s="919">
        <f t="shared" si="22"/>
        <v>138.55404166666668</v>
      </c>
      <c r="AA190" s="919">
        <f t="shared" si="22"/>
        <v>160.26666666666668</v>
      </c>
      <c r="AB190" s="920">
        <f t="shared" si="22"/>
        <v>157.276285</v>
      </c>
      <c r="AC190" s="873">
        <f t="shared" si="22"/>
        <v>0</v>
      </c>
      <c r="AD190" s="919">
        <f t="shared" si="22"/>
        <v>0</v>
      </c>
      <c r="AE190" s="919">
        <f t="shared" si="22"/>
        <v>0</v>
      </c>
      <c r="AF190" s="919">
        <f t="shared" si="22"/>
        <v>0</v>
      </c>
      <c r="AG190" s="920">
        <f t="shared" si="22"/>
        <v>0</v>
      </c>
      <c r="AH190" s="922"/>
    </row>
    <row r="191" spans="1:34" ht="15">
      <c r="A191" s="872"/>
      <c r="B191" s="924" t="s">
        <v>1417</v>
      </c>
      <c r="C191" s="873"/>
      <c r="D191" s="873">
        <f t="shared" si="22"/>
        <v>117.23109048506409</v>
      </c>
      <c r="E191" s="919">
        <f t="shared" si="22"/>
        <v>5.8333187500364598</v>
      </c>
      <c r="F191" s="919">
        <f t="shared" si="22"/>
        <v>64.493848485809906</v>
      </c>
      <c r="G191" s="919">
        <f t="shared" si="22"/>
        <v>246.20794288650978</v>
      </c>
      <c r="H191" s="920">
        <f t="shared" si="22"/>
        <v>0</v>
      </c>
      <c r="I191" s="873">
        <f t="shared" si="22"/>
        <v>135.3284494680795</v>
      </c>
      <c r="J191" s="919">
        <f t="shared" si="22"/>
        <v>130.22368093493876</v>
      </c>
      <c r="K191" s="919">
        <f t="shared" si="22"/>
        <v>126.70263070263073</v>
      </c>
      <c r="L191" s="919">
        <f t="shared" si="22"/>
        <v>110.39609580859559</v>
      </c>
      <c r="M191" s="920">
        <f t="shared" si="22"/>
        <v>81.005774071964993</v>
      </c>
      <c r="N191" s="873">
        <f t="shared" si="22"/>
        <v>0</v>
      </c>
      <c r="O191" s="919">
        <f t="shared" si="22"/>
        <v>0</v>
      </c>
      <c r="P191" s="919">
        <f t="shared" si="22"/>
        <v>23.333333333333336</v>
      </c>
      <c r="Q191" s="919">
        <f t="shared" si="22"/>
        <v>0</v>
      </c>
      <c r="R191" s="920">
        <f t="shared" si="22"/>
        <v>0</v>
      </c>
      <c r="S191" s="873">
        <f t="shared" si="22"/>
        <v>207.49999999999997</v>
      </c>
      <c r="T191" s="919">
        <f t="shared" si="22"/>
        <v>1.52</v>
      </c>
      <c r="U191" s="919">
        <f t="shared" si="22"/>
        <v>25.999999999999996</v>
      </c>
      <c r="V191" s="919">
        <f t="shared" si="22"/>
        <v>60.249887367534413</v>
      </c>
      <c r="W191" s="920">
        <f t="shared" si="22"/>
        <v>27.199999999999996</v>
      </c>
      <c r="X191" s="873">
        <f t="shared" si="22"/>
        <v>246.59971542551881</v>
      </c>
      <c r="Y191" s="919">
        <f t="shared" si="22"/>
        <v>303.34858884819039</v>
      </c>
      <c r="Z191" s="919">
        <f t="shared" si="22"/>
        <v>263.63947163947165</v>
      </c>
      <c r="AA191" s="919">
        <f t="shared" si="22"/>
        <v>237.50759443087821</v>
      </c>
      <c r="AB191" s="920">
        <f t="shared" si="22"/>
        <v>179.94680616791834</v>
      </c>
      <c r="AC191" s="873">
        <f t="shared" si="22"/>
        <v>0</v>
      </c>
      <c r="AD191" s="919">
        <f t="shared" si="22"/>
        <v>0</v>
      </c>
      <c r="AE191" s="919">
        <f t="shared" si="22"/>
        <v>0</v>
      </c>
      <c r="AF191" s="919">
        <f t="shared" si="22"/>
        <v>0</v>
      </c>
      <c r="AG191" s="920">
        <f t="shared" si="22"/>
        <v>0</v>
      </c>
      <c r="AH191" s="922"/>
    </row>
    <row r="192" spans="1:34" ht="15">
      <c r="A192" s="872"/>
      <c r="B192" s="924" t="s">
        <v>1418</v>
      </c>
      <c r="C192" s="873"/>
      <c r="D192" s="873">
        <f t="shared" si="22"/>
        <v>91.139877158440214</v>
      </c>
      <c r="E192" s="919">
        <f t="shared" si="22"/>
        <v>3.9682440476438501</v>
      </c>
      <c r="F192" s="919">
        <f t="shared" si="22"/>
        <v>124.41185095124334</v>
      </c>
      <c r="G192" s="919">
        <f t="shared" si="22"/>
        <v>167.22085233830217</v>
      </c>
      <c r="H192" s="920">
        <f t="shared" si="22"/>
        <v>0</v>
      </c>
      <c r="I192" s="873">
        <f t="shared" si="22"/>
        <v>107.31586137087159</v>
      </c>
      <c r="J192" s="919">
        <f t="shared" si="22"/>
        <v>83.554500433166652</v>
      </c>
      <c r="K192" s="919">
        <f t="shared" si="22"/>
        <v>98.947306661592378</v>
      </c>
      <c r="L192" s="919">
        <f t="shared" si="22"/>
        <v>71.953257552685187</v>
      </c>
      <c r="M192" s="920">
        <f t="shared" si="22"/>
        <v>92.228695152237933</v>
      </c>
      <c r="N192" s="873">
        <f t="shared" si="22"/>
        <v>0</v>
      </c>
      <c r="O192" s="919">
        <f t="shared" si="22"/>
        <v>0</v>
      </c>
      <c r="P192" s="919">
        <f t="shared" si="22"/>
        <v>15.873015873015875</v>
      </c>
      <c r="Q192" s="919">
        <f t="shared" si="22"/>
        <v>0</v>
      </c>
      <c r="R192" s="920">
        <f t="shared" si="22"/>
        <v>0</v>
      </c>
      <c r="S192" s="873">
        <f t="shared" si="22"/>
        <v>267.85714285714289</v>
      </c>
      <c r="T192" s="919">
        <f t="shared" si="22"/>
        <v>15.428571428571427</v>
      </c>
      <c r="U192" s="919">
        <f t="shared" si="22"/>
        <v>129.52380952380952</v>
      </c>
      <c r="V192" s="919">
        <f t="shared" si="22"/>
        <v>78.584308398535796</v>
      </c>
      <c r="W192" s="920">
        <f t="shared" si="22"/>
        <v>130.66666666666669</v>
      </c>
      <c r="X192" s="873">
        <f t="shared" si="22"/>
        <v>161.11796224631942</v>
      </c>
      <c r="Y192" s="919">
        <f t="shared" si="22"/>
        <v>189.81764386786503</v>
      </c>
      <c r="Z192" s="919">
        <f t="shared" si="22"/>
        <v>171.82942982942987</v>
      </c>
      <c r="AA192" s="919">
        <f t="shared" si="22"/>
        <v>141.69616482342016</v>
      </c>
      <c r="AB192" s="920">
        <f t="shared" si="22"/>
        <v>171.64473313299965</v>
      </c>
      <c r="AC192" s="873">
        <f t="shared" si="22"/>
        <v>0</v>
      </c>
      <c r="AD192" s="919">
        <f t="shared" si="22"/>
        <v>0</v>
      </c>
      <c r="AE192" s="919">
        <f t="shared" si="22"/>
        <v>0</v>
      </c>
      <c r="AF192" s="919">
        <f t="shared" si="22"/>
        <v>0</v>
      </c>
      <c r="AG192" s="920">
        <f t="shared" si="22"/>
        <v>0</v>
      </c>
      <c r="AH192" s="922"/>
    </row>
    <row r="193" spans="1:34" ht="15">
      <c r="A193" s="872"/>
      <c r="B193" s="924" t="s">
        <v>1419</v>
      </c>
      <c r="C193" s="873"/>
      <c r="D193" s="873">
        <f t="shared" si="22"/>
        <v>119.49622731579576</v>
      </c>
      <c r="E193" s="919">
        <f t="shared" si="22"/>
        <v>5.1281923077243601</v>
      </c>
      <c r="F193" s="919">
        <f t="shared" si="22"/>
        <v>60.928097265558534</v>
      </c>
      <c r="G193" s="919">
        <f t="shared" si="22"/>
        <v>253.38697234061289</v>
      </c>
      <c r="H193" s="920">
        <f t="shared" si="22"/>
        <v>0</v>
      </c>
      <c r="I193" s="873">
        <f t="shared" si="22"/>
        <v>195.84624161159198</v>
      </c>
      <c r="J193" s="919">
        <f t="shared" si="22"/>
        <v>94.089140765062524</v>
      </c>
      <c r="K193" s="919">
        <f t="shared" si="22"/>
        <v>104.70854209892673</v>
      </c>
      <c r="L193" s="919">
        <f t="shared" si="22"/>
        <v>99.436300677629546</v>
      </c>
      <c r="M193" s="920">
        <f t="shared" si="22"/>
        <v>101.2043096847308</v>
      </c>
      <c r="N193" s="873">
        <f t="shared" si="22"/>
        <v>0</v>
      </c>
      <c r="O193" s="919">
        <f t="shared" si="22"/>
        <v>0</v>
      </c>
      <c r="P193" s="919">
        <f t="shared" si="22"/>
        <v>20.512820512820515</v>
      </c>
      <c r="Q193" s="919">
        <f t="shared" si="22"/>
        <v>0</v>
      </c>
      <c r="R193" s="920">
        <f t="shared" si="22"/>
        <v>0</v>
      </c>
      <c r="S193" s="873">
        <f t="shared" ref="S193:AG193" si="23">100*(S166/S140)</f>
        <v>251.04807692307691</v>
      </c>
      <c r="T193" s="919">
        <f t="shared" si="23"/>
        <v>5.1384615384615389</v>
      </c>
      <c r="U193" s="919">
        <f t="shared" si="23"/>
        <v>7.3846153846153841</v>
      </c>
      <c r="V193" s="919">
        <f t="shared" si="23"/>
        <v>33.593018685688371</v>
      </c>
      <c r="W193" s="920">
        <f t="shared" si="23"/>
        <v>7.476923076923077</v>
      </c>
      <c r="X193" s="873">
        <f t="shared" si="23"/>
        <v>373.29187145268901</v>
      </c>
      <c r="Y193" s="919">
        <f t="shared" si="23"/>
        <v>217.82850793899203</v>
      </c>
      <c r="Z193" s="919">
        <f t="shared" si="23"/>
        <v>221.3455725898034</v>
      </c>
      <c r="AA193" s="919">
        <f t="shared" si="23"/>
        <v>220.82036201923944</v>
      </c>
      <c r="AB193" s="920">
        <f t="shared" si="23"/>
        <v>233.65108157206413</v>
      </c>
      <c r="AC193" s="873">
        <f t="shared" si="23"/>
        <v>0</v>
      </c>
      <c r="AD193" s="919">
        <f t="shared" si="23"/>
        <v>0</v>
      </c>
      <c r="AE193" s="919">
        <f t="shared" si="23"/>
        <v>0</v>
      </c>
      <c r="AF193" s="919">
        <f t="shared" si="23"/>
        <v>0</v>
      </c>
      <c r="AG193" s="920">
        <f t="shared" si="23"/>
        <v>0</v>
      </c>
      <c r="AH193" s="922"/>
    </row>
    <row r="194" spans="1:34" ht="15">
      <c r="A194" s="872"/>
      <c r="B194" s="924" t="s">
        <v>1420</v>
      </c>
      <c r="C194" s="873"/>
      <c r="D194" s="873">
        <f t="shared" ref="D194:AG198" si="24">100*(D167/D141)</f>
        <v>178.94462096500212</v>
      </c>
      <c r="E194" s="919">
        <f t="shared" si="24"/>
        <v>3.725480882376226</v>
      </c>
      <c r="F194" s="919">
        <f t="shared" si="24"/>
        <v>65.228843567134646</v>
      </c>
      <c r="G194" s="919">
        <f t="shared" si="24"/>
        <v>392.06902018025045</v>
      </c>
      <c r="H194" s="920">
        <f t="shared" si="24"/>
        <v>0</v>
      </c>
      <c r="I194" s="873">
        <f t="shared" si="24"/>
        <v>222.06063259412269</v>
      </c>
      <c r="J194" s="919">
        <f t="shared" si="24"/>
        <v>119.06393783536306</v>
      </c>
      <c r="K194" s="919">
        <f t="shared" si="24"/>
        <v>163.87949697361464</v>
      </c>
      <c r="L194" s="919">
        <f t="shared" si="24"/>
        <v>236.06461898835803</v>
      </c>
      <c r="M194" s="920">
        <f t="shared" si="24"/>
        <v>152.05957321588613</v>
      </c>
      <c r="N194" s="873">
        <f t="shared" si="24"/>
        <v>0</v>
      </c>
      <c r="O194" s="919">
        <f t="shared" si="24"/>
        <v>0</v>
      </c>
      <c r="P194" s="919">
        <f t="shared" si="24"/>
        <v>14.901960784313726</v>
      </c>
      <c r="Q194" s="919">
        <f t="shared" si="24"/>
        <v>0</v>
      </c>
      <c r="R194" s="920">
        <f t="shared" si="24"/>
        <v>0</v>
      </c>
      <c r="S194" s="873">
        <f t="shared" si="24"/>
        <v>189.05882352941177</v>
      </c>
      <c r="T194" s="919">
        <f t="shared" si="24"/>
        <v>3.0588235294117649</v>
      </c>
      <c r="U194" s="919">
        <f t="shared" si="24"/>
        <v>36.470588235294123</v>
      </c>
      <c r="V194" s="919">
        <f t="shared" si="24"/>
        <v>59.674281888814754</v>
      </c>
      <c r="W194" s="920">
        <f t="shared" si="24"/>
        <v>37.882352941176478</v>
      </c>
      <c r="X194" s="873">
        <f t="shared" si="24"/>
        <v>455.1218682098156</v>
      </c>
      <c r="Y194" s="919">
        <f t="shared" si="24"/>
        <v>276.79624710604315</v>
      </c>
      <c r="Z194" s="919">
        <f t="shared" si="24"/>
        <v>355.32666940902237</v>
      </c>
      <c r="AA194" s="919">
        <f t="shared" si="24"/>
        <v>530.92601700989712</v>
      </c>
      <c r="AB194" s="920">
        <f t="shared" si="24"/>
        <v>342.17821985667547</v>
      </c>
      <c r="AC194" s="873">
        <f t="shared" si="24"/>
        <v>0</v>
      </c>
      <c r="AD194" s="919">
        <f t="shared" si="24"/>
        <v>0</v>
      </c>
      <c r="AE194" s="919">
        <f t="shared" si="24"/>
        <v>0</v>
      </c>
      <c r="AF194" s="919">
        <f t="shared" si="24"/>
        <v>0</v>
      </c>
      <c r="AG194" s="920">
        <f t="shared" si="24"/>
        <v>0</v>
      </c>
      <c r="AH194" s="922"/>
    </row>
    <row r="195" spans="1:34" ht="15">
      <c r="A195" s="872"/>
      <c r="B195" s="924" t="s">
        <v>1421</v>
      </c>
      <c r="C195" s="873"/>
      <c r="D195" s="873">
        <f t="shared" si="24"/>
        <v>82.735972719751544</v>
      </c>
      <c r="E195" s="919">
        <f t="shared" si="24"/>
        <v>9.9666417500622906</v>
      </c>
      <c r="F195" s="919">
        <f t="shared" si="24"/>
        <v>47.567256100919039</v>
      </c>
      <c r="G195" s="919">
        <f t="shared" si="24"/>
        <v>167.22820922905163</v>
      </c>
      <c r="H195" s="920">
        <f t="shared" si="24"/>
        <v>0</v>
      </c>
      <c r="I195" s="873">
        <f t="shared" si="24"/>
        <v>95.134365634365622</v>
      </c>
      <c r="J195" s="919">
        <f t="shared" si="24"/>
        <v>68.055389634365653</v>
      </c>
      <c r="K195" s="919">
        <f t="shared" si="24"/>
        <v>108.5006247086247</v>
      </c>
      <c r="L195" s="919">
        <f t="shared" si="24"/>
        <v>55.642420379620383</v>
      </c>
      <c r="M195" s="920">
        <f t="shared" si="24"/>
        <v>82.076472708624692</v>
      </c>
      <c r="N195" s="873">
        <f t="shared" si="24"/>
        <v>0</v>
      </c>
      <c r="O195" s="919">
        <f t="shared" si="24"/>
        <v>0</v>
      </c>
      <c r="P195" s="919">
        <f t="shared" si="24"/>
        <v>39.866666666666667</v>
      </c>
      <c r="Q195" s="919">
        <f t="shared" si="24"/>
        <v>0</v>
      </c>
      <c r="R195" s="920">
        <f t="shared" si="24"/>
        <v>0</v>
      </c>
      <c r="S195" s="873">
        <f t="shared" si="24"/>
        <v>130.69999999999999</v>
      </c>
      <c r="T195" s="919">
        <f t="shared" si="24"/>
        <v>8.3872</v>
      </c>
      <c r="U195" s="919">
        <f t="shared" si="24"/>
        <v>31.984000000000002</v>
      </c>
      <c r="V195" s="919">
        <f t="shared" si="24"/>
        <v>34.77675617715618</v>
      </c>
      <c r="W195" s="920">
        <f t="shared" si="24"/>
        <v>31.988800000000001</v>
      </c>
      <c r="X195" s="873">
        <f t="shared" si="24"/>
        <v>178.4135198135198</v>
      </c>
      <c r="Y195" s="919">
        <f t="shared" si="24"/>
        <v>156.00017581351983</v>
      </c>
      <c r="Z195" s="919">
        <f t="shared" si="24"/>
        <v>202.6401243201243</v>
      </c>
      <c r="AA195" s="919">
        <f t="shared" si="24"/>
        <v>118.24006216006218</v>
      </c>
      <c r="AB195" s="920">
        <f t="shared" si="24"/>
        <v>180.84883632012429</v>
      </c>
      <c r="AC195" s="873">
        <f t="shared" si="24"/>
        <v>0</v>
      </c>
      <c r="AD195" s="919">
        <f t="shared" si="24"/>
        <v>0</v>
      </c>
      <c r="AE195" s="919">
        <f t="shared" si="24"/>
        <v>0</v>
      </c>
      <c r="AF195" s="919">
        <f t="shared" si="24"/>
        <v>0</v>
      </c>
      <c r="AG195" s="920">
        <f t="shared" si="24"/>
        <v>0</v>
      </c>
      <c r="AH195" s="922"/>
    </row>
    <row r="196" spans="1:34" ht="15">
      <c r="A196" s="872"/>
      <c r="B196" s="924" t="s">
        <v>1422</v>
      </c>
      <c r="C196" s="873"/>
      <c r="D196" s="873">
        <f t="shared" si="24"/>
        <v>57.418022687352156</v>
      </c>
      <c r="E196" s="919">
        <f t="shared" si="24"/>
        <v>0</v>
      </c>
      <c r="F196" s="919">
        <f t="shared" si="24"/>
        <v>103.17897909658727</v>
      </c>
      <c r="G196" s="919">
        <f t="shared" si="24"/>
        <v>99.58239323829261</v>
      </c>
      <c r="H196" s="920">
        <f t="shared" si="24"/>
        <v>0</v>
      </c>
      <c r="I196" s="873">
        <f t="shared" si="24"/>
        <v>63.434649350649352</v>
      </c>
      <c r="J196" s="919">
        <f t="shared" si="24"/>
        <v>59.855746493506487</v>
      </c>
      <c r="K196" s="919">
        <f t="shared" si="24"/>
        <v>33.920623376623375</v>
      </c>
      <c r="L196" s="919">
        <f t="shared" si="24"/>
        <v>62.763707876727892</v>
      </c>
      <c r="M196" s="920">
        <f t="shared" si="24"/>
        <v>67.11596051948051</v>
      </c>
      <c r="N196" s="873">
        <f t="shared" si="24"/>
        <v>0</v>
      </c>
      <c r="O196" s="919">
        <f t="shared" si="24"/>
        <v>0</v>
      </c>
      <c r="P196" s="919">
        <f t="shared" si="24"/>
        <v>0</v>
      </c>
      <c r="Q196" s="919">
        <f t="shared" si="24"/>
        <v>0</v>
      </c>
      <c r="R196" s="920">
        <f t="shared" si="24"/>
        <v>0</v>
      </c>
      <c r="S196" s="873">
        <f t="shared" si="24"/>
        <v>153.9</v>
      </c>
      <c r="T196" s="919">
        <f t="shared" si="24"/>
        <v>11.872</v>
      </c>
      <c r="U196" s="919">
        <f t="shared" si="24"/>
        <v>119.83999999999999</v>
      </c>
      <c r="V196" s="919">
        <f t="shared" si="24"/>
        <v>110.39592727272726</v>
      </c>
      <c r="W196" s="920">
        <f t="shared" si="24"/>
        <v>119.88799999999999</v>
      </c>
      <c r="X196" s="873">
        <f t="shared" si="24"/>
        <v>96.714181818181828</v>
      </c>
      <c r="Y196" s="919">
        <f t="shared" si="24"/>
        <v>135.70607515151514</v>
      </c>
      <c r="Z196" s="919">
        <f t="shared" si="24"/>
        <v>39.201454545454546</v>
      </c>
      <c r="AA196" s="919">
        <f t="shared" si="24"/>
        <v>109.65000928812265</v>
      </c>
      <c r="AB196" s="920">
        <f t="shared" si="24"/>
        <v>116.64124121212123</v>
      </c>
      <c r="AC196" s="873">
        <f t="shared" si="24"/>
        <v>0</v>
      </c>
      <c r="AD196" s="919">
        <f t="shared" si="24"/>
        <v>0</v>
      </c>
      <c r="AE196" s="919">
        <f t="shared" si="24"/>
        <v>0</v>
      </c>
      <c r="AF196" s="919">
        <f t="shared" si="24"/>
        <v>0</v>
      </c>
      <c r="AG196" s="920">
        <f t="shared" si="24"/>
        <v>0</v>
      </c>
      <c r="AH196" s="922"/>
    </row>
    <row r="197" spans="1:34" ht="15">
      <c r="A197" s="872"/>
      <c r="B197" s="924" t="s">
        <v>1423</v>
      </c>
      <c r="C197" s="873"/>
      <c r="D197" s="873">
        <f t="shared" si="24"/>
        <v>102.36760834516134</v>
      </c>
      <c r="E197" s="919">
        <f t="shared" si="24"/>
        <v>38.958235937743495</v>
      </c>
      <c r="F197" s="919">
        <f t="shared" si="24"/>
        <v>9.4972310055379907</v>
      </c>
      <c r="G197" s="919">
        <f t="shared" si="24"/>
        <v>196.73377319912032</v>
      </c>
      <c r="H197" s="920">
        <f t="shared" si="24"/>
        <v>0</v>
      </c>
      <c r="I197" s="873">
        <f t="shared" si="24"/>
        <v>125.91428571428571</v>
      </c>
      <c r="J197" s="919">
        <f t="shared" si="24"/>
        <v>52.9925</v>
      </c>
      <c r="K197" s="919">
        <f t="shared" si="24"/>
        <v>129.3380357142857</v>
      </c>
      <c r="L197" s="919">
        <f t="shared" si="24"/>
        <v>73.892678571428576</v>
      </c>
      <c r="M197" s="920">
        <f t="shared" si="24"/>
        <v>113.00517857142857</v>
      </c>
      <c r="N197" s="873">
        <f t="shared" si="24"/>
        <v>0</v>
      </c>
      <c r="O197" s="919">
        <f t="shared" si="24"/>
        <v>0</v>
      </c>
      <c r="P197" s="919">
        <f t="shared" si="24"/>
        <v>155.83333333333334</v>
      </c>
      <c r="Q197" s="919">
        <f t="shared" si="24"/>
        <v>0</v>
      </c>
      <c r="R197" s="920">
        <f t="shared" si="24"/>
        <v>0</v>
      </c>
      <c r="S197" s="873">
        <f t="shared" si="24"/>
        <v>7.1874999999999991</v>
      </c>
      <c r="T197" s="919">
        <f t="shared" si="24"/>
        <v>8.4849999999999994</v>
      </c>
      <c r="U197" s="919">
        <f t="shared" si="24"/>
        <v>6.2</v>
      </c>
      <c r="V197" s="919">
        <f t="shared" si="24"/>
        <v>19.398750000000003</v>
      </c>
      <c r="W197" s="920">
        <f t="shared" si="24"/>
        <v>6.2149999999999999</v>
      </c>
      <c r="X197" s="873">
        <f t="shared" si="24"/>
        <v>291.40416666666664</v>
      </c>
      <c r="Y197" s="919">
        <f t="shared" si="24"/>
        <v>120.82083333333333</v>
      </c>
      <c r="Z197" s="919">
        <f t="shared" si="24"/>
        <v>143.88874999999999</v>
      </c>
      <c r="AA197" s="919">
        <f t="shared" si="24"/>
        <v>165.95000000000002</v>
      </c>
      <c r="AB197" s="920">
        <f t="shared" si="24"/>
        <v>261.60708333333338</v>
      </c>
      <c r="AC197" s="873">
        <f t="shared" si="24"/>
        <v>0</v>
      </c>
      <c r="AD197" s="919">
        <f t="shared" si="24"/>
        <v>0</v>
      </c>
      <c r="AE197" s="919">
        <f t="shared" si="24"/>
        <v>0</v>
      </c>
      <c r="AF197" s="919">
        <f t="shared" si="24"/>
        <v>0</v>
      </c>
      <c r="AG197" s="920">
        <f t="shared" si="24"/>
        <v>0</v>
      </c>
      <c r="AH197" s="922"/>
    </row>
    <row r="198" spans="1:34" ht="16" thickBot="1">
      <c r="A198" s="872"/>
      <c r="B198" s="926" t="s">
        <v>1424</v>
      </c>
      <c r="C198" s="873"/>
      <c r="D198" s="927">
        <f t="shared" si="24"/>
        <v>44.107253065613662</v>
      </c>
      <c r="E198" s="928">
        <f t="shared" si="24"/>
        <v>0</v>
      </c>
      <c r="F198" s="928">
        <f t="shared" si="24"/>
        <v>69.788446716290508</v>
      </c>
      <c r="G198" s="928">
        <f t="shared" si="24"/>
        <v>79.654108247668375</v>
      </c>
      <c r="H198" s="929">
        <f t="shared" si="24"/>
        <v>0</v>
      </c>
      <c r="I198" s="927">
        <f t="shared" si="24"/>
        <v>40.811427771108441</v>
      </c>
      <c r="J198" s="928">
        <f t="shared" si="24"/>
        <v>60.261404913965592</v>
      </c>
      <c r="K198" s="928">
        <f t="shared" si="24"/>
        <v>37.772000000000006</v>
      </c>
      <c r="L198" s="928">
        <f t="shared" si="24"/>
        <v>39.638491658702208</v>
      </c>
      <c r="M198" s="929">
        <f t="shared" si="24"/>
        <v>42.053382056822734</v>
      </c>
      <c r="N198" s="927">
        <f t="shared" si="24"/>
        <v>0</v>
      </c>
      <c r="O198" s="928">
        <f t="shared" si="24"/>
        <v>0</v>
      </c>
      <c r="P198" s="928">
        <f t="shared" si="24"/>
        <v>0</v>
      </c>
      <c r="Q198" s="928">
        <f t="shared" si="24"/>
        <v>0</v>
      </c>
      <c r="R198" s="929">
        <f t="shared" si="24"/>
        <v>0</v>
      </c>
      <c r="S198" s="927">
        <f t="shared" si="24"/>
        <v>44.25</v>
      </c>
      <c r="T198" s="928">
        <f t="shared" si="24"/>
        <v>243.952</v>
      </c>
      <c r="U198" s="928">
        <f t="shared" si="24"/>
        <v>11.92</v>
      </c>
      <c r="V198" s="928">
        <f t="shared" si="24"/>
        <v>36.876931465919704</v>
      </c>
      <c r="W198" s="929">
        <f t="shared" si="24"/>
        <v>11.943999999999999</v>
      </c>
      <c r="X198" s="927">
        <f t="shared" si="24"/>
        <v>80.47666479925303</v>
      </c>
      <c r="Y198" s="928">
        <f t="shared" si="24"/>
        <v>59.292611465919698</v>
      </c>
      <c r="Z198" s="928">
        <f t="shared" si="24"/>
        <v>84.161333333333346</v>
      </c>
      <c r="AA198" s="928">
        <f t="shared" si="24"/>
        <v>80.197503381665243</v>
      </c>
      <c r="AB198" s="929">
        <f t="shared" si="24"/>
        <v>94.143224799253048</v>
      </c>
      <c r="AC198" s="927">
        <f t="shared" si="24"/>
        <v>0</v>
      </c>
      <c r="AD198" s="928">
        <f t="shared" si="24"/>
        <v>0</v>
      </c>
      <c r="AE198" s="928">
        <f t="shared" si="24"/>
        <v>0</v>
      </c>
      <c r="AF198" s="928">
        <f t="shared" si="24"/>
        <v>0</v>
      </c>
      <c r="AG198" s="929">
        <f t="shared" si="24"/>
        <v>0</v>
      </c>
      <c r="AH198" s="922"/>
    </row>
    <row r="199" spans="1:34">
      <c r="A199" s="872"/>
      <c r="B199" s="913"/>
      <c r="C199" s="873"/>
      <c r="D199" s="913"/>
      <c r="E199" s="913"/>
      <c r="F199" s="913"/>
      <c r="G199" s="913"/>
      <c r="H199" s="913"/>
      <c r="I199" s="913"/>
      <c r="J199" s="913"/>
      <c r="K199" s="913"/>
      <c r="L199" s="913"/>
      <c r="M199" s="913"/>
      <c r="N199" s="913"/>
      <c r="O199" s="913"/>
      <c r="P199" s="913"/>
      <c r="Q199" s="913"/>
      <c r="R199" s="913"/>
      <c r="S199" s="913"/>
      <c r="T199" s="913"/>
      <c r="U199" s="913"/>
      <c r="V199" s="913"/>
      <c r="W199" s="913"/>
      <c r="X199" s="913"/>
      <c r="Y199" s="913"/>
      <c r="Z199" s="913"/>
      <c r="AA199" s="913"/>
      <c r="AB199" s="913"/>
      <c r="AC199" s="913"/>
      <c r="AD199" s="913"/>
      <c r="AE199" s="913"/>
      <c r="AF199" s="913"/>
      <c r="AG199" s="913"/>
      <c r="AH199" s="913"/>
    </row>
    <row r="200" spans="1:34" ht="15" thickBot="1">
      <c r="A200" s="872"/>
      <c r="B200" s="913"/>
      <c r="C200" s="873"/>
      <c r="D200" s="913"/>
      <c r="E200" s="913"/>
      <c r="F200" s="913"/>
      <c r="G200" s="913"/>
      <c r="H200" s="913"/>
      <c r="I200" s="913"/>
      <c r="J200" s="913"/>
      <c r="K200" s="913"/>
      <c r="L200" s="913"/>
      <c r="M200" s="913"/>
      <c r="N200" s="913">
        <v>29</v>
      </c>
      <c r="O200" s="913">
        <v>128</v>
      </c>
      <c r="P200" s="913">
        <v>227</v>
      </c>
      <c r="Q200" s="913">
        <v>326</v>
      </c>
      <c r="R200" s="913">
        <v>425</v>
      </c>
      <c r="S200" s="913"/>
      <c r="T200" s="913"/>
      <c r="U200" s="913"/>
      <c r="V200" s="913"/>
      <c r="W200" s="913"/>
      <c r="X200" s="913"/>
      <c r="Y200" s="913"/>
      <c r="Z200" s="913"/>
      <c r="AA200" s="913"/>
      <c r="AB200" s="913"/>
      <c r="AC200" s="913"/>
      <c r="AD200" s="913"/>
      <c r="AE200" s="913"/>
      <c r="AF200" s="913"/>
      <c r="AG200" s="913"/>
      <c r="AH200" s="913"/>
    </row>
    <row r="201" spans="1:34" ht="15" thickBot="1">
      <c r="A201" s="872"/>
      <c r="B201" s="913"/>
      <c r="C201" s="873"/>
      <c r="D201" s="914" t="s">
        <v>3773</v>
      </c>
      <c r="E201" s="915" t="s">
        <v>3774</v>
      </c>
      <c r="F201" s="915" t="s">
        <v>3775</v>
      </c>
      <c r="G201" s="915" t="s">
        <v>3776</v>
      </c>
      <c r="H201" s="916" t="s">
        <v>3777</v>
      </c>
      <c r="I201" s="914" t="s">
        <v>3773</v>
      </c>
      <c r="J201" s="914" t="s">
        <v>3773</v>
      </c>
      <c r="K201" s="914" t="s">
        <v>3773</v>
      </c>
      <c r="L201" s="914" t="s">
        <v>3773</v>
      </c>
      <c r="M201" s="914" t="s">
        <v>3773</v>
      </c>
      <c r="N201" s="914" t="s">
        <v>67</v>
      </c>
      <c r="O201" s="914" t="s">
        <v>67</v>
      </c>
      <c r="P201" s="914" t="s">
        <v>67</v>
      </c>
      <c r="Q201" s="914" t="s">
        <v>67</v>
      </c>
      <c r="R201" s="917" t="s">
        <v>67</v>
      </c>
      <c r="S201" s="914" t="s">
        <v>1362</v>
      </c>
      <c r="T201" s="914" t="s">
        <v>1362</v>
      </c>
      <c r="U201" s="914" t="s">
        <v>1362</v>
      </c>
      <c r="V201" s="914" t="s">
        <v>1362</v>
      </c>
      <c r="W201" s="914" t="s">
        <v>1362</v>
      </c>
      <c r="X201" s="914" t="s">
        <v>69</v>
      </c>
      <c r="Y201" s="914" t="s">
        <v>69</v>
      </c>
      <c r="Z201" s="914" t="s">
        <v>69</v>
      </c>
      <c r="AA201" s="914" t="s">
        <v>69</v>
      </c>
      <c r="AB201" s="914" t="s">
        <v>69</v>
      </c>
      <c r="AC201" s="1281" t="s">
        <v>1364</v>
      </c>
      <c r="AD201" s="1281" t="s">
        <v>1364</v>
      </c>
      <c r="AE201" s="1281" t="s">
        <v>1364</v>
      </c>
      <c r="AF201" s="1281" t="s">
        <v>1364</v>
      </c>
      <c r="AG201" s="1281" t="s">
        <v>1364</v>
      </c>
      <c r="AH201" s="1018"/>
    </row>
    <row r="202" spans="1:34" ht="60">
      <c r="A202" s="872"/>
      <c r="B202" s="940" t="s">
        <v>3600</v>
      </c>
      <c r="C202" s="873"/>
      <c r="D202" s="874" t="s">
        <v>3809</v>
      </c>
      <c r="E202" s="875" t="s">
        <v>3810</v>
      </c>
      <c r="F202" s="876" t="s">
        <v>3811</v>
      </c>
      <c r="G202" s="877" t="s">
        <v>3812</v>
      </c>
      <c r="H202" s="878" t="s">
        <v>3813</v>
      </c>
      <c r="I202" s="874" t="s">
        <v>3814</v>
      </c>
      <c r="J202" s="874" t="s">
        <v>3815</v>
      </c>
      <c r="K202" s="874" t="s">
        <v>3816</v>
      </c>
      <c r="L202" s="874" t="s">
        <v>3817</v>
      </c>
      <c r="M202" s="879" t="s">
        <v>3818</v>
      </c>
      <c r="N202" s="880" t="s">
        <v>3819</v>
      </c>
      <c r="O202" s="875" t="s">
        <v>3820</v>
      </c>
      <c r="P202" s="875" t="s">
        <v>3821</v>
      </c>
      <c r="Q202" s="875" t="s">
        <v>3822</v>
      </c>
      <c r="R202" s="881" t="s">
        <v>3823</v>
      </c>
      <c r="S202" s="882" t="s">
        <v>3824</v>
      </c>
      <c r="T202" s="876" t="s">
        <v>3825</v>
      </c>
      <c r="U202" s="876" t="s">
        <v>3826</v>
      </c>
      <c r="V202" s="876" t="s">
        <v>3827</v>
      </c>
      <c r="W202" s="883" t="s">
        <v>3828</v>
      </c>
      <c r="X202" s="884" t="s">
        <v>3829</v>
      </c>
      <c r="Y202" s="877" t="s">
        <v>3830</v>
      </c>
      <c r="Z202" s="877" t="s">
        <v>3831</v>
      </c>
      <c r="AA202" s="877" t="s">
        <v>3832</v>
      </c>
      <c r="AB202" s="885" t="s">
        <v>3833</v>
      </c>
      <c r="AC202" s="886" t="s">
        <v>3834</v>
      </c>
      <c r="AD202" s="878" t="s">
        <v>3835</v>
      </c>
      <c r="AE202" s="878" t="s">
        <v>3836</v>
      </c>
      <c r="AF202" s="878" t="s">
        <v>3837</v>
      </c>
      <c r="AG202" s="878" t="s">
        <v>3838</v>
      </c>
      <c r="AH202" s="887"/>
    </row>
    <row r="203" spans="1:34">
      <c r="A203" s="872"/>
      <c r="B203" s="918" t="s">
        <v>1370</v>
      </c>
      <c r="C203" s="873"/>
      <c r="D203" s="873">
        <f>100*(Meal_entry_week_1!$W$108+Meal_entry_week_1!$W$207+Meal_entry_week_1!$W$306+Meal_entry_week_1!$W$405+Meal_entry_week_1!$W$504)/D123/$D$146</f>
        <v>65.043061518037618</v>
      </c>
      <c r="E203" s="919">
        <f>100*(Meal_entry_week_1!$W$35+Meal_entry_week_1!$W$134+Meal_entry_week_1!$W$233+Meal_entry_week_1!$W$332+Meal_entry_week_1!$W$431)/E123/($E$146+0.00001)</f>
        <v>0.71499814100465475</v>
      </c>
      <c r="F203" s="919">
        <f>100*(Meal_entry_week_1!$W$54+Meal_entry_week_1!$W$153+Meal_entry_week_1!$W$252+Meal_entry_week_1!$W$351+Meal_entry_week_1!$W$450)/F123/($F$146+0.00001)</f>
        <v>156.91046376463146</v>
      </c>
      <c r="G203" s="919">
        <f>100*(Meal_entry_week_1!$W$86+Meal_entry_week_1!$W$185+Meal_entry_week_1!$W$284+Meal_entry_week_1!$W$383+Meal_entry_week_1!$W$482)/G123/($G$146+0.00001)</f>
        <v>98.891353288061552</v>
      </c>
      <c r="H203" s="920">
        <f>100*(Meal_entry_week_1!$W$105+Meal_entry_week_1!$W$204+Meal_entry_week_1!$W$303+Meal_entry_week_1!$W$402+Meal_entry_week_1!$W$501)/H123/($H$146+0.00001)</f>
        <v>0</v>
      </c>
      <c r="I203" s="921">
        <f>100*Meal_entry_week_1!$W$108/I123</f>
        <v>59.418761807192119</v>
      </c>
      <c r="J203" s="922">
        <f>100*Meal_entry_week_1!$W$207/J123</f>
        <v>58.70035717293959</v>
      </c>
      <c r="K203" s="922">
        <f>100*Meal_entry_week_1!$W$306/K123</f>
        <v>73.722894341335802</v>
      </c>
      <c r="L203" s="922">
        <f>100*Meal_entry_week_1!$W$405/L123</f>
        <v>66.653679144325352</v>
      </c>
      <c r="M203" s="923">
        <f>100*Meal_entry_week_1!$W$504/M123</f>
        <v>66.719615124395233</v>
      </c>
      <c r="N203" s="921">
        <f>IF(100*Meal_entry_week_1!$AV$32/N123&lt;0,0,100*Meal_entry_week_1!$AV$32/N123)</f>
        <v>0</v>
      </c>
      <c r="O203" s="922">
        <f>IF(100*Meal_entry_week_1!$AV$131/O123&lt;0,0,100*Meal_entry_week_1!$AV$131/O123)</f>
        <v>0</v>
      </c>
      <c r="P203" s="922">
        <f>IF(100*Meal_entry_week_1!$AV$230/P123&lt;0,0,100*Meal_entry_week_1!$AV$230/P123)</f>
        <v>2.8599997140000286</v>
      </c>
      <c r="Q203" s="922">
        <f>IF(100*Meal_entry_week_1!$AV$329/Q123&lt;0,0,100*Meal_entry_week_1!$AV$329/Q123)</f>
        <v>0</v>
      </c>
      <c r="R203" s="923">
        <f>IF(100*Meal_entry_week_1!$AV$428/R123&lt;0,0,100*Meal_entry_week_1!$AV$428/R123)</f>
        <v>0</v>
      </c>
      <c r="S203" s="921">
        <f>IF(100*Meal_entry_week_1!$AV$51/S123&lt;0,0,100*Meal_entry_week_1!$AV$51/S123)</f>
        <v>131.93039275009818</v>
      </c>
      <c r="T203" s="922">
        <f>IF(100*Meal_entry_week_1!$AV$150/T123&lt;0,0,100*Meal_entry_week_1!$AV$150/T123)</f>
        <v>108.07286586649384</v>
      </c>
      <c r="U203" s="922">
        <f>IF(100*Meal_entry_week_1!$AV$249/U123&lt;0,0,100*Meal_entry_week_1!$AV$249/U123)</f>
        <v>210.605159939484</v>
      </c>
      <c r="V203" s="922">
        <f>IF(100*Meal_entry_week_1!$AV$348/V123&lt;0,0,100*Meal_entry_week_1!$AV$348/V123)</f>
        <v>160.84034933223606</v>
      </c>
      <c r="W203" s="923">
        <f>IF(100*Meal_entry_week_1!$AV$447/W123&lt;0,0,100*Meal_entry_week_1!$AV$447/W123)</f>
        <v>173.10512003948273</v>
      </c>
      <c r="X203" s="921">
        <f>IF(100*Meal_entry_week_1!$AV$83/X123&lt;0,0,100*Meal_entry_week_1!$AV$83/X123)</f>
        <v>94.666979966748883</v>
      </c>
      <c r="Y203" s="922">
        <f>IF(100*Meal_entry_week_1!$AV$182/Y123&lt;0,0,100*Meal_entry_week_1!$AV$182/Y123)</f>
        <v>100.94321144802775</v>
      </c>
      <c r="Z203" s="922">
        <f>IF(100*Meal_entry_week_1!$AV$281/Z123&lt;0,0,100*Meal_entry_week_1!$AV$281/Z123)</f>
        <v>98.958367102622205</v>
      </c>
      <c r="AA203" s="922">
        <f>IF(100*Meal_entry_week_1!$AV$380/AA123&lt;0,0,100*Meal_entry_week_1!$AV$380/AA123)</f>
        <v>101.91180155934713</v>
      </c>
      <c r="AB203" s="923">
        <f>IF(100*Meal_entry_week_1!$AV$479/AB123&lt;0,0,100*Meal_entry_week_1!$AV$479/AB123)</f>
        <v>97.977395277094658</v>
      </c>
      <c r="AC203" s="921">
        <f>IF(100*Meal_entry_week_1!$AV$102/AC123&lt;0,0,100*Meal_entry_week_1!$AV$102/AC123)</f>
        <v>0</v>
      </c>
      <c r="AD203" s="922">
        <f>IF(100*Meal_entry_week_1!$AV$201/AD123&lt;0,0,100*Meal_entry_week_1!$AV$201/AD123)</f>
        <v>0</v>
      </c>
      <c r="AE203" s="922">
        <f>IF(100*Meal_entry_week_1!$AV$300/AE123&lt;0,0,100*Meal_entry_week_1!$AV$300/AE123)</f>
        <v>0</v>
      </c>
      <c r="AF203" s="922">
        <f>IF(100*Meal_entry_week_1!$AV$399/AF123&lt;0,0,100*Meal_entry_week_1!$AV$399/AF123)</f>
        <v>0</v>
      </c>
      <c r="AG203" s="923">
        <f>IF(100*Meal_entry_week_1!$AV$498/AG123&lt;0,0,100*Meal_entry_week_1!$AV$498/AG123)</f>
        <v>0</v>
      </c>
      <c r="AH203" s="922"/>
    </row>
    <row r="204" spans="1:34">
      <c r="A204" s="872"/>
      <c r="B204" s="918" t="s">
        <v>1403</v>
      </c>
      <c r="C204" s="873"/>
      <c r="D204" s="873">
        <f>100*(Meal_entry_week_1!$X$108+Meal_entry_week_1!$X$207+Meal_entry_week_1!$X$306+Meal_entry_week_1!$X$405+Meal_entry_week_1!$X$504)/D124/$D$146</f>
        <v>58.662442964032309</v>
      </c>
      <c r="E204" s="919">
        <f>100*(Meal_entry_week_1!$X$35+Meal_entry_week_1!$X$134+Meal_entry_week_1!$X$233+Meal_entry_week_1!$X$332+Meal_entry_week_1!$X$431)/E124/($E$146+0.00001)</f>
        <v>0.88833102367244965</v>
      </c>
      <c r="F204" s="919">
        <f>100*(Meal_entry_week_1!$X$54+Meal_entry_week_1!$X$153+Meal_entry_week_1!$X$252+Meal_entry_week_1!$X$351+Meal_entry_week_1!$X$450)/F124/($F$146+0.00001)</f>
        <v>120.67407152964809</v>
      </c>
      <c r="G204" s="919">
        <f>100*(Meal_entry_week_1!$X$86+Meal_entry_week_1!$X$185+Meal_entry_week_1!$X$284+Meal_entry_week_1!$X$383+Meal_entry_week_1!$X$482)/G124/($G$146+0.00001)</f>
        <v>95.943404141070062</v>
      </c>
      <c r="H204" s="920">
        <f>100*(Meal_entry_week_1!$X$105+Meal_entry_week_1!$X$204+Meal_entry_week_1!$X$303+Meal_entry_week_1!$X$402+Meal_entry_week_1!$X$501)/H124/($H$146+0.00001)</f>
        <v>0</v>
      </c>
      <c r="I204" s="921">
        <f>100*Meal_entry_week_1!$X$108/I124</f>
        <v>56.162538793470091</v>
      </c>
      <c r="J204" s="922">
        <f>100*Meal_entry_week_1!$X$207/J124</f>
        <v>64.514396205022692</v>
      </c>
      <c r="K204" s="922">
        <f>100*Meal_entry_week_1!$X$306/K124</f>
        <v>57.669517525246711</v>
      </c>
      <c r="L204" s="922">
        <f>100*Meal_entry_week_1!$X$405/L124</f>
        <v>66.66329951563452</v>
      </c>
      <c r="M204" s="923">
        <f>100*Meal_entry_week_1!$X$504/M124</f>
        <v>48.302462780787522</v>
      </c>
      <c r="N204" s="921">
        <f>IF(100*Meal_entry_week_1!$AW$32/N124&lt;0,0,100*Meal_entry_week_1!$AW$32/N124)</f>
        <v>0</v>
      </c>
      <c r="O204" s="922">
        <f>IF(100*Meal_entry_week_1!$AW$131/O124&lt;0,0,100*Meal_entry_week_1!$AW$131/O124)</f>
        <v>0</v>
      </c>
      <c r="P204" s="922">
        <f>IF(100*Meal_entry_week_1!$AW$230/P124&lt;0,0,100*Meal_entry_week_1!$AW$230/P124)</f>
        <v>3.5533329780000349</v>
      </c>
      <c r="Q204" s="922">
        <f>IF(100*Meal_entry_week_1!$AW$329/Q124&lt;0,0,100*Meal_entry_week_1!$AW$329/Q124)</f>
        <v>0</v>
      </c>
      <c r="R204" s="923">
        <f>IF(100*Meal_entry_week_1!$AW$428/R124&lt;0,0,100*Meal_entry_week_1!$AW$428/R124)</f>
        <v>0</v>
      </c>
      <c r="S204" s="921">
        <f>IF(100*Meal_entry_week_1!$AW$51/S124&lt;0,0,100*Meal_entry_week_1!$AW$51/S124)</f>
        <v>101.77969458233169</v>
      </c>
      <c r="T204" s="922">
        <f>IF(100*Meal_entry_week_1!$AW$150/T124&lt;0,0,100*Meal_entry_week_1!$AW$150/T124)</f>
        <v>124.18516206538074</v>
      </c>
      <c r="U204" s="922">
        <f>IF(100*Meal_entry_week_1!$AW$249/U124&lt;0,0,100*Meal_entry_week_1!$AW$249/U124)</f>
        <v>104.3546237463558</v>
      </c>
      <c r="V204" s="922">
        <f>IF(100*Meal_entry_week_1!$AW$348/V124&lt;0,0,100*Meal_entry_week_1!$AW$348/V124)</f>
        <v>168.33382737580723</v>
      </c>
      <c r="W204" s="923">
        <f>IF(100*Meal_entry_week_1!$AW$447/W124&lt;0,0,100*Meal_entry_week_1!$AW$447/W124)</f>
        <v>104.71825661908015</v>
      </c>
      <c r="X204" s="921">
        <f>IF(100*Meal_entry_week_1!$AW$83/X124&lt;0,0,100*Meal_entry_week_1!$AW$83/X124)</f>
        <v>97.119358990652984</v>
      </c>
      <c r="Y204" s="922">
        <f>IF(100*Meal_entry_week_1!$AW$182/Y124&lt;0,0,100*Meal_entry_week_1!$AW$182/Y124)</f>
        <v>109.13853712325934</v>
      </c>
      <c r="Z204" s="922">
        <f>IF(100*Meal_entry_week_1!$AW$281/Z124&lt;0,0,100*Meal_entry_week_1!$AW$281/Z124)</f>
        <v>96.223999998790362</v>
      </c>
      <c r="AA204" s="922">
        <f>IF(100*Meal_entry_week_1!$AW$380/AA124&lt;0,0,100*Meal_entry_week_1!$AW$380/AA124)</f>
        <v>99.43642307787816</v>
      </c>
      <c r="AB204" s="923">
        <f>IF(100*Meal_entry_week_1!$AW$479/AB124&lt;0,0,100*Meal_entry_week_1!$AW$479/AB124)</f>
        <v>77.799660948810839</v>
      </c>
      <c r="AC204" s="921">
        <f>IF(100*Meal_entry_week_1!$AW$102/AC124&lt;0,0,100*Meal_entry_week_1!$AW$102/AC124)</f>
        <v>0</v>
      </c>
      <c r="AD204" s="922">
        <f>IF(100*Meal_entry_week_1!$AW$201/AD124&lt;0,0,100*Meal_entry_week_1!$AW$201/AD124)</f>
        <v>0</v>
      </c>
      <c r="AE204" s="922">
        <f>IF(100*Meal_entry_week_1!$AW$300/AE124&lt;0,0,100*Meal_entry_week_1!$AW$300/AE124)</f>
        <v>0</v>
      </c>
      <c r="AF204" s="922">
        <f>IF(100*Meal_entry_week_1!$AW$399/AF124&lt;0,0,100*Meal_entry_week_1!$AW$399/AF124)</f>
        <v>0</v>
      </c>
      <c r="AG204" s="923">
        <f>IF(100*Meal_entry_week_1!$AW$498/AG124&lt;0,0,100*Meal_entry_week_1!$AW$498/AG124)</f>
        <v>0</v>
      </c>
      <c r="AH204" s="922"/>
    </row>
    <row r="205" spans="1:34">
      <c r="A205" s="872"/>
      <c r="B205" s="918" t="s">
        <v>1404</v>
      </c>
      <c r="C205" s="873"/>
      <c r="D205" s="873">
        <f>100*(Meal_entry_week_1!$Y$108+Meal_entry_week_1!$Y$207+Meal_entry_week_1!$Y$306+Meal_entry_week_1!$Y$405+Meal_entry_week_1!$Y$504)/D125/$D$146</f>
        <v>59.93339896838161</v>
      </c>
      <c r="E205" s="919">
        <f>100*(Meal_entry_week_1!$Y$35+Meal_entry_week_1!$Y$134+Meal_entry_week_1!$Y$233+Meal_entry_week_1!$Y$332+Meal_entry_week_1!$Y$431)/E125/($E$146+0.00001)</f>
        <v>1.0272961796043889</v>
      </c>
      <c r="F205" s="919">
        <f>100*(Meal_entry_week_1!$Y$54+Meal_entry_week_1!$Y$153+Meal_entry_week_1!$Y$252+Meal_entry_week_1!$Y$351+Meal_entry_week_1!$Y$450)/F125/($F$146+0.00001)</f>
        <v>127.41321770279673</v>
      </c>
      <c r="G205" s="919">
        <f>100*(Meal_entry_week_1!$Y$86+Meal_entry_week_1!$Y$185+Meal_entry_week_1!$Y$284+Meal_entry_week_1!$Y$383+Meal_entry_week_1!$Y$482)/G125/($G$146+0.00001)</f>
        <v>96.551407982054542</v>
      </c>
      <c r="H205" s="920">
        <f>100*(Meal_entry_week_1!$Y$105+Meal_entry_week_1!$Y$204+Meal_entry_week_1!$Y$303+Meal_entry_week_1!$Y$402+Meal_entry_week_1!$Y$501)/H125/($H$146+0.00001)</f>
        <v>0</v>
      </c>
      <c r="I205" s="921">
        <f>100*Meal_entry_week_1!$Y$108/I125</f>
        <v>68.119521052482284</v>
      </c>
      <c r="J205" s="922">
        <f>100*Meal_entry_week_1!$Y$207/J125</f>
        <v>60.468113940080407</v>
      </c>
      <c r="K205" s="922">
        <f>100*Meal_entry_week_1!$Y$306/K125</f>
        <v>76.409319958902827</v>
      </c>
      <c r="L205" s="922">
        <f>100*Meal_entry_week_1!$Y$405/L125</f>
        <v>43.574258162987775</v>
      </c>
      <c r="M205" s="923">
        <f>100*Meal_entry_week_1!$Y$504/M125</f>
        <v>51.095781727454735</v>
      </c>
      <c r="N205" s="921">
        <f>IF(100*Meal_entry_week_1!$AX$32/N125&lt;0,0,100*Meal_entry_week_1!$AX$32/N125)</f>
        <v>0</v>
      </c>
      <c r="O205" s="922">
        <f>IF(100*Meal_entry_week_1!$AX$131/O125&lt;0,0,100*Meal_entry_week_1!$AX$131/O125)</f>
        <v>0</v>
      </c>
      <c r="P205" s="922">
        <f>IF(100*Meal_entry_week_1!$AX$230/P125&lt;0,0,100*Meal_entry_week_1!$AX$230/P125)</f>
        <v>4.1091949913793515</v>
      </c>
      <c r="Q205" s="922">
        <f>IF(100*Meal_entry_week_1!$AX$329/Q125&lt;0,0,100*Meal_entry_week_1!$AX$329/Q125)</f>
        <v>0</v>
      </c>
      <c r="R205" s="923">
        <f>IF(100*Meal_entry_week_1!$AX$428/R125&lt;0,0,100*Meal_entry_week_1!$AX$428/R125)</f>
        <v>0</v>
      </c>
      <c r="S205" s="921">
        <f>IF(100*Meal_entry_week_1!$AX$51/S125&lt;0,0,100*Meal_entry_week_1!$AX$51/S125)</f>
        <v>155.13041840516905</v>
      </c>
      <c r="T205" s="922">
        <f>IF(100*Meal_entry_week_1!$AX$150/T125&lt;0,0,100*Meal_entry_week_1!$AX$150/T125)</f>
        <v>149.60635610287741</v>
      </c>
      <c r="U205" s="922">
        <f>IF(100*Meal_entry_week_1!$AX$249/U125&lt;0,0,100*Meal_entry_week_1!$AX$249/U125)</f>
        <v>178.53459953159751</v>
      </c>
      <c r="V205" s="922">
        <f>IF(100*Meal_entry_week_1!$AX$348/V125&lt;0,0,100*Meal_entry_week_1!$AX$348/V125)</f>
        <v>59.600547595028097</v>
      </c>
      <c r="W205" s="923">
        <f>IF(100*Meal_entry_week_1!$AX$447/W125&lt;0,0,100*Meal_entry_week_1!$AX$447/W125)</f>
        <v>94.195441011488541</v>
      </c>
      <c r="X205" s="921">
        <f>IF(100*Meal_entry_week_1!$AX$83/X125&lt;0,0,100*Meal_entry_week_1!$AX$83/X125)</f>
        <v>107.23540965406897</v>
      </c>
      <c r="Y205" s="922">
        <f>IF(100*Meal_entry_week_1!$AX$182/Y125&lt;0,0,100*Meal_entry_week_1!$AX$182/Y125)</f>
        <v>91.223480492561791</v>
      </c>
      <c r="Z205" s="922">
        <f>IF(100*Meal_entry_week_1!$AX$281/Z125&lt;0,0,100*Meal_entry_week_1!$AX$281/Z125)</f>
        <v>114.66768506886142</v>
      </c>
      <c r="AA205" s="922">
        <f>IF(100*Meal_entry_week_1!$AX$380/AA125&lt;0,0,100*Meal_entry_week_1!$AX$380/AA125)</f>
        <v>81.806419848628792</v>
      </c>
      <c r="AB205" s="923">
        <f>IF(100*Meal_entry_week_1!$AX$479/AB125&lt;0,0,100*Meal_entry_week_1!$AX$479/AB125)</f>
        <v>87.825010360231531</v>
      </c>
      <c r="AC205" s="921">
        <f>IF(100*Meal_entry_week_1!$AX$102/AC125&lt;0,0,100*Meal_entry_week_1!$AX$102/AC125)</f>
        <v>0</v>
      </c>
      <c r="AD205" s="922">
        <f>IF(100*Meal_entry_week_1!$AX$201/AD125&lt;0,0,100*Meal_entry_week_1!$AX$201/AD125)</f>
        <v>0</v>
      </c>
      <c r="AE205" s="922">
        <f>IF(100*Meal_entry_week_1!$AX$300/AE125&lt;0,0,100*Meal_entry_week_1!$AX$300/AE125)</f>
        <v>0</v>
      </c>
      <c r="AF205" s="922">
        <f>IF(100*Meal_entry_week_1!$AX$399/AF125&lt;0,0,100*Meal_entry_week_1!$AX$399/AF125)</f>
        <v>0</v>
      </c>
      <c r="AG205" s="923">
        <f>IF(100*Meal_entry_week_1!$AX$498/AG125&lt;0,0,100*Meal_entry_week_1!$AX$498/AG125)</f>
        <v>0</v>
      </c>
      <c r="AH205" s="922"/>
    </row>
    <row r="206" spans="1:34">
      <c r="A206" s="872"/>
      <c r="B206" s="918" t="s">
        <v>1405</v>
      </c>
      <c r="C206" s="873"/>
      <c r="D206" s="873">
        <f>100*(Meal_entry_week_1!$Z$108+Meal_entry_week_1!$Z$207+Meal_entry_week_1!$Z$306+Meal_entry_week_1!$Z$405+Meal_entry_week_1!$Z$504)/D126/$D$146</f>
        <v>77.72374072944416</v>
      </c>
      <c r="E206" s="919">
        <f>100*(Meal_entry_week_1!$Z$35+Meal_entry_week_1!$Z$134+Meal_entry_week_1!$Z$233+Meal_entry_week_1!$Z$332+Meal_entry_week_1!$Z$431)/E126/($E$146+0.00001)</f>
        <v>0.17874955312611904</v>
      </c>
      <c r="F206" s="919">
        <f>100*(Meal_entry_week_1!$Z$54+Meal_entry_week_1!$Z$153+Meal_entry_week_1!$Z$252+Meal_entry_week_1!$Z$351+Meal_entry_week_1!$Z$450)/F126/($F$146+0.00001)</f>
        <v>234.14287845391306</v>
      </c>
      <c r="G206" s="919">
        <f>100*(Meal_entry_week_1!$Z$86+Meal_entry_week_1!$Z$185+Meal_entry_week_1!$Z$284+Meal_entry_week_1!$Z$383+Meal_entry_week_1!$Z$482)/G126/($G$146+0.00001)</f>
        <v>103.16440646000014</v>
      </c>
      <c r="H206" s="920">
        <f>100*(Meal_entry_week_1!$Z$105+Meal_entry_week_1!$Z$204+Meal_entry_week_1!$Z$303+Meal_entry_week_1!$Z$402+Meal_entry_week_1!$Z$501)/H126/($H$146+0.00001)</f>
        <v>0</v>
      </c>
      <c r="I206" s="921">
        <f>100*Meal_entry_week_1!$Z$108/I126</f>
        <v>60.373469700175725</v>
      </c>
      <c r="J206" s="922">
        <f>100*Meal_entry_week_1!$Z$207/J126</f>
        <v>46.216123638008042</v>
      </c>
      <c r="K206" s="922">
        <f>100*Meal_entry_week_1!$Z$306/K126</f>
        <v>102.67885250778444</v>
      </c>
      <c r="L206" s="922">
        <f>100*Meal_entry_week_1!$Z$405/L126</f>
        <v>75.752496410666907</v>
      </c>
      <c r="M206" s="923">
        <f>100*Meal_entry_week_1!$Z$504/M126</f>
        <v>103.5977613905857</v>
      </c>
      <c r="N206" s="921">
        <f>IF(100*Meal_entry_week_1!$AY$32/N126&lt;0,0,100*Meal_entry_week_1!$AY$32/N126)</f>
        <v>0</v>
      </c>
      <c r="O206" s="922">
        <f>IF(100*Meal_entry_week_1!$AY$131/O126&lt;0,0,100*Meal_entry_week_1!$AY$131/O126)</f>
        <v>0</v>
      </c>
      <c r="P206" s="922">
        <f>IF(100*Meal_entry_week_1!$AY$230/P126&lt;0,0,100*Meal_entry_week_1!$AY$230/P126)</f>
        <v>0.7150000000000073</v>
      </c>
      <c r="Q206" s="922">
        <f>IF(100*Meal_entry_week_1!$AY$329/Q126&lt;0,0,100*Meal_entry_week_1!$AY$329/Q126)</f>
        <v>0</v>
      </c>
      <c r="R206" s="923">
        <f>IF(100*Meal_entry_week_1!$AY$428/R126&lt;0,0,100*Meal_entry_week_1!$AY$428/R126)</f>
        <v>0</v>
      </c>
      <c r="S206" s="921">
        <f>IF(100*Meal_entry_week_1!$AY$51/S126&lt;0,0,100*Meal_entry_week_1!$AY$51/S126)</f>
        <v>180.5087006900973</v>
      </c>
      <c r="T206" s="922">
        <f>IF(100*Meal_entry_week_1!$AY$150/T126&lt;0,0,100*Meal_entry_week_1!$AY$150/T126)</f>
        <v>61.048594034660766</v>
      </c>
      <c r="U206" s="922">
        <f>IF(100*Meal_entry_week_1!$AY$249/U126&lt;0,0,100*Meal_entry_week_1!$AY$249/U126)</f>
        <v>422.34037650000431</v>
      </c>
      <c r="V206" s="922">
        <f>IF(100*Meal_entry_week_1!$AY$348/V126&lt;0,0,100*Meal_entry_week_1!$AY$348/V126)</f>
        <v>198.47881122359405</v>
      </c>
      <c r="W206" s="923">
        <f>IF(100*Meal_entry_week_1!$AY$447/W126&lt;0,0,100*Meal_entry_week_1!$AY$447/W126)</f>
        <v>308.34025124999346</v>
      </c>
      <c r="X206" s="921">
        <f>IF(100*Meal_entry_week_1!$AY$83/X126&lt;0,0,100*Meal_entry_week_1!$AY$83/X126)</f>
        <v>80.701862403710919</v>
      </c>
      <c r="Y206" s="922">
        <f>IF(100*Meal_entry_week_1!$AY$182/Y126&lt;0,0,100*Meal_entry_week_1!$AY$182/Y126)</f>
        <v>87.48809047713182</v>
      </c>
      <c r="Z206" s="922">
        <f>IF(100*Meal_entry_week_1!$AY$281/Z126&lt;0,0,100*Meal_entry_week_1!$AY$281/Z126)</f>
        <v>98.088863684828951</v>
      </c>
      <c r="AA206" s="922">
        <f>IF(100*Meal_entry_week_1!$AY$380/AA126&lt;0,0,100*Meal_entry_week_1!$AY$380/AA126)</f>
        <v>110.59622121702479</v>
      </c>
      <c r="AB206" s="923">
        <f>IF(100*Meal_entry_week_1!$AY$479/AB126&lt;0,0,100*Meal_entry_week_1!$AY$479/AB126)</f>
        <v>138.94802616136883</v>
      </c>
      <c r="AC206" s="921">
        <f>IF(100*Meal_entry_week_1!$AY$102/AC126&lt;0,0,100*Meal_entry_week_1!$AY$102/AC126)</f>
        <v>0</v>
      </c>
      <c r="AD206" s="922">
        <f>IF(100*Meal_entry_week_1!$AY$201/AD126&lt;0,0,100*Meal_entry_week_1!$AY$201/AD126)</f>
        <v>0</v>
      </c>
      <c r="AE206" s="922">
        <f>IF(100*Meal_entry_week_1!$AY$300/AE126&lt;0,0,100*Meal_entry_week_1!$AY$300/AE126)</f>
        <v>0</v>
      </c>
      <c r="AF206" s="922">
        <f>IF(100*Meal_entry_week_1!$AY$399/AF126&lt;0,0,100*Meal_entry_week_1!$AY$399/AF126)</f>
        <v>0</v>
      </c>
      <c r="AG206" s="923">
        <f>IF(100*Meal_entry_week_1!$AY$498/AG126&lt;0,0,100*Meal_entry_week_1!$AY$498/AG126)</f>
        <v>0</v>
      </c>
      <c r="AH206" s="922"/>
    </row>
    <row r="207" spans="1:34" ht="15">
      <c r="A207" s="872"/>
      <c r="B207" s="924" t="s">
        <v>1406</v>
      </c>
      <c r="C207" s="873"/>
      <c r="D207" s="873">
        <f>100*(Meal_entry_week_1!$AA$108+Meal_entry_week_1!$AA$207+Meal_entry_week_1!$AA$306+Meal_entry_week_1!$AA$405+Meal_entry_week_1!$AA$504)/D127/$D$146</f>
        <v>88.526182220487499</v>
      </c>
      <c r="E207" s="919">
        <f>100*(Meal_entry_week_1!$AA$35+Meal_entry_week_1!$AA$134+Meal_entry_week_1!$AA$233+Meal_entry_week_1!$AA$332+Meal_entry_week_1!$AA$431)/E127/($E$146+0.00001)</f>
        <v>7.4478973021318184</v>
      </c>
      <c r="F207" s="919">
        <f>100*(Meal_entry_week_1!$AA$54+Meal_entry_week_1!$AA$153+Meal_entry_week_1!$AA$252+Meal_entry_week_1!$AA$351+Meal_entry_week_1!$AA$450)/F127/($F$146+0.00001)</f>
        <v>40.615277055829495</v>
      </c>
      <c r="G207" s="919">
        <f>100*(Meal_entry_week_1!$AA$86+Meal_entry_week_1!$AA$185+Meal_entry_week_1!$AA$284+Meal_entry_week_1!$AA$383+Meal_entry_week_1!$AA$482)/G127/($G$146+0.00001)</f>
        <v>187.06393222031181</v>
      </c>
      <c r="H207" s="920">
        <f>100*(Meal_entry_week_1!$AA$105+Meal_entry_week_1!$AA$204+Meal_entry_week_1!$AA$303+Meal_entry_week_1!$AA$402+Meal_entry_week_1!$AA$501)/H127/($H$146+0.00001)</f>
        <v>0</v>
      </c>
      <c r="I207" s="921">
        <f>100*Meal_entry_week_1!$AA$108/I127</f>
        <v>108.18029947319876</v>
      </c>
      <c r="J207" s="922">
        <f>100*Meal_entry_week_1!$AA$207/J127</f>
        <v>68.162917645433467</v>
      </c>
      <c r="K207" s="922">
        <f>100*Meal_entry_week_1!$AA$306/K127</f>
        <v>128.585666517715</v>
      </c>
      <c r="L207" s="922">
        <f>100*Meal_entry_week_1!$AA$405/L127</f>
        <v>63.52945871433959</v>
      </c>
      <c r="M207" s="923">
        <f>100*Meal_entry_week_1!$AA$504/M127</f>
        <v>74.172568751750717</v>
      </c>
      <c r="N207" s="921">
        <f>IF(100*Meal_entry_week_1!$AZ$32/N127&lt;0,0,100*Meal_entry_week_1!$AZ$32/N127)</f>
        <v>0</v>
      </c>
      <c r="O207" s="922">
        <f>IF(100*Meal_entry_week_1!$AZ$131/O127&lt;0,0,100*Meal_entry_week_1!$AZ$131/O127)</f>
        <v>0</v>
      </c>
      <c r="P207" s="922">
        <f>IF(100*Meal_entry_week_1!$AZ$230/P127&lt;0,0,100*Meal_entry_week_1!$AZ$230/P127)</f>
        <v>29.791663687500293</v>
      </c>
      <c r="Q207" s="922">
        <f>IF(100*Meal_entry_week_1!$AZ$329/Q127&lt;0,0,100*Meal_entry_week_1!$AZ$329/Q127)</f>
        <v>0</v>
      </c>
      <c r="R207" s="923">
        <f>IF(100*Meal_entry_week_1!$AZ$428/R127&lt;0,0,100*Meal_entry_week_1!$AZ$428/R127)</f>
        <v>0</v>
      </c>
      <c r="S207" s="921">
        <f>IF(100*Meal_entry_week_1!$AZ$51/S127&lt;0,0,100*Meal_entry_week_1!$AZ$51/S127)</f>
        <v>148.51441769807764</v>
      </c>
      <c r="T207" s="922">
        <f>IF(100*Meal_entry_week_1!$AZ$150/T127&lt;0,0,100*Meal_entry_week_1!$AZ$150/T127)</f>
        <v>6.1519967240016049</v>
      </c>
      <c r="U207" s="922">
        <f>IF(100*Meal_entry_week_1!$AZ$249/U127&lt;0,0,100*Meal_entry_week_1!$AZ$249/U127)</f>
        <v>0</v>
      </c>
      <c r="V207" s="922">
        <f>IF(100*Meal_entry_week_1!$AZ$348/V127&lt;0,0,100*Meal_entry_week_1!$AZ$348/V127)</f>
        <v>48.750377309838811</v>
      </c>
      <c r="W207" s="923">
        <f>IF(100*Meal_entry_week_1!$AZ$447/W127&lt;0,0,100*Meal_entry_week_1!$AZ$447/W127)</f>
        <v>0</v>
      </c>
      <c r="X207" s="921">
        <f>IF(100*Meal_entry_week_1!$AZ$83/X127&lt;0,0,100*Meal_entry_week_1!$AZ$83/X127)</f>
        <v>202.9158928714379</v>
      </c>
      <c r="Y207" s="922">
        <f>IF(100*Meal_entry_week_1!$AZ$182/Y127&lt;0,0,100*Meal_entry_week_1!$AZ$182/Y127)</f>
        <v>156.99614226467756</v>
      </c>
      <c r="Z207" s="922">
        <f>IF(100*Meal_entry_week_1!$AZ$281/Z127&lt;0,0,100*Meal_entry_week_1!$AZ$281/Z127)</f>
        <v>270.30822491383469</v>
      </c>
      <c r="AA207" s="922">
        <f>IF(100*Meal_entry_week_1!$AZ$380/AA127&lt;0,0,100*Meal_entry_week_1!$AZ$380/AA127)</f>
        <v>131.9852778968461</v>
      </c>
      <c r="AB207" s="923">
        <f>IF(100*Meal_entry_week_1!$AZ$479/AB127&lt;0,0,100*Meal_entry_week_1!$AZ$479/AB127)</f>
        <v>173.11599379408494</v>
      </c>
      <c r="AC207" s="921">
        <f>IF(100*Meal_entry_week_1!$AZ$102/AC127&lt;0,0,100*Meal_entry_week_1!$AZ$102/AC127)</f>
        <v>0</v>
      </c>
      <c r="AD207" s="922">
        <f>IF(100*Meal_entry_week_1!$AZ$201/AD127&lt;0,0,100*Meal_entry_week_1!$AZ$201/AD127)</f>
        <v>0</v>
      </c>
      <c r="AE207" s="922">
        <f>IF(100*Meal_entry_week_1!$AZ$300/AE127&lt;0,0,100*Meal_entry_week_1!$AZ$300/AE127)</f>
        <v>0</v>
      </c>
      <c r="AF207" s="922">
        <f>IF(100*Meal_entry_week_1!$AZ$399/AF127&lt;0,0,100*Meal_entry_week_1!$AZ$399/AF127)</f>
        <v>0</v>
      </c>
      <c r="AG207" s="923">
        <f>IF(100*Meal_entry_week_1!$AZ$498/AG127&lt;0,0,100*Meal_entry_week_1!$AZ$498/AG127)</f>
        <v>0</v>
      </c>
      <c r="AH207" s="922"/>
    </row>
    <row r="208" spans="1:34" ht="15">
      <c r="A208" s="872"/>
      <c r="B208" s="924" t="s">
        <v>1407</v>
      </c>
      <c r="C208" s="873"/>
      <c r="D208" s="873">
        <f>100*(Meal_entry_week_1!$AB$108+Meal_entry_week_1!$AB$207+Meal_entry_week_1!$AB$306+Meal_entry_week_1!$AB$405+Meal_entry_week_1!$AB$504)/D128/$D$146</f>
        <v>49.070874908984145</v>
      </c>
      <c r="E208" s="919">
        <f>100*(Meal_entry_week_1!$AB$35+Meal_entry_week_1!$AB$134+Meal_entry_week_1!$AB$233+Meal_entry_week_1!$AB$332+Meal_entry_week_1!$AB$431)/E128/($E$146+0.00001)</f>
        <v>0.27083262916842982</v>
      </c>
      <c r="F208" s="919">
        <f>100*(Meal_entry_week_1!$AB$54+Meal_entry_week_1!$AB$153+Meal_entry_week_1!$AB$252+Meal_entry_week_1!$AB$351+Meal_entry_week_1!$AB$450)/F128/($F$146+0.00001)</f>
        <v>105.64409043569468</v>
      </c>
      <c r="G208" s="919">
        <f>100*(Meal_entry_week_1!$AB$86+Meal_entry_week_1!$AB$185+Meal_entry_week_1!$AB$284+Meal_entry_week_1!$AB$383+Meal_entry_week_1!$AB$482)/G128/($G$146+0.00001)</f>
        <v>79.067116100438952</v>
      </c>
      <c r="H208" s="920">
        <f>100*(Meal_entry_week_1!$AB$105+Meal_entry_week_1!$AB$204+Meal_entry_week_1!$AB$303+Meal_entry_week_1!$AB$402+Meal_entry_week_1!$AB$501)/H128/($H$146+0.00001)</f>
        <v>0</v>
      </c>
      <c r="I208" s="921">
        <f>100*Meal_entry_week_1!$AB$108/I128</f>
        <v>46.124322519313409</v>
      </c>
      <c r="J208" s="922">
        <f>100*Meal_entry_week_1!$AB$207/J128</f>
        <v>24.044764812138478</v>
      </c>
      <c r="K208" s="922">
        <f>100*Meal_entry_week_1!$AB$306/K128</f>
        <v>47.205973995579328</v>
      </c>
      <c r="L208" s="922">
        <f>100*Meal_entry_week_1!$AB$405/L128</f>
        <v>50.145193325872704</v>
      </c>
      <c r="M208" s="923">
        <f>100*Meal_entry_week_1!$AB$504/M128</f>
        <v>77.834119892016773</v>
      </c>
      <c r="N208" s="921">
        <f>IF(100*Meal_entry_week_1!$BA$32/N128&lt;0,0,100*Meal_entry_week_1!$BA$32/N128)</f>
        <v>0</v>
      </c>
      <c r="O208" s="922">
        <f>IF(100*Meal_entry_week_1!$BA$131/O128&lt;0,0,100*Meal_entry_week_1!$BA$131/O128)</f>
        <v>0</v>
      </c>
      <c r="P208" s="922">
        <f>IF(100*Meal_entry_week_1!$BA$230/P128&lt;0,0,100*Meal_entry_week_1!$BA$230/P128)</f>
        <v>1.0833332250000109</v>
      </c>
      <c r="Q208" s="922">
        <f>IF(100*Meal_entry_week_1!$BA$329/Q128&lt;0,0,100*Meal_entry_week_1!$BA$329/Q128)</f>
        <v>0</v>
      </c>
      <c r="R208" s="923">
        <f>IF(100*Meal_entry_week_1!$BA$428/R128&lt;0,0,100*Meal_entry_week_1!$BA$428/R128)</f>
        <v>0</v>
      </c>
      <c r="S208" s="921">
        <f>IF(100*Meal_entry_week_1!$BA$51/S128&lt;0,0,100*Meal_entry_week_1!$BA$51/S128)</f>
        <v>231.86969020899738</v>
      </c>
      <c r="T208" s="922">
        <f>IF(100*Meal_entry_week_1!$BA$150/T128&lt;0,0,100*Meal_entry_week_1!$BA$150/T128)</f>
        <v>50.804849017114499</v>
      </c>
      <c r="U208" s="922">
        <f>IF(100*Meal_entry_week_1!$BA$249/U128&lt;0,0,100*Meal_entry_week_1!$BA$249/U128)</f>
        <v>90.977263447728205</v>
      </c>
      <c r="V208" s="922">
        <f>IF(100*Meal_entry_week_1!$BA$348/V128&lt;0,0,100*Meal_entry_week_1!$BA$348/V128)</f>
        <v>63.537896988718572</v>
      </c>
      <c r="W208" s="923">
        <f>IF(100*Meal_entry_week_1!$BA$447/W128&lt;0,0,100*Meal_entry_week_1!$BA$447/W128)</f>
        <v>91.031808956819134</v>
      </c>
      <c r="X208" s="921">
        <f>IF(100*Meal_entry_week_1!$BA$83/X128&lt;0,0,100*Meal_entry_week_1!$BA$83/X128)</f>
        <v>30.333522475398837</v>
      </c>
      <c r="Y208" s="922">
        <f>IF(100*Meal_entry_week_1!$BA$182/Y128&lt;0,0,100*Meal_entry_week_1!$BA$182/Y128)</f>
        <v>39.169501555951612</v>
      </c>
      <c r="Z208" s="922">
        <f>IF(100*Meal_entry_week_1!$BA$281/Z128&lt;0,0,100*Meal_entry_week_1!$BA$281/Z128)</f>
        <v>78.738184948775697</v>
      </c>
      <c r="AA208" s="922">
        <f>IF(100*Meal_entry_week_1!$BA$380/AA128&lt;0,0,100*Meal_entry_week_1!$BA$380/AA128)</f>
        <v>95.826152097463449</v>
      </c>
      <c r="AB208" s="923">
        <f>IF(100*Meal_entry_week_1!$BA$479/AB128&lt;0,0,100*Meal_entry_week_1!$BA$479/AB128)</f>
        <v>151.26901009576611</v>
      </c>
      <c r="AC208" s="921">
        <f>IF(100*Meal_entry_week_1!$BA$102/AC128&lt;0,0,100*Meal_entry_week_1!$BA$102/AC128)</f>
        <v>0</v>
      </c>
      <c r="AD208" s="922">
        <f>IF(100*Meal_entry_week_1!$BA$201/AD128&lt;0,0,100*Meal_entry_week_1!$BA$201/AD128)</f>
        <v>0</v>
      </c>
      <c r="AE208" s="922">
        <f>IF(100*Meal_entry_week_1!$BA$300/AE128&lt;0,0,100*Meal_entry_week_1!$BA$300/AE128)</f>
        <v>0</v>
      </c>
      <c r="AF208" s="922">
        <f>IF(100*Meal_entry_week_1!$BA$399/AF128&lt;0,0,100*Meal_entry_week_1!$BA$399/AF128)</f>
        <v>0</v>
      </c>
      <c r="AG208" s="923">
        <f>IF(100*Meal_entry_week_1!$BA$498/AG128&lt;0,0,100*Meal_entry_week_1!$BA$498/AG128)</f>
        <v>0</v>
      </c>
      <c r="AH208" s="922"/>
    </row>
    <row r="209" spans="1:34" ht="15">
      <c r="A209" s="872"/>
      <c r="B209" s="924" t="s">
        <v>1408</v>
      </c>
      <c r="C209" s="873"/>
      <c r="D209" s="873">
        <f>100*(Meal_entry_week_1!$AC$108+Meal_entry_week_1!$AC$207+Meal_entry_week_1!$AC$306+Meal_entry_week_1!$AC$405+Meal_entry_week_1!$AC$504)/D129/$D$146</f>
        <v>61.958815060555288</v>
      </c>
      <c r="E209" s="919">
        <f>100*(Meal_entry_week_1!$AC$35+Meal_entry_week_1!$AC$134+Meal_entry_week_1!$AC$233+Meal_entry_week_1!$AC$332+Meal_entry_week_1!$AC$431)/E129/($E$146+0.00001)</f>
        <v>0.20022970283267427</v>
      </c>
      <c r="F209" s="919">
        <f>100*(Meal_entry_week_1!$AC$54+Meal_entry_week_1!$AC$153+Meal_entry_week_1!$AC$252+Meal_entry_week_1!$AC$351+Meal_entry_week_1!$AC$450)/F129/($F$146+0.00001)</f>
        <v>93.522094097613774</v>
      </c>
      <c r="G209" s="919">
        <f>100*(Meal_entry_week_1!$AC$86+Meal_entry_week_1!$AC$185+Meal_entry_week_1!$AC$284+Meal_entry_week_1!$AC$383+Meal_entry_week_1!$AC$482)/G129/($G$146+0.00001)</f>
        <v>113.23606412584122</v>
      </c>
      <c r="H209" s="920">
        <f>100*(Meal_entry_week_1!$AC$105+Meal_entry_week_1!$AC$204+Meal_entry_week_1!$AC$303+Meal_entry_week_1!$AC$402+Meal_entry_week_1!$AC$501)/H129/($H$146+0.00001)</f>
        <v>0</v>
      </c>
      <c r="I209" s="921">
        <f>100*Meal_entry_week_1!$AC$108/I129</f>
        <v>99.712041750262131</v>
      </c>
      <c r="J209" s="922">
        <f>100*Meal_entry_week_1!$AC$207/J129</f>
        <v>56.983236925723915</v>
      </c>
      <c r="K209" s="922">
        <f>100*Meal_entry_week_1!$AC$306/K129</f>
        <v>49.330263718439696</v>
      </c>
      <c r="L209" s="922">
        <f>100*Meal_entry_week_1!$AC$405/L129</f>
        <v>53.045067992533937</v>
      </c>
      <c r="M209" s="923">
        <f>100*Meal_entry_week_1!$AC$504/M129</f>
        <v>50.723464915816784</v>
      </c>
      <c r="N209" s="921">
        <f>IF(100*Meal_entry_week_1!$BB$32/N129&lt;0,0,100*Meal_entry_week_1!$BB$32/N129)</f>
        <v>0</v>
      </c>
      <c r="O209" s="922">
        <f>IF(100*Meal_entry_week_1!$BB$131/O129&lt;0,0,100*Meal_entry_week_1!$BB$131/O129)</f>
        <v>0</v>
      </c>
      <c r="P209" s="922">
        <f>IF(100*Meal_entry_week_1!$BB$230/P129&lt;0,0,100*Meal_entry_week_1!$BB$230/P129)</f>
        <v>0.80092081362772538</v>
      </c>
      <c r="Q209" s="922">
        <f>IF(100*Meal_entry_week_1!$BB$329/Q129&lt;0,0,100*Meal_entry_week_1!$BB$329/Q129)</f>
        <v>0</v>
      </c>
      <c r="R209" s="923">
        <f>IF(100*Meal_entry_week_1!$BB$428/R129&lt;0,0,100*Meal_entry_week_1!$BB$428/R129)</f>
        <v>0</v>
      </c>
      <c r="S209" s="921">
        <f>IF(100*Meal_entry_week_1!$BB$51/S129&lt;0,0,100*Meal_entry_week_1!$BB$51/S129)</f>
        <v>380.52311142472138</v>
      </c>
      <c r="T209" s="922">
        <f>IF(100*Meal_entry_week_1!$BB$150/T129&lt;0,0,100*Meal_entry_week_1!$BB$150/T129)</f>
        <v>13.786674474660382</v>
      </c>
      <c r="U209" s="922">
        <f>IF(100*Meal_entry_week_1!$BB$249/U129&lt;0,0,100*Meal_entry_week_1!$BB$249/U129)</f>
        <v>29.522725305908629</v>
      </c>
      <c r="V209" s="922">
        <f>IF(100*Meal_entry_week_1!$BB$348/V129&lt;0,0,100*Meal_entry_week_1!$BB$348/V129)</f>
        <v>14.25536267526515</v>
      </c>
      <c r="W209" s="923">
        <f>IF(100*Meal_entry_week_1!$BB$447/W129&lt;0,0,100*Meal_entry_week_1!$BB$447/W129)</f>
        <v>29.523531828454285</v>
      </c>
      <c r="X209" s="921">
        <f>IF(100*Meal_entry_week_1!$BB$83/X129&lt;0,0,100*Meal_entry_week_1!$BB$83/X129)</f>
        <v>105.82039360903785</v>
      </c>
      <c r="Y209" s="922">
        <f>IF(100*Meal_entry_week_1!$BB$182/Y129&lt;0,0,100*Meal_entry_week_1!$BB$182/Y129)</f>
        <v>128.36532800180234</v>
      </c>
      <c r="Z209" s="922">
        <f>IF(100*Meal_entry_week_1!$BB$281/Z129&lt;0,0,100*Meal_entry_week_1!$BB$281/Z129)</f>
        <v>104.46211942742869</v>
      </c>
      <c r="AA209" s="922">
        <f>IF(100*Meal_entry_week_1!$BB$380/AA129&lt;0,0,100*Meal_entry_week_1!$BB$380/AA129)</f>
        <v>119.0200377574908</v>
      </c>
      <c r="AB209" s="923">
        <f>IF(100*Meal_entry_week_1!$BB$479/AB129&lt;0,0,100*Meal_entry_week_1!$BB$479/AB129)</f>
        <v>108.51357419408772</v>
      </c>
      <c r="AC209" s="921">
        <f>IF(100*Meal_entry_week_1!$BB$102/AC129&lt;0,0,100*Meal_entry_week_1!$BB$102/AC129)</f>
        <v>0</v>
      </c>
      <c r="AD209" s="922">
        <f>IF(100*Meal_entry_week_1!$BB$201/AD129&lt;0,0,100*Meal_entry_week_1!$BB$201/AD129)</f>
        <v>0</v>
      </c>
      <c r="AE209" s="922">
        <f>IF(100*Meal_entry_week_1!$BB$300/AE129&lt;0,0,100*Meal_entry_week_1!$BB$300/AE129)</f>
        <v>0</v>
      </c>
      <c r="AF209" s="922">
        <f>IF(100*Meal_entry_week_1!$BB$399/AF129&lt;0,0,100*Meal_entry_week_1!$BB$399/AF129)</f>
        <v>0</v>
      </c>
      <c r="AG209" s="923">
        <f>IF(100*Meal_entry_week_1!$BB$498/AG129&lt;0,0,100*Meal_entry_week_1!$BB$498/AG129)</f>
        <v>0</v>
      </c>
      <c r="AH209" s="922"/>
    </row>
    <row r="210" spans="1:34" ht="15">
      <c r="A210" s="1004"/>
      <c r="B210" s="924" t="s">
        <v>1409</v>
      </c>
      <c r="C210" s="919"/>
      <c r="D210" s="873">
        <f>100*(Meal_entry_week_1!$AD$108+Meal_entry_week_1!$AD$207+Meal_entry_week_1!$AD$306+Meal_entry_week_1!$AD$405+Meal_entry_week_1!$AD$504)/D130/$D$146</f>
        <v>94.200903535916922</v>
      </c>
      <c r="E210" s="919">
        <f>100*(Meal_entry_week_1!$AD$35+Meal_entry_week_1!$AD$134+Meal_entry_week_1!$AD$233+Meal_entry_week_1!$AD$332+Meal_entry_week_1!$AD$431)/E130/($E$146+0.00001)</f>
        <v>10.592565051920809</v>
      </c>
      <c r="F210" s="919">
        <f>100*(Meal_entry_week_1!$AD$54+Meal_entry_week_1!$AD$153+Meal_entry_week_1!$AD$252+Meal_entry_week_1!$AD$351+Meal_entry_week_1!$AD$450)/F130/($F$146+0.00001)</f>
        <v>74.402779491611071</v>
      </c>
      <c r="G210" s="919">
        <f>100*(Meal_entry_week_1!$AD$86+Meal_entry_week_1!$AD$185+Meal_entry_week_1!$AD$284+Meal_entry_week_1!$AD$383+Meal_entry_week_1!$AD$482)/G130/($G$146+0.00001)</f>
        <v>186.52668587137768</v>
      </c>
      <c r="H210" s="920">
        <f>100*(Meal_entry_week_1!$AD$105+Meal_entry_week_1!$AD$204+Meal_entry_week_1!$AD$303+Meal_entry_week_1!$AD$402+Meal_entry_week_1!$AD$501)/H130/($H$146+0.00001)</f>
        <v>0</v>
      </c>
      <c r="I210" s="921">
        <f>100*Meal_entry_week_1!$AD$108/I130</f>
        <v>117.39700103152404</v>
      </c>
      <c r="J210" s="922">
        <f>100*Meal_entry_week_1!$AD$207/J130</f>
        <v>71.802398323169953</v>
      </c>
      <c r="K210" s="922">
        <f>100*Meal_entry_week_1!$AD$306/K130</f>
        <v>106.9557780409004</v>
      </c>
      <c r="L210" s="922">
        <f>100*Meal_entry_week_1!$AD$405/L130</f>
        <v>92.801751236812194</v>
      </c>
      <c r="M210" s="923">
        <f>100*Meal_entry_week_1!$AD$504/M130</f>
        <v>82.047589047178121</v>
      </c>
      <c r="N210" s="921">
        <f>IF(100*Meal_entry_week_1!$BC$32/N130&lt;0,0,100*Meal_entry_week_1!$BC$32/N130)</f>
        <v>0</v>
      </c>
      <c r="O210" s="922">
        <f>IF(100*Meal_entry_week_1!$BC$131/O130&lt;0,0,100*Meal_entry_week_1!$BC$131/O130)</f>
        <v>0</v>
      </c>
      <c r="P210" s="922">
        <f>IF(100*Meal_entry_week_1!$BC$230/P130&lt;0,0,100*Meal_entry_week_1!$BC$230/P130)</f>
        <v>42.370366133333754</v>
      </c>
      <c r="Q210" s="922">
        <f>IF(100*Meal_entry_week_1!$BC$329/Q130&lt;0,0,100*Meal_entry_week_1!$BC$329/Q130)</f>
        <v>0</v>
      </c>
      <c r="R210" s="923">
        <f>IF(100*Meal_entry_week_1!$BC$428/R130&lt;0,0,100*Meal_entry_week_1!$BC$428/R130)</f>
        <v>0</v>
      </c>
      <c r="S210" s="921">
        <f>IF(100*Meal_entry_week_1!$BC$51/S130&lt;0,0,100*Meal_entry_week_1!$BC$51/S130)</f>
        <v>140.60987258813529</v>
      </c>
      <c r="T210" s="922">
        <f>IF(100*Meal_entry_week_1!$BC$150/T130&lt;0,0,100*Meal_entry_week_1!$BC$150/T130)</f>
        <v>10.448769225340936</v>
      </c>
      <c r="U210" s="922">
        <f>IF(100*Meal_entry_week_1!$BC$249/U130&lt;0,0,100*Meal_entry_week_1!$BC$249/U130)</f>
        <v>82.233880663278597</v>
      </c>
      <c r="V210" s="922">
        <f>IF(100*Meal_entry_week_1!$BC$348/V130&lt;0,0,100*Meal_entry_week_1!$BC$348/V130)</f>
        <v>56.48757167848342</v>
      </c>
      <c r="W210" s="923">
        <f>IF(100*Meal_entry_week_1!$BC$447/W130&lt;0,0,100*Meal_entry_week_1!$BC$447/W130)</f>
        <v>82.234547330611932</v>
      </c>
      <c r="X210" s="921">
        <f>IF(100*Meal_entry_week_1!$BC$83/X130&lt;0,0,100*Meal_entry_week_1!$BC$83/X130)</f>
        <v>227.05637821084431</v>
      </c>
      <c r="Y210" s="922">
        <f>IF(100*Meal_entry_week_1!$BC$182/Y130&lt;0,0,100*Meal_entry_week_1!$BC$182/Y130)</f>
        <v>164.05600634561623</v>
      </c>
      <c r="Z210" s="922">
        <f>IF(100*Meal_entry_week_1!$BC$281/Z130&lt;0,0,100*Meal_entry_week_1!$BC$281/Z130)</f>
        <v>179.78182240767435</v>
      </c>
      <c r="AA210" s="922">
        <f>IF(100*Meal_entry_week_1!$BC$380/AA130&lt;0,0,100*Meal_entry_week_1!$BC$380/AA130)</f>
        <v>197.70822899306731</v>
      </c>
      <c r="AB210" s="923">
        <f>IF(100*Meal_entry_week_1!$BC$479/AB130&lt;0,0,100*Meal_entry_week_1!$BC$479/AB130)</f>
        <v>164.03285866654497</v>
      </c>
      <c r="AC210" s="921">
        <f>IF(100*Meal_entry_week_1!$BC$102/AC130&lt;0,0,100*Meal_entry_week_1!$BC$102/AC130)</f>
        <v>0</v>
      </c>
      <c r="AD210" s="922">
        <f>IF(100*Meal_entry_week_1!$BC$201/AD130&lt;0,0,100*Meal_entry_week_1!$BC$201/AD130)</f>
        <v>0</v>
      </c>
      <c r="AE210" s="922">
        <f>IF(100*Meal_entry_week_1!$BC$300/AE130&lt;0,0,100*Meal_entry_week_1!$BC$300/AE130)</f>
        <v>0</v>
      </c>
      <c r="AF210" s="922">
        <f>IF(100*Meal_entry_week_1!$BC$399/AF130&lt;0,0,100*Meal_entry_week_1!$BC$399/AF130)</f>
        <v>0</v>
      </c>
      <c r="AG210" s="923">
        <f>IF(100*Meal_entry_week_1!$BC$498/AG130&lt;0,0,100*Meal_entry_week_1!$BC$498/AG130)</f>
        <v>0</v>
      </c>
      <c r="AH210" s="922"/>
    </row>
    <row r="211" spans="1:34" ht="15">
      <c r="A211" s="1004"/>
      <c r="B211" s="924" t="s">
        <v>1410</v>
      </c>
      <c r="C211" s="919"/>
      <c r="D211" s="873">
        <f>100*(Meal_entry_week_1!$AE$108+Meal_entry_week_1!$AE$207+Meal_entry_week_1!$AE$306+Meal_entry_week_1!$AE$405+Meal_entry_week_1!$AE$504)/D131/$D$146</f>
        <v>40.572624228690913</v>
      </c>
      <c r="E211" s="919">
        <f>100*(Meal_entry_week_1!$AE$35+Meal_entry_week_1!$AE$134+Meal_entry_week_1!$AE$233+Meal_entry_week_1!$AE$332+Meal_entry_week_1!$AE$431)/E131/($E$146+0.00001)</f>
        <v>3.1677132829320143</v>
      </c>
      <c r="F211" s="919">
        <f>100*(Meal_entry_week_1!$AE$54+Meal_entry_week_1!$AE$153+Meal_entry_week_1!$AE$252+Meal_entry_week_1!$AE$351+Meal_entry_week_1!$AE$450)/F131/($F$146+0.00001)</f>
        <v>109.09006655908611</v>
      </c>
      <c r="G211" s="919">
        <f>100*(Meal_entry_week_1!$AE$86+Meal_entry_week_1!$AE$185+Meal_entry_week_1!$AE$284+Meal_entry_week_1!$AE$383+Meal_entry_week_1!$AE$482)/G131/($G$146+0.00001)</f>
        <v>55.771739781953961</v>
      </c>
      <c r="H211" s="920">
        <f>100*(Meal_entry_week_1!$AE$105+Meal_entry_week_1!$AE$204+Meal_entry_week_1!$AE$303+Meal_entry_week_1!$AE$402+Meal_entry_week_1!$AE$501)/H131/($H$146+0.00001)</f>
        <v>0</v>
      </c>
      <c r="I211" s="921">
        <f>100*Meal_entry_week_1!$AE$108/I131</f>
        <v>52.241358717933387</v>
      </c>
      <c r="J211" s="922">
        <f>100*Meal_entry_week_1!$AE$207/J131</f>
        <v>17.969357724709305</v>
      </c>
      <c r="K211" s="922">
        <f>100*Meal_entry_week_1!$AE$306/K131</f>
        <v>49.564859520771996</v>
      </c>
      <c r="L211" s="922">
        <f>100*Meal_entry_week_1!$AE$405/L131</f>
        <v>29.33528302325535</v>
      </c>
      <c r="M211" s="923">
        <f>100*Meal_entry_week_1!$AE$504/M131</f>
        <v>53.752262156784489</v>
      </c>
      <c r="N211" s="921">
        <f>IF(100*Meal_entry_week_1!$BD$32/N131&lt;0,0,100*Meal_entry_week_1!$BD$32/N131)</f>
        <v>0</v>
      </c>
      <c r="O211" s="922">
        <f>IF(100*Meal_entry_week_1!$BD$131/O131&lt;0,0,100*Meal_entry_week_1!$BD$131/O131)</f>
        <v>0</v>
      </c>
      <c r="P211" s="922">
        <f>IF(100*Meal_entry_week_1!$BD$230/P131&lt;0,0,100*Meal_entry_week_1!$BD$230/P131)</f>
        <v>12.670884808860885</v>
      </c>
      <c r="Q211" s="922">
        <f>IF(100*Meal_entry_week_1!$BD$329/Q131&lt;0,0,100*Meal_entry_week_1!$BD$329/Q131)</f>
        <v>0</v>
      </c>
      <c r="R211" s="923">
        <f>IF(100*Meal_entry_week_1!$BD$428/R131&lt;0,0,100*Meal_entry_week_1!$BD$428/R131)</f>
        <v>0</v>
      </c>
      <c r="S211" s="921">
        <f>IF(100*Meal_entry_week_1!$BD$51/S131&lt;0,0,100*Meal_entry_week_1!$BD$51/S131)</f>
        <v>204.34624216530668</v>
      </c>
      <c r="T211" s="922">
        <f>IF(100*Meal_entry_week_1!$BD$150/T131&lt;0,0,100*Meal_entry_week_1!$BD$150/T131)</f>
        <v>13.252139438493073</v>
      </c>
      <c r="U211" s="922">
        <f>IF(100*Meal_entry_week_1!$BD$249/U131&lt;0,0,100*Meal_entry_week_1!$BD$249/U131)</f>
        <v>145.05821333721664</v>
      </c>
      <c r="V211" s="922">
        <f>IF(100*Meal_entry_week_1!$BD$348/V131&lt;0,0,100*Meal_entry_week_1!$BD$348/V131)</f>
        <v>37.735096429002205</v>
      </c>
      <c r="W211" s="923">
        <f>IF(100*Meal_entry_week_1!$BD$447/W131&lt;0,0,100*Meal_entry_week_1!$BD$447/W131)</f>
        <v>145.05973232607741</v>
      </c>
      <c r="X211" s="921">
        <f>IF(100*Meal_entry_week_1!$BD$83/X131&lt;0,0,100*Meal_entry_week_1!$BD$83/X131)</f>
        <v>53.781089620075676</v>
      </c>
      <c r="Y211" s="922">
        <f>IF(100*Meal_entry_week_1!$BD$182/Y131&lt;0,0,100*Meal_entry_week_1!$BD$182/Y131)</f>
        <v>37.511121544824022</v>
      </c>
      <c r="Z211" s="922">
        <f>IF(100*Meal_entry_week_1!$BD$281/Z131&lt;0,0,100*Meal_entry_week_1!$BD$281/Z131)</f>
        <v>54.627716293868197</v>
      </c>
      <c r="AA211" s="922">
        <f>IF(100*Meal_entry_week_1!$BD$380/AA131&lt;0,0,100*Meal_entry_week_1!$BD$380/AA131)</f>
        <v>55.870628244595089</v>
      </c>
      <c r="AB211" s="923">
        <f>IF(100*Meal_entry_week_1!$BD$479/AB131&lt;0,0,100*Meal_entry_week_1!$BD$479/AB131)</f>
        <v>77.06870092380467</v>
      </c>
      <c r="AC211" s="921">
        <f>IF(100*Meal_entry_week_1!$BD$102/AC131&lt;0,0,100*Meal_entry_week_1!$BD$102/AC131)</f>
        <v>0</v>
      </c>
      <c r="AD211" s="922">
        <f>IF(100*Meal_entry_week_1!$BD$201/AD131&lt;0,0,100*Meal_entry_week_1!$BD$201/AD131)</f>
        <v>0</v>
      </c>
      <c r="AE211" s="922">
        <f>IF(100*Meal_entry_week_1!$BD$300/AE131&lt;0,0,100*Meal_entry_week_1!$BD$300/AE131)</f>
        <v>0</v>
      </c>
      <c r="AF211" s="922">
        <f>IF(100*Meal_entry_week_1!$BD$399/AF131&lt;0,0,100*Meal_entry_week_1!$BD$399/AF131)</f>
        <v>0</v>
      </c>
      <c r="AG211" s="923">
        <f>IF(100*Meal_entry_week_1!$BD$498/AG131&lt;0,0,100*Meal_entry_week_1!$BD$498/AG131)</f>
        <v>0</v>
      </c>
      <c r="AH211" s="922"/>
    </row>
    <row r="212" spans="1:34" ht="15">
      <c r="A212" s="1059"/>
      <c r="B212" s="924" t="s">
        <v>1411</v>
      </c>
      <c r="C212" s="925"/>
      <c r="D212" s="873">
        <f>100*(Meal_entry_week_1!$AF$108+Meal_entry_week_1!$AF$207+Meal_entry_week_1!$AF$306+Meal_entry_week_1!$AF$405+Meal_entry_week_1!$AF$504)/D132/$D$146</f>
        <v>76.284407251085938</v>
      </c>
      <c r="E212" s="919">
        <f>100*(Meal_entry_week_1!$AF$35+Meal_entry_week_1!$AF$134+Meal_entry_week_1!$AF$233+Meal_entry_week_1!$AF$332+Meal_entry_week_1!$AF$431)/E132/($E$146+0.00001)</f>
        <v>4.1708224891938181</v>
      </c>
      <c r="F212" s="919">
        <f>100*(Meal_entry_week_1!$AF$54+Meal_entry_week_1!$AF$153+Meal_entry_week_1!$AF$252+Meal_entry_week_1!$AF$351+Meal_entry_week_1!$AF$450)/F132/($F$146+0.00001)</f>
        <v>56.643148691282924</v>
      </c>
      <c r="G212" s="919">
        <f>100*(Meal_entry_week_1!$AF$86+Meal_entry_week_1!$AF$185+Meal_entry_week_1!$AF$284+Meal_entry_week_1!$AF$383+Meal_entry_week_1!$AF$482)/G132/($G$146+0.00001)</f>
        <v>155.77888503590367</v>
      </c>
      <c r="H212" s="920">
        <f>100*(Meal_entry_week_1!$AF$105+Meal_entry_week_1!$AF$204+Meal_entry_week_1!$AF$303+Meal_entry_week_1!$AF$402+Meal_entry_week_1!$AF$501)/H132/($H$146+0.00001)</f>
        <v>0</v>
      </c>
      <c r="I212" s="921">
        <f>100*Meal_entry_week_1!$AF$108/I132</f>
        <v>97.697649615562952</v>
      </c>
      <c r="J212" s="922">
        <f>100*Meal_entry_week_1!$AF$207/J132</f>
        <v>55.760221770842939</v>
      </c>
      <c r="K212" s="922">
        <f>100*Meal_entry_week_1!$AF$306/K132</f>
        <v>85.39897739112044</v>
      </c>
      <c r="L212" s="922">
        <f>100*Meal_entry_week_1!$AF$405/L132</f>
        <v>79.135477008777315</v>
      </c>
      <c r="M212" s="923">
        <f>100*Meal_entry_week_1!$AF$504/M132</f>
        <v>63.42971046912605</v>
      </c>
      <c r="N212" s="921">
        <f>IF(100*Meal_entry_week_1!$BE$32/N132&lt;0,0,100*Meal_entry_week_1!$BE$32/N132)</f>
        <v>0</v>
      </c>
      <c r="O212" s="922">
        <f>IF(100*Meal_entry_week_1!$BE$131/O132&lt;0,0,100*Meal_entry_week_1!$BE$131/O132)</f>
        <v>0</v>
      </c>
      <c r="P212" s="922">
        <f>IF(100*Meal_entry_week_1!$BE$230/P132&lt;0,0,100*Meal_entry_week_1!$BE$230/P132)</f>
        <v>16.683331665000164</v>
      </c>
      <c r="Q212" s="922">
        <f>IF(100*Meal_entry_week_1!$BE$329/Q132&lt;0,0,100*Meal_entry_week_1!$BE$329/Q132)</f>
        <v>0</v>
      </c>
      <c r="R212" s="923">
        <f>IF(100*Meal_entry_week_1!$BE$428/R132&lt;0,0,100*Meal_entry_week_1!$BE$428/R132)</f>
        <v>0</v>
      </c>
      <c r="S212" s="921">
        <f>IF(100*Meal_entry_week_1!$BE$51/S132&lt;0,0,100*Meal_entry_week_1!$BE$51/S132)</f>
        <v>116.4307977533939</v>
      </c>
      <c r="T212" s="922">
        <f>IF(100*Meal_entry_week_1!$BE$150/T132&lt;0,0,100*Meal_entry_week_1!$BE$150/T132)</f>
        <v>7.6794936075057283</v>
      </c>
      <c r="U212" s="922">
        <f>IF(100*Meal_entry_week_1!$BE$249/U132&lt;0,0,100*Meal_entry_week_1!$BE$249/U132)</f>
        <v>52.504994729500517</v>
      </c>
      <c r="V212" s="922">
        <f>IF(100*Meal_entry_week_1!$BE$348/V132&lt;0,0,100*Meal_entry_week_1!$BE$348/V132)</f>
        <v>54.090029062000909</v>
      </c>
      <c r="W212" s="923">
        <f>IF(100*Meal_entry_week_1!$BE$447/W132&lt;0,0,100*Meal_entry_week_1!$BE$447/W132)</f>
        <v>52.510994735500525</v>
      </c>
      <c r="X212" s="921">
        <f>IF(100*Meal_entry_week_1!$BE$83/X132&lt;0,0,100*Meal_entry_week_1!$BE$83/X132)</f>
        <v>189.1509165185156</v>
      </c>
      <c r="Y212" s="922">
        <f>IF(100*Meal_entry_week_1!$BE$182/Y132&lt;0,0,100*Meal_entry_week_1!$BE$182/Y132)</f>
        <v>127.54735292946495</v>
      </c>
      <c r="Z212" s="922">
        <f>IF(100*Meal_entry_week_1!$BE$281/Z132&lt;0,0,100*Meal_entry_week_1!$BE$281/Z132)</f>
        <v>165.07928400444735</v>
      </c>
      <c r="AA212" s="922">
        <f>IF(100*Meal_entry_week_1!$BE$380/AA132&lt;0,0,100*Meal_entry_week_1!$BE$380/AA132)</f>
        <v>166.61943666648008</v>
      </c>
      <c r="AB212" s="923">
        <f>IF(100*Meal_entry_week_1!$BE$479/AB132&lt;0,0,100*Meal_entry_week_1!$BE$479/AB132)</f>
        <v>130.49899284946062</v>
      </c>
      <c r="AC212" s="921">
        <f>IF(100*Meal_entry_week_1!$BE$102/AC132&lt;0,0,100*Meal_entry_week_1!$BE$102/AC132)</f>
        <v>0</v>
      </c>
      <c r="AD212" s="922">
        <f>IF(100*Meal_entry_week_1!$BE$201/AD132&lt;0,0,100*Meal_entry_week_1!$BE$201/AD132)</f>
        <v>0</v>
      </c>
      <c r="AE212" s="922">
        <f>IF(100*Meal_entry_week_1!$BE$300/AE132&lt;0,0,100*Meal_entry_week_1!$BE$300/AE132)</f>
        <v>0</v>
      </c>
      <c r="AF212" s="922">
        <f>IF(100*Meal_entry_week_1!$BE$399/AF132&lt;0,0,100*Meal_entry_week_1!$BE$399/AF132)</f>
        <v>0</v>
      </c>
      <c r="AG212" s="923">
        <f>IF(100*Meal_entry_week_1!$BE$498/AG132&lt;0,0,100*Meal_entry_week_1!$BE$498/AG132)</f>
        <v>0</v>
      </c>
      <c r="AH212" s="922"/>
    </row>
    <row r="213" spans="1:34" ht="15">
      <c r="A213" s="872"/>
      <c r="B213" s="924" t="s">
        <v>1412</v>
      </c>
      <c r="C213" s="873"/>
      <c r="D213" s="873">
        <f>100*(Meal_entry_week_1!$AG$108+Meal_entry_week_1!$AG$207+Meal_entry_week_1!$AG$306+Meal_entry_week_1!$AG$405+Meal_entry_week_1!$AG$504)/D133/$D$146</f>
        <v>86.447097083912396</v>
      </c>
      <c r="E213" s="919">
        <f>100*(Meal_entry_week_1!$AG$35+Meal_entry_week_1!$AG$134+Meal_entry_week_1!$AG$233+Meal_entry_week_1!$AG$332+Meal_entry_week_1!$AG$431)/E133/($E$146+0.00001)</f>
        <v>3.8440760269067451</v>
      </c>
      <c r="F213" s="919">
        <f>100*(Meal_entry_week_1!$AG$54+Meal_entry_week_1!$AG$153+Meal_entry_week_1!$AG$252+Meal_entry_week_1!$AG$351+Meal_entry_week_1!$AG$450)/F133/($F$146+0.00001)</f>
        <v>144.07585357689976</v>
      </c>
      <c r="G213" s="919">
        <f>100*(Meal_entry_week_1!$AG$86+Meal_entry_week_1!$AG$185+Meal_entry_week_1!$AG$284+Meal_entry_week_1!$AG$383+Meal_entry_week_1!$AG$482)/G133/($G$146+0.00001)</f>
        <v>150.60894289203009</v>
      </c>
      <c r="H213" s="920">
        <f>100*(Meal_entry_week_1!$AG$105+Meal_entry_week_1!$AG$204+Meal_entry_week_1!$AG$303+Meal_entry_week_1!$AG$402+Meal_entry_week_1!$AG$501)/H133/($H$146+0.00001)</f>
        <v>0</v>
      </c>
      <c r="I213" s="921">
        <f>100*Meal_entry_week_1!$AG$108/I133</f>
        <v>120.90737986941565</v>
      </c>
      <c r="J213" s="922">
        <f>100*Meal_entry_week_1!$AG$207/J133</f>
        <v>56.937144727736055</v>
      </c>
      <c r="K213" s="922">
        <f>100*Meal_entry_week_1!$AG$306/K133</f>
        <v>94.401024622763572</v>
      </c>
      <c r="L213" s="922">
        <f>100*Meal_entry_week_1!$AG$405/L133</f>
        <v>76.55575399363768</v>
      </c>
      <c r="M213" s="923">
        <f>100*Meal_entry_week_1!$AG$504/M133</f>
        <v>83.434182206009012</v>
      </c>
      <c r="N213" s="921">
        <f>IF(100*Meal_entry_week_1!$BF$32/N133&lt;0,0,100*Meal_entry_week_1!$BF$32/N133)</f>
        <v>0</v>
      </c>
      <c r="O213" s="922">
        <f>IF(100*Meal_entry_week_1!$BF$131/O133&lt;0,0,100*Meal_entry_week_1!$BF$131/O133)</f>
        <v>0</v>
      </c>
      <c r="P213" s="922">
        <f>IF(100*Meal_entry_week_1!$BF$230/P133&lt;0,0,100*Meal_entry_week_1!$BF$230/P133)</f>
        <v>15.376342548387248</v>
      </c>
      <c r="Q213" s="922">
        <f>IF(100*Meal_entry_week_1!$BF$329/Q133&lt;0,0,100*Meal_entry_week_1!$BF$329/Q133)</f>
        <v>0</v>
      </c>
      <c r="R213" s="923">
        <f>IF(100*Meal_entry_week_1!$BF$428/R133&lt;0,0,100*Meal_entry_week_1!$BF$428/R133)</f>
        <v>0</v>
      </c>
      <c r="S213" s="921">
        <f>IF(100*Meal_entry_week_1!$BF$51/S133&lt;0,0,100*Meal_entry_week_1!$BF$51/S133)</f>
        <v>311.03423179065146</v>
      </c>
      <c r="T213" s="922">
        <f>IF(100*Meal_entry_week_1!$BF$150/T133&lt;0,0,100*Meal_entry_week_1!$BF$150/T133)</f>
        <v>14.084503138399535</v>
      </c>
      <c r="U213" s="922">
        <f>IF(100*Meal_entry_week_1!$BF$249/U133&lt;0,0,100*Meal_entry_week_1!$BF$249/U133)</f>
        <v>146.32417890951757</v>
      </c>
      <c r="V213" s="922">
        <f>IF(100*Meal_entry_week_1!$BF$348/V133&lt;0,0,100*Meal_entry_week_1!$BF$348/V133)</f>
        <v>102.6116804091419</v>
      </c>
      <c r="W213" s="923">
        <f>IF(100*Meal_entry_week_1!$BF$447/W133&lt;0,0,100*Meal_entry_week_1!$BF$447/W133)</f>
        <v>146.32611439532405</v>
      </c>
      <c r="X213" s="921">
        <f>IF(100*Meal_entry_week_1!$BF$83/X133&lt;0,0,100*Meal_entry_week_1!$BF$83/X133)</f>
        <v>178.43914243175269</v>
      </c>
      <c r="Y213" s="922">
        <f>IF(100*Meal_entry_week_1!$BF$182/Y133&lt;0,0,100*Meal_entry_week_1!$BF$182/Y133)</f>
        <v>128.15850331858428</v>
      </c>
      <c r="Z213" s="922">
        <f>IF(100*Meal_entry_week_1!$BF$281/Z133&lt;0,0,100*Meal_entry_week_1!$BF$281/Z133)</f>
        <v>156.11798860155523</v>
      </c>
      <c r="AA213" s="922">
        <f>IF(100*Meal_entry_week_1!$BF$380/AA133&lt;0,0,100*Meal_entry_week_1!$BF$380/AA133)</f>
        <v>144.4261991821073</v>
      </c>
      <c r="AB213" s="923">
        <f>IF(100*Meal_entry_week_1!$BF$479/AB133&lt;0,0,100*Meal_entry_week_1!$BF$479/AB133)</f>
        <v>145.90438701557969</v>
      </c>
      <c r="AC213" s="921">
        <f>IF(100*Meal_entry_week_1!$BF$102/AC133&lt;0,0,100*Meal_entry_week_1!$BF$102/AC133)</f>
        <v>0</v>
      </c>
      <c r="AD213" s="922">
        <f>IF(100*Meal_entry_week_1!$BF$201/AD133&lt;0,0,100*Meal_entry_week_1!$BF$201/AD133)</f>
        <v>0</v>
      </c>
      <c r="AE213" s="922">
        <f>IF(100*Meal_entry_week_1!$BF$300/AE133&lt;0,0,100*Meal_entry_week_1!$BF$300/AE133)</f>
        <v>0</v>
      </c>
      <c r="AF213" s="922">
        <f>IF(100*Meal_entry_week_1!$BF$399/AF133&lt;0,0,100*Meal_entry_week_1!$BF$399/AF133)</f>
        <v>0</v>
      </c>
      <c r="AG213" s="923">
        <f>IF(100*Meal_entry_week_1!$BF$498/AG133&lt;0,0,100*Meal_entry_week_1!$BF$498/AG133)</f>
        <v>0</v>
      </c>
      <c r="AH213" s="922"/>
    </row>
    <row r="214" spans="1:34" ht="15">
      <c r="A214" s="872"/>
      <c r="B214" s="924" t="s">
        <v>1413</v>
      </c>
      <c r="C214" s="873"/>
      <c r="D214" s="873">
        <f>100*(Meal_entry_week_1!$AH$108+Meal_entry_week_1!$AH$207+Meal_entry_week_1!$AH$306+Meal_entry_week_1!$AH$405+Meal_entry_week_1!$AH$504)/D134/$D$146</f>
        <v>68.596494121370853</v>
      </c>
      <c r="E214" s="919">
        <f>100*(Meal_entry_week_1!$AH$35+Meal_entry_week_1!$AH$134+Meal_entry_week_1!$AH$233+Meal_entry_week_1!$AH$332+Meal_entry_week_1!$AH$431)/E134/($E$146+0.00001)</f>
        <v>2.1666610333474385</v>
      </c>
      <c r="F214" s="919">
        <f>100*(Meal_entry_week_1!$AH$54+Meal_entry_week_1!$AH$153+Meal_entry_week_1!$AH$252+Meal_entry_week_1!$AH$351+Meal_entry_week_1!$AH$450)/F134/($F$146+0.00001)</f>
        <v>42.02460062455453</v>
      </c>
      <c r="G214" s="919">
        <f>100*(Meal_entry_week_1!$AH$86+Meal_entry_week_1!$AH$185+Meal_entry_week_1!$AH$284+Meal_entry_week_1!$AH$383+Meal_entry_week_1!$AH$482)/G134/($G$146+0.00001)</f>
        <v>144.31663626534092</v>
      </c>
      <c r="H214" s="920">
        <f>100*(Meal_entry_week_1!$AH$105+Meal_entry_week_1!$AH$204+Meal_entry_week_1!$AH$303+Meal_entry_week_1!$AH$402+Meal_entry_week_1!$AH$501)/H134/($H$146+0.00001)</f>
        <v>0</v>
      </c>
      <c r="I214" s="921">
        <f>100*Meal_entry_week_1!$AH$108/I134</f>
        <v>82.370512557341883</v>
      </c>
      <c r="J214" s="922">
        <f>100*Meal_entry_week_1!$AH$207/J134</f>
        <v>49.103645170759037</v>
      </c>
      <c r="K214" s="922">
        <f>100*Meal_entry_week_1!$AH$306/K134</f>
        <v>108.05443524786607</v>
      </c>
      <c r="L214" s="922">
        <f>100*Meal_entry_week_1!$AH$405/L134</f>
        <v>48.757316753435795</v>
      </c>
      <c r="M214" s="923">
        <f>100*Meal_entry_week_1!$AH$504/M134</f>
        <v>54.696560877451546</v>
      </c>
      <c r="N214" s="921">
        <f>IF(100*Meal_entry_week_1!$BG$32/N134&lt;0,0,100*Meal_entry_week_1!$BG$32/N134)</f>
        <v>0</v>
      </c>
      <c r="O214" s="922">
        <f>IF(100*Meal_entry_week_1!$BG$131/O134&lt;0,0,100*Meal_entry_week_1!$BG$131/O134)</f>
        <v>0</v>
      </c>
      <c r="P214" s="922">
        <f>IF(100*Meal_entry_week_1!$BG$230/P134&lt;0,0,100*Meal_entry_week_1!$BG$230/P134)</f>
        <v>8.6666658000000876</v>
      </c>
      <c r="Q214" s="922">
        <f>IF(100*Meal_entry_week_1!$BG$329/Q134&lt;0,0,100*Meal_entry_week_1!$BG$329/Q134)</f>
        <v>0</v>
      </c>
      <c r="R214" s="923">
        <f>IF(100*Meal_entry_week_1!$BG$428/R134&lt;0,0,100*Meal_entry_week_1!$BG$428/R134)</f>
        <v>0</v>
      </c>
      <c r="S214" s="921">
        <f>IF(100*Meal_entry_week_1!$BG$51/S134&lt;0,0,100*Meal_entry_week_1!$BG$51/S134)</f>
        <v>133.9248882897125</v>
      </c>
      <c r="T214" s="922">
        <f>IF(100*Meal_entry_week_1!$BG$150/T134&lt;0,0,100*Meal_entry_week_1!$BG$150/T134)</f>
        <v>2.5355979499286554</v>
      </c>
      <c r="U214" s="922">
        <f>IF(100*Meal_entry_week_1!$BG$249/U134&lt;0,0,100*Meal_entry_week_1!$BG$249/U134)</f>
        <v>8.3181806227273931</v>
      </c>
      <c r="V214" s="922">
        <f>IF(100*Meal_entry_week_1!$BG$348/V134&lt;0,0,100*Meal_entry_week_1!$BG$348/V134)</f>
        <v>56.917484865501123</v>
      </c>
      <c r="W214" s="923">
        <f>IF(100*Meal_entry_week_1!$BG$447/W134&lt;0,0,100*Meal_entry_week_1!$BG$447/W134)</f>
        <v>8.4272716409092077</v>
      </c>
      <c r="X214" s="921">
        <f>IF(100*Meal_entry_week_1!$BG$83/X134&lt;0,0,100*Meal_entry_week_1!$BG$83/X134)</f>
        <v>147.55623320389358</v>
      </c>
      <c r="Y214" s="922">
        <f>IF(100*Meal_entry_week_1!$BG$182/Y134&lt;0,0,100*Meal_entry_week_1!$BG$182/Y134)</f>
        <v>113.72997274846153</v>
      </c>
      <c r="Z214" s="922">
        <f>IF(100*Meal_entry_week_1!$BG$281/Z134&lt;0,0,100*Meal_entry_week_1!$BG$281/Z134)</f>
        <v>240.68762290411163</v>
      </c>
      <c r="AA214" s="922">
        <f>IF(100*Meal_entry_week_1!$BG$380/AA134&lt;0,0,100*Meal_entry_week_1!$BG$380/AA134)</f>
        <v>94.794577469516497</v>
      </c>
      <c r="AB214" s="923">
        <f>IF(100*Meal_entry_week_1!$BG$479/AB134&lt;0,0,100*Meal_entry_week_1!$BG$479/AB134)</f>
        <v>124.81621816708389</v>
      </c>
      <c r="AC214" s="921">
        <f>IF(100*Meal_entry_week_1!$BG$102/AC134&lt;0,0,100*Meal_entry_week_1!$BG$102/AC134)</f>
        <v>0</v>
      </c>
      <c r="AD214" s="922">
        <f>IF(100*Meal_entry_week_1!$BG$201/AD134&lt;0,0,100*Meal_entry_week_1!$BG$201/AD134)</f>
        <v>0</v>
      </c>
      <c r="AE214" s="922">
        <f>IF(100*Meal_entry_week_1!$BG$300/AE134&lt;0,0,100*Meal_entry_week_1!$BG$300/AE134)</f>
        <v>0</v>
      </c>
      <c r="AF214" s="922">
        <f>IF(100*Meal_entry_week_1!$BG$399/AF134&lt;0,0,100*Meal_entry_week_1!$BG$399/AF134)</f>
        <v>0</v>
      </c>
      <c r="AG214" s="923">
        <f>IF(100*Meal_entry_week_1!$BG$498/AG134&lt;0,0,100*Meal_entry_week_1!$BG$498/AG134)</f>
        <v>0</v>
      </c>
      <c r="AH214" s="922"/>
    </row>
    <row r="215" spans="1:34" ht="15">
      <c r="A215" s="872"/>
      <c r="B215" s="924" t="s">
        <v>1414</v>
      </c>
      <c r="C215" s="873"/>
      <c r="D215" s="873">
        <f>100*(Meal_entry_week_1!$AI$108+Meal_entry_week_1!$AI$207+Meal_entry_week_1!$AI$306+Meal_entry_week_1!$AI$405+Meal_entry_week_1!$AI$504)/D135/$D$146</f>
        <v>99.872552403243219</v>
      </c>
      <c r="E215" s="919">
        <f>100*(Meal_entry_week_1!$AI$35+Meal_entry_week_1!$AI$134+Meal_entry_week_1!$AI$233+Meal_entry_week_1!$AI$332+Meal_entry_week_1!$AI$431)/E135/($E$146+0.00001)</f>
        <v>1.7023765262015589</v>
      </c>
      <c r="F215" s="919">
        <f>100*(Meal_entry_week_1!$AI$54+Meal_entry_week_1!$AI$153+Meal_entry_week_1!$AI$252+Meal_entry_week_1!$AI$351+Meal_entry_week_1!$AI$450)/F135/($F$146+0.00001)</f>
        <v>108.23877045056862</v>
      </c>
      <c r="G215" s="919">
        <f>100*(Meal_entry_week_1!$AI$86+Meal_entry_week_1!$AI$185+Meal_entry_week_1!$AI$284+Meal_entry_week_1!$AI$383+Meal_entry_week_1!$AI$482)/G135/($G$146+0.00001)</f>
        <v>195.59399748448845</v>
      </c>
      <c r="H215" s="920">
        <f>100*(Meal_entry_week_1!$AI$105+Meal_entry_week_1!$AI$204+Meal_entry_week_1!$AI$303+Meal_entry_week_1!$AI$402+Meal_entry_week_1!$AI$501)/H135/($H$146+0.00001)</f>
        <v>0</v>
      </c>
      <c r="I215" s="921">
        <f>100*Meal_entry_week_1!$AI$108/I135</f>
        <v>129.22373106830889</v>
      </c>
      <c r="J215" s="922">
        <f>100*Meal_entry_week_1!$AI$207/J135</f>
        <v>73.821724111968919</v>
      </c>
      <c r="K215" s="922">
        <f>100*Meal_entry_week_1!$AI$306/K135</f>
        <v>118.33264243528079</v>
      </c>
      <c r="L215" s="922">
        <f>100*Meal_entry_week_1!$AI$405/L135</f>
        <v>93.462996011739193</v>
      </c>
      <c r="M215" s="923">
        <f>100*Meal_entry_week_1!$AI$504/M135</f>
        <v>84.521668388918329</v>
      </c>
      <c r="N215" s="921">
        <f>IF(100*Meal_entry_week_1!$BH$32/N135&lt;0,0,100*Meal_entry_week_1!$BH$32/N135)</f>
        <v>0</v>
      </c>
      <c r="O215" s="922">
        <f>IF(100*Meal_entry_week_1!$BH$131/O135&lt;0,0,100*Meal_entry_week_1!$BH$131/O135)</f>
        <v>0</v>
      </c>
      <c r="P215" s="922">
        <f>IF(100*Meal_entry_week_1!$BH$230/P135&lt;0,0,100*Meal_entry_week_1!$BH$230/P135)</f>
        <v>6.809523128571497</v>
      </c>
      <c r="Q215" s="922">
        <f>IF(100*Meal_entry_week_1!$BH$329/Q135&lt;0,0,100*Meal_entry_week_1!$BH$329/Q135)</f>
        <v>0</v>
      </c>
      <c r="R215" s="923">
        <f>IF(100*Meal_entry_week_1!$BH$428/R135&lt;0,0,100*Meal_entry_week_1!$BH$428/R135)</f>
        <v>0</v>
      </c>
      <c r="S215" s="921">
        <f>IF(100*Meal_entry_week_1!$BH$51/S135&lt;0,0,100*Meal_entry_week_1!$BH$51/S135)</f>
        <v>315.61652850389186</v>
      </c>
      <c r="T215" s="922">
        <f>IF(100*Meal_entry_week_1!$BH$150/T135&lt;0,0,100*Meal_entry_week_1!$BH$150/T135)</f>
        <v>6.54902209406292</v>
      </c>
      <c r="U215" s="922">
        <f>IF(100*Meal_entry_week_1!$BH$249/U135&lt;0,0,100*Meal_entry_week_1!$BH$249/U135)</f>
        <v>79.921420007857989</v>
      </c>
      <c r="V215" s="922">
        <f>IF(100*Meal_entry_week_1!$BH$348/V135&lt;0,0,100*Meal_entry_week_1!$BH$348/V135)</f>
        <v>59.015115284019657</v>
      </c>
      <c r="W215" s="923">
        <f>IF(100*Meal_entry_week_1!$BH$447/W135&lt;0,0,100*Meal_entry_week_1!$BH$447/W135)</f>
        <v>80.092848750715135</v>
      </c>
      <c r="X215" s="921">
        <f>IF(100*Meal_entry_week_1!$BH$83/X135&lt;0,0,100*Meal_entry_week_1!$BH$83/X135)</f>
        <v>196.31652965809016</v>
      </c>
      <c r="Y215" s="922">
        <f>IF(100*Meal_entry_week_1!$BH$182/Y135&lt;0,0,100*Meal_entry_week_1!$BH$182/Y135)</f>
        <v>170.0676822299065</v>
      </c>
      <c r="Z215" s="922">
        <f>IF(100*Meal_entry_week_1!$BH$281/Z135&lt;0,0,100*Meal_entry_week_1!$BH$281/Z135)</f>
        <v>242.65950255113103</v>
      </c>
      <c r="AA215" s="922">
        <f>IF(100*Meal_entry_week_1!$BH$380/AA135&lt;0,0,100*Meal_entry_week_1!$BH$380/AA135)</f>
        <v>198.40861893271827</v>
      </c>
      <c r="AB215" s="923">
        <f>IF(100*Meal_entry_week_1!$BH$479/AB135&lt;0,0,100*Meal_entry_week_1!$BH$479/AB135)</f>
        <v>170.51960999057104</v>
      </c>
      <c r="AC215" s="921">
        <f>IF(100*Meal_entry_week_1!$BH$102/AC135&lt;0,0,100*Meal_entry_week_1!$BH$102/AC135)</f>
        <v>0</v>
      </c>
      <c r="AD215" s="922">
        <f>IF(100*Meal_entry_week_1!$BH$201/AD135&lt;0,0,100*Meal_entry_week_1!$BH$201/AD135)</f>
        <v>0</v>
      </c>
      <c r="AE215" s="922">
        <f>IF(100*Meal_entry_week_1!$BH$300/AE135&lt;0,0,100*Meal_entry_week_1!$BH$300/AE135)</f>
        <v>0</v>
      </c>
      <c r="AF215" s="922">
        <f>IF(100*Meal_entry_week_1!$BH$399/AF135&lt;0,0,100*Meal_entry_week_1!$BH$399/AF135)</f>
        <v>0</v>
      </c>
      <c r="AG215" s="923">
        <f>IF(100*Meal_entry_week_1!$BH$498/AG135&lt;0,0,100*Meal_entry_week_1!$BH$498/AG135)</f>
        <v>0</v>
      </c>
      <c r="AH215" s="922"/>
    </row>
    <row r="216" spans="1:34" ht="15">
      <c r="A216" s="872"/>
      <c r="B216" s="924" t="s">
        <v>1415</v>
      </c>
      <c r="C216" s="873"/>
      <c r="D216" s="873">
        <f>100*(Meal_entry_week_1!$AJ$108+Meal_entry_week_1!$AJ$207+Meal_entry_week_1!$AJ$306+Meal_entry_week_1!$AJ$405+Meal_entry_week_1!$AJ$504)/D136/$D$146</f>
        <v>106.3574032303806</v>
      </c>
      <c r="E216" s="919">
        <f>100*(Meal_entry_week_1!$AJ$35+Meal_entry_week_1!$AJ$134+Meal_entry_week_1!$AJ$233+Meal_entry_week_1!$AJ$332+Meal_entry_week_1!$AJ$431)/E136/($E$146+0.00001)</f>
        <v>2.2840218393204248</v>
      </c>
      <c r="F216" s="919">
        <f>100*(Meal_entry_week_1!$AJ$54+Meal_entry_week_1!$AJ$153+Meal_entry_week_1!$AJ$252+Meal_entry_week_1!$AJ$351+Meal_entry_week_1!$AJ$450)/F136/($F$146+0.00001)</f>
        <v>68.967927128608096</v>
      </c>
      <c r="G216" s="919">
        <f>100*(Meal_entry_week_1!$AJ$86+Meal_entry_week_1!$AJ$185+Meal_entry_week_1!$AJ$284+Meal_entry_week_1!$AJ$383+Meal_entry_week_1!$AJ$482)/G136/($G$146+0.00001)</f>
        <v>223.35025044273308</v>
      </c>
      <c r="H216" s="920">
        <f>100*(Meal_entry_week_1!$AJ$105+Meal_entry_week_1!$AJ$204+Meal_entry_week_1!$AJ$303+Meal_entry_week_1!$AJ$402+Meal_entry_week_1!$AJ$501)/H136/($H$146+0.00001)</f>
        <v>0</v>
      </c>
      <c r="I216" s="921">
        <f>100*Meal_entry_week_1!$AJ$108/I136</f>
        <v>136.35229926232057</v>
      </c>
      <c r="J216" s="922">
        <f>100*Meal_entry_week_1!$AJ$207/J136</f>
        <v>67.518694722138633</v>
      </c>
      <c r="K216" s="922">
        <f>100*Meal_entry_week_1!$AJ$306/K136</f>
        <v>128.17512798474834</v>
      </c>
      <c r="L216" s="922">
        <f>100*Meal_entry_week_1!$AJ$405/L136</f>
        <v>118.09307033863516</v>
      </c>
      <c r="M216" s="923">
        <f>100*Meal_entry_week_1!$AJ$504/M136</f>
        <v>81.647823844060355</v>
      </c>
      <c r="N216" s="921">
        <f>IF(100*Meal_entry_week_1!$BI$32/N136&lt;0,0,100*Meal_entry_week_1!$BI$32/N136)</f>
        <v>0</v>
      </c>
      <c r="O216" s="922">
        <f>IF(100*Meal_entry_week_1!$BI$131/O136&lt;0,0,100*Meal_entry_week_1!$BI$131/O136)</f>
        <v>0</v>
      </c>
      <c r="P216" s="922">
        <f>IF(100*Meal_entry_week_1!$BI$230/P136&lt;0,0,100*Meal_entry_week_1!$BI$230/P136)</f>
        <v>9.1361101975000913</v>
      </c>
      <c r="Q216" s="922">
        <f>IF(100*Meal_entry_week_1!$BI$329/Q136&lt;0,0,100*Meal_entry_week_1!$BI$329/Q136)</f>
        <v>0</v>
      </c>
      <c r="R216" s="923">
        <f>IF(100*Meal_entry_week_1!$BI$428/R136&lt;0,0,100*Meal_entry_week_1!$BI$428/R136)</f>
        <v>0</v>
      </c>
      <c r="S216" s="921">
        <f>IF(100*Meal_entry_week_1!$BI$51/S136&lt;0,0,100*Meal_entry_week_1!$BI$51/S136)</f>
        <v>167.15247626530345</v>
      </c>
      <c r="T216" s="922">
        <f>IF(100*Meal_entry_week_1!$BI$150/T136&lt;0,0,100*Meal_entry_week_1!$BI$150/T136)</f>
        <v>4.9849960330029912</v>
      </c>
      <c r="U216" s="922">
        <f>IF(100*Meal_entry_week_1!$BI$249/U136&lt;0,0,100*Meal_entry_week_1!$BI$249/U136)</f>
        <v>8.1949987805001214</v>
      </c>
      <c r="V216" s="922">
        <f>IF(100*Meal_entry_week_1!$BI$348/V136&lt;0,0,100*Meal_entry_week_1!$BI$348/V136)</f>
        <v>156.19285534300502</v>
      </c>
      <c r="W216" s="923">
        <f>IF(100*Meal_entry_week_1!$BI$447/W136&lt;0,0,100*Meal_entry_week_1!$BI$447/W136)</f>
        <v>8.3149989005001181</v>
      </c>
      <c r="X216" s="921">
        <f>IF(100*Meal_entry_week_1!$BI$83/X136&lt;0,0,100*Meal_entry_week_1!$BI$83/X136)</f>
        <v>262.43787285698016</v>
      </c>
      <c r="Y216" s="922">
        <f>IF(100*Meal_entry_week_1!$BI$182/Y136&lt;0,0,100*Meal_entry_week_1!$BI$182/Y136)</f>
        <v>155.88195567398913</v>
      </c>
      <c r="Z216" s="922">
        <f>IF(100*Meal_entry_week_1!$BI$281/Z136&lt;0,0,100*Meal_entry_week_1!$BI$281/Z136)</f>
        <v>287.20752217341266</v>
      </c>
      <c r="AA216" s="922">
        <f>IF(100*Meal_entry_week_1!$BI$380/AA136&lt;0,0,100*Meal_entry_week_1!$BI$380/AA136)</f>
        <v>223.48621234248029</v>
      </c>
      <c r="AB216" s="923">
        <f>IF(100*Meal_entry_week_1!$BI$479/AB136&lt;0,0,100*Meal_entry_week_1!$BI$479/AB136)</f>
        <v>187.73992266930745</v>
      </c>
      <c r="AC216" s="921">
        <f>IF(100*Meal_entry_week_1!$BI$102/AC136&lt;0,0,100*Meal_entry_week_1!$BI$102/AC136)</f>
        <v>0</v>
      </c>
      <c r="AD216" s="922">
        <f>IF(100*Meal_entry_week_1!$BI$201/AD136&lt;0,0,100*Meal_entry_week_1!$BI$201/AD136)</f>
        <v>0</v>
      </c>
      <c r="AE216" s="922">
        <f>IF(100*Meal_entry_week_1!$BI$300/AE136&lt;0,0,100*Meal_entry_week_1!$BI$300/AE136)</f>
        <v>0</v>
      </c>
      <c r="AF216" s="922">
        <f>IF(100*Meal_entry_week_1!$BI$399/AF136&lt;0,0,100*Meal_entry_week_1!$BI$399/AF136)</f>
        <v>0</v>
      </c>
      <c r="AG216" s="923">
        <f>IF(100*Meal_entry_week_1!$BI$498/AG136&lt;0,0,100*Meal_entry_week_1!$BI$498/AG136)</f>
        <v>0</v>
      </c>
      <c r="AH216" s="922"/>
    </row>
    <row r="217" spans="1:34" ht="15">
      <c r="A217" s="872"/>
      <c r="B217" s="924" t="s">
        <v>1416</v>
      </c>
      <c r="C217" s="873"/>
      <c r="D217" s="873">
        <f>100*(Meal_entry_week_1!$AK$108+Meal_entry_week_1!$AK$207+Meal_entry_week_1!$AK$306+Meal_entry_week_1!$AK$405+Meal_entry_week_1!$AK$504)/D137/$D$146</f>
        <v>58.13311566719532</v>
      </c>
      <c r="E217" s="919">
        <f>100*(Meal_entry_week_1!$AK$35+Meal_entry_week_1!$AK$134+Meal_entry_week_1!$AK$233+Meal_entry_week_1!$AK$332+Meal_entry_week_1!$AK$431)/E137/($E$146+0.00001)</f>
        <v>0.40963435161725009</v>
      </c>
      <c r="F217" s="919">
        <f>100*(Meal_entry_week_1!$AK$54+Meal_entry_week_1!$AK$153+Meal_entry_week_1!$AK$252+Meal_entry_week_1!$AK$351+Meal_entry_week_1!$AK$450)/F137/($F$146+0.00001)</f>
        <v>36.044101105319029</v>
      </c>
      <c r="G217" s="919">
        <f>100*(Meal_entry_week_1!$AK$86+Meal_entry_week_1!$AK$185+Meal_entry_week_1!$AK$284+Meal_entry_week_1!$AK$383+Meal_entry_week_1!$AK$482)/G137/($G$146+0.00001)</f>
        <v>123.30125725587165</v>
      </c>
      <c r="H217" s="920">
        <f>100*(Meal_entry_week_1!$AK$105+Meal_entry_week_1!$AK$204+Meal_entry_week_1!$AK$303+Meal_entry_week_1!$AK$402+Meal_entry_week_1!$AK$501)/H137/($H$146+0.00001)</f>
        <v>0</v>
      </c>
      <c r="I217" s="921">
        <f>100*Meal_entry_week_1!$AK$108/I137</f>
        <v>69.259983211035333</v>
      </c>
      <c r="J217" s="922">
        <f>100*Meal_entry_week_1!$AK$207/J137</f>
        <v>51.824859441065641</v>
      </c>
      <c r="K217" s="922">
        <f>100*Meal_entry_week_1!$AK$306/K137</f>
        <v>49.359524030625273</v>
      </c>
      <c r="L217" s="922">
        <f>100*Meal_entry_week_1!$AK$405/L137</f>
        <v>58.367408522653896</v>
      </c>
      <c r="M217" s="923">
        <f>100*Meal_entry_week_1!$AK$504/M137</f>
        <v>61.853803130596475</v>
      </c>
      <c r="N217" s="921">
        <f>IF(100*Meal_entry_week_1!$BJ$32/N137&lt;0,0,100*Meal_entry_week_1!$BJ$32/N137)</f>
        <v>0</v>
      </c>
      <c r="O217" s="922">
        <f>IF(100*Meal_entry_week_1!$BJ$131/O137&lt;0,0,100*Meal_entry_week_1!$BJ$131/O137)</f>
        <v>0</v>
      </c>
      <c r="P217" s="922">
        <f>IF(100*Meal_entry_week_1!$BJ$230/P137&lt;0,0,100*Meal_entry_week_1!$BJ$230/P137)</f>
        <v>1.6385415028125163</v>
      </c>
      <c r="Q217" s="922">
        <f>IF(100*Meal_entry_week_1!$BJ$329/Q137&lt;0,0,100*Meal_entry_week_1!$BJ$329/Q137)</f>
        <v>0</v>
      </c>
      <c r="R217" s="923">
        <f>IF(100*Meal_entry_week_1!$BJ$428/R137&lt;0,0,100*Meal_entry_week_1!$BJ$428/R137)</f>
        <v>0</v>
      </c>
      <c r="S217" s="921">
        <f>IF(100*Meal_entry_week_1!$BJ$51/S137&lt;0,0,100*Meal_entry_week_1!$BJ$51/S137)</f>
        <v>36.111558878875364</v>
      </c>
      <c r="T217" s="922">
        <f>IF(100*Meal_entry_week_1!$BJ$150/T137&lt;0,0,100*Meal_entry_week_1!$BJ$150/T137)</f>
        <v>31.570970394528626</v>
      </c>
      <c r="U217" s="922">
        <f>IF(100*Meal_entry_week_1!$BJ$249/U137&lt;0,0,100*Meal_entry_week_1!$BJ$249/U137)</f>
        <v>35.807496414250366</v>
      </c>
      <c r="V217" s="922">
        <f>IF(100*Meal_entry_week_1!$BJ$348/V137&lt;0,0,100*Meal_entry_week_1!$BJ$348/V137)</f>
        <v>40.92184386420147</v>
      </c>
      <c r="W217" s="923">
        <f>IF(100*Meal_entry_week_1!$BJ$447/W137&lt;0,0,100*Meal_entry_week_1!$BJ$447/W137)</f>
        <v>35.808996415750357</v>
      </c>
      <c r="X217" s="921">
        <f>IF(100*Meal_entry_week_1!$BJ$83/X137&lt;0,0,100*Meal_entry_week_1!$BJ$83/X137)</f>
        <v>149.56944119945732</v>
      </c>
      <c r="Y217" s="922">
        <f>IF(100*Meal_entry_week_1!$BJ$182/Y137&lt;0,0,100*Meal_entry_week_1!$BJ$182/Y137)</f>
        <v>110.40101523097695</v>
      </c>
      <c r="Z217" s="922">
        <f>IF(100*Meal_entry_week_1!$BJ$281/Z137&lt;0,0,100*Meal_entry_week_1!$BJ$281/Z137)</f>
        <v>101.59784909722967</v>
      </c>
      <c r="AA217" s="922">
        <f>IF(100*Meal_entry_week_1!$BJ$380/AA137&lt;0,0,100*Meal_entry_week_1!$BJ$380/AA137)</f>
        <v>122.55000526479193</v>
      </c>
      <c r="AB217" s="923">
        <f>IF(100*Meal_entry_week_1!$BJ$479/AB137&lt;0,0,100*Meal_entry_week_1!$BJ$479/AB137)</f>
        <v>132.38920849947496</v>
      </c>
      <c r="AC217" s="921">
        <f>IF(100*Meal_entry_week_1!$BJ$102/AC137&lt;0,0,100*Meal_entry_week_1!$BJ$102/AC137)</f>
        <v>0</v>
      </c>
      <c r="AD217" s="922">
        <f>IF(100*Meal_entry_week_1!$BJ$201/AD137&lt;0,0,100*Meal_entry_week_1!$BJ$201/AD137)</f>
        <v>0</v>
      </c>
      <c r="AE217" s="922">
        <f>IF(100*Meal_entry_week_1!$BJ$300/AE137&lt;0,0,100*Meal_entry_week_1!$BJ$300/AE137)</f>
        <v>0</v>
      </c>
      <c r="AF217" s="922">
        <f>IF(100*Meal_entry_week_1!$BJ$399/AF137&lt;0,0,100*Meal_entry_week_1!$BJ$399/AF137)</f>
        <v>0</v>
      </c>
      <c r="AG217" s="923">
        <f>IF(100*Meal_entry_week_1!$BJ$498/AG137&lt;0,0,100*Meal_entry_week_1!$BJ$498/AG137)</f>
        <v>0</v>
      </c>
      <c r="AH217" s="922"/>
    </row>
    <row r="218" spans="1:34" ht="15">
      <c r="A218" s="872"/>
      <c r="B218" s="924" t="s">
        <v>1417</v>
      </c>
      <c r="C218" s="873"/>
      <c r="D218" s="873">
        <f>100*(Meal_entry_week_1!$AL$108+Meal_entry_week_1!$AL$207+Meal_entry_week_1!$AL$306+Meal_entry_week_1!$AL$405+Meal_entry_week_1!$AL$504)/D138/$D$146</f>
        <v>82.45456672904659</v>
      </c>
      <c r="E218" s="919">
        <f>100*(Meal_entry_week_1!$AL$35+Meal_entry_week_1!$AL$134+Meal_entry_week_1!$AL$233+Meal_entry_week_1!$AL$332+Meal_entry_week_1!$AL$431)/E138/($E$146+0.00001)</f>
        <v>4.1708224891938199</v>
      </c>
      <c r="F218" s="919">
        <f>100*(Meal_entry_week_1!$AL$54+Meal_entry_week_1!$AL$153+Meal_entry_week_1!$AL$252+Meal_entry_week_1!$AL$351+Meal_entry_week_1!$AL$450)/F138/($F$146+0.00001)</f>
        <v>48.7056292301789</v>
      </c>
      <c r="G218" s="919">
        <f>100*(Meal_entry_week_1!$AL$86+Meal_entry_week_1!$AL$185+Meal_entry_week_1!$AL$284+Meal_entry_week_1!$AL$383+Meal_entry_week_1!$AL$482)/G138/($G$146+0.00001)</f>
        <v>172.82173484415989</v>
      </c>
      <c r="H218" s="920">
        <f>100*(Meal_entry_week_1!$AL$105+Meal_entry_week_1!$AL$204+Meal_entry_week_1!$AL$303+Meal_entry_week_1!$AL$402+Meal_entry_week_1!$AL$501)/H138/($H$146+0.00001)</f>
        <v>0</v>
      </c>
      <c r="I218" s="921">
        <f>100*Meal_entry_week_1!$AL$108/I138</f>
        <v>96.74863191184086</v>
      </c>
      <c r="J218" s="922">
        <f>100*Meal_entry_week_1!$AL$207/J138</f>
        <v>98.570374878888998</v>
      </c>
      <c r="K218" s="922">
        <f>100*Meal_entry_week_1!$AL$306/K138</f>
        <v>81.729014946263945</v>
      </c>
      <c r="L218" s="922">
        <f>100*Meal_entry_week_1!$AL$405/L138</f>
        <v>78.55305496687258</v>
      </c>
      <c r="M218" s="923">
        <f>100*Meal_entry_week_1!$AL$504/M138</f>
        <v>56.67175694136656</v>
      </c>
      <c r="N218" s="921">
        <f>IF(100*Meal_entry_week_1!$BK$32/N138&lt;0,0,100*Meal_entry_week_1!$BK$32/N138)</f>
        <v>0</v>
      </c>
      <c r="O218" s="922">
        <f>IF(100*Meal_entry_week_1!$BK$131/O138&lt;0,0,100*Meal_entry_week_1!$BK$131/O138)</f>
        <v>0</v>
      </c>
      <c r="P218" s="922">
        <f>IF(100*Meal_entry_week_1!$BK$230/P138&lt;0,0,100*Meal_entry_week_1!$BK$230/P138)</f>
        <v>16.683331665000171</v>
      </c>
      <c r="Q218" s="922">
        <f>IF(100*Meal_entry_week_1!$BK$329/Q138&lt;0,0,100*Meal_entry_week_1!$BK$329/Q138)</f>
        <v>0</v>
      </c>
      <c r="R218" s="923">
        <f>IF(100*Meal_entry_week_1!$BK$428/R138&lt;0,0,100*Meal_entry_week_1!$BK$428/R138)</f>
        <v>0</v>
      </c>
      <c r="S218" s="921">
        <f>IF(100*Meal_entry_week_1!$BK$51/S138&lt;0,0,100*Meal_entry_week_1!$BK$51/S138)</f>
        <v>142.9099803440028</v>
      </c>
      <c r="T218" s="922">
        <f>IF(100*Meal_entry_week_1!$BK$150/T138&lt;0,0,100*Meal_entry_week_1!$BK$150/T138)</f>
        <v>0.86271372664431334</v>
      </c>
      <c r="U218" s="922">
        <f>IF(100*Meal_entry_week_1!$BK$249/U138&lt;0,0,100*Meal_entry_week_1!$BK$249/U138)</f>
        <v>24.649993535000643</v>
      </c>
      <c r="V218" s="922">
        <f>IF(100*Meal_entry_week_1!$BK$348/V138&lt;0,0,100*Meal_entry_week_1!$BK$348/V138)</f>
        <v>49.255950866538399</v>
      </c>
      <c r="W218" s="923">
        <f>IF(100*Meal_entry_week_1!$BK$447/W138&lt;0,0,100*Meal_entry_week_1!$BK$447/W138)</f>
        <v>25.849994735000625</v>
      </c>
      <c r="X218" s="921">
        <f>IF(100*Meal_entry_week_1!$BK$83/X138&lt;0,0,100*Meal_entry_week_1!$BK$83/X138)</f>
        <v>178.11014767962774</v>
      </c>
      <c r="Y218" s="922">
        <f>IF(100*Meal_entry_week_1!$BK$182/Y138&lt;0,0,100*Meal_entry_week_1!$BK$182/Y138)</f>
        <v>229.70997014185954</v>
      </c>
      <c r="Z218" s="922">
        <f>IF(100*Meal_entry_week_1!$BK$281/Z138&lt;0,0,100*Meal_entry_week_1!$BK$281/Z138)</f>
        <v>165.80103869794883</v>
      </c>
      <c r="AA218" s="922">
        <f>IF(100*Meal_entry_week_1!$BK$380/AA138&lt;0,0,100*Meal_entry_week_1!$BK$380/AA138)</f>
        <v>166.87181130052321</v>
      </c>
      <c r="AB218" s="923">
        <f>IF(100*Meal_entry_week_1!$BK$479/AB138&lt;0,0,100*Meal_entry_week_1!$BK$479/AB138)</f>
        <v>123.61743461818843</v>
      </c>
      <c r="AC218" s="921">
        <f>IF(100*Meal_entry_week_1!$BK$102/AC138&lt;0,0,100*Meal_entry_week_1!$BK$102/AC138)</f>
        <v>0</v>
      </c>
      <c r="AD218" s="922">
        <f>IF(100*Meal_entry_week_1!$BK$201/AD138&lt;0,0,100*Meal_entry_week_1!$BK$201/AD138)</f>
        <v>0</v>
      </c>
      <c r="AE218" s="922">
        <f>IF(100*Meal_entry_week_1!$BK$300/AE138&lt;0,0,100*Meal_entry_week_1!$BK$300/AE138)</f>
        <v>0</v>
      </c>
      <c r="AF218" s="922">
        <f>IF(100*Meal_entry_week_1!$BK$399/AF138&lt;0,0,100*Meal_entry_week_1!$BK$399/AF138)</f>
        <v>0</v>
      </c>
      <c r="AG218" s="923">
        <f>IF(100*Meal_entry_week_1!$BK$498/AG138&lt;0,0,100*Meal_entry_week_1!$BK$498/AG138)</f>
        <v>0</v>
      </c>
      <c r="AH218" s="922"/>
    </row>
    <row r="219" spans="1:34" ht="15">
      <c r="A219" s="872"/>
      <c r="B219" s="924" t="s">
        <v>1418</v>
      </c>
      <c r="C219" s="873"/>
      <c r="D219" s="873">
        <f>100*(Meal_entry_week_1!$AM$108+Meal_entry_week_1!$AM$207+Meal_entry_week_1!$AM$306+Meal_entry_week_1!$AM$405+Meal_entry_week_1!$AM$504)/D139/$D$146</f>
        <v>70.045339814856462</v>
      </c>
      <c r="E219" s="919">
        <f>100*(Meal_entry_week_1!$AM$35+Meal_entry_week_1!$AM$134+Meal_entry_week_1!$AM$233+Meal_entry_week_1!$AM$332+Meal_entry_week_1!$AM$431)/E139/($E$146+0.00001)</f>
        <v>2.8372942103359313</v>
      </c>
      <c r="F219" s="919">
        <f>100*(Meal_entry_week_1!$AM$54+Meal_entry_week_1!$AM$153+Meal_entry_week_1!$AM$252+Meal_entry_week_1!$AM$351+Meal_entry_week_1!$AM$450)/F139/($F$146+0.00001)</f>
        <v>109.28499587436673</v>
      </c>
      <c r="G219" s="919">
        <f>100*(Meal_entry_week_1!$AM$86+Meal_entry_week_1!$AM$185+Meal_entry_week_1!$AM$284+Meal_entry_week_1!$AM$383+Meal_entry_week_1!$AM$482)/G139/($G$146+0.00001)</f>
        <v>124.74063089575992</v>
      </c>
      <c r="H219" s="920">
        <f>100*(Meal_entry_week_1!$AM$105+Meal_entry_week_1!$AM$204+Meal_entry_week_1!$AM$303+Meal_entry_week_1!$AM$402+Meal_entry_week_1!$AM$501)/H139/($H$146+0.00001)</f>
        <v>0</v>
      </c>
      <c r="I219" s="921">
        <f>100*Meal_entry_week_1!$AM$108/I139</f>
        <v>84.24288792518314</v>
      </c>
      <c r="J219" s="922">
        <f>100*Meal_entry_week_1!$AM$207/J139</f>
        <v>66.009539812369198</v>
      </c>
      <c r="K219" s="922">
        <f>100*Meal_entry_week_1!$AM$306/K139</f>
        <v>69.575061476751557</v>
      </c>
      <c r="L219" s="922">
        <f>100*Meal_entry_week_1!$AM$405/L139</f>
        <v>55.361476404095114</v>
      </c>
      <c r="M219" s="923">
        <f>100*Meal_entry_week_1!$AM$504/M139</f>
        <v>75.037733455883227</v>
      </c>
      <c r="N219" s="921">
        <f>IF(100*Meal_entry_week_1!$BL$32/N139&lt;0,0,100*Meal_entry_week_1!$BL$32/N139)</f>
        <v>0</v>
      </c>
      <c r="O219" s="922">
        <f>IF(100*Meal_entry_week_1!$BL$131/O139&lt;0,0,100*Meal_entry_week_1!$BL$131/O139)</f>
        <v>0</v>
      </c>
      <c r="P219" s="922">
        <f>IF(100*Meal_entry_week_1!$BL$230/P139&lt;0,0,100*Meal_entry_week_1!$BL$230/P139)</f>
        <v>11.349205214285828</v>
      </c>
      <c r="Q219" s="922">
        <f>IF(100*Meal_entry_week_1!$BL$329/Q139&lt;0,0,100*Meal_entry_week_1!$BL$329/Q139)</f>
        <v>0</v>
      </c>
      <c r="R219" s="923">
        <f>IF(100*Meal_entry_week_1!$BL$428/R139&lt;0,0,100*Meal_entry_week_1!$BL$428/R139)</f>
        <v>0</v>
      </c>
      <c r="S219" s="921">
        <f>IF(100*Meal_entry_week_1!$BL$51/S139&lt;0,0,100*Meal_entry_week_1!$BL$51/S139)</f>
        <v>214.67854472000363</v>
      </c>
      <c r="T219" s="922">
        <f>IF(100*Meal_entry_week_1!$BL$150/T139&lt;0,0,100*Meal_entry_week_1!$BL$150/T139)</f>
        <v>13.066077439825246</v>
      </c>
      <c r="U219" s="922">
        <f>IF(100*Meal_entry_week_1!$BL$249/U139&lt;0,0,100*Meal_entry_week_1!$BL$249/U139)</f>
        <v>123.5237933619064</v>
      </c>
      <c r="V219" s="922">
        <f>IF(100*Meal_entry_week_1!$BL$348/V139&lt;0,0,100*Meal_entry_week_1!$BL$348/V139)</f>
        <v>70.491005052436449</v>
      </c>
      <c r="W219" s="923">
        <f>IF(100*Meal_entry_week_1!$BL$447/W139&lt;0,0,100*Meal_entry_week_1!$BL$447/W139)</f>
        <v>124.66665164762065</v>
      </c>
      <c r="X219" s="921">
        <f>IF(100*Meal_entry_week_1!$BL$83/X139&lt;0,0,100*Meal_entry_week_1!$BL$83/X139)</f>
        <v>125.00722358542613</v>
      </c>
      <c r="Y219" s="922">
        <f>IF(100*Meal_entry_week_1!$BL$182/Y139&lt;0,0,100*Meal_entry_week_1!$BL$182/Y139)</f>
        <v>149.66690041558641</v>
      </c>
      <c r="Z219" s="922">
        <f>IF(100*Meal_entry_week_1!$BL$281/Z139&lt;0,0,100*Meal_entry_week_1!$BL$281/Z139)</f>
        <v>109.81800711083233</v>
      </c>
      <c r="AA219" s="922">
        <f>IF(100*Meal_entry_week_1!$BL$380/AA139&lt;0,0,100*Meal_entry_week_1!$BL$380/AA139)</f>
        <v>105.67977659207646</v>
      </c>
      <c r="AB219" s="923">
        <f>IF(100*Meal_entry_week_1!$BL$479/AB139&lt;0,0,100*Meal_entry_week_1!$BL$479/AB139)</f>
        <v>133.5324941811873</v>
      </c>
      <c r="AC219" s="921">
        <f>IF(100*Meal_entry_week_1!$BL$102/AC139&lt;0,0,100*Meal_entry_week_1!$BL$102/AC139)</f>
        <v>0</v>
      </c>
      <c r="AD219" s="922">
        <f>IF(100*Meal_entry_week_1!$BL$201/AD139&lt;0,0,100*Meal_entry_week_1!$BL$201/AD139)</f>
        <v>0</v>
      </c>
      <c r="AE219" s="922">
        <f>IF(100*Meal_entry_week_1!$BL$300/AE139&lt;0,0,100*Meal_entry_week_1!$BL$300/AE139)</f>
        <v>0</v>
      </c>
      <c r="AF219" s="922">
        <f>IF(100*Meal_entry_week_1!$BL$399/AF139&lt;0,0,100*Meal_entry_week_1!$BL$399/AF139)</f>
        <v>0</v>
      </c>
      <c r="AG219" s="923">
        <f>IF(100*Meal_entry_week_1!$BL$498/AG139&lt;0,0,100*Meal_entry_week_1!$BL$498/AG139)</f>
        <v>0</v>
      </c>
      <c r="AH219" s="922"/>
    </row>
    <row r="220" spans="1:34" ht="15">
      <c r="A220" s="872"/>
      <c r="B220" s="924" t="s">
        <v>1419</v>
      </c>
      <c r="C220" s="873"/>
      <c r="D220" s="873">
        <f>100*(Meal_entry_week_1!$AN$108+Meal_entry_week_1!$AN$207+Meal_entry_week_1!$AN$306+Meal_entry_week_1!$AN$405+Meal_entry_week_1!$AN$504)/D140/$D$146</f>
        <v>85.052034588104405</v>
      </c>
      <c r="E220" s="919">
        <f>100*(Meal_entry_week_1!$AN$35+Meal_entry_week_1!$AN$134+Meal_entry_week_1!$AN$233+Meal_entry_week_1!$AN$332+Meal_entry_week_1!$AN$431)/E140/($E$146+0.00001)</f>
        <v>3.6666571333572038</v>
      </c>
      <c r="F220" s="919">
        <f>100*(Meal_entry_week_1!$AN$54+Meal_entry_week_1!$AN$153+Meal_entry_week_1!$AN$252+Meal_entry_week_1!$AN$351+Meal_entry_week_1!$AN$450)/F140/($F$146+0.00001)</f>
        <v>42.332864636105406</v>
      </c>
      <c r="G220" s="919">
        <f>100*(Meal_entry_week_1!$AN$86+Meal_entry_week_1!$AN$185+Meal_entry_week_1!$AN$284+Meal_entry_week_1!$AN$383+Meal_entry_week_1!$AN$482)/G140/($G$146+0.00001)</f>
        <v>181.41006841149522</v>
      </c>
      <c r="H220" s="920">
        <f>100*(Meal_entry_week_1!$AN$105+Meal_entry_week_1!$AN$204+Meal_entry_week_1!$AN$303+Meal_entry_week_1!$AN$402+Meal_entry_week_1!$AN$501)/H140/($H$146+0.00001)</f>
        <v>0</v>
      </c>
      <c r="I220" s="921">
        <f>100*Meal_entry_week_1!$AN$108/I140</f>
        <v>142.05588853410725</v>
      </c>
      <c r="J220" s="922">
        <f>100*Meal_entry_week_1!$AN$207/J140</f>
        <v>69.305020580266742</v>
      </c>
      <c r="K220" s="922">
        <f>100*Meal_entry_week_1!$AN$306/K140</f>
        <v>70.680594966379175</v>
      </c>
      <c r="L220" s="922">
        <f>100*Meal_entry_week_1!$AN$405/L140</f>
        <v>70.19121984315133</v>
      </c>
      <c r="M220" s="923">
        <f>100*Meal_entry_week_1!$AN$504/M140</f>
        <v>73.027449016617538</v>
      </c>
      <c r="N220" s="921">
        <f>IF(100*Meal_entry_week_1!$BM$32/N140&lt;0,0,100*Meal_entry_week_1!$BM$32/N140)</f>
        <v>0</v>
      </c>
      <c r="O220" s="922">
        <f>IF(100*Meal_entry_week_1!$BM$131/O140&lt;0,0,100*Meal_entry_week_1!$BM$131/O140)</f>
        <v>0</v>
      </c>
      <c r="P220" s="922">
        <f>IF(100*Meal_entry_week_1!$BM$230/P140&lt;0,0,100*Meal_entry_week_1!$BM$230/P140)</f>
        <v>14.666665200000148</v>
      </c>
      <c r="Q220" s="922">
        <f>IF(100*Meal_entry_week_1!$BM$329/Q140&lt;0,0,100*Meal_entry_week_1!$BM$329/Q140)</f>
        <v>0</v>
      </c>
      <c r="R220" s="923">
        <f>IF(100*Meal_entry_week_1!$BM$428/R140&lt;0,0,100*Meal_entry_week_1!$BM$428/R140)</f>
        <v>0</v>
      </c>
      <c r="S220" s="921">
        <f>IF(100*Meal_entry_week_1!$BM$51/S140&lt;0,0,100*Meal_entry_week_1!$BM$51/S140)</f>
        <v>166.0647997241816</v>
      </c>
      <c r="T220" s="922">
        <f>IF(100*Meal_entry_week_1!$BM$150/T140&lt;0,0,100*Meal_entry_week_1!$BM$150/T140)</f>
        <v>4.7130717792357704</v>
      </c>
      <c r="U220" s="922">
        <f>IF(100*Meal_entry_week_1!$BM$249/U140&lt;0,0,100*Meal_entry_week_1!$BM$249/U140)</f>
        <v>7.0384605269231795</v>
      </c>
      <c r="V220" s="922">
        <f>IF(100*Meal_entry_week_1!$BM$348/V140&lt;0,0,100*Meal_entry_week_1!$BM$348/V140)</f>
        <v>26.717646167294252</v>
      </c>
      <c r="W220" s="923">
        <f>IF(100*Meal_entry_week_1!$BM$447/W140&lt;0,0,100*Meal_entry_week_1!$BM$447/W140)</f>
        <v>7.1307683115385609</v>
      </c>
      <c r="X220" s="921">
        <f>IF(100*Meal_entry_week_1!$BM$83/X140&lt;0,0,100*Meal_entry_week_1!$BM$83/X140)</f>
        <v>276.10880667152304</v>
      </c>
      <c r="Y220" s="922">
        <f>IF(100*Meal_entry_week_1!$BM$182/Y140&lt;0,0,100*Meal_entry_week_1!$BM$182/Y140)</f>
        <v>160.14069076087711</v>
      </c>
      <c r="Z220" s="922">
        <f>IF(100*Meal_entry_week_1!$BM$281/Z140&lt;0,0,100*Meal_entry_week_1!$BM$281/Z140)</f>
        <v>147.90856954591018</v>
      </c>
      <c r="AA220" s="922">
        <f>IF(100*Meal_entry_week_1!$BM$380/AA140&lt;0,0,100*Meal_entry_week_1!$BM$380/AA140)</f>
        <v>154.87363091158835</v>
      </c>
      <c r="AB220" s="923">
        <f>IF(100*Meal_entry_week_1!$BM$479/AB140&lt;0,0,100*Meal_entry_week_1!$BM$479/AB140)</f>
        <v>168.02045826826142</v>
      </c>
      <c r="AC220" s="921">
        <f>IF(100*Meal_entry_week_1!$BM$102/AC140&lt;0,0,100*Meal_entry_week_1!$BM$102/AC140)</f>
        <v>0</v>
      </c>
      <c r="AD220" s="922">
        <f>IF(100*Meal_entry_week_1!$BM$201/AD140&lt;0,0,100*Meal_entry_week_1!$BM$201/AD140)</f>
        <v>0</v>
      </c>
      <c r="AE220" s="922">
        <f>IF(100*Meal_entry_week_1!$BM$300/AE140&lt;0,0,100*Meal_entry_week_1!$BM$300/AE140)</f>
        <v>0</v>
      </c>
      <c r="AF220" s="922">
        <f>IF(100*Meal_entry_week_1!$BM$399/AF140&lt;0,0,100*Meal_entry_week_1!$BM$399/AF140)</f>
        <v>0</v>
      </c>
      <c r="AG220" s="923">
        <f>IF(100*Meal_entry_week_1!$BM$498/AG140&lt;0,0,100*Meal_entry_week_1!$BM$498/AG140)</f>
        <v>0</v>
      </c>
      <c r="AH220" s="922"/>
    </row>
    <row r="221" spans="1:34" ht="15">
      <c r="A221" s="872"/>
      <c r="B221" s="924" t="s">
        <v>1420</v>
      </c>
      <c r="C221" s="873"/>
      <c r="D221" s="873">
        <f>100*(Meal_entry_week_1!$AO$108+Meal_entry_week_1!$AO$207+Meal_entry_week_1!$AO$306+Meal_entry_week_1!$AO$405+Meal_entry_week_1!$AO$504)/D141/$D$146</f>
        <v>131.53747205426879</v>
      </c>
      <c r="E221" s="919">
        <f>100*(Meal_entry_week_1!$AO$35+Meal_entry_week_1!$AO$134+Meal_entry_week_1!$AO$233+Meal_entry_week_1!$AO$332+Meal_entry_week_1!$AO$431)/E141/($E$146+0.00001)</f>
        <v>2.6637185645271444</v>
      </c>
      <c r="F221" s="919">
        <f>100*(Meal_entry_week_1!$AO$54+Meal_entry_week_1!$AO$153+Meal_entry_week_1!$AO$252+Meal_entry_week_1!$AO$351+Meal_entry_week_1!$AO$450)/F141/($F$146+0.00001)</f>
        <v>51.999327256738439</v>
      </c>
      <c r="G221" s="919">
        <f>100*(Meal_entry_week_1!$AO$86+Meal_entry_week_1!$AO$185+Meal_entry_week_1!$AO$284+Meal_entry_week_1!$AO$383+Meal_entry_week_1!$AO$482)/G141/($G$146+0.00001)</f>
        <v>287.45606928363225</v>
      </c>
      <c r="H221" s="920">
        <f>100*(Meal_entry_week_1!$AO$105+Meal_entry_week_1!$AO$204+Meal_entry_week_1!$AO$303+Meal_entry_week_1!$AO$402+Meal_entry_week_1!$AO$501)/H141/($H$146+0.00001)</f>
        <v>0</v>
      </c>
      <c r="I221" s="921">
        <f>100*Meal_entry_week_1!$AO$108/I141</f>
        <v>165.51599888621257</v>
      </c>
      <c r="J221" s="922">
        <f>100*Meal_entry_week_1!$AO$207/J141</f>
        <v>91.832584984935494</v>
      </c>
      <c r="K221" s="922">
        <f>100*Meal_entry_week_1!$AO$306/K141</f>
        <v>105.83552123947186</v>
      </c>
      <c r="L221" s="922">
        <f>100*Meal_entry_week_1!$AO$405/L141</f>
        <v>179.13756597346037</v>
      </c>
      <c r="M221" s="923">
        <f>100*Meal_entry_week_1!$AO$504/M141</f>
        <v>115.36568918726378</v>
      </c>
      <c r="N221" s="921">
        <f>IF(100*Meal_entry_week_1!$BN$32/N141&lt;0,0,100*Meal_entry_week_1!$BN$32/N141)</f>
        <v>0</v>
      </c>
      <c r="O221" s="922">
        <f>IF(100*Meal_entry_week_1!$BN$131/O141&lt;0,0,100*Meal_entry_week_1!$BN$131/O141)</f>
        <v>0</v>
      </c>
      <c r="P221" s="922">
        <f>IF(100*Meal_entry_week_1!$BN$230/P141&lt;0,0,100*Meal_entry_week_1!$BN$230/P141)</f>
        <v>10.654900895294222</v>
      </c>
      <c r="Q221" s="922">
        <f>IF(100*Meal_entry_week_1!$BN$329/Q141&lt;0,0,100*Meal_entry_week_1!$BN$329/Q141)</f>
        <v>0</v>
      </c>
      <c r="R221" s="923">
        <f>IF(100*Meal_entry_week_1!$BN$428/R141&lt;0,0,100*Meal_entry_week_1!$BN$428/R141)</f>
        <v>0</v>
      </c>
      <c r="S221" s="921">
        <f>IF(100*Meal_entry_week_1!$BN$51/S141&lt;0,0,100*Meal_entry_week_1!$BN$51/S141)</f>
        <v>135.32545132102646</v>
      </c>
      <c r="T221" s="922">
        <f>IF(100*Meal_entry_week_1!$BN$150/T141&lt;0,0,100*Meal_entry_week_1!$BN$150/T141)</f>
        <v>1.6832864030640649</v>
      </c>
      <c r="U221" s="922">
        <f>IF(100*Meal_entry_week_1!$BN$249/U141&lt;0,0,100*Meal_entry_week_1!$BN$249/U141)</f>
        <v>34.617638891177286</v>
      </c>
      <c r="V221" s="922">
        <f>IF(100*Meal_entry_week_1!$BN$348/V141&lt;0,0,100*Meal_entry_week_1!$BN$348/V141)</f>
        <v>52.341374652872631</v>
      </c>
      <c r="W221" s="923">
        <f>IF(100*Meal_entry_week_1!$BN$447/W141&lt;0,0,100*Meal_entry_week_1!$BN$447/W141)</f>
        <v>36.029405008824327</v>
      </c>
      <c r="X221" s="921">
        <f>IF(100*Meal_entry_week_1!$BN$83/X141&lt;0,0,100*Meal_entry_week_1!$BN$83/X141)</f>
        <v>341.09551362748715</v>
      </c>
      <c r="Y221" s="922">
        <f>IF(100*Meal_entry_week_1!$BN$182/Y141&lt;0,0,100*Meal_entry_week_1!$BN$182/Y141)</f>
        <v>213.71493616382813</v>
      </c>
      <c r="Z221" s="922">
        <f>IF(100*Meal_entry_week_1!$BN$281/Z141&lt;0,0,100*Meal_entry_week_1!$BN$281/Z141)</f>
        <v>224.75543569974766</v>
      </c>
      <c r="AA221" s="922">
        <f>IF(100*Meal_entry_week_1!$BN$380/AA141&lt;0,0,100*Meal_entry_week_1!$BN$380/AA141)</f>
        <v>400.54052905378336</v>
      </c>
      <c r="AB221" s="923">
        <f>IF(100*Meal_entry_week_1!$BN$479/AB141&lt;0,0,100*Meal_entry_week_1!$BN$479/AB141)</f>
        <v>257.1768064340074</v>
      </c>
      <c r="AC221" s="921">
        <f>IF(100*Meal_entry_week_1!$BN$102/AC141&lt;0,0,100*Meal_entry_week_1!$BN$102/AC141)</f>
        <v>0</v>
      </c>
      <c r="AD221" s="922">
        <f>IF(100*Meal_entry_week_1!$BN$201/AD141&lt;0,0,100*Meal_entry_week_1!$BN$201/AD141)</f>
        <v>0</v>
      </c>
      <c r="AE221" s="922">
        <f>IF(100*Meal_entry_week_1!$BN$300/AE141&lt;0,0,100*Meal_entry_week_1!$BN$300/AE141)</f>
        <v>0</v>
      </c>
      <c r="AF221" s="922">
        <f>IF(100*Meal_entry_week_1!$BN$399/AF141&lt;0,0,100*Meal_entry_week_1!$BN$399/AF141)</f>
        <v>0</v>
      </c>
      <c r="AG221" s="923">
        <f>IF(100*Meal_entry_week_1!$BN$498/AG141&lt;0,0,100*Meal_entry_week_1!$BN$498/AG141)</f>
        <v>0</v>
      </c>
      <c r="AH221" s="922"/>
    </row>
    <row r="222" spans="1:34" ht="15">
      <c r="A222" s="872"/>
      <c r="B222" s="924" t="s">
        <v>1421</v>
      </c>
      <c r="C222" s="873"/>
      <c r="D222" s="873">
        <f>100*(Meal_entry_week_1!$AP$108+Meal_entry_week_1!$AP$207+Meal_entry_week_1!$AP$306+Meal_entry_week_1!$AP$405+Meal_entry_week_1!$AP$504)/D142/$D$146</f>
        <v>58.57392705834242</v>
      </c>
      <c r="E222" s="919">
        <f>100*(Meal_entry_week_1!$AP$35+Meal_entry_week_1!$AP$134+Meal_entry_week_1!$AP$233+Meal_entry_week_1!$AP$332+Meal_entry_week_1!$AP$431)/E142/($E$146+0.00001)</f>
        <v>7.1261481386797243</v>
      </c>
      <c r="F222" s="919">
        <f>100*(Meal_entry_week_1!$AP$54+Meal_entry_week_1!$AP$153+Meal_entry_week_1!$AP$252+Meal_entry_week_1!$AP$351+Meal_entry_week_1!$AP$450)/F142/($F$146+0.00001)</f>
        <v>38.026234803338234</v>
      </c>
      <c r="G222" s="919">
        <f>100*(Meal_entry_week_1!$AP$86+Meal_entry_week_1!$AP$185+Meal_entry_week_1!$AP$284+Meal_entry_week_1!$AP$383+Meal_entry_week_1!$AP$482)/G142/($G$146+0.00001)</f>
        <v>118.29589016250932</v>
      </c>
      <c r="H222" s="920">
        <f>100*(Meal_entry_week_1!$AP$105+Meal_entry_week_1!$AP$204+Meal_entry_week_1!$AP$303+Meal_entry_week_1!$AP$402+Meal_entry_week_1!$AP$501)/H142/($H$146+0.00001)</f>
        <v>0</v>
      </c>
      <c r="I222" s="921">
        <f>100*Meal_entry_week_1!$AP$108/I142</f>
        <v>69.161754000764375</v>
      </c>
      <c r="J222" s="922">
        <f>100*Meal_entry_week_1!$AP$207/J142</f>
        <v>50.789897725684519</v>
      </c>
      <c r="K222" s="922">
        <f>100*Meal_entry_week_1!$AP$306/K142</f>
        <v>77.386462937029307</v>
      </c>
      <c r="L222" s="922">
        <f>100*Meal_entry_week_1!$AP$405/L142</f>
        <v>40.059042711941025</v>
      </c>
      <c r="M222" s="923">
        <f>100*Meal_entry_week_1!$AP$504/M142</f>
        <v>55.47247791629286</v>
      </c>
      <c r="N222" s="921">
        <f>IF(100*Meal_entry_week_1!$BO$32/N142&lt;0,0,100*Meal_entry_week_1!$BO$32/N142)</f>
        <v>0</v>
      </c>
      <c r="O222" s="922">
        <f>IF(100*Meal_entry_week_1!$BO$131/O142&lt;0,0,100*Meal_entry_week_1!$BO$131/O142)</f>
        <v>0</v>
      </c>
      <c r="P222" s="922">
        <f>IF(100*Meal_entry_week_1!$BO$230/P142&lt;0,0,100*Meal_entry_week_1!$BO$230/P142)</f>
        <v>28.504663816200281</v>
      </c>
      <c r="Q222" s="922">
        <f>IF(100*Meal_entry_week_1!$BO$329/Q142&lt;0,0,100*Meal_entry_week_1!$BO$329/Q142)</f>
        <v>0</v>
      </c>
      <c r="R222" s="923">
        <f>IF(100*Meal_entry_week_1!$BO$428/R142&lt;0,0,100*Meal_entry_week_1!$BO$428/R142)</f>
        <v>0</v>
      </c>
      <c r="S222" s="921">
        <f>IF(100*Meal_entry_week_1!$BO$51/S142&lt;0,0,100*Meal_entry_week_1!$BO$51/S142)</f>
        <v>93.652388344921491</v>
      </c>
      <c r="T222" s="922">
        <f>IF(100*Meal_entry_week_1!$BO$150/T142&lt;0,0,100*Meal_entry_week_1!$BO$150/T142)</f>
        <v>6.1435948860045819</v>
      </c>
      <c r="U222" s="922">
        <f>IF(100*Meal_entry_week_1!$BO$249/U142&lt;0,0,100*Meal_entry_week_1!$BO$249/U142)</f>
        <v>30.543996929600304</v>
      </c>
      <c r="V222" s="922">
        <f>IF(100*Meal_entry_week_1!$BO$348/V142&lt;0,0,100*Meal_entry_week_1!$BO$348/V142)</f>
        <v>29.242777184112512</v>
      </c>
      <c r="W222" s="923">
        <f>IF(100*Meal_entry_week_1!$BO$447/W142&lt;0,0,100*Meal_entry_week_1!$BO$447/W142)</f>
        <v>30.548796934400301</v>
      </c>
      <c r="X222" s="921">
        <f>IF(100*Meal_entry_week_1!$BO$83/X142&lt;0,0,100*Meal_entry_week_1!$BO$83/X142)</f>
        <v>130.15996322014303</v>
      </c>
      <c r="Y222" s="922">
        <f>IF(100*Meal_entry_week_1!$BO$182/Y142&lt;0,0,100*Meal_entry_week_1!$BO$182/Y142)</f>
        <v>116.46189639792901</v>
      </c>
      <c r="Z222" s="922">
        <f>IF(100*Meal_entry_week_1!$BO$281/Z142&lt;0,0,100*Meal_entry_week_1!$BO$281/Z142)</f>
        <v>141.88241739366799</v>
      </c>
      <c r="AA222" s="922">
        <f>IF(100*Meal_entry_week_1!$BO$380/AA142&lt;0,0,100*Meal_entry_week_1!$BO$380/AA142)</f>
        <v>83.723507266491566</v>
      </c>
      <c r="AB222" s="923">
        <f>IF(100*Meal_entry_week_1!$BO$479/AB142&lt;0,0,100*Meal_entry_week_1!$BO$479/AB142)</f>
        <v>119.25284949321659</v>
      </c>
      <c r="AC222" s="921">
        <f>IF(100*Meal_entry_week_1!$BO$102/AC142&lt;0,0,100*Meal_entry_week_1!$BO$102/AC142)</f>
        <v>0</v>
      </c>
      <c r="AD222" s="922">
        <f>IF(100*Meal_entry_week_1!$BO$201/AD142&lt;0,0,100*Meal_entry_week_1!$BO$201/AD142)</f>
        <v>0</v>
      </c>
      <c r="AE222" s="922">
        <f>IF(100*Meal_entry_week_1!$BO$300/AE142&lt;0,0,100*Meal_entry_week_1!$BO$300/AE142)</f>
        <v>0</v>
      </c>
      <c r="AF222" s="922">
        <f>IF(100*Meal_entry_week_1!$BO$399/AF142&lt;0,0,100*Meal_entry_week_1!$BO$399/AF142)</f>
        <v>0</v>
      </c>
      <c r="AG222" s="923">
        <f>IF(100*Meal_entry_week_1!$BO$498/AG142&lt;0,0,100*Meal_entry_week_1!$BO$498/AG142)</f>
        <v>0</v>
      </c>
      <c r="AH222" s="922"/>
    </row>
    <row r="223" spans="1:34" ht="15">
      <c r="A223" s="872"/>
      <c r="B223" s="924" t="s">
        <v>1422</v>
      </c>
      <c r="C223" s="873"/>
      <c r="D223" s="873">
        <f>100*(Meal_entry_week_1!$AQ$108+Meal_entry_week_1!$AQ$207+Meal_entry_week_1!$AQ$306+Meal_entry_week_1!$AQ$405+Meal_entry_week_1!$AQ$504)/D143/$D$146</f>
        <v>49.053312437237949</v>
      </c>
      <c r="E223" s="919">
        <f>100*(Meal_entry_week_1!$AQ$35+Meal_entry_week_1!$AQ$134+Meal_entry_week_1!$AQ$233+Meal_entry_week_1!$AQ$332+Meal_entry_week_1!$AQ$431)/E143/($E$146+0.00001)</f>
        <v>0</v>
      </c>
      <c r="F223" s="919">
        <f>100*(Meal_entry_week_1!$AQ$54+Meal_entry_week_1!$AQ$153+Meal_entry_week_1!$AQ$252+Meal_entry_week_1!$AQ$351+Meal_entry_week_1!$AQ$450)/F143/($F$146+0.00001)</f>
        <v>95.124891630538286</v>
      </c>
      <c r="G223" s="919">
        <f>100*(Meal_entry_week_1!$AQ$86+Meal_entry_week_1!$AQ$185+Meal_entry_week_1!$AQ$284+Meal_entry_week_1!$AQ$383+Meal_entry_week_1!$AQ$482)/G143/($G$146+0.00001)</f>
        <v>82.749202895042231</v>
      </c>
      <c r="H223" s="920">
        <f>100*(Meal_entry_week_1!$AQ$105+Meal_entry_week_1!$AQ$204+Meal_entry_week_1!$AQ$303+Meal_entry_week_1!$AQ$402+Meal_entry_week_1!$AQ$501)/H143/($H$146+0.00001)</f>
        <v>0</v>
      </c>
      <c r="I223" s="921">
        <f>100*Meal_entry_week_1!$AQ$108/I143</f>
        <v>55.822720303721475</v>
      </c>
      <c r="J223" s="922">
        <f>100*Meal_entry_week_1!$AQ$207/J143</f>
        <v>50.833351456447204</v>
      </c>
      <c r="K223" s="922">
        <f>100*Meal_entry_week_1!$AQ$306/K143</f>
        <v>25.816364423736449</v>
      </c>
      <c r="L223" s="922">
        <f>100*Meal_entry_week_1!$AQ$405/L143</f>
        <v>51.847452628303373</v>
      </c>
      <c r="M223" s="923">
        <f>100*Meal_entry_week_1!$AQ$504/M143</f>
        <v>60.946673373981241</v>
      </c>
      <c r="N223" s="921">
        <f>IF(100*Meal_entry_week_1!$BP$32/N143&lt;0,0,100*Meal_entry_week_1!$BP$32/N143)</f>
        <v>0</v>
      </c>
      <c r="O223" s="922">
        <f>IF(100*Meal_entry_week_1!$BP$131/O143&lt;0,0,100*Meal_entry_week_1!$BP$131/O143)</f>
        <v>0</v>
      </c>
      <c r="P223" s="922">
        <f>IF(100*Meal_entry_week_1!$BP$230/P143&lt;0,0,100*Meal_entry_week_1!$BP$230/P143)</f>
        <v>0</v>
      </c>
      <c r="Q223" s="922">
        <f>IF(100*Meal_entry_week_1!$BP$329/Q143&lt;0,0,100*Meal_entry_week_1!$BP$329/Q143)</f>
        <v>0</v>
      </c>
      <c r="R223" s="923">
        <f>IF(100*Meal_entry_week_1!$BP$428/R143&lt;0,0,100*Meal_entry_week_1!$BP$428/R143)</f>
        <v>0</v>
      </c>
      <c r="S223" s="921">
        <f>IF(100*Meal_entry_week_1!$BP$51/S143&lt;0,0,100*Meal_entry_week_1!$BP$51/S143)</f>
        <v>137.16778409024201</v>
      </c>
      <c r="T223" s="922">
        <f>IF(100*Meal_entry_week_1!$BP$150/T143&lt;0,0,100*Meal_entry_week_1!$BP$150/T143)</f>
        <v>10.923988852011075</v>
      </c>
      <c r="U223" s="922">
        <f>IF(100*Meal_entry_week_1!$BP$249/U143&lt;0,0,100*Meal_entry_week_1!$BP$249/U143)</f>
        <v>114.43998839600114</v>
      </c>
      <c r="V223" s="922">
        <f>IF(100*Meal_entry_week_1!$BP$348/V143&lt;0,0,100*Meal_entry_week_1!$BP$348/V143)</f>
        <v>98.605659619352352</v>
      </c>
      <c r="W223" s="923">
        <f>IF(100*Meal_entry_week_1!$BP$447/W143&lt;0,0,100*Meal_entry_week_1!$BP$447/W143)</f>
        <v>114.48798844400115</v>
      </c>
      <c r="X223" s="921">
        <f>IF(100*Meal_entry_week_1!$BP$83/X143&lt;0,0,100*Meal_entry_week_1!$BP$83/X143)</f>
        <v>84.530419345269436</v>
      </c>
      <c r="Y223" s="922">
        <f>IF(100*Meal_entry_week_1!$BP$182/Y143&lt;0,0,100*Meal_entry_week_1!$BP$182/Y143)</f>
        <v>114.96982378103979</v>
      </c>
      <c r="Z223" s="922">
        <f>IF(100*Meal_entry_week_1!$BP$281/Z143&lt;0,0,100*Meal_entry_week_1!$BP$281/Z143)</f>
        <v>22.091520856718002</v>
      </c>
      <c r="AA223" s="922">
        <f>IF(100*Meal_entry_week_1!$BP$380/AA143&lt;0,0,100*Meal_entry_week_1!$BP$380/AA143)</f>
        <v>88.108836259590419</v>
      </c>
      <c r="AB223" s="923">
        <f>IF(100*Meal_entry_week_1!$BP$479/AB143&lt;0,0,100*Meal_entry_week_1!$BP$479/AB143)</f>
        <v>104.0462417246225</v>
      </c>
      <c r="AC223" s="921">
        <f>IF(100*Meal_entry_week_1!$BP$102/AC143&lt;0,0,100*Meal_entry_week_1!$BP$102/AC143)</f>
        <v>0</v>
      </c>
      <c r="AD223" s="922">
        <f>IF(100*Meal_entry_week_1!$BP$201/AD143&lt;0,0,100*Meal_entry_week_1!$BP$201/AD143)</f>
        <v>0</v>
      </c>
      <c r="AE223" s="922">
        <f>IF(100*Meal_entry_week_1!$BP$300/AE143&lt;0,0,100*Meal_entry_week_1!$BP$300/AE143)</f>
        <v>0</v>
      </c>
      <c r="AF223" s="922">
        <f>IF(100*Meal_entry_week_1!$BP$399/AF143&lt;0,0,100*Meal_entry_week_1!$BP$399/AF143)</f>
        <v>0</v>
      </c>
      <c r="AG223" s="923">
        <f>IF(100*Meal_entry_week_1!$BP$498/AG143&lt;0,0,100*Meal_entry_week_1!$BP$498/AG143)</f>
        <v>0</v>
      </c>
      <c r="AH223" s="922"/>
    </row>
    <row r="224" spans="1:34" ht="15">
      <c r="A224" s="872"/>
      <c r="B224" s="924" t="s">
        <v>1423</v>
      </c>
      <c r="C224" s="873"/>
      <c r="D224" s="873">
        <f>100*(Meal_entry_week_1!$AR$108+Meal_entry_week_1!$AAS$207+Meal_entry_week_1!$AR$306+Meal_entry_week_1!$AR$405+Meal_entry_week_1!$AR$504)/D144/$D$146</f>
        <v>63.946709180950336</v>
      </c>
      <c r="E224" s="919">
        <f>100*(Meal_entry_week_1!$AR$35+Meal_entry_week_1!$AAS$134+Meal_entry_week_1!$AR$233+Meal_entry_week_1!$AR$332+Meal_entry_week_1!$AR$431)/E144/($E$146+0.00001)</f>
        <v>27.855135909973004</v>
      </c>
      <c r="F224" s="919">
        <f>100*(Meal_entry_week_1!$AR$54+Meal_entry_week_1!$AAS$153+Meal_entry_week_1!$AR$252+Meal_entry_week_1!$AR$351+Meal_entry_week_1!$AR$450)/F144/($F$146+0.00001)</f>
        <v>7.5546077821852462</v>
      </c>
      <c r="G224" s="919">
        <f>100*(Meal_entry_week_1!$AR$86+Meal_entry_week_1!$AAS$185+Meal_entry_week_1!$AR$284+Meal_entry_week_1!$AR$383+Meal_entry_week_1!$AR$482)/G144/($G$146+0.00001)</f>
        <v>124.40636720743254</v>
      </c>
      <c r="H224" s="920">
        <f>100*(Meal_entry_week_1!$AR$105+Meal_entry_week_1!$AAS$204+Meal_entry_week_1!$AR$303+Meal_entry_week_1!$AR$402+Meal_entry_week_1!$AR$501)/H144/($H$146+0.00001)</f>
        <v>0</v>
      </c>
      <c r="I224" s="921">
        <f>100*Meal_entry_week_1!$AR$108/I144</f>
        <v>93.470578366373474</v>
      </c>
      <c r="J224" s="922">
        <f>100*Meal_entry_week_1!$AR$207/J144</f>
        <v>40.213989767958267</v>
      </c>
      <c r="K224" s="922">
        <f>100*Meal_entry_week_1!$AR$306/K144</f>
        <v>94.349783445174495</v>
      </c>
      <c r="L224" s="922">
        <f>100*Meal_entry_week_1!$AR$405/L144</f>
        <v>54.42172701199793</v>
      </c>
      <c r="M224" s="923">
        <f>100*Meal_entry_week_1!$AR$504/M144</f>
        <v>77.49145708120578</v>
      </c>
      <c r="N224" s="921">
        <f>IF(100*Meal_entry_week_1!$BQ$32/N144&lt;0,0,100*Meal_entry_week_1!$BQ$32/N144)</f>
        <v>0</v>
      </c>
      <c r="O224" s="922">
        <f>IF(100*Meal_entry_week_1!$BQ$131/O144&lt;0,0,100*Meal_entry_week_1!$BQ$131/O144)</f>
        <v>0</v>
      </c>
      <c r="P224" s="922">
        <f>IF(100*Meal_entry_week_1!$BQ$230/P144&lt;0,0,100*Meal_entry_week_1!$BQ$230/P144)</f>
        <v>111.4208221912511</v>
      </c>
      <c r="Q224" s="922">
        <f>IF(100*Meal_entry_week_1!$BQ$329/Q144&lt;0,0,100*Meal_entry_week_1!$BQ$329/Q144)</f>
        <v>0</v>
      </c>
      <c r="R224" s="923">
        <f>IF(100*Meal_entry_week_1!$BQ$428/R144&lt;0,0,100*Meal_entry_week_1!$BQ$428/R144)</f>
        <v>0</v>
      </c>
      <c r="S224" s="921">
        <f>IF(100*Meal_entry_week_1!$BQ$51/S144&lt;0,0,100*Meal_entry_week_1!$BQ$51/S144)</f>
        <v>6.5668743233750702</v>
      </c>
      <c r="T224" s="922">
        <f>IF(100*Meal_entry_week_1!$BQ$150/T144&lt;0,0,100*Meal_entry_week_1!$BQ$150/T144)</f>
        <v>4.9378969054271149</v>
      </c>
      <c r="U224" s="922">
        <f>IF(100*Meal_entry_week_1!$BQ$249/U144&lt;0,0,100*Meal_entry_week_1!$BQ$249/U144)</f>
        <v>5.9187493581250639</v>
      </c>
      <c r="V224" s="922">
        <f>IF(100*Meal_entry_week_1!$BQ$348/V144&lt;0,0,100*Meal_entry_week_1!$BQ$348/V144)</f>
        <v>19.353741402378851</v>
      </c>
      <c r="W224" s="923">
        <f>IF(100*Meal_entry_week_1!$BQ$447/W144&lt;0,0,100*Meal_entry_week_1!$BQ$447/W144)</f>
        <v>5.9337493731250639</v>
      </c>
      <c r="X224" s="921">
        <f>IF(100*Meal_entry_week_1!$BQ$83/X144&lt;0,0,100*Meal_entry_week_1!$BQ$83/X144)</f>
        <v>215.90905808041308</v>
      </c>
      <c r="Y224" s="922">
        <f>IF(100*Meal_entry_week_1!$BQ$182/Y144&lt;0,0,100*Meal_entry_week_1!$BQ$182/Y144)</f>
        <v>92.186677156760254</v>
      </c>
      <c r="Z224" s="922">
        <f>IF(100*Meal_entry_week_1!$BQ$281/Z144&lt;0,0,100*Meal_entry_week_1!$BQ$281/Z144)</f>
        <v>106.75575606144771</v>
      </c>
      <c r="AA224" s="922">
        <f>IF(100*Meal_entry_week_1!$BQ$380/AA144&lt;0,0,100*Meal_entry_week_1!$BQ$380/AA144)</f>
        <v>120.53278256053555</v>
      </c>
      <c r="AB224" s="923">
        <f>IF(100*Meal_entry_week_1!$BQ$479/AB144&lt;0,0,100*Meal_entry_week_1!$BQ$479/AB144)</f>
        <v>178.83548339843847</v>
      </c>
      <c r="AC224" s="921">
        <f>IF(100*Meal_entry_week_1!$BQ$102/AC144&lt;0,0,100*Meal_entry_week_1!$BQ$102/AC144)</f>
        <v>0</v>
      </c>
      <c r="AD224" s="922">
        <f>IF(100*Meal_entry_week_1!$BQ$201/AD144&lt;0,0,100*Meal_entry_week_1!$BQ$201/AD144)</f>
        <v>0</v>
      </c>
      <c r="AE224" s="922">
        <f>IF(100*Meal_entry_week_1!$BQ$300/AE144&lt;0,0,100*Meal_entry_week_1!$BQ$300/AE144)</f>
        <v>0</v>
      </c>
      <c r="AF224" s="922">
        <f>IF(100*Meal_entry_week_1!$BQ$399/AF144&lt;0,0,100*Meal_entry_week_1!$BQ$399/AF144)</f>
        <v>0</v>
      </c>
      <c r="AG224" s="923">
        <f>IF(100*Meal_entry_week_1!$BQ$498/AG144&lt;0,0,100*Meal_entry_week_1!$BQ$498/AG144)</f>
        <v>0</v>
      </c>
      <c r="AH224" s="922"/>
    </row>
    <row r="225" spans="1:34" ht="16" thickBot="1">
      <c r="A225" s="872"/>
      <c r="B225" s="926" t="s">
        <v>1424</v>
      </c>
      <c r="C225" s="873"/>
      <c r="D225" s="927">
        <f>100*(Meal_entry_week_1!$AS$108+Meal_entry_week_1!$AS$207+Meal_entry_week_1!$AS$306+Meal_entry_week_1!$AS$405+Meal_entry_week_1!$AS$504)/D145/$D$146</f>
        <v>35.408330438342404</v>
      </c>
      <c r="E225" s="928">
        <f>100*(Meal_entry_week_1!$AS$35+Meal_entry_week_1!$AS$134+Meal_entry_week_1!$AS$233+Meal_entry_week_1!$AS$332+Meal_entry_week_1!$AS$431)/E145/($E$146+0.00001)</f>
        <v>0</v>
      </c>
      <c r="F225" s="928">
        <f>100*(Meal_entry_week_1!$AS$54+Meal_entry_week_1!$AS$153+Meal_entry_week_1!$AS$252+Meal_entry_week_1!$AS$351+Meal_entry_week_1!$AS$450)/F145/($F$146+0.00001)</f>
        <v>66.335336814133811</v>
      </c>
      <c r="G225" s="928">
        <f>100*(Meal_entry_week_1!$AS$86+Meal_entry_week_1!$AS$185+Meal_entry_week_1!$AS$284+Meal_entry_week_1!$AS$383+Meal_entry_week_1!$AS$482)/G145/($G$146+0.00001)</f>
        <v>60.50749351287611</v>
      </c>
      <c r="H225" s="929">
        <f>100*(Meal_entry_week_1!$AS$105+Meal_entry_week_1!$AS$204+Meal_entry_week_1!$AS$303+Meal_entry_week_1!$AS$402+Meal_entry_week_1!$AS$501)/H145/($H$146+0.00001)</f>
        <v>0</v>
      </c>
      <c r="I225" s="930">
        <f>100*Meal_entry_week_1!$AS$108/I145</f>
        <v>32.808812056401351</v>
      </c>
      <c r="J225" s="931">
        <f>100*Meal_entry_week_1!$AS$207/J145</f>
        <v>55.901137202185218</v>
      </c>
      <c r="K225" s="931">
        <f>100*Meal_entry_week_1!$AS$306/K145</f>
        <v>19.595946553268572</v>
      </c>
      <c r="L225" s="931">
        <f>100*Meal_entry_week_1!$AS$405/L145</f>
        <v>32.760547814037281</v>
      </c>
      <c r="M225" s="932">
        <f>100*Meal_entry_week_1!$AS$504/M145</f>
        <v>35.975208565819607</v>
      </c>
      <c r="N225" s="930">
        <f>IF(100*Meal_entry_week_1!$BR$32/N145&lt;0,0,100*Meal_entry_week_1!$BR$32/N145)</f>
        <v>0</v>
      </c>
      <c r="O225" s="931">
        <f>IF(100*Meal_entry_week_1!$BR$131/O145&lt;0,0,100*Meal_entry_week_1!$BR$131/O145)</f>
        <v>0</v>
      </c>
      <c r="P225" s="931">
        <f>IF(100*Meal_entry_week_1!$BR$230/P145&lt;0,0,100*Meal_entry_week_1!$BR$230/P145)</f>
        <v>0</v>
      </c>
      <c r="Q225" s="931">
        <f>IF(100*Meal_entry_week_1!$BR$329/Q145&lt;0,0,100*Meal_entry_week_1!$BR$329/Q145)</f>
        <v>0</v>
      </c>
      <c r="R225" s="932">
        <f>IF(100*Meal_entry_week_1!$BR$428/R145&lt;0,0,100*Meal_entry_week_1!$BR$428/R145)</f>
        <v>0</v>
      </c>
      <c r="S225" s="930">
        <f>IF(100*Meal_entry_week_1!$BR$51/S145&lt;0,0,100*Meal_entry_week_1!$BR$51/S145)</f>
        <v>32.492245349350718</v>
      </c>
      <c r="T225" s="931">
        <f>IF(100*Meal_entry_week_1!$BR$150/T145&lt;0,0,100*Meal_entry_week_1!$BR$150/T145)</f>
        <v>243.32011059194832</v>
      </c>
      <c r="U225" s="931">
        <f>IF(100*Meal_entry_week_1!$BR$249/U145&lt;0,0,100*Meal_entry_week_1!$BR$249/U145)</f>
        <v>11.37999878200012</v>
      </c>
      <c r="V225" s="931">
        <f>IF(100*Meal_entry_week_1!$BR$348/V145&lt;0,0,100*Meal_entry_week_1!$BR$348/V145)</f>
        <v>33.080993894737901</v>
      </c>
      <c r="W225" s="932">
        <f>IF(100*Meal_entry_week_1!$BR$447/W145&lt;0,0,100*Meal_entry_week_1!$BR$447/W145)</f>
        <v>11.40399880600012</v>
      </c>
      <c r="X225" s="930">
        <f>IF(100*Meal_entry_week_1!$BR$83/X145&lt;0,0,100*Meal_entry_week_1!$BR$83/X145)</f>
        <v>65.723146348486253</v>
      </c>
      <c r="Y225" s="931">
        <f>IF(100*Meal_entry_week_1!$BR$182/Y145&lt;0,0,100*Meal_entry_week_1!$BR$182/Y145)</f>
        <v>49.329283274449388</v>
      </c>
      <c r="Z225" s="931">
        <f>IF(100*Meal_entry_week_1!$BR$281/Z145&lt;0,0,100*Meal_entry_week_1!$BR$281/Z145)</f>
        <v>41.930542363626635</v>
      </c>
      <c r="AA225" s="931">
        <f>IF(100*Meal_entry_week_1!$BR$380/AA145&lt;0,0,100*Meal_entry_week_1!$BR$380/AA145)</f>
        <v>65.414280267841022</v>
      </c>
      <c r="AB225" s="932">
        <f>IF(100*Meal_entry_week_1!$BR$479/AB145&lt;0,0,100*Meal_entry_week_1!$BR$479/AB145)</f>
        <v>80.140820384912374</v>
      </c>
      <c r="AC225" s="930">
        <f>IF(100*Meal_entry_week_1!$BR$102/AC145&lt;0,0,100*Meal_entry_week_1!$BR$102/AC145)</f>
        <v>0</v>
      </c>
      <c r="AD225" s="931">
        <f>IF(100*Meal_entry_week_1!$BR$201/AD145&lt;0,0,100*Meal_entry_week_1!$BR$201/AD145)</f>
        <v>0</v>
      </c>
      <c r="AE225" s="931">
        <f>IF(100*Meal_entry_week_1!$BR$300/AE145&lt;0,0,100*Meal_entry_week_1!$BR$300/AE145)</f>
        <v>0</v>
      </c>
      <c r="AF225" s="931">
        <f>IF(100*Meal_entry_week_1!$BR$399/AF145&lt;0,0,100*Meal_entry_week_1!$BR$399/AF145)</f>
        <v>0</v>
      </c>
      <c r="AG225" s="932">
        <f>IF(100*Meal_entry_week_1!$BR$498/AG145&lt;0,0,100*Meal_entry_week_1!$BR$498/AG145)</f>
        <v>0</v>
      </c>
      <c r="AH225" s="922"/>
    </row>
    <row r="226" spans="1:34">
      <c r="A226" s="872"/>
      <c r="B226" s="913"/>
      <c r="C226" s="873"/>
      <c r="D226" s="913"/>
      <c r="E226" s="913"/>
      <c r="F226" s="913"/>
      <c r="G226" s="913"/>
      <c r="H226" s="913"/>
      <c r="I226" s="913"/>
      <c r="J226" s="913"/>
      <c r="K226" s="913"/>
      <c r="L226" s="913"/>
      <c r="M226" s="913"/>
      <c r="N226" s="913"/>
      <c r="O226" s="913"/>
      <c r="P226" s="913"/>
      <c r="Q226" s="913"/>
      <c r="R226" s="913"/>
      <c r="S226" s="913"/>
      <c r="T226" s="913"/>
      <c r="U226" s="913"/>
      <c r="V226" s="913"/>
      <c r="W226" s="913"/>
      <c r="X226" s="913"/>
      <c r="Y226" s="913"/>
      <c r="Z226" s="913"/>
      <c r="AA226" s="913"/>
      <c r="AB226" s="913"/>
      <c r="AC226" s="913"/>
      <c r="AD226" s="913"/>
      <c r="AE226" s="913"/>
      <c r="AF226" s="913"/>
      <c r="AG226" s="913"/>
      <c r="AH226" s="913"/>
    </row>
    <row r="227" spans="1:34" ht="15" thickBot="1">
      <c r="A227" s="872"/>
      <c r="B227" s="913"/>
      <c r="C227" s="873"/>
      <c r="D227" s="913"/>
      <c r="E227" s="913"/>
      <c r="F227" s="913"/>
      <c r="G227" s="913"/>
      <c r="H227" s="913"/>
      <c r="I227" s="913"/>
      <c r="J227" s="913"/>
      <c r="K227" s="913"/>
      <c r="L227" s="913"/>
      <c r="M227" s="913"/>
      <c r="N227" s="913"/>
      <c r="O227" s="913"/>
      <c r="P227" s="913"/>
      <c r="Q227" s="913"/>
      <c r="R227" s="913"/>
      <c r="S227" s="913"/>
      <c r="T227" s="913"/>
      <c r="U227" s="913"/>
      <c r="V227" s="913"/>
      <c r="W227" s="913"/>
      <c r="X227" s="913"/>
      <c r="Y227" s="913"/>
      <c r="Z227" s="913"/>
      <c r="AA227" s="913"/>
      <c r="AB227" s="913"/>
      <c r="AC227" s="913"/>
      <c r="AD227" s="913"/>
      <c r="AE227" s="913"/>
      <c r="AF227" s="913"/>
      <c r="AG227" s="913"/>
      <c r="AH227" s="913"/>
    </row>
    <row r="228" spans="1:34">
      <c r="A228" s="872"/>
      <c r="B228" s="787" t="s">
        <v>3587</v>
      </c>
      <c r="C228" s="873"/>
      <c r="D228" s="933">
        <f>SUM($I228:$M228)/(COUNTIF($I228:$M228,"&gt;0")+0.00001)</f>
        <v>759.54848090303824</v>
      </c>
      <c r="E228" s="934">
        <f>SUM($N228:$R228)/(COUNTIF($N228:$R228,"&gt;0")+0.00001)</f>
        <v>99.999000009999889</v>
      </c>
      <c r="F228" s="934">
        <f>SUM($S228:$W228)/(COUNTIF($S228:$W228,"&gt;0")+0.00001)</f>
        <v>169.79966040067922</v>
      </c>
      <c r="G228" s="934">
        <f>SUM($X228:$AB228)/(COUNTIF($X228:$AB228,"&gt;0")+0.00001)</f>
        <v>569.74886050227906</v>
      </c>
      <c r="H228" s="935">
        <f>SUM($AC228:$AG228)/(COUNTIF($AC228:$AG228,"&gt;0")+0.00001)</f>
        <v>0</v>
      </c>
      <c r="I228" s="933">
        <f>Meal_entry_week_1!$Q$107</f>
        <v>884.7</v>
      </c>
      <c r="J228" s="934">
        <f>Meal_entry_week_1!$Q$206</f>
        <v>594.4</v>
      </c>
      <c r="K228" s="934">
        <f>Meal_entry_week_1!$Q$305</f>
        <v>768.5</v>
      </c>
      <c r="L228" s="934">
        <f>Meal_entry_week_1!$Q$404</f>
        <v>797.2</v>
      </c>
      <c r="M228" s="935">
        <f>Meal_entry_week_1!$Q$503</f>
        <v>752.95</v>
      </c>
      <c r="N228" s="933">
        <f>Meal_entry_week_1!$Q$32</f>
        <v>0</v>
      </c>
      <c r="O228" s="934">
        <f>Meal_entry_week_1!$Q$131</f>
        <v>0</v>
      </c>
      <c r="P228" s="934">
        <f>Meal_entry_week_1!$Q$230</f>
        <v>100</v>
      </c>
      <c r="Q228" s="934">
        <f>Meal_entry_week_1!$Q$329</f>
        <v>0</v>
      </c>
      <c r="R228" s="935">
        <f>Meal_entry_week_1!$Q$428</f>
        <v>0</v>
      </c>
      <c r="S228" s="933">
        <f>Meal_entry_week_1!$Q$51</f>
        <v>225</v>
      </c>
      <c r="T228" s="934">
        <f>Meal_entry_week_1!$Q$150</f>
        <v>110</v>
      </c>
      <c r="U228" s="934">
        <f>Meal_entry_week_1!$Q$249</f>
        <v>200</v>
      </c>
      <c r="V228" s="934">
        <f>Meal_entry_week_1!$Q$348</f>
        <v>144</v>
      </c>
      <c r="W228" s="935">
        <f>Meal_entry_week_1!$Q$447</f>
        <v>170</v>
      </c>
      <c r="X228" s="933">
        <f>Meal_entry_week_1!$Q$83</f>
        <v>659.7</v>
      </c>
      <c r="Y228" s="934">
        <f>Meal_entry_week_1!$Q$182</f>
        <v>484.4</v>
      </c>
      <c r="Z228" s="934">
        <f>Meal_entry_week_1!$Q$281</f>
        <v>468.5</v>
      </c>
      <c r="AA228" s="934">
        <f>Meal_entry_week_1!$Q$380</f>
        <v>653.20000000000005</v>
      </c>
      <c r="AB228" s="935">
        <f>Meal_entry_week_1!$Q$479</f>
        <v>582.95000000000005</v>
      </c>
      <c r="AC228" s="933">
        <f>Meal_entry_week_1!$Q$102</f>
        <v>0</v>
      </c>
      <c r="AD228" s="934">
        <f>Meal_entry_week_1!$Q$201</f>
        <v>0</v>
      </c>
      <c r="AE228" s="934">
        <f>Meal_entry_week_1!$Q$300</f>
        <v>0</v>
      </c>
      <c r="AF228" s="934">
        <f>Meal_entry_week_1!$Q$399</f>
        <v>0</v>
      </c>
      <c r="AG228" s="935">
        <f>Meal_entry_week_1!$Q$498</f>
        <v>0</v>
      </c>
      <c r="AH228" s="919"/>
    </row>
    <row r="229" spans="1:34">
      <c r="A229" s="872"/>
      <c r="B229" s="788" t="s">
        <v>3582</v>
      </c>
      <c r="C229" s="873"/>
      <c r="D229" s="873">
        <f>SUM($I229:$M229)/(COUNTIF($I229:$M229,"&gt;0")+0.00001)</f>
        <v>176.85408129183747</v>
      </c>
      <c r="E229" s="919">
        <f>SUM($N229:$R229)/(COUNTIF($N229:$R229,"&gt;0")+0.00001)</f>
        <v>28.499715002849971</v>
      </c>
      <c r="F229" s="919">
        <f>SUM($S229:$W229)/(COUNTIF($S229:$W229,"&gt;0")+0.00001)</f>
        <v>16.500511998976002</v>
      </c>
      <c r="G229" s="919">
        <f>SUM($X229:$AB229)/(COUNTIF($X229:$AB229,"&gt;0")+0.00001)</f>
        <v>154.65358069283863</v>
      </c>
      <c r="H229" s="920">
        <f>SUM($AC229:$AG229)/(COUNTIF($AC229:$AG229,"&gt;0")+0.00001)</f>
        <v>0</v>
      </c>
      <c r="I229" s="873">
        <f>Meal_entry_week_1!$R$107</f>
        <v>217.69600000000003</v>
      </c>
      <c r="J229" s="919">
        <f>Meal_entry_week_1!$R$206</f>
        <v>129.24072000000001</v>
      </c>
      <c r="K229" s="919">
        <f>Meal_entry_week_1!$R$305</f>
        <v>173.48390000000001</v>
      </c>
      <c r="L229" s="919">
        <f>Meal_entry_week_1!$R$404</f>
        <v>203.861975</v>
      </c>
      <c r="M229" s="920">
        <f>Meal_entry_week_1!$R$503</f>
        <v>159.98958000000002</v>
      </c>
      <c r="N229" s="873">
        <f>Meal_entry_week_1!$R$32</f>
        <v>0</v>
      </c>
      <c r="O229" s="919">
        <f>Meal_entry_week_1!$R$131</f>
        <v>0</v>
      </c>
      <c r="P229" s="919">
        <f>Meal_entry_week_1!$R$230</f>
        <v>28.5</v>
      </c>
      <c r="Q229" s="919">
        <f>Meal_entry_week_1!$R$329</f>
        <v>0</v>
      </c>
      <c r="R229" s="920">
        <f>Meal_entry_week_1!$R$428</f>
        <v>0</v>
      </c>
      <c r="S229" s="873">
        <f>Meal_entry_week_1!$R$51</f>
        <v>48.3</v>
      </c>
      <c r="T229" s="919">
        <f>Meal_entry_week_1!$R$150</f>
        <v>10.269920000000001</v>
      </c>
      <c r="U229" s="919">
        <f>Meal_entry_week_1!$R$249</f>
        <v>4.4999000000000002</v>
      </c>
      <c r="V229" s="919">
        <f>Meal_entry_week_1!$R$348</f>
        <v>14.932975000000001</v>
      </c>
      <c r="W229" s="920">
        <f>Meal_entry_week_1!$R$447</f>
        <v>4.49993</v>
      </c>
      <c r="X229" s="873">
        <f>Meal_entry_week_1!$R$83</f>
        <v>169.39600000000002</v>
      </c>
      <c r="Y229" s="919">
        <f>Meal_entry_week_1!$R$182</f>
        <v>118.9708</v>
      </c>
      <c r="Z229" s="919">
        <f>Meal_entry_week_1!$R$281</f>
        <v>140.48400000000001</v>
      </c>
      <c r="AA229" s="919">
        <f>Meal_entry_week_1!$R$380</f>
        <v>188.929</v>
      </c>
      <c r="AB229" s="920">
        <f>Meal_entry_week_1!$R$479</f>
        <v>155.48965000000001</v>
      </c>
      <c r="AC229" s="873">
        <f>Meal_entry_week_1!$R$102</f>
        <v>0</v>
      </c>
      <c r="AD229" s="919">
        <f>Meal_entry_week_1!$R$201</f>
        <v>0</v>
      </c>
      <c r="AE229" s="919">
        <f>Meal_entry_week_1!$R$300</f>
        <v>0</v>
      </c>
      <c r="AF229" s="919">
        <f>Meal_entry_week_1!$R$399</f>
        <v>0</v>
      </c>
      <c r="AG229" s="920">
        <f>Meal_entry_week_1!$R$498</f>
        <v>0</v>
      </c>
      <c r="AH229" s="919"/>
    </row>
    <row r="230" spans="1:34">
      <c r="A230" s="872"/>
      <c r="B230" s="789" t="s">
        <v>3583</v>
      </c>
      <c r="C230" s="873"/>
      <c r="D230" s="873">
        <f>SUM($I230:$M230)/(COUNTIF($I230:$M230,"&gt;0")+0.00001)</f>
        <v>1339.259421481157</v>
      </c>
      <c r="E230" s="919">
        <f>SUM($N230:$R230)/(COUNTIF($N230:$R230,"&gt;0")+0.00001)</f>
        <v>47.999520004799948</v>
      </c>
      <c r="F230" s="919">
        <f>SUM($S230:$W230)/(COUNTIF($S230:$W230,"&gt;0")+0.00001)</f>
        <v>325.00334999330005</v>
      </c>
      <c r="G230" s="919">
        <f>SUM($X230:$AB230)/(COUNTIF($X230:$AB230,"&gt;0")+0.00001)</f>
        <v>1004.6560906878187</v>
      </c>
      <c r="H230" s="920">
        <f>SUM($AC230:$AG230)/(COUNTIF($AC230:$AG230,"&gt;0")+0.00001)</f>
        <v>0</v>
      </c>
      <c r="I230" s="873">
        <f>Meal_entry_week_1!$V$107</f>
        <v>1262.944</v>
      </c>
      <c r="J230" s="919">
        <f>Meal_entry_week_1!$V$206</f>
        <v>1254.23</v>
      </c>
      <c r="K230" s="919">
        <f>Meal_entry_week_1!$V$305</f>
        <v>1337.23</v>
      </c>
      <c r="L230" s="919">
        <f>Meal_entry_week_1!$V$404</f>
        <v>1481.4959999999996</v>
      </c>
      <c r="M230" s="920">
        <f>Meal_entry_week_1!$V$503</f>
        <v>1360.4105</v>
      </c>
      <c r="N230" s="873">
        <f>Meal_entry_week_1!$V$32</f>
        <v>0</v>
      </c>
      <c r="O230" s="919">
        <f>Meal_entry_week_1!$V$131</f>
        <v>0</v>
      </c>
      <c r="P230" s="919">
        <f>Meal_entry_week_1!$V$230</f>
        <v>48</v>
      </c>
      <c r="Q230" s="919">
        <f>Meal_entry_week_1!$V$329</f>
        <v>0</v>
      </c>
      <c r="R230" s="920">
        <f>Meal_entry_week_1!$V$428</f>
        <v>0</v>
      </c>
      <c r="S230" s="873">
        <f>Meal_entry_week_1!$V$51</f>
        <v>480.5</v>
      </c>
      <c r="T230" s="919">
        <f>Meal_entry_week_1!$V$150</f>
        <v>250</v>
      </c>
      <c r="U230" s="919">
        <f>Meal_entry_week_1!$V$249</f>
        <v>323</v>
      </c>
      <c r="V230" s="919">
        <f>Meal_entry_week_1!$V$348</f>
        <v>255.12</v>
      </c>
      <c r="W230" s="920">
        <f>Meal_entry_week_1!$V$447</f>
        <v>316.39999999999998</v>
      </c>
      <c r="X230" s="873">
        <f>Meal_entry_week_1!$V$83</f>
        <v>782.44399999999996</v>
      </c>
      <c r="Y230" s="919">
        <f>Meal_entry_week_1!$V$182</f>
        <v>1004.2299999999999</v>
      </c>
      <c r="Z230" s="919">
        <f>Meal_entry_week_1!$V$281</f>
        <v>966.2299999999999</v>
      </c>
      <c r="AA230" s="919">
        <f>Meal_entry_week_1!$V$380</f>
        <v>1226.3759999999997</v>
      </c>
      <c r="AB230" s="920">
        <f>Meal_entry_week_1!$V$479</f>
        <v>1044.0105000000001</v>
      </c>
      <c r="AC230" s="873">
        <f>Meal_entry_week_1!$V$102</f>
        <v>0</v>
      </c>
      <c r="AD230" s="919">
        <f>Meal_entry_week_1!$V$201</f>
        <v>0</v>
      </c>
      <c r="AE230" s="919">
        <f>Meal_entry_week_1!$V$300</f>
        <v>0</v>
      </c>
      <c r="AF230" s="919">
        <f>Meal_entry_week_1!$V$399</f>
        <v>0</v>
      </c>
      <c r="AG230" s="920">
        <f>Meal_entry_week_1!$V$498</f>
        <v>0</v>
      </c>
      <c r="AH230" s="919"/>
    </row>
    <row r="231" spans="1:34" ht="15" thickBot="1">
      <c r="A231" s="872"/>
      <c r="B231" s="788" t="s">
        <v>3584</v>
      </c>
      <c r="C231" s="873"/>
      <c r="D231" s="936">
        <f>Meal_entry_week_1!I552/100</f>
        <v>0.23148910195792444</v>
      </c>
      <c r="E231" s="937">
        <f>Meal_entry_week_1!I512/100</f>
        <v>0.28499712152878753</v>
      </c>
      <c r="F231" s="937">
        <f>Meal_entry_week_1!I522/100</f>
        <v>9.2139903639022372E-2</v>
      </c>
      <c r="G231" s="937">
        <f>Meal_entry_week_1!I532/100</f>
        <v>0.27164063991553589</v>
      </c>
      <c r="H231" s="938">
        <f>Meal_entry_week_1!I542/100</f>
        <v>0</v>
      </c>
      <c r="I231" s="936">
        <f>Meal_entry_week_1!I547/100</f>
        <v>0.2460675907531639</v>
      </c>
      <c r="J231" s="937">
        <f>Meal_entry_week_1!I548/100</f>
        <v>0.21743054815897467</v>
      </c>
      <c r="K231" s="937">
        <f>Meal_entry_week_1!I549/100</f>
        <v>0.22574352341257614</v>
      </c>
      <c r="L231" s="937">
        <f>Meal_entry_week_1!I550/100</f>
        <v>0.25572249428346089</v>
      </c>
      <c r="M231" s="938">
        <f>Meal_entry_week_1!I551/100</f>
        <v>0.21248366807246608</v>
      </c>
      <c r="N231" s="936">
        <f>Meal_entry_week_1!I507/100</f>
        <v>0</v>
      </c>
      <c r="O231" s="937">
        <f>Meal_entry_week_1!I508/100</f>
        <v>0</v>
      </c>
      <c r="P231" s="937">
        <f>Meal_entry_week_1!I509/100</f>
        <v>0.28499997150000284</v>
      </c>
      <c r="Q231" s="937">
        <f>Meal_entry_week_1!I510/100</f>
        <v>0</v>
      </c>
      <c r="R231" s="938">
        <f>Meal_entry_week_1!I511/100</f>
        <v>0</v>
      </c>
      <c r="S231" s="936">
        <f>Meal_entry_week_1!I517/100</f>
        <v>0.21466665712592636</v>
      </c>
      <c r="T231" s="937">
        <f>Meal_entry_week_1!I518/100</f>
        <v>9.3362900603372698E-2</v>
      </c>
      <c r="U231" s="937">
        <f>Meal_entry_week_1!I519/100</f>
        <v>2.2499498875025056E-2</v>
      </c>
      <c r="V231" s="937">
        <f>Meal_entry_week_1!I520/100</f>
        <v>0.10370120807630499</v>
      </c>
      <c r="W231" s="938">
        <f>Meal_entry_week_1!I521/100</f>
        <v>2.6470174913519121E-2</v>
      </c>
      <c r="X231" s="936">
        <f>Meal_entry_week_1!I527/100</f>
        <v>0.25677731913328306</v>
      </c>
      <c r="Y231" s="937">
        <f>Meal_entry_week_1!I528/100</f>
        <v>0.24560445405440848</v>
      </c>
      <c r="Z231" s="937">
        <f>Meal_entry_week_1!I529/100</f>
        <v>0.29985911846618746</v>
      </c>
      <c r="AA231" s="937">
        <f>Meal_entry_week_1!I530/100</f>
        <v>0.28923606415743935</v>
      </c>
      <c r="AB231" s="938">
        <f>Meal_entry_week_1!I531/100</f>
        <v>0.26672896017275993</v>
      </c>
      <c r="AC231" s="936">
        <f>Meal_entry_week_1!I537/100</f>
        <v>0</v>
      </c>
      <c r="AD231" s="937">
        <f>Meal_entry_week_1!I538/100</f>
        <v>0</v>
      </c>
      <c r="AE231" s="937">
        <f>Meal_entry_week_1!I539/100</f>
        <v>0</v>
      </c>
      <c r="AF231" s="937">
        <f>Meal_entry_week_1!I540/100</f>
        <v>0</v>
      </c>
      <c r="AG231" s="938">
        <f>Meal_entry_week_1!I541/100</f>
        <v>0</v>
      </c>
      <c r="AH231" s="1061"/>
    </row>
    <row r="232" spans="1:34">
      <c r="A232" s="872"/>
      <c r="B232" s="790" t="s">
        <v>3588</v>
      </c>
      <c r="C232" s="873"/>
      <c r="D232" s="873">
        <f>SUM($I232:$M232)/(COUNTIF($I232:$M232,"&gt;0")+0.00001)</f>
        <v>112.70196462204477</v>
      </c>
      <c r="E232" s="919">
        <f t="shared" ref="E232:E233" si="25">SUM($N232:$R232)/(COUNTIF($N232:$R232,"&gt;0")+0.00001)</f>
        <v>8.999910000899991</v>
      </c>
      <c r="F232" s="919">
        <f t="shared" ref="F232" si="26">SUM($S232:$W232)/(COUNTIF($S232:$W232,"&gt;0")+0.00001)</f>
        <v>36.460906506758413</v>
      </c>
      <c r="G232" s="919">
        <f t="shared" ref="G232:G233" si="27">SUM($X232:$AB232)/(COUNTIF($X232:$AB232,"&gt;0")+0.00001)</f>
        <v>74.441061715279176</v>
      </c>
      <c r="H232" s="920">
        <f t="shared" ref="H232:H233" si="28">SUM($AC232:$AG232)/(COUNTIF($AC232:$AG232,"&gt;0")+0.00001)</f>
        <v>0</v>
      </c>
      <c r="I232" s="873">
        <f>Meal_entry_week_1!$T$107</f>
        <v>126.89335</v>
      </c>
      <c r="J232" s="919">
        <f>Meal_entry_week_1!$T$206</f>
        <v>125.24864259740259</v>
      </c>
      <c r="K232" s="919">
        <f>Meal_entry_week_1!$T$305</f>
        <v>120.0372857142857</v>
      </c>
      <c r="L232" s="919">
        <f>Meal_entry_week_1!$T$404</f>
        <v>102.76217515151515</v>
      </c>
      <c r="M232" s="920">
        <f>Meal_entry_week_1!$T$503</f>
        <v>88.56949666666668</v>
      </c>
      <c r="N232" s="873">
        <f>Meal_entry_week_1!$T$32</f>
        <v>0</v>
      </c>
      <c r="O232" s="919">
        <f>Meal_entry_week_1!$T$131</f>
        <v>0</v>
      </c>
      <c r="P232" s="919">
        <f>Meal_entry_week_1!$T$230</f>
        <v>9</v>
      </c>
      <c r="Q232" s="919">
        <f>Meal_entry_week_1!$T$329</f>
        <v>0</v>
      </c>
      <c r="R232" s="920">
        <f>Meal_entry_week_1!$T$428</f>
        <v>0</v>
      </c>
      <c r="S232" s="873">
        <f>Meal_entry_week_1!$T$51</f>
        <v>47.47195</v>
      </c>
      <c r="T232" s="919">
        <f>Meal_entry_week_1!$T$150</f>
        <v>50.807657142857138</v>
      </c>
      <c r="U232" s="919">
        <f>Meal_entry_week_1!$T$249</f>
        <v>39.22</v>
      </c>
      <c r="V232" s="919">
        <f>Meal_entry_week_1!$T$348</f>
        <v>26.109873333333333</v>
      </c>
      <c r="W232" s="920">
        <f>Meal_entry_week_1!$T$447</f>
        <v>18.695416666666667</v>
      </c>
      <c r="X232" s="873">
        <f>Meal_entry_week_1!$T$83</f>
        <v>79.421399999999991</v>
      </c>
      <c r="Y232" s="919">
        <f>Meal_entry_week_1!$T$182</f>
        <v>74.440985454545455</v>
      </c>
      <c r="Z232" s="919">
        <f>Meal_entry_week_1!$T$281</f>
        <v>71.817285714285703</v>
      </c>
      <c r="AA232" s="919">
        <f>Meal_entry_week_1!$T$380</f>
        <v>76.652301818181826</v>
      </c>
      <c r="AB232" s="920">
        <f>Meal_entry_week_1!$T$479</f>
        <v>69.874080000000006</v>
      </c>
      <c r="AC232" s="873">
        <f>Meal_entry_week_1!$T$102</f>
        <v>0</v>
      </c>
      <c r="AD232" s="919">
        <f>Meal_entry_week_1!$T$201</f>
        <v>0</v>
      </c>
      <c r="AE232" s="919">
        <f>Meal_entry_week_1!$T$300</f>
        <v>0</v>
      </c>
      <c r="AF232" s="919">
        <f>Meal_entry_week_1!$T$399</f>
        <v>0</v>
      </c>
      <c r="AG232" s="920">
        <f>Meal_entry_week_1!$T$498</f>
        <v>0</v>
      </c>
      <c r="AH232" s="922"/>
    </row>
    <row r="233" spans="1:34">
      <c r="A233" s="872"/>
      <c r="B233" s="791" t="s">
        <v>3585</v>
      </c>
      <c r="C233" s="873"/>
      <c r="D233" s="873">
        <f>SUM($I233:$M233)/(COUNTIF($I233:$M233,"&gt;0")+0.00001)</f>
        <v>23.806289562620837</v>
      </c>
      <c r="E233" s="919">
        <f t="shared" si="25"/>
        <v>2.564974350256497</v>
      </c>
      <c r="F233" s="919">
        <f>SUM($S233:$W233)/(COUNTIF($S233:$W233,"&gt;0")+0.00001)</f>
        <v>3.2740702985398791</v>
      </c>
      <c r="G233" s="919">
        <f t="shared" si="27"/>
        <v>20.019220290078898</v>
      </c>
      <c r="H233" s="920">
        <f t="shared" si="28"/>
        <v>0</v>
      </c>
      <c r="I233" s="873">
        <f>Meal_entry_week_1!$U$107</f>
        <v>33.419936900000003</v>
      </c>
      <c r="J233" s="919">
        <f>Meal_entry_week_1!$U$206</f>
        <v>17.980339964576622</v>
      </c>
      <c r="K233" s="919">
        <f>Meal_entry_week_1!$U$305</f>
        <v>28.038215177142856</v>
      </c>
      <c r="L233" s="919">
        <f>Meal_entry_week_1!$U$404</f>
        <v>22.712554029696967</v>
      </c>
      <c r="M233" s="920">
        <f>Meal_entry_week_1!$U$503</f>
        <v>16.880639804583335</v>
      </c>
      <c r="N233" s="873">
        <f>Meal_entry_week_1!$U$32</f>
        <v>0</v>
      </c>
      <c r="O233" s="919">
        <f>Meal_entry_week_1!$U$131</f>
        <v>0</v>
      </c>
      <c r="P233" s="919">
        <f>Meal_entry_week_1!$U$230</f>
        <v>2.5649999999999999</v>
      </c>
      <c r="Q233" s="919">
        <f>Meal_entry_week_1!$U$329</f>
        <v>0</v>
      </c>
      <c r="R233" s="920">
        <f>Meal_entry_week_1!$U$428</f>
        <v>0</v>
      </c>
      <c r="S233" s="873">
        <f>Meal_entry_week_1!$U$51</f>
        <v>13.577865900000001</v>
      </c>
      <c r="T233" s="919">
        <f>Meal_entry_week_1!$U$150</f>
        <v>0.84516237548571427</v>
      </c>
      <c r="U233" s="919">
        <f>Meal_entry_week_1!$U$249</f>
        <v>0.36626892</v>
      </c>
      <c r="V233" s="919">
        <f>Meal_entry_week_1!$U$348</f>
        <v>1.2147975933333335</v>
      </c>
      <c r="W233" s="920">
        <f>Meal_entry_week_1!$U$447</f>
        <v>0.36628944458333335</v>
      </c>
      <c r="X233" s="873">
        <f>Meal_entry_week_1!$U$83</f>
        <v>19.842071000000001</v>
      </c>
      <c r="Y233" s="919">
        <f>Meal_entry_week_1!$U$182</f>
        <v>17.135177589090908</v>
      </c>
      <c r="Z233" s="919">
        <f>Meal_entry_week_1!$U$281</f>
        <v>25.106946257142855</v>
      </c>
      <c r="AA233" s="919">
        <f>Meal_entry_week_1!$U$380</f>
        <v>21.497756436363634</v>
      </c>
      <c r="AB233" s="920">
        <f>Meal_entry_week_1!$U$479</f>
        <v>16.514350360000002</v>
      </c>
      <c r="AC233" s="873">
        <f>Meal_entry_week_1!$U$102</f>
        <v>0</v>
      </c>
      <c r="AD233" s="919">
        <f>Meal_entry_week_1!$U$201</f>
        <v>0</v>
      </c>
      <c r="AE233" s="919">
        <f>Meal_entry_week_1!$U$300</f>
        <v>0</v>
      </c>
      <c r="AF233" s="919">
        <f>Meal_entry_week_1!$U$399</f>
        <v>0</v>
      </c>
      <c r="AG233" s="920">
        <f>Meal_entry_week_1!$U$498</f>
        <v>0</v>
      </c>
      <c r="AH233" s="922"/>
    </row>
    <row r="234" spans="1:34" ht="15" thickBot="1">
      <c r="A234" s="872"/>
      <c r="B234" s="792" t="s">
        <v>3586</v>
      </c>
      <c r="C234" s="873"/>
      <c r="D234" s="936">
        <f>Meal_entry_week_1!J552/100</f>
        <v>0.21042341029412825</v>
      </c>
      <c r="E234" s="937">
        <f>Meal_entry_week_1!J512/100</f>
        <v>0.28499683336535153</v>
      </c>
      <c r="F234" s="937">
        <f>Meal_entry_week_1!J522/100</f>
        <v>7.5622015731591288E-2</v>
      </c>
      <c r="G234" s="937">
        <f>Meal_entry_week_1!J532/100</f>
        <v>0.26928238255388459</v>
      </c>
      <c r="H234" s="938">
        <f>Meal_entry_week_1!J542/100</f>
        <v>0</v>
      </c>
      <c r="I234" s="936">
        <f>Meal_entry_week_1!J547/100</f>
        <v>0.26337025751386833</v>
      </c>
      <c r="J234" s="937">
        <f>Meal_entry_week_1!J548/100</f>
        <v>0.1435571528451676</v>
      </c>
      <c r="K234" s="937">
        <f>Meal_entry_week_1!J549/100</f>
        <v>0.23357919728448209</v>
      </c>
      <c r="L234" s="937">
        <f>Meal_entry_week_1!J550/100</f>
        <v>0.22102054365824358</v>
      </c>
      <c r="M234" s="938">
        <f>Meal_entry_week_1!J551/100</f>
        <v>0.19059200440298263</v>
      </c>
      <c r="N234" s="936">
        <f>Meal_entry_week_1!J507/100</f>
        <v>0</v>
      </c>
      <c r="O234" s="937">
        <f>Meal_entry_week_1!J508/100</f>
        <v>0</v>
      </c>
      <c r="P234" s="937">
        <f>Meal_entry_week_1!J509/100</f>
        <v>0.28499968333368519</v>
      </c>
      <c r="Q234" s="937">
        <f>Meal_entry_week_1!J510/100</f>
        <v>0</v>
      </c>
      <c r="R234" s="938">
        <f>Meal_entry_week_1!J511/100</f>
        <v>0</v>
      </c>
      <c r="S234" s="936">
        <f>Meal_entry_week_1!J517/100</f>
        <v>0.28601864974608171</v>
      </c>
      <c r="T234" s="937">
        <f>Meal_entry_week_1!J518/100</f>
        <v>1.6634544016936478E-2</v>
      </c>
      <c r="U234" s="937">
        <f>Meal_entry_week_1!J519/100</f>
        <v>9.3388278075400791E-3</v>
      </c>
      <c r="V234" s="937">
        <f>Meal_entry_week_1!J520/100</f>
        <v>4.6526350877349777E-2</v>
      </c>
      <c r="W234" s="938">
        <f>Meal_entry_week_1!J521/100</f>
        <v>1.9592462430205751E-2</v>
      </c>
      <c r="X234" s="936">
        <f>Meal_entry_week_1!J527/100</f>
        <v>0.24983277179289565</v>
      </c>
      <c r="Y234" s="937">
        <f>Meal_entry_week_1!J528/100</f>
        <v>0.23018469170732472</v>
      </c>
      <c r="Z234" s="937">
        <f>Meal_entry_week_1!J529/100</f>
        <v>0.34959470427607103</v>
      </c>
      <c r="AA234" s="937">
        <f>Meal_entry_week_1!J530/100</f>
        <v>0.28045803089874183</v>
      </c>
      <c r="AB234" s="938">
        <f>Meal_entry_week_1!J531/100</f>
        <v>0.23634440691821532</v>
      </c>
      <c r="AC234" s="937">
        <f>Meal_entry_week_1!J537/100</f>
        <v>0</v>
      </c>
      <c r="AD234" s="937">
        <f>Meal_entry_week_1!J538/100</f>
        <v>0</v>
      </c>
      <c r="AE234" s="937">
        <f>Meal_entry_week_1!J539/100</f>
        <v>0</v>
      </c>
      <c r="AF234" s="937">
        <f>Meal_entry_week_1!J540/100</f>
        <v>0</v>
      </c>
      <c r="AG234" s="938">
        <f>Meal_entry_week_1!J541/100</f>
        <v>0</v>
      </c>
      <c r="AH234" s="1061"/>
    </row>
    <row r="235" spans="1:34" ht="15" thickBot="1">
      <c r="A235" s="872"/>
      <c r="B235" s="913"/>
      <c r="C235" s="873"/>
      <c r="D235" s="919"/>
      <c r="E235" s="945"/>
      <c r="F235" s="913"/>
      <c r="G235" s="913"/>
      <c r="H235" s="913"/>
      <c r="I235" s="913"/>
      <c r="J235" s="913"/>
      <c r="K235" s="913"/>
      <c r="L235" s="913"/>
      <c r="M235" s="913"/>
      <c r="N235" s="913"/>
      <c r="O235" s="913"/>
      <c r="P235" s="913"/>
      <c r="Q235" s="913"/>
      <c r="R235" s="913"/>
      <c r="S235" s="913"/>
      <c r="T235" s="913"/>
      <c r="U235" s="913"/>
      <c r="V235" s="913"/>
      <c r="W235" s="913"/>
      <c r="X235" s="913"/>
      <c r="Y235" s="913"/>
      <c r="Z235" s="913"/>
      <c r="AA235" s="913"/>
      <c r="AB235" s="913"/>
      <c r="AC235" s="913"/>
      <c r="AD235" s="913"/>
      <c r="AE235" s="913"/>
      <c r="AF235" s="913"/>
      <c r="AG235" s="913"/>
      <c r="AH235" s="913"/>
    </row>
    <row r="236" spans="1:34" ht="15" thickBot="1">
      <c r="A236" s="872"/>
      <c r="B236" s="939"/>
      <c r="C236" s="873"/>
      <c r="D236" s="914" t="s">
        <v>3773</v>
      </c>
      <c r="E236" s="915" t="s">
        <v>3774</v>
      </c>
      <c r="F236" s="915" t="s">
        <v>3775</v>
      </c>
      <c r="G236" s="915" t="s">
        <v>3776</v>
      </c>
      <c r="H236" s="916" t="s">
        <v>3777</v>
      </c>
      <c r="I236" s="914" t="s">
        <v>3773</v>
      </c>
      <c r="J236" s="914" t="s">
        <v>3773</v>
      </c>
      <c r="K236" s="914" t="s">
        <v>3773</v>
      </c>
      <c r="L236" s="914" t="s">
        <v>3773</v>
      </c>
      <c r="M236" s="914" t="s">
        <v>3773</v>
      </c>
      <c r="N236" s="914" t="s">
        <v>67</v>
      </c>
      <c r="O236" s="914" t="s">
        <v>67</v>
      </c>
      <c r="P236" s="914" t="s">
        <v>67</v>
      </c>
      <c r="Q236" s="914" t="s">
        <v>67</v>
      </c>
      <c r="R236" s="917" t="s">
        <v>67</v>
      </c>
      <c r="S236" s="914" t="s">
        <v>1362</v>
      </c>
      <c r="T236" s="914" t="s">
        <v>1362</v>
      </c>
      <c r="U236" s="914" t="s">
        <v>1362</v>
      </c>
      <c r="V236" s="914" t="s">
        <v>1362</v>
      </c>
      <c r="W236" s="914" t="s">
        <v>1362</v>
      </c>
      <c r="X236" s="914" t="s">
        <v>69</v>
      </c>
      <c r="Y236" s="914" t="s">
        <v>69</v>
      </c>
      <c r="Z236" s="914" t="s">
        <v>69</v>
      </c>
      <c r="AA236" s="914" t="s">
        <v>69</v>
      </c>
      <c r="AB236" s="914" t="s">
        <v>69</v>
      </c>
      <c r="AC236" s="1281" t="s">
        <v>1364</v>
      </c>
      <c r="AD236" s="1281" t="s">
        <v>1364</v>
      </c>
      <c r="AE236" s="1281" t="s">
        <v>1364</v>
      </c>
      <c r="AF236" s="1281" t="s">
        <v>1364</v>
      </c>
      <c r="AG236" s="1281" t="s">
        <v>1364</v>
      </c>
    </row>
    <row r="237" spans="1:34" ht="45">
      <c r="A237" s="872"/>
      <c r="B237" s="946" t="s">
        <v>3839</v>
      </c>
      <c r="C237" s="873"/>
      <c r="D237" s="874" t="s">
        <v>3743</v>
      </c>
      <c r="E237" s="875" t="s">
        <v>3744</v>
      </c>
      <c r="F237" s="876" t="s">
        <v>3745</v>
      </c>
      <c r="G237" s="877" t="s">
        <v>3746</v>
      </c>
      <c r="H237" s="878" t="s">
        <v>3747</v>
      </c>
      <c r="I237" s="874" t="s">
        <v>3748</v>
      </c>
      <c r="J237" s="874" t="s">
        <v>3749</v>
      </c>
      <c r="K237" s="874" t="s">
        <v>3750</v>
      </c>
      <c r="L237" s="874" t="s">
        <v>3751</v>
      </c>
      <c r="M237" s="874" t="s">
        <v>3752</v>
      </c>
      <c r="N237" s="880" t="s">
        <v>3753</v>
      </c>
      <c r="O237" s="880" t="s">
        <v>3754</v>
      </c>
      <c r="P237" s="880" t="s">
        <v>3755</v>
      </c>
      <c r="Q237" s="880" t="s">
        <v>3756</v>
      </c>
      <c r="R237" s="880" t="s">
        <v>3757</v>
      </c>
      <c r="S237" s="882" t="s">
        <v>3758</v>
      </c>
      <c r="T237" s="882" t="s">
        <v>3759</v>
      </c>
      <c r="U237" s="882" t="s">
        <v>3760</v>
      </c>
      <c r="V237" s="882" t="s">
        <v>3761</v>
      </c>
      <c r="W237" s="882" t="s">
        <v>3762</v>
      </c>
      <c r="X237" s="884" t="s">
        <v>3768</v>
      </c>
      <c r="Y237" s="884" t="s">
        <v>3769</v>
      </c>
      <c r="Z237" s="884" t="s">
        <v>3770</v>
      </c>
      <c r="AA237" s="884" t="s">
        <v>3771</v>
      </c>
      <c r="AB237" s="884" t="s">
        <v>3772</v>
      </c>
      <c r="AC237" s="886" t="s">
        <v>3763</v>
      </c>
      <c r="AD237" s="886" t="s">
        <v>3764</v>
      </c>
      <c r="AE237" s="886" t="s">
        <v>3765</v>
      </c>
      <c r="AF237" s="886" t="s">
        <v>3766</v>
      </c>
      <c r="AG237" s="886" t="s">
        <v>3767</v>
      </c>
    </row>
    <row r="238" spans="1:34">
      <c r="A238" s="872"/>
      <c r="B238" s="947" t="s">
        <v>1427</v>
      </c>
      <c r="C238" s="873"/>
      <c r="D238" s="948">
        <f>100*(SUM(D$379:D$383)/SUM($D$379:$S$383))</f>
        <v>27.937594628398394</v>
      </c>
      <c r="E238" s="948">
        <f>IF(Meal_entry_week_1!$Q$512&gt;0,100*SUM(D$385:D$389)/SUM($D$385:$S$389),0.00001)</f>
        <v>100</v>
      </c>
      <c r="F238" s="948">
        <f>IF(Meal_entry_week_1!$Q$522&gt;0,100*SUM(D$391:D$395)/SUM($D$391:$S$395),0.00001)</f>
        <v>0</v>
      </c>
      <c r="G238" s="948">
        <f>IF(Meal_entry_week_1!$Q$532&gt;0,100*SUM(D$397:D$401)/SUM($D$397:$S$401),0.00001)</f>
        <v>33.734093900833699</v>
      </c>
      <c r="H238" s="949">
        <f>IF(Meal_entry_week_1!$Q$542&gt;0,100*SUM(D$403:D$407)/SUM($D$403:$S$407),0.00001)</f>
        <v>1.0000000000000001E-5</v>
      </c>
      <c r="I238" s="921">
        <f>IF(Meal_entry_week_1!$Q$547&gt;0,100*$D$383/(SUM($D$383:$S$383)+0.00001),0.00001)</f>
        <v>37.300779503777783</v>
      </c>
      <c r="J238" s="921">
        <f>IF(Meal_entry_week_1!$Q$548&gt;0,100*D$382/(SUM($D$382:$S$382)+0.00001),0.00001)</f>
        <v>8.4118437346594259</v>
      </c>
      <c r="K238" s="921">
        <f>IF(Meal_entry_week_1!$Q$549&gt;0,100*D$381/(SUM($D$381:$S$381)+0.00001),0.00001)</f>
        <v>32.921274783067339</v>
      </c>
      <c r="L238" s="921">
        <f>IF(Meal_entry_week_1!$Q$550&gt;0,100*D$380/(SUM($D$380:$S$380)+0.00001),0.00001)</f>
        <v>27.596587712034776</v>
      </c>
      <c r="M238" s="921">
        <f>IF(Meal_entry_week_1!$Q$551&gt;0,100*D$379/(SUM($D$379:$S$379)+0.00001),0.00001)</f>
        <v>27.624675906438995</v>
      </c>
      <c r="N238" s="921">
        <f>IF(Meal_entry_week_1!$Q$32&gt;0,100*$D$389/(SUM($D$389:$S$389)+0.00001),0.00001)</f>
        <v>1.0000000000000001E-5</v>
      </c>
      <c r="O238" s="921">
        <f>IF(Meal_entry_week_1!$Q$131&gt;0,100*$D$388/(SUM($D$388:$S$388)+0.00001),0.00001)</f>
        <v>1.0000000000000001E-5</v>
      </c>
      <c r="P238" s="921">
        <f>IF(Meal_entry_week_1!$Q$230&gt;0,100*$D$387/(SUM($D$387:$S$387)+0.00001),0.00001)</f>
        <v>99.999990000000992</v>
      </c>
      <c r="Q238" s="921">
        <f>IF(Meal_entry_week_1!$Q$329&gt;0,100*$D$386/(SUM($D$386:$S$386)+0.00001),0.00001)</f>
        <v>1.0000000000000001E-5</v>
      </c>
      <c r="R238" s="921">
        <f>IF(Meal_entry_week_1!$Q$428&gt;0,100*$D$385/(SUM($D$385:$S$385)+0.00001),0.00001)</f>
        <v>1.0000000000000001E-5</v>
      </c>
      <c r="S238" s="921">
        <f>IF(Meal_entry_week_1!$Q$51&gt;0,100*$D$395/(SUM($D$395:$S$395)+0.00001),0.00001)</f>
        <v>0</v>
      </c>
      <c r="T238" s="921">
        <f>IF(Meal_entry_week_1!$Q$150&gt;0,100*$D$394/(SUM($D$394:$S$394)+0.00001),0.00001)</f>
        <v>0</v>
      </c>
      <c r="U238" s="921">
        <f>IF(Meal_entry_week_1!$Q$249&gt;0,100*$D$393/(SUM($D$393:$S$393)+0.00001),0.00001)</f>
        <v>0</v>
      </c>
      <c r="V238" s="921">
        <f>IF(Meal_entry_week_1!$Q$348&gt;0,100*$D$392/(SUM($D$392:$S$392)+0.00001),0.00001)</f>
        <v>0</v>
      </c>
      <c r="W238" s="921">
        <f>IF(Meal_entry_week_1!$Q$447&gt;0,100*$D$391/(SUM($D$391:$S$391)+0.00001),0.00001)</f>
        <v>0</v>
      </c>
      <c r="X238" s="921">
        <f>IF(Meal_entry_week_1!$Q$83&gt;0,100*$D$401/(SUM($D$401:$S$401)+0.00001),0.00001)</f>
        <v>50.022736849738713</v>
      </c>
      <c r="Y238" s="921">
        <f>IF(Meal_entry_week_1!$Q$182&gt;0,100*$D$400/(SUM($D$400:$S$400)+0.00001),0.00001)</f>
        <v>10.32204768121289</v>
      </c>
      <c r="Z238" s="921">
        <f>IF(Meal_entry_week_1!$Q$281&gt;0,100*$D$399/(SUM($D$399:$S$399)+0.00001),0.00001)</f>
        <v>32.657416592157595</v>
      </c>
      <c r="AA238" s="921">
        <f>IF(Meal_entry_week_1!$Q$380&gt;0,100*$D$398/(SUM($D$398:$S$398)+0.00001),0.00001)</f>
        <v>33.680342411507311</v>
      </c>
      <c r="AB238" s="921">
        <f>IF(Meal_entry_week_1!$Q$479&gt;0,100*$D$397/(SUM($D$397:$S$397)+0.00001),0.00001)</f>
        <v>35.680589489997608</v>
      </c>
      <c r="AC238" s="921">
        <f>IF(Meal_entry_week_1!$Q$102&gt;0,100*$D$407/(SUM($D$407:$S$407)+0.00001),0.00001)</f>
        <v>1.0000000000000001E-5</v>
      </c>
      <c r="AD238" s="921">
        <f>IF(Meal_entry_week_1!$Q$201&gt;0,100*$D$406/(SUM($D$406:$S$406)+0.00001),0.00001)</f>
        <v>1.0000000000000001E-5</v>
      </c>
      <c r="AE238" s="921">
        <f>IF(Meal_entry_week_1!$Q$300&gt;0,100*$D$405/(SUM($D$405:$S$405)+0.00001),0.00001)</f>
        <v>1.0000000000000001E-5</v>
      </c>
      <c r="AF238" s="921">
        <f>IF(Meal_entry_week_1!$Q$399&gt;0,100*$D$404/(SUM($D$404:$S$404)+0.00001),0.00001)</f>
        <v>1.0000000000000001E-5</v>
      </c>
      <c r="AG238" s="921">
        <f>IF(Meal_entry_week_1!$Q$498&gt;0,100*$D$403/(SUM($D$403:$S$403)+0.00001),0.00001)</f>
        <v>1.0000000000000001E-5</v>
      </c>
    </row>
    <row r="239" spans="1:34">
      <c r="A239" s="872"/>
      <c r="B239" s="947" t="s">
        <v>796</v>
      </c>
      <c r="C239" s="873"/>
      <c r="D239" s="948">
        <f>100*(SUM(E$379:E$383)/SUM($D$379:$S$383))</f>
        <v>2.3698242380356791</v>
      </c>
      <c r="E239" s="948">
        <f>IF(Meal_entry_week_1!$Q$512&gt;0,100*SUM(E$385:E$389)/SUM($D$385:$S$389),0.00001)</f>
        <v>0</v>
      </c>
      <c r="F239" s="948">
        <f>IF(Meal_entry_week_1!$Q$522&gt;0,100*SUM(E$391:E$395)/SUM($D$391:$S$395),0.00001)</f>
        <v>2.3557126030624262</v>
      </c>
      <c r="G239" s="948">
        <f>IF(Meal_entry_week_1!$Q$532&gt;0,100*SUM(E$397:E$401)/SUM($D$397:$S$401),0.00001)</f>
        <v>2.4572180781044319</v>
      </c>
      <c r="H239" s="949">
        <f>IF(Meal_entry_week_1!$Q$542&gt;0,100*SUM(E$403:E$407)/SUM($D$403:$S$407),0.00001)</f>
        <v>1.0000000000000001E-5</v>
      </c>
      <c r="I239" s="921">
        <f>IF(Meal_entry_week_1!$Q$547&gt;0,100*$E$383/(SUM($D$383:$S$383)+0.00001),0.00001)</f>
        <v>0</v>
      </c>
      <c r="J239" s="921">
        <f>IF(Meal_entry_week_1!$Q$548&gt;0,100*E$382/(SUM($D$382:$S$382)+0.00001),0.00001)</f>
        <v>3.3647374938637706</v>
      </c>
      <c r="K239" s="921">
        <f>IF(Meal_entry_week_1!$Q$549&gt;0,100*E$381/(SUM($D$381:$S$381)+0.00001),0.00001)</f>
        <v>0</v>
      </c>
      <c r="L239" s="921">
        <f>IF(Meal_entry_week_1!$Q$550&gt;0,100*E$380/(SUM($D$380:$S$380)+0.00001),0.00001)</f>
        <v>8.7807324538292466</v>
      </c>
      <c r="M239" s="921">
        <f>IF(Meal_entry_week_1!$Q$551&gt;0,100*E$379/(SUM($D$379:$S$379)+0.00001),0.00001)</f>
        <v>0</v>
      </c>
      <c r="N239" s="921">
        <f>IF(Meal_entry_week_1!$Q$32&gt;0,100*$E$389/(SUM($D$389:$S$389)+0.00001),0.00001)</f>
        <v>1.0000000000000001E-5</v>
      </c>
      <c r="O239" s="921">
        <f>IF(Meal_entry_week_1!$Q$131&gt;0,100*$E$388/(SUM($D$388:$S$388)+0.00001),0.00001)</f>
        <v>1.0000000000000001E-5</v>
      </c>
      <c r="P239" s="921">
        <f>IF(Meal_entry_week_1!$Q$230&gt;0,100*$E$387/(SUM($D$387:$S$387)+0.00001),0.00001)</f>
        <v>0</v>
      </c>
      <c r="Q239" s="921">
        <f>IF(Meal_entry_week_1!$Q$329&gt;0,100*$E$386/(SUM($D$386:$S$386)+0.00001),0.00001)</f>
        <v>1.0000000000000001E-5</v>
      </c>
      <c r="R239" s="921">
        <f>IF(Meal_entry_week_1!$Q$428&gt;0,100*$E$385/(SUM($D$385:$S$385)+0.00001),0.00001)</f>
        <v>1.0000000000000001E-5</v>
      </c>
      <c r="S239" s="921">
        <f>IF(Meal_entry_week_1!$Q$51&gt;0,100*$E$395/(SUM($D$395:$S$395)+0.00001),0.00001)</f>
        <v>0</v>
      </c>
      <c r="T239" s="921">
        <f>IF(Meal_entry_week_1!$Q$150&gt;0,100*$E$394/(SUM($D$394:$S$394)+0.00001),0.00001)</f>
        <v>18.181816528925768</v>
      </c>
      <c r="U239" s="921">
        <f>IF(Meal_entry_week_1!$Q$249&gt;0,100*$E$393/(SUM($D$393:$S$393)+0.00001),0.00001)</f>
        <v>0</v>
      </c>
      <c r="V239" s="921">
        <f>IF(Meal_entry_week_1!$Q$348&gt;0,100*$E$392/(SUM($D$392:$S$392)+0.00001),0.00001)</f>
        <v>0</v>
      </c>
      <c r="W239" s="921">
        <f>IF(Meal_entry_week_1!$Q$447&gt;0,100*$E$391/(SUM($D$391:$S$391)+0.00001),0.00001)</f>
        <v>0</v>
      </c>
      <c r="X239" s="921">
        <f>IF(Meal_entry_week_1!$Q$83&gt;0,100*$E$401/(SUM($D$401:$S$401)+0.00001),0.00001)</f>
        <v>0</v>
      </c>
      <c r="Y239" s="921">
        <f>IF(Meal_entry_week_1!$Q$182&gt;0,100*$E$400/(SUM($D$400:$S$400)+0.00001),0.00001)</f>
        <v>0</v>
      </c>
      <c r="Z239" s="921">
        <f>IF(Meal_entry_week_1!$Q$281&gt;0,100*$E$399/(SUM($D$399:$S$399)+0.00001),0.00001)</f>
        <v>0</v>
      </c>
      <c r="AA239" s="921">
        <f>IF(Meal_entry_week_1!$Q$380&gt;0,100*$E$398/(SUM($D$398:$S$398)+0.00001),0.00001)</f>
        <v>10.716472585479599</v>
      </c>
      <c r="AB239" s="921">
        <f>IF(Meal_entry_week_1!$Q$479&gt;0,100*$E$397/(SUM($D$397:$S$397)+0.00001),0.00001)</f>
        <v>0</v>
      </c>
      <c r="AC239" s="921">
        <f>IF(Meal_entry_week_1!$Q$102&gt;0,100*$E$407/(SUM($D$407:$S$407)+0.00001),0.00001)</f>
        <v>1.0000000000000001E-5</v>
      </c>
      <c r="AD239" s="921">
        <f>IF(Meal_entry_week_1!$Q$201&gt;0,100*$E$406/(SUM($D$406:$S$406)+0.00001),0.00001)</f>
        <v>1.0000000000000001E-5</v>
      </c>
      <c r="AE239" s="921">
        <f>IF(Meal_entry_week_1!$Q$300&gt;0,100*$E$405/(SUM($D$405:$S$405)+0.00001),0.00001)</f>
        <v>1.0000000000000001E-5</v>
      </c>
      <c r="AF239" s="921">
        <f>IF(Meal_entry_week_1!$Q$399&gt;0,100*$E$404/(SUM($D$404:$S$404)+0.00001),0.00001)</f>
        <v>1.0000000000000001E-5</v>
      </c>
      <c r="AG239" s="921">
        <f>IF(Meal_entry_week_1!$Q$498&gt;0,100*$E$403/(SUM($D$403:$S$403)+0.00001),0.00001)</f>
        <v>1.0000000000000001E-5</v>
      </c>
    </row>
    <row r="240" spans="1:34">
      <c r="A240" s="872"/>
      <c r="B240" s="947" t="s">
        <v>1733</v>
      </c>
      <c r="C240" s="873"/>
      <c r="D240" s="948">
        <f>100*(SUM(F$379:F$383)/SUM($D$379:$S$383))</f>
        <v>19.564215654005661</v>
      </c>
      <c r="E240" s="948">
        <f>IF(Meal_entry_week_1!$Q$512&gt;0,100*SUM(F$385:F$389)/SUM($D$385:$S$389),0.00001)</f>
        <v>0</v>
      </c>
      <c r="F240" s="948">
        <f>IF(Meal_entry_week_1!$Q$522&gt;0,100*SUM(F$391:F$395)/SUM($D$391:$S$395),0.00001)</f>
        <v>2.7090694935217905</v>
      </c>
      <c r="G240" s="948">
        <f>IF(Meal_entry_week_1!$Q$532&gt;0,100*SUM(F$397:F$401)/SUM($D$397:$S$401),0.00001)</f>
        <v>25.274243089074155</v>
      </c>
      <c r="H240" s="949">
        <f>IF(Meal_entry_week_1!$Q$542&gt;0,100*SUM(F$403:F$407)/SUM($D$403:$S$407),0.00001)</f>
        <v>1.0000000000000001E-5</v>
      </c>
      <c r="I240" s="921">
        <f>IF(Meal_entry_week_1!$Q$547&gt;0,100*$F$383/(SUM($D$383:$S$383)+0.00001),0.00001)</f>
        <v>16.954899774444446</v>
      </c>
      <c r="J240" s="921">
        <f>IF(Meal_entry_week_1!$Q$548&gt;0,100*F$382/(SUM($D$382:$S$382)+0.00001),0.00001)</f>
        <v>25.23553120397828</v>
      </c>
      <c r="K240" s="921">
        <f>IF(Meal_entry_week_1!$Q$549&gt;0,100*F$381/(SUM($D$381:$S$381)+0.00001),0.00001)</f>
        <v>19.518542361502377</v>
      </c>
      <c r="L240" s="921">
        <f>IF(Meal_entry_week_1!$Q$550&gt;0,100*F$380/(SUM($D$380:$S$380)+0.00001),0.00001)</f>
        <v>17.937782012822602</v>
      </c>
      <c r="M240" s="921">
        <f>IF(Meal_entry_week_1!$Q$551&gt;0,100*F$379/(SUM($D$379:$S$379)+0.00001),0.00001)</f>
        <v>19.921641278681967</v>
      </c>
      <c r="N240" s="921">
        <f>IF(Meal_entry_week_1!$Q$32&gt;0,100*$F$389/(SUM($D$389:$S$389)+0.00001),0.00001)</f>
        <v>1.0000000000000001E-5</v>
      </c>
      <c r="O240" s="921">
        <f>IF(Meal_entry_week_1!$Q$131&gt;0,100*$F$388/(SUM($D$388:$S$388)+0.00001),0.00001)</f>
        <v>1.0000000000000001E-5</v>
      </c>
      <c r="P240" s="921">
        <f>IF(Meal_entry_week_1!$Q$230&gt;0,100*$F$387/(SUM($D$387:$S$387)+0.00001),0.00001)</f>
        <v>0</v>
      </c>
      <c r="Q240" s="921">
        <f>IF(Meal_entry_week_1!$Q$329&gt;0,100*$F$386/(SUM($D$386:$S$386)+0.00001),0.00001)</f>
        <v>1.0000000000000001E-5</v>
      </c>
      <c r="R240" s="921">
        <f>IF(Meal_entry_week_1!$Q$428&gt;0,100*$F$385/(SUM($D$385:$S$385)+0.00001),0.00001)</f>
        <v>1.0000000000000001E-5</v>
      </c>
      <c r="S240" s="921">
        <f>IF(Meal_entry_week_1!$Q$51&gt;0,100*$F$395/(SUM($D$395:$S$395)+0.00001),0.00001)</f>
        <v>0</v>
      </c>
      <c r="T240" s="921">
        <f>IF(Meal_entry_week_1!$Q$150&gt;0,100*$F$394/(SUM($D$394:$S$394)+0.00001),0.00001)</f>
        <v>0</v>
      </c>
      <c r="U240" s="921">
        <f>IF(Meal_entry_week_1!$Q$249&gt;0,100*$F$393/(SUM($D$393:$S$393)+0.00001),0.00001)</f>
        <v>0</v>
      </c>
      <c r="V240" s="921">
        <f>IF(Meal_entry_week_1!$Q$348&gt;0,100*$F$392/(SUM($D$392:$S$392)+0.00001),0.00001)</f>
        <v>15.972221113040201</v>
      </c>
      <c r="W240" s="921">
        <f>IF(Meal_entry_week_1!$Q$447&gt;0,100*$F$391/(SUM($D$391:$S$391)+0.00001),0.00001)</f>
        <v>0</v>
      </c>
      <c r="X240" s="921">
        <f>IF(Meal_entry_week_1!$Q$83&gt;0,100*$F$401/(SUM($D$401:$S$401)+0.00001),0.00001)</f>
        <v>22.737607658972145</v>
      </c>
      <c r="Y240" s="921">
        <f>IF(Meal_entry_week_1!$Q$182&gt;0,100*$F$400/(SUM($D$400:$S$400)+0.00001),0.00001)</f>
        <v>30.96614304363867</v>
      </c>
      <c r="Z240" s="921">
        <f>IF(Meal_entry_week_1!$Q$281&gt;0,100*$F$399/(SUM($D$399:$S$399)+0.00001),0.00001)</f>
        <v>32.017075090350588</v>
      </c>
      <c r="AA240" s="921">
        <f>IF(Meal_entry_week_1!$Q$380&gt;0,100*$F$398/(SUM($D$398:$S$398)+0.00001),0.00001)</f>
        <v>18.371095860822169</v>
      </c>
      <c r="AB240" s="921">
        <f>IF(Meal_entry_week_1!$Q$479&gt;0,100*$F$397/(SUM($D$397:$S$397)+0.00001),0.00001)</f>
        <v>25.731194343748275</v>
      </c>
      <c r="AC240" s="921">
        <f>IF(Meal_entry_week_1!$Q$102&gt;0,100*$F$407/(SUM($D$407:$S$407)+0.00001),0.00001)</f>
        <v>1.0000000000000001E-5</v>
      </c>
      <c r="AD240" s="921">
        <f>IF(Meal_entry_week_1!$Q$201&gt;0,100*$F$406/(SUM($D$406:$S$406)+0.00001),0.00001)</f>
        <v>1.0000000000000001E-5</v>
      </c>
      <c r="AE240" s="921">
        <f>IF(Meal_entry_week_1!$Q$300&gt;0,100*$F$405/(SUM($D$405:$S$405)+0.00001),0.00001)</f>
        <v>1.0000000000000001E-5</v>
      </c>
      <c r="AF240" s="921">
        <f>IF(Meal_entry_week_1!$Q$399&gt;0,100*$F$404/(SUM($D$404:$S$404)+0.00001),0.00001)</f>
        <v>1.0000000000000001E-5</v>
      </c>
      <c r="AG240" s="921">
        <f>IF(Meal_entry_week_1!$Q$498&gt;0,100*$F$403/(SUM($D$403:$S$403)+0.00001),0.00001)</f>
        <v>1.0000000000000001E-5</v>
      </c>
    </row>
    <row r="241" spans="1:33">
      <c r="A241" s="1004"/>
      <c r="B241" s="947" t="s">
        <v>806</v>
      </c>
      <c r="C241" s="919"/>
      <c r="D241" s="948">
        <f>100*(SUM(G$379:G$383)/SUM($D$379:$S$383))</f>
        <v>3.686393259166612</v>
      </c>
      <c r="E241" s="948">
        <f>IF(Meal_entry_week_1!$Q$512&gt;0,100*SUM(G$385:G$389)/SUM($D$385:$S$389),0.00001)</f>
        <v>0</v>
      </c>
      <c r="F241" s="948">
        <f>IF(Meal_entry_week_1!$Q$522&gt;0,100*SUM(G$391:G$395)/SUM($D$391:$S$395),0.00001)</f>
        <v>0</v>
      </c>
      <c r="G241" s="948">
        <f>IF(Meal_entry_week_1!$Q$532&gt;0,100*SUM(G$397:G$401)/SUM($D$397:$S$401),0.00001)</f>
        <v>4.9144361562088639</v>
      </c>
      <c r="H241" s="949">
        <f>IF(Meal_entry_week_1!$Q$542&gt;0,100*SUM(G$403:G$407)/SUM($D$403:$S$407),0.00001)</f>
        <v>1.0000000000000001E-5</v>
      </c>
      <c r="I241" s="921">
        <f>IF(Meal_entry_week_1!$Q$547&gt;0,100*$G$383/(SUM($D$383:$S$383)+0.00001),0.00001)</f>
        <v>4.521306606518519</v>
      </c>
      <c r="J241" s="921">
        <f>IF(Meal_entry_week_1!$Q$548&gt;0,100*G$382/(SUM($D$382:$S$382)+0.00001),0.00001)</f>
        <v>5.0471062407956557</v>
      </c>
      <c r="K241" s="921">
        <f>IF(Meal_entry_week_1!$Q$549&gt;0,100*G$381/(SUM($D$381:$S$381)+0.00001),0.00001)</f>
        <v>0</v>
      </c>
      <c r="L241" s="921">
        <f>IF(Meal_entry_week_1!$Q$550&gt;0,100*G$380/(SUM($D$380:$S$380)+0.00001),0.00001)</f>
        <v>6.271951752735176</v>
      </c>
      <c r="M241" s="921">
        <f>IF(Meal_entry_week_1!$Q$551&gt;0,100*G$379/(SUM($D$379:$S$379)+0.00001),0.00001)</f>
        <v>2.6562188371575957</v>
      </c>
      <c r="N241" s="921">
        <f>IF(Meal_entry_week_1!$Q$32&gt;0,100*$G$389/(SUM($D$389:$S$389)+0.00001),0.00001)</f>
        <v>1.0000000000000001E-5</v>
      </c>
      <c r="O241" s="921">
        <f>IF(Meal_entry_week_1!$Q$131&gt;0,100*$G$388/(SUM($D$388:$S$388)+0.00001),0.00001)</f>
        <v>1.0000000000000001E-5</v>
      </c>
      <c r="P241" s="921">
        <f>IF(Meal_entry_week_1!$Q$230&gt;0,100*$G$387/(SUM($D$387:$S$387)+0.00001),0.00001)</f>
        <v>0</v>
      </c>
      <c r="Q241" s="921">
        <f>IF(Meal_entry_week_1!$Q$329&gt;0,100*$G$386/(SUM($D$386:$S$386)+0.00001),0.00001)</f>
        <v>1.0000000000000001E-5</v>
      </c>
      <c r="R241" s="921">
        <f>IF(Meal_entry_week_1!$Q$428&gt;0,100*$G$385/(SUM($D$385:$S$385)+0.00001),0.00001)</f>
        <v>1.0000000000000001E-5</v>
      </c>
      <c r="S241" s="921">
        <f>IF(Meal_entry_week_1!$Q$51&gt;0,100*$G$395/(SUM($D$395:$S$395)+0.00001),0.00001)</f>
        <v>0</v>
      </c>
      <c r="T241" s="921">
        <f>IF(Meal_entry_week_1!$Q$150&gt;0,100*$G$394/(SUM($D$394:$S$394)+0.00001),0.00001)</f>
        <v>0</v>
      </c>
      <c r="U241" s="921">
        <f>IF(Meal_entry_week_1!$Q$249&gt;0,100*$G$393/(SUM($D$393:$S$393)+0.00001),0.00001)</f>
        <v>0</v>
      </c>
      <c r="V241" s="921">
        <f>IF(Meal_entry_week_1!$Q$348&gt;0,100*$G$392/(SUM($D$392:$S$392)+0.00001),0.00001)</f>
        <v>0</v>
      </c>
      <c r="W241" s="921">
        <f>IF(Meal_entry_week_1!$Q$447&gt;0,100*$G$391/(SUM($D$391:$S$391)+0.00001),0.00001)</f>
        <v>0</v>
      </c>
      <c r="X241" s="921">
        <f>IF(Meal_entry_week_1!$Q$83&gt;0,100*$G$401/(SUM($D$401:$S$401)+0.00001),0.00001)</f>
        <v>6.0633620423925718</v>
      </c>
      <c r="Y241" s="921">
        <f>IF(Meal_entry_week_1!$Q$182&gt;0,100*$G$400/(SUM($D$400:$S$400)+0.00001),0.00001)</f>
        <v>6.1932286087277335</v>
      </c>
      <c r="Z241" s="921">
        <f>IF(Meal_entry_week_1!$Q$281&gt;0,100*$G$399/(SUM($D$399:$S$399)+0.00001),0.00001)</f>
        <v>0</v>
      </c>
      <c r="AA241" s="921">
        <f>IF(Meal_entry_week_1!$Q$380&gt;0,100*$G$398/(SUM($D$398:$S$398)+0.00001),0.00001)</f>
        <v>7.6546232753425709</v>
      </c>
      <c r="AB241" s="921">
        <f>IF(Meal_entry_week_1!$Q$479&gt;0,100*$G$397/(SUM($D$397:$S$397)+0.00001),0.00001)</f>
        <v>3.43082591249977</v>
      </c>
      <c r="AC241" s="921">
        <f>IF(Meal_entry_week_1!$Q$102&gt;0,100*$G$407/(SUM($D$407:$S$407)+0.00001),0.00001)</f>
        <v>1.0000000000000001E-5</v>
      </c>
      <c r="AD241" s="921">
        <f>IF(Meal_entry_week_1!$Q$201&gt;0,100*$G$406/(SUM($D$406:$S$406)+0.00001),0.00001)</f>
        <v>1.0000000000000001E-5</v>
      </c>
      <c r="AE241" s="921">
        <f>IF(Meal_entry_week_1!$Q$300&gt;0,100*$G$405/(SUM($D$405:$S$405)+0.00001),0.00001)</f>
        <v>1.0000000000000001E-5</v>
      </c>
      <c r="AF241" s="921">
        <f>IF(Meal_entry_week_1!$Q$399&gt;0,100*$G$404/(SUM($D$404:$S$404)+0.00001),0.00001)</f>
        <v>1.0000000000000001E-5</v>
      </c>
      <c r="AG241" s="921">
        <f>IF(Meal_entry_week_1!$Q$498&gt;0,100*$G$403/(SUM($D$403:$S$403)+0.00001),0.00001)</f>
        <v>1.0000000000000001E-5</v>
      </c>
    </row>
    <row r="242" spans="1:33">
      <c r="A242" s="1004"/>
      <c r="B242" s="947" t="s">
        <v>797</v>
      </c>
      <c r="C242" s="919"/>
      <c r="D242" s="948">
        <f>100*(SUM(H$379:H$383)/SUM($D$379:$S$383))</f>
        <v>2.6331380422618658</v>
      </c>
      <c r="E242" s="948">
        <f>IF(Meal_entry_week_1!$Q$512&gt;0,100*SUM(H$385:H$389)/SUM($D$385:$S$389),0.00001)</f>
        <v>0</v>
      </c>
      <c r="F242" s="948">
        <f>IF(Meal_entry_week_1!$Q$522&gt;0,100*SUM(H$391:H$395)/SUM($D$391:$S$395),0.00001)</f>
        <v>5.8892815076560661</v>
      </c>
      <c r="G242" s="948">
        <f>IF(Meal_entry_week_1!$Q$532&gt;0,100*SUM(H$397:H$401)/SUM($D$397:$S$401),0.00001)</f>
        <v>1.7551557700745941</v>
      </c>
      <c r="H242" s="949">
        <f>IF(Meal_entry_week_1!$Q$542&gt;0,100*SUM(H$403:H$407)/SUM($D$403:$S$407),0.00001)</f>
        <v>1.0000000000000001E-5</v>
      </c>
      <c r="I242" s="921">
        <f>IF(Meal_entry_week_1!$Q$547&gt;0,100*$H$383/(SUM($D$383:$S$383)+0.00001),0.00001)</f>
        <v>5.6516332581481485</v>
      </c>
      <c r="J242" s="921">
        <f>IF(Meal_entry_week_1!$Q$548&gt;0,100*H$382/(SUM($D$382:$S$382)+0.00001),0.00001)</f>
        <v>0</v>
      </c>
      <c r="K242" s="921">
        <f>IF(Meal_entry_week_1!$Q$549&gt;0,100*H$381/(SUM($D$381:$S$381)+0.00001),0.00001)</f>
        <v>6.5061807871674588</v>
      </c>
      <c r="L242" s="921">
        <f>IF(Meal_entry_week_1!$Q$550&gt;0,100*H$380/(SUM($D$380:$S$380)+0.00001),0.00001)</f>
        <v>0</v>
      </c>
      <c r="M242" s="921">
        <f>IF(Meal_entry_week_1!$Q$551&gt;0,100*H$379/(SUM($D$379:$S$379)+0.00001),0.00001)</f>
        <v>0</v>
      </c>
      <c r="N242" s="921">
        <f>IF(Meal_entry_week_1!$Q$32&gt;0,100*$H$389/(SUM($D$389:$S$389)+0.00001),0.00001)</f>
        <v>1.0000000000000001E-5</v>
      </c>
      <c r="O242" s="921">
        <f>IF(Meal_entry_week_1!$Q$131&gt;0,100*$H$388/(SUM($D$388:$S$388)+0.00001),0.00001)</f>
        <v>1.0000000000000001E-5</v>
      </c>
      <c r="P242" s="921">
        <f>IF(Meal_entry_week_1!$Q$230&gt;0,100*$H$387/(SUM($D$387:$S$387)+0.00001),0.00001)</f>
        <v>0</v>
      </c>
      <c r="Q242" s="921">
        <f>IF(Meal_entry_week_1!$Q$329&gt;0,100*$H$386/(SUM($D$386:$S$386)+0.00001),0.00001)</f>
        <v>1.0000000000000001E-5</v>
      </c>
      <c r="R242" s="921">
        <f>IF(Meal_entry_week_1!$Q$428&gt;0,100*$H$385/(SUM($D$385:$S$385)+0.00001),0.00001)</f>
        <v>1.0000000000000001E-5</v>
      </c>
      <c r="S242" s="921">
        <f>IF(Meal_entry_week_1!$Q$51&gt;0,100*$H$395/(SUM($D$395:$S$395)+0.00001),0.00001)</f>
        <v>22.222221234567943</v>
      </c>
      <c r="T242" s="921">
        <f>IF(Meal_entry_week_1!$Q$150&gt;0,100*$H$394/(SUM($D$394:$S$394)+0.00001),0.00001)</f>
        <v>0</v>
      </c>
      <c r="U242" s="921">
        <f>IF(Meal_entry_week_1!$Q$249&gt;0,100*$H$393/(SUM($D$393:$S$393)+0.00001),0.00001)</f>
        <v>0</v>
      </c>
      <c r="V242" s="921">
        <f>IF(Meal_entry_week_1!$Q$348&gt;0,100*$H$392/(SUM($D$392:$S$392)+0.00001),0.00001)</f>
        <v>0</v>
      </c>
      <c r="W242" s="921">
        <f>IF(Meal_entry_week_1!$Q$447&gt;0,100*$H$391/(SUM($D$391:$S$391)+0.00001),0.00001)</f>
        <v>0</v>
      </c>
      <c r="X242" s="921">
        <f>IF(Meal_entry_week_1!$Q$83&gt;0,100*$H$401/(SUM($D$401:$S$401)+0.00001),0.00001)</f>
        <v>0</v>
      </c>
      <c r="Y242" s="921">
        <f>IF(Meal_entry_week_1!$Q$182&gt;0,100*$H$400/(SUM($D$400:$S$400)+0.00001),0.00001)</f>
        <v>0</v>
      </c>
      <c r="Z242" s="921">
        <f>IF(Meal_entry_week_1!$Q$281&gt;0,100*$H$399/(SUM($D$399:$S$399)+0.00001),0.00001)</f>
        <v>10.672358363450195</v>
      </c>
      <c r="AA242" s="921">
        <f>IF(Meal_entry_week_1!$Q$380&gt;0,100*$H$398/(SUM($D$398:$S$398)+0.00001),0.00001)</f>
        <v>0</v>
      </c>
      <c r="AB242" s="921">
        <f>IF(Meal_entry_week_1!$Q$479&gt;0,100*$H$397/(SUM($D$397:$S$397)+0.00001),0.00001)</f>
        <v>0</v>
      </c>
      <c r="AC242" s="921">
        <f>IF(Meal_entry_week_1!$Q$102&gt;0,100*$H$407/(SUM($D$407:$S$407)+0.00001),0.00001)</f>
        <v>1.0000000000000001E-5</v>
      </c>
      <c r="AD242" s="921">
        <f>IF(Meal_entry_week_1!$Q$201&gt;0,100*$H$406/(SUM($D$406:$S$406)+0.00001),0.00001)</f>
        <v>1.0000000000000001E-5</v>
      </c>
      <c r="AE242" s="921">
        <f>IF(Meal_entry_week_1!$Q$300&gt;0,100*$H$405/(SUM($D$405:$S$405)+0.00001),0.00001)</f>
        <v>1.0000000000000001E-5</v>
      </c>
      <c r="AF242" s="921">
        <f>IF(Meal_entry_week_1!$Q$399&gt;0,100*$H$404/(SUM($D$404:$S$404)+0.00001),0.00001)</f>
        <v>1.0000000000000001E-5</v>
      </c>
      <c r="AG242" s="921">
        <f>IF(Meal_entry_week_1!$Q$498&gt;0,100*$H$403/(SUM($D$403:$S$403)+0.00001),0.00001)</f>
        <v>1.0000000000000001E-5</v>
      </c>
    </row>
    <row r="243" spans="1:33">
      <c r="A243" s="1062"/>
      <c r="B243" s="947" t="s">
        <v>807</v>
      </c>
      <c r="C243" s="950"/>
      <c r="D243" s="948">
        <f>100*(SUM(I$379:I$383)/SUM($D$379:$S$383))</f>
        <v>0.52662760845237311</v>
      </c>
      <c r="E243" s="948">
        <f>IF(Meal_entry_week_1!$Q$512&gt;0,100*SUM(I$385:I$389)/SUM($D$385:$S$389),0.00001)</f>
        <v>0</v>
      </c>
      <c r="F243" s="948">
        <f>IF(Meal_entry_week_1!$Q$522&gt;0,100*SUM(I$391:I$395)/SUM($D$391:$S$395),0.00001)</f>
        <v>2.3557126030624262</v>
      </c>
      <c r="G243" s="948">
        <f>IF(Meal_entry_week_1!$Q$532&gt;0,100*SUM(I$397:I$401)/SUM($D$397:$S$401),0.00001)</f>
        <v>0</v>
      </c>
      <c r="H243" s="949">
        <f>IF(Meal_entry_week_1!$Q$542&gt;0,100*SUM(I$403:I$407)/SUM($D$403:$S$407),0.00001)</f>
        <v>1.0000000000000001E-5</v>
      </c>
      <c r="I243" s="921">
        <f>IF(Meal_entry_week_1!$Q$547&gt;0,100*$I$383/(SUM($D$383:$S$383)+0.00001),0.00001)</f>
        <v>0</v>
      </c>
      <c r="J243" s="921">
        <f>IF(Meal_entry_week_1!$Q$548&gt;0,100*I$382/(SUM($D$382:$S$382)+0.00001),0.00001)</f>
        <v>3.3647374938637706</v>
      </c>
      <c r="K243" s="921">
        <f>IF(Meal_entry_week_1!$Q$549&gt;0,100*I$381/(SUM($D$381:$S$381)+0.00001),0.00001)</f>
        <v>0</v>
      </c>
      <c r="L243" s="921">
        <f>IF(Meal_entry_week_1!$Q$550&gt;0,100*I$380/(SUM($D$380:$S$380)+0.00001),0.00001)</f>
        <v>0</v>
      </c>
      <c r="M243" s="921">
        <f>IF(Meal_entry_week_1!$Q$551&gt;0,100*I$379/(SUM($D$379:$S$379)+0.00001),0.00001)</f>
        <v>0</v>
      </c>
      <c r="N243" s="921">
        <f>IF(Meal_entry_week_1!$Q$32&gt;0,100*$I$389/(SUM($D$389:$S$389)+0.00001),0.00001)</f>
        <v>1.0000000000000001E-5</v>
      </c>
      <c r="O243" s="921">
        <f>IF(Meal_entry_week_1!$Q$131&gt;0,100*$I$388/(SUM($D$388:$S$388)+0.00001),0.00001)</f>
        <v>1.0000000000000001E-5</v>
      </c>
      <c r="P243" s="921">
        <f>IF(Meal_entry_week_1!$Q$230&gt;0,100*$I$387/(SUM($D$387:$S$387)+0.00001),0.00001)</f>
        <v>0</v>
      </c>
      <c r="Q243" s="921">
        <f>IF(Meal_entry_week_1!$Q$329&gt;0,100*$I$386/(SUM($D$386:$S$386)+0.00001),0.00001)</f>
        <v>1.0000000000000001E-5</v>
      </c>
      <c r="R243" s="921">
        <f>IF(Meal_entry_week_1!$Q$428&gt;0,100*$I$385/(SUM($D$385:$S$385)+0.00001),0.00001)</f>
        <v>1.0000000000000001E-5</v>
      </c>
      <c r="S243" s="921">
        <f>IF(Meal_entry_week_1!$Q$51&gt;0,100*$I$395/(SUM($D$395:$S$395)+0.00001),0.00001)</f>
        <v>0</v>
      </c>
      <c r="T243" s="921">
        <f>IF(Meal_entry_week_1!$Q$150&gt;0,100*$I$394/(SUM($D$394:$S$394)+0.00001),0.00001)</f>
        <v>18.181816528925768</v>
      </c>
      <c r="U243" s="921">
        <f>IF(Meal_entry_week_1!$Q$249&gt;0,100*$I$393/(SUM($D$393:$S$393)+0.00001),0.00001)</f>
        <v>0</v>
      </c>
      <c r="V243" s="921">
        <f>IF(Meal_entry_week_1!$Q$348&gt;0,100*$I$392/(SUM($D$392:$S$392)+0.00001),0.00001)</f>
        <v>0</v>
      </c>
      <c r="W243" s="921">
        <f>IF(Meal_entry_week_1!$Q$447&gt;0,100*$I$391/(SUM($D$391:$S$391)+0.00001),0.00001)</f>
        <v>0</v>
      </c>
      <c r="X243" s="921">
        <f>IF(Meal_entry_week_1!$Q$83&gt;0,100*$I$401/(SUM($D$401:$S$401)+0.00001),0.00001)</f>
        <v>0</v>
      </c>
      <c r="Y243" s="921">
        <f>IF(Meal_entry_week_1!$Q$182&gt;0,100*$I$400/(SUM($D$400:$S$400)+0.00001),0.00001)</f>
        <v>0</v>
      </c>
      <c r="Z243" s="921">
        <f>IF(Meal_entry_week_1!$Q$281&gt;0,100*$I$399/(SUM($D$399:$S$399)+0.00001),0.00001)</f>
        <v>0</v>
      </c>
      <c r="AA243" s="921">
        <f>IF(Meal_entry_week_1!$Q$380&gt;0,100*$I$398/(SUM($D$398:$S$398)+0.00001),0.00001)</f>
        <v>0</v>
      </c>
      <c r="AB243" s="921">
        <f>IF(Meal_entry_week_1!$Q$479&gt;0,100*$I$397/(SUM($D$397:$S$397)+0.00001),0.00001)</f>
        <v>0</v>
      </c>
      <c r="AC243" s="921">
        <f>IF(Meal_entry_week_1!$Q$102&gt;0,100*$I$407/(SUM($D$407:$S$407)+0.00001),0.00001)</f>
        <v>1.0000000000000001E-5</v>
      </c>
      <c r="AD243" s="921">
        <f>IF(Meal_entry_week_1!$Q$201&gt;0,100*$I$406/(SUM($D$406:$S$406)+0.00001),0.00001)</f>
        <v>1.0000000000000001E-5</v>
      </c>
      <c r="AE243" s="921">
        <f>IF(Meal_entry_week_1!$Q$300&gt;0,100*$I$405/(SUM($D$405:$S$405)+0.00001),0.00001)</f>
        <v>1.0000000000000001E-5</v>
      </c>
      <c r="AF243" s="921">
        <f>IF(Meal_entry_week_1!$Q$399&gt;0,100*$I$404/(SUM($D$404:$S$404)+0.00001),0.00001)</f>
        <v>1.0000000000000001E-5</v>
      </c>
      <c r="AG243" s="921">
        <f>IF(Meal_entry_week_1!$Q$498&gt;0,100*$I$403/(SUM($D$403:$S$403)+0.00001),0.00001)</f>
        <v>1.0000000000000001E-5</v>
      </c>
    </row>
    <row r="244" spans="1:33">
      <c r="A244" s="872"/>
      <c r="B244" s="947" t="s">
        <v>224</v>
      </c>
      <c r="C244" s="873"/>
      <c r="D244" s="948">
        <f>100*(SUM(J$379:J$383)/SUM($D$379:$S$383))</f>
        <v>3.0281087486011455</v>
      </c>
      <c r="E244" s="948">
        <f>IF(Meal_entry_week_1!$Q$512&gt;0,100*SUM(J$385:J$389)/SUM($D$385:$S$389),0.00001)</f>
        <v>0</v>
      </c>
      <c r="F244" s="948">
        <f>IF(Meal_entry_week_1!$Q$522&gt;0,100*SUM(J$391:J$395)/SUM($D$391:$S$395),0.00001)</f>
        <v>1.1778563015312131</v>
      </c>
      <c r="G244" s="948">
        <f>IF(Meal_entry_week_1!$Q$532&gt;0,100*SUM(J$397:J$401)/SUM($D$397:$S$401),0.00001)</f>
        <v>3.6858271171566477</v>
      </c>
      <c r="H244" s="949">
        <f>IF(Meal_entry_week_1!$Q$542&gt;0,100*SUM(J$403:J$407)/SUM($D$403:$S$407),0.00001)</f>
        <v>1.0000000000000001E-5</v>
      </c>
      <c r="I244" s="921">
        <f>IF(Meal_entry_week_1!$Q$547&gt;0,100*$J$383/(SUM($D$383:$S$383)+0.00001),0.00001)</f>
        <v>3.3909799548888895</v>
      </c>
      <c r="J244" s="921">
        <f>IF(Meal_entry_week_1!$Q$548&gt;0,100*J$382/(SUM($D$382:$S$382)+0.00001),0.00001)</f>
        <v>5.0471062407956557</v>
      </c>
      <c r="K244" s="921">
        <f>IF(Meal_entry_week_1!$Q$549&gt;0,100*J$381/(SUM($D$381:$S$381)+0.00001),0.00001)</f>
        <v>0</v>
      </c>
      <c r="L244" s="921">
        <f>IF(Meal_entry_week_1!$Q$550&gt;0,100*J$380/(SUM($D$380:$S$380)+0.00001),0.00001)</f>
        <v>3.135975876367588</v>
      </c>
      <c r="M244" s="921">
        <f>IF(Meal_entry_week_1!$Q$551&gt;0,100*J$379/(SUM($D$379:$S$379)+0.00001),0.00001)</f>
        <v>3.9843282557363935</v>
      </c>
      <c r="N244" s="921">
        <f>IF(Meal_entry_week_1!$Q$32&gt;0,100*$J$389/(SUM($D$389:$S$389)+0.00001),0.00001)</f>
        <v>1.0000000000000001E-5</v>
      </c>
      <c r="O244" s="921">
        <f>IF(Meal_entry_week_1!$Q$131&gt;0,100*$J$388/(SUM($D$388:$S$388)+0.00001),0.00001)</f>
        <v>1.0000000000000001E-5</v>
      </c>
      <c r="P244" s="921">
        <f>IF(Meal_entry_week_1!$Q$230&gt;0,100*$J$387/(SUM($D$387:$S$387)+0.00001),0.00001)</f>
        <v>0</v>
      </c>
      <c r="Q244" s="921">
        <f>IF(Meal_entry_week_1!$Q$329&gt;0,100*$J$386/(SUM($D$386:$S$386)+0.00001),0.00001)</f>
        <v>1.0000000000000001E-5</v>
      </c>
      <c r="R244" s="921">
        <f>IF(Meal_entry_week_1!$Q$428&gt;0,100*$J$385/(SUM($D$385:$S$385)+0.00001),0.00001)</f>
        <v>1.0000000000000001E-5</v>
      </c>
      <c r="S244" s="921">
        <f>IF(Meal_entry_week_1!$Q$51&gt;0,100*$J$395/(SUM($D$395:$S$395)+0.00001),0.00001)</f>
        <v>0</v>
      </c>
      <c r="T244" s="921">
        <f>IF(Meal_entry_week_1!$Q$150&gt;0,100*$J$394/(SUM($D$394:$S$394)+0.00001),0.00001)</f>
        <v>0</v>
      </c>
      <c r="U244" s="921">
        <f>IF(Meal_entry_week_1!$Q$249&gt;0,100*$J$393/(SUM($D$393:$S$393)+0.00001),0.00001)</f>
        <v>0</v>
      </c>
      <c r="V244" s="921">
        <f>IF(Meal_entry_week_1!$Q$348&gt;0,100*$J$392/(SUM($D$392:$S$392)+0.00001),0.00001)</f>
        <v>6.9444439621913912</v>
      </c>
      <c r="W244" s="921">
        <f>IF(Meal_entry_week_1!$Q$447&gt;0,100*$J$391/(SUM($D$391:$S$391)+0.00001),0.00001)</f>
        <v>0</v>
      </c>
      <c r="X244" s="921">
        <f>IF(Meal_entry_week_1!$Q$83&gt;0,100*$J$401/(SUM($D$401:$S$401)+0.00001),0.00001)</f>
        <v>4.5475215317944286</v>
      </c>
      <c r="Y244" s="921">
        <f>IF(Meal_entry_week_1!$Q$182&gt;0,100*$J$400/(SUM($D$400:$S$400)+0.00001),0.00001)</f>
        <v>6.1932286087277335</v>
      </c>
      <c r="Z244" s="921">
        <f>IF(Meal_entry_week_1!$Q$281&gt;0,100*$J$399/(SUM($D$399:$S$399)+0.00001),0.00001)</f>
        <v>0</v>
      </c>
      <c r="AA244" s="921">
        <f>IF(Meal_entry_week_1!$Q$380&gt;0,100*$J$398/(SUM($D$398:$S$398)+0.00001),0.00001)</f>
        <v>2.2963869826027712</v>
      </c>
      <c r="AB244" s="921">
        <f>IF(Meal_entry_week_1!$Q$479&gt;0,100*$J$397/(SUM($D$397:$S$397)+0.00001),0.00001)</f>
        <v>5.1462388687496547</v>
      </c>
      <c r="AC244" s="921">
        <f>IF(Meal_entry_week_1!$Q$102&gt;0,100*$J$407/(SUM($D$407:$S$407)+0.00001),0.00001)</f>
        <v>1.0000000000000001E-5</v>
      </c>
      <c r="AD244" s="921">
        <f>IF(Meal_entry_week_1!$Q$201&gt;0,100*$J$406/(SUM($D$406:$S$406)+0.00001),0.00001)</f>
        <v>1.0000000000000001E-5</v>
      </c>
      <c r="AE244" s="921">
        <f>IF(Meal_entry_week_1!$Q$300&gt;0,100*$J$405/(SUM($D$405:$S$405)+0.00001),0.00001)</f>
        <v>1.0000000000000001E-5</v>
      </c>
      <c r="AF244" s="921">
        <f>IF(Meal_entry_week_1!$Q$399&gt;0,100*$J$404/(SUM($D$404:$S$404)+0.00001),0.00001)</f>
        <v>1.0000000000000001E-5</v>
      </c>
      <c r="AG244" s="921">
        <f>IF(Meal_entry_week_1!$Q$498&gt;0,100*$J$403/(SUM($D$403:$S$403)+0.00001),0.00001)</f>
        <v>1.0000000000000001E-5</v>
      </c>
    </row>
    <row r="245" spans="1:33">
      <c r="A245" s="872"/>
      <c r="B245" s="947" t="s">
        <v>798</v>
      </c>
      <c r="C245" s="873"/>
      <c r="D245" s="948">
        <f>100*(SUM(K$379:K$383)/SUM($D$379:$S$383))</f>
        <v>12.007109472714108</v>
      </c>
      <c r="E245" s="948">
        <f>IF(Meal_entry_week_1!$Q$512&gt;0,100*SUM(K$385:K$389)/SUM($D$385:$S$389),0.00001)</f>
        <v>0</v>
      </c>
      <c r="F245" s="948">
        <f>IF(Meal_entry_week_1!$Q$522&gt;0,100*SUM(K$391:K$395)/SUM($D$391:$S$395),0.00001)</f>
        <v>38.398115429917553</v>
      </c>
      <c r="G245" s="948">
        <f>IF(Meal_entry_week_1!$Q$532&gt;0,100*SUM(K$397:K$401)/SUM($D$397:$S$401),0.00001)</f>
        <v>4.563405002193945</v>
      </c>
      <c r="H245" s="949">
        <f>IF(Meal_entry_week_1!$Q$542&gt;0,100*SUM(K$403:K$407)/SUM($D$403:$S$407),0.00001)</f>
        <v>1.0000000000000001E-5</v>
      </c>
      <c r="I245" s="921">
        <f>IF(Meal_entry_week_1!$Q$547&gt;0,100*$K$383/(SUM($D$383:$S$383)+0.00001),0.00001)</f>
        <v>11.303266516296297</v>
      </c>
      <c r="J245" s="921">
        <f>IF(Meal_entry_week_1!$Q$548&gt;0,100*K$382/(SUM($D$382:$S$382)+0.00001),0.00001)</f>
        <v>1.6823687469318853</v>
      </c>
      <c r="K245" s="921">
        <f>IF(Meal_entry_week_1!$Q$549&gt;0,100*K$381/(SUM($D$381:$S$381)+0.00001),0.00001)</f>
        <v>15.614833889201902</v>
      </c>
      <c r="L245" s="921">
        <f>IF(Meal_entry_week_1!$Q$550&gt;0,100*K$380/(SUM($D$380:$S$380)+0.00001),0.00001)</f>
        <v>7.0245859630633971</v>
      </c>
      <c r="M245" s="921">
        <f>IF(Meal_entry_week_1!$Q$551&gt;0,100*K$379/(SUM($D$379:$S$379)+0.00001),0.00001)</f>
        <v>22.577860115839563</v>
      </c>
      <c r="N245" s="921">
        <f>IF(Meal_entry_week_1!$Q$32&gt;0,100*$K$389/(SUM($D$389:$S$389)+0.00001),0.00001)</f>
        <v>1.0000000000000001E-5</v>
      </c>
      <c r="O245" s="921">
        <f>IF(Meal_entry_week_1!$Q$131&gt;0,100*$K$388/(SUM($D$388:$S$388)+0.00001),0.00001)</f>
        <v>1.0000000000000001E-5</v>
      </c>
      <c r="P245" s="921">
        <f>IF(Meal_entry_week_1!$Q$230&gt;0,100*$K$387/(SUM($D$387:$S$387)+0.00001),0.00001)</f>
        <v>0</v>
      </c>
      <c r="Q245" s="921">
        <f>IF(Meal_entry_week_1!$Q$329&gt;0,100*$K$386/(SUM($D$386:$S$386)+0.00001),0.00001)</f>
        <v>1.0000000000000001E-5</v>
      </c>
      <c r="R245" s="921">
        <f>IF(Meal_entry_week_1!$Q$428&gt;0,100*$K$385/(SUM($D$385:$S$385)+0.00001),0.00001)</f>
        <v>1.0000000000000001E-5</v>
      </c>
      <c r="S245" s="921">
        <f>IF(Meal_entry_week_1!$Q$51&gt;0,100*$K$395/(SUM($D$395:$S$395)+0.00001),0.00001)</f>
        <v>44.444442469135886</v>
      </c>
      <c r="T245" s="921">
        <f>IF(Meal_entry_week_1!$Q$150&gt;0,100*$K$394/(SUM($D$394:$S$394)+0.00001),0.00001)</f>
        <v>9.0909082644628842</v>
      </c>
      <c r="U245" s="921">
        <f>IF(Meal_entry_week_1!$Q$249&gt;0,100*$K$393/(SUM($D$393:$S$393)+0.00001),0.00001)</f>
        <v>49.999997500000127</v>
      </c>
      <c r="V245" s="921">
        <f>IF(Meal_entry_week_1!$Q$348&gt;0,100*$K$392/(SUM($D$392:$S$392)+0.00001),0.00001)</f>
        <v>11.111110339506226</v>
      </c>
      <c r="W245" s="921">
        <f>IF(Meal_entry_week_1!$Q$447&gt;0,100*$K$391/(SUM($D$391:$S$391)+0.00001),0.00001)</f>
        <v>58.823525951557293</v>
      </c>
      <c r="X245" s="921">
        <f>IF(Meal_entry_week_1!$Q$83&gt;0,100*$K$401/(SUM($D$401:$S$401)+0.00001),0.00001)</f>
        <v>0</v>
      </c>
      <c r="Y245" s="921">
        <f>IF(Meal_entry_week_1!$Q$182&gt;0,100*$K$400/(SUM($D$400:$S$400)+0.00001),0.00001)</f>
        <v>0</v>
      </c>
      <c r="Z245" s="921">
        <f>IF(Meal_entry_week_1!$Q$281&gt;0,100*$K$399/(SUM($D$399:$S$399)+0.00001),0.00001)</f>
        <v>4.2689433453800785</v>
      </c>
      <c r="AA245" s="921">
        <f>IF(Meal_entry_week_1!$Q$380&gt;0,100*$K$398/(SUM($D$398:$S$398)+0.00001),0.00001)</f>
        <v>6.1236986202740562</v>
      </c>
      <c r="AB245" s="921">
        <f>IF(Meal_entry_week_1!$Q$479&gt;0,100*$K$397/(SUM($D$397:$S$397)+0.00001),0.00001)</f>
        <v>12.007890693749195</v>
      </c>
      <c r="AC245" s="921">
        <f>IF(Meal_entry_week_1!$Q$102&gt;0,100*$K$407/(SUM($D$407:$S$407)+0.00001),0.00001)</f>
        <v>1.0000000000000001E-5</v>
      </c>
      <c r="AD245" s="921">
        <f>IF(Meal_entry_week_1!$Q$201&gt;0,100*$K$406/(SUM($D$406:$S$406)+0.00001),0.00001)</f>
        <v>1.0000000000000001E-5</v>
      </c>
      <c r="AE245" s="921">
        <f>IF(Meal_entry_week_1!$Q$300&gt;0,100*$K$405/(SUM($D$405:$S$405)+0.00001),0.00001)</f>
        <v>1.0000000000000001E-5</v>
      </c>
      <c r="AF245" s="921">
        <f>IF(Meal_entry_week_1!$Q$399&gt;0,100*$K$404/(SUM($D$404:$S$404)+0.00001),0.00001)</f>
        <v>1.0000000000000001E-5</v>
      </c>
      <c r="AG245" s="921">
        <f>IF(Meal_entry_week_1!$Q$498&gt;0,100*$K$403/(SUM($D$403:$S$403)+0.00001),0.00001)</f>
        <v>1.0000000000000001E-5</v>
      </c>
    </row>
    <row r="246" spans="1:33">
      <c r="A246" s="872"/>
      <c r="B246" s="947" t="s">
        <v>799</v>
      </c>
      <c r="C246" s="873"/>
      <c r="D246" s="948">
        <f>100*(SUM(L$379:L$383)/SUM($D$379:$S$383))</f>
        <v>2.3698242380356791</v>
      </c>
      <c r="E246" s="948">
        <f>IF(Meal_entry_week_1!$Q$512&gt;0,100*SUM(L$385:L$389)/SUM($D$385:$S$389),0.00001)</f>
        <v>0</v>
      </c>
      <c r="F246" s="948">
        <f>IF(Meal_entry_week_1!$Q$522&gt;0,100*SUM(L$391:L$395)/SUM($D$391:$S$395),0.00001)</f>
        <v>1.8845700824499412</v>
      </c>
      <c r="G246" s="948">
        <f>IF(Meal_entry_week_1!$Q$532&gt;0,100*SUM(L$397:L$401)/SUM($D$397:$S$401),0.00001)</f>
        <v>2.5976305397103991</v>
      </c>
      <c r="H246" s="949">
        <f>IF(Meal_entry_week_1!$Q$542&gt;0,100*SUM(L$403:L$407)/SUM($D$403:$S$407),0.00001)</f>
        <v>1.0000000000000001E-5</v>
      </c>
      <c r="I246" s="921">
        <f>IF(Meal_entry_week_1!$Q$547&gt;0,100*$L$383/(SUM($D$383:$S$383)+0.00001),0.00001)</f>
        <v>1.8085226426074077</v>
      </c>
      <c r="J246" s="921">
        <f>IF(Meal_entry_week_1!$Q$548&gt;0,100*L$382/(SUM($D$382:$S$382)+0.00001),0.00001)</f>
        <v>2.3553162457046395</v>
      </c>
      <c r="K246" s="921">
        <f>IF(Meal_entry_week_1!$Q$549&gt;0,100*L$381/(SUM($D$381:$S$381)+0.00001),0.00001)</f>
        <v>1.3012361574334919</v>
      </c>
      <c r="L246" s="921">
        <f>IF(Meal_entry_week_1!$Q$550&gt;0,100*L$380/(SUM($D$380:$S$380)+0.00001),0.00001)</f>
        <v>4.2649271918599201</v>
      </c>
      <c r="M246" s="921">
        <f>IF(Meal_entry_week_1!$Q$551&gt;0,100*L$379/(SUM($D$379:$S$379)+0.00001),0.00001)</f>
        <v>2.1249750697260765</v>
      </c>
      <c r="N246" s="921">
        <f>IF(Meal_entry_week_1!$Q$32&gt;0,100*$L$389/(SUM($D$389:$S$389)+0.00001),0.00001)</f>
        <v>1.0000000000000001E-5</v>
      </c>
      <c r="O246" s="921">
        <f>IF(Meal_entry_week_1!$Q$131&gt;0,100*$L$388/(SUM($D$388:$S$388)+0.00001),0.00001)</f>
        <v>1.0000000000000001E-5</v>
      </c>
      <c r="P246" s="921">
        <f>IF(Meal_entry_week_1!$Q$230&gt;0,100*$L$387/(SUM($D$387:$S$387)+0.00001),0.00001)</f>
        <v>0</v>
      </c>
      <c r="Q246" s="921">
        <f>IF(Meal_entry_week_1!$Q$329&gt;0,100*$L$386/(SUM($D$386:$S$386)+0.00001),0.00001)</f>
        <v>1.0000000000000001E-5</v>
      </c>
      <c r="R246" s="921">
        <f>IF(Meal_entry_week_1!$Q$428&gt;0,100*$L$385/(SUM($D$385:$S$385)+0.00001),0.00001)</f>
        <v>1.0000000000000001E-5</v>
      </c>
      <c r="S246" s="921">
        <f>IF(Meal_entry_week_1!$Q$51&gt;0,100*$L$395/(SUM($D$395:$S$395)+0.00001),0.00001)</f>
        <v>0</v>
      </c>
      <c r="T246" s="921">
        <f>IF(Meal_entry_week_1!$Q$150&gt;0,100*$L$394/(SUM($D$394:$S$394)+0.00001),0.00001)</f>
        <v>0</v>
      </c>
      <c r="U246" s="921">
        <f>IF(Meal_entry_week_1!$Q$249&gt;0,100*$L$393/(SUM($D$393:$S$393)+0.00001),0.00001)</f>
        <v>0</v>
      </c>
      <c r="V246" s="921">
        <f>IF(Meal_entry_week_1!$Q$348&gt;0,100*$L$392/(SUM($D$392:$S$392)+0.00001),0.00001)</f>
        <v>11.111110339506226</v>
      </c>
      <c r="W246" s="921">
        <f>IF(Meal_entry_week_1!$Q$447&gt;0,100*$L$391/(SUM($D$391:$S$391)+0.00001),0.00001)</f>
        <v>0</v>
      </c>
      <c r="X246" s="921">
        <f>IF(Meal_entry_week_1!$Q$83&gt;0,100*$L$401/(SUM($D$401:$S$401)+0.00001),0.00001)</f>
        <v>2.4253448169570286</v>
      </c>
      <c r="Y246" s="921">
        <f>IF(Meal_entry_week_1!$Q$182&gt;0,100*$L$400/(SUM($D$400:$S$400)+0.00001),0.00001)</f>
        <v>2.8901733507396092</v>
      </c>
      <c r="Z246" s="921">
        <f>IF(Meal_entry_week_1!$Q$281&gt;0,100*$L$399/(SUM($D$399:$S$399)+0.00001),0.00001)</f>
        <v>2.1344716726900392</v>
      </c>
      <c r="AA246" s="921">
        <f>IF(Meal_entry_week_1!$Q$380&gt;0,100*$L$398/(SUM($D$398:$S$398)+0.00001),0.00001)</f>
        <v>2.7556643791233255</v>
      </c>
      <c r="AB246" s="921">
        <f>IF(Meal_entry_week_1!$Q$479&gt;0,100*$L$397/(SUM($D$397:$S$397)+0.00001),0.00001)</f>
        <v>2.7446607299998158</v>
      </c>
      <c r="AC246" s="921">
        <f>IF(Meal_entry_week_1!$Q$102&gt;0,100*$L$407/(SUM($D$407:$S$407)+0.00001),0.00001)</f>
        <v>1.0000000000000001E-5</v>
      </c>
      <c r="AD246" s="921">
        <f>IF(Meal_entry_week_1!$Q$201&gt;0,100*$L$406/(SUM($D$406:$S$406)+0.00001),0.00001)</f>
        <v>1.0000000000000001E-5</v>
      </c>
      <c r="AE246" s="921">
        <f>IF(Meal_entry_week_1!$Q$300&gt;0,100*$L$405/(SUM($D$405:$S$405)+0.00001),0.00001)</f>
        <v>1.0000000000000001E-5</v>
      </c>
      <c r="AF246" s="921">
        <f>IF(Meal_entry_week_1!$Q$399&gt;0,100*$L$404/(SUM($D$404:$S$404)+0.00001),0.00001)</f>
        <v>1.0000000000000001E-5</v>
      </c>
      <c r="AG246" s="921">
        <f>IF(Meal_entry_week_1!$Q$498&gt;0,100*$L$403/(SUM($D$403:$S$403)+0.00001),0.00001)</f>
        <v>1.0000000000000001E-5</v>
      </c>
    </row>
    <row r="247" spans="1:33">
      <c r="A247" s="872"/>
      <c r="B247" s="947" t="s">
        <v>800</v>
      </c>
      <c r="C247" s="873"/>
      <c r="D247" s="948">
        <f>100*(SUM(M$379:M$383)/SUM($D$379:$S$383))</f>
        <v>4.3710091501546966</v>
      </c>
      <c r="E247" s="948">
        <f>IF(Meal_entry_week_1!$Q$512&gt;0,100*SUM(M$385:M$389)/SUM($D$385:$S$389),0.00001)</f>
        <v>0</v>
      </c>
      <c r="F247" s="948">
        <f>IF(Meal_entry_week_1!$Q$522&gt;0,100*SUM(M$391:M$395)/SUM($D$391:$S$395),0.00001)</f>
        <v>3.6513545347467611</v>
      </c>
      <c r="G247" s="948">
        <f>IF(Meal_entry_week_1!$Q$532&gt;0,100*SUM(M$397:M$401)/SUM($D$397:$S$401),0.00001)</f>
        <v>4.7389205792014044</v>
      </c>
      <c r="H247" s="949">
        <f>IF(Meal_entry_week_1!$Q$542&gt;0,100*SUM(M$403:M$407)/SUM($D$403:$S$407),0.00001)</f>
        <v>1.0000000000000001E-5</v>
      </c>
      <c r="I247" s="921">
        <f>IF(Meal_entry_week_1!$Q$547&gt;0,100*$M$383/(SUM($D$383:$S$383)+0.00001),0.00001)</f>
        <v>1.6954899774444447</v>
      </c>
      <c r="J247" s="921">
        <f>IF(Meal_entry_week_1!$Q$548&gt;0,100*M$382/(SUM($D$382:$S$382)+0.00001),0.00001)</f>
        <v>12.61776560198914</v>
      </c>
      <c r="K247" s="921">
        <f>IF(Meal_entry_week_1!$Q$549&gt;0,100*M$381/(SUM($D$381:$S$381)+0.00001),0.00001)</f>
        <v>1.3012361574334919</v>
      </c>
      <c r="L247" s="921">
        <f>IF(Meal_entry_week_1!$Q$550&gt;0,100*M$380/(SUM($D$380:$S$380)+0.00001),0.00001)</f>
        <v>7.0245859630633971</v>
      </c>
      <c r="M247" s="921">
        <f>IF(Meal_entry_week_1!$Q$551&gt;0,100*M$379/(SUM($D$379:$S$379)+0.00001),0.00001)</f>
        <v>1.3281094185787978</v>
      </c>
      <c r="N247" s="921">
        <f>IF(Meal_entry_week_1!$Q$32&gt;0,100*$M$389/(SUM($D$389:$S$389)+0.00001),0.00001)</f>
        <v>1.0000000000000001E-5</v>
      </c>
      <c r="O247" s="921">
        <f>IF(Meal_entry_week_1!$Q$131&gt;0,100*$M$388/(SUM($D$388:$S$388)+0.00001),0.00001)</f>
        <v>1.0000000000000001E-5</v>
      </c>
      <c r="P247" s="921">
        <f>IF(Meal_entry_week_1!$Q$230&gt;0,100*$M$387/(SUM($D$387:$S$387)+0.00001),0.00001)</f>
        <v>0</v>
      </c>
      <c r="Q247" s="921">
        <f>IF(Meal_entry_week_1!$Q$329&gt;0,100*$M$386/(SUM($D$386:$S$386)+0.00001),0.00001)</f>
        <v>1.0000000000000001E-5</v>
      </c>
      <c r="R247" s="921">
        <f>IF(Meal_entry_week_1!$Q$428&gt;0,100*$M$385/(SUM($D$385:$S$385)+0.00001),0.00001)</f>
        <v>1.0000000000000001E-5</v>
      </c>
      <c r="S247" s="921">
        <f>IF(Meal_entry_week_1!$Q$51&gt;0,100*$M$395/(SUM($D$395:$S$395)+0.00001),0.00001)</f>
        <v>0</v>
      </c>
      <c r="T247" s="921">
        <f>IF(Meal_entry_week_1!$Q$150&gt;0,100*$M$394/(SUM($D$394:$S$394)+0.00001),0.00001)</f>
        <v>0</v>
      </c>
      <c r="U247" s="921">
        <f>IF(Meal_entry_week_1!$Q$249&gt;0,100*$M$393/(SUM($D$393:$S$393)+0.00001),0.00001)</f>
        <v>0</v>
      </c>
      <c r="V247" s="921">
        <f>IF(Meal_entry_week_1!$Q$348&gt;0,100*$M$392/(SUM($D$392:$S$392)+0.00001),0.00001)</f>
        <v>21.527776282793312</v>
      </c>
      <c r="W247" s="921">
        <f>IF(Meal_entry_week_1!$Q$447&gt;0,100*$M$391/(SUM($D$391:$S$391)+0.00001),0.00001)</f>
        <v>0</v>
      </c>
      <c r="X247" s="921">
        <f>IF(Meal_entry_week_1!$Q$83&gt;0,100*$M$401/(SUM($D$401:$S$401)+0.00001),0.00001)</f>
        <v>2.2737607658972143</v>
      </c>
      <c r="Y247" s="921">
        <f>IF(Meal_entry_week_1!$Q$182&gt;0,100*$M$400/(SUM($D$400:$S$400)+0.00001),0.00001)</f>
        <v>15.483071521819335</v>
      </c>
      <c r="Z247" s="921">
        <f>IF(Meal_entry_week_1!$Q$281&gt;0,100*$M$399/(SUM($D$399:$S$399)+0.00001),0.00001)</f>
        <v>2.1344716726900392</v>
      </c>
      <c r="AA247" s="921">
        <f>IF(Meal_entry_week_1!$Q$380&gt;0,100*$M$398/(SUM($D$398:$S$398)+0.00001),0.00001)</f>
        <v>3.8273116376712855</v>
      </c>
      <c r="AB247" s="921">
        <f>IF(Meal_entry_week_1!$Q$479&gt;0,100*$M$397/(SUM($D$397:$S$397)+0.00001),0.00001)</f>
        <v>1.715412956249885</v>
      </c>
      <c r="AC247" s="921">
        <f>IF(Meal_entry_week_1!$Q$102&gt;0,100*$M$407/(SUM($D$407:$S$407)+0.00001),0.00001)</f>
        <v>1.0000000000000001E-5</v>
      </c>
      <c r="AD247" s="921">
        <f>IF(Meal_entry_week_1!$Q$201&gt;0,100*$M$406/(SUM($D$406:$S$406)+0.00001),0.00001)</f>
        <v>1.0000000000000001E-5</v>
      </c>
      <c r="AE247" s="921">
        <f>IF(Meal_entry_week_1!$Q$300&gt;0,100*$M$405/(SUM($D$405:$S$405)+0.00001),0.00001)</f>
        <v>1.0000000000000001E-5</v>
      </c>
      <c r="AF247" s="921">
        <f>IF(Meal_entry_week_1!$Q$399&gt;0,100*$M$404/(SUM($D$404:$S$404)+0.00001),0.00001)</f>
        <v>1.0000000000000001E-5</v>
      </c>
      <c r="AG247" s="921">
        <f>IF(Meal_entry_week_1!$Q$498&gt;0,100*$M$403/(SUM($D$403:$S$403)+0.00001),0.00001)</f>
        <v>1.0000000000000001E-5</v>
      </c>
    </row>
    <row r="248" spans="1:33">
      <c r="A248" s="872"/>
      <c r="B248" s="947" t="s">
        <v>808</v>
      </c>
      <c r="C248" s="873"/>
      <c r="D248" s="948">
        <f>100*(SUM(N$379:N$383)/SUM($D$379:$S$383))</f>
        <v>2.3369100125074054</v>
      </c>
      <c r="E248" s="948">
        <f>IF(Meal_entry_week_1!$Q$512&gt;0,100*SUM(N$385:N$389)/SUM($D$385:$S$389),0.00001)</f>
        <v>0</v>
      </c>
      <c r="F248" s="948">
        <f>IF(Meal_entry_week_1!$Q$522&gt;0,100*SUM(N$391:N$395)/SUM($D$391:$S$395),0.00001)</f>
        <v>0</v>
      </c>
      <c r="G248" s="948">
        <f>IF(Meal_entry_week_1!$Q$532&gt;0,100*SUM(N$397:N$401)/SUM($D$397:$S$401),0.00001)</f>
        <v>3.1154014918824044</v>
      </c>
      <c r="H248" s="949">
        <f>IF(Meal_entry_week_1!$Q$542&gt;0,100*SUM(N$403:N$407)/SUM($D$403:$S$407),0.00001)</f>
        <v>1.0000000000000001E-5</v>
      </c>
      <c r="I248" s="921">
        <f>IF(Meal_entry_week_1!$Q$547&gt;0,100*$N$383/(SUM($D$383:$S$383)+0.00001),0.00001)</f>
        <v>0.41822086110296303</v>
      </c>
      <c r="J248" s="921">
        <f>IF(Meal_entry_week_1!$Q$548&gt;0,100*N$382/(SUM($D$382:$S$382)+0.00001),0.00001)</f>
        <v>10.161507231468587</v>
      </c>
      <c r="K248" s="921">
        <f>IF(Meal_entry_week_1!$Q$549&gt;0,100*N$381/(SUM($D$381:$S$381)+0.00001),0.00001)</f>
        <v>6.5061807871674593E-2</v>
      </c>
      <c r="L248" s="921">
        <f>IF(Meal_entry_week_1!$Q$550&gt;0,100*N$380/(SUM($D$380:$S$380)+0.00001),0.00001)</f>
        <v>2.533868508105011</v>
      </c>
      <c r="M248" s="921">
        <f>IF(Meal_entry_week_1!$Q$551&gt;0,100*N$379/(SUM($D$379:$S$379)+0.00001),0.00001)</f>
        <v>0.52460322033862516</v>
      </c>
      <c r="N248" s="921">
        <f>IF(Meal_entry_week_1!$Q$32&gt;0,100*$N$389/(SUM($D$389:$S$389)+0.00001),0.00001)</f>
        <v>1.0000000000000001E-5</v>
      </c>
      <c r="O248" s="921">
        <f>IF(Meal_entry_week_1!$Q$131&gt;0,100*$N$388/(SUM($D$388:$S$388)+0.00001),0.00001)</f>
        <v>1.0000000000000001E-5</v>
      </c>
      <c r="P248" s="921">
        <f>IF(Meal_entry_week_1!$Q$230&gt;0,100*$N$387/(SUM($D$387:$S$387)+0.00001),0.00001)</f>
        <v>0</v>
      </c>
      <c r="Q248" s="921">
        <f>IF(Meal_entry_week_1!$Q$329&gt;0,100*$N$386/(SUM($D$386:$S$386)+0.00001),0.00001)</f>
        <v>1.0000000000000001E-5</v>
      </c>
      <c r="R248" s="921">
        <f>IF(Meal_entry_week_1!$Q$428&gt;0,100*$N$385/(SUM($D$385:$S$385)+0.00001),0.00001)</f>
        <v>1.0000000000000001E-5</v>
      </c>
      <c r="S248" s="921">
        <f>IF(Meal_entry_week_1!$Q$51&gt;0,100*$N$395/(SUM($D$395:$S$395)+0.00001),0.00001)</f>
        <v>0</v>
      </c>
      <c r="T248" s="921">
        <f>IF(Meal_entry_week_1!$Q$150&gt;0,100*$N$394/(SUM($D$394:$S$394)+0.00001),0.00001)</f>
        <v>0</v>
      </c>
      <c r="U248" s="921">
        <f>IF(Meal_entry_week_1!$Q$249&gt;0,100*$N$393/(SUM($D$393:$S$393)+0.00001),0.00001)</f>
        <v>0</v>
      </c>
      <c r="V248" s="921">
        <f>IF(Meal_entry_week_1!$Q$348&gt;0,100*$N$392/(SUM($D$392:$S$392)+0.00001),0.00001)</f>
        <v>0</v>
      </c>
      <c r="W248" s="921">
        <f>IF(Meal_entry_week_1!$Q$447&gt;0,100*$N$391/(SUM($D$391:$S$391)+0.00001),0.00001)</f>
        <v>0</v>
      </c>
      <c r="X248" s="921">
        <f>IF(Meal_entry_week_1!$Q$83&gt;0,100*$N$401/(SUM($D$401:$S$401)+0.00001),0.00001)</f>
        <v>0.56086098892131286</v>
      </c>
      <c r="Y248" s="921">
        <f>IF(Meal_entry_week_1!$Q$182&gt;0,100*$N$400/(SUM($D$400:$S$400)+0.00001),0.00001)</f>
        <v>12.46903359890517</v>
      </c>
      <c r="Z248" s="921">
        <f>IF(Meal_entry_week_1!$Q$281&gt;0,100*$N$399/(SUM($D$399:$S$399)+0.00001),0.00001)</f>
        <v>0.10672358363450196</v>
      </c>
      <c r="AA248" s="921">
        <f>IF(Meal_entry_week_1!$Q$380&gt;0,100*$N$398/(SUM($D$398:$S$398)+0.00001),0.00001)</f>
        <v>3.0924678032383985</v>
      </c>
      <c r="AB248" s="921">
        <f>IF(Meal_entry_week_1!$Q$479&gt;0,100*$N$397/(SUM($D$397:$S$397)+0.00001),0.00001)</f>
        <v>0.67758811771870453</v>
      </c>
      <c r="AC248" s="921">
        <f>IF(Meal_entry_week_1!$Q$102&gt;0,100*$N$407/(SUM($D$407:$S$407)+0.00001),0.00001)</f>
        <v>1.0000000000000001E-5</v>
      </c>
      <c r="AD248" s="921">
        <f>IF(Meal_entry_week_1!$Q$201&gt;0,100*$N$406/(SUM($D$406:$S$406)+0.00001),0.00001)</f>
        <v>1.0000000000000001E-5</v>
      </c>
      <c r="AE248" s="921">
        <f>IF(Meal_entry_week_1!$Q$300&gt;0,100*$N$405/(SUM($D$405:$S$405)+0.00001),0.00001)</f>
        <v>1.0000000000000001E-5</v>
      </c>
      <c r="AF248" s="921">
        <f>IF(Meal_entry_week_1!$Q$399&gt;0,100*$N$404/(SUM($D$404:$S$404)+0.00001),0.00001)</f>
        <v>1.0000000000000001E-5</v>
      </c>
      <c r="AG248" s="921">
        <f>IF(Meal_entry_week_1!$Q$498&gt;0,100*$N$403/(SUM($D$403:$S$403)+0.00001),0.00001)</f>
        <v>1.0000000000000001E-5</v>
      </c>
    </row>
    <row r="249" spans="1:33">
      <c r="A249" s="872"/>
      <c r="B249" s="947" t="s">
        <v>809</v>
      </c>
      <c r="C249" s="873"/>
      <c r="D249" s="948">
        <f>100*(SUM(O$379:O$383)/SUM($D$379:$S$383))</f>
        <v>0.60562174972022909</v>
      </c>
      <c r="E249" s="948">
        <f>IF(Meal_entry_week_1!$Q$512&gt;0,100*SUM(O$385:O$389)/SUM($D$385:$S$389),0.00001)</f>
        <v>0</v>
      </c>
      <c r="F249" s="948">
        <f>IF(Meal_entry_week_1!$Q$522&gt;0,100*SUM(O$391:O$395)/SUM($D$391:$S$395),0.00001)</f>
        <v>2.7090694935217905</v>
      </c>
      <c r="G249" s="948">
        <f>IF(Meal_entry_week_1!$Q$532&gt;0,100*SUM(O$397:O$401)/SUM($D$397:$S$401),0.00001)</f>
        <v>0</v>
      </c>
      <c r="H249" s="949">
        <f>IF(Meal_entry_week_1!$Q$542&gt;0,100*SUM(O$403:O$407)/SUM($D$403:$S$407),0.00001)</f>
        <v>1.0000000000000001E-5</v>
      </c>
      <c r="I249" s="921">
        <f>IF(Meal_entry_week_1!$Q$547&gt;0,100*$O$383/(SUM($D$383:$S$383)+0.00001),0.00001)</f>
        <v>0</v>
      </c>
      <c r="J249" s="921">
        <f>IF(Meal_entry_week_1!$Q$548&gt;0,100*O$382/(SUM($D$382:$S$382)+0.00001),0.00001)</f>
        <v>0</v>
      </c>
      <c r="K249" s="921">
        <f>IF(Meal_entry_week_1!$Q$549&gt;0,100*O$381/(SUM($D$381:$S$381)+0.00001),0.00001)</f>
        <v>0</v>
      </c>
      <c r="L249" s="921">
        <f>IF(Meal_entry_week_1!$Q$550&gt;0,100*O$380/(SUM($D$380:$S$380)+0.00001),0.00001)</f>
        <v>2.8850978062581811</v>
      </c>
      <c r="M249" s="921">
        <f>IF(Meal_entry_week_1!$Q$551&gt;0,100*O$379/(SUM($D$379:$S$379)+0.00001),0.00001)</f>
        <v>0</v>
      </c>
      <c r="N249" s="921">
        <f>IF(Meal_entry_week_1!$Q$32&gt;0,100*$O$389/(SUM($D$389:$S$389)+0.00001),0.00001)</f>
        <v>1.0000000000000001E-5</v>
      </c>
      <c r="O249" s="921">
        <f>IF(Meal_entry_week_1!$Q$131&gt;0,100*$O$388/(SUM($D$388:$S$388)+0.00001),0.00001)</f>
        <v>1.0000000000000001E-5</v>
      </c>
      <c r="P249" s="921">
        <f>IF(Meal_entry_week_1!$Q$230&gt;0,100*$O$387/(SUM($D$387:$S$387)+0.00001),0.00001)</f>
        <v>0</v>
      </c>
      <c r="Q249" s="921">
        <f>IF(Meal_entry_week_1!$Q$329&gt;0,100*$O$386/(SUM($D$386:$S$386)+0.00001),0.00001)</f>
        <v>1.0000000000000001E-5</v>
      </c>
      <c r="R249" s="921">
        <f>IF(Meal_entry_week_1!$Q$428&gt;0,100*$O$385/(SUM($D$385:$S$385)+0.00001),0.00001)</f>
        <v>1.0000000000000001E-5</v>
      </c>
      <c r="S249" s="921">
        <f>IF(Meal_entry_week_1!$Q$51&gt;0,100*$O$395/(SUM($D$395:$S$395)+0.00001),0.00001)</f>
        <v>0</v>
      </c>
      <c r="T249" s="921">
        <f>IF(Meal_entry_week_1!$Q$150&gt;0,100*$O$394/(SUM($D$394:$S$394)+0.00001),0.00001)</f>
        <v>0</v>
      </c>
      <c r="U249" s="921">
        <f>IF(Meal_entry_week_1!$Q$249&gt;0,100*$O$393/(SUM($D$393:$S$393)+0.00001),0.00001)</f>
        <v>0</v>
      </c>
      <c r="V249" s="921">
        <f>IF(Meal_entry_week_1!$Q$348&gt;0,100*$O$392/(SUM($D$392:$S$392)+0.00001),0.00001)</f>
        <v>15.972221113040201</v>
      </c>
      <c r="W249" s="921">
        <f>IF(Meal_entry_week_1!$Q$447&gt;0,100*$O$391/(SUM($D$391:$S$391)+0.00001),0.00001)</f>
        <v>0</v>
      </c>
      <c r="X249" s="921">
        <f>IF(Meal_entry_week_1!$Q$83&gt;0,100*$O$401/(SUM($D$401:$S$401)+0.00001),0.00001)</f>
        <v>0</v>
      </c>
      <c r="Y249" s="921">
        <f>IF(Meal_entry_week_1!$Q$182&gt;0,100*$O$400/(SUM($D$400:$S$400)+0.00001),0.00001)</f>
        <v>0</v>
      </c>
      <c r="Z249" s="921">
        <f>IF(Meal_entry_week_1!$Q$281&gt;0,100*$O$399/(SUM($D$399:$S$399)+0.00001),0.00001)</f>
        <v>0</v>
      </c>
      <c r="AA249" s="921">
        <f>IF(Meal_entry_week_1!$Q$380&gt;0,100*$O$398/(SUM($D$398:$S$398)+0.00001),0.00001)</f>
        <v>0</v>
      </c>
      <c r="AB249" s="921">
        <f>IF(Meal_entry_week_1!$Q$479&gt;0,100*$O$397/(SUM($D$397:$S$397)+0.00001),0.00001)</f>
        <v>0</v>
      </c>
      <c r="AC249" s="921">
        <f>IF(Meal_entry_week_1!$Q$102&gt;0,100*$O$407/(SUM($D$407:$S$407)+0.00001),0.00001)</f>
        <v>1.0000000000000001E-5</v>
      </c>
      <c r="AD249" s="921">
        <f>IF(Meal_entry_week_1!$Q$201&gt;0,100*$O$406/(SUM($D$406:$S$406)+0.00001),0.00001)</f>
        <v>1.0000000000000001E-5</v>
      </c>
      <c r="AE249" s="921">
        <f>IF(Meal_entry_week_1!$Q$300&gt;0,100*$O$405/(SUM($D$405:$S$405)+0.00001),0.00001)</f>
        <v>1.0000000000000001E-5</v>
      </c>
      <c r="AF249" s="921">
        <f>IF(Meal_entry_week_1!$Q$399&gt;0,100*$O$404/(SUM($D$404:$S$404)+0.00001),0.00001)</f>
        <v>1.0000000000000001E-5</v>
      </c>
      <c r="AG249" s="921">
        <f>IF(Meal_entry_week_1!$Q$498&gt;0,100*$O$403/(SUM($D$403:$S$403)+0.00001),0.00001)</f>
        <v>1.0000000000000001E-5</v>
      </c>
    </row>
    <row r="250" spans="1:33">
      <c r="A250" s="872"/>
      <c r="B250" s="947" t="s">
        <v>810</v>
      </c>
      <c r="C250" s="873"/>
      <c r="D250" s="948">
        <f>100*(SUM(P$379:P$383)/SUM($D$379:$S$383))</f>
        <v>17.905338687380688</v>
      </c>
      <c r="E250" s="948">
        <f>IF(Meal_entry_week_1!$Q$512&gt;0,100*SUM(P$385:P$389)/SUM($D$385:$S$389),0.00001)</f>
        <v>0</v>
      </c>
      <c r="F250" s="948">
        <f>IF(Meal_entry_week_1!$Q$522&gt;0,100*SUM(P$391:P$395)/SUM($D$391:$S$395),0.00001)</f>
        <v>35.924617196702002</v>
      </c>
      <c r="G250" s="948">
        <f>IF(Meal_entry_week_1!$Q$532&gt;0,100*SUM(P$397:P$401)/SUM($D$397:$S$401),0.00001)</f>
        <v>13.163668275559456</v>
      </c>
      <c r="H250" s="949">
        <f>IF(Meal_entry_week_1!$Q$542&gt;0,100*SUM(P$403:P$407)/SUM($D$403:$S$407),0.00001)</f>
        <v>1.0000000000000001E-5</v>
      </c>
      <c r="I250" s="921">
        <f>IF(Meal_entry_week_1!$Q$547&gt;0,100*$P$383/(SUM($D$383:$S$383)+0.00001),0.00001)</f>
        <v>16.954899774444446</v>
      </c>
      <c r="J250" s="921">
        <f>IF(Meal_entry_week_1!$Q$548&gt;0,100*P$382/(SUM($D$382:$S$382)+0.00001),0.00001)</f>
        <v>22.711978083580451</v>
      </c>
      <c r="K250" s="921">
        <f>IF(Meal_entry_week_1!$Q$549&gt;0,100*P$381/(SUM($D$381:$S$381)+0.00001),0.00001)</f>
        <v>22.771632755086106</v>
      </c>
      <c r="L250" s="921">
        <f>IF(Meal_entry_week_1!$Q$550&gt;0,100*P$380/(SUM($D$380:$S$380)+0.00001),0.00001)</f>
        <v>9.4079276291027636</v>
      </c>
      <c r="M250" s="921">
        <f>IF(Meal_entry_week_1!$Q$551&gt;0,100*P$379/(SUM($D$379:$S$379)+0.00001),0.00001)</f>
        <v>19.257586569392569</v>
      </c>
      <c r="N250" s="921">
        <f>IF(Meal_entry_week_1!$Q$32&gt;0,100*$P$389/(SUM($D$389:$S$389)+0.00001),0.00001)</f>
        <v>1.0000000000000001E-5</v>
      </c>
      <c r="O250" s="921">
        <f>IF(Meal_entry_week_1!$Q$131&gt;0,100*$P$388/(SUM($D$388:$S$388)+0.00001),0.00001)</f>
        <v>1.0000000000000001E-5</v>
      </c>
      <c r="P250" s="921">
        <f>IF(Meal_entry_week_1!$Q$230&gt;0,100*$P$387/(SUM($D$387:$S$387)+0.00001),0.00001)</f>
        <v>0</v>
      </c>
      <c r="Q250" s="921">
        <f>IF(Meal_entry_week_1!$Q$329&gt;0,100*$P$386/(SUM($D$386:$S$386)+0.00001),0.00001)</f>
        <v>1.0000000000000001E-5</v>
      </c>
      <c r="R250" s="921">
        <f>IF(Meal_entry_week_1!$Q$428&gt;0,100*$P$385/(SUM($D$385:$S$385)+0.00001),0.00001)</f>
        <v>1.0000000000000001E-5</v>
      </c>
      <c r="S250" s="921">
        <f>IF(Meal_entry_week_1!$Q$51&gt;0,100*$P$395/(SUM($D$395:$S$395)+0.00001),0.00001)</f>
        <v>33.333331851851916</v>
      </c>
      <c r="T250" s="921">
        <f>IF(Meal_entry_week_1!$Q$150&gt;0,100*$P$394/(SUM($D$394:$S$394)+0.00001),0.00001)</f>
        <v>54.545449586777309</v>
      </c>
      <c r="U250" s="921">
        <f>IF(Meal_entry_week_1!$Q$249&gt;0,100*$P$393/(SUM($D$393:$S$393)+0.00001),0.00001)</f>
        <v>49.999997500000127</v>
      </c>
      <c r="V250" s="921">
        <f>IF(Meal_entry_week_1!$Q$348&gt;0,100*$P$392/(SUM($D$392:$S$392)+0.00001),0.00001)</f>
        <v>0</v>
      </c>
      <c r="W250" s="921">
        <f>IF(Meal_entry_week_1!$Q$447&gt;0,100*$P$391/(SUM($D$391:$S$391)+0.00001),0.00001)</f>
        <v>41.17646816609011</v>
      </c>
      <c r="X250" s="921">
        <f>IF(Meal_entry_week_1!$Q$83&gt;0,100*$P$401/(SUM($D$401:$S$401)+0.00001),0.00001)</f>
        <v>11.368803829486072</v>
      </c>
      <c r="Y250" s="921">
        <f>IF(Meal_entry_week_1!$Q$182&gt;0,100*$P$400/(SUM($D$400:$S$400)+0.00001),0.00001)</f>
        <v>15.483071521819335</v>
      </c>
      <c r="Z250" s="921">
        <f>IF(Meal_entry_week_1!$Q$281&gt;0,100*$P$399/(SUM($D$399:$S$399)+0.00001),0.00001)</f>
        <v>16.008537545175294</v>
      </c>
      <c r="AA250" s="921">
        <f>IF(Meal_entry_week_1!$Q$380&gt;0,100*$P$398/(SUM($D$398:$S$398)+0.00001),0.00001)</f>
        <v>11.481934913013855</v>
      </c>
      <c r="AB250" s="921">
        <f>IF(Meal_entry_week_1!$Q$479&gt;0,100*$P$397/(SUM($D$397:$S$397)+0.00001),0.00001)</f>
        <v>12.865597171874137</v>
      </c>
      <c r="AC250" s="921">
        <f>IF(Meal_entry_week_1!$Q$102&gt;0,100*$P$407/(SUM($D$407:$S$407)+0.00001),0.00001)</f>
        <v>1.0000000000000001E-5</v>
      </c>
      <c r="AD250" s="921">
        <f>IF(Meal_entry_week_1!$Q$201&gt;0,100*$P$406/(SUM($D$406:$S$406)+0.00001),0.00001)</f>
        <v>1.0000000000000001E-5</v>
      </c>
      <c r="AE250" s="921">
        <f>IF(Meal_entry_week_1!$Q$300&gt;0,100*$P$405/(SUM($D$405:$S$405)+0.00001),0.00001)</f>
        <v>1.0000000000000001E-5</v>
      </c>
      <c r="AF250" s="921">
        <f>IF(Meal_entry_week_1!$Q$399&gt;0,100*$P$404/(SUM($D$404:$S$404)+0.00001),0.00001)</f>
        <v>1.0000000000000001E-5</v>
      </c>
      <c r="AG250" s="921">
        <f>IF(Meal_entry_week_1!$Q$498&gt;0,100*$P$403/(SUM($D$403:$S$403)+0.00001),0.00001)</f>
        <v>1.0000000000000001E-5</v>
      </c>
    </row>
    <row r="251" spans="1:33">
      <c r="A251" s="872"/>
      <c r="B251" s="947" t="s">
        <v>802</v>
      </c>
      <c r="C251" s="873"/>
      <c r="D251" s="948">
        <f>100*(SUM(Q$379:Q$383)/SUM($D$379:$S$383))</f>
        <v>0</v>
      </c>
      <c r="E251" s="948">
        <f>IF(Meal_entry_week_1!$Q$512&gt;0,100*SUM(Q$385:Q$389)/SUM($D$385:$S$389),0.00001)</f>
        <v>0</v>
      </c>
      <c r="F251" s="948">
        <f>IF(Meal_entry_week_1!$Q$522&gt;0,100*SUM(Q$391:Q$395)/SUM($D$391:$S$395),0.00001)</f>
        <v>0</v>
      </c>
      <c r="G251" s="948">
        <f>IF(Meal_entry_week_1!$Q$532&gt;0,100*SUM(Q$397:Q$401)/SUM($D$397:$S$401),0.00001)</f>
        <v>0</v>
      </c>
      <c r="H251" s="949">
        <f>IF(Meal_entry_week_1!$Q$542&gt;0,100*SUM(Q$403:Q$407)/SUM($D$403:$S$407),0.00001)</f>
        <v>1.0000000000000001E-5</v>
      </c>
      <c r="I251" s="921">
        <f>IF(Meal_entry_week_1!$Q$547&gt;0,100*$Q$383/(SUM($D$383:$S$383)+0.00001),0.00001)</f>
        <v>0</v>
      </c>
      <c r="J251" s="921">
        <f>IF(Meal_entry_week_1!$Q$548&gt;0,100*Q$382/(SUM($D$382:$S$382)+0.00001),0.00001)</f>
        <v>0</v>
      </c>
      <c r="K251" s="921">
        <f>IF(Meal_entry_week_1!$Q$549&gt;0,100*Q$381/(SUM($D$381:$S$381)+0.00001),0.00001)</f>
        <v>0</v>
      </c>
      <c r="L251" s="921">
        <f>IF(Meal_entry_week_1!$Q$550&gt;0,100*Q$380/(SUM($D$380:$S$380)+0.00001),0.00001)</f>
        <v>0</v>
      </c>
      <c r="M251" s="921">
        <f>IF(Meal_entry_week_1!$Q$551&gt;0,100*Q$379/(SUM($D$379:$S$379)+0.00001),0.00001)</f>
        <v>0</v>
      </c>
      <c r="N251" s="921">
        <f>IF(Meal_entry_week_1!$Q$32&gt;0,100*$Q$389/(SUM($D$389:$S$389)+0.00001),0.00001)</f>
        <v>1.0000000000000001E-5</v>
      </c>
      <c r="O251" s="921">
        <f>IF(Meal_entry_week_1!$Q$131&gt;0,100*$Q$388/(SUM($D$388:$S$388)+0.00001),0.00001)</f>
        <v>1.0000000000000001E-5</v>
      </c>
      <c r="P251" s="921">
        <f>IF(Meal_entry_week_1!$Q$230&gt;0,100*$Q$387/(SUM($D$387:$S$387)+0.00001),0.00001)</f>
        <v>0</v>
      </c>
      <c r="Q251" s="921">
        <f>IF(Meal_entry_week_1!$Q$329&gt;0,100*$Q$386/(SUM($D$386:$S$386)+0.00001),0.00001)</f>
        <v>1.0000000000000001E-5</v>
      </c>
      <c r="R251" s="921">
        <f>IF(Meal_entry_week_1!$Q$428&gt;0,100*$Q$385/(SUM($D$385:$S$385)+0.00001),0.00001)</f>
        <v>1.0000000000000001E-5</v>
      </c>
      <c r="S251" s="921">
        <f>IF(Meal_entry_week_1!$Q$51&gt;0,100*$Q$395/(SUM($D$395:$S$395)+0.00001),0.00001)</f>
        <v>0</v>
      </c>
      <c r="T251" s="921">
        <f>IF(Meal_entry_week_1!$Q$150&gt;0,100*$Q$394/(SUM($D$394:$S$394)+0.00001),0.00001)</f>
        <v>0</v>
      </c>
      <c r="U251" s="921">
        <f>IF(Meal_entry_week_1!$Q$249&gt;0,100*$Q$393/(SUM($D$393:$S$393)+0.00001),0.00001)</f>
        <v>0</v>
      </c>
      <c r="V251" s="921">
        <f>IF(Meal_entry_week_1!$Q$348&gt;0,100*$Q$392/(SUM($D$392:$S$392)+0.00001),0.00001)</f>
        <v>0</v>
      </c>
      <c r="W251" s="921">
        <f>IF(Meal_entry_week_1!$Q$447&gt;0,100*$Q$391/(SUM($D$391:$S$391)+0.00001),0.00001)</f>
        <v>0</v>
      </c>
      <c r="X251" s="921">
        <f>IF(Meal_entry_week_1!$Q$83&gt;0,100*$Q$401/(SUM($D$401:$S$401)+0.00001),0.00001)</f>
        <v>0</v>
      </c>
      <c r="Y251" s="921">
        <f>IF(Meal_entry_week_1!$Q$182&gt;0,100*$Q$400/(SUM($D$400:$S$400)+0.00001),0.00001)</f>
        <v>0</v>
      </c>
      <c r="Z251" s="921">
        <f>IF(Meal_entry_week_1!$Q$281&gt;0,100*$Q$399/(SUM($D$399:$S$399)+0.00001),0.00001)</f>
        <v>0</v>
      </c>
      <c r="AA251" s="921">
        <f>IF(Meal_entry_week_1!$Q$380&gt;0,100*$Q$398/(SUM($D$398:$S$398)+0.00001),0.00001)</f>
        <v>0</v>
      </c>
      <c r="AB251" s="921">
        <f>IF(Meal_entry_week_1!$Q$479&gt;0,100*$Q$397/(SUM($D$397:$S$397)+0.00001),0.00001)</f>
        <v>0</v>
      </c>
      <c r="AC251" s="921">
        <f>IF(Meal_entry_week_1!$Q$102&gt;0,100*$Q$407/(SUM($D$407:$S$407)+0.00001),0.00001)</f>
        <v>1.0000000000000001E-5</v>
      </c>
      <c r="AD251" s="921">
        <f>IF(Meal_entry_week_1!$Q$201&gt;0,100*$Q$406/(SUM($D$406:$S$406)+0.00001),0.00001)</f>
        <v>1.0000000000000001E-5</v>
      </c>
      <c r="AE251" s="921">
        <f>IF(Meal_entry_week_1!$Q$300&gt;0,100*$Q$405/(SUM($D$405:$S$405)+0.00001),0.00001)</f>
        <v>1.0000000000000001E-5</v>
      </c>
      <c r="AF251" s="921">
        <f>IF(Meal_entry_week_1!$Q$399&gt;0,100*$Q$404/(SUM($D$404:$S$404)+0.00001),0.00001)</f>
        <v>1.0000000000000001E-5</v>
      </c>
      <c r="AG251" s="921">
        <f>IF(Meal_entry_week_1!$Q$498&gt;0,100*$Q$403/(SUM($D$403:$S$403)+0.00001),0.00001)</f>
        <v>1.0000000000000001E-5</v>
      </c>
    </row>
    <row r="252" spans="1:33">
      <c r="A252" s="872"/>
      <c r="B252" s="951" t="s">
        <v>1734</v>
      </c>
      <c r="C252" s="873"/>
      <c r="D252" s="948">
        <f>100*(SUM(R$379:R$383)/SUM($D$379:$S$383))</f>
        <v>0.65828451056546644</v>
      </c>
      <c r="E252" s="948">
        <f>IF(Meal_entry_week_1!$Q$512&gt;0,100*SUM(R$385:R$389)/SUM($D$385:$S$389),0.00001)</f>
        <v>0</v>
      </c>
      <c r="F252" s="948">
        <f>IF(Meal_entry_week_1!$Q$522&gt;0,100*SUM(R$391:R$395)/SUM($D$391:$S$395),0.00001)</f>
        <v>2.944640753828033</v>
      </c>
      <c r="G252" s="948">
        <f>IF(Meal_entry_week_1!$Q$532&gt;0,100*SUM(R$397:R$401)/SUM($D$397:$S$401),0.00001)</f>
        <v>0</v>
      </c>
      <c r="H252" s="949">
        <f>IF(Meal_entry_week_1!$Q$542&gt;0,100*SUM(R$403:R$407)/SUM($D$403:$S$407),0.00001)</f>
        <v>1.0000000000000001E-5</v>
      </c>
      <c r="I252" s="921">
        <f>IF(Meal_entry_week_1!$Q$547&gt;0,100*$R$383/(SUM($D$383:$S$383)+0.00001),0.00001)</f>
        <v>0</v>
      </c>
      <c r="J252" s="921">
        <f>IF(Meal_entry_week_1!$Q$548&gt;0,100*R$382/(SUM($D$382:$S$382)+0.00001),0.00001)</f>
        <v>0</v>
      </c>
      <c r="K252" s="921">
        <f>IF(Meal_entry_week_1!$Q$549&gt;0,100*R$381/(SUM($D$381:$S$381)+0.00001),0.00001)</f>
        <v>0</v>
      </c>
      <c r="L252" s="921">
        <f>IF(Meal_entry_week_1!$Q$550&gt;0,100*R$380/(SUM($D$380:$S$380)+0.00001),0.00001)</f>
        <v>3.135975876367588</v>
      </c>
      <c r="M252" s="921">
        <f>IF(Meal_entry_week_1!$Q$551&gt;0,100*R$379/(SUM($D$379:$S$379)+0.00001),0.00001)</f>
        <v>0</v>
      </c>
      <c r="N252" s="921">
        <f>IF(Meal_entry_week_1!$Q$32&gt;0,100*$R$389/(SUM($D$389:$S$389)+0.00001),0.00001)</f>
        <v>1.0000000000000001E-5</v>
      </c>
      <c r="O252" s="921">
        <f>IF(Meal_entry_week_1!$Q$131&gt;0,100*$R$388/(SUM($D$388:$S$388)+0.00001),0.00001)</f>
        <v>1.0000000000000001E-5</v>
      </c>
      <c r="P252" s="921">
        <f>IF(Meal_entry_week_1!$Q$230&gt;0,100*$R$387/(SUM($D$387:$S$387)+0.00001),0.00001)</f>
        <v>0</v>
      </c>
      <c r="Q252" s="921">
        <f>IF(Meal_entry_week_1!$Q$329&gt;0,100*$R$386/(SUM($D$386:$S$386)+0.00001),0.00001)</f>
        <v>1.0000000000000001E-5</v>
      </c>
      <c r="R252" s="921">
        <f>IF(Meal_entry_week_1!$Q$428&gt;0,100*$R$385/(SUM($D$385:$S$385)+0.00001),0.00001)</f>
        <v>1.0000000000000001E-5</v>
      </c>
      <c r="S252" s="921">
        <f>IF(Meal_entry_week_1!$Q$51&gt;0,100*$R$395/(SUM($D$395:$S$395)+0.00001),0.00001)</f>
        <v>0</v>
      </c>
      <c r="T252" s="921">
        <f>IF(Meal_entry_week_1!$Q$150&gt;0,100*$R$394/(SUM($D$394:$S$394)+0.00001),0.00001)</f>
        <v>0</v>
      </c>
      <c r="U252" s="921">
        <f>IF(Meal_entry_week_1!$Q$249&gt;0,100*$R$393/(SUM($D$393:$S$393)+0.00001),0.00001)</f>
        <v>0</v>
      </c>
      <c r="V252" s="921">
        <f>IF(Meal_entry_week_1!$Q$348&gt;0,100*$R$392/(SUM($D$392:$S$392)+0.00001),0.00001)</f>
        <v>17.361109905478479</v>
      </c>
      <c r="W252" s="921">
        <f>IF(Meal_entry_week_1!$Q$447&gt;0,100*$R$391/(SUM($D$391:$S$391)+0.00001),0.00001)</f>
        <v>0</v>
      </c>
      <c r="X252" s="921">
        <f>IF(Meal_entry_week_1!$Q$83&gt;0,100*$R$401/(SUM($D$401:$S$401)+0.00001),0.00001)</f>
        <v>0</v>
      </c>
      <c r="Y252" s="921">
        <f>IF(Meal_entry_week_1!$Q$182&gt;0,100*$R$400/(SUM($D$400:$S$400)+0.00001),0.00001)</f>
        <v>0</v>
      </c>
      <c r="Z252" s="921">
        <f>IF(Meal_entry_week_1!$Q$281&gt;0,100*$R$399/(SUM($D$399:$S$399)+0.00001),0.00001)</f>
        <v>0</v>
      </c>
      <c r="AA252" s="921">
        <f>IF(Meal_entry_week_1!$Q$380&gt;0,100*$R$398/(SUM($D$398:$S$398)+0.00001),0.00001)</f>
        <v>0</v>
      </c>
      <c r="AB252" s="921">
        <f>IF(Meal_entry_week_1!$Q$479&gt;0,100*$R$397/(SUM($D$397:$S$397)+0.00001),0.00001)</f>
        <v>0</v>
      </c>
      <c r="AC252" s="921">
        <f>IF(Meal_entry_week_1!$Q$102&gt;0,100*$R$407/(SUM($D$407:$S$407)+0.00001),0.00001)</f>
        <v>1.0000000000000001E-5</v>
      </c>
      <c r="AD252" s="921">
        <f>IF(Meal_entry_week_1!$Q$201&gt;0,100*$R$406/(SUM($D$406:$S$406)+0.00001),0.00001)</f>
        <v>1.0000000000000001E-5</v>
      </c>
      <c r="AE252" s="921">
        <f>IF(Meal_entry_week_1!$Q$300&gt;0,100*$R$405/(SUM($D$405:$S$405)+0.00001),0.00001)</f>
        <v>1.0000000000000001E-5</v>
      </c>
      <c r="AF252" s="921">
        <f>IF(Meal_entry_week_1!$Q$399&gt;0,100*$R$404/(SUM($D$404:$S$404)+0.00001),0.00001)</f>
        <v>1.0000000000000001E-5</v>
      </c>
      <c r="AG252" s="921">
        <f>IF(Meal_entry_week_1!$Q$498&gt;0,100*$R$403/(SUM($D$403:$S$403)+0.00001),0.00001)</f>
        <v>1.0000000000000001E-5</v>
      </c>
    </row>
    <row r="253" spans="1:33" ht="15" thickBot="1">
      <c r="A253" s="872"/>
      <c r="B253" s="952" t="s">
        <v>1429</v>
      </c>
      <c r="C253" s="873"/>
      <c r="D253" s="953">
        <f>100*(SUM(S$379:S$383)/SUM($D$379:$S$383))</f>
        <v>0</v>
      </c>
      <c r="E253" s="953">
        <f>IF(Meal_entry_week_1!$Q$512&gt;0,100*SUM(S$385:S$389)/SUM($D$385:$S$389),0.00001)</f>
        <v>0</v>
      </c>
      <c r="F253" s="953">
        <f>IF(Meal_entry_week_1!$Q$522&gt;0,100*SUM(S$391:S$395)/SUM($D$391:$S$395),0.00001)</f>
        <v>0</v>
      </c>
      <c r="G253" s="953">
        <f>IF(Meal_entry_week_1!$Q$532&gt;0,100*SUM(S$397:S$401)/SUM($D$397:$S$401),0.00001)</f>
        <v>0</v>
      </c>
      <c r="H253" s="954">
        <f>IF(Meal_entry_week_1!$Q$542&gt;0,100*SUM(S$403:S$407)/SUM($D$403:$S$407),0.00001)</f>
        <v>1.0000000000000001E-5</v>
      </c>
      <c r="I253" s="921">
        <f>IF(Meal_entry_week_1!$Q$547&gt;0,100*$S$383/(SUM($D$383:$S$383)+0.00001),0.00001)</f>
        <v>0</v>
      </c>
      <c r="J253" s="921">
        <f>IF(Meal_entry_week_1!$Q$548&gt;0,100*S$382/(SUM($D$382:$S$382)+0.00001),0.00001)</f>
        <v>0</v>
      </c>
      <c r="K253" s="921">
        <f>IF(Meal_entry_week_1!$Q$549&gt;0,100*S$381/(SUM($D$381:$S$381)+0.00001),0.00001)</f>
        <v>0</v>
      </c>
      <c r="L253" s="921">
        <f>IF(Meal_entry_week_1!$Q$550&gt;0,100*S$380/(SUM($D$380:$S$380)+0.00001),0.00001)</f>
        <v>0</v>
      </c>
      <c r="M253" s="921">
        <f>IF(Meal_entry_week_1!$Q$551&gt;0,100*S$379/(SUM($D$379:$S$379)+0.00001),0.00001)</f>
        <v>0</v>
      </c>
      <c r="N253" s="921">
        <f>IF(Meal_entry_week_1!$Q$32&gt;0,100*$S$389/(SUM($D$389:$S$389)+0.00001),0.00001)</f>
        <v>1.0000000000000001E-5</v>
      </c>
      <c r="O253" s="921">
        <f>IF(Meal_entry_week_1!$Q$131&gt;0,100*$S$388/(SUM($D$388:$S$388)+0.00001),0.00001)</f>
        <v>1.0000000000000001E-5</v>
      </c>
      <c r="P253" s="921">
        <f>IF(Meal_entry_week_1!$Q$230&gt;0,100*$S$387/(SUM($D$387:$S$387)+0.00001),0.00001)</f>
        <v>0</v>
      </c>
      <c r="Q253" s="921">
        <f>IF(Meal_entry_week_1!$Q$329&gt;0,100*$S$386/(SUM($D$386:$S$386)+0.00001),0.00001)</f>
        <v>1.0000000000000001E-5</v>
      </c>
      <c r="R253" s="921">
        <f>IF(Meal_entry_week_1!$Q$428&gt;0,100*$S$385/(SUM($D$385:$S$385)+0.00001),0.00001)</f>
        <v>1.0000000000000001E-5</v>
      </c>
      <c r="S253" s="921">
        <f>IF(Meal_entry_week_1!$Q$51&gt;0,100*$S$395/(SUM($D$395:$S$395)+0.00001),0.00001)</f>
        <v>0</v>
      </c>
      <c r="T253" s="921">
        <f>IF(Meal_entry_week_1!$Q$150&gt;0,100*$S$394/(SUM($D$394:$S$394)+0.00001),0.00001)</f>
        <v>0</v>
      </c>
      <c r="U253" s="921">
        <f>IF(Meal_entry_week_1!$Q$249&gt;0,100*$S$393/(SUM($D$393:$S$393)+0.00001),0.00001)</f>
        <v>0</v>
      </c>
      <c r="V253" s="921">
        <f>IF(Meal_entry_week_1!$Q$348&gt;0,100*$S$392/(SUM($D$392:$S$392)+0.00001),0.00001)</f>
        <v>0</v>
      </c>
      <c r="W253" s="921">
        <f>IF(Meal_entry_week_1!$Q$447&gt;0,100*$S$391/(SUM($D$391:$S$391)+0.00001),0.00001)</f>
        <v>0</v>
      </c>
      <c r="X253" s="921">
        <f>IF(Meal_entry_week_1!$Q$83&gt;0,100*$S$401/(SUM($D$401:$S$401)+0.00001),0.00001)</f>
        <v>0</v>
      </c>
      <c r="Y253" s="921">
        <f>IF(Meal_entry_week_1!$Q$182&gt;0,100*$S$400/(SUM($D$400:$S$400)+0.00001),0.00001)</f>
        <v>0</v>
      </c>
      <c r="Z253" s="921">
        <f>IF(Meal_entry_week_1!$Q$281&gt;0,100*$S$399/(SUM($D$399:$S$399)+0.00001),0.00001)</f>
        <v>0</v>
      </c>
      <c r="AA253" s="921">
        <f>IF(Meal_entry_week_1!$Q$380&gt;0,100*$S$398/(SUM($D$398:$S$398)+0.00001),0.00001)</f>
        <v>0</v>
      </c>
      <c r="AB253" s="921">
        <f>IF(Meal_entry_week_1!$Q$479&gt;0,100*$S$397/(SUM($D$397:$S$397)+0.00001),0.00001)</f>
        <v>0</v>
      </c>
      <c r="AC253" s="921">
        <f>IF(Meal_entry_week_1!$Q$102&gt;0,100*$S$407/(SUM($D$407:$S$407)+0.00001),0.00001)</f>
        <v>1.0000000000000001E-5</v>
      </c>
      <c r="AD253" s="921">
        <f>IF(Meal_entry_week_1!$Q$201&gt;0,100*$S$406/(SUM($D$406:$S$406)+0.00001),0.00001)</f>
        <v>1.0000000000000001E-5</v>
      </c>
      <c r="AE253" s="921">
        <f>IF(Meal_entry_week_1!$Q$300&gt;0,100*$S$405/(SUM($D$405:$S$405)+0.00001),0.00001)</f>
        <v>1.0000000000000001E-5</v>
      </c>
      <c r="AF253" s="921">
        <f>IF(Meal_entry_week_1!$Q$399&gt;0,100*$S$404/(SUM($D$404:$S$404)+0.00001),0.00001)</f>
        <v>1.0000000000000001E-5</v>
      </c>
      <c r="AG253" s="921">
        <f>IF(Meal_entry_week_1!$Q$498&gt;0,100*$S$403/(SUM($D$403:$S$403)+0.00001),0.00001)</f>
        <v>1.0000000000000001E-5</v>
      </c>
    </row>
    <row r="254" spans="1:33">
      <c r="A254" s="872"/>
      <c r="B254" s="913"/>
      <c r="C254" s="873"/>
      <c r="D254" s="955"/>
      <c r="E254" s="913"/>
      <c r="F254" s="913"/>
      <c r="G254" s="913"/>
      <c r="H254" s="913"/>
      <c r="I254" s="913"/>
      <c r="J254" s="913"/>
      <c r="K254" s="913"/>
      <c r="L254" s="913"/>
      <c r="M254" s="913"/>
      <c r="N254" s="921" t="s">
        <v>2569</v>
      </c>
      <c r="O254" s="913"/>
      <c r="P254" s="913"/>
      <c r="Q254" s="913"/>
      <c r="R254" s="913"/>
      <c r="S254" s="913"/>
      <c r="T254" s="913"/>
      <c r="U254" s="913"/>
      <c r="V254" s="913"/>
      <c r="W254" s="913"/>
      <c r="X254" s="913"/>
      <c r="Y254" s="913"/>
      <c r="Z254" s="913"/>
      <c r="AA254" s="913"/>
      <c r="AB254" s="913"/>
      <c r="AC254" s="913"/>
      <c r="AD254" s="913"/>
      <c r="AE254" s="913"/>
      <c r="AF254" s="913"/>
      <c r="AG254" s="913"/>
    </row>
    <row r="255" spans="1:33">
      <c r="A255" s="872"/>
      <c r="B255" s="956" t="s">
        <v>2495</v>
      </c>
      <c r="C255" s="873"/>
      <c r="D255" s="913" t="s">
        <v>3629</v>
      </c>
      <c r="E255" s="913" t="s">
        <v>3590</v>
      </c>
      <c r="F255" s="913" t="s">
        <v>3640</v>
      </c>
      <c r="G255" s="945" t="s">
        <v>3592</v>
      </c>
      <c r="H255" s="945" t="s">
        <v>3606</v>
      </c>
      <c r="I255" s="945" t="s">
        <v>3609</v>
      </c>
      <c r="J255" s="945" t="s">
        <v>3610</v>
      </c>
      <c r="K255" s="945" t="s">
        <v>3611</v>
      </c>
      <c r="L255" s="945" t="s">
        <v>3612</v>
      </c>
      <c r="M255" s="945" t="s">
        <v>3613</v>
      </c>
      <c r="N255" s="945" t="s">
        <v>3624</v>
      </c>
      <c r="O255" s="945" t="s">
        <v>3625</v>
      </c>
      <c r="P255" s="945" t="s">
        <v>3626</v>
      </c>
      <c r="Q255" s="945" t="s">
        <v>3627</v>
      </c>
      <c r="R255" s="945" t="s">
        <v>3628</v>
      </c>
      <c r="S255" s="945" t="s">
        <v>3635</v>
      </c>
      <c r="T255" s="945" t="s">
        <v>3636</v>
      </c>
      <c r="U255" s="945" t="s">
        <v>3637</v>
      </c>
      <c r="V255" s="945" t="s">
        <v>3638</v>
      </c>
      <c r="W255" s="945" t="s">
        <v>3639</v>
      </c>
      <c r="X255" s="945" t="s">
        <v>3646</v>
      </c>
      <c r="Y255" s="945" t="s">
        <v>3647</v>
      </c>
      <c r="Z255" s="945" t="s">
        <v>3648</v>
      </c>
      <c r="AA255" s="945" t="s">
        <v>3649</v>
      </c>
      <c r="AB255" s="945" t="s">
        <v>3650</v>
      </c>
      <c r="AC255" s="945" t="s">
        <v>3651</v>
      </c>
      <c r="AD255" s="945" t="s">
        <v>3652</v>
      </c>
      <c r="AE255" s="945" t="s">
        <v>3653</v>
      </c>
      <c r="AF255" s="945" t="s">
        <v>3654</v>
      </c>
      <c r="AG255" s="945" t="s">
        <v>3655</v>
      </c>
    </row>
    <row r="256" spans="1:33">
      <c r="A256" s="1063"/>
      <c r="B256" s="957"/>
      <c r="C256" s="958"/>
      <c r="D256" s="793" t="s">
        <v>3589</v>
      </c>
      <c r="E256" s="793" t="s">
        <v>3591</v>
      </c>
      <c r="F256" s="793" t="s">
        <v>3608</v>
      </c>
      <c r="G256" s="793" t="s">
        <v>3593</v>
      </c>
      <c r="H256" s="793" t="s">
        <v>3607</v>
      </c>
      <c r="I256" s="793" t="s">
        <v>3614</v>
      </c>
      <c r="J256" s="793" t="s">
        <v>3615</v>
      </c>
      <c r="K256" s="793" t="s">
        <v>3616</v>
      </c>
      <c r="L256" s="793" t="s">
        <v>3617</v>
      </c>
      <c r="M256" s="793" t="s">
        <v>3618</v>
      </c>
      <c r="N256" s="793" t="s">
        <v>3619</v>
      </c>
      <c r="O256" s="793" t="s">
        <v>3620</v>
      </c>
      <c r="P256" s="793" t="s">
        <v>3621</v>
      </c>
      <c r="Q256" s="793" t="s">
        <v>3622</v>
      </c>
      <c r="R256" s="793" t="s">
        <v>3623</v>
      </c>
      <c r="S256" s="793" t="s">
        <v>3630</v>
      </c>
      <c r="T256" s="793" t="s">
        <v>3631</v>
      </c>
      <c r="U256" s="793" t="s">
        <v>3632</v>
      </c>
      <c r="V256" s="793" t="s">
        <v>3633</v>
      </c>
      <c r="W256" s="793" t="s">
        <v>3634</v>
      </c>
      <c r="X256" s="793" t="s">
        <v>3641</v>
      </c>
      <c r="Y256" s="793" t="s">
        <v>3642</v>
      </c>
      <c r="Z256" s="793" t="s">
        <v>3643</v>
      </c>
      <c r="AA256" s="793" t="s">
        <v>3644</v>
      </c>
      <c r="AB256" s="793" t="s">
        <v>3645</v>
      </c>
      <c r="AC256" s="793" t="s">
        <v>3656</v>
      </c>
      <c r="AD256" s="793" t="s">
        <v>3657</v>
      </c>
      <c r="AE256" s="793" t="s">
        <v>3658</v>
      </c>
      <c r="AF256" s="793" t="s">
        <v>3659</v>
      </c>
      <c r="AG256" s="793" t="s">
        <v>3660</v>
      </c>
    </row>
    <row r="257" spans="1:33">
      <c r="A257" s="872"/>
      <c r="B257" s="913"/>
      <c r="C257" s="873"/>
      <c r="D257" s="959"/>
      <c r="E257" s="959"/>
      <c r="F257" s="960"/>
      <c r="G257" s="960"/>
      <c r="H257" s="960"/>
      <c r="I257" s="960"/>
      <c r="J257" s="913"/>
      <c r="K257" s="913"/>
      <c r="L257" s="913"/>
      <c r="M257" s="913"/>
      <c r="N257" s="913"/>
      <c r="O257" s="913"/>
      <c r="P257" s="913"/>
      <c r="Q257" s="913"/>
      <c r="R257" s="913"/>
      <c r="S257" s="913"/>
      <c r="T257" s="913"/>
      <c r="U257" s="913"/>
      <c r="V257" s="913"/>
      <c r="W257" s="913"/>
      <c r="X257" s="913"/>
      <c r="Y257" s="913"/>
      <c r="Z257" s="913"/>
      <c r="AA257" s="913"/>
      <c r="AB257" s="913"/>
      <c r="AC257" s="913"/>
      <c r="AD257" s="913"/>
      <c r="AE257" s="913"/>
      <c r="AF257" s="913"/>
      <c r="AG257" s="913"/>
    </row>
    <row r="258" spans="1:33" ht="15" thickBot="1">
      <c r="A258" s="872"/>
      <c r="B258" s="913"/>
      <c r="C258" s="873"/>
      <c r="D258" s="913"/>
      <c r="E258" s="913"/>
      <c r="F258" s="913"/>
      <c r="G258" s="913"/>
      <c r="H258" s="913"/>
      <c r="I258" s="913"/>
      <c r="J258" s="913"/>
      <c r="K258" s="913"/>
      <c r="L258" s="913"/>
      <c r="M258" s="913"/>
      <c r="N258" s="913"/>
      <c r="O258" s="913"/>
      <c r="P258" s="913"/>
      <c r="Q258" s="913"/>
      <c r="R258" s="913"/>
      <c r="S258" s="913"/>
      <c r="T258" s="913"/>
      <c r="U258" s="913"/>
      <c r="V258" s="913"/>
      <c r="W258" s="913"/>
      <c r="X258" s="913"/>
      <c r="Y258" s="913"/>
      <c r="Z258" s="913"/>
      <c r="AA258" s="913"/>
      <c r="AB258" s="913"/>
      <c r="AC258" s="913"/>
      <c r="AD258" s="913"/>
      <c r="AE258" s="913"/>
      <c r="AF258" s="913"/>
      <c r="AG258" s="913"/>
    </row>
    <row r="259" spans="1:33" ht="15" thickBot="1">
      <c r="A259" s="872"/>
      <c r="B259" s="939"/>
      <c r="C259" s="873"/>
      <c r="D259" s="914" t="s">
        <v>3773</v>
      </c>
      <c r="E259" s="915" t="s">
        <v>3774</v>
      </c>
      <c r="F259" s="915" t="s">
        <v>3775</v>
      </c>
      <c r="G259" s="915" t="s">
        <v>3776</v>
      </c>
      <c r="H259" s="916" t="s">
        <v>3777</v>
      </c>
      <c r="I259" s="914" t="s">
        <v>3773</v>
      </c>
      <c r="J259" s="914" t="s">
        <v>3773</v>
      </c>
      <c r="K259" s="914" t="s">
        <v>3773</v>
      </c>
      <c r="L259" s="914" t="s">
        <v>3773</v>
      </c>
      <c r="M259" s="914" t="s">
        <v>3773</v>
      </c>
      <c r="N259" s="914" t="s">
        <v>67</v>
      </c>
      <c r="O259" s="914" t="s">
        <v>67</v>
      </c>
      <c r="P259" s="914" t="s">
        <v>67</v>
      </c>
      <c r="Q259" s="914" t="s">
        <v>67</v>
      </c>
      <c r="R259" s="917" t="s">
        <v>67</v>
      </c>
      <c r="S259" s="914" t="s">
        <v>1362</v>
      </c>
      <c r="T259" s="914" t="s">
        <v>1362</v>
      </c>
      <c r="U259" s="914" t="s">
        <v>1362</v>
      </c>
      <c r="V259" s="914" t="s">
        <v>1362</v>
      </c>
      <c r="W259" s="914" t="s">
        <v>1362</v>
      </c>
      <c r="X259" s="914" t="s">
        <v>69</v>
      </c>
      <c r="Y259" s="914" t="s">
        <v>69</v>
      </c>
      <c r="Z259" s="914" t="s">
        <v>69</v>
      </c>
      <c r="AA259" s="914" t="s">
        <v>69</v>
      </c>
      <c r="AB259" s="914" t="s">
        <v>69</v>
      </c>
      <c r="AC259" s="1281" t="s">
        <v>1364</v>
      </c>
      <c r="AD259" s="1281" t="s">
        <v>1364</v>
      </c>
      <c r="AE259" s="1281" t="s">
        <v>1364</v>
      </c>
      <c r="AF259" s="1281" t="s">
        <v>1364</v>
      </c>
      <c r="AG259" s="1281" t="s">
        <v>1364</v>
      </c>
    </row>
    <row r="260" spans="1:33" ht="45">
      <c r="A260" s="872"/>
      <c r="B260" s="946" t="s">
        <v>3840</v>
      </c>
      <c r="C260" s="873"/>
      <c r="D260" s="874" t="s">
        <v>3743</v>
      </c>
      <c r="E260" s="875" t="s">
        <v>3744</v>
      </c>
      <c r="F260" s="876" t="s">
        <v>3745</v>
      </c>
      <c r="G260" s="877" t="s">
        <v>3746</v>
      </c>
      <c r="H260" s="878" t="s">
        <v>3747</v>
      </c>
      <c r="I260" s="874" t="s">
        <v>3748</v>
      </c>
      <c r="J260" s="874" t="s">
        <v>3749</v>
      </c>
      <c r="K260" s="874" t="s">
        <v>3750</v>
      </c>
      <c r="L260" s="874" t="s">
        <v>3751</v>
      </c>
      <c r="M260" s="874" t="s">
        <v>3752</v>
      </c>
      <c r="N260" s="880" t="s">
        <v>3753</v>
      </c>
      <c r="O260" s="880" t="s">
        <v>3754</v>
      </c>
      <c r="P260" s="880" t="s">
        <v>3755</v>
      </c>
      <c r="Q260" s="880" t="s">
        <v>3756</v>
      </c>
      <c r="R260" s="880" t="s">
        <v>3757</v>
      </c>
      <c r="S260" s="882" t="s">
        <v>3758</v>
      </c>
      <c r="T260" s="882" t="s">
        <v>3759</v>
      </c>
      <c r="U260" s="882" t="s">
        <v>3760</v>
      </c>
      <c r="V260" s="882" t="s">
        <v>3761</v>
      </c>
      <c r="W260" s="882" t="s">
        <v>3762</v>
      </c>
      <c r="X260" s="884" t="s">
        <v>3768</v>
      </c>
      <c r="Y260" s="884" t="s">
        <v>3769</v>
      </c>
      <c r="Z260" s="884" t="s">
        <v>3770</v>
      </c>
      <c r="AA260" s="884" t="s">
        <v>3771</v>
      </c>
      <c r="AB260" s="884" t="s">
        <v>3772</v>
      </c>
      <c r="AC260" s="886" t="s">
        <v>3763</v>
      </c>
      <c r="AD260" s="886" t="s">
        <v>3764</v>
      </c>
      <c r="AE260" s="886" t="s">
        <v>3765</v>
      </c>
      <c r="AF260" s="886" t="s">
        <v>3766</v>
      </c>
      <c r="AG260" s="886" t="s">
        <v>3767</v>
      </c>
    </row>
    <row r="261" spans="1:33">
      <c r="A261" s="872"/>
      <c r="B261" s="947" t="s">
        <v>1427</v>
      </c>
      <c r="C261" s="873"/>
      <c r="D261" s="948">
        <f>100*(SUM(D$423:D$427)/SUM($D$423:$S$427))</f>
        <v>13.479363001461772</v>
      </c>
      <c r="E261" s="948">
        <f>IF(Meal_entry_week_1!$Q$512&gt;0,100*SUM(D$429:D$433)/SUM($D$429:$S$433),0.00001)</f>
        <v>100</v>
      </c>
      <c r="F261" s="948">
        <f>IF(Meal_entry_week_1!$Q$522&gt;0,100*SUM(D$435:D$439)/SUM($D$435:$S$439),0.00001)</f>
        <v>0</v>
      </c>
      <c r="G261" s="948">
        <f>IF(Meal_entry_week_1!$Q$532&gt;0,100*SUM(D$441:D$445)/SUM($D$441:$S$445),0.00001)</f>
        <v>17.013151041135288</v>
      </c>
      <c r="H261" s="949">
        <f>IF(Meal_entry_week_1!$Q$542&gt;0,100*SUM(D$447:D$451)/SUM($D$447:$S$451),0.00001)</f>
        <v>1.0000000000000001E-5</v>
      </c>
      <c r="I261" s="921">
        <f>IF(Meal_entry_week_1!$Q$547&gt;0,100*$D$427/(SUM($D$427:$S$427)+0.00001),0.00001)</f>
        <v>21.331111899410324</v>
      </c>
      <c r="J261" s="921">
        <f>IF(Meal_entry_week_1!$Q$548&gt;0,100*$D$426/(SUM($D$426:$S$426)+0.00001),0.00001)</f>
        <v>3.2529918495571635</v>
      </c>
      <c r="K261" s="921">
        <f>IF(Meal_entry_week_1!$Q$549&gt;0,100*$D$425/(SUM($D$425:$S$425)+0.00001),0.00001)</f>
        <v>15.153713159638114</v>
      </c>
      <c r="L261" s="921">
        <f>IF(Meal_entry_week_1!$Q$550&gt;0,100*$D$424/(SUM($D$424:$S$424)+0.00001),0.00001)</f>
        <v>11.515387071477836</v>
      </c>
      <c r="M261" s="921">
        <f>IF(Meal_entry_week_1!$Q$551&gt;0,100*$D$423/(SUM($D$423:$S$423)+0.00001),0.00001)</f>
        <v>16.111313341735354</v>
      </c>
      <c r="N261" s="921">
        <f>IF(Meal_entry_week_1!$V$32&gt;0,100*$D$433/(SUM($D$433:$S$433)+0.00001),0.00001)</f>
        <v>1.0000000000000001E-5</v>
      </c>
      <c r="O261" s="921">
        <f>IF(Meal_entry_week_1!$V$131&gt;0,100*$D$432/(SUM($D$432:$S$432)+0.00001),0.00001)</f>
        <v>1.0000000000000001E-5</v>
      </c>
      <c r="P261" s="921">
        <f>IF(Meal_entry_week_1!$V$230&gt;0,100*$D$431/(SUM($D$431:$S$431)+0.00001),0.00001)</f>
        <v>99.999979166670997</v>
      </c>
      <c r="Q261" s="921">
        <f>IF(Meal_entry_week_1!$V$329&gt;0,100*$D$430/(SUM($D$430:$S$430)+0.00001),0.00001)</f>
        <v>1.0000000000000001E-5</v>
      </c>
      <c r="R261" s="921">
        <f>IF(Meal_entry_week_1!$V$428&gt;0,100*$D$429/(SUM($D$429:$S$429)+0.00001),0.00001)</f>
        <v>1.0000000000000001E-5</v>
      </c>
      <c r="S261" s="921">
        <f>IF(Meal_entry_week_1!$V$51&gt;0,100*$D$439/(SUM($D$439:$S$439)+0.00001),0.00001)</f>
        <v>0</v>
      </c>
      <c r="T261" s="921">
        <f>IF(Meal_entry_week_1!$V$150&gt;0,100*$D$438/(SUM($D$438:$S$438)+0.00001),0.00001)</f>
        <v>0</v>
      </c>
      <c r="U261" s="921">
        <f>IF(Meal_entry_week_1!$V$249&gt;0,100*$D$437/(SUM($D$437:$S$437)+0.00001),0.00001)</f>
        <v>0</v>
      </c>
      <c r="V261" s="921">
        <f>IF(Meal_entry_week_1!$V$348&gt;0,100*$D$436/(SUM($D$436:$S$436)+0.00001),0.00001)</f>
        <v>0</v>
      </c>
      <c r="W261" s="921">
        <f>IF(Meal_entry_week_1!$V$447&gt;0,100*$D$435/(SUM($D$435:$S$435)+0.00001),0.00001)</f>
        <v>0</v>
      </c>
      <c r="X261" s="921">
        <f>IF(Meal_entry_week_1!$V$83&gt;0,100*$D$445/(SUM($D$445:$S$445)+0.00001),0.00001)</f>
        <v>34.430578617376092</v>
      </c>
      <c r="Y261" s="921">
        <f>IF(Meal_entry_week_1!$V$182&gt;0,100*$D$444/(SUM($D$444:$S$444)+0.00001),0.00001)</f>
        <v>4.0628142550728992</v>
      </c>
      <c r="Z261" s="921">
        <f>IF(Meal_entry_week_1!$V$281&gt;0,100*$D$443/(SUM($D$443:$S$443)+0.00001),0.00001)</f>
        <v>16.004470819530852</v>
      </c>
      <c r="AA261" s="921">
        <f>IF(Meal_entry_week_1!$V$380&gt;0,100*$D$442/(SUM($D$442:$S$442)+0.00001),0.00001)</f>
        <v>13.91090486187837</v>
      </c>
      <c r="AB261" s="921">
        <f>IF(Meal_entry_week_1!$V$479&gt;0,100*$D$441/(SUM($D$441:$S$441)+0.00001),0.00001)</f>
        <v>20.994041525501501</v>
      </c>
      <c r="AC261" s="921">
        <f>IF(Meal_entry_week_1!$V$102&gt;0,100*$D$451/(SUM($D$451:$S$451)+0.00001),0.00001)</f>
        <v>1.0000000000000001E-5</v>
      </c>
      <c r="AD261" s="921">
        <f>IF(Meal_entry_week_1!$V$201&gt;0,100*$D$450/(SUM($D$450:$S$450)+0.00001),0.00001)</f>
        <v>1.0000000000000001E-5</v>
      </c>
      <c r="AE261" s="921">
        <f>IF(Meal_entry_week_1!$V$300&gt;0,100*$D$449/(SUM($D$449:$S$449)+0.00001),0.00001)</f>
        <v>1.0000000000000001E-5</v>
      </c>
      <c r="AF261" s="921">
        <f>IF(Meal_entry_week_1!$V$399&gt;0,100*$D$448/(SUM($D$448:$S$448)+0.00001),0.00001)</f>
        <v>1.0000000000000001E-5</v>
      </c>
      <c r="AG261" s="921">
        <f>IF(Meal_entry_week_1!$V$498&gt;0,100*$D$447/(SUM($D$447:$S$447)+0.00001),0.00001)</f>
        <v>1.0000000000000001E-5</v>
      </c>
    </row>
    <row r="262" spans="1:33">
      <c r="A262" s="872"/>
      <c r="B262" s="947" t="s">
        <v>796</v>
      </c>
      <c r="C262" s="873"/>
      <c r="D262" s="948">
        <f>100*(SUM(E$423:E$427)/SUM($D$423:$S$427))</f>
        <v>2.1504379165213439</v>
      </c>
      <c r="E262" s="948">
        <f>IF(Meal_entry_week_1!$Q$512&gt;0,100*SUM(E$429:E$433)/SUM($D$429:$S$433),0.00001)</f>
        <v>0</v>
      </c>
      <c r="F262" s="948">
        <f>IF(Meal_entry_week_1!$Q$522&gt;0,100*SUM(E$435:E$439)/SUM($D$435:$S$439),0.00001)</f>
        <v>1.9692065328426727</v>
      </c>
      <c r="G262" s="948">
        <f>IF(Meal_entry_week_1!$Q$532&gt;0,100*SUM(E$441:E$445)/SUM($D$441:$S$445),0.00001)</f>
        <v>2.2296142339368985</v>
      </c>
      <c r="H262" s="949">
        <f>IF(Meal_entry_week_1!$Q$542&gt;0,100*SUM(E$447:E$451)/SUM($D$447:$S$451),0.00001)</f>
        <v>1.0000000000000001E-5</v>
      </c>
      <c r="I262" s="921">
        <f>IF(Meal_entry_week_1!$Q$547&gt;0,100*$E$427/(SUM($D$427:$S$427)+0.00001),0.00001)</f>
        <v>0</v>
      </c>
      <c r="J262" s="921">
        <f>IF(Meal_entry_week_1!$Q$548&gt;0,100*$E$426/(SUM($D$426:$S$426)+0.00001),0.00001)</f>
        <v>2.5513661565154222</v>
      </c>
      <c r="K262" s="921">
        <f>IF(Meal_entry_week_1!$Q$549&gt;0,100*$E$425/(SUM($D$425:$S$425)+0.00001),0.00001)</f>
        <v>0</v>
      </c>
      <c r="L262" s="921">
        <f>IF(Meal_entry_week_1!$Q$550&gt;0,100*$E$424/(SUM($D$424:$S$424)+0.00001),0.00001)</f>
        <v>7.5599258616970557</v>
      </c>
      <c r="M262" s="921">
        <f>IF(Meal_entry_week_1!$Q$551&gt;0,100*$E$423/(SUM($D$423:$S$423)+0.00001),0.00001)</f>
        <v>0</v>
      </c>
      <c r="N262" s="921">
        <f>IF(Meal_entry_week_1!$V$32&gt;0,100*$E$433/(SUM($D$433:$S$433)+0.00001),0.00001)</f>
        <v>1.0000000000000001E-5</v>
      </c>
      <c r="O262" s="921">
        <f>IF(Meal_entry_week_1!$V$131&gt;0,100*$E$432/(SUM($D$432:$S$432)+0.00001),0.00001)</f>
        <v>1.0000000000000001E-5</v>
      </c>
      <c r="P262" s="921">
        <f>IF(Meal_entry_week_1!$V$230&gt;0,100*$E$431/(SUM($D$431:$S$431)+0.00001),0.00001)</f>
        <v>0</v>
      </c>
      <c r="Q262" s="921">
        <f>IF(Meal_entry_week_1!$V$329&gt;0,100*$E$430/(SUM($D$430:$S$430)+0.00001),0.00001)</f>
        <v>1.0000000000000001E-5</v>
      </c>
      <c r="R262" s="921">
        <f>IF(Meal_entry_week_1!$V$428&gt;0,100*$E$429/(SUM($D$429:$S$429)+0.00001),0.00001)</f>
        <v>1.0000000000000001E-5</v>
      </c>
      <c r="S262" s="921">
        <f>IF(Meal_entry_week_1!$V$51&gt;0,100*$E$439/(SUM($D$439:$S$439)+0.00001),0.00001)</f>
        <v>0</v>
      </c>
      <c r="T262" s="921">
        <f>IF(Meal_entry_week_1!$V$150&gt;0,100*$E$438/(SUM($D$438:$S$438)+0.00001),0.00001)</f>
        <v>12.799999488000021</v>
      </c>
      <c r="U262" s="921">
        <f>IF(Meal_entry_week_1!$V$249&gt;0,100*$E$437/(SUM($D$437:$S$437)+0.00001),0.00001)</f>
        <v>0</v>
      </c>
      <c r="V262" s="921">
        <f>IF(Meal_entry_week_1!$V$348&gt;0,100*$E$436/(SUM($D$436:$S$436)+0.00001),0.00001)</f>
        <v>0</v>
      </c>
      <c r="W262" s="921">
        <f>IF(Meal_entry_week_1!$V$447&gt;0,100*$E$435/(SUM($D$435:$S$435)+0.00001),0.00001)</f>
        <v>0</v>
      </c>
      <c r="X262" s="921">
        <f>IF(Meal_entry_week_1!$V$83&gt;0,100*$E$445/(SUM($D$445:$S$445)+0.00001),0.00001)</f>
        <v>0</v>
      </c>
      <c r="Y262" s="921">
        <f>IF(Meal_entry_week_1!$V$182&gt;0,100*$E$444/(SUM($D$444:$S$444)+0.00001),0.00001)</f>
        <v>0</v>
      </c>
      <c r="Z262" s="921">
        <f>IF(Meal_entry_week_1!$V$281&gt;0,100*$E$443/(SUM($D$443:$S$443)+0.00001),0.00001)</f>
        <v>0</v>
      </c>
      <c r="AA262" s="921">
        <f>IF(Meal_entry_week_1!$V$380&gt;0,100*$E$442/(SUM($D$442:$S$442)+0.00001),0.00001)</f>
        <v>9.1325987369893173</v>
      </c>
      <c r="AB262" s="921">
        <f>IF(Meal_entry_week_1!$V$479&gt;0,100*$E$441/(SUM($D$441:$S$441)+0.00001),0.00001)</f>
        <v>0</v>
      </c>
      <c r="AC262" s="921">
        <f>IF(Meal_entry_week_1!$V$102&gt;0,100*$E$451/(SUM($D$451:$S$451)+0.00001),0.00001)</f>
        <v>1.0000000000000001E-5</v>
      </c>
      <c r="AD262" s="921">
        <f>IF(Meal_entry_week_1!$V$201&gt;0,100*$E$450/(SUM($D$450:$S$450)+0.00001),0.00001)</f>
        <v>1.0000000000000001E-5</v>
      </c>
      <c r="AE262" s="921">
        <f>IF(Meal_entry_week_1!$V$300&gt;0,100*$E$449/(SUM($D$449:$S$449)+0.00001),0.00001)</f>
        <v>1.0000000000000001E-5</v>
      </c>
      <c r="AF262" s="921">
        <f>IF(Meal_entry_week_1!$V$399&gt;0,100*$E$448/(SUM($D$448:$S$448)+0.00001),0.00001)</f>
        <v>1.0000000000000001E-5</v>
      </c>
      <c r="AG262" s="921">
        <f>IF(Meal_entry_week_1!$V$498&gt;0,100*$E$447/(SUM($D$447:$S$447)+0.00001),0.00001)</f>
        <v>1.0000000000000001E-5</v>
      </c>
    </row>
    <row r="263" spans="1:33">
      <c r="A263" s="872"/>
      <c r="B263" s="947" t="s">
        <v>1733</v>
      </c>
      <c r="C263" s="873"/>
      <c r="D263" s="948">
        <f>100*(SUM(F$423:F$427)/SUM($D$423:$S$427))</f>
        <v>5.0356087878541462</v>
      </c>
      <c r="E263" s="948">
        <f>IF(Meal_entry_week_1!$Q$512&gt;0,100*SUM(F$429:F$433)/SUM($D$429:$S$433),0.00001)</f>
        <v>0</v>
      </c>
      <c r="F263" s="948">
        <f>IF(Meal_entry_week_1!$Q$522&gt;0,100*SUM(F$435:F$439)/SUM($D$435:$S$439),0.00001)</f>
        <v>1.6984406345768053</v>
      </c>
      <c r="G263" s="948">
        <f>IF(Meal_entry_week_1!$Q$532&gt;0,100*SUM(F$441:F$445)/SUM($D$441:$S$445),0.00001)</f>
        <v>6.1632907752398562</v>
      </c>
      <c r="H263" s="949">
        <f>IF(Meal_entry_week_1!$Q$542&gt;0,100*SUM(F$447:F$451)/SUM($D$447:$S$451),0.00001)</f>
        <v>1.0000000000000001E-5</v>
      </c>
      <c r="I263" s="921">
        <f>IF(Meal_entry_week_1!$Q$547&gt;0,100*$F$427/(SUM($D$427:$S$427)+0.00001),0.00001)</f>
        <v>5.1071147643354351</v>
      </c>
      <c r="J263" s="921">
        <f>IF(Meal_entry_week_1!$Q$548&gt;0,100*$F$426/(SUM($D$426:$S$426)+0.00001),0.00001)</f>
        <v>5.142597409226398</v>
      </c>
      <c r="K263" s="921">
        <f>IF(Meal_entry_week_1!$Q$549&gt;0,100*$F$425/(SUM($D$425:$S$425)+0.00001),0.00001)</f>
        <v>4.8234035669002084</v>
      </c>
      <c r="L263" s="921">
        <f>IF(Meal_entry_week_1!$Q$550&gt;0,100*$F$424/(SUM($D$424:$S$424)+0.00001),0.00001)</f>
        <v>5.3459475736286324</v>
      </c>
      <c r="M263" s="921">
        <f>IF(Meal_entry_week_1!$Q$551&gt;0,100*$F$423/(SUM($D$423:$S$423)+0.00001),0.00001)</f>
        <v>4.7412159437080499</v>
      </c>
      <c r="N263" s="921">
        <f>IF(Meal_entry_week_1!$V$32&gt;0,100*$F$433/(SUM($D$433:$S$433)+0.00001),0.00001)</f>
        <v>1.0000000000000001E-5</v>
      </c>
      <c r="O263" s="921">
        <f>IF(Meal_entry_week_1!$V$131&gt;0,100*$F$432/(SUM($D$432:$S$432)+0.00001),0.00001)</f>
        <v>1.0000000000000001E-5</v>
      </c>
      <c r="P263" s="921">
        <f>IF(Meal_entry_week_1!$V$230&gt;0,100*$F$431/(SUM($D$431:$S$431)+0.00001),0.00001)</f>
        <v>0</v>
      </c>
      <c r="Q263" s="921">
        <f>IF(Meal_entry_week_1!$V$329&gt;0,100*$F$430/(SUM($D$430:$S$430)+0.00001),0.00001)</f>
        <v>1.0000000000000001E-5</v>
      </c>
      <c r="R263" s="921">
        <f>IF(Meal_entry_week_1!$V$428&gt;0,100*$F$429/(SUM($D$429:$S$429)+0.00001),0.00001)</f>
        <v>1.0000000000000001E-5</v>
      </c>
      <c r="S263" s="921">
        <f>IF(Meal_entry_week_1!$V$51&gt;0,100*$F$439/(SUM($D$439:$S$439)+0.00001),0.00001)</f>
        <v>0</v>
      </c>
      <c r="T263" s="921">
        <f>IF(Meal_entry_week_1!$V$150&gt;0,100*$F$438/(SUM($D$438:$S$438)+0.00001),0.00001)</f>
        <v>0</v>
      </c>
      <c r="U263" s="921">
        <f>IF(Meal_entry_week_1!$V$249&gt;0,100*$F$437/(SUM($D$437:$S$437)+0.00001),0.00001)</f>
        <v>0</v>
      </c>
      <c r="V263" s="921">
        <f>IF(Meal_entry_week_1!$V$348&gt;0,100*$F$436/(SUM($D$436:$S$436)+0.00001),0.00001)</f>
        <v>10.818437957884997</v>
      </c>
      <c r="W263" s="921">
        <f>IF(Meal_entry_week_1!$V$447&gt;0,100*$F$435/(SUM($D$435:$S$435)+0.00001),0.00001)</f>
        <v>0</v>
      </c>
      <c r="X263" s="921">
        <f>IF(Meal_entry_week_1!$V$83&gt;0,100*$F$445/(SUM($D$445:$S$445)+0.00001),0.00001)</f>
        <v>8.2434013393495107</v>
      </c>
      <c r="Y263" s="921">
        <f>IF(Meal_entry_week_1!$V$182&gt;0,100*$F$444/(SUM($D$444:$S$444)+0.00001),0.00001)</f>
        <v>6.4228313591225978</v>
      </c>
      <c r="Z263" s="921">
        <f>IF(Meal_entry_week_1!$V$281&gt;0,100*$F$443/(SUM($D$443:$S$443)+0.00001),0.00001)</f>
        <v>6.6754291765373752</v>
      </c>
      <c r="AA263" s="921">
        <f>IF(Meal_entry_week_1!$V$380&gt;0,100*$F$442/(SUM($D$442:$S$442)+0.00001),0.00001)</f>
        <v>4.2075187038272208</v>
      </c>
      <c r="AB263" s="921">
        <f>IF(Meal_entry_week_1!$V$479&gt;0,100*$F$441/(SUM($D$441:$S$441)+0.00001),0.00001)</f>
        <v>6.1780987243126502</v>
      </c>
      <c r="AC263" s="921">
        <f>IF(Meal_entry_week_1!$V$102&gt;0,100*$F$451/(SUM($D$451:$S$451)+0.00001),0.00001)</f>
        <v>1.0000000000000001E-5</v>
      </c>
      <c r="AD263" s="921">
        <f>IF(Meal_entry_week_1!$V$201&gt;0,100*$F$450/(SUM($D$450:$S$450)+0.00001),0.00001)</f>
        <v>1.0000000000000001E-5</v>
      </c>
      <c r="AE263" s="921">
        <f>IF(Meal_entry_week_1!$V$300&gt;0,100*$F$449/(SUM($D$449:$S$449)+0.00001),0.00001)</f>
        <v>1.0000000000000001E-5</v>
      </c>
      <c r="AF263" s="921">
        <f>IF(Meal_entry_week_1!$V$399&gt;0,100*$F$448/(SUM($D$448:$S$448)+0.00001),0.00001)</f>
        <v>1.0000000000000001E-5</v>
      </c>
      <c r="AG263" s="921">
        <f>IF(Meal_entry_week_1!$V$498&gt;0,100*$F$447/(SUM($D$447:$S$447)+0.00001),0.00001)</f>
        <v>1.0000000000000001E-5</v>
      </c>
    </row>
    <row r="264" spans="1:33">
      <c r="A264" s="872"/>
      <c r="B264" s="947" t="s">
        <v>806</v>
      </c>
      <c r="C264" s="873"/>
      <c r="D264" s="948">
        <f>100*(SUM(G$423:G$427)/SUM($D$423:$S$427))</f>
        <v>14.45124147095628</v>
      </c>
      <c r="E264" s="948">
        <f>IF(Meal_entry_week_1!$Q$512&gt;0,100*SUM(G$429:G$433)/SUM($D$429:$S$433),0.00001)</f>
        <v>0</v>
      </c>
      <c r="F264" s="948">
        <f>IF(Meal_entry_week_1!$Q$522&gt;0,100*SUM(G$435:G$439)/SUM($D$435:$S$439),0.00001)</f>
        <v>0</v>
      </c>
      <c r="G264" s="948">
        <f>IF(Meal_entry_week_1!$Q$532&gt;0,100*SUM(G$441:G$445)/SUM($D$441:$S$445),0.00001)</f>
        <v>19.264265126613722</v>
      </c>
      <c r="H264" s="949">
        <f>IF(Meal_entry_week_1!$Q$542&gt;0,100*SUM(G$447:G$451)/SUM($D$447:$S$451),0.00001)</f>
        <v>1.0000000000000001E-5</v>
      </c>
      <c r="I264" s="921">
        <f>IF(Meal_entry_week_1!$Q$547&gt;0,100*$G$427/(SUM($D$427:$S$427)+0.00001),0.00001)</f>
        <v>10.356753661629069</v>
      </c>
      <c r="J264" s="921">
        <f>IF(Meal_entry_week_1!$Q$548&gt;0,100*$G$426/(SUM($D$426:$S$426)+0.00001),0.00001)</f>
        <v>25.473796468958668</v>
      </c>
      <c r="K264" s="921">
        <f>IF(Meal_entry_week_1!$Q$549&gt;0,100*$G$425/(SUM($D$425:$S$425)+0.00001),0.00001)</f>
        <v>0</v>
      </c>
      <c r="L264" s="921">
        <f>IF(Meal_entry_week_1!$Q$550&gt;0,100*$G$424/(SUM($D$424:$S$424)+0.00001),0.00001)</f>
        <v>30.509700798991684</v>
      </c>
      <c r="M264" s="921">
        <f>IF(Meal_entry_week_1!$Q$551&gt;0,100*$G$423/(SUM($D$423:$S$423)+0.00001),0.00001)</f>
        <v>4.8073724452481628</v>
      </c>
      <c r="N264" s="921">
        <f>IF(Meal_entry_week_1!$V$32&gt;0,100*$G$433/(SUM($D$433:$S$433)+0.00001),0.00001)</f>
        <v>1.0000000000000001E-5</v>
      </c>
      <c r="O264" s="921">
        <f>IF(Meal_entry_week_1!$V$131&gt;0,100*$G$432/(SUM($D$432:$S$432)+0.00001),0.00001)</f>
        <v>1.0000000000000001E-5</v>
      </c>
      <c r="P264" s="921">
        <f>IF(Meal_entry_week_1!$V$230&gt;0,100*$G$431/(SUM($D$431:$S$431)+0.00001),0.00001)</f>
        <v>0</v>
      </c>
      <c r="Q264" s="921">
        <f>IF(Meal_entry_week_1!$V$329&gt;0,100*$G$430/(SUM($D$430:$S$430)+0.00001),0.00001)</f>
        <v>1.0000000000000001E-5</v>
      </c>
      <c r="R264" s="921">
        <f>IF(Meal_entry_week_1!$V$428&gt;0,100*$G$429/(SUM($D$429:$S$429)+0.00001),0.00001)</f>
        <v>1.0000000000000001E-5</v>
      </c>
      <c r="S264" s="921">
        <f>IF(Meal_entry_week_1!$V$51&gt;0,100*$G$439/(SUM($D$439:$S$439)+0.00001),0.00001)</f>
        <v>0</v>
      </c>
      <c r="T264" s="921">
        <f>IF(Meal_entry_week_1!$V$150&gt;0,100*$G$438/(SUM($D$438:$S$438)+0.00001),0.00001)</f>
        <v>0</v>
      </c>
      <c r="U264" s="921">
        <f>IF(Meal_entry_week_1!$V$249&gt;0,100*$G$437/(SUM($D$437:$S$437)+0.00001),0.00001)</f>
        <v>0</v>
      </c>
      <c r="V264" s="921">
        <f>IF(Meal_entry_week_1!$V$348&gt;0,100*$G$436/(SUM($D$436:$S$436)+0.00001),0.00001)</f>
        <v>0</v>
      </c>
      <c r="W264" s="921">
        <f>IF(Meal_entry_week_1!$V$447&gt;0,100*$G$435/(SUM($D$435:$S$435)+0.00001),0.00001)</f>
        <v>0</v>
      </c>
      <c r="X264" s="921">
        <f>IF(Meal_entry_week_1!$V$83&gt;0,100*$G$445/(SUM($D$445:$S$445)+0.00001),0.00001)</f>
        <v>16.716851088169243</v>
      </c>
      <c r="Y264" s="921">
        <f>IF(Meal_entry_week_1!$V$182&gt;0,100*$G$444/(SUM($D$444:$S$444)+0.00001),0.00001)</f>
        <v>31.815420453328219</v>
      </c>
      <c r="Z264" s="921">
        <f>IF(Meal_entry_week_1!$V$281&gt;0,100*$G$443/(SUM($D$443:$S$443)+0.00001),0.00001)</f>
        <v>0</v>
      </c>
      <c r="AA264" s="921">
        <f>IF(Meal_entry_week_1!$V$380&gt;0,100*$G$442/(SUM($D$442:$S$442)+0.00001),0.00001)</f>
        <v>36.856559188564027</v>
      </c>
      <c r="AB264" s="921">
        <f>IF(Meal_entry_week_1!$V$479&gt;0,100*$G$441/(SUM($D$441:$S$441)+0.00001),0.00001)</f>
        <v>6.2643047530239908</v>
      </c>
      <c r="AC264" s="921">
        <f>IF(Meal_entry_week_1!$V$102&gt;0,100*$G$451/(SUM($D$451:$S$451)+0.00001),0.00001)</f>
        <v>1.0000000000000001E-5</v>
      </c>
      <c r="AD264" s="921">
        <f>IF(Meal_entry_week_1!$V$201&gt;0,100*$G$450/(SUM($D$450:$S$450)+0.00001),0.00001)</f>
        <v>1.0000000000000001E-5</v>
      </c>
      <c r="AE264" s="921">
        <f>IF(Meal_entry_week_1!$V$300&gt;0,100*$G$449/(SUM($D$449:$S$449)+0.00001),0.00001)</f>
        <v>1.0000000000000001E-5</v>
      </c>
      <c r="AF264" s="921">
        <f>IF(Meal_entry_week_1!$V$399&gt;0,100*$G$448/(SUM($D$448:$S$448)+0.00001),0.00001)</f>
        <v>1.0000000000000001E-5</v>
      </c>
      <c r="AG264" s="921">
        <f>IF(Meal_entry_week_1!$V$498&gt;0,100*$G$447/(SUM($D$447:$S$447)+0.00001),0.00001)</f>
        <v>1.0000000000000001E-5</v>
      </c>
    </row>
    <row r="265" spans="1:33">
      <c r="A265" s="872"/>
      <c r="B265" s="947" t="s">
        <v>797</v>
      </c>
      <c r="C265" s="873"/>
      <c r="D265" s="948">
        <f>100*(SUM(H$423:H$427)/SUM($D$423:$S$427))</f>
        <v>9.0796267586456736</v>
      </c>
      <c r="E265" s="948">
        <f>IF(Meal_entry_week_1!$Q$512&gt;0,100*SUM(H$429:H$433)/SUM($D$429:$S$433),0.00001)</f>
        <v>0</v>
      </c>
      <c r="F265" s="948">
        <f>IF(Meal_entry_week_1!$Q$522&gt;0,100*SUM(H$435:H$439)/SUM($D$435:$S$439),0.00001)</f>
        <v>9.5998818476080299</v>
      </c>
      <c r="G265" s="948">
        <f>IF(Meal_entry_week_1!$Q$532&gt;0,100*SUM(H$441:H$445)/SUM($D$441:$S$445),0.00001)</f>
        <v>8.9980860155310527</v>
      </c>
      <c r="H265" s="949">
        <f>IF(Meal_entry_week_1!$Q$542&gt;0,100*SUM(H$447:H$451)/SUM($D$447:$S$451),0.00001)</f>
        <v>1.0000000000000001E-5</v>
      </c>
      <c r="I265" s="921">
        <f>IF(Meal_entry_week_1!$Q$547&gt;0,100*$H$427/(SUM($D$427:$S$427)+0.00001),0.00001)</f>
        <v>12.352091523043843</v>
      </c>
      <c r="J265" s="921">
        <f>IF(Meal_entry_week_1!$Q$548&gt;0,100*$H$426/(SUM($D$426:$S$426)+0.00001),0.00001)</f>
        <v>0</v>
      </c>
      <c r="K265" s="921">
        <f>IF(Meal_entry_week_1!$Q$549&gt;0,100*$H$425/(SUM($D$425:$S$425)+0.00001),0.00001)</f>
        <v>33.801215693626261</v>
      </c>
      <c r="L265" s="921">
        <f>IF(Meal_entry_week_1!$Q$550&gt;0,100*$H$424/(SUM($D$424:$S$424)+0.00001),0.00001)</f>
        <v>0</v>
      </c>
      <c r="M265" s="921">
        <f>IF(Meal_entry_week_1!$Q$551&gt;0,100*$H$423/(SUM($D$423:$S$423)+0.00001),0.00001)</f>
        <v>0</v>
      </c>
      <c r="N265" s="921">
        <f>IF(Meal_entry_week_1!$V$32&gt;0,100*$H$433/(SUM($D$433:$S$433)+0.00001),0.00001)</f>
        <v>1.0000000000000001E-5</v>
      </c>
      <c r="O265" s="921">
        <f>IF(Meal_entry_week_1!$V$131&gt;0,100*$H$432/(SUM($D$432:$S$432)+0.00001),0.00001)</f>
        <v>1.0000000000000001E-5</v>
      </c>
      <c r="P265" s="921">
        <f>IF(Meal_entry_week_1!$V$230&gt;0,100*$H$431/(SUM($D$431:$S$431)+0.00001),0.00001)</f>
        <v>0</v>
      </c>
      <c r="Q265" s="921">
        <f>IF(Meal_entry_week_1!$V$329&gt;0,100*$H$430/(SUM($D$430:$S$430)+0.00001),0.00001)</f>
        <v>1.0000000000000001E-5</v>
      </c>
      <c r="R265" s="921">
        <f>IF(Meal_entry_week_1!$V$428&gt;0,100*$H$429/(SUM($D$429:$S$429)+0.00001),0.00001)</f>
        <v>1.0000000000000001E-5</v>
      </c>
      <c r="S265" s="921">
        <f>IF(Meal_entry_week_1!$V$51&gt;0,100*$H$439/(SUM($D$439:$S$439)+0.00001),0.00001)</f>
        <v>32.466180385719454</v>
      </c>
      <c r="T265" s="921">
        <f>IF(Meal_entry_week_1!$V$150&gt;0,100*$H$438/(SUM($D$438:$S$438)+0.00001),0.00001)</f>
        <v>0</v>
      </c>
      <c r="U265" s="921">
        <f>IF(Meal_entry_week_1!$V$249&gt;0,100*$H$437/(SUM($D$437:$S$437)+0.00001),0.00001)</f>
        <v>0</v>
      </c>
      <c r="V265" s="921">
        <f>IF(Meal_entry_week_1!$V$348&gt;0,100*$H$436/(SUM($D$436:$S$436)+0.00001),0.00001)</f>
        <v>0</v>
      </c>
      <c r="W265" s="921">
        <f>IF(Meal_entry_week_1!$V$447&gt;0,100*$H$435/(SUM($D$435:$S$435)+0.00001),0.00001)</f>
        <v>0</v>
      </c>
      <c r="X265" s="921">
        <f>IF(Meal_entry_week_1!$V$83&gt;0,100*$H$445/(SUM($D$445:$S$445)+0.00001),0.00001)</f>
        <v>0</v>
      </c>
      <c r="Y265" s="921">
        <f>IF(Meal_entry_week_1!$V$182&gt;0,100*$H$444/(SUM($D$444:$S$444)+0.00001),0.00001)</f>
        <v>0</v>
      </c>
      <c r="Z265" s="921">
        <f>IF(Meal_entry_week_1!$V$281&gt;0,100*$H$443/(SUM($D$443:$S$443)+0.00001),0.00001)</f>
        <v>46.779751748758038</v>
      </c>
      <c r="AA265" s="921">
        <f>IF(Meal_entry_week_1!$V$380&gt;0,100*$H$442/(SUM($D$442:$S$442)+0.00001),0.00001)</f>
        <v>0</v>
      </c>
      <c r="AB265" s="921">
        <f>IF(Meal_entry_week_1!$V$479&gt;0,100*$H$441/(SUM($D$441:$S$441)+0.00001),0.00001)</f>
        <v>0</v>
      </c>
      <c r="AC265" s="921">
        <f>IF(Meal_entry_week_1!$V$102&gt;0,100*$H$451/(SUM($D$451:$S$451)+0.00001),0.00001)</f>
        <v>1.0000000000000001E-5</v>
      </c>
      <c r="AD265" s="921">
        <f>IF(Meal_entry_week_1!$V$201&gt;0,100*$H$450/(SUM($D$450:$S$450)+0.00001),0.00001)</f>
        <v>1.0000000000000001E-5</v>
      </c>
      <c r="AE265" s="921">
        <f>IF(Meal_entry_week_1!$V$300&gt;0,100*$H$449/(SUM($D$449:$S$449)+0.00001),0.00001)</f>
        <v>1.0000000000000001E-5</v>
      </c>
      <c r="AF265" s="921">
        <f>IF(Meal_entry_week_1!$V$399&gt;0,100*$H$448/(SUM($D$448:$S$448)+0.00001),0.00001)</f>
        <v>1.0000000000000001E-5</v>
      </c>
      <c r="AG265" s="921">
        <f>IF(Meal_entry_week_1!$V$498&gt;0,100*$H$447/(SUM($D$447:$S$447)+0.00001),0.00001)</f>
        <v>1.0000000000000001E-5</v>
      </c>
    </row>
    <row r="266" spans="1:33">
      <c r="A266" s="1064"/>
      <c r="B266" s="947" t="s">
        <v>807</v>
      </c>
      <c r="C266" s="913"/>
      <c r="D266" s="948">
        <f>100*(SUM(I$423:I$427)/SUM($D$423:$S$427))</f>
        <v>0.98263065907711389</v>
      </c>
      <c r="E266" s="948">
        <f>IF(Meal_entry_week_1!$Q$512&gt;0,100*SUM(I$429:I$433)/SUM($D$429:$S$433),0.00001)</f>
        <v>0</v>
      </c>
      <c r="F266" s="948">
        <f>IF(Meal_entry_week_1!$Q$522&gt;0,100*SUM(I$435:I$439)/SUM($D$435:$S$439),0.00001)</f>
        <v>4.0491809331577455</v>
      </c>
      <c r="G266" s="948">
        <f>IF(Meal_entry_week_1!$Q$532&gt;0,100*SUM(I$441:I$445)/SUM($D$441:$S$445),0.00001)</f>
        <v>0</v>
      </c>
      <c r="H266" s="949">
        <f>IF(Meal_entry_week_1!$Q$542&gt;0,100*SUM(I$447:I$451)/SUM($D$447:$S$451),0.00001)</f>
        <v>1.0000000000000001E-5</v>
      </c>
      <c r="I266" s="921">
        <f>IF(Meal_entry_week_1!$Q$547&gt;0,100*$I$427/(SUM($D$427:$S$427)+0.00001),0.00001)</f>
        <v>0</v>
      </c>
      <c r="J266" s="921">
        <f>IF(Meal_entry_week_1!$Q$548&gt;0,100*$I$426/(SUM($D$426:$S$426)+0.00001),0.00001)</f>
        <v>5.2462466593348367</v>
      </c>
      <c r="K266" s="921">
        <f>IF(Meal_entry_week_1!$Q$549&gt;0,100*$I$425/(SUM($D$425:$S$425)+0.00001),0.00001)</f>
        <v>0</v>
      </c>
      <c r="L266" s="921">
        <f>IF(Meal_entry_week_1!$Q$550&gt;0,100*$I$424/(SUM($D$424:$S$424)+0.00001),0.00001)</f>
        <v>0</v>
      </c>
      <c r="M266" s="921">
        <f>IF(Meal_entry_week_1!$Q$551&gt;0,100*$I$423/(SUM($D$423:$S$423)+0.00001),0.00001)</f>
        <v>0</v>
      </c>
      <c r="N266" s="921">
        <f>IF(Meal_entry_week_1!$V$32&gt;0,100*$I$433/(SUM($D$433:$S$433)+0.00001),0.00001)</f>
        <v>1.0000000000000001E-5</v>
      </c>
      <c r="O266" s="921">
        <f>IF(Meal_entry_week_1!$V$131&gt;0,100*$I$432/(SUM($D$432:$S$432)+0.00001),0.00001)</f>
        <v>1.0000000000000001E-5</v>
      </c>
      <c r="P266" s="921">
        <f>IF(Meal_entry_week_1!$V$230&gt;0,100*$I$431/(SUM($D$431:$S$431)+0.00001),0.00001)</f>
        <v>0</v>
      </c>
      <c r="Q266" s="921">
        <f>IF(Meal_entry_week_1!$V$329&gt;0,100*$I$430/(SUM($D$430:$S$430)+0.00001),0.00001)</f>
        <v>1.0000000000000001E-5</v>
      </c>
      <c r="R266" s="921">
        <f>IF(Meal_entry_week_1!$V$428&gt;0,100*$I$429/(SUM($D$429:$S$429)+0.00001),0.00001)</f>
        <v>1.0000000000000001E-5</v>
      </c>
      <c r="S266" s="921">
        <f>IF(Meal_entry_week_1!$V$51&gt;0,100*$I$439/(SUM($D$439:$S$439)+0.00001),0.00001)</f>
        <v>0</v>
      </c>
      <c r="T266" s="921">
        <f>IF(Meal_entry_week_1!$V$150&gt;0,100*$I$438/(SUM($D$438:$S$438)+0.00001),0.00001)</f>
        <v>26.319998947200041</v>
      </c>
      <c r="U266" s="921">
        <f>IF(Meal_entry_week_1!$V$249&gt;0,100*$I$437/(SUM($D$437:$S$437)+0.00001),0.00001)</f>
        <v>0</v>
      </c>
      <c r="V266" s="921">
        <f>IF(Meal_entry_week_1!$V$348&gt;0,100*$I$436/(SUM($D$436:$S$436)+0.00001),0.00001)</f>
        <v>0</v>
      </c>
      <c r="W266" s="921">
        <f>IF(Meal_entry_week_1!$V$447&gt;0,100*$I$435/(SUM($D$435:$S$435)+0.00001),0.00001)</f>
        <v>0</v>
      </c>
      <c r="X266" s="921">
        <f>IF(Meal_entry_week_1!$V$83&gt;0,100*$I$445/(SUM($D$445:$S$445)+0.00001),0.00001)</f>
        <v>0</v>
      </c>
      <c r="Y266" s="921">
        <f>IF(Meal_entry_week_1!$V$182&gt;0,100*$I$444/(SUM($D$444:$S$444)+0.00001),0.00001)</f>
        <v>0</v>
      </c>
      <c r="Z266" s="921">
        <f>IF(Meal_entry_week_1!$V$281&gt;0,100*$I$443/(SUM($D$443:$S$443)+0.00001),0.00001)</f>
        <v>0</v>
      </c>
      <c r="AA266" s="921">
        <f>IF(Meal_entry_week_1!$V$380&gt;0,100*$I$442/(SUM($D$442:$S$442)+0.00001),0.00001)</f>
        <v>0</v>
      </c>
      <c r="AB266" s="921">
        <f>IF(Meal_entry_week_1!$V$479&gt;0,100*$I$441/(SUM($D$441:$S$441)+0.00001),0.00001)</f>
        <v>0</v>
      </c>
      <c r="AC266" s="921">
        <f>IF(Meal_entry_week_1!$V$102&gt;0,100*$I$451/(SUM($D$451:$S$451)+0.00001),0.00001)</f>
        <v>1.0000000000000001E-5</v>
      </c>
      <c r="AD266" s="921">
        <f>IF(Meal_entry_week_1!$V$201&gt;0,100*$I$450/(SUM($D$450:$S$450)+0.00001),0.00001)</f>
        <v>1.0000000000000001E-5</v>
      </c>
      <c r="AE266" s="921">
        <f>IF(Meal_entry_week_1!$V$300&gt;0,100*$I$449/(SUM($D$449:$S$449)+0.00001),0.00001)</f>
        <v>1.0000000000000001E-5</v>
      </c>
      <c r="AF266" s="921">
        <f>IF(Meal_entry_week_1!$V$399&gt;0,100*$I$448/(SUM($D$448:$S$448)+0.00001),0.00001)</f>
        <v>1.0000000000000001E-5</v>
      </c>
      <c r="AG266" s="921">
        <f>IF(Meal_entry_week_1!$V$498&gt;0,100*$I$447/(SUM($D$447:$S$447)+0.00001),0.00001)</f>
        <v>1.0000000000000001E-5</v>
      </c>
    </row>
    <row r="267" spans="1:33">
      <c r="A267" s="1064"/>
      <c r="B267" s="947" t="s">
        <v>224</v>
      </c>
      <c r="C267" s="913"/>
      <c r="D267" s="948">
        <f>100*(SUM(J$423:J$427)/SUM($D$423:$S$427))</f>
        <v>5.2207853862212614</v>
      </c>
      <c r="E267" s="948">
        <f>IF(Meal_entry_week_1!$Q$512&gt;0,100*SUM(J$429:J$433)/SUM($D$429:$S$433),0.00001)</f>
        <v>0</v>
      </c>
      <c r="F267" s="948">
        <f>IF(Meal_entry_week_1!$Q$522&gt;0,100*SUM(J$435:J$439)/SUM($D$435:$S$439),0.00001)</f>
        <v>1.8707462062005391</v>
      </c>
      <c r="G267" s="948">
        <f>IF(Meal_entry_week_1!$Q$532&gt;0,100*SUM(J$441:J$445)/SUM($D$441:$S$445),0.00001)</f>
        <v>6.3544005667201606</v>
      </c>
      <c r="H267" s="949">
        <f>IF(Meal_entry_week_1!$Q$542&gt;0,100*SUM(J$447:J$451)/SUM($D$447:$S$451),0.00001)</f>
        <v>1.0000000000000001E-5</v>
      </c>
      <c r="I267" s="921">
        <f>IF(Meal_entry_week_1!$Q$547&gt;0,100*$J$427/(SUM($D$427:$S$427)+0.00001),0.00001)</f>
        <v>7.2212227365487083</v>
      </c>
      <c r="J267" s="921">
        <f>IF(Meal_entry_week_1!$Q$548&gt;0,100*$J$426/(SUM($D$426:$S$426)+0.00001),0.00001)</f>
        <v>7.2713935460689534</v>
      </c>
      <c r="K267" s="921">
        <f>IF(Meal_entry_week_1!$Q$549&gt;0,100*$J$425/(SUM($D$425:$S$425)+0.00001),0.00001)</f>
        <v>0</v>
      </c>
      <c r="L267" s="921">
        <f>IF(Meal_entry_week_1!$Q$550&gt;0,100*$J$424/(SUM($D$424:$S$424)+0.00001),0.00001)</f>
        <v>5.1299496918658587</v>
      </c>
      <c r="M267" s="921">
        <f>IF(Meal_entry_week_1!$Q$551&gt;0,100*$J$423/(SUM($D$423:$S$423)+0.00001),0.00001)</f>
        <v>6.703858822731382</v>
      </c>
      <c r="N267" s="921">
        <f>IF(Meal_entry_week_1!$V$32&gt;0,100*$J$433/(SUM($D$433:$S$433)+0.00001),0.00001)</f>
        <v>1.0000000000000001E-5</v>
      </c>
      <c r="O267" s="921">
        <f>IF(Meal_entry_week_1!$V$131&gt;0,100*$J$432/(SUM($D$432:$S$432)+0.00001),0.00001)</f>
        <v>1.0000000000000001E-5</v>
      </c>
      <c r="P267" s="921">
        <f>IF(Meal_entry_week_1!$V$230&gt;0,100*$J$431/(SUM($D$431:$S$431)+0.00001),0.00001)</f>
        <v>0</v>
      </c>
      <c r="Q267" s="921">
        <f>IF(Meal_entry_week_1!$V$329&gt;0,100*$J$430/(SUM($D$430:$S$430)+0.00001),0.00001)</f>
        <v>1.0000000000000001E-5</v>
      </c>
      <c r="R267" s="921">
        <f>IF(Meal_entry_week_1!$V$428&gt;0,100*$J$429/(SUM($D$429:$S$429)+0.00001),0.00001)</f>
        <v>1.0000000000000001E-5</v>
      </c>
      <c r="S267" s="921">
        <f>IF(Meal_entry_week_1!$V$51&gt;0,100*$J$439/(SUM($D$439:$S$439)+0.00001),0.00001)</f>
        <v>0</v>
      </c>
      <c r="T267" s="921">
        <f>IF(Meal_entry_week_1!$V$150&gt;0,100*$J$438/(SUM($D$438:$S$438)+0.00001),0.00001)</f>
        <v>0</v>
      </c>
      <c r="U267" s="921">
        <f>IF(Meal_entry_week_1!$V$249&gt;0,100*$J$437/(SUM($D$437:$S$437)+0.00001),0.00001)</f>
        <v>0</v>
      </c>
      <c r="V267" s="921">
        <f>IF(Meal_entry_week_1!$V$348&gt;0,100*$J$436/(SUM($D$436:$S$436)+0.00001),0.00001)</f>
        <v>11.915960649264633</v>
      </c>
      <c r="W267" s="921">
        <f>IF(Meal_entry_week_1!$V$447&gt;0,100*$J$435/(SUM($D$435:$S$435)+0.00001),0.00001)</f>
        <v>0</v>
      </c>
      <c r="X267" s="921">
        <f>IF(Meal_entry_week_1!$V$83&gt;0,100*$J$445/(SUM($D$445:$S$445)+0.00001),0.00001)</f>
        <v>11.655786079824423</v>
      </c>
      <c r="Y267" s="921">
        <f>IF(Meal_entry_week_1!$V$182&gt;0,100*$J$444/(SUM($D$444:$S$444)+0.00001),0.00001)</f>
        <v>9.0815848054570694</v>
      </c>
      <c r="Z267" s="921">
        <f>IF(Meal_entry_week_1!$V$281&gt;0,100*$J$443/(SUM($D$443:$S$443)+0.00001),0.00001)</f>
        <v>0</v>
      </c>
      <c r="AA267" s="921">
        <f>IF(Meal_entry_week_1!$V$380&gt;0,100*$J$442/(SUM($D$442:$S$442)+0.00001),0.00001)</f>
        <v>3.718272342917079</v>
      </c>
      <c r="AB267" s="921">
        <f>IF(Meal_entry_week_1!$V$479&gt;0,100*$J$441/(SUM($D$441:$S$441)+0.00001),0.00001)</f>
        <v>8.7355442427490502</v>
      </c>
      <c r="AC267" s="921">
        <f>IF(Meal_entry_week_1!$V$102&gt;0,100*$J$451/(SUM($D$451:$S$451)+0.00001),0.00001)</f>
        <v>1.0000000000000001E-5</v>
      </c>
      <c r="AD267" s="921">
        <f>IF(Meal_entry_week_1!$V$201&gt;0,100*$J$450/(SUM($D$450:$S$450)+0.00001),0.00001)</f>
        <v>1.0000000000000001E-5</v>
      </c>
      <c r="AE267" s="921">
        <f>IF(Meal_entry_week_1!$V$300&gt;0,100*$J$449/(SUM($D$449:$S$449)+0.00001),0.00001)</f>
        <v>1.0000000000000001E-5</v>
      </c>
      <c r="AF267" s="921">
        <f>IF(Meal_entry_week_1!$V$399&gt;0,100*$J$448/(SUM($D$448:$S$448)+0.00001),0.00001)</f>
        <v>1.0000000000000001E-5</v>
      </c>
      <c r="AG267" s="921">
        <f>IF(Meal_entry_week_1!$V$498&gt;0,100*$J$447/(SUM($D$447:$S$447)+0.00001),0.00001)</f>
        <v>1.0000000000000001E-5</v>
      </c>
    </row>
    <row r="268" spans="1:33">
      <c r="A268" s="1064"/>
      <c r="B268" s="947" t="s">
        <v>798</v>
      </c>
      <c r="C268" s="913"/>
      <c r="D268" s="948">
        <f>100*(SUM(K$423:K$427)/SUM($D$423:$S$427))</f>
        <v>18.665203771539566</v>
      </c>
      <c r="E268" s="948">
        <f>IF(Meal_entry_week_1!$Q$512&gt;0,100*SUM(K$429:K$433)/SUM($D$429:$S$433),0.00001)</f>
        <v>0</v>
      </c>
      <c r="F268" s="948">
        <f>IF(Meal_entry_week_1!$Q$522&gt;0,100*SUM(K$435:K$439)/SUM($D$435:$S$439),0.00001)</f>
        <v>42.859780187320766</v>
      </c>
      <c r="G268" s="948">
        <f>IF(Meal_entry_week_1!$Q$532&gt;0,100*SUM(K$441:K$445)/SUM($D$441:$S$445),0.00001)</f>
        <v>11.016683188041782</v>
      </c>
      <c r="H268" s="949">
        <f>IF(Meal_entry_week_1!$Q$542&gt;0,100*SUM(K$447:K$451)/SUM($D$447:$S$451),0.00001)</f>
        <v>1.0000000000000001E-5</v>
      </c>
      <c r="I268" s="921">
        <f>IF(Meal_entry_week_1!$Q$547&gt;0,100*$K$427/(SUM($D$427:$S$427)+0.00001),0.00001)</f>
        <v>16.073554994730127</v>
      </c>
      <c r="J268" s="921">
        <f>IF(Meal_entry_week_1!$Q$548&gt;0,100*$K$426/(SUM($D$426:$S$426)+0.00001),0.00001)</f>
        <v>4.3851605815108821</v>
      </c>
      <c r="K268" s="921">
        <f>IF(Meal_entry_week_1!$Q$549&gt;0,100*$K$425/(SUM($D$425:$S$425)+0.00001),0.00001)</f>
        <v>23.406594053329691</v>
      </c>
      <c r="L268" s="921">
        <f>IF(Meal_entry_week_1!$Q$550&gt;0,100*$K$424/(SUM($D$424:$S$424)+0.00001),0.00001)</f>
        <v>6.1343398420627535</v>
      </c>
      <c r="M268" s="921">
        <f>IF(Meal_entry_week_1!$Q$551&gt;0,100*$K$423/(SUM($D$423:$S$423)+0.00001),0.00001)</f>
        <v>43.222247672873387</v>
      </c>
      <c r="N268" s="921">
        <f>IF(Meal_entry_week_1!$V$32&gt;0,100*$K$433/(SUM($D$433:$S$433)+0.00001),0.00001)</f>
        <v>1.0000000000000001E-5</v>
      </c>
      <c r="O268" s="921">
        <f>IF(Meal_entry_week_1!$V$131&gt;0,100*$K$432/(SUM($D$432:$S$432)+0.00001),0.00001)</f>
        <v>1.0000000000000001E-5</v>
      </c>
      <c r="P268" s="921">
        <f>IF(Meal_entry_week_1!$V$230&gt;0,100*$K$431/(SUM($D$431:$S$431)+0.00001),0.00001)</f>
        <v>0</v>
      </c>
      <c r="Q268" s="921">
        <f>IF(Meal_entry_week_1!$V$329&gt;0,100*$K$430/(SUM($D$430:$S$430)+0.00001),0.00001)</f>
        <v>1.0000000000000001E-5</v>
      </c>
      <c r="R268" s="921">
        <f>IF(Meal_entry_week_1!$V$428&gt;0,100*$K$429/(SUM($D$429:$S$429)+0.00001),0.00001)</f>
        <v>1.0000000000000001E-5</v>
      </c>
      <c r="S268" s="921">
        <f>IF(Meal_entry_week_1!$V$51&gt;0,100*$K$439/(SUM($D$439:$S$439)+0.00001),0.00001)</f>
        <v>42.247657809622098</v>
      </c>
      <c r="T268" s="921">
        <f>IF(Meal_entry_week_1!$V$150&gt;0,100*$K$438/(SUM($D$438:$S$438)+0.00001),0.00001)</f>
        <v>21.999999120000034</v>
      </c>
      <c r="U268" s="921">
        <f>IF(Meal_entry_week_1!$V$249&gt;0,100*$K$437/(SUM($D$437:$S$437)+0.00001),0.00001)</f>
        <v>62.848295267854631</v>
      </c>
      <c r="V268" s="921">
        <f>IF(Meal_entry_week_1!$V$348&gt;0,100*$K$436/(SUM($D$436:$S$436)+0.00001),0.00001)</f>
        <v>12.731263220003791</v>
      </c>
      <c r="W268" s="921">
        <f>IF(Meal_entry_week_1!$V$447&gt;0,100*$K$435/(SUM($D$435:$S$435)+0.00001),0.00001)</f>
        <v>64.15929000760778</v>
      </c>
      <c r="X268" s="921">
        <f>IF(Meal_entry_week_1!$V$83&gt;0,100*$K$445/(SUM($D$445:$S$445)+0.00001),0.00001)</f>
        <v>0</v>
      </c>
      <c r="Y268" s="921">
        <f>IF(Meal_entry_week_1!$V$182&gt;0,100*$K$444/(SUM($D$444:$S$444)+0.00001),0.00001)</f>
        <v>0</v>
      </c>
      <c r="Z268" s="921">
        <f>IF(Meal_entry_week_1!$V$281&gt;0,100*$K$443/(SUM($D$443:$S$443)+0.00001),0.00001)</f>
        <v>11.384452859211027</v>
      </c>
      <c r="AA268" s="921">
        <f>IF(Meal_entry_week_1!$V$380&gt;0,100*$K$442/(SUM($D$442:$S$442)+0.00001),0.00001)</f>
        <v>4.7619979128587158</v>
      </c>
      <c r="AB268" s="921">
        <f>IF(Meal_entry_week_1!$V$479&gt;0,100*$K$441/(SUM($D$441:$S$441)+0.00001),0.00001)</f>
        <v>36.877023393184039</v>
      </c>
      <c r="AC268" s="921">
        <f>IF(Meal_entry_week_1!$V$102&gt;0,100*$K$451/(SUM($D$451:$S$451)+0.00001),0.00001)</f>
        <v>1.0000000000000001E-5</v>
      </c>
      <c r="AD268" s="921">
        <f>IF(Meal_entry_week_1!$V$201&gt;0,100*$K$450/(SUM($D$450:$S$450)+0.00001),0.00001)</f>
        <v>1.0000000000000001E-5</v>
      </c>
      <c r="AE268" s="921">
        <f>IF(Meal_entry_week_1!$V$300&gt;0,100*$K$449/(SUM($D$449:$S$449)+0.00001),0.00001)</f>
        <v>1.0000000000000001E-5</v>
      </c>
      <c r="AF268" s="921">
        <f>IF(Meal_entry_week_1!$V$399&gt;0,100*$K$448/(SUM($D$448:$S$448)+0.00001),0.00001)</f>
        <v>1.0000000000000001E-5</v>
      </c>
      <c r="AG268" s="921">
        <f>IF(Meal_entry_week_1!$V$498&gt;0,100*$K$447/(SUM($D$447:$S$447)+0.00001),0.00001)</f>
        <v>1.0000000000000001E-5</v>
      </c>
    </row>
    <row r="269" spans="1:33">
      <c r="A269" s="1064"/>
      <c r="B269" s="947" t="s">
        <v>799</v>
      </c>
      <c r="C269" s="913"/>
      <c r="D269" s="948">
        <f>100*(SUM(L$423:L$427)/SUM($D$423:$S$427))</f>
        <v>6.3572320907162219</v>
      </c>
      <c r="E269" s="948">
        <f>IF(Meal_entry_week_1!$Q$512&gt;0,100*SUM(L$429:L$433)/SUM($D$429:$S$433),0.00001)</f>
        <v>0</v>
      </c>
      <c r="F269" s="948">
        <f>IF(Meal_entry_week_1!$Q$522&gt;0,100*SUM(L$435:L$439)/SUM($D$435:$S$439),0.00001)</f>
        <v>4.6571734501729214</v>
      </c>
      <c r="G269" s="948">
        <f>IF(Meal_entry_week_1!$Q$532&gt;0,100*SUM(L$441:L$445)/SUM($D$441:$S$445),0.00001)</f>
        <v>6.9679426264517268</v>
      </c>
      <c r="H269" s="949">
        <f>IF(Meal_entry_week_1!$Q$542&gt;0,100*SUM(L$447:L$451)/SUM($D$447:$S$451),0.00001)</f>
        <v>1.0000000000000001E-5</v>
      </c>
      <c r="I269" s="921">
        <f>IF(Meal_entry_week_1!$Q$547&gt;0,100*$L$427/(SUM($D$427:$S$427)+0.00001),0.00001)</f>
        <v>5.9923479901535774</v>
      </c>
      <c r="J269" s="921">
        <f>IF(Meal_entry_week_1!$Q$548&gt;0,100*$L$426/(SUM($D$426:$S$426)+0.00001),0.00001)</f>
        <v>5.279733340139102</v>
      </c>
      <c r="K269" s="921">
        <f>IF(Meal_entry_week_1!$Q$549&gt;0,100*$L$425/(SUM($D$425:$S$425)+0.00001),0.00001)</f>
        <v>3.5371626157268192</v>
      </c>
      <c r="L269" s="921">
        <f>IF(Meal_entry_week_1!$Q$550&gt;0,100*$L$424/(SUM($D$424:$S$424)+0.00001),0.00001)</f>
        <v>10.855243545340363</v>
      </c>
      <c r="M269" s="921">
        <f>IF(Meal_entry_week_1!$Q$551&gt;0,100*$L$423/(SUM($D$423:$S$423)+0.00001),0.00001)</f>
        <v>5.563026707284112</v>
      </c>
      <c r="N269" s="921">
        <f>IF(Meal_entry_week_1!$V$32&gt;0,100*$L$433/(SUM($D$433:$S$433)+0.00001),0.00001)</f>
        <v>1.0000000000000001E-5</v>
      </c>
      <c r="O269" s="921">
        <f>IF(Meal_entry_week_1!$V$131&gt;0,100*$L$432/(SUM($D$432:$S$432)+0.00001),0.00001)</f>
        <v>1.0000000000000001E-5</v>
      </c>
      <c r="P269" s="921">
        <f>IF(Meal_entry_week_1!$V$230&gt;0,100*$L$431/(SUM($D$431:$S$431)+0.00001),0.00001)</f>
        <v>0</v>
      </c>
      <c r="Q269" s="921">
        <f>IF(Meal_entry_week_1!$V$329&gt;0,100*$L$430/(SUM($D$430:$S$430)+0.00001),0.00001)</f>
        <v>1.0000000000000001E-5</v>
      </c>
      <c r="R269" s="921">
        <f>IF(Meal_entry_week_1!$V$428&gt;0,100*$L$429/(SUM($D$429:$S$429)+0.00001),0.00001)</f>
        <v>1.0000000000000001E-5</v>
      </c>
      <c r="S269" s="921">
        <f>IF(Meal_entry_week_1!$V$51&gt;0,100*$L$439/(SUM($D$439:$S$439)+0.00001),0.00001)</f>
        <v>0</v>
      </c>
      <c r="T269" s="921">
        <f>IF(Meal_entry_week_1!$V$150&gt;0,100*$L$438/(SUM($D$438:$S$438)+0.00001),0.00001)</f>
        <v>0</v>
      </c>
      <c r="U269" s="921">
        <f>IF(Meal_entry_week_1!$V$249&gt;0,100*$L$437/(SUM($D$437:$S$437)+0.00001),0.00001)</f>
        <v>0</v>
      </c>
      <c r="V269" s="921">
        <f>IF(Meal_entry_week_1!$V$348&gt;0,100*$L$436/(SUM($D$436:$S$436)+0.00001),0.00001)</f>
        <v>29.664470458432486</v>
      </c>
      <c r="W269" s="921">
        <f>IF(Meal_entry_week_1!$V$447&gt;0,100*$L$435/(SUM($D$435:$S$435)+0.00001),0.00001)</f>
        <v>0</v>
      </c>
      <c r="X269" s="921">
        <f>IF(Meal_entry_week_1!$V$83&gt;0,100*$L$445/(SUM($D$445:$S$445)+0.00001),0.00001)</f>
        <v>9.672257571503426</v>
      </c>
      <c r="Y269" s="921">
        <f>IF(Meal_entry_week_1!$V$182&gt;0,100*$L$444/(SUM($D$444:$S$444)+0.00001),0.00001)</f>
        <v>6.5941068620325334</v>
      </c>
      <c r="Z269" s="921">
        <f>IF(Meal_entry_week_1!$V$281&gt;0,100*$L$443/(SUM($D$443:$S$443)+0.00001),0.00001)</f>
        <v>4.8953147294607424</v>
      </c>
      <c r="AA269" s="921">
        <f>IF(Meal_entry_week_1!$V$380&gt;0,100*$L$442/(SUM($D$442:$S$442)+0.00001),0.00001)</f>
        <v>6.9424058613149162</v>
      </c>
      <c r="AB269" s="921">
        <f>IF(Meal_entry_week_1!$V$479&gt;0,100*$L$441/(SUM($D$441:$S$441)+0.00001),0.00001)</f>
        <v>7.2489691698601773</v>
      </c>
      <c r="AC269" s="921">
        <f>IF(Meal_entry_week_1!$V$102&gt;0,100*$L$451/(SUM($D$451:$S$451)+0.00001),0.00001)</f>
        <v>1.0000000000000001E-5</v>
      </c>
      <c r="AD269" s="921">
        <f>IF(Meal_entry_week_1!$V$201&gt;0,100*$L$450/(SUM($D$450:$S$450)+0.00001),0.00001)</f>
        <v>1.0000000000000001E-5</v>
      </c>
      <c r="AE269" s="921">
        <f>IF(Meal_entry_week_1!$V$300&gt;0,100*$L$449/(SUM($D$449:$S$449)+0.00001),0.00001)</f>
        <v>1.0000000000000001E-5</v>
      </c>
      <c r="AF269" s="921">
        <f>IF(Meal_entry_week_1!$V$399&gt;0,100*$L$448/(SUM($D$448:$S$448)+0.00001),0.00001)</f>
        <v>1.0000000000000001E-5</v>
      </c>
      <c r="AG269" s="921">
        <f>IF(Meal_entry_week_1!$V$498&gt;0,100*$L$447/(SUM($D$447:$S$447)+0.00001),0.00001)</f>
        <v>1.0000000000000001E-5</v>
      </c>
    </row>
    <row r="270" spans="1:33">
      <c r="A270" s="1064"/>
      <c r="B270" s="947" t="s">
        <v>800</v>
      </c>
      <c r="C270" s="913"/>
      <c r="D270" s="948">
        <f>100*(SUM(M$423:M$427)/SUM($D$423:$S$427))</f>
        <v>6.3425971660065636</v>
      </c>
      <c r="E270" s="948">
        <f>IF(Meal_entry_week_1!$Q$512&gt;0,100*SUM(M$429:M$433)/SUM($D$429:$S$433),0.00001)</f>
        <v>0</v>
      </c>
      <c r="F270" s="948">
        <f>IF(Meal_entry_week_1!$Q$522&gt;0,100*SUM(M$435:M$439)/SUM($D$435:$S$439),0.00001)</f>
        <v>3.09042350247997</v>
      </c>
      <c r="G270" s="948">
        <f>IF(Meal_entry_week_1!$Q$532&gt;0,100*SUM(M$441:M$445)/SUM($D$441:$S$445),0.00001)</f>
        <v>7.4552725947265062</v>
      </c>
      <c r="H270" s="949">
        <f>IF(Meal_entry_week_1!$Q$542&gt;0,100*SUM(M$447:M$451)/SUM($D$447:$S$451),0.00001)</f>
        <v>1.0000000000000001E-5</v>
      </c>
      <c r="I270" s="921">
        <f>IF(Meal_entry_week_1!$Q$547&gt;0,100*$M$427/(SUM($D$427:$S$427)+0.00001),0.00001)</f>
        <v>1.9240757949356755</v>
      </c>
      <c r="J270" s="921">
        <f>IF(Meal_entry_week_1!$Q$548&gt;0,100*$M$426/(SUM($D$426:$S$426)+0.00001),0.00001)</f>
        <v>17.245640614196432</v>
      </c>
      <c r="K270" s="921">
        <f>IF(Meal_entry_week_1!$Q$549&gt;0,100*$M$425/(SUM($D$425:$S$425)+0.00001),0.00001)</f>
        <v>1.2114595005237734</v>
      </c>
      <c r="L270" s="921">
        <f>IF(Meal_entry_week_1!$Q$550&gt;0,100*$M$424/(SUM($D$424:$S$424)+0.00001),0.00001)</f>
        <v>10.240999569077475</v>
      </c>
      <c r="M270" s="921">
        <f>IF(Meal_entry_week_1!$Q$551&gt;0,100*$M$423/(SUM($D$423:$S$423)+0.00001),0.00001)</f>
        <v>1.190817027722022</v>
      </c>
      <c r="N270" s="921">
        <f>IF(Meal_entry_week_1!$V$32&gt;0,100*$M$433/(SUM($D$433:$S$433)+0.00001),0.00001)</f>
        <v>1.0000000000000001E-5</v>
      </c>
      <c r="O270" s="921">
        <f>IF(Meal_entry_week_1!$V$131&gt;0,100*$M$432/(SUM($D$432:$S$432)+0.00001),0.00001)</f>
        <v>1.0000000000000001E-5</v>
      </c>
      <c r="P270" s="921">
        <f>IF(Meal_entry_week_1!$V$230&gt;0,100*$M$431/(SUM($D$431:$S$431)+0.00001),0.00001)</f>
        <v>0</v>
      </c>
      <c r="Q270" s="921">
        <f>IF(Meal_entry_week_1!$V$329&gt;0,100*$M$430/(SUM($D$430:$S$430)+0.00001),0.00001)</f>
        <v>1.0000000000000001E-5</v>
      </c>
      <c r="R270" s="921">
        <f>IF(Meal_entry_week_1!$V$428&gt;0,100*$M$429/(SUM($D$429:$S$429)+0.00001),0.00001)</f>
        <v>1.0000000000000001E-5</v>
      </c>
      <c r="S270" s="921">
        <f>IF(Meal_entry_week_1!$V$51&gt;0,100*$M$439/(SUM($D$439:$S$439)+0.00001),0.00001)</f>
        <v>0</v>
      </c>
      <c r="T270" s="921">
        <f>IF(Meal_entry_week_1!$V$150&gt;0,100*$M$438/(SUM($D$438:$S$438)+0.00001),0.00001)</f>
        <v>0</v>
      </c>
      <c r="U270" s="921">
        <f>IF(Meal_entry_week_1!$V$249&gt;0,100*$M$437/(SUM($D$437:$S$437)+0.00001),0.00001)</f>
        <v>0</v>
      </c>
      <c r="V270" s="921">
        <f>IF(Meal_entry_week_1!$V$348&gt;0,100*$M$436/(SUM($D$436:$S$436)+0.00001),0.00001)</f>
        <v>19.684853414673356</v>
      </c>
      <c r="W270" s="921">
        <f>IF(Meal_entry_week_1!$V$447&gt;0,100*$M$435/(SUM($D$435:$S$435)+0.00001),0.00001)</f>
        <v>0</v>
      </c>
      <c r="X270" s="921">
        <f>IF(Meal_entry_week_1!$V$83&gt;0,100*$M$445/(SUM($D$445:$S$445)+0.00001),0.00001)</f>
        <v>3.1056535278479549</v>
      </c>
      <c r="Y270" s="921">
        <f>IF(Meal_entry_week_1!$V$182&gt;0,100*$M$444/(SUM($D$444:$S$444)+0.00001),0.00001)</f>
        <v>21.538890278732062</v>
      </c>
      <c r="Z270" s="921">
        <f>IF(Meal_entry_week_1!$V$281&gt;0,100*$M$443/(SUM($D$443:$S$443)+0.00001),0.00001)</f>
        <v>1.6766194210838061</v>
      </c>
      <c r="AA270" s="921">
        <f>IF(Meal_entry_week_1!$V$380&gt;0,100*$M$442/(SUM($D$442:$S$442)+0.00001),0.00001)</f>
        <v>8.2764176053965688</v>
      </c>
      <c r="AB270" s="921">
        <f>IF(Meal_entry_week_1!$V$479&gt;0,100*$M$441/(SUM($D$441:$S$441)+0.00001),0.00001)</f>
        <v>1.5517085168041078</v>
      </c>
      <c r="AC270" s="921">
        <f>IF(Meal_entry_week_1!$V$102&gt;0,100*$M$451/(SUM($D$451:$S$451)+0.00001),0.00001)</f>
        <v>1.0000000000000001E-5</v>
      </c>
      <c r="AD270" s="921">
        <f>IF(Meal_entry_week_1!$V$201&gt;0,100*$M$450/(SUM($D$450:$S$450)+0.00001),0.00001)</f>
        <v>1.0000000000000001E-5</v>
      </c>
      <c r="AE270" s="921">
        <f>IF(Meal_entry_week_1!$V$300&gt;0,100*$M$449/(SUM($D$449:$S$449)+0.00001),0.00001)</f>
        <v>1.0000000000000001E-5</v>
      </c>
      <c r="AF270" s="921">
        <f>IF(Meal_entry_week_1!$V$399&gt;0,100*$M$448/(SUM($D$448:$S$448)+0.00001),0.00001)</f>
        <v>1.0000000000000001E-5</v>
      </c>
      <c r="AG270" s="921">
        <f>IF(Meal_entry_week_1!$V$498&gt;0,100*$M$447/(SUM($D$447:$S$447)+0.00001),0.00001)</f>
        <v>1.0000000000000001E-5</v>
      </c>
    </row>
    <row r="271" spans="1:33">
      <c r="A271" s="1064"/>
      <c r="B271" s="947" t="s">
        <v>808</v>
      </c>
      <c r="C271" s="913"/>
      <c r="D271" s="948">
        <f>100*(SUM(N$423:N$427)/SUM($D$423:$S$427))</f>
        <v>1.8331064546663418</v>
      </c>
      <c r="E271" s="948">
        <f>IF(Meal_entry_week_1!$Q$512&gt;0,100*SUM(N$429:N$433)/SUM($D$429:$S$433),0.00001)</f>
        <v>0</v>
      </c>
      <c r="F271" s="948">
        <f>IF(Meal_entry_week_1!$Q$522&gt;0,100*SUM(N$435:N$439)/SUM($D$435:$S$439),0.00001)</f>
        <v>0</v>
      </c>
      <c r="G271" s="948">
        <f>IF(Meal_entry_week_1!$Q$532&gt;0,100*SUM(N$441:N$445)/SUM($D$441:$S$445),0.00001)</f>
        <v>2.4436273394899222</v>
      </c>
      <c r="H271" s="949">
        <f>IF(Meal_entry_week_1!$Q$542&gt;0,100*SUM(N$447:N$451)/SUM($D$447:$S$451),0.00001)</f>
        <v>1.0000000000000001E-5</v>
      </c>
      <c r="I271" s="921">
        <f>IF(Meal_entry_week_1!$Q$547&gt;0,100*$N$427/(SUM($D$427:$S$427)+0.00001),0.00001)</f>
        <v>0.40096789405573097</v>
      </c>
      <c r="J271" s="921">
        <f>IF(Meal_entry_week_1!$Q$548&gt;0,100*$N$426/(SUM($D$426:$S$426)+0.00001),0.00001)</f>
        <v>6.7140795012551155</v>
      </c>
      <c r="K271" s="921">
        <f>IF(Meal_entry_week_1!$Q$549&gt;0,100*$N$425/(SUM($D$425:$S$425)+0.00001),0.00001)</f>
        <v>6.7303305584654072E-3</v>
      </c>
      <c r="L271" s="921">
        <f>IF(Meal_entry_week_1!$Q$550&gt;0,100*$N$424/(SUM($D$424:$S$424)+0.00001),0.00001)</f>
        <v>1.8924114415940954</v>
      </c>
      <c r="M271" s="921">
        <f>IF(Meal_entry_week_1!$Q$551&gt;0,100*$N$423/(SUM($D$423:$S$423)+0.00001),0.00001)</f>
        <v>0.3933004016559678</v>
      </c>
      <c r="N271" s="921">
        <f>IF(Meal_entry_week_1!$V$32&gt;0,100*$N$433/(SUM($D$433:$S$433)+0.00001),0.00001)</f>
        <v>1.0000000000000001E-5</v>
      </c>
      <c r="O271" s="921">
        <f>IF(Meal_entry_week_1!$V$131&gt;0,100*$N$432/(SUM($D$432:$S$432)+0.00001),0.00001)</f>
        <v>1.0000000000000001E-5</v>
      </c>
      <c r="P271" s="921">
        <f>IF(Meal_entry_week_1!$V$230&gt;0,100*$N$431/(SUM($D$431:$S$431)+0.00001),0.00001)</f>
        <v>0</v>
      </c>
      <c r="Q271" s="921">
        <f>IF(Meal_entry_week_1!$V$329&gt;0,100*$N$430/(SUM($D$430:$S$430)+0.00001),0.00001)</f>
        <v>1.0000000000000001E-5</v>
      </c>
      <c r="R271" s="921">
        <f>IF(Meal_entry_week_1!$V$428&gt;0,100*$N$429/(SUM($D$429:$S$429)+0.00001),0.00001)</f>
        <v>1.0000000000000001E-5</v>
      </c>
      <c r="S271" s="921">
        <f>IF(Meal_entry_week_1!$V$51&gt;0,100*$N$439/(SUM($D$439:$S$439)+0.00001),0.00001)</f>
        <v>0</v>
      </c>
      <c r="T271" s="921">
        <f>IF(Meal_entry_week_1!$V$150&gt;0,100*$N$438/(SUM($D$438:$S$438)+0.00001),0.00001)</f>
        <v>0</v>
      </c>
      <c r="U271" s="921">
        <f>IF(Meal_entry_week_1!$V$249&gt;0,100*$N$437/(SUM($D$437:$S$437)+0.00001),0.00001)</f>
        <v>0</v>
      </c>
      <c r="V271" s="921">
        <f>IF(Meal_entry_week_1!$V$348&gt;0,100*$N$436/(SUM($D$436:$S$436)+0.00001),0.00001)</f>
        <v>0</v>
      </c>
      <c r="W271" s="921">
        <f>IF(Meal_entry_week_1!$V$447&gt;0,100*$N$435/(SUM($D$435:$S$435)+0.00001),0.00001)</f>
        <v>0</v>
      </c>
      <c r="X271" s="921">
        <f>IF(Meal_entry_week_1!$V$83&gt;0,100*$N$445/(SUM($D$445:$S$445)+0.00001),0.00001)</f>
        <v>0.64720285864288263</v>
      </c>
      <c r="Y271" s="921">
        <f>IF(Meal_entry_week_1!$V$182&gt;0,100*$N$444/(SUM($D$444:$S$444)+0.00001),0.00001)</f>
        <v>8.38552912793355</v>
      </c>
      <c r="Z271" s="921">
        <f>IF(Meal_entry_week_1!$V$281&gt;0,100*$N$443/(SUM($D$443:$S$443)+0.00001),0.00001)</f>
        <v>9.3145523393544771E-3</v>
      </c>
      <c r="AA271" s="921">
        <f>IF(Meal_entry_week_1!$V$380&gt;0,100*$N$442/(SUM($D$442:$S$442)+0.00001),0.00001)</f>
        <v>2.2860851624127907</v>
      </c>
      <c r="AB271" s="921">
        <f>IF(Meal_entry_week_1!$V$479&gt;0,100*$N$441/(SUM($D$441:$S$441)+0.00001),0.00001)</f>
        <v>0.51249484068891227</v>
      </c>
      <c r="AC271" s="921">
        <f>IF(Meal_entry_week_1!$V$102&gt;0,100*$N$451/(SUM($D$451:$S$451)+0.00001),0.00001)</f>
        <v>1.0000000000000001E-5</v>
      </c>
      <c r="AD271" s="921">
        <f>IF(Meal_entry_week_1!$V$201&gt;0,100*$N$450/(SUM($D$450:$S$450)+0.00001),0.00001)</f>
        <v>1.0000000000000001E-5</v>
      </c>
      <c r="AE271" s="921">
        <f>IF(Meal_entry_week_1!$V$300&gt;0,100*$N$449/(SUM($D$449:$S$449)+0.00001),0.00001)</f>
        <v>1.0000000000000001E-5</v>
      </c>
      <c r="AF271" s="921">
        <f>IF(Meal_entry_week_1!$V$399&gt;0,100*$N$448/(SUM($D$448:$S$448)+0.00001),0.00001)</f>
        <v>1.0000000000000001E-5</v>
      </c>
      <c r="AG271" s="921">
        <f>IF(Meal_entry_week_1!$V$498&gt;0,100*$N$447/(SUM($D$447:$S$447)+0.00001),0.00001)</f>
        <v>1.0000000000000001E-5</v>
      </c>
    </row>
    <row r="272" spans="1:33">
      <c r="A272" s="1064"/>
      <c r="B272" s="947" t="s">
        <v>809</v>
      </c>
      <c r="C272" s="913"/>
      <c r="D272" s="948">
        <f>100*(SUM(O$423:O$427)/SUM($D$423:$S$427))</f>
        <v>0.13051963465553154</v>
      </c>
      <c r="E272" s="948">
        <f>IF(Meal_entry_week_1!$Q$512&gt;0,100*SUM(O$429:O$433)/SUM($D$429:$S$433),0.00001)</f>
        <v>0</v>
      </c>
      <c r="F272" s="948">
        <f>IF(Meal_entry_week_1!$Q$522&gt;0,100*SUM(O$435:O$439)/SUM($D$435:$S$439),0.00001)</f>
        <v>0.53783953428265496</v>
      </c>
      <c r="G272" s="948">
        <f>IF(Meal_entry_week_1!$Q$532&gt;0,100*SUM(O$441:O$445)/SUM($D$441:$S$445),0.00001)</f>
        <v>0</v>
      </c>
      <c r="H272" s="949">
        <f>IF(Meal_entry_week_1!$Q$542&gt;0,100*SUM(O$447:O$451)/SUM($D$447:$S$451),0.00001)</f>
        <v>1.0000000000000001E-5</v>
      </c>
      <c r="I272" s="921">
        <f>IF(Meal_entry_week_1!$Q$547&gt;0,100*$O$427/(SUM($D$427:$S$427)+0.00001),0.00001)</f>
        <v>0</v>
      </c>
      <c r="J272" s="921">
        <f>IF(Meal_entry_week_1!$Q$548&gt;0,100*$O$426/(SUM($D$426:$S$426)+0.00001),0.00001)</f>
        <v>0</v>
      </c>
      <c r="K272" s="921">
        <f>IF(Meal_entry_week_1!$Q$549&gt;0,100*$O$425/(SUM($D$425:$S$425)+0.00001),0.00001)</f>
        <v>0</v>
      </c>
      <c r="L272" s="921">
        <f>IF(Meal_entry_week_1!$Q$550&gt;0,100*$O$424/(SUM($D$424:$S$424)+0.00001),0.00001)</f>
        <v>0.5899442145645738</v>
      </c>
      <c r="M272" s="921">
        <f>IF(Meal_entry_week_1!$Q$551&gt;0,100*$O$423/(SUM($D$423:$S$423)+0.00001),0.00001)</f>
        <v>0</v>
      </c>
      <c r="N272" s="921">
        <f>IF(Meal_entry_week_1!$V$32&gt;0,100*$O$433/(SUM($D$433:$S$433)+0.00001),0.00001)</f>
        <v>1.0000000000000001E-5</v>
      </c>
      <c r="O272" s="921">
        <f>IF(Meal_entry_week_1!$V$131&gt;0,100*$O$432/(SUM($D$432:$S$432)+0.00001),0.00001)</f>
        <v>1.0000000000000001E-5</v>
      </c>
      <c r="P272" s="921">
        <f>IF(Meal_entry_week_1!$V$230&gt;0,100*$O$431/(SUM($D$431:$S$431)+0.00001),0.00001)</f>
        <v>0</v>
      </c>
      <c r="Q272" s="921">
        <f>IF(Meal_entry_week_1!$V$329&gt;0,100*$O$430/(SUM($D$430:$S$430)+0.00001),0.00001)</f>
        <v>1.0000000000000001E-5</v>
      </c>
      <c r="R272" s="921">
        <f>IF(Meal_entry_week_1!$V$428&gt;0,100*$O$429/(SUM($D$429:$S$429)+0.00001),0.00001)</f>
        <v>1.0000000000000001E-5</v>
      </c>
      <c r="S272" s="921">
        <f>IF(Meal_entry_week_1!$V$51&gt;0,100*$O$439/(SUM($D$439:$S$439)+0.00001),0.00001)</f>
        <v>0</v>
      </c>
      <c r="T272" s="921">
        <f>IF(Meal_entry_week_1!$V$150&gt;0,100*$O$438/(SUM($D$438:$S$438)+0.00001),0.00001)</f>
        <v>0</v>
      </c>
      <c r="U272" s="921">
        <f>IF(Meal_entry_week_1!$V$249&gt;0,100*$O$437/(SUM($D$437:$S$437)+0.00001),0.00001)</f>
        <v>0</v>
      </c>
      <c r="V272" s="921">
        <f>IF(Meal_entry_week_1!$V$348&gt;0,100*$O$436/(SUM($D$436:$S$436)+0.00001),0.00001)</f>
        <v>3.4258386866635822</v>
      </c>
      <c r="W272" s="921">
        <f>IF(Meal_entry_week_1!$V$447&gt;0,100*$O$435/(SUM($D$435:$S$435)+0.00001),0.00001)</f>
        <v>0</v>
      </c>
      <c r="X272" s="921">
        <f>IF(Meal_entry_week_1!$V$83&gt;0,100*$O$445/(SUM($D$445:$S$445)+0.00001),0.00001)</f>
        <v>0</v>
      </c>
      <c r="Y272" s="921">
        <f>IF(Meal_entry_week_1!$V$182&gt;0,100*$O$444/(SUM($D$444:$S$444)+0.00001),0.00001)</f>
        <v>0</v>
      </c>
      <c r="Z272" s="921">
        <f>IF(Meal_entry_week_1!$V$281&gt;0,100*$O$443/(SUM($D$443:$S$443)+0.00001),0.00001)</f>
        <v>0</v>
      </c>
      <c r="AA272" s="921">
        <f>IF(Meal_entry_week_1!$V$380&gt;0,100*$O$442/(SUM($D$442:$S$442)+0.00001),0.00001)</f>
        <v>0</v>
      </c>
      <c r="AB272" s="921">
        <f>IF(Meal_entry_week_1!$V$479&gt;0,100*$O$441/(SUM($D$441:$S$441)+0.00001),0.00001)</f>
        <v>0</v>
      </c>
      <c r="AC272" s="921">
        <f>IF(Meal_entry_week_1!$V$102&gt;0,100*$O$451/(SUM($D$451:$S$451)+0.00001),0.00001)</f>
        <v>1.0000000000000001E-5</v>
      </c>
      <c r="AD272" s="921">
        <f>IF(Meal_entry_week_1!$V$201&gt;0,100*$O$450/(SUM($D$450:$S$450)+0.00001),0.00001)</f>
        <v>1.0000000000000001E-5</v>
      </c>
      <c r="AE272" s="921">
        <f>IF(Meal_entry_week_1!$V$300&gt;0,100*$O$449/(SUM($D$449:$S$449)+0.00001),0.00001)</f>
        <v>1.0000000000000001E-5</v>
      </c>
      <c r="AF272" s="921">
        <f>IF(Meal_entry_week_1!$V$399&gt;0,100*$O$448/(SUM($D$448:$S$448)+0.00001),0.00001)</f>
        <v>1.0000000000000001E-5</v>
      </c>
      <c r="AG272" s="921">
        <f>IF(Meal_entry_week_1!$V$498&gt;0,100*$O$447/(SUM($D$447:$S$447)+0.00001),0.00001)</f>
        <v>1.0000000000000001E-5</v>
      </c>
    </row>
    <row r="273" spans="1:34">
      <c r="A273" s="1064"/>
      <c r="B273" s="947" t="s">
        <v>810</v>
      </c>
      <c r="C273" s="913"/>
      <c r="D273" s="948">
        <f>100*(SUM(P$423:P$427)/SUM($D$423:$S$427))</f>
        <v>15.823639002402889</v>
      </c>
      <c r="E273" s="948">
        <f>IF(Meal_entry_week_1!$Q$512&gt;0,100*SUM(P$429:P$433)/SUM($D$429:$S$433),0.00001)</f>
        <v>0</v>
      </c>
      <c r="F273" s="948">
        <f>IF(Meal_entry_week_1!$Q$522&gt;0,100*SUM(P$435:P$439)/SUM($D$435:$S$439),0.00001)</f>
        <v>27.821196046817885</v>
      </c>
      <c r="G273" s="948">
        <f>IF(Meal_entry_week_1!$Q$532&gt;0,100*SUM(P$441:P$445)/SUM($D$441:$S$445),0.00001)</f>
        <v>12.093666492113091</v>
      </c>
      <c r="H273" s="949">
        <f>IF(Meal_entry_week_1!$Q$542&gt;0,100*SUM(P$447:P$451)/SUM($D$447:$S$451),0.00001)</f>
        <v>1.0000000000000001E-5</v>
      </c>
      <c r="I273" s="921">
        <f>IF(Meal_entry_week_1!$Q$547&gt;0,100*$P$427/(SUM($D$427:$S$427)+0.00001),0.00001)</f>
        <v>19.240757949356759</v>
      </c>
      <c r="J273" s="921">
        <f>IF(Meal_entry_week_1!$Q$548&gt;0,100*$P$426/(SUM($D$426:$S$426)+0.00001),0.00001)</f>
        <v>17.436993075935089</v>
      </c>
      <c r="K273" s="921">
        <f>IF(Meal_entry_week_1!$Q$549&gt;0,100*$P$425/(SUM($D$425:$S$425)+0.00001),0.00001)</f>
        <v>18.059720331882176</v>
      </c>
      <c r="L273" s="921">
        <f>IF(Meal_entry_week_1!$Q$550&gt;0,100*$P$424/(SUM($D$424:$S$424)+0.00001),0.00001)</f>
        <v>8.2011695731802892</v>
      </c>
      <c r="M273" s="921">
        <f>IF(Meal_entry_week_1!$Q$551&gt;0,100*$P$423/(SUM($D$423:$S$423)+0.00001),0.00001)</f>
        <v>17.26684690196932</v>
      </c>
      <c r="N273" s="921">
        <f>IF(Meal_entry_week_1!$V$32&gt;0,100*$P$433/(SUM($D$433:$S$433)+0.00001),0.00001)</f>
        <v>1.0000000000000001E-5</v>
      </c>
      <c r="O273" s="921">
        <f>IF(Meal_entry_week_1!$V$131&gt;0,100*$P$432/(SUM($D$432:$S$432)+0.00001),0.00001)</f>
        <v>1.0000000000000001E-5</v>
      </c>
      <c r="P273" s="921">
        <f>IF(Meal_entry_week_1!$V$230&gt;0,100*$P$431/(SUM($D$431:$S$431)+0.00001),0.00001)</f>
        <v>0</v>
      </c>
      <c r="Q273" s="921">
        <f>IF(Meal_entry_week_1!$V$329&gt;0,100*$P$430/(SUM($D$430:$S$430)+0.00001),0.00001)</f>
        <v>1.0000000000000001E-5</v>
      </c>
      <c r="R273" s="921">
        <f>IF(Meal_entry_week_1!$V$428&gt;0,100*$P$429/(SUM($D$429:$S$429)+0.00001),0.00001)</f>
        <v>1.0000000000000001E-5</v>
      </c>
      <c r="S273" s="921">
        <f>IF(Meal_entry_week_1!$V$51&gt;0,100*$P$439/(SUM($D$439:$S$439)+0.00001),0.00001)</f>
        <v>25.286159723493039</v>
      </c>
      <c r="T273" s="921">
        <f>IF(Meal_entry_week_1!$V$150&gt;0,100*$P$438/(SUM($D$438:$S$438)+0.00001),0.00001)</f>
        <v>38.879998444800059</v>
      </c>
      <c r="U273" s="921">
        <f>IF(Meal_entry_week_1!$V$249&gt;0,100*$P$437/(SUM($D$437:$S$437)+0.00001),0.00001)</f>
        <v>37.15170163617023</v>
      </c>
      <c r="V273" s="921">
        <f>IF(Meal_entry_week_1!$V$348&gt;0,100*$P$436/(SUM($D$436:$S$436)+0.00001),0.00001)</f>
        <v>0</v>
      </c>
      <c r="W273" s="921">
        <f>IF(Meal_entry_week_1!$V$447&gt;0,100*$P$435/(SUM($D$435:$S$435)+0.00001),0.00001)</f>
        <v>35.840706831836073</v>
      </c>
      <c r="X273" s="921">
        <f>IF(Meal_entry_week_1!$V$83&gt;0,100*$P$445/(SUM($D$445:$S$445)+0.00001),0.00001)</f>
        <v>15.528267639239777</v>
      </c>
      <c r="Y273" s="921">
        <f>IF(Meal_entry_week_1!$V$182&gt;0,100*$P$444/(SUM($D$444:$S$444)+0.00001),0.00001)</f>
        <v>12.098821862533267</v>
      </c>
      <c r="Z273" s="921">
        <f>IF(Meal_entry_week_1!$V$281&gt;0,100*$P$443/(SUM($D$443:$S$443)+0.00001),0.00001)</f>
        <v>12.574645658128546</v>
      </c>
      <c r="AA273" s="921">
        <f>IF(Meal_entry_week_1!$V$380&gt;0,100*$P$442/(SUM($D$442:$S$442)+0.00001),0.00001)</f>
        <v>9.9072388084303764</v>
      </c>
      <c r="AB273" s="921">
        <f>IF(Meal_entry_week_1!$V$479&gt;0,100*$P$441/(SUM($D$441:$S$441)+0.00001),0.00001)</f>
        <v>11.637813876030808</v>
      </c>
      <c r="AC273" s="921">
        <f>IF(Meal_entry_week_1!$V$102&gt;0,100*$P$451/(SUM($D$451:$S$451)+0.00001),0.00001)</f>
        <v>1.0000000000000001E-5</v>
      </c>
      <c r="AD273" s="921">
        <f>IF(Meal_entry_week_1!$V$201&gt;0,100*$P$450/(SUM($D$450:$S$450)+0.00001),0.00001)</f>
        <v>1.0000000000000001E-5</v>
      </c>
      <c r="AE273" s="921">
        <f>IF(Meal_entry_week_1!$V$300&gt;0,100*$P$449/(SUM($D$449:$S$449)+0.00001),0.00001)</f>
        <v>1.0000000000000001E-5</v>
      </c>
      <c r="AF273" s="921">
        <f>IF(Meal_entry_week_1!$V$399&gt;0,100*$P$448/(SUM($D$448:$S$448)+0.00001),0.00001)</f>
        <v>1.0000000000000001E-5</v>
      </c>
      <c r="AG273" s="921">
        <f>IF(Meal_entry_week_1!$V$498&gt;0,100*$P$447/(SUM($D$447:$S$447)+0.00001),0.00001)</f>
        <v>1.0000000000000001E-5</v>
      </c>
    </row>
    <row r="274" spans="1:34">
      <c r="A274" s="1064"/>
      <c r="B274" s="947" t="s">
        <v>802</v>
      </c>
      <c r="C274" s="913"/>
      <c r="D274" s="948">
        <f>100*(SUM(Q$423:Q$427)/SUM($D$423:$S$427))</f>
        <v>0</v>
      </c>
      <c r="E274" s="948">
        <f>IF(Meal_entry_week_1!$Q$512&gt;0,100*SUM(Q$429:Q$433)/SUM($D$429:$S$433),0.00001)</f>
        <v>0</v>
      </c>
      <c r="F274" s="948">
        <f>IF(Meal_entry_week_1!$Q$522&gt;0,100*SUM(Q$435:Q$439)/SUM($D$435:$S$439),0.00001)</f>
        <v>0</v>
      </c>
      <c r="G274" s="948">
        <f>IF(Meal_entry_week_1!$Q$532&gt;0,100*SUM(Q$441:Q$445)/SUM($D$441:$S$445),0.00001)</f>
        <v>0</v>
      </c>
      <c r="H274" s="949">
        <f>IF(Meal_entry_week_1!$Q$542&gt;0,100*SUM(Q$447:Q$451)/SUM($D$447:$S$451),0.00001)</f>
        <v>1.0000000000000001E-5</v>
      </c>
      <c r="I274" s="921">
        <f>IF(Meal_entry_week_1!$Q$547&gt;0,100*$Q$427/(SUM($D$427:$S$427)+0.00001),0.00001)</f>
        <v>0</v>
      </c>
      <c r="J274" s="921">
        <f>IF(Meal_entry_week_1!$Q$548&gt;0,100*$Q$426/(SUM($D$426:$S$426)+0.00001),0.00001)</f>
        <v>0</v>
      </c>
      <c r="K274" s="921">
        <f>IF(Meal_entry_week_1!$Q$549&gt;0,100*$Q$425/(SUM($D$425:$S$425)+0.00001),0.00001)</f>
        <v>0</v>
      </c>
      <c r="L274" s="921">
        <f>IF(Meal_entry_week_1!$Q$550&gt;0,100*$Q$424/(SUM($D$424:$S$424)+0.00001),0.00001)</f>
        <v>0</v>
      </c>
      <c r="M274" s="921">
        <f>IF(Meal_entry_week_1!$Q$551&gt;0,100*$Q$423/(SUM($D$423:$S$423)+0.00001),0.00001)</f>
        <v>0</v>
      </c>
      <c r="N274" s="921">
        <f>IF(Meal_entry_week_1!$V$32&gt;0,100*$Q$433/(SUM($D$433:$S$433)+0.00001),0.00001)</f>
        <v>1.0000000000000001E-5</v>
      </c>
      <c r="O274" s="921">
        <f>IF(Meal_entry_week_1!$V$131&gt;0,100*$Q$432/(SUM($D$432:$S$432)+0.00001),0.00001)</f>
        <v>1.0000000000000001E-5</v>
      </c>
      <c r="P274" s="921">
        <f>IF(Meal_entry_week_1!$V$230&gt;0,100*$Q$431/(SUM($D$431:$S$431)+0.00001),0.00001)</f>
        <v>0</v>
      </c>
      <c r="Q274" s="921">
        <f>IF(Meal_entry_week_1!$V$329&gt;0,100*$Q$430/(SUM($D$430:$S$430)+0.00001),0.00001)</f>
        <v>1.0000000000000001E-5</v>
      </c>
      <c r="R274" s="921">
        <f>IF(Meal_entry_week_1!$V$428&gt;0,100*$Q$429/(SUM($D$429:$S$429)+0.00001),0.00001)</f>
        <v>1.0000000000000001E-5</v>
      </c>
      <c r="S274" s="921">
        <f>IF(Meal_entry_week_1!$V$51&gt;0,100*$Q$439/(SUM($D$439:$S$439)+0.00001),0.00001)</f>
        <v>0</v>
      </c>
      <c r="T274" s="921">
        <f>IF(Meal_entry_week_1!$V$150&gt;0,100*$Q$438/(SUM($D$438:$S$438)+0.00001),0.00001)</f>
        <v>0</v>
      </c>
      <c r="U274" s="921">
        <f>IF(Meal_entry_week_1!$V$249&gt;0,100*$Q$437/(SUM($D$437:$S$437)+0.00001),0.00001)</f>
        <v>0</v>
      </c>
      <c r="V274" s="921">
        <f>IF(Meal_entry_week_1!$V$348&gt;0,100*$Q$436/(SUM($D$436:$S$436)+0.00001),0.00001)</f>
        <v>0</v>
      </c>
      <c r="W274" s="921">
        <f>IF(Meal_entry_week_1!$V$447&gt;0,100*$Q$435/(SUM($D$435:$S$435)+0.00001),0.00001)</f>
        <v>0</v>
      </c>
      <c r="X274" s="921">
        <f>IF(Meal_entry_week_1!$V$83&gt;0,100*$Q$445/(SUM($D$445:$S$445)+0.00001),0.00001)</f>
        <v>0</v>
      </c>
      <c r="Y274" s="921">
        <f>IF(Meal_entry_week_1!$V$182&gt;0,100*$Q$444/(SUM($D$444:$S$444)+0.00001),0.00001)</f>
        <v>0</v>
      </c>
      <c r="Z274" s="921">
        <f>IF(Meal_entry_week_1!$V$281&gt;0,100*$Q$443/(SUM($D$443:$S$443)+0.00001),0.00001)</f>
        <v>0</v>
      </c>
      <c r="AA274" s="921">
        <f>IF(Meal_entry_week_1!$V$380&gt;0,100*$Q$442/(SUM($D$442:$S$442)+0.00001),0.00001)</f>
        <v>0</v>
      </c>
      <c r="AB274" s="921">
        <f>IF(Meal_entry_week_1!$V$479&gt;0,100*$Q$441/(SUM($D$441:$S$441)+0.00001),0.00001)</f>
        <v>0</v>
      </c>
      <c r="AC274" s="921">
        <f>IF(Meal_entry_week_1!$V$102&gt;0,100*$Q$451/(SUM($D$451:$S$451)+0.00001),0.00001)</f>
        <v>1.0000000000000001E-5</v>
      </c>
      <c r="AD274" s="921">
        <f>IF(Meal_entry_week_1!$V$201&gt;0,100*$Q$450/(SUM($D$450:$S$450)+0.00001),0.00001)</f>
        <v>1.0000000000000001E-5</v>
      </c>
      <c r="AE274" s="921">
        <f>IF(Meal_entry_week_1!$V$300&gt;0,100*$Q$449/(SUM($D$449:$S$449)+0.00001),0.00001)</f>
        <v>1.0000000000000001E-5</v>
      </c>
      <c r="AF274" s="921">
        <f>IF(Meal_entry_week_1!$V$399&gt;0,100*$Q$448/(SUM($D$448:$S$448)+0.00001),0.00001)</f>
        <v>1.0000000000000001E-5</v>
      </c>
      <c r="AG274" s="921">
        <f>IF(Meal_entry_week_1!$V$498&gt;0,100*$Q$447/(SUM($D$447:$S$447)+0.00001),0.00001)</f>
        <v>1.0000000000000001E-5</v>
      </c>
    </row>
    <row r="275" spans="1:34">
      <c r="A275" s="1064"/>
      <c r="B275" s="951" t="s">
        <v>1734</v>
      </c>
      <c r="C275" s="913"/>
      <c r="D275" s="948">
        <f>100*(SUM(R$423:R$427)/SUM($D$423:$S$427))</f>
        <v>0.44800789927527995</v>
      </c>
      <c r="E275" s="948">
        <f>IF(Meal_entry_week_1!$Q$512&gt;0,100*SUM(R$429:R$433)/SUM($D$429:$S$433),0.00001)</f>
        <v>0</v>
      </c>
      <c r="F275" s="948">
        <f>IF(Meal_entry_week_1!$Q$522&gt;0,100*SUM(R$435:R$439)/SUM($D$435:$S$439),0.00001)</f>
        <v>1.8461311245400056</v>
      </c>
      <c r="G275" s="948">
        <f>IF(Meal_entry_week_1!$Q$532&gt;0,100*SUM(R$441:R$445)/SUM($D$441:$S$445),0.00001)</f>
        <v>0</v>
      </c>
      <c r="H275" s="949">
        <f>IF(Meal_entry_week_1!$Q$542&gt;0,100*SUM(R$447:R$451)/SUM($D$447:$S$451),0.00001)</f>
        <v>1.0000000000000001E-5</v>
      </c>
      <c r="I275" s="921">
        <f>IF(Meal_entry_week_1!$Q$547&gt;0,100*$R$427/(SUM($D$427:$S$427)+0.00001),0.00001)</f>
        <v>0</v>
      </c>
      <c r="J275" s="921">
        <f>IF(Meal_entry_week_1!$Q$548&gt;0,100*$R$426/(SUM($D$426:$S$426)+0.00001),0.00001)</f>
        <v>0</v>
      </c>
      <c r="K275" s="921">
        <f>IF(Meal_entry_week_1!$Q$549&gt;0,100*$R$425/(SUM($D$425:$S$425)+0.00001),0.00001)</f>
        <v>0</v>
      </c>
      <c r="L275" s="921">
        <f>IF(Meal_entry_week_1!$Q$550&gt;0,100*$R$424/(SUM($D$424:$S$424)+0.00001),0.00001)</f>
        <v>2.0249801415259969</v>
      </c>
      <c r="M275" s="921">
        <f>IF(Meal_entry_week_1!$Q$551&gt;0,100*$R$423/(SUM($D$423:$S$423)+0.00001),0.00001)</f>
        <v>0</v>
      </c>
      <c r="N275" s="921">
        <f>IF(Meal_entry_week_1!$V$32&gt;0,100*$R$433/(SUM($D$433:$S$433)+0.00001),0.00001)</f>
        <v>1.0000000000000001E-5</v>
      </c>
      <c r="O275" s="921">
        <f>IF(Meal_entry_week_1!$V$131&gt;0,100*$R$432/(SUM($D$432:$S$432)+0.00001),0.00001)</f>
        <v>1.0000000000000001E-5</v>
      </c>
      <c r="P275" s="921">
        <f>IF(Meal_entry_week_1!$V$230&gt;0,100*$R$431/(SUM($D$431:$S$431)+0.00001),0.00001)</f>
        <v>0</v>
      </c>
      <c r="Q275" s="921">
        <f>IF(Meal_entry_week_1!$V$329&gt;0,100*$R$430/(SUM($D$430:$S$430)+0.00001),0.00001)</f>
        <v>1.0000000000000001E-5</v>
      </c>
      <c r="R275" s="921">
        <f>IF(Meal_entry_week_1!$V$428&gt;0,100*$R$429/(SUM($D$429:$S$429)+0.00001),0.00001)</f>
        <v>1.0000000000000001E-5</v>
      </c>
      <c r="S275" s="921">
        <f>IF(Meal_entry_week_1!$V$51&gt;0,100*$R$439/(SUM($D$439:$S$439)+0.00001),0.00001)</f>
        <v>0</v>
      </c>
      <c r="T275" s="921">
        <f>IF(Meal_entry_week_1!$V$150&gt;0,100*$R$438/(SUM($D$438:$S$438)+0.00001),0.00001)</f>
        <v>0</v>
      </c>
      <c r="U275" s="921">
        <f>IF(Meal_entry_week_1!$V$249&gt;0,100*$R$437/(SUM($D$437:$S$437)+0.00001),0.00001)</f>
        <v>0</v>
      </c>
      <c r="V275" s="921">
        <f>IF(Meal_entry_week_1!$V$348&gt;0,100*$R$436/(SUM($D$436:$S$436)+0.00001),0.00001)</f>
        <v>11.759171693353258</v>
      </c>
      <c r="W275" s="921">
        <f>IF(Meal_entry_week_1!$V$447&gt;0,100*$R$435/(SUM($D$435:$S$435)+0.00001),0.00001)</f>
        <v>0</v>
      </c>
      <c r="X275" s="921">
        <f>IF(Meal_entry_week_1!$V$83&gt;0,100*$R$445/(SUM($D$445:$S$445)+0.00001),0.00001)</f>
        <v>0</v>
      </c>
      <c r="Y275" s="921">
        <f>IF(Meal_entry_week_1!$V$182&gt;0,100*$R$444/(SUM($D$444:$S$444)+0.00001),0.00001)</f>
        <v>0</v>
      </c>
      <c r="Z275" s="921">
        <f>IF(Meal_entry_week_1!$V$281&gt;0,100*$R$443/(SUM($D$443:$S$443)+0.00001),0.00001)</f>
        <v>0</v>
      </c>
      <c r="AA275" s="921">
        <f>IF(Meal_entry_week_1!$V$380&gt;0,100*$R$442/(SUM($D$442:$S$442)+0.00001),0.00001)</f>
        <v>0</v>
      </c>
      <c r="AB275" s="921">
        <f>IF(Meal_entry_week_1!$V$479&gt;0,100*$R$441/(SUM($D$441:$S$441)+0.00001),0.00001)</f>
        <v>0</v>
      </c>
      <c r="AC275" s="921">
        <f>IF(Meal_entry_week_1!$V$102&gt;0,100*$R$451/(SUM($D$451:$S$451)+0.00001),0.00001)</f>
        <v>1.0000000000000001E-5</v>
      </c>
      <c r="AD275" s="921">
        <f>IF(Meal_entry_week_1!$V$201&gt;0,100*$R$450/(SUM($D$450:$S$450)+0.00001),0.00001)</f>
        <v>1.0000000000000001E-5</v>
      </c>
      <c r="AE275" s="921">
        <f>IF(Meal_entry_week_1!$V$300&gt;0,100*$R$449/(SUM($D$449:$S$449)+0.00001),0.00001)</f>
        <v>1.0000000000000001E-5</v>
      </c>
      <c r="AF275" s="921">
        <f>IF(Meal_entry_week_1!$V$399&gt;0,100*$R$448/(SUM($D$448:$S$448)+0.00001),0.00001)</f>
        <v>1.0000000000000001E-5</v>
      </c>
      <c r="AG275" s="921">
        <f>IF(Meal_entry_week_1!$V$498&gt;0,100*$R$447/(SUM($D$447:$S$447)+0.00001),0.00001)</f>
        <v>1.0000000000000001E-5</v>
      </c>
    </row>
    <row r="276" spans="1:34" ht="15" thickBot="1">
      <c r="A276" s="1064"/>
      <c r="B276" s="952" t="s">
        <v>1429</v>
      </c>
      <c r="C276" s="913"/>
      <c r="D276" s="953">
        <f>100*(SUM(S$423:S$427)/SUM($D$423:$S$427))</f>
        <v>0</v>
      </c>
      <c r="E276" s="953">
        <f>IF(Meal_entry_week_1!$Q$512&gt;0,100*SUM(S$429:S$433)/SUM($D$429:$S$433),0.00001)</f>
        <v>0</v>
      </c>
      <c r="F276" s="953">
        <f>IF(Meal_entry_week_1!$Q$522&gt;0,100*SUM(S$435:S$439)/SUM($D$435:$S$439),0.00001)</f>
        <v>0</v>
      </c>
      <c r="G276" s="953">
        <f>IF(Meal_entry_week_1!$Q$532&gt;0,100*SUM(S$441:S$445)/SUM($D$441:$S$445),0.00001)</f>
        <v>0</v>
      </c>
      <c r="H276" s="954">
        <f>IF(Meal_entry_week_1!$Q$542&gt;0,100*SUM(S$447:S$451)/SUM($D$447:$S$451),0.00001)</f>
        <v>1.0000000000000001E-5</v>
      </c>
      <c r="I276" s="921">
        <f>IF(Meal_entry_week_1!$Q$547&gt;0,100*$S$427/(SUM($D$427:$S$427)+0.00001),0.00001)</f>
        <v>0</v>
      </c>
      <c r="J276" s="921">
        <f>IF(Meal_entry_week_1!$Q$548&gt;0,100*$S$426/(SUM($D$426:$S$426)+0.00001),0.00001)</f>
        <v>0</v>
      </c>
      <c r="K276" s="921">
        <f>IF(Meal_entry_week_1!$Q$549&gt;0,100*$S$425/(SUM($D$425:$S$425)+0.00001),0.00001)</f>
        <v>0</v>
      </c>
      <c r="L276" s="921">
        <f>IF(Meal_entry_week_1!$Q$550&gt;0,100*$S$424/(SUM($D$424:$S$424)+0.00001),0.00001)</f>
        <v>0</v>
      </c>
      <c r="M276" s="921">
        <f>IF(Meal_entry_week_1!$Q$551&gt;0,100*$S$423/(SUM($D$423:$S$423)+0.00001),0.00001)</f>
        <v>0</v>
      </c>
      <c r="N276" s="921">
        <f>IF(Meal_entry_week_1!$V$32&gt;0,100*$S$433/(SUM($D$433:$S$433)+0.00001),0.00001)</f>
        <v>1.0000000000000001E-5</v>
      </c>
      <c r="O276" s="921">
        <f>IF(Meal_entry_week_1!$V$131&gt;0,100*$S$432/(SUM($D$432:$S$432)+0.00001),0.00001)</f>
        <v>1.0000000000000001E-5</v>
      </c>
      <c r="P276" s="921">
        <f>IF(Meal_entry_week_1!$V$230&gt;0,100*$S$431/(SUM($D$431:$S$431)+0.00001),0.00001)</f>
        <v>0</v>
      </c>
      <c r="Q276" s="921">
        <f>IF(Meal_entry_week_1!$V$329&gt;0,100*$S$430/(SUM($D$430:$S$430)+0.00001),0.00001)</f>
        <v>1.0000000000000001E-5</v>
      </c>
      <c r="R276" s="921">
        <f>IF(Meal_entry_week_1!$V$428&gt;0,100*$S$429/(SUM($D$429:$S$429)+0.00001),0.00001)</f>
        <v>1.0000000000000001E-5</v>
      </c>
      <c r="S276" s="921">
        <f>IF(Meal_entry_week_1!$V$51&gt;0,100*$S$439/(SUM($D$439:$S$439)+0.00001),0.00001)</f>
        <v>0</v>
      </c>
      <c r="T276" s="921">
        <f>IF(Meal_entry_week_1!$V$150&gt;0,100*$S$438/(SUM($D$438:$S$438)+0.00001),0.00001)</f>
        <v>0</v>
      </c>
      <c r="U276" s="921">
        <f>IF(Meal_entry_week_1!$V$249&gt;0,100*$S$437/(SUM($D$437:$S$437)+0.00001),0.00001)</f>
        <v>0</v>
      </c>
      <c r="V276" s="921">
        <f>IF(Meal_entry_week_1!$V$348&gt;0,100*$S$436/(SUM($D$436:$S$436)+0.00001),0.00001)</f>
        <v>0</v>
      </c>
      <c r="W276" s="921">
        <f>IF(Meal_entry_week_1!$V$447&gt;0,100*$S$435/(SUM($D$435:$S$435)+0.00001),0.00001)</f>
        <v>0</v>
      </c>
      <c r="X276" s="921">
        <f>IF(Meal_entry_week_1!$V$83&gt;0,100*$S$445/(SUM($D$445:$S$445)+0.00001),0.00001)</f>
        <v>0</v>
      </c>
      <c r="Y276" s="921">
        <f>IF(Meal_entry_week_1!$V$182&gt;0,100*$S$444/(SUM($D$444:$S$444)+0.00001),0.00001)</f>
        <v>0</v>
      </c>
      <c r="Z276" s="921">
        <f>IF(Meal_entry_week_1!$V$281&gt;0,100*$S$443/(SUM($D$443:$S$443)+0.00001),0.00001)</f>
        <v>0</v>
      </c>
      <c r="AA276" s="921">
        <f>IF(Meal_entry_week_1!$V$380&gt;0,100*$S$442/(SUM($D$442:$S$442)+0.00001),0.00001)</f>
        <v>0</v>
      </c>
      <c r="AB276" s="921">
        <f>IF(Meal_entry_week_1!$V$479&gt;0,100*$S$441/(SUM($D$441:$S$441)+0.00001),0.00001)</f>
        <v>0</v>
      </c>
      <c r="AC276" s="921">
        <f>IF(Meal_entry_week_1!$V$102&gt;0,100*$S$451/(SUM($D$451:$S$451)+0.00001),0.00001)</f>
        <v>1.0000000000000001E-5</v>
      </c>
      <c r="AD276" s="921">
        <f>IF(Meal_entry_week_1!$V$201&gt;0,100*$S$450/(SUM($D$450:$S$450)+0.00001),0.00001)</f>
        <v>1.0000000000000001E-5</v>
      </c>
      <c r="AE276" s="921">
        <f>IF(Meal_entry_week_1!$V$300&gt;0,100*$S$449/(SUM($D$449:$S$449)+0.00001),0.00001)</f>
        <v>1.0000000000000001E-5</v>
      </c>
      <c r="AF276" s="921">
        <f>IF(Meal_entry_week_1!$V$399&gt;0,100*$S$448/(SUM($D$448:$S$448)+0.00001),0.00001)</f>
        <v>1.0000000000000001E-5</v>
      </c>
      <c r="AG276" s="921">
        <f>IF(Meal_entry_week_1!$V$498&gt;0,100*$S$447/(SUM($D$447:$S$447)+0.00001),0.00001)</f>
        <v>1.0000000000000001E-5</v>
      </c>
    </row>
    <row r="277" spans="1:34">
      <c r="A277" s="1064"/>
      <c r="B277" s="961"/>
      <c r="C277" s="913"/>
      <c r="D277" s="955"/>
      <c r="E277" s="922"/>
      <c r="F277" s="922"/>
      <c r="G277" s="922"/>
      <c r="H277" s="922"/>
      <c r="I277" s="922"/>
      <c r="J277" s="922"/>
      <c r="K277" s="922"/>
      <c r="L277" s="922"/>
      <c r="M277" s="922"/>
      <c r="N277" s="922"/>
      <c r="O277" s="922"/>
      <c r="P277" s="922"/>
      <c r="Q277" s="922"/>
      <c r="R277" s="922"/>
      <c r="S277" s="922"/>
      <c r="T277" s="922"/>
      <c r="U277" s="922"/>
      <c r="V277" s="922"/>
      <c r="W277" s="922"/>
      <c r="X277" s="922"/>
      <c r="Y277" s="922"/>
      <c r="Z277" s="922"/>
      <c r="AA277" s="922"/>
      <c r="AB277" s="922"/>
      <c r="AC277" s="922"/>
      <c r="AD277" s="922"/>
      <c r="AE277" s="922"/>
      <c r="AF277" s="922"/>
      <c r="AG277" s="922"/>
    </row>
    <row r="278" spans="1:34">
      <c r="A278" s="1064"/>
      <c r="B278" s="961" t="s">
        <v>3844</v>
      </c>
      <c r="C278" s="913"/>
      <c r="D278" s="913" t="s">
        <v>3661</v>
      </c>
      <c r="E278" s="913" t="s">
        <v>3662</v>
      </c>
      <c r="F278" s="913" t="s">
        <v>3663</v>
      </c>
      <c r="G278" s="945" t="s">
        <v>3664</v>
      </c>
      <c r="H278" s="945" t="s">
        <v>3665</v>
      </c>
      <c r="I278" s="945" t="s">
        <v>3666</v>
      </c>
      <c r="J278" s="945" t="s">
        <v>3667</v>
      </c>
      <c r="K278" s="945" t="s">
        <v>3668</v>
      </c>
      <c r="L278" s="945" t="s">
        <v>3669</v>
      </c>
      <c r="M278" s="945" t="s">
        <v>3670</v>
      </c>
      <c r="N278" s="945" t="s">
        <v>3671</v>
      </c>
      <c r="O278" s="945" t="s">
        <v>3672</v>
      </c>
      <c r="P278" s="945" t="s">
        <v>3673</v>
      </c>
      <c r="Q278" s="945" t="s">
        <v>3674</v>
      </c>
      <c r="R278" s="945" t="s">
        <v>3675</v>
      </c>
      <c r="S278" s="945" t="s">
        <v>3676</v>
      </c>
      <c r="T278" s="945" t="s">
        <v>3677</v>
      </c>
      <c r="U278" s="945" t="s">
        <v>3678</v>
      </c>
      <c r="V278" s="945" t="s">
        <v>3679</v>
      </c>
      <c r="W278" s="945" t="s">
        <v>3680</v>
      </c>
      <c r="X278" s="945" t="s">
        <v>3681</v>
      </c>
      <c r="Y278" s="945" t="s">
        <v>3682</v>
      </c>
      <c r="Z278" s="945" t="s">
        <v>3683</v>
      </c>
      <c r="AA278" s="945" t="s">
        <v>3684</v>
      </c>
      <c r="AB278" s="945" t="s">
        <v>3685</v>
      </c>
      <c r="AC278" s="945" t="s">
        <v>3686</v>
      </c>
      <c r="AD278" s="945" t="s">
        <v>3687</v>
      </c>
      <c r="AE278" s="945" t="s">
        <v>3688</v>
      </c>
      <c r="AF278" s="945" t="s">
        <v>3689</v>
      </c>
      <c r="AG278" s="945" t="s">
        <v>3690</v>
      </c>
      <c r="AH278" s="945" t="s">
        <v>3681</v>
      </c>
    </row>
    <row r="279" spans="1:34" ht="15" thickBot="1">
      <c r="A279" s="1064"/>
      <c r="B279" s="913"/>
      <c r="C279" s="913"/>
      <c r="D279" s="913"/>
      <c r="E279" s="913"/>
      <c r="F279" s="945"/>
      <c r="G279" s="945"/>
      <c r="H279" s="913"/>
      <c r="I279" s="913"/>
      <c r="J279" s="962"/>
      <c r="K279" s="913"/>
      <c r="L279" s="913"/>
      <c r="M279" s="913"/>
      <c r="N279" s="913"/>
      <c r="O279" s="913"/>
      <c r="P279" s="913"/>
      <c r="Q279" s="913"/>
      <c r="R279" s="913"/>
      <c r="S279" s="913"/>
      <c r="T279" s="913"/>
      <c r="U279" s="913"/>
      <c r="V279" s="913"/>
      <c r="W279" s="913"/>
      <c r="X279" s="913"/>
      <c r="Y279" s="913"/>
      <c r="Z279" s="913"/>
      <c r="AA279" s="913"/>
      <c r="AB279" s="913"/>
      <c r="AC279" s="913"/>
      <c r="AD279" s="913"/>
      <c r="AE279" s="913"/>
      <c r="AF279" s="913"/>
      <c r="AG279" s="913"/>
    </row>
    <row r="280" spans="1:34" ht="15" thickBot="1">
      <c r="A280" s="1064"/>
      <c r="B280" s="939"/>
      <c r="C280" s="913"/>
      <c r="D280" s="914" t="s">
        <v>3773</v>
      </c>
      <c r="E280" s="915" t="s">
        <v>3774</v>
      </c>
      <c r="F280" s="915" t="s">
        <v>3775</v>
      </c>
      <c r="G280" s="915" t="s">
        <v>3776</v>
      </c>
      <c r="H280" s="916" t="s">
        <v>3777</v>
      </c>
      <c r="I280" s="914" t="s">
        <v>3773</v>
      </c>
      <c r="J280" s="914" t="s">
        <v>3773</v>
      </c>
      <c r="K280" s="914" t="s">
        <v>3773</v>
      </c>
      <c r="L280" s="914" t="s">
        <v>3773</v>
      </c>
      <c r="M280" s="914" t="s">
        <v>3773</v>
      </c>
      <c r="N280" s="914" t="s">
        <v>67</v>
      </c>
      <c r="O280" s="914" t="s">
        <v>67</v>
      </c>
      <c r="P280" s="914" t="s">
        <v>67</v>
      </c>
      <c r="Q280" s="914" t="s">
        <v>67</v>
      </c>
      <c r="R280" s="917" t="s">
        <v>67</v>
      </c>
      <c r="S280" s="914" t="s">
        <v>1362</v>
      </c>
      <c r="T280" s="914" t="s">
        <v>1362</v>
      </c>
      <c r="U280" s="914" t="s">
        <v>1362</v>
      </c>
      <c r="V280" s="914" t="s">
        <v>1362</v>
      </c>
      <c r="W280" s="914" t="s">
        <v>1362</v>
      </c>
      <c r="X280" s="914" t="s">
        <v>69</v>
      </c>
      <c r="Y280" s="914" t="s">
        <v>69</v>
      </c>
      <c r="Z280" s="914" t="s">
        <v>69</v>
      </c>
      <c r="AA280" s="914" t="s">
        <v>69</v>
      </c>
      <c r="AB280" s="914" t="s">
        <v>69</v>
      </c>
      <c r="AC280" s="1281" t="s">
        <v>1364</v>
      </c>
      <c r="AD280" s="1281" t="s">
        <v>1364</v>
      </c>
      <c r="AE280" s="1281" t="s">
        <v>1364</v>
      </c>
      <c r="AF280" s="1281" t="s">
        <v>1364</v>
      </c>
      <c r="AG280" s="1281" t="s">
        <v>1364</v>
      </c>
    </row>
    <row r="281" spans="1:34" ht="45">
      <c r="A281" s="1064"/>
      <c r="B281" s="946" t="s">
        <v>3841</v>
      </c>
      <c r="C281" s="913"/>
      <c r="D281" s="874" t="s">
        <v>3743</v>
      </c>
      <c r="E281" s="875" t="s">
        <v>3744</v>
      </c>
      <c r="F281" s="876" t="s">
        <v>3745</v>
      </c>
      <c r="G281" s="877" t="s">
        <v>3746</v>
      </c>
      <c r="H281" s="878" t="s">
        <v>3747</v>
      </c>
      <c r="I281" s="874" t="s">
        <v>3748</v>
      </c>
      <c r="J281" s="874" t="s">
        <v>3749</v>
      </c>
      <c r="K281" s="874" t="s">
        <v>3750</v>
      </c>
      <c r="L281" s="874" t="s">
        <v>3751</v>
      </c>
      <c r="M281" s="874" t="s">
        <v>3752</v>
      </c>
      <c r="N281" s="880" t="s">
        <v>3753</v>
      </c>
      <c r="O281" s="880" t="s">
        <v>3754</v>
      </c>
      <c r="P281" s="880" t="s">
        <v>3755</v>
      </c>
      <c r="Q281" s="880" t="s">
        <v>3756</v>
      </c>
      <c r="R281" s="880" t="s">
        <v>3757</v>
      </c>
      <c r="S281" s="882" t="s">
        <v>3758</v>
      </c>
      <c r="T281" s="882" t="s">
        <v>3759</v>
      </c>
      <c r="U281" s="882" t="s">
        <v>3760</v>
      </c>
      <c r="V281" s="882" t="s">
        <v>3761</v>
      </c>
      <c r="W281" s="882" t="s">
        <v>3762</v>
      </c>
      <c r="X281" s="884" t="s">
        <v>3768</v>
      </c>
      <c r="Y281" s="884" t="s">
        <v>3769</v>
      </c>
      <c r="Z281" s="884" t="s">
        <v>3770</v>
      </c>
      <c r="AA281" s="884" t="s">
        <v>3771</v>
      </c>
      <c r="AB281" s="884" t="s">
        <v>3772</v>
      </c>
      <c r="AC281" s="886" t="s">
        <v>3763</v>
      </c>
      <c r="AD281" s="886" t="s">
        <v>3764</v>
      </c>
      <c r="AE281" s="886" t="s">
        <v>3765</v>
      </c>
      <c r="AF281" s="886" t="s">
        <v>3766</v>
      </c>
      <c r="AG281" s="886" t="s">
        <v>3767</v>
      </c>
    </row>
    <row r="282" spans="1:34">
      <c r="A282" s="1064"/>
      <c r="B282" s="947" t="s">
        <v>1427</v>
      </c>
      <c r="C282" s="913"/>
      <c r="D282" s="948">
        <f>100*(SUM(D$335:D$339)/SUM($D$335:$S$339))</f>
        <v>25.303602600039909</v>
      </c>
      <c r="E282" s="948">
        <f>IF(Meal_entry_week_1!$Q$512&gt;0,100*SUM(D$341:D$345)/SUM($D$341:$S$345),0.00001)</f>
        <v>100</v>
      </c>
      <c r="F282" s="948">
        <f>IF(Meal_entry_week_1!$Q$522&gt;0,100*SUM(D$347:D$351)/SUM($D$347:$S$351),0.00001)</f>
        <v>0</v>
      </c>
      <c r="G282" s="948">
        <f>IF(Meal_entry_week_1!$Q$532&gt;0,100*SUM(D$353:D$357)/SUM($D$353:$S$357),0.00001)</f>
        <v>35.891026047669506</v>
      </c>
      <c r="H282" s="949">
        <f>IF(Meal_entry_week_1!$Q$542&gt;0,100*SUM(D$359:D$363)/SUM($D$359:$S$363),0.00001)</f>
        <v>1.0000000000000001E-5</v>
      </c>
      <c r="I282" s="921">
        <f>IF(Meal_entry_week_1!$Q$547&gt;0,100*$D$335/(SUM($D$335:$S$335)+0.00001),0.00001)</f>
        <v>30.892081350828761</v>
      </c>
      <c r="J282" s="921">
        <f>IF(Meal_entry_week_1!$Q$548&gt;0,100*$D$336/(SUM($D$336:$S$336)+0.00001),0.00001)</f>
        <v>5.9880883701862144</v>
      </c>
      <c r="K282" s="921">
        <f>IF(Meal_entry_week_1!$Q$549&gt;0,100*$D$337/(SUM($D$337:$S$337)+0.00001),0.00001)</f>
        <v>36.495800049382268</v>
      </c>
      <c r="L282" s="921">
        <f>IF(Meal_entry_week_1!$Q$550&gt;0,100*$D$338/(SUM($D$338:$S$338)+0.00001),0.00001)</f>
        <v>27.21818338016103</v>
      </c>
      <c r="M282" s="921">
        <f>IF(Meal_entry_week_1!$Q$551&gt;0,100*$D$339/(SUM($D$339:$S$339)+0.00001),0.00001)</f>
        <v>27.221558420482712</v>
      </c>
      <c r="N282" s="921">
        <f>IF(Meal_entry_week_1!$T$32&gt;0,100*$D$341/(SUM($D$341:$S$341)+0.00001),0.00001)</f>
        <v>1.0000000000000001E-5</v>
      </c>
      <c r="O282" s="921">
        <f>IF(Meal_entry_week_1!$T$131&gt;0,100*$D$342/(SUM($D$342:$S$342)+0.00001),0.00001)</f>
        <v>1.0000000000000001E-5</v>
      </c>
      <c r="P282" s="921">
        <f>IF(Meal_entry_week_1!$T$230&gt;0,100*$D$343/(SUM($D$343:$S$343)+0.00001),0.00001)</f>
        <v>99.999888889012354</v>
      </c>
      <c r="Q282" s="921">
        <f>IF(Meal_entry_week_1!$T$329&gt;0,100*$D$344/(SUM($D$344:$S$344)+0.00001),0.00001)</f>
        <v>1.0000000000000001E-5</v>
      </c>
      <c r="R282" s="921">
        <f>IF(Meal_entry_week_1!$T$428&gt;0,100*$D$345/(SUM($D$345:$S$345)+0.00001),0.00001)</f>
        <v>1.0000000000000001E-5</v>
      </c>
      <c r="S282" s="921">
        <f>IF(Meal_entry_week_1!$T$51&gt;0,100*$D$347/(SUM($D$347:$S$347)+0.00001),0.00001)</f>
        <v>0</v>
      </c>
      <c r="T282" s="921">
        <f>IF(Meal_entry_week_1!$T$150&gt;0,100*$D$348/(SUM($D$348:$S$348)+0.00001),0.00001)</f>
        <v>0</v>
      </c>
      <c r="U282" s="921">
        <f>IF(Meal_entry_week_1!$T$249&gt;0,100*$D$349/(SUM($D$349:$S$349)+0.00001),0.00001)</f>
        <v>0</v>
      </c>
      <c r="V282" s="921">
        <f>IF(Meal_entry_week_1!$T$348&gt;0,100*$D$350/(SUM($D$350:$S$350)+0.00001),0.00001)</f>
        <v>0</v>
      </c>
      <c r="W282" s="921">
        <f>IF(Meal_entry_week_1!$T$447&gt;0,100*$D$351/(SUM($D$351:$S$351)+0.00001),0.00001)</f>
        <v>0</v>
      </c>
      <c r="X282" s="921">
        <f>IF(Meal_entry_week_1!$T$83&gt;0,100*$D$353/(SUM($D$353:$S$353)+0.00001),0.00001)</f>
        <v>49.356968102177987</v>
      </c>
      <c r="Y282" s="921">
        <f>IF(Meal_entry_week_1!$T$182&gt;0,100*$D$354/(SUM($D$354:$S$354)+0.00001),0.00001)</f>
        <v>10.075093641889284</v>
      </c>
      <c r="Z282" s="921">
        <f>IF(Meal_entry_week_1!$T$281&gt;0,100*$D$355/(SUM($D$355:$S$355)+0.00001),0.00001)</f>
        <v>48.46822911162247</v>
      </c>
      <c r="AA282" s="921">
        <f>IF(Meal_entry_week_1!$T$380&gt;0,100*$D$356/(SUM($D$356:$S$356)+0.00001),0.00001)</f>
        <v>36.489440874718092</v>
      </c>
      <c r="AB282" s="921">
        <f>IF(Meal_entry_week_1!$T$479&gt;0,100*$D$357/(SUM($D$357:$S$357)+0.00001),0.00001)</f>
        <v>34.504921638335468</v>
      </c>
      <c r="AC282" s="921">
        <f>IF(Meal_entry_week_1!$T$102&gt;0,100*$D$359/(SUM($D$359:$S$359)+0.00001),0.00001)</f>
        <v>1.0000000000000001E-5</v>
      </c>
      <c r="AD282" s="921">
        <f>IF(Meal_entry_week_1!$T$201&gt;0,100*$D$360/(SUM($D$360:$S$360)+0.00001),0.00001)</f>
        <v>1.0000000000000001E-5</v>
      </c>
      <c r="AE282" s="921">
        <f>IF(Meal_entry_week_1!$T$300&gt;0,100*$D$361/(SUM($D$361:$S$361)+0.00001),0.00001)</f>
        <v>1.0000000000000001E-5</v>
      </c>
      <c r="AF282" s="921">
        <f>IF(Meal_entry_week_1!$T$399&gt;0,100*$D$362/(SUM($D$362:$S$362)+0.00001),0.00001)</f>
        <v>1.0000000000000001E-5</v>
      </c>
      <c r="AG282" s="921">
        <f>IF(Meal_entry_week_1!$T$498&gt;0,100*$D$363/(SUM($D$363:$S$363)+0.00001),0.00001)</f>
        <v>1.0000000000000001E-5</v>
      </c>
    </row>
    <row r="283" spans="1:34">
      <c r="A283" s="1064"/>
      <c r="B283" s="947" t="s">
        <v>796</v>
      </c>
      <c r="C283" s="913"/>
      <c r="D283" s="948">
        <f>100*(SUM(E$335:E$339)/SUM($D$335:$S$339))</f>
        <v>1.1547246772223958</v>
      </c>
      <c r="E283" s="948">
        <f>IF(Meal_entry_week_1!$Q$512&gt;0,100*SUM(E$341:E$345)/SUM($D$341:$S$345),0.00001)</f>
        <v>0</v>
      </c>
      <c r="F283" s="948">
        <f>IF(Meal_entry_week_1!$Q$522&gt;0,100*SUM(E$347:E$351)/SUM($D$347:$S$351),0.00001)</f>
        <v>0.7931767180488245</v>
      </c>
      <c r="G283" s="948">
        <f>IF(Meal_entry_week_1!$Q$532&gt;0,100*SUM(E$353:E$357)/SUM($D$353:$S$357),0.00001)</f>
        <v>1.359730708134558</v>
      </c>
      <c r="H283" s="949">
        <f>IF(Meal_entry_week_1!$Q$542&gt;0,100*SUM(E$359:E$363)/SUM($D$359:$S$363),0.00001)</f>
        <v>1.0000000000000001E-5</v>
      </c>
      <c r="I283" s="921">
        <f>IF(Meal_entry_week_1!$Q$547&gt;0,100*$E$335/(SUM($D$335:$S$335)+0.00001),0.00001)</f>
        <v>0</v>
      </c>
      <c r="J283" s="921">
        <f>IF(Meal_entry_week_1!$Q$548&gt;0,100*$E$336/(SUM($D$336:$S$336)+0.00001),0.00001)</f>
        <v>1.1545034377719021</v>
      </c>
      <c r="K283" s="921">
        <f>IF(Meal_entry_week_1!$Q$549&gt;0,100*$E$337/(SUM($D$337:$S$337)+0.00001),0.00001)</f>
        <v>0</v>
      </c>
      <c r="L283" s="921">
        <f>IF(Meal_entry_week_1!$Q$550&gt;0,100*$E$338/(SUM($D$338:$S$338)+0.00001),0.00001)</f>
        <v>4.9249633924560232</v>
      </c>
      <c r="M283" s="921">
        <f>IF(Meal_entry_week_1!$Q$551&gt;0,100*$E$339/(SUM($D$339:$S$339)+0.00001),0.00001)</f>
        <v>0</v>
      </c>
      <c r="N283" s="921">
        <f>IF(Meal_entry_week_1!$T$32&gt;0,100*$E$341/(SUM($D$341:$S$341)+0.00001),0.00001)</f>
        <v>1.0000000000000001E-5</v>
      </c>
      <c r="O283" s="921">
        <f>IF(Meal_entry_week_1!$T$131&gt;0,100*$E$342/(SUM($D$342:$S$342)+0.00001),0.00001)</f>
        <v>1.0000000000000001E-5</v>
      </c>
      <c r="P283" s="921">
        <f>IF(Meal_entry_week_1!$T$230&gt;0,100*$E$343/(SUM($D$343:$S$343)+0.00001),0.00001)</f>
        <v>0</v>
      </c>
      <c r="Q283" s="921">
        <f>IF(Meal_entry_week_1!$T$329&gt;0,100*$E$344/(SUM($D$344:$S$344)+0.00001),0.00001)</f>
        <v>1.0000000000000001E-5</v>
      </c>
      <c r="R283" s="921">
        <f>IF(Meal_entry_week_1!$T$428&gt;0,100*$E$345/(SUM($D$345:$S$345)+0.00001),0.00001)</f>
        <v>1.0000000000000001E-5</v>
      </c>
      <c r="S283" s="921">
        <f>IF(Meal_entry_week_1!$T$51&gt;0,100*$E$347/(SUM($D$347:$S$347)+0.00001),0.00001)</f>
        <v>0</v>
      </c>
      <c r="T283" s="921">
        <f>IF(Meal_entry_week_1!$T$150&gt;0,100*$E$348/(SUM($D$348:$S$348)+0.00001),0.00001)</f>
        <v>2.8460271477024262</v>
      </c>
      <c r="U283" s="921">
        <f>IF(Meal_entry_week_1!$T$249&gt;0,100*$E$349/(SUM($D$349:$S$349)+0.00001),0.00001)</f>
        <v>0</v>
      </c>
      <c r="V283" s="921">
        <f>IF(Meal_entry_week_1!$T$348&gt;0,100*$E$350/(SUM($D$350:$S$350)+0.00001),0.00001)</f>
        <v>0</v>
      </c>
      <c r="W283" s="921">
        <f>IF(Meal_entry_week_1!$T$447&gt;0,100*$E$351/(SUM($D$351:$S$351)+0.00001),0.00001)</f>
        <v>0</v>
      </c>
      <c r="X283" s="921">
        <f>IF(Meal_entry_week_1!$T$83&gt;0,100*$E$353/(SUM($D$353:$S$353)+0.00001),0.00001)</f>
        <v>0</v>
      </c>
      <c r="Y283" s="921">
        <f>IF(Meal_entry_week_1!$T$182&gt;0,100*$E$354/(SUM($D$354:$S$354)+0.00001),0.00001)</f>
        <v>0</v>
      </c>
      <c r="Z283" s="921">
        <f>IF(Meal_entry_week_1!$T$281&gt;0,100*$E$355/(SUM($D$355:$S$355)+0.00001),0.00001)</f>
        <v>0</v>
      </c>
      <c r="AA283" s="921">
        <f>IF(Meal_entry_week_1!$T$380&gt;0,100*$E$356/(SUM($D$356:$S$356)+0.00001),0.00001)</f>
        <v>6.6025405887360833</v>
      </c>
      <c r="AB283" s="921">
        <f>IF(Meal_entry_week_1!$T$479&gt;0,100*$E$357/(SUM($D$357:$S$357)+0.00001),0.00001)</f>
        <v>0</v>
      </c>
      <c r="AC283" s="921">
        <f>IF(Meal_entry_week_1!$T$102&gt;0,100*$E$359/(SUM($D$359:$S$359)+0.00001),0.00001)</f>
        <v>1.0000000000000001E-5</v>
      </c>
      <c r="AD283" s="921">
        <f>IF(Meal_entry_week_1!$T$201&gt;0,100*$E$360/(SUM($D$360:$S$360)+0.00001),0.00001)</f>
        <v>1.0000000000000001E-5</v>
      </c>
      <c r="AE283" s="921">
        <f>IF(Meal_entry_week_1!$T$300&gt;0,100*$E$361/(SUM($D$361:$S$361)+0.00001),0.00001)</f>
        <v>1.0000000000000001E-5</v>
      </c>
      <c r="AF283" s="921">
        <f>IF(Meal_entry_week_1!$T$399&gt;0,100*$E$362/(SUM($D$362:$S$362)+0.00001),0.00001)</f>
        <v>1.0000000000000001E-5</v>
      </c>
      <c r="AG283" s="921">
        <f>IF(Meal_entry_week_1!$T$498&gt;0,100*$E$363/(SUM($D$363:$S$363)+0.00001),0.00001)</f>
        <v>1.0000000000000001E-5</v>
      </c>
    </row>
    <row r="284" spans="1:34">
      <c r="A284" s="1065"/>
      <c r="B284" s="947" t="s">
        <v>1733</v>
      </c>
      <c r="C284" s="963"/>
      <c r="D284" s="948">
        <f>100*(SUM(F$335:F$339)/SUM($D$335:$S$339))</f>
        <v>7.0429864745047563</v>
      </c>
      <c r="E284" s="948">
        <f>IF(Meal_entry_week_1!$Q$512&gt;0,100*SUM(F$341:F$345)/SUM($D$341:$S$345),0.00001)</f>
        <v>0</v>
      </c>
      <c r="F284" s="948">
        <f>IF(Meal_entry_week_1!$Q$522&gt;0,100*SUM(F$347:F$351)/SUM($D$347:$S$351),0.00001)</f>
        <v>2.2204559852431824</v>
      </c>
      <c r="G284" s="948">
        <f>IF(Meal_entry_week_1!$Q$532&gt;0,100*SUM(F$353:F$357)/SUM($D$353:$S$357),0.00001)</f>
        <v>9.5753413234371951</v>
      </c>
      <c r="H284" s="949">
        <f>IF(Meal_entry_week_1!$Q$542&gt;0,100*SUM(F$359:F$363)/SUM($D$359:$S$363),0.00001)</f>
        <v>1.0000000000000001E-5</v>
      </c>
      <c r="I284" s="921">
        <f>IF(Meal_entry_week_1!$Q$547&gt;0,100*$F$335/(SUM($D$335:$S$335)+0.00001),0.00001)</f>
        <v>5.8513700007628451</v>
      </c>
      <c r="J284" s="921">
        <f>IF(Meal_entry_week_1!$Q$548&gt;0,100*$F$336/(SUM($D$336:$S$336)+0.00001),0.00001)</f>
        <v>5.9282074864843528</v>
      </c>
      <c r="K284" s="921">
        <f>IF(Meal_entry_week_1!$Q$549&gt;0,100*$F$337/(SUM($D$337:$S$337)+0.00001),0.00001)</f>
        <v>6.1855775372289949</v>
      </c>
      <c r="L284" s="921">
        <f>IF(Meal_entry_week_1!$Q$550&gt;0,100*$F$338/(SUM($D$338:$S$338)+0.00001),0.00001)</f>
        <v>9.7195286235626863</v>
      </c>
      <c r="M284" s="921">
        <f>IF(Meal_entry_week_1!$Q$551&gt;0,100*$F$339/(SUM($D$339:$S$339)+0.00001),0.00001)</f>
        <v>8.3832464235621789</v>
      </c>
      <c r="N284" s="921">
        <f>IF(Meal_entry_week_1!$T$32&gt;0,100*$F$341/(SUM($D$341:$S$341)+0.00001),0.00001)</f>
        <v>1.0000000000000001E-5</v>
      </c>
      <c r="O284" s="921">
        <f>IF(Meal_entry_week_1!$T$131&gt;0,100*$F$342/(SUM($D$342:$S$342)+0.00001),0.00001)</f>
        <v>1.0000000000000001E-5</v>
      </c>
      <c r="P284" s="921">
        <f>IF(Meal_entry_week_1!$T$230&gt;0,100*$F$343/(SUM($D$343:$S$343)+0.00001),0.00001)</f>
        <v>0</v>
      </c>
      <c r="Q284" s="921">
        <f>IF(Meal_entry_week_1!$T$329&gt;0,100*$F$344/(SUM($D$344:$S$344)+0.00001),0.00001)</f>
        <v>1.0000000000000001E-5</v>
      </c>
      <c r="R284" s="921">
        <f>IF(Meal_entry_week_1!$T$428&gt;0,100*$F$345/(SUM($D$345:$S$345)+0.00001),0.00001)</f>
        <v>1.0000000000000001E-5</v>
      </c>
      <c r="S284" s="921">
        <f>IF(Meal_entry_week_1!$T$51&gt;0,100*$F$347/(SUM($D$347:$S$347)+0.00001),0.00001)</f>
        <v>0</v>
      </c>
      <c r="T284" s="921">
        <f>IF(Meal_entry_week_1!$T$150&gt;0,100*$F$348/(SUM($D$348:$S$348)+0.00001),0.00001)</f>
        <v>0</v>
      </c>
      <c r="U284" s="921">
        <f>IF(Meal_entry_week_1!$T$249&gt;0,100*$F$349/(SUM($D$349:$S$349)+0.00001),0.00001)</f>
        <v>0</v>
      </c>
      <c r="V284" s="921">
        <f>IF(Meal_entry_week_1!$T$348&gt;0,100*$F$350/(SUM($D$350:$S$350)+0.00001),0.00001)</f>
        <v>15.503707727533572</v>
      </c>
      <c r="W284" s="921">
        <f>IF(Meal_entry_week_1!$T$447&gt;0,100*$F$351/(SUM($D$351:$S$351)+0.00001),0.00001)</f>
        <v>0</v>
      </c>
      <c r="X284" s="921">
        <f>IF(Meal_entry_week_1!$T$83&gt;0,100*$F$353/(SUM($D$353:$S$353)+0.00001),0.00001)</f>
        <v>9.3488644938436618</v>
      </c>
      <c r="Y284" s="921">
        <f>IF(Meal_entry_week_1!$T$182&gt;0,100*$F$354/(SUM($D$354:$S$354)+0.00001),0.00001)</f>
        <v>9.9743427054703915</v>
      </c>
      <c r="Z284" s="921">
        <f>IF(Meal_entry_week_1!$T$281&gt;0,100*$F$355/(SUM($D$355:$S$355)+0.00001),0.00001)</f>
        <v>10.338735155858894</v>
      </c>
      <c r="AA284" s="921">
        <f>IF(Meal_entry_week_1!$T$380&gt;0,100*$F$356/(SUM($D$356:$S$356)+0.00001),0.00001)</f>
        <v>7.7492770395361266</v>
      </c>
      <c r="AB284" s="921">
        <f>IF(Meal_entry_week_1!$T$479&gt;0,100*$F$357/(SUM($D$357:$S$357)+0.00001),0.00001)</f>
        <v>10.626256456434708</v>
      </c>
      <c r="AC284" s="921">
        <f>IF(Meal_entry_week_1!$T$102&gt;0,100*$F$359/(SUM($D$359:$S$359)+0.00001),0.00001)</f>
        <v>1.0000000000000001E-5</v>
      </c>
      <c r="AD284" s="921">
        <f>IF(Meal_entry_week_1!$T$201&gt;0,100*$F$360/(SUM($D$360:$S$360)+0.00001),0.00001)</f>
        <v>1.0000000000000001E-5</v>
      </c>
      <c r="AE284" s="921">
        <f>IF(Meal_entry_week_1!$T$300&gt;0,100*$F$361/(SUM($D$361:$S$361)+0.00001),0.00001)</f>
        <v>1.0000000000000001E-5</v>
      </c>
      <c r="AF284" s="921">
        <f>IF(Meal_entry_week_1!$T$399&gt;0,100*$F$362/(SUM($D$362:$S$362)+0.00001),0.00001)</f>
        <v>1.0000000000000001E-5</v>
      </c>
      <c r="AG284" s="921">
        <f>IF(Meal_entry_week_1!$T$498&gt;0,100*$F$363/(SUM($D$363:$S$363)+0.00001),0.00001)</f>
        <v>1.0000000000000001E-5</v>
      </c>
    </row>
    <row r="285" spans="1:34">
      <c r="A285" s="1065"/>
      <c r="B285" s="947" t="s">
        <v>806</v>
      </c>
      <c r="C285" s="963"/>
      <c r="D285" s="948">
        <f>100*(SUM(G$335:G$339)/SUM($D$335:$S$339))</f>
        <v>10.736259869671885</v>
      </c>
      <c r="E285" s="948">
        <f>IF(Meal_entry_week_1!$Q$512&gt;0,100*SUM(G$341:G$345)/SUM($D$341:$S$345),0.00001)</f>
        <v>0</v>
      </c>
      <c r="F285" s="948">
        <f>IF(Meal_entry_week_1!$Q$522&gt;0,100*SUM(G$347:G$351)/SUM($D$347:$S$351),0.00001)</f>
        <v>0</v>
      </c>
      <c r="G285" s="948">
        <f>IF(Meal_entry_week_1!$Q$532&gt;0,100*SUM(G$353:G$357)/SUM($D$353:$S$357),0.00001)</f>
        <v>16.254437431760671</v>
      </c>
      <c r="H285" s="949">
        <f>IF(Meal_entry_week_1!$Q$542&gt;0,100*SUM(G$359:G$363)/SUM($D$359:$S$363),0.00001)</f>
        <v>1.0000000000000001E-5</v>
      </c>
      <c r="I285" s="921">
        <f>IF(Meal_entry_week_1!$Q$547&gt;0,100*$G$335/(SUM($D$335:$S$335)+0.00001),0.00001)</f>
        <v>13.869914075882301</v>
      </c>
      <c r="J285" s="921">
        <f>IF(Meal_entry_week_1!$Q$548&gt;0,100*$G$336/(SUM($D$336:$S$336)+0.00001),0.00001)</f>
        <v>13.173794414409672</v>
      </c>
      <c r="K285" s="921">
        <f>IF(Meal_entry_week_1!$Q$549&gt;0,100*$G$337/(SUM($D$337:$S$337)+0.00001),0.00001)</f>
        <v>0</v>
      </c>
      <c r="L285" s="921">
        <f>IF(Meal_entry_week_1!$Q$550&gt;0,100*$G$338/(SUM($D$338:$S$338)+0.00001),0.00001)</f>
        <v>17.126922684691962</v>
      </c>
      <c r="M285" s="921">
        <f>IF(Meal_entry_week_1!$Q$551&gt;0,100*$G$339/(SUM($D$339:$S$339)+0.00001),0.00001)</f>
        <v>9.9356994649625836</v>
      </c>
      <c r="N285" s="921">
        <f>IF(Meal_entry_week_1!$T$32&gt;0,100*$G$341/(SUM($D$341:$S$341)+0.00001),0.00001)</f>
        <v>1.0000000000000001E-5</v>
      </c>
      <c r="O285" s="921">
        <f>IF(Meal_entry_week_1!$T$131&gt;0,100*$G$342/(SUM($D$342:$S$342)+0.00001),0.00001)</f>
        <v>1.0000000000000001E-5</v>
      </c>
      <c r="P285" s="921">
        <f>IF(Meal_entry_week_1!$T$230&gt;0,100*$G$343/(SUM($D$343:$S$343)+0.00001),0.00001)</f>
        <v>0</v>
      </c>
      <c r="Q285" s="921">
        <f>IF(Meal_entry_week_1!$T$329&gt;0,100*$G$344/(SUM($D$344:$S$344)+0.00001),0.00001)</f>
        <v>1.0000000000000001E-5</v>
      </c>
      <c r="R285" s="921">
        <f>IF(Meal_entry_week_1!$T$428&gt;0,100*$G$345/(SUM($D$345:$S$345)+0.00001),0.00001)</f>
        <v>1.0000000000000001E-5</v>
      </c>
      <c r="S285" s="921">
        <f>IF(Meal_entry_week_1!$T$51&gt;0,100*$G$347/(SUM($D$347:$S$347)+0.00001),0.00001)</f>
        <v>0</v>
      </c>
      <c r="T285" s="921">
        <f>IF(Meal_entry_week_1!$T$150&gt;0,100*$G$348/(SUM($D$348:$S$348)+0.00001),0.00001)</f>
        <v>0</v>
      </c>
      <c r="U285" s="921">
        <f>IF(Meal_entry_week_1!$T$249&gt;0,100*$G$349/(SUM($D$349:$S$349)+0.00001),0.00001)</f>
        <v>0</v>
      </c>
      <c r="V285" s="921">
        <f>IF(Meal_entry_week_1!$T$348&gt;0,100*$G$350/(SUM($D$350:$S$350)+0.00001),0.00001)</f>
        <v>0</v>
      </c>
      <c r="W285" s="921">
        <f>IF(Meal_entry_week_1!$T$447&gt;0,100*$G$351/(SUM($D$351:$S$351)+0.00001),0.00001)</f>
        <v>0</v>
      </c>
      <c r="X285" s="921">
        <f>IF(Meal_entry_week_1!$T$83&gt;0,100*$G$353/(SUM($D$353:$S$353)+0.00001),0.00001)</f>
        <v>22.160271392814607</v>
      </c>
      <c r="Y285" s="921">
        <f>IF(Meal_entry_week_1!$T$182&gt;0,100*$G$354/(SUM($D$354:$S$354)+0.00001),0.00001)</f>
        <v>22.165206012156425</v>
      </c>
      <c r="Z285" s="921">
        <f>IF(Meal_entry_week_1!$T$281&gt;0,100*$G$355/(SUM($D$355:$S$355)+0.00001),0.00001)</f>
        <v>0</v>
      </c>
      <c r="AA285" s="921">
        <f>IF(Meal_entry_week_1!$T$380&gt;0,100*$G$356/(SUM($D$356:$S$356)+0.00001),0.00001)</f>
        <v>22.960820857884823</v>
      </c>
      <c r="AB285" s="921">
        <f>IF(Meal_entry_week_1!$T$479&gt;0,100*$G$357/(SUM($D$357:$S$357)+0.00001),0.00001)</f>
        <v>12.594081726144841</v>
      </c>
      <c r="AC285" s="921">
        <f>IF(Meal_entry_week_1!$T$102&gt;0,100*$G$359/(SUM($D$359:$S$359)+0.00001),0.00001)</f>
        <v>1.0000000000000001E-5</v>
      </c>
      <c r="AD285" s="921">
        <f>IF(Meal_entry_week_1!$T$201&gt;0,100*$G$360/(SUM($D$360:$S$360)+0.00001),0.00001)</f>
        <v>1.0000000000000001E-5</v>
      </c>
      <c r="AE285" s="921">
        <f>IF(Meal_entry_week_1!$T$300&gt;0,100*$G$361/(SUM($D$361:$S$361)+0.00001),0.00001)</f>
        <v>1.0000000000000001E-5</v>
      </c>
      <c r="AF285" s="921">
        <f>IF(Meal_entry_week_1!$T$399&gt;0,100*$G$362/(SUM($D$362:$S$362)+0.00001),0.00001)</f>
        <v>1.0000000000000001E-5</v>
      </c>
      <c r="AG285" s="921">
        <f>IF(Meal_entry_week_1!$T$498&gt;0,100*$G$363/(SUM($D$363:$S$363)+0.00001),0.00001)</f>
        <v>1.0000000000000001E-5</v>
      </c>
    </row>
    <row r="286" spans="1:34">
      <c r="A286" s="1065"/>
      <c r="B286" s="947" t="s">
        <v>797</v>
      </c>
      <c r="C286" s="963"/>
      <c r="D286" s="948">
        <f>100*(SUM(H$335:H$339)/SUM($D$335:$S$339))</f>
        <v>9.5827774043352374</v>
      </c>
      <c r="E286" s="948">
        <f>IF(Meal_entry_week_1!$Q$512&gt;0,100*SUM(H$341:H$345)/SUM($D$341:$S$345),0.00001)</f>
        <v>0</v>
      </c>
      <c r="F286" s="948">
        <f>IF(Meal_entry_week_1!$Q$522&gt;0,100*SUM(H$347:H$351)/SUM($D$347:$S$351),0.00001)</f>
        <v>19.418019238539689</v>
      </c>
      <c r="G286" s="948">
        <f>IF(Meal_entry_week_1!$Q$532&gt;0,100*SUM(H$353:H$357)/SUM($D$353:$S$357),0.00001)</f>
        <v>4.997232003814025</v>
      </c>
      <c r="H286" s="949">
        <f>IF(Meal_entry_week_1!$Q$542&gt;0,100*SUM(H$359:H$363)/SUM($D$359:$S$363),0.00001)</f>
        <v>1.0000000000000001E-5</v>
      </c>
      <c r="I286" s="921">
        <f>IF(Meal_entry_week_1!$Q$547&gt;0,100*$H$335/(SUM($D$335:$S$335)+0.00001),0.00001)</f>
        <v>27.897440811717807</v>
      </c>
      <c r="J286" s="921">
        <f>IF(Meal_entry_week_1!$Q$548&gt;0,100*$H$336/(SUM($D$336:$S$336)+0.00001),0.00001)</f>
        <v>0</v>
      </c>
      <c r="K286" s="921">
        <f>IF(Meal_entry_week_1!$Q$549&gt;0,100*$H$337/(SUM($D$337:$S$337)+0.00001),0.00001)</f>
        <v>15.495184133664555</v>
      </c>
      <c r="L286" s="921">
        <f>IF(Meal_entry_week_1!$Q$550&gt;0,100*$H$338/(SUM($D$338:$S$338)+0.00001),0.00001)</f>
        <v>0</v>
      </c>
      <c r="M286" s="921">
        <f>IF(Meal_entry_week_1!$Q$551&gt;0,100*$H$339/(SUM($D$339:$S$339)+0.00001),0.00001)</f>
        <v>0</v>
      </c>
      <c r="N286" s="921">
        <f>IF(Meal_entry_week_1!$T$32&gt;0,100*$H$341/(SUM($D$341:$S$341)+0.00001),0.00001)</f>
        <v>1.0000000000000001E-5</v>
      </c>
      <c r="O286" s="921">
        <f>IF(Meal_entry_week_1!$T$131&gt;0,100*$H$342/(SUM($D$342:$S$342)+0.00001),0.00001)</f>
        <v>1.0000000000000001E-5</v>
      </c>
      <c r="P286" s="921">
        <f>IF(Meal_entry_week_1!$T$230&gt;0,100*$H$343/(SUM($D$343:$S$343)+0.00001),0.00001)</f>
        <v>0</v>
      </c>
      <c r="Q286" s="921">
        <f>IF(Meal_entry_week_1!$T$329&gt;0,100*$H$344/(SUM($D$344:$S$344)+0.00001),0.00001)</f>
        <v>1.0000000000000001E-5</v>
      </c>
      <c r="R286" s="921">
        <f>IF(Meal_entry_week_1!$T$428&gt;0,100*$H$345/(SUM($D$345:$S$345)+0.00001),0.00001)</f>
        <v>1.0000000000000001E-5</v>
      </c>
      <c r="S286" s="921">
        <f>IF(Meal_entry_week_1!$T$51&gt;0,100*$H$347/(SUM($D$347:$S$347)+0.00001),0.00001)</f>
        <v>74.57033583614411</v>
      </c>
      <c r="T286" s="921">
        <f>IF(Meal_entry_week_1!$T$150&gt;0,100*$H$348/(SUM($D$348:$S$348)+0.00001),0.00001)</f>
        <v>0</v>
      </c>
      <c r="U286" s="921">
        <f>IF(Meal_entry_week_1!$T$249&gt;0,100*$H$349/(SUM($D$349:$S$349)+0.00001),0.00001)</f>
        <v>0</v>
      </c>
      <c r="V286" s="921">
        <f>IF(Meal_entry_week_1!$T$348&gt;0,100*$H$350/(SUM($D$350:$S$350)+0.00001),0.00001)</f>
        <v>0</v>
      </c>
      <c r="W286" s="921">
        <f>IF(Meal_entry_week_1!$T$447&gt;0,100*$H$351/(SUM($D$351:$S$351)+0.00001),0.00001)</f>
        <v>0</v>
      </c>
      <c r="X286" s="921">
        <f>IF(Meal_entry_week_1!$T$83&gt;0,100*$H$353/(SUM($D$353:$S$353)+0.00001),0.00001)</f>
        <v>0</v>
      </c>
      <c r="Y286" s="921">
        <f>IF(Meal_entry_week_1!$T$182&gt;0,100*$H$354/(SUM($D$354:$S$354)+0.00001),0.00001)</f>
        <v>0</v>
      </c>
      <c r="Z286" s="921">
        <f>IF(Meal_entry_week_1!$T$281&gt;0,100*$H$355/(SUM($D$355:$S$355)+0.00001),0.00001)</f>
        <v>25.899053723767736</v>
      </c>
      <c r="AA286" s="921">
        <f>IF(Meal_entry_week_1!$T$380&gt;0,100*$H$356/(SUM($D$356:$S$356)+0.00001),0.00001)</f>
        <v>0</v>
      </c>
      <c r="AB286" s="921">
        <f>IF(Meal_entry_week_1!$T$479&gt;0,100*$H$357/(SUM($D$357:$S$357)+0.00001),0.00001)</f>
        <v>0</v>
      </c>
      <c r="AC286" s="921">
        <f>IF(Meal_entry_week_1!$T$102&gt;0,100*$H$359/(SUM($D$359:$S$359)+0.00001),0.00001)</f>
        <v>1.0000000000000001E-5</v>
      </c>
      <c r="AD286" s="921">
        <f>IF(Meal_entry_week_1!$T$201&gt;0,100*$H$360/(SUM($D$360:$S$360)+0.00001),0.00001)</f>
        <v>1.0000000000000001E-5</v>
      </c>
      <c r="AE286" s="921">
        <f>IF(Meal_entry_week_1!$T$300&gt;0,100*$H$361/(SUM($D$361:$S$361)+0.00001),0.00001)</f>
        <v>1.0000000000000001E-5</v>
      </c>
      <c r="AF286" s="921">
        <f>IF(Meal_entry_week_1!$T$399&gt;0,100*$H$362/(SUM($D$362:$S$362)+0.00001),0.00001)</f>
        <v>1.0000000000000001E-5</v>
      </c>
      <c r="AG286" s="921">
        <f>IF(Meal_entry_week_1!$T$498&gt;0,100*$H$363/(SUM($D$363:$S$363)+0.00001),0.00001)</f>
        <v>1.0000000000000001E-5</v>
      </c>
    </row>
    <row r="287" spans="1:34">
      <c r="A287" s="1065"/>
      <c r="B287" s="947" t="s">
        <v>807</v>
      </c>
      <c r="C287" s="963"/>
      <c r="D287" s="948">
        <f>100*(SUM(I$335:I$339)/SUM($D$335:$S$339))</f>
        <v>6.3885182695568243</v>
      </c>
      <c r="E287" s="948">
        <f>IF(Meal_entry_week_1!$Q$512&gt;0,100*SUM(I$341:I$345)/SUM($D$341:$S$345),0.00001)</f>
        <v>0</v>
      </c>
      <c r="F287" s="948">
        <f>IF(Meal_entry_week_1!$Q$522&gt;0,100*SUM(I$347:I$351)/SUM($D$347:$S$351),0.00001)</f>
        <v>19.747138208684429</v>
      </c>
      <c r="G287" s="948">
        <f>IF(Meal_entry_week_1!$Q$532&gt;0,100*SUM(I$353:I$357)/SUM($D$353:$S$357),0.00001)</f>
        <v>0</v>
      </c>
      <c r="H287" s="949">
        <f>IF(Meal_entry_week_1!$Q$542&gt;0,100*SUM(I$359:I$363)/SUM($D$359:$S$363),0.00001)</f>
        <v>1.0000000000000001E-5</v>
      </c>
      <c r="I287" s="921">
        <f>IF(Meal_entry_week_1!$Q$547&gt;0,100*$I$335/(SUM($D$335:$S$335)+0.00001),0.00001)</f>
        <v>0</v>
      </c>
      <c r="J287" s="921">
        <f>IF(Meal_entry_week_1!$Q$548&gt;0,100*$I$336/(SUM($D$336:$S$336)+0.00001),0.00001)</f>
        <v>28.74282417689383</v>
      </c>
      <c r="K287" s="921">
        <f>IF(Meal_entry_week_1!$Q$549&gt;0,100*$I$337/(SUM($D$337:$S$337)+0.00001),0.00001)</f>
        <v>0</v>
      </c>
      <c r="L287" s="921">
        <f>IF(Meal_entry_week_1!$Q$550&gt;0,100*$I$338/(SUM($D$338:$S$338)+0.00001),0.00001)</f>
        <v>0</v>
      </c>
      <c r="M287" s="921">
        <f>IF(Meal_entry_week_1!$Q$551&gt;0,100*$I$339/(SUM($D$339:$S$339)+0.00001),0.00001)</f>
        <v>0</v>
      </c>
      <c r="N287" s="921">
        <f>IF(Meal_entry_week_1!$T$32&gt;0,100*$I$341/(SUM($D$341:$S$341)+0.00001),0.00001)</f>
        <v>1.0000000000000001E-5</v>
      </c>
      <c r="O287" s="921">
        <f>IF(Meal_entry_week_1!$T$131&gt;0,100*$I$342/(SUM($D$342:$S$342)+0.00001),0.00001)</f>
        <v>1.0000000000000001E-5</v>
      </c>
      <c r="P287" s="921">
        <f>IF(Meal_entry_week_1!$T$230&gt;0,100*$I$343/(SUM($D$343:$S$343)+0.00001),0.00001)</f>
        <v>0</v>
      </c>
      <c r="Q287" s="921">
        <f>IF(Meal_entry_week_1!$T$329&gt;0,100*$I$344/(SUM($D$344:$S$344)+0.00001),0.00001)</f>
        <v>1.0000000000000001E-5</v>
      </c>
      <c r="R287" s="921">
        <f>IF(Meal_entry_week_1!$T$428&gt;0,100*$I$345/(SUM($D$345:$S$345)+0.00001),0.00001)</f>
        <v>1.0000000000000001E-5</v>
      </c>
      <c r="S287" s="921">
        <f>IF(Meal_entry_week_1!$T$51&gt;0,100*$I$347/(SUM($D$347:$S$347)+0.00001),0.00001)</f>
        <v>0</v>
      </c>
      <c r="T287" s="921">
        <f>IF(Meal_entry_week_1!$T$150&gt;0,100*$I$348/(SUM($D$348:$S$348)+0.00001),0.00001)</f>
        <v>70.855447660641317</v>
      </c>
      <c r="U287" s="921">
        <f>IF(Meal_entry_week_1!$T$249&gt;0,100*$I$349/(SUM($D$349:$S$349)+0.00001),0.00001)</f>
        <v>0</v>
      </c>
      <c r="V287" s="921">
        <f>IF(Meal_entry_week_1!$T$348&gt;0,100*$I$350/(SUM($D$350:$S$350)+0.00001),0.00001)</f>
        <v>0</v>
      </c>
      <c r="W287" s="921">
        <f>IF(Meal_entry_week_1!$T$447&gt;0,100*$I$351/(SUM($D$351:$S$351)+0.00001),0.00001)</f>
        <v>0</v>
      </c>
      <c r="X287" s="921">
        <f>IF(Meal_entry_week_1!$T$83&gt;0,100*$I$353/(SUM($D$353:$S$353)+0.00001),0.00001)</f>
        <v>0</v>
      </c>
      <c r="Y287" s="921">
        <f>IF(Meal_entry_week_1!$T$182&gt;0,100*$I$354/(SUM($D$354:$S$354)+0.00001),0.00001)</f>
        <v>0</v>
      </c>
      <c r="Z287" s="921">
        <f>IF(Meal_entry_week_1!$T$281&gt;0,100*$I$355/(SUM($D$355:$S$355)+0.00001),0.00001)</f>
        <v>0</v>
      </c>
      <c r="AA287" s="921">
        <f>IF(Meal_entry_week_1!$T$380&gt;0,100*$I$356/(SUM($D$356:$S$356)+0.00001),0.00001)</f>
        <v>0</v>
      </c>
      <c r="AB287" s="921">
        <f>IF(Meal_entry_week_1!$T$479&gt;0,100*$I$357/(SUM($D$357:$S$357)+0.00001),0.00001)</f>
        <v>0</v>
      </c>
      <c r="AC287" s="921">
        <f>IF(Meal_entry_week_1!$T$102&gt;0,100*$I$359/(SUM($D$359:$S$359)+0.00001),0.00001)</f>
        <v>1.0000000000000001E-5</v>
      </c>
      <c r="AD287" s="921">
        <f>IF(Meal_entry_week_1!$T$201&gt;0,100*$I$360/(SUM($D$360:$S$360)+0.00001),0.00001)</f>
        <v>1.0000000000000001E-5</v>
      </c>
      <c r="AE287" s="921">
        <f>IF(Meal_entry_week_1!$T$300&gt;0,100*$I$361/(SUM($D$361:$S$361)+0.00001),0.00001)</f>
        <v>1.0000000000000001E-5</v>
      </c>
      <c r="AF287" s="921">
        <f>IF(Meal_entry_week_1!$T$399&gt;0,100*$I$362/(SUM($D$362:$S$362)+0.00001),0.00001)</f>
        <v>1.0000000000000001E-5</v>
      </c>
      <c r="AG287" s="921">
        <f>IF(Meal_entry_week_1!$T$498&gt;0,100*$I$363/(SUM($D$363:$S$363)+0.00001),0.00001)</f>
        <v>1.0000000000000001E-5</v>
      </c>
    </row>
    <row r="288" spans="1:34">
      <c r="A288" s="1065"/>
      <c r="B288" s="947" t="s">
        <v>224</v>
      </c>
      <c r="C288" s="963"/>
      <c r="D288" s="948">
        <f>100*(SUM(J$335:J$339)/SUM($D$335:$S$339))</f>
        <v>3.7414238939765663</v>
      </c>
      <c r="E288" s="948">
        <f>IF(Meal_entry_week_1!$Q$512&gt;0,100*SUM(J$341:J$345)/SUM($D$341:$S$345),0.00001)</f>
        <v>0</v>
      </c>
      <c r="F288" s="948">
        <f>IF(Meal_entry_week_1!$Q$522&gt;0,100*SUM(J$347:J$351)/SUM($D$347:$S$351),0.00001)</f>
        <v>1.0056412976644848</v>
      </c>
      <c r="G288" s="948">
        <f>IF(Meal_entry_week_1!$Q$532&gt;0,100*SUM(J$353:J$357)/SUM($D$353:$S$357),0.00001)</f>
        <v>5.1718664555602132</v>
      </c>
      <c r="H288" s="949">
        <f>IF(Meal_entry_week_1!$Q$542&gt;0,100*SUM(J$359:J$363)/SUM($D$359:$S$363),0.00001)</f>
        <v>1.0000000000000001E-5</v>
      </c>
      <c r="I288" s="921">
        <f>IF(Meal_entry_week_1!$Q$547&gt;0,100*$J$335/(SUM($D$335:$S$335)+0.00001),0.00001)</f>
        <v>4.3343481487132189</v>
      </c>
      <c r="J288" s="921">
        <f>IF(Meal_entry_week_1!$Q$548&gt;0,100*$J$336/(SUM($D$336:$S$336)+0.00001),0.00001)</f>
        <v>4.3912648048032237</v>
      </c>
      <c r="K288" s="921">
        <f>IF(Meal_entry_week_1!$Q$549&gt;0,100*$J$337/(SUM($D$337:$S$337)+0.00001),0.00001)</f>
        <v>0</v>
      </c>
      <c r="L288" s="921">
        <f>IF(Meal_entry_week_1!$Q$550&gt;0,100*$J$338/(SUM($D$338:$S$338)+0.00001),0.00001)</f>
        <v>4.4601361158051986</v>
      </c>
      <c r="M288" s="921">
        <f>IF(Meal_entry_week_1!$Q$551&gt;0,100*$J$339/(SUM($D$339:$S$339)+0.00001),0.00001)</f>
        <v>6.2098121656016136</v>
      </c>
      <c r="N288" s="921">
        <f>IF(Meal_entry_week_1!$T$32&gt;0,100*$J$341/(SUM($D$341:$S$341)+0.00001),0.00001)</f>
        <v>1.0000000000000001E-5</v>
      </c>
      <c r="O288" s="921">
        <f>IF(Meal_entry_week_1!$T$131&gt;0,100*$J$342/(SUM($D$342:$S$342)+0.00001),0.00001)</f>
        <v>1.0000000000000001E-5</v>
      </c>
      <c r="P288" s="921">
        <f>IF(Meal_entry_week_1!$T$230&gt;0,100*$J$343/(SUM($D$343:$S$343)+0.00001),0.00001)</f>
        <v>0</v>
      </c>
      <c r="Q288" s="921">
        <f>IF(Meal_entry_week_1!$T$329&gt;0,100*$J$344/(SUM($D$344:$S$344)+0.00001),0.00001)</f>
        <v>1.0000000000000001E-5</v>
      </c>
      <c r="R288" s="921">
        <f>IF(Meal_entry_week_1!$T$428&gt;0,100*$J$345/(SUM($D$345:$S$345)+0.00001),0.00001)</f>
        <v>1.0000000000000001E-5</v>
      </c>
      <c r="S288" s="921">
        <f>IF(Meal_entry_week_1!$T$51&gt;0,100*$J$347/(SUM($D$347:$S$347)+0.00001),0.00001)</f>
        <v>0</v>
      </c>
      <c r="T288" s="921">
        <f>IF(Meal_entry_week_1!$T$150&gt;0,100*$J$348/(SUM($D$348:$S$348)+0.00001),0.00001)</f>
        <v>0</v>
      </c>
      <c r="U288" s="921">
        <f>IF(Meal_entry_week_1!$T$249&gt;0,100*$J$349/(SUM($D$349:$S$349)+0.00001),0.00001)</f>
        <v>0</v>
      </c>
      <c r="V288" s="921">
        <f>IF(Meal_entry_week_1!$T$348&gt;0,100*$J$350/(SUM($D$350:$S$350)+0.00001),0.00001)</f>
        <v>7.0216067606583206</v>
      </c>
      <c r="W288" s="921">
        <f>IF(Meal_entry_week_1!$T$447&gt;0,100*$J$351/(SUM($D$351:$S$351)+0.00001),0.00001)</f>
        <v>0</v>
      </c>
      <c r="X288" s="921">
        <f>IF(Meal_entry_week_1!$T$83&gt;0,100*$J$353/(SUM($D$353:$S$353)+0.00001),0.00001)</f>
        <v>6.9250848102545639</v>
      </c>
      <c r="Y288" s="921">
        <f>IF(Meal_entry_week_1!$T$182&gt;0,100*$J$354/(SUM($D$354:$S$354)+0.00001),0.00001)</f>
        <v>7.388402004052141</v>
      </c>
      <c r="Z288" s="921">
        <f>IF(Meal_entry_week_1!$T$281&gt;0,100*$J$355/(SUM($D$355:$S$355)+0.00001),0.00001)</f>
        <v>0</v>
      </c>
      <c r="AA288" s="921">
        <f>IF(Meal_entry_week_1!$T$380&gt;0,100*$J$356/(SUM($D$356:$S$356)+0.00001),0.00001)</f>
        <v>3.5876282590445028</v>
      </c>
      <c r="AB288" s="921">
        <f>IF(Meal_entry_week_1!$T$479&gt;0,100*$J$357/(SUM($D$357:$S$357)+0.00001),0.00001)</f>
        <v>7.8713010788405251</v>
      </c>
      <c r="AC288" s="921">
        <f>IF(Meal_entry_week_1!$T$102&gt;0,100*$J$359/(SUM($D$359:$S$359)+0.00001),0.00001)</f>
        <v>1.0000000000000001E-5</v>
      </c>
      <c r="AD288" s="921">
        <f>IF(Meal_entry_week_1!$T$201&gt;0,100*$J$360/(SUM($D$360:$S$360)+0.00001),0.00001)</f>
        <v>1.0000000000000001E-5</v>
      </c>
      <c r="AE288" s="921">
        <f>IF(Meal_entry_week_1!$T$300&gt;0,100*$J$361/(SUM($D$361:$S$361)+0.00001),0.00001)</f>
        <v>1.0000000000000001E-5</v>
      </c>
      <c r="AF288" s="921">
        <f>IF(Meal_entry_week_1!$T$399&gt;0,100*$J$362/(SUM($D$362:$S$362)+0.00001),0.00001)</f>
        <v>1.0000000000000001E-5</v>
      </c>
      <c r="AG288" s="921">
        <f>IF(Meal_entry_week_1!$T$498&gt;0,100*$J$363/(SUM($D$363:$S$363)+0.00001),0.00001)</f>
        <v>1.0000000000000001E-5</v>
      </c>
    </row>
    <row r="289" spans="1:33">
      <c r="A289" s="1065"/>
      <c r="B289" s="947" t="s">
        <v>798</v>
      </c>
      <c r="C289" s="963"/>
      <c r="D289" s="948">
        <f>100*(SUM(K$335:K$339)/SUM($D$335:$S$339))</f>
        <v>8.8024858109926054</v>
      </c>
      <c r="E289" s="948">
        <f>IF(Meal_entry_week_1!$Q$512&gt;0,100*SUM(K$341:K$345)/SUM($D$341:$S$345),0.00001)</f>
        <v>0</v>
      </c>
      <c r="F289" s="948">
        <f>IF(Meal_entry_week_1!$Q$522&gt;0,100*SUM(K$347:K$351)/SUM($D$347:$S$351),0.00001)</f>
        <v>15.219150762096911</v>
      </c>
      <c r="G289" s="948">
        <f>IF(Meal_entry_week_1!$Q$532&gt;0,100*SUM(K$353:K$357)/SUM($D$353:$S$357),0.00001)</f>
        <v>5.8724768472470119</v>
      </c>
      <c r="H289" s="949">
        <f>IF(Meal_entry_week_1!$Q$542&gt;0,100*SUM(K$359:K$363)/SUM($D$359:$S$363),0.00001)</f>
        <v>1.0000000000000001E-5</v>
      </c>
      <c r="I289" s="921">
        <f>IF(Meal_entry_week_1!$Q$547&gt;0,100*$K$335/(SUM($D$335:$S$335)+0.00001),0.00001)</f>
        <v>6.4148352600955638</v>
      </c>
      <c r="J289" s="921">
        <f>IF(Meal_entry_week_1!$Q$548&gt;0,100*$K$336/(SUM($D$336:$S$336)+0.00001),0.00001)</f>
        <v>1.6150729775587962</v>
      </c>
      <c r="K289" s="921">
        <f>IF(Meal_entry_week_1!$Q$549&gt;0,100*$K$337/(SUM($D$337:$S$337)+0.00001),0.00001)</f>
        <v>10.151606809535995</v>
      </c>
      <c r="L289" s="921">
        <f>IF(Meal_entry_week_1!$Q$550&gt;0,100*$K$338/(SUM($D$338:$S$338)+0.00001),0.00001)</f>
        <v>4.8212287357407861</v>
      </c>
      <c r="M289" s="921">
        <f>IF(Meal_entry_week_1!$Q$551&gt;0,100*$K$339/(SUM($D$339:$S$339)+0.00001),0.00001)</f>
        <v>25.177965689621089</v>
      </c>
      <c r="N289" s="921">
        <f>IF(Meal_entry_week_1!$T$32&gt;0,100*$K$341/(SUM($D$341:$S$341)+0.00001),0.00001)</f>
        <v>1.0000000000000001E-5</v>
      </c>
      <c r="O289" s="921">
        <f>IF(Meal_entry_week_1!$T$131&gt;0,100*$K$342/(SUM($D$342:$S$342)+0.00001),0.00001)</f>
        <v>1.0000000000000001E-5</v>
      </c>
      <c r="P289" s="921">
        <f>IF(Meal_entry_week_1!$T$230&gt;0,100*$K$343/(SUM($D$343:$S$343)+0.00001),0.00001)</f>
        <v>0</v>
      </c>
      <c r="Q289" s="921">
        <f>IF(Meal_entry_week_1!$T$329&gt;0,100*$K$344/(SUM($D$344:$S$344)+0.00001),0.00001)</f>
        <v>1.0000000000000001E-5</v>
      </c>
      <c r="R289" s="921">
        <f>IF(Meal_entry_week_1!$T$428&gt;0,100*$K$345/(SUM($D$345:$S$345)+0.00001),0.00001)</f>
        <v>1.0000000000000001E-5</v>
      </c>
      <c r="S289" s="921">
        <f>IF(Meal_entry_week_1!$T$51&gt;0,100*$K$347/(SUM($D$347:$S$347)+0.00001),0.00001)</f>
        <v>17.14696422898907</v>
      </c>
      <c r="T289" s="921">
        <f>IF(Meal_entry_week_1!$T$150&gt;0,100*$K$348/(SUM($D$348:$S$348)+0.00001),0.00001)</f>
        <v>3.9814013447407981</v>
      </c>
      <c r="U289" s="921">
        <f>IF(Meal_entry_week_1!$T$249&gt;0,100*$K$349/(SUM($D$349:$S$349)+0.00001),0.00001)</f>
        <v>20.754711689262699</v>
      </c>
      <c r="V289" s="921">
        <f>IF(Meal_entry_week_1!$T$348&gt;0,100*$K$350/(SUM($D$350:$S$350)+0.00001),0.00001)</f>
        <v>4.9881494427716708</v>
      </c>
      <c r="W289" s="921">
        <f>IF(Meal_entry_week_1!$T$447&gt;0,100*$K$351/(SUM($D$351:$S$351)+0.00001),0.00001)</f>
        <v>43.540060064600468</v>
      </c>
      <c r="X289" s="921">
        <f>IF(Meal_entry_week_1!$T$83&gt;0,100*$K$353/(SUM($D$353:$S$353)+0.00001),0.00001)</f>
        <v>0</v>
      </c>
      <c r="Y289" s="921">
        <f>IF(Meal_entry_week_1!$T$182&gt;0,100*$K$354/(SUM($D$354:$S$354)+0.00001),0.00001)</f>
        <v>0</v>
      </c>
      <c r="Z289" s="921">
        <f>IF(Meal_entry_week_1!$T$281&gt;0,100*$K$355/(SUM($D$355:$S$355)+0.00001),0.00001)</f>
        <v>5.6333425611144561</v>
      </c>
      <c r="AA289" s="921">
        <f>IF(Meal_entry_week_1!$T$380&gt;0,100*$K$356/(SUM($D$356:$S$356)+0.00001),0.00001)</f>
        <v>4.7643703280110996</v>
      </c>
      <c r="AB289" s="921">
        <f>IF(Meal_entry_week_1!$T$479&gt;0,100*$K$357/(SUM($D$357:$S$357)+0.00001),0.00001)</f>
        <v>20.265022413887607</v>
      </c>
      <c r="AC289" s="921">
        <f>IF(Meal_entry_week_1!$T$102&gt;0,100*$K$359/(SUM($D$359:$S$359)+0.00001),0.00001)</f>
        <v>1.0000000000000001E-5</v>
      </c>
      <c r="AD289" s="921">
        <f>IF(Meal_entry_week_1!$T$201&gt;0,100*$K$360/(SUM($D$360:$S$360)+0.00001),0.00001)</f>
        <v>1.0000000000000001E-5</v>
      </c>
      <c r="AE289" s="921">
        <f>IF(Meal_entry_week_1!$T$300&gt;0,100*$K$361/(SUM($D$361:$S$361)+0.00001),0.00001)</f>
        <v>1.0000000000000001E-5</v>
      </c>
      <c r="AF289" s="921">
        <f>IF(Meal_entry_week_1!$T$399&gt;0,100*$K$362/(SUM($D$362:$S$362)+0.00001),0.00001)</f>
        <v>1.0000000000000001E-5</v>
      </c>
      <c r="AG289" s="921">
        <f>IF(Meal_entry_week_1!$T$498&gt;0,100*$K$363/(SUM($D$363:$S$363)+0.00001),0.00001)</f>
        <v>1.0000000000000001E-5</v>
      </c>
    </row>
    <row r="290" spans="1:33">
      <c r="A290" s="1065"/>
      <c r="B290" s="947" t="s">
        <v>799</v>
      </c>
      <c r="C290" s="963"/>
      <c r="D290" s="948">
        <f>100*(SUM(L$335:L$339)/SUM($D$335:$S$339))</f>
        <v>2.3709565886733586</v>
      </c>
      <c r="E290" s="948">
        <f>IF(Meal_entry_week_1!$Q$512&gt;0,100*SUM(L$341:L$345)/SUM($D$341:$S$345),0.00001)</f>
        <v>0</v>
      </c>
      <c r="F290" s="948">
        <f>IF(Meal_entry_week_1!$Q$522&gt;0,100*SUM(L$347:L$351)/SUM($D$347:$S$351),0.00001)</f>
        <v>1.0619572103336961</v>
      </c>
      <c r="G290" s="948">
        <f>IF(Meal_entry_week_1!$Q$532&gt;0,100*SUM(L$353:L$357)/SUM($D$353:$S$357),0.00001)</f>
        <v>3.0694288575684787</v>
      </c>
      <c r="H290" s="949">
        <f>IF(Meal_entry_week_1!$Q$542&gt;0,100*SUM(L$359:L$363)/SUM($D$359:$S$363),0.00001)</f>
        <v>1.0000000000000001E-5</v>
      </c>
      <c r="I290" s="921">
        <f>IF(Meal_entry_week_1!$Q$547&gt;0,100*$L$335/(SUM($D$335:$S$335)+0.00001),0.00001)</f>
        <v>1.5256905483470529</v>
      </c>
      <c r="J290" s="921">
        <f>IF(Meal_entry_week_1!$Q$548&gt;0,100*$L$336/(SUM($D$336:$S$336)+0.00001),0.00001)</f>
        <v>1.352509559879393</v>
      </c>
      <c r="K290" s="921">
        <f>IF(Meal_entry_week_1!$Q$549&gt;0,100*$L$337/(SUM($D$337:$S$337)+0.00001),0.00001)</f>
        <v>1.0080200431039845</v>
      </c>
      <c r="L290" s="921">
        <f>IF(Meal_entry_week_1!$Q$550&gt;0,100*$L$338/(SUM($D$338:$S$338)+0.00001),0.00001)</f>
        <v>5.7519212843566621</v>
      </c>
      <c r="M290" s="921">
        <f>IF(Meal_entry_week_1!$Q$551&gt;0,100*$L$339/(SUM($D$339:$S$339)+0.00001),0.00001)</f>
        <v>2.9466123254158352</v>
      </c>
      <c r="N290" s="921">
        <f>IF(Meal_entry_week_1!$T$32&gt;0,100*$L$341/(SUM($D$341:$S$341)+0.00001),0.00001)</f>
        <v>1.0000000000000001E-5</v>
      </c>
      <c r="O290" s="921">
        <f>IF(Meal_entry_week_1!$T$131&gt;0,100*$L$342/(SUM($D$342:$S$342)+0.00001),0.00001)</f>
        <v>1.0000000000000001E-5</v>
      </c>
      <c r="P290" s="921">
        <f>IF(Meal_entry_week_1!$T$230&gt;0,100*$L$343/(SUM($D$343:$S$343)+0.00001),0.00001)</f>
        <v>0</v>
      </c>
      <c r="Q290" s="921">
        <f>IF(Meal_entry_week_1!$T$329&gt;0,100*$L$344/(SUM($D$344:$S$344)+0.00001),0.00001)</f>
        <v>1.0000000000000001E-5</v>
      </c>
      <c r="R290" s="921">
        <f>IF(Meal_entry_week_1!$T$428&gt;0,100*$L$345/(SUM($D$345:$S$345)+0.00001),0.00001)</f>
        <v>1.0000000000000001E-5</v>
      </c>
      <c r="S290" s="921">
        <f>IF(Meal_entry_week_1!$T$51&gt;0,100*$L$347/(SUM($D$347:$S$347)+0.00001),0.00001)</f>
        <v>0</v>
      </c>
      <c r="T290" s="921">
        <f>IF(Meal_entry_week_1!$T$150&gt;0,100*$L$348/(SUM($D$348:$S$348)+0.00001),0.00001)</f>
        <v>0</v>
      </c>
      <c r="U290" s="921">
        <f>IF(Meal_entry_week_1!$T$249&gt;0,100*$L$349/(SUM($D$349:$S$349)+0.00001),0.00001)</f>
        <v>0</v>
      </c>
      <c r="V290" s="921">
        <f>IF(Meal_entry_week_1!$T$348&gt;0,100*$L$350/(SUM($D$350:$S$350)+0.00001),0.00001)</f>
        <v>7.414816739255186</v>
      </c>
      <c r="W290" s="921">
        <f>IF(Meal_entry_week_1!$T$447&gt;0,100*$L$351/(SUM($D$351:$S$351)+0.00001),0.00001)</f>
        <v>0</v>
      </c>
      <c r="X290" s="921">
        <f>IF(Meal_entry_week_1!$T$83&gt;0,100*$L$353/(SUM($D$353:$S$353)+0.00001),0.00001)</f>
        <v>2.4376298532096063</v>
      </c>
      <c r="Y290" s="921">
        <f>IF(Meal_entry_week_1!$T$182&gt;0,100*$L$354/(SUM($D$354:$S$354)+0.00001),0.00001)</f>
        <v>2.2756278172480595</v>
      </c>
      <c r="Z290" s="921">
        <f>IF(Meal_entry_week_1!$T$281&gt;0,100*$L$355/(SUM($D$355:$S$355)+0.00001),0.00001)</f>
        <v>1.6848309142881159</v>
      </c>
      <c r="AA290" s="921">
        <f>IF(Meal_entry_week_1!$T$380&gt;0,100*$L$356/(SUM($D$356:$S$356)+0.00001),0.00001)</f>
        <v>5.1854926560182149</v>
      </c>
      <c r="AB290" s="921">
        <f>IF(Meal_entry_week_1!$T$479&gt;0,100*$L$357/(SUM($D$357:$S$357)+0.00001),0.00001)</f>
        <v>3.7350039191923643</v>
      </c>
      <c r="AC290" s="921">
        <f>IF(Meal_entry_week_1!$T$102&gt;0,100*$L$359/(SUM($D$359:$S$359)+0.00001),0.00001)</f>
        <v>1.0000000000000001E-5</v>
      </c>
      <c r="AD290" s="921">
        <f>IF(Meal_entry_week_1!$T$201&gt;0,100*$L$360/(SUM($D$360:$S$360)+0.00001),0.00001)</f>
        <v>1.0000000000000001E-5</v>
      </c>
      <c r="AE290" s="921">
        <f>IF(Meal_entry_week_1!$T$300&gt;0,100*$L$361/(SUM($D$361:$S$361)+0.00001),0.00001)</f>
        <v>1.0000000000000001E-5</v>
      </c>
      <c r="AF290" s="921">
        <f>IF(Meal_entry_week_1!$T$399&gt;0,100*$L$362/(SUM($D$362:$S$362)+0.00001),0.00001)</f>
        <v>1.0000000000000001E-5</v>
      </c>
      <c r="AG290" s="921">
        <f>IF(Meal_entry_week_1!$T$498&gt;0,100*$L$363/(SUM($D$363:$S$363)+0.00001),0.00001)</f>
        <v>1.0000000000000001E-5</v>
      </c>
    </row>
    <row r="291" spans="1:33">
      <c r="A291" s="1065"/>
      <c r="B291" s="947" t="s">
        <v>800</v>
      </c>
      <c r="C291" s="963"/>
      <c r="D291" s="948">
        <f>100*(SUM(M$335:M$339)/SUM($D$335:$S$339))</f>
        <v>4.8361651168835795</v>
      </c>
      <c r="E291" s="948">
        <f>IF(Meal_entry_week_1!$Q$512&gt;0,100*SUM(M$341:M$345)/SUM($D$341:$S$345),0.00001)</f>
        <v>0</v>
      </c>
      <c r="F291" s="948">
        <f>IF(Meal_entry_week_1!$Q$522&gt;0,100*SUM(M$347:M$351)/SUM($D$347:$S$351),0.00001)</f>
        <v>0.73323318295312934</v>
      </c>
      <c r="G291" s="948">
        <f>IF(Meal_entry_week_1!$Q$532&gt;0,100*SUM(M$353:M$357)/SUM($D$353:$S$357),0.00001)</f>
        <v>6.9627024579592858</v>
      </c>
      <c r="H291" s="949">
        <f>IF(Meal_entry_week_1!$Q$542&gt;0,100*SUM(M$359:M$363)/SUM($D$359:$S$363),0.00001)</f>
        <v>1.0000000000000001E-5</v>
      </c>
      <c r="I291" s="921">
        <f>IF(Meal_entry_week_1!$Q$547&gt;0,100*$M$335/(SUM($D$335:$S$335)+0.00001),0.00001)</f>
        <v>0.50971934228867444</v>
      </c>
      <c r="J291" s="921">
        <f>IF(Meal_entry_week_1!$Q$548&gt;0,100*$M$336/(SUM($D$336:$S$336)+0.00001),0.00001)</f>
        <v>18.049535488950095</v>
      </c>
      <c r="K291" s="921">
        <f>IF(Meal_entry_week_1!$Q$549&gt;0,100*$M$337/(SUM($D$337:$S$337)+0.00001),0.00001)</f>
        <v>0.35922168808796534</v>
      </c>
      <c r="L291" s="921">
        <f>IF(Meal_entry_week_1!$Q$550&gt;0,100*$M$338/(SUM($D$338:$S$338)+0.00001),0.00001)</f>
        <v>3.0520176224121078</v>
      </c>
      <c r="M291" s="921">
        <f>IF(Meal_entry_week_1!$Q$551&gt;0,100*$M$339/(SUM($D$339:$S$339)+0.00001),0.00001)</f>
        <v>0.4868492737831665</v>
      </c>
      <c r="N291" s="921">
        <f>IF(Meal_entry_week_1!$T$32&gt;0,100*$M$341/(SUM($D$341:$S$341)+0.00001),0.00001)</f>
        <v>1.0000000000000001E-5</v>
      </c>
      <c r="O291" s="921">
        <f>IF(Meal_entry_week_1!$T$131&gt;0,100*$M$342/(SUM($D$342:$S$342)+0.00001),0.00001)</f>
        <v>1.0000000000000001E-5</v>
      </c>
      <c r="P291" s="921">
        <f>IF(Meal_entry_week_1!$T$230&gt;0,100*$M$343/(SUM($D$343:$S$343)+0.00001),0.00001)</f>
        <v>0</v>
      </c>
      <c r="Q291" s="921">
        <f>IF(Meal_entry_week_1!$T$329&gt;0,100*$M$344/(SUM($D$344:$S$344)+0.00001),0.00001)</f>
        <v>1.0000000000000001E-5</v>
      </c>
      <c r="R291" s="921">
        <f>IF(Meal_entry_week_1!$T$428&gt;0,100*$M$345/(SUM($D$345:$S$345)+0.00001),0.00001)</f>
        <v>1.0000000000000001E-5</v>
      </c>
      <c r="S291" s="921">
        <f>IF(Meal_entry_week_1!$T$51&gt;0,100*$M$347/(SUM($D$347:$S$347)+0.00001),0.00001)</f>
        <v>0</v>
      </c>
      <c r="T291" s="921">
        <f>IF(Meal_entry_week_1!$T$150&gt;0,100*$M$348/(SUM($D$348:$S$348)+0.00001),0.00001)</f>
        <v>0</v>
      </c>
      <c r="U291" s="921">
        <f>IF(Meal_entry_week_1!$T$249&gt;0,100*$M$349/(SUM($D$349:$S$349)+0.00001),0.00001)</f>
        <v>0</v>
      </c>
      <c r="V291" s="921">
        <f>IF(Meal_entry_week_1!$T$348&gt;0,100*$M$350/(SUM($D$350:$S$350)+0.00001),0.00001)</f>
        <v>5.1195939213311954</v>
      </c>
      <c r="W291" s="921">
        <f>IF(Meal_entry_week_1!$T$447&gt;0,100*$M$351/(SUM($D$351:$S$351)+0.00001),0.00001)</f>
        <v>0</v>
      </c>
      <c r="X291" s="921">
        <f>IF(Meal_entry_week_1!$T$83&gt;0,100*$M$353/(SUM($D$353:$S$353)+0.00001),0.00001)</f>
        <v>0.81438997368593669</v>
      </c>
      <c r="Y291" s="921">
        <f>IF(Meal_entry_week_1!$T$182&gt;0,100*$M$354/(SUM($D$354:$S$354)+0.00001),0.00001)</f>
        <v>30.368750259128351</v>
      </c>
      <c r="Z291" s="921">
        <f>IF(Meal_entry_week_1!$T$281&gt;0,100*$M$355/(SUM($D$355:$S$355)+0.00001),0.00001)</f>
        <v>0.6004124712735831</v>
      </c>
      <c r="AA291" s="921">
        <f>IF(Meal_entry_week_1!$T$380&gt;0,100*$M$356/(SUM($D$356:$S$356)+0.00001),0.00001)</f>
        <v>2.3477439327187226</v>
      </c>
      <c r="AB291" s="921">
        <f>IF(Meal_entry_week_1!$T$479&gt;0,100*$M$357/(SUM($D$357:$S$357)+0.00001),0.00001)</f>
        <v>0.6171100045810971</v>
      </c>
      <c r="AC291" s="921">
        <f>IF(Meal_entry_week_1!$T$102&gt;0,100*$M$359/(SUM($D$359:$S$359)+0.00001),0.00001)</f>
        <v>1.0000000000000001E-5</v>
      </c>
      <c r="AD291" s="921">
        <f>IF(Meal_entry_week_1!$T$201&gt;0,100*$M$360/(SUM($D$360:$S$360)+0.00001),0.00001)</f>
        <v>1.0000000000000001E-5</v>
      </c>
      <c r="AE291" s="921">
        <f>IF(Meal_entry_week_1!$T$300&gt;0,100*$M$361/(SUM($D$361:$S$361)+0.00001),0.00001)</f>
        <v>1.0000000000000001E-5</v>
      </c>
      <c r="AF291" s="921">
        <f>IF(Meal_entry_week_1!$T$399&gt;0,100*$M$362/(SUM($D$362:$S$362)+0.00001),0.00001)</f>
        <v>1.0000000000000001E-5</v>
      </c>
      <c r="AG291" s="921">
        <f>IF(Meal_entry_week_1!$T$498&gt;0,100*$M$363/(SUM($D$363:$S$363)+0.00001),0.00001)</f>
        <v>1.0000000000000001E-5</v>
      </c>
    </row>
    <row r="292" spans="1:33">
      <c r="A292" s="1065"/>
      <c r="B292" s="947" t="s">
        <v>808</v>
      </c>
      <c r="C292" s="963"/>
      <c r="D292" s="948">
        <f>100*(SUM(N$335:N$339)/SUM($D$335:$S$339))</f>
        <v>2.4788457561486594</v>
      </c>
      <c r="E292" s="948">
        <f>IF(Meal_entry_week_1!$Q$512&gt;0,100*SUM(N$341:N$345)/SUM($D$341:$S$345),0.00001)</f>
        <v>0</v>
      </c>
      <c r="F292" s="948">
        <f>IF(Meal_entry_week_1!$Q$522&gt;0,100*SUM(N$347:N$351)/SUM($D$347:$S$351),0.00001)</f>
        <v>0</v>
      </c>
      <c r="G292" s="948">
        <f>IF(Meal_entry_week_1!$Q$532&gt;0,100*SUM(N$353:N$357)/SUM($D$353:$S$357),0.00001)</f>
        <v>3.7529124420807478</v>
      </c>
      <c r="H292" s="949">
        <f>IF(Meal_entry_week_1!$Q$542&gt;0,100*SUM(N$359:N$363)/SUM($D$359:$S$363),0.00001)</f>
        <v>1.0000000000000001E-5</v>
      </c>
      <c r="I292" s="921">
        <f>IF(Meal_entry_week_1!$Q$547&gt;0,100*$N$335/(SUM($D$335:$S$335)+0.00001),0.00001)</f>
        <v>1.4449928664510105</v>
      </c>
      <c r="J292" s="921">
        <f>IF(Meal_entry_week_1!$Q$548&gt;0,100*$N$336/(SUM($D$336:$S$336)+0.00001),0.00001)</f>
        <v>6.3355455647512597</v>
      </c>
      <c r="K292" s="921">
        <f>IF(Meal_entry_week_1!$Q$549&gt;0,100*$N$337/(SUM($D$337:$S$337)+0.00001),0.00001)</f>
        <v>1.3995650185245404E-2</v>
      </c>
      <c r="L292" s="921">
        <f>IF(Meal_entry_week_1!$Q$550&gt;0,100*$N$338/(SUM($D$338:$S$338)+0.00001),0.00001)</f>
        <v>2.5543460508470091</v>
      </c>
      <c r="M292" s="921">
        <f>IF(Meal_entry_week_1!$Q$551&gt;0,100*$N$339/(SUM($D$339:$S$339)+0.00001),0.00001)</f>
        <v>1.7591607525419206</v>
      </c>
      <c r="N292" s="921">
        <f>IF(Meal_entry_week_1!$T$32&gt;0,100*$N$341/(SUM($D$341:$S$341)+0.00001),0.00001)</f>
        <v>1.0000000000000001E-5</v>
      </c>
      <c r="O292" s="921">
        <f>IF(Meal_entry_week_1!$T$131&gt;0,100*$N$342/(SUM($D$342:$S$342)+0.00001),0.00001)</f>
        <v>1.0000000000000001E-5</v>
      </c>
      <c r="P292" s="921">
        <f>IF(Meal_entry_week_1!$T$230&gt;0,100*$N$343/(SUM($D$343:$S$343)+0.00001),0.00001)</f>
        <v>0</v>
      </c>
      <c r="Q292" s="921">
        <f>IF(Meal_entry_week_1!$T$329&gt;0,100*$N$344/(SUM($D$344:$S$344)+0.00001),0.00001)</f>
        <v>1.0000000000000001E-5</v>
      </c>
      <c r="R292" s="921">
        <f>IF(Meal_entry_week_1!$T$428&gt;0,100*$N$345/(SUM($D$345:$S$345)+0.00001),0.00001)</f>
        <v>1.0000000000000001E-5</v>
      </c>
      <c r="S292" s="921">
        <f>IF(Meal_entry_week_1!$T$51&gt;0,100*$N$347/(SUM($D$347:$S$347)+0.00001),0.00001)</f>
        <v>0</v>
      </c>
      <c r="T292" s="921">
        <f>IF(Meal_entry_week_1!$T$150&gt;0,100*$N$348/(SUM($D$348:$S$348)+0.00001),0.00001)</f>
        <v>0</v>
      </c>
      <c r="U292" s="921">
        <f>IF(Meal_entry_week_1!$T$249&gt;0,100*$N$349/(SUM($D$349:$S$349)+0.00001),0.00001)</f>
        <v>0</v>
      </c>
      <c r="V292" s="921">
        <f>IF(Meal_entry_week_1!$T$348&gt;0,100*$N$350/(SUM($D$350:$S$350)+0.00001),0.00001)</f>
        <v>0</v>
      </c>
      <c r="W292" s="921">
        <f>IF(Meal_entry_week_1!$T$447&gt;0,100*$N$351/(SUM($D$351:$S$351)+0.00001),0.00001)</f>
        <v>0</v>
      </c>
      <c r="X292" s="921">
        <f>IF(Meal_entry_week_1!$T$83&gt;0,100*$N$353/(SUM($D$353:$S$353)+0.00001),0.00001)</f>
        <v>2.3086973651059579</v>
      </c>
      <c r="Y292" s="921">
        <f>IF(Meal_entry_week_1!$T$182&gt;0,100*$N$354/(SUM($D$354:$S$354)+0.00001),0.00001)</f>
        <v>10.659698202707098</v>
      </c>
      <c r="Z292" s="921">
        <f>IF(Meal_entry_week_1!$T$281&gt;0,100*$N$355/(SUM($D$355:$S$355)+0.00001),0.00001)</f>
        <v>2.3392693685983762E-2</v>
      </c>
      <c r="AA292" s="921">
        <f>IF(Meal_entry_week_1!$T$380&gt;0,100*$N$356/(SUM($D$356:$S$356)+0.00001),0.00001)</f>
        <v>3.4244261600459591</v>
      </c>
      <c r="AB292" s="921">
        <f>IF(Meal_entry_week_1!$T$479&gt;0,100*$N$357/(SUM($D$357:$S$357)+0.00001),0.00001)</f>
        <v>2.2298394154399719</v>
      </c>
      <c r="AC292" s="921">
        <f>IF(Meal_entry_week_1!$T$102&gt;0,100*$N$359/(SUM($D$359:$S$359)+0.00001),0.00001)</f>
        <v>1.0000000000000001E-5</v>
      </c>
      <c r="AD292" s="921">
        <f>IF(Meal_entry_week_1!$T$201&gt;0,100*$N$360/(SUM($D$360:$S$360)+0.00001),0.00001)</f>
        <v>1.0000000000000001E-5</v>
      </c>
      <c r="AE292" s="921">
        <f>IF(Meal_entry_week_1!$T$300&gt;0,100*$N$361/(SUM($D$361:$S$361)+0.00001),0.00001)</f>
        <v>1.0000000000000001E-5</v>
      </c>
      <c r="AF292" s="921">
        <f>IF(Meal_entry_week_1!$T$399&gt;0,100*$N$362/(SUM($D$362:$S$362)+0.00001),0.00001)</f>
        <v>1.0000000000000001E-5</v>
      </c>
      <c r="AG292" s="921">
        <f>IF(Meal_entry_week_1!$T$498&gt;0,100*$N$363/(SUM($D$363:$S$363)+0.00001),0.00001)</f>
        <v>1.0000000000000001E-5</v>
      </c>
    </row>
    <row r="293" spans="1:33">
      <c r="A293" s="1065"/>
      <c r="B293" s="947" t="s">
        <v>809</v>
      </c>
      <c r="C293" s="963"/>
      <c r="D293" s="948">
        <f>100*(SUM(O$335:O$339)/SUM($D$335:$S$339))</f>
        <v>0.2756681125081934</v>
      </c>
      <c r="E293" s="948">
        <f>IF(Meal_entry_week_1!$Q$512&gt;0,100*SUM(O$341:O$345)/SUM($D$341:$S$345),0.00001)</f>
        <v>0</v>
      </c>
      <c r="F293" s="948">
        <f>IF(Meal_entry_week_1!$Q$522&gt;0,100*SUM(O$347:O$351)/SUM($D$347:$S$351),0.00001)</f>
        <v>0.85209998433707135</v>
      </c>
      <c r="G293" s="948">
        <f>IF(Meal_entry_week_1!$Q$532&gt;0,100*SUM(O$353:O$357)/SUM($D$353:$S$357),0.00001)</f>
        <v>0</v>
      </c>
      <c r="H293" s="949">
        <f>IF(Meal_entry_week_1!$Q$542&gt;0,100*SUM(O$359:O$363)/SUM($D$359:$S$363),0.00001)</f>
        <v>1.0000000000000001E-5</v>
      </c>
      <c r="I293" s="921">
        <f>IF(Meal_entry_week_1!$Q$547&gt;0,100*$O$335/(SUM($D$335:$S$335)+0.00001),0.00001)</f>
        <v>0</v>
      </c>
      <c r="J293" s="921">
        <f>IF(Meal_entry_week_1!$Q$548&gt;0,100*$O$336/(SUM($D$336:$S$336)+0.00001),0.00001)</f>
        <v>0</v>
      </c>
      <c r="K293" s="921">
        <f>IF(Meal_entry_week_1!$Q$549&gt;0,100*$O$337/(SUM($D$337:$S$337)+0.00001),0.00001)</f>
        <v>0</v>
      </c>
      <c r="L293" s="921">
        <f>IF(Meal_entry_week_1!$Q$550&gt;0,100*$O$338/(SUM($D$338:$S$338)+0.00001),0.00001)</f>
        <v>1.5116650134576244</v>
      </c>
      <c r="M293" s="921">
        <f>IF(Meal_entry_week_1!$Q$551&gt;0,100*$O$339/(SUM($D$339:$S$339)+0.00001),0.00001)</f>
        <v>0</v>
      </c>
      <c r="N293" s="921">
        <f>IF(Meal_entry_week_1!$T$32&gt;0,100*$O$341/(SUM($D$341:$S$341)+0.00001),0.00001)</f>
        <v>1.0000000000000001E-5</v>
      </c>
      <c r="O293" s="921">
        <f>IF(Meal_entry_week_1!$T$131&gt;0,100*$O$342/(SUM($D$342:$S$342)+0.00001),0.00001)</f>
        <v>1.0000000000000001E-5</v>
      </c>
      <c r="P293" s="921">
        <f>IF(Meal_entry_week_1!$T$230&gt;0,100*$O$343/(SUM($D$343:$S$343)+0.00001),0.00001)</f>
        <v>0</v>
      </c>
      <c r="Q293" s="921">
        <f>IF(Meal_entry_week_1!$T$329&gt;0,100*$O$344/(SUM($D$344:$S$344)+0.00001),0.00001)</f>
        <v>1.0000000000000001E-5</v>
      </c>
      <c r="R293" s="921">
        <f>IF(Meal_entry_week_1!$T$428&gt;0,100*$O$345/(SUM($D$345:$S$345)+0.00001),0.00001)</f>
        <v>1.0000000000000001E-5</v>
      </c>
      <c r="S293" s="921">
        <f>IF(Meal_entry_week_1!$T$51&gt;0,100*$O$347/(SUM($D$347:$S$347)+0.00001),0.00001)</f>
        <v>0</v>
      </c>
      <c r="T293" s="921">
        <f>IF(Meal_entry_week_1!$T$150&gt;0,100*$O$348/(SUM($D$348:$S$348)+0.00001),0.00001)</f>
        <v>0</v>
      </c>
      <c r="U293" s="921">
        <f>IF(Meal_entry_week_1!$T$249&gt;0,100*$O$349/(SUM($D$349:$S$349)+0.00001),0.00001)</f>
        <v>0</v>
      </c>
      <c r="V293" s="921">
        <f>IF(Meal_entry_week_1!$T$348&gt;0,100*$O$350/(SUM($D$350:$S$350)+0.00001),0.00001)</f>
        <v>5.9495478404410083</v>
      </c>
      <c r="W293" s="921">
        <f>IF(Meal_entry_week_1!$T$447&gt;0,100*$O$351/(SUM($D$351:$S$351)+0.00001),0.00001)</f>
        <v>0</v>
      </c>
      <c r="X293" s="921">
        <f>IF(Meal_entry_week_1!$T$83&gt;0,100*$O$353/(SUM($D$353:$S$353)+0.00001),0.00001)</f>
        <v>0</v>
      </c>
      <c r="Y293" s="921">
        <f>IF(Meal_entry_week_1!$T$182&gt;0,100*$O$354/(SUM($D$354:$S$354)+0.00001),0.00001)</f>
        <v>0</v>
      </c>
      <c r="Z293" s="921">
        <f>IF(Meal_entry_week_1!$T$281&gt;0,100*$O$355/(SUM($D$355:$S$355)+0.00001),0.00001)</f>
        <v>0</v>
      </c>
      <c r="AA293" s="921">
        <f>IF(Meal_entry_week_1!$T$380&gt;0,100*$O$356/(SUM($D$356:$S$356)+0.00001),0.00001)</f>
        <v>0</v>
      </c>
      <c r="AB293" s="921">
        <f>IF(Meal_entry_week_1!$T$479&gt;0,100*$O$357/(SUM($D$357:$S$357)+0.00001),0.00001)</f>
        <v>0</v>
      </c>
      <c r="AC293" s="921">
        <f>IF(Meal_entry_week_1!$T$102&gt;0,100*$O$359/(SUM($D$359:$S$359)+0.00001),0.00001)</f>
        <v>1.0000000000000001E-5</v>
      </c>
      <c r="AD293" s="921">
        <f>IF(Meal_entry_week_1!$T$201&gt;0,100*$O$360/(SUM($D$360:$S$360)+0.00001),0.00001)</f>
        <v>1.0000000000000001E-5</v>
      </c>
      <c r="AE293" s="921">
        <f>IF(Meal_entry_week_1!$T$300&gt;0,100*$O$361/(SUM($D$361:$S$361)+0.00001),0.00001)</f>
        <v>1.0000000000000001E-5</v>
      </c>
      <c r="AF293" s="921">
        <f>IF(Meal_entry_week_1!$T$399&gt;0,100*$O$362/(SUM($D$362:$S$362)+0.00001),0.00001)</f>
        <v>1.0000000000000001E-5</v>
      </c>
      <c r="AG293" s="921">
        <f>IF(Meal_entry_week_1!$T$498&gt;0,100*$O$363/(SUM($D$363:$S$363)+0.00001),0.00001)</f>
        <v>1.0000000000000001E-5</v>
      </c>
    </row>
    <row r="294" spans="1:33">
      <c r="A294" s="1065"/>
      <c r="B294" s="947" t="s">
        <v>810</v>
      </c>
      <c r="C294" s="963"/>
      <c r="D294" s="948">
        <f>100*(SUM(P$335:P$339)/SUM($D$335:$S$339))</f>
        <v>14.783415769909602</v>
      </c>
      <c r="E294" s="948">
        <f>IF(Meal_entry_week_1!$Q$512&gt;0,100*SUM(P$341:P$345)/SUM($D$341:$S$345),0.00001)</f>
        <v>0</v>
      </c>
      <c r="F294" s="948">
        <f>IF(Meal_entry_week_1!$Q$522&gt;0,100*SUM(P$347:P$351)/SUM($D$347:$S$351),0.00001)</f>
        <v>31.21483161369715</v>
      </c>
      <c r="G294" s="948">
        <f>IF(Meal_entry_week_1!$Q$532&gt;0,100*SUM(P$353:P$357)/SUM($D$353:$S$357),0.00001)</f>
        <v>7.0928454247682922</v>
      </c>
      <c r="H294" s="949">
        <f>IF(Meal_entry_week_1!$Q$542&gt;0,100*SUM(P$359:P$363)/SUM($D$359:$S$363),0.00001)</f>
        <v>1.0000000000000001E-5</v>
      </c>
      <c r="I294" s="921">
        <f>IF(Meal_entry_week_1!$Q$547&gt;0,100*$P$335/(SUM($D$335:$S$335)+0.00001),0.00001)</f>
        <v>7.2595997142797692</v>
      </c>
      <c r="J294" s="921">
        <f>IF(Meal_entry_week_1!$Q$548&gt;0,100*$P$336/(SUM($D$336:$S$336)+0.00001),0.00001)</f>
        <v>13.268645734193422</v>
      </c>
      <c r="K294" s="921">
        <f>IF(Meal_entry_week_1!$Q$549&gt;0,100*$P$337/(SUM($D$337:$S$337)+0.00001),0.00001)</f>
        <v>30.290585758066829</v>
      </c>
      <c r="L294" s="921">
        <f>IF(Meal_entry_week_1!$Q$550&gt;0,100*$P$338/(SUM($D$338:$S$338)+0.00001),0.00001)</f>
        <v>5.1380768054075885</v>
      </c>
      <c r="M294" s="921">
        <f>IF(Meal_entry_week_1!$Q$551&gt;0,100*$P$339/(SUM($D$339:$S$339)+0.00001),0.00001)</f>
        <v>17.879084193461313</v>
      </c>
      <c r="N294" s="921">
        <f>IF(Meal_entry_week_1!$T$32&gt;0,100*$P$341/(SUM($D$341:$S$341)+0.00001),0.00001)</f>
        <v>1.0000000000000001E-5</v>
      </c>
      <c r="O294" s="921">
        <f>IF(Meal_entry_week_1!$T$131&gt;0,100*$P$342/(SUM($D$342:$S$342)+0.00001),0.00001)</f>
        <v>1.0000000000000001E-5</v>
      </c>
      <c r="P294" s="921">
        <f>IF(Meal_entry_week_1!$T$230&gt;0,100*$P$343/(SUM($D$343:$S$343)+0.00001),0.00001)</f>
        <v>0</v>
      </c>
      <c r="Q294" s="921">
        <f>IF(Meal_entry_week_1!$T$329&gt;0,100*$P$344/(SUM($D$344:$S$344)+0.00001),0.00001)</f>
        <v>1.0000000000000001E-5</v>
      </c>
      <c r="R294" s="921">
        <f>IF(Meal_entry_week_1!$T$428&gt;0,100*$P$345/(SUM($D$345:$S$345)+0.00001),0.00001)</f>
        <v>1.0000000000000001E-5</v>
      </c>
      <c r="S294" s="921">
        <f>IF(Meal_entry_week_1!$T$51&gt;0,100*$P$347/(SUM($D$347:$S$347)+0.00001),0.00001)</f>
        <v>8.2826788698001916</v>
      </c>
      <c r="T294" s="921">
        <f>IF(Meal_entry_week_1!$T$150&gt;0,100*$P$348/(SUM($D$348:$S$348)+0.00001),0.00001)</f>
        <v>22.317104164846658</v>
      </c>
      <c r="U294" s="921">
        <f>IF(Meal_entry_week_1!$T$249&gt;0,100*$P$349/(SUM($D$349:$S$349)+0.00001),0.00001)</f>
        <v>79.245262813548479</v>
      </c>
      <c r="V294" s="921">
        <f>IF(Meal_entry_week_1!$T$348&gt;0,100*$P$350/(SUM($D$350:$S$350)+0.00001),0.00001)</f>
        <v>0</v>
      </c>
      <c r="W294" s="921">
        <f>IF(Meal_entry_week_1!$T$447&gt;0,100*$P$351/(SUM($D$351:$S$351)+0.00001),0.00001)</f>
        <v>56.459886446382242</v>
      </c>
      <c r="X294" s="921">
        <f>IF(Meal_entry_week_1!$T$83&gt;0,100*$P$353/(SUM($D$353:$S$353)+0.00001),0.00001)</f>
        <v>6.6480814178443817</v>
      </c>
      <c r="Y294" s="921">
        <f>IF(Meal_entry_week_1!$T$182&gt;0,100*$P$354/(SUM($D$354:$S$354)+0.00001),0.00001)</f>
        <v>7.0928659238900558</v>
      </c>
      <c r="Z294" s="921">
        <f>IF(Meal_entry_week_1!$T$281&gt;0,100*$P$355/(SUM($D$355:$S$355)+0.00001),0.00001)</f>
        <v>7.3519894441663238</v>
      </c>
      <c r="AA294" s="921">
        <f>IF(Meal_entry_week_1!$T$380&gt;0,100*$P$356/(SUM($D$356:$S$356)+0.00001),0.00001)</f>
        <v>6.8882462573654459</v>
      </c>
      <c r="AB294" s="921">
        <f>IF(Meal_entry_week_1!$T$479&gt;0,100*$P$357/(SUM($D$357:$S$357)+0.00001),0.00001)</f>
        <v>7.5564490356869038</v>
      </c>
      <c r="AC294" s="921">
        <f>IF(Meal_entry_week_1!$T$102&gt;0,100*$P$359/(SUM($D$359:$S$359)+0.00001),0.00001)</f>
        <v>1.0000000000000001E-5</v>
      </c>
      <c r="AD294" s="921">
        <f>IF(Meal_entry_week_1!$T$201&gt;0,100*$P$360/(SUM($D$360:$S$360)+0.00001),0.00001)</f>
        <v>1.0000000000000001E-5</v>
      </c>
      <c r="AE294" s="921">
        <f>IF(Meal_entry_week_1!$T$300&gt;0,100*$P$361/(SUM($D$361:$S$361)+0.00001),0.00001)</f>
        <v>1.0000000000000001E-5</v>
      </c>
      <c r="AF294" s="921">
        <f>IF(Meal_entry_week_1!$T$399&gt;0,100*$P$362/(SUM($D$362:$S$362)+0.00001),0.00001)</f>
        <v>1.0000000000000001E-5</v>
      </c>
      <c r="AG294" s="921">
        <f>IF(Meal_entry_week_1!$T$498&gt;0,100*$P$363/(SUM($D$363:$S$363)+0.00001),0.00001)</f>
        <v>1.0000000000000001E-5</v>
      </c>
    </row>
    <row r="295" spans="1:33">
      <c r="A295" s="1065"/>
      <c r="B295" s="947" t="s">
        <v>802</v>
      </c>
      <c r="C295" s="963"/>
      <c r="D295" s="948">
        <f>100*(SUM(Q$335:Q$339)/SUM($D$335:$S$339))</f>
        <v>0</v>
      </c>
      <c r="E295" s="948">
        <f>IF(Meal_entry_week_1!$Q$512&gt;0,100*SUM(Q$341:Q$345)/SUM($D$341:$S$345),0.00001)</f>
        <v>0</v>
      </c>
      <c r="F295" s="948">
        <f>IF(Meal_entry_week_1!$Q$522&gt;0,100*SUM(Q$347:Q$351)/SUM($D$347:$S$351),0.00001)</f>
        <v>0</v>
      </c>
      <c r="G295" s="948">
        <f>IF(Meal_entry_week_1!$Q$532&gt;0,100*SUM(Q$353:Q$357)/SUM($D$353:$S$357),0.00001)</f>
        <v>0</v>
      </c>
      <c r="H295" s="949">
        <f>IF(Meal_entry_week_1!$Q$542&gt;0,100*SUM(Q$359:Q$363)/SUM($D$359:$S$363),0.00001)</f>
        <v>1.0000000000000001E-5</v>
      </c>
      <c r="I295" s="921">
        <f>IF(Meal_entry_week_1!$Q$547&gt;0,100*$Q$335/(SUM($D$335:$S$335)+0.00001),0.00001)</f>
        <v>0</v>
      </c>
      <c r="J295" s="921">
        <f>IF(Meal_entry_week_1!$Q$548&gt;0,100*$Q$336/(SUM($D$336:$S$336)+0.00001),0.00001)</f>
        <v>0</v>
      </c>
      <c r="K295" s="921">
        <f>IF(Meal_entry_week_1!$Q$549&gt;0,100*$Q$337/(SUM($D$337:$S$337)+0.00001),0.00001)</f>
        <v>0</v>
      </c>
      <c r="L295" s="921">
        <f>IF(Meal_entry_week_1!$Q$550&gt;0,100*$Q$338/(SUM($D$338:$S$338)+0.00001),0.00001)</f>
        <v>0</v>
      </c>
      <c r="M295" s="921">
        <f>IF(Meal_entry_week_1!$Q$551&gt;0,100*$Q$339/(SUM($D$339:$S$339)+0.00001),0.00001)</f>
        <v>0</v>
      </c>
      <c r="N295" s="921">
        <f>IF(Meal_entry_week_1!$T$32&gt;0,100*$Q$341/(SUM($D$341:$S$341)+0.00001),0.00001)</f>
        <v>1.0000000000000001E-5</v>
      </c>
      <c r="O295" s="921">
        <f>IF(Meal_entry_week_1!$T$131&gt;0,100*$Q$342/(SUM($D$342:$S$342)+0.00001),0.00001)</f>
        <v>1.0000000000000001E-5</v>
      </c>
      <c r="P295" s="921">
        <f>IF(Meal_entry_week_1!$T$230&gt;0,100*$Q$343/(SUM($D$343:$S$343)+0.00001),0.00001)</f>
        <v>0</v>
      </c>
      <c r="Q295" s="921">
        <f>IF(Meal_entry_week_1!$T$329&gt;0,100*$Q$344/(SUM($D$344:$S$344)+0.00001),0.00001)</f>
        <v>1.0000000000000001E-5</v>
      </c>
      <c r="R295" s="921">
        <f>IF(Meal_entry_week_1!$T$428&gt;0,100*$Q$345/(SUM($D$345:$S$345)+0.00001),0.00001)</f>
        <v>1.0000000000000001E-5</v>
      </c>
      <c r="S295" s="921">
        <f>IF(Meal_entry_week_1!$T$51&gt;0,100*$Q$347/(SUM($D$347:$S$347)+0.00001),0.00001)</f>
        <v>0</v>
      </c>
      <c r="T295" s="921">
        <f>IF(Meal_entry_week_1!$T$150&gt;0,100*$Q$348/(SUM($D$348:$S$348)+0.00001),0.00001)</f>
        <v>0</v>
      </c>
      <c r="U295" s="921">
        <f>IF(Meal_entry_week_1!$T$249&gt;0,100*$Q$349/(SUM($D$349:$S$349)+0.00001),0.00001)</f>
        <v>0</v>
      </c>
      <c r="V295" s="921">
        <f>IF(Meal_entry_week_1!$T$348&gt;0,100*$Q$350/(SUM($D$350:$S$350)+0.00001),0.00001)</f>
        <v>0</v>
      </c>
      <c r="W295" s="921">
        <f>IF(Meal_entry_week_1!$T$447&gt;0,100*$Q$351/(SUM($D$351:$S$351)+0.00001),0.00001)</f>
        <v>0</v>
      </c>
      <c r="X295" s="921">
        <f>IF(Meal_entry_week_1!$T$83&gt;0,100*$Q$353/(SUM($D$353:$S$353)+0.00001),0.00001)</f>
        <v>0</v>
      </c>
      <c r="Y295" s="921">
        <f>IF(Meal_entry_week_1!$T$182&gt;0,100*$Q$354/(SUM($D$354:$S$354)+0.00001),0.00001)</f>
        <v>0</v>
      </c>
      <c r="Z295" s="921">
        <f>IF(Meal_entry_week_1!$T$281&gt;0,100*$Q$355/(SUM($D$355:$S$355)+0.00001),0.00001)</f>
        <v>0</v>
      </c>
      <c r="AA295" s="921">
        <f>IF(Meal_entry_week_1!$T$380&gt;0,100*$Q$356/(SUM($D$356:$S$356)+0.00001),0.00001)</f>
        <v>0</v>
      </c>
      <c r="AB295" s="921">
        <f>IF(Meal_entry_week_1!$T$479&gt;0,100*$Q$357/(SUM($D$357:$S$357)+0.00001),0.00001)</f>
        <v>0</v>
      </c>
      <c r="AC295" s="921">
        <f>IF(Meal_entry_week_1!$T$102&gt;0,100*$Q$359/(SUM($D$359:$S$359)+0.00001),0.00001)</f>
        <v>1.0000000000000001E-5</v>
      </c>
      <c r="AD295" s="921">
        <f>IF(Meal_entry_week_1!$T$201&gt;0,100*$Q$360/(SUM($D$360:$S$360)+0.00001),0.00001)</f>
        <v>1.0000000000000001E-5</v>
      </c>
      <c r="AE295" s="921">
        <f>IF(Meal_entry_week_1!$T$300&gt;0,100*$Q$361/(SUM($D$361:$S$361)+0.00001),0.00001)</f>
        <v>1.0000000000000001E-5</v>
      </c>
      <c r="AF295" s="921">
        <f>IF(Meal_entry_week_1!$T$399&gt;0,100*$Q$362/(SUM($D$362:$S$362)+0.00001),0.00001)</f>
        <v>1.0000000000000001E-5</v>
      </c>
      <c r="AG295" s="921">
        <f>IF(Meal_entry_week_1!$T$498&gt;0,100*$Q$363/(SUM($D$363:$S$363)+0.00001),0.00001)</f>
        <v>1.0000000000000001E-5</v>
      </c>
    </row>
    <row r="296" spans="1:33">
      <c r="A296" s="1065"/>
      <c r="B296" s="951" t="s">
        <v>1734</v>
      </c>
      <c r="C296" s="963"/>
      <c r="D296" s="948">
        <f>100*(SUM(R$335:R$339)/SUM($D$335:$S$339))</f>
        <v>2.5021696555764228</v>
      </c>
      <c r="E296" s="948">
        <f>IF(Meal_entry_week_1!$Q$512&gt;0,100*SUM(R$341:R$345)/SUM($D$341:$S$345),0.00001)</f>
        <v>0</v>
      </c>
      <c r="F296" s="948">
        <f>IF(Meal_entry_week_1!$Q$522&gt;0,100*SUM(R$347:R$351)/SUM($D$347:$S$351),0.00001)</f>
        <v>7.7342957984014014</v>
      </c>
      <c r="G296" s="948">
        <f>IF(Meal_entry_week_1!$Q$532&gt;0,100*SUM(R$353:R$357)/SUM($D$353:$S$357),0.00001)</f>
        <v>0</v>
      </c>
      <c r="H296" s="949">
        <f>IF(Meal_entry_week_1!$Q$542&gt;0,100*SUM(R$359:R$363)/SUM($D$359:$S$363),0.00001)</f>
        <v>1.0000000000000001E-5</v>
      </c>
      <c r="I296" s="921">
        <f>IF(Meal_entry_week_1!$Q$547&gt;0,100*$R$335/(SUM($D$335:$S$335)+0.00001),0.00001)</f>
        <v>0</v>
      </c>
      <c r="J296" s="921">
        <f>IF(Meal_entry_week_1!$Q$548&gt;0,100*$R$336/(SUM($D$336:$S$336)+0.00001),0.00001)</f>
        <v>0</v>
      </c>
      <c r="K296" s="921">
        <f>IF(Meal_entry_week_1!$Q$549&gt;0,100*$R$337/(SUM($D$337:$S$337)+0.00001),0.00001)</f>
        <v>0</v>
      </c>
      <c r="L296" s="921">
        <f>IF(Meal_entry_week_1!$Q$550&gt;0,100*$R$338/(SUM($D$338:$S$338)+0.00001),0.00001)</f>
        <v>13.721000559895264</v>
      </c>
      <c r="M296" s="921">
        <f>IF(Meal_entry_week_1!$Q$551&gt;0,100*$R$339/(SUM($D$339:$S$339)+0.00001),0.00001)</f>
        <v>0</v>
      </c>
      <c r="N296" s="921">
        <f>IF(Meal_entry_week_1!$T$32&gt;0,100*$R$341/(SUM($D$341:$S$341)+0.00001),0.00001)</f>
        <v>1.0000000000000001E-5</v>
      </c>
      <c r="O296" s="921">
        <f>IF(Meal_entry_week_1!$T$131&gt;0,100*$R$342/(SUM($D$342:$S$342)+0.00001),0.00001)</f>
        <v>1.0000000000000001E-5</v>
      </c>
      <c r="P296" s="921">
        <f>IF(Meal_entry_week_1!$T$230&gt;0,100*$R$343/(SUM($D$343:$S$343)+0.00001),0.00001)</f>
        <v>0</v>
      </c>
      <c r="Q296" s="921">
        <f>IF(Meal_entry_week_1!$T$329&gt;0,100*$R$344/(SUM($D$344:$S$344)+0.00001),0.00001)</f>
        <v>1.0000000000000001E-5</v>
      </c>
      <c r="R296" s="921">
        <f>IF(Meal_entry_week_1!$T$428&gt;0,100*$R$345/(SUM($D$345:$S$345)+0.00001),0.00001)</f>
        <v>1.0000000000000001E-5</v>
      </c>
      <c r="S296" s="921">
        <f>IF(Meal_entry_week_1!$T$51&gt;0,100*$R$347/(SUM($D$347:$S$347)+0.00001),0.00001)</f>
        <v>0</v>
      </c>
      <c r="T296" s="921">
        <f>IF(Meal_entry_week_1!$T$150&gt;0,100*$R$348/(SUM($D$348:$S$348)+0.00001),0.00001)</f>
        <v>0</v>
      </c>
      <c r="U296" s="921">
        <f>IF(Meal_entry_week_1!$T$249&gt;0,100*$R$349/(SUM($D$349:$S$349)+0.00001),0.00001)</f>
        <v>0</v>
      </c>
      <c r="V296" s="921">
        <f>IF(Meal_entry_week_1!$T$348&gt;0,100*$R$350/(SUM($D$350:$S$350)+0.00001),0.00001)</f>
        <v>54.002539268335809</v>
      </c>
      <c r="W296" s="921">
        <f>IF(Meal_entry_week_1!$T$447&gt;0,100*$R$351/(SUM($D$351:$S$351)+0.00001),0.00001)</f>
        <v>0</v>
      </c>
      <c r="X296" s="921">
        <f>IF(Meal_entry_week_1!$T$83&gt;0,100*$R$353/(SUM($D$353:$S$353)+0.00001),0.00001)</f>
        <v>0</v>
      </c>
      <c r="Y296" s="921">
        <f>IF(Meal_entry_week_1!$T$182&gt;0,100*$R$354/(SUM($D$354:$S$354)+0.00001),0.00001)</f>
        <v>0</v>
      </c>
      <c r="Z296" s="921">
        <f>IF(Meal_entry_week_1!$T$281&gt;0,100*$R$355/(SUM($D$355:$S$355)+0.00001),0.00001)</f>
        <v>0</v>
      </c>
      <c r="AA296" s="921">
        <f>IF(Meal_entry_week_1!$T$380&gt;0,100*$R$356/(SUM($D$356:$S$356)+0.00001),0.00001)</f>
        <v>0</v>
      </c>
      <c r="AB296" s="921">
        <f>IF(Meal_entry_week_1!$T$479&gt;0,100*$R$357/(SUM($D$357:$S$357)+0.00001),0.00001)</f>
        <v>0</v>
      </c>
      <c r="AC296" s="921">
        <f>IF(Meal_entry_week_1!$T$102&gt;0,100*$R$359/(SUM($D$359:$S$359)+0.00001),0.00001)</f>
        <v>1.0000000000000001E-5</v>
      </c>
      <c r="AD296" s="921">
        <f>IF(Meal_entry_week_1!$T$201&gt;0,100*$R$360/(SUM($D$360:$S$360)+0.00001),0.00001)</f>
        <v>1.0000000000000001E-5</v>
      </c>
      <c r="AE296" s="921">
        <f>IF(Meal_entry_week_1!$T$300&gt;0,100*$R$361/(SUM($D$361:$S$361)+0.00001),0.00001)</f>
        <v>1.0000000000000001E-5</v>
      </c>
      <c r="AF296" s="921">
        <f>IF(Meal_entry_week_1!$T$399&gt;0,100*$R$362/(SUM($D$362:$S$362)+0.00001),0.00001)</f>
        <v>1.0000000000000001E-5</v>
      </c>
      <c r="AG296" s="921">
        <f>IF(Meal_entry_week_1!$T$498&gt;0,100*$R$363/(SUM($D$363:$S$363)+0.00001),0.00001)</f>
        <v>1.0000000000000001E-5</v>
      </c>
    </row>
    <row r="297" spans="1:33" ht="15" thickBot="1">
      <c r="A297" s="1065"/>
      <c r="B297" s="952" t="s">
        <v>1429</v>
      </c>
      <c r="C297" s="963"/>
      <c r="D297" s="953">
        <f>100*(SUM(S$335:S$339)/SUM($D$335:$S$339))</f>
        <v>0</v>
      </c>
      <c r="E297" s="953">
        <f>IF(Meal_entry_week_1!$Q$512&gt;0,100*SUM(S$341:S$345)/SUM($D$341:$S$345),0.00001)</f>
        <v>0</v>
      </c>
      <c r="F297" s="953">
        <f>IF(Meal_entry_week_1!$Q$522&gt;0,100*SUM(S$347:S$351)/SUM($D$347:$S$351),0.00001)</f>
        <v>0</v>
      </c>
      <c r="G297" s="953">
        <f>IF(Meal_entry_week_1!$Q$532&gt;0,100*SUM(S$353:S$357)/SUM($D$353:$S$357),0.00001)</f>
        <v>0</v>
      </c>
      <c r="H297" s="954">
        <f>IF(Meal_entry_week_1!$Q$542&gt;0,100*SUM(S$359:S$363)/SUM($D$359:$S$363),0.00001)</f>
        <v>1.0000000000000001E-5</v>
      </c>
      <c r="I297" s="921">
        <f>IF(Meal_entry_week_1!$Q$547&gt;0,100*$S$335/(SUM($D$335:$S$335)+0.00001),0.00001)</f>
        <v>0</v>
      </c>
      <c r="J297" s="921">
        <f>IF(Meal_entry_week_1!$Q$548&gt;0,100*$S$336/(SUM($D$336:$S$336)+0.00001),0.00001)</f>
        <v>0</v>
      </c>
      <c r="K297" s="921">
        <f>IF(Meal_entry_week_1!$Q$549&gt;0,100*$S$337/(SUM($D$337:$S$337)+0.00001),0.00001)</f>
        <v>0</v>
      </c>
      <c r="L297" s="921">
        <f>IF(Meal_entry_week_1!$Q$550&gt;0,100*$S$338/(SUM($D$338:$S$338)+0.00001),0.00001)</f>
        <v>0</v>
      </c>
      <c r="M297" s="921">
        <f>IF(Meal_entry_week_1!$Q$551&gt;0,100*$S$339/(SUM($D$339:$S$339)+0.00001),0.00001)</f>
        <v>0</v>
      </c>
      <c r="N297" s="921">
        <f>IF(Meal_entry_week_1!$T$32&gt;0,100*$S$341/(SUM($D$341:$S$341)+0.00001),0.00001)</f>
        <v>1.0000000000000001E-5</v>
      </c>
      <c r="O297" s="921">
        <f>IF(Meal_entry_week_1!$T$131&gt;0,100*$S$342/(SUM($D$342:$S$342)+0.00001),0.00001)</f>
        <v>1.0000000000000001E-5</v>
      </c>
      <c r="P297" s="921">
        <f>IF(Meal_entry_week_1!$T$230&gt;0,100*$S$343/(SUM($D$343:$S$343)+0.00001),0.00001)</f>
        <v>0</v>
      </c>
      <c r="Q297" s="921">
        <f>IF(Meal_entry_week_1!$T$329&gt;0,100*$S$344/(SUM($D$344:$S$344)+0.00001),0.00001)</f>
        <v>1.0000000000000001E-5</v>
      </c>
      <c r="R297" s="921">
        <f>IF(Meal_entry_week_1!$T$428&gt;0,100*$S$345/(SUM($D$345:$S$345)+0.00001),0.00001)</f>
        <v>1.0000000000000001E-5</v>
      </c>
      <c r="S297" s="921">
        <f>IF(Meal_entry_week_1!$T$51&gt;0,100*$S$347/(SUM($D$347:$S$347)+0.00001),0.00001)</f>
        <v>0</v>
      </c>
      <c r="T297" s="921">
        <f>IF(Meal_entry_week_1!$T$150&gt;0,100*$S$348/(SUM($D$348:$S$348)+0.00001),0.00001)</f>
        <v>0</v>
      </c>
      <c r="U297" s="921">
        <f>IF(Meal_entry_week_1!$T$249&gt;0,100*$S$349/(SUM($D$349:$S$349)+0.00001),0.00001)</f>
        <v>0</v>
      </c>
      <c r="V297" s="921">
        <f>IF(Meal_entry_week_1!$T$348&gt;0,100*$S$350/(SUM($D$350:$S$350)+0.00001),0.00001)</f>
        <v>0</v>
      </c>
      <c r="W297" s="921">
        <f>IF(Meal_entry_week_1!$T$447&gt;0,100*$S$351/(SUM($D$351:$S$351)+0.00001),0.00001)</f>
        <v>0</v>
      </c>
      <c r="X297" s="921">
        <f>IF(Meal_entry_week_1!$T$83&gt;0,100*$S$353/(SUM($D$353:$S$353)+0.00001),0.00001)</f>
        <v>0</v>
      </c>
      <c r="Y297" s="921">
        <f>IF(Meal_entry_week_1!$T$182&gt;0,100*$S$354/(SUM($D$354:$S$354)+0.00001),0.00001)</f>
        <v>0</v>
      </c>
      <c r="Z297" s="921">
        <f>IF(Meal_entry_week_1!$T$281&gt;0,100*$S$355/(SUM($D$355:$S$355)+0.00001),0.00001)</f>
        <v>0</v>
      </c>
      <c r="AA297" s="921">
        <f>IF(Meal_entry_week_1!$T$380&gt;0,100*$S$356/(SUM($D$356:$S$356)+0.00001),0.00001)</f>
        <v>0</v>
      </c>
      <c r="AB297" s="921">
        <f>IF(Meal_entry_week_1!$T$479&gt;0,100*$S$357/(SUM($D$357:$S$357)+0.00001),0.00001)</f>
        <v>0</v>
      </c>
      <c r="AC297" s="921">
        <f>IF(Meal_entry_week_1!$T$102&gt;0,100*$S$359/(SUM($D$359:$S$359)+0.00001),0.00001)</f>
        <v>1.0000000000000001E-5</v>
      </c>
      <c r="AD297" s="921">
        <f>IF(Meal_entry_week_1!$T$201&gt;0,100*$S$360/(SUM($D$360:$S$360)+0.00001),0.00001)</f>
        <v>1.0000000000000001E-5</v>
      </c>
      <c r="AE297" s="921">
        <f>IF(Meal_entry_week_1!$T$300&gt;0,100*$S$361/(SUM($D$361:$S$361)+0.00001),0.00001)</f>
        <v>1.0000000000000001E-5</v>
      </c>
      <c r="AF297" s="921">
        <f>IF(Meal_entry_week_1!$T$399&gt;0,100*$S$362/(SUM($D$362:$S$362)+0.00001),0.00001)</f>
        <v>1.0000000000000001E-5</v>
      </c>
      <c r="AG297" s="921">
        <f>IF(Meal_entry_week_1!$T$498&gt;0,100*$S$363/(SUM($D$363:$S$363)+0.00001),0.00001)</f>
        <v>1.0000000000000001E-5</v>
      </c>
    </row>
    <row r="298" spans="1:33">
      <c r="A298" s="1065"/>
      <c r="B298" s="913"/>
      <c r="C298" s="963"/>
      <c r="D298" s="913"/>
      <c r="E298" s="913"/>
      <c r="F298" s="919"/>
      <c r="G298" s="913"/>
      <c r="H298" s="913"/>
      <c r="I298" s="913"/>
      <c r="J298" s="913"/>
      <c r="K298" s="913"/>
      <c r="L298" s="913"/>
      <c r="M298" s="913"/>
      <c r="N298" s="913"/>
      <c r="O298" s="913"/>
      <c r="P298" s="913"/>
      <c r="Q298" s="913"/>
      <c r="R298" s="913"/>
      <c r="S298" s="913"/>
      <c r="T298" s="913"/>
      <c r="U298" s="913"/>
      <c r="V298" s="913"/>
      <c r="W298" s="913"/>
      <c r="X298" s="913"/>
      <c r="Y298" s="913"/>
      <c r="Z298" s="913"/>
      <c r="AA298" s="913"/>
      <c r="AB298" s="913"/>
      <c r="AC298" s="913"/>
      <c r="AD298" s="913"/>
      <c r="AE298" s="913"/>
      <c r="AF298" s="913"/>
      <c r="AG298" s="913"/>
    </row>
    <row r="299" spans="1:33">
      <c r="A299" s="1065"/>
      <c r="B299" s="956" t="s">
        <v>3843</v>
      </c>
      <c r="C299" s="963"/>
      <c r="D299" s="913" t="s">
        <v>3716</v>
      </c>
      <c r="E299" s="913" t="s">
        <v>3717</v>
      </c>
      <c r="F299" s="913" t="s">
        <v>3718</v>
      </c>
      <c r="G299" s="945" t="s">
        <v>3719</v>
      </c>
      <c r="H299" s="945" t="s">
        <v>3720</v>
      </c>
      <c r="I299" s="945" t="s">
        <v>3691</v>
      </c>
      <c r="J299" s="945" t="s">
        <v>3692</v>
      </c>
      <c r="K299" s="945" t="s">
        <v>3693</v>
      </c>
      <c r="L299" s="945" t="s">
        <v>3694</v>
      </c>
      <c r="M299" s="945" t="s">
        <v>3695</v>
      </c>
      <c r="N299" s="945" t="s">
        <v>3696</v>
      </c>
      <c r="O299" s="945" t="s">
        <v>3697</v>
      </c>
      <c r="P299" s="945" t="s">
        <v>3698</v>
      </c>
      <c r="Q299" s="945" t="s">
        <v>3699</v>
      </c>
      <c r="R299" s="945" t="s">
        <v>3700</v>
      </c>
      <c r="S299" s="945" t="s">
        <v>3701</v>
      </c>
      <c r="T299" s="945" t="s">
        <v>3702</v>
      </c>
      <c r="U299" s="945" t="s">
        <v>3703</v>
      </c>
      <c r="V299" s="945" t="s">
        <v>3704</v>
      </c>
      <c r="W299" s="945" t="s">
        <v>3705</v>
      </c>
      <c r="X299" s="945" t="s">
        <v>3706</v>
      </c>
      <c r="Y299" s="945" t="s">
        <v>3707</v>
      </c>
      <c r="Z299" s="945" t="s">
        <v>3708</v>
      </c>
      <c r="AA299" s="945" t="s">
        <v>3709</v>
      </c>
      <c r="AB299" s="945" t="s">
        <v>3710</v>
      </c>
      <c r="AC299" s="945" t="s">
        <v>3711</v>
      </c>
      <c r="AD299" s="945" t="s">
        <v>3712</v>
      </c>
      <c r="AE299" s="945" t="s">
        <v>3713</v>
      </c>
      <c r="AF299" s="945" t="s">
        <v>3714</v>
      </c>
      <c r="AG299" s="945" t="s">
        <v>3715</v>
      </c>
    </row>
    <row r="300" spans="1:33" ht="15" thickBot="1">
      <c r="A300" s="1065"/>
      <c r="B300" s="964"/>
      <c r="C300" s="963"/>
      <c r="D300" s="913"/>
      <c r="E300" s="913"/>
      <c r="F300" s="919"/>
      <c r="G300" s="913"/>
      <c r="H300" s="913"/>
      <c r="I300" s="922"/>
      <c r="J300" s="913"/>
      <c r="K300" s="913"/>
      <c r="L300" s="913"/>
      <c r="M300" s="913"/>
      <c r="N300" s="913"/>
      <c r="O300" s="913"/>
      <c r="P300" s="913"/>
      <c r="Q300" s="913"/>
      <c r="R300" s="913"/>
      <c r="S300" s="913"/>
      <c r="T300" s="913"/>
      <c r="U300" s="913"/>
      <c r="V300" s="913"/>
      <c r="W300" s="913"/>
      <c r="X300" s="913"/>
      <c r="Y300" s="913"/>
      <c r="Z300" s="913"/>
      <c r="AA300" s="913"/>
      <c r="AB300" s="913"/>
      <c r="AC300" s="913"/>
      <c r="AD300" s="913"/>
      <c r="AE300" s="913"/>
      <c r="AF300" s="913"/>
      <c r="AG300" s="913"/>
    </row>
    <row r="301" spans="1:33" ht="15" thickBot="1">
      <c r="A301" s="1065"/>
      <c r="B301" s="939"/>
      <c r="C301" s="963"/>
      <c r="D301" s="914" t="s">
        <v>3773</v>
      </c>
      <c r="E301" s="915" t="s">
        <v>3774</v>
      </c>
      <c r="F301" s="915" t="s">
        <v>3775</v>
      </c>
      <c r="G301" s="915" t="s">
        <v>3776</v>
      </c>
      <c r="H301" s="916" t="s">
        <v>3777</v>
      </c>
      <c r="I301" s="914" t="s">
        <v>3773</v>
      </c>
      <c r="J301" s="914" t="s">
        <v>3773</v>
      </c>
      <c r="K301" s="914" t="s">
        <v>3773</v>
      </c>
      <c r="L301" s="914" t="s">
        <v>3773</v>
      </c>
      <c r="M301" s="914" t="s">
        <v>3773</v>
      </c>
      <c r="N301" s="914" t="s">
        <v>67</v>
      </c>
      <c r="O301" s="914" t="s">
        <v>67</v>
      </c>
      <c r="P301" s="914" t="s">
        <v>67</v>
      </c>
      <c r="Q301" s="914" t="s">
        <v>67</v>
      </c>
      <c r="R301" s="917" t="s">
        <v>67</v>
      </c>
      <c r="S301" s="914" t="s">
        <v>1362</v>
      </c>
      <c r="T301" s="914" t="s">
        <v>1362</v>
      </c>
      <c r="U301" s="914" t="s">
        <v>1362</v>
      </c>
      <c r="V301" s="914" t="s">
        <v>1362</v>
      </c>
      <c r="W301" s="914" t="s">
        <v>1362</v>
      </c>
      <c r="X301" s="914" t="s">
        <v>69</v>
      </c>
      <c r="Y301" s="914" t="s">
        <v>69</v>
      </c>
      <c r="Z301" s="914" t="s">
        <v>69</v>
      </c>
      <c r="AA301" s="914" t="s">
        <v>69</v>
      </c>
      <c r="AB301" s="914" t="s">
        <v>69</v>
      </c>
      <c r="AC301" s="1281" t="s">
        <v>1364</v>
      </c>
      <c r="AD301" s="1281" t="s">
        <v>1364</v>
      </c>
      <c r="AE301" s="1281" t="s">
        <v>1364</v>
      </c>
      <c r="AF301" s="1281" t="s">
        <v>1364</v>
      </c>
      <c r="AG301" s="1281" t="s">
        <v>1364</v>
      </c>
    </row>
    <row r="302" spans="1:33" ht="45">
      <c r="A302" s="1064"/>
      <c r="B302" s="946" t="s">
        <v>3842</v>
      </c>
      <c r="C302" s="913"/>
      <c r="D302" s="874" t="s">
        <v>3743</v>
      </c>
      <c r="E302" s="875" t="s">
        <v>3744</v>
      </c>
      <c r="F302" s="876" t="s">
        <v>3745</v>
      </c>
      <c r="G302" s="877" t="s">
        <v>3746</v>
      </c>
      <c r="H302" s="878" t="s">
        <v>3747</v>
      </c>
      <c r="I302" s="874" t="s">
        <v>3748</v>
      </c>
      <c r="J302" s="874" t="s">
        <v>3749</v>
      </c>
      <c r="K302" s="874" t="s">
        <v>3750</v>
      </c>
      <c r="L302" s="874" t="s">
        <v>3751</v>
      </c>
      <c r="M302" s="874" t="s">
        <v>3752</v>
      </c>
      <c r="N302" s="880" t="s">
        <v>3753</v>
      </c>
      <c r="O302" s="880" t="s">
        <v>3754</v>
      </c>
      <c r="P302" s="880" t="s">
        <v>3755</v>
      </c>
      <c r="Q302" s="880" t="s">
        <v>3756</v>
      </c>
      <c r="R302" s="880" t="s">
        <v>3757</v>
      </c>
      <c r="S302" s="882" t="s">
        <v>3758</v>
      </c>
      <c r="T302" s="882" t="s">
        <v>3759</v>
      </c>
      <c r="U302" s="882" t="s">
        <v>3760</v>
      </c>
      <c r="V302" s="882" t="s">
        <v>3761</v>
      </c>
      <c r="W302" s="882" t="s">
        <v>3762</v>
      </c>
      <c r="X302" s="884" t="s">
        <v>3768</v>
      </c>
      <c r="Y302" s="884" t="s">
        <v>3769</v>
      </c>
      <c r="Z302" s="884" t="s">
        <v>3770</v>
      </c>
      <c r="AA302" s="884" t="s">
        <v>3771</v>
      </c>
      <c r="AB302" s="884" t="s">
        <v>3772</v>
      </c>
      <c r="AC302" s="886" t="s">
        <v>3763</v>
      </c>
      <c r="AD302" s="886" t="s">
        <v>3764</v>
      </c>
      <c r="AE302" s="886" t="s">
        <v>3765</v>
      </c>
      <c r="AF302" s="886" t="s">
        <v>3766</v>
      </c>
      <c r="AG302" s="886" t="s">
        <v>3767</v>
      </c>
    </row>
    <row r="303" spans="1:33" ht="15" thickBot="1">
      <c r="A303" s="1066"/>
      <c r="B303" s="913"/>
      <c r="C303" s="945"/>
      <c r="D303" s="965" t="s">
        <v>1431</v>
      </c>
      <c r="E303" s="965" t="s">
        <v>67</v>
      </c>
      <c r="F303" s="965" t="s">
        <v>1362</v>
      </c>
      <c r="G303" s="965" t="s">
        <v>69</v>
      </c>
      <c r="H303" s="965" t="s">
        <v>1364</v>
      </c>
      <c r="I303" s="965" t="s">
        <v>3064</v>
      </c>
      <c r="J303" s="965" t="s">
        <v>3065</v>
      </c>
      <c r="K303" s="965" t="s">
        <v>3066</v>
      </c>
      <c r="L303" s="965" t="s">
        <v>3067</v>
      </c>
      <c r="M303" s="965" t="s">
        <v>3068</v>
      </c>
      <c r="N303" s="965" t="s">
        <v>3064</v>
      </c>
      <c r="O303" s="965" t="s">
        <v>3065</v>
      </c>
      <c r="P303" s="965" t="s">
        <v>3066</v>
      </c>
      <c r="Q303" s="965" t="s">
        <v>3067</v>
      </c>
      <c r="R303" s="965" t="s">
        <v>3068</v>
      </c>
      <c r="S303" s="965" t="s">
        <v>3064</v>
      </c>
      <c r="T303" s="965" t="s">
        <v>3065</v>
      </c>
      <c r="U303" s="965" t="s">
        <v>3066</v>
      </c>
      <c r="V303" s="965" t="s">
        <v>3067</v>
      </c>
      <c r="W303" s="965" t="s">
        <v>3068</v>
      </c>
      <c r="X303" s="965" t="s">
        <v>3064</v>
      </c>
      <c r="Y303" s="965" t="s">
        <v>3065</v>
      </c>
      <c r="Z303" s="965" t="s">
        <v>3066</v>
      </c>
      <c r="AA303" s="965" t="s">
        <v>3067</v>
      </c>
      <c r="AB303" s="965" t="s">
        <v>3068</v>
      </c>
      <c r="AC303" s="965" t="s">
        <v>3064</v>
      </c>
      <c r="AD303" s="965" t="s">
        <v>3065</v>
      </c>
      <c r="AE303" s="965" t="s">
        <v>3066</v>
      </c>
      <c r="AF303" s="965" t="s">
        <v>3067</v>
      </c>
      <c r="AG303" s="965" t="s">
        <v>3068</v>
      </c>
    </row>
    <row r="304" spans="1:33">
      <c r="A304" s="1064"/>
      <c r="B304" s="947" t="s">
        <v>1427</v>
      </c>
      <c r="C304" s="913"/>
      <c r="D304" s="966">
        <f>SUM(E304:H304)</f>
        <v>0</v>
      </c>
      <c r="E304" s="967">
        <f>SUM(N304:R304)/5</f>
        <v>0</v>
      </c>
      <c r="F304" s="967">
        <f>SUM(S304:W304)/5</f>
        <v>0</v>
      </c>
      <c r="G304" s="967">
        <f>SUM(X304:AB304)/5</f>
        <v>0</v>
      </c>
      <c r="H304" s="968">
        <f>SUM(AC304:AG304)/5</f>
        <v>0</v>
      </c>
      <c r="I304" s="969">
        <f>N304+S304+X304+AC304</f>
        <v>0</v>
      </c>
      <c r="J304" s="970">
        <f>O304+T304+Y304+AD304</f>
        <v>0</v>
      </c>
      <c r="K304" s="970">
        <f t="shared" ref="K304:M319" si="29">P304+U304+Z304+AE304</f>
        <v>0</v>
      </c>
      <c r="L304" s="970">
        <f>Q304+V304+AA304+AF304</f>
        <v>0</v>
      </c>
      <c r="M304" s="971">
        <f t="shared" si="29"/>
        <v>0</v>
      </c>
      <c r="N304" s="969">
        <f>SUMIF(Meal_entry_week_1!G$11:G$30,"Povrće_i_pečurke_sveže_smrznuto",Meal_entry_week_1!T$11:T$30)</f>
        <v>0</v>
      </c>
      <c r="O304" s="970">
        <f>SUMIF(Meal_entry_week_1!G$110:G$129,"Povrće_i_pečurke_sveže_smrznuto",Meal_entry_week_1!T$110:T$129)</f>
        <v>0</v>
      </c>
      <c r="P304" s="970">
        <f>SUMIF(Meal_entry_week_1!G$209:G$228,"Povrće_i_pečurke_sveže_smrznuto",Meal_entry_week_1!T$209:T$228)</f>
        <v>0</v>
      </c>
      <c r="Q304" s="970">
        <f>SUMIF(Meal_entry_week_1!G$308:G$327,"Povrće_i_pečurke_sveže_smrznuto",Meal_entry_week_1!T$308:T$327)</f>
        <v>0</v>
      </c>
      <c r="R304" s="971">
        <f>SUMIF(Meal_entry_week_1!G$407:G$426,"Povrće_i_pečurke_sveže_smrznuto",Meal_entry_week_1!T$407:T$426)</f>
        <v>0</v>
      </c>
      <c r="S304" s="969">
        <f>SUMIF(Meal_entry_week_1!G$38:G$49,"Povrće_i_pečurke_sveže_smrznuto",Meal_entry_week_1!T$38:T$49)</f>
        <v>0</v>
      </c>
      <c r="T304" s="970">
        <f>SUMIF(Meal_entry_week_1!G$137:G$148,"Povrće_i_pečurke_sveže_smrznuto",Meal_entry_week_1!T$137:T$148)</f>
        <v>0</v>
      </c>
      <c r="U304" s="970">
        <f>SUMIF(Meal_entry_week_1!G$236:G$247,"Povrće_i_pečurke_sveže_smrznuto",Meal_entry_week_1!T$236:T$247)</f>
        <v>0</v>
      </c>
      <c r="V304" s="970">
        <f>SUMIF(Meal_entry_week_1!G$335:G$346,"Povrće_i_pečurke_sveže_smrznuto",Meal_entry_week_1!T$335:T$346)</f>
        <v>0</v>
      </c>
      <c r="W304" s="971">
        <f>SUMIF(Meal_entry_week_1!G$434:G$445,"Povrće_i_pečurke_sveže_smrznuto",Meal_entry_week_1!T$434:T$445)</f>
        <v>0</v>
      </c>
      <c r="X304" s="969">
        <f>SUMIF(Meal_entry_week_1!G$57:G$81,"Povrće_i_pečurke_sveže_smrznuto",Meal_entry_week_1!T$57:T$81)</f>
        <v>0</v>
      </c>
      <c r="Y304" s="970">
        <f>SUMIF(Meal_entry_week_1!G$156:G$180,"Povrće_i_pečurke_sveže_smrznuto",Meal_entry_week_1!T$156:T$180)</f>
        <v>0</v>
      </c>
      <c r="Z304" s="970">
        <f>SUMIF(Meal_entry_week_1!G$255:G$279,"Povrće_i_pečurke_sveže_smrznuto",Meal_entry_week_1!T$255:T$279)</f>
        <v>0</v>
      </c>
      <c r="AA304" s="970">
        <f>SUMIF(Meal_entry_week_1!G$354:G$378,"Povrće_i_pečurke_sveže_smrznuto",Meal_entry_week_1!T$354:T$378)</f>
        <v>0</v>
      </c>
      <c r="AB304" s="971">
        <f>SUMIF(Meal_entry_week_1!G$453:G$477,"Povrće_i_pečurke_sveže_smrznuto",Meal_entry_week_1!T$453:T$477)</f>
        <v>0</v>
      </c>
      <c r="AC304" s="969">
        <f>SUMIF(Meal_entry_week_1!G$89:G$100,"Povrće_i_pečurke_sveže_smrznuto",Meal_entry_week_1!T$89:T$100)</f>
        <v>0</v>
      </c>
      <c r="AD304" s="970">
        <f>SUMIF(Meal_entry_week_1!G$188:G$199,"Povrće_i_pečurke_sveže_smrznuto",Meal_entry_week_1!T$188:T$199)</f>
        <v>0</v>
      </c>
      <c r="AE304" s="970">
        <f>SUMIF(Meal_entry_week_1!G$287:G$298,"Povrće_i_pečurke_sveže_smrznuto",Meal_entry_week_1!T$287:T$298)</f>
        <v>0</v>
      </c>
      <c r="AF304" s="970">
        <f>SUMIF(Meal_entry_week_1!G$386:G$397,"Povrće_i_pečurke_sveže_smrznuto",Meal_entry_week_1!T$386:T$397)</f>
        <v>0</v>
      </c>
      <c r="AG304" s="971">
        <f>SUMIF(Meal_entry_week_1!G$485:G$496,"Povrće_i_pečurke_sveže_smrznuto",Meal_entry_week_1!T$485:T$496)</f>
        <v>0</v>
      </c>
    </row>
    <row r="305" spans="1:33">
      <c r="A305" s="1064"/>
      <c r="B305" s="947" t="s">
        <v>796</v>
      </c>
      <c r="C305" s="913"/>
      <c r="D305" s="948">
        <f>SUM(E305:H305)</f>
        <v>0</v>
      </c>
      <c r="E305" s="955">
        <f t="shared" ref="E305:E319" si="30">SUM(N305:R305)/5</f>
        <v>0</v>
      </c>
      <c r="F305" s="955">
        <f t="shared" ref="F305:F319" si="31">SUM(S305:W305)/5</f>
        <v>0</v>
      </c>
      <c r="G305" s="955">
        <f t="shared" ref="G305:G319" si="32">SUM(X305:AB305)/5</f>
        <v>0</v>
      </c>
      <c r="H305" s="972">
        <f t="shared" ref="H305:H319" si="33">SUM(AC305:AG305)/5</f>
        <v>0</v>
      </c>
      <c r="I305" s="921">
        <f t="shared" ref="I305:J319" si="34">N305+S305+X305+AC305</f>
        <v>0</v>
      </c>
      <c r="J305" s="922">
        <f t="shared" si="34"/>
        <v>0</v>
      </c>
      <c r="K305" s="922">
        <f t="shared" si="29"/>
        <v>0</v>
      </c>
      <c r="L305" s="922">
        <f t="shared" si="29"/>
        <v>0</v>
      </c>
      <c r="M305" s="923">
        <f t="shared" si="29"/>
        <v>0</v>
      </c>
      <c r="N305" s="921">
        <f>SUMIF(Meal_entry_week_1!G$11:G$30,"Povrće_prerađeno",Meal_entry_week_1!T$11:T$30)</f>
        <v>0</v>
      </c>
      <c r="O305" s="922">
        <f>SUMIF(Meal_entry_week_1!G$110:G$129,"Povrće_prerađeno",Meal_entry_week_1!T$110:T$129)</f>
        <v>0</v>
      </c>
      <c r="P305" s="922">
        <f>SUMIF(Meal_entry_week_1!G$209:G$228,"Povrće_prerađeno",Meal_entry_week_1!T$209:T$228)</f>
        <v>0</v>
      </c>
      <c r="Q305" s="922">
        <f>SUMIF(Meal_entry_week_1!G$308:G$327,"Povrće_prerađeno",Meal_entry_week_1!T$308:T$327)</f>
        <v>0</v>
      </c>
      <c r="R305" s="923">
        <f>SUMIF(Meal_entry_week_1!G$407:G$426,"Povrće_prerađeno",Meal_entry_week_1!T$407:T$426)</f>
        <v>0</v>
      </c>
      <c r="S305" s="921">
        <f>SUMIF(Meal_entry_week_1!G$38:G$49,"Povrće_prerađeno",Meal_entry_week_1!T$38:T$49)</f>
        <v>0</v>
      </c>
      <c r="T305" s="922">
        <f>SUMIF(Meal_entry_week_1!G$137:G$148,"Povrće_prerađeno",Meal_entry_week_1!T$137:T$148)</f>
        <v>0</v>
      </c>
      <c r="U305" s="922">
        <f>SUMIF(Meal_entry_week_1!G$236:G$247,"Povrće_prerađeno",Meal_entry_week_1!T$236:T$247)</f>
        <v>0</v>
      </c>
      <c r="V305" s="922">
        <f>SUMIF(Meal_entry_week_1!G$335:G$346,"Povrće_prerađeno",Meal_entry_week_1!T$335:T$346)</f>
        <v>0</v>
      </c>
      <c r="W305" s="923">
        <f>SUMIF(Meal_entry_week_1!G$434:G$445,"Povrće_prerađeno",Meal_entry_week_1!T$434:T$445)</f>
        <v>0</v>
      </c>
      <c r="X305" s="921">
        <f>SUMIF(Meal_entry_week_1!G$57:G$81,"Povrće_prerađeno",Meal_entry_week_1!T$57:T$81)</f>
        <v>0</v>
      </c>
      <c r="Y305" s="922">
        <f>SUMIF(Meal_entry_week_1!G$156:G$180,"Povrće_prerađeno",Meal_entry_week_1!T$156:T$180)</f>
        <v>0</v>
      </c>
      <c r="Z305" s="922">
        <f>SUMIF(Meal_entry_week_1!G$255:G$279,"Povrće_prerađeno",Meal_entry_week_1!T$255:T$279)</f>
        <v>0</v>
      </c>
      <c r="AA305" s="922">
        <f>SUMIF(Meal_entry_week_1!G$354:G$378,"Povrće_prerađeno",Meal_entry_week_1!T$354:T$378)</f>
        <v>0</v>
      </c>
      <c r="AB305" s="923">
        <f>SUMIF(Meal_entry_week_1!G$453:G$477,"Povrće_prerađeno",Meal_entry_week_1!T$453:T$477)</f>
        <v>0</v>
      </c>
      <c r="AC305" s="921">
        <f>SUMIF(Meal_entry_week_1!BM$11:BM$30,"Povrće_prerađeno",Meal_entry_week_1!BS$11:BS$30)</f>
        <v>0</v>
      </c>
      <c r="AD305" s="922">
        <f>SUMIF(Meal_entry_week_1!G$188:G$199,"Povrće_prerađeno",Meal_entry_week_1!T$188:T$199)</f>
        <v>0</v>
      </c>
      <c r="AE305" s="922">
        <f>SUMIF(Meal_entry_week_1!G$287:G$298,"Povrće_prerađeno",Meal_entry_week_1!T$287:T$298)</f>
        <v>0</v>
      </c>
      <c r="AF305" s="922">
        <f>SUMIF(Meal_entry_week_1!G$386:G$397,"Povrće_prerađeno",Meal_entry_week_1!T$386:T$397)</f>
        <v>0</v>
      </c>
      <c r="AG305" s="923">
        <f>SUMIF(Meal_entry_week_1!G$485:G$496,"Povrće_prerađeno",Meal_entry_week_1!T$485:T$496)</f>
        <v>0</v>
      </c>
    </row>
    <row r="306" spans="1:33">
      <c r="A306" s="1064"/>
      <c r="B306" s="947" t="s">
        <v>1733</v>
      </c>
      <c r="C306" s="913"/>
      <c r="D306" s="948">
        <f t="shared" ref="D306:D319" si="35">SUM(E306:H306)</f>
        <v>0</v>
      </c>
      <c r="E306" s="955">
        <f t="shared" si="30"/>
        <v>0</v>
      </c>
      <c r="F306" s="955">
        <f t="shared" si="31"/>
        <v>0</v>
      </c>
      <c r="G306" s="955">
        <f t="shared" si="32"/>
        <v>0</v>
      </c>
      <c r="H306" s="972">
        <f t="shared" si="33"/>
        <v>0</v>
      </c>
      <c r="I306" s="921">
        <f t="shared" si="34"/>
        <v>0</v>
      </c>
      <c r="J306" s="922">
        <f t="shared" si="34"/>
        <v>0</v>
      </c>
      <c r="K306" s="922">
        <f t="shared" si="29"/>
        <v>0</v>
      </c>
      <c r="L306" s="922">
        <f t="shared" si="29"/>
        <v>0</v>
      </c>
      <c r="M306" s="923">
        <f t="shared" si="29"/>
        <v>0</v>
      </c>
      <c r="N306" s="921">
        <f>SUMIF(Meal_entry_week_1!G$11:G$30,"Voća_orasi_sušeno_voće",Meal_entry_week_1!T$11:T$30)</f>
        <v>0</v>
      </c>
      <c r="O306" s="922">
        <f>SUMIF(Meal_entry_week_1!G$110:G$129,"Voća_orasi_sušeno_voće",Meal_entry_week_1!T$110:T$129)</f>
        <v>0</v>
      </c>
      <c r="P306" s="922">
        <f>SUMIF(Meal_entry_week_1!G$209:G$228,"Voća_orasi_sušeno_voće",Meal_entry_week_1!T$209:T$228)</f>
        <v>0</v>
      </c>
      <c r="Q306" s="922">
        <f>SUMIF(Meal_entry_week_1!G$308:G$327,"Voća_orasi_sušeno_voće",Meal_entry_week_1!T$308:T$327)</f>
        <v>0</v>
      </c>
      <c r="R306" s="923">
        <f>SUMIF(Meal_entry_week_1!G$407:G$426,"Voća_orasi_sušeno_voće",Meal_entry_week_1!T$407:T$426)</f>
        <v>0</v>
      </c>
      <c r="S306" s="921">
        <f>SUMIF(Meal_entry_week_1!G$38:G$49,"Voća_orasi_sušeno_voće",Meal_entry_week_1!T$38:T$49)</f>
        <v>0</v>
      </c>
      <c r="T306" s="922">
        <f>SUMIF(Meal_entry_week_1!G$137:G$148,"Voća_orasi_sušeno_voće",Meal_entry_week_1!T$137:T$148)</f>
        <v>0</v>
      </c>
      <c r="U306" s="922">
        <f>SUMIF(Meal_entry_week_1!G$236:G$247,"Voća_orasi_sušeno_voće",Meal_entry_week_1!T$236:T$247)</f>
        <v>0</v>
      </c>
      <c r="V306" s="922">
        <f>SUMIF(Meal_entry_week_1!G$335:G$346,"Voća_orasi_sušeno_voće",Meal_entry_week_1!T$335:T$346)</f>
        <v>0</v>
      </c>
      <c r="W306" s="923">
        <f>SUMIF(Meal_entry_week_1!G$434:G$445,"Voća_orasi_sušeno_voće",Meal_entry_week_1!T$434:T$445)</f>
        <v>0</v>
      </c>
      <c r="X306" s="921">
        <f>SUMIF(Meal_entry_week_1!G$57:G$81,"Voća_orasi_sušeno_voće",Meal_entry_week_1!T$57:T$81)</f>
        <v>0</v>
      </c>
      <c r="Y306" s="922">
        <f>SUMIF(Meal_entry_week_1!G$156:G$180,"Voća_orasi_sušeno_voće",Meal_entry_week_1!T$156:T$180)</f>
        <v>0</v>
      </c>
      <c r="Z306" s="922">
        <f>SUMIF(Meal_entry_week_1!G$255:G$279,"Voća_orasi_sušeno_voće",Meal_entry_week_1!T$255:T$279)</f>
        <v>0</v>
      </c>
      <c r="AA306" s="922">
        <f>SUMIF(Meal_entry_week_1!G$354:G$378,"Voća_orasi_sušeno_voće",Meal_entry_week_1!T$354:T$378)</f>
        <v>0</v>
      </c>
      <c r="AB306" s="923">
        <f>SUMIF(Meal_entry_week_1!G$453:G$477,"Voća_orasi_sušeno_voće",Meal_entry_week_1!T$453:T$477)</f>
        <v>0</v>
      </c>
      <c r="AC306" s="921">
        <f>SUMIF(Meal_entry_week_1!BM$11:BM$30,"Voća_orasi_sušeno_voće",Meal_entry_week_1!BS$11:BS$30)</f>
        <v>0</v>
      </c>
      <c r="AD306" s="922">
        <f>SUMIF(Meal_entry_week_1!G$188:G$199,"Voća_orasi_sušeno_voće",Meal_entry_week_1!T$188:T$199)</f>
        <v>0</v>
      </c>
      <c r="AE306" s="922">
        <f>SUMIF(Meal_entry_week_1!G$287:G$298,"Voća_orasi_sušeno_voće",Meal_entry_week_1!T$287:T$298)</f>
        <v>0</v>
      </c>
      <c r="AF306" s="922">
        <f>SUMIF(Meal_entry_week_1!G$386:G$397,"Voća_orasi_sušeno_voće",Meal_entry_week_1!T$386:T$397)</f>
        <v>0</v>
      </c>
      <c r="AG306" s="923">
        <f>SUMIF(Meal_entry_week_1!G$485:G$496,"Voća_orasi_sušeno_voće",Meal_entry_week_1!T$485:T$496)</f>
        <v>0</v>
      </c>
    </row>
    <row r="307" spans="1:33">
      <c r="A307" s="1064"/>
      <c r="B307" s="947" t="s">
        <v>806</v>
      </c>
      <c r="C307" s="913"/>
      <c r="D307" s="948">
        <f t="shared" si="35"/>
        <v>0</v>
      </c>
      <c r="E307" s="955">
        <f t="shared" si="30"/>
        <v>0</v>
      </c>
      <c r="F307" s="955">
        <f t="shared" si="31"/>
        <v>0</v>
      </c>
      <c r="G307" s="955">
        <f t="shared" si="32"/>
        <v>0</v>
      </c>
      <c r="H307" s="972">
        <f t="shared" si="33"/>
        <v>0</v>
      </c>
      <c r="I307" s="921">
        <f t="shared" si="34"/>
        <v>0</v>
      </c>
      <c r="J307" s="922">
        <f t="shared" si="34"/>
        <v>0</v>
      </c>
      <c r="K307" s="922">
        <f t="shared" si="29"/>
        <v>0</v>
      </c>
      <c r="L307" s="922">
        <f>Q307+V307+AA307+AF307</f>
        <v>0</v>
      </c>
      <c r="M307" s="923">
        <f t="shared" si="29"/>
        <v>0</v>
      </c>
      <c r="N307" s="921">
        <f>SUMIF(Meal_entry_week_1!G$11:G$30,"Meso_sveže_smrznuto",Meal_entry_week_1!T$11:T$30)</f>
        <v>0</v>
      </c>
      <c r="O307" s="922">
        <f>SUMIF(Meal_entry_week_1!G$110:G$129,"Meso_sveže_smrznuto",Meal_entry_week_1!T$110:T$129)</f>
        <v>0</v>
      </c>
      <c r="P307" s="922">
        <f>SUMIF(Meal_entry_week_1!G$209:G$228,"Meso_sveže_smrznuto",Meal_entry_week_1!T$209:T$228)</f>
        <v>0</v>
      </c>
      <c r="Q307" s="922">
        <f>SUMIF(Meal_entry_week_1!G$308:G$327,"Meso_sveže_smrznuto",Meal_entry_week_1!T$308:T$327)</f>
        <v>0</v>
      </c>
      <c r="R307" s="923">
        <f>SUMIF(Meal_entry_week_1!G$407:G$426,"Meso_sveže_smrznuto",Meal_entry_week_1!T$407:T$426)</f>
        <v>0</v>
      </c>
      <c r="S307" s="921">
        <f>SUMIF(Meal_entry_week_1!G$38:G$49,"Meso_sveže_smrznuto",Meal_entry_week_1!T$38:T$49)</f>
        <v>0</v>
      </c>
      <c r="T307" s="922">
        <f>SUMIF(Meal_entry_week_1!G$137:G$148,"Meso_sveže_smrznuto",Meal_entry_week_1!T$137:T$148)</f>
        <v>0</v>
      </c>
      <c r="U307" s="922">
        <f>SUMIF(Meal_entry_week_1!G$236:G$247,"Meso_sveže_smrznuto",Meal_entry_week_1!T$236:T$247)</f>
        <v>0</v>
      </c>
      <c r="V307" s="922">
        <f>SUMIF(Meal_entry_week_1!G$335:G$346,"Meso_sveže_smrznuto",Meal_entry_week_1!T$335:T$346)</f>
        <v>0</v>
      </c>
      <c r="W307" s="923">
        <f>SUMIF(Meal_entry_week_1!G$434:G$445,"Meso_sveže_smrznuto",Meal_entry_week_1!T$434:T$445)</f>
        <v>0</v>
      </c>
      <c r="X307" s="921">
        <f>SUMIF(Meal_entry_week_1!G$57:G$81,"Meso_sveže_smrznuto",Meal_entry_week_1!T$57:T$81)</f>
        <v>0</v>
      </c>
      <c r="Y307" s="922">
        <f>SUMIF(Meal_entry_week_1!G$156:G$180,"Meso_sveže_smrznuto",Meal_entry_week_1!T$156:T$180)</f>
        <v>0</v>
      </c>
      <c r="Z307" s="922">
        <f>SUMIF(Meal_entry_week_1!G$255:G$279,"Meso_sveže_smrznuto",Meal_entry_week_1!T$255:T$279)</f>
        <v>0</v>
      </c>
      <c r="AA307" s="922">
        <f>SUMIF(Meal_entry_week_1!G$354:G$378,"Meso_sveže_smrznuto",Meal_entry_week_1!T$354:T$378)</f>
        <v>0</v>
      </c>
      <c r="AB307" s="923">
        <f>SUMIF(Meal_entry_week_1!G$453:G$477,"Meso_sveže_smrznuto",Meal_entry_week_1!T$453:T$477)</f>
        <v>0</v>
      </c>
      <c r="AC307" s="921">
        <f>SUMIF(Meal_entry_week_1!BM$11:BM$30,"Meso_sveže_smrznuto",Meal_entry_week_1!BS$11:BS$30)</f>
        <v>0</v>
      </c>
      <c r="AD307" s="922">
        <f>SUMIF(Meal_entry_week_1!G$188:G$199,"Meso_sveže_smrznuto",Meal_entry_week_1!T$188:T$199)</f>
        <v>0</v>
      </c>
      <c r="AE307" s="922">
        <f>SUMIF(Meal_entry_week_1!G$287:G$298,"Meso_sveže_smrznuto",Meal_entry_week_1!T$287:T$298)</f>
        <v>0</v>
      </c>
      <c r="AF307" s="922">
        <f>SUMIF(Meal_entry_week_1!G$386:G$397,"Meso_sveže_smrznuto",Meal_entry_week_1!T$386:T$397)</f>
        <v>0</v>
      </c>
      <c r="AG307" s="923">
        <f>SUMIF(Meal_entry_week_1!G$485:G$496,"Meso_sveže_smrznuto",Meal_entry_week_1!T$485:T$496)</f>
        <v>0</v>
      </c>
    </row>
    <row r="308" spans="1:33">
      <c r="A308" s="1066"/>
      <c r="B308" s="947" t="s">
        <v>797</v>
      </c>
      <c r="C308" s="945"/>
      <c r="D308" s="948">
        <f t="shared" si="35"/>
        <v>0</v>
      </c>
      <c r="E308" s="955">
        <f t="shared" si="30"/>
        <v>0</v>
      </c>
      <c r="F308" s="955">
        <f t="shared" si="31"/>
        <v>0</v>
      </c>
      <c r="G308" s="955">
        <f t="shared" si="32"/>
        <v>0</v>
      </c>
      <c r="H308" s="972">
        <f t="shared" si="33"/>
        <v>0</v>
      </c>
      <c r="I308" s="921">
        <f t="shared" si="34"/>
        <v>0</v>
      </c>
      <c r="J308" s="922">
        <f t="shared" si="34"/>
        <v>0</v>
      </c>
      <c r="K308" s="922">
        <f t="shared" si="29"/>
        <v>0</v>
      </c>
      <c r="L308" s="922">
        <f t="shared" si="29"/>
        <v>0</v>
      </c>
      <c r="M308" s="923">
        <f t="shared" si="29"/>
        <v>0</v>
      </c>
      <c r="N308" s="921">
        <f>SUMIF(Meal_entry_week_1!G$11:G$30,"Meso_prerađeno",Meal_entry_week_1!T$11:T$30)</f>
        <v>0</v>
      </c>
      <c r="O308" s="922">
        <f>SUMIF(Meal_entry_week_1!G$110:G$129,"Meso_prerađeno",Meal_entry_week_1!T$110:T$129)</f>
        <v>0</v>
      </c>
      <c r="P308" s="922">
        <f>SUMIF(Meal_entry_week_1!G$209:G$228,"Meso_prerađeno",Meal_entry_week_1!T$209:T$228)</f>
        <v>0</v>
      </c>
      <c r="Q308" s="922">
        <f>SUMIF(Meal_entry_week_1!G$308:G$327,"Meso_prerađeno",Meal_entry_week_1!T$308:T$327)</f>
        <v>0</v>
      </c>
      <c r="R308" s="923">
        <f>SUMIF(Meal_entry_week_1!G$407:G$426,"Meso_prerađeno",Meal_entry_week_1!T$407:T$426)</f>
        <v>0</v>
      </c>
      <c r="S308" s="921">
        <f>SUMIF(Meal_entry_week_1!G$38:G$49,"Meso_prerađeno",Meal_entry_week_1!T$38:T$49)</f>
        <v>0</v>
      </c>
      <c r="T308" s="922">
        <f>SUMIF(Meal_entry_week_1!G$137:G$148,"Meso_prerađeno",Meal_entry_week_1!T$137:T$148)</f>
        <v>0</v>
      </c>
      <c r="U308" s="922">
        <f>SUMIF(Meal_entry_week_1!G$236:G$247,"Meso_prerađeno",Meal_entry_week_1!T$236:T$247)</f>
        <v>0</v>
      </c>
      <c r="V308" s="922">
        <f>SUMIF(Meal_entry_week_1!G$335:G$346,"Meso_prerađeno",Meal_entry_week_1!T$335:T$346)</f>
        <v>0</v>
      </c>
      <c r="W308" s="923">
        <f>SUMIF(Meal_entry_week_1!G$434:G$445,"Meso_prerađeno",Meal_entry_week_1!T$434:T$445)</f>
        <v>0</v>
      </c>
      <c r="X308" s="921">
        <f>SUMIF(Meal_entry_week_1!G$57:G$81,"Meso_prerađeno",Meal_entry_week_1!T$57:T$81)</f>
        <v>0</v>
      </c>
      <c r="Y308" s="922">
        <f>SUMIF(Meal_entry_week_1!G$156:G$180,"Meso_prerađeno",Meal_entry_week_1!T$156:T$180)</f>
        <v>0</v>
      </c>
      <c r="Z308" s="922">
        <f>SUMIF(Meal_entry_week_1!G$255:G$279,"Meso_prerađeno",Meal_entry_week_1!T$255:T$279)</f>
        <v>0</v>
      </c>
      <c r="AA308" s="922">
        <f>SUMIF(Meal_entry_week_1!G$354:G$378,"Meso_prerađeno",Meal_entry_week_1!T$354:T$378)</f>
        <v>0</v>
      </c>
      <c r="AB308" s="923">
        <f>SUMIF(Meal_entry_week_1!G$453:G$477,"Meso_prerađeno",Meal_entry_week_1!T$453:T$477)</f>
        <v>0</v>
      </c>
      <c r="AC308" s="921">
        <f>SUMIF(Meal_entry_week_1!BM$11:BM$30,"Meso_prerađeno",Meal_entry_week_1!BS$11:BS$30)</f>
        <v>0</v>
      </c>
      <c r="AD308" s="922">
        <f>SUMIF(Meal_entry_week_1!G$188:G$199,"Meso_prerađeno",Meal_entry_week_1!T$188:T$199)</f>
        <v>0</v>
      </c>
      <c r="AE308" s="922">
        <f>SUMIF(Meal_entry_week_1!G$287:G$298,"Meso_prerađeno",Meal_entry_week_1!T$287:T$298)</f>
        <v>0</v>
      </c>
      <c r="AF308" s="922">
        <f>SUMIF(Meal_entry_week_1!G$386:G$397,"Meso_prerađeno",Meal_entry_week_1!T$386:T$397)</f>
        <v>0</v>
      </c>
      <c r="AG308" s="923">
        <f>SUMIF(Meal_entry_week_1!G$485:G$496,"Meso_prerađeno",Meal_entry_week_1!T$485:T$496)</f>
        <v>0</v>
      </c>
    </row>
    <row r="309" spans="1:33">
      <c r="A309" s="1066"/>
      <c r="B309" s="947" t="s">
        <v>807</v>
      </c>
      <c r="C309" s="945"/>
      <c r="D309" s="948">
        <f t="shared" si="35"/>
        <v>0</v>
      </c>
      <c r="E309" s="955">
        <f t="shared" si="30"/>
        <v>0</v>
      </c>
      <c r="F309" s="955">
        <f t="shared" si="31"/>
        <v>0</v>
      </c>
      <c r="G309" s="955">
        <f t="shared" si="32"/>
        <v>0</v>
      </c>
      <c r="H309" s="972">
        <f t="shared" si="33"/>
        <v>0</v>
      </c>
      <c r="I309" s="921">
        <f t="shared" si="34"/>
        <v>0</v>
      </c>
      <c r="J309" s="922">
        <f t="shared" si="34"/>
        <v>0</v>
      </c>
      <c r="K309" s="922">
        <f t="shared" si="29"/>
        <v>0</v>
      </c>
      <c r="L309" s="922">
        <f t="shared" si="29"/>
        <v>0</v>
      </c>
      <c r="M309" s="923">
        <f t="shared" si="29"/>
        <v>0</v>
      </c>
      <c r="N309" s="921">
        <f>SUMIF(Meal_entry_week_1!G$11:G$30,"Riba_sveže_smrznuta",Meal_entry_week_1!T$11:T$30)+SUMIF(Meal_entry_week_1!G$11:G$30,"Riba_prerađena_konzervirana",Meal_entry_week_1!T$11:T$30)</f>
        <v>0</v>
      </c>
      <c r="O309" s="922">
        <f>SUMIF(Meal_entry_week_1!G$110:G$129,"Riba_sveže_smrznuta",Meal_entry_week_1!T$110:T$129)+SUMIF(Meal_entry_week_1!G$110:G$129,"Riba_prerađena_konzervirana",Meal_entry_week_1!T$110:T$129)</f>
        <v>0</v>
      </c>
      <c r="P309" s="922">
        <f>SUMIF(Meal_entry_week_1!G$209:G$228,"Riba_sveže_smrznuta",Meal_entry_week_1!T$209:T$228)+SUMIF(Meal_entry_week_1!G$209:G$228,"Riba_prerađena_konzervirana",Meal_entry_week_1!T$209:T$228)</f>
        <v>0</v>
      </c>
      <c r="Q309" s="922">
        <f>SUMIF(Meal_entry_week_1!G$308:G$327,"Riba_sveže_smrznuta",Meal_entry_week_1!T$308:T$327)+SUMIF(Meal_entry_week_1!G$308:G$327,"Riba_prerađena_konzervirana",Meal_entry_week_1!T$308:T$327)</f>
        <v>0</v>
      </c>
      <c r="R309" s="923">
        <f>SUMIF(Meal_entry_week_1!G$407:G$426,"Riba_sveže_smrznuta",Meal_entry_week_1!T$407:T$426)+SUMIF(Meal_entry_week_1!G$407:G$426,"Riba_prerađena_konzervirana",Meal_entry_week_1!T$407:T$426)</f>
        <v>0</v>
      </c>
      <c r="S309" s="921">
        <f>SUMIF(Meal_entry_week_1!G$38:G$49,"Riba_sveže_smrznuta",Meal_entry_week_1!T$38:T$49)+SUMIF(Meal_entry_week_1!G$38:G$49,"Riba_prerađena_konzervirana",Meal_entry_week_1!T$38:T$49)</f>
        <v>0</v>
      </c>
      <c r="T309" s="922">
        <f>SUMIF(Meal_entry_week_1!G$137:G$148,"Riba_sveže_smrznuta",Meal_entry_week_1!T$137:T$148)+SUMIF(Meal_entry_week_1!G$137:G$148,"Riba_prerađena_konzervirana",Meal_entry_week_1!T$137:T$148)</f>
        <v>0</v>
      </c>
      <c r="U309" s="922">
        <f>SUMIF(Meal_entry_week_1!G$236:G$247,"Riba_sveže_smrznuta",Meal_entry_week_1!T$236:T$247)+SUMIF(Meal_entry_week_1!G$236:G$247,"Riba_prerađena_konzervirana",Meal_entry_week_1!T$236:T$247)</f>
        <v>0</v>
      </c>
      <c r="V309" s="922">
        <f>SUMIF(Meal_entry_week_1!G$335:G$346,"Riba_sveže_smrznuta",Meal_entry_week_1!T$335:T$346)+SUMIF(Meal_entry_week_1!G$335:G$346,"Riba_prerađena_konzervirana",Meal_entry_week_1!T$335:T$346)</f>
        <v>0</v>
      </c>
      <c r="W309" s="923">
        <f>SUMIF(Meal_entry_week_1!G$434:G$445,"Riba_sveže_smrznuta",Meal_entry_week_1!T$434:T$445)+SUMIF(Meal_entry_week_1!G$434:G$445,"Riba_prerađena_konzervirana",Meal_entry_week_1!T$434:T$445)</f>
        <v>0</v>
      </c>
      <c r="X309" s="921">
        <f>SUMIF(Meal_entry_week_1!G$57:G$81,"Riba_sveže_smrznuta",Meal_entry_week_1!T$57:T$81)+SUMIF(Meal_entry_week_1!G$57:G$81,"Riba_prerađena_konzervirana",Meal_entry_week_1!T$57:T$81)</f>
        <v>0</v>
      </c>
      <c r="Y309" s="922">
        <f>SUMIF(Meal_entry_week_1!G$156:G$180,"Riba_sveže_smrznuta",Meal_entry_week_1!T$156:T$180)+SUMIF(Meal_entry_week_1!G$156:G$180,"Riba_prerađena_konzervirana",Meal_entry_week_1!T$156:T$180)</f>
        <v>0</v>
      </c>
      <c r="Z309" s="922">
        <f>SUMIF(Meal_entry_week_1!G$255:G$279,"Riba_sveže_smrznuta",Meal_entry_week_1!T$255:T$279)+SUMIF(Meal_entry_week_1!G$255:G$279,"Riba_prerađena_konzervirana",Meal_entry_week_1!T$255:T$279)</f>
        <v>0</v>
      </c>
      <c r="AA309" s="922">
        <f>SUMIF(Meal_entry_week_1!G$354:G$378,"Riba_sveže_smrznuta",Meal_entry_week_1!T$354:T$378)+SUMIF(Meal_entry_week_1!G$354:G$378,"Riba_prerađena_konzervirana",Meal_entry_week_1!T$354:T$378)</f>
        <v>0</v>
      </c>
      <c r="AB309" s="923">
        <f>SUMIF(Meal_entry_week_1!G$453:G$477,"Riba_sveže_smrznuta",Meal_entry_week_1!T$453:T$477)+SUMIF(Meal_entry_week_1!G$453:G$477,"Riba_prerađena_konzervirana",Meal_entry_week_1!T$453:T$477)</f>
        <v>0</v>
      </c>
      <c r="AC309" s="921">
        <f>SUMIF(Meal_entry_week_1!BM$11:BM$30,"Riba_sveže_smrznuta",Meal_entry_week_1!BS$11:BS$30)+SUMIF(Meal_entry_week_1!BM$11:BM$30,"Riba_prerađena_konzervirana",Meal_entry_week_1!BS$11:BS$30)</f>
        <v>0</v>
      </c>
      <c r="AD309" s="922">
        <f>SUMIF(Meal_entry_week_1!G$188:G$199,"Riba_sveže_smrznuta",Meal_entry_week_1!T$188:T$199)+SUMIF(Meal_entry_week_1!G$188:G$199,"Riba_prerađena_konzervirana",Meal_entry_week_1!T$188:T$199)</f>
        <v>0</v>
      </c>
      <c r="AE309" s="922">
        <f>SUMIF(Meal_entry_week_1!G$287:G$298,"Riba_sveže_smrznuta",Meal_entry_week_1!T$287:T$298)+SUMIF(Meal_entry_week_1!G$287:G$298,"Riba_prerađena_konzervirana",Meal_entry_week_1!T$287:T$298)</f>
        <v>0</v>
      </c>
      <c r="AF309" s="922">
        <f>SUMIF(Meal_entry_week_1!G$386:G$397,"Riba_sveže_smrznuta",Meal_entry_week_1!T$386:T$397)+SUMIF(Meal_entry_week_1!G$386:G$397,"Riba_prerađena_konzervirana",Meal_entry_week_1!T$386:T$397)</f>
        <v>0</v>
      </c>
      <c r="AG309" s="923">
        <f>SUMIF(Meal_entry_week_1!G$485:G$496,"Riba_sveže_smrznuta",Meal_entry_week_1!T$485:T$496)+SUMIF(Meal_entry_week_1!G$485:G$496,"Riba_prerađena_konzervirana",Meal_entry_week_1!T$485:T$496)</f>
        <v>0</v>
      </c>
    </row>
    <row r="310" spans="1:33">
      <c r="A310" s="1066"/>
      <c r="B310" s="947" t="s">
        <v>224</v>
      </c>
      <c r="C310" s="945"/>
      <c r="D310" s="948">
        <f t="shared" si="35"/>
        <v>0</v>
      </c>
      <c r="E310" s="955">
        <f t="shared" si="30"/>
        <v>0</v>
      </c>
      <c r="F310" s="955">
        <f t="shared" si="31"/>
        <v>0</v>
      </c>
      <c r="G310" s="955">
        <f t="shared" si="32"/>
        <v>0</v>
      </c>
      <c r="H310" s="972">
        <f t="shared" si="33"/>
        <v>0</v>
      </c>
      <c r="I310" s="921">
        <f t="shared" si="34"/>
        <v>0</v>
      </c>
      <c r="J310" s="922">
        <f t="shared" si="34"/>
        <v>0</v>
      </c>
      <c r="K310" s="922">
        <f t="shared" si="29"/>
        <v>0</v>
      </c>
      <c r="L310" s="922">
        <f t="shared" si="29"/>
        <v>0</v>
      </c>
      <c r="M310" s="923">
        <f t="shared" si="29"/>
        <v>0</v>
      </c>
      <c r="N310" s="921">
        <f>SUMIF(Meal_entry_week_1!G$11:G$30,"Jaja",Meal_entry_week_1!T$11:T$30)</f>
        <v>0</v>
      </c>
      <c r="O310" s="922">
        <f>SUMIF(Meal_entry_week_1!G$110:G$129,"Jaja",Meal_entry_week_1!T$110:T$129)</f>
        <v>0</v>
      </c>
      <c r="P310" s="922">
        <f>SUMIF(Meal_entry_week_1!G$209:G$228,"Jaja",Meal_entry_week_1!T$209:T$228)</f>
        <v>0</v>
      </c>
      <c r="Q310" s="922">
        <f>SUMIF(Meal_entry_week_1!G$308:G$327,"Jaja",Meal_entry_week_1!T$308:T$327)</f>
        <v>0</v>
      </c>
      <c r="R310" s="923">
        <f>SUMIF(Meal_entry_week_1!G$407:G$426,"Jaja",Meal_entry_week_1!T$407:T$426)</f>
        <v>0</v>
      </c>
      <c r="S310" s="921">
        <f>SUMIF(Meal_entry_week_1!G$38:G$49,"Jaja",Meal_entry_week_1!T$38:T$49)</f>
        <v>0</v>
      </c>
      <c r="T310" s="922">
        <f>SUMIF(Meal_entry_week_1!G$137:G$148,"Jaja",Meal_entry_week_1!T$137:T$148)</f>
        <v>0</v>
      </c>
      <c r="U310" s="922">
        <f>SUMIF(Meal_entry_week_1!G$236:G$247,"Jaja",Meal_entry_week_1!T$236:T$247)</f>
        <v>0</v>
      </c>
      <c r="V310" s="922">
        <f>SUMIF(Meal_entry_week_1!G$335:G$346,"Jaja",Meal_entry_week_1!T$335:T$346)</f>
        <v>0</v>
      </c>
      <c r="W310" s="923">
        <f>SUMIF(Meal_entry_week_1!G$434:G$445,"Jaja",Meal_entry_week_1!T$434:T$445)</f>
        <v>0</v>
      </c>
      <c r="X310" s="921">
        <f>SUMIF(Meal_entry_week_1!G$57:G$81,"Jaja",Meal_entry_week_1!T$57:T$81)</f>
        <v>0</v>
      </c>
      <c r="Y310" s="922">
        <f>SUMIF(Meal_entry_week_1!G$156:G$180,"Jaja",Meal_entry_week_1!T$156:T$180)</f>
        <v>0</v>
      </c>
      <c r="Z310" s="922">
        <f>SUMIF(Meal_entry_week_1!G$255:G$279,"Jaja",Meal_entry_week_1!T$255:T$279)</f>
        <v>0</v>
      </c>
      <c r="AA310" s="922">
        <f>SUMIF(Meal_entry_week_1!G$354:G$378,"Jaja",Meal_entry_week_1!T$354:T$378)</f>
        <v>0</v>
      </c>
      <c r="AB310" s="923">
        <f>SUMIF(Meal_entry_week_1!G$453:G$477,"Jaja",Meal_entry_week_1!T$453:T$477)</f>
        <v>0</v>
      </c>
      <c r="AC310" s="921">
        <f>SUMIF(Meal_entry_week_1!BM$11:BM$30,"Jaja",Meal_entry_week_1!BS$11:BS$30)</f>
        <v>0</v>
      </c>
      <c r="AD310" s="922">
        <f>SUMIF(Meal_entry_week_1!G$188:G$199,"Jaja",Meal_entry_week_1!T$188:T$199)</f>
        <v>0</v>
      </c>
      <c r="AE310" s="922">
        <f>SUMIF(Meal_entry_week_1!G$287:G$298,"Jaja",Meal_entry_week_1!T$287:T$298)</f>
        <v>0</v>
      </c>
      <c r="AF310" s="922">
        <f>SUMIF(Meal_entry_week_1!G$386:G$397,"Jaja",Meal_entry_week_1!T$386:T$397)</f>
        <v>0</v>
      </c>
      <c r="AG310" s="923">
        <f>SUMIF(Meal_entry_week_1!G$485:G$496,"Jaja",Meal_entry_week_1!T$485:T$496)</f>
        <v>0</v>
      </c>
    </row>
    <row r="311" spans="1:33">
      <c r="A311" s="1066"/>
      <c r="B311" s="947" t="s">
        <v>798</v>
      </c>
      <c r="C311" s="945"/>
      <c r="D311" s="948">
        <f t="shared" si="35"/>
        <v>0</v>
      </c>
      <c r="E311" s="955">
        <f t="shared" si="30"/>
        <v>0</v>
      </c>
      <c r="F311" s="955">
        <f t="shared" si="31"/>
        <v>0</v>
      </c>
      <c r="G311" s="955">
        <f t="shared" si="32"/>
        <v>0</v>
      </c>
      <c r="H311" s="972">
        <f t="shared" si="33"/>
        <v>0</v>
      </c>
      <c r="I311" s="921">
        <f>N311+S311+X311+AC311</f>
        <v>0</v>
      </c>
      <c r="J311" s="922">
        <f t="shared" si="34"/>
        <v>0</v>
      </c>
      <c r="K311" s="922">
        <f t="shared" si="29"/>
        <v>0</v>
      </c>
      <c r="L311" s="922">
        <f t="shared" si="29"/>
        <v>0</v>
      </c>
      <c r="M311" s="923">
        <f t="shared" si="29"/>
        <v>0</v>
      </c>
      <c r="N311" s="921">
        <f>SUMIF(Meal_entry_week_1!G$11:G$30,"Mlečni_proizvodi",Meal_entry_week_1!T$11:T$30)</f>
        <v>0</v>
      </c>
      <c r="O311" s="922">
        <f>SUMIF(Meal_entry_week_1!G$110:G$129,"Mlečni_proizvodi",Meal_entry_week_1!T$110:T$129)</f>
        <v>0</v>
      </c>
      <c r="P311" s="922">
        <f>SUMIF(Meal_entry_week_1!G$209:G$228,"Mlečni_proizvodi",Meal_entry_week_1!T$209:T$228)</f>
        <v>0</v>
      </c>
      <c r="Q311" s="922">
        <f>SUMIF(Meal_entry_week_1!G$308:G$327,"Mlečni_proizvodi",Meal_entry_week_1!T$308:T$327)</f>
        <v>0</v>
      </c>
      <c r="R311" s="923">
        <f>SUMIF(Meal_entry_week_1!G$407:G$426,"Mlečni_proizvodi",Meal_entry_week_1!T$407:T$426)</f>
        <v>0</v>
      </c>
      <c r="S311" s="921">
        <f>SUMIF(Meal_entry_week_1!G$38:G$49,"Mlečni_proizvodi",Meal_entry_week_1!T$38:T$49)</f>
        <v>0</v>
      </c>
      <c r="T311" s="922">
        <f>SUMIF(Meal_entry_week_1!G$137:G$148,"Mlečni_proizvodi",Meal_entry_week_1!T$137:T$148)</f>
        <v>0</v>
      </c>
      <c r="U311" s="922">
        <f>SUMIF(Meal_entry_week_1!G$236:G$247,"Mlečni_proizvodi",Meal_entry_week_1!T$236:T$247)</f>
        <v>0</v>
      </c>
      <c r="V311" s="922">
        <f>SUMIF(Meal_entry_week_1!G$335:G$346,"Mlečni_proizvodi",Meal_entry_week_1!T$335:T$346)</f>
        <v>0</v>
      </c>
      <c r="W311" s="923">
        <f>SUMIF(Meal_entry_week_1!G$434:G$445,"Mlečni_proizvodi",Meal_entry_week_1!T$434:T$445)</f>
        <v>0</v>
      </c>
      <c r="X311" s="921">
        <f>SUMIF(Meal_entry_week_1!G$57:G$81,"Mlečni_proizvodi",Meal_entry_week_1!T$57:T$81)</f>
        <v>0</v>
      </c>
      <c r="Y311" s="922">
        <f>SUMIF(Meal_entry_week_1!G$156:G$180,"Mlečni_proizvodi",Meal_entry_week_1!T$156:T$180)</f>
        <v>0</v>
      </c>
      <c r="Z311" s="922">
        <f>SUMIF(Meal_entry_week_1!G$255:G$279,"Mlečni_proizvodi",Meal_entry_week_1!T$255:T$279)</f>
        <v>0</v>
      </c>
      <c r="AA311" s="922">
        <f>SUMIF(Meal_entry_week_1!G$354:G$378,"Mlečni_proizvodi",Meal_entry_week_1!T$354:T$378)</f>
        <v>0</v>
      </c>
      <c r="AB311" s="923">
        <f>SUMIF(Meal_entry_week_1!G$453:G$477,"Mlečni_proizvodi",Meal_entry_week_1!T$453:T$477)</f>
        <v>0</v>
      </c>
      <c r="AC311" s="921">
        <f>SUMIF(Meal_entry_week_1!BM$11:BM$30,"Mlečni_proizvodi",Meal_entry_week_1!BS$11:BS$30)</f>
        <v>0</v>
      </c>
      <c r="AD311" s="922">
        <f>SUMIF(Meal_entry_week_1!G$188:G$199,"Mlečni_proizvodi",Meal_entry_week_1!T$188:T$199)</f>
        <v>0</v>
      </c>
      <c r="AE311" s="922">
        <f>SUMIF(Meal_entry_week_1!G$287:G$298,"Mlečni_proizvodi",Meal_entry_week_1!T$287:T$298)</f>
        <v>0</v>
      </c>
      <c r="AF311" s="922">
        <f>SUMIF(Meal_entry_week_1!G$386:G$397,"Mlečni_proizvodi",Meal_entry_week_1!T$386:T$397)</f>
        <v>0</v>
      </c>
      <c r="AG311" s="923">
        <f>SUMIF(Meal_entry_week_1!G$485:G$496,"Mlečni_proizvodi",Meal_entry_week_1!T$485:T$496)</f>
        <v>0</v>
      </c>
    </row>
    <row r="312" spans="1:33">
      <c r="A312" s="1066"/>
      <c r="B312" s="947" t="s">
        <v>799</v>
      </c>
      <c r="C312" s="945"/>
      <c r="D312" s="948">
        <f t="shared" si="35"/>
        <v>0</v>
      </c>
      <c r="E312" s="955">
        <f t="shared" si="30"/>
        <v>0</v>
      </c>
      <c r="F312" s="955">
        <f t="shared" si="31"/>
        <v>0</v>
      </c>
      <c r="G312" s="955">
        <f t="shared" si="32"/>
        <v>0</v>
      </c>
      <c r="H312" s="972">
        <f t="shared" si="33"/>
        <v>0</v>
      </c>
      <c r="I312" s="921">
        <f t="shared" si="34"/>
        <v>0</v>
      </c>
      <c r="J312" s="922">
        <f t="shared" si="34"/>
        <v>0</v>
      </c>
      <c r="K312" s="922">
        <f t="shared" si="29"/>
        <v>0</v>
      </c>
      <c r="L312" s="922">
        <f t="shared" si="29"/>
        <v>0</v>
      </c>
      <c r="M312" s="923">
        <f t="shared" si="29"/>
        <v>0</v>
      </c>
      <c r="N312" s="921">
        <f>SUMIF(Meal_entry_week_1!G$11:G$30,"Ulja_maslac_margarin",Meal_entry_week_1!T$11:T$30)</f>
        <v>0</v>
      </c>
      <c r="O312" s="922">
        <f>SUMIF(Meal_entry_week_1!G$110:G$129,"Ulja_maslac_margarin",Meal_entry_week_1!T$110:T$129)</f>
        <v>0</v>
      </c>
      <c r="P312" s="922">
        <f>SUMIF(Meal_entry_week_1!G$209:G$228,"Ulja_maslac_margarin",Meal_entry_week_1!T$209:T$228)</f>
        <v>0</v>
      </c>
      <c r="Q312" s="922">
        <f>SUMIF(Meal_entry_week_1!G$308:G$327,"Ulja_maslac_margarin",Meal_entry_week_1!T$308:T$327)</f>
        <v>0</v>
      </c>
      <c r="R312" s="923">
        <f>SUMIF(Meal_entry_week_1!G$407:G$426,"Ulja_maslac_margarin",Meal_entry_week_1!T$407:T$426)</f>
        <v>0</v>
      </c>
      <c r="S312" s="921">
        <f>SUMIF(Meal_entry_week_1!G$38:G$49,"Ulja_maslac_margarin",Meal_entry_week_1!T$38:T$49)</f>
        <v>0</v>
      </c>
      <c r="T312" s="922">
        <f>SUMIF(Meal_entry_week_1!G$137:G$148,"Ulja_maslac_margarin",Meal_entry_week_1!T$137:T$148)</f>
        <v>0</v>
      </c>
      <c r="U312" s="922">
        <f>SUMIF(Meal_entry_week_1!G$236:G$247,"Ulja_maslac_margarin",Meal_entry_week_1!T$236:T$247)</f>
        <v>0</v>
      </c>
      <c r="V312" s="922">
        <f>SUMIF(Meal_entry_week_1!G$335:G$346,"Ulja_maslac_margarin",Meal_entry_week_1!T$335:T$346)</f>
        <v>0</v>
      </c>
      <c r="W312" s="923">
        <f>SUMIF(Meal_entry_week_1!G$434:G$445,"Ulja_maslac_margarin",Meal_entry_week_1!T$434:T$445)</f>
        <v>0</v>
      </c>
      <c r="X312" s="921">
        <f>SUMIF(Meal_entry_week_1!G$57:G$81,"Ulja_maslac_margarin",Meal_entry_week_1!T$57:T$81)</f>
        <v>0</v>
      </c>
      <c r="Y312" s="922">
        <f>SUMIF(Meal_entry_week_1!G$156:G$180,"Ulja_maslac_margarin",Meal_entry_week_1!T$156:T$180)</f>
        <v>0</v>
      </c>
      <c r="Z312" s="922">
        <f>SUMIF(Meal_entry_week_1!G$255:G$279,"Ulja_maslac_margarin",Meal_entry_week_1!T$255:T$279)</f>
        <v>0</v>
      </c>
      <c r="AA312" s="922">
        <f>SUMIF(Meal_entry_week_1!G$354:G$378,"Ulja_maslac_margarin",Meal_entry_week_1!T$354:T$378)</f>
        <v>0</v>
      </c>
      <c r="AB312" s="923">
        <f>SUMIF(Meal_entry_week_1!G$453:G$477,"Ulja_maslac_margarin",Meal_entry_week_1!T$453:T$477)</f>
        <v>0</v>
      </c>
      <c r="AC312" s="921">
        <f>SUMIF(Meal_entry_week_1!BM$11:BM$30,"Ulja_maslac_margarin",Meal_entry_week_1!BS$11:BS$30)</f>
        <v>0</v>
      </c>
      <c r="AD312" s="922">
        <f>SUMIF(Meal_entry_week_1!G$188:G$199,"Ulja_maslac_margarin",Meal_entry_week_1!T$188:T$199)</f>
        <v>0</v>
      </c>
      <c r="AE312" s="922">
        <f>SUMIF(Meal_entry_week_1!G$287:G$298,"Ulja_maslac_margarin",Meal_entry_week_1!T$287:T$298)</f>
        <v>0</v>
      </c>
      <c r="AF312" s="922">
        <f>SUMIF(Meal_entry_week_1!G$386:G$397,"Ulja_maslac_margarin",Meal_entry_week_1!T$386:T$397)</f>
        <v>0</v>
      </c>
      <c r="AG312" s="923">
        <f>SUMIF(Meal_entry_week_1!G$485:G$496,"Ulja_maslac_margarin",Meal_entry_week_1!T$485:T$496)</f>
        <v>0</v>
      </c>
    </row>
    <row r="313" spans="1:33">
      <c r="A313" s="1066"/>
      <c r="B313" s="947" t="s">
        <v>800</v>
      </c>
      <c r="C313" s="945"/>
      <c r="D313" s="948">
        <f t="shared" si="35"/>
        <v>0</v>
      </c>
      <c r="E313" s="955">
        <f t="shared" si="30"/>
        <v>0</v>
      </c>
      <c r="F313" s="955">
        <f t="shared" si="31"/>
        <v>0</v>
      </c>
      <c r="G313" s="955">
        <f t="shared" si="32"/>
        <v>0</v>
      </c>
      <c r="H313" s="972">
        <f t="shared" si="33"/>
        <v>0</v>
      </c>
      <c r="I313" s="921">
        <f t="shared" si="34"/>
        <v>0</v>
      </c>
      <c r="J313" s="922">
        <f t="shared" si="34"/>
        <v>0</v>
      </c>
      <c r="K313" s="922">
        <f t="shared" si="29"/>
        <v>0</v>
      </c>
      <c r="L313" s="922">
        <f t="shared" si="29"/>
        <v>0</v>
      </c>
      <c r="M313" s="923">
        <f t="shared" si="29"/>
        <v>0</v>
      </c>
      <c r="N313" s="921">
        <f>SUMIF(Meal_entry_week_1!G$11:G$30,"Brašno_testenina_seme_žitarica",Meal_entry_week_1!T$11:T$30)</f>
        <v>0</v>
      </c>
      <c r="O313" s="922">
        <f>SUMIF(Meal_entry_week_1!G$110:G$129,"Brašno_testenina_seme_žitarica",Meal_entry_week_1!T$110:T$129)</f>
        <v>0</v>
      </c>
      <c r="P313" s="922">
        <f>SUMIF(Meal_entry_week_1!G$209:G$228,"Brašno_testenina_seme_žitarica",Meal_entry_week_1!T$209:T$228)</f>
        <v>0</v>
      </c>
      <c r="Q313" s="922">
        <f>SUMIF(Meal_entry_week_1!G$308:G$327,"Brašno_testenina_seme_žitarica",Meal_entry_week_1!T$308:T$327)</f>
        <v>0</v>
      </c>
      <c r="R313" s="923">
        <f>SUMIF(Meal_entry_week_1!G$407:G$426,"Brašno_testenina_seme_žitarica",Meal_entry_week_1!T$407:T$426)</f>
        <v>0</v>
      </c>
      <c r="S313" s="921">
        <f>SUMIF(Meal_entry_week_1!G$38:G$49,"Brašno_testenina_seme_žitarica",Meal_entry_week_1!T$38:T$49)</f>
        <v>0</v>
      </c>
      <c r="T313" s="922">
        <f>SUMIF(Meal_entry_week_1!G$137:G$148,"Brašno_testenina_seme_žitarica",Meal_entry_week_1!T$137:T$148)</f>
        <v>0</v>
      </c>
      <c r="U313" s="922">
        <f>SUMIF(Meal_entry_week_1!G$236:G$247,"Brašno_testenina_seme_žitarica",Meal_entry_week_1!T$236:T$247)</f>
        <v>0</v>
      </c>
      <c r="V313" s="922">
        <f>SUMIF(Meal_entry_week_1!G$335:G$346,"Brašno_testenina_seme_žitarica",Meal_entry_week_1!T$335:T$346)</f>
        <v>0</v>
      </c>
      <c r="W313" s="923">
        <f>SUMIF(Meal_entry_week_1!G$434:G$445,"Brašno_testenina_seme_žitarica",Meal_entry_week_1!T$434:T$445)</f>
        <v>0</v>
      </c>
      <c r="X313" s="921">
        <f>SUMIF(Meal_entry_week_1!G$57:G$81,"Brašno_testenina_seme_žitarica",Meal_entry_week_1!T$57:T$81)</f>
        <v>0</v>
      </c>
      <c r="Y313" s="922">
        <f>SUMIF(Meal_entry_week_1!G$156:G$180,"Brašno_testenina_seme_žitarica",Meal_entry_week_1!T$156:T$180)</f>
        <v>0</v>
      </c>
      <c r="Z313" s="922">
        <f>SUMIF(Meal_entry_week_1!G$255:G$279,"Brašno_testenina_seme_žitarica",Meal_entry_week_1!T$255:T$279)</f>
        <v>0</v>
      </c>
      <c r="AA313" s="922">
        <f>SUMIF(Meal_entry_week_1!G$354:G$378,"Brašno_testenina_seme_žitarica",Meal_entry_week_1!T$354:T$378)</f>
        <v>0</v>
      </c>
      <c r="AB313" s="923">
        <f>SUMIF(Meal_entry_week_1!G$453:G$477,"Brašno_testenina_seme_žitarica",Meal_entry_week_1!T$453:T$477)</f>
        <v>0</v>
      </c>
      <c r="AC313" s="921">
        <f>SUMIF(Meal_entry_week_1!BM$11:BM$30,"Brašno_testenina_seme_žitarica",Meal_entry_week_1!BS$11:BS$30)</f>
        <v>0</v>
      </c>
      <c r="AD313" s="922">
        <f>SUMIF(Meal_entry_week_1!G$188:G$199,"Brašno_testenina_seme_žitarica",Meal_entry_week_1!T$188:T$199)</f>
        <v>0</v>
      </c>
      <c r="AE313" s="922">
        <f>SUMIF(Meal_entry_week_1!G$287:G$298,"Brašno_testenina_seme_žitarica",Meal_entry_week_1!T$287:T$298)</f>
        <v>0</v>
      </c>
      <c r="AF313" s="922">
        <f>SUMIF(Meal_entry_week_1!G$386:G$397,"Brašno_testenina_seme_žitarica",Meal_entry_week_1!T$386:T$397)</f>
        <v>0</v>
      </c>
      <c r="AG313" s="923">
        <f>SUMIF(Meal_entry_week_1!G$485:G$496,"Brašno_testenina_seme_žitarica",Meal_entry_week_1!T$485:T$496)</f>
        <v>0</v>
      </c>
    </row>
    <row r="314" spans="1:33">
      <c r="A314" s="1066"/>
      <c r="B314" s="947" t="s">
        <v>808</v>
      </c>
      <c r="C314" s="945"/>
      <c r="D314" s="948">
        <f t="shared" si="35"/>
        <v>0</v>
      </c>
      <c r="E314" s="955">
        <f t="shared" si="30"/>
        <v>0</v>
      </c>
      <c r="F314" s="955">
        <f t="shared" si="31"/>
        <v>0</v>
      </c>
      <c r="G314" s="955">
        <f t="shared" si="32"/>
        <v>0</v>
      </c>
      <c r="H314" s="972">
        <f t="shared" si="33"/>
        <v>0</v>
      </c>
      <c r="I314" s="921">
        <f t="shared" si="34"/>
        <v>0</v>
      </c>
      <c r="J314" s="922">
        <f t="shared" si="34"/>
        <v>0</v>
      </c>
      <c r="K314" s="922">
        <f t="shared" si="29"/>
        <v>0</v>
      </c>
      <c r="L314" s="922">
        <f t="shared" si="29"/>
        <v>0</v>
      </c>
      <c r="M314" s="923">
        <f t="shared" si="29"/>
        <v>0</v>
      </c>
      <c r="N314" s="921">
        <f>SUMIF(Meal_entry_week_1!G$11:G$30,"Umaci_pire_prelivi",Meal_entry_week_1!T$11:T$30)+SUMIF(Meal_entry_week_1!G$11:G$30,"Začini",Meal_entry_week_1!T$11:T$30)</f>
        <v>0</v>
      </c>
      <c r="O314" s="922">
        <f>SUMIF(Meal_entry_week_1!G$110:G$129,"Umaci_pire_prelivi",Meal_entry_week_1!T$110:T$129)+SUMIF(Meal_entry_week_1!G$110:G$129,"Začini",Meal_entry_week_1!T$110:T$129)</f>
        <v>0</v>
      </c>
      <c r="P314" s="922">
        <f>SUMIF(Meal_entry_week_1!G$209:G$228,"Umaci_pire_prelivi",Meal_entry_week_1!T$209:T$228)+SUMIF(Meal_entry_week_1!G$209:G$228,"Začini",Meal_entry_week_1!T$209:T$228)</f>
        <v>0</v>
      </c>
      <c r="Q314" s="922">
        <f>SUMIF(Meal_entry_week_1!G$308:G$327,"Umaci_pire_prelivi",Meal_entry_week_1!T$308:T$327)+SUMIF(Meal_entry_week_1!G$308:G$327,"Začini",Meal_entry_week_1!T$308:T$327)</f>
        <v>0</v>
      </c>
      <c r="R314" s="923">
        <f>SUMIF(Meal_entry_week_1!G$407:G$426,"Umaci_pire_prelivi",Meal_entry_week_1!T$407:T$426)+SUMIF(Meal_entry_week_1!G$407:G$426,"Začini",Meal_entry_week_1!T$407:T$426)</f>
        <v>0</v>
      </c>
      <c r="S314" s="921">
        <f>SUMIF(Meal_entry_week_1!G$38:G$49,"Umaci_pire_prelivi",Meal_entry_week_1!T$38:T$49)+SUMIF(Meal_entry_week_1!G$38:G$49,"Začini",Meal_entry_week_1!T$38:T$49)</f>
        <v>0</v>
      </c>
      <c r="T314" s="922">
        <f>SUMIF(Meal_entry_week_1!G$137:G$148,"Umaci_pire_prelivi",Meal_entry_week_1!T$137:T$148)+SUMIF(Meal_entry_week_1!G$137:G$148,"Začini",Meal_entry_week_1!T$137:T$148)</f>
        <v>0</v>
      </c>
      <c r="U314" s="922">
        <f>SUMIF(Meal_entry_week_1!G$236:G$247,"Umaci_pire_prelivi",Meal_entry_week_1!T$236:T$247)+SUMIF(Meal_entry_week_1!G$236:G$247,"Začini",Meal_entry_week_1!T$236:T$247)</f>
        <v>0</v>
      </c>
      <c r="V314" s="922">
        <f>SUMIF(Meal_entry_week_1!G$335:G$346,"Umaci_pire_prelivi",Meal_entry_week_1!T$335:T$346)+SUMIF(Meal_entry_week_1!G$335:G$346,"Začini",Meal_entry_week_1!T$335:T$346)</f>
        <v>0</v>
      </c>
      <c r="W314" s="923">
        <f>SUMIF(Meal_entry_week_1!G$434:G$445,"Umaci_pire_prelivi",Meal_entry_week_1!T$434:T$445)+SUMIF(Meal_entry_week_1!G$434:G$445,"Začini",Meal_entry_week_1!T$434:T$445)</f>
        <v>0</v>
      </c>
      <c r="X314" s="921">
        <f>SUMIF(Meal_entry_week_1!G$57:G$81,"Umaci_pire_prelivi",Meal_entry_week_1!T$57:T$81)+SUMIF(Meal_entry_week_1!G$57:G$81,"Začini",Meal_entry_week_1!T$57:T$81)</f>
        <v>0</v>
      </c>
      <c r="Y314" s="922">
        <f>SUMIF(Meal_entry_week_1!G$156:G$180,"Umaci_pire_prelivi",Meal_entry_week_1!T$156:T$180)+SUMIF(Meal_entry_week_1!G$156:G$180,"Začini",Meal_entry_week_1!T$156:T$180)</f>
        <v>0</v>
      </c>
      <c r="Z314" s="922">
        <f>SUMIF(Meal_entry_week_1!G$255:G$279,"Umaci_pire_prelivi",Meal_entry_week_1!T$255:T$279)+SUMIF(Meal_entry_week_1!G$255:G$279,"Začini",Meal_entry_week_1!T$255:T$279)</f>
        <v>0</v>
      </c>
      <c r="AA314" s="922">
        <f>SUMIF(Meal_entry_week_1!G$354:G$378,"Umaci_pire_prelivi",Meal_entry_week_1!T$354:T$378)+SUMIF(Meal_entry_week_1!G$354:G$378,"Začini",Meal_entry_week_1!T$354:T$378)</f>
        <v>0</v>
      </c>
      <c r="AB314" s="923">
        <f>SUMIF(Meal_entry_week_1!G$453:G$477,"Umaci_pire_prelivi",Meal_entry_week_1!T$453:T$477)+SUMIF(Meal_entry_week_1!G$453:G$477,"Začini",Meal_entry_week_1!T$453:T$477)</f>
        <v>0</v>
      </c>
      <c r="AC314" s="921">
        <f>SUMIF(Meal_entry_week_1!BM$11:BM$30,"Umaci_pire_prelivi",Meal_entry_week_1!BS$11:BS$30)+SUMIF(Meal_entry_week_1!BM$11:BM$30,"Začini",Meal_entry_week_1!BS$11:BS$30)</f>
        <v>0</v>
      </c>
      <c r="AD314" s="922">
        <f>SUMIF(Meal_entry_week_1!G$188:G$199,"Umaci_pire_prelivi",Meal_entry_week_1!T$188:T$199)+SUMIF(Meal_entry_week_1!G$188:G$199,"Začini",Meal_entry_week_1!T$188:T$199)</f>
        <v>0</v>
      </c>
      <c r="AE314" s="922">
        <f>SUMIF(Meal_entry_week_1!G$287:G$298,"Umaci_pire_prelivi",Meal_entry_week_1!T$287:T$298)+SUMIF(Meal_entry_week_1!G$287:G$298,"Začini",Meal_entry_week_1!T$287:T$298)</f>
        <v>0</v>
      </c>
      <c r="AF314" s="922">
        <f>SUMIF(Meal_entry_week_1!G$386:G$397,"Umaci_pire_prelivi",Meal_entry_week_1!T$386:T$397)+SUMIF(Meal_entry_week_1!G$386:G$397,"Začini",Meal_entry_week_1!T$386:T$397)</f>
        <v>0</v>
      </c>
      <c r="AG314" s="923">
        <f>SUMIF(Meal_entry_week_1!G$485:G$496,"Umaci_pire_prelivi",Meal_entry_week_1!T$485:T$496)+SUMIF(Meal_entry_week_1!G$485:G$496,"Začini",Meal_entry_week_1!T$485:T$496)</f>
        <v>0</v>
      </c>
    </row>
    <row r="315" spans="1:33">
      <c r="A315" s="1066"/>
      <c r="B315" s="947" t="s">
        <v>809</v>
      </c>
      <c r="C315" s="945"/>
      <c r="D315" s="948">
        <f t="shared" si="35"/>
        <v>0</v>
      </c>
      <c r="E315" s="955">
        <f t="shared" si="30"/>
        <v>0</v>
      </c>
      <c r="F315" s="955">
        <f t="shared" si="31"/>
        <v>0</v>
      </c>
      <c r="G315" s="955">
        <f t="shared" si="32"/>
        <v>0</v>
      </c>
      <c r="H315" s="972">
        <f t="shared" si="33"/>
        <v>0</v>
      </c>
      <c r="I315" s="921">
        <f t="shared" si="34"/>
        <v>0</v>
      </c>
      <c r="J315" s="922">
        <f t="shared" si="34"/>
        <v>0</v>
      </c>
      <c r="K315" s="922">
        <f t="shared" si="29"/>
        <v>0</v>
      </c>
      <c r="L315" s="922">
        <f t="shared" si="29"/>
        <v>0</v>
      </c>
      <c r="M315" s="923">
        <f t="shared" si="29"/>
        <v>0</v>
      </c>
      <c r="N315" s="921">
        <f>SUMIF(Meal_entry_week_1!G$11:G$30,"Slatka_hrana_keks",Meal_entry_week_1!T$11:T$30)</f>
        <v>0</v>
      </c>
      <c r="O315" s="922">
        <f>SUMIF(Meal_entry_week_1!G$110:G$129,"Slatka_hrana_keks",Meal_entry_week_1!T$110:T$129)</f>
        <v>0</v>
      </c>
      <c r="P315" s="922">
        <f>SUMIF(Meal_entry_week_1!G$209:G$228,"Slatka_hrana_keks",Meal_entry_week_1!T$209:T$228)</f>
        <v>0</v>
      </c>
      <c r="Q315" s="922">
        <f>SUMIF(Meal_entry_week_1!G$308:G$327,"Slatka_hrana_keks",Meal_entry_week_1!T$308:T$327)</f>
        <v>0</v>
      </c>
      <c r="R315" s="923">
        <f>SUMIF(Meal_entry_week_1!G$407:G$426,"Slatka_hrana_keks",Meal_entry_week_1!T$407:T$426)</f>
        <v>0</v>
      </c>
      <c r="S315" s="921">
        <f>SUMIF(Meal_entry_week_1!G$38:G$49,"Slatka_hrana_keks",Meal_entry_week_1!T$38:T$49)</f>
        <v>0</v>
      </c>
      <c r="T315" s="922">
        <f>SUMIF(Meal_entry_week_1!G$137:G$148,"Slatka_hrana_keks",Meal_entry_week_1!T$137:T$148)</f>
        <v>0</v>
      </c>
      <c r="U315" s="922">
        <f>SUMIF(Meal_entry_week_1!G$236:G$247,"Slatka_hrana_keks",Meal_entry_week_1!T$236:T$247)</f>
        <v>0</v>
      </c>
      <c r="V315" s="922">
        <f>SUMIF(Meal_entry_week_1!G$335:G$346,"Slatka_hrana_keks",Meal_entry_week_1!T$335:T$346)</f>
        <v>0</v>
      </c>
      <c r="W315" s="923">
        <f>SUMIF(Meal_entry_week_1!G$434:G$445,"Slatka_hrana_keks",Meal_entry_week_1!T$434:T$445)</f>
        <v>0</v>
      </c>
      <c r="X315" s="921">
        <f>SUMIF(Meal_entry_week_1!G$57:G$81,"Slatka_hrana_keks",Meal_entry_week_1!T$57:T$81)</f>
        <v>0</v>
      </c>
      <c r="Y315" s="922">
        <f>SUMIF(Meal_entry_week_1!G$156:G$180,"Slatka_hrana_keks",Meal_entry_week_1!T$156:T$180)</f>
        <v>0</v>
      </c>
      <c r="Z315" s="922">
        <f>SUMIF(Meal_entry_week_1!G$255:G$279,"Slatka_hrana_keks",Meal_entry_week_1!T$255:T$279)</f>
        <v>0</v>
      </c>
      <c r="AA315" s="922">
        <f>SUMIF(Meal_entry_week_1!G$354:G$378,"Slatka_hrana_keks",Meal_entry_week_1!T$354:T$378)</f>
        <v>0</v>
      </c>
      <c r="AB315" s="923">
        <f>SUMIF(Meal_entry_week_1!G$453:G$477,"Slatka_hrana_keks",Meal_entry_week_1!T$453:T$477)</f>
        <v>0</v>
      </c>
      <c r="AC315" s="921">
        <f>SUMIF(Meal_entry_week_1!BM$11:BM$30,"Slatka_hrana_keks",Meal_entry_week_1!BS$11:BS$30)</f>
        <v>0</v>
      </c>
      <c r="AD315" s="922">
        <f>SUMIF(Meal_entry_week_1!G$188:G$199,"Slatka_hrana_keks",Meal_entry_week_1!T$188:T$199)</f>
        <v>0</v>
      </c>
      <c r="AE315" s="922">
        <f>SUMIF(Meal_entry_week_1!G$287:G$298,"Slatka_hrana_keks",Meal_entry_week_1!T$287:T$298)</f>
        <v>0</v>
      </c>
      <c r="AF315" s="922">
        <f>SUMIF(Meal_entry_week_1!G$386:G$397,"Slatka_hrana_keks",Meal_entry_week_1!T$386:T$397)</f>
        <v>0</v>
      </c>
      <c r="AG315" s="923">
        <f>SUMIF(Meal_entry_week_1!G$485:G$496,"Slatka_hrana_keks",Meal_entry_week_1!T$485:T$496)</f>
        <v>0</v>
      </c>
    </row>
    <row r="316" spans="1:33">
      <c r="A316" s="1066"/>
      <c r="B316" s="947" t="s">
        <v>810</v>
      </c>
      <c r="C316" s="945"/>
      <c r="D316" s="948">
        <f t="shared" si="35"/>
        <v>0</v>
      </c>
      <c r="E316" s="955">
        <f t="shared" si="30"/>
        <v>0</v>
      </c>
      <c r="F316" s="955">
        <f t="shared" si="31"/>
        <v>0</v>
      </c>
      <c r="G316" s="955">
        <f t="shared" si="32"/>
        <v>0</v>
      </c>
      <c r="H316" s="972">
        <f t="shared" si="33"/>
        <v>0</v>
      </c>
      <c r="I316" s="921">
        <f t="shared" si="34"/>
        <v>0</v>
      </c>
      <c r="J316" s="922">
        <f t="shared" si="34"/>
        <v>0</v>
      </c>
      <c r="K316" s="922">
        <f t="shared" si="29"/>
        <v>0</v>
      </c>
      <c r="L316" s="922">
        <f t="shared" si="29"/>
        <v>0</v>
      </c>
      <c r="M316" s="923">
        <f t="shared" si="29"/>
        <v>0</v>
      </c>
      <c r="N316" s="921">
        <f>SUMIF(Meal_entry_week_1!G$11:G$30,"Hleb_i_peciva",Meal_entry_week_1!T$11:T$30)+SUMIF(Meal_entry_week_1!G$11:G$30,"Slana_peciva",Meal_entry_week_1!T$11:T$30)+SUMIF(Meal_entry_week_1!G$11:G$30,"Slatka_peciva",Meal_entry_week_1!T$11:T$30)</f>
        <v>0</v>
      </c>
      <c r="O316" s="922">
        <f>SUMIF(Meal_entry_week_1!G$110:G$129,"Hleb_i_peciva",Meal_entry_week_1!T$110:T$129)+SUMIF(Meal_entry_week_1!G$110:G$129,"Slana_peciva",Meal_entry_week_1!T$110:T$129)+SUMIF(Meal_entry_week_1!G$110:G$129,"Slatka_peciva",Meal_entry_week_1!T$110:T$129)</f>
        <v>0</v>
      </c>
      <c r="P316" s="922">
        <f>SUMIF(Meal_entry_week_1!G$209:G$228,"Hleb_i_peciva",Meal_entry_week_1!T$209:T$228)+SUMIF(Meal_entry_week_1!G$209:G$228,"Slana_peciva",Meal_entry_week_1!T$209:T$228)+SUMIF(Meal_entry_week_1!G$209:G$228,"Slatka_peciva",Meal_entry_week_1!T$209:T$228)</f>
        <v>0</v>
      </c>
      <c r="Q316" s="922">
        <f>SUMIF(Meal_entry_week_1!G$308:G$327,"Hleb_i_peciva",Meal_entry_week_1!T$308:T$327)+SUMIF(Meal_entry_week_1!G$308:G$327,"Slana_peciva",Meal_entry_week_1!T$308:T$327)+SUMIF(Meal_entry_week_1!G$308:G$327,"Slatka_peciva",Meal_entry_week_1!T$308:T$327)</f>
        <v>0</v>
      </c>
      <c r="R316" s="923">
        <f>SUMIF(Meal_entry_week_1!G$407:G$426,"Hleb_i_peciva",Meal_entry_week_1!T$407:T$426)+SUMIF(Meal_entry_week_1!G$407:G$426,"Slana_peciva",Meal_entry_week_1!T$407:T$426)+SUMIF(Meal_entry_week_1!G$407:G$426,"Slatka_peciva",Meal_entry_week_1!T$407:T$426)</f>
        <v>0</v>
      </c>
      <c r="S316" s="921">
        <f>SUMIF(Meal_entry_week_1!G$38:G$49,"Hleb_i_peciva",Meal_entry_week_1!T$38:T$49)+SUMIF(Meal_entry_week_1!G$38:G$49,"Slana_peciva",Meal_entry_week_1!T$38:T$49)+SUMIF(Meal_entry_week_1!G$38:G$49,"Slatka_peciva",Meal_entry_week_1!T$38:T$49)</f>
        <v>0</v>
      </c>
      <c r="T316" s="922">
        <f>SUMIF(Meal_entry_week_1!G$137:G$148,"Hleb_i_peciva",Meal_entry_week_1!T$137:T$148)+SUMIF(Meal_entry_week_1!G$137:G$148,"Slana_peciva",Meal_entry_week_1!T$137:T$148)+SUMIF(Meal_entry_week_1!G$137:G$148,"Slatka_peciva",Meal_entry_week_1!T$137:T$148)</f>
        <v>0</v>
      </c>
      <c r="U316" s="922">
        <f>SUMIF(Meal_entry_week_1!G$236:G$247,"Hleb_i_peciva",Meal_entry_week_1!T$236:T$247)+SUMIF(Meal_entry_week_1!G$236:G$247,"Slana_peciva",Meal_entry_week_1!T$236:T$247)+SUMIF(Meal_entry_week_1!G$236:G$247,"Slatka_peciva",Meal_entry_week_1!T$236:T$247)</f>
        <v>0</v>
      </c>
      <c r="V316" s="922">
        <f>SUMIF(Meal_entry_week_1!G$335:G$346,"Hleb_i_peciva",Meal_entry_week_1!T$335:T$346)+SUMIF(Meal_entry_week_1!G$335:G$346,"Slana_peciva",Meal_entry_week_1!T$335:T$346)+SUMIF(Meal_entry_week_1!G$335:G$346,"Slatka_peciva",Meal_entry_week_1!T$335:T$346)</f>
        <v>0</v>
      </c>
      <c r="W316" s="923">
        <f>SUMIF(Meal_entry_week_1!G$434:G$445,"Hleb_i_peciva",Meal_entry_week_1!T$434:T$445)+SUMIF(Meal_entry_week_1!G$434:G$445,"Slana_peciva",Meal_entry_week_1!T$434:T$445)+SUMIF(Meal_entry_week_1!G$434:G$445,"Slatka_peciva",Meal_entry_week_1!T$434:T$445)</f>
        <v>0</v>
      </c>
      <c r="X316" s="921">
        <f>SUMIF(Meal_entry_week_1!G$57:G$81,"Hleb_i_peciva",Meal_entry_week_1!T$57:T$81)+SUMIF(Meal_entry_week_1!G$57:G$81,"Slana_peciva",Meal_entry_week_1!T$57:T$81)+SUMIF(Meal_entry_week_1!G$57:G$81,"Slatka_peciva",Meal_entry_week_1!T$57:T$81)</f>
        <v>0</v>
      </c>
      <c r="Y316" s="922">
        <f>SUMIF(Meal_entry_week_1!G$156:G$180,"Hleb_i_peciva",Meal_entry_week_1!T$156:T$180)+SUMIF(Meal_entry_week_1!G$156:G$180,"Slana_peciva",Meal_entry_week_1!T$156:T$180)+SUMIF(Meal_entry_week_1!G$156:G$180,"Slatka_peciva",Meal_entry_week_1!T$156:T$180)</f>
        <v>0</v>
      </c>
      <c r="Z316" s="922">
        <f>SUMIF(Meal_entry_week_1!G$255:G$279,"Hleb_i_peciva",Meal_entry_week_1!T$255:T$279)+SUMIF(Meal_entry_week_1!G$255:G$279,"Slana_peciva",Meal_entry_week_1!T$255:T$279)+SUMIF(Meal_entry_week_1!G$255:G$279,"Slatka_peciva",Meal_entry_week_1!T$255:T$279)</f>
        <v>0</v>
      </c>
      <c r="AA316" s="922">
        <f>SUMIF(Meal_entry_week_1!G$354:G$378,"Hleb_i_peciva",Meal_entry_week_1!T$354:T$378)+SUMIF(Meal_entry_week_1!G$354:G$378,"Slana_peciva",Meal_entry_week_1!T$354:T$378)+SUMIF(Meal_entry_week_1!G$354:G$378,"Slatka_peciva",Meal_entry_week_1!T$354:T$378)</f>
        <v>0</v>
      </c>
      <c r="AB316" s="923">
        <f>SUMIF(Meal_entry_week_1!G$453:G$477,"Hleb_i_peciva",Meal_entry_week_1!T$453:T$477)+SUMIF(Meal_entry_week_1!G$453:G$477,"Slana_peciva",Meal_entry_week_1!T$453:T$477)+SUMIF(Meal_entry_week_1!G$453:G$477,"Slatka_peciva",Meal_entry_week_1!T$453:T$477)</f>
        <v>0</v>
      </c>
      <c r="AC316" s="921">
        <f>SUMIF(Meal_entry_week_1!BM$11:BM$30,"Hleb_i_peciva",Meal_entry_week_1!BS$11:BS$30)+SUMIF(Meal_entry_week_1!BM$11:BM$30,"Slana_peciva",Meal_entry_week_1!BS$11:BS$30)+SUMIF(Meal_entry_week_1!BM$11:BM$30,"Slatka_peciva",Meal_entry_week_1!BS$11:BS$30)</f>
        <v>0</v>
      </c>
      <c r="AD316" s="922">
        <f>SUMIF(Meal_entry_week_1!G$188:G$199,"Hleb_i_peciva",Meal_entry_week_1!T$188:T$199)+SUMIF(Meal_entry_week_1!G$188:G$199,"Slana_peciva",Meal_entry_week_1!T$188:T$199)+SUMIF(Meal_entry_week_1!G$188:G$199,"Slatka_peciva",Meal_entry_week_1!T$188:T$199)</f>
        <v>0</v>
      </c>
      <c r="AE316" s="922">
        <f>SUMIF(Meal_entry_week_1!G$287:G$298,"Hleb_i_peciva",Meal_entry_week_1!T$287:T$298)+SUMIF(Meal_entry_week_1!G$287:G$298,"Slana_peciva",Meal_entry_week_1!T$287:T$298)+SUMIF(Meal_entry_week_1!G$287:G$298,"Slatka_peciva",Meal_entry_week_1!T$287:T$298)</f>
        <v>0</v>
      </c>
      <c r="AF316" s="922">
        <f>SUMIF(Meal_entry_week_1!G$386:G$397,"Hleb_i_peciva",Meal_entry_week_1!T$386:T$397)+SUMIF(Meal_entry_week_1!G$386:G$397,"Slana_peciva",Meal_entry_week_1!T$386:T$397)+SUMIF(Meal_entry_week_1!G$386:G$397,"Slatka_peciva",Meal_entry_week_1!T$386:T$397)</f>
        <v>0</v>
      </c>
      <c r="AG316" s="923">
        <f>SUMIF(Meal_entry_week_1!G$485:G$496,"Hleb_i_peciva",Meal_entry_week_1!T$485:T$496)+SUMIF(Meal_entry_week_1!G$485:G$496,"Slana_peciva",Meal_entry_week_1!T$485:T$496)+SUMIF(Meal_entry_week_1!G$485:G$496,"Slatka_peciva",Meal_entry_week_1!T$485:T$496)</f>
        <v>0</v>
      </c>
    </row>
    <row r="317" spans="1:33">
      <c r="A317" s="1066"/>
      <c r="B317" s="947" t="s">
        <v>802</v>
      </c>
      <c r="C317" s="945"/>
      <c r="D317" s="948">
        <f t="shared" si="35"/>
        <v>0</v>
      </c>
      <c r="E317" s="955">
        <f t="shared" si="30"/>
        <v>0</v>
      </c>
      <c r="F317" s="955">
        <f t="shared" si="31"/>
        <v>0</v>
      </c>
      <c r="G317" s="955">
        <f t="shared" si="32"/>
        <v>0</v>
      </c>
      <c r="H317" s="972">
        <f t="shared" si="33"/>
        <v>0</v>
      </c>
      <c r="I317" s="921">
        <f t="shared" si="34"/>
        <v>0</v>
      </c>
      <c r="J317" s="922">
        <f t="shared" si="34"/>
        <v>0</v>
      </c>
      <c r="K317" s="922">
        <f t="shared" si="29"/>
        <v>0</v>
      </c>
      <c r="L317" s="922">
        <f t="shared" si="29"/>
        <v>0</v>
      </c>
      <c r="M317" s="923">
        <f t="shared" si="29"/>
        <v>0</v>
      </c>
      <c r="N317" s="921">
        <f>SUMIF(Meal_entry_week_1!G$11:G$30,"Ostala_gotova_hrana",Meal_entry_week_1!T$11:T$30)</f>
        <v>0</v>
      </c>
      <c r="O317" s="922">
        <f>SUMIF(Meal_entry_week_1!G$110:G$129,"Ostala_gotova_hrana",Meal_entry_week_1!T$110:T$129)</f>
        <v>0</v>
      </c>
      <c r="P317" s="922">
        <f>SUMIF(Meal_entry_week_1!G$209:G$228,"Ostala_gotova_hrana",Meal_entry_week_1!T$209:T$228)</f>
        <v>0</v>
      </c>
      <c r="Q317" s="922">
        <f>SUMIF(Meal_entry_week_1!G$308:G$327,"Ostala_gotova_hrana",Meal_entry_week_1!T$308:T$327)</f>
        <v>0</v>
      </c>
      <c r="R317" s="923">
        <f>SUMIF(Meal_entry_week_1!G$407:G$426,"Ostala_gotova_hrana",Meal_entry_week_1!T$407:T$426)</f>
        <v>0</v>
      </c>
      <c r="S317" s="921">
        <f>SUMIF(Meal_entry_week_1!G$38:G$49,"Ostala_gotova_hrana",Meal_entry_week_1!T$38:T$49)</f>
        <v>0</v>
      </c>
      <c r="T317" s="922">
        <f>SUMIF(Meal_entry_week_1!G$137:G$148,"Ostala_gotova_hrana",Meal_entry_week_1!T$137:T$148)</f>
        <v>0</v>
      </c>
      <c r="U317" s="922">
        <f>SUMIF(Meal_entry_week_1!G$236:G$247,"Ostala_gotova_hrana",Meal_entry_week_1!T$236:T$247)</f>
        <v>0</v>
      </c>
      <c r="V317" s="922">
        <f>SUMIF(Meal_entry_week_1!G$335:G$346,"Ostala_gotova_hrana",Meal_entry_week_1!T$335:T$346)</f>
        <v>0</v>
      </c>
      <c r="W317" s="923">
        <f>SUMIF(Meal_entry_week_1!G$434:G$445,"Ostala_gotova_hrana",Meal_entry_week_1!T$434:T$445)</f>
        <v>0</v>
      </c>
      <c r="X317" s="921">
        <f>SUMIF(Meal_entry_week_1!G$57:G$81,"Ostala_gotova_hrana",Meal_entry_week_1!T$57:T$81)</f>
        <v>0</v>
      </c>
      <c r="Y317" s="922">
        <f>SUMIF(Meal_entry_week_1!G$156:G$180,"Ostala_gotova_hrana",Meal_entry_week_1!T$156:T$180)</f>
        <v>0</v>
      </c>
      <c r="Z317" s="922">
        <f>SUMIF(Meal_entry_week_1!G$255:G$279,"Ostala_gotova_hrana",Meal_entry_week_1!T$255:T$279)</f>
        <v>0</v>
      </c>
      <c r="AA317" s="922">
        <f>SUMIF(Meal_entry_week_1!G$354:G$378,"Ostala_gotova_hrana",Meal_entry_week_1!T$354:T$378)</f>
        <v>0</v>
      </c>
      <c r="AB317" s="923">
        <f>SUMIF(Meal_entry_week_1!G$453:G$477,"Ostala_gotova_hrana",Meal_entry_week_1!T$453:T$477)</f>
        <v>0</v>
      </c>
      <c r="AC317" s="921">
        <f>SUMIF(Meal_entry_week_1!BM$11:BM$30,"Ostala_gotova_hrana",Meal_entry_week_1!BS$11:BS$30)</f>
        <v>0</v>
      </c>
      <c r="AD317" s="922">
        <f>SUMIF(Meal_entry_week_1!G$188:G$199,"Ostala_gotova_hrana",Meal_entry_week_1!T$188:T$199)</f>
        <v>0</v>
      </c>
      <c r="AE317" s="922">
        <f>SUMIF(Meal_entry_week_1!G$287:G$298,"Ostala_gotova_hrana",Meal_entry_week_1!T$287:T$298)</f>
        <v>0</v>
      </c>
      <c r="AF317" s="922">
        <f>SUMIF(Meal_entry_week_1!G$386:G$397,"Ostala_gotova_hrana",Meal_entry_week_1!T$386:T$397)</f>
        <v>0</v>
      </c>
      <c r="AG317" s="923">
        <f>SUMIF(Meal_entry_week_1!G$485:G$496,"Ostala_gotova_hrana",Meal_entry_week_1!T$485:T$496)</f>
        <v>0</v>
      </c>
    </row>
    <row r="318" spans="1:33">
      <c r="A318" s="1066"/>
      <c r="B318" s="951" t="s">
        <v>1734</v>
      </c>
      <c r="C318" s="945"/>
      <c r="D318" s="948">
        <f t="shared" si="35"/>
        <v>0</v>
      </c>
      <c r="E318" s="955">
        <f t="shared" si="30"/>
        <v>0</v>
      </c>
      <c r="F318" s="955">
        <f t="shared" si="31"/>
        <v>0</v>
      </c>
      <c r="G318" s="955">
        <f t="shared" si="32"/>
        <v>0</v>
      </c>
      <c r="H318" s="972">
        <f t="shared" si="33"/>
        <v>0</v>
      </c>
      <c r="I318" s="921">
        <f t="shared" si="34"/>
        <v>0</v>
      </c>
      <c r="J318" s="922">
        <f t="shared" si="34"/>
        <v>0</v>
      </c>
      <c r="K318" s="922">
        <f t="shared" si="29"/>
        <v>0</v>
      </c>
      <c r="L318" s="922">
        <f t="shared" si="29"/>
        <v>0</v>
      </c>
      <c r="M318" s="923">
        <f t="shared" si="29"/>
        <v>0</v>
      </c>
      <c r="N318" s="921">
        <f>SUMIF(Meal_entry_week_1!G$11:G$30,"Zasladjena_piča_čajevi_kafa",Meal_entry_week_1!T$11:T$30)</f>
        <v>0</v>
      </c>
      <c r="O318" s="922">
        <f>SUMIF(Meal_entry_week_1!G$110:G$129,"Zasladjena_piča_čajevi_kafa",Meal_entry_week_1!T$110:T$129)</f>
        <v>0</v>
      </c>
      <c r="P318" s="922">
        <f>SUMIF(Meal_entry_week_1!G$209:G$228,"Zasladjena_piča_čajevi_kafa",Meal_entry_week_1!T$209:T$228)</f>
        <v>0</v>
      </c>
      <c r="Q318" s="922">
        <f>SUMIF(Meal_entry_week_1!G$308:G$327,"Zasladjena_piča_čajevi_kafa",Meal_entry_week_1!T$308:T$327)</f>
        <v>0</v>
      </c>
      <c r="R318" s="923">
        <f>SUMIF(Meal_entry_week_1!G$407:G$426,"Zasladjena_piča_čajevi_kafa",Meal_entry_week_1!T$407:T$426)</f>
        <v>0</v>
      </c>
      <c r="S318" s="921">
        <f>SUMIF(Meal_entry_week_1!G$38:G$49,"Zasladjena_piča_čajevi_kafa",Meal_entry_week_1!T$38:T$49)</f>
        <v>0</v>
      </c>
      <c r="T318" s="922">
        <f>SUMIF(Meal_entry_week_1!G$137:G$148,"Zasladjena_piča_čajevi_kafa",Meal_entry_week_1!T$137:T$148)</f>
        <v>0</v>
      </c>
      <c r="U318" s="922">
        <f>SUMIF(Meal_entry_week_1!G$236:G$247,"Zasladjena_piča_čajevi_kafa",Meal_entry_week_1!T$236:T$247)</f>
        <v>0</v>
      </c>
      <c r="V318" s="922">
        <f>SUMIF(Meal_entry_week_1!G$335:G$346,"Zasladjena_piča_čajevi_kafa",Meal_entry_week_1!T$335:T$346)</f>
        <v>0</v>
      </c>
      <c r="W318" s="923">
        <f>SUMIF(Meal_entry_week_1!G$434:G$445,"Zasladjena_piča_čajevi_kafa",Meal_entry_week_1!T$434:T$445)</f>
        <v>0</v>
      </c>
      <c r="X318" s="921">
        <f>SUMIF(Meal_entry_week_1!G$57:G$81,"Zasladjena_piča_čajevi_kafa",Meal_entry_week_1!T$57:T$81)</f>
        <v>0</v>
      </c>
      <c r="Y318" s="922">
        <f>SUMIF(Meal_entry_week_1!G$156:G$180,"Zasladjena_piča_čajevi_kafa",Meal_entry_week_1!T$156:T$180)</f>
        <v>0</v>
      </c>
      <c r="Z318" s="922">
        <f>SUMIF(Meal_entry_week_1!G$255:G$279,"Zasladjena_piča_čajevi_kafa",Meal_entry_week_1!T$255:T$279)</f>
        <v>0</v>
      </c>
      <c r="AA318" s="922">
        <f>SUMIF(Meal_entry_week_1!G$354:G$378,"Zasladjena_piča_čajevi_kafa",Meal_entry_week_1!T$354:T$378)</f>
        <v>0</v>
      </c>
      <c r="AB318" s="923">
        <f>SUMIF(Meal_entry_week_1!G$453:G$477,"Zasladjena_piča_čajevi_kafa",Meal_entry_week_1!T$453:T$477)</f>
        <v>0</v>
      </c>
      <c r="AC318" s="921">
        <f>SUMIF(Meal_entry_week_1!BM$11:BM$30,"Zasladjena_piča_čajevi_kafa",Meal_entry_week_1!BS$11:BS$30)</f>
        <v>0</v>
      </c>
      <c r="AD318" s="922">
        <f>SUMIF(Meal_entry_week_1!G$188:G$199,"Zasladjena_piča_čajevi_kafa",Meal_entry_week_1!T$188:T$199)</f>
        <v>0</v>
      </c>
      <c r="AE318" s="922">
        <f>SUMIF(Meal_entry_week_1!G$287:G$298,"Zasladjena_piča_čajevi_kafa",Meal_entry_week_1!T$287:T$298)</f>
        <v>0</v>
      </c>
      <c r="AF318" s="922">
        <f>SUMIF(Meal_entry_week_1!G$386:G$397,"Zasladjena_piča_čajevi_kafa",Meal_entry_week_1!T$386:T$397)</f>
        <v>0</v>
      </c>
      <c r="AG318" s="923">
        <f>SUMIF(Meal_entry_week_1!G$485:G$496,"Zasladjena_piča_čajevi_kafa",Meal_entry_week_1!T$485:T$496)</f>
        <v>0</v>
      </c>
    </row>
    <row r="319" spans="1:33" ht="15" thickBot="1">
      <c r="A319" s="1066"/>
      <c r="B319" s="952" t="s">
        <v>1429</v>
      </c>
      <c r="C319" s="945"/>
      <c r="D319" s="953">
        <f t="shared" si="35"/>
        <v>0</v>
      </c>
      <c r="E319" s="973">
        <f t="shared" si="30"/>
        <v>0</v>
      </c>
      <c r="F319" s="973">
        <f t="shared" si="31"/>
        <v>0</v>
      </c>
      <c r="G319" s="973">
        <f t="shared" si="32"/>
        <v>0</v>
      </c>
      <c r="H319" s="974">
        <f t="shared" si="33"/>
        <v>0</v>
      </c>
      <c r="I319" s="930">
        <f t="shared" si="34"/>
        <v>0</v>
      </c>
      <c r="J319" s="931">
        <f t="shared" si="34"/>
        <v>0</v>
      </c>
      <c r="K319" s="931">
        <f t="shared" si="29"/>
        <v>0</v>
      </c>
      <c r="L319" s="931">
        <f t="shared" si="29"/>
        <v>0</v>
      </c>
      <c r="M319" s="932">
        <f t="shared" si="29"/>
        <v>0</v>
      </c>
      <c r="N319" s="930">
        <f>SUMIF(Meal_entry_week_1!G$11:G$30,"Voćni_sokovi_voda",Meal_entry_week_1!T$11:T$30)</f>
        <v>0</v>
      </c>
      <c r="O319" s="931">
        <f>SUMIF(Meal_entry_week_1!G$110:G$129,"Voćni_sokovi_voda",Meal_entry_week_1!T$110:T$129)</f>
        <v>0</v>
      </c>
      <c r="P319" s="931">
        <f>SUMIF(Meal_entry_week_1!G$209:G$228,"Voćni_sokovi_voda",Meal_entry_week_1!T$209:T$228)</f>
        <v>0</v>
      </c>
      <c r="Q319" s="931">
        <f>SUMIF(Meal_entry_week_1!G$308:G$327,"Voćni_sokovi_voda",Meal_entry_week_1!T$308:T$327)</f>
        <v>0</v>
      </c>
      <c r="R319" s="932">
        <f>SUMIF(Meal_entry_week_1!G$407:G$426,"Voćni_sokovi_voda",Meal_entry_week_1!T$407:T$426)</f>
        <v>0</v>
      </c>
      <c r="S319" s="930">
        <f>SUMIF(Meal_entry_week_1!G$38:G$49,"Voćni_sokovi_voda",Meal_entry_week_1!T$38:T$49)</f>
        <v>0</v>
      </c>
      <c r="T319" s="931">
        <f>SUMIF(Meal_entry_week_1!G$137:G$148,"Voćni_sokovi_voda",Meal_entry_week_1!T$137:T$148)</f>
        <v>0</v>
      </c>
      <c r="U319" s="931">
        <f>SUMIF(Meal_entry_week_1!G$236:G$247,"Voćni_sokovi_voda",Meal_entry_week_1!T$236:T$247)</f>
        <v>0</v>
      </c>
      <c r="V319" s="931">
        <f>SUMIF(Meal_entry_week_1!G$335:G$346,"Voćni_sokovi_voda",Meal_entry_week_1!T$335:T$346)</f>
        <v>0</v>
      </c>
      <c r="W319" s="932">
        <f>SUMIF(Meal_entry_week_1!G$434:G$445,"Voćni_sokovi_voda",Meal_entry_week_1!T$434:T$445)</f>
        <v>0</v>
      </c>
      <c r="X319" s="930">
        <f>SUMIF(Meal_entry_week_1!G$57:G$81,"Voćni_sokovi_voda",Meal_entry_week_1!T$57:T$81)</f>
        <v>0</v>
      </c>
      <c r="Y319" s="931">
        <f>SUMIF(Meal_entry_week_1!G$156:G$180,"Voćni_sokovi_voda",Meal_entry_week_1!T$156:T$180)</f>
        <v>0</v>
      </c>
      <c r="Z319" s="931">
        <f>SUMIF(Meal_entry_week_1!G$255:G$279,"Voćni_sokovi_voda",Meal_entry_week_1!T$255:T$279)</f>
        <v>0</v>
      </c>
      <c r="AA319" s="931">
        <f>SUMIF(Meal_entry_week_1!G$354:G$378,"Voćni_sokovi_voda",Meal_entry_week_1!T$354:T$378)</f>
        <v>0</v>
      </c>
      <c r="AB319" s="932">
        <f>SUMIF(Meal_entry_week_1!G$453:G$477,"Voćni_sokovi_voda",Meal_entry_week_1!T$453:T$477)</f>
        <v>0</v>
      </c>
      <c r="AC319" s="930">
        <f>SUMIF(Meal_entry_week_1!BM$11:BM$30,"Voćni_sokovi_voda",Meal_entry_week_1!BS$11:BS$30)</f>
        <v>0</v>
      </c>
      <c r="AD319" s="931">
        <f>SUMIF(Meal_entry_week_1!G$188:G$199,"Voćni_sokovi_voda",Meal_entry_week_1!T$188:T$199)</f>
        <v>0</v>
      </c>
      <c r="AE319" s="931">
        <f>SUMIF(Meal_entry_week_1!G$287:G$298,"Voćni_sokovi_voda",Meal_entry_week_1!T$287:T$298)</f>
        <v>0</v>
      </c>
      <c r="AF319" s="931">
        <f>SUMIF(Meal_entry_week_1!G$386:G$397,"Voćni_sokovi_voda",Meal_entry_week_1!T$386:T$397)</f>
        <v>0</v>
      </c>
      <c r="AG319" s="932">
        <f>SUMIF(Meal_entry_week_1!G$485:G$496,"Voćni_sokovi_voda",Meal_entry_week_1!T$485:T$496)</f>
        <v>0</v>
      </c>
    </row>
    <row r="320" spans="1:33">
      <c r="A320" s="1195"/>
      <c r="B320" s="406"/>
      <c r="H320" s="406" t="s">
        <v>3577</v>
      </c>
      <c r="I320" s="406" t="s">
        <v>3845</v>
      </c>
      <c r="J320" s="406" t="s">
        <v>3846</v>
      </c>
      <c r="K320" s="406" t="s">
        <v>3847</v>
      </c>
      <c r="L320" s="406" t="s">
        <v>3848</v>
      </c>
      <c r="M320" s="406" t="s">
        <v>3849</v>
      </c>
    </row>
    <row r="321" spans="1:40">
      <c r="A321" s="1066"/>
      <c r="B321" s="956" t="s">
        <v>3554</v>
      </c>
      <c r="C321" s="945"/>
      <c r="D321" s="1269" t="s">
        <v>3140</v>
      </c>
      <c r="E321" s="1083" t="s">
        <v>3069</v>
      </c>
      <c r="F321" s="1083" t="s">
        <v>3077</v>
      </c>
      <c r="G321" s="1083" t="s">
        <v>3073</v>
      </c>
      <c r="H321" s="1083" t="s">
        <v>3070</v>
      </c>
      <c r="I321" s="913" t="s">
        <v>3575</v>
      </c>
      <c r="J321" s="913" t="s">
        <v>3072</v>
      </c>
      <c r="K321" s="1083" t="s">
        <v>3085</v>
      </c>
      <c r="L321" s="1083" t="s">
        <v>3075</v>
      </c>
      <c r="M321" s="1083" t="s">
        <v>3141</v>
      </c>
      <c r="N321" s="1083" t="s">
        <v>3550</v>
      </c>
      <c r="O321" s="1083" t="s">
        <v>3078</v>
      </c>
      <c r="P321" s="1083" t="s">
        <v>3551</v>
      </c>
      <c r="Q321" s="1083" t="s">
        <v>3082</v>
      </c>
      <c r="R321" s="1083" t="s">
        <v>3083</v>
      </c>
      <c r="S321" s="1083" t="s">
        <v>3084</v>
      </c>
      <c r="T321" s="407">
        <f>MAX(X322:X326)</f>
        <v>98.423273829693755</v>
      </c>
      <c r="U321" s="407" t="s">
        <v>3975</v>
      </c>
      <c r="V321" s="406" t="s">
        <v>3976</v>
      </c>
      <c r="W321" s="406" t="s">
        <v>3977</v>
      </c>
      <c r="X321" s="406" t="s">
        <v>3978</v>
      </c>
      <c r="Y321" s="913"/>
      <c r="Z321" s="913"/>
      <c r="AA321" s="913"/>
      <c r="AB321" s="913"/>
      <c r="AC321" s="913"/>
      <c r="AD321" s="913"/>
      <c r="AE321" s="913"/>
      <c r="AF321" s="913"/>
      <c r="AG321" s="913"/>
    </row>
    <row r="322" spans="1:40" s="1071" customFormat="1">
      <c r="A322" s="1066"/>
      <c r="B322" s="956" t="str">
        <f>IF($B$90=1,IF($AF$34=1,B333,(IF($AF$34=2,B339,B339))),IF($AF$34=1,V333,(IF($AF$34=2,V339,V339))))</f>
        <v>Snack-2</v>
      </c>
      <c r="C322" s="945"/>
      <c r="D322" s="1069">
        <f t="shared" ref="D322:S322" si="36">IF($B$90=1,IF($AF$34=1,D333,(IF($AF$34=2,D339,IF($AF$34=3,D345,IF($AF$34=4,D351,IF($AF$34=5,D357,D363)))))),IF($AF$34=1,W333,(IF($AF$34=2,W339,IF($AF$34=3,W345,IF($AF$34=4,W351,IF($AF$34=5,W357,W363)))))))</f>
        <v>0</v>
      </c>
      <c r="E322" s="1069">
        <f t="shared" si="36"/>
        <v>0</v>
      </c>
      <c r="F322" s="1069">
        <f t="shared" si="36"/>
        <v>0</v>
      </c>
      <c r="G322" s="1069">
        <f t="shared" si="36"/>
        <v>0</v>
      </c>
      <c r="H322" s="1069">
        <f t="shared" si="36"/>
        <v>0</v>
      </c>
      <c r="I322" s="1069">
        <f t="shared" si="36"/>
        <v>0</v>
      </c>
      <c r="J322" s="1069">
        <f t="shared" si="36"/>
        <v>0</v>
      </c>
      <c r="K322" s="1069">
        <f t="shared" si="36"/>
        <v>0</v>
      </c>
      <c r="L322" s="1069">
        <f t="shared" si="36"/>
        <v>0</v>
      </c>
      <c r="M322" s="1069">
        <f t="shared" si="36"/>
        <v>0</v>
      </c>
      <c r="N322" s="1069">
        <f t="shared" si="36"/>
        <v>0</v>
      </c>
      <c r="O322" s="1069">
        <f t="shared" si="36"/>
        <v>0</v>
      </c>
      <c r="P322" s="1069">
        <f t="shared" si="36"/>
        <v>0</v>
      </c>
      <c r="Q322" s="1069">
        <f t="shared" si="36"/>
        <v>0</v>
      </c>
      <c r="R322" s="1069">
        <f t="shared" si="36"/>
        <v>0</v>
      </c>
      <c r="S322" s="1069">
        <f t="shared" si="36"/>
        <v>0</v>
      </c>
      <c r="T322" s="1155">
        <f>$T$321+10-SUM(D322:S322)</f>
        <v>108.42327382969376</v>
      </c>
      <c r="U322" s="407">
        <f>SUM(D322:S322)</f>
        <v>0</v>
      </c>
      <c r="V322" s="407">
        <f>SUM(E322:S322)</f>
        <v>0</v>
      </c>
      <c r="W322" s="407">
        <f>IF($B$90=1,IF($AF$34=1,U333,(IF($AF$34=2,U339,IF($AF$34=3,U345,IF($AF$34=4,U351,IF($AF$34=5,U357,U363)))))),IF($AF$34=1,AN333,(IF($AF$34=2,AN339,IF($AF$34=3,AN345,IF($AF$34=4,AN351,IF($AF$34=5,AN357,AN363)))))))</f>
        <v>0</v>
      </c>
      <c r="X322" s="407">
        <f>V322+W322</f>
        <v>0</v>
      </c>
      <c r="Y322" s="922"/>
      <c r="Z322" s="922"/>
      <c r="AA322" s="922"/>
      <c r="AB322" s="922"/>
      <c r="AC322" s="922"/>
      <c r="AD322" s="922"/>
      <c r="AE322" s="922"/>
      <c r="AF322" s="922"/>
      <c r="AG322" s="922"/>
    </row>
    <row r="323" spans="1:40">
      <c r="A323" s="1066"/>
      <c r="B323" s="956" t="str">
        <f>IF($B$90=1,IF($AF$34=1,B332,(IF($AF$34=2,B338,B338))),IF($AF$34=1,V332,(IF($AF$34=2,V338,V338))))</f>
        <v>Lunch</v>
      </c>
      <c r="C323" s="945"/>
      <c r="D323" s="1072">
        <f t="shared" ref="D323:S323" si="37">IF($B$90=1,IF($AF$34=1,D332,(IF($AF$34=2,D338,IF($AF$34=3,D344,IF($AF$34=4, D350,IF($AF$34=5,D356,D362)))))),IF($AF$34=1,D332,(IF($AF$34=2,W338,IF($AF$34=3,W344,IF($AF$34=4, W350,IF($AF$34=5,W356,W362)))))))</f>
        <v>26.717660850392583</v>
      </c>
      <c r="E323" s="1072">
        <f t="shared" si="37"/>
        <v>1.0121979756040489</v>
      </c>
      <c r="F323" s="1072">
        <f t="shared" si="37"/>
        <v>7.1279857440285124</v>
      </c>
      <c r="G323" s="1072">
        <f t="shared" si="37"/>
        <v>12.099975800048401</v>
      </c>
      <c r="H323" s="1072">
        <f t="shared" si="37"/>
        <v>3.7199925600148807</v>
      </c>
      <c r="I323" s="1072">
        <f t="shared" si="37"/>
        <v>0</v>
      </c>
      <c r="J323" s="1072">
        <f t="shared" si="37"/>
        <v>3.8499923000154004</v>
      </c>
      <c r="K323" s="1072">
        <f t="shared" si="37"/>
        <v>4.3715341140746293</v>
      </c>
      <c r="L323" s="1072">
        <f t="shared" si="37"/>
        <v>2.2849154301691397</v>
      </c>
      <c r="M323" s="1072">
        <f t="shared" si="37"/>
        <v>5.1831096337807328</v>
      </c>
      <c r="N323" s="1072">
        <f t="shared" si="37"/>
        <v>2.7937078671297209</v>
      </c>
      <c r="O323" s="1072">
        <f t="shared" si="37"/>
        <v>0</v>
      </c>
      <c r="P323" s="1072">
        <f t="shared" si="37"/>
        <v>5.2799894400211205</v>
      </c>
      <c r="Q323" s="1072">
        <f t="shared" si="37"/>
        <v>0</v>
      </c>
      <c r="R323" s="1072">
        <f t="shared" si="37"/>
        <v>0</v>
      </c>
      <c r="S323" s="1072">
        <f t="shared" si="37"/>
        <v>0</v>
      </c>
      <c r="T323" s="1155">
        <f>$T$321+10-SUM(D323:S323)</f>
        <v>33.982212114414565</v>
      </c>
      <c r="U323" s="407">
        <f>SUM(D323:S323)</f>
        <v>74.44106171527919</v>
      </c>
      <c r="V323" s="407">
        <f>SUM(E323:S323)</f>
        <v>47.723400864886585</v>
      </c>
      <c r="W323" s="407">
        <f>IF($B$90=1,IF($AF$34=1,U332,(IF($AF$34=2,U338,IF($AF$34=3,U344,IF($AF$34=4, U350,IF($AF$34=5,U356,U362)))))),IF($AF$34=1,AN332,(IF($AF$34=2,AN338,IF($AF$34=3,AN344,IF($AF$34=4, AN350,IF($AF$34=5,AN356,AN362)))))))</f>
        <v>26.36443298541975</v>
      </c>
      <c r="X323" s="407">
        <f t="shared" ref="X323:X325" si="38">V323+W323</f>
        <v>74.087833850306339</v>
      </c>
      <c r="Y323" s="1073"/>
      <c r="Z323" s="1073"/>
      <c r="AA323" s="1073"/>
      <c r="AB323" s="1073"/>
      <c r="AC323" s="1073"/>
      <c r="AD323" s="1073"/>
      <c r="AE323" s="1073"/>
      <c r="AF323" s="1073"/>
      <c r="AG323" s="1073"/>
    </row>
    <row r="324" spans="1:40">
      <c r="A324" s="1066"/>
      <c r="B324" s="956" t="str">
        <f>IF($B$90=1,IF($AF$34=1,B331,(IF($AF$34=2,B337,B337))),IF($AF$34=1,V331,(IF($AF$34=2,V337,V337))))</f>
        <v>Snack-1</v>
      </c>
      <c r="C324" s="945"/>
      <c r="D324" s="1072">
        <f t="shared" ref="D324:S324" si="39">IF($B$90=1,IF($AF$34=1,D331,(IF($AF$34=2,D337,IF($AF$34=3,D343,IF($AF$34=4, D349,IF($AF$34=5,D355,D361)))))),IF($AF$34=1,W331,(IF($AF$34=2,W337,IF($AF$34=3,W343,IF($AF$34=4, W349,IF($AF$34=5,W355,W361)))))))</f>
        <v>0</v>
      </c>
      <c r="E324" s="1072">
        <f t="shared" si="39"/>
        <v>0</v>
      </c>
      <c r="F324" s="1072">
        <f t="shared" si="39"/>
        <v>0</v>
      </c>
      <c r="G324" s="1072">
        <f t="shared" si="39"/>
        <v>0</v>
      </c>
      <c r="H324" s="1072">
        <f t="shared" si="39"/>
        <v>1.1999976000048</v>
      </c>
      <c r="I324" s="1072">
        <f t="shared" si="39"/>
        <v>0</v>
      </c>
      <c r="J324" s="1072">
        <f t="shared" si="39"/>
        <v>0.37766591133484406</v>
      </c>
      <c r="K324" s="1072">
        <f t="shared" si="39"/>
        <v>9.6754473157720362</v>
      </c>
      <c r="L324" s="1072">
        <f t="shared" si="39"/>
        <v>1.1373977252045495</v>
      </c>
      <c r="M324" s="1072">
        <f t="shared" si="39"/>
        <v>0.58682682634634742</v>
      </c>
      <c r="N324" s="1072">
        <f t="shared" si="39"/>
        <v>0.65135869728260554</v>
      </c>
      <c r="O324" s="1072">
        <f t="shared" si="39"/>
        <v>3.514869911436648</v>
      </c>
      <c r="P324" s="1072">
        <f t="shared" si="39"/>
        <v>5.3373726585880163</v>
      </c>
      <c r="Q324" s="1072">
        <f t="shared" si="39"/>
        <v>0</v>
      </c>
      <c r="R324" s="1072">
        <f t="shared" si="39"/>
        <v>5.6399887200225605</v>
      </c>
      <c r="S324" s="1072">
        <f t="shared" si="39"/>
        <v>0</v>
      </c>
      <c r="T324" s="1155">
        <f t="shared" ref="T324:T326" si="40">$T$321+10-SUM(D324:S324)</f>
        <v>80.30234846370135</v>
      </c>
      <c r="U324" s="407">
        <f>SUM(D324:S324)</f>
        <v>28.120925365992409</v>
      </c>
      <c r="V324" s="407">
        <f>SUM(E324:S324)</f>
        <v>28.120925365992409</v>
      </c>
      <c r="W324" s="407">
        <f>IF($B$90=1,IF($AF$34=1,U331,(IF($AF$34=2,U337,IF($AF$34=3,U343,IF($AF$34=4, U349,IF($AF$34=5,U355,U361)))))),IF($AF$34=1,AN331,(IF($AF$34=2,AN337,IF($AF$34=3,AN343,IF($AF$34=4, AN349,IF($AF$34=5,AN355,AN361)))))))</f>
        <v>0</v>
      </c>
      <c r="X324" s="407">
        <f t="shared" si="38"/>
        <v>28.120925365992409</v>
      </c>
      <c r="Y324" s="1073"/>
      <c r="Z324" s="1073"/>
      <c r="AA324" s="1073"/>
      <c r="AB324" s="1073"/>
      <c r="AC324" s="1073"/>
      <c r="AD324" s="1073"/>
      <c r="AE324" s="1073"/>
      <c r="AF324" s="1073"/>
      <c r="AG324" s="1073"/>
    </row>
    <row r="325" spans="1:40">
      <c r="A325" s="1066"/>
      <c r="B325" s="956" t="str">
        <f>IF($B$90=1,IF($AF$34=1,B330,(IF($AF$34=2,B336,B336))),IF($AF$34=1,V330,(IF($AF$34=2,V336,V336))))</f>
        <v>Breakfast</v>
      </c>
      <c r="C325" s="945"/>
      <c r="D325" s="1072">
        <f t="shared" ref="D325:S325" si="41">IF($B$90=1,IF($AF$34=1,D330,(IF($AF$34=2,D336,IF($AF$34=3,D342,IF($AF$34=4, D348,IF($AF$34=5,D354,D360)))))),IF($AF$34=1,W330,(IF($AF$34=2,W336,IF($AF$34=3,W342,IF($AF$34=4, W348,IF($AF$34=5,W354,W360)))))))</f>
        <v>0</v>
      </c>
      <c r="E325" s="1072">
        <f t="shared" si="41"/>
        <v>0</v>
      </c>
      <c r="F325" s="1072">
        <f t="shared" si="41"/>
        <v>0</v>
      </c>
      <c r="G325" s="1072">
        <f t="shared" si="41"/>
        <v>0</v>
      </c>
      <c r="H325" s="1072">
        <f t="shared" si="41"/>
        <v>0</v>
      </c>
      <c r="I325" s="1072">
        <f t="shared" si="41"/>
        <v>0</v>
      </c>
      <c r="J325" s="1072">
        <f t="shared" si="41"/>
        <v>0</v>
      </c>
      <c r="K325" s="1072">
        <f t="shared" si="41"/>
        <v>0</v>
      </c>
      <c r="L325" s="1072">
        <f t="shared" si="41"/>
        <v>0</v>
      </c>
      <c r="M325" s="1072">
        <f t="shared" si="41"/>
        <v>0</v>
      </c>
      <c r="N325" s="1072">
        <f t="shared" si="41"/>
        <v>0</v>
      </c>
      <c r="O325" s="1072">
        <f t="shared" si="41"/>
        <v>0</v>
      </c>
      <c r="P325" s="1072">
        <f t="shared" si="41"/>
        <v>0</v>
      </c>
      <c r="Q325" s="1072">
        <f t="shared" si="41"/>
        <v>0</v>
      </c>
      <c r="R325" s="1072">
        <f t="shared" si="41"/>
        <v>0</v>
      </c>
      <c r="S325" s="1072">
        <f t="shared" si="41"/>
        <v>0</v>
      </c>
      <c r="T325" s="1155">
        <f t="shared" si="40"/>
        <v>108.42327382969376</v>
      </c>
      <c r="U325" s="407">
        <f>SUM(D325:S325)</f>
        <v>0</v>
      </c>
      <c r="V325" s="407">
        <f>SUM(E325:S325)</f>
        <v>0</v>
      </c>
      <c r="W325" s="407">
        <f>IF($B$90=1,IF($AF$34=1,U330,(IF($AF$34=2,U336,IF($AF$34=3,U342,IF($AF$34=4, U348,IF($AF$34=5,U354,U360)))))),IF($AF$34=1,AN330,(IF($AF$34=2,AN336,IF($AF$34=3,AN342,IF($AF$34=4, AN348,IF($AF$34=5,AN354,AN360)))))))</f>
        <v>0</v>
      </c>
      <c r="X325" s="407">
        <f t="shared" si="38"/>
        <v>0</v>
      </c>
      <c r="Y325" s="1073"/>
      <c r="Z325" s="1073"/>
      <c r="AA325" s="1073"/>
      <c r="AB325" s="1073"/>
      <c r="AC325" s="1073"/>
      <c r="AD325" s="1073"/>
      <c r="AE325" s="1073"/>
      <c r="AF325" s="1073"/>
      <c r="AG325" s="1073"/>
    </row>
    <row r="326" spans="1:40">
      <c r="A326" s="1066"/>
      <c r="B326" s="1074" t="str">
        <f>IF($B$90=1,IF($AF$34=1,B329,(IF($AF$34=2,B335,B335))),IF($AF$34=1,V329,(IF($AF$34=2,V335,V335))))</f>
        <v>Total</v>
      </c>
      <c r="C326" s="1027"/>
      <c r="D326" s="1075">
        <f t="shared" ref="D326:S326" si="42">IF($B$90=1,IF($AF$34=1,D329,(IF($AF$34=2,D335,IF($AF$34=3,D341,IF($AF$34=4, D347,IF($AF$34=5,D353,D359)))))),IF($AF$34=1,W329,(IF($AF$34=2,W335,IF($AF$34=3,W341,IF($AF$34=4, W347,IF($AF$34=5,W353,W359)))))))</f>
        <v>26.36443298541975</v>
      </c>
      <c r="E326" s="1075">
        <f t="shared" si="42"/>
        <v>0.90514104686076347</v>
      </c>
      <c r="F326" s="1075">
        <f t="shared" si="42"/>
        <v>6.1379877240245531</v>
      </c>
      <c r="G326" s="1075">
        <f t="shared" si="42"/>
        <v>11.439977120045761</v>
      </c>
      <c r="H326" s="1075">
        <f t="shared" si="42"/>
        <v>3.4319931360137286</v>
      </c>
      <c r="I326" s="1075">
        <f t="shared" si="42"/>
        <v>0</v>
      </c>
      <c r="J326" s="1075">
        <f t="shared" si="42"/>
        <v>2.7609944780110443</v>
      </c>
      <c r="K326" s="1075">
        <f t="shared" si="42"/>
        <v>15.309716047234573</v>
      </c>
      <c r="L326" s="1075">
        <f t="shared" si="42"/>
        <v>4.4509510980978035</v>
      </c>
      <c r="M326" s="1075">
        <f t="shared" si="42"/>
        <v>6.0550078899842212</v>
      </c>
      <c r="N326" s="1075">
        <f t="shared" si="42"/>
        <v>2.0542090552182533</v>
      </c>
      <c r="O326" s="1075">
        <f t="shared" si="42"/>
        <v>3.8067213277338157</v>
      </c>
      <c r="P326" s="1075">
        <f t="shared" si="42"/>
        <v>10.066153201026932</v>
      </c>
      <c r="Q326" s="1075">
        <f t="shared" si="42"/>
        <v>0</v>
      </c>
      <c r="R326" s="1075">
        <f t="shared" si="42"/>
        <v>5.6399887200225605</v>
      </c>
      <c r="S326" s="1075">
        <f t="shared" si="42"/>
        <v>0</v>
      </c>
      <c r="T326" s="1155">
        <f t="shared" si="40"/>
        <v>10</v>
      </c>
      <c r="U326" s="407">
        <f>SUM(D326:S326)</f>
        <v>98.423273829693755</v>
      </c>
      <c r="V326" s="407">
        <f>SUM(E326:S326)</f>
        <v>72.058840844274002</v>
      </c>
      <c r="W326" s="407">
        <f>IF($B$90=1,IF($AF$34=1,U329,(IF($AF$34=2,U335,IF($AF$34=3,U341,IF($AF$34=4, U347,IF($AF$34=5,U353,U359)))))),IF($AF$34=1,AN329,(IF($AF$34=2,AN335,IF($AF$34=3,AN341,IF($AF$34=4, AN347,IF($AF$34=5,AN353,AN359)))))))</f>
        <v>26.36443298541975</v>
      </c>
      <c r="X326" s="407">
        <f>V326+W326</f>
        <v>98.423273829693755</v>
      </c>
      <c r="Y326" s="1073"/>
      <c r="Z326" s="1073"/>
      <c r="AA326" s="1073"/>
      <c r="AB326" s="1073"/>
      <c r="AC326" s="1073"/>
      <c r="AD326" s="1073"/>
      <c r="AE326" s="1073"/>
      <c r="AF326" s="1073"/>
      <c r="AG326" s="1073"/>
    </row>
    <row r="327" spans="1:40">
      <c r="A327" s="1066"/>
      <c r="B327" s="913"/>
      <c r="C327" s="945"/>
      <c r="D327" s="1072"/>
      <c r="E327" s="1072"/>
      <c r="F327" s="1072"/>
      <c r="G327" s="1072"/>
      <c r="H327" s="1072"/>
      <c r="I327" s="1072"/>
      <c r="J327" s="1072"/>
      <c r="K327" s="1072"/>
      <c r="L327" s="1072"/>
      <c r="M327" s="1072"/>
      <c r="N327" s="1072"/>
      <c r="O327" s="1072"/>
      <c r="P327" s="1072"/>
      <c r="Q327" s="1072"/>
      <c r="R327" s="1072"/>
      <c r="S327" s="1072"/>
      <c r="T327" s="1070"/>
      <c r="U327" s="1072"/>
      <c r="V327" s="1073"/>
      <c r="W327" s="1073"/>
      <c r="X327" s="1073"/>
      <c r="Y327" s="1073"/>
      <c r="Z327" s="1073"/>
      <c r="AA327" s="1073"/>
      <c r="AB327" s="1073"/>
      <c r="AC327" s="1073"/>
      <c r="AD327" s="1073"/>
      <c r="AE327" s="1073"/>
      <c r="AF327" s="1073"/>
      <c r="AG327" s="1073"/>
    </row>
    <row r="328" spans="1:40">
      <c r="A328" s="1066"/>
      <c r="B328" s="956" t="s">
        <v>3555</v>
      </c>
      <c r="C328" s="945"/>
      <c r="D328" s="1269" t="s">
        <v>3140</v>
      </c>
      <c r="E328" s="1083" t="s">
        <v>3069</v>
      </c>
      <c r="F328" s="1083" t="s">
        <v>3077</v>
      </c>
      <c r="G328" s="1083" t="s">
        <v>3073</v>
      </c>
      <c r="H328" s="1083" t="s">
        <v>3070</v>
      </c>
      <c r="I328" s="913" t="s">
        <v>3575</v>
      </c>
      <c r="J328" s="913" t="s">
        <v>3072</v>
      </c>
      <c r="K328" s="1083" t="s">
        <v>3085</v>
      </c>
      <c r="L328" s="1083" t="s">
        <v>3075</v>
      </c>
      <c r="M328" s="1083" t="s">
        <v>3141</v>
      </c>
      <c r="N328" s="1083" t="s">
        <v>3550</v>
      </c>
      <c r="O328" s="1083" t="s">
        <v>3078</v>
      </c>
      <c r="P328" s="1083" t="s">
        <v>3551</v>
      </c>
      <c r="Q328" s="1083" t="s">
        <v>3082</v>
      </c>
      <c r="R328" s="1083" t="s">
        <v>3083</v>
      </c>
      <c r="S328" s="1083" t="s">
        <v>3084</v>
      </c>
      <c r="T328" s="1070"/>
      <c r="U328" s="406" t="s">
        <v>3140</v>
      </c>
      <c r="V328" s="956" t="s">
        <v>3555</v>
      </c>
      <c r="W328" s="1269" t="s">
        <v>3140</v>
      </c>
      <c r="X328" s="1083" t="s">
        <v>3069</v>
      </c>
      <c r="Y328" s="1083" t="s">
        <v>3077</v>
      </c>
      <c r="Z328" s="1083" t="s">
        <v>3073</v>
      </c>
      <c r="AA328" s="1083" t="s">
        <v>3070</v>
      </c>
      <c r="AB328" s="913" t="s">
        <v>3575</v>
      </c>
      <c r="AC328" s="913" t="s">
        <v>3072</v>
      </c>
      <c r="AD328" s="1083" t="s">
        <v>3085</v>
      </c>
      <c r="AE328" s="1083" t="s">
        <v>3075</v>
      </c>
      <c r="AF328" s="1083" t="s">
        <v>3141</v>
      </c>
      <c r="AG328" s="1083" t="s">
        <v>3550</v>
      </c>
      <c r="AH328" s="1083" t="s">
        <v>3078</v>
      </c>
      <c r="AI328" s="1083" t="s">
        <v>3551</v>
      </c>
      <c r="AJ328" s="1083" t="s">
        <v>3082</v>
      </c>
      <c r="AK328" s="1083" t="s">
        <v>3083</v>
      </c>
      <c r="AL328" s="1083" t="s">
        <v>3084</v>
      </c>
      <c r="AM328" s="1070">
        <f>SUM(W329:AL329)</f>
        <v>98.423273829693755</v>
      </c>
      <c r="AN328" s="406" t="s">
        <v>3140</v>
      </c>
    </row>
    <row r="329" spans="1:40" s="1071" customFormat="1">
      <c r="A329" s="1066"/>
      <c r="B329" s="956" t="s">
        <v>1431</v>
      </c>
      <c r="C329" s="945"/>
      <c r="D329" s="1069">
        <f>SUM(D330:D333)</f>
        <v>28.517657250399782</v>
      </c>
      <c r="E329" s="1069">
        <f t="shared" ref="E329:M329" si="43">SUM(E330:E333)</f>
        <v>1.3013973972052058</v>
      </c>
      <c r="F329" s="1069">
        <f t="shared" si="43"/>
        <v>7.9375841248317505</v>
      </c>
      <c r="G329" s="1069">
        <f t="shared" si="43"/>
        <v>12.099975800048401</v>
      </c>
      <c r="H329" s="1069">
        <f t="shared" si="43"/>
        <v>10.799978400043202</v>
      </c>
      <c r="I329" s="1069">
        <f t="shared" si="43"/>
        <v>7.1999856000288007</v>
      </c>
      <c r="J329" s="1069">
        <f t="shared" si="43"/>
        <v>4.2166582333502003</v>
      </c>
      <c r="K329" s="1069">
        <f t="shared" si="43"/>
        <v>9.9205744445653963</v>
      </c>
      <c r="L329" s="1069">
        <f t="shared" si="43"/>
        <v>2.6721146557706885</v>
      </c>
      <c r="M329" s="1069">
        <f t="shared" si="43"/>
        <v>5.450453099093802</v>
      </c>
      <c r="N329" s="1069">
        <f>SUM(N330:N333)</f>
        <v>2.7937078671297209</v>
      </c>
      <c r="O329" s="1069">
        <f t="shared" ref="O329" si="44">SUM(O330:O333)</f>
        <v>0.31068337863324275</v>
      </c>
      <c r="P329" s="1069">
        <f t="shared" ref="P329" si="45">SUM(P330:P333)</f>
        <v>16.66120001093331</v>
      </c>
      <c r="Q329" s="1069">
        <f t="shared" ref="Q329" si="46">SUM(Q330:Q333)</f>
        <v>0</v>
      </c>
      <c r="R329" s="1069">
        <f t="shared" ref="R329" si="47">SUM(R330:R333)</f>
        <v>2.8199943600112802</v>
      </c>
      <c r="S329" s="1069">
        <f t="shared" ref="S329" si="48">SUM(S330:S333)</f>
        <v>0</v>
      </c>
      <c r="T329" s="1070">
        <f>156-SUM(D329:S329)</f>
        <v>43.298035377955216</v>
      </c>
      <c r="U329" s="407">
        <f>SUM(U330:U333)</f>
        <v>28.517657250399782</v>
      </c>
      <c r="V329" s="956" t="s">
        <v>1431</v>
      </c>
      <c r="W329" s="1069">
        <f t="shared" ref="W329:AL329" si="49">SUM(W330:W333)</f>
        <v>26.36443298541975</v>
      </c>
      <c r="X329" s="1069">
        <f t="shared" si="49"/>
        <v>0.90514104686076347</v>
      </c>
      <c r="Y329" s="1069">
        <f t="shared" si="49"/>
        <v>6.1379877240245531</v>
      </c>
      <c r="Z329" s="1069">
        <f t="shared" si="49"/>
        <v>11.439977120045761</v>
      </c>
      <c r="AA329" s="1069">
        <f t="shared" si="49"/>
        <v>3.4319931360137286</v>
      </c>
      <c r="AB329" s="1069">
        <f t="shared" si="49"/>
        <v>0</v>
      </c>
      <c r="AC329" s="1069">
        <f t="shared" si="49"/>
        <v>2.7609944780110443</v>
      </c>
      <c r="AD329" s="1069">
        <f t="shared" si="49"/>
        <v>15.309716047234573</v>
      </c>
      <c r="AE329" s="1069">
        <f t="shared" si="49"/>
        <v>4.4509510980978035</v>
      </c>
      <c r="AF329" s="1069">
        <f t="shared" si="49"/>
        <v>6.0550078899842212</v>
      </c>
      <c r="AG329" s="1069">
        <f t="shared" si="49"/>
        <v>2.0542090552182533</v>
      </c>
      <c r="AH329" s="1069">
        <f t="shared" si="49"/>
        <v>3.8067213277338157</v>
      </c>
      <c r="AI329" s="1069">
        <f t="shared" si="49"/>
        <v>10.066153201026932</v>
      </c>
      <c r="AJ329" s="1069">
        <f t="shared" si="49"/>
        <v>0</v>
      </c>
      <c r="AK329" s="1069">
        <f t="shared" si="49"/>
        <v>5.6399887200225605</v>
      </c>
      <c r="AL329" s="1069">
        <f t="shared" si="49"/>
        <v>0</v>
      </c>
      <c r="AM329" s="1070">
        <f>156-SUM(W329:AL329)</f>
        <v>57.576726170306245</v>
      </c>
      <c r="AN329" s="407">
        <f>SUM(AN330:AN333)</f>
        <v>26.36443298541975</v>
      </c>
    </row>
    <row r="330" spans="1:40">
      <c r="A330" s="1066"/>
      <c r="B330" s="956" t="s">
        <v>67</v>
      </c>
      <c r="C330" s="945"/>
      <c r="D330" s="1072">
        <f>(D341+D342+D343+D344+D345)/(IF(Meal_entry_week_1!$V$547&gt;0,1,0)+IF(Meal_entry_week_1!$V$548&gt;0,1,0)+IF(Meal_entry_week_1!$V$549&gt;0,1,0)+IF(Meal_entry_week_1!$V$550&gt;0,1,0)+IF(Meal_entry_week_1!$V$551&gt;0,1,0)+0.00001)</f>
        <v>1.7999964000072002</v>
      </c>
      <c r="E330" s="1072">
        <f>(E341+E342+E343+E344+E345)/(IF(Meal_entry_week_1!$V$547&gt;0,1,0)+IF(Meal_entry_week_1!$V$548&gt;0,1,0)+IF(Meal_entry_week_1!$V$549&gt;0,1,0)+IF(Meal_entry_week_1!$V$550&gt;0,1,0)+IF(Meal_entry_week_1!$V$551&gt;0,1,0)+0.00001)</f>
        <v>0</v>
      </c>
      <c r="F330" s="1072">
        <f>(F341+F342+F343+F344+F345)/(IF(Meal_entry_week_1!$V$547&gt;0,1,0)+IF(Meal_entry_week_1!$V$548&gt;0,1,0)+IF(Meal_entry_week_1!$V$549&gt;0,1,0)+IF(Meal_entry_week_1!$V$550&gt;0,1,0)+IF(Meal_entry_week_1!$V$551&gt;0,1,0)+0.00001)</f>
        <v>0</v>
      </c>
      <c r="G330" s="1072">
        <f>(G341+G342+G343+G344+G345)/(IF(Meal_entry_week_1!$V$547&gt;0,1,0)+IF(Meal_entry_week_1!$V$548&gt;0,1,0)+IF(Meal_entry_week_1!$V$549&gt;0,1,0)+IF(Meal_entry_week_1!$V$550&gt;0,1,0)+IF(Meal_entry_week_1!$V$551&gt;0,1,0)+0.00001)</f>
        <v>0</v>
      </c>
      <c r="H330" s="1072">
        <f>(H341+H342+H343+H344+H345)/(IF(Meal_entry_week_1!$V$547&gt;0,1,0)+IF(Meal_entry_week_1!$V$548&gt;0,1,0)+IF(Meal_entry_week_1!$V$549&gt;0,1,0)+IF(Meal_entry_week_1!$V$550&gt;0,1,0)+IF(Meal_entry_week_1!$V$551&gt;0,1,0)+0.00001)</f>
        <v>0</v>
      </c>
      <c r="I330" s="1072">
        <f>(I341+I342+I343+I344+I345)/(IF(Meal_entry_week_1!$V$547&gt;0,1,0)+IF(Meal_entry_week_1!$V$548&gt;0,1,0)+IF(Meal_entry_week_1!$V$549&gt;0,1,0)+IF(Meal_entry_week_1!$V$550&gt;0,1,0)+IF(Meal_entry_week_1!$V$551&gt;0,1,0)+0.00001)</f>
        <v>0</v>
      </c>
      <c r="J330" s="1072">
        <f>(J341+J342+J343+J344+J345)/(IF(Meal_entry_week_1!$V$547&gt;0,1,0)+IF(Meal_entry_week_1!$V$548&gt;0,1,0)+IF(Meal_entry_week_1!$V$549&gt;0,1,0)+IF(Meal_entry_week_1!$V$550&gt;0,1,0)+IF(Meal_entry_week_1!$V$551&gt;0,1,0)+0.00001)</f>
        <v>0</v>
      </c>
      <c r="K330" s="1072">
        <f>(K341+K342+K343+K344+K345)/(IF(Meal_entry_week_1!$V$547&gt;0,1,0)+IF(Meal_entry_week_1!$V$548&gt;0,1,0)+IF(Meal_entry_week_1!$V$549&gt;0,1,0)+IF(Meal_entry_week_1!$V$550&gt;0,1,0)+IF(Meal_entry_week_1!$V$551&gt;0,1,0)+0.00001)</f>
        <v>0</v>
      </c>
      <c r="L330" s="1072">
        <f>(L341+L342+L343+L344+L345)/(IF(Meal_entry_week_1!$V$547&gt;0,1,0)+IF(Meal_entry_week_1!$V$548&gt;0,1,0)+IF(Meal_entry_week_1!$V$549&gt;0,1,0)+IF(Meal_entry_week_1!$V$550&gt;0,1,0)+IF(Meal_entry_week_1!$V$551&gt;0,1,0)+0.00001)</f>
        <v>0</v>
      </c>
      <c r="M330" s="1072">
        <f>(M341+M342+M343+M344+M345)/(IF(Meal_entry_week_1!$V$547&gt;0,1,0)+IF(Meal_entry_week_1!$V$548&gt;0,1,0)+IF(Meal_entry_week_1!$V$549&gt;0,1,0)+IF(Meal_entry_week_1!$V$550&gt;0,1,0)+IF(Meal_entry_week_1!$V$551&gt;0,1,0)+0.00001)</f>
        <v>0</v>
      </c>
      <c r="N330" s="1072">
        <f>(N341+N342+N343+N344+N345)/(IF(Meal_entry_week_1!$V$547&gt;0,1,0)+IF(Meal_entry_week_1!$V$548&gt;0,1,0)+IF(Meal_entry_week_1!$V$549&gt;0,1,0)+IF(Meal_entry_week_1!$V$550&gt;0,1,0)+IF(Meal_entry_week_1!$V$551&gt;0,1,0)+0.00001)</f>
        <v>0</v>
      </c>
      <c r="O330" s="1072">
        <f>(O341+O342+O343+O344+O345)/(IF(Meal_entry_week_1!$V$547&gt;0,1,0)+IF(Meal_entry_week_1!$V$548&gt;0,1,0)+IF(Meal_entry_week_1!$V$549&gt;0,1,0)+IF(Meal_entry_week_1!$V$550&gt;0,1,0)+IF(Meal_entry_week_1!$V$551&gt;0,1,0)+0.00001)</f>
        <v>0</v>
      </c>
      <c r="P330" s="1072">
        <f>(P341+P342+P343+P344+P345)/(IF(Meal_entry_week_1!$V$547&gt;0,1,0)+IF(Meal_entry_week_1!$V$548&gt;0,1,0)+IF(Meal_entry_week_1!$V$549&gt;0,1,0)+IF(Meal_entry_week_1!$V$550&gt;0,1,0)+IF(Meal_entry_week_1!$V$551&gt;0,1,0)+0.00001)</f>
        <v>0</v>
      </c>
      <c r="Q330" s="1072">
        <f>(Q341+Q342+Q343+Q344+Q345)/(IF(Meal_entry_week_1!$V$547&gt;0,1,0)+IF(Meal_entry_week_1!$V$548&gt;0,1,0)+IF(Meal_entry_week_1!$V$549&gt;0,1,0)+IF(Meal_entry_week_1!$V$550&gt;0,1,0)+IF(Meal_entry_week_1!$V$551&gt;0,1,0)+0.00001)</f>
        <v>0</v>
      </c>
      <c r="R330" s="1072">
        <f>(R341+R342+R343+R344+R345)/(IF(Meal_entry_week_1!$V$547&gt;0,1,0)+IF(Meal_entry_week_1!$V$548&gt;0,1,0)+IF(Meal_entry_week_1!$V$549&gt;0,1,0)+IF(Meal_entry_week_1!$V$550&gt;0,1,0)+IF(Meal_entry_week_1!$V$551&gt;0,1,0)+0.00001)</f>
        <v>0</v>
      </c>
      <c r="S330" s="1072">
        <f>(S341+S342+S343+S344+S345)/(IF(Meal_entry_week_1!$V$547&gt;0,1,0)+IF(Meal_entry_week_1!$V$548&gt;0,1,0)+IF(Meal_entry_week_1!$V$549&gt;0,1,0)+IF(Meal_entry_week_1!$V$550&gt;0,1,0)+IF(Meal_entry_week_1!$V$551&gt;0,1,0)+0.00001)</f>
        <v>0</v>
      </c>
      <c r="T330" s="1070">
        <f>156-SUM(D330:S330)</f>
        <v>154.20000359999281</v>
      </c>
      <c r="U330" s="407">
        <f>(U341+U342+U343+U344+U345)/(IF(Meal_entry_week_1!$V$547&gt;0,1,0)+IF(Meal_entry_week_1!$V$548&gt;0,1,0)+IF(Meal_entry_week_1!$V$549&gt;0,1,0)+IF(Meal_entry_week_1!$V$550&gt;0,1,0)+IF(Meal_entry_week_1!$V$551&gt;0,1,0)+0.00001)</f>
        <v>1.7999964000072002</v>
      </c>
      <c r="V330" s="956" t="s">
        <v>67</v>
      </c>
      <c r="W330" s="1072">
        <f>(W341+W342+W343+W344+W345)/(IF(Meal_entry_week_2!$V$547&gt;0,1,0)+IF(Meal_entry_week_2!$V$548&gt;0,1,0)+IF(Meal_entry_week_2!$V$549&gt;0,1,0)+IF(Meal_entry_week_2!$V$550&gt;0,1,0)+IF(Meal_entry_week_2!$V$551&gt;0,1,0)+0.00001)</f>
        <v>0</v>
      </c>
      <c r="X330" s="1072">
        <f>(X341+X342+X343+X344+X345)/(IF(Meal_entry_week_2!$V$547&gt;0,1,0)+IF(Meal_entry_week_2!$V$548&gt;0,1,0)+IF(Meal_entry_week_2!$V$549&gt;0,1,0)+IF(Meal_entry_week_2!$V$550&gt;0,1,0)+IF(Meal_entry_week_2!$V$551&gt;0,1,0)+0.00001)</f>
        <v>0</v>
      </c>
      <c r="Y330" s="1072">
        <f>(Y341+Y342+Y343+Y344+Y345)/(IF(Meal_entry_week_2!$V$547&gt;0,1,0)+IF(Meal_entry_week_2!$V$548&gt;0,1,0)+IF(Meal_entry_week_2!$V$549&gt;0,1,0)+IF(Meal_entry_week_2!$V$550&gt;0,1,0)+IF(Meal_entry_week_2!$V$551&gt;0,1,0)+0.00001)</f>
        <v>0</v>
      </c>
      <c r="Z330" s="1072">
        <f>(Z341+Z342+Z343+Z344+Z345)/(IF(Meal_entry_week_2!$V$547&gt;0,1,0)+IF(Meal_entry_week_2!$V$548&gt;0,1,0)+IF(Meal_entry_week_2!$V$549&gt;0,1,0)+IF(Meal_entry_week_2!$V$550&gt;0,1,0)+IF(Meal_entry_week_2!$V$551&gt;0,1,0)+0.00001)</f>
        <v>0</v>
      </c>
      <c r="AA330" s="1072">
        <f>(AA341+AA342+AA343+AA344+AA345)/(IF(Meal_entry_week_2!$V$547&gt;0,1,0)+IF(Meal_entry_week_2!$V$548&gt;0,1,0)+IF(Meal_entry_week_2!$V$549&gt;0,1,0)+IF(Meal_entry_week_2!$V$550&gt;0,1,0)+IF(Meal_entry_week_2!$V$551&gt;0,1,0)+0.00001)</f>
        <v>0</v>
      </c>
      <c r="AB330" s="1072">
        <f>(AB341+AB342+AB343+AB344+AB345)/(IF(Meal_entry_week_2!$V$547&gt;0,1,0)+IF(Meal_entry_week_2!$V$548&gt;0,1,0)+IF(Meal_entry_week_2!$V$549&gt;0,1,0)+IF(Meal_entry_week_2!$V$550&gt;0,1,0)+IF(Meal_entry_week_2!$V$551&gt;0,1,0)+0.00001)</f>
        <v>0</v>
      </c>
      <c r="AC330" s="1072">
        <f>(AC341+AC342+AC343+AC344+AC345)/(IF(Meal_entry_week_2!$V$547&gt;0,1,0)+IF(Meal_entry_week_2!$V$548&gt;0,1,0)+IF(Meal_entry_week_2!$V$549&gt;0,1,0)+IF(Meal_entry_week_2!$V$550&gt;0,1,0)+IF(Meal_entry_week_2!$V$551&gt;0,1,0)+0.00001)</f>
        <v>0</v>
      </c>
      <c r="AD330" s="1072">
        <f>(AD341+AD342+AD343+AD344+AD345)/(IF(Meal_entry_week_2!$V$547&gt;0,1,0)+IF(Meal_entry_week_2!$V$548&gt;0,1,0)+IF(Meal_entry_week_2!$V$549&gt;0,1,0)+IF(Meal_entry_week_2!$V$550&gt;0,1,0)+IF(Meal_entry_week_2!$V$551&gt;0,1,0)+0.00001)</f>
        <v>0</v>
      </c>
      <c r="AE330" s="1072">
        <f>(AE341+AE342+AE343+AE344+AE345)/(IF(Meal_entry_week_2!$V$547&gt;0,1,0)+IF(Meal_entry_week_2!$V$548&gt;0,1,0)+IF(Meal_entry_week_2!$V$549&gt;0,1,0)+IF(Meal_entry_week_2!$V$550&gt;0,1,0)+IF(Meal_entry_week_2!$V$551&gt;0,1,0)+0.00001)</f>
        <v>0</v>
      </c>
      <c r="AF330" s="1072">
        <f>(AF341+AF342+AF343+AF344+AF345)/(IF(Meal_entry_week_2!$V$547&gt;0,1,0)+IF(Meal_entry_week_2!$V$548&gt;0,1,0)+IF(Meal_entry_week_2!$V$549&gt;0,1,0)+IF(Meal_entry_week_2!$V$550&gt;0,1,0)+IF(Meal_entry_week_2!$V$551&gt;0,1,0)+0.00001)</f>
        <v>0</v>
      </c>
      <c r="AG330" s="1072">
        <f>(AG341+AG342+AG343+AG344+AG345)/(IF(Meal_entry_week_2!$V$547&gt;0,1,0)+IF(Meal_entry_week_2!$V$548&gt;0,1,0)+IF(Meal_entry_week_2!$V$549&gt;0,1,0)+IF(Meal_entry_week_2!$V$550&gt;0,1,0)+IF(Meal_entry_week_2!$V$551&gt;0,1,0)+0.00001)</f>
        <v>0</v>
      </c>
      <c r="AH330" s="1072">
        <f>(AH341+AH342+AH343+AH344+AH345)/(IF(Meal_entry_week_2!$V$547&gt;0,1,0)+IF(Meal_entry_week_2!$V$548&gt;0,1,0)+IF(Meal_entry_week_2!$V$549&gt;0,1,0)+IF(Meal_entry_week_2!$V$550&gt;0,1,0)+IF(Meal_entry_week_2!$V$551&gt;0,1,0)+0.00001)</f>
        <v>0</v>
      </c>
      <c r="AI330" s="1072">
        <f>(AI341+AI342+AI343+AI344+AI345)/(IF(Meal_entry_week_2!$V$547&gt;0,1,0)+IF(Meal_entry_week_2!$V$548&gt;0,1,0)+IF(Meal_entry_week_2!$V$549&gt;0,1,0)+IF(Meal_entry_week_2!$V$550&gt;0,1,0)+IF(Meal_entry_week_2!$V$551&gt;0,1,0)+0.00001)</f>
        <v>0</v>
      </c>
      <c r="AJ330" s="1072">
        <f>(AJ341+AJ342+AJ343+AJ344+AJ345)/(IF(Meal_entry_week_2!$V$547&gt;0,1,0)+IF(Meal_entry_week_2!$V$548&gt;0,1,0)+IF(Meal_entry_week_2!$V$549&gt;0,1,0)+IF(Meal_entry_week_2!$V$550&gt;0,1,0)+IF(Meal_entry_week_2!$V$551&gt;0,1,0)+0.00001)</f>
        <v>0</v>
      </c>
      <c r="AK330" s="1072">
        <f>(AK341+AK342+AK343+AK344+AK345)/(IF(Meal_entry_week_2!$V$547&gt;0,1,0)+IF(Meal_entry_week_2!$V$548&gt;0,1,0)+IF(Meal_entry_week_2!$V$549&gt;0,1,0)+IF(Meal_entry_week_2!$V$550&gt;0,1,0)+IF(Meal_entry_week_2!$V$551&gt;0,1,0)+0.00001)</f>
        <v>0</v>
      </c>
      <c r="AL330" s="1072">
        <f>(AL341+AL342+AL343+AL344+AL345)/(IF(Meal_entry_week_2!$V$547&gt;0,1,0)+IF(Meal_entry_week_2!$V$548&gt;0,1,0)+IF(Meal_entry_week_2!$V$549&gt;0,1,0)+IF(Meal_entry_week_2!$V$550&gt;0,1,0)+IF(Meal_entry_week_2!$V$551&gt;0,1,0)+0.00001)</f>
        <v>0</v>
      </c>
      <c r="AM330" s="1070">
        <f>156-SUM(W330:AL330)</f>
        <v>156</v>
      </c>
      <c r="AN330" s="407">
        <f>(AN341+AN342+AN343+AN344+AN345)/(IF(Meal_entry_week_2!$V$547&gt;0,1,0)+IF(Meal_entry_week_2!$V$548&gt;0,1,0)+IF(Meal_entry_week_2!$V$549&gt;0,1,0)+IF(Meal_entry_week_2!$V$550&gt;0,1,0)+IF(Meal_entry_week_2!$V$551&gt;0,1,0)+0.00001)</f>
        <v>0</v>
      </c>
    </row>
    <row r="331" spans="1:40">
      <c r="A331" s="1066"/>
      <c r="B331" s="956" t="s">
        <v>3552</v>
      </c>
      <c r="C331" s="945"/>
      <c r="D331" s="1072">
        <f>(D347+D348+D349+D350+D351)/(IF(Meal_entry_week_1!$V$547&gt;0,1,0)+IF(Meal_entry_week_1!$V$548&gt;0,1,0)+IF(Meal_entry_week_1!$V$549&gt;0,1,0)+IF(Meal_entry_week_1!$V$550&gt;0,1,0)+IF(Meal_entry_week_1!$V$551&gt;0,1,0)+0.00001)</f>
        <v>0</v>
      </c>
      <c r="E331" s="1072">
        <f>(E347+E348+E349+E350+E351)/(IF(Meal_entry_week_1!$V$547&gt;0,1,0)+IF(Meal_entry_week_1!$V$548&gt;0,1,0)+IF(Meal_entry_week_1!$V$549&gt;0,1,0)+IF(Meal_entry_week_1!$V$550&gt;0,1,0)+IF(Meal_entry_week_1!$V$551&gt;0,1,0)+0.00001)</f>
        <v>0.2891994216011568</v>
      </c>
      <c r="F331" s="1072">
        <f>(F347+F348+F349+F350+F351)/(IF(Meal_entry_week_1!$V$547&gt;0,1,0)+IF(Meal_entry_week_1!$V$548&gt;0,1,0)+IF(Meal_entry_week_1!$V$549&gt;0,1,0)+IF(Meal_entry_week_1!$V$550&gt;0,1,0)+IF(Meal_entry_week_1!$V$551&gt;0,1,0)+0.00001)</f>
        <v>0.80959838080323843</v>
      </c>
      <c r="G331" s="1072">
        <f>(G347+G348+G349+G350+G351)/(IF(Meal_entry_week_1!$V$547&gt;0,1,0)+IF(Meal_entry_week_1!$V$548&gt;0,1,0)+IF(Meal_entry_week_1!$V$549&gt;0,1,0)+IF(Meal_entry_week_1!$V$550&gt;0,1,0)+IF(Meal_entry_week_1!$V$551&gt;0,1,0)+0.00001)</f>
        <v>0</v>
      </c>
      <c r="H331" s="1072">
        <f>(H347+H348+H349+H350+H351)/(IF(Meal_entry_week_1!$V$547&gt;0,1,0)+IF(Meal_entry_week_1!$V$548&gt;0,1,0)+IF(Meal_entry_week_1!$V$549&gt;0,1,0)+IF(Meal_entry_week_1!$V$550&gt;0,1,0)+IF(Meal_entry_week_1!$V$551&gt;0,1,0)+0.00001)</f>
        <v>7.0799858400283204</v>
      </c>
      <c r="I331" s="1072">
        <f>(I347+I348+I349+I350+I351)/(IF(Meal_entry_week_1!$V$547&gt;0,1,0)+IF(Meal_entry_week_1!$V$548&gt;0,1,0)+IF(Meal_entry_week_1!$V$549&gt;0,1,0)+IF(Meal_entry_week_1!$V$550&gt;0,1,0)+IF(Meal_entry_week_1!$V$551&gt;0,1,0)+0.00001)</f>
        <v>7.1999856000288007</v>
      </c>
      <c r="J331" s="1072">
        <f>(J347+J348+J349+J350+J351)/(IF(Meal_entry_week_1!$V$547&gt;0,1,0)+IF(Meal_entry_week_1!$V$548&gt;0,1,0)+IF(Meal_entry_week_1!$V$549&gt;0,1,0)+IF(Meal_entry_week_1!$V$550&gt;0,1,0)+IF(Meal_entry_week_1!$V$551&gt;0,1,0)+0.00001)</f>
        <v>0.36666593333480008</v>
      </c>
      <c r="K331" s="1072">
        <f>(K347+K348+K349+K350+K351)/(IF(Meal_entry_week_1!$V$547&gt;0,1,0)+IF(Meal_entry_week_1!$V$548&gt;0,1,0)+IF(Meal_entry_week_1!$V$549&gt;0,1,0)+IF(Meal_entry_week_1!$V$550&gt;0,1,0)+IF(Meal_entry_week_1!$V$551&gt;0,1,0)+0.00001)</f>
        <v>5.5490403304907678</v>
      </c>
      <c r="L331" s="1072">
        <f>(L347+L348+L349+L350+L351)/(IF(Meal_entry_week_1!$V$547&gt;0,1,0)+IF(Meal_entry_week_1!$V$548&gt;0,1,0)+IF(Meal_entry_week_1!$V$549&gt;0,1,0)+IF(Meal_entry_week_1!$V$550&gt;0,1,0)+IF(Meal_entry_week_1!$V$551&gt;0,1,0)+0.00001)</f>
        <v>0.38719922560154879</v>
      </c>
      <c r="M331" s="1072">
        <f>(M347+M348+M349+M350+M351)/(IF(Meal_entry_week_1!$V$547&gt;0,1,0)+IF(Meal_entry_week_1!$V$548&gt;0,1,0)+IF(Meal_entry_week_1!$V$549&gt;0,1,0)+IF(Meal_entry_week_1!$V$550&gt;0,1,0)+IF(Meal_entry_week_1!$V$551&gt;0,1,0)+0.00001)</f>
        <v>0.26734346531306941</v>
      </c>
      <c r="N331" s="1072">
        <f>(N347+N348+N349+N350+N351)/(IF(Meal_entry_week_1!$V$547&gt;0,1,0)+IF(Meal_entry_week_1!$V$548&gt;0,1,0)+IF(Meal_entry_week_1!$V$549&gt;0,1,0)+IF(Meal_entry_week_1!$V$550&gt;0,1,0)+IF(Meal_entry_week_1!$V$551&gt;0,1,0)+0.00001)</f>
        <v>0</v>
      </c>
      <c r="O331" s="1072">
        <f>(O347+O348+O349+O350+O351)/(IF(Meal_entry_week_1!$V$547&gt;0,1,0)+IF(Meal_entry_week_1!$V$548&gt;0,1,0)+IF(Meal_entry_week_1!$V$549&gt;0,1,0)+IF(Meal_entry_week_1!$V$550&gt;0,1,0)+IF(Meal_entry_week_1!$V$551&gt;0,1,0)+0.00001)</f>
        <v>0.31068337863324275</v>
      </c>
      <c r="P331" s="1072">
        <f>(P347+P348+P349+P350+P351)/(IF(Meal_entry_week_1!$V$547&gt;0,1,0)+IF(Meal_entry_week_1!$V$548&gt;0,1,0)+IF(Meal_entry_week_1!$V$549&gt;0,1,0)+IF(Meal_entry_week_1!$V$550&gt;0,1,0)+IF(Meal_entry_week_1!$V$551&gt;0,1,0)+0.00001)</f>
        <v>11.38121057091219</v>
      </c>
      <c r="Q331" s="1072">
        <f>(Q347+Q348+Q349+Q350+Q351)/(IF(Meal_entry_week_1!$V$547&gt;0,1,0)+IF(Meal_entry_week_1!$V$548&gt;0,1,0)+IF(Meal_entry_week_1!$V$549&gt;0,1,0)+IF(Meal_entry_week_1!$V$550&gt;0,1,0)+IF(Meal_entry_week_1!$V$551&gt;0,1,0)+0.00001)</f>
        <v>0</v>
      </c>
      <c r="R331" s="1072">
        <f>(R347+R348+R349+R350+R351)/(IF(Meal_entry_week_1!$V$547&gt;0,1,0)+IF(Meal_entry_week_1!$V$548&gt;0,1,0)+IF(Meal_entry_week_1!$V$549&gt;0,1,0)+IF(Meal_entry_week_1!$V$550&gt;0,1,0)+IF(Meal_entry_week_1!$V$551&gt;0,1,0)+0.00001)</f>
        <v>2.8199943600112802</v>
      </c>
      <c r="S331" s="1072">
        <f>(S347+S348+S349+S350+S351)/(IF(Meal_entry_week_1!$V$547&gt;0,1,0)+IF(Meal_entry_week_1!$V$548&gt;0,1,0)+IF(Meal_entry_week_1!$V$549&gt;0,1,0)+IF(Meal_entry_week_1!$V$550&gt;0,1,0)+IF(Meal_entry_week_1!$V$551&gt;0,1,0)+0.00001)</f>
        <v>0</v>
      </c>
      <c r="T331" s="1070">
        <f>156-SUM(D331:S331)</f>
        <v>119.53909349324158</v>
      </c>
      <c r="U331" s="407">
        <f>(U347+U348+U349+U350+U351)/(IF(Meal_entry_week_1!$V$547&gt;0,1,0)+IF(Meal_entry_week_1!$V$548&gt;0,1,0)+IF(Meal_entry_week_1!$V$549&gt;0,1,0)+IF(Meal_entry_week_1!$V$550&gt;0,1,0)+IF(Meal_entry_week_1!$V$551&gt;0,1,0)+0.00001)</f>
        <v>0</v>
      </c>
      <c r="V331" s="956" t="s">
        <v>3552</v>
      </c>
      <c r="W331" s="1072">
        <f>(W347+W348+W349+W350+W351)/(IF(Meal_entry_week_2!$V$547&gt;0,1,0)+IF(Meal_entry_week_2!$V$548&gt;0,1,0)+IF(Meal_entry_week_2!$V$549&gt;0,1,0)+IF(Meal_entry_week_2!$V$550&gt;0,1,0)+IF(Meal_entry_week_2!$V$551&gt;0,1,0)+0.00001)</f>
        <v>0</v>
      </c>
      <c r="X331" s="1072">
        <f>(X347+X348+X349+X350+X351)/(IF(Meal_entry_week_2!$V$547&gt;0,1,0)+IF(Meal_entry_week_2!$V$548&gt;0,1,0)+IF(Meal_entry_week_2!$V$549&gt;0,1,0)+IF(Meal_entry_week_2!$V$550&gt;0,1,0)+IF(Meal_entry_week_2!$V$551&gt;0,1,0)+0.00001)</f>
        <v>0</v>
      </c>
      <c r="Y331" s="1072">
        <f>(Y347+Y348+Y349+Y350+Y351)/(IF(Meal_entry_week_2!$V$547&gt;0,1,0)+IF(Meal_entry_week_2!$V$548&gt;0,1,0)+IF(Meal_entry_week_2!$V$549&gt;0,1,0)+IF(Meal_entry_week_2!$V$550&gt;0,1,0)+IF(Meal_entry_week_2!$V$551&gt;0,1,0)+0.00001)</f>
        <v>0</v>
      </c>
      <c r="Z331" s="1072">
        <f>(Z347+Z348+Z349+Z350+Z351)/(IF(Meal_entry_week_2!$V$547&gt;0,1,0)+IF(Meal_entry_week_2!$V$548&gt;0,1,0)+IF(Meal_entry_week_2!$V$549&gt;0,1,0)+IF(Meal_entry_week_2!$V$550&gt;0,1,0)+IF(Meal_entry_week_2!$V$551&gt;0,1,0)+0.00001)</f>
        <v>0</v>
      </c>
      <c r="AA331" s="1072">
        <f>(AA347+AA348+AA349+AA350+AA351)/(IF(Meal_entry_week_2!$V$547&gt;0,1,0)+IF(Meal_entry_week_2!$V$548&gt;0,1,0)+IF(Meal_entry_week_2!$V$549&gt;0,1,0)+IF(Meal_entry_week_2!$V$550&gt;0,1,0)+IF(Meal_entry_week_2!$V$551&gt;0,1,0)+0.00001)</f>
        <v>1.1999976000048</v>
      </c>
      <c r="AB331" s="1072">
        <f>(AB347+AB348+AB349+AB350+AB351)/(IF(Meal_entry_week_2!$V$547&gt;0,1,0)+IF(Meal_entry_week_2!$V$548&gt;0,1,0)+IF(Meal_entry_week_2!$V$549&gt;0,1,0)+IF(Meal_entry_week_2!$V$550&gt;0,1,0)+IF(Meal_entry_week_2!$V$551&gt;0,1,0)+0.00001)</f>
        <v>0</v>
      </c>
      <c r="AC331" s="1072">
        <f>(AC347+AC348+AC349+AC350+AC351)/(IF(Meal_entry_week_2!$V$547&gt;0,1,0)+IF(Meal_entry_week_2!$V$548&gt;0,1,0)+IF(Meal_entry_week_2!$V$549&gt;0,1,0)+IF(Meal_entry_week_2!$V$550&gt;0,1,0)+IF(Meal_entry_week_2!$V$551&gt;0,1,0)+0.00001)</f>
        <v>0.37766591133484406</v>
      </c>
      <c r="AD331" s="1072">
        <f>(AD347+AD348+AD349+AD350+AD351)/(IF(Meal_entry_week_2!$V$547&gt;0,1,0)+IF(Meal_entry_week_2!$V$548&gt;0,1,0)+IF(Meal_entry_week_2!$V$549&gt;0,1,0)+IF(Meal_entry_week_2!$V$550&gt;0,1,0)+IF(Meal_entry_week_2!$V$551&gt;0,1,0)+0.00001)</f>
        <v>9.6754473157720362</v>
      </c>
      <c r="AE331" s="1072">
        <f>(AE347+AE348+AE349+AE350+AE351)/(IF(Meal_entry_week_2!$V$547&gt;0,1,0)+IF(Meal_entry_week_2!$V$548&gt;0,1,0)+IF(Meal_entry_week_2!$V$549&gt;0,1,0)+IF(Meal_entry_week_2!$V$550&gt;0,1,0)+IF(Meal_entry_week_2!$V$551&gt;0,1,0)+0.00001)</f>
        <v>1.1373977252045495</v>
      </c>
      <c r="AF331" s="1072">
        <f>(AF347+AF348+AF349+AF350+AF351)/(IF(Meal_entry_week_2!$V$547&gt;0,1,0)+IF(Meal_entry_week_2!$V$548&gt;0,1,0)+IF(Meal_entry_week_2!$V$549&gt;0,1,0)+IF(Meal_entry_week_2!$V$550&gt;0,1,0)+IF(Meal_entry_week_2!$V$551&gt;0,1,0)+0.00001)</f>
        <v>0.58682682634634742</v>
      </c>
      <c r="AG331" s="1072">
        <f>(AG347+AG348+AG349+AG350+AG351)/(IF(Meal_entry_week_2!$V$547&gt;0,1,0)+IF(Meal_entry_week_2!$V$548&gt;0,1,0)+IF(Meal_entry_week_2!$V$549&gt;0,1,0)+IF(Meal_entry_week_2!$V$550&gt;0,1,0)+IF(Meal_entry_week_2!$V$551&gt;0,1,0)+0.00001)</f>
        <v>0.65135869728260554</v>
      </c>
      <c r="AH331" s="1072">
        <f>(AH347+AH348+AH349+AH350+AH351)/(IF(Meal_entry_week_2!$V$547&gt;0,1,0)+IF(Meal_entry_week_2!$V$548&gt;0,1,0)+IF(Meal_entry_week_2!$V$549&gt;0,1,0)+IF(Meal_entry_week_2!$V$550&gt;0,1,0)+IF(Meal_entry_week_2!$V$551&gt;0,1,0)+0.00001)</f>
        <v>3.514869911436648</v>
      </c>
      <c r="AI331" s="1072">
        <f>(AI347+AI348+AI349+AI350+AI351)/(IF(Meal_entry_week_2!$V$547&gt;0,1,0)+IF(Meal_entry_week_2!$V$548&gt;0,1,0)+IF(Meal_entry_week_2!$V$549&gt;0,1,0)+IF(Meal_entry_week_2!$V$550&gt;0,1,0)+IF(Meal_entry_week_2!$V$551&gt;0,1,0)+0.00001)</f>
        <v>5.3373726585880163</v>
      </c>
      <c r="AJ331" s="1072">
        <f>(AJ347+AJ348+AJ349+AJ350+AJ351)/(IF(Meal_entry_week_2!$V$547&gt;0,1,0)+IF(Meal_entry_week_2!$V$548&gt;0,1,0)+IF(Meal_entry_week_2!$V$549&gt;0,1,0)+IF(Meal_entry_week_2!$V$550&gt;0,1,0)+IF(Meal_entry_week_2!$V$551&gt;0,1,0)+0.00001)</f>
        <v>0</v>
      </c>
      <c r="AK331" s="1072">
        <f>(AK347+AK348+AK349+AK350+AK351)/(IF(Meal_entry_week_2!$V$547&gt;0,1,0)+IF(Meal_entry_week_2!$V$548&gt;0,1,0)+IF(Meal_entry_week_2!$V$549&gt;0,1,0)+IF(Meal_entry_week_2!$V$550&gt;0,1,0)+IF(Meal_entry_week_2!$V$551&gt;0,1,0)+0.00001)</f>
        <v>5.6399887200225605</v>
      </c>
      <c r="AL331" s="1072">
        <f>(AL347+AL348+AL349+AL350+AL351)/(IF(Meal_entry_week_2!$V$547&gt;0,1,0)+IF(Meal_entry_week_2!$V$548&gt;0,1,0)+IF(Meal_entry_week_2!$V$549&gt;0,1,0)+IF(Meal_entry_week_2!$V$550&gt;0,1,0)+IF(Meal_entry_week_2!$V$551&gt;0,1,0)+0.00001)</f>
        <v>0</v>
      </c>
      <c r="AM331" s="1070">
        <f>156-SUM(W331:AL331)</f>
        <v>127.87907463400759</v>
      </c>
      <c r="AN331" s="407">
        <f>(AN347+AN348+AN349+AN350+AN351)/(IF(Meal_entry_week_2!$V$547&gt;0,1,0)+IF(Meal_entry_week_2!$V$548&gt;0,1,0)+IF(Meal_entry_week_2!$V$549&gt;0,1,0)+IF(Meal_entry_week_2!$V$550&gt;0,1,0)+IF(Meal_entry_week_2!$V$551&gt;0,1,0)+0.00001)</f>
        <v>0</v>
      </c>
    </row>
    <row r="332" spans="1:40">
      <c r="A332" s="1066"/>
      <c r="B332" s="956" t="s">
        <v>69</v>
      </c>
      <c r="C332" s="945"/>
      <c r="D332" s="1072">
        <f>(D353+D354+D355+D356+D357)/(IF(Meal_entry_week_1!$V$547&gt;0,1,0)+IF(Meal_entry_week_1!$V$548&gt;0,1,0)+IF(Meal_entry_week_1!$V$549&gt;0,1,0)+IF(Meal_entry_week_1!$V$550&gt;0,1,0)+IF(Meal_entry_week_1!$V$551&gt;0,1,0)+0.00001)</f>
        <v>26.717660850392583</v>
      </c>
      <c r="E332" s="1072">
        <f>(E353+E354+E355+E356+E357)/(IF(Meal_entry_week_1!$V$547&gt;0,1,0)+IF(Meal_entry_week_1!$V$548&gt;0,1,0)+IF(Meal_entry_week_1!$V$549&gt;0,1,0)+IF(Meal_entry_week_1!$V$550&gt;0,1,0)+IF(Meal_entry_week_1!$V$551&gt;0,1,0)+0.00001)</f>
        <v>1.0121979756040489</v>
      </c>
      <c r="F332" s="1072">
        <f>(F353+F354+F355+F356+F357)/(IF(Meal_entry_week_1!$V$547&gt;0,1,0)+IF(Meal_entry_week_1!$V$548&gt;0,1,0)+IF(Meal_entry_week_1!$V$549&gt;0,1,0)+IF(Meal_entry_week_1!$V$550&gt;0,1,0)+IF(Meal_entry_week_1!$V$551&gt;0,1,0)+0.00001)</f>
        <v>7.1279857440285124</v>
      </c>
      <c r="G332" s="1072">
        <f>(G353+G354+G355+G356+G357)/(IF(Meal_entry_week_1!$V$547&gt;0,1,0)+IF(Meal_entry_week_1!$V$548&gt;0,1,0)+IF(Meal_entry_week_1!$V$549&gt;0,1,0)+IF(Meal_entry_week_1!$V$550&gt;0,1,0)+IF(Meal_entry_week_1!$V$551&gt;0,1,0)+0.00001)</f>
        <v>12.099975800048401</v>
      </c>
      <c r="H332" s="1072">
        <f>(H353+H354+H355+H356+H357)/(IF(Meal_entry_week_1!$V$547&gt;0,1,0)+IF(Meal_entry_week_1!$V$548&gt;0,1,0)+IF(Meal_entry_week_1!$V$549&gt;0,1,0)+IF(Meal_entry_week_1!$V$550&gt;0,1,0)+IF(Meal_entry_week_1!$V$551&gt;0,1,0)+0.00001)</f>
        <v>3.7199925600148807</v>
      </c>
      <c r="I332" s="1072">
        <f>(I353+I354+I355+I356+I357)/(IF(Meal_entry_week_1!$V$547&gt;0,1,0)+IF(Meal_entry_week_1!$V$548&gt;0,1,0)+IF(Meal_entry_week_1!$V$549&gt;0,1,0)+IF(Meal_entry_week_1!$V$550&gt;0,1,0)+IF(Meal_entry_week_1!$V$551&gt;0,1,0)+0.00001)</f>
        <v>0</v>
      </c>
      <c r="J332" s="1072">
        <f>(J353+J354+J355+J356+J357)/(IF(Meal_entry_week_1!$V$547&gt;0,1,0)+IF(Meal_entry_week_1!$V$548&gt;0,1,0)+IF(Meal_entry_week_1!$V$549&gt;0,1,0)+IF(Meal_entry_week_1!$V$550&gt;0,1,0)+IF(Meal_entry_week_1!$V$551&gt;0,1,0)+0.00001)</f>
        <v>3.8499923000154004</v>
      </c>
      <c r="K332" s="1072">
        <f>(K353+K354+K355+K356+K357)/(IF(Meal_entry_week_1!$V$547&gt;0,1,0)+IF(Meal_entry_week_1!$V$548&gt;0,1,0)+IF(Meal_entry_week_1!$V$549&gt;0,1,0)+IF(Meal_entry_week_1!$V$550&gt;0,1,0)+IF(Meal_entry_week_1!$V$551&gt;0,1,0)+0.00001)</f>
        <v>4.3715341140746293</v>
      </c>
      <c r="L332" s="1072">
        <f>(L353+L354+L355+L356+L357)/(IF(Meal_entry_week_1!$V$547&gt;0,1,0)+IF(Meal_entry_week_1!$V$548&gt;0,1,0)+IF(Meal_entry_week_1!$V$549&gt;0,1,0)+IF(Meal_entry_week_1!$V$550&gt;0,1,0)+IF(Meal_entry_week_1!$V$551&gt;0,1,0)+0.00001)</f>
        <v>2.2849154301691397</v>
      </c>
      <c r="M332" s="1072">
        <f>(M353+M354+M355+M356+M357)/(IF(Meal_entry_week_1!$V$547&gt;0,1,0)+IF(Meal_entry_week_1!$V$548&gt;0,1,0)+IF(Meal_entry_week_1!$V$549&gt;0,1,0)+IF(Meal_entry_week_1!$V$550&gt;0,1,0)+IF(Meal_entry_week_1!$V$551&gt;0,1,0)+0.00001)</f>
        <v>5.1831096337807328</v>
      </c>
      <c r="N332" s="1072">
        <f>(N353+N354+N355+N356+N357)/(IF(Meal_entry_week_1!$V$547&gt;0,1,0)+IF(Meal_entry_week_1!$V$548&gt;0,1,0)+IF(Meal_entry_week_1!$V$549&gt;0,1,0)+IF(Meal_entry_week_1!$V$550&gt;0,1,0)+IF(Meal_entry_week_1!$V$551&gt;0,1,0)+0.00001)</f>
        <v>2.7937078671297209</v>
      </c>
      <c r="O332" s="1072">
        <f>(O353+O354+O355+O356+O357)/(IF(Meal_entry_week_1!$V$547&gt;0,1,0)+IF(Meal_entry_week_1!$V$548&gt;0,1,0)+IF(Meal_entry_week_1!$V$549&gt;0,1,0)+IF(Meal_entry_week_1!$V$550&gt;0,1,0)+IF(Meal_entry_week_1!$V$551&gt;0,1,0)+0.00001)</f>
        <v>0</v>
      </c>
      <c r="P332" s="1072">
        <f>(P353+P354+P355+P356+P357)/(IF(Meal_entry_week_1!$V$547&gt;0,1,0)+IF(Meal_entry_week_1!$V$548&gt;0,1,0)+IF(Meal_entry_week_1!$V$549&gt;0,1,0)+IF(Meal_entry_week_1!$V$550&gt;0,1,0)+IF(Meal_entry_week_1!$V$551&gt;0,1,0)+0.00001)</f>
        <v>5.2799894400211205</v>
      </c>
      <c r="Q332" s="1072">
        <f>(Q353+Q354+Q355+Q356+Q357)/(IF(Meal_entry_week_1!$V$547&gt;0,1,0)+IF(Meal_entry_week_1!$V$548&gt;0,1,0)+IF(Meal_entry_week_1!$V$549&gt;0,1,0)+IF(Meal_entry_week_1!$V$550&gt;0,1,0)+IF(Meal_entry_week_1!$V$551&gt;0,1,0)+0.00001)</f>
        <v>0</v>
      </c>
      <c r="R332" s="1072">
        <f>(R353+R354+R355+R356+R357)/(IF(Meal_entry_week_1!$V$547&gt;0,1,0)+IF(Meal_entry_week_1!$V$548&gt;0,1,0)+IF(Meal_entry_week_1!$V$549&gt;0,1,0)+IF(Meal_entry_week_1!$V$550&gt;0,1,0)+IF(Meal_entry_week_1!$V$551&gt;0,1,0)+0.00001)</f>
        <v>0</v>
      </c>
      <c r="S332" s="1072">
        <f>(S353+S354+S355+S356+S357)/(IF(Meal_entry_week_1!$V$547&gt;0,1,0)+IF(Meal_entry_week_1!$V$548&gt;0,1,0)+IF(Meal_entry_week_1!$V$549&gt;0,1,0)+IF(Meal_entry_week_1!$V$550&gt;0,1,0)+IF(Meal_entry_week_1!$V$551&gt;0,1,0)+0.00001)</f>
        <v>0</v>
      </c>
      <c r="T332" s="1070">
        <v>56</v>
      </c>
      <c r="U332" s="407">
        <f>(U353+U354+U355+U356+U357)/(IF(Meal_entry_week_1!$V$547&gt;0,1,0)+IF(Meal_entry_week_1!$V$548&gt;0,1,0)+IF(Meal_entry_week_1!$V$549&gt;0,1,0)+IF(Meal_entry_week_1!$V$550&gt;0,1,0)+IF(Meal_entry_week_1!$V$551&gt;0,1,0)+0.00001)</f>
        <v>26.717660850392583</v>
      </c>
      <c r="V332" s="956" t="s">
        <v>69</v>
      </c>
      <c r="W332" s="1072">
        <f>(W353+W354+W355+W356+W357)/(IF(Meal_entry_week_2!$V$547&gt;0,1,0)+IF(Meal_entry_week_2!$V$548&gt;0,1,0)+IF(Meal_entry_week_2!$V$549&gt;0,1,0)+IF(Meal_entry_week_2!$V$550&gt;0,1,0)+IF(Meal_entry_week_2!$V$551&gt;0,1,0)+0.00001)</f>
        <v>26.36443298541975</v>
      </c>
      <c r="X332" s="1072">
        <f>(X353+X354+X355+X356+X357)/(IF(Meal_entry_week_2!$V$547&gt;0,1,0)+IF(Meal_entry_week_2!$V$548&gt;0,1,0)+IF(Meal_entry_week_2!$V$549&gt;0,1,0)+IF(Meal_entry_week_2!$V$550&gt;0,1,0)+IF(Meal_entry_week_2!$V$551&gt;0,1,0)+0.00001)</f>
        <v>0.90514104686076347</v>
      </c>
      <c r="Y332" s="1072">
        <f>(Y353+Y354+Y355+Y356+Y357)/(IF(Meal_entry_week_2!$V$547&gt;0,1,0)+IF(Meal_entry_week_2!$V$548&gt;0,1,0)+IF(Meal_entry_week_2!$V$549&gt;0,1,0)+IF(Meal_entry_week_2!$V$550&gt;0,1,0)+IF(Meal_entry_week_2!$V$551&gt;0,1,0)+0.00001)</f>
        <v>6.1379877240245531</v>
      </c>
      <c r="Z332" s="1072">
        <f>(Z353+Z354+Z355+Z356+Z357)/(IF(Meal_entry_week_2!$V$547&gt;0,1,0)+IF(Meal_entry_week_2!$V$548&gt;0,1,0)+IF(Meal_entry_week_2!$V$549&gt;0,1,0)+IF(Meal_entry_week_2!$V$550&gt;0,1,0)+IF(Meal_entry_week_2!$V$551&gt;0,1,0)+0.00001)</f>
        <v>11.439977120045761</v>
      </c>
      <c r="AA332" s="1072">
        <f>(AA353+AA354+AA355+AA356+AA357)/(IF(Meal_entry_week_2!$V$547&gt;0,1,0)+IF(Meal_entry_week_2!$V$548&gt;0,1,0)+IF(Meal_entry_week_2!$V$549&gt;0,1,0)+IF(Meal_entry_week_2!$V$550&gt;0,1,0)+IF(Meal_entry_week_2!$V$551&gt;0,1,0)+0.00001)</f>
        <v>2.2319955360089283</v>
      </c>
      <c r="AB332" s="1072">
        <f>(AB353+AB354+AB355+AB356+AB357)/(IF(Meal_entry_week_2!$V$547&gt;0,1,0)+IF(Meal_entry_week_2!$V$548&gt;0,1,0)+IF(Meal_entry_week_2!$V$549&gt;0,1,0)+IF(Meal_entry_week_2!$V$550&gt;0,1,0)+IF(Meal_entry_week_2!$V$551&gt;0,1,0)+0.00001)</f>
        <v>0</v>
      </c>
      <c r="AC332" s="1072">
        <f>(AC353+AC354+AC355+AC356+AC357)/(IF(Meal_entry_week_2!$V$547&gt;0,1,0)+IF(Meal_entry_week_2!$V$548&gt;0,1,0)+IF(Meal_entry_week_2!$V$549&gt;0,1,0)+IF(Meal_entry_week_2!$V$550&gt;0,1,0)+IF(Meal_entry_week_2!$V$551&gt;0,1,0)+0.00001)</f>
        <v>2.3833285666762003</v>
      </c>
      <c r="AD332" s="1072">
        <f>(AD353+AD354+AD355+AD356+AD357)/(IF(Meal_entry_week_2!$V$547&gt;0,1,0)+IF(Meal_entry_week_2!$V$548&gt;0,1,0)+IF(Meal_entry_week_2!$V$549&gt;0,1,0)+IF(Meal_entry_week_2!$V$550&gt;0,1,0)+IF(Meal_entry_week_2!$V$551&gt;0,1,0)+0.00001)</f>
        <v>5.6342687314625373</v>
      </c>
      <c r="AE332" s="1072">
        <f>(AE353+AE354+AE355+AE356+AE357)/(IF(Meal_entry_week_2!$V$547&gt;0,1,0)+IF(Meal_entry_week_2!$V$548&gt;0,1,0)+IF(Meal_entry_week_2!$V$549&gt;0,1,0)+IF(Meal_entry_week_2!$V$550&gt;0,1,0)+IF(Meal_entry_week_2!$V$551&gt;0,1,0)+0.00001)</f>
        <v>3.3135533728932542</v>
      </c>
      <c r="AF332" s="1072">
        <f>(AF353+AF354+AF355+AF356+AF357)/(IF(Meal_entry_week_2!$V$547&gt;0,1,0)+IF(Meal_entry_week_2!$V$548&gt;0,1,0)+IF(Meal_entry_week_2!$V$549&gt;0,1,0)+IF(Meal_entry_week_2!$V$550&gt;0,1,0)+IF(Meal_entry_week_2!$V$551&gt;0,1,0)+0.00001)</f>
        <v>5.468181063637874</v>
      </c>
      <c r="AG332" s="1072">
        <f>(AG353+AG354+AG355+AG356+AG357)/(IF(Meal_entry_week_2!$V$547&gt;0,1,0)+IF(Meal_entry_week_2!$V$548&gt;0,1,0)+IF(Meal_entry_week_2!$V$549&gt;0,1,0)+IF(Meal_entry_week_2!$V$550&gt;0,1,0)+IF(Meal_entry_week_2!$V$551&gt;0,1,0)+0.00001)</f>
        <v>1.4028503579356477</v>
      </c>
      <c r="AH332" s="1072">
        <f>(AH353+AH354+AH355+AH356+AH357)/(IF(Meal_entry_week_2!$V$547&gt;0,1,0)+IF(Meal_entry_week_2!$V$548&gt;0,1,0)+IF(Meal_entry_week_2!$V$549&gt;0,1,0)+IF(Meal_entry_week_2!$V$550&gt;0,1,0)+IF(Meal_entry_week_2!$V$551&gt;0,1,0)+0.00001)</f>
        <v>0.29185141629716749</v>
      </c>
      <c r="AI332" s="1072">
        <f>(AI353+AI354+AI355+AI356+AI357)/(IF(Meal_entry_week_2!$V$547&gt;0,1,0)+IF(Meal_entry_week_2!$V$548&gt;0,1,0)+IF(Meal_entry_week_2!$V$549&gt;0,1,0)+IF(Meal_entry_week_2!$V$550&gt;0,1,0)+IF(Meal_entry_week_2!$V$551&gt;0,1,0)+0.00001)</f>
        <v>4.7287805424389155</v>
      </c>
      <c r="AJ332" s="1072">
        <f>(AJ353+AJ354+AJ355+AJ356+AJ357)/(IF(Meal_entry_week_2!$V$547&gt;0,1,0)+IF(Meal_entry_week_2!$V$548&gt;0,1,0)+IF(Meal_entry_week_2!$V$549&gt;0,1,0)+IF(Meal_entry_week_2!$V$550&gt;0,1,0)+IF(Meal_entry_week_2!$V$551&gt;0,1,0)+0.00001)</f>
        <v>0</v>
      </c>
      <c r="AK332" s="1072">
        <f>(AK353+AK354+AK355+AK356+AK357)/(IF(Meal_entry_week_2!$V$547&gt;0,1,0)+IF(Meal_entry_week_2!$V$548&gt;0,1,0)+IF(Meal_entry_week_2!$V$549&gt;0,1,0)+IF(Meal_entry_week_2!$V$550&gt;0,1,0)+IF(Meal_entry_week_2!$V$551&gt;0,1,0)+0.00001)</f>
        <v>0</v>
      </c>
      <c r="AL332" s="1072">
        <f>(AL353+AL354+AL355+AL356+AL357)/(IF(Meal_entry_week_2!$V$547&gt;0,1,0)+IF(Meal_entry_week_2!$V$548&gt;0,1,0)+IF(Meal_entry_week_2!$V$549&gt;0,1,0)+IF(Meal_entry_week_2!$V$550&gt;0,1,0)+IF(Meal_entry_week_2!$V$551&gt;0,1,0)+0.00001)</f>
        <v>0</v>
      </c>
      <c r="AM332" s="1070">
        <f>156-SUM(W332:AL332)</f>
        <v>85.697651536298665</v>
      </c>
      <c r="AN332" s="407">
        <f>(AN353+AN354+AN355+AN356+AN357)/(IF(Meal_entry_week_2!$V$547&gt;0,1,0)+IF(Meal_entry_week_2!$V$548&gt;0,1,0)+IF(Meal_entry_week_2!$V$549&gt;0,1,0)+IF(Meal_entry_week_2!$V$550&gt;0,1,0)+IF(Meal_entry_week_2!$V$551&gt;0,1,0)+0.00001)</f>
        <v>26.36443298541975</v>
      </c>
    </row>
    <row r="333" spans="1:40">
      <c r="A333" s="1066"/>
      <c r="B333" s="1074" t="s">
        <v>3553</v>
      </c>
      <c r="C333" s="1027"/>
      <c r="D333" s="1075">
        <f>(D359+D360+D361+D362+D363)/(IF(Meal_entry_week_1!$V$547&gt;0,1,0)+IF(Meal_entry_week_1!$V$548&gt;0,1,0)+IF(Meal_entry_week_1!$V$549&gt;0,1,0)+IF(Meal_entry_week_1!$V$550&gt;0,1,0)+IF(Meal_entry_week_1!$V$551&gt;0,1,0)+0.00001)</f>
        <v>0</v>
      </c>
      <c r="E333" s="1075">
        <f>(E359+E360+E361+E362+E363)/(IF(Meal_entry_week_1!$V$547&gt;0,1,0)+IF(Meal_entry_week_1!$V$548&gt;0,1,0)+IF(Meal_entry_week_1!$V$549&gt;0,1,0)+IF(Meal_entry_week_1!$V$550&gt;0,1,0)+IF(Meal_entry_week_1!$V$551&gt;0,1,0)+0.00001)</f>
        <v>0</v>
      </c>
      <c r="F333" s="1075">
        <f>(F359+F360+F361+F362+F363)/(IF(Meal_entry_week_1!$V$547&gt;0,1,0)+IF(Meal_entry_week_1!$V$548&gt;0,1,0)+IF(Meal_entry_week_1!$V$549&gt;0,1,0)+IF(Meal_entry_week_1!$V$550&gt;0,1,0)+IF(Meal_entry_week_1!$V$551&gt;0,1,0)+0.00001)</f>
        <v>0</v>
      </c>
      <c r="G333" s="1075">
        <f>(G359+G360+G361+G362+G363)/(IF(Meal_entry_week_1!$V$547&gt;0,1,0)+IF(Meal_entry_week_1!$V$548&gt;0,1,0)+IF(Meal_entry_week_1!$V$549&gt;0,1,0)+IF(Meal_entry_week_1!$V$550&gt;0,1,0)+IF(Meal_entry_week_1!$V$551&gt;0,1,0)+0.00001)</f>
        <v>0</v>
      </c>
      <c r="H333" s="1075">
        <f>(H359+H360+H361+H362+H363)/(IF(Meal_entry_week_1!$V$547&gt;0,1,0)+IF(Meal_entry_week_1!$V$548&gt;0,1,0)+IF(Meal_entry_week_1!$V$549&gt;0,1,0)+IF(Meal_entry_week_1!$V$550&gt;0,1,0)+IF(Meal_entry_week_1!$V$551&gt;0,1,0)+0.00001)</f>
        <v>0</v>
      </c>
      <c r="I333" s="1075">
        <f>(I359+I360+I361+I362+I363)/(IF(Meal_entry_week_1!$V$547&gt;0,1,0)+IF(Meal_entry_week_1!$V$548&gt;0,1,0)+IF(Meal_entry_week_1!$V$549&gt;0,1,0)+IF(Meal_entry_week_1!$V$550&gt;0,1,0)+IF(Meal_entry_week_1!$V$551&gt;0,1,0)+0.00001)</f>
        <v>0</v>
      </c>
      <c r="J333" s="1075">
        <f>(J359+J360+J361+J362+J363)/(IF(Meal_entry_week_1!$V$547&gt;0,1,0)+IF(Meal_entry_week_1!$V$548&gt;0,1,0)+IF(Meal_entry_week_1!$V$549&gt;0,1,0)+IF(Meal_entry_week_1!$V$550&gt;0,1,0)+IF(Meal_entry_week_1!$V$551&gt;0,1,0)+0.00001)</f>
        <v>0</v>
      </c>
      <c r="K333" s="1075">
        <f>(K359+K360+K361+K362+K363)/(IF(Meal_entry_week_1!$V$547&gt;0,1,0)+IF(Meal_entry_week_1!$V$548&gt;0,1,0)+IF(Meal_entry_week_1!$V$549&gt;0,1,0)+IF(Meal_entry_week_1!$V$550&gt;0,1,0)+IF(Meal_entry_week_1!$V$551&gt;0,1,0)+0.00001)</f>
        <v>0</v>
      </c>
      <c r="L333" s="1075">
        <f>(L359+L360+L361+L362+L363)/(IF(Meal_entry_week_1!$V$547&gt;0,1,0)+IF(Meal_entry_week_1!$V$548&gt;0,1,0)+IF(Meal_entry_week_1!$V$549&gt;0,1,0)+IF(Meal_entry_week_1!$V$550&gt;0,1,0)+IF(Meal_entry_week_1!$V$551&gt;0,1,0)+0.00001)</f>
        <v>0</v>
      </c>
      <c r="M333" s="1075">
        <f>(M359+M360+M361+M362+M363)/(IF(Meal_entry_week_1!$V$547&gt;0,1,0)+IF(Meal_entry_week_1!$V$548&gt;0,1,0)+IF(Meal_entry_week_1!$V$549&gt;0,1,0)+IF(Meal_entry_week_1!$V$550&gt;0,1,0)+IF(Meal_entry_week_1!$V$551&gt;0,1,0)+0.00001)</f>
        <v>0</v>
      </c>
      <c r="N333" s="1075">
        <f>(N359+N360+N361+N362+N363)/(IF(Meal_entry_week_1!$V$547&gt;0,1,0)+IF(Meal_entry_week_1!$V$548&gt;0,1,0)+IF(Meal_entry_week_1!$V$549&gt;0,1,0)+IF(Meal_entry_week_1!$V$550&gt;0,1,0)+IF(Meal_entry_week_1!$V$551&gt;0,1,0)+0.00001)</f>
        <v>0</v>
      </c>
      <c r="O333" s="1075">
        <f>(O359+O360+O361+O362+O363)/(IF(Meal_entry_week_1!$V$547&gt;0,1,0)+IF(Meal_entry_week_1!$V$548&gt;0,1,0)+IF(Meal_entry_week_1!$V$549&gt;0,1,0)+IF(Meal_entry_week_1!$V$550&gt;0,1,0)+IF(Meal_entry_week_1!$V$551&gt;0,1,0)+0.00001)</f>
        <v>0</v>
      </c>
      <c r="P333" s="1075">
        <f>(P359+P360+P361+P362+P363)/(IF(Meal_entry_week_1!$V$547&gt;0,1,0)+IF(Meal_entry_week_1!$V$548&gt;0,1,0)+IF(Meal_entry_week_1!$V$549&gt;0,1,0)+IF(Meal_entry_week_1!$V$550&gt;0,1,0)+IF(Meal_entry_week_1!$V$551&gt;0,1,0)+0.00001)</f>
        <v>0</v>
      </c>
      <c r="Q333" s="1075">
        <f>(Q359+Q360+Q361+Q362+Q363)/(IF(Meal_entry_week_1!$V$547&gt;0,1,0)+IF(Meal_entry_week_1!$V$548&gt;0,1,0)+IF(Meal_entry_week_1!$V$549&gt;0,1,0)+IF(Meal_entry_week_1!$V$550&gt;0,1,0)+IF(Meal_entry_week_1!$V$551&gt;0,1,0)+0.00001)</f>
        <v>0</v>
      </c>
      <c r="R333" s="1075">
        <f>(R359+R360+R361+R362+R363)/(IF(Meal_entry_week_1!$V$547&gt;0,1,0)+IF(Meal_entry_week_1!$V$548&gt;0,1,0)+IF(Meal_entry_week_1!$V$549&gt;0,1,0)+IF(Meal_entry_week_1!$V$550&gt;0,1,0)+IF(Meal_entry_week_1!$V$551&gt;0,1,0)+0.00001)</f>
        <v>0</v>
      </c>
      <c r="S333" s="1075">
        <f>(S359+S360+S361+S362+S363)/(IF(Meal_entry_week_1!$V$547&gt;0,1,0)+IF(Meal_entry_week_1!$V$548&gt;0,1,0)+IF(Meal_entry_week_1!$V$549&gt;0,1,0)+IF(Meal_entry_week_1!$V$550&gt;0,1,0)+IF(Meal_entry_week_1!$V$551&gt;0,1,0)+0.00001)</f>
        <v>0</v>
      </c>
      <c r="T333" s="1070">
        <f>156-SUM(D333:S333)</f>
        <v>156</v>
      </c>
      <c r="U333" s="1302">
        <f>(U359+U360+U361+U362+U363)/(IF(Meal_entry_week_1!$V$547&gt;0,1,0)+IF(Meal_entry_week_1!$V$548&gt;0,1,0)+IF(Meal_entry_week_1!$V$549&gt;0,1,0)+IF(Meal_entry_week_1!$V$550&gt;0,1,0)+IF(Meal_entry_week_1!$V$551&gt;0,1,0)+0.00001)</f>
        <v>0</v>
      </c>
      <c r="V333" s="1074" t="s">
        <v>3553</v>
      </c>
      <c r="W333" s="1075">
        <f>(W359+W360+W361+W362+W363)/(IF(Meal_entry_week_2!$V$547&gt;0,1,0)+IF(Meal_entry_week_2!$V$548&gt;0,1,0)+IF(Meal_entry_week_2!$V$549&gt;0,1,0)+IF(Meal_entry_week_2!$V$550&gt;0,1,0)+IF(Meal_entry_week_2!$V$551&gt;0,1,0)+0.00001)</f>
        <v>0</v>
      </c>
      <c r="X333" s="1075">
        <f>(X359+X360+X361+X362+X363)/(IF(Meal_entry_week_2!$V$547&gt;0,1,0)+IF(Meal_entry_week_2!$V$548&gt;0,1,0)+IF(Meal_entry_week_2!$V$549&gt;0,1,0)+IF(Meal_entry_week_2!$V$550&gt;0,1,0)+IF(Meal_entry_week_2!$V$551&gt;0,1,0)+0.00001)</f>
        <v>0</v>
      </c>
      <c r="Y333" s="1075">
        <f>(Y359+Y360+Y361+Y362+Y363)/(IF(Meal_entry_week_2!$V$547&gt;0,1,0)+IF(Meal_entry_week_2!$V$548&gt;0,1,0)+IF(Meal_entry_week_2!$V$549&gt;0,1,0)+IF(Meal_entry_week_2!$V$550&gt;0,1,0)+IF(Meal_entry_week_2!$V$551&gt;0,1,0)+0.00001)</f>
        <v>0</v>
      </c>
      <c r="Z333" s="1075">
        <f>(Z359+Z360+Z361+Z362+Z363)/(IF(Meal_entry_week_2!$V$547&gt;0,1,0)+IF(Meal_entry_week_2!$V$548&gt;0,1,0)+IF(Meal_entry_week_2!$V$549&gt;0,1,0)+IF(Meal_entry_week_2!$V$550&gt;0,1,0)+IF(Meal_entry_week_2!$V$551&gt;0,1,0)+0.00001)</f>
        <v>0</v>
      </c>
      <c r="AA333" s="1075">
        <f>(AA359+AA360+AA361+AA362+AA363)/(IF(Meal_entry_week_2!$V$547&gt;0,1,0)+IF(Meal_entry_week_2!$V$548&gt;0,1,0)+IF(Meal_entry_week_2!$V$549&gt;0,1,0)+IF(Meal_entry_week_2!$V$550&gt;0,1,0)+IF(Meal_entry_week_2!$V$551&gt;0,1,0)+0.00001)</f>
        <v>0</v>
      </c>
      <c r="AB333" s="1075">
        <f>(AB359+AB360+AB361+AB362+AB363)/(IF(Meal_entry_week_2!$V$547&gt;0,1,0)+IF(Meal_entry_week_2!$V$548&gt;0,1,0)+IF(Meal_entry_week_2!$V$549&gt;0,1,0)+IF(Meal_entry_week_2!$V$550&gt;0,1,0)+IF(Meal_entry_week_2!$V$551&gt;0,1,0)+0.00001)</f>
        <v>0</v>
      </c>
      <c r="AC333" s="1075">
        <f>(AC359+AC360+AC361+AC362+AC363)/(IF(Meal_entry_week_2!$V$547&gt;0,1,0)+IF(Meal_entry_week_2!$V$548&gt;0,1,0)+IF(Meal_entry_week_2!$V$549&gt;0,1,0)+IF(Meal_entry_week_2!$V$550&gt;0,1,0)+IF(Meal_entry_week_2!$V$551&gt;0,1,0)+0.00001)</f>
        <v>0</v>
      </c>
      <c r="AD333" s="1075">
        <f>(AD359+AD360+AD361+AD362+AD363)/(IF(Meal_entry_week_2!$V$547&gt;0,1,0)+IF(Meal_entry_week_2!$V$548&gt;0,1,0)+IF(Meal_entry_week_2!$V$549&gt;0,1,0)+IF(Meal_entry_week_2!$V$550&gt;0,1,0)+IF(Meal_entry_week_2!$V$551&gt;0,1,0)+0.00001)</f>
        <v>0</v>
      </c>
      <c r="AE333" s="1075">
        <f>(AE359+AE360+AE361+AE362+AE363)/(IF(Meal_entry_week_2!$V$547&gt;0,1,0)+IF(Meal_entry_week_2!$V$548&gt;0,1,0)+IF(Meal_entry_week_2!$V$549&gt;0,1,0)+IF(Meal_entry_week_2!$V$550&gt;0,1,0)+IF(Meal_entry_week_2!$V$551&gt;0,1,0)+0.00001)</f>
        <v>0</v>
      </c>
      <c r="AF333" s="1075">
        <f>(AF359+AF360+AF361+AF362+AF363)/(IF(Meal_entry_week_2!$V$547&gt;0,1,0)+IF(Meal_entry_week_2!$V$548&gt;0,1,0)+IF(Meal_entry_week_2!$V$549&gt;0,1,0)+IF(Meal_entry_week_2!$V$550&gt;0,1,0)+IF(Meal_entry_week_2!$V$551&gt;0,1,0)+0.00001)</f>
        <v>0</v>
      </c>
      <c r="AG333" s="1075">
        <f>(AG359+AG360+AG361+AG362+AG363)/(IF(Meal_entry_week_2!$V$547&gt;0,1,0)+IF(Meal_entry_week_2!$V$548&gt;0,1,0)+IF(Meal_entry_week_2!$V$549&gt;0,1,0)+IF(Meal_entry_week_2!$V$550&gt;0,1,0)+IF(Meal_entry_week_2!$V$551&gt;0,1,0)+0.00001)</f>
        <v>0</v>
      </c>
      <c r="AH333" s="1075">
        <f>(AH359+AH360+AH361+AH362+AH363)/(IF(Meal_entry_week_2!$V$547&gt;0,1,0)+IF(Meal_entry_week_2!$V$548&gt;0,1,0)+IF(Meal_entry_week_2!$V$549&gt;0,1,0)+IF(Meal_entry_week_2!$V$550&gt;0,1,0)+IF(Meal_entry_week_2!$V$551&gt;0,1,0)+0.00001)</f>
        <v>0</v>
      </c>
      <c r="AI333" s="1075">
        <f>(AI359+AI360+AI361+AI362+AI363)/(IF(Meal_entry_week_2!$V$547&gt;0,1,0)+IF(Meal_entry_week_2!$V$548&gt;0,1,0)+IF(Meal_entry_week_2!$V$549&gt;0,1,0)+IF(Meal_entry_week_2!$V$550&gt;0,1,0)+IF(Meal_entry_week_2!$V$551&gt;0,1,0)+0.00001)</f>
        <v>0</v>
      </c>
      <c r="AJ333" s="1075">
        <f>(AJ359+AJ360+AJ361+AJ362+AJ363)/(IF(Meal_entry_week_2!$V$547&gt;0,1,0)+IF(Meal_entry_week_2!$V$548&gt;0,1,0)+IF(Meal_entry_week_2!$V$549&gt;0,1,0)+IF(Meal_entry_week_2!$V$550&gt;0,1,0)+IF(Meal_entry_week_2!$V$551&gt;0,1,0)+0.00001)</f>
        <v>0</v>
      </c>
      <c r="AK333" s="1075">
        <f>(AK359+AK360+AK361+AK362+AK363)/(IF(Meal_entry_week_2!$V$547&gt;0,1,0)+IF(Meal_entry_week_2!$V$548&gt;0,1,0)+IF(Meal_entry_week_2!$V$549&gt;0,1,0)+IF(Meal_entry_week_2!$V$550&gt;0,1,0)+IF(Meal_entry_week_2!$V$551&gt;0,1,0)+0.00001)</f>
        <v>0</v>
      </c>
      <c r="AL333" s="1075">
        <f>(AL359+AL360+AL361+AL362+AL363)/(IF(Meal_entry_week_2!$V$547&gt;0,1,0)+IF(Meal_entry_week_2!$V$548&gt;0,1,0)+IF(Meal_entry_week_2!$V$549&gt;0,1,0)+IF(Meal_entry_week_2!$V$550&gt;0,1,0)+IF(Meal_entry_week_2!$V$551&gt;0,1,0)+0.00001)</f>
        <v>0</v>
      </c>
      <c r="AM333" s="1070">
        <f>156-SUM(W333:AL333)</f>
        <v>156</v>
      </c>
      <c r="AN333" s="1302">
        <f>(AN359+AN360+AN361+AN362+AN363)/(IF(Meal_entry_week_2!$V$547&gt;0,1,0)+IF(Meal_entry_week_2!$V$548&gt;0,1,0)+IF(Meal_entry_week_2!$V$549&gt;0,1,0)+IF(Meal_entry_week_2!$V$550&gt;0,1,0)+IF(Meal_entry_week_2!$V$551&gt;0,1,0)+0.00001)</f>
        <v>0</v>
      </c>
    </row>
    <row r="334" spans="1:40">
      <c r="A334" s="1066"/>
      <c r="B334" s="956" t="s">
        <v>3556</v>
      </c>
      <c r="C334" s="945"/>
      <c r="D334" s="1269" t="s">
        <v>3140</v>
      </c>
      <c r="E334" s="1083" t="s">
        <v>3069</v>
      </c>
      <c r="F334" s="1083" t="s">
        <v>3077</v>
      </c>
      <c r="G334" s="1083" t="s">
        <v>3073</v>
      </c>
      <c r="H334" s="1083" t="s">
        <v>3070</v>
      </c>
      <c r="I334" s="913" t="s">
        <v>3575</v>
      </c>
      <c r="J334" s="913" t="s">
        <v>3072</v>
      </c>
      <c r="K334" s="1083" t="s">
        <v>3085</v>
      </c>
      <c r="L334" s="1083" t="s">
        <v>3075</v>
      </c>
      <c r="M334" s="1083" t="s">
        <v>3141</v>
      </c>
      <c r="N334" s="1083" t="s">
        <v>3550</v>
      </c>
      <c r="O334" s="1083" t="s">
        <v>3078</v>
      </c>
      <c r="P334" s="1083" t="s">
        <v>3551</v>
      </c>
      <c r="Q334" s="1083" t="s">
        <v>3082</v>
      </c>
      <c r="R334" s="1083" t="s">
        <v>3083</v>
      </c>
      <c r="S334" s="1083" t="s">
        <v>3084</v>
      </c>
      <c r="T334" s="1068"/>
      <c r="U334" s="406" t="s">
        <v>3140</v>
      </c>
      <c r="V334" s="956" t="s">
        <v>3556</v>
      </c>
      <c r="W334" s="1269" t="s">
        <v>3140</v>
      </c>
      <c r="X334" s="1083" t="s">
        <v>3069</v>
      </c>
      <c r="Y334" s="1083" t="s">
        <v>3077</v>
      </c>
      <c r="Z334" s="1083" t="s">
        <v>3073</v>
      </c>
      <c r="AA334" s="1083" t="s">
        <v>3070</v>
      </c>
      <c r="AB334" s="913" t="s">
        <v>3575</v>
      </c>
      <c r="AC334" s="913" t="s">
        <v>3072</v>
      </c>
      <c r="AD334" s="1083" t="s">
        <v>3085</v>
      </c>
      <c r="AE334" s="1083" t="s">
        <v>3075</v>
      </c>
      <c r="AF334" s="1083" t="s">
        <v>3141</v>
      </c>
      <c r="AG334" s="1083" t="s">
        <v>3550</v>
      </c>
      <c r="AH334" s="1083" t="s">
        <v>3078</v>
      </c>
      <c r="AI334" s="1083" t="s">
        <v>3551</v>
      </c>
      <c r="AJ334" s="1083" t="s">
        <v>3082</v>
      </c>
      <c r="AK334" s="1083" t="s">
        <v>3083</v>
      </c>
      <c r="AL334" s="1083" t="s">
        <v>3084</v>
      </c>
      <c r="AM334" s="1068"/>
      <c r="AN334" s="406" t="s">
        <v>3140</v>
      </c>
    </row>
    <row r="335" spans="1:40">
      <c r="A335" s="1066"/>
      <c r="B335" s="956" t="s">
        <v>3064</v>
      </c>
      <c r="C335" s="945"/>
      <c r="D335" s="1072">
        <f>D341+D347+D353+D359</f>
        <v>39.200000000000003</v>
      </c>
      <c r="E335" s="1072">
        <f t="shared" ref="E335:S335" si="50">E341+E347+E353+E359</f>
        <v>0</v>
      </c>
      <c r="F335" s="1072">
        <f t="shared" si="50"/>
        <v>7.4249999999999998</v>
      </c>
      <c r="G335" s="1072">
        <f t="shared" si="50"/>
        <v>17.600000000000001</v>
      </c>
      <c r="H335" s="1072">
        <f t="shared" si="50"/>
        <v>35.4</v>
      </c>
      <c r="I335" s="1072">
        <f t="shared" si="50"/>
        <v>0</v>
      </c>
      <c r="J335" s="1072">
        <f t="shared" si="50"/>
        <v>5.5</v>
      </c>
      <c r="K335" s="1072">
        <f t="shared" si="50"/>
        <v>8.14</v>
      </c>
      <c r="L335" s="1072">
        <f t="shared" si="50"/>
        <v>1.9359999999999999</v>
      </c>
      <c r="M335" s="1072">
        <f t="shared" si="50"/>
        <v>0.64679999999999993</v>
      </c>
      <c r="N335" s="1072">
        <f t="shared" si="50"/>
        <v>1.8336000000000001</v>
      </c>
      <c r="O335" s="1072">
        <f t="shared" si="50"/>
        <v>0</v>
      </c>
      <c r="P335" s="1072">
        <f t="shared" si="50"/>
        <v>9.2119499999999999</v>
      </c>
      <c r="Q335" s="1072">
        <f t="shared" si="50"/>
        <v>0</v>
      </c>
      <c r="R335" s="1072">
        <f t="shared" si="50"/>
        <v>0</v>
      </c>
      <c r="S335" s="1072">
        <f t="shared" si="50"/>
        <v>0</v>
      </c>
      <c r="T335" s="1070">
        <f>198-SUM(D335:S335)</f>
        <v>71.106650000000002</v>
      </c>
      <c r="U335" s="407">
        <f>U341+U347+U353+U359</f>
        <v>39.200000000000003</v>
      </c>
      <c r="V335" s="956" t="s">
        <v>3064</v>
      </c>
      <c r="W335" s="1072">
        <f>W341+W347+W353+W359</f>
        <v>29</v>
      </c>
      <c r="X335" s="1072">
        <f t="shared" ref="X335:AL335" si="51">X341+X347+X353+X359</f>
        <v>0</v>
      </c>
      <c r="Y335" s="1072">
        <f t="shared" si="51"/>
        <v>5.94</v>
      </c>
      <c r="Z335" s="1072">
        <f t="shared" si="51"/>
        <v>17.600000000000001</v>
      </c>
      <c r="AA335" s="1072">
        <f t="shared" si="51"/>
        <v>0</v>
      </c>
      <c r="AB335" s="1072">
        <f t="shared" si="51"/>
        <v>0</v>
      </c>
      <c r="AC335" s="1072">
        <f t="shared" si="51"/>
        <v>5.1333333333333337</v>
      </c>
      <c r="AD335" s="1072">
        <f t="shared" si="51"/>
        <v>14.671533333333333</v>
      </c>
      <c r="AE335" s="1072">
        <f t="shared" si="51"/>
        <v>10.542</v>
      </c>
      <c r="AF335" s="1072">
        <f t="shared" si="51"/>
        <v>1.3387</v>
      </c>
      <c r="AG335" s="1072">
        <f t="shared" si="51"/>
        <v>2.8207418181818182</v>
      </c>
      <c r="AH335" s="1072">
        <f t="shared" si="51"/>
        <v>0</v>
      </c>
      <c r="AI335" s="1072">
        <f t="shared" si="51"/>
        <v>3.5200000000000005</v>
      </c>
      <c r="AJ335" s="1072">
        <f t="shared" si="51"/>
        <v>0</v>
      </c>
      <c r="AK335" s="1072">
        <f t="shared" si="51"/>
        <v>0</v>
      </c>
      <c r="AL335" s="1072">
        <f t="shared" si="51"/>
        <v>0</v>
      </c>
      <c r="AM335" s="1070">
        <f>198-SUM(W335:AL335)</f>
        <v>107.43369151515152</v>
      </c>
      <c r="AN335" s="407">
        <f>AN341+AN347+AN353+AN359</f>
        <v>29</v>
      </c>
    </row>
    <row r="336" spans="1:40">
      <c r="A336" s="1066"/>
      <c r="B336" s="956" t="s">
        <v>3065</v>
      </c>
      <c r="C336" s="945"/>
      <c r="D336" s="1072">
        <f t="shared" ref="D336:S338" si="52">D342+D348+D354+D360</f>
        <v>7.5</v>
      </c>
      <c r="E336" s="1072">
        <f t="shared" si="52"/>
        <v>1.446</v>
      </c>
      <c r="F336" s="1072">
        <f t="shared" si="52"/>
        <v>7.4249999999999998</v>
      </c>
      <c r="G336" s="1072">
        <f t="shared" si="52"/>
        <v>16.5</v>
      </c>
      <c r="H336" s="1072">
        <f t="shared" si="52"/>
        <v>0</v>
      </c>
      <c r="I336" s="1072">
        <f t="shared" si="52"/>
        <v>36</v>
      </c>
      <c r="J336" s="1072">
        <f t="shared" si="52"/>
        <v>5.5</v>
      </c>
      <c r="K336" s="1072">
        <f t="shared" si="52"/>
        <v>2.0228571428571427</v>
      </c>
      <c r="L336" s="1072">
        <f t="shared" si="52"/>
        <v>1.694</v>
      </c>
      <c r="M336" s="1072">
        <f t="shared" si="52"/>
        <v>22.6068</v>
      </c>
      <c r="N336" s="1072">
        <f t="shared" si="52"/>
        <v>7.9351854545454543</v>
      </c>
      <c r="O336" s="1072">
        <f t="shared" si="52"/>
        <v>0</v>
      </c>
      <c r="P336" s="1072">
        <f t="shared" si="52"/>
        <v>16.6188</v>
      </c>
      <c r="Q336" s="1072">
        <f t="shared" si="52"/>
        <v>0</v>
      </c>
      <c r="R336" s="1072">
        <f t="shared" si="52"/>
        <v>0</v>
      </c>
      <c r="S336" s="1072">
        <f t="shared" si="52"/>
        <v>0</v>
      </c>
      <c r="T336" s="1070">
        <f>198-SUM(D336:S336)</f>
        <v>72.751357402597392</v>
      </c>
      <c r="U336" s="407">
        <f>U342+U348+U354+U360</f>
        <v>7.5</v>
      </c>
      <c r="V336" s="956" t="s">
        <v>3065</v>
      </c>
      <c r="W336" s="1072">
        <f>W342+W348+W354+W360</f>
        <v>21.3</v>
      </c>
      <c r="X336" s="1072">
        <f t="shared" ref="X336:AL336" si="53">X342+X348+X354+X360</f>
        <v>4.5257142857142858</v>
      </c>
      <c r="Y336" s="1072">
        <f t="shared" si="53"/>
        <v>7.4249999999999998</v>
      </c>
      <c r="Z336" s="1072">
        <f t="shared" si="53"/>
        <v>0</v>
      </c>
      <c r="AA336" s="1072">
        <f t="shared" si="53"/>
        <v>0</v>
      </c>
      <c r="AB336" s="1072">
        <f t="shared" si="53"/>
        <v>0</v>
      </c>
      <c r="AC336" s="1072">
        <f t="shared" si="53"/>
        <v>0</v>
      </c>
      <c r="AD336" s="1072">
        <f t="shared" si="53"/>
        <v>20.83</v>
      </c>
      <c r="AE336" s="1072">
        <f t="shared" si="53"/>
        <v>0.60499999999999998</v>
      </c>
      <c r="AF336" s="1072">
        <f t="shared" si="53"/>
        <v>20.88</v>
      </c>
      <c r="AG336" s="1072">
        <f t="shared" si="53"/>
        <v>8.0640000000000003E-2</v>
      </c>
      <c r="AH336" s="1072">
        <f t="shared" si="53"/>
        <v>12.96</v>
      </c>
      <c r="AI336" s="1072">
        <f t="shared" si="53"/>
        <v>13.325949999999999</v>
      </c>
      <c r="AJ336" s="1072">
        <f t="shared" si="53"/>
        <v>0</v>
      </c>
      <c r="AK336" s="1072">
        <f t="shared" si="53"/>
        <v>0</v>
      </c>
      <c r="AL336" s="1072">
        <f t="shared" si="53"/>
        <v>0</v>
      </c>
      <c r="AM336" s="1070">
        <f>198-SUM(W336:AL336)</f>
        <v>96.067695714285719</v>
      </c>
      <c r="AN336" s="407">
        <f>AN342+AN348+AN354+AN360</f>
        <v>21.3</v>
      </c>
    </row>
    <row r="337" spans="1:40">
      <c r="A337" s="1066"/>
      <c r="B337" s="956" t="s">
        <v>3066</v>
      </c>
      <c r="C337" s="945"/>
      <c r="D337" s="1072">
        <f>D343+D349+D355+D361</f>
        <v>43.808571428571426</v>
      </c>
      <c r="E337" s="1072">
        <f t="shared" si="52"/>
        <v>0</v>
      </c>
      <c r="F337" s="1072">
        <f t="shared" si="52"/>
        <v>7.4249999999999998</v>
      </c>
      <c r="G337" s="1072">
        <f t="shared" si="52"/>
        <v>0</v>
      </c>
      <c r="H337" s="1072">
        <f t="shared" si="52"/>
        <v>18.600000000000001</v>
      </c>
      <c r="I337" s="1072">
        <f t="shared" si="52"/>
        <v>0</v>
      </c>
      <c r="J337" s="1072">
        <f t="shared" si="52"/>
        <v>0</v>
      </c>
      <c r="K337" s="1072">
        <f t="shared" si="52"/>
        <v>12.185714285714287</v>
      </c>
      <c r="L337" s="1072">
        <f t="shared" si="52"/>
        <v>1.21</v>
      </c>
      <c r="M337" s="1072">
        <f t="shared" si="52"/>
        <v>0.43119999999999997</v>
      </c>
      <c r="N337" s="1072">
        <f t="shared" si="52"/>
        <v>1.6800000000000002E-2</v>
      </c>
      <c r="O337" s="1072">
        <f t="shared" si="52"/>
        <v>0</v>
      </c>
      <c r="P337" s="1072">
        <f t="shared" si="52"/>
        <v>36.359999999999992</v>
      </c>
      <c r="Q337" s="1072">
        <f t="shared" si="52"/>
        <v>0</v>
      </c>
      <c r="R337" s="1072">
        <f t="shared" si="52"/>
        <v>0</v>
      </c>
      <c r="S337" s="1072">
        <f t="shared" si="52"/>
        <v>0</v>
      </c>
      <c r="T337" s="1070">
        <f>198-SUM(D337:S337)</f>
        <v>77.962714285714299</v>
      </c>
      <c r="U337" s="407">
        <f>U343+U349+U355+U361</f>
        <v>43.808571428571426</v>
      </c>
      <c r="V337" s="956" t="s">
        <v>3066</v>
      </c>
      <c r="W337" s="1072">
        <f>W343+W349+W355+W361</f>
        <v>39.400000000000006</v>
      </c>
      <c r="X337" s="1072">
        <f t="shared" ref="X337:AL337" si="54">X343+X349+X355+X361</f>
        <v>0</v>
      </c>
      <c r="Y337" s="1072">
        <f t="shared" si="54"/>
        <v>2.4750000000000001</v>
      </c>
      <c r="Z337" s="1072">
        <f t="shared" si="54"/>
        <v>0</v>
      </c>
      <c r="AA337" s="1072">
        <f t="shared" si="54"/>
        <v>17.16</v>
      </c>
      <c r="AB337" s="1072">
        <f t="shared" si="54"/>
        <v>0</v>
      </c>
      <c r="AC337" s="1072">
        <f t="shared" si="54"/>
        <v>0.91666666666666674</v>
      </c>
      <c r="AD337" s="1072">
        <f t="shared" si="54"/>
        <v>12.1304</v>
      </c>
      <c r="AE337" s="1072">
        <f t="shared" si="54"/>
        <v>2.3957999999999999</v>
      </c>
      <c r="AF337" s="1072">
        <f t="shared" si="54"/>
        <v>0.77615999999999996</v>
      </c>
      <c r="AG337" s="1072">
        <f t="shared" si="54"/>
        <v>2.5809000000000002</v>
      </c>
      <c r="AH337" s="1072">
        <f t="shared" si="54"/>
        <v>1.1215600000000001</v>
      </c>
      <c r="AI337" s="1072">
        <f t="shared" si="54"/>
        <v>12.369499999999999</v>
      </c>
      <c r="AJ337" s="1072">
        <f t="shared" si="54"/>
        <v>0</v>
      </c>
      <c r="AK337" s="1072">
        <f t="shared" si="54"/>
        <v>14.1</v>
      </c>
      <c r="AL337" s="1072">
        <f t="shared" si="54"/>
        <v>0</v>
      </c>
      <c r="AM337" s="1070">
        <f>198-SUM(W337:AL337)</f>
        <v>92.574013333333326</v>
      </c>
      <c r="AN337" s="407">
        <f>AN343+AN349+AN355+AN361</f>
        <v>39.400000000000006</v>
      </c>
    </row>
    <row r="338" spans="1:40">
      <c r="A338" s="1066"/>
      <c r="B338" s="956" t="s">
        <v>3067</v>
      </c>
      <c r="C338" s="945"/>
      <c r="D338" s="1072">
        <f t="shared" ref="D338:S339" si="55">D344+D350+D356+D362</f>
        <v>27.97</v>
      </c>
      <c r="E338" s="1072">
        <f t="shared" si="55"/>
        <v>5.0609999999999999</v>
      </c>
      <c r="F338" s="1072">
        <f t="shared" si="55"/>
        <v>9.9879999999999995</v>
      </c>
      <c r="G338" s="1072">
        <f t="shared" si="55"/>
        <v>17.600000000000001</v>
      </c>
      <c r="H338" s="1072">
        <f t="shared" si="55"/>
        <v>0</v>
      </c>
      <c r="I338" s="1072">
        <f t="shared" si="55"/>
        <v>0</v>
      </c>
      <c r="J338" s="1072">
        <f t="shared" si="55"/>
        <v>4.5833333333333339</v>
      </c>
      <c r="K338" s="1072">
        <f t="shared" si="55"/>
        <v>4.9543999999999997</v>
      </c>
      <c r="L338" s="1072">
        <f>L344+L350+L356+L362</f>
        <v>5.9108000000000001</v>
      </c>
      <c r="M338" s="1072">
        <f t="shared" si="52"/>
        <v>3.1363200000000004</v>
      </c>
      <c r="N338" s="1072">
        <f t="shared" si="52"/>
        <v>2.6249018181818182</v>
      </c>
      <c r="O338" s="1072">
        <f t="shared" si="52"/>
        <v>1.55342</v>
      </c>
      <c r="P338" s="1072">
        <f t="shared" si="52"/>
        <v>5.28</v>
      </c>
      <c r="Q338" s="1072">
        <f t="shared" si="52"/>
        <v>0</v>
      </c>
      <c r="R338" s="1072">
        <f t="shared" si="52"/>
        <v>14.1</v>
      </c>
      <c r="S338" s="1072">
        <f t="shared" si="52"/>
        <v>0</v>
      </c>
      <c r="T338" s="1070">
        <f>198-SUM(D338:S338)</f>
        <v>95.237824848484863</v>
      </c>
      <c r="U338" s="407">
        <f>U344+U350+U356+U362</f>
        <v>27.97</v>
      </c>
      <c r="V338" s="956" t="s">
        <v>3067</v>
      </c>
      <c r="W338" s="1072">
        <f>W344+W350+W356+W362</f>
        <v>34.096428571428575</v>
      </c>
      <c r="X338" s="1072">
        <f t="shared" ref="X338:AL338" si="56">X344+X350+X356+X362</f>
        <v>0</v>
      </c>
      <c r="Y338" s="1072">
        <f t="shared" si="56"/>
        <v>7.4249999999999998</v>
      </c>
      <c r="Z338" s="1072">
        <f t="shared" si="56"/>
        <v>17.600000000000001</v>
      </c>
      <c r="AA338" s="1072">
        <f t="shared" si="56"/>
        <v>0</v>
      </c>
      <c r="AB338" s="1072">
        <f t="shared" si="56"/>
        <v>0</v>
      </c>
      <c r="AC338" s="1072">
        <f t="shared" si="56"/>
        <v>3.666666666666667</v>
      </c>
      <c r="AD338" s="1072">
        <f t="shared" si="56"/>
        <v>18.106000000000002</v>
      </c>
      <c r="AE338" s="1072">
        <f t="shared" si="56"/>
        <v>2.9039999999999999</v>
      </c>
      <c r="AF338" s="1072">
        <f t="shared" si="56"/>
        <v>0.86239999999999994</v>
      </c>
      <c r="AG338" s="1072">
        <f t="shared" si="56"/>
        <v>0.18542400000000001</v>
      </c>
      <c r="AH338" s="1072">
        <f t="shared" si="56"/>
        <v>0.33770000000000006</v>
      </c>
      <c r="AI338" s="1072">
        <f t="shared" si="56"/>
        <v>15.835416666666667</v>
      </c>
      <c r="AJ338" s="1072">
        <f t="shared" si="56"/>
        <v>0</v>
      </c>
      <c r="AK338" s="1072">
        <f t="shared" si="56"/>
        <v>0</v>
      </c>
      <c r="AL338" s="1072">
        <f t="shared" si="56"/>
        <v>0</v>
      </c>
      <c r="AM338" s="1070">
        <f>198-SUM(W338:AL338)</f>
        <v>96.980964095238107</v>
      </c>
      <c r="AN338" s="407">
        <f>AN344+AN350+AN356+AN362</f>
        <v>34.096428571428575</v>
      </c>
    </row>
    <row r="339" spans="1:40">
      <c r="A339" s="1066"/>
      <c r="B339" s="1074" t="s">
        <v>3068</v>
      </c>
      <c r="C339" s="945"/>
      <c r="D339" s="1075">
        <f t="shared" si="55"/>
        <v>24.11</v>
      </c>
      <c r="E339" s="1075">
        <f t="shared" si="55"/>
        <v>0</v>
      </c>
      <c r="F339" s="1075">
        <f>F345+F351+F357+F363</f>
        <v>7.4249999999999998</v>
      </c>
      <c r="G339" s="1075">
        <f t="shared" si="55"/>
        <v>8.8000000000000007</v>
      </c>
      <c r="H339" s="1075">
        <f t="shared" si="55"/>
        <v>0</v>
      </c>
      <c r="I339" s="1075">
        <f t="shared" si="55"/>
        <v>0</v>
      </c>
      <c r="J339" s="1075">
        <f t="shared" si="55"/>
        <v>5.5</v>
      </c>
      <c r="K339" s="1075">
        <f t="shared" si="55"/>
        <v>22.3</v>
      </c>
      <c r="L339" s="1075">
        <f t="shared" si="55"/>
        <v>2.6098000000000003</v>
      </c>
      <c r="M339" s="1075">
        <f t="shared" si="55"/>
        <v>0.43119999999999997</v>
      </c>
      <c r="N339" s="1075">
        <f t="shared" si="55"/>
        <v>1.5580800000000001</v>
      </c>
      <c r="O339" s="1075">
        <f t="shared" si="55"/>
        <v>0</v>
      </c>
      <c r="P339" s="1075">
        <f t="shared" si="55"/>
        <v>15.835416666666667</v>
      </c>
      <c r="Q339" s="1075">
        <f t="shared" si="55"/>
        <v>0</v>
      </c>
      <c r="R339" s="1075">
        <f t="shared" si="55"/>
        <v>0</v>
      </c>
      <c r="S339" s="1075">
        <f t="shared" si="55"/>
        <v>0</v>
      </c>
      <c r="T339" s="1070">
        <f>198-SUM(D339:S339)</f>
        <v>109.43050333333332</v>
      </c>
      <c r="U339" s="1302">
        <f>U345+U351+U357+U363</f>
        <v>24.11</v>
      </c>
      <c r="V339" s="1074" t="s">
        <v>3068</v>
      </c>
      <c r="W339" s="1075">
        <f>W345+W351+W357+W363</f>
        <v>8.0259999999999998</v>
      </c>
      <c r="X339" s="1075">
        <f t="shared" ref="X339:AL339" si="57">X345+X351+X357+X363</f>
        <v>0</v>
      </c>
      <c r="Y339" s="1075">
        <f t="shared" si="57"/>
        <v>7.4249999999999998</v>
      </c>
      <c r="Z339" s="1075">
        <f t="shared" si="57"/>
        <v>22</v>
      </c>
      <c r="AA339" s="1075">
        <f t="shared" si="57"/>
        <v>0</v>
      </c>
      <c r="AB339" s="1075">
        <f t="shared" si="57"/>
        <v>0</v>
      </c>
      <c r="AC339" s="1075">
        <f t="shared" si="57"/>
        <v>4.0883333333333338</v>
      </c>
      <c r="AD339" s="1075">
        <f t="shared" si="57"/>
        <v>10.8108</v>
      </c>
      <c r="AE339" s="1075">
        <f t="shared" si="57"/>
        <v>5.8079999999999998</v>
      </c>
      <c r="AF339" s="1075">
        <f t="shared" si="57"/>
        <v>6.41784</v>
      </c>
      <c r="AG339" s="1075">
        <f t="shared" si="57"/>
        <v>4.6033600000000003</v>
      </c>
      <c r="AH339" s="1075">
        <f t="shared" si="57"/>
        <v>4.6143847058823528</v>
      </c>
      <c r="AI339" s="1075">
        <f t="shared" si="57"/>
        <v>5.28</v>
      </c>
      <c r="AJ339" s="1075">
        <f t="shared" si="57"/>
        <v>0</v>
      </c>
      <c r="AK339" s="1075">
        <f t="shared" si="57"/>
        <v>14.1</v>
      </c>
      <c r="AL339" s="1075">
        <f t="shared" si="57"/>
        <v>0</v>
      </c>
      <c r="AM339" s="1070">
        <f>198-SUM(W339:AL339)</f>
        <v>104.82628196078431</v>
      </c>
      <c r="AN339" s="1302">
        <f>AN345+AN351+AN357+AN363</f>
        <v>8.0259999999999998</v>
      </c>
    </row>
    <row r="340" spans="1:40">
      <c r="A340" s="1066"/>
      <c r="B340" s="956" t="s">
        <v>3557</v>
      </c>
      <c r="C340" s="945"/>
      <c r="D340" s="1269" t="s">
        <v>3140</v>
      </c>
      <c r="E340" s="1083" t="s">
        <v>3069</v>
      </c>
      <c r="F340" s="1083" t="s">
        <v>3077</v>
      </c>
      <c r="G340" s="1083" t="s">
        <v>3073</v>
      </c>
      <c r="H340" s="1083" t="s">
        <v>3070</v>
      </c>
      <c r="I340" s="913" t="s">
        <v>3575</v>
      </c>
      <c r="J340" s="913" t="s">
        <v>3072</v>
      </c>
      <c r="K340" s="1083" t="s">
        <v>3085</v>
      </c>
      <c r="L340" s="1083" t="s">
        <v>3075</v>
      </c>
      <c r="M340" s="1083" t="s">
        <v>3141</v>
      </c>
      <c r="N340" s="1083" t="s">
        <v>3550</v>
      </c>
      <c r="O340" s="1083" t="s">
        <v>3078</v>
      </c>
      <c r="P340" s="1083" t="s">
        <v>3551</v>
      </c>
      <c r="Q340" s="1083" t="s">
        <v>3082</v>
      </c>
      <c r="R340" s="1083" t="s">
        <v>3083</v>
      </c>
      <c r="S340" s="1083" t="s">
        <v>3084</v>
      </c>
      <c r="T340" s="1068"/>
      <c r="U340" s="406" t="s">
        <v>3140</v>
      </c>
      <c r="V340" s="956" t="s">
        <v>3557</v>
      </c>
      <c r="W340" s="1269" t="s">
        <v>3140</v>
      </c>
      <c r="X340" s="1083" t="s">
        <v>3069</v>
      </c>
      <c r="Y340" s="1083" t="s">
        <v>3077</v>
      </c>
      <c r="Z340" s="1083" t="s">
        <v>3073</v>
      </c>
      <c r="AA340" s="1083" t="s">
        <v>3070</v>
      </c>
      <c r="AB340" s="913" t="s">
        <v>3575</v>
      </c>
      <c r="AC340" s="913" t="s">
        <v>3072</v>
      </c>
      <c r="AD340" s="1083" t="s">
        <v>3085</v>
      </c>
      <c r="AE340" s="1083" t="s">
        <v>3075</v>
      </c>
      <c r="AF340" s="1083" t="s">
        <v>3141</v>
      </c>
      <c r="AG340" s="1083" t="s">
        <v>3550</v>
      </c>
      <c r="AH340" s="1083" t="s">
        <v>3078</v>
      </c>
      <c r="AI340" s="1083" t="s">
        <v>3551</v>
      </c>
      <c r="AJ340" s="1083" t="s">
        <v>3082</v>
      </c>
      <c r="AK340" s="1083" t="s">
        <v>3083</v>
      </c>
      <c r="AL340" s="1083" t="s">
        <v>3084</v>
      </c>
      <c r="AM340" s="1068"/>
      <c r="AN340" s="406" t="s">
        <v>3140</v>
      </c>
    </row>
    <row r="341" spans="1:40">
      <c r="A341" s="1066"/>
      <c r="B341" s="956" t="s">
        <v>3064</v>
      </c>
      <c r="C341" s="945"/>
      <c r="D341" s="1072">
        <f>SUMIF(Meal_entry_week_1!G$11:G$30,"Vegetables_mushrooms_fresh_frozen",Meal_entry_week_1!T$11:T$30)</f>
        <v>0</v>
      </c>
      <c r="E341" s="1072">
        <f>SUMIF(Meal_entry_week_1!G$11:G$30,"Vegetables_processed",Meal_entry_week_1!T$11:T$30)</f>
        <v>0</v>
      </c>
      <c r="F341" s="1072">
        <f>SUMIF(Meal_entry_week_1!G$11:G$30,"Fruits_nuts_dried_fruit",Meal_entry_week_1!T$11:T$30)</f>
        <v>0</v>
      </c>
      <c r="G341" s="1072">
        <f>SUMIF(Meal_entry_week_1!G$11:G$30,"Meat_fresh_frozen",Meal_entry_week_1!T$11:T$30)</f>
        <v>0</v>
      </c>
      <c r="H341" s="1072">
        <f>SUMIF(Meal_entry_week_1!G$11:G$30,"Meat_processed",Meal_entry_week_1!T$11:T$30)</f>
        <v>0</v>
      </c>
      <c r="I341" s="1072">
        <f>SUMIF(Meal_entry_week_1!G$11:G$30,"Fish_fresh_frozen",Meal_entry_week_1!T$11:T$30)+SUMIF(Meal_entry_week_1!G$11:G$30,"Fish_processed_canned",Meal_entry_week_1!T$11:T$30)</f>
        <v>0</v>
      </c>
      <c r="J341" s="1072">
        <f>SUMIF(Meal_entry_week_1!G$11:G$30,"Eggs",Meal_entry_week_1!T$11:T$30)</f>
        <v>0</v>
      </c>
      <c r="K341" s="1072">
        <f>SUMIF(Meal_entry_week_1!G$11:G$30,"Dairy_products",Meal_entry_week_1!T$11:T$30)</f>
        <v>0</v>
      </c>
      <c r="L341" s="1072">
        <f>SUMIF(Meal_entry_week_1!G$11:G$30,"Oil_butter_margarine",Meal_entry_week_1!T$11:T$30)</f>
        <v>0</v>
      </c>
      <c r="M341" s="1072">
        <f>SUMIF(Meal_entry_week_1!G$11:G$30,"Flour_pasta_seeds_cereals",Meal_entry_week_1!T$11:T$30)</f>
        <v>0</v>
      </c>
      <c r="N341" s="1072">
        <f>SUMIF(Meal_entry_week_1!G$11:G$30,"Sauces_purees_dressings",Meal_entry_week_1!T$11:T$30)+SUMIF(Meal_entry_week_1!G$11:G$30,"Spices_seasonings",Meal_entry_week_1!T$11:T$30)</f>
        <v>0</v>
      </c>
      <c r="O341" s="1072">
        <f>SUMIF(Meal_entry_week_1!G$11:G$30,"Sweet_foods_cakes",Meal_entry_week_1!T$11:T$30)</f>
        <v>0</v>
      </c>
      <c r="P341" s="1072">
        <f>SUMIF(Meal_entry_week_1!G$11:G$30,"Bread_and_pastries",Meal_entry_week_1!T$11:T$30)+SUMIF(Meal_entry_week_1!G$11:G$30,"Savoury_pastries",Meal_entry_week_1!T$11:T$30)+SUMIF(Meal_entry_week_1!G$11:G$30,"Sweet_pastries",Meal_entry_week_1!T$11:T$30)</f>
        <v>0</v>
      </c>
      <c r="Q341" s="1072">
        <f>SUMIF(Meal_entry_week_1!G$11:G$30,"Other_processed_foods",Meal_entry_week_1!T$11:T$30)</f>
        <v>0</v>
      </c>
      <c r="R341" s="1072">
        <f>SUMIF(Meal_entry_week_1!G$11:G$30,"Sweetened_drinks_teas_coffee",Meal_entry_week_1!T$11:T$30)</f>
        <v>0</v>
      </c>
      <c r="S341" s="1072">
        <f>SUMIF(Meal_entry_week_1!G$11:G$30,"Fruit_juices_water",Meal_entry_week_1!T$11:T$30)</f>
        <v>0</v>
      </c>
      <c r="T341" s="1070">
        <f>69-SUM(D341:S341)</f>
        <v>69</v>
      </c>
      <c r="U341" s="407">
        <f>SUMIF(Meal_entry_week_1!G$11:G$30,"Vegetables_mushrooms_fresh_frozen",Meal_entry_week_1!AU$11:AU$30)</f>
        <v>0</v>
      </c>
      <c r="V341" s="956" t="s">
        <v>3064</v>
      </c>
      <c r="W341" s="1072">
        <f>SUMIF(Meal_entry_week_2!G$11:G$30,"Vegetables_mushrooms_fresh_frozen",Meal_entry_week_2!T$11:T$30)</f>
        <v>0</v>
      </c>
      <c r="X341" s="1072">
        <f>SUMIF(Meal_entry_week_2!G$11:G$30,"Vegetables_processed",Meal_entry_week_2!T$11:T$30)</f>
        <v>0</v>
      </c>
      <c r="Y341" s="1072">
        <f>SUMIF(Meal_entry_week_2!G$11:G$30,"Fruits_nuts_dried_fruit",Meal_entry_week_2!T$11:T$30)</f>
        <v>0</v>
      </c>
      <c r="Z341" s="1072">
        <f>SUMIF(Meal_entry_week_2!G$11:G$30,"Meat_fresh_frozen",Meal_entry_week_2!T$11:T$30)</f>
        <v>0</v>
      </c>
      <c r="AA341" s="1072">
        <f>SUMIF(Meal_entry_week_2!G$11:G$30,"Meat_processed",Meal_entry_week_2!T$11:T$30)</f>
        <v>0</v>
      </c>
      <c r="AB341" s="1072">
        <f>SUMIF(Meal_entry_week_2!G$11:G$30,"Fish_fresh_frozen",Meal_entry_week_2!T$11:T$30)+SUMIF(Meal_entry_week_2!G$11:G$30,"Fish_processed_canned",Meal_entry_week_2!T$11:T$30)</f>
        <v>0</v>
      </c>
      <c r="AC341" s="1072">
        <f>SUMIF(Meal_entry_week_2!G$11:G$30,"Eggs",Meal_entry_week_2!T$11:T$30)</f>
        <v>0</v>
      </c>
      <c r="AD341" s="1072">
        <f>SUMIF(Meal_entry_week_2!G$11:G$30,"Dairy_products",Meal_entry_week_2!T$11:T$30)</f>
        <v>0</v>
      </c>
      <c r="AE341" s="1072">
        <f>SUMIF(Meal_entry_week_2!G$11:G$30,"Oil_butter_margarine",Meal_entry_week_2!T$11:T$30)</f>
        <v>0</v>
      </c>
      <c r="AF341" s="1072">
        <f>SUMIF(Meal_entry_week_2!G$11:G$30,"Flour_pasta_seeds_cereals",Meal_entry_week_2!T$11:T$30)</f>
        <v>0</v>
      </c>
      <c r="AG341" s="1072">
        <f>SUMIF(Meal_entry_week_2!G$11:G$30,"Sauces_purees_dressings",Meal_entry_week_2!T$11:T$30)+SUMIF(Meal_entry_week_2!G$11:G$30,"Spices_seasonings",Meal_entry_week_2!T$11:T$30)</f>
        <v>0</v>
      </c>
      <c r="AH341" s="1072">
        <f>SUMIF(Meal_entry_week_2!G$11:G$30,"Sweet_foods_cakes",Meal_entry_week_2!T$11:T$30)</f>
        <v>0</v>
      </c>
      <c r="AI341" s="1072">
        <f>SUMIF(Meal_entry_week_2!G$11:G$30,"Bread_and_pastries",Meal_entry_week_2!T$11:T$30)+SUMIF(Meal_entry_week_2!G$11:G$30,"Savoury_pastries",Meal_entry_week_2!T$11:T$30)+SUMIF(Meal_entry_week_2!G$11:G$30,"Sweet_pastries",Meal_entry_week_2!T$11:T$30)</f>
        <v>0</v>
      </c>
      <c r="AJ341" s="1072">
        <f>SUMIF(Meal_entry_week_2!G$11:G$30,"Other_processed_foods",Meal_entry_week_2!T$11:T$30)</f>
        <v>0</v>
      </c>
      <c r="AK341" s="1072">
        <f>SUMIF(Meal_entry_week_2!G$11:G$30,"Sweetened_drinks_teas_coffee",Meal_entry_week_2!T$11:T$30)</f>
        <v>0</v>
      </c>
      <c r="AL341" s="1072">
        <f>SUMIF(Meal_entry_week_2!G$11:G$30,"Fruit_juices_water",Meal_entry_week_2!T$11:T$30)</f>
        <v>0</v>
      </c>
      <c r="AM341" s="1070">
        <f>69-SUM(W341:AL341)</f>
        <v>69</v>
      </c>
      <c r="AN341" s="407">
        <f>SUMIF(Meal_entry_week_2!G$11:G$30,"Vegetables_mushrooms_fresh_frozen",Meal_entry_week_2!AU$11:AU$30)</f>
        <v>0</v>
      </c>
    </row>
    <row r="342" spans="1:40">
      <c r="A342" s="1066"/>
      <c r="B342" s="956" t="s">
        <v>3065</v>
      </c>
      <c r="C342" s="945"/>
      <c r="D342" s="1072">
        <f>SUMIF(Meal_entry_week_1!G$110:G$129,"Vegetables_mushrooms_fresh_frozen",Meal_entry_week_1!T$110:T$129)</f>
        <v>0</v>
      </c>
      <c r="E342" s="1072">
        <f>SUMIF(Meal_entry_week_1!G$110:G$129,"Vegetables_processed",Meal_entry_week_1!T$110:T$129)</f>
        <v>0</v>
      </c>
      <c r="F342" s="1072">
        <f>SUMIF(Meal_entry_week_1!G$110:G$129,"Fruits_nuts_dried_fruit",Meal_entry_week_1!T$110:T$129)</f>
        <v>0</v>
      </c>
      <c r="G342" s="1072">
        <f>SUMIF(Meal_entry_week_1!G$110:G$129,"Meat_fresh_frozen",Meal_entry_week_1!T$110:T$129)</f>
        <v>0</v>
      </c>
      <c r="H342" s="1072">
        <f>SUMIF(Meal_entry_week_1!G$110:G$129,"Meat_processed",Meal_entry_week_1!T$110:T$129)</f>
        <v>0</v>
      </c>
      <c r="I342" s="1072">
        <f>SUMIF(Meal_entry_week_1!G$110:G$129,"Fish_fresh_frozen",Meal_entry_week_1!T$110:T$129)+SUMIF(Meal_entry_week_1!G$110:G$129,"Fish_processed_canned",Meal_entry_week_1!T$110:T$129)</f>
        <v>0</v>
      </c>
      <c r="J342" s="1072">
        <f>SUMIF(Meal_entry_week_1!G$110:G$129,"Eggs",Meal_entry_week_1!T$110:T$129)</f>
        <v>0</v>
      </c>
      <c r="K342" s="1072">
        <f>SUMIF(Meal_entry_week_1!G$110:G$129,"Dairy_products",Meal_entry_week_1!T$110:T$129)</f>
        <v>0</v>
      </c>
      <c r="L342" s="1072">
        <f>SUMIF(Meal_entry_week_1!G$110:G$129,"Oil_butter_margarine",Meal_entry_week_1!T$110:T$129)</f>
        <v>0</v>
      </c>
      <c r="M342" s="1072">
        <f>SUMIF(Meal_entry_week_1!G$110:G$129,"Flour_pasta_seeds_cereals",Meal_entry_week_1!T$110:T$129)</f>
        <v>0</v>
      </c>
      <c r="N342" s="1072">
        <f>SUMIF(Meal_entry_week_1!G$110:G$129,"Sauces_purees_dressings",Meal_entry_week_1!T$110:T$129)+SUMIF(Meal_entry_week_1!G$110:G$129,"Spices_seasonings",Meal_entry_week_1!T$110:T$129)</f>
        <v>0</v>
      </c>
      <c r="O342" s="1072">
        <f>SUMIF(Meal_entry_week_1!G$110:G$129,"Sweet_foods_cakes",Meal_entry_week_1!T$110:T$129)</f>
        <v>0</v>
      </c>
      <c r="P342" s="1072">
        <f>SUMIF(Meal_entry_week_1!G$110:G$129,"Bread_and_pastries",Meal_entry_week_1!T$110:T$129)+SUMIF(Meal_entry_week_1!G$110:G$129,"Savoury_pastries",Meal_entry_week_1!T$110:T$129)+SUMIF(Meal_entry_week_1!G$110:G$129,"Sweet_pastries",Meal_entry_week_1!T$110:T$129)</f>
        <v>0</v>
      </c>
      <c r="Q342" s="1072">
        <f>SUMIF(Meal_entry_week_1!G$110:G$129,"Other_processed_foods",Meal_entry_week_1!T$110:T$129)</f>
        <v>0</v>
      </c>
      <c r="R342" s="1072">
        <f>SUMIF(Meal_entry_week_1!G$110:G$129,"Sweetened_drinks_teas_coffee",Meal_entry_week_1!T$110:T$129)</f>
        <v>0</v>
      </c>
      <c r="S342" s="1072">
        <f>SUMIF(Meal_entry_week_1!G$110:G$129,"Fruit_juices_water",Meal_entry_week_1!T$110:T$129)</f>
        <v>0</v>
      </c>
      <c r="T342" s="1070">
        <f>69-SUM(D342:S342)</f>
        <v>69</v>
      </c>
      <c r="U342" s="407">
        <f>SUMIF(Meal_entry_week_1!G$110:G$129,"Vegetables_mushrooms_fresh_frozen",Meal_entry_week_1!AU$110:AU$129)</f>
        <v>0</v>
      </c>
      <c r="V342" s="956" t="s">
        <v>3065</v>
      </c>
      <c r="W342" s="1072">
        <f>SUMIF(Meal_entry_week_2!G$110:G$129,"Vegetables_mushrooms_fresh_frozen",Meal_entry_week_2!T$110:T$129)</f>
        <v>0</v>
      </c>
      <c r="X342" s="1072">
        <f>SUMIF(Meal_entry_week_2!G$110:G$129,"Vegetables_processed",Meal_entry_week_2!T$110:T$129)</f>
        <v>0</v>
      </c>
      <c r="Y342" s="1072">
        <f>SUMIF(Meal_entry_week_2!G$110:G$129,"Fruits_nuts_dried_fruit",Meal_entry_week_2!T$110:T$129)</f>
        <v>0</v>
      </c>
      <c r="Z342" s="1072">
        <f>SUMIF(Meal_entry_week_2!G$110:G$129,"Meat_fresh_frozen",Meal_entry_week_2!T$110:T$129)</f>
        <v>0</v>
      </c>
      <c r="AA342" s="1072">
        <f>SUMIF(Meal_entry_week_2!G$110:G$129,"Meat_processed",Meal_entry_week_2!T$110:T$129)</f>
        <v>0</v>
      </c>
      <c r="AB342" s="1072">
        <f>SUMIF(Meal_entry_week_2!G$110:G$129,"Fish_fresh_frozen",Meal_entry_week_2!T$110:T$129)+SUMIF(Meal_entry_week_2!G$110:G$129,"Fish_processed_canned",Meal_entry_week_2!T$110:T$129)</f>
        <v>0</v>
      </c>
      <c r="AC342" s="1072">
        <f>SUMIF(Meal_entry_week_2!G$110:G$129,"Eggs",Meal_entry_week_2!T$110:T$129)</f>
        <v>0</v>
      </c>
      <c r="AD342" s="1072">
        <f>SUMIF(Meal_entry_week_2!G$110:G$129,"Dairy_products",Meal_entry_week_2!T$110:T$129)</f>
        <v>0</v>
      </c>
      <c r="AE342" s="1072">
        <f>SUMIF(Meal_entry_week_2!G$110:G$129,"Oil_butter_margarine",Meal_entry_week_2!T$110:T$129)</f>
        <v>0</v>
      </c>
      <c r="AF342" s="1072">
        <f>SUMIF(Meal_entry_week_2!G$110:G$129,"Flour_pasta_seeds_cereals",Meal_entry_week_2!T$110:T$129)</f>
        <v>0</v>
      </c>
      <c r="AG342" s="1072">
        <f>SUMIF(Meal_entry_week_2!G$110:G$129,"Sauces_purees_dressings",Meal_entry_week_2!T$110:T$129)+SUMIF(Meal_entry_week_2!G$110:G$129,"Spices_seasonings",Meal_entry_week_2!T$110:T$129)</f>
        <v>0</v>
      </c>
      <c r="AH342" s="1072">
        <f>SUMIF(Meal_entry_week_2!G$110:G$129,"Sweet_foods_cakes",Meal_entry_week_2!T$110:T$129)</f>
        <v>0</v>
      </c>
      <c r="AI342" s="1072">
        <f>SUMIF(Meal_entry_week_2!G$110:G$129,"Bread_and_pastries",Meal_entry_week_2!T$110:T$129)+SUMIF(Meal_entry_week_2!G$110:G$129,"Savoury_pastries",Meal_entry_week_2!T$110:T$129)+SUMIF(Meal_entry_week_2!G$110:G$129,"Sweet_pastries",Meal_entry_week_2!T$110:T$129)</f>
        <v>0</v>
      </c>
      <c r="AJ342" s="1072">
        <f>SUMIF(Meal_entry_week_2!G$110:G$129,"Other_processed_foods",Meal_entry_week_2!T$110:T$129)</f>
        <v>0</v>
      </c>
      <c r="AK342" s="1072">
        <f>SUMIF(Meal_entry_week_2!G$110:G$129,"Sweetened_drinks_teas_coffee",Meal_entry_week_2!T$110:T$129)</f>
        <v>0</v>
      </c>
      <c r="AL342" s="1072">
        <f>SUMIF(Meal_entry_week_2!G$110:G$129,"Fruit_juices_water",Meal_entry_week_2!T$110:T$129)</f>
        <v>0</v>
      </c>
      <c r="AM342" s="1070">
        <f>69-SUM(W342:AL342)</f>
        <v>69</v>
      </c>
      <c r="AN342" s="407">
        <f>SUMIF(Meal_entry_week_2!G$110:G$129,"Vegetables_mushrooms_fresh_frozen",Meal_entry_week_2!AU$110:AU$129)</f>
        <v>0</v>
      </c>
    </row>
    <row r="343" spans="1:40">
      <c r="A343" s="1066"/>
      <c r="B343" s="956" t="s">
        <v>3066</v>
      </c>
      <c r="C343" s="945"/>
      <c r="D343" s="1072">
        <f>SUMIF(Meal_entry_week_1!G$209:G$228,"Vegetables_mushrooms_fresh_frozen",Meal_entry_week_1!T$209:T$228)</f>
        <v>9</v>
      </c>
      <c r="E343" s="1072">
        <f>SUMIF(Meal_entry_week_1!G$209:G$228,"Vegetables_processed",Meal_entry_week_1!T$209:T$228)</f>
        <v>0</v>
      </c>
      <c r="F343" s="1072">
        <f>SUMIF(Meal_entry_week_1!G$209:G$228,"Fruits_nuts_dried_fruit",Meal_entry_week_1!T$209:T$228)</f>
        <v>0</v>
      </c>
      <c r="G343" s="1072">
        <f>SUMIF(Meal_entry_week_1!G$209:G$228,"Meat_fresh_frozen",Meal_entry_week_1!T$209:T$228)</f>
        <v>0</v>
      </c>
      <c r="H343" s="1072">
        <f>SUMIF(Meal_entry_week_1!G$209:G$228,"Meat_processed",Meal_entry_week_1!T$209:T$228)</f>
        <v>0</v>
      </c>
      <c r="I343" s="1072">
        <f>SUMIF(Meal_entry_week_1!G$209:G$228,"Fish_fresh_frozen",Meal_entry_week_1!T$209:T$228)+SUMIF(Meal_entry_week_1!G$209:G$228,"Fish_processed_canned",Meal_entry_week_1!T$209:T$228)</f>
        <v>0</v>
      </c>
      <c r="J343" s="1072">
        <f>SUMIF(Meal_entry_week_1!G$209:G$228,"Eggs",Meal_entry_week_1!T$209:T$228)</f>
        <v>0</v>
      </c>
      <c r="K343" s="1072">
        <f>SUMIF(Meal_entry_week_1!G$209:G$228,"Dairy_products",Meal_entry_week_1!T$209:T$228)</f>
        <v>0</v>
      </c>
      <c r="L343" s="1072">
        <f>SUMIF(Meal_entry_week_1!G$209:G$228,"Oil_butter_margarine",Meal_entry_week_1!T$209:T$228)</f>
        <v>0</v>
      </c>
      <c r="M343" s="1072">
        <f>SUMIF(Meal_entry_week_1!G$209:G$228,"Flour_pasta_seeds_cereals",Meal_entry_week_1!T$209:T$228)</f>
        <v>0</v>
      </c>
      <c r="N343" s="1072">
        <f>SUMIF(Meal_entry_week_1!G$209:G$228,"Sauces_purees_dressings",Meal_entry_week_1!T$209:T$228)+SUMIF(Meal_entry_week_1!G$209:G$228,"Spices_seasonings",Meal_entry_week_1!T$209:T$228)</f>
        <v>0</v>
      </c>
      <c r="O343" s="1072">
        <f>SUMIF(Meal_entry_week_1!G$209:G$228,"Sweet_foods_cakes",Meal_entry_week_1!T$209:T$228)</f>
        <v>0</v>
      </c>
      <c r="P343" s="1072">
        <f>SUMIF(Meal_entry_week_1!G$209:G$228,"Bread_and_pastries",Meal_entry_week_1!T$209:T$228)+SUMIF(Meal_entry_week_1!G$209:G$228,"Savoury_pastries",Meal_entry_week_1!T$209:T$228)+SUMIF(Meal_entry_week_1!G$209:G$228,"Sweet_pastries",Meal_entry_week_1!T$209:T$228)</f>
        <v>0</v>
      </c>
      <c r="Q343" s="1072">
        <f>SUMIF(Meal_entry_week_1!G$209:G$228,"Other_processed_foods",Meal_entry_week_1!T$209:T$228)</f>
        <v>0</v>
      </c>
      <c r="R343" s="1072">
        <f>SUMIF(Meal_entry_week_1!G$209:G$228,"Sweetened_drinks_teas_coffee",Meal_entry_week_1!T$209:T$228)</f>
        <v>0</v>
      </c>
      <c r="S343" s="1072">
        <f>SUMIF(Meal_entry_week_1!G$209:G$228,"Fruit_juices_water",Meal_entry_week_1!T$209:T$228)</f>
        <v>0</v>
      </c>
      <c r="T343" s="1070">
        <f>69-SUM(D343:S343)</f>
        <v>60</v>
      </c>
      <c r="U343" s="407">
        <f>SUMIF(Meal_entry_week_1!G$209:G$228,"Vegetables_mushrooms_fresh_frozen",Meal_entry_week_1!AU$209:AU$228)</f>
        <v>9</v>
      </c>
      <c r="V343" s="956" t="s">
        <v>3066</v>
      </c>
      <c r="W343" s="1072">
        <f>SUMIF(Meal_entry_week_2!G$209:G$228,"Vegetables_mushrooms_fresh_frozen",Meal_entry_week_2!T$209:T$228)</f>
        <v>0</v>
      </c>
      <c r="X343" s="1072">
        <f>SUMIF(Meal_entry_week_2!G$209:G$228,"Vegetables_processed",Meal_entry_week_2!T$209:T$228)</f>
        <v>0</v>
      </c>
      <c r="Y343" s="1072">
        <f>SUMIF(Meal_entry_week_2!G$209:G$228,"Fruits_nuts_dried_fruit",Meal_entry_week_2!T$209:T$228)</f>
        <v>0</v>
      </c>
      <c r="Z343" s="1072">
        <f>SUMIF(Meal_entry_week_2!G$209:G$228,"Meat_fresh_frozen",Meal_entry_week_2!T$209:T$228)</f>
        <v>0</v>
      </c>
      <c r="AA343" s="1072">
        <f>SUMIF(Meal_entry_week_2!G$209:G$228,"Meat_processed",Meal_entry_week_2!T$209:T$228)</f>
        <v>0</v>
      </c>
      <c r="AB343" s="1072">
        <f>SUMIF(Meal_entry_week_2!G$209:G$228,"Fish_fresh_frozen",Meal_entry_week_2!T$209:T$228)+SUMIF(Meal_entry_week_2!G$209:G$228,"Fish_processed_canned",Meal_entry_week_2!T$209:T$228)</f>
        <v>0</v>
      </c>
      <c r="AC343" s="1072">
        <f>SUMIF(Meal_entry_week_2!G$209:G$228,"Eggs",Meal_entry_week_2!T$209:T$228)</f>
        <v>0</v>
      </c>
      <c r="AD343" s="1072">
        <f>SUMIF(Meal_entry_week_2!G$209:G$228,"Dairy_products",Meal_entry_week_2!T$209:T$228)</f>
        <v>0</v>
      </c>
      <c r="AE343" s="1072">
        <f>SUMIF(Meal_entry_week_2!G$209:G$228,"Oil_butter_margarine",Meal_entry_week_2!T$209:T$228)</f>
        <v>0</v>
      </c>
      <c r="AF343" s="1072">
        <f>SUMIF(Meal_entry_week_2!G$209:G$228,"Flour_pasta_seeds_cereals",Meal_entry_week_2!T$209:T$228)</f>
        <v>0</v>
      </c>
      <c r="AG343" s="1072">
        <f>SUMIF(Meal_entry_week_2!G$209:G$228,"Sauces_purees_dressings",Meal_entry_week_2!T$209:T$228)+SUMIF(Meal_entry_week_2!G$209:G$228,"Spices_seasonings",Meal_entry_week_2!T$209:T$228)</f>
        <v>0</v>
      </c>
      <c r="AH343" s="1072">
        <f>SUMIF(Meal_entry_week_2!G$209:G$228,"Sweet_foods_cakes",Meal_entry_week_2!T$209:T$228)</f>
        <v>0</v>
      </c>
      <c r="AI343" s="1072">
        <f>SUMIF(Meal_entry_week_2!G$209:G$228,"Bread_and_pastries",Meal_entry_week_2!T$209:T$228)+SUMIF(Meal_entry_week_2!G$209:G$228,"Savoury_pastries",Meal_entry_week_2!T$209:T$228)+SUMIF(Meal_entry_week_2!G$209:G$228,"Sweet_pastries",Meal_entry_week_2!T$209:T$228)</f>
        <v>0</v>
      </c>
      <c r="AJ343" s="1072">
        <f>SUMIF(Meal_entry_week_2!G$209:G$228,"Other_processed_foods",Meal_entry_week_2!T$209:T$228)</f>
        <v>0</v>
      </c>
      <c r="AK343" s="1072">
        <f>SUMIF(Meal_entry_week_2!G$209:G$228,"Sweetened_drinks_teas_coffee",Meal_entry_week_2!T$209:T$228)</f>
        <v>0</v>
      </c>
      <c r="AL343" s="1072">
        <f>SUMIF(Meal_entry_week_2!G$209:G$228,"Fruit_juices_water",Meal_entry_week_2!T$209:T$228)</f>
        <v>0</v>
      </c>
      <c r="AM343" s="1070">
        <f>69-SUM(W343:AL343)</f>
        <v>69</v>
      </c>
      <c r="AN343" s="407">
        <f>SUMIF(Meal_entry_week_2!G$209:G$228,"Vegetables_mushrooms_fresh_frozen",Meal_entry_week_2!AU$209:AU$228)</f>
        <v>0</v>
      </c>
    </row>
    <row r="344" spans="1:40">
      <c r="A344" s="1066"/>
      <c r="B344" s="956" t="s">
        <v>3067</v>
      </c>
      <c r="C344" s="945"/>
      <c r="D344" s="1072">
        <f>SUMIF(Meal_entry_week_1!G$308:G$327,"Vegetables_mushrooms_fresh_frozen",Meal_entry_week_1!T$308:T$327)</f>
        <v>0</v>
      </c>
      <c r="E344" s="1072">
        <f>SUMIF(Meal_entry_week_1!G$308:G$327,"Vegetables_processed",Meal_entry_week_1!T$308:T$327)</f>
        <v>0</v>
      </c>
      <c r="F344" s="1072">
        <f>SUMIF(Meal_entry_week_1!G$308:G$327,"Fruits_nuts_dried_fruit",Meal_entry_week_1!T$308:T$327)</f>
        <v>0</v>
      </c>
      <c r="G344" s="1072">
        <f>SUMIF(Meal_entry_week_1!G$308:G$327,"Meat_fresh_frozen",Meal_entry_week_1!T$308:T$327)</f>
        <v>0</v>
      </c>
      <c r="H344" s="1072">
        <f>SUMIF(Meal_entry_week_1!G$308:G$327,"Meat_processed",Meal_entry_week_1!T$308:T$327)</f>
        <v>0</v>
      </c>
      <c r="I344" s="1072">
        <f>SUMIF(Meal_entry_week_1!G$308:G$327,"Fish_fresh_frozen",Meal_entry_week_1!T$308:T$327)+SUMIF(Meal_entry_week_1!G$308:G$327,"Fish_processed_canned",Meal_entry_week_1!T$308:T$327)</f>
        <v>0</v>
      </c>
      <c r="J344" s="1072">
        <f>SUMIF(Meal_entry_week_1!G$308:G$327,"Eggs",Meal_entry_week_1!T$308:T$327)</f>
        <v>0</v>
      </c>
      <c r="K344" s="1072">
        <f>SUMIF(Meal_entry_week_1!G$308:G$327,"Dairy_products",Meal_entry_week_1!T$308:T$327)</f>
        <v>0</v>
      </c>
      <c r="L344" s="1072">
        <f>SUMIF(Meal_entry_week_1!G$308:G$327,"Oil_butter_margarine",Meal_entry_week_1!T$308:T$327)</f>
        <v>0</v>
      </c>
      <c r="M344" s="1072">
        <f>SUMIF(Meal_entry_week_1!G$308:G$327,"Flour_pasta_seeds_cereals",Meal_entry_week_1!T$308:T$327)</f>
        <v>0</v>
      </c>
      <c r="N344" s="1072">
        <f>SUMIF(Meal_entry_week_1!G$308:G$327,"Sauces_purees_dressings",Meal_entry_week_1!T$308:T$327)+SUMIF(Meal_entry_week_1!G$308:G$327,"Spices_seasonings",Meal_entry_week_1!T$308:T$327)</f>
        <v>0</v>
      </c>
      <c r="O344" s="1072">
        <f>SUMIF(Meal_entry_week_1!G$308:G$327,"Sweet_foods_cakes",Meal_entry_week_1!T$308:T$327)</f>
        <v>0</v>
      </c>
      <c r="P344" s="1072">
        <f>SUMIF(Meal_entry_week_1!G$308:G$327,"Bread_and_pastries",Meal_entry_week_1!T$308:T$327)+SUMIF(Meal_entry_week_1!G$308:G$327,"Savoury_pastries",Meal_entry_week_1!T$308:T$327)+SUMIF(Meal_entry_week_1!G$308:G$327,"Sweet_pastries",Meal_entry_week_1!T$308:T$327)</f>
        <v>0</v>
      </c>
      <c r="Q344" s="1072">
        <f>SUMIF(Meal_entry_week_1!G$308:G$327,"Other_processed_foods",Meal_entry_week_1!T$308:T$327)</f>
        <v>0</v>
      </c>
      <c r="R344" s="1072">
        <f>SUMIF(Meal_entry_week_1!G$308:G$327,"Sweetened_drinks_teas_coffee",Meal_entry_week_1!T$308:T$327)</f>
        <v>0</v>
      </c>
      <c r="S344" s="1072">
        <f>SUMIF(Meal_entry_week_1!G$308:G$327,"Fruit_juices_water",Meal_entry_week_1!T$308:T$327)</f>
        <v>0</v>
      </c>
      <c r="T344" s="1070">
        <f>69-SUM(D344:S344)</f>
        <v>69</v>
      </c>
      <c r="U344" s="407">
        <f>SUMIF(Meal_entry_week_1!G$308:G$327,"Vegetables_mushrooms_fresh_frozen",Meal_entry_week_1!AU$308:AU$327)</f>
        <v>0</v>
      </c>
      <c r="V344" s="956" t="s">
        <v>3067</v>
      </c>
      <c r="W344" s="1072">
        <f>SUMIF(Meal_entry_week_2!G$308:G$327,"Vegetables_mushrooms_fresh_frozen",Meal_entry_week_2!T$308:T$327)</f>
        <v>0</v>
      </c>
      <c r="X344" s="1072">
        <f>SUMIF(Meal_entry_week_2!G$308:G$327,"Vegetables_processed",Meal_entry_week_2!T$308:T$327)</f>
        <v>0</v>
      </c>
      <c r="Y344" s="1072">
        <f>SUMIF(Meal_entry_week_2!G$308:G$327,"Fruits_nuts_dried_fruit",Meal_entry_week_2!T$308:T$327)</f>
        <v>0</v>
      </c>
      <c r="Z344" s="1072">
        <f>SUMIF(Meal_entry_week_2!G$308:G$327,"Meat_fresh_frozen",Meal_entry_week_2!T$308:T$327)</f>
        <v>0</v>
      </c>
      <c r="AA344" s="1072">
        <f>SUMIF(Meal_entry_week_2!G$308:G$327,"Meat_processed",Meal_entry_week_2!T$308:T$327)</f>
        <v>0</v>
      </c>
      <c r="AB344" s="1072">
        <f>SUMIF(Meal_entry_week_2!G$308:G$327,"Fish_fresh_frozen",Meal_entry_week_2!T$308:T$327)+SUMIF(Meal_entry_week_2!G$308:G$327,"Fish_processed_canned",Meal_entry_week_2!T$308:T$327)</f>
        <v>0</v>
      </c>
      <c r="AC344" s="1072">
        <f>SUMIF(Meal_entry_week_2!G$308:G$327,"Eggs",Meal_entry_week_2!T$308:T$327)</f>
        <v>0</v>
      </c>
      <c r="AD344" s="1072">
        <f>SUMIF(Meal_entry_week_2!G$308:G$327,"Dairy_products",Meal_entry_week_2!T$308:T$327)</f>
        <v>0</v>
      </c>
      <c r="AE344" s="1072">
        <f>SUMIF(Meal_entry_week_2!G$308:G$327,"Oil_butter_margarine",Meal_entry_week_2!T$308:T$327)</f>
        <v>0</v>
      </c>
      <c r="AF344" s="1072">
        <f>SUMIF(Meal_entry_week_2!G$308:G$327,"Flour_pasta_seeds_cereals",Meal_entry_week_2!T$308:T$327)</f>
        <v>0</v>
      </c>
      <c r="AG344" s="1072">
        <f>SUMIF(Meal_entry_week_2!G$308:G$327,"Sauces_purees_dressings",Meal_entry_week_2!T$308:T$327)+SUMIF(Meal_entry_week_2!G$308:G$327,"Spices_seasonings",Meal_entry_week_2!T$308:T$327)</f>
        <v>0</v>
      </c>
      <c r="AH344" s="1072">
        <f>SUMIF(Meal_entry_week_2!G$308:G$327,"Sweet_foods_cakes",Meal_entry_week_2!T$308:T$327)</f>
        <v>0</v>
      </c>
      <c r="AI344" s="1072">
        <f>SUMIF(Meal_entry_week_2!G$308:G$327,"Bread_and_pastries",Meal_entry_week_2!T$308:T$327)+SUMIF(Meal_entry_week_2!G$308:G$327,"Savoury_pastries",Meal_entry_week_2!T$308:T$327)+SUMIF(Meal_entry_week_2!G$308:G$327,"Sweet_pastries",Meal_entry_week_2!T$308:T$327)</f>
        <v>0</v>
      </c>
      <c r="AJ344" s="1072">
        <f>SUMIF(Meal_entry_week_2!G$308:G$327,"Other_processed_foods",Meal_entry_week_2!T$308:T$327)</f>
        <v>0</v>
      </c>
      <c r="AK344" s="1072">
        <f>SUMIF(Meal_entry_week_2!G$308:G$327,"Sweetened_drinks_teas_coffee",Meal_entry_week_2!T$308:T$327)</f>
        <v>0</v>
      </c>
      <c r="AL344" s="1072">
        <f>SUMIF(Meal_entry_week_2!G$308:G$327,"Fruit_juices_water",Meal_entry_week_2!T$308:T$327)</f>
        <v>0</v>
      </c>
      <c r="AM344" s="1070">
        <f>69-SUM(W344:AL344)</f>
        <v>69</v>
      </c>
      <c r="AN344" s="407">
        <f>SUMIF(Meal_entry_week_2!G$308:G$327,"Vegetables_mushrooms_fresh_frozen",Meal_entry_week_2!AU$308:AU$327)</f>
        <v>0</v>
      </c>
    </row>
    <row r="345" spans="1:40">
      <c r="A345" s="1066"/>
      <c r="B345" s="1074" t="s">
        <v>3068</v>
      </c>
      <c r="C345" s="945"/>
      <c r="D345" s="1075">
        <f>SUMIF(Meal_entry_week_1!G$407:G$426,"Vegetables_mushrooms_fresh_frozen",Meal_entry_week_1!T$407:T$426)</f>
        <v>0</v>
      </c>
      <c r="E345" s="1075">
        <f>SUMIF(Meal_entry_week_1!G$407:G$426,"Vegetables_processed",Meal_entry_week_1!T$407:T$426)</f>
        <v>0</v>
      </c>
      <c r="F345" s="1075">
        <f>SUMIF(Meal_entry_week_1!G$407:G$426,"Fruits_nuts_dried_fruit",Meal_entry_week_1!T$407:T$426)</f>
        <v>0</v>
      </c>
      <c r="G345" s="1075">
        <f>SUMIF(Meal_entry_week_1!G$407:G$426,"Meat_fresh_frozen",Meal_entry_week_1!T$407:T$426)</f>
        <v>0</v>
      </c>
      <c r="H345" s="1075">
        <f>SUMIF(Meal_entry_week_1!G$407:G$426,"Meat_processed",Meal_entry_week_1!T$407:T$426)</f>
        <v>0</v>
      </c>
      <c r="I345" s="1075">
        <f>SUMIF(Meal_entry_week_1!G$407:G$426,"Fish_fresh_frozen",Meal_entry_week_1!T$407:T$426)+SUMIF(Meal_entry_week_1!G$407:G$426,"Fish_processed_canned",Meal_entry_week_1!T$407:T$426)</f>
        <v>0</v>
      </c>
      <c r="J345" s="1075">
        <f>SUMIF(Meal_entry_week_1!G$407:G$426,"Eggs",Meal_entry_week_1!T$407:T$426)</f>
        <v>0</v>
      </c>
      <c r="K345" s="1075">
        <f>SUMIF(Meal_entry_week_1!G$407:G$426,"Dairy_products",Meal_entry_week_1!T$407:T$426)</f>
        <v>0</v>
      </c>
      <c r="L345" s="1075">
        <f>SUMIF(Meal_entry_week_1!G$407:G$426,"Oil_butter_margarine",Meal_entry_week_1!T$407:T$426)</f>
        <v>0</v>
      </c>
      <c r="M345" s="1075">
        <f>SUMIF(Meal_entry_week_1!G$407:G$426,"Flour_pasta_seeds_cereals",Meal_entry_week_1!T$407:T$426)</f>
        <v>0</v>
      </c>
      <c r="N345" s="1075">
        <f>SUMIF(Meal_entry_week_1!G$407:G$426,"Sauces_purees_dressings",Meal_entry_week_1!T$407:T$426)+SUMIF(Meal_entry_week_1!G$407:G$426,"Spices_seasonings",Meal_entry_week_1!T$407:T$426)</f>
        <v>0</v>
      </c>
      <c r="O345" s="1075">
        <f>SUMIF(Meal_entry_week_1!G$407:G$426,"Sweet_foods_cakes",Meal_entry_week_1!T$407:T$426)</f>
        <v>0</v>
      </c>
      <c r="P345" s="1075">
        <f>SUMIF(Meal_entry_week_1!G$407:G$426,"Bread_and_pastries",Meal_entry_week_1!T$407:T$426)+SUMIF(Meal_entry_week_1!G$407:G$426,"Savoury_pastries",Meal_entry_week_1!T$407:T$426)+SUMIF(Meal_entry_week_1!G$407:G$426,"Sweet_pastries",Meal_entry_week_1!T$407:T$426)</f>
        <v>0</v>
      </c>
      <c r="Q345" s="1075">
        <f>SUMIF(Meal_entry_week_1!G$407:G$426,"Other_processed_foods",Meal_entry_week_1!T$407:T$426)</f>
        <v>0</v>
      </c>
      <c r="R345" s="1075">
        <f>SUMIF(Meal_entry_week_1!G$407:G$426,"Sweetened_drinks_teas_coffee",Meal_entry_week_1!T$407:T$426)</f>
        <v>0</v>
      </c>
      <c r="S345" s="1075">
        <f>SUMIF(Meal_entry_week_1!G$407:G$426,"Fruit_juices_water",Meal_entry_week_1!T$407:T$426)</f>
        <v>0</v>
      </c>
      <c r="T345" s="1070">
        <f>69-SUM(D345:S345)</f>
        <v>69</v>
      </c>
      <c r="U345" s="1302">
        <f>SUMIF(Meal_entry_week_1!G$407:G$426,"Vegetables_mushrooms_fresh_frozen",Meal_entry_week_1!AU$407:AU$426)</f>
        <v>0</v>
      </c>
      <c r="V345" s="1074" t="s">
        <v>3068</v>
      </c>
      <c r="W345" s="1075">
        <f>SUMIF(Meal_entry_week_2!G$407:G$426,"Vegetables_mushrooms_fresh_frozen",Meal_entry_week_2!T$407:T$426)</f>
        <v>0</v>
      </c>
      <c r="X345" s="1075">
        <f>SUMIF(Meal_entry_week_2!G$407:G$426,"Vegetables_processed",Meal_entry_week_2!T$407:T$426)</f>
        <v>0</v>
      </c>
      <c r="Y345" s="1075">
        <f>SUMIF(Meal_entry_week_2!G$407:G$426,"Fruits_nuts_dried_fruit",Meal_entry_week_2!T$407:T$426)</f>
        <v>0</v>
      </c>
      <c r="Z345" s="1075">
        <f>SUMIF(Meal_entry_week_2!G$407:G$426,"Meat_fresh_frozen",Meal_entry_week_2!T$407:T$426)</f>
        <v>0</v>
      </c>
      <c r="AA345" s="1075">
        <f>SUMIF(Meal_entry_week_2!G$407:G$426,"Meat_processed",Meal_entry_week_2!T$407:T$426)</f>
        <v>0</v>
      </c>
      <c r="AB345" s="1075">
        <f>SUMIF(Meal_entry_week_2!G$407:G$426,"Fish_fresh_frozen",Meal_entry_week_2!T$407:T$426)+SUMIF(Meal_entry_week_2!G$407:G$426,"Fish_processed_canned",Meal_entry_week_2!T$407:T$426)</f>
        <v>0</v>
      </c>
      <c r="AC345" s="1075">
        <f>SUMIF(Meal_entry_week_2!G$407:G$426,"Eggs",Meal_entry_week_2!T$407:T$426)</f>
        <v>0</v>
      </c>
      <c r="AD345" s="1075">
        <f>SUMIF(Meal_entry_week_2!G$407:G$426,"Dairy_products",Meal_entry_week_2!T$407:T$426)</f>
        <v>0</v>
      </c>
      <c r="AE345" s="1075">
        <f>SUMIF(Meal_entry_week_2!G$407:G$426,"Oil_butter_margarine",Meal_entry_week_2!T$407:T$426)</f>
        <v>0</v>
      </c>
      <c r="AF345" s="1075">
        <f>SUMIF(Meal_entry_week_2!G$407:G$426,"Flour_pasta_seeds_cereals",Meal_entry_week_2!T$407:T$426)</f>
        <v>0</v>
      </c>
      <c r="AG345" s="1075">
        <f>SUMIF(Meal_entry_week_2!G$407:G$426,"Sauces_purees_dressings",Meal_entry_week_2!T$407:T$426)+SUMIF(Meal_entry_week_2!G$407:G$426,"Spices_seasonings",Meal_entry_week_2!T$407:T$426)</f>
        <v>0</v>
      </c>
      <c r="AH345" s="1075">
        <f>SUMIF(Meal_entry_week_2!G$407:G$426,"Sweet_foods_cakes",Meal_entry_week_2!T$407:T$426)</f>
        <v>0</v>
      </c>
      <c r="AI345" s="1075">
        <f>SUMIF(Meal_entry_week_2!G$407:G$426,"Bread_and_pastries",Meal_entry_week_2!T$407:T$426)+SUMIF(Meal_entry_week_2!G$407:G$426,"Savoury_pastries",Meal_entry_week_2!T$407:T$426)+SUMIF(Meal_entry_week_2!G$407:G$426,"Sweet_pastries",Meal_entry_week_2!T$407:T$426)</f>
        <v>0</v>
      </c>
      <c r="AJ345" s="1075">
        <f>SUMIF(Meal_entry_week_2!G$407:G$426,"Other_processed_foods",Meal_entry_week_2!T$407:T$426)</f>
        <v>0</v>
      </c>
      <c r="AK345" s="1075">
        <f>SUMIF(Meal_entry_week_2!G$407:G$426,"Sweetened_drinks_teas_coffee",Meal_entry_week_2!T$407:T$426)</f>
        <v>0</v>
      </c>
      <c r="AL345" s="1075">
        <f>SUMIF(Meal_entry_week_2!G$407:G$426,"Fruit_juices_water",Meal_entry_week_2!T$407:T$426)</f>
        <v>0</v>
      </c>
      <c r="AM345" s="1070">
        <f>69-SUM(W345:AL345)</f>
        <v>69</v>
      </c>
      <c r="AN345" s="1302">
        <f>SUMIF(Meal_entry_week_2!G$407:G$426,"Vegetables_mushrooms_fresh_frozen",Meal_entry_week_2!AU$407:AU$426)</f>
        <v>0</v>
      </c>
    </row>
    <row r="346" spans="1:40">
      <c r="A346" s="1066"/>
      <c r="B346" s="956" t="s">
        <v>3560</v>
      </c>
      <c r="C346" s="945"/>
      <c r="D346" s="1269" t="s">
        <v>3140</v>
      </c>
      <c r="E346" s="1083" t="s">
        <v>3069</v>
      </c>
      <c r="F346" s="1083" t="s">
        <v>3077</v>
      </c>
      <c r="G346" s="1083" t="s">
        <v>3073</v>
      </c>
      <c r="H346" s="1083" t="s">
        <v>3070</v>
      </c>
      <c r="I346" s="913" t="s">
        <v>3575</v>
      </c>
      <c r="J346" s="913" t="s">
        <v>3072</v>
      </c>
      <c r="K346" s="1083" t="s">
        <v>3085</v>
      </c>
      <c r="L346" s="1083" t="s">
        <v>3075</v>
      </c>
      <c r="M346" s="1083" t="s">
        <v>3141</v>
      </c>
      <c r="N346" s="1083" t="s">
        <v>3550</v>
      </c>
      <c r="O346" s="1083" t="s">
        <v>3078</v>
      </c>
      <c r="P346" s="1083" t="s">
        <v>3551</v>
      </c>
      <c r="Q346" s="1083" t="s">
        <v>3082</v>
      </c>
      <c r="R346" s="1083" t="s">
        <v>3083</v>
      </c>
      <c r="S346" s="1083" t="s">
        <v>3084</v>
      </c>
      <c r="T346" s="1068"/>
      <c r="U346" s="406" t="s">
        <v>3140</v>
      </c>
      <c r="V346" s="956" t="s">
        <v>3560</v>
      </c>
      <c r="W346" s="1269" t="s">
        <v>3140</v>
      </c>
      <c r="X346" s="1083" t="s">
        <v>3069</v>
      </c>
      <c r="Y346" s="1083" t="s">
        <v>3077</v>
      </c>
      <c r="Z346" s="1083" t="s">
        <v>3073</v>
      </c>
      <c r="AA346" s="1083" t="s">
        <v>3070</v>
      </c>
      <c r="AB346" s="913" t="s">
        <v>3575</v>
      </c>
      <c r="AC346" s="913" t="s">
        <v>3072</v>
      </c>
      <c r="AD346" s="1083" t="s">
        <v>3085</v>
      </c>
      <c r="AE346" s="1083" t="s">
        <v>3075</v>
      </c>
      <c r="AF346" s="1083" t="s">
        <v>3141</v>
      </c>
      <c r="AG346" s="1083" t="s">
        <v>3550</v>
      </c>
      <c r="AH346" s="1083" t="s">
        <v>3078</v>
      </c>
      <c r="AI346" s="1083" t="s">
        <v>3551</v>
      </c>
      <c r="AJ346" s="1083" t="s">
        <v>3082</v>
      </c>
      <c r="AK346" s="1083" t="s">
        <v>3083</v>
      </c>
      <c r="AL346" s="1083" t="s">
        <v>3084</v>
      </c>
      <c r="AM346" s="1068"/>
      <c r="AN346" s="406" t="s">
        <v>3140</v>
      </c>
    </row>
    <row r="347" spans="1:40">
      <c r="A347" s="1066"/>
      <c r="B347" s="956" t="s">
        <v>3064</v>
      </c>
      <c r="C347" s="945"/>
      <c r="D347" s="1069">
        <f>SUMIF(Meal_entry_week_1!G$38:G$49,"Vegetables_mushrooms_fresh_frozen",Meal_entry_week_1!T$38:T$49)</f>
        <v>0</v>
      </c>
      <c r="E347" s="1069">
        <f>SUMIF(Meal_entry_week_1!G$38:G$49,"Vegetables_processed",Meal_entry_week_1!T$38:T$49)</f>
        <v>0</v>
      </c>
      <c r="F347" s="1069">
        <f>SUMIF(Meal_entry_week_1!G$38:G$49,"Fruits_nuts_dried_fruit",Meal_entry_week_1!T$38:T$49)</f>
        <v>0</v>
      </c>
      <c r="G347" s="1069">
        <f>SUMIF(Meal_entry_week_1!G$38:G$49,"Meat_fresh_frozen",Meal_entry_week_1!T$38:T$49)</f>
        <v>0</v>
      </c>
      <c r="H347" s="1069">
        <f>SUMIF(Meal_entry_week_1!G$38:G$49,"Meat_processed",Meal_entry_week_1!T$38:T$49)</f>
        <v>35.4</v>
      </c>
      <c r="I347" s="1069">
        <f>SUMIF(Meal_entry_week_1!G$38:G$49,"Fish_fresh_frozen",Meal_entry_week_1!T$38:T$49)+SUMIF(Meal_entry_week_1!G$38:G$49,"Fish_processed_canned",Meal_entry_week_1!T$38:T$49)</f>
        <v>0</v>
      </c>
      <c r="J347" s="1069">
        <f>SUMIF(Meal_entry_week_1!G$38:G$49,"Eggs",Meal_entry_week_1!T$38:T$49)</f>
        <v>0</v>
      </c>
      <c r="K347" s="1069">
        <f>SUMIF(Meal_entry_week_1!G$38:G$49,"Dairy_products",Meal_entry_week_1!T$38:T$49)</f>
        <v>8.14</v>
      </c>
      <c r="L347" s="1069">
        <f>SUMIF(Meal_entry_week_1!G$38:G$49,"Oil_butter_margarine",Meal_entry_week_1!T$38:T$49)</f>
        <v>0</v>
      </c>
      <c r="M347" s="1069">
        <f>SUMIF(Meal_entry_week_1!G$38:G$49,"Flour_pasta_seeds_cereals",Meal_entry_week_1!T$38:T$49)</f>
        <v>0</v>
      </c>
      <c r="N347" s="1069">
        <f>SUMIF(Meal_entry_week_1!G$38:G$49,"Sauces_purees_dressings",Meal_entry_week_1!T$38:T$49)+SUMIF(Meal_entry_week_1!G$38:G$49,"Spices_seasonings",Meal_entry_week_1!T$38:T$49)</f>
        <v>0</v>
      </c>
      <c r="O347" s="1069">
        <f>SUMIF(Meal_entry_week_1!G$38:G$49,"Sweet_foods_cakes",Meal_entry_week_1!T$38:T$49)</f>
        <v>0</v>
      </c>
      <c r="P347" s="1069">
        <f>SUMIF(Meal_entry_week_1!G$38:G$49,"Bread_and_pastries",Meal_entry_week_1!T$38:T$49)+SUMIF(Meal_entry_week_1!G$38:G$49,"Savoury_pastries",Meal_entry_week_1!T$38:T$49)+SUMIF(Meal_entry_week_1!G$38:G$49,"Sweet_pastries",Meal_entry_week_1!T$38:T$49)</f>
        <v>3.9319499999999996</v>
      </c>
      <c r="Q347" s="1069">
        <f>SUMIF(Meal_entry_week_1!G$38:G$49,"Other_processed_foods",Meal_entry_week_1!T$38:T$49)</f>
        <v>0</v>
      </c>
      <c r="R347" s="1069">
        <f>SUMIF(Meal_entry_week_1!G$38:G$49,"Sweetened_drinks_teas_coffee",Meal_entry_week_1!T$38:T$49)</f>
        <v>0</v>
      </c>
      <c r="S347" s="1069">
        <f>SUMIF(Meal_entry_week_1!G$38:G$49,"Fruit_juices_water",Meal_entry_week_1!T$38:T$49)</f>
        <v>0</v>
      </c>
      <c r="T347" s="1070">
        <f>70-SUM(D347:S347)</f>
        <v>22.52805</v>
      </c>
      <c r="U347" s="407">
        <f>SUMIF(Meal_entry_week_1!G$38:G$49,"Vegetables_mushrooms_fresh_frozen",Meal_entry_week_1!AU$38:AU$49)</f>
        <v>0</v>
      </c>
      <c r="V347" s="956" t="s">
        <v>3064</v>
      </c>
      <c r="W347" s="1069">
        <f>SUMIF(Meal_entry_week_2!G$38:G$49,"Vegetables_mushrooms_fresh_frozen",Meal_entry_week_2!T$38:T$49)</f>
        <v>0</v>
      </c>
      <c r="X347" s="1069">
        <f>SUMIF(Meal_entry_week_2!G$38:G$49,"Vegetables_processed",Meal_entry_week_2!T$38:T$49)</f>
        <v>0</v>
      </c>
      <c r="Y347" s="1069">
        <f>SUMIF(Meal_entry_week_2!G$38:G$49,"Fruits_nuts_dried_fruit",Meal_entry_week_2!T$38:T$49)</f>
        <v>0</v>
      </c>
      <c r="Z347" s="1069">
        <f>SUMIF(Meal_entry_week_2!G$38:G$49,"Meat_fresh_frozen",Meal_entry_week_2!T$38:T$49)</f>
        <v>0</v>
      </c>
      <c r="AA347" s="1069">
        <f>SUMIF(Meal_entry_week_2!G$38:G$49,"Meat_processed",Meal_entry_week_2!T$38:T$49)</f>
        <v>0</v>
      </c>
      <c r="AB347" s="1069">
        <f>SUMIF(Meal_entry_week_2!G$38:G$49,"Fish_fresh_frozen",Meal_entry_week_2!T$38:T$49)+SUMIF(Meal_entry_week_2!G$38:G$49,"Fish_processed_canned",Meal_entry_week_2!T$38:T$49)</f>
        <v>0</v>
      </c>
      <c r="AC347" s="1069">
        <f>SUMIF(Meal_entry_week_2!G$38:G$49,"Eggs",Meal_entry_week_2!T$38:T$49)</f>
        <v>1.4666666666666668</v>
      </c>
      <c r="AD347" s="1069">
        <f>SUMIF(Meal_entry_week_2!G$38:G$49,"Dairy_products",Meal_entry_week_2!T$38:T$49)</f>
        <v>10.106533333333331</v>
      </c>
      <c r="AE347" s="1069">
        <f>SUMIF(Meal_entry_week_2!G$38:G$49,"Oil_butter_margarine",Meal_entry_week_2!T$38:T$49)</f>
        <v>1.9359999999999999</v>
      </c>
      <c r="AF347" s="1069">
        <f>SUMIF(Meal_entry_week_2!G$38:G$49,"Flour_pasta_seeds_cereals",Meal_entry_week_2!T$38:T$49)</f>
        <v>0.90749999999999997</v>
      </c>
      <c r="AG347" s="1069">
        <f>SUMIF(Meal_entry_week_2!G$38:G$49,"Sauces_purees_dressings",Meal_entry_week_2!T$38:T$49)+SUMIF(Meal_entry_week_2!G$38:G$49,"Spices_seasonings",Meal_entry_week_2!T$38:T$49)</f>
        <v>0</v>
      </c>
      <c r="AH347" s="1069">
        <f>SUMIF(Meal_entry_week_2!G$38:G$49,"Sweet_foods_cakes",Meal_entry_week_2!T$38:T$49)</f>
        <v>0</v>
      </c>
      <c r="AI347" s="1069">
        <f>SUMIF(Meal_entry_week_2!G$38:G$49,"Bread_and_pastries",Meal_entry_week_2!T$38:T$49)+SUMIF(Meal_entry_week_2!G$38:G$49,"Savoury_pastries",Meal_entry_week_2!T$38:T$49)+SUMIF(Meal_entry_week_2!G$38:G$49,"Sweet_pastries",Meal_entry_week_2!T$38:T$49)</f>
        <v>0</v>
      </c>
      <c r="AJ347" s="1069">
        <f>SUMIF(Meal_entry_week_2!G$38:G$49,"Other_processed_foods",Meal_entry_week_2!T$38:T$49)</f>
        <v>0</v>
      </c>
      <c r="AK347" s="1069">
        <f>SUMIF(Meal_entry_week_2!G$38:G$49,"Sweetened_drinks_teas_coffee",Meal_entry_week_2!T$38:T$49)</f>
        <v>0</v>
      </c>
      <c r="AL347" s="1069">
        <f>SUMIF(Meal_entry_week_2!G$38:G$49,"Fruit_juices_water",Meal_entry_week_2!T$38:T$49)</f>
        <v>0</v>
      </c>
      <c r="AM347" s="1070">
        <f>70-SUM(W347:AL347)</f>
        <v>55.583300000000001</v>
      </c>
      <c r="AN347" s="407">
        <f>SUMIF(Meal_entry_week_2!G$38:G$49,"Vegetables_mushrooms_fresh_frozen",Meal_entry_week_2!AU$38:AU$49)</f>
        <v>0</v>
      </c>
    </row>
    <row r="348" spans="1:40">
      <c r="A348" s="1066"/>
      <c r="B348" s="956" t="s">
        <v>3065</v>
      </c>
      <c r="C348" s="945"/>
      <c r="D348" s="1069">
        <f>SUMIF(Meal_entry_week_1!G$137:G$148,"Vegetables_mushrooms_fresh_frozen",Meal_entry_week_1!T$137:T$148)</f>
        <v>0</v>
      </c>
      <c r="E348" s="1069">
        <f>SUMIF(Meal_entry_week_1!G$137:G$148,"Vegetables_processed",Meal_entry_week_1!T$137:T$148)</f>
        <v>1.446</v>
      </c>
      <c r="F348" s="1069">
        <f>SUMIF(Meal_entry_week_1!G$137:G$148,"Fruits_nuts_dried_fruit",Meal_entry_week_1!T$137:T$148)</f>
        <v>0</v>
      </c>
      <c r="G348" s="1069">
        <f>SUMIF(Meal_entry_week_1!G$137:G$148,"Meat_fresh_frozen",Meal_entry_week_1!T$137:T$148)</f>
        <v>0</v>
      </c>
      <c r="H348" s="1069">
        <f>SUMIF(Meal_entry_week_1!G$137:G$148,"Meat_processed",Meal_entry_week_1!T$137:T$148)</f>
        <v>0</v>
      </c>
      <c r="I348" s="1069">
        <f>SUMIF(Meal_entry_week_1!G$137:G$148,"Fish_fresh_frozen",Meal_entry_week_1!T$137:T$148)+SUMIF(Meal_entry_week_1!G$137:G$148,"Fish_processed_canned",Meal_entry_week_1!T$137:T$148)</f>
        <v>36</v>
      </c>
      <c r="J348" s="1069">
        <f>SUMIF(Meal_entry_week_1!G$137:G$148,"Eggs",Meal_entry_week_1!T$137:T$148)</f>
        <v>0</v>
      </c>
      <c r="K348" s="1069">
        <f>SUMIF(Meal_entry_week_1!G$137:G$148,"Dairy_products",Meal_entry_week_1!T$137:T$148)</f>
        <v>2.0228571428571427</v>
      </c>
      <c r="L348" s="1069">
        <f>SUMIF(Meal_entry_week_1!G$137:G$148,"Oil_butter_margarine",Meal_entry_week_1!T$137:T$148)</f>
        <v>0</v>
      </c>
      <c r="M348" s="1069">
        <f>SUMIF(Meal_entry_week_1!G$137:G$148,"Flour_pasta_seeds_cereals",Meal_entry_week_1!T$137:T$148)</f>
        <v>0</v>
      </c>
      <c r="N348" s="1069">
        <f>SUMIF(Meal_entry_week_1!G$137:G$148,"Sauces_purees_dressings",Meal_entry_week_1!T$137:T$148)+SUMIF(Meal_entry_week_1!G$137:G$148,"Spices_seasonings",Meal_entry_week_1!T$137:T$148)</f>
        <v>0</v>
      </c>
      <c r="O348" s="1069">
        <f>SUMIF(Meal_entry_week_1!G$137:G$148,"Sweet_foods_cakes",Meal_entry_week_1!T$137:T$148)</f>
        <v>0</v>
      </c>
      <c r="P348" s="1069">
        <f>SUMIF(Meal_entry_week_1!G$137:G$148,"Bread_and_pastries",Meal_entry_week_1!T$137:T$148)+SUMIF(Meal_entry_week_1!G$137:G$148,"Savoury_pastries",Meal_entry_week_1!T$137:T$148)+SUMIF(Meal_entry_week_1!G$137:G$148,"Sweet_pastries",Meal_entry_week_1!T$137:T$148)</f>
        <v>11.338799999999999</v>
      </c>
      <c r="Q348" s="1069">
        <f>SUMIF(Meal_entry_week_1!G$137:G$148,"Other_processed_foods",Meal_entry_week_1!T$137:T$148)</f>
        <v>0</v>
      </c>
      <c r="R348" s="1069">
        <f>SUMIF(Meal_entry_week_1!G$137:G$148,"Sweetened_drinks_teas_coffee",Meal_entry_week_1!T$137:T$148)</f>
        <v>0</v>
      </c>
      <c r="S348" s="1069">
        <f>SUMIF(Meal_entry_week_1!G$137:G$148,"Fruit_juices_water",Meal_entry_week_1!T$137:T$148)</f>
        <v>0</v>
      </c>
      <c r="T348" s="1070">
        <f>70-SUM(D348:S348)</f>
        <v>19.192342857142862</v>
      </c>
      <c r="U348" s="407">
        <f>SUMIF(Meal_entry_week_1!G$137:G$148,"Vegetables_mushrooms_fresh_frozen",Meal_entry_week_1!AU$137:AU$148)</f>
        <v>0</v>
      </c>
      <c r="V348" s="956" t="s">
        <v>3065</v>
      </c>
      <c r="W348" s="1069">
        <f>SUMIF(Meal_entry_week_2!G$137:G$148,"Vegetables_mushrooms_fresh_frozen",Meal_entry_week_2!T$137:T$148)</f>
        <v>0</v>
      </c>
      <c r="X348" s="1069">
        <f>SUMIF(Meal_entry_week_2!G$137:G$148,"Vegetables_processed",Meal_entry_week_2!T$137:T$148)</f>
        <v>0</v>
      </c>
      <c r="Y348" s="1069">
        <f>SUMIF(Meal_entry_week_2!G$137:G$148,"Fruits_nuts_dried_fruit",Meal_entry_week_2!T$137:T$148)</f>
        <v>0</v>
      </c>
      <c r="Z348" s="1069">
        <f>SUMIF(Meal_entry_week_2!G$137:G$148,"Meat_fresh_frozen",Meal_entry_week_2!T$137:T$148)</f>
        <v>0</v>
      </c>
      <c r="AA348" s="1069">
        <f>SUMIF(Meal_entry_week_2!G$137:G$148,"Meat_processed",Meal_entry_week_2!T$137:T$148)</f>
        <v>0</v>
      </c>
      <c r="AB348" s="1069">
        <f>SUMIF(Meal_entry_week_2!G$137:G$148,"Fish_fresh_frozen",Meal_entry_week_2!T$137:T$148)+SUMIF(Meal_entry_week_2!G$137:G$148,"Fish_processed_canned",Meal_entry_week_2!T$137:T$148)</f>
        <v>0</v>
      </c>
      <c r="AC348" s="1069">
        <f>SUMIF(Meal_entry_week_2!G$137:G$148,"Eggs",Meal_entry_week_2!T$137:T$148)</f>
        <v>0</v>
      </c>
      <c r="AD348" s="1069">
        <f>SUMIF(Meal_entry_week_2!G$137:G$148,"Dairy_products",Meal_entry_week_2!T$137:T$148)</f>
        <v>9.1300000000000008</v>
      </c>
      <c r="AE348" s="1069">
        <f>SUMIF(Meal_entry_week_2!G$137:G$148,"Oil_butter_margarine",Meal_entry_week_2!T$137:T$148)</f>
        <v>0</v>
      </c>
      <c r="AF348" s="1069">
        <f>SUMIF(Meal_entry_week_2!G$137:G$148,"Flour_pasta_seeds_cereals",Meal_entry_week_2!T$137:T$148)</f>
        <v>0</v>
      </c>
      <c r="AG348" s="1069">
        <f>SUMIF(Meal_entry_week_2!G$137:G$148,"Sauces_purees_dressings",Meal_entry_week_2!T$137:T$148)+SUMIF(Meal_entry_week_2!G$137:G$148,"Spices_seasonings",Meal_entry_week_2!T$137:T$148)</f>
        <v>0</v>
      </c>
      <c r="AH348" s="1069">
        <f>SUMIF(Meal_entry_week_2!G$137:G$148,"Sweet_foods_cakes",Meal_entry_week_2!T$137:T$148)</f>
        <v>12.96</v>
      </c>
      <c r="AI348" s="1069">
        <f>SUMIF(Meal_entry_week_2!G$137:G$148,"Bread_and_pastries",Meal_entry_week_2!T$137:T$148)+SUMIF(Meal_entry_week_2!G$137:G$148,"Savoury_pastries",Meal_entry_week_2!T$137:T$148)+SUMIF(Meal_entry_week_2!G$137:G$148,"Sweet_pastries",Meal_entry_week_2!T$137:T$148)</f>
        <v>9.3939999999999984</v>
      </c>
      <c r="AJ348" s="1069">
        <f>SUMIF(Meal_entry_week_2!G$137:G$148,"Other_processed_foods",Meal_entry_week_2!T$137:T$148)</f>
        <v>0</v>
      </c>
      <c r="AK348" s="1069">
        <f>SUMIF(Meal_entry_week_2!G$137:G$148,"Sweetened_drinks_teas_coffee",Meal_entry_week_2!T$137:T$148)</f>
        <v>0</v>
      </c>
      <c r="AL348" s="1069">
        <f>SUMIF(Meal_entry_week_2!G$137:G$148,"Fruit_juices_water",Meal_entry_week_2!T$137:T$148)</f>
        <v>0</v>
      </c>
      <c r="AM348" s="1070">
        <f>70-SUM(W348:AL348)</f>
        <v>38.515999999999998</v>
      </c>
      <c r="AN348" s="407">
        <f>SUMIF(Meal_entry_week_2!G$137:G$148,"Vegetables_mushrooms_fresh_frozen",Meal_entry_week_2!AU$137:AU$148)</f>
        <v>0</v>
      </c>
    </row>
    <row r="349" spans="1:40">
      <c r="A349" s="1066"/>
      <c r="B349" s="956" t="s">
        <v>3066</v>
      </c>
      <c r="C349" s="945"/>
      <c r="D349" s="1069">
        <f>SUMIF(Meal_entry_week_1!G$236:G$247,"Vegetables_mushrooms_fresh_frozen",Meal_entry_week_1!T$236:T$247)</f>
        <v>0</v>
      </c>
      <c r="E349" s="1069">
        <f>SUMIF(Meal_entry_week_1!G$236:G$247,"Vegetables_processed",Meal_entry_week_1!T$236:T$247)</f>
        <v>0</v>
      </c>
      <c r="F349" s="1069">
        <f>SUMIF(Meal_entry_week_1!G$236:G$247,"Fruits_nuts_dried_fruit",Meal_entry_week_1!T$236:T$247)</f>
        <v>0</v>
      </c>
      <c r="G349" s="1069">
        <f>SUMIF(Meal_entry_week_1!G$236:G$247,"Meat_fresh_frozen",Meal_entry_week_1!T$236:T$247)</f>
        <v>0</v>
      </c>
      <c r="H349" s="1069">
        <f>SUMIF(Meal_entry_week_1!G$236:G$247,"Meat_processed",Meal_entry_week_1!T$236:T$247)</f>
        <v>0</v>
      </c>
      <c r="I349" s="1069">
        <f>SUMIF(Meal_entry_week_1!G$236:G$247,"Fish_fresh_frozen",Meal_entry_week_1!T$236:T$247)+SUMIF(Meal_entry_week_1!G$236:G$247,"Fish_processed_canned",Meal_entry_week_1!T$236:T$247)</f>
        <v>0</v>
      </c>
      <c r="J349" s="1069">
        <f>SUMIF(Meal_entry_week_1!G$236:G$247,"Eggs",Meal_entry_week_1!T$236:T$247)</f>
        <v>0</v>
      </c>
      <c r="K349" s="1069">
        <f>SUMIF(Meal_entry_week_1!G$236:G$247,"Dairy_products",Meal_entry_week_1!T$236:T$247)</f>
        <v>8.14</v>
      </c>
      <c r="L349" s="1069">
        <f>SUMIF(Meal_entry_week_1!G$236:G$247,"Oil_butter_margarine",Meal_entry_week_1!T$236:T$247)</f>
        <v>0</v>
      </c>
      <c r="M349" s="1069">
        <f>SUMIF(Meal_entry_week_1!G$236:G$247,"Flour_pasta_seeds_cereals",Meal_entry_week_1!T$236:T$247)</f>
        <v>0</v>
      </c>
      <c r="N349" s="1069">
        <f>SUMIF(Meal_entry_week_1!G$236:G$247,"Sauces_purees_dressings",Meal_entry_week_1!T$236:T$247)+SUMIF(Meal_entry_week_1!G$236:G$247,"Spices_seasonings",Meal_entry_week_1!T$236:T$247)</f>
        <v>0</v>
      </c>
      <c r="O349" s="1069">
        <f>SUMIF(Meal_entry_week_1!G$236:G$247,"Sweet_foods_cakes",Meal_entry_week_1!T$236:T$247)</f>
        <v>0</v>
      </c>
      <c r="P349" s="1069">
        <f>SUMIF(Meal_entry_week_1!G$236:G$247,"Bread_and_pastries",Meal_entry_week_1!T$236:T$247)+SUMIF(Meal_entry_week_1!G$236:G$247,"Savoury_pastries",Meal_entry_week_1!T$236:T$247)+SUMIF(Meal_entry_week_1!G$236:G$247,"Sweet_pastries",Meal_entry_week_1!T$236:T$247)</f>
        <v>31.079999999999995</v>
      </c>
      <c r="Q349" s="1069">
        <f>SUMIF(Meal_entry_week_1!G$236:G$247,"Other_processed_foods",Meal_entry_week_1!T$236:T$247)</f>
        <v>0</v>
      </c>
      <c r="R349" s="1069">
        <f>SUMIF(Meal_entry_week_1!G$236:G$247,"Sweetened_drinks_teas_coffee",Meal_entry_week_1!T$236:T$247)</f>
        <v>0</v>
      </c>
      <c r="S349" s="1069">
        <f>SUMIF(Meal_entry_week_1!G$236:G$247,"Fruit_juices_water",Meal_entry_week_1!T$236:T$247)</f>
        <v>0</v>
      </c>
      <c r="T349" s="1070">
        <f>70-SUM(D349:S349)</f>
        <v>30.78</v>
      </c>
      <c r="U349" s="407">
        <f>SUMIF(Meal_entry_week_1!G$236:G$247,"Vegetables_mushrooms_fresh_frozen",Meal_entry_week_1!AU$236:AU$247)</f>
        <v>0</v>
      </c>
      <c r="V349" s="956" t="s">
        <v>3066</v>
      </c>
      <c r="W349" s="1069">
        <f>SUMIF(Meal_entry_week_2!G$236:G$247,"Vegetables_mushrooms_fresh_frozen",Meal_entry_week_2!T$236:T$247)</f>
        <v>0</v>
      </c>
      <c r="X349" s="1069">
        <f>SUMIF(Meal_entry_week_2!G$236:G$247,"Vegetables_processed",Meal_entry_week_2!T$236:T$247)</f>
        <v>0</v>
      </c>
      <c r="Y349" s="1069">
        <f>SUMIF(Meal_entry_week_2!G$236:G$247,"Fruits_nuts_dried_fruit",Meal_entry_week_2!T$236:T$247)</f>
        <v>0</v>
      </c>
      <c r="Z349" s="1069">
        <f>SUMIF(Meal_entry_week_2!G$236:G$247,"Meat_fresh_frozen",Meal_entry_week_2!T$236:T$247)</f>
        <v>0</v>
      </c>
      <c r="AA349" s="1069">
        <f>SUMIF(Meal_entry_week_2!G$236:G$247,"Meat_processed",Meal_entry_week_2!T$236:T$247)</f>
        <v>6</v>
      </c>
      <c r="AB349" s="1069">
        <f>SUMIF(Meal_entry_week_2!G$236:G$247,"Fish_fresh_frozen",Meal_entry_week_2!T$236:T$247)+SUMIF(Meal_entry_week_2!G$236:G$247,"Fish_processed_canned",Meal_entry_week_2!T$236:T$247)</f>
        <v>0</v>
      </c>
      <c r="AC349" s="1069">
        <f>SUMIF(Meal_entry_week_2!G$236:G$247,"Eggs",Meal_entry_week_2!T$236:T$247)</f>
        <v>0</v>
      </c>
      <c r="AD349" s="1069">
        <f>SUMIF(Meal_entry_week_2!G$236:G$247,"Dairy_products",Meal_entry_week_2!T$236:T$247)</f>
        <v>11.4</v>
      </c>
      <c r="AE349" s="1069">
        <f>SUMIF(Meal_entry_week_2!G$236:G$247,"Oil_butter_margarine",Meal_entry_week_2!T$236:T$247)</f>
        <v>0</v>
      </c>
      <c r="AF349" s="1069">
        <f>SUMIF(Meal_entry_week_2!G$236:G$247,"Flour_pasta_seeds_cereals",Meal_entry_week_2!T$236:T$247)</f>
        <v>0</v>
      </c>
      <c r="AG349" s="1069">
        <f>SUMIF(Meal_entry_week_2!G$236:G$247,"Sauces_purees_dressings",Meal_entry_week_2!T$236:T$247)+SUMIF(Meal_entry_week_2!G$236:G$247,"Spices_seasonings",Meal_entry_week_2!T$236:T$247)</f>
        <v>2.2080000000000002</v>
      </c>
      <c r="AH349" s="1069">
        <f>SUMIF(Meal_entry_week_2!G$236:G$247,"Sweet_foods_cakes",Meal_entry_week_2!T$236:T$247)</f>
        <v>0</v>
      </c>
      <c r="AI349" s="1069">
        <f>SUMIF(Meal_entry_week_2!G$236:G$247,"Bread_and_pastries",Meal_entry_week_2!T$236:T$247)+SUMIF(Meal_entry_week_2!G$236:G$247,"Savoury_pastries",Meal_entry_week_2!T$236:T$247)+SUMIF(Meal_entry_week_2!G$236:G$247,"Sweet_pastries",Meal_entry_week_2!T$236:T$247)</f>
        <v>6.7374999999999998</v>
      </c>
      <c r="AJ349" s="1069">
        <f>SUMIF(Meal_entry_week_2!G$236:G$247,"Other_processed_foods",Meal_entry_week_2!T$236:T$247)</f>
        <v>0</v>
      </c>
      <c r="AK349" s="1069">
        <f>SUMIF(Meal_entry_week_2!G$236:G$247,"Sweetened_drinks_teas_coffee",Meal_entry_week_2!T$236:T$247)</f>
        <v>14.1</v>
      </c>
      <c r="AL349" s="1069">
        <f>SUMIF(Meal_entry_week_2!G$236:G$247,"Fruit_juices_water",Meal_entry_week_2!T$236:T$247)</f>
        <v>0</v>
      </c>
      <c r="AM349" s="1070">
        <f>70-SUM(W349:AL349)</f>
        <v>29.554500000000004</v>
      </c>
      <c r="AN349" s="407">
        <f>SUMIF(Meal_entry_week_2!G$236:G$247,"Vegetables_mushrooms_fresh_frozen",Meal_entry_week_2!AU$236:AU$247)</f>
        <v>0</v>
      </c>
    </row>
    <row r="350" spans="1:40">
      <c r="A350" s="1066"/>
      <c r="B350" s="956" t="s">
        <v>3067</v>
      </c>
      <c r="C350" s="945"/>
      <c r="D350" s="1069">
        <f>SUMIF(Meal_entry_week_1!G$335:G$346,"Vegetables_mushrooms_fresh_frozen",Meal_entry_week_1!T$335:T$346)</f>
        <v>0</v>
      </c>
      <c r="E350" s="1069">
        <f>SUMIF(Meal_entry_week_1!G$335:G$346,"Vegetables_processed",Meal_entry_week_1!T$335:T$346)</f>
        <v>0</v>
      </c>
      <c r="F350" s="1069">
        <f>SUMIF(Meal_entry_week_1!G$335:G$346,"Fruits_nuts_dried_fruit",Meal_entry_week_1!T$335:T$346)</f>
        <v>4.048</v>
      </c>
      <c r="G350" s="1069">
        <f>SUMIF(Meal_entry_week_1!G$335:G$346,"Meat_fresh_frozen",Meal_entry_week_1!T$335:T$346)</f>
        <v>0</v>
      </c>
      <c r="H350" s="1069">
        <f>SUMIF(Meal_entry_week_1!G$335:G$346,"Meat_processed",Meal_entry_week_1!T$335:T$346)</f>
        <v>0</v>
      </c>
      <c r="I350" s="1069">
        <f>SUMIF(Meal_entry_week_1!G$335:G$346,"Fish_fresh_frozen",Meal_entry_week_1!T$335:T$346)+SUMIF(Meal_entry_week_1!G$335:G$346,"Fish_processed_canned",Meal_entry_week_1!T$335:T$346)</f>
        <v>0</v>
      </c>
      <c r="J350" s="1069">
        <f>SUMIF(Meal_entry_week_1!G$335:G$346,"Eggs",Meal_entry_week_1!T$335:T$346)</f>
        <v>1.8333333333333335</v>
      </c>
      <c r="K350" s="1069">
        <f>SUMIF(Meal_entry_week_1!G$335:G$346,"Dairy_products",Meal_entry_week_1!T$335:T$346)</f>
        <v>1.3024</v>
      </c>
      <c r="L350" s="1069">
        <f>SUMIF(Meal_entry_week_1!G$335:G$346,"Oil_butter_margarine",Meal_entry_week_1!T$335:T$346)</f>
        <v>1.9359999999999999</v>
      </c>
      <c r="M350" s="1069">
        <f>SUMIF(Meal_entry_week_1!G$335:G$346,"Flour_pasta_seeds_cereals",Meal_entry_week_1!T$335:T$346)</f>
        <v>1.3367200000000001</v>
      </c>
      <c r="N350" s="1069">
        <f>SUMIF(Meal_entry_week_1!G$335:G$346,"Sauces_purees_dressings",Meal_entry_week_1!T$335:T$346)+SUMIF(Meal_entry_week_1!G$335:G$346,"Spices_seasonings",Meal_entry_week_1!T$335:T$346)</f>
        <v>0</v>
      </c>
      <c r="O350" s="1069">
        <f>SUMIF(Meal_entry_week_1!G$335:G$346,"Sweet_foods_cakes",Meal_entry_week_1!T$335:T$346)</f>
        <v>1.55342</v>
      </c>
      <c r="P350" s="1069">
        <f>SUMIF(Meal_entry_week_1!G$335:G$346,"Bread_and_pastries",Meal_entry_week_1!T$335:T$346)+SUMIF(Meal_entry_week_1!G$335:G$346,"Savoury_pastries",Meal_entry_week_1!T$335:T$346)+SUMIF(Meal_entry_week_1!G$335:G$346,"Sweet_pastries",Meal_entry_week_1!T$335:T$346)</f>
        <v>0</v>
      </c>
      <c r="Q350" s="1069">
        <f>SUMIF(Meal_entry_week_1!G$335:G$346,"Other_processed_foods",Meal_entry_week_1!T$335:T$346)</f>
        <v>0</v>
      </c>
      <c r="R350" s="1069">
        <f>SUMIF(Meal_entry_week_1!G$335:G$346,"Sweetened_drinks_teas_coffee",Meal_entry_week_1!T$335:T$346)</f>
        <v>14.1</v>
      </c>
      <c r="S350" s="1069">
        <f>SUMIF(Meal_entry_week_1!G$335:G$346,"Fruit_juices_water",Meal_entry_week_1!T$335:T$346)</f>
        <v>0</v>
      </c>
      <c r="T350" s="1070">
        <f>70-SUM(D350:S350)</f>
        <v>43.890126666666667</v>
      </c>
      <c r="U350" s="407">
        <f>SUMIF(Meal_entry_week_1!G$335:G$346,"Vegetables_mushrooms_fresh_frozen",Meal_entry_week_1!AU$335:AU$346)</f>
        <v>0</v>
      </c>
      <c r="V350" s="956" t="s">
        <v>3067</v>
      </c>
      <c r="W350" s="1069">
        <f>SUMIF(Meal_entry_week_2!G$335:G$346,"Vegetables_mushrooms_fresh_frozen",Meal_entry_week_2!T$335:T$346)</f>
        <v>0</v>
      </c>
      <c r="X350" s="1069">
        <f>SUMIF(Meal_entry_week_2!G$335:G$346,"Vegetables_processed",Meal_entry_week_2!T$335:T$346)</f>
        <v>0</v>
      </c>
      <c r="Y350" s="1069">
        <f>SUMIF(Meal_entry_week_2!G$335:G$346,"Fruits_nuts_dried_fruit",Meal_entry_week_2!T$335:T$346)</f>
        <v>0</v>
      </c>
      <c r="Z350" s="1069">
        <f>SUMIF(Meal_entry_week_2!G$335:G$346,"Meat_fresh_frozen",Meal_entry_week_2!T$335:T$346)</f>
        <v>0</v>
      </c>
      <c r="AA350" s="1069">
        <f>SUMIF(Meal_entry_week_2!G$335:G$346,"Meat_processed",Meal_entry_week_2!T$335:T$346)</f>
        <v>0</v>
      </c>
      <c r="AB350" s="1069">
        <f>SUMIF(Meal_entry_week_2!G$335:G$346,"Fish_fresh_frozen",Meal_entry_week_2!T$335:T$346)+SUMIF(Meal_entry_week_2!G$335:G$346,"Fish_processed_canned",Meal_entry_week_2!T$335:T$346)</f>
        <v>0</v>
      </c>
      <c r="AC350" s="1069">
        <f>SUMIF(Meal_entry_week_2!G$335:G$346,"Eggs",Meal_entry_week_2!T$335:T$346)</f>
        <v>0</v>
      </c>
      <c r="AD350" s="1069">
        <f>SUMIF(Meal_entry_week_2!G$335:G$346,"Dairy_products",Meal_entry_week_2!T$335:T$346)</f>
        <v>16.28</v>
      </c>
      <c r="AE350" s="1069">
        <f>SUMIF(Meal_entry_week_2!G$335:G$346,"Oil_butter_margarine",Meal_entry_week_2!T$335:T$346)</f>
        <v>0</v>
      </c>
      <c r="AF350" s="1069">
        <f>SUMIF(Meal_entry_week_2!G$335:G$346,"Flour_pasta_seeds_cereals",Meal_entry_week_2!T$335:T$346)</f>
        <v>0</v>
      </c>
      <c r="AG350" s="1069">
        <f>SUMIF(Meal_entry_week_2!G$335:G$346,"Sauces_purees_dressings",Meal_entry_week_2!T$335:T$346)+SUMIF(Meal_entry_week_2!G$335:G$346,"Spices_seasonings",Meal_entry_week_2!T$335:T$346)</f>
        <v>0</v>
      </c>
      <c r="AH350" s="1069">
        <f>SUMIF(Meal_entry_week_2!G$335:G$346,"Sweet_foods_cakes",Meal_entry_week_2!T$335:T$346)</f>
        <v>0</v>
      </c>
      <c r="AI350" s="1069">
        <f>SUMIF(Meal_entry_week_2!G$335:G$346,"Bread_and_pastries",Meal_entry_week_2!T$335:T$346)+SUMIF(Meal_entry_week_2!G$335:G$346,"Savoury_pastries",Meal_entry_week_2!T$335:T$346)+SUMIF(Meal_entry_week_2!G$335:G$346,"Sweet_pastries",Meal_entry_week_2!T$335:T$346)</f>
        <v>10.555416666666666</v>
      </c>
      <c r="AJ350" s="1069">
        <f>SUMIF(Meal_entry_week_2!G$335:G$346,"Other_processed_foods",Meal_entry_week_2!T$335:T$346)</f>
        <v>0</v>
      </c>
      <c r="AK350" s="1069">
        <f>SUMIF(Meal_entry_week_2!G$335:G$346,"Sweetened_drinks_teas_coffee",Meal_entry_week_2!T$335:T$346)</f>
        <v>0</v>
      </c>
      <c r="AL350" s="1069">
        <f>SUMIF(Meal_entry_week_2!G$335:G$346,"Fruit_juices_water",Meal_entry_week_2!T$335:T$346)</f>
        <v>0</v>
      </c>
      <c r="AM350" s="1070">
        <f>70-SUM(W350:AL350)</f>
        <v>43.164583333333333</v>
      </c>
      <c r="AN350" s="407">
        <f>SUMIF(Meal_entry_week_2!G$335:G$346,"Vegetables_mushrooms_fresh_frozen",Meal_entry_week_2!AU$335:AU$346)</f>
        <v>0</v>
      </c>
    </row>
    <row r="351" spans="1:40">
      <c r="A351" s="1066"/>
      <c r="B351" s="1074" t="s">
        <v>3068</v>
      </c>
      <c r="C351" s="945"/>
      <c r="D351" s="1075">
        <f>SUMIF(Meal_entry_week_1!G$434:G$445,"Vegetables_mushrooms_fresh_frozen",Meal_entry_week_1!T$434:T$445)</f>
        <v>0</v>
      </c>
      <c r="E351" s="1075">
        <f>SUMIF(Meal_entry_week_1!G$434:G$445,"Vegetables_processed",Meal_entry_week_1!T$434:T$445)</f>
        <v>0</v>
      </c>
      <c r="F351" s="1075">
        <f>SUMIF(Meal_entry_week_1!G$434:G$445,"Fruits_nuts_dried_fruit",Meal_entry_week_1!T$434:T$445)</f>
        <v>0</v>
      </c>
      <c r="G351" s="1075">
        <f>SUMIF(Meal_entry_week_1!G$434:G$445,"Meat_fresh_frozen",Meal_entry_week_1!T$434:T$445)</f>
        <v>0</v>
      </c>
      <c r="H351" s="1075">
        <f>SUMIF(Meal_entry_week_1!G$434:G$445,"Meat_processed",Meal_entry_week_1!T$434:T$445)</f>
        <v>0</v>
      </c>
      <c r="I351" s="1075">
        <f>SUMIF(Meal_entry_week_1!G$434:G$445,"Fish_fresh_frozen",Meal_entry_week_1!T$434:T$445)+SUMIF(Meal_entry_week_1!G$434:G$445,"Fish_processed_canned",Meal_entry_week_1!T$434:T$445)</f>
        <v>0</v>
      </c>
      <c r="J351" s="1075">
        <f>SUMIF(Meal_entry_week_1!G$434:G$445,"Eggs",Meal_entry_week_1!T$434:T$445)</f>
        <v>0</v>
      </c>
      <c r="K351" s="1075">
        <f>SUMIF(Meal_entry_week_1!G$434:G$445,"Dairy_products",Meal_entry_week_1!T$434:T$445)</f>
        <v>8.14</v>
      </c>
      <c r="L351" s="1075">
        <f>SUMIF(Meal_entry_week_1!G$434:G$445,"Oil_butter_margarine",Meal_entry_week_1!T$434:T$445)</f>
        <v>0</v>
      </c>
      <c r="M351" s="1075">
        <f>SUMIF(Meal_entry_week_1!G$434:G$445,"Flour_pasta_seeds_cereals",Meal_entry_week_1!T$434:T$445)</f>
        <v>0</v>
      </c>
      <c r="N351" s="1075">
        <f>SUMIF(Meal_entry_week_1!G$434:G$445,"Sauces_purees_dressings",Meal_entry_week_1!T$434:T$445)+SUMIF(Meal_entry_week_1!G$434:G$445,"Spices_seasonings",Meal_entry_week_1!T$434:T$445)</f>
        <v>0</v>
      </c>
      <c r="O351" s="1075">
        <f>SUMIF(Meal_entry_week_1!G$434:G$445,"Sweet_foods_cakes",Meal_entry_week_1!T$434:T$445)</f>
        <v>0</v>
      </c>
      <c r="P351" s="1075">
        <f>SUMIF(Meal_entry_week_1!G$434:G$445,"Bread_and_pastries",Meal_entry_week_1!T$434:T$445)+SUMIF(Meal_entry_week_1!G$434:G$445,"Savoury_pastries",Meal_entry_week_1!T$434:T$445)+SUMIF(Meal_entry_week_1!G$434:G$445,"Sweet_pastries",Meal_entry_week_1!T$434:T$445)</f>
        <v>10.555416666666666</v>
      </c>
      <c r="Q351" s="1075">
        <f>SUMIF(Meal_entry_week_1!G$434:G$445,"Other_processed_foods",Meal_entry_week_1!T$434:T$445)</f>
        <v>0</v>
      </c>
      <c r="R351" s="1075">
        <f>SUMIF(Meal_entry_week_1!G$434:G$445,"Sweetened_drinks_teas_coffee",Meal_entry_week_1!T$434:T$445)</f>
        <v>0</v>
      </c>
      <c r="S351" s="1075">
        <f>SUMIF(Meal_entry_week_1!G$434:G$445,"Fruit_juices_water",Meal_entry_week_1!T$434:T$445)</f>
        <v>0</v>
      </c>
      <c r="T351" s="1070">
        <f>70-SUM(D351:S351)</f>
        <v>51.304583333333333</v>
      </c>
      <c r="U351" s="1302">
        <f>SUMIF(Meal_entry_week_1!G$434:G$445,"Vegetables_mushrooms_fresh_frozen",Meal_entry_week_1!AU$434:AU$445)</f>
        <v>0</v>
      </c>
      <c r="V351" s="1074" t="s">
        <v>3068</v>
      </c>
      <c r="W351" s="1075">
        <f>SUMIF(Meal_entry_week_2!G$434:G$445,"Vegetables_mushrooms_fresh_frozen",Meal_entry_week_2!T$434:T$445)</f>
        <v>0</v>
      </c>
      <c r="X351" s="1075">
        <f>SUMIF(Meal_entry_week_2!G$434:G$445,"Vegetables_processed",Meal_entry_week_2!T$434:T$445)</f>
        <v>0</v>
      </c>
      <c r="Y351" s="1075">
        <f>SUMIF(Meal_entry_week_2!G$434:G$445,"Fruits_nuts_dried_fruit",Meal_entry_week_2!T$434:T$445)</f>
        <v>0</v>
      </c>
      <c r="Z351" s="1075">
        <f>SUMIF(Meal_entry_week_2!G$434:G$445,"Meat_fresh_frozen",Meal_entry_week_2!T$434:T$445)</f>
        <v>0</v>
      </c>
      <c r="AA351" s="1075">
        <f>SUMIF(Meal_entry_week_2!G$434:G$445,"Meat_processed",Meal_entry_week_2!T$434:T$445)</f>
        <v>0</v>
      </c>
      <c r="AB351" s="1075">
        <f>SUMIF(Meal_entry_week_2!G$434:G$445,"Fish_fresh_frozen",Meal_entry_week_2!T$434:T$445)+SUMIF(Meal_entry_week_2!G$434:G$445,"Fish_processed_canned",Meal_entry_week_2!T$434:T$445)</f>
        <v>0</v>
      </c>
      <c r="AC351" s="1075">
        <f>SUMIF(Meal_entry_week_2!G$434:G$445,"Eggs",Meal_entry_week_2!T$434:T$445)</f>
        <v>0.42166666666666663</v>
      </c>
      <c r="AD351" s="1075">
        <f>SUMIF(Meal_entry_week_2!G$434:G$445,"Dairy_products",Meal_entry_week_2!T$434:T$445)</f>
        <v>1.4607999999999999</v>
      </c>
      <c r="AE351" s="1075">
        <f>SUMIF(Meal_entry_week_2!G$434:G$445,"Oil_butter_margarine",Meal_entry_week_2!T$434:T$445)</f>
        <v>3.7509999999999999</v>
      </c>
      <c r="AF351" s="1075">
        <f>SUMIF(Meal_entry_week_2!G$434:G$445,"Flour_pasta_seeds_cereals",Meal_entry_week_2!T$434:T$445)</f>
        <v>2.02664</v>
      </c>
      <c r="AG351" s="1075">
        <f>SUMIF(Meal_entry_week_2!G$434:G$445,"Sauces_purees_dressings",Meal_entry_week_2!T$434:T$445)+SUMIF(Meal_entry_week_2!G$434:G$445,"Spices_seasonings",Meal_entry_week_2!T$434:T$445)</f>
        <v>1.0488</v>
      </c>
      <c r="AH351" s="1075">
        <f>SUMIF(Meal_entry_week_2!G$434:G$445,"Sweet_foods_cakes",Meal_entry_week_2!T$434:T$445)</f>
        <v>4.6143847058823528</v>
      </c>
      <c r="AI351" s="1075">
        <f>SUMIF(Meal_entry_week_2!G$434:G$445,"Bread_and_pastries",Meal_entry_week_2!T$434:T$445)+SUMIF(Meal_entry_week_2!G$434:G$445,"Savoury_pastries",Meal_entry_week_2!T$434:T$445)+SUMIF(Meal_entry_week_2!G$434:G$445,"Sweet_pastries",Meal_entry_week_2!T$434:T$445)</f>
        <v>0</v>
      </c>
      <c r="AJ351" s="1075">
        <f>SUMIF(Meal_entry_week_2!G$434:G$445,"Other_processed_foods",Meal_entry_week_2!T$434:T$445)</f>
        <v>0</v>
      </c>
      <c r="AK351" s="1075">
        <f>SUMIF(Meal_entry_week_2!G$434:G$445,"Sweetened_drinks_teas_coffee",Meal_entry_week_2!T$434:T$445)</f>
        <v>14.1</v>
      </c>
      <c r="AL351" s="1075">
        <f>SUMIF(Meal_entry_week_2!G$434:G$445,"Fruit_juices_water",Meal_entry_week_2!T$434:T$445)</f>
        <v>0</v>
      </c>
      <c r="AM351" s="1070">
        <f>70-SUM(W351:AL351)</f>
        <v>42.576708627450984</v>
      </c>
      <c r="AN351" s="1302">
        <f>SUMIF(Meal_entry_week_2!G$434:G$445,"Vegetables_mushrooms_fresh_frozen",Meal_entry_week_2!AU$434:AU$445)</f>
        <v>0</v>
      </c>
    </row>
    <row r="352" spans="1:40">
      <c r="A352" s="1066"/>
      <c r="B352" s="956" t="s">
        <v>3559</v>
      </c>
      <c r="C352" s="945"/>
      <c r="D352" s="1269" t="s">
        <v>3140</v>
      </c>
      <c r="E352" s="1083" t="s">
        <v>3069</v>
      </c>
      <c r="F352" s="1083" t="s">
        <v>3077</v>
      </c>
      <c r="G352" s="1083" t="s">
        <v>3073</v>
      </c>
      <c r="H352" s="1083" t="s">
        <v>3070</v>
      </c>
      <c r="I352" s="913" t="s">
        <v>3575</v>
      </c>
      <c r="J352" s="913" t="s">
        <v>3072</v>
      </c>
      <c r="K352" s="1083" t="s">
        <v>3085</v>
      </c>
      <c r="L352" s="1083" t="s">
        <v>3075</v>
      </c>
      <c r="M352" s="1083" t="s">
        <v>3141</v>
      </c>
      <c r="N352" s="1083" t="s">
        <v>3550</v>
      </c>
      <c r="O352" s="1083" t="s">
        <v>3078</v>
      </c>
      <c r="P352" s="1083" t="s">
        <v>3551</v>
      </c>
      <c r="Q352" s="1083" t="s">
        <v>3082</v>
      </c>
      <c r="R352" s="1083" t="s">
        <v>3083</v>
      </c>
      <c r="S352" s="1083" t="s">
        <v>3084</v>
      </c>
      <c r="T352" s="1068"/>
      <c r="U352" s="406" t="s">
        <v>3140</v>
      </c>
      <c r="V352" s="956" t="s">
        <v>3559</v>
      </c>
      <c r="W352" s="1269" t="s">
        <v>3140</v>
      </c>
      <c r="X352" s="1083" t="s">
        <v>3069</v>
      </c>
      <c r="Y352" s="1083" t="s">
        <v>3077</v>
      </c>
      <c r="Z352" s="1083" t="s">
        <v>3073</v>
      </c>
      <c r="AA352" s="1083" t="s">
        <v>3070</v>
      </c>
      <c r="AB352" s="913" t="s">
        <v>3575</v>
      </c>
      <c r="AC352" s="913" t="s">
        <v>3072</v>
      </c>
      <c r="AD352" s="1083" t="s">
        <v>3085</v>
      </c>
      <c r="AE352" s="1083" t="s">
        <v>3075</v>
      </c>
      <c r="AF352" s="1083" t="s">
        <v>3141</v>
      </c>
      <c r="AG352" s="1083" t="s">
        <v>3550</v>
      </c>
      <c r="AH352" s="1083" t="s">
        <v>3078</v>
      </c>
      <c r="AI352" s="1083" t="s">
        <v>3551</v>
      </c>
      <c r="AJ352" s="1083" t="s">
        <v>3082</v>
      </c>
      <c r="AK352" s="1083" t="s">
        <v>3083</v>
      </c>
      <c r="AL352" s="1083" t="s">
        <v>3084</v>
      </c>
      <c r="AM352" s="1068"/>
      <c r="AN352" s="406" t="s">
        <v>3140</v>
      </c>
    </row>
    <row r="353" spans="1:40">
      <c r="A353" s="1066"/>
      <c r="B353" s="956" t="s">
        <v>3064</v>
      </c>
      <c r="C353" s="945"/>
      <c r="D353" s="1069">
        <f>SUMIF(Meal_entry_week_1!G$57:G$81,"Vegetables_mushrooms_fresh_frozen",Meal_entry_week_1!T$57:T$81)</f>
        <v>39.200000000000003</v>
      </c>
      <c r="E353" s="1069">
        <f>SUMIF(Meal_entry_week_1!G$57:G$81,"Vegetables_processed",Meal_entry_week_1!T$57:T$81)</f>
        <v>0</v>
      </c>
      <c r="F353" s="1069">
        <f>SUMIF(Meal_entry_week_1!G$57:G$81,"Fruits_nuts_dried_fruit",Meal_entry_week_1!T$57:T$81)</f>
        <v>7.4249999999999998</v>
      </c>
      <c r="G353" s="1069">
        <f>SUMIF(Meal_entry_week_1!G$57:G$81,"Meat_fresh_frozen",Meal_entry_week_1!T$57:T$81)</f>
        <v>17.600000000000001</v>
      </c>
      <c r="H353" s="1069">
        <f>SUMIF(Meal_entry_week_1!G$57:G$81,"Meat_processed",Meal_entry_week_1!T$57:T$81)</f>
        <v>0</v>
      </c>
      <c r="I353" s="1069">
        <f>SUMIF(Meal_entry_week_1!G$57:G$81,"Fish_fresh_frozen",Meal_entry_week_1!T$57:T$81)+SUMIF(Meal_entry_week_1!G$57:G$81,"Fish_processed_canned",Meal_entry_week_1!T$57:T$81)</f>
        <v>0</v>
      </c>
      <c r="J353" s="1069">
        <f>SUMIF(Meal_entry_week_1!G$57:G$81,"Eggs",Meal_entry_week_1!T$57:T$81)</f>
        <v>5.5</v>
      </c>
      <c r="K353" s="1069">
        <f>SUMIF(Meal_entry_week_1!G$57:G$81,"Dairy_products",Meal_entry_week_1!T$57:T$81)</f>
        <v>0</v>
      </c>
      <c r="L353" s="1069">
        <f>SUMIF(Meal_entry_week_1!G$57:G$81,"Oil_butter_margarine",Meal_entry_week_1!T$57:T$81)</f>
        <v>1.9359999999999999</v>
      </c>
      <c r="M353" s="1069">
        <f>SUMIF(Meal_entry_week_1!G$57:G$81,"Flour_pasta_seeds_cereals",Meal_entry_week_1!T$57:T$81)</f>
        <v>0.64679999999999993</v>
      </c>
      <c r="N353" s="1069">
        <f>SUMIF(Meal_entry_week_1!G$57:G$81,"Sauces_purees_dressings",Meal_entry_week_1!T$57:T$81)+SUMIF(Meal_entry_week_1!G$57:G$81,"Spices_seasonings",Meal_entry_week_1!T$57:T$81)</f>
        <v>1.8336000000000001</v>
      </c>
      <c r="O353" s="1069">
        <f>SUMIF(Meal_entry_week_1!G$57:G$81,"Sweet_foods_cakes",Meal_entry_week_1!T$57:T$81)</f>
        <v>0</v>
      </c>
      <c r="P353" s="1069">
        <f>SUMIF(Meal_entry_week_1!G$57:G$81,"Bread_and_pastries",Meal_entry_week_1!T$57:T$81)+SUMIF(Meal_entry_week_1!G$57:G$81,"Savoury_pastries",Meal_entry_week_1!T$57:T$81)+SUMIF(Meal_entry_week_1!G$57:G$81,"Sweet_pastries",Meal_entry_week_1!T$57:T$81)</f>
        <v>5.28</v>
      </c>
      <c r="Q353" s="1069">
        <f>SUMIF(Meal_entry_week_1!G$57:G$81,"Other_processed_foods",Meal_entry_week_1!T$57:T$81)</f>
        <v>0</v>
      </c>
      <c r="R353" s="1069">
        <f>SUMIF(Meal_entry_week_1!G$57:G$81,"Sweetened_drinks_teas_coffee",Meal_entry_week_1!T$57:T$81)</f>
        <v>0</v>
      </c>
      <c r="S353" s="1069">
        <f>SUMIF(Meal_entry_week_1!G$57:G$81,"Fruit_juices_water",Meal_entry_week_1!T$57:T$81)</f>
        <v>0</v>
      </c>
      <c r="T353" s="1070">
        <f>152-SUM(D353:S353)</f>
        <v>72.578599999999994</v>
      </c>
      <c r="U353" s="407">
        <f>SUMIF(Meal_entry_week_1!G$57:G$81,"Vegetables_mushrooms_fresh_frozen",Meal_entry_week_1!AU$57:AU$81)</f>
        <v>39.200000000000003</v>
      </c>
      <c r="V353" s="956" t="s">
        <v>3064</v>
      </c>
      <c r="W353" s="1069">
        <f>SUMIF(Meal_entry_week_2!G$57:G$81,"Vegetables_mushrooms_fresh_frozen",Meal_entry_week_2!T$57:T$81)</f>
        <v>29</v>
      </c>
      <c r="X353" s="1069">
        <f>SUMIF(Meal_entry_week_2!G$57:G$81,"Vegetables_processed",Meal_entry_week_2!T$57:T$81)</f>
        <v>0</v>
      </c>
      <c r="Y353" s="1069">
        <f>SUMIF(Meal_entry_week_2!G$57:G$81,"Fruits_nuts_dried_fruit",Meal_entry_week_2!T$57:T$81)</f>
        <v>5.94</v>
      </c>
      <c r="Z353" s="1069">
        <f>SUMIF(Meal_entry_week_2!G$57:G$81,"Meat_fresh_frozen",Meal_entry_week_2!T$57:T$81)</f>
        <v>17.600000000000001</v>
      </c>
      <c r="AA353" s="1069">
        <f>SUMIF(Meal_entry_week_2!G$57:G$81,"Meat_processed",Meal_entry_week_2!T$57:T$81)</f>
        <v>0</v>
      </c>
      <c r="AB353" s="1069">
        <f>SUMIF(Meal_entry_week_2!G$57:G$81,"Fish_fresh_frozen",Meal_entry_week_2!T$57:T$81)+SUMIF(Meal_entry_week_2!G$57:G$81,"Fish_processed_canned",Meal_entry_week_2!T$57:T$81)</f>
        <v>0</v>
      </c>
      <c r="AC353" s="1069">
        <f>SUMIF(Meal_entry_week_2!G$57:G$81,"Eggs",Meal_entry_week_2!T$57:T$81)</f>
        <v>3.666666666666667</v>
      </c>
      <c r="AD353" s="1069">
        <f>SUMIF(Meal_entry_week_2!G$57:G$81,"Dairy_products",Meal_entry_week_2!T$57:T$81)</f>
        <v>4.5650000000000004</v>
      </c>
      <c r="AE353" s="1069">
        <f>SUMIF(Meal_entry_week_2!G$57:G$81,"Oil_butter_margarine",Meal_entry_week_2!T$57:T$81)</f>
        <v>8.6059999999999999</v>
      </c>
      <c r="AF353" s="1069">
        <f>SUMIF(Meal_entry_week_2!G$57:G$81,"Flour_pasta_seeds_cereals",Meal_entry_week_2!T$57:T$81)</f>
        <v>0.43119999999999997</v>
      </c>
      <c r="AG353" s="1069">
        <f>SUMIF(Meal_entry_week_2!G$57:G$81,"Sauces_purees_dressings",Meal_entry_week_2!T$57:T$81)+SUMIF(Meal_entry_week_2!G$57:G$81,"Spices_seasonings",Meal_entry_week_2!T$57:T$81)</f>
        <v>2.8207418181818182</v>
      </c>
      <c r="AH353" s="1069">
        <f>SUMIF(Meal_entry_week_2!G$57:G$81,"Sweet_foods_cakes",Meal_entry_week_2!T$57:T$81)</f>
        <v>0</v>
      </c>
      <c r="AI353" s="1069">
        <f>SUMIF(Meal_entry_week_2!G$57:G$81,"Bread_and_pastries",Meal_entry_week_2!T$57:T$81)+SUMIF(Meal_entry_week_2!G$57:G$81,"Savoury_pastries",Meal_entry_week_2!T$57:T$81)+SUMIF(Meal_entry_week_2!G$57:G$81,"Sweet_pastries",Meal_entry_week_2!T$57:T$81)</f>
        <v>3.5200000000000005</v>
      </c>
      <c r="AJ353" s="1069">
        <f>SUMIF(Meal_entry_week_2!G$57:G$81,"Other_processed_foods",Meal_entry_week_2!T$57:T$81)</f>
        <v>0</v>
      </c>
      <c r="AK353" s="1069">
        <f>SUMIF(Meal_entry_week_2!G$57:G$81,"Sweetened_drinks_teas_coffee",Meal_entry_week_2!T$57:T$81)</f>
        <v>0</v>
      </c>
      <c r="AL353" s="1069">
        <f>SUMIF(Meal_entry_week_2!G$57:G$81,"Fruit_juices_water",Meal_entry_week_2!T$57:T$81)</f>
        <v>0</v>
      </c>
      <c r="AM353" s="1070">
        <f>152-SUM(W353:AL353)</f>
        <v>75.850391515151529</v>
      </c>
      <c r="AN353" s="407">
        <f>SUMIF(Meal_entry_week_2!G$57:G$81,"Vegetables_mushrooms_fresh_frozen",Meal_entry_week_2!AU$57:AU$81)</f>
        <v>29</v>
      </c>
    </row>
    <row r="354" spans="1:40">
      <c r="A354" s="1066"/>
      <c r="B354" s="956" t="s">
        <v>3065</v>
      </c>
      <c r="C354" s="945"/>
      <c r="D354" s="1069">
        <f>SUMIF(Meal_entry_week_1!G$156:G$180,"Vegetables_mushrooms_fresh_frozen",Meal_entry_week_1!T$156:T$180)</f>
        <v>7.5</v>
      </c>
      <c r="E354" s="1069">
        <f>SUMIF(Meal_entry_week_1!G$156:G$180,"Vegetables_processed",Meal_entry_week_1!T$156:T$180)</f>
        <v>0</v>
      </c>
      <c r="F354" s="1069">
        <f>SUMIF(Meal_entry_week_1!G$156:G$180,"Fruits_nuts_dried_fruit",Meal_entry_week_1!T$156:T$180)</f>
        <v>7.4249999999999998</v>
      </c>
      <c r="G354" s="1069">
        <f>SUMIF(Meal_entry_week_1!G$156:G$180,"Meat_fresh_frozen",Meal_entry_week_1!T$156:T$180)</f>
        <v>16.5</v>
      </c>
      <c r="H354" s="1069">
        <f>SUMIF(Meal_entry_week_1!G$156:G$180,"Meat_processed",Meal_entry_week_1!T$156:T$180)</f>
        <v>0</v>
      </c>
      <c r="I354" s="1069">
        <f>SUMIF(Meal_entry_week_1!G$156:G$180,"Fish_fresh_frozen",Meal_entry_week_1!T$156:T$180)+SUMIF(Meal_entry_week_1!G$156:G$180,"Fish_processed_canned",Meal_entry_week_1!T$156:T$180)</f>
        <v>0</v>
      </c>
      <c r="J354" s="1069">
        <f>SUMIF(Meal_entry_week_1!G$156:G$180,"Eggs",Meal_entry_week_1!T$156:T$180)</f>
        <v>5.5</v>
      </c>
      <c r="K354" s="1069">
        <f>SUMIF(Meal_entry_week_1!G$156:G$180,"Dairy_products",Meal_entry_week_1!T$156:T$180)</f>
        <v>0</v>
      </c>
      <c r="L354" s="1069">
        <f>SUMIF(Meal_entry_week_1!G$156:G$180,"Oil_butter_margarine",Meal_entry_week_1!T$156:T$180)</f>
        <v>1.694</v>
      </c>
      <c r="M354" s="1069">
        <f>SUMIF(Meal_entry_week_1!G$156:G$180,"Flour_pasta_seeds_cereals",Meal_entry_week_1!T$156:T$180)</f>
        <v>22.6068</v>
      </c>
      <c r="N354" s="1069">
        <f>SUMIF(Meal_entry_week_1!G$156:G$180,"Sauces_purees_dressings",Meal_entry_week_1!T$156:T$180)+SUMIF(Meal_entry_week_1!G$156:G$180,"Spices_seasonings",Meal_entry_week_1!T$156:T$180)</f>
        <v>7.9351854545454543</v>
      </c>
      <c r="O354" s="1069">
        <f>SUMIF(Meal_entry_week_1!G$156:G$180,"Sweet_foods_cakes",Meal_entry_week_1!T$156:T$180)</f>
        <v>0</v>
      </c>
      <c r="P354" s="1069">
        <f>SUMIF(Meal_entry_week_1!G$156:G$180,"Bread_and_pastries",Meal_entry_week_1!T$156:T$180)+SUMIF(Meal_entry_week_1!G$156:G$180,"Savoury_pastries",Meal_entry_week_1!T$156:T$180)+SUMIF(Meal_entry_week_1!G$156:G$180,"Sweet_pastries",Meal_entry_week_1!T$156:T$180)</f>
        <v>5.28</v>
      </c>
      <c r="Q354" s="1069">
        <f>SUMIF(Meal_entry_week_1!G$156:G$180,"Other_processed_foods",Meal_entry_week_1!T$156:T$180)</f>
        <v>0</v>
      </c>
      <c r="R354" s="1069">
        <f>SUMIF(Meal_entry_week_1!G$156:G$180,"Sweetened_drinks_teas_coffee",Meal_entry_week_1!T$156:T$180)</f>
        <v>0</v>
      </c>
      <c r="S354" s="1069">
        <f>SUMIF(Meal_entry_week_1!G$156:G$180,"Fruit_juices_water",Meal_entry_week_1!T$156:T$180)</f>
        <v>0</v>
      </c>
      <c r="T354" s="1070">
        <f>152-SUM(D354:S354)</f>
        <v>77.559014545454545</v>
      </c>
      <c r="U354" s="407">
        <f>SUMIF(Meal_entry_week_1!G$156:G$180,"Vegetables_mushrooms_fresh_frozen",Meal_entry_week_1!AU$156:AU$180)</f>
        <v>7.5</v>
      </c>
      <c r="V354" s="956" t="s">
        <v>3065</v>
      </c>
      <c r="W354" s="1069">
        <f>SUMIF(Meal_entry_week_2!G$156:G$180,"Vegetables_mushrooms_fresh_frozen",Meal_entry_week_2!T$156:T$180)</f>
        <v>21.3</v>
      </c>
      <c r="X354" s="1069">
        <f>SUMIF(Meal_entry_week_2!G$156:G$180,"Vegetables_processed",Meal_entry_week_2!T$156:T$180)</f>
        <v>4.5257142857142858</v>
      </c>
      <c r="Y354" s="1069">
        <f>SUMIF(Meal_entry_week_2!G$156:G$180,"Fruits_nuts_dried_fruit",Meal_entry_week_2!T$156:T$180)</f>
        <v>7.4249999999999998</v>
      </c>
      <c r="Z354" s="1069">
        <f>SUMIF(Meal_entry_week_2!G$156:G$180,"Meat_fresh_frozen",Meal_entry_week_2!T$156:T$180)</f>
        <v>0</v>
      </c>
      <c r="AA354" s="1069">
        <f>SUMIF(Meal_entry_week_2!G$156:G$180,"Meat_processed",Meal_entry_week_2!T$156:T$180)</f>
        <v>0</v>
      </c>
      <c r="AB354" s="1069">
        <f>SUMIF(Meal_entry_week_2!G$156:G$180,"Fish_fresh_frozen",Meal_entry_week_2!T$156:T$180)+SUMIF(Meal_entry_week_2!G$156:G$180,"Fish_processed_canned",Meal_entry_week_2!T$156:T$180)</f>
        <v>0</v>
      </c>
      <c r="AC354" s="1069">
        <f>SUMIF(Meal_entry_week_2!G$156:G$180,"Eggs",Meal_entry_week_2!T$156:T$180)</f>
        <v>0</v>
      </c>
      <c r="AD354" s="1069">
        <f>SUMIF(Meal_entry_week_2!G$156:G$180,"Dairy_products",Meal_entry_week_2!T$156:T$180)</f>
        <v>11.7</v>
      </c>
      <c r="AE354" s="1069">
        <f>SUMIF(Meal_entry_week_2!G$156:G$180,"Oil_butter_margarine",Meal_entry_week_2!T$156:T$180)</f>
        <v>0.60499999999999998</v>
      </c>
      <c r="AF354" s="1069">
        <f>SUMIF(Meal_entry_week_2!G$156:G$180,"Flour_pasta_seeds_cereals",Meal_entry_week_2!T$156:T$180)</f>
        <v>20.88</v>
      </c>
      <c r="AG354" s="1069">
        <f>SUMIF(Meal_entry_week_2!G$156:G$180,"Sauces_purees_dressings",Meal_entry_week_2!T$156:T$180)+SUMIF(Meal_entry_week_2!G$156:G$180,"Spices_seasonings",Meal_entry_week_2!T$156:T$180)</f>
        <v>8.0640000000000003E-2</v>
      </c>
      <c r="AH354" s="1069">
        <f>SUMIF(Meal_entry_week_2!G$156:G$180,"Sweet_foods_cakes",Meal_entry_week_2!T$156:T$180)</f>
        <v>0</v>
      </c>
      <c r="AI354" s="1069">
        <f>SUMIF(Meal_entry_week_2!G$156:G$180,"Bread_and_pastries",Meal_entry_week_2!T$156:T$180)+SUMIF(Meal_entry_week_2!G$156:G$180,"Savoury_pastries",Meal_entry_week_2!T$156:T$180)+SUMIF(Meal_entry_week_2!G$156:G$180,"Sweet_pastries",Meal_entry_week_2!T$156:T$180)</f>
        <v>3.9319499999999996</v>
      </c>
      <c r="AJ354" s="1069">
        <f>SUMIF(Meal_entry_week_2!G$156:G$180,"Other_processed_foods",Meal_entry_week_2!T$156:T$180)</f>
        <v>0</v>
      </c>
      <c r="AK354" s="1069">
        <f>SUMIF(Meal_entry_week_2!G$156:G$180,"Sweetened_drinks_teas_coffee",Meal_entry_week_2!T$156:T$180)</f>
        <v>0</v>
      </c>
      <c r="AL354" s="1069">
        <f>SUMIF(Meal_entry_week_2!G$156:G$180,"Fruit_juices_water",Meal_entry_week_2!T$156:T$180)</f>
        <v>0</v>
      </c>
      <c r="AM354" s="1070">
        <f>152-SUM(W354:AL354)</f>
        <v>81.551695714285714</v>
      </c>
      <c r="AN354" s="407">
        <f>SUMIF(Meal_entry_week_2!G$156:G$180,"Vegetables_mushrooms_fresh_frozen",Meal_entry_week_2!AU$156:AU$180)</f>
        <v>21.3</v>
      </c>
    </row>
    <row r="355" spans="1:40">
      <c r="A355" s="1066"/>
      <c r="B355" s="956" t="s">
        <v>3066</v>
      </c>
      <c r="C355" s="945"/>
      <c r="D355" s="1069">
        <f>SUMIF(Meal_entry_week_1!G$255:G$279,"Vegetables_mushrooms_fresh_frozen",Meal_entry_week_1!T$255:T$279)</f>
        <v>34.808571428571426</v>
      </c>
      <c r="E355" s="1069">
        <f>SUMIF(Meal_entry_week_1!G$255:G$279,"Vegetables_processed",Meal_entry_week_1!T$255:T$279)</f>
        <v>0</v>
      </c>
      <c r="F355" s="1069">
        <f>SUMIF(Meal_entry_week_1!G$255:G$279,"Fruits_nuts_dried_fruit",Meal_entry_week_1!T$255:T$279)</f>
        <v>7.4249999999999998</v>
      </c>
      <c r="G355" s="1069">
        <f>SUMIF(Meal_entry_week_1!G$255:G$279,"Meat_fresh_frozen",Meal_entry_week_1!T$255:T$279)</f>
        <v>0</v>
      </c>
      <c r="H355" s="1069">
        <f>SUMIF(Meal_entry_week_1!G$255:G$279,"Meat_processed",Meal_entry_week_1!T$255:T$279)</f>
        <v>18.600000000000001</v>
      </c>
      <c r="I355" s="1069">
        <f>SUMIF(Meal_entry_week_1!G$255:G$279,"Fish_fresh_frozen",Meal_entry_week_1!T$255:T$279)+SUMIF(Meal_entry_week_1!G$255:G$279,"Fish_processed_canned",Meal_entry_week_1!T$255:T$279)</f>
        <v>0</v>
      </c>
      <c r="J355" s="1069">
        <f>SUMIF(Meal_entry_week_1!G$255:G$279,"Eggs",Meal_entry_week_1!T$255:T$279)</f>
        <v>0</v>
      </c>
      <c r="K355" s="1069">
        <f>SUMIF(Meal_entry_week_1!G$255:G$279,"Dairy_products",Meal_entry_week_1!T$255:T$279)</f>
        <v>4.0457142857142854</v>
      </c>
      <c r="L355" s="1069">
        <f>SUMIF(Meal_entry_week_1!G$255:G$279,"Oil_butter_margarine",Meal_entry_week_1!T$255:T$279)</f>
        <v>1.21</v>
      </c>
      <c r="M355" s="1069">
        <f>SUMIF(Meal_entry_week_1!G$255:G$279,"Flour_pasta_seeds_cereals",Meal_entry_week_1!T$255:T$279)</f>
        <v>0.43119999999999997</v>
      </c>
      <c r="N355" s="1069">
        <f>SUMIF(Meal_entry_week_1!G$255:G$279,"Sauces_purees_dressings",Meal_entry_week_1!T$255:T$279)+SUMIF(Meal_entry_week_1!G$255:G$279,"Spices_seasonings",Meal_entry_week_1!T$255:T$279)</f>
        <v>1.6800000000000002E-2</v>
      </c>
      <c r="O355" s="1069">
        <f>SUMIF(Meal_entry_week_1!G$255:G$279,"Sweet_foods_cakes",Meal_entry_week_1!T$255:T$279)</f>
        <v>0</v>
      </c>
      <c r="P355" s="1069">
        <f>SUMIF(Meal_entry_week_1!G$255:G$279,"Bread_and_pastries",Meal_entry_week_1!T$255:T$279)+SUMIF(Meal_entry_week_1!G$255:G$279,"Savoury_pastries",Meal_entry_week_1!T$255:T$279)+SUMIF(Meal_entry_week_1!G$255:G$279,"Sweet_pastries",Meal_entry_week_1!T$255:T$279)</f>
        <v>5.28</v>
      </c>
      <c r="Q355" s="1069">
        <f>SUMIF(Meal_entry_week_1!G$255:G$279,"Other_processed_foods",Meal_entry_week_1!T$255:T$279)</f>
        <v>0</v>
      </c>
      <c r="R355" s="1069">
        <f>SUMIF(Meal_entry_week_1!G$255:G$279,"Sweetened_drinks_teas_coffee",Meal_entry_week_1!T$255:T$279)</f>
        <v>0</v>
      </c>
      <c r="S355" s="1069">
        <f>SUMIF(Meal_entry_week_1!G$255:G$279,"Fruit_juices_water",Meal_entry_week_1!T$255:T$279)</f>
        <v>0</v>
      </c>
      <c r="T355" s="1070">
        <f>152-SUM(D355:S355)</f>
        <v>80.182714285714283</v>
      </c>
      <c r="U355" s="407">
        <f>SUMIF(Meal_entry_week_1!G$255:G$279,"Vegetables_mushrooms_fresh_frozen",Meal_entry_week_1!AU$255:AU$279)</f>
        <v>34.808571428571426</v>
      </c>
      <c r="V355" s="956" t="s">
        <v>3066</v>
      </c>
      <c r="W355" s="1069">
        <f>SUMIF(Meal_entry_week_2!G$255:G$279,"Vegetables_mushrooms_fresh_frozen",Meal_entry_week_2!T$255:T$279)</f>
        <v>39.400000000000006</v>
      </c>
      <c r="X355" s="1069">
        <f>SUMIF(Meal_entry_week_2!G$255:G$279,"Vegetables_processed",Meal_entry_week_2!T$255:T$279)</f>
        <v>0</v>
      </c>
      <c r="Y355" s="1069">
        <f>SUMIF(Meal_entry_week_2!G$255:G$279,"Fruits_nuts_dried_fruit",Meal_entry_week_2!T$255:T$279)</f>
        <v>2.4750000000000001</v>
      </c>
      <c r="Z355" s="1069">
        <f>SUMIF(Meal_entry_week_2!G$255:G$279,"Meat_fresh_frozen",Meal_entry_week_2!T$255:T$279)</f>
        <v>0</v>
      </c>
      <c r="AA355" s="1069">
        <f>SUMIF(Meal_entry_week_2!G$255:G$279,"Meat_processed",Meal_entry_week_2!T$255:T$279)</f>
        <v>11.16</v>
      </c>
      <c r="AB355" s="1069">
        <f>SUMIF(Meal_entry_week_2!G$255:G$279,"Fish_fresh_frozen",Meal_entry_week_2!T$255:T$279)+SUMIF(Meal_entry_week_2!G$255:G$279,"Fish_processed_canned",Meal_entry_week_2!T$255:T$279)</f>
        <v>0</v>
      </c>
      <c r="AC355" s="1069">
        <f>SUMIF(Meal_entry_week_2!G$255:G$279,"Eggs",Meal_entry_week_2!T$255:T$279)</f>
        <v>0.91666666666666674</v>
      </c>
      <c r="AD355" s="1069">
        <f>SUMIF(Meal_entry_week_2!G$255:G$279,"Dairy_products",Meal_entry_week_2!T$255:T$279)</f>
        <v>0.73039999999999994</v>
      </c>
      <c r="AE355" s="1069">
        <f>SUMIF(Meal_entry_week_2!G$255:G$279,"Oil_butter_margarine",Meal_entry_week_2!T$255:T$279)</f>
        <v>2.3957999999999999</v>
      </c>
      <c r="AF355" s="1069">
        <f>SUMIF(Meal_entry_week_2!G$255:G$279,"Flour_pasta_seeds_cereals",Meal_entry_week_2!T$255:T$279)</f>
        <v>0.77615999999999996</v>
      </c>
      <c r="AG355" s="1069">
        <f>SUMIF(Meal_entry_week_2!G$255:G$279,"Sauces_purees_dressings",Meal_entry_week_2!T$255:T$279)+SUMIF(Meal_entry_week_2!G$255:G$279,"Spices_seasonings",Meal_entry_week_2!T$255:T$279)</f>
        <v>0.37290000000000001</v>
      </c>
      <c r="AH355" s="1069">
        <f>SUMIF(Meal_entry_week_2!G$255:G$279,"Sweet_foods_cakes",Meal_entry_week_2!T$255:T$279)</f>
        <v>1.1215600000000001</v>
      </c>
      <c r="AI355" s="1069">
        <f>SUMIF(Meal_entry_week_2!G$255:G$279,"Bread_and_pastries",Meal_entry_week_2!T$255:T$279)+SUMIF(Meal_entry_week_2!G$255:G$279,"Savoury_pastries",Meal_entry_week_2!T$255:T$279)+SUMIF(Meal_entry_week_2!G$255:G$279,"Sweet_pastries",Meal_entry_week_2!T$255:T$279)</f>
        <v>5.6319999999999997</v>
      </c>
      <c r="AJ355" s="1069">
        <f>SUMIF(Meal_entry_week_2!G$255:G$279,"Other_processed_foods",Meal_entry_week_2!T$255:T$279)</f>
        <v>0</v>
      </c>
      <c r="AK355" s="1069">
        <f>SUMIF(Meal_entry_week_2!G$255:G$279,"Sweetened_drinks_teas_coffee",Meal_entry_week_2!T$255:T$279)</f>
        <v>0</v>
      </c>
      <c r="AL355" s="1069">
        <f>SUMIF(Meal_entry_week_2!G$255:G$279,"Fruit_juices_water",Meal_entry_week_2!T$255:T$279)</f>
        <v>0</v>
      </c>
      <c r="AM355" s="1070">
        <f>152-SUM(W355:AL355)</f>
        <v>87.019513333333322</v>
      </c>
      <c r="AN355" s="407">
        <f>SUMIF(Meal_entry_week_2!G$255:G$279,"Vegetables_mushrooms_fresh_frozen",Meal_entry_week_2!AU$255:AU$279)</f>
        <v>39.400000000000006</v>
      </c>
    </row>
    <row r="356" spans="1:40">
      <c r="A356" s="1066"/>
      <c r="B356" s="956" t="s">
        <v>3067</v>
      </c>
      <c r="C356" s="945"/>
      <c r="D356" s="1069">
        <f>SUMIF(Meal_entry_week_1!G$354:G$378,"Vegetables_mushrooms_fresh_frozen",Meal_entry_week_1!T$354:T$378)</f>
        <v>27.97</v>
      </c>
      <c r="E356" s="1069">
        <f>SUMIF(Meal_entry_week_1!G$354:G$378,"Vegetables_processed",Meal_entry_week_1!T$354:T$378)</f>
        <v>5.0609999999999999</v>
      </c>
      <c r="F356" s="1069">
        <f>SUMIF(Meal_entry_week_1!G$354:G$378,"Fruits_nuts_dried_fruit",Meal_entry_week_1!T$354:T$378)</f>
        <v>5.94</v>
      </c>
      <c r="G356" s="1069">
        <f>SUMIF(Meal_entry_week_1!G$354:G$378,"Meat_fresh_frozen",Meal_entry_week_1!T$354:T$378)</f>
        <v>17.600000000000001</v>
      </c>
      <c r="H356" s="1069">
        <f>SUMIF(Meal_entry_week_1!G$354:G$378,"Meat_processed",Meal_entry_week_1!T$354:T$378)</f>
        <v>0</v>
      </c>
      <c r="I356" s="1069">
        <f>SUMIF(Meal_entry_week_1!G$354:G$378,"Fish_fresh_frozen",Meal_entry_week_1!T$354:T$378)+SUMIF(Meal_entry_week_1!G$354:G$378,"Fish_processed_canned",Meal_entry_week_1!T$354:T$378)</f>
        <v>0</v>
      </c>
      <c r="J356" s="1069">
        <f>SUMIF(Meal_entry_week_1!G$354:G$378,"Eggs",Meal_entry_week_1!T$354:T$378)</f>
        <v>2.75</v>
      </c>
      <c r="K356" s="1069">
        <f>SUMIF(Meal_entry_week_1!G$354:G$378,"Dairy_products",Meal_entry_week_1!T$354:T$378)</f>
        <v>3.6520000000000001</v>
      </c>
      <c r="L356" s="1069">
        <f>SUMIF(Meal_entry_week_1!G$354:G$378,"Oil_butter_margarine",Meal_entry_week_1!T$354:T$378)</f>
        <v>3.9748000000000001</v>
      </c>
      <c r="M356" s="1069">
        <f>SUMIF(Meal_entry_week_1!G$354:G$378,"Flour_pasta_seeds_cereals",Meal_entry_week_1!T$354:T$378)</f>
        <v>1.7996000000000001</v>
      </c>
      <c r="N356" s="1069">
        <f>SUMIF(Meal_entry_week_1!G$354:G$378,"Sauces_purees_dressings",Meal_entry_week_1!T$354:T$378)+SUMIF(Meal_entry_week_1!G$354:G$378,"Spices_seasonings",Meal_entry_week_1!T$354:T$378)</f>
        <v>2.6249018181818182</v>
      </c>
      <c r="O356" s="1069">
        <f>SUMIF(Meal_entry_week_1!G$354:G$378,"Sweet_foods_cakes",Meal_entry_week_1!T$354:T$378)</f>
        <v>0</v>
      </c>
      <c r="P356" s="1069">
        <f>SUMIF(Meal_entry_week_1!G$354:G$378,"Bread_and_pastries",Meal_entry_week_1!T$354:T$378)+SUMIF(Meal_entry_week_1!G$354:G$378,"Savoury_pastries",Meal_entry_week_1!T$354:T$378)+SUMIF(Meal_entry_week_1!G$354:G$378,"Sweet_pastries",Meal_entry_week_1!T$354:T$378)</f>
        <v>5.28</v>
      </c>
      <c r="Q356" s="1069">
        <f>SUMIF(Meal_entry_week_1!G$354:G$378,"Other_processed_foods",Meal_entry_week_1!T$354:T$378)</f>
        <v>0</v>
      </c>
      <c r="R356" s="1069">
        <f>SUMIF(Meal_entry_week_1!G$354:G$378,"Sweetened_drinks_teas_coffee",Meal_entry_week_1!T$354:T$378)</f>
        <v>0</v>
      </c>
      <c r="S356" s="1069">
        <f>SUMIF(Meal_entry_week_1!G$354:G$378,"Fruit_juices_water",Meal_entry_week_1!T$354:T$378)</f>
        <v>0</v>
      </c>
      <c r="T356" s="1070">
        <f>152-SUM(D356:S356)</f>
        <v>75.347698181818188</v>
      </c>
      <c r="U356" s="407">
        <f>SUMIF(Meal_entry_week_1!G$354:G$378,"Vegetables_mushrooms_fresh_frozen",Meal_entry_week_1!AU$354:AU$378)</f>
        <v>27.97</v>
      </c>
      <c r="V356" s="956" t="s">
        <v>3067</v>
      </c>
      <c r="W356" s="1069">
        <f>SUMIF(Meal_entry_week_2!G$354:G$378,"Vegetables_mushrooms_fresh_frozen",Meal_entry_week_2!T$354:T$378)</f>
        <v>34.096428571428575</v>
      </c>
      <c r="X356" s="1069">
        <f>SUMIF(Meal_entry_week_2!G$354:G$378,"Vegetables_processed",Meal_entry_week_2!T$354:T$378)</f>
        <v>0</v>
      </c>
      <c r="Y356" s="1069">
        <f>SUMIF(Meal_entry_week_2!G$354:G$378,"Fruits_nuts_dried_fruit",Meal_entry_week_2!T$354:T$378)</f>
        <v>7.4249999999999998</v>
      </c>
      <c r="Z356" s="1069">
        <f>SUMIF(Meal_entry_week_2!G$354:G$378,"Meat_fresh_frozen",Meal_entry_week_2!T$354:T$378)</f>
        <v>17.600000000000001</v>
      </c>
      <c r="AA356" s="1069">
        <f>SUMIF(Meal_entry_week_2!G$354:G$378,"Meat_processed",Meal_entry_week_2!T$354:T$378)</f>
        <v>0</v>
      </c>
      <c r="AB356" s="1069">
        <f>SUMIF(Meal_entry_week_2!G$354:G$378,"Fish_fresh_frozen",Meal_entry_week_2!T$354:T$378)+SUMIF(Meal_entry_week_2!G$354:G$378,"Fish_processed_canned",Meal_entry_week_2!T$354:T$378)</f>
        <v>0</v>
      </c>
      <c r="AC356" s="1069">
        <f>SUMIF(Meal_entry_week_2!G$354:G$378,"Eggs",Meal_entry_week_2!T$354:T$378)</f>
        <v>3.666666666666667</v>
      </c>
      <c r="AD356" s="1069">
        <f>SUMIF(Meal_entry_week_2!G$354:G$378,"Dairy_products",Meal_entry_week_2!T$354:T$378)</f>
        <v>1.8260000000000001</v>
      </c>
      <c r="AE356" s="1069">
        <f>SUMIF(Meal_entry_week_2!G$354:G$378,"Oil_butter_margarine",Meal_entry_week_2!T$354:T$378)</f>
        <v>2.9039999999999999</v>
      </c>
      <c r="AF356" s="1069">
        <f>SUMIF(Meal_entry_week_2!G$354:G$378,"Flour_pasta_seeds_cereals",Meal_entry_week_2!T$354:T$378)</f>
        <v>0.86239999999999994</v>
      </c>
      <c r="AG356" s="1069">
        <f>SUMIF(Meal_entry_week_2!G$354:G$378,"Sauces_purees_dressings",Meal_entry_week_2!T$354:T$378)+SUMIF(Meal_entry_week_2!G$354:G$378,"Spices_seasonings",Meal_entry_week_2!T$354:T$378)</f>
        <v>0.18542400000000001</v>
      </c>
      <c r="AH356" s="1069">
        <f>SUMIF(Meal_entry_week_2!G$354:G$378,"Sweet_foods_cakes",Meal_entry_week_2!T$354:T$378)</f>
        <v>0.33770000000000006</v>
      </c>
      <c r="AI356" s="1069">
        <f>SUMIF(Meal_entry_week_2!G$354:G$378,"Bread_and_pastries",Meal_entry_week_2!T$354:T$378)+SUMIF(Meal_entry_week_2!G$354:G$378,"Savoury_pastries",Meal_entry_week_2!T$354:T$378)+SUMIF(Meal_entry_week_2!G$354:G$378,"Sweet_pastries",Meal_entry_week_2!T$354:T$378)</f>
        <v>5.28</v>
      </c>
      <c r="AJ356" s="1069">
        <f>SUMIF(Meal_entry_week_2!G$354:G$378,"Other_processed_foods",Meal_entry_week_2!T$354:T$378)</f>
        <v>0</v>
      </c>
      <c r="AK356" s="1069">
        <f>SUMIF(Meal_entry_week_2!G$354:G$378,"Sweetened_drinks_teas_coffee",Meal_entry_week_2!T$354:T$378)</f>
        <v>0</v>
      </c>
      <c r="AL356" s="1069">
        <f>SUMIF(Meal_entry_week_2!G$354:G$378,"Fruit_juices_water",Meal_entry_week_2!T$354:T$378)</f>
        <v>0</v>
      </c>
      <c r="AM356" s="1070">
        <f>152-SUM(W356:AL356)</f>
        <v>77.816380761904782</v>
      </c>
      <c r="AN356" s="407">
        <f>SUMIF(Meal_entry_week_2!G$354:G$378,"Vegetables_mushrooms_fresh_frozen",Meal_entry_week_2!AU$354:AU$378)</f>
        <v>34.096428571428575</v>
      </c>
    </row>
    <row r="357" spans="1:40">
      <c r="A357" s="1066"/>
      <c r="B357" s="1074" t="s">
        <v>3068</v>
      </c>
      <c r="C357" s="945"/>
      <c r="D357" s="1075">
        <f>SUMIF(Meal_entry_week_1!G$453:G$477,"Vegetables_mushrooms_fresh_frozen",Meal_entry_week_1!T$453:T$477)</f>
        <v>24.11</v>
      </c>
      <c r="E357" s="1075">
        <f>SUMIF(Meal_entry_week_1!G$453:G$477,"Vegetables_processed",Meal_entry_week_1!T$453:T$477)</f>
        <v>0</v>
      </c>
      <c r="F357" s="1075">
        <f>SUMIF(Meal_entry_week_1!G$453:G$477,"Fruits_nuts_dried_fruit",Meal_entry_week_1!T$453:T$477)</f>
        <v>7.4249999999999998</v>
      </c>
      <c r="G357" s="1075">
        <f>SUMIF(Meal_entry_week_1!G$453:G$477,"Meat_fresh_frozen",Meal_entry_week_1!T$453:T$477)</f>
        <v>8.8000000000000007</v>
      </c>
      <c r="H357" s="1075">
        <f>SUMIF(Meal_entry_week_1!G$453:G$477,"Meat_processed",Meal_entry_week_1!T$453:T$477)</f>
        <v>0</v>
      </c>
      <c r="I357" s="1075">
        <f>SUMIF(Meal_entry_week_1!G$453:G$477,"Fish_fresh_frozen",Meal_entry_week_1!T$453:T$477)+SUMIF(Meal_entry_week_1!G$453:G$477,"Fish_processed_canned",Meal_entry_week_1!T$453:T$477)</f>
        <v>0</v>
      </c>
      <c r="J357" s="1075">
        <f>SUMIF(Meal_entry_week_1!G$453:G$477,"Eggs",Meal_entry_week_1!T$453:T$477)</f>
        <v>5.5</v>
      </c>
      <c r="K357" s="1075">
        <f>SUMIF(Meal_entry_week_1!G$453:G$477,"Dairy_products",Meal_entry_week_1!T$453:T$477)</f>
        <v>14.16</v>
      </c>
      <c r="L357" s="1075">
        <f>SUMIF(Meal_entry_week_1!G$453:G$477,"Oil_butter_margarine",Meal_entry_week_1!T$453:T$477)</f>
        <v>2.6098000000000003</v>
      </c>
      <c r="M357" s="1075">
        <f>SUMIF(Meal_entry_week_1!G$453:G$477,"Flour_pasta_seeds_cereals",Meal_entry_week_1!T$453:T$477)</f>
        <v>0.43119999999999997</v>
      </c>
      <c r="N357" s="1075">
        <f>SUMIF(Meal_entry_week_1!G$453:G$477,"Sauces_purees_dressings",Meal_entry_week_1!T$453:T$477)+SUMIF(Meal_entry_week_1!G$453:G$477,"Spices_seasonings",Meal_entry_week_1!T$453:T$477)</f>
        <v>1.5580800000000001</v>
      </c>
      <c r="O357" s="1075">
        <f>SUMIF(Meal_entry_week_1!G$453:G$477,"Sweet_foods_cakes",Meal_entry_week_1!T$453:T$477)</f>
        <v>0</v>
      </c>
      <c r="P357" s="1075">
        <f>SUMIF(Meal_entry_week_1!G$453:G$477,"Bread_and_pastries",Meal_entry_week_1!T$453:T$477)+SUMIF(Meal_entry_week_1!G$453:G$477,"Savoury_pastries",Meal_entry_week_1!T$453:T$477)+SUMIF(Meal_entry_week_1!G$453:G$477,"Sweet_pastries",Meal_entry_week_1!T$453:T$477)</f>
        <v>5.28</v>
      </c>
      <c r="Q357" s="1075">
        <f>SUMIF(Meal_entry_week_1!G$453:G$477,"Other_processed_foods",Meal_entry_week_1!T$453:T$477)</f>
        <v>0</v>
      </c>
      <c r="R357" s="1075">
        <f>SUMIF(Meal_entry_week_1!G$453:G$477,"Sweetened_drinks_teas_coffee",Meal_entry_week_1!T$453:T$477)</f>
        <v>0</v>
      </c>
      <c r="S357" s="1075">
        <f>SUMIF(Meal_entry_week_1!G$453:G$477,"Fruit_juices_water",Meal_entry_week_1!T$453:T$477)</f>
        <v>0</v>
      </c>
      <c r="T357" s="1070">
        <f>152-SUM(D357:S357)</f>
        <v>82.125919999999994</v>
      </c>
      <c r="U357" s="1302">
        <f>SUMIF(Meal_entry_week_1!G$453:G$477,"Vegetables_mushrooms_fresh_frozen",Meal_entry_week_1!AU$453:AU$477)</f>
        <v>24.11</v>
      </c>
      <c r="V357" s="1074" t="s">
        <v>3068</v>
      </c>
      <c r="W357" s="1075">
        <f>SUMIF(Meal_entry_week_2!G$453:G$477,"Vegetables_mushrooms_fresh_frozen",Meal_entry_week_2!T$453:T$477)</f>
        <v>8.0259999999999998</v>
      </c>
      <c r="X357" s="1075">
        <f>SUMIF(Meal_entry_week_2!G$453:G$477,"Vegetables_processed",Meal_entry_week_2!T$453:T$477)</f>
        <v>0</v>
      </c>
      <c r="Y357" s="1075">
        <f>SUMIF(Meal_entry_week_2!G$453:G$477,"Fruits_nuts_dried_fruit",Meal_entry_week_2!T$453:T$477)</f>
        <v>7.4249999999999998</v>
      </c>
      <c r="Z357" s="1075">
        <f>SUMIF(Meal_entry_week_2!G$453:G$477,"Meat_fresh_frozen",Meal_entry_week_2!T$453:T$477)</f>
        <v>22</v>
      </c>
      <c r="AA357" s="1075">
        <f>SUMIF(Meal_entry_week_2!G$453:G$477,"Meat_processed",Meal_entry_week_2!T$453:T$477)</f>
        <v>0</v>
      </c>
      <c r="AB357" s="1075">
        <f>SUMIF(Meal_entry_week_2!G$453:G$477,"Fish_fresh_frozen",Meal_entry_week_2!T$453:T$477)+SUMIF(Meal_entry_week_2!G$453:G$477,"Fish_processed_canned",Meal_entry_week_2!T$453:T$477)</f>
        <v>0</v>
      </c>
      <c r="AC357" s="1075">
        <f>SUMIF(Meal_entry_week_2!G$453:G$477,"Eggs",Meal_entry_week_2!T$453:T$477)</f>
        <v>3.666666666666667</v>
      </c>
      <c r="AD357" s="1075">
        <f>SUMIF(Meal_entry_week_2!G$453:G$477,"Dairy_products",Meal_entry_week_2!T$453:T$477)</f>
        <v>9.35</v>
      </c>
      <c r="AE357" s="1075">
        <f>SUMIF(Meal_entry_week_2!G$453:G$477,"Oil_butter_margarine",Meal_entry_week_2!T$453:T$477)</f>
        <v>2.0569999999999999</v>
      </c>
      <c r="AF357" s="1075">
        <f>SUMIF(Meal_entry_week_2!G$453:G$477,"Flour_pasta_seeds_cereals",Meal_entry_week_2!T$453:T$477)</f>
        <v>4.3911999999999995</v>
      </c>
      <c r="AG357" s="1075">
        <f>SUMIF(Meal_entry_week_2!G$453:G$477,"Sauces_purees_dressings",Meal_entry_week_2!T$453:T$477)+SUMIF(Meal_entry_week_2!G$453:G$477,"Spices_seasonings",Meal_entry_week_2!T$453:T$477)</f>
        <v>3.5545599999999999</v>
      </c>
      <c r="AH357" s="1075">
        <f>SUMIF(Meal_entry_week_2!G$453:G$477,"Sweet_foods_cakes",Meal_entry_week_2!T$453:T$477)</f>
        <v>0</v>
      </c>
      <c r="AI357" s="1075">
        <f>SUMIF(Meal_entry_week_2!G$453:G$477,"Bread_and_pastries",Meal_entry_week_2!T$453:T$477)+SUMIF(Meal_entry_week_2!G$453:G$477,"Savoury_pastries",Meal_entry_week_2!T$453:T$477)+SUMIF(Meal_entry_week_2!G$453:G$477,"Sweet_pastries",Meal_entry_week_2!T$453:T$477)</f>
        <v>5.28</v>
      </c>
      <c r="AJ357" s="1075">
        <f>SUMIF(Meal_entry_week_2!G$453:G$477,"Other_processed_foods",Meal_entry_week_2!T$453:T$477)</f>
        <v>0</v>
      </c>
      <c r="AK357" s="1075">
        <f>SUMIF(Meal_entry_week_2!G$453:G$477,"Sweetened_drinks_teas_coffee",Meal_entry_week_2!T$453:T$477)</f>
        <v>0</v>
      </c>
      <c r="AL357" s="1075">
        <f>SUMIF(Meal_entry_week_2!G$453:G$477,"Fruit_juices_water",Meal_entry_week_2!T$453:T$477)</f>
        <v>0</v>
      </c>
      <c r="AM357" s="1070">
        <f>152-SUM(W357:AL357)</f>
        <v>86.249573333333331</v>
      </c>
      <c r="AN357" s="1302">
        <f>SUMIF(Meal_entry_week_2!G$453:G$477,"Vegetables_mushrooms_fresh_frozen",Meal_entry_week_2!AU$453:AU$477)</f>
        <v>8.0259999999999998</v>
      </c>
    </row>
    <row r="358" spans="1:40">
      <c r="A358" s="1066"/>
      <c r="B358" s="956" t="s">
        <v>3558</v>
      </c>
      <c r="C358" s="945"/>
      <c r="D358" s="1269" t="s">
        <v>3140</v>
      </c>
      <c r="E358" s="1083" t="s">
        <v>3069</v>
      </c>
      <c r="F358" s="1083" t="s">
        <v>3077</v>
      </c>
      <c r="G358" s="1083" t="s">
        <v>3073</v>
      </c>
      <c r="H358" s="1083" t="s">
        <v>3070</v>
      </c>
      <c r="I358" s="913" t="s">
        <v>3575</v>
      </c>
      <c r="J358" s="913" t="s">
        <v>3072</v>
      </c>
      <c r="K358" s="1083" t="s">
        <v>3085</v>
      </c>
      <c r="L358" s="1083" t="s">
        <v>3075</v>
      </c>
      <c r="M358" s="1083" t="s">
        <v>3141</v>
      </c>
      <c r="N358" s="1083" t="s">
        <v>3550</v>
      </c>
      <c r="O358" s="1083" t="s">
        <v>3078</v>
      </c>
      <c r="P358" s="1083" t="s">
        <v>3551</v>
      </c>
      <c r="Q358" s="1083" t="s">
        <v>3082</v>
      </c>
      <c r="R358" s="1083" t="s">
        <v>3083</v>
      </c>
      <c r="S358" s="1083" t="s">
        <v>3084</v>
      </c>
      <c r="T358" s="1068"/>
      <c r="U358" s="406" t="s">
        <v>3140</v>
      </c>
      <c r="V358" s="956" t="s">
        <v>3558</v>
      </c>
      <c r="W358" s="1269" t="s">
        <v>3140</v>
      </c>
      <c r="X358" s="1083" t="s">
        <v>3069</v>
      </c>
      <c r="Y358" s="1083" t="s">
        <v>3077</v>
      </c>
      <c r="Z358" s="1083" t="s">
        <v>3073</v>
      </c>
      <c r="AA358" s="1083" t="s">
        <v>3070</v>
      </c>
      <c r="AB358" s="913" t="s">
        <v>3575</v>
      </c>
      <c r="AC358" s="913" t="s">
        <v>3072</v>
      </c>
      <c r="AD358" s="1083" t="s">
        <v>3085</v>
      </c>
      <c r="AE358" s="1083" t="s">
        <v>3075</v>
      </c>
      <c r="AF358" s="1083" t="s">
        <v>3141</v>
      </c>
      <c r="AG358" s="1083" t="s">
        <v>3550</v>
      </c>
      <c r="AH358" s="1083" t="s">
        <v>3078</v>
      </c>
      <c r="AI358" s="1083" t="s">
        <v>3551</v>
      </c>
      <c r="AJ358" s="1083" t="s">
        <v>3082</v>
      </c>
      <c r="AK358" s="1083" t="s">
        <v>3083</v>
      </c>
      <c r="AL358" s="1083" t="s">
        <v>3084</v>
      </c>
      <c r="AM358" s="1068"/>
      <c r="AN358" s="406" t="s">
        <v>3140</v>
      </c>
    </row>
    <row r="359" spans="1:40">
      <c r="A359" s="1066"/>
      <c r="B359" s="956" t="s">
        <v>3064</v>
      </c>
      <c r="C359" s="945"/>
      <c r="D359" s="1069">
        <f>SUMIF(Meal_entry_week_1!G$89:G$100,"Vegetables_mushrooms_fresh_frozen",Meal_entry_week_1!T$89:T$100)</f>
        <v>0</v>
      </c>
      <c r="E359" s="1069">
        <f>SUMIF(Meal_entry_week_1!G$89:G$100,"Vegetables_processed",Meal_entry_week_1!T$89:T$100)</f>
        <v>0</v>
      </c>
      <c r="F359" s="1069">
        <f>SUMIF(Meal_entry_week_1!G$89:G$100,"Fruits_nuts_dried_fruit",Meal_entry_week_1!T$89:T$100)</f>
        <v>0</v>
      </c>
      <c r="G359" s="1069">
        <f>SUMIF(Meal_entry_week_1!G$89:G$100,"Meat_fresh_frozen",Meal_entry_week_1!T$89:T$100)</f>
        <v>0</v>
      </c>
      <c r="H359" s="1069">
        <f>SUMIF(Meal_entry_week_1!G$89:G$100,"Meat_processed",Meal_entry_week_1!T$89:T$100)</f>
        <v>0</v>
      </c>
      <c r="I359" s="1069">
        <f>SUMIF(Meal_entry_week_1!G$89:G$100,"Fish_fresh_frozen",Meal_entry_week_1!T$89:T$100)+SUMIF(Meal_entry_week_1!G$89:G$100,"Fish_processed_canned",Meal_entry_week_1!T$89:T$100)</f>
        <v>0</v>
      </c>
      <c r="J359" s="1069">
        <f>SUMIF(Meal_entry_week_1!G$89:G$100,"Eggs",Meal_entry_week_1!T$89:T$100)</f>
        <v>0</v>
      </c>
      <c r="K359" s="1069">
        <f>SUMIF(Meal_entry_week_1!G$89:G$100,"Dairy_products",Meal_entry_week_1!T$89:T$100)</f>
        <v>0</v>
      </c>
      <c r="L359" s="1069">
        <f>SUMIF(Meal_entry_week_1!G$89:G$100,"Oil_butter_margarine",Meal_entry_week_1!T$89:T$100)</f>
        <v>0</v>
      </c>
      <c r="M359" s="1069">
        <f>SUMIF(Meal_entry_week_1!G$89:G$100,"Flour_pasta_seeds_cereals",Meal_entry_week_1!T$89:T$100)</f>
        <v>0</v>
      </c>
      <c r="N359" s="1069">
        <f>SUMIF(Meal_entry_week_1!G$89:G$100,"Sauces_purees_dressings",Meal_entry_week_1!T$89:T$100)+SUMIF(Meal_entry_week_1!G$89:G$100,"Spices_seasonings",Meal_entry_week_1!T$89:T$100)</f>
        <v>0</v>
      </c>
      <c r="O359" s="1069">
        <f>SUMIF(Meal_entry_week_1!G$89:G$100,"Sweet_foods_cakes",Meal_entry_week_1!T$89:T$100)</f>
        <v>0</v>
      </c>
      <c r="P359" s="1069">
        <f>SUMIF(Meal_entry_week_1!G$89:G$100,"Bread_and_pastries",Meal_entry_week_1!T$89:T$100)+SUMIF(Meal_entry_week_1!G$89:G$100,"Savoury_pastries",Meal_entry_week_1!T$89:T$100)+SUMIF(Meal_entry_week_1!G$89:G$100,"Sweet_pastries",Meal_entry_week_1!T$89:T$100)</f>
        <v>0</v>
      </c>
      <c r="Q359" s="1069">
        <f>SUMIF(Meal_entry_week_1!G$89:G$100,"Other_processed_foods",Meal_entry_week_1!T$89:T$100)</f>
        <v>0</v>
      </c>
      <c r="R359" s="1069">
        <f>SUMIF(Meal_entry_week_1!G$89:G$100,"Sweetened_drinks_teas_coffee",Meal_entry_week_1!T$89:T$100)</f>
        <v>0</v>
      </c>
      <c r="S359" s="1069">
        <f>SUMIF(Meal_entry_week_1!G$89:G$100,"Fruit_juices_water",Meal_entry_week_1!T$89:T$100)</f>
        <v>0</v>
      </c>
      <c r="T359" s="1070">
        <f>52-SUM(D359:S359)</f>
        <v>52</v>
      </c>
      <c r="U359" s="407">
        <f>SUMIF(Meal_entry_week_1!G$89:G$100,"Vegetables_mushrooms_fresh_frozen",Meal_entry_week_1!AU$89:AU$100)</f>
        <v>0</v>
      </c>
      <c r="V359" s="956" t="s">
        <v>3064</v>
      </c>
      <c r="W359" s="1069">
        <f>SUMIF(Meal_entry_week_2!G$89:G$100,"Vegetables_mushrooms_fresh_frozen",Meal_entry_week_2!T$89:T$100)</f>
        <v>0</v>
      </c>
      <c r="X359" s="1069">
        <f>SUMIF(Meal_entry_week_2!G$89:G$100,"Vegetables_processed",Meal_entry_week_2!T$89:T$100)</f>
        <v>0</v>
      </c>
      <c r="Y359" s="1069">
        <f>SUMIF(Meal_entry_week_2!G$89:G$100,"Fruits_nuts_dried_fruit",Meal_entry_week_2!T$89:T$100)</f>
        <v>0</v>
      </c>
      <c r="Z359" s="1069">
        <f>SUMIF(Meal_entry_week_2!G$89:G$100,"Meat_fresh_frozen",Meal_entry_week_2!T$89:T$100)</f>
        <v>0</v>
      </c>
      <c r="AA359" s="1069">
        <f>SUMIF(Meal_entry_week_2!G$89:G$100,"Meat_processed",Meal_entry_week_2!T$89:T$100)</f>
        <v>0</v>
      </c>
      <c r="AB359" s="1069">
        <f>SUMIF(Meal_entry_week_2!G$89:G$100,"Fish_fresh_frozen",Meal_entry_week_2!T$89:T$100)+SUMIF(Meal_entry_week_2!G$89:G$100,"Fish_processed_canned",Meal_entry_week_2!T$89:T$100)</f>
        <v>0</v>
      </c>
      <c r="AC359" s="1069">
        <f>SUMIF(Meal_entry_week_2!G$89:G$100,"Eggs",Meal_entry_week_2!T$89:T$100)</f>
        <v>0</v>
      </c>
      <c r="AD359" s="1069">
        <f>SUMIF(Meal_entry_week_2!G$89:G$100,"Dairy_products",Meal_entry_week_2!T$89:T$100)</f>
        <v>0</v>
      </c>
      <c r="AE359" s="1069">
        <f>SUMIF(Meal_entry_week_2!G$89:G$100,"Oil_butter_margarine",Meal_entry_week_2!T$89:T$100)</f>
        <v>0</v>
      </c>
      <c r="AF359" s="1069">
        <f>SUMIF(Meal_entry_week_2!G$89:G$100,"Flour_pasta_seeds_cereals",Meal_entry_week_2!T$89:T$100)</f>
        <v>0</v>
      </c>
      <c r="AG359" s="1069">
        <f>SUMIF(Meal_entry_week_2!G$89:G$100,"Sauces_purees_dressings",Meal_entry_week_2!T$89:T$100)+SUMIF(Meal_entry_week_2!G$89:G$100,"Spices_seasonings",Meal_entry_week_2!T$89:T$100)</f>
        <v>0</v>
      </c>
      <c r="AH359" s="1069">
        <f>SUMIF(Meal_entry_week_2!G$89:G$100,"Sweet_foods_cakes",Meal_entry_week_2!T$89:T$100)</f>
        <v>0</v>
      </c>
      <c r="AI359" s="1069">
        <f>SUMIF(Meal_entry_week_2!G$89:G$100,"Bread_and_pastries",Meal_entry_week_2!T$89:T$100)+SUMIF(Meal_entry_week_2!G$89:G$100,"Savoury_pastries",Meal_entry_week_2!T$89:T$100)+SUMIF(Meal_entry_week_2!G$89:G$100,"Sweet_pastries",Meal_entry_week_2!T$89:T$100)</f>
        <v>0</v>
      </c>
      <c r="AJ359" s="1069">
        <f>SUMIF(Meal_entry_week_2!G$89:G$100,"Other_processed_foods",Meal_entry_week_2!T$89:T$100)</f>
        <v>0</v>
      </c>
      <c r="AK359" s="1069">
        <f>SUMIF(Meal_entry_week_2!G$89:G$100,"Sweetened_drinks_teas_coffee",Meal_entry_week_2!T$89:T$100)</f>
        <v>0</v>
      </c>
      <c r="AL359" s="1069">
        <f>SUMIF(Meal_entry_week_2!G$89:G$100,"Fruit_juices_water",Meal_entry_week_2!T$89:T$100)</f>
        <v>0</v>
      </c>
      <c r="AM359" s="1070">
        <f>52-SUM(W359:AL359)</f>
        <v>52</v>
      </c>
      <c r="AN359" s="407">
        <f>SUMIF(Meal_entry_week_2!G$89:G$100,"Vegetables_mushrooms_fresh_frozen",Meal_entry_week_2!AU$89:AU$100)</f>
        <v>0</v>
      </c>
    </row>
    <row r="360" spans="1:40">
      <c r="A360" s="1066"/>
      <c r="B360" s="956" t="s">
        <v>3065</v>
      </c>
      <c r="C360" s="945"/>
      <c r="D360" s="1069">
        <f>SUMIF(Meal_entry_week_1!G$188:G$199,"Vegetables_mushrooms_fresh_frozen",Meal_entry_week_1!T$188:T$199)</f>
        <v>0</v>
      </c>
      <c r="E360" s="1069">
        <f>SUMIF(Meal_entry_week_1!G$188:G$199,"Vegetables_processed",Meal_entry_week_1!T$188:T$199)</f>
        <v>0</v>
      </c>
      <c r="F360" s="1069">
        <f>SUMIF(Meal_entry_week_1!G$188:G$199,"Fruits_nuts_dried_fruit",Meal_entry_week_1!T$188:T$199)</f>
        <v>0</v>
      </c>
      <c r="G360" s="1069">
        <f>SUMIF(Meal_entry_week_1!G$188:G$199,"Meat_fresh_frozen",Meal_entry_week_1!T$188:T$199)</f>
        <v>0</v>
      </c>
      <c r="H360" s="1069">
        <f>SUMIF(Meal_entry_week_1!G$188:G$199,"Meat_processed",Meal_entry_week_1!T$188:T$199)</f>
        <v>0</v>
      </c>
      <c r="I360" s="1069">
        <f>SUMIF(Meal_entry_week_1!G$188:G$199,"Fish_fresh_frozen",Meal_entry_week_1!T$188:T$199)+SUMIF(Meal_entry_week_1!G$188:G$199,"Fish_processed_canned",Meal_entry_week_1!T$188:T$199)</f>
        <v>0</v>
      </c>
      <c r="J360" s="1069">
        <f>SUMIF(Meal_entry_week_1!G$188:G$199,"Eggs",Meal_entry_week_1!T$188:T$199)</f>
        <v>0</v>
      </c>
      <c r="K360" s="1069">
        <f>SUMIF(Meal_entry_week_1!G$188:G$199,"Dairy_products",Meal_entry_week_1!T$188:T$199)</f>
        <v>0</v>
      </c>
      <c r="L360" s="1069">
        <f>SUMIF(Meal_entry_week_1!G$188:G$199,"Oil_butter_margarine",Meal_entry_week_1!T$188:T$199)</f>
        <v>0</v>
      </c>
      <c r="M360" s="1069">
        <f>SUMIF(Meal_entry_week_1!G$188:G$199,"Flour_pasta_seeds_cereals",Meal_entry_week_1!T$188:T$199)</f>
        <v>0</v>
      </c>
      <c r="N360" s="1069">
        <f>SUMIF(Meal_entry_week_1!G$188:G$199,"Sauces_purees_dressings",Meal_entry_week_1!T$188:T$199)+SUMIF(Meal_entry_week_1!G$188:G$199,"Spices_seasonings",Meal_entry_week_1!T$188:T$199)</f>
        <v>0</v>
      </c>
      <c r="O360" s="1069">
        <f>SUMIF(Meal_entry_week_1!G$188:G$199,"Sweet_foods_cakes",Meal_entry_week_1!T$188:T$199)</f>
        <v>0</v>
      </c>
      <c r="P360" s="1069">
        <f>SUMIF(Meal_entry_week_1!G$188:G$199,"Bread_and_pastries",Meal_entry_week_1!T$188:T$199)+SUMIF(Meal_entry_week_1!G$188:G$199,"Savoury_pastries",Meal_entry_week_1!T$188:T$199)+SUMIF(Meal_entry_week_1!G$188:G$199,"Sweet_pastries",Meal_entry_week_1!T$188:T$199)</f>
        <v>0</v>
      </c>
      <c r="Q360" s="1069">
        <f>SUMIF(Meal_entry_week_1!G$188:G$199,"Other_processed_foods",Meal_entry_week_1!T$188:T$199)</f>
        <v>0</v>
      </c>
      <c r="R360" s="1069">
        <f>SUMIF(Meal_entry_week_1!G$188:G$199,"Sweetened_drinks_teas_coffee",Meal_entry_week_1!T$188:T$199)</f>
        <v>0</v>
      </c>
      <c r="S360" s="1069">
        <f>SUMIF(Meal_entry_week_1!G$188:G$199,"Fruit_juices_water",Meal_entry_week_1!T$188:T$199)</f>
        <v>0</v>
      </c>
      <c r="T360" s="1070">
        <f>52-SUM(D360:S360)</f>
        <v>52</v>
      </c>
      <c r="U360" s="407">
        <f>SUMIF(Meal_entry_week_1!G$188:G$199,"Vegetables_mushrooms_fresh_frozen",Meal_entry_week_1!AU$188:AU$199)</f>
        <v>0</v>
      </c>
      <c r="V360" s="956" t="s">
        <v>3065</v>
      </c>
      <c r="W360" s="1069">
        <f>SUMIF(Meal_entry_week_2!G$188:G$199,"Vegetables_mushrooms_fresh_frozen",Meal_entry_week_2!T$188:T$199)</f>
        <v>0</v>
      </c>
      <c r="X360" s="1069">
        <f>SUMIF(Meal_entry_week_2!G$188:G$199,"Vegetables_processed",Meal_entry_week_2!T$188:T$199)</f>
        <v>0</v>
      </c>
      <c r="Y360" s="1069">
        <f>SUMIF(Meal_entry_week_2!G$188:G$199,"Fruits_nuts_dried_fruit",Meal_entry_week_2!T$188:T$199)</f>
        <v>0</v>
      </c>
      <c r="Z360" s="1069">
        <f>SUMIF(Meal_entry_week_2!G$188:G$199,"Meat_fresh_frozen",Meal_entry_week_2!T$188:T$199)</f>
        <v>0</v>
      </c>
      <c r="AA360" s="1069">
        <f>SUMIF(Meal_entry_week_2!G$188:G$199,"Meat_processed",Meal_entry_week_2!T$188:T$199)</f>
        <v>0</v>
      </c>
      <c r="AB360" s="1069">
        <f>SUMIF(Meal_entry_week_2!G$188:G$199,"Fish_fresh_frozen",Meal_entry_week_2!T$188:T$199)+SUMIF(Meal_entry_week_2!G$188:G$199,"Fish_processed_canned",Meal_entry_week_2!T$188:T$199)</f>
        <v>0</v>
      </c>
      <c r="AC360" s="1069">
        <f>SUMIF(Meal_entry_week_2!G$188:G$199,"Eggs",Meal_entry_week_2!T$188:T$199)</f>
        <v>0</v>
      </c>
      <c r="AD360" s="1069">
        <f>SUMIF(Meal_entry_week_2!G$188:G$199,"Dairy_products",Meal_entry_week_2!T$188:T$199)</f>
        <v>0</v>
      </c>
      <c r="AE360" s="1069">
        <f>SUMIF(Meal_entry_week_2!G$188:G$199,"Oil_butter_margarine",Meal_entry_week_2!T$188:T$199)</f>
        <v>0</v>
      </c>
      <c r="AF360" s="1069">
        <f>SUMIF(Meal_entry_week_2!G$188:G$199,"Flour_pasta_seeds_cereals",Meal_entry_week_2!T$188:T$199)</f>
        <v>0</v>
      </c>
      <c r="AG360" s="1069">
        <f>SUMIF(Meal_entry_week_2!G$188:G$199,"Sauces_purees_dressings",Meal_entry_week_2!T$188:T$199)+SUMIF(Meal_entry_week_2!G$188:G$199,"Spices_seasonings",Meal_entry_week_2!T$188:T$199)</f>
        <v>0</v>
      </c>
      <c r="AH360" s="1069">
        <f>SUMIF(Meal_entry_week_2!G$188:G$199,"Sweet_foods_cakes",Meal_entry_week_2!T$188:T$199)</f>
        <v>0</v>
      </c>
      <c r="AI360" s="1069">
        <f>SUMIF(Meal_entry_week_2!G$188:G$199,"Bread_and_pastries",Meal_entry_week_2!T$188:T$199)+SUMIF(Meal_entry_week_2!G$188:G$199,"Savoury_pastries",Meal_entry_week_2!T$188:T$199)+SUMIF(Meal_entry_week_2!G$188:G$199,"Sweet_pastries",Meal_entry_week_2!T$188:T$199)</f>
        <v>0</v>
      </c>
      <c r="AJ360" s="1069">
        <f>SUMIF(Meal_entry_week_2!G$188:G$199,"Other_processed_foods",Meal_entry_week_2!T$188:T$199)</f>
        <v>0</v>
      </c>
      <c r="AK360" s="1069">
        <f>SUMIF(Meal_entry_week_2!G$188:G$199,"Sweetened_drinks_teas_coffee",Meal_entry_week_2!T$188:T$199)</f>
        <v>0</v>
      </c>
      <c r="AL360" s="1069">
        <f>SUMIF(Meal_entry_week_2!G$188:G$199,"Fruit_juices_water",Meal_entry_week_2!T$188:T$199)</f>
        <v>0</v>
      </c>
      <c r="AM360" s="1070">
        <f>52-SUM(W360:AL360)</f>
        <v>52</v>
      </c>
      <c r="AN360" s="407">
        <f>SUMIF(Meal_entry_week_2!G$188:G$199,"Vegetables_mushrooms_fresh_frozen",Meal_entry_week_2!AU$188:AU$199)</f>
        <v>0</v>
      </c>
    </row>
    <row r="361" spans="1:40">
      <c r="A361" s="1066"/>
      <c r="B361" s="956" t="s">
        <v>3066</v>
      </c>
      <c r="C361" s="945"/>
      <c r="D361" s="1069">
        <f>SUMIF(Meal_entry_week_1!G$287:G$298,"Vegetables_mushrooms_fresh_frozen",Meal_entry_week_1!T$287:T$298)</f>
        <v>0</v>
      </c>
      <c r="E361" s="1069">
        <f>SUMIF(Meal_entry_week_1!G$287:G$298,"Vegetables_processed",Meal_entry_week_1!T$287:T$298)</f>
        <v>0</v>
      </c>
      <c r="F361" s="1069">
        <f>SUMIF(Meal_entry_week_1!G$287:G$298,"Fruits_nuts_dried_fruit",Meal_entry_week_1!T$287:T$298)</f>
        <v>0</v>
      </c>
      <c r="G361" s="1069">
        <f>SUMIF(Meal_entry_week_1!G$287:G$298,"Meat_fresh_frozen",Meal_entry_week_1!T$287:T$298)</f>
        <v>0</v>
      </c>
      <c r="H361" s="1069">
        <f>SUMIF(Meal_entry_week_1!G$287:G$298,"Meat_processed",Meal_entry_week_1!T$287:T$298)</f>
        <v>0</v>
      </c>
      <c r="I361" s="1069">
        <f>SUMIF(Meal_entry_week_1!G$287:G$298,"Fish_fresh_frozen",Meal_entry_week_1!T$287:T$298)+SUMIF(Meal_entry_week_1!G$287:G$298,"Fish_processed_canned",Meal_entry_week_1!T$287:T$298)</f>
        <v>0</v>
      </c>
      <c r="J361" s="1069">
        <f>SUMIF(Meal_entry_week_1!G$287:G$298,"Eggs",Meal_entry_week_1!T$287:T$298)</f>
        <v>0</v>
      </c>
      <c r="K361" s="1069">
        <f>SUMIF(Meal_entry_week_1!G$287:G$298,"Dairy_products",Meal_entry_week_1!T$287:T$298)</f>
        <v>0</v>
      </c>
      <c r="L361" s="1069">
        <f>SUMIF(Meal_entry_week_1!G$287:G$298,"Oil_butter_margarine",Meal_entry_week_1!T$287:T$298)</f>
        <v>0</v>
      </c>
      <c r="M361" s="1069">
        <f>SUMIF(Meal_entry_week_1!G$287:G$298,"Flour_pasta_seeds_cereals",Meal_entry_week_1!T$287:T$298)</f>
        <v>0</v>
      </c>
      <c r="N361" s="1069">
        <f>SUMIF(Meal_entry_week_1!G$287:G$298,"Sauces_purees_dressings",Meal_entry_week_1!T$287:T$298)+SUMIF(Meal_entry_week_1!G$287:G$298,"Spices_seasonings",Meal_entry_week_1!T$287:T$298)</f>
        <v>0</v>
      </c>
      <c r="O361" s="1069">
        <f>SUMIF(Meal_entry_week_1!G$287:G$298,"Sweet_foods_cakes",Meal_entry_week_1!T$287:T$298)</f>
        <v>0</v>
      </c>
      <c r="P361" s="1069">
        <f>SUMIF(Meal_entry_week_1!G$287:G$298,"Bread_and_pastries",Meal_entry_week_1!T$287:T$298)+SUMIF(Meal_entry_week_1!G$287:G$298,"Savoury_pastries",Meal_entry_week_1!T$287:T$298)+SUMIF(Meal_entry_week_1!G$287:G$298,"Sweet_pastries",Meal_entry_week_1!T$287:T$298)</f>
        <v>0</v>
      </c>
      <c r="Q361" s="1069">
        <f>SUMIF(Meal_entry_week_1!G$287:G$298,"Other_processed_foods",Meal_entry_week_1!T$287:T$298)</f>
        <v>0</v>
      </c>
      <c r="R361" s="1069">
        <f>SUMIF(Meal_entry_week_1!G$287:G$298,"Sweetened_drinks_teas_coffee",Meal_entry_week_1!T$287:T$298)</f>
        <v>0</v>
      </c>
      <c r="S361" s="1069">
        <f>SUMIF(Meal_entry_week_1!G$287:G$298,"Fruit_juices_water",Meal_entry_week_1!T$287:T$298)</f>
        <v>0</v>
      </c>
      <c r="T361" s="1070">
        <f>52-SUM(D361:S361)</f>
        <v>52</v>
      </c>
      <c r="U361" s="407">
        <f>SUMIF(Meal_entry_week_1!G$287:G$298,"Vegetables_mushrooms_fresh_frozen",Meal_entry_week_1!AU$287:AU$298)</f>
        <v>0</v>
      </c>
      <c r="V361" s="956" t="s">
        <v>3066</v>
      </c>
      <c r="W361" s="1069">
        <f>SUMIF(Meal_entry_week_2!G$287:G$298,"Vegetables_mushrooms_fresh_frozen",Meal_entry_week_2!T$287:T$298)</f>
        <v>0</v>
      </c>
      <c r="X361" s="1069">
        <f>SUMIF(Meal_entry_week_2!G$287:G$298,"Vegetables_processed",Meal_entry_week_2!T$287:T$298)</f>
        <v>0</v>
      </c>
      <c r="Y361" s="1069">
        <f>SUMIF(Meal_entry_week_2!G$287:G$298,"Fruits_nuts_dried_fruit",Meal_entry_week_2!T$287:T$298)</f>
        <v>0</v>
      </c>
      <c r="Z361" s="1069">
        <f>SUMIF(Meal_entry_week_2!G$287:G$298,"Meat_fresh_frozen",Meal_entry_week_2!T$287:T$298)</f>
        <v>0</v>
      </c>
      <c r="AA361" s="1069">
        <f>SUMIF(Meal_entry_week_2!G$287:G$298,"Meat_processed",Meal_entry_week_2!T$287:T$298)</f>
        <v>0</v>
      </c>
      <c r="AB361" s="1069">
        <f>SUMIF(Meal_entry_week_2!G$287:G$298,"Fish_fresh_frozen",Meal_entry_week_2!T$287:T$298)+SUMIF(Meal_entry_week_2!G$287:G$298,"Fish_processed_canned",Meal_entry_week_2!T$287:T$298)</f>
        <v>0</v>
      </c>
      <c r="AC361" s="1069">
        <f>SUMIF(Meal_entry_week_2!G$287:G$298,"Eggs",Meal_entry_week_2!T$287:T$298)</f>
        <v>0</v>
      </c>
      <c r="AD361" s="1069">
        <f>SUMIF(Meal_entry_week_2!G$287:G$298,"Dairy_products",Meal_entry_week_2!T$287:T$298)</f>
        <v>0</v>
      </c>
      <c r="AE361" s="1069">
        <f>SUMIF(Meal_entry_week_2!G$287:G$298,"Oil_butter_margarine",Meal_entry_week_2!T$287:T$298)</f>
        <v>0</v>
      </c>
      <c r="AF361" s="1069">
        <f>SUMIF(Meal_entry_week_2!G$287:G$298,"Flour_pasta_seeds_cereals",Meal_entry_week_2!T$287:T$298)</f>
        <v>0</v>
      </c>
      <c r="AG361" s="1069">
        <f>SUMIF(Meal_entry_week_2!G$287:G$298,"Sauces_purees_dressings",Meal_entry_week_2!T$287:T$298)+SUMIF(Meal_entry_week_2!G$287:G$298,"Spices_seasonings",Meal_entry_week_2!T$287:T$298)</f>
        <v>0</v>
      </c>
      <c r="AH361" s="1069">
        <f>SUMIF(Meal_entry_week_2!G$287:G$298,"Sweet_foods_cakes",Meal_entry_week_2!T$287:T$298)</f>
        <v>0</v>
      </c>
      <c r="AI361" s="1069">
        <f>SUMIF(Meal_entry_week_2!G$287:G$298,"Bread_and_pastries",Meal_entry_week_2!T$287:T$298)+SUMIF(Meal_entry_week_2!G$287:G$298,"Savoury_pastries",Meal_entry_week_2!T$287:T$298)+SUMIF(Meal_entry_week_2!G$287:G$298,"Sweet_pastries",Meal_entry_week_2!T$287:T$298)</f>
        <v>0</v>
      </c>
      <c r="AJ361" s="1069">
        <f>SUMIF(Meal_entry_week_2!G$287:G$298,"Other_processed_foods",Meal_entry_week_2!T$287:T$298)</f>
        <v>0</v>
      </c>
      <c r="AK361" s="1069">
        <f>SUMIF(Meal_entry_week_2!G$287:G$298,"Sweetened_drinks_teas_coffee",Meal_entry_week_2!T$287:T$298)</f>
        <v>0</v>
      </c>
      <c r="AL361" s="1069">
        <f>SUMIF(Meal_entry_week_2!G$287:G$298,"Fruit_juices_water",Meal_entry_week_2!T$287:T$298)</f>
        <v>0</v>
      </c>
      <c r="AM361" s="1070">
        <f>52-SUM(W361:AL361)</f>
        <v>52</v>
      </c>
      <c r="AN361" s="407">
        <f>SUMIF(Meal_entry_week_2!G$287:G$298,"Vegetables_mushrooms_fresh_frozen",Meal_entry_week_2!AU$287:AU$298)</f>
        <v>0</v>
      </c>
    </row>
    <row r="362" spans="1:40">
      <c r="A362" s="1066"/>
      <c r="B362" s="956" t="s">
        <v>3067</v>
      </c>
      <c r="C362" s="945"/>
      <c r="D362" s="1069">
        <f>SUMIF(Meal_entry_week_1!G$386:G$397,"Vegetables_mushrooms_fresh_frozen",Meal_entry_week_1!T$386:T$397)</f>
        <v>0</v>
      </c>
      <c r="E362" s="1069">
        <f>SUMIF(Meal_entry_week_1!G$386:G$397,"Vegetables_processed",Meal_entry_week_1!T$386:T$397)</f>
        <v>0</v>
      </c>
      <c r="F362" s="1069">
        <f>SUMIF(Meal_entry_week_1!G$386:G$397,"Fruits_nuts_dried_fruit",Meal_entry_week_1!T$386:T$397)</f>
        <v>0</v>
      </c>
      <c r="G362" s="1069">
        <f>SUMIF(Meal_entry_week_1!G$386:G$397,"Meat_fresh_frozen",Meal_entry_week_1!T$386:T$397)</f>
        <v>0</v>
      </c>
      <c r="H362" s="1069">
        <f>SUMIF(Meal_entry_week_1!G$386:G$397,"Meat_processed",Meal_entry_week_1!T$386:T$397)</f>
        <v>0</v>
      </c>
      <c r="I362" s="1069">
        <f>SUMIF(Meal_entry_week_1!G$386:G$397,"Fish_fresh_frozen",Meal_entry_week_1!T$386:T$397)+SUMIF(Meal_entry_week_1!G$386:G$397,"Fish_processed_canned",Meal_entry_week_1!T$386:T$397)</f>
        <v>0</v>
      </c>
      <c r="J362" s="1069">
        <f>SUMIF(Meal_entry_week_1!G$386:G$397,"Eggs",Meal_entry_week_1!T$386:T$397)</f>
        <v>0</v>
      </c>
      <c r="K362" s="1069">
        <f>SUMIF(Meal_entry_week_1!G$386:G$397,"Dairy_products",Meal_entry_week_1!T$386:T$397)</f>
        <v>0</v>
      </c>
      <c r="L362" s="1069">
        <f>SUMIF(Meal_entry_week_1!G$386:G$397,"Oil_butter_margarine",Meal_entry_week_1!T$386:T$397)</f>
        <v>0</v>
      </c>
      <c r="M362" s="1069">
        <f>SUMIF(Meal_entry_week_1!G$386:G$397,"Flour_pasta_seeds_cereals",Meal_entry_week_1!T$386:T$397)</f>
        <v>0</v>
      </c>
      <c r="N362" s="1069">
        <f>SUMIF(Meal_entry_week_1!G$386:G$397,"Sauces_purees_dressings",Meal_entry_week_1!T$386:T$397)+SUMIF(Meal_entry_week_1!G$386:G$397,"Spices_seasonings",Meal_entry_week_1!T$386:T$397)</f>
        <v>0</v>
      </c>
      <c r="O362" s="1069">
        <f>SUMIF(Meal_entry_week_1!G$386:G$397,"Sweet_foods_cakes",Meal_entry_week_1!T$386:T$397)</f>
        <v>0</v>
      </c>
      <c r="P362" s="1069">
        <f>SUMIF(Meal_entry_week_1!G$386:G$397,"Bread_and_pastries",Meal_entry_week_1!T$386:T$397)+SUMIF(Meal_entry_week_1!G$386:G$397,"Savoury_pastries",Meal_entry_week_1!T$386:T$397)+SUMIF(Meal_entry_week_1!G$386:G$397,"Sweet_pastries",Meal_entry_week_1!T$386:T$397)</f>
        <v>0</v>
      </c>
      <c r="Q362" s="1069">
        <f>SUMIF(Meal_entry_week_1!G$386:G$397,"Other_processed_foods",Meal_entry_week_1!T$386:T$397)</f>
        <v>0</v>
      </c>
      <c r="R362" s="1069">
        <f>SUMIF(Meal_entry_week_1!G$386:G$397,"Sweetened_drinks_teas_coffee",Meal_entry_week_1!T$386:T$397)</f>
        <v>0</v>
      </c>
      <c r="S362" s="1069">
        <f>SUMIF(Meal_entry_week_1!G$386:G$397,"Fruit_juices_water",Meal_entry_week_1!T$386:T$397)</f>
        <v>0</v>
      </c>
      <c r="T362" s="1070">
        <f>52-SUM(D362:S362)</f>
        <v>52</v>
      </c>
      <c r="U362" s="407">
        <f>SUMIF(Meal_entry_week_1!G$386:G$397,"Vegetables_mushrooms_fresh_frozen",Meal_entry_week_1!AU$386:AU$397)</f>
        <v>0</v>
      </c>
      <c r="V362" s="956" t="s">
        <v>3067</v>
      </c>
      <c r="W362" s="1069">
        <f>SUMIF(Meal_entry_week_2!G$386:G$397,"Vegetables_mushrooms_fresh_frozen",Meal_entry_week_2!T$386:T$397)</f>
        <v>0</v>
      </c>
      <c r="X362" s="1069">
        <f>SUMIF(Meal_entry_week_2!G$386:G$397,"Vegetables_processed",Meal_entry_week_2!T$386:T$397)</f>
        <v>0</v>
      </c>
      <c r="Y362" s="1069">
        <f>SUMIF(Meal_entry_week_2!G$386:G$397,"Fruits_nuts_dried_fruit",Meal_entry_week_2!T$386:T$397)</f>
        <v>0</v>
      </c>
      <c r="Z362" s="1069">
        <f>SUMIF(Meal_entry_week_2!G$386:G$397,"Meat_fresh_frozen",Meal_entry_week_2!T$386:T$397)</f>
        <v>0</v>
      </c>
      <c r="AA362" s="1069">
        <f>SUMIF(Meal_entry_week_2!G$386:G$397,"Meat_processed",Meal_entry_week_2!T$386:T$397)</f>
        <v>0</v>
      </c>
      <c r="AB362" s="1069">
        <f>SUMIF(Meal_entry_week_2!G$386:G$397,"Fish_fresh_frozen",Meal_entry_week_2!T$386:T$397)+SUMIF(Meal_entry_week_2!G$386:G$397,"Fish_processed_canned",Meal_entry_week_2!T$386:T$397)</f>
        <v>0</v>
      </c>
      <c r="AC362" s="1069">
        <f>SUMIF(Meal_entry_week_2!G$386:G$397,"Eggs",Meal_entry_week_2!T$386:T$397)</f>
        <v>0</v>
      </c>
      <c r="AD362" s="1069">
        <f>SUMIF(Meal_entry_week_2!G$386:G$397,"Dairy_products",Meal_entry_week_2!T$386:T$397)</f>
        <v>0</v>
      </c>
      <c r="AE362" s="1069">
        <f>SUMIF(Meal_entry_week_2!G$386:G$397,"Oil_butter_margarine",Meal_entry_week_2!T$386:T$397)</f>
        <v>0</v>
      </c>
      <c r="AF362" s="1069">
        <f>SUMIF(Meal_entry_week_2!G$386:G$397,"Flour_pasta_seeds_cereals",Meal_entry_week_2!T$386:T$397)</f>
        <v>0</v>
      </c>
      <c r="AG362" s="1069">
        <f>SUMIF(Meal_entry_week_2!G$386:G$397,"Sauces_purees_dressings",Meal_entry_week_2!T$386:T$397)+SUMIF(Meal_entry_week_2!G$386:G$397,"Spices_seasonings",Meal_entry_week_2!T$386:T$397)</f>
        <v>0</v>
      </c>
      <c r="AH362" s="1069">
        <f>SUMIF(Meal_entry_week_2!G$386:G$397,"Sweet_foods_cakes",Meal_entry_week_2!T$386:T$397)</f>
        <v>0</v>
      </c>
      <c r="AI362" s="1069">
        <f>SUMIF(Meal_entry_week_2!G$386:G$397,"Bread_and_pastries",Meal_entry_week_2!T$386:T$397)+SUMIF(Meal_entry_week_2!G$386:G$397,"Savoury_pastries",Meal_entry_week_2!T$386:T$397)+SUMIF(Meal_entry_week_2!G$386:G$397,"Sweet_pastries",Meal_entry_week_2!T$386:T$397)</f>
        <v>0</v>
      </c>
      <c r="AJ362" s="1069">
        <f>SUMIF(Meal_entry_week_2!G$386:G$397,"Other_processed_foods",Meal_entry_week_2!T$386:T$397)</f>
        <v>0</v>
      </c>
      <c r="AK362" s="1069">
        <f>SUMIF(Meal_entry_week_2!G$386:G$397,"Sweetened_drinks_teas_coffee",Meal_entry_week_2!T$386:T$397)</f>
        <v>0</v>
      </c>
      <c r="AL362" s="1069">
        <f>SUMIF(Meal_entry_week_2!G$386:G$397,"Fruit_juices_water",Meal_entry_week_2!T$386:T$397)</f>
        <v>0</v>
      </c>
      <c r="AM362" s="1070">
        <f>52-SUM(W362:AL362)</f>
        <v>52</v>
      </c>
      <c r="AN362" s="407">
        <f>SUMIF(Meal_entry_week_2!G$386:G$397,"Vegetables_mushrooms_fresh_frozen",Meal_entry_week_2!AU$386:AU$397)</f>
        <v>0</v>
      </c>
    </row>
    <row r="363" spans="1:40">
      <c r="A363" s="1066"/>
      <c r="B363" s="1074" t="s">
        <v>3068</v>
      </c>
      <c r="C363" s="945"/>
      <c r="D363" s="1075">
        <f>SUMIF(Meal_entry_week_1!G$485:G$496,"Vegetables_mushrooms_fresh_frozen",Meal_entry_week_1!T$485:T$496)</f>
        <v>0</v>
      </c>
      <c r="E363" s="1075">
        <f>SUMIF(Meal_entry_week_1!G$485:G$496,"Vegetables_processed",Meal_entry_week_1!T$485:T$496)</f>
        <v>0</v>
      </c>
      <c r="F363" s="1075">
        <f>SUMIF(Meal_entry_week_1!G$485:G$496,"Fruits_nuts_dried_fruit",Meal_entry_week_1!T$485:T$496)</f>
        <v>0</v>
      </c>
      <c r="G363" s="1075">
        <f>SUMIF(Meal_entry_week_1!G$485:G$496,"Meat_fresh_frozen",Meal_entry_week_1!T$485:T$496)</f>
        <v>0</v>
      </c>
      <c r="H363" s="1075">
        <f>SUMIF(Meal_entry_week_1!G$485:G$496,"Meat_processed",Meal_entry_week_1!T$485:T$496)</f>
        <v>0</v>
      </c>
      <c r="I363" s="1075">
        <f>SUMIF(Meal_entry_week_1!G$485:G$496,"Fish_fresh_frozen",Meal_entry_week_1!T$485:T$496)+SUMIF(Meal_entry_week_1!G$485:G$496,"Fish_processed_canned",Meal_entry_week_1!T$485:T$496)</f>
        <v>0</v>
      </c>
      <c r="J363" s="1075">
        <f>SUMIF(Meal_entry_week_1!G$485:G$496,"Eggs",Meal_entry_week_1!T$485:T$496)</f>
        <v>0</v>
      </c>
      <c r="K363" s="1075">
        <f>SUMIF(Meal_entry_week_1!G$485:G$496,"Dairy_products",Meal_entry_week_1!T$485:T$496)</f>
        <v>0</v>
      </c>
      <c r="L363" s="1075">
        <f>SUMIF(Meal_entry_week_1!G$485:G$496,"Oil_butter_margarine",Meal_entry_week_1!T$485:T$496)</f>
        <v>0</v>
      </c>
      <c r="M363" s="1075">
        <f>SUMIF(Meal_entry_week_1!G$485:G$496,"Flour_pasta_seeds_cereals",Meal_entry_week_1!T$485:T$496)</f>
        <v>0</v>
      </c>
      <c r="N363" s="1075">
        <f>SUMIF(Meal_entry_week_1!G$485:G$496,"Sauces_purees_dressings",Meal_entry_week_1!T$485:T$496)+SUMIF(Meal_entry_week_1!G$485:G$496,"Spices_seasonings",Meal_entry_week_1!T$485:T$496)</f>
        <v>0</v>
      </c>
      <c r="O363" s="1075">
        <f>SUMIF(Meal_entry_week_1!G$485:G$496,"Sweet_foods_cakes",Meal_entry_week_1!T$485:T$496)</f>
        <v>0</v>
      </c>
      <c r="P363" s="1075">
        <f>SUMIF(Meal_entry_week_1!G$485:G$496,"Bread_and_pastries",Meal_entry_week_1!T$485:T$496)+SUMIF(Meal_entry_week_1!G$485:G$496,"Savoury_pastries",Meal_entry_week_1!T$485:T$496)+SUMIF(Meal_entry_week_1!G$485:G$496,"Sweet_pastries",Meal_entry_week_1!T$485:T$496)</f>
        <v>0</v>
      </c>
      <c r="Q363" s="1075">
        <f>SUMIF(Meal_entry_week_1!G$485:G$496,"Other_processed_foods",Meal_entry_week_1!T$485:T$496)</f>
        <v>0</v>
      </c>
      <c r="R363" s="1075">
        <f>SUMIF(Meal_entry_week_1!G$485:G$496,"Sweetened_drinks_teas_coffee",Meal_entry_week_1!T$485:T$496)</f>
        <v>0</v>
      </c>
      <c r="S363" s="1075">
        <f>SUMIF(Meal_entry_week_1!G$485:G$496,"Fruit_juices_water",Meal_entry_week_1!T$485:T$496)</f>
        <v>0</v>
      </c>
      <c r="T363" s="1070">
        <f>52-SUM(D363:S363)</f>
        <v>52</v>
      </c>
      <c r="U363" s="1302">
        <f>SUMIF(Meal_entry_week_1!G$485:G$496,"Vegetables_mushrooms_fresh_frozen",Meal_entry_week_1!AU$485:AU$496)</f>
        <v>0</v>
      </c>
      <c r="V363" s="1074" t="s">
        <v>3068</v>
      </c>
      <c r="W363" s="1075">
        <f>SUMIF(Meal_entry_week_2!G$485:G$496,"Vegetables_mushrooms_fresh_frozen",Meal_entry_week_2!T$485:T$496)</f>
        <v>0</v>
      </c>
      <c r="X363" s="1075">
        <f>SUMIF(Meal_entry_week_2!G$485:G$496,"Vegetables_processed",Meal_entry_week_2!T$485:T$496)</f>
        <v>0</v>
      </c>
      <c r="Y363" s="1075">
        <f>SUMIF(Meal_entry_week_2!G$485:G$496,"Fruits_nuts_dried_fruit",Meal_entry_week_2!T$485:T$496)</f>
        <v>0</v>
      </c>
      <c r="Z363" s="1075">
        <f>SUMIF(Meal_entry_week_2!G$485:G$496,"Meat_fresh_frozen",Meal_entry_week_2!T$485:T$496)</f>
        <v>0</v>
      </c>
      <c r="AA363" s="1075">
        <f>SUMIF(Meal_entry_week_2!G$485:G$496,"Meat_processed",Meal_entry_week_2!T$485:T$496)</f>
        <v>0</v>
      </c>
      <c r="AB363" s="1075">
        <f>SUMIF(Meal_entry_week_2!G$485:G$496,"Fish_fresh_frozen",Meal_entry_week_2!T$485:T$496)+SUMIF(Meal_entry_week_2!G$485:G$496,"Fish_processed_canned",Meal_entry_week_2!T$485:T$496)</f>
        <v>0</v>
      </c>
      <c r="AC363" s="1075">
        <f>SUMIF(Meal_entry_week_2!G$485:G$496,"Eggs",Meal_entry_week_2!T$485:T$496)</f>
        <v>0</v>
      </c>
      <c r="AD363" s="1075">
        <f>SUMIF(Meal_entry_week_2!G$485:G$496,"Dairy_products",Meal_entry_week_2!T$485:T$496)</f>
        <v>0</v>
      </c>
      <c r="AE363" s="1075">
        <f>SUMIF(Meal_entry_week_2!G$485:G$496,"Oil_butter_margarine",Meal_entry_week_2!T$485:T$496)</f>
        <v>0</v>
      </c>
      <c r="AF363" s="1075">
        <f>SUMIF(Meal_entry_week_2!G$485:G$496,"Flour_pasta_seeds_cereals",Meal_entry_week_2!T$485:T$496)</f>
        <v>0</v>
      </c>
      <c r="AG363" s="1075">
        <f>SUMIF(Meal_entry_week_2!G$485:G$496,"Sauces_purees_dressings",Meal_entry_week_2!T$485:T$496)+SUMIF(Meal_entry_week_2!G$485:G$496,"Spices_seasonings",Meal_entry_week_2!T$485:T$496)</f>
        <v>0</v>
      </c>
      <c r="AH363" s="1075">
        <f>SUMIF(Meal_entry_week_2!G$485:G$496,"Sweet_foods_cakes",Meal_entry_week_2!T$485:T$496)</f>
        <v>0</v>
      </c>
      <c r="AI363" s="1075">
        <f>SUMIF(Meal_entry_week_2!G$485:G$496,"Bread_and_pastries",Meal_entry_week_2!T$485:T$496)+SUMIF(Meal_entry_week_2!G$485:G$496,"Savoury_pastries",Meal_entry_week_2!T$485:T$496)+SUMIF(Meal_entry_week_2!G$485:G$496,"Sweet_pastries",Meal_entry_week_2!T$485:T$496)</f>
        <v>0</v>
      </c>
      <c r="AJ363" s="1075">
        <f>SUMIF(Meal_entry_week_2!G$485:G$496,"Other_processed_foods",Meal_entry_week_2!T$485:T$496)</f>
        <v>0</v>
      </c>
      <c r="AK363" s="1075">
        <f>SUMIF(Meal_entry_week_2!G$485:G$496,"Sweetened_drinks_teas_coffee",Meal_entry_week_2!T$485:T$496)</f>
        <v>0</v>
      </c>
      <c r="AL363" s="1075">
        <f>SUMIF(Meal_entry_week_2!G$485:G$496,"Fruit_juices_water",Meal_entry_week_2!T$485:T$496)</f>
        <v>0</v>
      </c>
      <c r="AM363" s="1070">
        <f>52-SUM(W363:AL363)</f>
        <v>52</v>
      </c>
      <c r="AN363" s="1302">
        <f>SUMIF(Meal_entry_week_2!G$485:G$496,"Vegetables_mushrooms_fresh_frozen",Meal_entry_week_2!AU$485:AU$496)</f>
        <v>0</v>
      </c>
    </row>
    <row r="364" spans="1:40">
      <c r="A364" s="1066"/>
      <c r="B364" s="1076"/>
      <c r="C364" s="945"/>
      <c r="D364" s="1076"/>
      <c r="E364" s="1076"/>
      <c r="F364" s="1076"/>
      <c r="G364" s="1076"/>
      <c r="H364" s="1076"/>
      <c r="I364" s="1076"/>
      <c r="J364" s="1076"/>
      <c r="K364" s="1076"/>
      <c r="L364" s="1076"/>
      <c r="M364" s="1076"/>
      <c r="N364" s="1076"/>
      <c r="O364" s="1076"/>
      <c r="P364" s="1076"/>
      <c r="Q364" s="1076"/>
      <c r="R364" s="1076"/>
      <c r="S364" s="1076"/>
      <c r="T364" s="1068"/>
      <c r="U364" s="1079"/>
      <c r="V364" s="965"/>
      <c r="W364" s="1077"/>
      <c r="X364" s="1077"/>
      <c r="Y364" s="1077"/>
      <c r="Z364" s="1077"/>
      <c r="AA364" s="1077"/>
      <c r="AB364" s="1077"/>
      <c r="AC364" s="1077"/>
      <c r="AD364" s="1077"/>
      <c r="AE364" s="1077"/>
      <c r="AF364" s="1077"/>
      <c r="AG364" s="1077"/>
      <c r="AH364" s="1077"/>
      <c r="AI364" s="1077"/>
      <c r="AJ364" s="1077"/>
      <c r="AK364" s="1077"/>
      <c r="AL364" s="1077"/>
      <c r="AM364" s="1068"/>
    </row>
    <row r="365" spans="1:40">
      <c r="A365" s="1066"/>
      <c r="B365" s="956" t="s">
        <v>3561</v>
      </c>
      <c r="C365" s="945"/>
      <c r="D365" s="1269" t="s">
        <v>3140</v>
      </c>
      <c r="E365" s="1083" t="s">
        <v>3069</v>
      </c>
      <c r="F365" s="1083" t="s">
        <v>3077</v>
      </c>
      <c r="G365" s="1083" t="s">
        <v>3073</v>
      </c>
      <c r="H365" s="1083" t="s">
        <v>3070</v>
      </c>
      <c r="I365" s="913" t="s">
        <v>3575</v>
      </c>
      <c r="J365" s="913" t="s">
        <v>3072</v>
      </c>
      <c r="K365" s="1083" t="s">
        <v>3085</v>
      </c>
      <c r="L365" s="1083" t="s">
        <v>3075</v>
      </c>
      <c r="M365" s="1083" t="s">
        <v>3141</v>
      </c>
      <c r="N365" s="1083" t="s">
        <v>3550</v>
      </c>
      <c r="O365" s="1083" t="s">
        <v>3078</v>
      </c>
      <c r="P365" s="1083" t="s">
        <v>3551</v>
      </c>
      <c r="Q365" s="1083" t="s">
        <v>3082</v>
      </c>
      <c r="R365" s="1083" t="s">
        <v>3083</v>
      </c>
      <c r="S365" s="1083" t="s">
        <v>3084</v>
      </c>
      <c r="T365" s="407">
        <f>MAX(U366:U370)</f>
        <v>700.60259879480236</v>
      </c>
      <c r="V365" s="913"/>
      <c r="W365" s="913"/>
      <c r="X365" s="913"/>
      <c r="Y365" s="913"/>
      <c r="Z365" s="913"/>
      <c r="AA365" s="913"/>
      <c r="AB365" s="913"/>
      <c r="AC365" s="913"/>
      <c r="AD365" s="913"/>
      <c r="AE365" s="913"/>
      <c r="AF365" s="913"/>
      <c r="AG365" s="913"/>
    </row>
    <row r="366" spans="1:40">
      <c r="A366" s="1066"/>
      <c r="B366" s="956" t="str">
        <f>IF($B$90=1,IF($AF$34=1,B373,(IF($AF$34=2,B379,B379))),IF($AF$34=1,U373,(IF($AF$34=2,U379,U379))))</f>
        <v>Snack-2</v>
      </c>
      <c r="C366" s="945"/>
      <c r="D366" s="1069">
        <f t="shared" ref="D366:M370" si="58">IF($B$90=1,IF($AF$34=1,D373,(IF($AF$34=2,D379,IF($AF$34=3,D385,IF($AF$34=4, D391,IF($AF$34=5,D397,D403)))))),IF($AF$34=1,V373,(IF($AF$34=2,V379,IF($AF$34=3,V385,IF($AF$34=4, V391,IF($AF$34=5,V397,V403)))))))</f>
        <v>0</v>
      </c>
      <c r="E366" s="1069">
        <f t="shared" si="58"/>
        <v>0</v>
      </c>
      <c r="F366" s="1069">
        <f t="shared" si="58"/>
        <v>0</v>
      </c>
      <c r="G366" s="1069">
        <f t="shared" si="58"/>
        <v>0</v>
      </c>
      <c r="H366" s="1069">
        <f t="shared" si="58"/>
        <v>0</v>
      </c>
      <c r="I366" s="1069">
        <f t="shared" si="58"/>
        <v>0</v>
      </c>
      <c r="J366" s="1069">
        <f t="shared" si="58"/>
        <v>0</v>
      </c>
      <c r="K366" s="1069">
        <f t="shared" si="58"/>
        <v>0</v>
      </c>
      <c r="L366" s="1069">
        <f t="shared" si="58"/>
        <v>0</v>
      </c>
      <c r="M366" s="1069">
        <f t="shared" si="58"/>
        <v>0</v>
      </c>
      <c r="N366" s="1069">
        <f t="shared" ref="N366:S370" si="59">IF($B$90=1,IF($AF$34=1,N373,(IF($AF$34=2,N379,IF($AF$34=3,N385,IF($AF$34=4, N391,IF($AF$34=5,N397,N403)))))),IF($AF$34=1,AF373,(IF($AF$34=2,AF379,IF($AF$34=3,AF385,IF($AF$34=4, AF391,IF($AF$34=5,AF397,AF403)))))))</f>
        <v>0</v>
      </c>
      <c r="O366" s="1069">
        <f t="shared" si="59"/>
        <v>0</v>
      </c>
      <c r="P366" s="1069">
        <f t="shared" si="59"/>
        <v>0</v>
      </c>
      <c r="Q366" s="1069">
        <f t="shared" si="59"/>
        <v>0</v>
      </c>
      <c r="R366" s="1069">
        <f t="shared" si="59"/>
        <v>0</v>
      </c>
      <c r="S366" s="1069">
        <f t="shared" si="59"/>
        <v>0</v>
      </c>
      <c r="T366" s="1155">
        <f>$T$365+20-SUM(D366:S366)</f>
        <v>720.60259879480236</v>
      </c>
      <c r="U366" s="407">
        <f>SUM(D366:S366)</f>
        <v>0</v>
      </c>
      <c r="V366" s="913"/>
      <c r="W366" s="913"/>
      <c r="X366" s="913"/>
      <c r="Y366" s="913"/>
      <c r="Z366" s="913"/>
      <c r="AA366" s="913"/>
      <c r="AB366" s="913"/>
      <c r="AC366" s="913"/>
      <c r="AD366" s="913"/>
      <c r="AE366" s="913"/>
      <c r="AF366" s="913"/>
      <c r="AG366" s="913"/>
    </row>
    <row r="367" spans="1:40">
      <c r="A367" s="1066"/>
      <c r="B367" s="956" t="str">
        <f>IF($B$90=1,IF($AF$34=1,B374,(IF($AF$34=2,B380,B380))),IF($AF$34=1,U374,(IF($AF$34=2,U380,U380))))</f>
        <v>Lunch</v>
      </c>
      <c r="C367" s="945"/>
      <c r="D367" s="1069">
        <f t="shared" si="58"/>
        <v>180.69963860072281</v>
      </c>
      <c r="E367" s="1069">
        <f t="shared" si="58"/>
        <v>11.999976000048001</v>
      </c>
      <c r="F367" s="1069">
        <f t="shared" si="58"/>
        <v>123.999752000496</v>
      </c>
      <c r="G367" s="1069">
        <f t="shared" si="58"/>
        <v>29.999940000120002</v>
      </c>
      <c r="H367" s="1069">
        <f t="shared" si="58"/>
        <v>5.9999880000240005</v>
      </c>
      <c r="I367" s="1069">
        <f t="shared" si="58"/>
        <v>0</v>
      </c>
      <c r="J367" s="1069">
        <f t="shared" si="58"/>
        <v>12.999974000052001</v>
      </c>
      <c r="K367" s="1069">
        <f t="shared" si="58"/>
        <v>30.599938800122402</v>
      </c>
      <c r="L367" s="1069">
        <f t="shared" si="58"/>
        <v>19.959960080079842</v>
      </c>
      <c r="M367" s="1069">
        <f t="shared" si="58"/>
        <v>45.599908800182405</v>
      </c>
      <c r="N367" s="1069">
        <f t="shared" si="59"/>
        <v>9.3039813920372154</v>
      </c>
      <c r="O367" s="1069">
        <f t="shared" si="59"/>
        <v>4.1199917600164806</v>
      </c>
      <c r="P367" s="1069">
        <f t="shared" si="59"/>
        <v>70.999858000284007</v>
      </c>
      <c r="Q367" s="1069">
        <f t="shared" si="59"/>
        <v>0</v>
      </c>
      <c r="R367" s="1069">
        <f t="shared" si="59"/>
        <v>0</v>
      </c>
      <c r="S367" s="1069">
        <f t="shared" si="59"/>
        <v>0</v>
      </c>
      <c r="T367" s="1155">
        <f t="shared" ref="T367:T370" si="60">$T$365+20-SUM(D367:S367)</f>
        <v>174.31969136061718</v>
      </c>
      <c r="U367" s="407">
        <f>SUM(D367:S367)</f>
        <v>546.28290743418518</v>
      </c>
      <c r="V367" s="913"/>
      <c r="W367" s="913"/>
      <c r="X367" s="913"/>
      <c r="Y367" s="913"/>
      <c r="Z367" s="913"/>
      <c r="AA367" s="913"/>
      <c r="AB367" s="913"/>
      <c r="AC367" s="913"/>
      <c r="AD367" s="913"/>
      <c r="AE367" s="913"/>
      <c r="AF367" s="913"/>
      <c r="AG367" s="913"/>
    </row>
    <row r="368" spans="1:40">
      <c r="A368" s="1066"/>
      <c r="B368" s="956" t="str">
        <f>IF($B$90=1,IF($AF$34=1,B375,(IF($AF$34=2,B381,B381))),IF($AF$34=1,U375,(IF($AF$34=2,U381,U381))))</f>
        <v>Snack-1</v>
      </c>
      <c r="C368" s="945"/>
      <c r="D368" s="1069">
        <f t="shared" si="58"/>
        <v>0</v>
      </c>
      <c r="E368" s="1069">
        <f t="shared" si="58"/>
        <v>0</v>
      </c>
      <c r="F368" s="1069">
        <f t="shared" si="58"/>
        <v>0</v>
      </c>
      <c r="G368" s="1069">
        <f t="shared" si="58"/>
        <v>0</v>
      </c>
      <c r="H368" s="1069">
        <f t="shared" si="58"/>
        <v>3.9999920000160003</v>
      </c>
      <c r="I368" s="1069">
        <f t="shared" si="58"/>
        <v>0</v>
      </c>
      <c r="J368" s="1069">
        <f t="shared" si="58"/>
        <v>2.0599958800082403</v>
      </c>
      <c r="K368" s="1069">
        <f t="shared" si="58"/>
        <v>68.3998632002736</v>
      </c>
      <c r="L368" s="1069">
        <f t="shared" si="58"/>
        <v>9.3999812000376011</v>
      </c>
      <c r="M368" s="1069">
        <f t="shared" si="58"/>
        <v>12.399975200049601</v>
      </c>
      <c r="N368" s="1069">
        <f t="shared" si="59"/>
        <v>4.4599910800178408</v>
      </c>
      <c r="O368" s="1069">
        <f t="shared" si="59"/>
        <v>7.5999848000304002</v>
      </c>
      <c r="P368" s="1069">
        <f t="shared" si="59"/>
        <v>35.999928000144003</v>
      </c>
      <c r="Q368" s="1069">
        <f t="shared" si="59"/>
        <v>0</v>
      </c>
      <c r="R368" s="1069">
        <f t="shared" si="59"/>
        <v>9.9999800000400008</v>
      </c>
      <c r="S368" s="1069">
        <f t="shared" si="59"/>
        <v>0</v>
      </c>
      <c r="T368" s="1155">
        <f t="shared" si="60"/>
        <v>566.28290743418506</v>
      </c>
      <c r="U368" s="407">
        <f>SUM(D368:S368)</f>
        <v>154.3196913606173</v>
      </c>
      <c r="V368" s="913"/>
      <c r="W368" s="913"/>
      <c r="X368" s="913"/>
      <c r="Y368" s="913"/>
      <c r="Z368" s="913"/>
      <c r="AA368" s="913"/>
      <c r="AB368" s="913"/>
      <c r="AC368" s="913"/>
      <c r="AD368" s="913"/>
      <c r="AE368" s="913"/>
      <c r="AF368" s="913"/>
      <c r="AG368" s="913"/>
    </row>
    <row r="369" spans="1:38">
      <c r="A369" s="1066"/>
      <c r="B369" s="956" t="str">
        <f>IF($B$90=1,IF($AF$34=1,B376,(IF($AF$34=2,B382,B382))),IF($AF$34=1,U376,(IF($AF$34=2,U382,U382))))</f>
        <v>Breakfast</v>
      </c>
      <c r="C369" s="945"/>
      <c r="D369" s="1069">
        <f t="shared" si="58"/>
        <v>0</v>
      </c>
      <c r="E369" s="1069">
        <f t="shared" si="58"/>
        <v>0</v>
      </c>
      <c r="F369" s="1069">
        <f t="shared" si="58"/>
        <v>0</v>
      </c>
      <c r="G369" s="1069">
        <f t="shared" si="58"/>
        <v>0</v>
      </c>
      <c r="H369" s="1069">
        <f t="shared" si="58"/>
        <v>0</v>
      </c>
      <c r="I369" s="1069">
        <f t="shared" si="58"/>
        <v>0</v>
      </c>
      <c r="J369" s="1069">
        <f t="shared" si="58"/>
        <v>0</v>
      </c>
      <c r="K369" s="1069">
        <f t="shared" si="58"/>
        <v>0</v>
      </c>
      <c r="L369" s="1069">
        <f t="shared" si="58"/>
        <v>0</v>
      </c>
      <c r="M369" s="1069">
        <f t="shared" si="58"/>
        <v>0</v>
      </c>
      <c r="N369" s="1069">
        <f t="shared" si="59"/>
        <v>0</v>
      </c>
      <c r="O369" s="1069">
        <f t="shared" si="59"/>
        <v>0</v>
      </c>
      <c r="P369" s="1069">
        <f t="shared" si="59"/>
        <v>0</v>
      </c>
      <c r="Q369" s="1069">
        <f t="shared" si="59"/>
        <v>0</v>
      </c>
      <c r="R369" s="1069">
        <f t="shared" si="59"/>
        <v>0</v>
      </c>
      <c r="S369" s="1069">
        <f t="shared" si="59"/>
        <v>0</v>
      </c>
      <c r="T369" s="1155">
        <f t="shared" si="60"/>
        <v>720.60259879480236</v>
      </c>
      <c r="U369" s="407">
        <f>SUM(D369:S369)</f>
        <v>0</v>
      </c>
      <c r="V369" s="913"/>
      <c r="W369" s="913"/>
      <c r="X369" s="913"/>
      <c r="Y369" s="913"/>
      <c r="Z369" s="913"/>
      <c r="AA369" s="913"/>
      <c r="AB369" s="913"/>
      <c r="AC369" s="913"/>
      <c r="AD369" s="913"/>
      <c r="AE369" s="913"/>
      <c r="AF369" s="913"/>
      <c r="AG369" s="913"/>
    </row>
    <row r="370" spans="1:38">
      <c r="A370" s="1066"/>
      <c r="B370" s="1074" t="str">
        <f>IF($B$90=1,IF($AF$34=1,B377,(IF($AF$34=2,B383,B383))),IF($AF$34=1,U377,(IF($AF$34=2,U383,U383))))</f>
        <v>Total</v>
      </c>
      <c r="C370" s="945"/>
      <c r="D370" s="1075">
        <f t="shared" si="58"/>
        <v>180.69963860072281</v>
      </c>
      <c r="E370" s="1075">
        <f t="shared" si="58"/>
        <v>11.999976000048001</v>
      </c>
      <c r="F370" s="1075">
        <f t="shared" si="58"/>
        <v>123.999752000496</v>
      </c>
      <c r="G370" s="1075">
        <f t="shared" si="58"/>
        <v>29.999940000120002</v>
      </c>
      <c r="H370" s="1075">
        <f t="shared" si="58"/>
        <v>9.9999800000400008</v>
      </c>
      <c r="I370" s="1075">
        <f t="shared" si="58"/>
        <v>0</v>
      </c>
      <c r="J370" s="1075">
        <f t="shared" si="58"/>
        <v>15.05996988006024</v>
      </c>
      <c r="K370" s="1075">
        <f t="shared" si="58"/>
        <v>98.999802000396002</v>
      </c>
      <c r="L370" s="1075">
        <f t="shared" si="58"/>
        <v>29.359941280117443</v>
      </c>
      <c r="M370" s="1075">
        <f t="shared" si="58"/>
        <v>57.999884000232008</v>
      </c>
      <c r="N370" s="1075">
        <f t="shared" si="59"/>
        <v>13.763972472055055</v>
      </c>
      <c r="O370" s="1075">
        <f t="shared" si="59"/>
        <v>11.719976560046881</v>
      </c>
      <c r="P370" s="1075">
        <f t="shared" si="59"/>
        <v>106.999786000428</v>
      </c>
      <c r="Q370" s="1075">
        <f t="shared" si="59"/>
        <v>0</v>
      </c>
      <c r="R370" s="1075">
        <f t="shared" si="59"/>
        <v>9.9999800000400008</v>
      </c>
      <c r="S370" s="1075">
        <f t="shared" si="59"/>
        <v>0</v>
      </c>
      <c r="T370" s="1155">
        <f t="shared" si="60"/>
        <v>20</v>
      </c>
      <c r="U370" s="407">
        <f>SUM(D370:S370)</f>
        <v>700.60259879480236</v>
      </c>
      <c r="V370" s="913"/>
      <c r="W370" s="913"/>
      <c r="X370" s="913"/>
      <c r="Y370" s="913"/>
      <c r="Z370" s="913"/>
      <c r="AA370" s="913"/>
      <c r="AB370" s="913"/>
      <c r="AC370" s="913"/>
      <c r="AD370" s="913"/>
      <c r="AE370" s="913"/>
      <c r="AF370" s="913"/>
      <c r="AG370" s="913"/>
    </row>
    <row r="371" spans="1:38">
      <c r="A371" s="1195"/>
      <c r="B371" s="406"/>
      <c r="D371" s="407"/>
      <c r="E371" s="407"/>
      <c r="F371" s="407"/>
      <c r="G371" s="407"/>
      <c r="H371" s="406" t="s">
        <v>3850</v>
      </c>
      <c r="I371" s="406" t="s">
        <v>3851</v>
      </c>
      <c r="J371" s="406" t="s">
        <v>3852</v>
      </c>
      <c r="K371" s="406" t="s">
        <v>3853</v>
      </c>
      <c r="L371" s="406" t="s">
        <v>3854</v>
      </c>
      <c r="M371" s="406" t="s">
        <v>3855</v>
      </c>
      <c r="O371" s="407"/>
      <c r="P371" s="407"/>
      <c r="Q371" s="407"/>
      <c r="R371" s="407"/>
      <c r="S371" s="407"/>
      <c r="T371" s="1196"/>
      <c r="V371" s="407"/>
      <c r="W371" s="407"/>
    </row>
    <row r="372" spans="1:38">
      <c r="A372" s="1066"/>
      <c r="B372" s="956" t="s">
        <v>3562</v>
      </c>
      <c r="C372" s="945"/>
      <c r="D372" s="1269" t="s">
        <v>3140</v>
      </c>
      <c r="E372" s="1083" t="s">
        <v>3069</v>
      </c>
      <c r="F372" s="1083" t="s">
        <v>3077</v>
      </c>
      <c r="G372" s="1083" t="s">
        <v>3073</v>
      </c>
      <c r="H372" s="1083" t="s">
        <v>3070</v>
      </c>
      <c r="I372" s="913" t="s">
        <v>3575</v>
      </c>
      <c r="J372" s="913" t="s">
        <v>3072</v>
      </c>
      <c r="K372" s="1083" t="s">
        <v>3085</v>
      </c>
      <c r="L372" s="1083" t="s">
        <v>3075</v>
      </c>
      <c r="M372" s="1083" t="s">
        <v>3141</v>
      </c>
      <c r="N372" s="1083" t="s">
        <v>3550</v>
      </c>
      <c r="O372" s="1083" t="s">
        <v>3078</v>
      </c>
      <c r="P372" s="1083" t="s">
        <v>3551</v>
      </c>
      <c r="Q372" s="1083" t="s">
        <v>3082</v>
      </c>
      <c r="R372" s="1083" t="s">
        <v>3083</v>
      </c>
      <c r="S372" s="1083" t="s">
        <v>3084</v>
      </c>
      <c r="T372" s="1068"/>
      <c r="U372" s="956" t="s">
        <v>3562</v>
      </c>
      <c r="V372" s="1269" t="s">
        <v>3140</v>
      </c>
      <c r="W372" s="1083" t="s">
        <v>3069</v>
      </c>
      <c r="X372" s="1083" t="s">
        <v>3077</v>
      </c>
      <c r="Y372" s="1083" t="s">
        <v>3073</v>
      </c>
      <c r="Z372" s="1083" t="s">
        <v>3070</v>
      </c>
      <c r="AA372" s="913" t="s">
        <v>3575</v>
      </c>
      <c r="AB372" s="913" t="s">
        <v>3072</v>
      </c>
      <c r="AC372" s="1083" t="s">
        <v>3085</v>
      </c>
      <c r="AD372" s="1083" t="s">
        <v>3075</v>
      </c>
      <c r="AE372" s="1083" t="s">
        <v>3141</v>
      </c>
      <c r="AF372" s="1083" t="s">
        <v>3550</v>
      </c>
      <c r="AG372" s="1083" t="s">
        <v>3078</v>
      </c>
      <c r="AH372" s="1083" t="s">
        <v>3551</v>
      </c>
      <c r="AI372" s="1083" t="s">
        <v>3082</v>
      </c>
      <c r="AJ372" s="1083" t="s">
        <v>3083</v>
      </c>
      <c r="AK372" s="1083" t="s">
        <v>3084</v>
      </c>
      <c r="AL372" s="1068"/>
    </row>
    <row r="373" spans="1:38">
      <c r="A373" s="1066"/>
      <c r="B373" s="956" t="s">
        <v>3553</v>
      </c>
      <c r="C373" s="945"/>
      <c r="D373" s="1072">
        <f>(D407+D406+D405+D404+D403)/(IF(Meal_entry_week_1!$Q$547&gt;0,1,0)+IF(Meal_entry_week_1!$Q$548&gt;0,1,0)+IF(Meal_entry_week_1!$Q$549&gt;0,1,0)+IF(Meal_entry_week_1!$Q$550&gt;0,1,0)+IF(Meal_entry_week_1!$Q$551&gt;0,1,0)+0.00001)</f>
        <v>0</v>
      </c>
      <c r="E373" s="1072">
        <f>(E407+E406+E405+E404+E403)/(IF(Meal_entry_week_1!$Q$547&gt;0,1,0)+IF(Meal_entry_week_1!$Q$548&gt;0,1,0)+IF(Meal_entry_week_1!$Q$549&gt;0,1,0)+IF(Meal_entry_week_1!$Q$550&gt;0,1,0)+IF(Meal_entry_week_1!$Q$551&gt;0,1,0)+0.00001)</f>
        <v>0</v>
      </c>
      <c r="F373" s="1072">
        <f>(F407+F406+F405+F404+F403)/(IF(Meal_entry_week_1!$Q$547&gt;0,1,0)+IF(Meal_entry_week_1!$Q$548&gt;0,1,0)+IF(Meal_entry_week_1!$Q$549&gt;0,1,0)+IF(Meal_entry_week_1!$Q$550&gt;0,1,0)+IF(Meal_entry_week_1!$Q$551&gt;0,1,0)+0.00001)</f>
        <v>0</v>
      </c>
      <c r="G373" s="1072">
        <f>(G407+G406+G405+G404+G403)/(IF(Meal_entry_week_1!$Q$547&gt;0,1,0)+IF(Meal_entry_week_1!$Q$548&gt;0,1,0)+IF(Meal_entry_week_1!$Q$549&gt;0,1,0)+IF(Meal_entry_week_1!$Q$550&gt;0,1,0)+IF(Meal_entry_week_1!$Q$551&gt;0,1,0)+0.00001)</f>
        <v>0</v>
      </c>
      <c r="H373" s="1072">
        <f>(H407+H406+H405+H404+H403)/(IF(Meal_entry_week_1!$Q$547&gt;0,1,0)+IF(Meal_entry_week_1!$Q$548&gt;0,1,0)+IF(Meal_entry_week_1!$Q$549&gt;0,1,0)+IF(Meal_entry_week_1!$Q$550&gt;0,1,0)+IF(Meal_entry_week_1!$Q$551&gt;0,1,0)+0.00001)</f>
        <v>0</v>
      </c>
      <c r="I373" s="1072">
        <f>(I407+I406+I405+I404+I403)/(IF(Meal_entry_week_1!$Q$547&gt;0,1,0)+IF(Meal_entry_week_1!$Q$548&gt;0,1,0)+IF(Meal_entry_week_1!$Q$549&gt;0,1,0)+IF(Meal_entry_week_1!$Q$550&gt;0,1,0)+IF(Meal_entry_week_1!$Q$551&gt;0,1,0)+0.00001)</f>
        <v>0</v>
      </c>
      <c r="J373" s="1072">
        <f>(J407+J406+J405+J404+J403)/(IF(Meal_entry_week_1!$Q$547&gt;0,1,0)+IF(Meal_entry_week_1!$Q$548&gt;0,1,0)+IF(Meal_entry_week_1!$Q$549&gt;0,1,0)+IF(Meal_entry_week_1!$Q$550&gt;0,1,0)+IF(Meal_entry_week_1!$Q$551&gt;0,1,0)+0.00001)</f>
        <v>0</v>
      </c>
      <c r="K373" s="1072">
        <f>(K407+K406+K405+K404+K403)/(IF(Meal_entry_week_1!$Q$547&gt;0,1,0)+IF(Meal_entry_week_1!$Q$548&gt;0,1,0)+IF(Meal_entry_week_1!$Q$549&gt;0,1,0)+IF(Meal_entry_week_1!$Q$550&gt;0,1,0)+IF(Meal_entry_week_1!$Q$551&gt;0,1,0)+0.00001)</f>
        <v>0</v>
      </c>
      <c r="L373" s="1072">
        <f>(L407+L406+L405+L404+L403)/(IF(Meal_entry_week_1!$Q$547&gt;0,1,0)+IF(Meal_entry_week_1!$Q$548&gt;0,1,0)+IF(Meal_entry_week_1!$Q$549&gt;0,1,0)+IF(Meal_entry_week_1!$Q$550&gt;0,1,0)+IF(Meal_entry_week_1!$Q$551&gt;0,1,0)+0.00001)</f>
        <v>0</v>
      </c>
      <c r="M373" s="1072">
        <f>(M407+M406+M405+M404+M403)/(IF(Meal_entry_week_1!$Q$547&gt;0,1,0)+IF(Meal_entry_week_1!$Q$548&gt;0,1,0)+IF(Meal_entry_week_1!$Q$549&gt;0,1,0)+IF(Meal_entry_week_1!$Q$550&gt;0,1,0)+IF(Meal_entry_week_1!$Q$551&gt;0,1,0)+0.00001)</f>
        <v>0</v>
      </c>
      <c r="N373" s="1072">
        <f>(N407+N406+N405+N404+N403)/(IF(Meal_entry_week_1!$Q$547&gt;0,1,0)+IF(Meal_entry_week_1!$Q$548&gt;0,1,0)+IF(Meal_entry_week_1!$Q$549&gt;0,1,0)+IF(Meal_entry_week_1!$Q$550&gt;0,1,0)+IF(Meal_entry_week_1!$Q$551&gt;0,1,0)+0.00001)</f>
        <v>0</v>
      </c>
      <c r="O373" s="1072">
        <f>(O407+O406+O405+O404+O403)/(IF(Meal_entry_week_1!$Q$547&gt;0,1,0)+IF(Meal_entry_week_1!$Q$548&gt;0,1,0)+IF(Meal_entry_week_1!$Q$549&gt;0,1,0)+IF(Meal_entry_week_1!$Q$550&gt;0,1,0)+IF(Meal_entry_week_1!$Q$551&gt;0,1,0)+0.00001)</f>
        <v>0</v>
      </c>
      <c r="P373" s="1072">
        <f>(P407+P406+P405+P404+P403)/(IF(Meal_entry_week_1!$Q$547&gt;0,1,0)+IF(Meal_entry_week_1!$Q$548&gt;0,1,0)+IF(Meal_entry_week_1!$Q$549&gt;0,1,0)+IF(Meal_entry_week_1!$Q$550&gt;0,1,0)+IF(Meal_entry_week_1!$Q$551&gt;0,1,0)+0.00001)</f>
        <v>0</v>
      </c>
      <c r="Q373" s="1072">
        <f>(Q407+Q406+Q405+Q404+Q403)/(IF(Meal_entry_week_1!$Q$547&gt;0,1,0)+IF(Meal_entry_week_1!$Q$548&gt;0,1,0)+IF(Meal_entry_week_1!$Q$549&gt;0,1,0)+IF(Meal_entry_week_1!$Q$550&gt;0,1,0)+IF(Meal_entry_week_1!$Q$551&gt;0,1,0)+0.00001)</f>
        <v>0</v>
      </c>
      <c r="R373" s="1072">
        <f>(R407+R406+R405+R404+R403)/(IF(Meal_entry_week_1!$Q$547&gt;0,1,0)+IF(Meal_entry_week_1!$Q$548&gt;0,1,0)+IF(Meal_entry_week_1!$Q$549&gt;0,1,0)+IF(Meal_entry_week_1!$Q$550&gt;0,1,0)+IF(Meal_entry_week_1!$Q$551&gt;0,1,0)+0.00001)</f>
        <v>0</v>
      </c>
      <c r="S373" s="1072">
        <f>(S407+S406+S405+S404+S403)/(IF(Meal_entry_week_1!$Q$547&gt;0,1,0)+IF(Meal_entry_week_1!$Q$548&gt;0,1,0)+IF(Meal_entry_week_1!$Q$549&gt;0,1,0)+IF(Meal_entry_week_1!$Q$550&gt;0,1,0)+IF(Meal_entry_week_1!$Q$551&gt;0,1,0)+0.00001)</f>
        <v>0</v>
      </c>
      <c r="T373" s="1070">
        <f>1420-SUM(D373:S373)</f>
        <v>1420</v>
      </c>
      <c r="U373" s="956" t="s">
        <v>3553</v>
      </c>
      <c r="V373" s="1072">
        <f>(V403+V404+V405+V406+V407)/(IF(Meal_entry_week_2!$Q$547&gt;0,1,0)+IF(Meal_entry_week_2!$Q$548&gt;0,1,0)+IF(Meal_entry_week_2!$Q$549&gt;0,1,0)+IF(Meal_entry_week_2!$Q$550&gt;0,1,0)+IF(Meal_entry_week_2!$Q$551&gt;0,1,0)+0.00001)</f>
        <v>0</v>
      </c>
      <c r="W373" s="1072">
        <f>(W403+W404+W405+W406+W407)/(IF(Meal_entry_week_2!$Q$547&gt;0,1,0)+IF(Meal_entry_week_2!$Q$548&gt;0,1,0)+IF(Meal_entry_week_2!$Q$549&gt;0,1,0)+IF(Meal_entry_week_2!$Q$550&gt;0,1,0)+IF(Meal_entry_week_2!$Q$551&gt;0,1,0)+0.00001)</f>
        <v>0</v>
      </c>
      <c r="X373" s="1072">
        <f>(X403+X404+X405+X406+X407)/(IF(Meal_entry_week_2!$Q$547&gt;0,1,0)+IF(Meal_entry_week_2!$Q$548&gt;0,1,0)+IF(Meal_entry_week_2!$Q$549&gt;0,1,0)+IF(Meal_entry_week_2!$Q$550&gt;0,1,0)+IF(Meal_entry_week_2!$Q$551&gt;0,1,0)+0.00001)</f>
        <v>0</v>
      </c>
      <c r="Y373" s="1072">
        <f>(Y403+Y404+Y405+Y406+Y407)/(IF(Meal_entry_week_2!$Q$547&gt;0,1,0)+IF(Meal_entry_week_2!$Q$548&gt;0,1,0)+IF(Meal_entry_week_2!$Q$549&gt;0,1,0)+IF(Meal_entry_week_2!$Q$550&gt;0,1,0)+IF(Meal_entry_week_2!$Q$551&gt;0,1,0)+0.00001)</f>
        <v>0</v>
      </c>
      <c r="Z373" s="1072">
        <f>(Z403+Z404+Z405+Z406+Z407)/(IF(Meal_entry_week_2!$Q$547&gt;0,1,0)+IF(Meal_entry_week_2!$Q$548&gt;0,1,0)+IF(Meal_entry_week_2!$Q$549&gt;0,1,0)+IF(Meal_entry_week_2!$Q$550&gt;0,1,0)+IF(Meal_entry_week_2!$Q$551&gt;0,1,0)+0.00001)</f>
        <v>0</v>
      </c>
      <c r="AA373" s="1072">
        <f>(AA403+AA404+AA405+AA406+AA407)/(IF(Meal_entry_week_2!$Q$547&gt;0,1,0)+IF(Meal_entry_week_2!$Q$548&gt;0,1,0)+IF(Meal_entry_week_2!$Q$549&gt;0,1,0)+IF(Meal_entry_week_2!$Q$550&gt;0,1,0)+IF(Meal_entry_week_2!$Q$551&gt;0,1,0)+0.00001)</f>
        <v>0</v>
      </c>
      <c r="AB373" s="1072">
        <f>(AB403+AB404+AB405+AB406+AB407)/(IF(Meal_entry_week_2!$Q$547&gt;0,1,0)+IF(Meal_entry_week_2!$Q$548&gt;0,1,0)+IF(Meal_entry_week_2!$Q$549&gt;0,1,0)+IF(Meal_entry_week_2!$Q$550&gt;0,1,0)+IF(Meal_entry_week_2!$Q$551&gt;0,1,0)+0.00001)</f>
        <v>0</v>
      </c>
      <c r="AC373" s="1072">
        <f>(AC403+AC404+AC405+AC406+AC407)/(IF(Meal_entry_week_2!$Q$547&gt;0,1,0)+IF(Meal_entry_week_2!$Q$548&gt;0,1,0)+IF(Meal_entry_week_2!$Q$549&gt;0,1,0)+IF(Meal_entry_week_2!$Q$550&gt;0,1,0)+IF(Meal_entry_week_2!$Q$551&gt;0,1,0)+0.00001)</f>
        <v>0</v>
      </c>
      <c r="AD373" s="1072">
        <f>(AD403+AD404+AD405+AD406+AD407)/(IF(Meal_entry_week_2!$Q$547&gt;0,1,0)+IF(Meal_entry_week_2!$Q$548&gt;0,1,0)+IF(Meal_entry_week_2!$Q$549&gt;0,1,0)+IF(Meal_entry_week_2!$Q$550&gt;0,1,0)+IF(Meal_entry_week_2!$Q$551&gt;0,1,0)+0.00001)</f>
        <v>0</v>
      </c>
      <c r="AE373" s="1072">
        <f>(AE403+AE404+AE405+AE406+AE407)/(IF(Meal_entry_week_2!$Q$547&gt;0,1,0)+IF(Meal_entry_week_2!$Q$548&gt;0,1,0)+IF(Meal_entry_week_2!$Q$549&gt;0,1,0)+IF(Meal_entry_week_2!$Q$550&gt;0,1,0)+IF(Meal_entry_week_2!$Q$551&gt;0,1,0)+0.00001)</f>
        <v>0</v>
      </c>
      <c r="AF373" s="1072">
        <f>(AF403+AF404+AF405+AF406+AF407)/(IF(Meal_entry_week_2!$Q$547&gt;0,1,0)+IF(Meal_entry_week_2!$Q$548&gt;0,1,0)+IF(Meal_entry_week_2!$Q$549&gt;0,1,0)+IF(Meal_entry_week_2!$Q$550&gt;0,1,0)+IF(Meal_entry_week_2!$Q$551&gt;0,1,0)+0.00001)</f>
        <v>0</v>
      </c>
      <c r="AG373" s="1072">
        <f>(AG403+AG404+AG405+AG406+AG407)/(IF(Meal_entry_week_2!$Q$547&gt;0,1,0)+IF(Meal_entry_week_2!$Q$548&gt;0,1,0)+IF(Meal_entry_week_2!$Q$549&gt;0,1,0)+IF(Meal_entry_week_2!$Q$550&gt;0,1,0)+IF(Meal_entry_week_2!$Q$551&gt;0,1,0)+0.00001)</f>
        <v>0</v>
      </c>
      <c r="AH373" s="1072">
        <f>(AH403+AH404+AH405+AH406+AH407)/(IF(Meal_entry_week_2!$Q$547&gt;0,1,0)+IF(Meal_entry_week_2!$Q$548&gt;0,1,0)+IF(Meal_entry_week_2!$Q$549&gt;0,1,0)+IF(Meal_entry_week_2!$Q$550&gt;0,1,0)+IF(Meal_entry_week_2!$Q$551&gt;0,1,0)+0.00001)</f>
        <v>0</v>
      </c>
      <c r="AI373" s="1072">
        <f>(AI403+AI404+AI405+AI406+AI407)/(IF(Meal_entry_week_2!$Q$547&gt;0,1,0)+IF(Meal_entry_week_2!$Q$548&gt;0,1,0)+IF(Meal_entry_week_2!$Q$549&gt;0,1,0)+IF(Meal_entry_week_2!$Q$550&gt;0,1,0)+IF(Meal_entry_week_2!$Q$551&gt;0,1,0)+0.00001)</f>
        <v>0</v>
      </c>
      <c r="AJ373" s="1072">
        <f>(AJ403+AJ404+AJ405+AJ406+AJ407)/(IF(Meal_entry_week_2!$Q$547&gt;0,1,0)+IF(Meal_entry_week_2!$Q$548&gt;0,1,0)+IF(Meal_entry_week_2!$Q$549&gt;0,1,0)+IF(Meal_entry_week_2!$Q$550&gt;0,1,0)+IF(Meal_entry_week_2!$Q$551&gt;0,1,0)+0.00001)</f>
        <v>0</v>
      </c>
      <c r="AK373" s="1072">
        <f>(AK403+AK404+AK405+AK406+AK407)/(IF(Meal_entry_week_2!$Q$547&gt;0,1,0)+IF(Meal_entry_week_2!$Q$548&gt;0,1,0)+IF(Meal_entry_week_2!$Q$549&gt;0,1,0)+IF(Meal_entry_week_2!$Q$550&gt;0,1,0)+IF(Meal_entry_week_2!$Q$551&gt;0,1,0)+0.00001)</f>
        <v>0</v>
      </c>
      <c r="AL373" s="1070">
        <f>1420-SUM(V373:AK373)</f>
        <v>1420</v>
      </c>
    </row>
    <row r="374" spans="1:38">
      <c r="A374" s="1066"/>
      <c r="B374" s="956" t="s">
        <v>69</v>
      </c>
      <c r="C374" s="945"/>
      <c r="D374" s="1072">
        <f>(D401+D400+D399+D398+D397)/(IF(Meal_entry_week_1!$Q$547&gt;0,1,0)+IF(Meal_entry_week_1!$Q$548&gt;0,1,0)+IF(Meal_entry_week_1!$Q$549&gt;0,1,0)+IF(Meal_entry_week_1!$Q$550&gt;0,1,0)+IF(Meal_entry_week_1!$Q$551&gt;0,1,0)+0.00001)</f>
        <v>192.19961560076882</v>
      </c>
      <c r="E374" s="1072">
        <f>(E401+E400+E399+E398+E397)/(IF(Meal_entry_week_1!$Q$547&gt;0,1,0)+IF(Meal_entry_week_1!$Q$548&gt;0,1,0)+IF(Meal_entry_week_1!$Q$549&gt;0,1,0)+IF(Meal_entry_week_1!$Q$550&gt;0,1,0)+IF(Meal_entry_week_1!$Q$551&gt;0,1,0)+0.00001)</f>
        <v>13.999972000056001</v>
      </c>
      <c r="F374" s="1072">
        <f>(F401+F400+F399+F398+F397)/(IF(Meal_entry_week_1!$Q$547&gt;0,1,0)+IF(Meal_entry_week_1!$Q$548&gt;0,1,0)+IF(Meal_entry_week_1!$Q$549&gt;0,1,0)+IF(Meal_entry_week_1!$Q$550&gt;0,1,0)+IF(Meal_entry_week_1!$Q$551&gt;0,1,0)+0.00001)</f>
        <v>143.99971200057601</v>
      </c>
      <c r="G374" s="1072">
        <f>(G401+G400+G399+G398+G397)/(IF(Meal_entry_week_1!$Q$547&gt;0,1,0)+IF(Meal_entry_week_1!$Q$548&gt;0,1,0)+IF(Meal_entry_week_1!$Q$549&gt;0,1,0)+IF(Meal_entry_week_1!$Q$550&gt;0,1,0)+IF(Meal_entry_week_1!$Q$551&gt;0,1,0)+0.00001)</f>
        <v>27.999944000112002</v>
      </c>
      <c r="H374" s="1072">
        <f>(H401+H400+H399+H398+H397)/(IF(Meal_entry_week_1!$Q$547&gt;0,1,0)+IF(Meal_entry_week_1!$Q$548&gt;0,1,0)+IF(Meal_entry_week_1!$Q$549&gt;0,1,0)+IF(Meal_entry_week_1!$Q$550&gt;0,1,0)+IF(Meal_entry_week_1!$Q$551&gt;0,1,0)+0.00001)</f>
        <v>9.9999800000400008</v>
      </c>
      <c r="I374" s="1072">
        <f>(I401+I400+I399+I398+I397)/(IF(Meal_entry_week_1!$Q$547&gt;0,1,0)+IF(Meal_entry_week_1!$Q$548&gt;0,1,0)+IF(Meal_entry_week_1!$Q$549&gt;0,1,0)+IF(Meal_entry_week_1!$Q$550&gt;0,1,0)+IF(Meal_entry_week_1!$Q$551&gt;0,1,0)+0.00001)</f>
        <v>0</v>
      </c>
      <c r="J374" s="1072">
        <f>(J401+J400+J399+J398+J397)/(IF(Meal_entry_week_1!$Q$547&gt;0,1,0)+IF(Meal_entry_week_1!$Q$548&gt;0,1,0)+IF(Meal_entry_week_1!$Q$549&gt;0,1,0)+IF(Meal_entry_week_1!$Q$550&gt;0,1,0)+IF(Meal_entry_week_1!$Q$551&gt;0,1,0)+0.00001)</f>
        <v>20.999958000084</v>
      </c>
      <c r="K374" s="1072">
        <f>(K401+K400+K399+K398+K397)/(IF(Meal_entry_week_1!$Q$547&gt;0,1,0)+IF(Meal_entry_week_1!$Q$548&gt;0,1,0)+IF(Meal_entry_week_1!$Q$549&gt;0,1,0)+IF(Meal_entry_week_1!$Q$550&gt;0,1,0)+IF(Meal_entry_week_1!$Q$551&gt;0,1,0)+0.00001)</f>
        <v>25.999948000104002</v>
      </c>
      <c r="L374" s="1072">
        <f>(L401+L400+L399+L398+L397)/(IF(Meal_entry_week_1!$Q$547&gt;0,1,0)+IF(Meal_entry_week_1!$Q$548&gt;0,1,0)+IF(Meal_entry_week_1!$Q$549&gt;0,1,0)+IF(Meal_entry_week_1!$Q$550&gt;0,1,0)+IF(Meal_entry_week_1!$Q$551&gt;0,1,0)+0.00001)</f>
        <v>14.799970400059202</v>
      </c>
      <c r="M374" s="1072">
        <f>(M401+M400+M399+M398+M397)/(IF(Meal_entry_week_1!$Q$547&gt;0,1,0)+IF(Meal_entry_week_1!$Q$548&gt;0,1,0)+IF(Meal_entry_week_1!$Q$549&gt;0,1,0)+IF(Meal_entry_week_1!$Q$550&gt;0,1,0)+IF(Meal_entry_week_1!$Q$551&gt;0,1,0)+0.00001)</f>
        <v>26.999946000108</v>
      </c>
      <c r="N374" s="1072">
        <f>(N401+N400+N399+N398+N397)/(IF(Meal_entry_week_1!$Q$547&gt;0,1,0)+IF(Meal_entry_week_1!$Q$548&gt;0,1,0)+IF(Meal_entry_week_1!$Q$549&gt;0,1,0)+IF(Meal_entry_week_1!$Q$550&gt;0,1,0)+IF(Meal_entry_week_1!$Q$551&gt;0,1,0)+0.00001)</f>
        <v>17.749964500071002</v>
      </c>
      <c r="O374" s="1072">
        <f>(O401+O400+O399+O398+O397)/(IF(Meal_entry_week_1!$Q$547&gt;0,1,0)+IF(Meal_entry_week_1!$Q$548&gt;0,1,0)+IF(Meal_entry_week_1!$Q$549&gt;0,1,0)+IF(Meal_entry_week_1!$Q$550&gt;0,1,0)+IF(Meal_entry_week_1!$Q$551&gt;0,1,0)+0.00001)</f>
        <v>0</v>
      </c>
      <c r="P374" s="1072">
        <f>(P401+P400+P399+P398+P397)/(IF(Meal_entry_week_1!$Q$547&gt;0,1,0)+IF(Meal_entry_week_1!$Q$548&gt;0,1,0)+IF(Meal_entry_week_1!$Q$549&gt;0,1,0)+IF(Meal_entry_week_1!$Q$550&gt;0,1,0)+IF(Meal_entry_week_1!$Q$551&gt;0,1,0)+0.00001)</f>
        <v>74.9998500003</v>
      </c>
      <c r="Q374" s="1072">
        <f>(Q401+Q400+Q399+Q398+Q397)/(IF(Meal_entry_week_1!$Q$547&gt;0,1,0)+IF(Meal_entry_week_1!$Q$548&gt;0,1,0)+IF(Meal_entry_week_1!$Q$549&gt;0,1,0)+IF(Meal_entry_week_1!$Q$550&gt;0,1,0)+IF(Meal_entry_week_1!$Q$551&gt;0,1,0)+0.00001)</f>
        <v>0</v>
      </c>
      <c r="R374" s="1072">
        <f>(R401+R400+R399+R398+R397)/(IF(Meal_entry_week_1!$Q$547&gt;0,1,0)+IF(Meal_entry_week_1!$Q$548&gt;0,1,0)+IF(Meal_entry_week_1!$Q$549&gt;0,1,0)+IF(Meal_entry_week_1!$Q$550&gt;0,1,0)+IF(Meal_entry_week_1!$Q$551&gt;0,1,0)+0.00001)</f>
        <v>0</v>
      </c>
      <c r="S374" s="1072">
        <f>(S401+S400+S399+S398+S397)/(IF(Meal_entry_week_1!$Q$547&gt;0,1,0)+IF(Meal_entry_week_1!$Q$548&gt;0,1,0)+IF(Meal_entry_week_1!$Q$549&gt;0,1,0)+IF(Meal_entry_week_1!$Q$550&gt;0,1,0)+IF(Meal_entry_week_1!$Q$551&gt;0,1,0)+0.00001)</f>
        <v>0</v>
      </c>
      <c r="T374" s="1070">
        <f>1420-SUM(D374:S374)</f>
        <v>850.25113949772094</v>
      </c>
      <c r="U374" s="956" t="s">
        <v>69</v>
      </c>
      <c r="V374" s="1072">
        <f>(V397+V398+V399+V400+V401)/(IF(Meal_entry_week_2!$Q$547&gt;0,1,0)+IF(Meal_entry_week_2!$Q$548&gt;0,1,0)+IF(Meal_entry_week_2!$Q$549&gt;0,1,0)+IF(Meal_entry_week_2!$Q$550&gt;0,1,0)+IF(Meal_entry_week_2!$Q$551&gt;0,1,0)+0.00001)</f>
        <v>180.69963860072281</v>
      </c>
      <c r="W374" s="1072">
        <f>(W397+W398+W399+W400+W401)/(IF(Meal_entry_week_2!$Q$547&gt;0,1,0)+IF(Meal_entry_week_2!$Q$548&gt;0,1,0)+IF(Meal_entry_week_2!$Q$549&gt;0,1,0)+IF(Meal_entry_week_2!$Q$550&gt;0,1,0)+IF(Meal_entry_week_2!$Q$551&gt;0,1,0)+0.00001)</f>
        <v>11.999976000048001</v>
      </c>
      <c r="X374" s="1072">
        <f>(X397+X398+X399+X400+X401)/(IF(Meal_entry_week_2!$Q$547&gt;0,1,0)+IF(Meal_entry_week_2!$Q$548&gt;0,1,0)+IF(Meal_entry_week_2!$Q$549&gt;0,1,0)+IF(Meal_entry_week_2!$Q$550&gt;0,1,0)+IF(Meal_entry_week_2!$Q$551&gt;0,1,0)+0.00001)</f>
        <v>123.999752000496</v>
      </c>
      <c r="Y374" s="1072">
        <f>(Y397+Y398+Y399+Y400+Y401)/(IF(Meal_entry_week_2!$Q$547&gt;0,1,0)+IF(Meal_entry_week_2!$Q$548&gt;0,1,0)+IF(Meal_entry_week_2!$Q$549&gt;0,1,0)+IF(Meal_entry_week_2!$Q$550&gt;0,1,0)+IF(Meal_entry_week_2!$Q$551&gt;0,1,0)+0.00001)</f>
        <v>29.999940000120002</v>
      </c>
      <c r="Z374" s="1072">
        <f>(Z397+Z398+Z399+Z400+Z401)/(IF(Meal_entry_week_2!$Q$547&gt;0,1,0)+IF(Meal_entry_week_2!$Q$548&gt;0,1,0)+IF(Meal_entry_week_2!$Q$549&gt;0,1,0)+IF(Meal_entry_week_2!$Q$550&gt;0,1,0)+IF(Meal_entry_week_2!$Q$551&gt;0,1,0)+0.00001)</f>
        <v>5.9999880000240005</v>
      </c>
      <c r="AA374" s="1072">
        <f>(AA397+AA398+AA399+AA400+AA401)/(IF(Meal_entry_week_2!$Q$547&gt;0,1,0)+IF(Meal_entry_week_2!$Q$548&gt;0,1,0)+IF(Meal_entry_week_2!$Q$549&gt;0,1,0)+IF(Meal_entry_week_2!$Q$550&gt;0,1,0)+IF(Meal_entry_week_2!$Q$551&gt;0,1,0)+0.00001)</f>
        <v>0</v>
      </c>
      <c r="AB374" s="1072">
        <f>(AB397+AB398+AB399+AB400+AB401)/(IF(Meal_entry_week_2!$Q$547&gt;0,1,0)+IF(Meal_entry_week_2!$Q$548&gt;0,1,0)+IF(Meal_entry_week_2!$Q$549&gt;0,1,0)+IF(Meal_entry_week_2!$Q$550&gt;0,1,0)+IF(Meal_entry_week_2!$Q$551&gt;0,1,0)+0.00001)</f>
        <v>12.999974000052001</v>
      </c>
      <c r="AC374" s="1072">
        <f>(AC397+AC398+AC399+AC400+AC401)/(IF(Meal_entry_week_2!$Q$547&gt;0,1,0)+IF(Meal_entry_week_2!$Q$548&gt;0,1,0)+IF(Meal_entry_week_2!$Q$549&gt;0,1,0)+IF(Meal_entry_week_2!$Q$550&gt;0,1,0)+IF(Meal_entry_week_2!$Q$551&gt;0,1,0)+0.00001)</f>
        <v>30.599938800122402</v>
      </c>
      <c r="AD374" s="1072">
        <f>(AD397+AD398+AD399+AD400+AD401)/(IF(Meal_entry_week_2!$Q$547&gt;0,1,0)+IF(Meal_entry_week_2!$Q$548&gt;0,1,0)+IF(Meal_entry_week_2!$Q$549&gt;0,1,0)+IF(Meal_entry_week_2!$Q$550&gt;0,1,0)+IF(Meal_entry_week_2!$Q$551&gt;0,1,0)+0.00001)</f>
        <v>19.959960080079842</v>
      </c>
      <c r="AE374" s="1072">
        <f>(AE397+AE398+AE399+AE400+AE401)/(IF(Meal_entry_week_2!$Q$547&gt;0,1,0)+IF(Meal_entry_week_2!$Q$548&gt;0,1,0)+IF(Meal_entry_week_2!$Q$549&gt;0,1,0)+IF(Meal_entry_week_2!$Q$550&gt;0,1,0)+IF(Meal_entry_week_2!$Q$551&gt;0,1,0)+0.00001)</f>
        <v>45.599908800182405</v>
      </c>
      <c r="AF374" s="1072">
        <f>(AF397+AF398+AF399+AF400+AF401)/(IF(Meal_entry_week_2!$Q$547&gt;0,1,0)+IF(Meal_entry_week_2!$Q$548&gt;0,1,0)+IF(Meal_entry_week_2!$Q$549&gt;0,1,0)+IF(Meal_entry_week_2!$Q$550&gt;0,1,0)+IF(Meal_entry_week_2!$Q$551&gt;0,1,0)+0.00001)</f>
        <v>9.3039813920372154</v>
      </c>
      <c r="AG374" s="1072">
        <f>(AG397+AG398+AG399+AG400+AG401)/(IF(Meal_entry_week_2!$Q$547&gt;0,1,0)+IF(Meal_entry_week_2!$Q$548&gt;0,1,0)+IF(Meal_entry_week_2!$Q$549&gt;0,1,0)+IF(Meal_entry_week_2!$Q$550&gt;0,1,0)+IF(Meal_entry_week_2!$Q$551&gt;0,1,0)+0.00001)</f>
        <v>4.1199917600164806</v>
      </c>
      <c r="AH374" s="1072">
        <f>(AH397+AH398+AH399+AH400+AH401)/(IF(Meal_entry_week_2!$Q$547&gt;0,1,0)+IF(Meal_entry_week_2!$Q$548&gt;0,1,0)+IF(Meal_entry_week_2!$Q$549&gt;0,1,0)+IF(Meal_entry_week_2!$Q$550&gt;0,1,0)+IF(Meal_entry_week_2!$Q$551&gt;0,1,0)+0.00001)</f>
        <v>70.999858000284007</v>
      </c>
      <c r="AI374" s="1072">
        <f>(AI397+AI398+AI399+AI400+AI401)/(IF(Meal_entry_week_2!$Q$547&gt;0,1,0)+IF(Meal_entry_week_2!$Q$548&gt;0,1,0)+IF(Meal_entry_week_2!$Q$549&gt;0,1,0)+IF(Meal_entry_week_2!$Q$550&gt;0,1,0)+IF(Meal_entry_week_2!$Q$551&gt;0,1,0)+0.00001)</f>
        <v>0</v>
      </c>
      <c r="AJ374" s="1072">
        <f>(AJ397+AJ398+AJ399+AJ400+AJ401)/(IF(Meal_entry_week_2!$Q$547&gt;0,1,0)+IF(Meal_entry_week_2!$Q$548&gt;0,1,0)+IF(Meal_entry_week_2!$Q$549&gt;0,1,0)+IF(Meal_entry_week_2!$Q$550&gt;0,1,0)+IF(Meal_entry_week_2!$Q$551&gt;0,1,0)+0.00001)</f>
        <v>0</v>
      </c>
      <c r="AK374" s="1072">
        <f>(AK397+AK398+AK399+AK400+AK401)/(IF(Meal_entry_week_2!$Q$547&gt;0,1,0)+IF(Meal_entry_week_2!$Q$548&gt;0,1,0)+IF(Meal_entry_week_2!$Q$549&gt;0,1,0)+IF(Meal_entry_week_2!$Q$550&gt;0,1,0)+IF(Meal_entry_week_2!$Q$551&gt;0,1,0)+0.00001)</f>
        <v>0</v>
      </c>
      <c r="AL374" s="1070">
        <f>1420-SUM(V374:AK374)</f>
        <v>873.71709256581482</v>
      </c>
    </row>
    <row r="375" spans="1:38">
      <c r="A375" s="1066"/>
      <c r="B375" s="956" t="s">
        <v>3552</v>
      </c>
      <c r="C375" s="945"/>
      <c r="D375" s="1072">
        <f>(D395+D394+D393+D392+D391)/(IF(Meal_entry_week_1!$Q$547&gt;0,1,0)+IF(Meal_entry_week_1!$Q$548&gt;0,1,0)+IF(Meal_entry_week_1!$Q$549&gt;0,1,0)+IF(Meal_entry_week_1!$Q$550&gt;0,1,0)+IF(Meal_entry_week_1!$Q$551&gt;0,1,0)+0.00001)</f>
        <v>0</v>
      </c>
      <c r="E375" s="1072">
        <f>(E395+E394+E393+E392+E391)/(IF(Meal_entry_week_1!$Q$547&gt;0,1,0)+IF(Meal_entry_week_1!$Q$548&gt;0,1,0)+IF(Meal_entry_week_1!$Q$549&gt;0,1,0)+IF(Meal_entry_week_1!$Q$550&gt;0,1,0)+IF(Meal_entry_week_1!$Q$551&gt;0,1,0)+0.00001)</f>
        <v>3.9999920000160003</v>
      </c>
      <c r="F375" s="1072">
        <f>(F395+F394+F393+F392+F391)/(IF(Meal_entry_week_1!$Q$547&gt;0,1,0)+IF(Meal_entry_week_1!$Q$548&gt;0,1,0)+IF(Meal_entry_week_1!$Q$549&gt;0,1,0)+IF(Meal_entry_week_1!$Q$550&gt;0,1,0)+IF(Meal_entry_week_1!$Q$551&gt;0,1,0)+0.00001)</f>
        <v>4.5999908000184</v>
      </c>
      <c r="G375" s="1072">
        <f>(G395+G394+G393+G392+G391)/(IF(Meal_entry_week_1!$Q$547&gt;0,1,0)+IF(Meal_entry_week_1!$Q$548&gt;0,1,0)+IF(Meal_entry_week_1!$Q$549&gt;0,1,0)+IF(Meal_entry_week_1!$Q$550&gt;0,1,0)+IF(Meal_entry_week_1!$Q$551&gt;0,1,0)+0.00001)</f>
        <v>0</v>
      </c>
      <c r="H375" s="1072">
        <f>(H395+H394+H393+H392+H391)/(IF(Meal_entry_week_1!$Q$547&gt;0,1,0)+IF(Meal_entry_week_1!$Q$548&gt;0,1,0)+IF(Meal_entry_week_1!$Q$549&gt;0,1,0)+IF(Meal_entry_week_1!$Q$550&gt;0,1,0)+IF(Meal_entry_week_1!$Q$551&gt;0,1,0)+0.00001)</f>
        <v>9.9999800000400008</v>
      </c>
      <c r="I375" s="1072">
        <f>(I395+I394+I393+I392+I391)/(IF(Meal_entry_week_1!$Q$547&gt;0,1,0)+IF(Meal_entry_week_1!$Q$548&gt;0,1,0)+IF(Meal_entry_week_1!$Q$549&gt;0,1,0)+IF(Meal_entry_week_1!$Q$550&gt;0,1,0)+IF(Meal_entry_week_1!$Q$551&gt;0,1,0)+0.00001)</f>
        <v>3.9999920000160003</v>
      </c>
      <c r="J375" s="1072">
        <f>(J395+J394+J393+J392+J391)/(IF(Meal_entry_week_1!$Q$547&gt;0,1,0)+IF(Meal_entry_week_1!$Q$548&gt;0,1,0)+IF(Meal_entry_week_1!$Q$549&gt;0,1,0)+IF(Meal_entry_week_1!$Q$550&gt;0,1,0)+IF(Meal_entry_week_1!$Q$551&gt;0,1,0)+0.00001)</f>
        <v>1.9999960000080002</v>
      </c>
      <c r="K375" s="1072">
        <f>(K395+K394+K393+K392+K391)/(IF(Meal_entry_week_1!$Q$547&gt;0,1,0)+IF(Meal_entry_week_1!$Q$548&gt;0,1,0)+IF(Meal_entry_week_1!$Q$549&gt;0,1,0)+IF(Meal_entry_week_1!$Q$550&gt;0,1,0)+IF(Meal_entry_week_1!$Q$551&gt;0,1,0)+0.00001)</f>
        <v>65.199869600260811</v>
      </c>
      <c r="L375" s="1072">
        <f>(L395+L394+L393+L392+L391)/(IF(Meal_entry_week_1!$Q$547&gt;0,1,0)+IF(Meal_entry_week_1!$Q$548&gt;0,1,0)+IF(Meal_entry_week_1!$Q$549&gt;0,1,0)+IF(Meal_entry_week_1!$Q$550&gt;0,1,0)+IF(Meal_entry_week_1!$Q$551&gt;0,1,0)+0.00001)</f>
        <v>3.1999936000128004</v>
      </c>
      <c r="M375" s="1072">
        <f>(M395+M394+M393+M392+M391)/(IF(Meal_entry_week_1!$Q$547&gt;0,1,0)+IF(Meal_entry_week_1!$Q$548&gt;0,1,0)+IF(Meal_entry_week_1!$Q$549&gt;0,1,0)+IF(Meal_entry_week_1!$Q$550&gt;0,1,0)+IF(Meal_entry_week_1!$Q$551&gt;0,1,0)+0.00001)</f>
        <v>6.1999876000248006</v>
      </c>
      <c r="N375" s="1072">
        <f>(N395+N394+N393+N392+N391)/(IF(Meal_entry_week_1!$Q$547&gt;0,1,0)+IF(Meal_entry_week_1!$Q$548&gt;0,1,0)+IF(Meal_entry_week_1!$Q$549&gt;0,1,0)+IF(Meal_entry_week_1!$Q$550&gt;0,1,0)+IF(Meal_entry_week_1!$Q$551&gt;0,1,0)+0.00001)</f>
        <v>0</v>
      </c>
      <c r="O375" s="1072">
        <f>(O395+O394+O393+O392+O391)/(IF(Meal_entry_week_1!$Q$547&gt;0,1,0)+IF(Meal_entry_week_1!$Q$548&gt;0,1,0)+IF(Meal_entry_week_1!$Q$549&gt;0,1,0)+IF(Meal_entry_week_1!$Q$550&gt;0,1,0)+IF(Meal_entry_week_1!$Q$551&gt;0,1,0)+0.00001)</f>
        <v>4.5999908000184</v>
      </c>
      <c r="P375" s="1072">
        <f>(P395+P394+P393+P392+P391)/(IF(Meal_entry_week_1!$Q$547&gt;0,1,0)+IF(Meal_entry_week_1!$Q$548&gt;0,1,0)+IF(Meal_entry_week_1!$Q$549&gt;0,1,0)+IF(Meal_entry_week_1!$Q$550&gt;0,1,0)+IF(Meal_entry_week_1!$Q$551&gt;0,1,0)+0.00001)</f>
        <v>60.999878000244003</v>
      </c>
      <c r="Q375" s="1072">
        <f>(Q395+Q394+Q393+Q392+Q391)/(IF(Meal_entry_week_1!$Q$547&gt;0,1,0)+IF(Meal_entry_week_1!$Q$548&gt;0,1,0)+IF(Meal_entry_week_1!$Q$549&gt;0,1,0)+IF(Meal_entry_week_1!$Q$550&gt;0,1,0)+IF(Meal_entry_week_1!$Q$551&gt;0,1,0)+0.00001)</f>
        <v>0</v>
      </c>
      <c r="R375" s="1072">
        <f>(R395+R394+R393+R392+R391)/(IF(Meal_entry_week_1!$Q$547&gt;0,1,0)+IF(Meal_entry_week_1!$Q$548&gt;0,1,0)+IF(Meal_entry_week_1!$Q$549&gt;0,1,0)+IF(Meal_entry_week_1!$Q$550&gt;0,1,0)+IF(Meal_entry_week_1!$Q$551&gt;0,1,0)+0.00001)</f>
        <v>4.9999900000200004</v>
      </c>
      <c r="S375" s="1072">
        <f>(S395+S394+S393+S392+S391)/(IF(Meal_entry_week_1!$Q$547&gt;0,1,0)+IF(Meal_entry_week_1!$Q$548&gt;0,1,0)+IF(Meal_entry_week_1!$Q$549&gt;0,1,0)+IF(Meal_entry_week_1!$Q$550&gt;0,1,0)+IF(Meal_entry_week_1!$Q$551&gt;0,1,0)+0.00001)</f>
        <v>0</v>
      </c>
      <c r="T375" s="1070">
        <f>1420-SUM(D375:S375)</f>
        <v>1250.2003395993208</v>
      </c>
      <c r="U375" s="956" t="s">
        <v>3552</v>
      </c>
      <c r="V375" s="1072">
        <f>(V391+V392+V393+V394+V395)/(IF(Meal_entry_week_2!$Q$547&gt;0,1,0)+IF(Meal_entry_week_2!$Q$548&gt;0,1,0)+IF(Meal_entry_week_2!$Q$549&gt;0,1,0)+IF(Meal_entry_week_2!$Q$550&gt;0,1,0)+IF(Meal_entry_week_2!$Q$551&gt;0,1,0)+0.00001)</f>
        <v>0</v>
      </c>
      <c r="W375" s="1072">
        <f>(W391+W392+W393+W394+W395)/(IF(Meal_entry_week_2!$Q$547&gt;0,1,0)+IF(Meal_entry_week_2!$Q$548&gt;0,1,0)+IF(Meal_entry_week_2!$Q$549&gt;0,1,0)+IF(Meal_entry_week_2!$Q$550&gt;0,1,0)+IF(Meal_entry_week_2!$Q$551&gt;0,1,0)+0.00001)</f>
        <v>0</v>
      </c>
      <c r="X375" s="1072">
        <f>(X391+X392+X393+X394+X395)/(IF(Meal_entry_week_2!$Q$547&gt;0,1,0)+IF(Meal_entry_week_2!$Q$548&gt;0,1,0)+IF(Meal_entry_week_2!$Q$549&gt;0,1,0)+IF(Meal_entry_week_2!$Q$550&gt;0,1,0)+IF(Meal_entry_week_2!$Q$551&gt;0,1,0)+0.00001)</f>
        <v>0</v>
      </c>
      <c r="Y375" s="1072">
        <f>(Y391+Y392+Y393+Y394+Y395)/(IF(Meal_entry_week_2!$Q$547&gt;0,1,0)+IF(Meal_entry_week_2!$Q$548&gt;0,1,0)+IF(Meal_entry_week_2!$Q$549&gt;0,1,0)+IF(Meal_entry_week_2!$Q$550&gt;0,1,0)+IF(Meal_entry_week_2!$Q$551&gt;0,1,0)+0.00001)</f>
        <v>0</v>
      </c>
      <c r="Z375" s="1072">
        <f>(Z391+Z392+Z393+Z394+Z395)/(IF(Meal_entry_week_2!$Q$547&gt;0,1,0)+IF(Meal_entry_week_2!$Q$548&gt;0,1,0)+IF(Meal_entry_week_2!$Q$549&gt;0,1,0)+IF(Meal_entry_week_2!$Q$550&gt;0,1,0)+IF(Meal_entry_week_2!$Q$551&gt;0,1,0)+0.00001)</f>
        <v>3.9999920000160003</v>
      </c>
      <c r="AA375" s="1072">
        <f>(AA391+AA392+AA393+AA394+AA395)/(IF(Meal_entry_week_2!$Q$547&gt;0,1,0)+IF(Meal_entry_week_2!$Q$548&gt;0,1,0)+IF(Meal_entry_week_2!$Q$549&gt;0,1,0)+IF(Meal_entry_week_2!$Q$550&gt;0,1,0)+IF(Meal_entry_week_2!$Q$551&gt;0,1,0)+0.00001)</f>
        <v>0</v>
      </c>
      <c r="AB375" s="1072">
        <f>(AB391+AB392+AB393+AB394+AB395)/(IF(Meal_entry_week_2!$Q$547&gt;0,1,0)+IF(Meal_entry_week_2!$Q$548&gt;0,1,0)+IF(Meal_entry_week_2!$Q$549&gt;0,1,0)+IF(Meal_entry_week_2!$Q$550&gt;0,1,0)+IF(Meal_entry_week_2!$Q$551&gt;0,1,0)+0.00001)</f>
        <v>2.0599958800082403</v>
      </c>
      <c r="AC375" s="1072">
        <f>(AC391+AC392+AC393+AC394+AC395)/(IF(Meal_entry_week_2!$Q$547&gt;0,1,0)+IF(Meal_entry_week_2!$Q$548&gt;0,1,0)+IF(Meal_entry_week_2!$Q$549&gt;0,1,0)+IF(Meal_entry_week_2!$Q$550&gt;0,1,0)+IF(Meal_entry_week_2!$Q$551&gt;0,1,0)+0.00001)</f>
        <v>68.3998632002736</v>
      </c>
      <c r="AD375" s="1072">
        <f>(AD391+AD392+AD393+AD394+AD395)/(IF(Meal_entry_week_2!$Q$547&gt;0,1,0)+IF(Meal_entry_week_2!$Q$548&gt;0,1,0)+IF(Meal_entry_week_2!$Q$549&gt;0,1,0)+IF(Meal_entry_week_2!$Q$550&gt;0,1,0)+IF(Meal_entry_week_2!$Q$551&gt;0,1,0)+0.00001)</f>
        <v>9.3999812000376011</v>
      </c>
      <c r="AE375" s="1072">
        <f>(AE391+AE392+AE393+AE394+AE395)/(IF(Meal_entry_week_2!$Q$547&gt;0,1,0)+IF(Meal_entry_week_2!$Q$548&gt;0,1,0)+IF(Meal_entry_week_2!$Q$549&gt;0,1,0)+IF(Meal_entry_week_2!$Q$550&gt;0,1,0)+IF(Meal_entry_week_2!$Q$551&gt;0,1,0)+0.00001)</f>
        <v>12.399975200049601</v>
      </c>
      <c r="AF375" s="1072">
        <f>(AF391+AF392+AF393+AF394+AF395)/(IF(Meal_entry_week_2!$Q$547&gt;0,1,0)+IF(Meal_entry_week_2!$Q$548&gt;0,1,0)+IF(Meal_entry_week_2!$Q$549&gt;0,1,0)+IF(Meal_entry_week_2!$Q$550&gt;0,1,0)+IF(Meal_entry_week_2!$Q$551&gt;0,1,0)+0.00001)</f>
        <v>4.4599910800178408</v>
      </c>
      <c r="AG375" s="1072">
        <f>(AG391+AG392+AG393+AG394+AG395)/(IF(Meal_entry_week_2!$Q$547&gt;0,1,0)+IF(Meal_entry_week_2!$Q$548&gt;0,1,0)+IF(Meal_entry_week_2!$Q$549&gt;0,1,0)+IF(Meal_entry_week_2!$Q$550&gt;0,1,0)+IF(Meal_entry_week_2!$Q$551&gt;0,1,0)+0.00001)</f>
        <v>7.5999848000304002</v>
      </c>
      <c r="AH375" s="1072">
        <f>(AH391+AH392+AH393+AH394+AH395)/(IF(Meal_entry_week_2!$Q$547&gt;0,1,0)+IF(Meal_entry_week_2!$Q$548&gt;0,1,0)+IF(Meal_entry_week_2!$Q$549&gt;0,1,0)+IF(Meal_entry_week_2!$Q$550&gt;0,1,0)+IF(Meal_entry_week_2!$Q$551&gt;0,1,0)+0.00001)</f>
        <v>35.999928000144003</v>
      </c>
      <c r="AI375" s="1072">
        <f>(AI391+AI392+AI393+AI394+AI395)/(IF(Meal_entry_week_2!$Q$547&gt;0,1,0)+IF(Meal_entry_week_2!$Q$548&gt;0,1,0)+IF(Meal_entry_week_2!$Q$549&gt;0,1,0)+IF(Meal_entry_week_2!$Q$550&gt;0,1,0)+IF(Meal_entry_week_2!$Q$551&gt;0,1,0)+0.00001)</f>
        <v>0</v>
      </c>
      <c r="AJ375" s="1072">
        <f>(AJ391+AJ392+AJ393+AJ394+AJ395)/(IF(Meal_entry_week_2!$Q$547&gt;0,1,0)+IF(Meal_entry_week_2!$Q$548&gt;0,1,0)+IF(Meal_entry_week_2!$Q$549&gt;0,1,0)+IF(Meal_entry_week_2!$Q$550&gt;0,1,0)+IF(Meal_entry_week_2!$Q$551&gt;0,1,0)+0.00001)</f>
        <v>9.9999800000400008</v>
      </c>
      <c r="AK375" s="1072">
        <f>(AK391+AK392+AK393+AK394+AK395)/(IF(Meal_entry_week_2!$Q$547&gt;0,1,0)+IF(Meal_entry_week_2!$Q$548&gt;0,1,0)+IF(Meal_entry_week_2!$Q$549&gt;0,1,0)+IF(Meal_entry_week_2!$Q$550&gt;0,1,0)+IF(Meal_entry_week_2!$Q$551&gt;0,1,0)+0.00001)</f>
        <v>0</v>
      </c>
      <c r="AL375" s="1070">
        <f>1420-SUM(V375:AK375)</f>
        <v>1265.6803086393827</v>
      </c>
    </row>
    <row r="376" spans="1:38">
      <c r="A376" s="1066"/>
      <c r="B376" s="956" t="s">
        <v>67</v>
      </c>
      <c r="C376" s="945"/>
      <c r="D376" s="1072">
        <f>(D389+D388+D387+D386+D385)/(IF(Meal_entry_week_1!$Q$547&gt;0,1,0)+IF(Meal_entry_week_1!$Q$548&gt;0,1,0)+IF(Meal_entry_week_1!$Q$549&gt;0,1,0)+IF(Meal_entry_week_1!$Q$550&gt;0,1,0)+IF(Meal_entry_week_1!$Q$551&gt;0,1,0)+0.00001)</f>
        <v>19.999960000080002</v>
      </c>
      <c r="E376" s="1072">
        <f>(E389+E388+E387+E386+E385)/(IF(Meal_entry_week_1!$Q$547&gt;0,1,0)+IF(Meal_entry_week_1!$Q$548&gt;0,1,0)+IF(Meal_entry_week_1!$Q$549&gt;0,1,0)+IF(Meal_entry_week_1!$Q$550&gt;0,1,0)+IF(Meal_entry_week_1!$Q$551&gt;0,1,0)+0.00001)</f>
        <v>0</v>
      </c>
      <c r="F376" s="1072">
        <f>(F389+F388+F387+F386+F385)/(IF(Meal_entry_week_1!$Q$547&gt;0,1,0)+IF(Meal_entry_week_1!$Q$548&gt;0,1,0)+IF(Meal_entry_week_1!$Q$549&gt;0,1,0)+IF(Meal_entry_week_1!$Q$550&gt;0,1,0)+IF(Meal_entry_week_1!$Q$551&gt;0,1,0)+0.00001)</f>
        <v>0</v>
      </c>
      <c r="G376" s="1072">
        <f>(G389+G388+G387+G386+G385)/(IF(Meal_entry_week_1!$Q$547&gt;0,1,0)+IF(Meal_entry_week_1!$Q$548&gt;0,1,0)+IF(Meal_entry_week_1!$Q$549&gt;0,1,0)+IF(Meal_entry_week_1!$Q$550&gt;0,1,0)+IF(Meal_entry_week_1!$Q$551&gt;0,1,0)+0.00001)</f>
        <v>0</v>
      </c>
      <c r="H376" s="1072">
        <f>(H389+H388+H387+H386+H385)/(IF(Meal_entry_week_1!$Q$547&gt;0,1,0)+IF(Meal_entry_week_1!$Q$548&gt;0,1,0)+IF(Meal_entry_week_1!$Q$549&gt;0,1,0)+IF(Meal_entry_week_1!$Q$550&gt;0,1,0)+IF(Meal_entry_week_1!$Q$551&gt;0,1,0)+0.00001)</f>
        <v>0</v>
      </c>
      <c r="I376" s="1072">
        <f>(I389+I388+I387+I386+I385)/(IF(Meal_entry_week_1!$Q$547&gt;0,1,0)+IF(Meal_entry_week_1!$Q$548&gt;0,1,0)+IF(Meal_entry_week_1!$Q$549&gt;0,1,0)+IF(Meal_entry_week_1!$Q$550&gt;0,1,0)+IF(Meal_entry_week_1!$Q$551&gt;0,1,0)+0.00001)</f>
        <v>0</v>
      </c>
      <c r="J376" s="1072">
        <f>(J389+J388+J387+J386+J385)/(IF(Meal_entry_week_1!$Q$547&gt;0,1,0)+IF(Meal_entry_week_1!$Q$548&gt;0,1,0)+IF(Meal_entry_week_1!$Q$549&gt;0,1,0)+IF(Meal_entry_week_1!$Q$550&gt;0,1,0)+IF(Meal_entry_week_1!$Q$551&gt;0,1,0)+0.00001)</f>
        <v>0</v>
      </c>
      <c r="K376" s="1072">
        <f>(K389+K388+K387+K386+K385)/(IF(Meal_entry_week_1!$Q$547&gt;0,1,0)+IF(Meal_entry_week_1!$Q$548&gt;0,1,0)+IF(Meal_entry_week_1!$Q$549&gt;0,1,0)+IF(Meal_entry_week_1!$Q$550&gt;0,1,0)+IF(Meal_entry_week_1!$Q$551&gt;0,1,0)+0.00001)</f>
        <v>0</v>
      </c>
      <c r="L376" s="1072">
        <f>(L389+L388+L387+L386+L385)/(IF(Meal_entry_week_1!$Q$547&gt;0,1,0)+IF(Meal_entry_week_1!$Q$548&gt;0,1,0)+IF(Meal_entry_week_1!$Q$549&gt;0,1,0)+IF(Meal_entry_week_1!$Q$550&gt;0,1,0)+IF(Meal_entry_week_1!$Q$551&gt;0,1,0)+0.00001)</f>
        <v>0</v>
      </c>
      <c r="M376" s="1072">
        <f>(M389+M388+M387+M386+M385)/(IF(Meal_entry_week_1!$Q$547&gt;0,1,0)+IF(Meal_entry_week_1!$Q$548&gt;0,1,0)+IF(Meal_entry_week_1!$Q$549&gt;0,1,0)+IF(Meal_entry_week_1!$Q$550&gt;0,1,0)+IF(Meal_entry_week_1!$Q$551&gt;0,1,0)+0.00001)</f>
        <v>0</v>
      </c>
      <c r="N376" s="1072">
        <f>(N389+N388+N387+N386+N385)/(IF(Meal_entry_week_1!$Q$547&gt;0,1,0)+IF(Meal_entry_week_1!$Q$548&gt;0,1,0)+IF(Meal_entry_week_1!$Q$549&gt;0,1,0)+IF(Meal_entry_week_1!$Q$550&gt;0,1,0)+IF(Meal_entry_week_1!$Q$551&gt;0,1,0)+0.00001)</f>
        <v>0</v>
      </c>
      <c r="O376" s="1072">
        <f>(O389+O388+O387+O386+O385)/(IF(Meal_entry_week_1!$Q$547&gt;0,1,0)+IF(Meal_entry_week_1!$Q$548&gt;0,1,0)+IF(Meal_entry_week_1!$Q$549&gt;0,1,0)+IF(Meal_entry_week_1!$Q$550&gt;0,1,0)+IF(Meal_entry_week_1!$Q$551&gt;0,1,0)+0.00001)</f>
        <v>0</v>
      </c>
      <c r="P376" s="1072">
        <f>(P389+P388+P387+P386+P385)/(IF(Meal_entry_week_1!$Q$547&gt;0,1,0)+IF(Meal_entry_week_1!$Q$548&gt;0,1,0)+IF(Meal_entry_week_1!$Q$549&gt;0,1,0)+IF(Meal_entry_week_1!$Q$550&gt;0,1,0)+IF(Meal_entry_week_1!$Q$551&gt;0,1,0)+0.00001)</f>
        <v>0</v>
      </c>
      <c r="Q376" s="1072">
        <f>(Q389+Q388+Q387+Q386+Q385)/(IF(Meal_entry_week_1!$Q$547&gt;0,1,0)+IF(Meal_entry_week_1!$Q$548&gt;0,1,0)+IF(Meal_entry_week_1!$Q$549&gt;0,1,0)+IF(Meal_entry_week_1!$Q$550&gt;0,1,0)+IF(Meal_entry_week_1!$Q$551&gt;0,1,0)+0.00001)</f>
        <v>0</v>
      </c>
      <c r="R376" s="1072">
        <f>(R389+R388+R387+R386+R385)/(IF(Meal_entry_week_1!$Q$547&gt;0,1,0)+IF(Meal_entry_week_1!$Q$548&gt;0,1,0)+IF(Meal_entry_week_1!$Q$549&gt;0,1,0)+IF(Meal_entry_week_1!$Q$550&gt;0,1,0)+IF(Meal_entry_week_1!$Q$551&gt;0,1,0)+0.00001)</f>
        <v>0</v>
      </c>
      <c r="S376" s="1072">
        <f>(S389+S388+S387+S386+S385)/(IF(Meal_entry_week_1!$Q$547&gt;0,1,0)+IF(Meal_entry_week_1!$Q$548&gt;0,1,0)+IF(Meal_entry_week_1!$Q$549&gt;0,1,0)+IF(Meal_entry_week_1!$Q$550&gt;0,1,0)+IF(Meal_entry_week_1!$Q$551&gt;0,1,0)+0.00001)</f>
        <v>0</v>
      </c>
      <c r="T376" s="1070">
        <f>1420-SUM(D376:S376)</f>
        <v>1400.0000399999201</v>
      </c>
      <c r="U376" s="956" t="s">
        <v>67</v>
      </c>
      <c r="V376" s="1072">
        <f>(V385+V386+V387+V388+V389)/(IF(Meal_entry_week_2!$Q$547&gt;0,1,0)+IF(Meal_entry_week_2!$Q$548&gt;0,1,0)+IF(Meal_entry_week_2!$Q$549&gt;0,1,0)+IF(Meal_entry_week_2!$Q$550&gt;0,1,0)+IF(Meal_entry_week_2!$Q$551&gt;0,1,0)+0.00001)</f>
        <v>0</v>
      </c>
      <c r="W376" s="1072">
        <f>(W385+W386+W387+W388+W389)/(IF(Meal_entry_week_2!$Q$547&gt;0,1,0)+IF(Meal_entry_week_2!$Q$548&gt;0,1,0)+IF(Meal_entry_week_2!$Q$549&gt;0,1,0)+IF(Meal_entry_week_2!$Q$550&gt;0,1,0)+IF(Meal_entry_week_2!$Q$551&gt;0,1,0)+0.00001)</f>
        <v>0</v>
      </c>
      <c r="X376" s="1072">
        <f>(X385+X386+X387+X388+X389)/(IF(Meal_entry_week_2!$Q$547&gt;0,1,0)+IF(Meal_entry_week_2!$Q$548&gt;0,1,0)+IF(Meal_entry_week_2!$Q$549&gt;0,1,0)+IF(Meal_entry_week_2!$Q$550&gt;0,1,0)+IF(Meal_entry_week_2!$Q$551&gt;0,1,0)+0.00001)</f>
        <v>0</v>
      </c>
      <c r="Y376" s="1072">
        <f>(Y385+Y386+Y387+Y388+Y389)/(IF(Meal_entry_week_2!$Q$547&gt;0,1,0)+IF(Meal_entry_week_2!$Q$548&gt;0,1,0)+IF(Meal_entry_week_2!$Q$549&gt;0,1,0)+IF(Meal_entry_week_2!$Q$550&gt;0,1,0)+IF(Meal_entry_week_2!$Q$551&gt;0,1,0)+0.00001)</f>
        <v>0</v>
      </c>
      <c r="Z376" s="1072">
        <f>(Z385+Z386+Z387+Z388+Z389)/(IF(Meal_entry_week_2!$Q$547&gt;0,1,0)+IF(Meal_entry_week_2!$Q$548&gt;0,1,0)+IF(Meal_entry_week_2!$Q$549&gt;0,1,0)+IF(Meal_entry_week_2!$Q$550&gt;0,1,0)+IF(Meal_entry_week_2!$Q$551&gt;0,1,0)+0.00001)</f>
        <v>0</v>
      </c>
      <c r="AA376" s="1072">
        <f>(AA385+AA386+AA387+AA388+AA389)/(IF(Meal_entry_week_2!$Q$547&gt;0,1,0)+IF(Meal_entry_week_2!$Q$548&gt;0,1,0)+IF(Meal_entry_week_2!$Q$549&gt;0,1,0)+IF(Meal_entry_week_2!$Q$550&gt;0,1,0)+IF(Meal_entry_week_2!$Q$551&gt;0,1,0)+0.00001)</f>
        <v>0</v>
      </c>
      <c r="AB376" s="1072">
        <f>(AB385+AB386+AB387+AB388+AB389)/(IF(Meal_entry_week_2!$Q$547&gt;0,1,0)+IF(Meal_entry_week_2!$Q$548&gt;0,1,0)+IF(Meal_entry_week_2!$Q$549&gt;0,1,0)+IF(Meal_entry_week_2!$Q$550&gt;0,1,0)+IF(Meal_entry_week_2!$Q$551&gt;0,1,0)+0.00001)</f>
        <v>0</v>
      </c>
      <c r="AC376" s="1072">
        <f>(AC385+AC386+AC387+AC388+AC389)/(IF(Meal_entry_week_2!$Q$547&gt;0,1,0)+IF(Meal_entry_week_2!$Q$548&gt;0,1,0)+IF(Meal_entry_week_2!$Q$549&gt;0,1,0)+IF(Meal_entry_week_2!$Q$550&gt;0,1,0)+IF(Meal_entry_week_2!$Q$551&gt;0,1,0)+0.00001)</f>
        <v>0</v>
      </c>
      <c r="AD376" s="1072">
        <f>(AD385+AD386+AD387+AD388+AD389)/(IF(Meal_entry_week_2!$Q$547&gt;0,1,0)+IF(Meal_entry_week_2!$Q$548&gt;0,1,0)+IF(Meal_entry_week_2!$Q$549&gt;0,1,0)+IF(Meal_entry_week_2!$Q$550&gt;0,1,0)+IF(Meal_entry_week_2!$Q$551&gt;0,1,0)+0.00001)</f>
        <v>0</v>
      </c>
      <c r="AE376" s="1072">
        <f>(AE385+AE386+AE387+AE388+AE389)/(IF(Meal_entry_week_2!$Q$547&gt;0,1,0)+IF(Meal_entry_week_2!$Q$548&gt;0,1,0)+IF(Meal_entry_week_2!$Q$549&gt;0,1,0)+IF(Meal_entry_week_2!$Q$550&gt;0,1,0)+IF(Meal_entry_week_2!$Q$551&gt;0,1,0)+0.00001)</f>
        <v>0</v>
      </c>
      <c r="AF376" s="1072">
        <f>(AF385+AF386+AF387+AF388+AF389)/(IF(Meal_entry_week_2!$Q$547&gt;0,1,0)+IF(Meal_entry_week_2!$Q$548&gt;0,1,0)+IF(Meal_entry_week_2!$Q$549&gt;0,1,0)+IF(Meal_entry_week_2!$Q$550&gt;0,1,0)+IF(Meal_entry_week_2!$Q$551&gt;0,1,0)+0.00001)</f>
        <v>0</v>
      </c>
      <c r="AG376" s="1072">
        <f>(AG385+AG386+AG387+AG388+AG389)/(IF(Meal_entry_week_2!$Q$547&gt;0,1,0)+IF(Meal_entry_week_2!$Q$548&gt;0,1,0)+IF(Meal_entry_week_2!$Q$549&gt;0,1,0)+IF(Meal_entry_week_2!$Q$550&gt;0,1,0)+IF(Meal_entry_week_2!$Q$551&gt;0,1,0)+0.00001)</f>
        <v>0</v>
      </c>
      <c r="AH376" s="1072">
        <f>(AH385+AH386+AH387+AH388+AH389)/(IF(Meal_entry_week_2!$Q$547&gt;0,1,0)+IF(Meal_entry_week_2!$Q$548&gt;0,1,0)+IF(Meal_entry_week_2!$Q$549&gt;0,1,0)+IF(Meal_entry_week_2!$Q$550&gt;0,1,0)+IF(Meal_entry_week_2!$Q$551&gt;0,1,0)+0.00001)</f>
        <v>0</v>
      </c>
      <c r="AI376" s="1072">
        <f>(AI385+AI386+AI387+AI388+AI389)/(IF(Meal_entry_week_2!$Q$547&gt;0,1,0)+IF(Meal_entry_week_2!$Q$548&gt;0,1,0)+IF(Meal_entry_week_2!$Q$549&gt;0,1,0)+IF(Meal_entry_week_2!$Q$550&gt;0,1,0)+IF(Meal_entry_week_2!$Q$551&gt;0,1,0)+0.00001)</f>
        <v>0</v>
      </c>
      <c r="AJ376" s="1072">
        <f>(AJ385+AJ386+AJ387+AJ388+AJ389)/(IF(Meal_entry_week_2!$Q$547&gt;0,1,0)+IF(Meal_entry_week_2!$Q$548&gt;0,1,0)+IF(Meal_entry_week_2!$Q$549&gt;0,1,0)+IF(Meal_entry_week_2!$Q$550&gt;0,1,0)+IF(Meal_entry_week_2!$Q$551&gt;0,1,0)+0.00001)</f>
        <v>0</v>
      </c>
      <c r="AK376" s="1072">
        <f>(AK385+AK386+AK387+AK388+AK389)/(IF(Meal_entry_week_2!$Q$547&gt;0,1,0)+IF(Meal_entry_week_2!$Q$548&gt;0,1,0)+IF(Meal_entry_week_2!$Q$549&gt;0,1,0)+IF(Meal_entry_week_2!$Q$550&gt;0,1,0)+IF(Meal_entry_week_2!$Q$551&gt;0,1,0)+0.00001)</f>
        <v>0</v>
      </c>
      <c r="AL376" s="1070">
        <f>1420-SUM(V376:AK376)</f>
        <v>1420</v>
      </c>
    </row>
    <row r="377" spans="1:38">
      <c r="A377" s="1066"/>
      <c r="B377" s="1074" t="s">
        <v>1431</v>
      </c>
      <c r="C377" s="945"/>
      <c r="D377" s="1075">
        <f>SUM(D373:D376)</f>
        <v>212.19957560084882</v>
      </c>
      <c r="E377" s="1075">
        <f>SUM(E373:E376)</f>
        <v>17.999964000072001</v>
      </c>
      <c r="F377" s="1075">
        <f t="shared" ref="F377:N377" si="61">SUM(F373:F376)</f>
        <v>148.5997028005944</v>
      </c>
      <c r="G377" s="1075">
        <f t="shared" si="61"/>
        <v>27.999944000112002</v>
      </c>
      <c r="H377" s="1075">
        <f t="shared" si="61"/>
        <v>19.999960000080002</v>
      </c>
      <c r="I377" s="1075">
        <f t="shared" si="61"/>
        <v>3.9999920000160003</v>
      </c>
      <c r="J377" s="1075">
        <f t="shared" si="61"/>
        <v>22.999954000092</v>
      </c>
      <c r="K377" s="1075">
        <f t="shared" si="61"/>
        <v>91.19981760036481</v>
      </c>
      <c r="L377" s="1075">
        <f t="shared" si="61"/>
        <v>17.999964000072001</v>
      </c>
      <c r="M377" s="1075">
        <f t="shared" si="61"/>
        <v>33.199933600132802</v>
      </c>
      <c r="N377" s="1075">
        <f t="shared" si="61"/>
        <v>17.749964500071002</v>
      </c>
      <c r="O377" s="1075">
        <f>SUM(O373:O376)</f>
        <v>4.5999908000184</v>
      </c>
      <c r="P377" s="1075">
        <f t="shared" ref="P377:S377" si="62">SUM(P373:P376)</f>
        <v>135.999728000544</v>
      </c>
      <c r="Q377" s="1075">
        <f t="shared" si="62"/>
        <v>0</v>
      </c>
      <c r="R377" s="1075">
        <f t="shared" si="62"/>
        <v>4.9999900000200004</v>
      </c>
      <c r="S377" s="1075">
        <f t="shared" si="62"/>
        <v>0</v>
      </c>
      <c r="T377" s="1070">
        <f>1420-SUM(D377:S377)</f>
        <v>660.45151909696165</v>
      </c>
      <c r="U377" s="1074" t="s">
        <v>1431</v>
      </c>
      <c r="V377" s="1075">
        <f>SUM(V373:V376)</f>
        <v>180.69963860072281</v>
      </c>
      <c r="W377" s="1075">
        <f t="shared" ref="W377:AK377" si="63">SUM(W373:W376)</f>
        <v>11.999976000048001</v>
      </c>
      <c r="X377" s="1075">
        <f t="shared" si="63"/>
        <v>123.999752000496</v>
      </c>
      <c r="Y377" s="1075">
        <f t="shared" si="63"/>
        <v>29.999940000120002</v>
      </c>
      <c r="Z377" s="1075">
        <f t="shared" si="63"/>
        <v>9.9999800000400008</v>
      </c>
      <c r="AA377" s="1075">
        <f t="shared" si="63"/>
        <v>0</v>
      </c>
      <c r="AB377" s="1075">
        <f t="shared" si="63"/>
        <v>15.05996988006024</v>
      </c>
      <c r="AC377" s="1075">
        <f t="shared" si="63"/>
        <v>98.999802000396002</v>
      </c>
      <c r="AD377" s="1075">
        <f t="shared" si="63"/>
        <v>29.359941280117443</v>
      </c>
      <c r="AE377" s="1075">
        <f t="shared" si="63"/>
        <v>57.999884000232008</v>
      </c>
      <c r="AF377" s="1075">
        <f>SUM(AF373:AF376)</f>
        <v>13.763972472055055</v>
      </c>
      <c r="AG377" s="1075">
        <f t="shared" si="63"/>
        <v>11.719976560046881</v>
      </c>
      <c r="AH377" s="1075">
        <f t="shared" si="63"/>
        <v>106.999786000428</v>
      </c>
      <c r="AI377" s="1075">
        <f t="shared" si="63"/>
        <v>0</v>
      </c>
      <c r="AJ377" s="1075">
        <f t="shared" si="63"/>
        <v>9.9999800000400008</v>
      </c>
      <c r="AK377" s="1075">
        <f t="shared" si="63"/>
        <v>0</v>
      </c>
      <c r="AL377" s="1070">
        <f>1420-SUM(V377:AK377)</f>
        <v>719.39740120519764</v>
      </c>
    </row>
    <row r="378" spans="1:38">
      <c r="A378" s="1066"/>
      <c r="B378" s="956" t="s">
        <v>3563</v>
      </c>
      <c r="C378" s="945"/>
      <c r="D378" s="1269" t="s">
        <v>3140</v>
      </c>
      <c r="E378" s="1083" t="s">
        <v>3069</v>
      </c>
      <c r="F378" s="1083" t="s">
        <v>3077</v>
      </c>
      <c r="G378" s="1083" t="s">
        <v>3073</v>
      </c>
      <c r="H378" s="1083" t="s">
        <v>3070</v>
      </c>
      <c r="I378" s="913" t="s">
        <v>3575</v>
      </c>
      <c r="J378" s="913" t="s">
        <v>3072</v>
      </c>
      <c r="K378" s="1083" t="s">
        <v>3085</v>
      </c>
      <c r="L378" s="1083" t="s">
        <v>3075</v>
      </c>
      <c r="M378" s="1083" t="s">
        <v>3141</v>
      </c>
      <c r="N378" s="1083" t="s">
        <v>3550</v>
      </c>
      <c r="O378" s="1083" t="s">
        <v>3078</v>
      </c>
      <c r="P378" s="1083" t="s">
        <v>3551</v>
      </c>
      <c r="Q378" s="1083" t="s">
        <v>3082</v>
      </c>
      <c r="R378" s="1083" t="s">
        <v>3083</v>
      </c>
      <c r="S378" s="1083" t="s">
        <v>3084</v>
      </c>
      <c r="T378" s="1068"/>
      <c r="U378" s="956" t="s">
        <v>3563</v>
      </c>
      <c r="V378" s="1269" t="s">
        <v>3140</v>
      </c>
      <c r="W378" s="1083" t="s">
        <v>3069</v>
      </c>
      <c r="X378" s="1083" t="s">
        <v>3077</v>
      </c>
      <c r="Y378" s="1083" t="s">
        <v>3073</v>
      </c>
      <c r="Z378" s="1083" t="s">
        <v>3070</v>
      </c>
      <c r="AA378" s="913" t="s">
        <v>3575</v>
      </c>
      <c r="AB378" s="913" t="s">
        <v>3072</v>
      </c>
      <c r="AC378" s="1083" t="s">
        <v>3085</v>
      </c>
      <c r="AD378" s="1083" t="s">
        <v>3075</v>
      </c>
      <c r="AE378" s="1083" t="s">
        <v>3141</v>
      </c>
      <c r="AF378" s="1083" t="s">
        <v>3550</v>
      </c>
      <c r="AG378" s="1083" t="s">
        <v>3078</v>
      </c>
      <c r="AH378" s="1083" t="s">
        <v>3551</v>
      </c>
      <c r="AI378" s="1083" t="s">
        <v>3082</v>
      </c>
      <c r="AJ378" s="1083" t="s">
        <v>3083</v>
      </c>
      <c r="AK378" s="1083" t="s">
        <v>3084</v>
      </c>
      <c r="AL378" s="1068"/>
    </row>
    <row r="379" spans="1:38" s="1071" customFormat="1">
      <c r="A379" s="1066"/>
      <c r="B379" s="956" t="s">
        <v>3068</v>
      </c>
      <c r="C379" s="945"/>
      <c r="D379" s="1069">
        <f t="shared" ref="D379:S379" si="64">D385+D391+D397+D403</f>
        <v>208</v>
      </c>
      <c r="E379" s="1069">
        <f t="shared" si="64"/>
        <v>0</v>
      </c>
      <c r="F379" s="1069">
        <f t="shared" si="64"/>
        <v>150</v>
      </c>
      <c r="G379" s="1069">
        <f t="shared" si="64"/>
        <v>20</v>
      </c>
      <c r="H379" s="1069">
        <f t="shared" si="64"/>
        <v>0</v>
      </c>
      <c r="I379" s="1069">
        <f t="shared" si="64"/>
        <v>0</v>
      </c>
      <c r="J379" s="1069">
        <f t="shared" si="64"/>
        <v>30</v>
      </c>
      <c r="K379" s="1069">
        <f t="shared" si="64"/>
        <v>170</v>
      </c>
      <c r="L379" s="1069">
        <f t="shared" si="64"/>
        <v>16</v>
      </c>
      <c r="M379" s="1069">
        <f t="shared" si="64"/>
        <v>10</v>
      </c>
      <c r="N379" s="1069">
        <f t="shared" si="64"/>
        <v>3.95</v>
      </c>
      <c r="O379" s="1069">
        <f t="shared" si="64"/>
        <v>0</v>
      </c>
      <c r="P379" s="1069">
        <f t="shared" si="64"/>
        <v>145</v>
      </c>
      <c r="Q379" s="1069">
        <f t="shared" si="64"/>
        <v>0</v>
      </c>
      <c r="R379" s="1069">
        <f t="shared" si="64"/>
        <v>0</v>
      </c>
      <c r="S379" s="1069">
        <f t="shared" si="64"/>
        <v>0</v>
      </c>
      <c r="T379" s="1070">
        <f>1400-SUM(D379:S379)</f>
        <v>647.04999999999995</v>
      </c>
      <c r="U379" s="956" t="s">
        <v>3068</v>
      </c>
      <c r="V379" s="1069">
        <f t="shared" ref="V379:AK379" si="65">V385+V391+V397+V403</f>
        <v>56</v>
      </c>
      <c r="W379" s="1069">
        <f t="shared" si="65"/>
        <v>0</v>
      </c>
      <c r="X379" s="1069">
        <f t="shared" si="65"/>
        <v>150</v>
      </c>
      <c r="Y379" s="1069">
        <f t="shared" si="65"/>
        <v>50</v>
      </c>
      <c r="Z379" s="1069">
        <f t="shared" si="65"/>
        <v>0</v>
      </c>
      <c r="AA379" s="1069">
        <f t="shared" si="65"/>
        <v>0</v>
      </c>
      <c r="AB379" s="1069">
        <f t="shared" si="65"/>
        <v>22.3</v>
      </c>
      <c r="AC379" s="1069">
        <f t="shared" si="65"/>
        <v>66</v>
      </c>
      <c r="AD379" s="1069">
        <f t="shared" si="65"/>
        <v>48</v>
      </c>
      <c r="AE379" s="1069">
        <f t="shared" si="65"/>
        <v>107</v>
      </c>
      <c r="AF379" s="1069">
        <f t="shared" si="65"/>
        <v>12.899999999999999</v>
      </c>
      <c r="AG379" s="1069">
        <f t="shared" si="65"/>
        <v>13</v>
      </c>
      <c r="AH379" s="1069">
        <f t="shared" si="65"/>
        <v>75</v>
      </c>
      <c r="AI379" s="1069">
        <f t="shared" si="65"/>
        <v>0</v>
      </c>
      <c r="AJ379" s="1069">
        <f t="shared" si="65"/>
        <v>25</v>
      </c>
      <c r="AK379" s="1069">
        <f t="shared" si="65"/>
        <v>0</v>
      </c>
      <c r="AL379" s="1070">
        <f>1400-SUM(V379:AK379)</f>
        <v>774.8</v>
      </c>
    </row>
    <row r="380" spans="1:38">
      <c r="A380" s="1066"/>
      <c r="B380" s="956" t="s">
        <v>3067</v>
      </c>
      <c r="C380" s="945"/>
      <c r="D380" s="1069">
        <f t="shared" ref="D380:S380" si="66">D386+D392+D398+D404</f>
        <v>220</v>
      </c>
      <c r="E380" s="1069">
        <f t="shared" si="66"/>
        <v>70</v>
      </c>
      <c r="F380" s="1069">
        <f t="shared" si="66"/>
        <v>143</v>
      </c>
      <c r="G380" s="1069">
        <f t="shared" si="66"/>
        <v>50</v>
      </c>
      <c r="H380" s="1069">
        <f t="shared" si="66"/>
        <v>0</v>
      </c>
      <c r="I380" s="1069">
        <f t="shared" si="66"/>
        <v>0</v>
      </c>
      <c r="J380" s="1069">
        <f t="shared" si="66"/>
        <v>25</v>
      </c>
      <c r="K380" s="1069">
        <f t="shared" si="66"/>
        <v>56</v>
      </c>
      <c r="L380" s="1069">
        <f t="shared" si="66"/>
        <v>34</v>
      </c>
      <c r="M380" s="1069">
        <f t="shared" si="66"/>
        <v>56</v>
      </c>
      <c r="N380" s="1069">
        <f t="shared" si="66"/>
        <v>20.2</v>
      </c>
      <c r="O380" s="1069">
        <f t="shared" si="66"/>
        <v>23</v>
      </c>
      <c r="P380" s="1069">
        <f t="shared" si="66"/>
        <v>75</v>
      </c>
      <c r="Q380" s="1069">
        <f t="shared" si="66"/>
        <v>0</v>
      </c>
      <c r="R380" s="1069">
        <f t="shared" si="66"/>
        <v>25</v>
      </c>
      <c r="S380" s="1069">
        <f t="shared" si="66"/>
        <v>0</v>
      </c>
      <c r="T380" s="1070">
        <f>1400-SUM(D380:S380)</f>
        <v>602.79999999999995</v>
      </c>
      <c r="U380" s="956" t="s">
        <v>3067</v>
      </c>
      <c r="V380" s="1069">
        <f t="shared" ref="V380:AK380" si="67">V386+V392+V398+V404</f>
        <v>265.5</v>
      </c>
      <c r="W380" s="1069">
        <f t="shared" si="67"/>
        <v>0</v>
      </c>
      <c r="X380" s="1069">
        <f t="shared" si="67"/>
        <v>150</v>
      </c>
      <c r="Y380" s="1069">
        <f t="shared" si="67"/>
        <v>50</v>
      </c>
      <c r="Z380" s="1069">
        <f t="shared" si="67"/>
        <v>0</v>
      </c>
      <c r="AA380" s="1069">
        <f t="shared" si="67"/>
        <v>0</v>
      </c>
      <c r="AB380" s="1069">
        <f t="shared" si="67"/>
        <v>20</v>
      </c>
      <c r="AC380" s="1069">
        <f t="shared" si="67"/>
        <v>120</v>
      </c>
      <c r="AD380" s="1069">
        <f t="shared" si="67"/>
        <v>24</v>
      </c>
      <c r="AE380" s="1069">
        <f t="shared" si="67"/>
        <v>20</v>
      </c>
      <c r="AF380" s="1069">
        <f t="shared" si="67"/>
        <v>4.09</v>
      </c>
      <c r="AG380" s="1069">
        <f t="shared" si="67"/>
        <v>5</v>
      </c>
      <c r="AH380" s="1069">
        <f t="shared" si="67"/>
        <v>145</v>
      </c>
      <c r="AI380" s="1069">
        <f t="shared" si="67"/>
        <v>0</v>
      </c>
      <c r="AJ380" s="1069">
        <f t="shared" si="67"/>
        <v>0</v>
      </c>
      <c r="AK380" s="1069">
        <f t="shared" si="67"/>
        <v>0</v>
      </c>
      <c r="AL380" s="1070">
        <f>1400-SUM(V380:AK380)</f>
        <v>596.41</v>
      </c>
    </row>
    <row r="381" spans="1:38">
      <c r="A381" s="1066"/>
      <c r="B381" s="956" t="s">
        <v>3066</v>
      </c>
      <c r="C381" s="945"/>
      <c r="D381" s="1069">
        <f t="shared" ref="D381:S381" si="68">D387+D393+D399+D405</f>
        <v>253</v>
      </c>
      <c r="E381" s="1069">
        <f t="shared" si="68"/>
        <v>0</v>
      </c>
      <c r="F381" s="1069">
        <f t="shared" si="68"/>
        <v>150</v>
      </c>
      <c r="G381" s="1069">
        <f t="shared" si="68"/>
        <v>0</v>
      </c>
      <c r="H381" s="1069">
        <f t="shared" si="68"/>
        <v>50</v>
      </c>
      <c r="I381" s="1069">
        <f t="shared" si="68"/>
        <v>0</v>
      </c>
      <c r="J381" s="1069">
        <f t="shared" si="68"/>
        <v>0</v>
      </c>
      <c r="K381" s="1069">
        <f t="shared" si="68"/>
        <v>120</v>
      </c>
      <c r="L381" s="1069">
        <f t="shared" si="68"/>
        <v>10</v>
      </c>
      <c r="M381" s="1069">
        <f t="shared" si="68"/>
        <v>10</v>
      </c>
      <c r="N381" s="1069">
        <f t="shared" si="68"/>
        <v>0.5</v>
      </c>
      <c r="O381" s="1069">
        <f t="shared" si="68"/>
        <v>0</v>
      </c>
      <c r="P381" s="1069">
        <f t="shared" si="68"/>
        <v>175</v>
      </c>
      <c r="Q381" s="1069">
        <f t="shared" si="68"/>
        <v>0</v>
      </c>
      <c r="R381" s="1069">
        <f t="shared" si="68"/>
        <v>0</v>
      </c>
      <c r="S381" s="1069">
        <f t="shared" si="68"/>
        <v>0</v>
      </c>
      <c r="T381" s="1070">
        <f>1400-SUM(D381:S381)</f>
        <v>631.5</v>
      </c>
      <c r="U381" s="956" t="s">
        <v>3066</v>
      </c>
      <c r="V381" s="1069">
        <f t="shared" ref="V381:AK381" si="69">V387+V393+V399+V405</f>
        <v>182</v>
      </c>
      <c r="W381" s="1069">
        <f t="shared" si="69"/>
        <v>0</v>
      </c>
      <c r="X381" s="1069">
        <f t="shared" si="69"/>
        <v>50</v>
      </c>
      <c r="Y381" s="1069">
        <f t="shared" si="69"/>
        <v>0</v>
      </c>
      <c r="Z381" s="1069">
        <f t="shared" si="69"/>
        <v>50</v>
      </c>
      <c r="AA381" s="1069">
        <f t="shared" si="69"/>
        <v>0</v>
      </c>
      <c r="AB381" s="1069">
        <f t="shared" si="69"/>
        <v>5</v>
      </c>
      <c r="AC381" s="1069">
        <f t="shared" si="69"/>
        <v>28</v>
      </c>
      <c r="AD381" s="1069">
        <f t="shared" si="69"/>
        <v>19.8</v>
      </c>
      <c r="AE381" s="1069">
        <f t="shared" si="69"/>
        <v>18</v>
      </c>
      <c r="AF381" s="1069">
        <f t="shared" si="69"/>
        <v>26.83</v>
      </c>
      <c r="AG381" s="1069">
        <f t="shared" si="69"/>
        <v>15.6</v>
      </c>
      <c r="AH381" s="1069">
        <f t="shared" si="69"/>
        <v>130</v>
      </c>
      <c r="AI381" s="1069">
        <f t="shared" si="69"/>
        <v>0</v>
      </c>
      <c r="AJ381" s="1069">
        <f t="shared" si="69"/>
        <v>25</v>
      </c>
      <c r="AK381" s="1069">
        <f t="shared" si="69"/>
        <v>0</v>
      </c>
      <c r="AL381" s="1070">
        <f>1400-SUM(V381:AK381)</f>
        <v>849.77</v>
      </c>
    </row>
    <row r="382" spans="1:38">
      <c r="A382" s="1066"/>
      <c r="B382" s="956" t="s">
        <v>3065</v>
      </c>
      <c r="C382" s="945"/>
      <c r="D382" s="1069">
        <f t="shared" ref="D382:S382" si="70">D388+D394+D400+D406</f>
        <v>50</v>
      </c>
      <c r="E382" s="1069">
        <f t="shared" si="70"/>
        <v>20</v>
      </c>
      <c r="F382" s="1069">
        <f t="shared" si="70"/>
        <v>150</v>
      </c>
      <c r="G382" s="1069">
        <f t="shared" si="70"/>
        <v>30</v>
      </c>
      <c r="H382" s="1069">
        <f t="shared" si="70"/>
        <v>0</v>
      </c>
      <c r="I382" s="1069">
        <f t="shared" si="70"/>
        <v>20</v>
      </c>
      <c r="J382" s="1069">
        <f t="shared" si="70"/>
        <v>30</v>
      </c>
      <c r="K382" s="1069">
        <f t="shared" si="70"/>
        <v>10</v>
      </c>
      <c r="L382" s="1069">
        <f t="shared" si="70"/>
        <v>14</v>
      </c>
      <c r="M382" s="1069">
        <f t="shared" si="70"/>
        <v>75</v>
      </c>
      <c r="N382" s="1069">
        <f t="shared" si="70"/>
        <v>60.4</v>
      </c>
      <c r="O382" s="1069">
        <f t="shared" si="70"/>
        <v>0</v>
      </c>
      <c r="P382" s="1069">
        <f t="shared" si="70"/>
        <v>135</v>
      </c>
      <c r="Q382" s="1069">
        <f t="shared" si="70"/>
        <v>0</v>
      </c>
      <c r="R382" s="1069">
        <f t="shared" si="70"/>
        <v>0</v>
      </c>
      <c r="S382" s="1069">
        <f t="shared" si="70"/>
        <v>0</v>
      </c>
      <c r="T382" s="1070">
        <f>1400-SUM(D382:S382)</f>
        <v>805.6</v>
      </c>
      <c r="U382" s="956" t="s">
        <v>3065</v>
      </c>
      <c r="V382" s="1069">
        <f t="shared" ref="V382:AK382" si="71">V388+V394+V400+V406</f>
        <v>140</v>
      </c>
      <c r="W382" s="1069">
        <f t="shared" si="71"/>
        <v>60</v>
      </c>
      <c r="X382" s="1069">
        <f t="shared" si="71"/>
        <v>150</v>
      </c>
      <c r="Y382" s="1069">
        <f t="shared" si="71"/>
        <v>0</v>
      </c>
      <c r="Z382" s="1069">
        <f t="shared" si="71"/>
        <v>0</v>
      </c>
      <c r="AA382" s="1069">
        <f t="shared" si="71"/>
        <v>0</v>
      </c>
      <c r="AB382" s="1069">
        <f t="shared" si="71"/>
        <v>0</v>
      </c>
      <c r="AC382" s="1069">
        <f t="shared" si="71"/>
        <v>125</v>
      </c>
      <c r="AD382" s="1069">
        <f t="shared" si="71"/>
        <v>5</v>
      </c>
      <c r="AE382" s="1069">
        <f t="shared" si="71"/>
        <v>120</v>
      </c>
      <c r="AF382" s="1069">
        <f t="shared" si="71"/>
        <v>0.4</v>
      </c>
      <c r="AG382" s="1069">
        <f t="shared" si="71"/>
        <v>25</v>
      </c>
      <c r="AH382" s="1069">
        <f t="shared" si="71"/>
        <v>135</v>
      </c>
      <c r="AI382" s="1069">
        <f t="shared" si="71"/>
        <v>0</v>
      </c>
      <c r="AJ382" s="1069">
        <f t="shared" si="71"/>
        <v>0</v>
      </c>
      <c r="AK382" s="1069">
        <f t="shared" si="71"/>
        <v>0</v>
      </c>
      <c r="AL382" s="1070">
        <f>1400-SUM(V382:AK382)</f>
        <v>639.6</v>
      </c>
    </row>
    <row r="383" spans="1:38">
      <c r="A383" s="1066"/>
      <c r="B383" s="1074" t="s">
        <v>3064</v>
      </c>
      <c r="C383" s="1027"/>
      <c r="D383" s="1075">
        <f t="shared" ref="D383:S383" si="72">D389+D395+D401+D407</f>
        <v>330</v>
      </c>
      <c r="E383" s="1075">
        <f t="shared" si="72"/>
        <v>0</v>
      </c>
      <c r="F383" s="1075">
        <f t="shared" si="72"/>
        <v>150</v>
      </c>
      <c r="G383" s="1075">
        <f t="shared" si="72"/>
        <v>40</v>
      </c>
      <c r="H383" s="1075">
        <f t="shared" si="72"/>
        <v>50</v>
      </c>
      <c r="I383" s="1075">
        <f t="shared" si="72"/>
        <v>0</v>
      </c>
      <c r="J383" s="1075">
        <f t="shared" si="72"/>
        <v>30</v>
      </c>
      <c r="K383" s="1075">
        <f t="shared" si="72"/>
        <v>100</v>
      </c>
      <c r="L383" s="1075">
        <f t="shared" si="72"/>
        <v>16</v>
      </c>
      <c r="M383" s="1075">
        <f t="shared" si="72"/>
        <v>15</v>
      </c>
      <c r="N383" s="1075">
        <f t="shared" si="72"/>
        <v>3.7</v>
      </c>
      <c r="O383" s="1075">
        <f t="shared" si="72"/>
        <v>0</v>
      </c>
      <c r="P383" s="1075">
        <f t="shared" si="72"/>
        <v>150</v>
      </c>
      <c r="Q383" s="1075">
        <f t="shared" si="72"/>
        <v>0</v>
      </c>
      <c r="R383" s="1075">
        <f t="shared" si="72"/>
        <v>0</v>
      </c>
      <c r="S383" s="1075">
        <f t="shared" si="72"/>
        <v>0</v>
      </c>
      <c r="T383" s="1070">
        <f>1400-SUM(D383:S383)</f>
        <v>515.29999999999995</v>
      </c>
      <c r="U383" s="1074" t="s">
        <v>3064</v>
      </c>
      <c r="V383" s="1075">
        <f>V389+V395+V401+V407</f>
        <v>260</v>
      </c>
      <c r="W383" s="1075">
        <f t="shared" ref="W383:AK383" si="73">W389+W395+W401+W407</f>
        <v>0</v>
      </c>
      <c r="X383" s="1075">
        <f t="shared" si="73"/>
        <v>120</v>
      </c>
      <c r="Y383" s="1075">
        <f t="shared" si="73"/>
        <v>50</v>
      </c>
      <c r="Z383" s="1075">
        <f t="shared" si="73"/>
        <v>0</v>
      </c>
      <c r="AA383" s="1075">
        <f t="shared" si="73"/>
        <v>0</v>
      </c>
      <c r="AB383" s="1075">
        <f t="shared" si="73"/>
        <v>28</v>
      </c>
      <c r="AC383" s="1075">
        <f t="shared" si="73"/>
        <v>156</v>
      </c>
      <c r="AD383" s="1075">
        <f t="shared" si="73"/>
        <v>50</v>
      </c>
      <c r="AE383" s="1075">
        <f t="shared" si="73"/>
        <v>25</v>
      </c>
      <c r="AF383" s="1075">
        <f t="shared" si="73"/>
        <v>24.6</v>
      </c>
      <c r="AG383" s="1075">
        <f t="shared" si="73"/>
        <v>0</v>
      </c>
      <c r="AH383" s="1075">
        <f t="shared" si="73"/>
        <v>50</v>
      </c>
      <c r="AI383" s="1075">
        <f t="shared" si="73"/>
        <v>0</v>
      </c>
      <c r="AJ383" s="1075">
        <f t="shared" si="73"/>
        <v>0</v>
      </c>
      <c r="AK383" s="1075">
        <f t="shared" si="73"/>
        <v>0</v>
      </c>
      <c r="AL383" s="1078">
        <f>1400-SUM(V383:AK383)</f>
        <v>636.4</v>
      </c>
    </row>
    <row r="384" spans="1:38">
      <c r="A384" s="1066"/>
      <c r="B384" s="956" t="s">
        <v>3564</v>
      </c>
      <c r="C384" s="945"/>
      <c r="D384" s="1269" t="s">
        <v>3140</v>
      </c>
      <c r="E384" s="1083" t="s">
        <v>3069</v>
      </c>
      <c r="F384" s="1083" t="s">
        <v>3077</v>
      </c>
      <c r="G384" s="1083" t="s">
        <v>3073</v>
      </c>
      <c r="H384" s="1083" t="s">
        <v>3070</v>
      </c>
      <c r="I384" s="913" t="s">
        <v>3575</v>
      </c>
      <c r="J384" s="913" t="s">
        <v>3072</v>
      </c>
      <c r="K384" s="1083" t="s">
        <v>3085</v>
      </c>
      <c r="L384" s="1083" t="s">
        <v>3075</v>
      </c>
      <c r="M384" s="1083" t="s">
        <v>3141</v>
      </c>
      <c r="N384" s="1083" t="s">
        <v>3550</v>
      </c>
      <c r="O384" s="1083" t="s">
        <v>3078</v>
      </c>
      <c r="P384" s="1083" t="s">
        <v>3551</v>
      </c>
      <c r="Q384" s="1083" t="s">
        <v>3082</v>
      </c>
      <c r="R384" s="1083" t="s">
        <v>3083</v>
      </c>
      <c r="S384" s="1083" t="s">
        <v>3084</v>
      </c>
      <c r="T384" s="1068"/>
      <c r="U384" s="956" t="s">
        <v>3564</v>
      </c>
      <c r="V384" s="1269" t="s">
        <v>3140</v>
      </c>
      <c r="W384" s="1083" t="s">
        <v>3069</v>
      </c>
      <c r="X384" s="1083" t="s">
        <v>3077</v>
      </c>
      <c r="Y384" s="1083" t="s">
        <v>3073</v>
      </c>
      <c r="Z384" s="1083" t="s">
        <v>3070</v>
      </c>
      <c r="AA384" s="913" t="s">
        <v>3575</v>
      </c>
      <c r="AB384" s="913" t="s">
        <v>3072</v>
      </c>
      <c r="AC384" s="1083" t="s">
        <v>3085</v>
      </c>
      <c r="AD384" s="1083" t="s">
        <v>3075</v>
      </c>
      <c r="AE384" s="1083" t="s">
        <v>3141</v>
      </c>
      <c r="AF384" s="1083" t="s">
        <v>3550</v>
      </c>
      <c r="AG384" s="1083" t="s">
        <v>3078</v>
      </c>
      <c r="AH384" s="1083" t="s">
        <v>3551</v>
      </c>
      <c r="AI384" s="1083" t="s">
        <v>3082</v>
      </c>
      <c r="AJ384" s="1083" t="s">
        <v>3083</v>
      </c>
      <c r="AK384" s="1083" t="s">
        <v>3084</v>
      </c>
      <c r="AL384" s="1068"/>
    </row>
    <row r="385" spans="1:38" s="1071" customFormat="1">
      <c r="A385" s="1066"/>
      <c r="B385" s="956" t="s">
        <v>3068</v>
      </c>
      <c r="C385" s="945"/>
      <c r="D385" s="1069">
        <f>SUMIF(Meal_entry_week_1!G$407:G$426,"Vegetables_mushrooms_fresh_frozen",Meal_entry_week_1!Q$407:Q$426)</f>
        <v>0</v>
      </c>
      <c r="E385" s="1069">
        <f>SUMIF(Meal_entry_week_1!G$407:G$426,"Vegetables_processed",Meal_entry_week_1!Q$407:Q$426)</f>
        <v>0</v>
      </c>
      <c r="F385" s="1069">
        <f>SUMIF(Meal_entry_week_1!G$407:G$426,"Fruits_nuts_dried_fruit",Meal_entry_week_1!Q$407:Q$426)</f>
        <v>0</v>
      </c>
      <c r="G385" s="1069">
        <f>SUMIF(Meal_entry_week_1!G$407:G$426,"Meat_fresh_frozen",Meal_entry_week_1!Q$407:Q$426)</f>
        <v>0</v>
      </c>
      <c r="H385" s="1069">
        <f>SUMIF(Meal_entry_week_1!G$407:G$426,"Meat_processed",Meal_entry_week_1!Q$407:Q$426)</f>
        <v>0</v>
      </c>
      <c r="I385" s="1069">
        <f>SUMIF(Meal_entry_week_1!G$407:G$426,"Fish_fresh_frozen",Meal_entry_week_1!Q$407:Q$426)+SUMIF(Meal_entry_week_1!G$407:G$426,"Fish_processed_canned",Meal_entry_week_1!Q$407:Q$426)</f>
        <v>0</v>
      </c>
      <c r="J385" s="1069">
        <f>SUMIF(Meal_entry_week_1!G$407:G$426,"Eggs",Meal_entry_week_1!Q$407:Q$426)</f>
        <v>0</v>
      </c>
      <c r="K385" s="1069">
        <f>SUMIF(Meal_entry_week_1!G$407:G$426,"Dairy_products",Meal_entry_week_1!Q$407:Q$426)</f>
        <v>0</v>
      </c>
      <c r="L385" s="1069">
        <f>SUMIF(Meal_entry_week_1!G$407:G$426,"Oil_butter_margarine",Meal_entry_week_1!Q$407:Q$426)</f>
        <v>0</v>
      </c>
      <c r="M385" s="1069">
        <f>SUMIF(Meal_entry_week_1!G$407:G$426,"Flour_pasta_seeds_cereals",Meal_entry_week_1!Q$407:Q$426)</f>
        <v>0</v>
      </c>
      <c r="N385" s="1069">
        <f>SUMIF(Meal_entry_week_1!G$407:G$426,"Sauces_purees_dressings",Meal_entry_week_1!Q$407:Q$426)+SUMIF(Meal_entry_week_1!G$407:G$426,"Spices_seasonings",Meal_entry_week_1!Q$407:Q$426)</f>
        <v>0</v>
      </c>
      <c r="O385" s="1069">
        <f>SUMIF(Meal_entry_week_1!G$407:G$426,"Sweet_foods_cakes",Meal_entry_week_1!Q$407:Q$426)</f>
        <v>0</v>
      </c>
      <c r="P385" s="1069">
        <f>SUMIF(Meal_entry_week_1!G$407:G$426,"Bread_and_pastries",Meal_entry_week_1!Q$407:Q$426)+SUMIF(Meal_entry_week_1!G$407:G$426,"Savoury_pastries",Meal_entry_week_1!Q$407:Q$426)+SUMIF(Meal_entry_week_1!G$407:G$426,"Sweet_pastries",Meal_entry_week_1!Q$407:Q$426)</f>
        <v>0</v>
      </c>
      <c r="Q385" s="1069">
        <f>SUMIF(Meal_entry_week_1!G$407:G$426,"Other_processed_foods",Meal_entry_week_1!Q$407:Q$426)</f>
        <v>0</v>
      </c>
      <c r="R385" s="1069">
        <f>SUMIF(Meal_entry_week_1!G$407:G$426,"Sweetened_drinks_teas_coffee",Meal_entry_week_1!Q$407:Q$426)</f>
        <v>0</v>
      </c>
      <c r="S385" s="1069">
        <f>SUMIF(Meal_entry_week_1!G$407:G$426,"Fruit_juices_water",Meal_entry_week_1!Q$407:Q$426)</f>
        <v>0</v>
      </c>
      <c r="T385" s="1069">
        <f>550-SUM(D385:S385)</f>
        <v>550</v>
      </c>
      <c r="U385" s="956" t="s">
        <v>3068</v>
      </c>
      <c r="V385" s="1069">
        <f>SUMIF(Meal_entry_week_2!G$407:G$426,"Vegetables_mushrooms_fresh_frozen",Meal_entry_week_2!Q$407:Q$426)</f>
        <v>0</v>
      </c>
      <c r="W385" s="1069">
        <f>SUMIF(Meal_entry_week_2!G$407:G$426,"Vegetables_processed",Meal_entry_week_2!Q$407:Q$426)</f>
        <v>0</v>
      </c>
      <c r="X385" s="1069">
        <f>SUMIF(Meal_entry_week_2!G$407:G$426,"Fruits_nuts_dried_fruit",Meal_entry_week_2!Q$407:Q$426)</f>
        <v>0</v>
      </c>
      <c r="Y385" s="1069">
        <f>SUMIF(Meal_entry_week_2!G$407:G$426,"Meat_fresh_frozen",Meal_entry_week_2!Q$407:Q$426)</f>
        <v>0</v>
      </c>
      <c r="Z385" s="1069">
        <f>SUMIF(Meal_entry_week_2!G$407:G$426,"Meat_processed",Meal_entry_week_2!Q$407:Q$426)</f>
        <v>0</v>
      </c>
      <c r="AA385" s="1069">
        <f>SUMIF(Meal_entry_week_2!G$407:G$426,"Fish_fresh_frozen",Meal_entry_week_2!Q$407:Q$426)+SUMIF(Meal_entry_week_2!G$407:G$426,"Fish_processed_canned",Meal_entry_week_2!Q$407:Q$426)</f>
        <v>0</v>
      </c>
      <c r="AB385" s="1069">
        <f>SUMIF(Meal_entry_week_2!G$407:G$426,"Eggs",Meal_entry_week_2!Q$407:Q$426)</f>
        <v>0</v>
      </c>
      <c r="AC385" s="1069">
        <f>SUMIF(Meal_entry_week_2!G$407:G$426,"Dairy_products",Meal_entry_week_2!Q$407:Q$426)</f>
        <v>0</v>
      </c>
      <c r="AD385" s="1069">
        <f>SUMIF(Meal_entry_week_2!G$407:G$426,"Oil_butter_margarine",Meal_entry_week_2!Q$407:Q$426)</f>
        <v>0</v>
      </c>
      <c r="AE385" s="1069">
        <f>SUMIF(Meal_entry_week_2!G$407:G$426,"Flour_pasta_seeds_cereals",Meal_entry_week_2!Q$407:Q$426)</f>
        <v>0</v>
      </c>
      <c r="AF385" s="1069">
        <f>SUMIF(Meal_entry_week_2!G$407:G$426,"Sauces_purees_dressings",Meal_entry_week_2!Q$407:Q$426)+SUMIF(Meal_entry_week_2!G$407:G$426,"Spices_seasonings",Meal_entry_week_2!Q$407:Q$426)</f>
        <v>0</v>
      </c>
      <c r="AG385" s="1069">
        <f>SUMIF(Meal_entry_week_2!G$407:G$426,"Sweet_foods_cakes",Meal_entry_week_2!Q$407:Q$426)</f>
        <v>0</v>
      </c>
      <c r="AH385" s="1069">
        <f>SUMIF(Meal_entry_week_2!G$407:G$426,"Bread_and_pastries",Meal_entry_week_2!Q$407:Q$426)+SUMIF(Meal_entry_week_2!G$407:G$426,"Savoury_pastries",Meal_entry_week_2!Q$407:Q$426)+SUMIF(Meal_entry_week_2!G$407:G$426,"Sweet_pastries",Meal_entry_week_2!Q$407:Q$426)</f>
        <v>0</v>
      </c>
      <c r="AI385" s="1069">
        <f>SUMIF(Meal_entry_week_2!G$407:G$426,"Other_processed_foods",Meal_entry_week_2!Q$407:Q$426)</f>
        <v>0</v>
      </c>
      <c r="AJ385" s="1069">
        <f>SUMIF(Meal_entry_week_2!G$407:G$426,"Sweetened_drinks_teas_coffee",Meal_entry_week_2!Q$407:Q$426)</f>
        <v>0</v>
      </c>
      <c r="AK385" s="1069">
        <f>SUMIF(Meal_entry_week_2!G$407:G$426,"Fruit_juices_water",Meal_entry_week_2!Q$407:Q$426)</f>
        <v>0</v>
      </c>
      <c r="AL385" s="1070">
        <f>550-SUM(V385:AK385)</f>
        <v>550</v>
      </c>
    </row>
    <row r="386" spans="1:38">
      <c r="A386" s="1066"/>
      <c r="B386" s="956" t="s">
        <v>3067</v>
      </c>
      <c r="C386" s="945"/>
      <c r="D386" s="1072">
        <f>SUMIF(Meal_entry_week_1!G$308:G$327,"Vegetables_mushrooms_fresh_frozen",Meal_entry_week_1!Q$308:Q$327)</f>
        <v>0</v>
      </c>
      <c r="E386" s="1072">
        <f>SUMIF(Meal_entry_week_1!G$308:G$327,"Vegetables_processed",Meal_entry_week_1!Q$308:Q$327)</f>
        <v>0</v>
      </c>
      <c r="F386" s="1072">
        <f>SUMIF(Meal_entry_week_1!G$308:G$327,"Fruits_nuts_dried_fruit",Meal_entry_week_1!Q$308:Q$327)</f>
        <v>0</v>
      </c>
      <c r="G386" s="1072">
        <f>SUMIF(Meal_entry_week_1!G$308:G$327,"Meat_fresh_frozen",Meal_entry_week_1!Q$308:Q$327)</f>
        <v>0</v>
      </c>
      <c r="H386" s="1072">
        <f>SUMIF(Meal_entry_week_1!G$308:G$327,"Meat_processed",Meal_entry_week_1!Q$308:Q$327)</f>
        <v>0</v>
      </c>
      <c r="I386" s="1072">
        <f>SUMIF(Meal_entry_week_1!G$308:G$327,"Fish_fresh_frozen",Meal_entry_week_1!Q$308:Q$327)+SUMIF(Meal_entry_week_1!G$308:G$327,"Fish_processed_canned",Meal_entry_week_1!Q$308:Q$327)</f>
        <v>0</v>
      </c>
      <c r="J386" s="1072">
        <f>SUMIF(Meal_entry_week_1!G$308:G$327,"Eggs",Meal_entry_week_1!Q$308:Q$327)</f>
        <v>0</v>
      </c>
      <c r="K386" s="1072">
        <f>SUMIF(Meal_entry_week_1!G$308:G$327,"Dairy_products",Meal_entry_week_1!Q$308:Q$327)</f>
        <v>0</v>
      </c>
      <c r="L386" s="1072">
        <f>SUMIF(Meal_entry_week_1!G$308:G$327,"Oil_butter_margarine",Meal_entry_week_1!Q$308:Q$327)</f>
        <v>0</v>
      </c>
      <c r="M386" s="1072">
        <f>SUMIF(Meal_entry_week_1!G$308:G$327,"Flour_pasta_seeds_cereals",Meal_entry_week_1!Q$308:Q$327)</f>
        <v>0</v>
      </c>
      <c r="N386" s="1072">
        <f>SUMIF(Meal_entry_week_1!G$308:G$327,"Sauces_purees_dressings",Meal_entry_week_1!Q$308:Q$327)+SUMIF(Meal_entry_week_1!G$308:G$327,"Spices_seasonings",Meal_entry_week_1!Q$308:Q$327)</f>
        <v>0</v>
      </c>
      <c r="O386" s="1072">
        <f>SUMIF(Meal_entry_week_1!G$308:G$327,"Sweet_foods_cakes",Meal_entry_week_1!Q$308:Q$327)</f>
        <v>0</v>
      </c>
      <c r="P386" s="1072">
        <f>SUMIF(Meal_entry_week_1!G$308:G$327,"Bread_and_pastries",Meal_entry_week_1!Q$308:Q$327)+SUMIF(Meal_entry_week_1!G$308:G$327,"Savoury_pastries",Meal_entry_week_1!Q$308:Q$327)+SUMIF(Meal_entry_week_1!G$308:G$327,"Sweet_pastries",Meal_entry_week_1!Q$308:Q$327)</f>
        <v>0</v>
      </c>
      <c r="Q386" s="1072">
        <f>SUMIF(Meal_entry_week_1!G$308:G$327,"Other_processed_foods",Meal_entry_week_1!Q$308:Q$327)</f>
        <v>0</v>
      </c>
      <c r="R386" s="1072">
        <f>SUMIF(Meal_entry_week_1!G$308:G$327,"Sweetened_drinks_teas_coffee",Meal_entry_week_1!Q$308:Q$327)</f>
        <v>0</v>
      </c>
      <c r="S386" s="1072">
        <f>SUMIF(Meal_entry_week_1!G$308:G$327,"Fruit_juices_water",Meal_entry_week_1!Q$308:Q$327)</f>
        <v>0</v>
      </c>
      <c r="T386" s="1070">
        <f>550-SUM(D386:S386)</f>
        <v>550</v>
      </c>
      <c r="U386" s="956" t="s">
        <v>3067</v>
      </c>
      <c r="V386" s="1072">
        <f>SUMIF(Meal_entry_week_2!G$308:G$327,"Vegetables_mushrooms_fresh_frozen",Meal_entry_week_2!Q$308:Q$327)</f>
        <v>0</v>
      </c>
      <c r="W386" s="1072">
        <f>SUMIF(Meal_entry_week_2!G$308:G$327,"Vegetables_processed",Meal_entry_week_2!Q$308:Q$327)</f>
        <v>0</v>
      </c>
      <c r="X386" s="1072">
        <f>SUMIF(Meal_entry_week_2!G$308:G$327,"Fruits_nuts_dried_fruit",Meal_entry_week_2!Q$308:Q$327)</f>
        <v>0</v>
      </c>
      <c r="Y386" s="1072">
        <f>SUMIF(Meal_entry_week_2!G$308:G$327,"Meat_fresh_frozen",Meal_entry_week_2!Q$308:Q$327)</f>
        <v>0</v>
      </c>
      <c r="Z386" s="1072">
        <f>SUMIF(Meal_entry_week_2!G$308:G$327,"Meat_processed",Meal_entry_week_2!Q$308:Q$327)</f>
        <v>0</v>
      </c>
      <c r="AA386" s="1072">
        <f>SUMIF(Meal_entry_week_2!G$308:G$327,"Fish_fresh_frozen",Meal_entry_week_2!Q$308:Q$327)+SUMIF(Meal_entry_week_2!G$308:G$327,"Fish_processed_canned",Meal_entry_week_2!Q$308:Q$327)</f>
        <v>0</v>
      </c>
      <c r="AB386" s="1072">
        <f>SUMIF(Meal_entry_week_2!G$308:G$327,"Eggs",Meal_entry_week_2!Q$308:Q$327)</f>
        <v>0</v>
      </c>
      <c r="AC386" s="1072">
        <f>SUMIF(Meal_entry_week_2!G$308:G$327,"Dairy_products",Meal_entry_week_2!Q$308:Q$327)</f>
        <v>0</v>
      </c>
      <c r="AD386" s="1072">
        <f>SUMIF(Meal_entry_week_2!G$308:G$327,"Oil_butter_margarine",Meal_entry_week_2!Q$308:Q$327)</f>
        <v>0</v>
      </c>
      <c r="AE386" s="1072">
        <f>SUMIF(Meal_entry_week_2!G$308:G$327,"Flour_pasta_seeds_cereals",Meal_entry_week_2!Q$308:Q$327)</f>
        <v>0</v>
      </c>
      <c r="AF386" s="1072">
        <f>SUMIF(Meal_entry_week_2!G$308:G$327,"Sauces_purees_dressings",Meal_entry_week_2!Q$308:Q$327)+SUMIF(Meal_entry_week_2!G$308:G$327,"Spices_seasonings",Meal_entry_week_2!Q$308:Q$327)</f>
        <v>0</v>
      </c>
      <c r="AG386" s="1072">
        <f>SUMIF(Meal_entry_week_2!G$308:G$327,"Sweet_foods_cakes",Meal_entry_week_2!Q$308:Q$327)</f>
        <v>0</v>
      </c>
      <c r="AH386" s="1072">
        <f>SUMIF(Meal_entry_week_2!G$308:G$327,"Bread_and_pastries",Meal_entry_week_2!Q$308:Q$327)+SUMIF(Meal_entry_week_2!G$308:G$327,"Savoury_pastries",Meal_entry_week_2!Q$308:Q$327)+SUMIF(Meal_entry_week_2!G$308:G$327,"Sweet_pastries",Meal_entry_week_2!Q$308:Q$327)</f>
        <v>0</v>
      </c>
      <c r="AI386" s="1072">
        <f>SUMIF(Meal_entry_week_2!G$308:G$327,"Other_processed_foods",Meal_entry_week_2!Q$308:Q$327)</f>
        <v>0</v>
      </c>
      <c r="AJ386" s="1072">
        <f>SUMIF(Meal_entry_week_2!G$308:G$327,"Sweetened_drinks_teas_coffee",Meal_entry_week_2!Q$308:Q$327)</f>
        <v>0</v>
      </c>
      <c r="AK386" s="1072">
        <f>SUMIF(Meal_entry_week_2!G$308:G$327,"Fruit_juices_water",Meal_entry_week_2!Q$308:Q$327)</f>
        <v>0</v>
      </c>
      <c r="AL386" s="1070">
        <f t="shared" ref="AL386:AL389" si="74">550-SUM(V386:AK386)</f>
        <v>550</v>
      </c>
    </row>
    <row r="387" spans="1:38">
      <c r="A387" s="1066"/>
      <c r="B387" s="956" t="s">
        <v>3066</v>
      </c>
      <c r="C387" s="945"/>
      <c r="D387" s="1072">
        <f>SUMIF(Meal_entry_week_1!G$209:G$228,"Vegetables_mushrooms_fresh_frozen",Meal_entry_week_1!Q$209:Q$228)</f>
        <v>100</v>
      </c>
      <c r="E387" s="1072">
        <f>SUMIF(Meal_entry_week_1!G$209:G$228,"Vegetables_processed",Meal_entry_week_1!Q$209:Q$228)</f>
        <v>0</v>
      </c>
      <c r="F387" s="1072">
        <f>SUMIF(Meal_entry_week_1!G$209:G$228,"Fruits_nuts_dried_fruit",Meal_entry_week_1!Q$209:Q$228)</f>
        <v>0</v>
      </c>
      <c r="G387" s="1072">
        <f>SUMIF(Meal_entry_week_1!G$209:G$228,"Meat_fresh_frozen",Meal_entry_week_1!Q$209:Q$228)</f>
        <v>0</v>
      </c>
      <c r="H387" s="1072">
        <f>SUMIF(Meal_entry_week_1!G$209:G$228,"Meat_processed",Meal_entry_week_1!Q$209:Q$228)</f>
        <v>0</v>
      </c>
      <c r="I387" s="1072">
        <f>SUMIF(Meal_entry_week_1!G$209:G$228,"Fish_fresh_frozen",Meal_entry_week_1!Q$209:Q$228)+SUMIF(Meal_entry_week_1!G$209:G$228,"Fish_processed_canned",Meal_entry_week_1!Q$209:Q$228)</f>
        <v>0</v>
      </c>
      <c r="J387" s="1072">
        <f>SUMIF(Meal_entry_week_1!G$209:G$228,"Eggs",Meal_entry_week_1!Q$209:Q$228)</f>
        <v>0</v>
      </c>
      <c r="K387" s="1072">
        <f>SUMIF(Meal_entry_week_1!G$209:G$228,"Dairy_products",Meal_entry_week_1!Q$209:Q$228)</f>
        <v>0</v>
      </c>
      <c r="L387" s="1072">
        <f>SUMIF(Meal_entry_week_1!G$209:G$228,"Oil_butter_margarine",Meal_entry_week_1!Q$209:Q$228)</f>
        <v>0</v>
      </c>
      <c r="M387" s="1072">
        <f>SUMIF(Meal_entry_week_1!G$209:G$228,"Flour_pasta_seeds_cereals",Meal_entry_week_1!Q$209:Q$228)</f>
        <v>0</v>
      </c>
      <c r="N387" s="1072">
        <f>SUMIF(Meal_entry_week_1!G$209:G$228,"Sauces_purees_dressings",Meal_entry_week_1!Q$209:Q$228)+SUMIF(Meal_entry_week_1!G$209:G$228,"Spices_seasonings",Meal_entry_week_1!Q$209:Q$228)</f>
        <v>0</v>
      </c>
      <c r="O387" s="1072">
        <f>SUMIF(Meal_entry_week_1!G$209:G$228,"Sweet_foods_cakes",Meal_entry_week_1!Q$209:Q$228)</f>
        <v>0</v>
      </c>
      <c r="P387" s="1072">
        <f>SUMIF(Meal_entry_week_1!G$209:G$228,"Bread_and_pastries",Meal_entry_week_1!Q$209:Q$228)+SUMIF(Meal_entry_week_1!G$209:G$228,"Savoury_pastries",Meal_entry_week_1!Q$209:Q$228)+SUMIF(Meal_entry_week_1!G$209:G$228,"Sweet_pastries",Meal_entry_week_1!Q$209:Q$228)</f>
        <v>0</v>
      </c>
      <c r="Q387" s="1072">
        <f>SUMIF(Meal_entry_week_1!G$209:G$228,"Other_processed_foods",Meal_entry_week_1!Q$209:Q$228)</f>
        <v>0</v>
      </c>
      <c r="R387" s="1072">
        <f>SUMIF(Meal_entry_week_1!G$209:G$228,"Sweetened_drinks_teas_coffee",Meal_entry_week_1!Q$209:Q$228)</f>
        <v>0</v>
      </c>
      <c r="S387" s="1072">
        <f>SUMIF(Meal_entry_week_1!G$209:G$228,"Fruit_juices_water",Meal_entry_week_1!Q$209:Q$228)</f>
        <v>0</v>
      </c>
      <c r="T387" s="1070">
        <f>550-SUM(D387:S387)</f>
        <v>450</v>
      </c>
      <c r="U387" s="956" t="s">
        <v>3066</v>
      </c>
      <c r="V387" s="1072">
        <f>SUMIF(Meal_entry_week_2!G$209:G$228,"Vegetables_mushrooms_fresh_frozen",Meal_entry_week_2!Q$209:Q$228)</f>
        <v>0</v>
      </c>
      <c r="W387" s="1072">
        <f>SUMIF(Meal_entry_week_2!G$209:G$228,"Vegetables_processed",Meal_entry_week_2!Q$209:Q$228)</f>
        <v>0</v>
      </c>
      <c r="X387" s="1072">
        <f>SUMIF(Meal_entry_week_2!G$209:G$228,"Fruits_nuts_dried_fruit",Meal_entry_week_2!Q$209:Q$228)</f>
        <v>0</v>
      </c>
      <c r="Y387" s="1072">
        <f>SUMIF(Meal_entry_week_2!G$209:G$228,"Meat_fresh_frozen",Meal_entry_week_2!Q$209:Q$228)</f>
        <v>0</v>
      </c>
      <c r="Z387" s="1072">
        <f>SUMIF(Meal_entry_week_2!G$209:G$228,"Meat_processed",Meal_entry_week_2!Q$209:Q$228)</f>
        <v>0</v>
      </c>
      <c r="AA387" s="1072">
        <f>SUMIF(Meal_entry_week_2!G$209:G$228,"Fish_fresh_frozen",Meal_entry_week_2!Q$209:Q$228)+SUMIF(Meal_entry_week_2!G$209:G$228,"Fish_processed_canned",Meal_entry_week_2!Q$209:Q$228)</f>
        <v>0</v>
      </c>
      <c r="AB387" s="1072">
        <f>SUMIF(Meal_entry_week_2!G$209:G$228,"Eggs",Meal_entry_week_2!Q$209:Q$228)</f>
        <v>0</v>
      </c>
      <c r="AC387" s="1072">
        <f>SUMIF(Meal_entry_week_2!G$209:G$228,"Dairy_products",Meal_entry_week_2!Q$209:Q$228)</f>
        <v>0</v>
      </c>
      <c r="AD387" s="1072">
        <f>SUMIF(Meal_entry_week_2!G$209:G$228,"Oil_butter_margarine",Meal_entry_week_2!Q$209:Q$228)</f>
        <v>0</v>
      </c>
      <c r="AE387" s="1072">
        <f>SUMIF(Meal_entry_week_2!G$209:G$228,"Flour_pasta_seeds_cereals",Meal_entry_week_2!Q$209:Q$228)</f>
        <v>0</v>
      </c>
      <c r="AF387" s="1072">
        <f>SUMIF(Meal_entry_week_2!G$209:G$228,"Sauces_purees_dressings",Meal_entry_week_2!Q$209:Q$228)+SUMIF(Meal_entry_week_2!G$209:G$228,"Spices_seasonings",Meal_entry_week_2!Q$209:Q$228)</f>
        <v>0</v>
      </c>
      <c r="AG387" s="1072">
        <f>SUMIF(Meal_entry_week_2!G$209:G$228,"Sweet_foods_cakes",Meal_entry_week_2!Q$209:Q$228)</f>
        <v>0</v>
      </c>
      <c r="AH387" s="1072">
        <f>SUMIF(Meal_entry_week_2!G$209:G$228,"Bread_and_pastries",Meal_entry_week_2!Q$209:Q$228)+SUMIF(Meal_entry_week_2!G$209:G$228,"Savoury_pastries",Meal_entry_week_2!Q$209:Q$228)+SUMIF(Meal_entry_week_2!G$209:G$228,"Sweet_pastries",Meal_entry_week_2!Q$209:Q$228)</f>
        <v>0</v>
      </c>
      <c r="AI387" s="1072">
        <f>SUMIF(Meal_entry_week_2!G$209:G$228,"Other_processed_foods",Meal_entry_week_2!Q$209:Q$228)</f>
        <v>0</v>
      </c>
      <c r="AJ387" s="1072">
        <f>SUMIF(Meal_entry_week_2!G$209:G$228,"Sweetened_drinks_teas_coffee",Meal_entry_week_2!Q$209:Q$228)</f>
        <v>0</v>
      </c>
      <c r="AK387" s="1072">
        <f>SUMIF(Meal_entry_week_2!G$209:G$228,"Fruit_juices_water",Meal_entry_week_2!Q$209:Q$228)</f>
        <v>0</v>
      </c>
      <c r="AL387" s="1070">
        <f t="shared" si="74"/>
        <v>550</v>
      </c>
    </row>
    <row r="388" spans="1:38">
      <c r="A388" s="1066"/>
      <c r="B388" s="956" t="s">
        <v>3065</v>
      </c>
      <c r="C388" s="945"/>
      <c r="D388" s="1072">
        <f>SUMIF(Meal_entry_week_1!G$110:G$129,"Vegetables_mushrooms_fresh_frozen",Meal_entry_week_1!Q$110:Q$129)</f>
        <v>0</v>
      </c>
      <c r="E388" s="1072">
        <f>SUMIF(Meal_entry_week_1!G$110:G$129,"Vegetables_processed",Meal_entry_week_1!Q$110:Q$129)</f>
        <v>0</v>
      </c>
      <c r="F388" s="1072">
        <f>SUMIF(Meal_entry_week_1!G$110:G$129,"Fruits_nuts_dried_fruit",Meal_entry_week_1!Q$110:Q$129)</f>
        <v>0</v>
      </c>
      <c r="G388" s="1072">
        <f>SUMIF(Meal_entry_week_1!G$110:G$129,"Meat_fresh_frozen",Meal_entry_week_1!Q$110:Q$129)</f>
        <v>0</v>
      </c>
      <c r="H388" s="1072">
        <f>SUMIF(Meal_entry_week_1!G$110:G$129,"Meat_processed",Meal_entry_week_1!Q$110:Q$129)</f>
        <v>0</v>
      </c>
      <c r="I388" s="1072">
        <f>SUMIF(Meal_entry_week_1!G$110:G$129,"Fish_fresh_frozen",Meal_entry_week_1!Q$110:Q$129)+SUMIF(Meal_entry_week_1!G$110:G$129,"Fish_processed_canned",Meal_entry_week_1!Q$110:Q$129)</f>
        <v>0</v>
      </c>
      <c r="J388" s="1072">
        <f>SUMIF(Meal_entry_week_1!G$110:G$129,"Eggs",Meal_entry_week_1!Q$110:Q$129)</f>
        <v>0</v>
      </c>
      <c r="K388" s="1072">
        <f>SUMIF(Meal_entry_week_1!G$110:G$129,"Dairy_products",Meal_entry_week_1!Q$110:Q$129)</f>
        <v>0</v>
      </c>
      <c r="L388" s="1072">
        <f>SUMIF(Meal_entry_week_1!G$110:G$129,"Oil_butter_margarine",Meal_entry_week_1!Q$110:Q$129)</f>
        <v>0</v>
      </c>
      <c r="M388" s="1072">
        <f>SUMIF(Meal_entry_week_1!G$110:G$129,"Flour_pasta_seeds_cereals",Meal_entry_week_1!Q$110:Q$129)</f>
        <v>0</v>
      </c>
      <c r="N388" s="1072">
        <f>SUMIF(Meal_entry_week_1!G$110:G$129,"Sauces_purees_dressings",Meal_entry_week_1!Q$110:Q$129)+SUMIF(Meal_entry_week_1!G$110:G$129,"Spices_seasonings",Meal_entry_week_1!Q$110:Q$129)</f>
        <v>0</v>
      </c>
      <c r="O388" s="1072">
        <f>SUMIF(Meal_entry_week_1!G$110:G$129,"Sweet_foods_cakes",Meal_entry_week_1!Q$110:Q$129)</f>
        <v>0</v>
      </c>
      <c r="P388" s="1072">
        <f>SUMIF(Meal_entry_week_1!G$110:G$129,"Bread_and_pastries",Meal_entry_week_1!Q$110:Q$129)+SUMIF(Meal_entry_week_1!G$110:G$129,"Savoury_pastries",Meal_entry_week_1!Q$110:Q$129)+SUMIF(Meal_entry_week_1!G$110:G$129,"Sweet_pastries",Meal_entry_week_1!Q$110:Q$129)</f>
        <v>0</v>
      </c>
      <c r="Q388" s="1072">
        <f>SUMIF(Meal_entry_week_1!G$110:G$129,"Other_processed_foods",Meal_entry_week_1!Q$110:Q$129)</f>
        <v>0</v>
      </c>
      <c r="R388" s="1072">
        <f>SUMIF(Meal_entry_week_1!G$110:G$129,"Sweetened_drinks_teas_coffee",Meal_entry_week_1!Q$110:Q$129)</f>
        <v>0</v>
      </c>
      <c r="S388" s="1072">
        <f>SUMIF(Meal_entry_week_1!G$110:G$129,"Fruit_juices_water",Meal_entry_week_1!Q$110:Q$129)</f>
        <v>0</v>
      </c>
      <c r="T388" s="1070">
        <f>550-SUM(D388:S388)</f>
        <v>550</v>
      </c>
      <c r="U388" s="956" t="s">
        <v>3065</v>
      </c>
      <c r="V388" s="1072">
        <f>SUMIF(Meal_entry_week_2!G$110:G$129,"Vegetables_mushrooms_fresh_frozen",Meal_entry_week_2!Q$110:Q$129)</f>
        <v>0</v>
      </c>
      <c r="W388" s="1072">
        <f>SUMIF(Meal_entry_week_2!G$110:G$129,"Vegetables_processed",Meal_entry_week_2!Q$110:Q$129)</f>
        <v>0</v>
      </c>
      <c r="X388" s="1072">
        <f>SUMIF(Meal_entry_week_2!G$110:G$129,"Fruits_nuts_dried_fruit",Meal_entry_week_2!Q$110:Q$129)</f>
        <v>0</v>
      </c>
      <c r="Y388" s="1072">
        <f>SUMIF(Meal_entry_week_2!G$110:G$129,"Meat_fresh_frozen",Meal_entry_week_2!Q$110:Q$129)</f>
        <v>0</v>
      </c>
      <c r="Z388" s="1072">
        <f>SUMIF(Meal_entry_week_2!G$110:G$129,"Meat_processed",Meal_entry_week_2!Q$110:Q$129)</f>
        <v>0</v>
      </c>
      <c r="AA388" s="1072">
        <f>SUMIF(Meal_entry_week_2!G$110:G$129,"Fish_fresh_frozen",Meal_entry_week_2!Q$110:Q$129)+SUMIF(Meal_entry_week_2!G$110:G$129,"Fish_processed_canned",Meal_entry_week_2!Q$110:Q$129)</f>
        <v>0</v>
      </c>
      <c r="AB388" s="1072">
        <f>SUMIF(Meal_entry_week_2!G$110:G$129,"Eggs",Meal_entry_week_2!Q$110:Q$129)</f>
        <v>0</v>
      </c>
      <c r="AC388" s="1072">
        <f>SUMIF(Meal_entry_week_2!G$110:G$129,"Dairy_products",Meal_entry_week_2!Q$110:Q$129)</f>
        <v>0</v>
      </c>
      <c r="AD388" s="1072">
        <f>SUMIF(Meal_entry_week_2!G$110:G$129,"Oil_butter_margarine",Meal_entry_week_2!Q$110:Q$129)</f>
        <v>0</v>
      </c>
      <c r="AE388" s="1072">
        <f>SUMIF(Meal_entry_week_2!G$110:G$129,"Flour_pasta_seeds_cereals",Meal_entry_week_2!Q$110:Q$129)</f>
        <v>0</v>
      </c>
      <c r="AF388" s="1072">
        <f>SUMIF(Meal_entry_week_2!G$110:G$129,"Sauces_purees_dressings",Meal_entry_week_2!Q$110:Q$129)+SUMIF(Meal_entry_week_2!G$110:G$129,"Spices_seasonings",Meal_entry_week_2!Q$110:Q$129)</f>
        <v>0</v>
      </c>
      <c r="AG388" s="1072">
        <f>SUMIF(Meal_entry_week_2!G$110:G$129,"Sweet_foods_cakes",Meal_entry_week_2!Q$110:Q$129)</f>
        <v>0</v>
      </c>
      <c r="AH388" s="1072">
        <f>SUMIF(Meal_entry_week_2!G$110:G$129,"Bread_and_pastries",Meal_entry_week_2!Q$110:Q$129)+SUMIF(Meal_entry_week_2!G$110:G$129,"Savoury_pastries",Meal_entry_week_2!Q$110:Q$129)+SUMIF(Meal_entry_week_2!G$110:G$129,"Sweet_pastries",Meal_entry_week_2!Q$110:Q$129)</f>
        <v>0</v>
      </c>
      <c r="AI388" s="1072">
        <f>SUMIF(Meal_entry_week_2!G$110:G$129,"Other_processed_foods",Meal_entry_week_2!Q$110:Q$129)</f>
        <v>0</v>
      </c>
      <c r="AJ388" s="1072">
        <f>SUMIF(Meal_entry_week_2!G$110:G$129,"Sweetened_drinks_teas_coffee",Meal_entry_week_2!Q$110:Q$129)</f>
        <v>0</v>
      </c>
      <c r="AK388" s="1072">
        <f>SUMIF(Meal_entry_week_2!G$110:G$129,"Fruit_juices_water",Meal_entry_week_2!Q$110:Q$129)</f>
        <v>0</v>
      </c>
      <c r="AL388" s="1070">
        <f t="shared" si="74"/>
        <v>550</v>
      </c>
    </row>
    <row r="389" spans="1:38">
      <c r="A389" s="1066"/>
      <c r="B389" s="1074" t="s">
        <v>3064</v>
      </c>
      <c r="C389" s="1027"/>
      <c r="D389" s="1075">
        <f>SUMIF(Meal_entry_week_1!G$11:G$30,"Vegetables_mushrooms_fresh_frozen",Meal_entry_week_1!Q$11:Q$30)</f>
        <v>0</v>
      </c>
      <c r="E389" s="1075">
        <f>SUMIF(Meal_entry_week_1!G$11:G$30,"Vegetables_processed",Meal_entry_week_1!Q$11:Q$30)</f>
        <v>0</v>
      </c>
      <c r="F389" s="1075">
        <f>SUMIF(Meal_entry_week_1!G$11:G$30,"Fruits_nuts_dried_fruit",Meal_entry_week_1!Q$11:Q$30)</f>
        <v>0</v>
      </c>
      <c r="G389" s="1075">
        <f>SUMIF(Meal_entry_week_1!G$11:G$30,"Meat_fresh_frozen",Meal_entry_week_1!Q$11:Q$30)</f>
        <v>0</v>
      </c>
      <c r="H389" s="1075">
        <f>SUMIF(Meal_entry_week_1!G$11:G$30,"Meat_processed",Meal_entry_week_1!Q$11:Q$30)</f>
        <v>0</v>
      </c>
      <c r="I389" s="1075">
        <f>SUMIF(Meal_entry_week_1!G$11:G$30,"Fish_fresh_frozen",Meal_entry_week_1!Q$11:Q$30)+SUMIF(Meal_entry_week_1!G$11:G$30,"Fish_processed_canned",Meal_entry_week_1!Q$11:Q$30)</f>
        <v>0</v>
      </c>
      <c r="J389" s="1075">
        <f>SUMIF(Meal_entry_week_1!G$11:G$30,"Eggs",Meal_entry_week_1!Q$11:Q$30)</f>
        <v>0</v>
      </c>
      <c r="K389" s="1075">
        <f>SUMIF(Meal_entry_week_1!G$11:G$30,"Dairy_products",Meal_entry_week_1!Q$11:Q$30)</f>
        <v>0</v>
      </c>
      <c r="L389" s="1075">
        <f>SUMIF(Meal_entry_week_1!G$11:G$30,"Oil_butter_margarine",Meal_entry_week_1!Q$11:Q$30)</f>
        <v>0</v>
      </c>
      <c r="M389" s="1075">
        <f>SUMIF(Meal_entry_week_1!G$11:G$30,"Flour_pasta_seeds_cereals",Meal_entry_week_1!Q$11:Q$30)</f>
        <v>0</v>
      </c>
      <c r="N389" s="1075">
        <f>SUMIF(Meal_entry_week_1!G$11:G$30,"Sauces_purees_dressings",Meal_entry_week_1!Q$11:Q$30)+SUMIF(Meal_entry_week_1!G$11:G$30,"Spices_seasonings",Meal_entry_week_1!Q$11:Q$30)</f>
        <v>0</v>
      </c>
      <c r="O389" s="1075">
        <f>SUMIF(Meal_entry_week_1!G$11:G$30,"Sweet_foods_cakes",Meal_entry_week_1!Q$11:Q$30)</f>
        <v>0</v>
      </c>
      <c r="P389" s="1075">
        <f>SUMIF(Meal_entry_week_1!G$11:G$30,"Bread_and_pastries",Meal_entry_week_1!Q$11:Q$30)+SUMIF(Meal_entry_week_1!G$11:G$30,"Savoury_pastries",Meal_entry_week_1!Q$11:Q$30)+SUMIF(Meal_entry_week_1!G$11:G$30,"Sweet_pastries",Meal_entry_week_1!Q$11:Q$30)</f>
        <v>0</v>
      </c>
      <c r="Q389" s="1075">
        <f>SUMIF(Meal_entry_week_1!G$11:G$30,"Other_processed_foods",Meal_entry_week_1!Q$11:Q$30)</f>
        <v>0</v>
      </c>
      <c r="R389" s="1075">
        <f>SUMIF(Meal_entry_week_1!G$11:G$30,"Sweetened_drinks_teas_coffee",Meal_entry_week_1!Q$11:Q$30)</f>
        <v>0</v>
      </c>
      <c r="S389" s="1075">
        <f>SUMIF(Meal_entry_week_1!G$11:G$30,"Fruit_juices_water",Meal_entry_week_1!Q$11:Q$30)</f>
        <v>0</v>
      </c>
      <c r="T389" s="1070">
        <f>550-SUM(D389:S389)</f>
        <v>550</v>
      </c>
      <c r="U389" s="1074" t="s">
        <v>3064</v>
      </c>
      <c r="V389" s="1075">
        <f>SUMIF(Meal_entry_week_2!G$11:G$30,"Vegetables_mushrooms_fresh_frozen",Meal_entry_week_2!Q$11:Q$30)</f>
        <v>0</v>
      </c>
      <c r="W389" s="1075">
        <f>SUMIF(Meal_entry_week_2!G$11:G$30,"Vegetables_processed",Meal_entry_week_2!Q$11:Q$30)</f>
        <v>0</v>
      </c>
      <c r="X389" s="1075">
        <f>SUMIF(Meal_entry_week_2!G$11:G$30,"Fruits_nuts_dried_fruit",Meal_entry_week_2!Q$11:Q$30)</f>
        <v>0</v>
      </c>
      <c r="Y389" s="1075">
        <f>SUMIF(Meal_entry_week_2!G$11:G$30,"Meat_fresh_frozen",Meal_entry_week_2!Q$11:Q$30)</f>
        <v>0</v>
      </c>
      <c r="Z389" s="1075">
        <f>SUMIF(Meal_entry_week_2!G$11:G$30,"Meat_processed",Meal_entry_week_2!Q$11:Q$30)</f>
        <v>0</v>
      </c>
      <c r="AA389" s="1075">
        <f>SUMIF(Meal_entry_week_2!G$11:G$30,"Fish_fresh_frozen",Meal_entry_week_2!Q$11:Q$30)+SUMIF(Meal_entry_week_2!G$11:G$30,"Fish_processed_canned",Meal_entry_week_2!Q$11:Q$30)</f>
        <v>0</v>
      </c>
      <c r="AB389" s="1075">
        <f>SUMIF(Meal_entry_week_2!G$11:G$30,"Eggs",Meal_entry_week_2!Q$11:Q$30)</f>
        <v>0</v>
      </c>
      <c r="AC389" s="1075">
        <f>SUMIF(Meal_entry_week_2!G$11:G$30,"Dairy_products",Meal_entry_week_2!Q$11:Q$30)</f>
        <v>0</v>
      </c>
      <c r="AD389" s="1075">
        <f>SUMIF(Meal_entry_week_2!G$11:G$30,"Oil_butter_margarine",Meal_entry_week_2!Q$11:Q$30)</f>
        <v>0</v>
      </c>
      <c r="AE389" s="1075">
        <f>SUMIF(Meal_entry_week_2!G$11:G$30,"Flour_pasta_seeds_cereals",Meal_entry_week_2!Q$11:Q$30)</f>
        <v>0</v>
      </c>
      <c r="AF389" s="1075">
        <f>SUMIF(Meal_entry_week_2!G$11:G$30,"Sauces_purees_dressings",Meal_entry_week_2!Q$11:Q$30)+SUMIF(Meal_entry_week_2!G$11:G$30,"Spices_seasonings",Meal_entry_week_2!Q$11:Q$30)</f>
        <v>0</v>
      </c>
      <c r="AG389" s="1075">
        <f>SUMIF(Meal_entry_week_2!G$11:G$30,"Sweet_foods_cakes",Meal_entry_week_2!Q$11:Q$30)</f>
        <v>0</v>
      </c>
      <c r="AH389" s="1075">
        <f>SUMIF(Meal_entry_week_2!G$11:G$30,"Bread_and_pastries",Meal_entry_week_2!Q$11:Q$30)+SUMIF(Meal_entry_week_2!G$11:G$30,"Savoury_pastries",Meal_entry_week_2!Q$11:Q$30)+SUMIF(Meal_entry_week_2!G$11:G$30,"Sweet_pastries",Meal_entry_week_2!Q$11:Q$30)</f>
        <v>0</v>
      </c>
      <c r="AI389" s="1075">
        <f>SUMIF(Meal_entry_week_2!G$11:G$30,"Other_processed_foods",Meal_entry_week_2!Q$11:Q$30)</f>
        <v>0</v>
      </c>
      <c r="AJ389" s="1075">
        <f>SUMIF(Meal_entry_week_2!G$11:G$30,"Sweetened_drinks_teas_coffee",Meal_entry_week_2!Q$11:Q$30)</f>
        <v>0</v>
      </c>
      <c r="AK389" s="1075">
        <f>SUMIF(Meal_entry_week_2!G$11:G$30,"Fruit_juices_water",Meal_entry_week_2!Q$11:Q$30)</f>
        <v>0</v>
      </c>
      <c r="AL389" s="1070">
        <f t="shared" si="74"/>
        <v>550</v>
      </c>
    </row>
    <row r="390" spans="1:38">
      <c r="A390" s="1066"/>
      <c r="B390" s="956" t="s">
        <v>3565</v>
      </c>
      <c r="C390" s="945"/>
      <c r="D390" s="1269" t="s">
        <v>3140</v>
      </c>
      <c r="E390" s="1083" t="s">
        <v>3069</v>
      </c>
      <c r="F390" s="1083" t="s">
        <v>3077</v>
      </c>
      <c r="G390" s="1083" t="s">
        <v>3073</v>
      </c>
      <c r="H390" s="1083" t="s">
        <v>3070</v>
      </c>
      <c r="I390" s="913" t="s">
        <v>3575</v>
      </c>
      <c r="J390" s="913" t="s">
        <v>3072</v>
      </c>
      <c r="K390" s="1083" t="s">
        <v>3085</v>
      </c>
      <c r="L390" s="1083" t="s">
        <v>3075</v>
      </c>
      <c r="M390" s="1083" t="s">
        <v>3141</v>
      </c>
      <c r="N390" s="1083" t="s">
        <v>3550</v>
      </c>
      <c r="O390" s="1083" t="s">
        <v>3078</v>
      </c>
      <c r="P390" s="1083" t="s">
        <v>3551</v>
      </c>
      <c r="Q390" s="1083" t="s">
        <v>3082</v>
      </c>
      <c r="R390" s="1083" t="s">
        <v>3083</v>
      </c>
      <c r="S390" s="1083" t="s">
        <v>3084</v>
      </c>
      <c r="T390" s="1068"/>
      <c r="U390" s="956" t="s">
        <v>3565</v>
      </c>
      <c r="V390" s="1269" t="s">
        <v>3140</v>
      </c>
      <c r="W390" s="1083" t="s">
        <v>3069</v>
      </c>
      <c r="X390" s="1083" t="s">
        <v>3077</v>
      </c>
      <c r="Y390" s="1083" t="s">
        <v>3073</v>
      </c>
      <c r="Z390" s="1083" t="s">
        <v>3070</v>
      </c>
      <c r="AA390" s="913" t="s">
        <v>3575</v>
      </c>
      <c r="AB390" s="913" t="s">
        <v>3072</v>
      </c>
      <c r="AC390" s="1083" t="s">
        <v>3085</v>
      </c>
      <c r="AD390" s="1083" t="s">
        <v>3075</v>
      </c>
      <c r="AE390" s="1083" t="s">
        <v>3141</v>
      </c>
      <c r="AF390" s="1083" t="s">
        <v>3550</v>
      </c>
      <c r="AG390" s="1083" t="s">
        <v>3078</v>
      </c>
      <c r="AH390" s="1083" t="s">
        <v>3551</v>
      </c>
      <c r="AI390" s="1083" t="s">
        <v>3082</v>
      </c>
      <c r="AJ390" s="1083" t="s">
        <v>3083</v>
      </c>
      <c r="AK390" s="1083" t="s">
        <v>3084</v>
      </c>
      <c r="AL390" s="1068"/>
    </row>
    <row r="391" spans="1:38" s="1071" customFormat="1">
      <c r="A391" s="1066"/>
      <c r="B391" s="956" t="s">
        <v>3068</v>
      </c>
      <c r="C391" s="945"/>
      <c r="D391" s="1069">
        <f>SUMIF(Meal_entry_week_1!G$434:G$445,"Vegetables_mushrooms_fresh_frozen",Meal_entry_week_1!Q$434:Q$445)</f>
        <v>0</v>
      </c>
      <c r="E391" s="1069">
        <f>SUMIF(Meal_entry_week_1!G$434:G$445,"Vegetables_processed",Meal_entry_week_1!Q$434:Q$445)</f>
        <v>0</v>
      </c>
      <c r="F391" s="1069">
        <f>SUMIF(Meal_entry_week_1!G$434:G$445,"Fruits_nuts_dried_fruit",Meal_entry_week_1!Q$434:Q$445)</f>
        <v>0</v>
      </c>
      <c r="G391" s="1069">
        <f>SUMIF(Meal_entry_week_1!G$434:G$445,"Meat_fresh_frozen",Meal_entry_week_1!Q$434:Q$445)</f>
        <v>0</v>
      </c>
      <c r="H391" s="1069">
        <f>SUMIF(Meal_entry_week_1!G$434:G$445,"Meat_processed",Meal_entry_week_1!Q$434:Q$445)</f>
        <v>0</v>
      </c>
      <c r="I391" s="1069">
        <f>SUMIF(Meal_entry_week_1!G$434:G$445,"Fish_fresh_frozen",Meal_entry_week_1!Q$434:Q$445)+SUMIF(Meal_entry_week_1!G$434:G$445,"Fish_processed_canned",Meal_entry_week_1!Q$434:Q$445)</f>
        <v>0</v>
      </c>
      <c r="J391" s="1069">
        <f>SUMIF(Meal_entry_week_1!G$434:G$445,"Eggs",Meal_entry_week_1!Q$434:Q$445)</f>
        <v>0</v>
      </c>
      <c r="K391" s="1069">
        <f>SUMIF(Meal_entry_week_1!G$434:G$445,"Dairy_products",Meal_entry_week_1!Q$434:Q$445)</f>
        <v>100</v>
      </c>
      <c r="L391" s="1069">
        <f>SUMIF(Meal_entry_week_1!G$434:G$445,"Oil_butter_margarine",Meal_entry_week_1!Q$434:Q$445)</f>
        <v>0</v>
      </c>
      <c r="M391" s="1069">
        <f>SUMIF(Meal_entry_week_1!G$434:G$445,"Flour_pasta_seeds_cereals",Meal_entry_week_1!Q$434:Q$445)</f>
        <v>0</v>
      </c>
      <c r="N391" s="1069">
        <f>SUMIF(Meal_entry_week_1!G$434:G$445,"Sauces_purees_dressings",Meal_entry_week_1!Q$434:Q$445)+SUMIF(Meal_entry_week_1!G$434:G$445,"Spices_seasonings",Meal_entry_week_1!Q$434:Q$445)</f>
        <v>0</v>
      </c>
      <c r="O391" s="1069">
        <f>SUMIF(Meal_entry_week_1!G$434:G$445,"Sweet_foods_cakes",Meal_entry_week_1!Q$434:Q$445)</f>
        <v>0</v>
      </c>
      <c r="P391" s="1069">
        <f>SUMIF(Meal_entry_week_1!G$434:G$445,"Bread_and_pastries",Meal_entry_week_1!Q$434:Q$445)+SUMIF(Meal_entry_week_1!G$434:G$445,"Savoury_pastries",Meal_entry_week_1!Q$434:Q$445)+SUMIF(Meal_entry_week_1!G$434:G$445,"Sweet_pastries",Meal_entry_week_1!Q$434:Q$445)</f>
        <v>70</v>
      </c>
      <c r="Q391" s="1069">
        <f>SUMIF(Meal_entry_week_1!G$434:G$445,"Other_processed_foods",Meal_entry_week_1!Q$434:Q$445)</f>
        <v>0</v>
      </c>
      <c r="R391" s="1069">
        <f>SUMIF(Meal_entry_week_1!G$434:G$445,"Sweetened_drinks_teas_coffee",Meal_entry_week_1!Q$434:Q$445)</f>
        <v>0</v>
      </c>
      <c r="S391" s="1069">
        <f>SUMIF(Meal_entry_week_1!G$434:G$445,"Fruit_juices_water",Meal_entry_week_1!Q$434:Q$445)</f>
        <v>0</v>
      </c>
      <c r="T391" s="1069">
        <f>450-SUM(D391:S391)</f>
        <v>280</v>
      </c>
      <c r="U391" s="956" t="s">
        <v>3068</v>
      </c>
      <c r="V391" s="1069">
        <f>SUMIF(Meal_entry_week_2!G$434:G$445,"Vegetables_mushrooms_fresh_frozen",Meal_entry_week_2!Q$434:Q$445)</f>
        <v>0</v>
      </c>
      <c r="W391" s="1069">
        <f>SUMIF(Meal_entry_week_2!G$434:G$445,"Vegetables_processed",Meal_entry_week_2!Q$434:Q$445)</f>
        <v>0</v>
      </c>
      <c r="X391" s="1069">
        <f>SUMIF(Meal_entry_week_2!G$434:G$445,"Fruits_nuts_dried_fruit",Meal_entry_week_2!Q$434:Q$445)</f>
        <v>0</v>
      </c>
      <c r="Y391" s="1069">
        <f>SUMIF(Meal_entry_week_2!G$434:G$445,"Meat_fresh_frozen",Meal_entry_week_2!Q$434:Q$445)</f>
        <v>0</v>
      </c>
      <c r="Z391" s="1069">
        <f>SUMIF(Meal_entry_week_2!G$434:G$445,"Meat_processed",Meal_entry_week_2!Q$434:Q$445)</f>
        <v>0</v>
      </c>
      <c r="AA391" s="1069">
        <f>SUMIF(Meal_entry_week_2!G$434:G$445,"Fish_fresh_frozen",Meal_entry_week_2!Q$434:Q$445)+SUMIF(Meal_entry_week_2!G$434:G$445,"Fish_processed_canned",Meal_entry_week_2!Q$434:Q$445)</f>
        <v>0</v>
      </c>
      <c r="AB391" s="1069">
        <f>SUMIF(Meal_entry_week_2!G$434:G$445,"Eggs",Meal_entry_week_2!Q$434:Q$445)</f>
        <v>2.2999999999999998</v>
      </c>
      <c r="AC391" s="1069">
        <f>SUMIF(Meal_entry_week_2!G$434:G$445,"Dairy_products",Meal_entry_week_2!Q$434:Q$445)</f>
        <v>16</v>
      </c>
      <c r="AD391" s="1069">
        <f>SUMIF(Meal_entry_week_2!G$434:G$445,"Oil_butter_margarine",Meal_entry_week_2!Q$434:Q$445)</f>
        <v>31</v>
      </c>
      <c r="AE391" s="1069">
        <f>SUMIF(Meal_entry_week_2!G$434:G$445,"Flour_pasta_seeds_cereals",Meal_entry_week_2!Q$434:Q$445)</f>
        <v>47</v>
      </c>
      <c r="AF391" s="1069">
        <f>SUMIF(Meal_entry_week_2!G$434:G$445,"Sauces_purees_dressings",Meal_entry_week_2!Q$434:Q$445)+SUMIF(Meal_entry_week_2!G$434:G$445,"Spices_seasonings",Meal_entry_week_2!Q$434:Q$445)</f>
        <v>2.2999999999999998</v>
      </c>
      <c r="AG391" s="1069">
        <f>SUMIF(Meal_entry_week_2!G$434:G$445,"Sweet_foods_cakes",Meal_entry_week_2!Q$434:Q$445)</f>
        <v>13</v>
      </c>
      <c r="AH391" s="1069">
        <f>SUMIF(Meal_entry_week_2!G$434:G$445,"Bread_and_pastries",Meal_entry_week_2!Q$434:Q$445)+SUMIF(Meal_entry_week_2!G$434:G$445,"Savoury_pastries",Meal_entry_week_2!Q$434:Q$445)+SUMIF(Meal_entry_week_2!G$434:G$445,"Sweet_pastries",Meal_entry_week_2!Q$434:Q$445)</f>
        <v>0</v>
      </c>
      <c r="AI391" s="1069">
        <f>SUMIF(Meal_entry_week_2!G$434:G$445,"Other_processed_foods",Meal_entry_week_2!Q$434:Q$445)</f>
        <v>0</v>
      </c>
      <c r="AJ391" s="1069">
        <f>SUMIF(Meal_entry_week_2!G$434:G$445,"Sweetened_drinks_teas_coffee",Meal_entry_week_2!Q$434:Q$445)</f>
        <v>25</v>
      </c>
      <c r="AK391" s="1069">
        <f>SUMIF(Meal_entry_week_2!G$434:G$445,"Fruit_juices_water",Meal_entry_week_2!Q$434:Q$445)</f>
        <v>0</v>
      </c>
      <c r="AL391" s="1070">
        <f>450-SUM(V391:AK391)</f>
        <v>313.39999999999998</v>
      </c>
    </row>
    <row r="392" spans="1:38">
      <c r="A392" s="1066"/>
      <c r="B392" s="956" t="s">
        <v>3067</v>
      </c>
      <c r="C392" s="945"/>
      <c r="D392" s="1069">
        <f>SUMIF(Meal_entry_week_1!G$335:G$346,"Vegetables_mushrooms_fresh_frozen",Meal_entry_week_1!Q$335:Q$346)</f>
        <v>0</v>
      </c>
      <c r="E392" s="1069">
        <f>SUMIF(Meal_entry_week_1!G$335:G$346,"Vegetables_processed",Meal_entry_week_1!Q$335:Q$346)</f>
        <v>0</v>
      </c>
      <c r="F392" s="1069">
        <f>SUMIF(Meal_entry_week_1!G$335:G$346,"Fruits_nuts_dried_fruit",Meal_entry_week_1!Q$335:Q$346)</f>
        <v>23</v>
      </c>
      <c r="G392" s="1069">
        <f>SUMIF(Meal_entry_week_1!G$335:G$346,"Meat_fresh_frozen",Meal_entry_week_1!Q$335:Q$346)</f>
        <v>0</v>
      </c>
      <c r="H392" s="1069">
        <f>SUMIF(Meal_entry_week_1!G$335:G$346,"Meat_processed",Meal_entry_week_1!Q$335:Q$346)</f>
        <v>0</v>
      </c>
      <c r="I392" s="1069">
        <f>SUMIF(Meal_entry_week_1!G$335:G$346,"Fish_fresh_frozen",Meal_entry_week_1!Q$335:Q$346)+SUMIF(Meal_entry_week_1!G$335:G$346,"Fish_processed_canned",Meal_entry_week_1!Q$335:Q$346)</f>
        <v>0</v>
      </c>
      <c r="J392" s="1069">
        <f>SUMIF(Meal_entry_week_1!G$335:G$346,"Eggs",Meal_entry_week_1!Q$335:Q$346)</f>
        <v>10</v>
      </c>
      <c r="K392" s="1069">
        <f>SUMIF(Meal_entry_week_1!G$335:G$346,"Dairy_products",Meal_entry_week_1!Q$335:Q$346)</f>
        <v>16</v>
      </c>
      <c r="L392" s="1069">
        <f>SUMIF(Meal_entry_week_1!G$335:G$346,"Oil_butter_margarine",Meal_entry_week_1!Q$335:Q$346)</f>
        <v>16</v>
      </c>
      <c r="M392" s="1069">
        <f>SUMIF(Meal_entry_week_1!G$335:G$346,"Flour_pasta_seeds_cereals",Meal_entry_week_1!Q$335:Q$346)</f>
        <v>31</v>
      </c>
      <c r="N392" s="1069">
        <f>SUMIF(Meal_entry_week_1!G$335:G$346,"Sauces_purees_dressings",Meal_entry_week_1!Q$335:Q$346)+SUMIF(Meal_entry_week_1!G$335:G$346,"Spices_seasonings",Meal_entry_week_1!Q$335:Q$346)</f>
        <v>0</v>
      </c>
      <c r="O392" s="1069">
        <f>SUMIF(Meal_entry_week_1!G$335:G$346,"Sweet_foods_cakes",Meal_entry_week_1!Q$335:Q$346)</f>
        <v>23</v>
      </c>
      <c r="P392" s="1069">
        <f>SUMIF(Meal_entry_week_1!G$335:G$346,"Bread_and_pastries",Meal_entry_week_1!Q$335:Q$346)+SUMIF(Meal_entry_week_1!G$335:G$346,"Savoury_pastries",Meal_entry_week_1!Q$335:Q$346)+SUMIF(Meal_entry_week_1!G$335:G$346,"Sweet_pastries",Meal_entry_week_1!Q$335:Q$346)</f>
        <v>0</v>
      </c>
      <c r="Q392" s="1069">
        <f>SUMIF(Meal_entry_week_1!G$335:G$346,"Other_processed_foods",Meal_entry_week_1!Q$335:Q$346)</f>
        <v>0</v>
      </c>
      <c r="R392" s="1069">
        <f>SUMIF(Meal_entry_week_1!G$335:G$346,"Sweetened_drinks_teas_coffee",Meal_entry_week_1!Q$335:Q$346)</f>
        <v>25</v>
      </c>
      <c r="S392" s="1069">
        <f>SUMIF(Meal_entry_week_1!G$335:G$346,"Fruit_juices_water",Meal_entry_week_1!Q$335:Q$346)</f>
        <v>0</v>
      </c>
      <c r="T392" s="1070">
        <f>450-SUM(D392:S392)</f>
        <v>306</v>
      </c>
      <c r="U392" s="956" t="s">
        <v>3067</v>
      </c>
      <c r="V392" s="1069">
        <f>SUMIF(Meal_entry_week_2!G$335:G$346,"Vegetables_mushrooms_fresh_frozen",Meal_entry_week_2!Q$335:Q$346)</f>
        <v>0</v>
      </c>
      <c r="W392" s="1069">
        <f>SUMIF(Meal_entry_week_2!G$335:G$346,"Vegetables_processed",Meal_entry_week_2!Q$335:Q$346)</f>
        <v>0</v>
      </c>
      <c r="X392" s="1069">
        <f>SUMIF(Meal_entry_week_2!G$335:G$346,"Fruits_nuts_dried_fruit",Meal_entry_week_2!Q$335:Q$346)</f>
        <v>0</v>
      </c>
      <c r="Y392" s="1069">
        <f>SUMIF(Meal_entry_week_2!G$335:G$346,"Meat_fresh_frozen",Meal_entry_week_2!Q$335:Q$346)</f>
        <v>0</v>
      </c>
      <c r="Z392" s="1069">
        <f>SUMIF(Meal_entry_week_2!G$335:G$346,"Meat_processed",Meal_entry_week_2!Q$335:Q$346)</f>
        <v>0</v>
      </c>
      <c r="AA392" s="1069">
        <f>SUMIF(Meal_entry_week_2!G$335:G$346,"Fish_fresh_frozen",Meal_entry_week_2!Q$335:Q$346)+SUMIF(Meal_entry_week_2!G$335:G$346,"Fish_processed_canned",Meal_entry_week_2!Q$335:Q$346)</f>
        <v>0</v>
      </c>
      <c r="AB392" s="1069">
        <f>SUMIF(Meal_entry_week_2!G$335:G$346,"Eggs",Meal_entry_week_2!Q$335:Q$346)</f>
        <v>0</v>
      </c>
      <c r="AC392" s="1069">
        <f>SUMIF(Meal_entry_week_2!G$335:G$346,"Dairy_products",Meal_entry_week_2!Q$335:Q$346)</f>
        <v>100</v>
      </c>
      <c r="AD392" s="1069">
        <f>SUMIF(Meal_entry_week_2!G$335:G$346,"Oil_butter_margarine",Meal_entry_week_2!Q$335:Q$346)</f>
        <v>0</v>
      </c>
      <c r="AE392" s="1069">
        <f>SUMIF(Meal_entry_week_2!G$335:G$346,"Flour_pasta_seeds_cereals",Meal_entry_week_2!Q$335:Q$346)</f>
        <v>0</v>
      </c>
      <c r="AF392" s="1069">
        <f>SUMIF(Meal_entry_week_2!G$335:G$346,"Sauces_purees_dressings",Meal_entry_week_2!Q$335:Q$346)+SUMIF(Meal_entry_week_2!G$335:G$346,"Spices_seasonings",Meal_entry_week_2!Q$335:Q$346)</f>
        <v>0</v>
      </c>
      <c r="AG392" s="1069">
        <f>SUMIF(Meal_entry_week_2!G$335:G$346,"Sweet_foods_cakes",Meal_entry_week_2!Q$335:Q$346)</f>
        <v>0</v>
      </c>
      <c r="AH392" s="1069">
        <f>SUMIF(Meal_entry_week_2!G$335:G$346,"Bread_and_pastries",Meal_entry_week_2!Q$335:Q$346)+SUMIF(Meal_entry_week_2!G$335:G$346,"Savoury_pastries",Meal_entry_week_2!Q$335:Q$346)+SUMIF(Meal_entry_week_2!G$335:G$346,"Sweet_pastries",Meal_entry_week_2!Q$335:Q$346)</f>
        <v>70</v>
      </c>
      <c r="AI392" s="1069">
        <f>SUMIF(Meal_entry_week_2!G$335:G$346,"Other_processed_foods",Meal_entry_week_2!Q$335:Q$346)</f>
        <v>0</v>
      </c>
      <c r="AJ392" s="1069">
        <f>SUMIF(Meal_entry_week_2!G$335:G$346,"Sweetened_drinks_teas_coffee",Meal_entry_week_2!Q$335:Q$346)</f>
        <v>0</v>
      </c>
      <c r="AK392" s="1069">
        <f>SUMIF(Meal_entry_week_2!G$335:G$346,"Fruit_juices_water",Meal_entry_week_2!Q$335:Q$346)</f>
        <v>0</v>
      </c>
      <c r="AL392" s="1070">
        <f t="shared" ref="AL392:AL395" si="75">450-SUM(V392:AK392)</f>
        <v>280</v>
      </c>
    </row>
    <row r="393" spans="1:38">
      <c r="A393" s="1066"/>
      <c r="B393" s="956" t="s">
        <v>3066</v>
      </c>
      <c r="C393" s="945"/>
      <c r="D393" s="1069">
        <f>SUMIF(Meal_entry_week_1!G$236:G$247,"Vegetables_mushrooms_fresh_frozen",Meal_entry_week_1!Q$236:Q$247)</f>
        <v>0</v>
      </c>
      <c r="E393" s="1069">
        <f>SUMIF(Meal_entry_week_1!G$236:G$247,"Vegetables_processed",Meal_entry_week_1!Q$236:Q$247)</f>
        <v>0</v>
      </c>
      <c r="F393" s="1069">
        <f>SUMIF(Meal_entry_week_1!G$236:G$247,"Fruits_nuts_dried_fruit",Meal_entry_week_1!Q$236:Q$247)</f>
        <v>0</v>
      </c>
      <c r="G393" s="1069">
        <f>SUMIF(Meal_entry_week_1!G$236:G$247,"Meat_fresh_frozen",Meal_entry_week_1!Q$236:Q$247)</f>
        <v>0</v>
      </c>
      <c r="H393" s="1069">
        <f>SUMIF(Meal_entry_week_1!G$236:G$247,"Meat_processed",Meal_entry_week_1!Q$236:Q$247)</f>
        <v>0</v>
      </c>
      <c r="I393" s="1069">
        <f>SUMIF(Meal_entry_week_1!G$236:G$247,"Fish_fresh_frozen",Meal_entry_week_1!Q$236:Q$247)+SUMIF(Meal_entry_week_1!G$236:G$247,"Fish_processed_canned",Meal_entry_week_1!Q$236:Q$247)</f>
        <v>0</v>
      </c>
      <c r="J393" s="1069">
        <f>SUMIF(Meal_entry_week_1!G$236:G$247,"Eggs",Meal_entry_week_1!Q$236:Q$247)</f>
        <v>0</v>
      </c>
      <c r="K393" s="1069">
        <f>SUMIF(Meal_entry_week_1!G$236:G$247,"Dairy_products",Meal_entry_week_1!Q$236:Q$247)</f>
        <v>100</v>
      </c>
      <c r="L393" s="1069">
        <f>SUMIF(Meal_entry_week_1!G$236:G$247,"Oil_butter_margarine",Meal_entry_week_1!Q$236:Q$247)</f>
        <v>0</v>
      </c>
      <c r="M393" s="1069">
        <f>SUMIF(Meal_entry_week_1!G$236:G$247,"Flour_pasta_seeds_cereals",Meal_entry_week_1!Q$236:Q$247)</f>
        <v>0</v>
      </c>
      <c r="N393" s="1069">
        <f>SUMIF(Meal_entry_week_1!G$236:G$247,"Sauces_purees_dressings",Meal_entry_week_1!Q$236:Q$247)+SUMIF(Meal_entry_week_1!G$236:G$247,"Spices_seasonings",Meal_entry_week_1!Q$236:Q$247)</f>
        <v>0</v>
      </c>
      <c r="O393" s="1069">
        <f>SUMIF(Meal_entry_week_1!G$236:G$247,"Sweet_foods_cakes",Meal_entry_week_1!Q$236:Q$247)</f>
        <v>0</v>
      </c>
      <c r="P393" s="1069">
        <f>SUMIF(Meal_entry_week_1!G$236:G$247,"Bread_and_pastries",Meal_entry_week_1!Q$236:Q$247)+SUMIF(Meal_entry_week_1!G$236:G$247,"Savoury_pastries",Meal_entry_week_1!Q$236:Q$247)+SUMIF(Meal_entry_week_1!G$236:G$247,"Sweet_pastries",Meal_entry_week_1!Q$236:Q$247)</f>
        <v>100</v>
      </c>
      <c r="Q393" s="1069">
        <f>SUMIF(Meal_entry_week_1!G$236:G$247,"Other_processed_foods",Meal_entry_week_1!Q$236:Q$247)</f>
        <v>0</v>
      </c>
      <c r="R393" s="1069">
        <f>SUMIF(Meal_entry_week_1!G$236:G$247,"Sweetened_drinks_teas_coffee",Meal_entry_week_1!Q$236:Q$247)</f>
        <v>0</v>
      </c>
      <c r="S393" s="1069">
        <f>SUMIF(Meal_entry_week_1!G$236:G$247,"Fruit_juices_water",Meal_entry_week_1!Q$236:Q$247)</f>
        <v>0</v>
      </c>
      <c r="T393" s="1070">
        <f>450-SUM(D393:S393)</f>
        <v>250</v>
      </c>
      <c r="U393" s="956" t="s">
        <v>3066</v>
      </c>
      <c r="V393" s="1069">
        <f>SUMIF(Meal_entry_week_2!G$236:G$247,"Vegetables_mushrooms_fresh_frozen",Meal_entry_week_2!Q$236:Q$247)</f>
        <v>0</v>
      </c>
      <c r="W393" s="1069">
        <f>SUMIF(Meal_entry_week_2!G$236:G$247,"Vegetables_processed",Meal_entry_week_2!Q$236:Q$247)</f>
        <v>0</v>
      </c>
      <c r="X393" s="1069">
        <f>SUMIF(Meal_entry_week_2!G$236:G$247,"Fruits_nuts_dried_fruit",Meal_entry_week_2!Q$236:Q$247)</f>
        <v>0</v>
      </c>
      <c r="Y393" s="1069">
        <f>SUMIF(Meal_entry_week_2!G$236:G$247,"Meat_fresh_frozen",Meal_entry_week_2!Q$236:Q$247)</f>
        <v>0</v>
      </c>
      <c r="Z393" s="1069">
        <f>SUMIF(Meal_entry_week_2!G$236:G$247,"Meat_processed",Meal_entry_week_2!Q$236:Q$247)</f>
        <v>20</v>
      </c>
      <c r="AA393" s="1069">
        <f>SUMIF(Meal_entry_week_2!G$236:G$247,"Fish_fresh_frozen",Meal_entry_week_2!Q$236:Q$247)+SUMIF(Meal_entry_week_2!G$236:G$247,"Fish_processed_canned",Meal_entry_week_2!Q$236:Q$247)</f>
        <v>0</v>
      </c>
      <c r="AB393" s="1069">
        <f>SUMIF(Meal_entry_week_2!G$236:G$247,"Eggs",Meal_entry_week_2!Q$236:Q$247)</f>
        <v>0</v>
      </c>
      <c r="AC393" s="1069">
        <f>SUMIF(Meal_entry_week_2!G$236:G$247,"Dairy_products",Meal_entry_week_2!Q$236:Q$247)</f>
        <v>20</v>
      </c>
      <c r="AD393" s="1069">
        <f>SUMIF(Meal_entry_week_2!G$236:G$247,"Oil_butter_margarine",Meal_entry_week_2!Q$236:Q$247)</f>
        <v>0</v>
      </c>
      <c r="AE393" s="1069">
        <f>SUMIF(Meal_entry_week_2!G$236:G$247,"Flour_pasta_seeds_cereals",Meal_entry_week_2!Q$236:Q$247)</f>
        <v>0</v>
      </c>
      <c r="AF393" s="1069">
        <f>SUMIF(Meal_entry_week_2!G$236:G$247,"Sauces_purees_dressings",Meal_entry_week_2!Q$236:Q$247)+SUMIF(Meal_entry_week_2!G$236:G$247,"Spices_seasonings",Meal_entry_week_2!Q$236:Q$247)</f>
        <v>20</v>
      </c>
      <c r="AG393" s="1069">
        <f>SUMIF(Meal_entry_week_2!G$236:G$247,"Sweet_foods_cakes",Meal_entry_week_2!Q$236:Q$247)</f>
        <v>0</v>
      </c>
      <c r="AH393" s="1069">
        <f>SUMIF(Meal_entry_week_2!G$236:G$247,"Bread_and_pastries",Meal_entry_week_2!Q$236:Q$247)+SUMIF(Meal_entry_week_2!G$236:G$247,"Savoury_pastries",Meal_entry_week_2!Q$236:Q$247)+SUMIF(Meal_entry_week_2!G$236:G$247,"Sweet_pastries",Meal_entry_week_2!Q$236:Q$247)</f>
        <v>50</v>
      </c>
      <c r="AI393" s="1069">
        <f>SUMIF(Meal_entry_week_2!G$236:G$247,"Other_processed_foods",Meal_entry_week_2!Q$236:Q$247)</f>
        <v>0</v>
      </c>
      <c r="AJ393" s="1069">
        <f>SUMIF(Meal_entry_week_2!G$236:G$247,"Sweetened_drinks_teas_coffee",Meal_entry_week_2!Q$236:Q$247)</f>
        <v>25</v>
      </c>
      <c r="AK393" s="1069">
        <f>SUMIF(Meal_entry_week_2!G$236:G$247,"Fruit_juices_water",Meal_entry_week_2!Q$236:Q$247)</f>
        <v>0</v>
      </c>
      <c r="AL393" s="1070">
        <f t="shared" si="75"/>
        <v>315</v>
      </c>
    </row>
    <row r="394" spans="1:38">
      <c r="A394" s="1066"/>
      <c r="B394" s="956" t="s">
        <v>3065</v>
      </c>
      <c r="C394" s="945"/>
      <c r="D394" s="1069">
        <f>SUMIF(Meal_entry_week_1!G$137:G$148,"Vegetables_mushrooms_fresh_frozen",Meal_entry_week_1!Q$137:Q$148)</f>
        <v>0</v>
      </c>
      <c r="E394" s="1069">
        <f>SUMIF(Meal_entry_week_1!G$137:G$148,"Vegetables_processed",Meal_entry_week_1!Q$137:Q$148)</f>
        <v>20</v>
      </c>
      <c r="F394" s="1069">
        <f>SUMIF(Meal_entry_week_1!G$137:G$148,"Fruits_nuts_dried_fruit",Meal_entry_week_1!Q$137:Q$148)</f>
        <v>0</v>
      </c>
      <c r="G394" s="1069">
        <f>SUMIF(Meal_entry_week_1!G$137:G$148,"Meat_fresh_frozen",Meal_entry_week_1!Q$137:Q$148)</f>
        <v>0</v>
      </c>
      <c r="H394" s="1069">
        <f>SUMIF(Meal_entry_week_1!G$137:G$148,"Meat_processed",Meal_entry_week_1!Q$137:Q$148)</f>
        <v>0</v>
      </c>
      <c r="I394" s="1069">
        <f>SUMIF(Meal_entry_week_1!G$137:G$148,"Fish_fresh_frozen",Meal_entry_week_1!Q$137:Q$148)+SUMIF(Meal_entry_week_1!G$137:G$148,"Fish_processed_canned",Meal_entry_week_1!Q$137:Q$148)</f>
        <v>20</v>
      </c>
      <c r="J394" s="1069">
        <f>SUMIF(Meal_entry_week_1!G$137:G$148,"Eggs",Meal_entry_week_1!Q$137:Q$148)</f>
        <v>0</v>
      </c>
      <c r="K394" s="1069">
        <f>SUMIF(Meal_entry_week_1!G$137:G$148,"Dairy_products",Meal_entry_week_1!Q$137:Q$148)</f>
        <v>10</v>
      </c>
      <c r="L394" s="1069">
        <f>SUMIF(Meal_entry_week_1!G$137:G$148,"Oil_butter_margarine",Meal_entry_week_1!Q$137:Q$148)</f>
        <v>0</v>
      </c>
      <c r="M394" s="1069">
        <f>SUMIF(Meal_entry_week_1!G$137:G$148,"Flour_pasta_seeds_cereals",Meal_entry_week_1!Q$137:Q$148)</f>
        <v>0</v>
      </c>
      <c r="N394" s="1069">
        <f>SUMIF(Meal_entry_week_1!G$137:G$148,"Sauces_purees_dressings",Meal_entry_week_1!Q$137:Q$148)+SUMIF(Meal_entry_week_1!G$137:G$148,"Spices_seasonings",Meal_entry_week_1!Q$137:Q$148)</f>
        <v>0</v>
      </c>
      <c r="O394" s="1069">
        <f>SUMIF(Meal_entry_week_1!G$137:G$148,"Sweet_foods_cakes",Meal_entry_week_1!Q$137:Q$148)</f>
        <v>0</v>
      </c>
      <c r="P394" s="1069">
        <f>SUMIF(Meal_entry_week_1!G$137:G$148,"Bread_and_pastries",Meal_entry_week_1!Q$137:Q$148)+SUMIF(Meal_entry_week_1!G$137:G$148,"Savoury_pastries",Meal_entry_week_1!Q$137:Q$148)+SUMIF(Meal_entry_week_1!G$137:G$148,"Sweet_pastries",Meal_entry_week_1!Q$137:Q$148)</f>
        <v>60</v>
      </c>
      <c r="Q394" s="1069">
        <f>SUMIF(Meal_entry_week_1!G$137:G$148,"Other_processed_foods",Meal_entry_week_1!Q$137:Q$148)</f>
        <v>0</v>
      </c>
      <c r="R394" s="1069">
        <f>SUMIF(Meal_entry_week_1!G$137:G$148,"Sweetened_drinks_teas_coffee",Meal_entry_week_1!Q$137:Q$148)</f>
        <v>0</v>
      </c>
      <c r="S394" s="1069">
        <f>SUMIF(Meal_entry_week_1!G$137:G$148,"Fruit_juices_water",Meal_entry_week_1!Q$137:Q$148)</f>
        <v>0</v>
      </c>
      <c r="T394" s="1070">
        <f>450-SUM(D394:S394)</f>
        <v>340</v>
      </c>
      <c r="U394" s="956" t="s">
        <v>3065</v>
      </c>
      <c r="V394" s="1069">
        <f>SUMIF(Meal_entry_week_2!G$137:G$148,"Vegetables_mushrooms_fresh_frozen",Meal_entry_week_2!Q$137:Q$148)</f>
        <v>0</v>
      </c>
      <c r="W394" s="1069">
        <f>SUMIF(Meal_entry_week_2!G$137:G$148,"Vegetables_processed",Meal_entry_week_2!Q$137:Q$148)</f>
        <v>0</v>
      </c>
      <c r="X394" s="1069">
        <f>SUMIF(Meal_entry_week_2!G$137:G$148,"Fruits_nuts_dried_fruit",Meal_entry_week_2!Q$137:Q$148)</f>
        <v>0</v>
      </c>
      <c r="Y394" s="1069">
        <f>SUMIF(Meal_entry_week_2!G$137:G$148,"Meat_fresh_frozen",Meal_entry_week_2!Q$137:Q$148)</f>
        <v>0</v>
      </c>
      <c r="Z394" s="1069">
        <f>SUMIF(Meal_entry_week_2!G$137:G$148,"Meat_processed",Meal_entry_week_2!Q$137:Q$148)</f>
        <v>0</v>
      </c>
      <c r="AA394" s="1069">
        <f>SUMIF(Meal_entry_week_2!G$137:G$148,"Fish_fresh_frozen",Meal_entry_week_2!Q$137:Q$148)+SUMIF(Meal_entry_week_2!G$137:G$148,"Fish_processed_canned",Meal_entry_week_2!Q$137:Q$148)</f>
        <v>0</v>
      </c>
      <c r="AB394" s="1069">
        <f>SUMIF(Meal_entry_week_2!G$137:G$148,"Eggs",Meal_entry_week_2!Q$137:Q$148)</f>
        <v>0</v>
      </c>
      <c r="AC394" s="1069">
        <f>SUMIF(Meal_entry_week_2!G$137:G$148,"Dairy_products",Meal_entry_week_2!Q$137:Q$148)</f>
        <v>100</v>
      </c>
      <c r="AD394" s="1069">
        <f>SUMIF(Meal_entry_week_2!G$137:G$148,"Oil_butter_margarine",Meal_entry_week_2!Q$137:Q$148)</f>
        <v>0</v>
      </c>
      <c r="AE394" s="1069">
        <f>SUMIF(Meal_entry_week_2!G$137:G$148,"Flour_pasta_seeds_cereals",Meal_entry_week_2!Q$137:Q$148)</f>
        <v>0</v>
      </c>
      <c r="AF394" s="1069">
        <f>SUMIF(Meal_entry_week_2!G$137:G$148,"Sauces_purees_dressings",Meal_entry_week_2!Q$137:Q$148)+SUMIF(Meal_entry_week_2!G$137:G$148,"Spices_seasonings",Meal_entry_week_2!Q$137:Q$148)</f>
        <v>0</v>
      </c>
      <c r="AG394" s="1069">
        <f>SUMIF(Meal_entry_week_2!G$137:G$148,"Sweet_foods_cakes",Meal_entry_week_2!Q$137:Q$148)</f>
        <v>25</v>
      </c>
      <c r="AH394" s="1069">
        <f>SUMIF(Meal_entry_week_2!G$137:G$148,"Bread_and_pastries",Meal_entry_week_2!Q$137:Q$148)+SUMIF(Meal_entry_week_2!G$137:G$148,"Savoury_pastries",Meal_entry_week_2!Q$137:Q$148)+SUMIF(Meal_entry_week_2!G$137:G$148,"Sweet_pastries",Meal_entry_week_2!Q$137:Q$148)</f>
        <v>60</v>
      </c>
      <c r="AI394" s="1069">
        <f>SUMIF(Meal_entry_week_2!G$137:G$148,"Other_processed_foods",Meal_entry_week_2!Q$137:Q$148)</f>
        <v>0</v>
      </c>
      <c r="AJ394" s="1069">
        <f>SUMIF(Meal_entry_week_2!G$137:G$148,"Sweetened_drinks_teas_coffee",Meal_entry_week_2!Q$137:Q$148)</f>
        <v>0</v>
      </c>
      <c r="AK394" s="1069">
        <f>SUMIF(Meal_entry_week_2!G$137:G$148,"Fruit_juices_water",Meal_entry_week_2!Q$137:Q$148)</f>
        <v>0</v>
      </c>
      <c r="AL394" s="1070">
        <f t="shared" si="75"/>
        <v>265</v>
      </c>
    </row>
    <row r="395" spans="1:38">
      <c r="A395" s="1066"/>
      <c r="B395" s="1074" t="s">
        <v>3064</v>
      </c>
      <c r="C395" s="1027"/>
      <c r="D395" s="1075">
        <f>SUMIF(Meal_entry_week_1!G$38:G$49,"Vegetables_mushrooms_fresh_frozen",Meal_entry_week_1!Q$38:Q$49)</f>
        <v>0</v>
      </c>
      <c r="E395" s="1075">
        <f>SUMIF(Meal_entry_week_1!G$38:G$49,"Vegetables_processed",Meal_entry_week_1!Q$38:Q$49)</f>
        <v>0</v>
      </c>
      <c r="F395" s="1075">
        <f>SUMIF(Meal_entry_week_1!G$38:G$49,"Fruits_nuts_dried_fruit",Meal_entry_week_1!Q$38:Q$49)</f>
        <v>0</v>
      </c>
      <c r="G395" s="1075">
        <f>SUMIF(Meal_entry_week_1!G$38:G$49,"Meat_fresh_frozen",Meal_entry_week_1!Q$38:Q$49)</f>
        <v>0</v>
      </c>
      <c r="H395" s="1075">
        <f>SUMIF(Meal_entry_week_1!G$38:G$49,"Meat_processed",Meal_entry_week_1!Q$38:Q$49)</f>
        <v>50</v>
      </c>
      <c r="I395" s="1075">
        <f>SUMIF(Meal_entry_week_1!G$38:G$49,"Fish_fresh_frozen",Meal_entry_week_1!Q$38:Q$49)+SUMIF(Meal_entry_week_1!G$38:G$49,"Fish_processed_canned",Meal_entry_week_1!Q$38:Q$49)</f>
        <v>0</v>
      </c>
      <c r="J395" s="1075">
        <f>SUMIF(Meal_entry_week_1!G$38:G$49,"Eggs",Meal_entry_week_1!Q$38:Q$49)</f>
        <v>0</v>
      </c>
      <c r="K395" s="1075">
        <f>SUMIF(Meal_entry_week_1!G$38:G$49,"Dairy_products",Meal_entry_week_1!Q$38:Q$49)</f>
        <v>100</v>
      </c>
      <c r="L395" s="1075">
        <f>SUMIF(Meal_entry_week_1!G$38:G$49,"Oil_butter_margarine",Meal_entry_week_1!Q$38:Q$49)</f>
        <v>0</v>
      </c>
      <c r="M395" s="1075">
        <f>SUMIF(Meal_entry_week_1!G$38:G$49,"Flour_pasta_seeds_cereals",Meal_entry_week_1!Q$38:Q$49)</f>
        <v>0</v>
      </c>
      <c r="N395" s="1075">
        <f>SUMIF(Meal_entry_week_1!G$38:G$49,"Sauces_purees_dressings",Meal_entry_week_1!Q$38:Q$49)+SUMIF(Meal_entry_week_1!G$38:G$49,"Spices_seasonings",Meal_entry_week_1!Q$38:Q$49)</f>
        <v>0</v>
      </c>
      <c r="O395" s="1075">
        <f>SUMIF(Meal_entry_week_1!G$38:G$49,"Sweet_foods_cakes",Meal_entry_week_1!Q$38:Q$49)</f>
        <v>0</v>
      </c>
      <c r="P395" s="1075">
        <f>SUMIF(Meal_entry_week_1!G$38:G$49,"Bread_and_pastries",Meal_entry_week_1!Q$38:Q$49)+SUMIF(Meal_entry_week_1!G$38:G$49,"Savoury_pastries",Meal_entry_week_1!Q$38:Q$49)+SUMIF(Meal_entry_week_1!G$38:G$49,"Sweet_pastries",Meal_entry_week_1!Q$38:Q$49)</f>
        <v>75</v>
      </c>
      <c r="Q395" s="1075">
        <f>SUMIF(Meal_entry_week_1!G$38:G$49,"Other_processed_foods",Meal_entry_week_1!Q$38:Q$49)</f>
        <v>0</v>
      </c>
      <c r="R395" s="1075">
        <f>SUMIF(Meal_entry_week_1!G$38:G$49,"Sweetened_drinks_teas_coffee",Meal_entry_week_1!Q$38:Q$49)</f>
        <v>0</v>
      </c>
      <c r="S395" s="1075">
        <f>SUMIF(Meal_entry_week_1!G$38:G$49,"Fruit_juices_water",Meal_entry_week_1!Q$38:Q$49)</f>
        <v>0</v>
      </c>
      <c r="T395" s="1070">
        <f>450-SUM(D395:S395)</f>
        <v>225</v>
      </c>
      <c r="U395" s="1074" t="s">
        <v>3064</v>
      </c>
      <c r="V395" s="1075">
        <f>SUMIF(Meal_entry_week_2!G$38:G$49,"Vegetables_mushrooms_fresh_frozen",Meal_entry_week_2!Q$38:Q$49)</f>
        <v>0</v>
      </c>
      <c r="W395" s="1075">
        <f>SUMIF(Meal_entry_week_2!G$38:G$49,"Vegetables_processed",Meal_entry_week_2!Q$38:Q$49)</f>
        <v>0</v>
      </c>
      <c r="X395" s="1075">
        <f>SUMIF(Meal_entry_week_2!G$38:G$49,"Fruits_nuts_dried_fruit",Meal_entry_week_2!Q$38:Q$49)</f>
        <v>0</v>
      </c>
      <c r="Y395" s="1075">
        <f>SUMIF(Meal_entry_week_2!G$38:G$49,"Meat_fresh_frozen",Meal_entry_week_2!Q$38:Q$49)</f>
        <v>0</v>
      </c>
      <c r="Z395" s="1075">
        <f>SUMIF(Meal_entry_week_2!G$38:G$49,"Meat_processed",Meal_entry_week_2!Q$38:Q$49)</f>
        <v>0</v>
      </c>
      <c r="AA395" s="1075">
        <f>SUMIF(Meal_entry_week_2!G$38:G$49,"Fish_fresh_frozen",Meal_entry_week_2!Q$38:Q$49)+SUMIF(Meal_entry_week_2!G$38:G$49,"Fish_processed_canned",Meal_entry_week_2!Q$38:Q$49)</f>
        <v>0</v>
      </c>
      <c r="AB395" s="1075">
        <f>SUMIF(Meal_entry_week_2!G$38:G$49,"Eggs",Meal_entry_week_2!Q$38:Q$49)</f>
        <v>8</v>
      </c>
      <c r="AC395" s="1075">
        <f>SUMIF(Meal_entry_week_2!G$38:G$49,"Dairy_products",Meal_entry_week_2!Q$38:Q$49)</f>
        <v>106</v>
      </c>
      <c r="AD395" s="1075">
        <f>SUMIF(Meal_entry_week_2!G$38:G$49,"Oil_butter_margarine",Meal_entry_week_2!Q$38:Q$49)</f>
        <v>16</v>
      </c>
      <c r="AE395" s="1075">
        <f>SUMIF(Meal_entry_week_2!G$38:G$49,"Flour_pasta_seeds_cereals",Meal_entry_week_2!Q$38:Q$49)</f>
        <v>15</v>
      </c>
      <c r="AF395" s="1075">
        <f>SUMIF(Meal_entry_week_2!G$38:G$49,"Sauces_purees_dressings",Meal_entry_week_2!Q$38:Q$49)+SUMIF(Meal_entry_week_2!G$38:G$49,"Spices_seasonings",Meal_entry_week_2!Q$38:Q$49)</f>
        <v>0</v>
      </c>
      <c r="AG395" s="1075">
        <f>SUMIF(Meal_entry_week_2!G$38:G$49,"Sweet_foods_cakes",Meal_entry_week_2!Q$38:Q$49)</f>
        <v>0</v>
      </c>
      <c r="AH395" s="1075">
        <f>SUMIF(Meal_entry_week_2!G$38:G$49,"Bread_and_pastries",Meal_entry_week_2!Q$38:Q$49)+SUMIF(Meal_entry_week_2!G$38:G$49,"Savoury_pastries",Meal_entry_week_2!Q$38:Q$49)+SUMIF(Meal_entry_week_2!G$38:G$49,"Sweet_pastries",Meal_entry_week_2!Q$38:Q$49)</f>
        <v>0</v>
      </c>
      <c r="AI395" s="1075">
        <f>SUMIF(Meal_entry_week_2!G$38:G$49,"Other_processed_foods",Meal_entry_week_2!Q$38:Q$49)</f>
        <v>0</v>
      </c>
      <c r="AJ395" s="1075">
        <f>SUMIF(Meal_entry_week_2!G$38:G$49,"Sweetened_drinks_teas_coffee",Meal_entry_week_2!Q$38:Q$49)</f>
        <v>0</v>
      </c>
      <c r="AK395" s="1075">
        <f>SUMIF(Meal_entry_week_2!G$38:G$49,"Fruit_juices_water",Meal_entry_week_2!Q$38:Q$49)</f>
        <v>0</v>
      </c>
      <c r="AL395" s="1070">
        <f t="shared" si="75"/>
        <v>305</v>
      </c>
    </row>
    <row r="396" spans="1:38">
      <c r="A396" s="1066"/>
      <c r="B396" s="956" t="s">
        <v>3566</v>
      </c>
      <c r="C396" s="945"/>
      <c r="D396" s="1269" t="s">
        <v>3140</v>
      </c>
      <c r="E396" s="1083" t="s">
        <v>3069</v>
      </c>
      <c r="F396" s="1083" t="s">
        <v>3077</v>
      </c>
      <c r="G396" s="1083" t="s">
        <v>3073</v>
      </c>
      <c r="H396" s="1083" t="s">
        <v>3070</v>
      </c>
      <c r="I396" s="913" t="s">
        <v>3575</v>
      </c>
      <c r="J396" s="913" t="s">
        <v>3072</v>
      </c>
      <c r="K396" s="1083" t="s">
        <v>3085</v>
      </c>
      <c r="L396" s="1083" t="s">
        <v>3075</v>
      </c>
      <c r="M396" s="1083" t="s">
        <v>3141</v>
      </c>
      <c r="N396" s="1083" t="s">
        <v>3550</v>
      </c>
      <c r="O396" s="1083" t="s">
        <v>3078</v>
      </c>
      <c r="P396" s="1083" t="s">
        <v>3551</v>
      </c>
      <c r="Q396" s="1083" t="s">
        <v>3082</v>
      </c>
      <c r="R396" s="1083" t="s">
        <v>3083</v>
      </c>
      <c r="S396" s="1083" t="s">
        <v>3084</v>
      </c>
      <c r="T396" s="1068"/>
      <c r="U396" s="956" t="s">
        <v>3566</v>
      </c>
      <c r="V396" s="1269" t="s">
        <v>3140</v>
      </c>
      <c r="W396" s="1083" t="s">
        <v>3069</v>
      </c>
      <c r="X396" s="1083" t="s">
        <v>3077</v>
      </c>
      <c r="Y396" s="1083" t="s">
        <v>3073</v>
      </c>
      <c r="Z396" s="1083" t="s">
        <v>3070</v>
      </c>
      <c r="AA396" s="913" t="s">
        <v>3575</v>
      </c>
      <c r="AB396" s="913" t="s">
        <v>3072</v>
      </c>
      <c r="AC396" s="1083" t="s">
        <v>3085</v>
      </c>
      <c r="AD396" s="1083" t="s">
        <v>3075</v>
      </c>
      <c r="AE396" s="1083" t="s">
        <v>3141</v>
      </c>
      <c r="AF396" s="1083" t="s">
        <v>3550</v>
      </c>
      <c r="AG396" s="1083" t="s">
        <v>3078</v>
      </c>
      <c r="AH396" s="1083" t="s">
        <v>3551</v>
      </c>
      <c r="AI396" s="1083" t="s">
        <v>3082</v>
      </c>
      <c r="AJ396" s="1083" t="s">
        <v>3083</v>
      </c>
      <c r="AK396" s="1083" t="s">
        <v>3084</v>
      </c>
      <c r="AL396" s="1068"/>
    </row>
    <row r="397" spans="1:38" s="1071" customFormat="1">
      <c r="A397" s="1066"/>
      <c r="B397" s="956" t="s">
        <v>3068</v>
      </c>
      <c r="C397" s="945"/>
      <c r="D397" s="1069">
        <f>SUMIF(Meal_entry_week_1!G$453:G$477,"Vegetables_mushrooms_fresh_frozen",Meal_entry_week_1!Q$453:Q$477)</f>
        <v>208</v>
      </c>
      <c r="E397" s="1069">
        <f>SUMIF(Meal_entry_week_1!G$453:G$477,"Vegetables_processed",Meal_entry_week_1!Q$453:Q$477)</f>
        <v>0</v>
      </c>
      <c r="F397" s="1069">
        <f>SUMIF(Meal_entry_week_1!G$453:G$477,"Fruits_nuts_dried_fruit",Meal_entry_week_1!Q$453:Q$477)</f>
        <v>150</v>
      </c>
      <c r="G397" s="1069">
        <f>SUMIF(Meal_entry_week_1!G$453:G$477,"Meat_fresh_frozen",Meal_entry_week_1!Q$453:Q$477)</f>
        <v>20</v>
      </c>
      <c r="H397" s="1069">
        <f>SUMIF(Meal_entry_week_1!G$453:G$477,"Meat_processed",Meal_entry_week_1!Q$453:Q$477)</f>
        <v>0</v>
      </c>
      <c r="I397" s="1069">
        <f>SUMIF(Meal_entry_week_1!G$453:G$477,"Fish_fresh_frozen",Meal_entry_week_1!Q$453:Q$477)+SUMIF(Meal_entry_week_1!G$453:G$477,"Fish_processed_canned",Meal_entry_week_1!Q$453:Q$477)</f>
        <v>0</v>
      </c>
      <c r="J397" s="1069">
        <f>SUMIF(Meal_entry_week_1!G$453:G$477,"Eggs",Meal_entry_week_1!Q$453:Q$477)</f>
        <v>30</v>
      </c>
      <c r="K397" s="1069">
        <f>SUMIF(Meal_entry_week_1!G$453:G$477,"Dairy_products",Meal_entry_week_1!Q$453:Q$477)</f>
        <v>70</v>
      </c>
      <c r="L397" s="1069">
        <f>SUMIF(Meal_entry_week_1!G$453:G$477,"Oil_butter_margarine",Meal_entry_week_1!Q$453:Q$477)</f>
        <v>16</v>
      </c>
      <c r="M397" s="1069">
        <f>SUMIF(Meal_entry_week_1!G$453:G$477,"Flour_pasta_seeds_cereals",Meal_entry_week_1!Q$453:Q$477)</f>
        <v>10</v>
      </c>
      <c r="N397" s="1069">
        <f>SUMIF(Meal_entry_week_1!G$453:G$477,"Sauces_purees_dressings",Meal_entry_week_1!Q$453:Q$477)+SUMIF(Meal_entry_week_1!G$453:G$477,"Spices_seasonings",Meal_entry_week_1!Q$453:Q$477)</f>
        <v>3.95</v>
      </c>
      <c r="O397" s="1069">
        <f>SUMIF(Meal_entry_week_1!G$453:G$477,"Sweet_foods_cakes",Meal_entry_week_1!Q$453:Q$477)</f>
        <v>0</v>
      </c>
      <c r="P397" s="1069">
        <f>SUMIF(Meal_entry_week_1!G$453:G$477,"Bread_and_pastries",Meal_entry_week_1!Q$453:Q$477)+SUMIF(Meal_entry_week_1!G$453:G$477,"Savoury_pastries",Meal_entry_week_1!Q$453:Q$477)+SUMIF(Meal_entry_week_1!G$453:G$477,"Sweet_pastries",Meal_entry_week_1!Q$453:Q$477)</f>
        <v>75</v>
      </c>
      <c r="Q397" s="1069">
        <f>SUMIF(Meal_entry_week_1!G$453:G$477,"Other_processed_foods",Meal_entry_week_1!Q$453:Q$477)</f>
        <v>0</v>
      </c>
      <c r="R397" s="1069">
        <f>SUMIF(Meal_entry_week_1!G$453:G$477,"Sweetened_drinks_teas_coffee",Meal_entry_week_1!Q$453:Q$477)</f>
        <v>0</v>
      </c>
      <c r="S397" s="1069">
        <f>SUMIF(Meal_entry_week_1!G$453:G$477,"Fruit_juices_water",Meal_entry_week_1!Q$453:Q$477)</f>
        <v>0</v>
      </c>
      <c r="T397" s="1069">
        <f>920-SUM(D397:S397)</f>
        <v>337.04999999999995</v>
      </c>
      <c r="U397" s="956" t="s">
        <v>3068</v>
      </c>
      <c r="V397" s="1069">
        <f>SUMIF(Meal_entry_week_2!G$453:G$477,"Vegetables_mushrooms_fresh_frozen",Meal_entry_week_2!Q$453:Q$477)</f>
        <v>56</v>
      </c>
      <c r="W397" s="1069">
        <f>SUMIF(Meal_entry_week_2!G$453:G$477,"Vegetables_processed",Meal_entry_week_2!Q$453:Q$477)</f>
        <v>0</v>
      </c>
      <c r="X397" s="1069">
        <f>SUMIF(Meal_entry_week_2!G$453:G$477,"Fruits_nuts_dried_fruit",Meal_entry_week_2!Q$453:Q$477)</f>
        <v>150</v>
      </c>
      <c r="Y397" s="1069">
        <f>SUMIF(Meal_entry_week_2!G$453:G$477,"Meat_fresh_frozen",Meal_entry_week_2!Q$453:Q$477)</f>
        <v>50</v>
      </c>
      <c r="Z397" s="1069">
        <f>SUMIF(Meal_entry_week_2!G$453:G$477,"Meat_processed",Meal_entry_week_2!Q$453:Q$477)</f>
        <v>0</v>
      </c>
      <c r="AA397" s="1069">
        <f>SUMIF(Meal_entry_week_2!G$453:G$477,"Fish_fresh_frozen",Meal_entry_week_2!Q$453:Q$477)+SUMIF(Meal_entry_week_2!G$453:G$477,"Fish_processed_canned",Meal_entry_week_2!Q$453:Q$477)</f>
        <v>0</v>
      </c>
      <c r="AB397" s="1069">
        <f>SUMIF(Meal_entry_week_2!G$453:G$477,"Eggs",Meal_entry_week_2!Q$453:Q$477)</f>
        <v>20</v>
      </c>
      <c r="AC397" s="1069">
        <f>SUMIF(Meal_entry_week_2!G$453:G$477,"Dairy_products",Meal_entry_week_2!Q$453:Q$477)</f>
        <v>50</v>
      </c>
      <c r="AD397" s="1069">
        <f>SUMIF(Meal_entry_week_2!G$453:G$477,"Oil_butter_margarine",Meal_entry_week_2!Q$453:Q$477)</f>
        <v>17</v>
      </c>
      <c r="AE397" s="1069">
        <f>SUMIF(Meal_entry_week_2!G$453:G$477,"Flour_pasta_seeds_cereals",Meal_entry_week_2!Q$453:Q$477)</f>
        <v>60</v>
      </c>
      <c r="AF397" s="1069">
        <f>SUMIF(Meal_entry_week_2!G$453:G$477,"Sauces_purees_dressings",Meal_entry_week_2!Q$453:Q$477)+SUMIF(Meal_entry_week_2!G$453:G$477,"Spices_seasonings",Meal_entry_week_2!Q$453:Q$477)</f>
        <v>10.6</v>
      </c>
      <c r="AG397" s="1069">
        <f>SUMIF(Meal_entry_week_2!G$453:G$477,"Sweet_foods_cakes",Meal_entry_week_2!Q$453:Q$477)</f>
        <v>0</v>
      </c>
      <c r="AH397" s="1069">
        <f>SUMIF(Meal_entry_week_2!G$453:G$477,"Bread_and_pastries",Meal_entry_week_2!Q$453:Q$477)+SUMIF(Meal_entry_week_2!G$453:G$477,"Savoury_pastries",Meal_entry_week_2!Q$453:Q$477)+SUMIF(Meal_entry_week_2!G$453:G$477,"Sweet_pastries",Meal_entry_week_2!Q$453:Q$477)</f>
        <v>75</v>
      </c>
      <c r="AI397" s="1069">
        <f>SUMIF(Meal_entry_week_2!G$453:G$477,"Other_processed_foods",Meal_entry_week_2!Q$453:Q$477)</f>
        <v>0</v>
      </c>
      <c r="AJ397" s="1069">
        <f>SUMIF(Meal_entry_week_2!G$453:G$477,"Sweetened_drinks_teas_coffee",Meal_entry_week_2!Q$453:Q$477)</f>
        <v>0</v>
      </c>
      <c r="AK397" s="1069">
        <f>SUMIF(Meal_entry_week_2!G$453:G$477,"Fruit_juices_water",Meal_entry_week_2!Q$453:Q$477)</f>
        <v>0</v>
      </c>
      <c r="AL397" s="1070">
        <f>920-SUM(V397:AK397)</f>
        <v>431.4</v>
      </c>
    </row>
    <row r="398" spans="1:38">
      <c r="A398" s="1066"/>
      <c r="B398" s="956" t="s">
        <v>3067</v>
      </c>
      <c r="C398" s="945"/>
      <c r="D398" s="1069">
        <f>SUMIF(Meal_entry_week_1!G$354:G$378,"Vegetables_mushrooms_fresh_frozen",Meal_entry_week_1!Q$354:Q$378)</f>
        <v>220</v>
      </c>
      <c r="E398" s="1069">
        <f>SUMIF(Meal_entry_week_1!G$354:G$378,"Vegetables_processed",Meal_entry_week_1!Q$354:Q$378)</f>
        <v>70</v>
      </c>
      <c r="F398" s="1069">
        <f>SUMIF(Meal_entry_week_1!G$354:G$378,"Fruits_nuts_dried_fruit",Meal_entry_week_1!Q$354:Q$378)</f>
        <v>120</v>
      </c>
      <c r="G398" s="1069">
        <f>SUMIF(Meal_entry_week_1!G$354:G$378,"Meat_fresh_frozen",Meal_entry_week_1!Q$354:Q$378)</f>
        <v>50</v>
      </c>
      <c r="H398" s="1069">
        <f>SUMIF(Meal_entry_week_1!G$354:G$378,"Meat_processed",Meal_entry_week_1!Q$354:Q$378)</f>
        <v>0</v>
      </c>
      <c r="I398" s="1069">
        <f>SUMIF(Meal_entry_week_1!G$354:G$378,"Fish_fresh_frozen",Meal_entry_week_1!Q$354:Q$378)+SUMIF(Meal_entry_week_1!G$354:G$378,"Fish_processed_canned",Meal_entry_week_1!Q$354:Q$378)</f>
        <v>0</v>
      </c>
      <c r="J398" s="1069">
        <f>SUMIF(Meal_entry_week_1!G$354:G$378,"Eggs",Meal_entry_week_1!Q$354:Q$378)</f>
        <v>15</v>
      </c>
      <c r="K398" s="1069">
        <f>SUMIF(Meal_entry_week_1!G$354:G$378,"Dairy_products",Meal_entry_week_1!Q$354:Q$378)</f>
        <v>40</v>
      </c>
      <c r="L398" s="1069">
        <f>SUMIF(Meal_entry_week_1!G$354:G$378,"Oil_butter_margarine",Meal_entry_week_1!Q$354:Q$378)</f>
        <v>18</v>
      </c>
      <c r="M398" s="1069">
        <f>SUMIF(Meal_entry_week_1!G$354:G$378,"Flour_pasta_seeds_cereals",Meal_entry_week_1!Q$354:Q$378)</f>
        <v>25</v>
      </c>
      <c r="N398" s="1069">
        <f>SUMIF(Meal_entry_week_1!G$354:G$378,"Sauces_purees_dressings",Meal_entry_week_1!Q$354:Q$378)+SUMIF(Meal_entry_week_1!G$354:G$378,"Spices_seasonings",Meal_entry_week_1!Q$354:Q$378)</f>
        <v>20.2</v>
      </c>
      <c r="O398" s="1069">
        <f>SUMIF(Meal_entry_week_1!G$354:G$378,"Sweet_foods_cakes",Meal_entry_week_1!Q$354:Q$378)</f>
        <v>0</v>
      </c>
      <c r="P398" s="1069">
        <f>SUMIF(Meal_entry_week_1!G$354:G$378,"Bread_and_pastries",Meal_entry_week_1!Q$354:Q$378)+SUMIF(Meal_entry_week_1!G$354:G$378,"Savoury_pastries",Meal_entry_week_1!Q$354:Q$378)+SUMIF(Meal_entry_week_1!G$354:G$378,"Sweet_pastries",Meal_entry_week_1!Q$354:Q$378)</f>
        <v>75</v>
      </c>
      <c r="Q398" s="1069">
        <f>SUMIF(Meal_entry_week_1!G$354:G$378,"Other_processed_foods",Meal_entry_week_1!Q$354:Q$378)</f>
        <v>0</v>
      </c>
      <c r="R398" s="1069">
        <f>SUMIF(Meal_entry_week_1!G$354:G$378,"Sweetened_drinks_teas_coffee",Meal_entry_week_1!Q$354:Q$378)</f>
        <v>0</v>
      </c>
      <c r="S398" s="1069">
        <f>SUMIF(Meal_entry_week_1!G$354:G$378,"Fruit_juices_water",Meal_entry_week_1!Q$354:Q$378)</f>
        <v>0</v>
      </c>
      <c r="T398" s="1070">
        <f>920-SUM(D398:S398)</f>
        <v>266.79999999999995</v>
      </c>
      <c r="U398" s="956" t="s">
        <v>3067</v>
      </c>
      <c r="V398" s="1069">
        <f>SUMIF(Meal_entry_week_2!G$354:G$378,"Vegetables_mushrooms_fresh_frozen",Meal_entry_week_2!Q$354:Q$378)</f>
        <v>265.5</v>
      </c>
      <c r="W398" s="1069">
        <f>SUMIF(Meal_entry_week_2!G$354:G$378,"Vegetables_processed",Meal_entry_week_2!Q$354:Q$378)</f>
        <v>0</v>
      </c>
      <c r="X398" s="1069">
        <f>SUMIF(Meal_entry_week_2!G$354:G$378,"Fruits_nuts_dried_fruit",Meal_entry_week_2!Q$354:Q$378)</f>
        <v>150</v>
      </c>
      <c r="Y398" s="1069">
        <f>SUMIF(Meal_entry_week_2!G$354:G$378,"Meat_fresh_frozen",Meal_entry_week_2!Q$354:Q$378)</f>
        <v>50</v>
      </c>
      <c r="Z398" s="1069">
        <f>SUMIF(Meal_entry_week_2!G$354:G$378,"Meat_processed",Meal_entry_week_2!Q$354:Q$378)</f>
        <v>0</v>
      </c>
      <c r="AA398" s="1069">
        <f>SUMIF(Meal_entry_week_2!G$354:G$378,"Fish_fresh_frozen",Meal_entry_week_2!Q$354:Q$378)+SUMIF(Meal_entry_week_2!G$354:G$378,"Fish_processed_canned",Meal_entry_week_2!Q$354:Q$378)</f>
        <v>0</v>
      </c>
      <c r="AB398" s="1069">
        <f>SUMIF(Meal_entry_week_2!G$354:G$378,"Eggs",Meal_entry_week_2!Q$354:Q$378)</f>
        <v>20</v>
      </c>
      <c r="AC398" s="1069">
        <f>SUMIF(Meal_entry_week_2!G$354:G$378,"Dairy_products",Meal_entry_week_2!Q$354:Q$378)</f>
        <v>20</v>
      </c>
      <c r="AD398" s="1069">
        <f>SUMIF(Meal_entry_week_2!G$354:G$378,"Oil_butter_margarine",Meal_entry_week_2!Q$354:Q$378)</f>
        <v>24</v>
      </c>
      <c r="AE398" s="1069">
        <f>SUMIF(Meal_entry_week_2!G$354:G$378,"Flour_pasta_seeds_cereals",Meal_entry_week_2!Q$354:Q$378)</f>
        <v>20</v>
      </c>
      <c r="AF398" s="1069">
        <f>SUMIF(Meal_entry_week_2!G$354:G$378,"Sauces_purees_dressings",Meal_entry_week_2!Q$354:Q$378)+SUMIF(Meal_entry_week_2!G$354:G$378,"Spices_seasonings",Meal_entry_week_2!Q$354:Q$378)</f>
        <v>4.09</v>
      </c>
      <c r="AG398" s="1069">
        <f>SUMIF(Meal_entry_week_2!G$354:G$378,"Sweet_foods_cakes",Meal_entry_week_2!Q$354:Q$378)</f>
        <v>5</v>
      </c>
      <c r="AH398" s="1069">
        <f>SUMIF(Meal_entry_week_2!G$354:G$378,"Bread_and_pastries",Meal_entry_week_2!Q$354:Q$378)+SUMIF(Meal_entry_week_2!G$354:G$378,"Savoury_pastries",Meal_entry_week_2!Q$354:Q$378)+SUMIF(Meal_entry_week_2!G$354:G$378,"Sweet_pastries",Meal_entry_week_2!Q$354:Q$378)</f>
        <v>75</v>
      </c>
      <c r="AI398" s="1069">
        <f>SUMIF(Meal_entry_week_2!G$354:G$378,"Other_processed_foods",Meal_entry_week_2!Q$354:Q$378)</f>
        <v>0</v>
      </c>
      <c r="AJ398" s="1069">
        <f>SUMIF(Meal_entry_week_2!G$354:G$378,"Sweetened_drinks_teas_coffee",Meal_entry_week_2!Q$354:Q$378)</f>
        <v>0</v>
      </c>
      <c r="AK398" s="1069">
        <f>SUMIF(Meal_entry_week_2!G$354:G$378,"Fruit_juices_water",Meal_entry_week_2!Q$354:Q$378)</f>
        <v>0</v>
      </c>
      <c r="AL398" s="1070">
        <f t="shared" ref="AL398:AL401" si="76">920-SUM(V398:AK398)</f>
        <v>286.40999999999997</v>
      </c>
    </row>
    <row r="399" spans="1:38">
      <c r="A399" s="1066"/>
      <c r="B399" s="956" t="s">
        <v>3066</v>
      </c>
      <c r="C399" s="945"/>
      <c r="D399" s="1069">
        <f>SUMIF(Meal_entry_week_1!G$255:G$279,"Vegetables_mushrooms_fresh_frozen",Meal_entry_week_1!Q$255:Q$279)</f>
        <v>153</v>
      </c>
      <c r="E399" s="1069">
        <f>SUMIF(Meal_entry_week_1!G$255:G$279,"Vegetables_processed",Meal_entry_week_1!Q$255:Q$279)</f>
        <v>0</v>
      </c>
      <c r="F399" s="1069">
        <f>SUMIF(Meal_entry_week_1!G$255:G$279,"Fruits_nuts_dried_fruit",Meal_entry_week_1!Q$255:Q$279)</f>
        <v>150</v>
      </c>
      <c r="G399" s="1069">
        <f>SUMIF(Meal_entry_week_1!G$255:G$279,"Meat_fresh_frozen",Meal_entry_week_1!Q$255:Q$279)</f>
        <v>0</v>
      </c>
      <c r="H399" s="1069">
        <f>SUMIF(Meal_entry_week_1!G$255:G$279,"Meat_processed",Meal_entry_week_1!Q$255:Q$279)</f>
        <v>50</v>
      </c>
      <c r="I399" s="1069">
        <f>SUMIF(Meal_entry_week_1!G$255:G$279,"Fish_fresh_frozen",Meal_entry_week_1!Q$255:Q$279)+SUMIF(Meal_entry_week_1!G$255:G$279,"Fish_processed_canned",Meal_entry_week_1!Q$255:Q$279)</f>
        <v>0</v>
      </c>
      <c r="J399" s="1069">
        <f>SUMIF(Meal_entry_week_1!G$255:G$279,"Eggs",Meal_entry_week_1!Q$255:Q$279)</f>
        <v>0</v>
      </c>
      <c r="K399" s="1069">
        <f>SUMIF(Meal_entry_week_1!G$255:G$279,"Dairy_products",Meal_entry_week_1!Q$255:Q$279)</f>
        <v>20</v>
      </c>
      <c r="L399" s="1069">
        <f>SUMIF(Meal_entry_week_1!G$255:G$279,"Oil_butter_margarine",Meal_entry_week_1!Q$255:Q$279)</f>
        <v>10</v>
      </c>
      <c r="M399" s="1069">
        <f>SUMIF(Meal_entry_week_1!G$255:G$279,"Flour_pasta_seeds_cereals",Meal_entry_week_1!Q$255:Q$279)</f>
        <v>10</v>
      </c>
      <c r="N399" s="1069">
        <f>SUMIF(Meal_entry_week_1!G$255:G$279,"Sauces_purees_dressings",Meal_entry_week_1!Q$255:Q$279)+SUMIF(Meal_entry_week_1!G$255:G$279,"Spices_seasonings",Meal_entry_week_1!Q$255:Q$279)</f>
        <v>0.5</v>
      </c>
      <c r="O399" s="1069">
        <f>SUMIF(Meal_entry_week_1!G$255:G$279,"Sweet_foods_cakes",Meal_entry_week_1!Q$255:Q$279)</f>
        <v>0</v>
      </c>
      <c r="P399" s="1069">
        <f>SUMIF(Meal_entry_week_1!G$255:G$279,"Bread_and_pastries",Meal_entry_week_1!Q$255:Q$279)+SUMIF(Meal_entry_week_1!G$255:G$279,"Savoury_pastries",Meal_entry_week_1!Q$255:Q$279)+SUMIF(Meal_entry_week_1!G$255:G$279,"Sweet_pastries",Meal_entry_week_1!Q$255:Q$279)</f>
        <v>75</v>
      </c>
      <c r="Q399" s="1069">
        <f>SUMIF(Meal_entry_week_1!G$255:G$279,"Other_processed_foods",Meal_entry_week_1!Q$255:Q$279)</f>
        <v>0</v>
      </c>
      <c r="R399" s="1069">
        <f>SUMIF(Meal_entry_week_1!G$255:G$279,"Sweetened_drinks_teas_coffee",Meal_entry_week_1!Q$255:Q$279)</f>
        <v>0</v>
      </c>
      <c r="S399" s="1069">
        <f>SUMIF(Meal_entry_week_1!G$255:G$279,"Fruit_juices_water",Meal_entry_week_1!Q$255:Q$279)</f>
        <v>0</v>
      </c>
      <c r="T399" s="1070">
        <f>920-SUM(D399:S399)</f>
        <v>451.5</v>
      </c>
      <c r="U399" s="956" t="s">
        <v>3066</v>
      </c>
      <c r="V399" s="1069">
        <f>SUMIF(Meal_entry_week_2!G$255:G$279,"Vegetables_mushrooms_fresh_frozen",Meal_entry_week_2!Q$255:Q$279)</f>
        <v>182</v>
      </c>
      <c r="W399" s="1069">
        <f>SUMIF(Meal_entry_week_2!G$255:G$279,"Vegetables_processed",Meal_entry_week_2!Q$255:Q$279)</f>
        <v>0</v>
      </c>
      <c r="X399" s="1069">
        <f>SUMIF(Meal_entry_week_2!G$255:G$279,"Fruits_nuts_dried_fruit",Meal_entry_week_2!Q$255:Q$279)</f>
        <v>50</v>
      </c>
      <c r="Y399" s="1069">
        <f>SUMIF(Meal_entry_week_2!G$255:G$279,"Meat_fresh_frozen",Meal_entry_week_2!Q$255:Q$279)</f>
        <v>0</v>
      </c>
      <c r="Z399" s="1069">
        <f>SUMIF(Meal_entry_week_2!G$255:G$279,"Meat_processed",Meal_entry_week_2!Q$255:Q$279)</f>
        <v>30</v>
      </c>
      <c r="AA399" s="1069">
        <f>SUMIF(Meal_entry_week_2!G$255:G$279,"Fish_fresh_frozen",Meal_entry_week_2!Q$255:Q$279)+SUMIF(Meal_entry_week_2!G$255:G$279,"Fish_processed_canned",Meal_entry_week_2!Q$255:Q$279)</f>
        <v>0</v>
      </c>
      <c r="AB399" s="1069">
        <f>SUMIF(Meal_entry_week_2!G$255:G$279,"Eggs",Meal_entry_week_2!Q$255:Q$279)</f>
        <v>5</v>
      </c>
      <c r="AC399" s="1069">
        <f>SUMIF(Meal_entry_week_2!G$255:G$279,"Dairy_products",Meal_entry_week_2!Q$255:Q$279)</f>
        <v>8</v>
      </c>
      <c r="AD399" s="1069">
        <f>SUMIF(Meal_entry_week_2!G$255:G$279,"Oil_butter_margarine",Meal_entry_week_2!Q$255:Q$279)</f>
        <v>19.8</v>
      </c>
      <c r="AE399" s="1069">
        <f>SUMIF(Meal_entry_week_2!G$255:G$279,"Flour_pasta_seeds_cereals",Meal_entry_week_2!Q$255:Q$279)</f>
        <v>18</v>
      </c>
      <c r="AF399" s="1069">
        <f>SUMIF(Meal_entry_week_2!G$255:G$279,"Sauces_purees_dressings",Meal_entry_week_2!Q$255:Q$279)+SUMIF(Meal_entry_week_2!G$255:G$279,"Spices_seasonings",Meal_entry_week_2!Q$255:Q$279)</f>
        <v>6.83</v>
      </c>
      <c r="AG399" s="1069">
        <f>SUMIF(Meal_entry_week_2!G$255:G$279,"Sweet_foods_cakes",Meal_entry_week_2!Q$255:Q$279)</f>
        <v>15.6</v>
      </c>
      <c r="AH399" s="1069">
        <f>SUMIF(Meal_entry_week_2!G$255:G$279,"Bread_and_pastries",Meal_entry_week_2!Q$255:Q$279)+SUMIF(Meal_entry_week_2!G$255:G$279,"Savoury_pastries",Meal_entry_week_2!Q$255:Q$279)+SUMIF(Meal_entry_week_2!G$255:G$279,"Sweet_pastries",Meal_entry_week_2!Q$255:Q$279)</f>
        <v>80</v>
      </c>
      <c r="AI399" s="1069">
        <f>SUMIF(Meal_entry_week_2!G$255:G$279,"Other_processed_foods",Meal_entry_week_2!Q$255:Q$279)</f>
        <v>0</v>
      </c>
      <c r="AJ399" s="1069">
        <f>SUMIF(Meal_entry_week_2!G$255:G$279,"Sweetened_drinks_teas_coffee",Meal_entry_week_2!Q$255:Q$279)</f>
        <v>0</v>
      </c>
      <c r="AK399" s="1069">
        <f>SUMIF(Meal_entry_week_2!G$255:G$279,"Fruit_juices_water",Meal_entry_week_2!Q$255:Q$279)</f>
        <v>0</v>
      </c>
      <c r="AL399" s="1070">
        <f t="shared" si="76"/>
        <v>504.77</v>
      </c>
    </row>
    <row r="400" spans="1:38">
      <c r="A400" s="1066"/>
      <c r="B400" s="956" t="s">
        <v>3065</v>
      </c>
      <c r="C400" s="945"/>
      <c r="D400" s="1069">
        <f>SUMIF(Meal_entry_week_1!G$156:G$180,"Vegetables_mushrooms_fresh_frozen",Meal_entry_week_1!Q$156:Q$180)</f>
        <v>50</v>
      </c>
      <c r="E400" s="1069">
        <f>SUMIF(Meal_entry_week_1!G$156:G$180,"Vegetables_processed",Meal_entry_week_1!Q$156:Q$180)</f>
        <v>0</v>
      </c>
      <c r="F400" s="1069">
        <f>SUMIF(Meal_entry_week_1!G$156:G$180,"Fruits_nuts_dried_fruit",Meal_entry_week_1!Q$156:Q$180)</f>
        <v>150</v>
      </c>
      <c r="G400" s="1069">
        <f>SUMIF(Meal_entry_week_1!G$156:G$180,"Meat_fresh_frozen",Meal_entry_week_1!Q$156:Q$180)</f>
        <v>30</v>
      </c>
      <c r="H400" s="1069">
        <f>SUMIF(Meal_entry_week_1!G$156:G$180,"Meat_processed",Meal_entry_week_1!Q$156:Q$180)</f>
        <v>0</v>
      </c>
      <c r="I400" s="1069">
        <f>SUMIF(Meal_entry_week_1!G$156:G$180,"Fish_fresh_frozen",Meal_entry_week_1!Q$156:Q$180)+SUMIF(Meal_entry_week_1!G$156:G$180,"Fish_processed_canned",Meal_entry_week_1!Q$156:Q$180)</f>
        <v>0</v>
      </c>
      <c r="J400" s="1069">
        <f>SUMIF(Meal_entry_week_1!G$156:G$180,"Eggs",Meal_entry_week_1!Q$156:Q$180)</f>
        <v>30</v>
      </c>
      <c r="K400" s="1069">
        <f>SUMIF(Meal_entry_week_1!G$156:G$180,"Dairy_products",Meal_entry_week_1!Q$156:Q$180)</f>
        <v>0</v>
      </c>
      <c r="L400" s="1069">
        <f>SUMIF(Meal_entry_week_1!G$156:G$180,"Oil_butter_margarine",Meal_entry_week_1!Q$156:Q$180)</f>
        <v>14</v>
      </c>
      <c r="M400" s="1069">
        <f>SUMIF(Meal_entry_week_1!G$156:G$180,"Flour_pasta_seeds_cereals",Meal_entry_week_1!Q$156:Q$180)</f>
        <v>75</v>
      </c>
      <c r="N400" s="1069">
        <f>SUMIF(Meal_entry_week_1!G$156:G$180,"Sauces_purees_dressings",Meal_entry_week_1!Q$156:Q$180)+SUMIF(Meal_entry_week_1!G$156:G$180,"Spices_seasonings",Meal_entry_week_1!Q$156:Q$180)</f>
        <v>60.4</v>
      </c>
      <c r="O400" s="1069">
        <f>SUMIF(Meal_entry_week_1!G$156:G$180,"Sweet_foods_cakes",Meal_entry_week_1!Q$156:Q$180)</f>
        <v>0</v>
      </c>
      <c r="P400" s="1069">
        <f>SUMIF(Meal_entry_week_1!G$156:G$180,"Bread_and_pastries",Meal_entry_week_1!Q$156:Q$180)+SUMIF(Meal_entry_week_1!G$156:G$180,"Savoury_pastries",Meal_entry_week_1!Q$156:Q$180)+SUMIF(Meal_entry_week_1!G$156:G$180,"Sweet_pastries",Meal_entry_week_1!Q$156:Q$180)</f>
        <v>75</v>
      </c>
      <c r="Q400" s="1069">
        <f>SUMIF(Meal_entry_week_1!G$156:G$180,"Other_processed_foods",Meal_entry_week_1!Q$156:Q$180)</f>
        <v>0</v>
      </c>
      <c r="R400" s="1069">
        <f>SUMIF(Meal_entry_week_1!G$156:G$180,"Sweetened_drinks_teas_coffee",Meal_entry_week_1!Q$156:Q$180)</f>
        <v>0</v>
      </c>
      <c r="S400" s="1069">
        <f>SUMIF(Meal_entry_week_1!G$156:G$180,"Fruit_juices_water",Meal_entry_week_1!Q$156:Q$180)</f>
        <v>0</v>
      </c>
      <c r="T400" s="1070">
        <f>920-SUM(D400:S400)</f>
        <v>435.6</v>
      </c>
      <c r="U400" s="956" t="s">
        <v>3065</v>
      </c>
      <c r="V400" s="1069">
        <f>SUMIF(Meal_entry_week_2!G$156:G$180,"Vegetables_mushrooms_fresh_frozen",Meal_entry_week_2!Q$156:Q$180)</f>
        <v>140</v>
      </c>
      <c r="W400" s="1069">
        <f>SUMIF(Meal_entry_week_2!G$156:G$180,"Vegetables_processed",Meal_entry_week_2!Q$156:Q$180)</f>
        <v>60</v>
      </c>
      <c r="X400" s="1069">
        <f>SUMIF(Meal_entry_week_2!G$156:G$180,"Fruits_nuts_dried_fruit",Meal_entry_week_2!Q$156:Q$180)</f>
        <v>150</v>
      </c>
      <c r="Y400" s="1069">
        <f>SUMIF(Meal_entry_week_2!G$156:G$180,"Meat_fresh_frozen",Meal_entry_week_2!Q$156:Q$180)</f>
        <v>0</v>
      </c>
      <c r="Z400" s="1069">
        <f>SUMIF(Meal_entry_week_2!G$156:G$180,"Meat_processed",Meal_entry_week_2!Q$156:Q$180)</f>
        <v>0</v>
      </c>
      <c r="AA400" s="1069">
        <f>SUMIF(Meal_entry_week_2!G$156:G$180,"Fish_fresh_frozen",Meal_entry_week_2!Q$156:Q$180)+SUMIF(Meal_entry_week_2!G$156:G$180,"Fish_processed_canned",Meal_entry_week_2!Q$156:Q$180)</f>
        <v>0</v>
      </c>
      <c r="AB400" s="1069">
        <f>SUMIF(Meal_entry_week_2!G$156:G$180,"Eggs",Meal_entry_week_2!Q$156:Q$180)</f>
        <v>0</v>
      </c>
      <c r="AC400" s="1069">
        <f>SUMIF(Meal_entry_week_2!G$156:G$180,"Dairy_products",Meal_entry_week_2!Q$156:Q$180)</f>
        <v>25</v>
      </c>
      <c r="AD400" s="1069">
        <f>SUMIF(Meal_entry_week_2!G$156:G$180,"Oil_butter_margarine",Meal_entry_week_2!Q$156:Q$180)</f>
        <v>5</v>
      </c>
      <c r="AE400" s="1069">
        <f>SUMIF(Meal_entry_week_2!G$156:G$180,"Flour_pasta_seeds_cereals",Meal_entry_week_2!Q$156:Q$180)</f>
        <v>120</v>
      </c>
      <c r="AF400" s="1069">
        <f>SUMIF(Meal_entry_week_2!G$156:G$180,"Sauces_purees_dressings",Meal_entry_week_2!Q$156:Q$180)+SUMIF(Meal_entry_week_2!G$156:G$180,"Spices_seasonings",Meal_entry_week_2!Q$156:Q$180)</f>
        <v>0.4</v>
      </c>
      <c r="AG400" s="1069">
        <f>SUMIF(Meal_entry_week_2!G$156:G$180,"Sweet_foods_cakes",Meal_entry_week_2!Q$156:Q$180)</f>
        <v>0</v>
      </c>
      <c r="AH400" s="1069">
        <f>SUMIF(Meal_entry_week_2!G$156:G$180,"Bread_and_pastries",Meal_entry_week_2!Q$156:Q$180)+SUMIF(Meal_entry_week_2!G$156:G$180,"Savoury_pastries",Meal_entry_week_2!Q$156:Q$180)+SUMIF(Meal_entry_week_2!G$156:G$180,"Sweet_pastries",Meal_entry_week_2!Q$156:Q$180)</f>
        <v>75</v>
      </c>
      <c r="AI400" s="1069">
        <f>SUMIF(Meal_entry_week_2!G$156:G$180,"Other_processed_foods",Meal_entry_week_2!Q$156:Q$180)</f>
        <v>0</v>
      </c>
      <c r="AJ400" s="1069">
        <f>SUMIF(Meal_entry_week_2!G$156:G$180,"Sweetened_drinks_teas_coffee",Meal_entry_week_2!Q$156:Q$180)</f>
        <v>0</v>
      </c>
      <c r="AK400" s="1069">
        <f>SUMIF(Meal_entry_week_2!G$156:G$180,"Fruit_juices_water",Meal_entry_week_2!Q$156:Q$180)</f>
        <v>0</v>
      </c>
      <c r="AL400" s="1070">
        <f t="shared" si="76"/>
        <v>344.6</v>
      </c>
    </row>
    <row r="401" spans="1:39">
      <c r="A401" s="1066"/>
      <c r="B401" s="1074" t="s">
        <v>3064</v>
      </c>
      <c r="C401" s="1027"/>
      <c r="D401" s="1075">
        <f>SUMIF(Meal_entry_week_1!G$57:G$81,"Vegetables_mushrooms_fresh_frozen",Meal_entry_week_1!Q$57:Q$81)</f>
        <v>330</v>
      </c>
      <c r="E401" s="1075">
        <f>SUMIF(Meal_entry_week_1!G$57:G$81,"Vegetables_processed",Meal_entry_week_1!Q$57:Q$81)</f>
        <v>0</v>
      </c>
      <c r="F401" s="1075">
        <f>SUMIF(Meal_entry_week_1!G$57:G$81,"Fruits_nuts_dried_fruit",Meal_entry_week_1!Q$57:Q$81)</f>
        <v>150</v>
      </c>
      <c r="G401" s="1075">
        <f>SUMIF(Meal_entry_week_1!G$57:G$81,"Meat_fresh_frozen",Meal_entry_week_1!Q$57:Q$81)</f>
        <v>40</v>
      </c>
      <c r="H401" s="1075">
        <f>SUMIF(Meal_entry_week_1!G$57:G$81,"Meat_processed",Meal_entry_week_1!Q$57:Q$81)</f>
        <v>0</v>
      </c>
      <c r="I401" s="1075">
        <f>SUMIF(Meal_entry_week_1!G$57:G$81,"Fish_fresh_frozen",Meal_entry_week_1!Q$57:Q$81)+SUMIF(Meal_entry_week_1!G$57:G$81,"Fish_processed_canned",Meal_entry_week_1!Q$57:Q$81)</f>
        <v>0</v>
      </c>
      <c r="J401" s="1075">
        <f>SUMIF(Meal_entry_week_1!G$57:G$81,"Eggs",Meal_entry_week_1!Q$57:Q$81)</f>
        <v>30</v>
      </c>
      <c r="K401" s="1075">
        <f>SUMIF(Meal_entry_week_1!G$57:G$81,"Dairy_products",Meal_entry_week_1!Q$57:Q$81)</f>
        <v>0</v>
      </c>
      <c r="L401" s="1075">
        <f>SUMIF(Meal_entry_week_1!G$57:G$81,"Oil_butter_margarine",Meal_entry_week_1!Q$57:Q$81)</f>
        <v>16</v>
      </c>
      <c r="M401" s="1075">
        <f>SUMIF(Meal_entry_week_1!G$57:G$81,"Flour_pasta_seeds_cereals",Meal_entry_week_1!Q$57:Q$81)</f>
        <v>15</v>
      </c>
      <c r="N401" s="1075">
        <f>SUMIF(Meal_entry_week_1!G$57:G$81,"Sauces_purees_dressings",Meal_entry_week_1!Q$57:Q$81)+SUMIF(Meal_entry_week_1!G$57:G$81,"Spices_seasonings",Meal_entry_week_1!Q$57:Q$81)</f>
        <v>3.7</v>
      </c>
      <c r="O401" s="1075">
        <f>SUMIF(Meal_entry_week_1!G$57:G$81,"Sweet_foods_cakes",Meal_entry_week_1!Q$57:Q$81)</f>
        <v>0</v>
      </c>
      <c r="P401" s="1075">
        <f>SUMIF(Meal_entry_week_1!G$57:G$81,"Bread_and_pastries",Meal_entry_week_1!Q$57:Q$81)+SUMIF(Meal_entry_week_1!G$57:G$81,"Savoury_pastries",Meal_entry_week_1!Q$57:Q$81)+SUMIF(Meal_entry_week_1!G$57:G$81,"Sweet_pastries",Meal_entry_week_1!Q$57:Q$81)</f>
        <v>75</v>
      </c>
      <c r="Q401" s="1075">
        <f>SUMIF(Meal_entry_week_1!G$57:G$81,"Other_processed_foods",Meal_entry_week_1!Q$57:Q$81)</f>
        <v>0</v>
      </c>
      <c r="R401" s="1075">
        <f>SUMIF(Meal_entry_week_1!G$57:G$81,"Sweetened_drinks_teas_coffee",Meal_entry_week_1!Q$57:Q$81)</f>
        <v>0</v>
      </c>
      <c r="S401" s="1075">
        <f>SUMIF(Meal_entry_week_1!G$57:G$81,"Fruit_juices_water",Meal_entry_week_1!Q$57:Q$81)</f>
        <v>0</v>
      </c>
      <c r="T401" s="1070">
        <f>920-SUM(D401:S401)</f>
        <v>260.29999999999995</v>
      </c>
      <c r="U401" s="1074" t="s">
        <v>3064</v>
      </c>
      <c r="V401" s="1075">
        <f>SUMIF(Meal_entry_week_2!G$57:G$81,"Vegetables_mushrooms_fresh_frozen",Meal_entry_week_2!Q$57:Q$81)</f>
        <v>260</v>
      </c>
      <c r="W401" s="1075">
        <f>SUMIF(Meal_entry_week_2!G$57:G$81,"Vegetables_processed",Meal_entry_week_2!Q$57:Q$81)</f>
        <v>0</v>
      </c>
      <c r="X401" s="1075">
        <f>SUMIF(Meal_entry_week_2!G$57:G$81,"Fruits_nuts_dried_fruit",Meal_entry_week_2!Q$57:Q$81)</f>
        <v>120</v>
      </c>
      <c r="Y401" s="1075">
        <f>SUMIF(Meal_entry_week_2!G$57:G$81,"Meat_fresh_frozen",Meal_entry_week_2!Q$57:Q$81)</f>
        <v>50</v>
      </c>
      <c r="Z401" s="1075">
        <f>SUMIF(Meal_entry_week_2!G$57:G$81,"Meat_processed",Meal_entry_week_2!Q$57:Q$81)</f>
        <v>0</v>
      </c>
      <c r="AA401" s="1075">
        <f>SUMIF(Meal_entry_week_2!G$57:G$81,"Fish_fresh_frozen",Meal_entry_week_2!Q$57:Q$81)+SUMIF(Meal_entry_week_2!G$57:G$81,"Fish_processed_canned",Meal_entry_week_2!Q$57:Q$81)</f>
        <v>0</v>
      </c>
      <c r="AB401" s="1075">
        <f>SUMIF(Meal_entry_week_2!G$57:G$81,"Eggs",Meal_entry_week_2!Q$57:Q$81)</f>
        <v>20</v>
      </c>
      <c r="AC401" s="1075">
        <f>SUMIF(Meal_entry_week_2!G$57:G$81,"Dairy_products",Meal_entry_week_2!Q$57:Q$81)</f>
        <v>50</v>
      </c>
      <c r="AD401" s="1075">
        <f>SUMIF(Meal_entry_week_2!G$57:G$81,"Oil_butter_margarine",Meal_entry_week_2!Q$57:Q$81)</f>
        <v>34</v>
      </c>
      <c r="AE401" s="1075">
        <f>SUMIF(Meal_entry_week_2!G$57:G$81,"Flour_pasta_seeds_cereals",Meal_entry_week_2!Q$57:Q$81)</f>
        <v>10</v>
      </c>
      <c r="AF401" s="1075">
        <f>SUMIF(Meal_entry_week_2!G$57:G$81,"Sauces_purees_dressings",Meal_entry_week_2!Q$57:Q$81)+SUMIF(Meal_entry_week_2!G$57:G$81,"Spices_seasonings",Meal_entry_week_2!Q$57:Q$81)</f>
        <v>24.6</v>
      </c>
      <c r="AG401" s="1075">
        <f>SUMIF(Meal_entry_week_2!G$57:G$81,"Sweet_foods_cakes",Meal_entry_week_2!Q$57:Q$81)</f>
        <v>0</v>
      </c>
      <c r="AH401" s="1075">
        <f>SUMIF(Meal_entry_week_2!G$57:G$81,"Bread_and_pastries",Meal_entry_week_2!Q$57:Q$81)+SUMIF(Meal_entry_week_2!G$57:G$81,"Savoury_pastries",Meal_entry_week_2!Q$57:Q$81)+SUMIF(Meal_entry_week_2!G$57:G$81,"Sweet_pastries",Meal_entry_week_2!Q$57:Q$81)</f>
        <v>50</v>
      </c>
      <c r="AI401" s="1075">
        <f>SUMIF(Meal_entry_week_2!G$57:G$81,"Other_processed_foods",Meal_entry_week_2!Q$57:Q$81)</f>
        <v>0</v>
      </c>
      <c r="AJ401" s="1075">
        <f>SUMIF(Meal_entry_week_2!G$57:G$81,"Sweetened_drinks_teas_coffee",Meal_entry_week_2!Q$57:Q$81)</f>
        <v>0</v>
      </c>
      <c r="AK401" s="1075">
        <f>SUMIF(Meal_entry_week_2!G$57:G$81,"Fruit_juices_water",Meal_entry_week_2!Q$57:Q$81)</f>
        <v>0</v>
      </c>
      <c r="AL401" s="1070">
        <f t="shared" si="76"/>
        <v>301.39999999999998</v>
      </c>
    </row>
    <row r="402" spans="1:39">
      <c r="A402" s="1066"/>
      <c r="B402" s="956" t="s">
        <v>3567</v>
      </c>
      <c r="C402" s="945"/>
      <c r="D402" s="1269" t="s">
        <v>3140</v>
      </c>
      <c r="E402" s="1083" t="s">
        <v>3069</v>
      </c>
      <c r="F402" s="1083" t="s">
        <v>3077</v>
      </c>
      <c r="G402" s="1083" t="s">
        <v>3073</v>
      </c>
      <c r="H402" s="1083" t="s">
        <v>3070</v>
      </c>
      <c r="I402" s="913" t="s">
        <v>3575</v>
      </c>
      <c r="J402" s="913" t="s">
        <v>3072</v>
      </c>
      <c r="K402" s="1083" t="s">
        <v>3085</v>
      </c>
      <c r="L402" s="1083" t="s">
        <v>3075</v>
      </c>
      <c r="M402" s="1083" t="s">
        <v>3141</v>
      </c>
      <c r="N402" s="1083" t="s">
        <v>3550</v>
      </c>
      <c r="O402" s="1083" t="s">
        <v>3078</v>
      </c>
      <c r="P402" s="1083" t="s">
        <v>3551</v>
      </c>
      <c r="Q402" s="1083" t="s">
        <v>3082</v>
      </c>
      <c r="R402" s="1083" t="s">
        <v>3083</v>
      </c>
      <c r="S402" s="1083" t="s">
        <v>3084</v>
      </c>
      <c r="T402" s="1068"/>
      <c r="U402" s="956" t="s">
        <v>3567</v>
      </c>
      <c r="V402" s="1269" t="s">
        <v>3140</v>
      </c>
      <c r="W402" s="1083" t="s">
        <v>3069</v>
      </c>
      <c r="X402" s="1083" t="s">
        <v>3077</v>
      </c>
      <c r="Y402" s="1083" t="s">
        <v>3073</v>
      </c>
      <c r="Z402" s="1083" t="s">
        <v>3070</v>
      </c>
      <c r="AA402" s="913" t="s">
        <v>3575</v>
      </c>
      <c r="AB402" s="913" t="s">
        <v>3072</v>
      </c>
      <c r="AC402" s="1083" t="s">
        <v>3085</v>
      </c>
      <c r="AD402" s="1083" t="s">
        <v>3075</v>
      </c>
      <c r="AE402" s="1083" t="s">
        <v>3141</v>
      </c>
      <c r="AF402" s="1083" t="s">
        <v>3550</v>
      </c>
      <c r="AG402" s="1083" t="s">
        <v>3078</v>
      </c>
      <c r="AH402" s="1083" t="s">
        <v>3551</v>
      </c>
      <c r="AI402" s="1083" t="s">
        <v>3082</v>
      </c>
      <c r="AJ402" s="1083" t="s">
        <v>3083</v>
      </c>
      <c r="AK402" s="1083" t="s">
        <v>3084</v>
      </c>
      <c r="AL402" s="1068"/>
    </row>
    <row r="403" spans="1:39" s="1071" customFormat="1">
      <c r="A403" s="1066"/>
      <c r="B403" s="956" t="s">
        <v>3068</v>
      </c>
      <c r="C403" s="945"/>
      <c r="D403" s="1069">
        <f>SUMIF(Meal_entry_week_1!G$485:G$496,"Vegetables_mushrooms_fresh_frozen",Meal_entry_week_1!Q$485:Q$496)</f>
        <v>0</v>
      </c>
      <c r="E403" s="1069">
        <f>SUMIF(Meal_entry_week_1!G$485:G$496,"Vegetables_processed",Meal_entry_week_1!Q$485:Q$496)</f>
        <v>0</v>
      </c>
      <c r="F403" s="1069">
        <f>SUMIF(Meal_entry_week_1!G$485:G$496,"Fruits_nuts_dried_fruit",Meal_entry_week_1!Q$485:Q$496)</f>
        <v>0</v>
      </c>
      <c r="G403" s="1069">
        <f>SUMIF(Meal_entry_week_1!G$485:G$496,"Meat_fresh_frozen",Meal_entry_week_1!Q$485:Q$496)</f>
        <v>0</v>
      </c>
      <c r="H403" s="1069">
        <f>SUMIF(Meal_entry_week_1!G$485:G$496,"Meat_processed",Meal_entry_week_1!Q$485:Q$496)</f>
        <v>0</v>
      </c>
      <c r="I403" s="1069">
        <f>SUMIF(Meal_entry_week_1!G$485:G$496,"Fish_fresh_frozen",Meal_entry_week_1!Q$485:Q$496)+SUMIF(Meal_entry_week_1!G$485:G$496,"Fish_processed_canned",Meal_entry_week_1!Q$485:Q$496)</f>
        <v>0</v>
      </c>
      <c r="J403" s="1069">
        <f>SUMIF(Meal_entry_week_1!G$485:G$496,"Eggs",Meal_entry_week_1!Q$485:Q$496)</f>
        <v>0</v>
      </c>
      <c r="K403" s="1069">
        <f>SUMIF(Meal_entry_week_1!G$485:G$496,"Dairy_products",Meal_entry_week_1!Q$485:Q$496)</f>
        <v>0</v>
      </c>
      <c r="L403" s="1069">
        <f>SUMIF(Meal_entry_week_1!G$485:G$496,"Oil_butter_margarine",Meal_entry_week_1!Q$485:Q$496)</f>
        <v>0</v>
      </c>
      <c r="M403" s="1069">
        <f>SUMIF(Meal_entry_week_1!G$485:G$496,"Flour_pasta_seeds_cereals",Meal_entry_week_1!Q$485:Q$496)</f>
        <v>0</v>
      </c>
      <c r="N403" s="1069">
        <f>SUMIF(Meal_entry_week_1!G$485:G$496,"Sauces_purees_dressings",Meal_entry_week_1!Q$485:Q$496)+SUMIF(Meal_entry_week_1!G$485:G$496,"Spices_seasonings",Meal_entry_week_1!Q$485:Q$496)</f>
        <v>0</v>
      </c>
      <c r="O403" s="1069">
        <f>SUMIF(Meal_entry_week_1!G$485:G$496,"Sweet_foods_cakes",Meal_entry_week_1!Q$485:Q$496)</f>
        <v>0</v>
      </c>
      <c r="P403" s="1069">
        <f>SUMIF(Meal_entry_week_1!G$485:G$496,"Bread_and_pastries",Meal_entry_week_1!Q$485:Q$496)+SUMIF(Meal_entry_week_1!G$485:G$496,"Savoury_pastries",Meal_entry_week_1!Q$485:Q$496)+SUMIF(Meal_entry_week_1!G$485:G$496,"Sweet_pastries",Meal_entry_week_1!Q$485:Q$496)</f>
        <v>0</v>
      </c>
      <c r="Q403" s="1069">
        <f>SUMIF(Meal_entry_week_1!G$485:G$496,"Other_processed_foods",Meal_entry_week_1!Q$485:Q$496)</f>
        <v>0</v>
      </c>
      <c r="R403" s="1069">
        <f>SUMIF(Meal_entry_week_1!G$485:G$496,"Sweetened_drinks_teas_coffee",Meal_entry_week_1!Q$485:Q$496)</f>
        <v>0</v>
      </c>
      <c r="S403" s="1069">
        <f>SUMIF(Meal_entry_week_1!G$485:G$496,"Fruit_juices_water",Meal_entry_week_1!Q$485:Q$496)</f>
        <v>0</v>
      </c>
      <c r="T403" s="1069">
        <f>450-SUM(D403:S403)</f>
        <v>450</v>
      </c>
      <c r="U403" s="956" t="s">
        <v>3068</v>
      </c>
      <c r="V403" s="1069">
        <f>SUMIF(Meal_entry_week_2!G$485:G$496,"Vegetables_mushrooms_fresh_frozen",Meal_entry_week_2!Q$485:Q$496)</f>
        <v>0</v>
      </c>
      <c r="W403" s="1069">
        <f>SUMIF(Meal_entry_week_2!G$485:G$496,"Vegetables_processed",Meal_entry_week_2!Q$485:Q$496)</f>
        <v>0</v>
      </c>
      <c r="X403" s="1069">
        <f>SUMIF(Meal_entry_week_2!G$485:G$496,"Fruits_nuts_dried_fruit",Meal_entry_week_2!Q$485:Q$496)</f>
        <v>0</v>
      </c>
      <c r="Y403" s="1069">
        <f>SUMIF(Meal_entry_week_2!G$485:G$496,"Meat_fresh_frozen",Meal_entry_week_2!Q$485:Q$496)</f>
        <v>0</v>
      </c>
      <c r="Z403" s="1069">
        <f>SUMIF(Meal_entry_week_2!G$485:G$496,"Meat_processed",Meal_entry_week_2!Q$485:Q$496)</f>
        <v>0</v>
      </c>
      <c r="AA403" s="1069">
        <f>SUMIF(Meal_entry_week_2!G$485:G$496,"Fish_fresh_frozen",Meal_entry_week_2!Q$485:Q$496)+SUMIF(Meal_entry_week_2!G$485:G$496,"Fish_processed_canned",Meal_entry_week_2!Q$485:Q$496)</f>
        <v>0</v>
      </c>
      <c r="AB403" s="1069">
        <f>SUMIF(Meal_entry_week_2!G$485:G$496,"Eggs",Meal_entry_week_2!Q$485:Q$496)</f>
        <v>0</v>
      </c>
      <c r="AC403" s="1069">
        <f>SUMIF(Meal_entry_week_2!G$485:G$496,"Dairy_products",Meal_entry_week_2!Q$485:Q$496)</f>
        <v>0</v>
      </c>
      <c r="AD403" s="1069">
        <f>SUMIF(Meal_entry_week_2!G$485:G$496,"Oil_butter_margarine",Meal_entry_week_2!Q$485:Q$496)</f>
        <v>0</v>
      </c>
      <c r="AE403" s="1069">
        <f>SUMIF(Meal_entry_week_2!G$485:G$496,"Flour_pasta_seeds_cereals",Meal_entry_week_2!Q$485:Q$496)</f>
        <v>0</v>
      </c>
      <c r="AF403" s="1069">
        <f>SUMIF(Meal_entry_week_2!G$485:G$496,"Sauces_purees_dressings",Meal_entry_week_2!Q$485:Q$496)+SUMIF(Meal_entry_week_2!G$485:G$496,"Spices_seasonings",Meal_entry_week_2!Q$485:Q$496)</f>
        <v>0</v>
      </c>
      <c r="AG403" s="1069">
        <f>SUMIF(Meal_entry_week_2!G$485:G$496,"Sweet_foods_cakes",Meal_entry_week_2!Q$485:Q$496)</f>
        <v>0</v>
      </c>
      <c r="AH403" s="1069">
        <f>SUMIF(Meal_entry_week_2!G$485:G$496,"Bread_and_pastries",Meal_entry_week_2!Q$485:Q$496)+SUMIF(Meal_entry_week_2!G$485:G$496,"Savoury_pastries",Meal_entry_week_2!Q$485:Q$496)+SUMIF(Meal_entry_week_2!G$485:G$496,"Sweet_pastries",Meal_entry_week_2!Q$485:Q$496)</f>
        <v>0</v>
      </c>
      <c r="AI403" s="1069">
        <f>SUMIF(Meal_entry_week_2!G$485:G$496,"Other_processed_foods",Meal_entry_week_2!Q$485:Q$496)</f>
        <v>0</v>
      </c>
      <c r="AJ403" s="1069">
        <f>SUMIF(Meal_entry_week_2!G$485:G$496,"Sweetened_drinks_teas_coffee",Meal_entry_week_2!Q$485:Q$496)</f>
        <v>0</v>
      </c>
      <c r="AK403" s="1069">
        <f>SUMIF(Meal_entry_week_2!G$485:G$496,"Fruit_juices_water",Meal_entry_week_2!Q$485:Q$496)</f>
        <v>0</v>
      </c>
      <c r="AL403" s="1070">
        <f>450-SUM(V403:AK403)</f>
        <v>450</v>
      </c>
    </row>
    <row r="404" spans="1:39">
      <c r="A404" s="1066"/>
      <c r="B404" s="956" t="s">
        <v>3067</v>
      </c>
      <c r="C404" s="945"/>
      <c r="D404" s="1069">
        <f>SUMIF(Meal_entry_week_1!G$386:G$397,"Vegetables_mushrooms_fresh_frozen",Meal_entry_week_1!Q$386:Q$397)</f>
        <v>0</v>
      </c>
      <c r="E404" s="1069">
        <f>SUMIF(Meal_entry_week_1!G$386:G$397,"Vegetables_processed",Meal_entry_week_1!Q$386:Q$397)</f>
        <v>0</v>
      </c>
      <c r="F404" s="1069">
        <f>SUMIF(Meal_entry_week_1!G$386:G$397,"Fruits_nuts_dried_fruit",Meal_entry_week_1!Q$386:Q$397)</f>
        <v>0</v>
      </c>
      <c r="G404" s="1069">
        <f>SUMIF(Meal_entry_week_1!G$386:G$397,"Meat_fresh_frozen",Meal_entry_week_1!Q$386:Q$397)</f>
        <v>0</v>
      </c>
      <c r="H404" s="1069">
        <f>SUMIF(Meal_entry_week_1!G$386:G$397,"Meat_processed",Meal_entry_week_1!Q$386:Q$397)</f>
        <v>0</v>
      </c>
      <c r="I404" s="1069">
        <f>SUMIF(Meal_entry_week_1!G$386:G$397,"Fish_fresh_frozen",Meal_entry_week_1!Q$386:Q$397)+SUMIF(Meal_entry_week_1!G$386:G$397,"Fish_processed_canned",Meal_entry_week_1!Q$386:Q$397)</f>
        <v>0</v>
      </c>
      <c r="J404" s="1069">
        <f>SUMIF(Meal_entry_week_1!G$386:G$397,"Eggs",Meal_entry_week_1!Q$386:Q$397)</f>
        <v>0</v>
      </c>
      <c r="K404" s="1069">
        <f>SUMIF(Meal_entry_week_1!G$386:G$397,"Dairy_products",Meal_entry_week_1!Q$386:Q$397)</f>
        <v>0</v>
      </c>
      <c r="L404" s="1069">
        <f>SUMIF(Meal_entry_week_1!G$386:G$397,"Oil_butter_margarine",Meal_entry_week_1!Q$386:Q$397)</f>
        <v>0</v>
      </c>
      <c r="M404" s="1069">
        <f>SUMIF(Meal_entry_week_1!G$386:G$397,"Flour_pasta_seeds_cereals",Meal_entry_week_1!Q$386:Q$397)</f>
        <v>0</v>
      </c>
      <c r="N404" s="1069">
        <f>SUMIF(Meal_entry_week_1!G$386:G$397,"Sauces_purees_dressings",Meal_entry_week_1!Q$386:Q$397)+SUMIF(Meal_entry_week_1!G$386:G$397,"Spices_seasonings",Meal_entry_week_1!Q$386:Q$397)</f>
        <v>0</v>
      </c>
      <c r="O404" s="1069">
        <f>SUMIF(Meal_entry_week_1!G$386:G$397,"Sweet_foods_cakes",Meal_entry_week_1!Q$386:Q$397)</f>
        <v>0</v>
      </c>
      <c r="P404" s="1069">
        <f>SUMIF(Meal_entry_week_1!G$386:G$397,"Bread_and_pastries",Meal_entry_week_1!Q$386:Q$397)+SUMIF(Meal_entry_week_1!G$386:G$397,"Savoury_pastries",Meal_entry_week_1!Q$386:Q$397)+SUMIF(Meal_entry_week_1!G$386:G$397,"Sweet_pastries",Meal_entry_week_1!Q$386:Q$397)</f>
        <v>0</v>
      </c>
      <c r="Q404" s="1069">
        <f>SUMIF(Meal_entry_week_1!G$386:G$397,"Other_processed_foods",Meal_entry_week_1!Q$386:Q$397)</f>
        <v>0</v>
      </c>
      <c r="R404" s="1069">
        <f>SUMIF(Meal_entry_week_1!G$386:G$397,"Sweetened_drinks_teas_coffee",Meal_entry_week_1!Q$386:Q$397)</f>
        <v>0</v>
      </c>
      <c r="S404" s="1069">
        <f>SUMIF(Meal_entry_week_1!G$386:G$397,"Fruit_juices_water",Meal_entry_week_1!Q$386:Q$397)</f>
        <v>0</v>
      </c>
      <c r="T404" s="1070">
        <f>450-SUM(D404:S404)</f>
        <v>450</v>
      </c>
      <c r="U404" s="956" t="s">
        <v>3067</v>
      </c>
      <c r="V404" s="1069">
        <f>SUMIF(Meal_entry_week_2!G$386:G$397,"Vegetables_mushrooms_fresh_frozen",Meal_entry_week_2!Q$386:Q$397)</f>
        <v>0</v>
      </c>
      <c r="W404" s="1069">
        <f>SUMIF(Meal_entry_week_2!G$386:G$397,"Vegetables_processed",Meal_entry_week_2!Q$386:Q$397)</f>
        <v>0</v>
      </c>
      <c r="X404" s="1069">
        <f>SUMIF(Meal_entry_week_2!G$386:G$397,"Fruits_nuts_dried_fruit",Meal_entry_week_2!Q$386:Q$397)</f>
        <v>0</v>
      </c>
      <c r="Y404" s="1069">
        <f>SUMIF(Meal_entry_week_2!G$386:G$397,"Meat_fresh_frozen",Meal_entry_week_2!Q$386:Q$397)</f>
        <v>0</v>
      </c>
      <c r="Z404" s="1069">
        <f>SUMIF(Meal_entry_week_2!G$386:G$397,"Meat_processed",Meal_entry_week_2!Q$386:Q$397)</f>
        <v>0</v>
      </c>
      <c r="AA404" s="1069">
        <f>SUMIF(Meal_entry_week_2!G$386:G$397,"Fish_fresh_frozen",Meal_entry_week_2!Q$386:Q$397)+SUMIF(Meal_entry_week_2!G$386:G$397,"Fish_processed_canned",Meal_entry_week_2!Q$386:Q$397)</f>
        <v>0</v>
      </c>
      <c r="AB404" s="1069">
        <f>SUMIF(Meal_entry_week_2!G$386:G$397,"Eggs",Meal_entry_week_2!Q$386:Q$397)</f>
        <v>0</v>
      </c>
      <c r="AC404" s="1069">
        <f>SUMIF(Meal_entry_week_2!G$386:G$397,"Dairy_products",Meal_entry_week_2!Q$386:Q$397)</f>
        <v>0</v>
      </c>
      <c r="AD404" s="1069">
        <f>SUMIF(Meal_entry_week_2!G$386:G$397,"Oil_butter_margarine",Meal_entry_week_2!Q$386:Q$397)</f>
        <v>0</v>
      </c>
      <c r="AE404" s="1069">
        <f>SUMIF(Meal_entry_week_2!G$386:G$397,"Flour_pasta_seeds_cereals",Meal_entry_week_2!Q$386:Q$397)</f>
        <v>0</v>
      </c>
      <c r="AF404" s="1069">
        <f>SUMIF(Meal_entry_week_2!G$386:G$397,"Sauces_purees_dressings",Meal_entry_week_2!Q$386:Q$397)+SUMIF(Meal_entry_week_2!G$386:G$397,"Spices_seasonings",Meal_entry_week_2!Q$386:Q$397)</f>
        <v>0</v>
      </c>
      <c r="AG404" s="1069">
        <f>SUMIF(Meal_entry_week_2!G$386:G$397,"Sweet_foods_cakes",Meal_entry_week_2!Q$386:Q$397)</f>
        <v>0</v>
      </c>
      <c r="AH404" s="1069">
        <f>SUMIF(Meal_entry_week_2!G$386:G$397,"Bread_and_pastries",Meal_entry_week_2!Q$386:Q$397)+SUMIF(Meal_entry_week_2!G$386:G$397,"Savoury_pastries",Meal_entry_week_2!Q$386:Q$397)+SUMIF(Meal_entry_week_2!G$386:G$397,"Sweet_pastries",Meal_entry_week_2!Q$386:Q$397)</f>
        <v>0</v>
      </c>
      <c r="AI404" s="1069">
        <f>SUMIF(Meal_entry_week_2!G$386:G$397,"Other_processed_foods",Meal_entry_week_2!Q$386:Q$397)</f>
        <v>0</v>
      </c>
      <c r="AJ404" s="1069">
        <f>SUMIF(Meal_entry_week_2!G$386:G$397,"Sweetened_drinks_teas_coffee",Meal_entry_week_2!Q$386:Q$397)</f>
        <v>0</v>
      </c>
      <c r="AK404" s="1069">
        <f>SUMIF(Meal_entry_week_2!G$386:G$397,"Fruit_juices_water",Meal_entry_week_2!Q$386:Q$397)</f>
        <v>0</v>
      </c>
      <c r="AL404" s="1070">
        <f>450-SUM(V404:AK404)</f>
        <v>450</v>
      </c>
    </row>
    <row r="405" spans="1:39">
      <c r="A405" s="1066"/>
      <c r="B405" s="956" t="s">
        <v>3066</v>
      </c>
      <c r="C405" s="945"/>
      <c r="D405" s="1069">
        <f>SUMIF(Meal_entry_week_1!G$287:G$298,"Vegetables_mushrooms_fresh_frozen",Meal_entry_week_1!Q$287:Q$298)</f>
        <v>0</v>
      </c>
      <c r="E405" s="1069">
        <f>SUMIF(Meal_entry_week_1!G$287:G$298,"Vegetables_processed",Meal_entry_week_1!Q$287:Q$298)</f>
        <v>0</v>
      </c>
      <c r="F405" s="1069">
        <f>SUMIF(Meal_entry_week_1!G$287:G$298,"Fruits_nuts_dried_fruit",Meal_entry_week_1!Q$287:Q$298)</f>
        <v>0</v>
      </c>
      <c r="G405" s="1069">
        <f>SUMIF(Meal_entry_week_1!G$287:G$298,"Meat_fresh_frozen",Meal_entry_week_1!Q$287:Q$298)</f>
        <v>0</v>
      </c>
      <c r="H405" s="1069">
        <f>SUMIF(Meal_entry_week_1!G$287:G$298,"Meat_processed",Meal_entry_week_1!Q$287:Q$298)</f>
        <v>0</v>
      </c>
      <c r="I405" s="1069">
        <f>SUMIF(Meal_entry_week_1!G$287:G$298,"Fish_fresh_frozen",Meal_entry_week_1!Q$287:Q$298)+SUMIF(Meal_entry_week_1!G$287:G$298,"Fish_processed_canned",Meal_entry_week_1!Q$287:Q$298)</f>
        <v>0</v>
      </c>
      <c r="J405" s="1069">
        <f>SUMIF(Meal_entry_week_1!G$287:G$298,"Eggs",Meal_entry_week_1!Q$287:Q$298)</f>
        <v>0</v>
      </c>
      <c r="K405" s="1069">
        <f>SUMIF(Meal_entry_week_1!G$287:G$298,"Dairy_products",Meal_entry_week_1!Q$287:Q$298)</f>
        <v>0</v>
      </c>
      <c r="L405" s="1069">
        <f>SUMIF(Meal_entry_week_1!G$287:G$298,"Oil_butter_margarine",Meal_entry_week_1!Q$287:Q$298)</f>
        <v>0</v>
      </c>
      <c r="M405" s="1069">
        <f>SUMIF(Meal_entry_week_1!G$287:G$298,"Flour_pasta_seeds_cereals",Meal_entry_week_1!Q$287:Q$298)</f>
        <v>0</v>
      </c>
      <c r="N405" s="1069">
        <f>SUMIF(Meal_entry_week_1!G$287:G$298,"Sauces_purees_dressings",Meal_entry_week_1!Q$287:Q$298)+SUMIF(Meal_entry_week_1!G$287:G$298,"Spices_seasonings",Meal_entry_week_1!Q$287:Q$298)</f>
        <v>0</v>
      </c>
      <c r="O405" s="1069">
        <f>SUMIF(Meal_entry_week_1!G$287:G$298,"Sweet_foods_cakes",Meal_entry_week_1!Q$287:Q$298)</f>
        <v>0</v>
      </c>
      <c r="P405" s="1069">
        <f>SUMIF(Meal_entry_week_1!G$287:G$298,"Bread_and_pastries",Meal_entry_week_1!Q$287:Q$298)+SUMIF(Meal_entry_week_1!G$287:G$298,"Savoury_pastries",Meal_entry_week_1!Q$287:Q$298)+SUMIF(Meal_entry_week_1!G$287:G$298,"Sweet_pastries",Meal_entry_week_1!Q$287:Q$298)</f>
        <v>0</v>
      </c>
      <c r="Q405" s="1069">
        <f>SUMIF(Meal_entry_week_1!G$287:G$298,"Other_processed_foods",Meal_entry_week_1!Q$287:Q$298)</f>
        <v>0</v>
      </c>
      <c r="R405" s="1069">
        <f>SUMIF(Meal_entry_week_1!G$287:G$298,"Sweetened_drinks_teas_coffee",Meal_entry_week_1!Q$287:Q$298)</f>
        <v>0</v>
      </c>
      <c r="S405" s="1069">
        <f>SUMIF(Meal_entry_week_1!G$287:G$298,"Fruit_juices_water",Meal_entry_week_1!Q$287:Q$298)</f>
        <v>0</v>
      </c>
      <c r="T405" s="1070">
        <f>450-SUM(D405:S405)</f>
        <v>450</v>
      </c>
      <c r="U405" s="956" t="s">
        <v>3066</v>
      </c>
      <c r="V405" s="1069">
        <f>SUMIF(Meal_entry_week_2!G$287:G$298,"Vegetables_mushrooms_fresh_frozen",Meal_entry_week_2!Q$287:Q$298)</f>
        <v>0</v>
      </c>
      <c r="W405" s="1069">
        <f>SUMIF(Meal_entry_week_2!G$287:G$298,"Vegetables_processed",Meal_entry_week_2!Q$287:Q$298)</f>
        <v>0</v>
      </c>
      <c r="X405" s="1069">
        <f>SUMIF(Meal_entry_week_2!G$287:G$298,"Fruits_nuts_dried_fruit",Meal_entry_week_2!Q$287:Q$298)</f>
        <v>0</v>
      </c>
      <c r="Y405" s="1069">
        <f>SUMIF(Meal_entry_week_2!G$287:G$298,"Meat_fresh_frozen",Meal_entry_week_2!Q$287:Q$298)</f>
        <v>0</v>
      </c>
      <c r="Z405" s="1069">
        <f>SUMIF(Meal_entry_week_2!G$287:G$298,"Meat_processed",Meal_entry_week_2!Q$287:Q$298)</f>
        <v>0</v>
      </c>
      <c r="AA405" s="1069">
        <f>SUMIF(Meal_entry_week_2!G$287:G$298,"Fish_fresh_frozen",Meal_entry_week_2!Q$287:Q$298)+SUMIF(Meal_entry_week_2!G$287:G$298,"Fish_processed_canned",Meal_entry_week_2!Q$287:Q$298)</f>
        <v>0</v>
      </c>
      <c r="AB405" s="1069">
        <f>SUMIF(Meal_entry_week_2!G$287:G$298,"Eggs",Meal_entry_week_2!Q$287:Q$298)</f>
        <v>0</v>
      </c>
      <c r="AC405" s="1069">
        <f>SUMIF(Meal_entry_week_2!G$287:G$298,"Dairy_products",Meal_entry_week_2!Q$287:Q$298)</f>
        <v>0</v>
      </c>
      <c r="AD405" s="1069">
        <f>SUMIF(Meal_entry_week_2!G$287:G$298,"Oil_butter_margarine",Meal_entry_week_2!Q$287:Q$298)</f>
        <v>0</v>
      </c>
      <c r="AE405" s="1069">
        <f>SUMIF(Meal_entry_week_2!G$287:G$298,"Flour_pasta_seeds_cereals",Meal_entry_week_2!Q$287:Q$298)</f>
        <v>0</v>
      </c>
      <c r="AF405" s="1069">
        <f>SUMIF(Meal_entry_week_2!G$287:G$298,"Sauces_purees_dressings",Meal_entry_week_2!Q$287:Q$298)+SUMIF(Meal_entry_week_2!G$287:G$298,"Spices_seasonings",Meal_entry_week_2!Q$287:Q$298)</f>
        <v>0</v>
      </c>
      <c r="AG405" s="1069">
        <f>SUMIF(Meal_entry_week_2!G$287:G$298,"Sweet_foods_cakes",Meal_entry_week_2!Q$287:Q$298)</f>
        <v>0</v>
      </c>
      <c r="AH405" s="1069">
        <f>SUMIF(Meal_entry_week_2!G$287:G$298,"Bread_and_pastries",Meal_entry_week_2!Q$287:Q$298)+SUMIF(Meal_entry_week_2!G$287:G$298,"Savoury_pastries",Meal_entry_week_2!Q$287:Q$298)+SUMIF(Meal_entry_week_2!G$287:G$298,"Sweet_pastries",Meal_entry_week_2!Q$287:Q$298)</f>
        <v>0</v>
      </c>
      <c r="AI405" s="1069">
        <f>SUMIF(Meal_entry_week_2!G$287:G$298,"Other_processed_foods",Meal_entry_week_2!Q$287:Q$298)</f>
        <v>0</v>
      </c>
      <c r="AJ405" s="1069">
        <f>SUMIF(Meal_entry_week_2!G$287:G$298,"Sweetened_drinks_teas_coffee",Meal_entry_week_2!Q$287:Q$298)</f>
        <v>0</v>
      </c>
      <c r="AK405" s="1069">
        <f>SUMIF(Meal_entry_week_2!G$287:G$298,"Fruit_juices_water",Meal_entry_week_2!Q$287:Q$298)</f>
        <v>0</v>
      </c>
      <c r="AL405" s="1070">
        <f>450-SUM(V405:AK405)</f>
        <v>450</v>
      </c>
    </row>
    <row r="406" spans="1:39">
      <c r="A406" s="1066"/>
      <c r="B406" s="956" t="s">
        <v>3065</v>
      </c>
      <c r="C406" s="945"/>
      <c r="D406" s="1069">
        <f>SUMIF(Meal_entry_week_1!G$188:G$199,"Vegetables_mushrooms_fresh_frozen",Meal_entry_week_1!Q$188:Q$199)</f>
        <v>0</v>
      </c>
      <c r="E406" s="1069">
        <f>SUMIF(Meal_entry_week_1!G$188:G$199,"Vegetables_processed",Meal_entry_week_1!Q$188:Q$199)</f>
        <v>0</v>
      </c>
      <c r="F406" s="1069">
        <f>SUMIF(Meal_entry_week_1!G$188:G$199,"Fruits_nuts_dried_fruit",Meal_entry_week_1!Q$188:Q$199)</f>
        <v>0</v>
      </c>
      <c r="G406" s="1069">
        <f>SUMIF(Meal_entry_week_1!G$188:G$199,"Meat_fresh_frozen",Meal_entry_week_1!Q$188:Q$199)</f>
        <v>0</v>
      </c>
      <c r="H406" s="1069">
        <f>SUMIF(Meal_entry_week_1!G$188:G$199,"Meat_processed",Meal_entry_week_1!Q$188:Q$199)</f>
        <v>0</v>
      </c>
      <c r="I406" s="1069">
        <f>SUMIF(Meal_entry_week_1!G$188:G$199,"Fish_fresh_frozen",Meal_entry_week_1!Q$188:Q$199)+SUMIF(Meal_entry_week_1!G$188:G$199,"Fish_processed_canned",Meal_entry_week_1!Q$188:Q$199)</f>
        <v>0</v>
      </c>
      <c r="J406" s="1069">
        <f>SUMIF(Meal_entry_week_1!G$188:G$199,"Eggs",Meal_entry_week_1!Q$188:Q$199)</f>
        <v>0</v>
      </c>
      <c r="K406" s="1069">
        <f>SUMIF(Meal_entry_week_1!G$188:G$199,"Dairy_products",Meal_entry_week_1!Q$188:Q$199)</f>
        <v>0</v>
      </c>
      <c r="L406" s="1069">
        <f>SUMIF(Meal_entry_week_1!G$188:G$199,"Oil_butter_margarine",Meal_entry_week_1!Q$188:Q$199)</f>
        <v>0</v>
      </c>
      <c r="M406" s="1069">
        <f>SUMIF(Meal_entry_week_1!G$188:G$199,"Flour_pasta_seeds_cereals",Meal_entry_week_1!Q$188:Q$199)</f>
        <v>0</v>
      </c>
      <c r="N406" s="1069">
        <f>SUMIF(Meal_entry_week_1!G$188:G$199,"Sauces_purees_dressings",Meal_entry_week_1!Q$188:Q$199)+SUMIF(Meal_entry_week_1!G$188:G$199,"Spices_seasonings",Meal_entry_week_1!Q$188:Q$199)</f>
        <v>0</v>
      </c>
      <c r="O406" s="1069">
        <f>SUMIF(Meal_entry_week_1!G$188:G$199,"Sweet_foods_cakes",Meal_entry_week_1!Q$188:Q$199)</f>
        <v>0</v>
      </c>
      <c r="P406" s="1069">
        <f>SUMIF(Meal_entry_week_1!G$188:G$199,"Bread_and_pastries",Meal_entry_week_1!Q$188:Q$199)+SUMIF(Meal_entry_week_1!G$188:G$199,"Savoury_pastries",Meal_entry_week_1!Q$188:Q$199)+SUMIF(Meal_entry_week_1!G$188:G$199,"Sweet_pastries",Meal_entry_week_1!Q$188:Q$199)</f>
        <v>0</v>
      </c>
      <c r="Q406" s="1069">
        <f>SUMIF(Meal_entry_week_1!G$188:G$199,"Other_processed_foods",Meal_entry_week_1!Q$188:Q$199)</f>
        <v>0</v>
      </c>
      <c r="R406" s="1069">
        <f>SUMIF(Meal_entry_week_1!G$188:G$199,"Sweetened_drinks_teas_coffee",Meal_entry_week_1!Q$188:Q$199)</f>
        <v>0</v>
      </c>
      <c r="S406" s="1069">
        <f>SUMIF(Meal_entry_week_1!G$188:G$199,"Fruit_juices_water",Meal_entry_week_1!Q$188:Q$199)</f>
        <v>0</v>
      </c>
      <c r="T406" s="1070">
        <f>450-SUM(D406:S406)</f>
        <v>450</v>
      </c>
      <c r="U406" s="956" t="s">
        <v>3065</v>
      </c>
      <c r="V406" s="1069">
        <f>SUMIF(Meal_entry_week_2!G$188:G$199,"Vegetables_mushrooms_fresh_frozen",Meal_entry_week_2!Q$188:Q$199)</f>
        <v>0</v>
      </c>
      <c r="W406" s="1069">
        <f>SUMIF(Meal_entry_week_2!G$188:G$199,"Vegetables_processed",Meal_entry_week_2!Q$188:Q$199)</f>
        <v>0</v>
      </c>
      <c r="X406" s="1069">
        <f>SUMIF(Meal_entry_week_2!G$188:G$199,"Fruits_nuts_dried_fruit",Meal_entry_week_2!Q$188:Q$199)</f>
        <v>0</v>
      </c>
      <c r="Y406" s="1069">
        <f>SUMIF(Meal_entry_week_2!G$188:G$199,"Meat_fresh_frozen",Meal_entry_week_2!Q$188:Q$199)</f>
        <v>0</v>
      </c>
      <c r="Z406" s="1069">
        <f>SUMIF(Meal_entry_week_2!G$188:G$199,"Meat_processed",Meal_entry_week_2!Q$188:Q$199)</f>
        <v>0</v>
      </c>
      <c r="AA406" s="1069">
        <f>SUMIF(Meal_entry_week_2!G$188:G$199,"Fish_fresh_frozen",Meal_entry_week_2!Q$188:Q$199)+SUMIF(Meal_entry_week_2!G$188:G$199,"Fish_processed_canned",Meal_entry_week_2!Q$188:Q$199)</f>
        <v>0</v>
      </c>
      <c r="AB406" s="1069">
        <f>SUMIF(Meal_entry_week_2!G$188:G$199,"Eggs",Meal_entry_week_2!Q$188:Q$199)</f>
        <v>0</v>
      </c>
      <c r="AC406" s="1069">
        <f>SUMIF(Meal_entry_week_2!G$188:G$199,"Dairy_products",Meal_entry_week_2!Q$188:Q$199)</f>
        <v>0</v>
      </c>
      <c r="AD406" s="1069">
        <f>SUMIF(Meal_entry_week_2!G$188:G$199,"Oil_butter_margarine",Meal_entry_week_2!Q$188:Q$199)</f>
        <v>0</v>
      </c>
      <c r="AE406" s="1069">
        <f>SUMIF(Meal_entry_week_2!G$188:G$199,"Flour_pasta_seeds_cereals",Meal_entry_week_2!Q$188:Q$199)</f>
        <v>0</v>
      </c>
      <c r="AF406" s="1069">
        <f>SUMIF(Meal_entry_week_2!G$188:G$199,"Sauces_purees_dressings",Meal_entry_week_2!Q$188:Q$199)+SUMIF(Meal_entry_week_2!G$188:G$199,"Spices_seasonings",Meal_entry_week_2!Q$188:Q$199)</f>
        <v>0</v>
      </c>
      <c r="AG406" s="1069">
        <f>SUMIF(Meal_entry_week_2!G$188:G$199,"Sweet_foods_cakes",Meal_entry_week_2!Q$188:Q$199)</f>
        <v>0</v>
      </c>
      <c r="AH406" s="1069">
        <f>SUMIF(Meal_entry_week_2!G$188:G$199,"Bread_and_pastries",Meal_entry_week_2!Q$188:Q$199)+SUMIF(Meal_entry_week_2!G$188:G$199,"Savoury_pastries",Meal_entry_week_2!Q$188:Q$199)+SUMIF(Meal_entry_week_2!G$188:G$199,"Sweet_pastries",Meal_entry_week_2!Q$188:Q$199)</f>
        <v>0</v>
      </c>
      <c r="AI406" s="1069">
        <f>SUMIF(Meal_entry_week_2!G$188:G$199,"Other_processed_foods",Meal_entry_week_2!Q$188:Q$199)</f>
        <v>0</v>
      </c>
      <c r="AJ406" s="1069">
        <f>SUMIF(Meal_entry_week_2!G$188:G$199,"Sweetened_drinks_teas_coffee",Meal_entry_week_2!Q$188:Q$199)</f>
        <v>0</v>
      </c>
      <c r="AK406" s="1069">
        <f>SUMIF(Meal_entry_week_2!G$188:G$199,"Fruit_juices_water",Meal_entry_week_2!Q$188:Q$199)</f>
        <v>0</v>
      </c>
      <c r="AL406" s="1070">
        <f>450-SUM(V406:AK406)</f>
        <v>450</v>
      </c>
    </row>
    <row r="407" spans="1:39">
      <c r="A407" s="1066"/>
      <c r="B407" s="1074" t="s">
        <v>3064</v>
      </c>
      <c r="C407" s="1027"/>
      <c r="D407" s="1075">
        <f>SUMIF(Meal_entry_week_1!G$89:G$100,"Vegetables_mushrooms_fresh_frozen",Meal_entry_week_1!Q$89:Q$100)</f>
        <v>0</v>
      </c>
      <c r="E407" s="1075">
        <f>SUMIF(Meal_entry_week_1!G$89:G$100,"Vegetables_processed",Meal_entry_week_1!Q$89:Q$100)</f>
        <v>0</v>
      </c>
      <c r="F407" s="1075">
        <f>SUMIF(Meal_entry_week_1!G$89:G$100,"Fruits_nuts_dried_fruit",Meal_entry_week_1!Q$89:Q$100)</f>
        <v>0</v>
      </c>
      <c r="G407" s="1075">
        <f>SUMIF(Meal_entry_week_1!G$89:G$100,"Meat_fresh_frozen",Meal_entry_week_1!Q$89:Q$100)</f>
        <v>0</v>
      </c>
      <c r="H407" s="1075">
        <f>SUMIF(Meal_entry_week_1!G$89:G$100,"Meat_processed",Meal_entry_week_1!Q$89:Q$100)</f>
        <v>0</v>
      </c>
      <c r="I407" s="1075">
        <f>SUMIF(Meal_entry_week_1!G$89:G$100,"Fish_fresh_frozen",Meal_entry_week_1!Q$89:Q$100)+SUMIF(Meal_entry_week_1!G$89:G$100,"Fish_processed_canned",Meal_entry_week_1!Q$89:Q$100)</f>
        <v>0</v>
      </c>
      <c r="J407" s="1075">
        <f>SUMIF(Meal_entry_week_1!G$89:G$100,"Eggs",Meal_entry_week_1!Q$89:Q$100)</f>
        <v>0</v>
      </c>
      <c r="K407" s="1075">
        <f>SUMIF(Meal_entry_week_1!G$89:G$100,"Dairy_products",Meal_entry_week_1!Q$89:Q$100)</f>
        <v>0</v>
      </c>
      <c r="L407" s="1075">
        <f>SUMIF(Meal_entry_week_1!G$89:G$100,"Oil_butter_margarine",Meal_entry_week_1!Q$89:Q$100)</f>
        <v>0</v>
      </c>
      <c r="M407" s="1075">
        <f>SUMIF(Meal_entry_week_1!G$89:G$100,"Flour_pasta_seeds_cereals",Meal_entry_week_1!Q$89:Q$100)</f>
        <v>0</v>
      </c>
      <c r="N407" s="1075">
        <f>SUMIF(Meal_entry_week_1!G$89:G$100,"Sauces_purees_dressings",Meal_entry_week_1!Q$89:Q$100)+SUMIF(Meal_entry_week_1!G$89:G$100,"Spices_seasonings",Meal_entry_week_1!Q$89:Q$100)</f>
        <v>0</v>
      </c>
      <c r="O407" s="1075">
        <f>SUMIF(Meal_entry_week_1!G$89:G$100,"Sweet_foods_cakes",Meal_entry_week_1!Q$89:Q$100)</f>
        <v>0</v>
      </c>
      <c r="P407" s="1075">
        <f>SUMIF(Meal_entry_week_1!G$89:G$100,"Bread_and_pastries",Meal_entry_week_1!Q$89:Q$100)+SUMIF(Meal_entry_week_1!G$89:G$100,"Savoury_pastries",Meal_entry_week_1!Q$89:Q$100)+SUMIF(Meal_entry_week_1!G$89:G$100,"Sweet_pastries",Meal_entry_week_1!Q$89:Q$100)</f>
        <v>0</v>
      </c>
      <c r="Q407" s="1075">
        <f>SUMIF(Meal_entry_week_1!G$89:G$100,"Other_processed_foods",Meal_entry_week_1!Q$89:Q$100)</f>
        <v>0</v>
      </c>
      <c r="R407" s="1075">
        <f>SUMIF(Meal_entry_week_1!G$89:G$100,"Sweetened_drinks_teas_coffee",Meal_entry_week_1!Q$89:Q$100)</f>
        <v>0</v>
      </c>
      <c r="S407" s="1075">
        <f>SUMIF(Meal_entry_week_1!G$89:G$100,"Fruit_juices_water",Meal_entry_week_1!Q$89:Q$100)</f>
        <v>0</v>
      </c>
      <c r="T407" s="1070">
        <f>450-SUM(D407:S407)</f>
        <v>450</v>
      </c>
      <c r="U407" s="1074" t="s">
        <v>3064</v>
      </c>
      <c r="V407" s="1075">
        <f>SUMIF(Meal_entry_week_2!G$89:G$100,"Vegetables_mushrooms_fresh_frozen",Meal_entry_week_2!Q$89:Q$100)</f>
        <v>0</v>
      </c>
      <c r="W407" s="1075">
        <f>SUMIF(Meal_entry_week_2!G$89:G$100,"Vegetables_processed",Meal_entry_week_2!Q$89:Q$100)</f>
        <v>0</v>
      </c>
      <c r="X407" s="1075">
        <f>SUMIF(Meal_entry_week_2!G$89:G$100,"Fruits_nuts_dried_fruit",Meal_entry_week_2!Q$89:Q$100)</f>
        <v>0</v>
      </c>
      <c r="Y407" s="1075">
        <f>SUMIF(Meal_entry_week_2!G$89:G$100,"Meat_fresh_frozen",Meal_entry_week_2!Q$89:Q$100)</f>
        <v>0</v>
      </c>
      <c r="Z407" s="1075">
        <f>SUMIF(Meal_entry_week_2!G$89:G$100,"Meat_processed",Meal_entry_week_2!Q$89:Q$100)</f>
        <v>0</v>
      </c>
      <c r="AA407" s="1075">
        <f>SUMIF(Meal_entry_week_2!G$89:G$100,"Fish_fresh_frozen",Meal_entry_week_2!Q$89:Q$100)+SUMIF(Meal_entry_week_2!G$89:G$100,"Fish_processed_canned",Meal_entry_week_2!Q$89:Q$100)</f>
        <v>0</v>
      </c>
      <c r="AB407" s="1075">
        <f>SUMIF(Meal_entry_week_2!G$89:G$100,"Eggs",Meal_entry_week_2!Q$89:Q$100)</f>
        <v>0</v>
      </c>
      <c r="AC407" s="1075">
        <f>SUMIF(Meal_entry_week_2!G$89:G$100,"Dairy_products",Meal_entry_week_2!Q$89:Q$100)</f>
        <v>0</v>
      </c>
      <c r="AD407" s="1075">
        <f>SUMIF(Meal_entry_week_2!G$89:G$100,"Oil_butter_margarine",Meal_entry_week_2!Q$89:Q$100)</f>
        <v>0</v>
      </c>
      <c r="AE407" s="1075">
        <f>SUMIF(Meal_entry_week_2!G$89:G$100,"Flour_pasta_seeds_cereals",Meal_entry_week_2!Q$89:Q$100)</f>
        <v>0</v>
      </c>
      <c r="AF407" s="1075">
        <f>SUMIF(Meal_entry_week_2!G$89:G$100,"Sauces_purees_dressings",Meal_entry_week_2!Q$89:Q$100)+SUMIF(Meal_entry_week_2!G$89:G$100,"Spices_seasonings",Meal_entry_week_2!Q$89:Q$100)</f>
        <v>0</v>
      </c>
      <c r="AG407" s="1075">
        <f>SUMIF(Meal_entry_week_2!G$89:G$100,"Sweet_foods_cakes",Meal_entry_week_2!Q$89:Q$100)</f>
        <v>0</v>
      </c>
      <c r="AH407" s="1075">
        <f>SUMIF(Meal_entry_week_2!G$89:G$100,"Bread_and_pastries",Meal_entry_week_2!Q$89:Q$100)+SUMIF(Meal_entry_week_2!G$89:G$100,"Savoury_pastries",Meal_entry_week_2!Q$89:Q$100)+SUMIF(Meal_entry_week_2!G$89:G$100,"Sweet_pastries",Meal_entry_week_2!Q$89:Q$100)</f>
        <v>0</v>
      </c>
      <c r="AI407" s="1075">
        <f>SUMIF(Meal_entry_week_2!G$89:G$100,"Other_processed_foods",Meal_entry_week_2!Q$89:Q$100)</f>
        <v>0</v>
      </c>
      <c r="AJ407" s="1075">
        <f>SUMIF(Meal_entry_week_2!G$89:G$100,"Sweetened_drinks_teas_coffee",Meal_entry_week_2!Q$89:Q$100)</f>
        <v>0</v>
      </c>
      <c r="AK407" s="1075">
        <f>SUMIF(Meal_entry_week_2!G$89:G$100,"Fruit_juices_water",Meal_entry_week_2!Q$89:Q$100)</f>
        <v>0</v>
      </c>
      <c r="AL407" s="1070">
        <f>450-SUM(V407:AK407)</f>
        <v>450</v>
      </c>
    </row>
    <row r="408" spans="1:39">
      <c r="A408" s="1066"/>
      <c r="B408" s="1077"/>
      <c r="C408" s="945"/>
      <c r="D408" s="1077"/>
      <c r="E408" s="1077"/>
      <c r="F408" s="1077"/>
      <c r="G408" s="1077"/>
      <c r="H408" s="1077"/>
      <c r="I408" s="1077"/>
      <c r="J408" s="1077"/>
      <c r="K408" s="1077"/>
      <c r="L408" s="1077"/>
      <c r="M408" s="1077"/>
      <c r="N408" s="1077"/>
      <c r="O408" s="1077"/>
      <c r="P408" s="1077"/>
      <c r="Q408" s="1077"/>
      <c r="R408" s="1077"/>
      <c r="S408" s="1077"/>
      <c r="T408" s="1068"/>
      <c r="U408" s="965"/>
      <c r="V408" s="1077"/>
      <c r="W408" s="1077"/>
      <c r="X408" s="1077"/>
      <c r="Y408" s="1077"/>
      <c r="Z408" s="1077"/>
      <c r="AA408" s="1077"/>
      <c r="AB408" s="1077"/>
      <c r="AC408" s="1077"/>
      <c r="AD408" s="1077"/>
      <c r="AE408" s="1077"/>
      <c r="AF408" s="1077"/>
      <c r="AG408" s="1077"/>
      <c r="AH408" s="1077"/>
      <c r="AI408" s="1077"/>
      <c r="AJ408" s="1077"/>
      <c r="AK408" s="1077"/>
      <c r="AL408" s="1068"/>
    </row>
    <row r="409" spans="1:39">
      <c r="A409" s="1066"/>
      <c r="B409" s="956" t="s">
        <v>3568</v>
      </c>
      <c r="C409" s="945"/>
      <c r="D409" s="1269" t="s">
        <v>3140</v>
      </c>
      <c r="E409" s="1083" t="s">
        <v>3069</v>
      </c>
      <c r="F409" s="1083" t="s">
        <v>3077</v>
      </c>
      <c r="G409" s="1083" t="s">
        <v>3073</v>
      </c>
      <c r="H409" s="1083" t="s">
        <v>3070</v>
      </c>
      <c r="I409" s="913" t="s">
        <v>3575</v>
      </c>
      <c r="J409" s="913" t="s">
        <v>3072</v>
      </c>
      <c r="K409" s="1083" t="s">
        <v>3085</v>
      </c>
      <c r="L409" s="1083" t="s">
        <v>3075</v>
      </c>
      <c r="M409" s="1083" t="s">
        <v>3141</v>
      </c>
      <c r="N409" s="1083" t="s">
        <v>3550</v>
      </c>
      <c r="O409" s="1083" t="s">
        <v>3078</v>
      </c>
      <c r="P409" s="1083" t="s">
        <v>3551</v>
      </c>
      <c r="Q409" s="1083" t="s">
        <v>3082</v>
      </c>
      <c r="R409" s="1083" t="s">
        <v>3083</v>
      </c>
      <c r="S409" s="1083" t="s">
        <v>3084</v>
      </c>
      <c r="T409" s="407">
        <f>MAX(U410:U414)</f>
        <v>1305.0178299643401</v>
      </c>
      <c r="V409" s="913"/>
      <c r="W409" s="913"/>
      <c r="X409" s="913"/>
      <c r="Y409" s="913"/>
      <c r="Z409" s="913"/>
      <c r="AA409" s="913"/>
      <c r="AB409" s="913"/>
      <c r="AC409" s="913"/>
      <c r="AD409" s="913"/>
      <c r="AE409" s="913"/>
      <c r="AF409" s="913"/>
      <c r="AG409" s="913"/>
    </row>
    <row r="410" spans="1:39">
      <c r="A410" s="1066"/>
      <c r="B410" s="956" t="str">
        <f>IF($B$90=1,IF($AF$34=1,B417,(IF($AF$34=2,B423,B423))),IF($AF$34=1,U417,(IF($AF$34=2,U423,U423))))</f>
        <v>Snack-2</v>
      </c>
      <c r="C410" s="945"/>
      <c r="D410" s="1072">
        <f t="shared" ref="D410:M411" si="77">IF($B$90=1,IF($AF$34=1,D417,(IF($AF$34=2,D423,IF($AF$34=3,D429,IF($AF$34=4, D435,IF($AF$34=5,D441,D447)))))),IF($AF$34=1,V417,(IF($AF$34=2,V423,IF($AF$34=3,V429,IF($AF$34=4, V435,IF($AF$34=5,V441,V447)))))))</f>
        <v>0</v>
      </c>
      <c r="E410" s="1072">
        <f t="shared" si="77"/>
        <v>0</v>
      </c>
      <c r="F410" s="1072">
        <f t="shared" si="77"/>
        <v>0</v>
      </c>
      <c r="G410" s="1072">
        <f t="shared" si="77"/>
        <v>0</v>
      </c>
      <c r="H410" s="1072">
        <f t="shared" si="77"/>
        <v>0</v>
      </c>
      <c r="I410" s="1072">
        <f t="shared" si="77"/>
        <v>0</v>
      </c>
      <c r="J410" s="1072">
        <f t="shared" si="77"/>
        <v>0</v>
      </c>
      <c r="K410" s="1072">
        <f t="shared" si="77"/>
        <v>0</v>
      </c>
      <c r="L410" s="1072">
        <f t="shared" si="77"/>
        <v>0</v>
      </c>
      <c r="M410" s="1072">
        <f t="shared" si="77"/>
        <v>0</v>
      </c>
      <c r="N410" s="1072">
        <f t="shared" ref="N410:S411" si="78">IF($B$90=1,IF($AF$34=1,N417,(IF($AF$34=2,N423,IF($AF$34=3,N429,IF($AF$34=4, N435,IF($AF$34=5,N441,N447)))))),IF($AF$34=1,AF417,(IF($AF$34=2,AF423,IF($AF$34=3,AF429,IF($AF$34=4, AF435,IF($AF$34=5,AF441,AF447)))))))</f>
        <v>0</v>
      </c>
      <c r="O410" s="1072">
        <f t="shared" si="78"/>
        <v>0</v>
      </c>
      <c r="P410" s="1072">
        <f>IF($B$90=1,IF($AF$34=1,P417,(IF($AF$34=2,P423,IF($AF$34=3,P429,IF($AF$34=4, P435,IF($AF$34=5,P441,P447)))))),IF($AF$34=1,AH417,(IF($AF$34=2,AH423,IF($AF$34=3,AH429,IF($AF$34=4, AH435,IF($AF$34=5,AH441,AH447)))))))</f>
        <v>0</v>
      </c>
      <c r="Q410" s="1072">
        <f t="shared" si="78"/>
        <v>0</v>
      </c>
      <c r="R410" s="1072">
        <f t="shared" si="78"/>
        <v>0</v>
      </c>
      <c r="S410" s="1072">
        <f t="shared" si="78"/>
        <v>0</v>
      </c>
      <c r="T410" s="1155">
        <f>$T$409+20-SUM(D410:S410)</f>
        <v>1325.0178299643401</v>
      </c>
      <c r="U410" s="407">
        <f>SUM(D410:S410)</f>
        <v>0</v>
      </c>
      <c r="V410" s="945"/>
      <c r="W410" s="945"/>
      <c r="X410" s="945"/>
      <c r="Y410" s="945"/>
      <c r="Z410" s="945"/>
      <c r="AA410" s="945"/>
      <c r="AB410" s="945"/>
      <c r="AC410" s="945"/>
      <c r="AD410" s="945"/>
      <c r="AE410" s="945"/>
      <c r="AF410" s="945"/>
      <c r="AG410" s="945"/>
      <c r="AH410" s="1071"/>
      <c r="AI410" s="1071"/>
      <c r="AJ410" s="1071"/>
      <c r="AK410" s="1071"/>
      <c r="AL410" s="1071"/>
      <c r="AM410" s="1071"/>
    </row>
    <row r="411" spans="1:39">
      <c r="A411" s="1066"/>
      <c r="B411" s="956" t="str">
        <f>IF($B$90=1,IF($AF$34=1,B418,(IF($AF$34=2,B424,B424))),IF($AF$34=1,U418,(IF($AF$34=2,U424,U424))))</f>
        <v>Lunch</v>
      </c>
      <c r="C411" s="945"/>
      <c r="D411" s="1072">
        <f t="shared" si="77"/>
        <v>151.34769730460539</v>
      </c>
      <c r="E411" s="1072">
        <f t="shared" si="77"/>
        <v>19.199961600076801</v>
      </c>
      <c r="F411" s="1072">
        <f t="shared" si="77"/>
        <v>53.319893360213285</v>
      </c>
      <c r="G411" s="1072">
        <f t="shared" si="77"/>
        <v>213.49957300085401</v>
      </c>
      <c r="H411" s="1072">
        <f t="shared" si="77"/>
        <v>54.239891520216965</v>
      </c>
      <c r="I411" s="1072">
        <f t="shared" si="77"/>
        <v>0</v>
      </c>
      <c r="J411" s="1072">
        <f t="shared" si="77"/>
        <v>39.519920960158089</v>
      </c>
      <c r="K411" s="1072">
        <f t="shared" si="77"/>
        <v>77.875844248311509</v>
      </c>
      <c r="L411" s="1072">
        <f t="shared" si="77"/>
        <v>94.410611178777643</v>
      </c>
      <c r="M411" s="1072">
        <f t="shared" si="77"/>
        <v>142.29171541656919</v>
      </c>
      <c r="N411" s="1072">
        <f t="shared" si="78"/>
        <v>19.767600464799074</v>
      </c>
      <c r="O411" s="1072">
        <f t="shared" si="78"/>
        <v>1.5655968688062627</v>
      </c>
      <c r="P411" s="1072">
        <f t="shared" si="78"/>
        <v>115.0197699604601</v>
      </c>
      <c r="Q411" s="1072">
        <f t="shared" si="78"/>
        <v>0</v>
      </c>
      <c r="R411" s="1072">
        <f t="shared" si="78"/>
        <v>0</v>
      </c>
      <c r="S411" s="1072">
        <f t="shared" si="78"/>
        <v>0</v>
      </c>
      <c r="T411" s="1155">
        <f t="shared" ref="T411:T414" si="79">$T$409+20-SUM(D411:S411)</f>
        <v>342.95975408049173</v>
      </c>
      <c r="U411" s="407">
        <f>SUM(D411:S411)</f>
        <v>982.05807588384835</v>
      </c>
      <c r="V411" s="913"/>
      <c r="W411" s="913"/>
      <c r="X411" s="913"/>
      <c r="Y411" s="913"/>
      <c r="Z411" s="913"/>
      <c r="AA411" s="913"/>
      <c r="AB411" s="913"/>
      <c r="AC411" s="913"/>
      <c r="AD411" s="913"/>
      <c r="AE411" s="913"/>
      <c r="AF411" s="913"/>
      <c r="AG411" s="913"/>
    </row>
    <row r="412" spans="1:39">
      <c r="A412" s="1066"/>
      <c r="B412" s="956" t="str">
        <f>IF($B$90=1,IF($AF$34=1,B419,(IF($AF$34=2,B425,B425))),IF($AF$34=1,U419,(IF($AF$34=2,U425,U425))))</f>
        <v>Snack-1</v>
      </c>
      <c r="C412" s="945"/>
      <c r="D412" s="1072">
        <f t="shared" ref="D412:R414" si="80">IF($B$90=1,IF($AF$34=1,D419,(IF($AF$34=2,D425,IF($AF$34=3,D431,IF($AF$34=4, D437,IF($AF$34=5,D443,D449)))))),IF($AF$34=1,V419,(IF($AF$34=2,V425,IF($AF$34=3,V431,IF($AF$34=4, V437,IF($AF$34=5,V443,V449)))))))</f>
        <v>0</v>
      </c>
      <c r="E412" s="1072">
        <f t="shared" si="80"/>
        <v>0</v>
      </c>
      <c r="F412" s="1072">
        <f t="shared" si="80"/>
        <v>0</v>
      </c>
      <c r="G412" s="1072">
        <f t="shared" si="80"/>
        <v>0</v>
      </c>
      <c r="H412" s="1072">
        <f t="shared" si="80"/>
        <v>19.599960800078403</v>
      </c>
      <c r="I412" s="1072">
        <f t="shared" si="80"/>
        <v>0</v>
      </c>
      <c r="J412" s="1072">
        <f t="shared" si="80"/>
        <v>6.2623874752250499</v>
      </c>
      <c r="K412" s="1072">
        <f t="shared" si="80"/>
        <v>147.59170481659035</v>
      </c>
      <c r="L412" s="1072">
        <f t="shared" si="80"/>
        <v>44.461911076177856</v>
      </c>
      <c r="M412" s="1072">
        <f t="shared" si="80"/>
        <v>24.827950344099314</v>
      </c>
      <c r="N412" s="1072">
        <f t="shared" si="80"/>
        <v>7.0079859840280321</v>
      </c>
      <c r="O412" s="1072">
        <f t="shared" si="80"/>
        <v>2.8879942240115519</v>
      </c>
      <c r="P412" s="1072">
        <f t="shared" si="80"/>
        <v>58.319883360233291</v>
      </c>
      <c r="Q412" s="1072">
        <f t="shared" si="80"/>
        <v>0</v>
      </c>
      <c r="R412" s="1072">
        <f t="shared" si="80"/>
        <v>11.999976000048001</v>
      </c>
      <c r="S412" s="1072">
        <f>IF($B$90=1,IF($AF$34=1,S419,(IF($AF$34=2,S425,IF($AF$34=3,S431,IF($AF$34=4, S437,IF($AF$34=5,S443,S449)))))),IF($AF$34=1,AK419,(IF($AF$34=2,AK425,IF($AF$34=3,AK431,IF($AF$34=4,AK437,IF($AF$34=5,AK443,AK449)))))))</f>
        <v>0</v>
      </c>
      <c r="T412" s="1155">
        <f t="shared" si="79"/>
        <v>1002.0580758838482</v>
      </c>
      <c r="U412" s="407">
        <f>SUM(D412:S412)</f>
        <v>322.95975408049179</v>
      </c>
      <c r="V412" s="913"/>
      <c r="W412" s="913"/>
      <c r="X412" s="913"/>
      <c r="Y412" s="913"/>
      <c r="Z412" s="913"/>
      <c r="AA412" s="913"/>
      <c r="AB412" s="913"/>
      <c r="AC412" s="913"/>
      <c r="AD412" s="913"/>
      <c r="AE412" s="913"/>
      <c r="AF412" s="913"/>
      <c r="AG412" s="913"/>
    </row>
    <row r="413" spans="1:39">
      <c r="A413" s="1066"/>
      <c r="B413" s="956" t="str">
        <f>IF($B$90=1,IF($AF$34=1,B420,(IF($AF$34=2,B426,B426))),IF($AF$34=1,U420,(IF($AF$34=2,U426,U426))))</f>
        <v>Breakfast</v>
      </c>
      <c r="C413" s="945"/>
      <c r="D413" s="1072">
        <f t="shared" si="80"/>
        <v>0</v>
      </c>
      <c r="E413" s="1072">
        <f t="shared" si="80"/>
        <v>0</v>
      </c>
      <c r="F413" s="1072">
        <f t="shared" si="80"/>
        <v>0</v>
      </c>
      <c r="G413" s="1072">
        <f t="shared" si="80"/>
        <v>0</v>
      </c>
      <c r="H413" s="1072">
        <f t="shared" si="80"/>
        <v>0</v>
      </c>
      <c r="I413" s="1072">
        <f t="shared" si="80"/>
        <v>0</v>
      </c>
      <c r="J413" s="1072">
        <f t="shared" si="80"/>
        <v>0</v>
      </c>
      <c r="K413" s="1072">
        <f t="shared" si="80"/>
        <v>0</v>
      </c>
      <c r="L413" s="1072">
        <f t="shared" si="80"/>
        <v>0</v>
      </c>
      <c r="M413" s="1072">
        <f t="shared" si="80"/>
        <v>0</v>
      </c>
      <c r="N413" s="1072">
        <f t="shared" si="80"/>
        <v>0</v>
      </c>
      <c r="O413" s="1072">
        <f t="shared" si="80"/>
        <v>0</v>
      </c>
      <c r="P413" s="1072">
        <f t="shared" si="80"/>
        <v>0</v>
      </c>
      <c r="Q413" s="1072">
        <f t="shared" si="80"/>
        <v>0</v>
      </c>
      <c r="R413" s="1072">
        <f t="shared" si="80"/>
        <v>0</v>
      </c>
      <c r="S413" s="1072">
        <f>IF($B$90=1,IF($AF$34=1,S420,(IF($AF$34=2,S426,IF($AF$34=3,S432,IF($AF$34=4, S438,IF($AF$34=5,S444,S450)))))),IF($AF$34=1,AK420,(IF($AF$34=2,AK426,IF($AF$34=3,AK432,IF($AF$34=4, AK438,IF($AF$34=5,AK444,AK450)))))))</f>
        <v>0</v>
      </c>
      <c r="T413" s="1155">
        <f t="shared" si="79"/>
        <v>1325.0178299643401</v>
      </c>
      <c r="U413" s="407">
        <f>SUM(D413:S413)</f>
        <v>0</v>
      </c>
      <c r="V413" s="913"/>
      <c r="W413" s="913"/>
      <c r="X413" s="913"/>
      <c r="Y413" s="913"/>
      <c r="Z413" s="913"/>
      <c r="AA413" s="913"/>
      <c r="AB413" s="913"/>
      <c r="AC413" s="913"/>
      <c r="AD413" s="913"/>
      <c r="AE413" s="913"/>
      <c r="AF413" s="913"/>
      <c r="AG413" s="913"/>
    </row>
    <row r="414" spans="1:39">
      <c r="A414" s="1066"/>
      <c r="B414" s="1074" t="str">
        <f>IF($B$90=1,IF($AF$34=1,B421,(IF($AF$34=2,B427,B427))),IF($AF$34=1,U421,(IF($AF$34=2,U427,U427))))</f>
        <v>Total</v>
      </c>
      <c r="C414" s="945"/>
      <c r="D414" s="1075">
        <f t="shared" si="80"/>
        <v>151.34769730460539</v>
      </c>
      <c r="E414" s="1075">
        <f t="shared" si="80"/>
        <v>19.199961600076801</v>
      </c>
      <c r="F414" s="1075">
        <f t="shared" si="80"/>
        <v>53.319893360213285</v>
      </c>
      <c r="G414" s="1075">
        <f t="shared" si="80"/>
        <v>213.49957300085401</v>
      </c>
      <c r="H414" s="1075">
        <f t="shared" si="80"/>
        <v>73.839852320295364</v>
      </c>
      <c r="I414" s="1075">
        <f t="shared" si="80"/>
        <v>0</v>
      </c>
      <c r="J414" s="1075">
        <f t="shared" si="80"/>
        <v>45.782308435383136</v>
      </c>
      <c r="K414" s="1075">
        <f t="shared" si="80"/>
        <v>225.46754906490185</v>
      </c>
      <c r="L414" s="1075">
        <f t="shared" si="80"/>
        <v>138.8725222549555</v>
      </c>
      <c r="M414" s="1075">
        <f t="shared" si="80"/>
        <v>167.11966576066851</v>
      </c>
      <c r="N414" s="1075">
        <f t="shared" si="80"/>
        <v>26.775586448827106</v>
      </c>
      <c r="O414" s="1075">
        <f t="shared" si="80"/>
        <v>4.4535910928178151</v>
      </c>
      <c r="P414" s="1075">
        <f t="shared" si="80"/>
        <v>173.3396533206934</v>
      </c>
      <c r="Q414" s="1075">
        <f t="shared" si="80"/>
        <v>0</v>
      </c>
      <c r="R414" s="1075">
        <f t="shared" si="80"/>
        <v>11.999976000048001</v>
      </c>
      <c r="S414" s="1075">
        <f>IF($B$90=1,IF($AF$34=1,S421,(IF($AF$34=2,S427,IF($AF$34=3,S433,IF($AF$34=4, S439,IF($AF$34=5,S445,S451)))))),IF($AF$34=1,AK421,(IF($AF$34=2,AK427,IF($AF$34=3,AK433,IF($AF$34=4, AK439,IF($AF$34=5,AK445,AK451)))))))</f>
        <v>0</v>
      </c>
      <c r="T414" s="1155">
        <f t="shared" si="79"/>
        <v>20</v>
      </c>
      <c r="U414" s="407">
        <f>SUM(D414:S414)</f>
        <v>1305.0178299643401</v>
      </c>
      <c r="V414" s="913"/>
      <c r="W414" s="913"/>
      <c r="X414" s="913"/>
      <c r="Y414" s="913"/>
      <c r="Z414" s="913"/>
      <c r="AA414" s="913"/>
      <c r="AB414" s="913"/>
      <c r="AC414" s="913"/>
      <c r="AD414" s="913"/>
      <c r="AE414" s="913"/>
      <c r="AF414" s="913"/>
      <c r="AG414" s="913"/>
    </row>
    <row r="415" spans="1:39">
      <c r="A415" s="1066"/>
      <c r="B415" s="913"/>
      <c r="C415" s="945"/>
      <c r="D415" s="1072"/>
      <c r="E415" s="1072"/>
      <c r="F415" s="1072"/>
      <c r="G415" s="1072"/>
      <c r="H415" s="913" t="s">
        <v>3858</v>
      </c>
      <c r="I415" s="913" t="s">
        <v>3857</v>
      </c>
      <c r="J415" s="913" t="s">
        <v>3856</v>
      </c>
      <c r="K415" s="913" t="s">
        <v>2941</v>
      </c>
      <c r="L415" s="913" t="s">
        <v>2942</v>
      </c>
      <c r="M415" s="913" t="s">
        <v>2943</v>
      </c>
      <c r="O415" s="1072"/>
      <c r="P415" s="1072"/>
      <c r="Q415" s="1072"/>
      <c r="R415" s="1072"/>
      <c r="S415" s="1072"/>
      <c r="T415" s="1068"/>
      <c r="U415" s="965"/>
      <c r="V415" s="913"/>
      <c r="W415" s="913"/>
      <c r="X415" s="913"/>
      <c r="Y415" s="913"/>
      <c r="Z415" s="913"/>
      <c r="AA415" s="913"/>
      <c r="AB415" s="913"/>
      <c r="AC415" s="913"/>
      <c r="AD415" s="913"/>
      <c r="AE415" s="913"/>
      <c r="AF415" s="913"/>
      <c r="AG415" s="913"/>
    </row>
    <row r="416" spans="1:39">
      <c r="A416" s="1066"/>
      <c r="B416" s="956" t="s">
        <v>3569</v>
      </c>
      <c r="C416" s="945"/>
      <c r="D416" s="1269" t="s">
        <v>3140</v>
      </c>
      <c r="E416" s="1083" t="s">
        <v>3069</v>
      </c>
      <c r="F416" s="1083" t="s">
        <v>3077</v>
      </c>
      <c r="G416" s="1083" t="s">
        <v>3073</v>
      </c>
      <c r="H416" s="1083" t="s">
        <v>3070</v>
      </c>
      <c r="I416" s="913" t="s">
        <v>3575</v>
      </c>
      <c r="J416" s="913" t="s">
        <v>3072</v>
      </c>
      <c r="K416" s="1083" t="s">
        <v>3085</v>
      </c>
      <c r="L416" s="1083" t="s">
        <v>3075</v>
      </c>
      <c r="M416" s="1083" t="s">
        <v>3141</v>
      </c>
      <c r="N416" s="1083" t="s">
        <v>3550</v>
      </c>
      <c r="O416" s="1083" t="s">
        <v>3078</v>
      </c>
      <c r="P416" s="1083" t="s">
        <v>3551</v>
      </c>
      <c r="Q416" s="1083" t="s">
        <v>3082</v>
      </c>
      <c r="R416" s="1083" t="s">
        <v>3083</v>
      </c>
      <c r="S416" s="1083" t="s">
        <v>3084</v>
      </c>
      <c r="T416" s="1068"/>
      <c r="U416" s="956" t="s">
        <v>3569</v>
      </c>
      <c r="V416" s="1269" t="s">
        <v>3140</v>
      </c>
      <c r="W416" s="1083" t="s">
        <v>3069</v>
      </c>
      <c r="X416" s="1083" t="s">
        <v>3077</v>
      </c>
      <c r="Y416" s="1083" t="s">
        <v>3073</v>
      </c>
      <c r="Z416" s="1083" t="s">
        <v>3070</v>
      </c>
      <c r="AA416" s="913" t="s">
        <v>3575</v>
      </c>
      <c r="AB416" s="913" t="s">
        <v>3072</v>
      </c>
      <c r="AC416" s="1083" t="s">
        <v>3085</v>
      </c>
      <c r="AD416" s="1083" t="s">
        <v>3075</v>
      </c>
      <c r="AE416" s="1083" t="s">
        <v>3141</v>
      </c>
      <c r="AF416" s="1083" t="s">
        <v>3550</v>
      </c>
      <c r="AG416" s="1083" t="s">
        <v>3078</v>
      </c>
      <c r="AH416" s="1083" t="s">
        <v>3551</v>
      </c>
      <c r="AI416" s="1083" t="s">
        <v>3082</v>
      </c>
      <c r="AJ416" s="1083" t="s">
        <v>3083</v>
      </c>
      <c r="AK416" s="1083" t="s">
        <v>3084</v>
      </c>
      <c r="AL416" s="1068"/>
    </row>
    <row r="417" spans="1:38">
      <c r="A417" s="1066"/>
      <c r="B417" s="956" t="s">
        <v>3553</v>
      </c>
      <c r="C417" s="945"/>
      <c r="D417" s="1072">
        <f>(D451+D450+D449+D448+D447)/(IF(Meal_entry_week_1!$V$547&gt;0,1,0)+IF(Meal_entry_week_1!$V$548&gt;0,1,0)+IF(Meal_entry_week_1!$V$549&gt;0,1,0)+IF(Meal_entry_week_1!$V$550&gt;0,1,0)+IF(Meal_entry_week_1!$V$551&gt;0,1,0)+0.00001)</f>
        <v>0</v>
      </c>
      <c r="E417" s="1072">
        <f>(E451+E450+E449+E448+E447)/(IF(Meal_entry_week_1!$V$547&gt;0,1,0)+IF(Meal_entry_week_1!$V$548&gt;0,1,0)+IF(Meal_entry_week_1!$V$549&gt;0,1,0)+IF(Meal_entry_week_1!$V$550&gt;0,1,0)+IF(Meal_entry_week_1!$V$551&gt;0,1,0)+0.00001)</f>
        <v>0</v>
      </c>
      <c r="F417" s="1072">
        <f>(F451+F450+F449+F448+F447)/(IF(Meal_entry_week_1!$V$547&gt;0,1,0)+IF(Meal_entry_week_1!$V$548&gt;0,1,0)+IF(Meal_entry_week_1!$V$549&gt;0,1,0)+IF(Meal_entry_week_1!$V$550&gt;0,1,0)+IF(Meal_entry_week_1!$V$551&gt;0,1,0)+0.00001)</f>
        <v>0</v>
      </c>
      <c r="G417" s="1072">
        <f>(G451+G450+G449+G448+G447)/(IF(Meal_entry_week_1!$V$547&gt;0,1,0)+IF(Meal_entry_week_1!$V$548&gt;0,1,0)+IF(Meal_entry_week_1!$V$549&gt;0,1,0)+IF(Meal_entry_week_1!$V$550&gt;0,1,0)+IF(Meal_entry_week_1!$V$551&gt;0,1,0)+0.00001)</f>
        <v>0</v>
      </c>
      <c r="H417" s="1072">
        <f>(H451+H450+H449+H448+H447)/(IF(Meal_entry_week_1!$V$547&gt;0,1,0)+IF(Meal_entry_week_1!$V$548&gt;0,1,0)+IF(Meal_entry_week_1!$V$549&gt;0,1,0)+IF(Meal_entry_week_1!$V$550&gt;0,1,0)+IF(Meal_entry_week_1!$V$551&gt;0,1,0)+0.00001)</f>
        <v>0</v>
      </c>
      <c r="I417" s="1072">
        <f>(I451+I450+I449+I448+I447)/(IF(Meal_entry_week_1!$V$547&gt;0,1,0)+IF(Meal_entry_week_1!$V$548&gt;0,1,0)+IF(Meal_entry_week_1!$V$549&gt;0,1,0)+IF(Meal_entry_week_1!$V$550&gt;0,1,0)+IF(Meal_entry_week_1!$V$551&gt;0,1,0)+0.00001)</f>
        <v>0</v>
      </c>
      <c r="J417" s="1072">
        <f>(J451+J450+J449+J448+J447)/(IF(Meal_entry_week_1!$V$547&gt;0,1,0)+IF(Meal_entry_week_1!$V$548&gt;0,1,0)+IF(Meal_entry_week_1!$V$549&gt;0,1,0)+IF(Meal_entry_week_1!$V$550&gt;0,1,0)+IF(Meal_entry_week_1!$V$551&gt;0,1,0)+0.00001)</f>
        <v>0</v>
      </c>
      <c r="K417" s="1072">
        <f>(K451+K450+K449+K448+K447)/(IF(Meal_entry_week_1!$V$547&gt;0,1,0)+IF(Meal_entry_week_1!$V$548&gt;0,1,0)+IF(Meal_entry_week_1!$V$549&gt;0,1,0)+IF(Meal_entry_week_1!$V$550&gt;0,1,0)+IF(Meal_entry_week_1!$V$551&gt;0,1,0)+0.00001)</f>
        <v>0</v>
      </c>
      <c r="L417" s="1072">
        <f>(L451+L450+L449+L448+L447)/(IF(Meal_entry_week_1!$V$547&gt;0,1,0)+IF(Meal_entry_week_1!$V$548&gt;0,1,0)+IF(Meal_entry_week_1!$V$549&gt;0,1,0)+IF(Meal_entry_week_1!$V$550&gt;0,1,0)+IF(Meal_entry_week_1!$V$551&gt;0,1,0)+0.00001)</f>
        <v>0</v>
      </c>
      <c r="M417" s="1072">
        <f>(M451+M450+M449+M448+M447)/(IF(Meal_entry_week_1!$V$547&gt;0,1,0)+IF(Meal_entry_week_1!$V$548&gt;0,1,0)+IF(Meal_entry_week_1!$V$549&gt;0,1,0)+IF(Meal_entry_week_1!$V$550&gt;0,1,0)+IF(Meal_entry_week_1!$V$551&gt;0,1,0)+0.00001)</f>
        <v>0</v>
      </c>
      <c r="N417" s="1072">
        <f>(N451+N450+N449+N448+N447)/(IF(Meal_entry_week_1!$V$547&gt;0,1,0)+IF(Meal_entry_week_1!$V$548&gt;0,1,0)+IF(Meal_entry_week_1!$V$549&gt;0,1,0)+IF(Meal_entry_week_1!$V$550&gt;0,1,0)+IF(Meal_entry_week_1!$V$551&gt;0,1,0)+0.00001)</f>
        <v>0</v>
      </c>
      <c r="O417" s="1072">
        <f>(O451+O450+O449+O448+O447)/(IF(Meal_entry_week_1!$V$547&gt;0,1,0)+IF(Meal_entry_week_1!$V$548&gt;0,1,0)+IF(Meal_entry_week_1!$V$549&gt;0,1,0)+IF(Meal_entry_week_1!$V$550&gt;0,1,0)+IF(Meal_entry_week_1!$V$551&gt;0,1,0)+0.00001)</f>
        <v>0</v>
      </c>
      <c r="P417" s="1072">
        <f>(P451+P450+P449+P448+P447)/(IF(Meal_entry_week_1!$V$547&gt;0,1,0)+IF(Meal_entry_week_1!$V$548&gt;0,1,0)+IF(Meal_entry_week_1!$V$549&gt;0,1,0)+IF(Meal_entry_week_1!$V$550&gt;0,1,0)+IF(Meal_entry_week_1!$V$551&gt;0,1,0)+0.00001)</f>
        <v>0</v>
      </c>
      <c r="Q417" s="1072">
        <f>(Q451+Q450+Q449+Q448+Q447)/(IF(Meal_entry_week_1!$V$547&gt;0,1,0)+IF(Meal_entry_week_1!$V$548&gt;0,1,0)+IF(Meal_entry_week_1!$V$549&gt;0,1,0)+IF(Meal_entry_week_1!$V$550&gt;0,1,0)+IF(Meal_entry_week_1!$V$551&gt;0,1,0)+0.00001)</f>
        <v>0</v>
      </c>
      <c r="R417" s="1072">
        <f>(R451+R450+R449+R448+R447)/(IF(Meal_entry_week_1!$V$547&gt;0,1,0)+IF(Meal_entry_week_1!$V$548&gt;0,1,0)+IF(Meal_entry_week_1!$V$549&gt;0,1,0)+IF(Meal_entry_week_1!$V$550&gt;0,1,0)+IF(Meal_entry_week_1!$V$551&gt;0,1,0)+0.00001)</f>
        <v>0</v>
      </c>
      <c r="S417" s="1072">
        <f>(S451+S450+S449+S448+S447)/(IF(Meal_entry_week_1!$V$547&gt;0,1,0)+IF(Meal_entry_week_1!$V$548&gt;0,1,0)+IF(Meal_entry_week_1!$V$549&gt;0,1,0)+IF(Meal_entry_week_1!$V$550&gt;0,1,0)+IF(Meal_entry_week_1!$V$551&gt;0,1,0)+0.00001)</f>
        <v>0</v>
      </c>
      <c r="T417" s="1070">
        <f>2800-SUM(D417:S417)</f>
        <v>2800</v>
      </c>
      <c r="U417" s="956" t="s">
        <v>3553</v>
      </c>
      <c r="V417" s="1072">
        <f>(V451+V450+V449+V448+V447)/(IF(Meal_entry_week_2!$V$547&gt;0,1,0)+IF(Meal_entry_week_2!$V$548&gt;0,1,0)+IF(Meal_entry_week_2!$V$549&gt;0,1,0)+IF(Meal_entry_week_2!$V$550&gt;0,1,0)+IF(Meal_entry_week_2!$V$551&gt;0,1,0)+0.00001)</f>
        <v>0</v>
      </c>
      <c r="W417" s="1072">
        <f>(W451+W450+W449+W448+W447)/(IF(Meal_entry_week_2!$V$547&gt;0,1,0)+IF(Meal_entry_week_2!$V$548&gt;0,1,0)+IF(Meal_entry_week_2!$V$549&gt;0,1,0)+IF(Meal_entry_week_2!$V$550&gt;0,1,0)+IF(Meal_entry_week_2!$V$551&gt;0,1,0)+0.00001)</f>
        <v>0</v>
      </c>
      <c r="X417" s="1072">
        <f>(X451+X450+X449+X448+X447)/(IF(Meal_entry_week_2!$V$547&gt;0,1,0)+IF(Meal_entry_week_2!$V$548&gt;0,1,0)+IF(Meal_entry_week_2!$V$549&gt;0,1,0)+IF(Meal_entry_week_2!$V$550&gt;0,1,0)+IF(Meal_entry_week_2!$V$551&gt;0,1,0)+0.00001)</f>
        <v>0</v>
      </c>
      <c r="Y417" s="1072">
        <f>(Y451+Y450+Y449+Y448+Y447)/(IF(Meal_entry_week_2!$V$547&gt;0,1,0)+IF(Meal_entry_week_2!$V$548&gt;0,1,0)+IF(Meal_entry_week_2!$V$549&gt;0,1,0)+IF(Meal_entry_week_2!$V$550&gt;0,1,0)+IF(Meal_entry_week_2!$V$551&gt;0,1,0)+0.00001)</f>
        <v>0</v>
      </c>
      <c r="Z417" s="1072">
        <f>(Z451+Z450+Z449+Z448+Z447)/(IF(Meal_entry_week_2!$V$547&gt;0,1,0)+IF(Meal_entry_week_2!$V$548&gt;0,1,0)+IF(Meal_entry_week_2!$V$549&gt;0,1,0)+IF(Meal_entry_week_2!$V$550&gt;0,1,0)+IF(Meal_entry_week_2!$V$551&gt;0,1,0)+0.00001)</f>
        <v>0</v>
      </c>
      <c r="AA417" s="1072">
        <f>(AA451+AA450+AA449+AA448+AA447)/(IF(Meal_entry_week_2!$V$547&gt;0,1,0)+IF(Meal_entry_week_2!$V$548&gt;0,1,0)+IF(Meal_entry_week_2!$V$549&gt;0,1,0)+IF(Meal_entry_week_2!$V$550&gt;0,1,0)+IF(Meal_entry_week_2!$V$551&gt;0,1,0)+0.00001)</f>
        <v>0</v>
      </c>
      <c r="AB417" s="1072">
        <f>(AB451+AB450+AB449+AB448+AB447)/(IF(Meal_entry_week_2!$V$547&gt;0,1,0)+IF(Meal_entry_week_2!$V$548&gt;0,1,0)+IF(Meal_entry_week_2!$V$549&gt;0,1,0)+IF(Meal_entry_week_2!$V$550&gt;0,1,0)+IF(Meal_entry_week_2!$V$551&gt;0,1,0)+0.00001)</f>
        <v>0</v>
      </c>
      <c r="AC417" s="1072">
        <f>(AC451+AC450+AC449+AC448+AC447)/(IF(Meal_entry_week_2!$V$547&gt;0,1,0)+IF(Meal_entry_week_2!$V$548&gt;0,1,0)+IF(Meal_entry_week_2!$V$549&gt;0,1,0)+IF(Meal_entry_week_2!$V$550&gt;0,1,0)+IF(Meal_entry_week_2!$V$551&gt;0,1,0)+0.00001)</f>
        <v>0</v>
      </c>
      <c r="AD417" s="1072">
        <f>(AD451+AD450+AD449+AD448+AD447)/(IF(Meal_entry_week_2!$V$547&gt;0,1,0)+IF(Meal_entry_week_2!$V$548&gt;0,1,0)+IF(Meal_entry_week_2!$V$549&gt;0,1,0)+IF(Meal_entry_week_2!$V$550&gt;0,1,0)+IF(Meal_entry_week_2!$V$551&gt;0,1,0)+0.00001)</f>
        <v>0</v>
      </c>
      <c r="AE417" s="1072">
        <f>(AE451+AE450+AE449+AE448+AE447)/(IF(Meal_entry_week_2!$V$547&gt;0,1,0)+IF(Meal_entry_week_2!$V$548&gt;0,1,0)+IF(Meal_entry_week_2!$V$549&gt;0,1,0)+IF(Meal_entry_week_2!$V$550&gt;0,1,0)+IF(Meal_entry_week_2!$V$551&gt;0,1,0)+0.00001)</f>
        <v>0</v>
      </c>
      <c r="AF417" s="1072">
        <f>(AF451+AF450+AF449+AF448+AF447)/(IF(Meal_entry_week_2!$V$547&gt;0,1,0)+IF(Meal_entry_week_2!$V$548&gt;0,1,0)+IF(Meal_entry_week_2!$V$549&gt;0,1,0)+IF(Meal_entry_week_2!$V$550&gt;0,1,0)+IF(Meal_entry_week_2!$V$551&gt;0,1,0)+0.00001)</f>
        <v>0</v>
      </c>
      <c r="AG417" s="1072">
        <f>(AG451+AG450+AG449+AG448+AG447)/(IF(Meal_entry_week_2!$V$547&gt;0,1,0)+IF(Meal_entry_week_2!$V$548&gt;0,1,0)+IF(Meal_entry_week_2!$V$549&gt;0,1,0)+IF(Meal_entry_week_2!$V$550&gt;0,1,0)+IF(Meal_entry_week_2!$V$551&gt;0,1,0)+0.00001)</f>
        <v>0</v>
      </c>
      <c r="AH417" s="1072">
        <f>(AH451+AH450+AH449+AH448+AH447)/(IF(Meal_entry_week_2!$V$547&gt;0,1,0)+IF(Meal_entry_week_2!$V$548&gt;0,1,0)+IF(Meal_entry_week_2!$V$549&gt;0,1,0)+IF(Meal_entry_week_2!$V$550&gt;0,1,0)+IF(Meal_entry_week_2!$V$551&gt;0,1,0)+0.00001)</f>
        <v>0</v>
      </c>
      <c r="AI417" s="1072">
        <f>(AI451+AI450+AI449+AI448+AI447)/(IF(Meal_entry_week_2!$V$547&gt;0,1,0)+IF(Meal_entry_week_2!$V$548&gt;0,1,0)+IF(Meal_entry_week_2!$V$549&gt;0,1,0)+IF(Meal_entry_week_2!$V$550&gt;0,1,0)+IF(Meal_entry_week_2!$V$551&gt;0,1,0)+0.00001)</f>
        <v>0</v>
      </c>
      <c r="AJ417" s="1072">
        <f>(AJ451+AJ450+AJ449+AJ448+AJ447)/(IF(Meal_entry_week_2!$V$547&gt;0,1,0)+IF(Meal_entry_week_2!$V$548&gt;0,1,0)+IF(Meal_entry_week_2!$V$549&gt;0,1,0)+IF(Meal_entry_week_2!$V$550&gt;0,1,0)+IF(Meal_entry_week_2!$V$551&gt;0,1,0)+0.00001)</f>
        <v>0</v>
      </c>
      <c r="AK417" s="1072">
        <f>(AK451+AK450+AK449+AK448+AK447)/(IF(Meal_entry_week_2!$V$547&gt;0,1,0)+IF(Meal_entry_week_2!$V$548&gt;0,1,0)+IF(Meal_entry_week_2!$V$549&gt;0,1,0)+IF(Meal_entry_week_2!$V$550&gt;0,1,0)+IF(Meal_entry_week_2!$V$551&gt;0,1,0)+0.00001)</f>
        <v>0</v>
      </c>
      <c r="AL417" s="1070">
        <f>2800-SUM(V417:AK417)</f>
        <v>2800</v>
      </c>
    </row>
    <row r="418" spans="1:38">
      <c r="A418" s="1066"/>
      <c r="B418" s="956" t="s">
        <v>69</v>
      </c>
      <c r="C418" s="945"/>
      <c r="D418" s="1072">
        <f>(D445+D444+D443+D442+D441)/(IF(Meal_entry_week_1!$V$547&gt;0,1,0)+IF(Meal_entry_week_1!$V$548&gt;0,1,0)+IF(Meal_entry_week_1!$V$549&gt;0,1,0)+IF(Meal_entry_week_1!$V$550&gt;0,1,0)+IF(Meal_entry_week_1!$V$551&gt;0,1,0)+0.00001)</f>
        <v>170.92365815268374</v>
      </c>
      <c r="E418" s="1072">
        <f>(E445+E444+E443+E442+E441)/(IF(Meal_entry_week_1!$V$547&gt;0,1,0)+IF(Meal_entry_week_1!$V$548&gt;0,1,0)+IF(Meal_entry_week_1!$V$549&gt;0,1,0)+IF(Meal_entry_week_1!$V$550&gt;0,1,0)+IF(Meal_entry_week_1!$V$551&gt;0,1,0)+0.00001)</f>
        <v>22.3999552000896</v>
      </c>
      <c r="F418" s="1072">
        <f>(F445+F444+F443+F442+F441)/(IF(Meal_entry_week_1!$V$547&gt;0,1,0)+IF(Meal_entry_week_1!$V$548&gt;0,1,0)+IF(Meal_entry_week_1!$V$549&gt;0,1,0)+IF(Meal_entry_week_1!$V$550&gt;0,1,0)+IF(Meal_entry_week_1!$V$551&gt;0,1,0)+0.00001)</f>
        <v>61.919876160247689</v>
      </c>
      <c r="G418" s="1072">
        <f>(G445+G444+G443+G442+G441)/(IF(Meal_entry_week_1!$V$547&gt;0,1,0)+IF(Meal_entry_week_1!$V$548&gt;0,1,0)+IF(Meal_entry_week_1!$V$549&gt;0,1,0)+IF(Meal_entry_week_1!$V$550&gt;0,1,0)+IF(Meal_entry_week_1!$V$551&gt;0,1,0)+0.00001)</f>
        <v>193.53961292077415</v>
      </c>
      <c r="H418" s="1072">
        <f>(H445+H444+H443+H442+H441)/(IF(Meal_entry_week_1!$V$547&gt;0,1,0)+IF(Meal_entry_week_1!$V$548&gt;0,1,0)+IF(Meal_entry_week_1!$V$549&gt;0,1,0)+IF(Meal_entry_week_1!$V$550&gt;0,1,0)+IF(Meal_entry_week_1!$V$551&gt;0,1,0)+0.00001)</f>
        <v>90.399819200361591</v>
      </c>
      <c r="I418" s="1072">
        <f>(I445+I444+I443+I442+I441)/(IF(Meal_entry_week_1!$V$547&gt;0,1,0)+IF(Meal_entry_week_1!$V$548&gt;0,1,0)+IF(Meal_entry_week_1!$V$549&gt;0,1,0)+IF(Meal_entry_week_1!$V$550&gt;0,1,0)+IF(Meal_entry_week_1!$V$551&gt;0,1,0)+0.00001)</f>
        <v>0</v>
      </c>
      <c r="J418" s="1072">
        <f>(J445+J444+J443+J442+J441)/(IF(Meal_entry_week_1!$V$547&gt;0,1,0)+IF(Meal_entry_week_1!$V$548&gt;0,1,0)+IF(Meal_entry_week_1!$V$549&gt;0,1,0)+IF(Meal_entry_week_1!$V$550&gt;0,1,0)+IF(Meal_entry_week_1!$V$551&gt;0,1,0)+0.00001)</f>
        <v>63.83987232025536</v>
      </c>
      <c r="K418" s="1072">
        <f>(K445+K444+K443+K442+K441)/(IF(Meal_entry_week_1!$V$547&gt;0,1,0)+IF(Meal_entry_week_1!$V$548&gt;0,1,0)+IF(Meal_entry_week_1!$V$549&gt;0,1,0)+IF(Meal_entry_week_1!$V$550&gt;0,1,0)+IF(Meal_entry_week_1!$V$551&gt;0,1,0)+0.00001)</f>
        <v>110.67977864044272</v>
      </c>
      <c r="L418" s="1072">
        <f>(L445+L444+L443+L442+L441)/(IF(Meal_entry_week_1!$V$547&gt;0,1,0)+IF(Meal_entry_week_1!$V$548&gt;0,1,0)+IF(Meal_entry_week_1!$V$549&gt;0,1,0)+IF(Meal_entry_week_1!$V$550&gt;0,1,0)+IF(Meal_entry_week_1!$V$551&gt;0,1,0)+0.00001)</f>
        <v>70.003859992280027</v>
      </c>
      <c r="M418" s="1072">
        <f>(M445+M444+M443+M442+M441)/(IF(Meal_entry_week_1!$V$547&gt;0,1,0)+IF(Meal_entry_week_1!$V$548&gt;0,1,0)+IF(Meal_entry_week_1!$V$549&gt;0,1,0)+IF(Meal_entry_week_1!$V$550&gt;0,1,0)+IF(Meal_entry_week_1!$V$551&gt;0,1,0)+0.00001)</f>
        <v>74.89985020029961</v>
      </c>
      <c r="N418" s="1072">
        <f>(N445+N444+N443+N442+N441)/(IF(Meal_entry_week_1!$V$547&gt;0,1,0)+IF(Meal_entry_week_1!$V$548&gt;0,1,0)+IF(Meal_entry_week_1!$V$549&gt;0,1,0)+IF(Meal_entry_week_1!$V$550&gt;0,1,0)+IF(Meal_entry_week_1!$V$551&gt;0,1,0)+0.00001)</f>
        <v>24.550050899898203</v>
      </c>
      <c r="O418" s="1072">
        <f>(O445+O444+O443+O442+O441)/(IF(Meal_entry_week_1!$V$547&gt;0,1,0)+IF(Meal_entry_week_1!$V$548&gt;0,1,0)+IF(Meal_entry_week_1!$V$549&gt;0,1,0)+IF(Meal_entry_week_1!$V$550&gt;0,1,0)+IF(Meal_entry_week_1!$V$551&gt;0,1,0)+0.00001)</f>
        <v>0</v>
      </c>
      <c r="P418" s="1072">
        <f>(P445+P444+P443+P442+P441)/(IF(Meal_entry_week_1!$V$547&gt;0,1,0)+IF(Meal_entry_week_1!$V$548&gt;0,1,0)+IF(Meal_entry_week_1!$V$549&gt;0,1,0)+IF(Meal_entry_week_1!$V$550&gt;0,1,0)+IF(Meal_entry_week_1!$V$551&gt;0,1,0)+0.00001)</f>
        <v>121.49975700048603</v>
      </c>
      <c r="Q418" s="1072">
        <f>(Q445+Q444+Q443+Q442+Q441)/(IF(Meal_entry_week_1!$V$547&gt;0,1,0)+IF(Meal_entry_week_1!$V$548&gt;0,1,0)+IF(Meal_entry_week_1!$V$549&gt;0,1,0)+IF(Meal_entry_week_1!$V$550&gt;0,1,0)+IF(Meal_entry_week_1!$V$551&gt;0,1,0)+0.00001)</f>
        <v>0</v>
      </c>
      <c r="R418" s="1072">
        <f>(R445+R444+R443+R442+R441)/(IF(Meal_entry_week_1!$V$547&gt;0,1,0)+IF(Meal_entry_week_1!$V$548&gt;0,1,0)+IF(Meal_entry_week_1!$V$549&gt;0,1,0)+IF(Meal_entry_week_1!$V$550&gt;0,1,0)+IF(Meal_entry_week_1!$V$551&gt;0,1,0)+0.00001)</f>
        <v>0</v>
      </c>
      <c r="S418" s="1072">
        <f>(S445+S444+S443+S442+S441)/(IF(Meal_entry_week_1!$V$547&gt;0,1,0)+IF(Meal_entry_week_1!$V$548&gt;0,1,0)+IF(Meal_entry_week_1!$V$549&gt;0,1,0)+IF(Meal_entry_week_1!$V$550&gt;0,1,0)+IF(Meal_entry_week_1!$V$551&gt;0,1,0)+0.00001)</f>
        <v>0</v>
      </c>
      <c r="T418" s="1070">
        <f>2800-SUM(D418:S418)</f>
        <v>1795.3439093121813</v>
      </c>
      <c r="U418" s="956" t="s">
        <v>69</v>
      </c>
      <c r="V418" s="1072">
        <f>(V445+V444+V443+V442+V441)/(IF(Meal_entry_week_2!$V$547&gt;0,1,0)+IF(Meal_entry_week_2!$V$548&gt;0,1,0)+IF(Meal_entry_week_2!$V$549&gt;0,1,0)+IF(Meal_entry_week_2!$V$550&gt;0,1,0)+IF(Meal_entry_week_2!$V$551&gt;0,1,0)+0.00001)</f>
        <v>151.34769730460539</v>
      </c>
      <c r="W418" s="1072">
        <f>(W445+W444+W443+W442+W441)/(IF(Meal_entry_week_2!$V$547&gt;0,1,0)+IF(Meal_entry_week_2!$V$548&gt;0,1,0)+IF(Meal_entry_week_2!$V$549&gt;0,1,0)+IF(Meal_entry_week_2!$V$550&gt;0,1,0)+IF(Meal_entry_week_2!$V$551&gt;0,1,0)+0.00001)</f>
        <v>19.199961600076801</v>
      </c>
      <c r="X418" s="1072">
        <f>(X445+X444+X443+X442+X441)/(IF(Meal_entry_week_2!$V$547&gt;0,1,0)+IF(Meal_entry_week_2!$V$548&gt;0,1,0)+IF(Meal_entry_week_2!$V$549&gt;0,1,0)+IF(Meal_entry_week_2!$V$550&gt;0,1,0)+IF(Meal_entry_week_2!$V$551&gt;0,1,0)+0.00001)</f>
        <v>53.319893360213285</v>
      </c>
      <c r="Y418" s="1072">
        <f>(Y445+Y444+Y443+Y442+Y441)/(IF(Meal_entry_week_2!$V$547&gt;0,1,0)+IF(Meal_entry_week_2!$V$548&gt;0,1,0)+IF(Meal_entry_week_2!$V$549&gt;0,1,0)+IF(Meal_entry_week_2!$V$550&gt;0,1,0)+IF(Meal_entry_week_2!$V$551&gt;0,1,0)+0.00001)</f>
        <v>213.49957300085401</v>
      </c>
      <c r="Z418" s="1072">
        <f>(Z445+Z444+Z443+Z442+Z441)/(IF(Meal_entry_week_2!$V$547&gt;0,1,0)+IF(Meal_entry_week_2!$V$548&gt;0,1,0)+IF(Meal_entry_week_2!$V$549&gt;0,1,0)+IF(Meal_entry_week_2!$V$550&gt;0,1,0)+IF(Meal_entry_week_2!$V$551&gt;0,1,0)+0.00001)</f>
        <v>54.239891520216965</v>
      </c>
      <c r="AA418" s="1072">
        <f>(AA445+AA444+AA443+AA442+AA441)/(IF(Meal_entry_week_2!$V$547&gt;0,1,0)+IF(Meal_entry_week_2!$V$548&gt;0,1,0)+IF(Meal_entry_week_2!$V$549&gt;0,1,0)+IF(Meal_entry_week_2!$V$550&gt;0,1,0)+IF(Meal_entry_week_2!$V$551&gt;0,1,0)+0.00001)</f>
        <v>0</v>
      </c>
      <c r="AB418" s="1072">
        <f>(AB445+AB444+AB443+AB442+AB441)/(IF(Meal_entry_week_2!$V$547&gt;0,1,0)+IF(Meal_entry_week_2!$V$548&gt;0,1,0)+IF(Meal_entry_week_2!$V$549&gt;0,1,0)+IF(Meal_entry_week_2!$V$550&gt;0,1,0)+IF(Meal_entry_week_2!$V$551&gt;0,1,0)+0.00001)</f>
        <v>39.519920960158089</v>
      </c>
      <c r="AC418" s="1072">
        <f>(AC445+AC444+AC443+AC442+AC441)/(IF(Meal_entry_week_2!$V$547&gt;0,1,0)+IF(Meal_entry_week_2!$V$548&gt;0,1,0)+IF(Meal_entry_week_2!$V$549&gt;0,1,0)+IF(Meal_entry_week_2!$V$550&gt;0,1,0)+IF(Meal_entry_week_2!$V$551&gt;0,1,0)+0.00001)</f>
        <v>77.875844248311509</v>
      </c>
      <c r="AD418" s="1072">
        <f>(AD445+AD444+AD443+AD442+AD441)/(IF(Meal_entry_week_2!$V$547&gt;0,1,0)+IF(Meal_entry_week_2!$V$548&gt;0,1,0)+IF(Meal_entry_week_2!$V$549&gt;0,1,0)+IF(Meal_entry_week_2!$V$550&gt;0,1,0)+IF(Meal_entry_week_2!$V$551&gt;0,1,0)+0.00001)</f>
        <v>94.410611178777643</v>
      </c>
      <c r="AE418" s="1072">
        <f>(AE445+AE444+AE443+AE442+AE441)/(IF(Meal_entry_week_2!$V$547&gt;0,1,0)+IF(Meal_entry_week_2!$V$548&gt;0,1,0)+IF(Meal_entry_week_2!$V$549&gt;0,1,0)+IF(Meal_entry_week_2!$V$550&gt;0,1,0)+IF(Meal_entry_week_2!$V$551&gt;0,1,0)+0.00001)</f>
        <v>142.29171541656919</v>
      </c>
      <c r="AF418" s="1072">
        <f>(AF445+AF444+AF443+AF442+AF441)/(IF(Meal_entry_week_2!$V$547&gt;0,1,0)+IF(Meal_entry_week_2!$V$548&gt;0,1,0)+IF(Meal_entry_week_2!$V$549&gt;0,1,0)+IF(Meal_entry_week_2!$V$550&gt;0,1,0)+IF(Meal_entry_week_2!$V$551&gt;0,1,0)+0.00001)</f>
        <v>19.767600464799074</v>
      </c>
      <c r="AG418" s="1072">
        <f>(AG445+AG444+AG443+AG442+AG441)/(IF(Meal_entry_week_2!$V$547&gt;0,1,0)+IF(Meal_entry_week_2!$V$548&gt;0,1,0)+IF(Meal_entry_week_2!$V$549&gt;0,1,0)+IF(Meal_entry_week_2!$V$550&gt;0,1,0)+IF(Meal_entry_week_2!$V$551&gt;0,1,0)+0.00001)</f>
        <v>1.5655968688062627</v>
      </c>
      <c r="AH418" s="1072">
        <f>(AH445+AH444+AH443+AH442+AH441)/(IF(Meal_entry_week_2!$V$547&gt;0,1,0)+IF(Meal_entry_week_2!$V$548&gt;0,1,0)+IF(Meal_entry_week_2!$V$549&gt;0,1,0)+IF(Meal_entry_week_2!$V$550&gt;0,1,0)+IF(Meal_entry_week_2!$V$551&gt;0,1,0)+0.00001)</f>
        <v>115.0197699604601</v>
      </c>
      <c r="AI418" s="1072">
        <f>(AI445+AI444+AI443+AI442+AI441)/(IF(Meal_entry_week_2!$V$547&gt;0,1,0)+IF(Meal_entry_week_2!$V$548&gt;0,1,0)+IF(Meal_entry_week_2!$V$549&gt;0,1,0)+IF(Meal_entry_week_2!$V$550&gt;0,1,0)+IF(Meal_entry_week_2!$V$551&gt;0,1,0)+0.00001)</f>
        <v>0</v>
      </c>
      <c r="AJ418" s="1072">
        <f>(AJ445+AJ444+AJ443+AJ442+AJ441)/(IF(Meal_entry_week_2!$V$547&gt;0,1,0)+IF(Meal_entry_week_2!$V$548&gt;0,1,0)+IF(Meal_entry_week_2!$V$549&gt;0,1,0)+IF(Meal_entry_week_2!$V$550&gt;0,1,0)+IF(Meal_entry_week_2!$V$551&gt;0,1,0)+0.00001)</f>
        <v>0</v>
      </c>
      <c r="AK418" s="1072">
        <f>(AK445+AK444+AK443+AK442+AK441)/(IF(Meal_entry_week_2!$V$547&gt;0,1,0)+IF(Meal_entry_week_2!$V$548&gt;0,1,0)+IF(Meal_entry_week_2!$V$549&gt;0,1,0)+IF(Meal_entry_week_2!$V$550&gt;0,1,0)+IF(Meal_entry_week_2!$V$551&gt;0,1,0)+0.00001)</f>
        <v>0</v>
      </c>
      <c r="AL418" s="1070">
        <f t="shared" ref="AL418:AL421" si="81">2800-SUM(V418:AK418)</f>
        <v>1817.9419241161518</v>
      </c>
    </row>
    <row r="419" spans="1:38">
      <c r="A419" s="1066"/>
      <c r="B419" s="956" t="s">
        <v>3552</v>
      </c>
      <c r="C419" s="945"/>
      <c r="D419" s="1072">
        <f>(D439+D438+D437+D436+D435)/(IF(Meal_entry_week_1!$V$547&gt;0,1,0)+IF(Meal_entry_week_1!$V$548&gt;0,1,0)+IF(Meal_entry_week_1!$V$549&gt;0,1,0)+IF(Meal_entry_week_1!$V$550&gt;0,1,0)+IF(Meal_entry_week_1!$V$551&gt;0,1,0)+0.00001)</f>
        <v>0</v>
      </c>
      <c r="E419" s="1072">
        <f>(E439+E438+E437+E436+E435)/(IF(Meal_entry_week_1!$V$547&gt;0,1,0)+IF(Meal_entry_week_1!$V$548&gt;0,1,0)+IF(Meal_entry_week_1!$V$549&gt;0,1,0)+IF(Meal_entry_week_1!$V$550&gt;0,1,0)+IF(Meal_entry_week_1!$V$551&gt;0,1,0)+0.00001)</f>
        <v>6.3999872000256008</v>
      </c>
      <c r="F419" s="1072">
        <f>(F439+F438+F437+F436+F435)/(IF(Meal_entry_week_1!$V$547&gt;0,1,0)+IF(Meal_entry_week_1!$V$548&gt;0,1,0)+IF(Meal_entry_week_1!$V$549&gt;0,1,0)+IF(Meal_entry_week_1!$V$550&gt;0,1,0)+IF(Meal_entry_week_1!$V$551&gt;0,1,0)+0.00001)</f>
        <v>5.5199889600220802</v>
      </c>
      <c r="G419" s="1072">
        <f>(G439+G438+G437+G436+G435)/(IF(Meal_entry_week_1!$V$547&gt;0,1,0)+IF(Meal_entry_week_1!$V$548&gt;0,1,0)+IF(Meal_entry_week_1!$V$549&gt;0,1,0)+IF(Meal_entry_week_1!$V$550&gt;0,1,0)+IF(Meal_entry_week_1!$V$551&gt;0,1,0)+0.00001)</f>
        <v>0</v>
      </c>
      <c r="H419" s="1072">
        <f>(H439+H438+H437+H436+H435)/(IF(Meal_entry_week_1!$V$547&gt;0,1,0)+IF(Meal_entry_week_1!$V$548&gt;0,1,0)+IF(Meal_entry_week_1!$V$549&gt;0,1,0)+IF(Meal_entry_week_1!$V$550&gt;0,1,0)+IF(Meal_entry_week_1!$V$551&gt;0,1,0)+0.00001)</f>
        <v>31.199937600124802</v>
      </c>
      <c r="I419" s="1072">
        <f>(I439+I438+I437+I436+I435)/(IF(Meal_entry_week_1!$V$547&gt;0,1,0)+IF(Meal_entry_week_1!$V$548&gt;0,1,0)+IF(Meal_entry_week_1!$V$549&gt;0,1,0)+IF(Meal_entry_week_1!$V$550&gt;0,1,0)+IF(Meal_entry_week_1!$V$551&gt;0,1,0)+0.00001)</f>
        <v>13.159973680052641</v>
      </c>
      <c r="J419" s="1072">
        <f>(J439+J438+J437+J436+J435)/(IF(Meal_entry_week_1!$V$547&gt;0,1,0)+IF(Meal_entry_week_1!$V$548&gt;0,1,0)+IF(Meal_entry_week_1!$V$549&gt;0,1,0)+IF(Meal_entry_week_1!$V$550&gt;0,1,0)+IF(Meal_entry_week_1!$V$551&gt;0,1,0)+0.00001)</f>
        <v>6.0799878400243204</v>
      </c>
      <c r="K419" s="1072">
        <f>(K439+K438+K437+K436+K435)/(IF(Meal_entry_week_1!$V$547&gt;0,1,0)+IF(Meal_entry_week_1!$V$548&gt;0,1,0)+IF(Meal_entry_week_1!$V$549&gt;0,1,0)+IF(Meal_entry_week_1!$V$550&gt;0,1,0)+IF(Meal_entry_week_1!$V$551&gt;0,1,0)+0.00001)</f>
        <v>139.2957214085572</v>
      </c>
      <c r="L419" s="1072">
        <f>(L439+L438+L437+L436+L435)/(IF(Meal_entry_week_1!$V$547&gt;0,1,0)+IF(Meal_entry_week_1!$V$548&gt;0,1,0)+IF(Meal_entry_week_1!$V$549&gt;0,1,0)+IF(Meal_entry_week_1!$V$550&gt;0,1,0)+IF(Meal_entry_week_1!$V$551&gt;0,1,0)+0.00001)</f>
        <v>15.135969728060546</v>
      </c>
      <c r="M419" s="1072">
        <f>(M439+M438+M437+M436+M435)/(IF(Meal_entry_week_1!$V$547&gt;0,1,0)+IF(Meal_entry_week_1!$V$548&gt;0,1,0)+IF(Meal_entry_week_1!$V$549&gt;0,1,0)+IF(Meal_entry_week_1!$V$550&gt;0,1,0)+IF(Meal_entry_week_1!$V$551&gt;0,1,0)+0.00001)</f>
        <v>10.043979912040179</v>
      </c>
      <c r="N419" s="1072">
        <f>(N439+N438+N437+N436+N435)/(IF(Meal_entry_week_1!$V$547&gt;0,1,0)+IF(Meal_entry_week_1!$V$548&gt;0,1,0)+IF(Meal_entry_week_1!$V$549&gt;0,1,0)+IF(Meal_entry_week_1!$V$550&gt;0,1,0)+IF(Meal_entry_week_1!$V$551&gt;0,1,0)+0.00001)</f>
        <v>0</v>
      </c>
      <c r="O419" s="1072">
        <f>(O439+O438+O437+O436+O435)/(IF(Meal_entry_week_1!$V$547&gt;0,1,0)+IF(Meal_entry_week_1!$V$548&gt;0,1,0)+IF(Meal_entry_week_1!$V$549&gt;0,1,0)+IF(Meal_entry_week_1!$V$550&gt;0,1,0)+IF(Meal_entry_week_1!$V$551&gt;0,1,0)+0.00001)</f>
        <v>1.7479965040069922</v>
      </c>
      <c r="P419" s="1072">
        <f>(P439+P438+P437+P436+P435)/(IF(Meal_entry_week_1!$V$547&gt;0,1,0)+IF(Meal_entry_week_1!$V$548&gt;0,1,0)+IF(Meal_entry_week_1!$V$549&gt;0,1,0)+IF(Meal_entry_week_1!$V$550&gt;0,1,0)+IF(Meal_entry_week_1!$V$551&gt;0,1,0)+0.00001)</f>
        <v>90.419819160361698</v>
      </c>
      <c r="Q419" s="1072">
        <f>(Q439+Q438+Q437+Q436+Q435)/(IF(Meal_entry_week_1!$V$547&gt;0,1,0)+IF(Meal_entry_week_1!$V$548&gt;0,1,0)+IF(Meal_entry_week_1!$V$549&gt;0,1,0)+IF(Meal_entry_week_1!$V$550&gt;0,1,0)+IF(Meal_entry_week_1!$V$551&gt;0,1,0)+0.00001)</f>
        <v>0</v>
      </c>
      <c r="R419" s="1072">
        <f>(R439+R438+R437+R436+R435)/(IF(Meal_entry_week_1!$V$547&gt;0,1,0)+IF(Meal_entry_week_1!$V$548&gt;0,1,0)+IF(Meal_entry_week_1!$V$549&gt;0,1,0)+IF(Meal_entry_week_1!$V$550&gt;0,1,0)+IF(Meal_entry_week_1!$V$551&gt;0,1,0)+0.00001)</f>
        <v>5.9999880000240005</v>
      </c>
      <c r="S419" s="1072">
        <f>(S439+S438+S437+S436+S435)/(IF(Meal_entry_week_1!$V$547&gt;0,1,0)+IF(Meal_entry_week_1!$V$548&gt;0,1,0)+IF(Meal_entry_week_1!$V$549&gt;0,1,0)+IF(Meal_entry_week_1!$V$550&gt;0,1,0)+IF(Meal_entry_week_1!$V$551&gt;0,1,0)+0.00001)</f>
        <v>0</v>
      </c>
      <c r="T419" s="1070">
        <f>2800-SUM(D419:S419)</f>
        <v>2474.9966500066998</v>
      </c>
      <c r="U419" s="956" t="s">
        <v>3552</v>
      </c>
      <c r="V419" s="1072">
        <f>(V439+V438+V437+V436+V435)/(IF(Meal_entry_week_2!$V$547&gt;0,1,0)+IF(Meal_entry_week_2!$V$548&gt;0,1,0)+IF(Meal_entry_week_2!$V$549&gt;0,1,0)+IF(Meal_entry_week_2!$V$550&gt;0,1,0)+IF(Meal_entry_week_2!$V$551&gt;0,1,0)+0.00001)</f>
        <v>0</v>
      </c>
      <c r="W419" s="1072">
        <f>(W439+W438+W437+W436+W435)/(IF(Meal_entry_week_2!$V$547&gt;0,1,0)+IF(Meal_entry_week_2!$V$548&gt;0,1,0)+IF(Meal_entry_week_2!$V$549&gt;0,1,0)+IF(Meal_entry_week_2!$V$550&gt;0,1,0)+IF(Meal_entry_week_2!$V$551&gt;0,1,0)+0.00001)</f>
        <v>0</v>
      </c>
      <c r="X419" s="1072">
        <f>(X439+X438+X437+X436+X435)/(IF(Meal_entry_week_2!$V$547&gt;0,1,0)+IF(Meal_entry_week_2!$V$548&gt;0,1,0)+IF(Meal_entry_week_2!$V$549&gt;0,1,0)+IF(Meal_entry_week_2!$V$550&gt;0,1,0)+IF(Meal_entry_week_2!$V$551&gt;0,1,0)+0.00001)</f>
        <v>0</v>
      </c>
      <c r="Y419" s="1072">
        <f>(Y439+Y438+Y437+Y436+Y435)/(IF(Meal_entry_week_2!$V$547&gt;0,1,0)+IF(Meal_entry_week_2!$V$548&gt;0,1,0)+IF(Meal_entry_week_2!$V$549&gt;0,1,0)+IF(Meal_entry_week_2!$V$550&gt;0,1,0)+IF(Meal_entry_week_2!$V$551&gt;0,1,0)+0.00001)</f>
        <v>0</v>
      </c>
      <c r="Z419" s="1072">
        <f>(Z439+Z438+Z437+Z436+Z435)/(IF(Meal_entry_week_2!$V$547&gt;0,1,0)+IF(Meal_entry_week_2!$V$548&gt;0,1,0)+IF(Meal_entry_week_2!$V$549&gt;0,1,0)+IF(Meal_entry_week_2!$V$550&gt;0,1,0)+IF(Meal_entry_week_2!$V$551&gt;0,1,0)+0.00001)</f>
        <v>19.599960800078403</v>
      </c>
      <c r="AA419" s="1072">
        <f>(AA439+AA438+AA437+AA436+AA435)/(IF(Meal_entry_week_2!$V$547&gt;0,1,0)+IF(Meal_entry_week_2!$V$548&gt;0,1,0)+IF(Meal_entry_week_2!$V$549&gt;0,1,0)+IF(Meal_entry_week_2!$V$550&gt;0,1,0)+IF(Meal_entry_week_2!$V$551&gt;0,1,0)+0.00001)</f>
        <v>0</v>
      </c>
      <c r="AB419" s="1072">
        <f>(AB439+AB438+AB437+AB436+AB435)/(IF(Meal_entry_week_2!$V$547&gt;0,1,0)+IF(Meal_entry_week_2!$V$548&gt;0,1,0)+IF(Meal_entry_week_2!$V$549&gt;0,1,0)+IF(Meal_entry_week_2!$V$550&gt;0,1,0)+IF(Meal_entry_week_2!$V$551&gt;0,1,0)+0.00001)</f>
        <v>6.2623874752250499</v>
      </c>
      <c r="AC419" s="1072">
        <f>(AC439+AC438+AC437+AC436+AC435)/(IF(Meal_entry_week_2!$V$547&gt;0,1,0)+IF(Meal_entry_week_2!$V$548&gt;0,1,0)+IF(Meal_entry_week_2!$V$549&gt;0,1,0)+IF(Meal_entry_week_2!$V$550&gt;0,1,0)+IF(Meal_entry_week_2!$V$551&gt;0,1,0)+0.00001)</f>
        <v>147.59170481659035</v>
      </c>
      <c r="AD419" s="1072">
        <f>(AD439+AD438+AD437+AD436+AD435)/(IF(Meal_entry_week_2!$V$547&gt;0,1,0)+IF(Meal_entry_week_2!$V$548&gt;0,1,0)+IF(Meal_entry_week_2!$V$549&gt;0,1,0)+IF(Meal_entry_week_2!$V$550&gt;0,1,0)+IF(Meal_entry_week_2!$V$551&gt;0,1,0)+0.00001)</f>
        <v>44.461911076177856</v>
      </c>
      <c r="AE419" s="1072">
        <f>(AE439+AE438+AE437+AE436+AE435)/(IF(Meal_entry_week_2!$V$547&gt;0,1,0)+IF(Meal_entry_week_2!$V$548&gt;0,1,0)+IF(Meal_entry_week_2!$V$549&gt;0,1,0)+IF(Meal_entry_week_2!$V$550&gt;0,1,0)+IF(Meal_entry_week_2!$V$551&gt;0,1,0)+0.00001)</f>
        <v>24.827950344099314</v>
      </c>
      <c r="AF419" s="1072">
        <f>(AF439+AF438+AF437+AF436+AF435)/(IF(Meal_entry_week_2!$V$547&gt;0,1,0)+IF(Meal_entry_week_2!$V$548&gt;0,1,0)+IF(Meal_entry_week_2!$V$549&gt;0,1,0)+IF(Meal_entry_week_2!$V$550&gt;0,1,0)+IF(Meal_entry_week_2!$V$551&gt;0,1,0)+0.00001)</f>
        <v>7.0079859840280321</v>
      </c>
      <c r="AG419" s="1072">
        <f>(AG439+AG438+AG437+AG436+AG435)/(IF(Meal_entry_week_2!$V$547&gt;0,1,0)+IF(Meal_entry_week_2!$V$548&gt;0,1,0)+IF(Meal_entry_week_2!$V$549&gt;0,1,0)+IF(Meal_entry_week_2!$V$550&gt;0,1,0)+IF(Meal_entry_week_2!$V$551&gt;0,1,0)+0.00001)</f>
        <v>2.8879942240115519</v>
      </c>
      <c r="AH419" s="1072">
        <f>(AH439+AH438+AH437+AH436+AH435)/(IF(Meal_entry_week_2!$V$547&gt;0,1,0)+IF(Meal_entry_week_2!$V$548&gt;0,1,0)+IF(Meal_entry_week_2!$V$549&gt;0,1,0)+IF(Meal_entry_week_2!$V$550&gt;0,1,0)+IF(Meal_entry_week_2!$V$551&gt;0,1,0)+0.00001)</f>
        <v>58.319883360233291</v>
      </c>
      <c r="AI419" s="1072">
        <f>(AI439+AI438+AI437+AI436+AI435)/(IF(Meal_entry_week_2!$V$547&gt;0,1,0)+IF(Meal_entry_week_2!$V$548&gt;0,1,0)+IF(Meal_entry_week_2!$V$549&gt;0,1,0)+IF(Meal_entry_week_2!$V$550&gt;0,1,0)+IF(Meal_entry_week_2!$V$551&gt;0,1,0)+0.00001)</f>
        <v>0</v>
      </c>
      <c r="AJ419" s="1072">
        <f>(AJ439+AJ438+AJ437+AJ436+AJ435)/(IF(Meal_entry_week_2!$V$547&gt;0,1,0)+IF(Meal_entry_week_2!$V$548&gt;0,1,0)+IF(Meal_entry_week_2!$V$549&gt;0,1,0)+IF(Meal_entry_week_2!$V$550&gt;0,1,0)+IF(Meal_entry_week_2!$V$551&gt;0,1,0)+0.00001)</f>
        <v>11.999976000048001</v>
      </c>
      <c r="AK419" s="1072">
        <f>(AK439+AK438+AK437+AK436+AK435)/(IF(Meal_entry_week_2!$V$547&gt;0,1,0)+IF(Meal_entry_week_2!$V$548&gt;0,1,0)+IF(Meal_entry_week_2!$V$549&gt;0,1,0)+IF(Meal_entry_week_2!$V$550&gt;0,1,0)+IF(Meal_entry_week_2!$V$551&gt;0,1,0)+0.00001)</f>
        <v>0</v>
      </c>
      <c r="AL419" s="1070">
        <f t="shared" si="81"/>
        <v>2477.0402459195084</v>
      </c>
    </row>
    <row r="420" spans="1:38">
      <c r="A420" s="1066"/>
      <c r="B420" s="956" t="s">
        <v>67</v>
      </c>
      <c r="C420" s="945"/>
      <c r="D420" s="1072">
        <f>(D433+D432+D431+D430+D429)/(IF(Meal_entry_week_1!$V$547&gt;0,1,0)+IF(Meal_entry_week_1!$V$548&gt;0,1,0)+IF(Meal_entry_week_1!$V$549&gt;0,1,0)+IF(Meal_entry_week_1!$V$550&gt;0,1,0)+IF(Meal_entry_week_1!$V$551&gt;0,1,0)+0.00001)</f>
        <v>9.5999808000384004</v>
      </c>
      <c r="E420" s="1072">
        <f>(E433+E432+E431+E430+E429)/(IF(Meal_entry_week_1!$V$547&gt;0,1,0)+IF(Meal_entry_week_1!$V$548&gt;0,1,0)+IF(Meal_entry_week_1!$V$549&gt;0,1,0)+IF(Meal_entry_week_1!$V$550&gt;0,1,0)+IF(Meal_entry_week_1!$V$551&gt;0,1,0)+0.00001)</f>
        <v>0</v>
      </c>
      <c r="F420" s="1072">
        <f>(F433+F432+F431+F430+F429)/(IF(Meal_entry_week_1!$V$547&gt;0,1,0)+IF(Meal_entry_week_1!$V$548&gt;0,1,0)+IF(Meal_entry_week_1!$V$549&gt;0,1,0)+IF(Meal_entry_week_1!$V$550&gt;0,1,0)+IF(Meal_entry_week_1!$V$551&gt;0,1,0)+0.00001)</f>
        <v>0</v>
      </c>
      <c r="G420" s="1072">
        <f>(G433+G432+G431+G430+G429)/(IF(Meal_entry_week_1!$V$547&gt;0,1,0)+IF(Meal_entry_week_1!$V$548&gt;0,1,0)+IF(Meal_entry_week_1!$V$549&gt;0,1,0)+IF(Meal_entry_week_1!$V$550&gt;0,1,0)+IF(Meal_entry_week_1!$V$551&gt;0,1,0)+0.00001)</f>
        <v>0</v>
      </c>
      <c r="H420" s="1072">
        <f>(H433+H432+H431+H430+H429)/(IF(Meal_entry_week_1!$V$547&gt;0,1,0)+IF(Meal_entry_week_1!$V$548&gt;0,1,0)+IF(Meal_entry_week_1!$V$549&gt;0,1,0)+IF(Meal_entry_week_1!$V$550&gt;0,1,0)+IF(Meal_entry_week_1!$V$551&gt;0,1,0)+0.00001)</f>
        <v>0</v>
      </c>
      <c r="I420" s="1072">
        <f>(I433+I432+I431+I430+I429)/(IF(Meal_entry_week_1!$V$547&gt;0,1,0)+IF(Meal_entry_week_1!$V$548&gt;0,1,0)+IF(Meal_entry_week_1!$V$549&gt;0,1,0)+IF(Meal_entry_week_1!$V$550&gt;0,1,0)+IF(Meal_entry_week_1!$V$551&gt;0,1,0)+0.00001)</f>
        <v>0</v>
      </c>
      <c r="J420" s="1072">
        <f>(J433+J432+J431+J430+J429)/(IF(Meal_entry_week_1!$V$547&gt;0,1,0)+IF(Meal_entry_week_1!$V$548&gt;0,1,0)+IF(Meal_entry_week_1!$V$549&gt;0,1,0)+IF(Meal_entry_week_1!$V$550&gt;0,1,0)+IF(Meal_entry_week_1!$V$551&gt;0,1,0)+0.00001)</f>
        <v>0</v>
      </c>
      <c r="K420" s="1072">
        <f>(K433+K432+K431+K430+K429)/(IF(Meal_entry_week_1!$V$547&gt;0,1,0)+IF(Meal_entry_week_1!$V$548&gt;0,1,0)+IF(Meal_entry_week_1!$V$549&gt;0,1,0)+IF(Meal_entry_week_1!$V$550&gt;0,1,0)+IF(Meal_entry_week_1!$V$551&gt;0,1,0)+0.00001)</f>
        <v>0</v>
      </c>
      <c r="L420" s="1072">
        <f>(L433+L432+L431+L430+L429)/(IF(Meal_entry_week_1!$V$547&gt;0,1,0)+IF(Meal_entry_week_1!$V$548&gt;0,1,0)+IF(Meal_entry_week_1!$V$549&gt;0,1,0)+IF(Meal_entry_week_1!$V$550&gt;0,1,0)+IF(Meal_entry_week_1!$V$551&gt;0,1,0)+0.00001)</f>
        <v>0</v>
      </c>
      <c r="M420" s="1072">
        <f>(M433+M432+M431+M430+M429)/(IF(Meal_entry_week_1!$V$547&gt;0,1,0)+IF(Meal_entry_week_1!$V$548&gt;0,1,0)+IF(Meal_entry_week_1!$V$549&gt;0,1,0)+IF(Meal_entry_week_1!$V$550&gt;0,1,0)+IF(Meal_entry_week_1!$V$551&gt;0,1,0)+0.00001)</f>
        <v>0</v>
      </c>
      <c r="N420" s="1072">
        <f>(N433+N432+N431+N430+N429)/(IF(Meal_entry_week_1!$V$547&gt;0,1,0)+IF(Meal_entry_week_1!$V$548&gt;0,1,0)+IF(Meal_entry_week_1!$V$549&gt;0,1,0)+IF(Meal_entry_week_1!$V$550&gt;0,1,0)+IF(Meal_entry_week_1!$V$551&gt;0,1,0)+0.00001)</f>
        <v>0</v>
      </c>
      <c r="O420" s="1072">
        <f>(O433+O432+O431+O430+O429)/(IF(Meal_entry_week_1!$V$547&gt;0,1,0)+IF(Meal_entry_week_1!$V$548&gt;0,1,0)+IF(Meal_entry_week_1!$V$549&gt;0,1,0)+IF(Meal_entry_week_1!$V$550&gt;0,1,0)+IF(Meal_entry_week_1!$V$551&gt;0,1,0)+0.00001)</f>
        <v>0</v>
      </c>
      <c r="P420" s="1072">
        <f>(P433+P432+P431+P430+P429)/(IF(Meal_entry_week_1!$V$547&gt;0,1,0)+IF(Meal_entry_week_1!$V$548&gt;0,1,0)+IF(Meal_entry_week_1!$V$549&gt;0,1,0)+IF(Meal_entry_week_1!$V$550&gt;0,1,0)+IF(Meal_entry_week_1!$V$551&gt;0,1,0)+0.00001)</f>
        <v>0</v>
      </c>
      <c r="Q420" s="1072">
        <f>(Q433+Q432+Q431+Q430+Q429)/(IF(Meal_entry_week_1!$V$547&gt;0,1,0)+IF(Meal_entry_week_1!$V$548&gt;0,1,0)+IF(Meal_entry_week_1!$V$549&gt;0,1,0)+IF(Meal_entry_week_1!$V$550&gt;0,1,0)+IF(Meal_entry_week_1!$V$551&gt;0,1,0)+0.00001)</f>
        <v>0</v>
      </c>
      <c r="R420" s="1072">
        <f>(R433+R432+R431+R430+R429)/(IF(Meal_entry_week_1!$V$547&gt;0,1,0)+IF(Meal_entry_week_1!$V$548&gt;0,1,0)+IF(Meal_entry_week_1!$V$549&gt;0,1,0)+IF(Meal_entry_week_1!$V$550&gt;0,1,0)+IF(Meal_entry_week_1!$V$551&gt;0,1,0)+0.00001)</f>
        <v>0</v>
      </c>
      <c r="S420" s="1072">
        <f>(S433+S432+S431+S430+S429)/(IF(Meal_entry_week_1!$V$547&gt;0,1,0)+IF(Meal_entry_week_1!$V$548&gt;0,1,0)+IF(Meal_entry_week_1!$V$549&gt;0,1,0)+IF(Meal_entry_week_1!$V$550&gt;0,1,0)+IF(Meal_entry_week_1!$V$551&gt;0,1,0)+0.00001)</f>
        <v>0</v>
      </c>
      <c r="T420" s="1070">
        <f>2800-SUM(D420:S420)</f>
        <v>2790.4000191999617</v>
      </c>
      <c r="U420" s="956" t="s">
        <v>67</v>
      </c>
      <c r="V420" s="1072">
        <f>(V433+V432+V431+V430+V429)/(IF(Meal_entry_week_2!$V$547&gt;0,1,0)+IF(Meal_entry_week_2!$V$548&gt;0,1,0)+IF(Meal_entry_week_2!$V$549&gt;0,1,0)+IF(Meal_entry_week_2!$V$550&gt;0,1,0)+IF(Meal_entry_week_2!$V$551&gt;0,1,0)+0.00001)</f>
        <v>0</v>
      </c>
      <c r="W420" s="1072">
        <f>(W433+W432+W431+W430+W429)/(IF(Meal_entry_week_2!$V$547&gt;0,1,0)+IF(Meal_entry_week_2!$V$548&gt;0,1,0)+IF(Meal_entry_week_2!$V$549&gt;0,1,0)+IF(Meal_entry_week_2!$V$550&gt;0,1,0)+IF(Meal_entry_week_2!$V$551&gt;0,1,0)+0.00001)</f>
        <v>0</v>
      </c>
      <c r="X420" s="1072">
        <f>(X433+X432+X431+X430+X429)/(IF(Meal_entry_week_2!$V$547&gt;0,1,0)+IF(Meal_entry_week_2!$V$548&gt;0,1,0)+IF(Meal_entry_week_2!$V$549&gt;0,1,0)+IF(Meal_entry_week_2!$V$550&gt;0,1,0)+IF(Meal_entry_week_2!$V$551&gt;0,1,0)+0.00001)</f>
        <v>0</v>
      </c>
      <c r="Y420" s="1072">
        <f>(Y433+Y432+Y431+Y430+Y429)/(IF(Meal_entry_week_2!$V$547&gt;0,1,0)+IF(Meal_entry_week_2!$V$548&gt;0,1,0)+IF(Meal_entry_week_2!$V$549&gt;0,1,0)+IF(Meal_entry_week_2!$V$550&gt;0,1,0)+IF(Meal_entry_week_2!$V$551&gt;0,1,0)+0.00001)</f>
        <v>0</v>
      </c>
      <c r="Z420" s="1072">
        <f>(Z433+Z432+Z431+Z430+Z429)/(IF(Meal_entry_week_2!$V$547&gt;0,1,0)+IF(Meal_entry_week_2!$V$548&gt;0,1,0)+IF(Meal_entry_week_2!$V$549&gt;0,1,0)+IF(Meal_entry_week_2!$V$550&gt;0,1,0)+IF(Meal_entry_week_2!$V$551&gt;0,1,0)+0.00001)</f>
        <v>0</v>
      </c>
      <c r="AA420" s="1072">
        <f>(AA433+AA432+AA431+AA430+AA429)/(IF(Meal_entry_week_2!$V$547&gt;0,1,0)+IF(Meal_entry_week_2!$V$548&gt;0,1,0)+IF(Meal_entry_week_2!$V$549&gt;0,1,0)+IF(Meal_entry_week_2!$V$550&gt;0,1,0)+IF(Meal_entry_week_2!$V$551&gt;0,1,0)+0.00001)</f>
        <v>0</v>
      </c>
      <c r="AB420" s="1072">
        <f>(AB433+AB432+AB431+AB430+AB429)/(IF(Meal_entry_week_2!$V$547&gt;0,1,0)+IF(Meal_entry_week_2!$V$548&gt;0,1,0)+IF(Meal_entry_week_2!$V$549&gt;0,1,0)+IF(Meal_entry_week_2!$V$550&gt;0,1,0)+IF(Meal_entry_week_2!$V$551&gt;0,1,0)+0.00001)</f>
        <v>0</v>
      </c>
      <c r="AC420" s="1072">
        <f>(AC433+AC432+AC431+AC430+AC429)/(IF(Meal_entry_week_2!$V$547&gt;0,1,0)+IF(Meal_entry_week_2!$V$548&gt;0,1,0)+IF(Meal_entry_week_2!$V$549&gt;0,1,0)+IF(Meal_entry_week_2!$V$550&gt;0,1,0)+IF(Meal_entry_week_2!$V$551&gt;0,1,0)+0.00001)</f>
        <v>0</v>
      </c>
      <c r="AD420" s="1072">
        <f>(AD433+AD432+AD431+AD430+AD429)/(IF(Meal_entry_week_2!$V$547&gt;0,1,0)+IF(Meal_entry_week_2!$V$548&gt;0,1,0)+IF(Meal_entry_week_2!$V$549&gt;0,1,0)+IF(Meal_entry_week_2!$V$550&gt;0,1,0)+IF(Meal_entry_week_2!$V$551&gt;0,1,0)+0.00001)</f>
        <v>0</v>
      </c>
      <c r="AE420" s="1072">
        <f>(AE433+AE432+AE431+AE430+AE429)/(IF(Meal_entry_week_2!$V$547&gt;0,1,0)+IF(Meal_entry_week_2!$V$548&gt;0,1,0)+IF(Meal_entry_week_2!$V$549&gt;0,1,0)+IF(Meal_entry_week_2!$V$550&gt;0,1,0)+IF(Meal_entry_week_2!$V$551&gt;0,1,0)+0.00001)</f>
        <v>0</v>
      </c>
      <c r="AF420" s="1072">
        <f>(AF433+AF432+AF431+AF430+AF429)/(IF(Meal_entry_week_2!$V$547&gt;0,1,0)+IF(Meal_entry_week_2!$V$548&gt;0,1,0)+IF(Meal_entry_week_2!$V$549&gt;0,1,0)+IF(Meal_entry_week_2!$V$550&gt;0,1,0)+IF(Meal_entry_week_2!$V$551&gt;0,1,0)+0.00001)</f>
        <v>0</v>
      </c>
      <c r="AG420" s="1072">
        <f>(AG433+AG432+AG431+AG430+AG429)/(IF(Meal_entry_week_2!$V$547&gt;0,1,0)+IF(Meal_entry_week_2!$V$548&gt;0,1,0)+IF(Meal_entry_week_2!$V$549&gt;0,1,0)+IF(Meal_entry_week_2!$V$550&gt;0,1,0)+IF(Meal_entry_week_2!$V$551&gt;0,1,0)+0.00001)</f>
        <v>0</v>
      </c>
      <c r="AH420" s="1072">
        <f>(AH433+AH432+AH431+AH430+AH429)/(IF(Meal_entry_week_2!$V$547&gt;0,1,0)+IF(Meal_entry_week_2!$V$548&gt;0,1,0)+IF(Meal_entry_week_2!$V$549&gt;0,1,0)+IF(Meal_entry_week_2!$V$550&gt;0,1,0)+IF(Meal_entry_week_2!$V$551&gt;0,1,0)+0.00001)</f>
        <v>0</v>
      </c>
      <c r="AI420" s="1072">
        <f>(AI433+AI432+AI431+AI430+AI429)/(IF(Meal_entry_week_2!$V$547&gt;0,1,0)+IF(Meal_entry_week_2!$V$548&gt;0,1,0)+IF(Meal_entry_week_2!$V$549&gt;0,1,0)+IF(Meal_entry_week_2!$V$550&gt;0,1,0)+IF(Meal_entry_week_2!$V$551&gt;0,1,0)+0.00001)</f>
        <v>0</v>
      </c>
      <c r="AJ420" s="1072">
        <f>(AJ433+AJ432+AJ431+AJ430+AJ429)/(IF(Meal_entry_week_2!$V$547&gt;0,1,0)+IF(Meal_entry_week_2!$V$548&gt;0,1,0)+IF(Meal_entry_week_2!$V$549&gt;0,1,0)+IF(Meal_entry_week_2!$V$550&gt;0,1,0)+IF(Meal_entry_week_2!$V$551&gt;0,1,0)+0.00001)</f>
        <v>0</v>
      </c>
      <c r="AK420" s="1072">
        <f>(AK433+AK432+AK431+AK430+AK429)/(IF(Meal_entry_week_2!$V$547&gt;0,1,0)+IF(Meal_entry_week_2!$V$548&gt;0,1,0)+IF(Meal_entry_week_2!$V$549&gt;0,1,0)+IF(Meal_entry_week_2!$V$550&gt;0,1,0)+IF(Meal_entry_week_2!$V$551&gt;0,1,0)+0.00001)</f>
        <v>0</v>
      </c>
      <c r="AL420" s="1070">
        <f t="shared" si="81"/>
        <v>2800</v>
      </c>
    </row>
    <row r="421" spans="1:38">
      <c r="A421" s="1066"/>
      <c r="B421" s="1074" t="s">
        <v>1431</v>
      </c>
      <c r="C421" s="945"/>
      <c r="D421" s="1075">
        <f>SUM(D417:D420)</f>
        <v>180.52363895272214</v>
      </c>
      <c r="E421" s="1075">
        <f t="shared" ref="E421:S421" si="82">SUM(E417:E420)</f>
        <v>28.799942400115199</v>
      </c>
      <c r="F421" s="1075">
        <f t="shared" si="82"/>
        <v>67.439865120269772</v>
      </c>
      <c r="G421" s="1075">
        <f t="shared" si="82"/>
        <v>193.53961292077415</v>
      </c>
      <c r="H421" s="1075">
        <f t="shared" si="82"/>
        <v>121.59975680048639</v>
      </c>
      <c r="I421" s="1075">
        <f t="shared" si="82"/>
        <v>13.159973680052641</v>
      </c>
      <c r="J421" s="1075">
        <f t="shared" si="82"/>
        <v>69.919860160279683</v>
      </c>
      <c r="K421" s="1075">
        <f t="shared" si="82"/>
        <v>249.97550004899992</v>
      </c>
      <c r="L421" s="1075">
        <f t="shared" si="82"/>
        <v>85.139829720340572</v>
      </c>
      <c r="M421" s="1075">
        <f t="shared" si="82"/>
        <v>84.943830112339782</v>
      </c>
      <c r="N421" s="1075">
        <f t="shared" si="82"/>
        <v>24.550050899898203</v>
      </c>
      <c r="O421" s="1075">
        <f t="shared" si="82"/>
        <v>1.7479965040069922</v>
      </c>
      <c r="P421" s="1075">
        <f t="shared" si="82"/>
        <v>211.91957616084773</v>
      </c>
      <c r="Q421" s="1075">
        <f t="shared" si="82"/>
        <v>0</v>
      </c>
      <c r="R421" s="1075">
        <f t="shared" si="82"/>
        <v>5.9999880000240005</v>
      </c>
      <c r="S421" s="1075">
        <f t="shared" si="82"/>
        <v>0</v>
      </c>
      <c r="T421" s="1070">
        <f>2800-SUM(D421:S421)</f>
        <v>1460.740578518843</v>
      </c>
      <c r="U421" s="1074" t="s">
        <v>1431</v>
      </c>
      <c r="V421" s="1075">
        <f t="shared" ref="V421:AK421" si="83">SUM(V417:V420)</f>
        <v>151.34769730460539</v>
      </c>
      <c r="W421" s="1075">
        <f t="shared" si="83"/>
        <v>19.199961600076801</v>
      </c>
      <c r="X421" s="1075">
        <f t="shared" si="83"/>
        <v>53.319893360213285</v>
      </c>
      <c r="Y421" s="1075">
        <f t="shared" si="83"/>
        <v>213.49957300085401</v>
      </c>
      <c r="Z421" s="1075">
        <f t="shared" si="83"/>
        <v>73.839852320295364</v>
      </c>
      <c r="AA421" s="1075">
        <f t="shared" si="83"/>
        <v>0</v>
      </c>
      <c r="AB421" s="1075">
        <f t="shared" si="83"/>
        <v>45.782308435383136</v>
      </c>
      <c r="AC421" s="1075">
        <f t="shared" si="83"/>
        <v>225.46754906490185</v>
      </c>
      <c r="AD421" s="1075">
        <f t="shared" si="83"/>
        <v>138.8725222549555</v>
      </c>
      <c r="AE421" s="1075">
        <f t="shared" si="83"/>
        <v>167.11966576066851</v>
      </c>
      <c r="AF421" s="1075">
        <f t="shared" si="83"/>
        <v>26.775586448827106</v>
      </c>
      <c r="AG421" s="1075">
        <f t="shared" si="83"/>
        <v>4.4535910928178151</v>
      </c>
      <c r="AH421" s="1075">
        <f t="shared" si="83"/>
        <v>173.3396533206934</v>
      </c>
      <c r="AI421" s="1075">
        <f t="shared" si="83"/>
        <v>0</v>
      </c>
      <c r="AJ421" s="1075">
        <f t="shared" si="83"/>
        <v>11.999976000048001</v>
      </c>
      <c r="AK421" s="1075">
        <f t="shared" si="83"/>
        <v>0</v>
      </c>
      <c r="AL421" s="1078">
        <f t="shared" si="81"/>
        <v>1494.9821700356599</v>
      </c>
    </row>
    <row r="422" spans="1:38">
      <c r="A422" s="1066"/>
      <c r="B422" s="956" t="s">
        <v>3570</v>
      </c>
      <c r="C422" s="945"/>
      <c r="D422" s="1269" t="s">
        <v>3140</v>
      </c>
      <c r="E422" s="1083" t="s">
        <v>3069</v>
      </c>
      <c r="F422" s="1083" t="s">
        <v>3077</v>
      </c>
      <c r="G422" s="1083" t="s">
        <v>3073</v>
      </c>
      <c r="H422" s="1083" t="s">
        <v>3070</v>
      </c>
      <c r="I422" s="913" t="s">
        <v>3575</v>
      </c>
      <c r="J422" s="913" t="s">
        <v>3072</v>
      </c>
      <c r="K422" s="1083" t="s">
        <v>3085</v>
      </c>
      <c r="L422" s="1083" t="s">
        <v>3075</v>
      </c>
      <c r="M422" s="1083" t="s">
        <v>3141</v>
      </c>
      <c r="N422" s="1083" t="s">
        <v>3550</v>
      </c>
      <c r="O422" s="1083" t="s">
        <v>3078</v>
      </c>
      <c r="P422" s="1083" t="s">
        <v>3551</v>
      </c>
      <c r="Q422" s="1083" t="s">
        <v>3082</v>
      </c>
      <c r="R422" s="1083" t="s">
        <v>3083</v>
      </c>
      <c r="S422" s="1083" t="s">
        <v>3084</v>
      </c>
      <c r="T422" s="1068"/>
      <c r="U422" s="956" t="s">
        <v>3570</v>
      </c>
      <c r="V422" s="1269" t="s">
        <v>3140</v>
      </c>
      <c r="W422" s="1083" t="s">
        <v>3069</v>
      </c>
      <c r="X422" s="1083" t="s">
        <v>3077</v>
      </c>
      <c r="Y422" s="1083" t="s">
        <v>3073</v>
      </c>
      <c r="Z422" s="1083" t="s">
        <v>3070</v>
      </c>
      <c r="AA422" s="913" t="s">
        <v>3575</v>
      </c>
      <c r="AB422" s="913" t="s">
        <v>3072</v>
      </c>
      <c r="AC422" s="1083" t="s">
        <v>3085</v>
      </c>
      <c r="AD422" s="1083" t="s">
        <v>3075</v>
      </c>
      <c r="AE422" s="1083" t="s">
        <v>3141</v>
      </c>
      <c r="AF422" s="1083" t="s">
        <v>3550</v>
      </c>
      <c r="AG422" s="1083" t="s">
        <v>3078</v>
      </c>
      <c r="AH422" s="1083" t="s">
        <v>3551</v>
      </c>
      <c r="AI422" s="1083" t="s">
        <v>3082</v>
      </c>
      <c r="AJ422" s="1083" t="s">
        <v>3083</v>
      </c>
      <c r="AK422" s="1083" t="s">
        <v>3084</v>
      </c>
      <c r="AL422" s="1068"/>
    </row>
    <row r="423" spans="1:38" s="1071" customFormat="1">
      <c r="A423" s="1066"/>
      <c r="B423" s="956" t="s">
        <v>3068</v>
      </c>
      <c r="C423" s="945"/>
      <c r="D423" s="1069">
        <f t="shared" ref="D423:S423" si="84">D429+D435+D441+D447</f>
        <v>219.18</v>
      </c>
      <c r="E423" s="1069">
        <f t="shared" si="84"/>
        <v>0</v>
      </c>
      <c r="F423" s="1069">
        <f t="shared" si="84"/>
        <v>64.5</v>
      </c>
      <c r="G423" s="1069">
        <f t="shared" si="84"/>
        <v>65.400000000000006</v>
      </c>
      <c r="H423" s="1069">
        <f t="shared" si="84"/>
        <v>0</v>
      </c>
      <c r="I423" s="1069">
        <f t="shared" si="84"/>
        <v>0</v>
      </c>
      <c r="J423" s="1069">
        <f t="shared" si="84"/>
        <v>91.2</v>
      </c>
      <c r="K423" s="1069">
        <f t="shared" si="84"/>
        <v>588</v>
      </c>
      <c r="L423" s="1069">
        <f t="shared" si="84"/>
        <v>75.680000000000007</v>
      </c>
      <c r="M423" s="1069">
        <f t="shared" si="84"/>
        <v>16.200000000000003</v>
      </c>
      <c r="N423" s="1069">
        <f t="shared" si="84"/>
        <v>5.3505000000000003</v>
      </c>
      <c r="O423" s="1069">
        <f t="shared" si="84"/>
        <v>0</v>
      </c>
      <c r="P423" s="1069">
        <f t="shared" si="84"/>
        <v>234.90000000000003</v>
      </c>
      <c r="Q423" s="1069">
        <f t="shared" si="84"/>
        <v>0</v>
      </c>
      <c r="R423" s="1069">
        <f t="shared" si="84"/>
        <v>0</v>
      </c>
      <c r="S423" s="1069">
        <f t="shared" si="84"/>
        <v>0</v>
      </c>
      <c r="T423" s="1069">
        <f>3600-SUM(D423:S423)</f>
        <v>2239.5895</v>
      </c>
      <c r="U423" s="956" t="s">
        <v>3068</v>
      </c>
      <c r="V423" s="1069">
        <f t="shared" ref="V423:AK423" si="85">V429+V435+V441+V447</f>
        <v>47.54</v>
      </c>
      <c r="W423" s="1069">
        <f t="shared" si="85"/>
        <v>0</v>
      </c>
      <c r="X423" s="1069">
        <f t="shared" si="85"/>
        <v>64.5</v>
      </c>
      <c r="Y423" s="1069">
        <f t="shared" si="85"/>
        <v>163.5</v>
      </c>
      <c r="Z423" s="1069">
        <f t="shared" si="85"/>
        <v>0</v>
      </c>
      <c r="AA423" s="1069">
        <f t="shared" si="85"/>
        <v>0</v>
      </c>
      <c r="AB423" s="1069">
        <f t="shared" si="85"/>
        <v>67.792000000000002</v>
      </c>
      <c r="AC423" s="1069">
        <f t="shared" si="85"/>
        <v>96.36</v>
      </c>
      <c r="AD423" s="1069">
        <f t="shared" si="85"/>
        <v>227.04000000000002</v>
      </c>
      <c r="AE423" s="1069">
        <f t="shared" si="85"/>
        <v>325.83999999999997</v>
      </c>
      <c r="AF423" s="1069">
        <f t="shared" si="85"/>
        <v>58.724000000000004</v>
      </c>
      <c r="AG423" s="1069">
        <f t="shared" si="85"/>
        <v>4.9399999999999995</v>
      </c>
      <c r="AH423" s="1069">
        <f t="shared" si="85"/>
        <v>121.50000000000001</v>
      </c>
      <c r="AI423" s="1069">
        <f t="shared" si="85"/>
        <v>0</v>
      </c>
      <c r="AJ423" s="1069">
        <f t="shared" si="85"/>
        <v>30</v>
      </c>
      <c r="AK423" s="1069">
        <f t="shared" si="85"/>
        <v>0</v>
      </c>
      <c r="AL423" s="1069">
        <f>3600-SUM(V423:AK423)</f>
        <v>2392.2640000000001</v>
      </c>
    </row>
    <row r="424" spans="1:38">
      <c r="A424" s="1066"/>
      <c r="B424" s="956" t="s">
        <v>3067</v>
      </c>
      <c r="C424" s="945"/>
      <c r="D424" s="1072">
        <f t="shared" ref="D424:S424" si="86">D430+D436+D442+D448</f>
        <v>170.6</v>
      </c>
      <c r="E424" s="1072">
        <f t="shared" si="86"/>
        <v>112</v>
      </c>
      <c r="F424" s="1072">
        <f t="shared" si="86"/>
        <v>79.2</v>
      </c>
      <c r="G424" s="1072">
        <f t="shared" si="86"/>
        <v>451.99999999999994</v>
      </c>
      <c r="H424" s="1072">
        <f t="shared" si="86"/>
        <v>0</v>
      </c>
      <c r="I424" s="1072">
        <f t="shared" si="86"/>
        <v>0</v>
      </c>
      <c r="J424" s="1072">
        <f t="shared" si="86"/>
        <v>76</v>
      </c>
      <c r="K424" s="1072">
        <f t="shared" si="86"/>
        <v>90.88</v>
      </c>
      <c r="L424" s="1072">
        <f t="shared" si="86"/>
        <v>160.82000000000002</v>
      </c>
      <c r="M424" s="1072">
        <f t="shared" si="86"/>
        <v>151.72</v>
      </c>
      <c r="N424" s="1072">
        <f t="shared" si="86"/>
        <v>28.036000000000001</v>
      </c>
      <c r="O424" s="1072">
        <f t="shared" si="86"/>
        <v>8.74</v>
      </c>
      <c r="P424" s="1072">
        <f t="shared" si="86"/>
        <v>121.50000000000001</v>
      </c>
      <c r="Q424" s="1072">
        <f t="shared" si="86"/>
        <v>0</v>
      </c>
      <c r="R424" s="1072">
        <f t="shared" si="86"/>
        <v>30</v>
      </c>
      <c r="S424" s="1072">
        <f t="shared" si="86"/>
        <v>0</v>
      </c>
      <c r="T424" s="1070">
        <f>3600-SUM(D424:S424)</f>
        <v>2118.5039999999999</v>
      </c>
      <c r="U424" s="956" t="s">
        <v>3067</v>
      </c>
      <c r="V424" s="1072">
        <f t="shared" ref="V424:AK424" si="87">V430+V436+V442+V448</f>
        <v>325.83999999999997</v>
      </c>
      <c r="W424" s="1072">
        <f t="shared" si="87"/>
        <v>0</v>
      </c>
      <c r="X424" s="1072">
        <f t="shared" si="87"/>
        <v>64.5</v>
      </c>
      <c r="Y424" s="1072">
        <f t="shared" si="87"/>
        <v>451.99999999999994</v>
      </c>
      <c r="Z424" s="1072">
        <f t="shared" si="87"/>
        <v>0</v>
      </c>
      <c r="AA424" s="1072">
        <f t="shared" si="87"/>
        <v>0</v>
      </c>
      <c r="AB424" s="1072">
        <f t="shared" si="87"/>
        <v>60.8</v>
      </c>
      <c r="AC424" s="1072">
        <f t="shared" si="87"/>
        <v>184.2</v>
      </c>
      <c r="AD424" s="1072">
        <f t="shared" si="87"/>
        <v>113.52000000000001</v>
      </c>
      <c r="AE424" s="1072">
        <f t="shared" si="87"/>
        <v>32.400000000000006</v>
      </c>
      <c r="AF424" s="1072">
        <f t="shared" si="87"/>
        <v>6.4162000000000008</v>
      </c>
      <c r="AG424" s="1072">
        <f t="shared" si="87"/>
        <v>1.9</v>
      </c>
      <c r="AH424" s="1072">
        <f t="shared" si="87"/>
        <v>234.90000000000003</v>
      </c>
      <c r="AI424" s="1072">
        <f t="shared" si="87"/>
        <v>0</v>
      </c>
      <c r="AJ424" s="1072">
        <f t="shared" si="87"/>
        <v>0</v>
      </c>
      <c r="AK424" s="1072">
        <f t="shared" si="87"/>
        <v>0</v>
      </c>
      <c r="AL424" s="1070">
        <f>3600-SUM(V424:AK424)</f>
        <v>2123.5237999999999</v>
      </c>
    </row>
    <row r="425" spans="1:38">
      <c r="A425" s="1066"/>
      <c r="B425" s="956" t="s">
        <v>3066</v>
      </c>
      <c r="C425" s="945"/>
      <c r="D425" s="1072">
        <f t="shared" ref="D425:S425" si="88">D431+D437+D443+D449</f>
        <v>202.64000000000004</v>
      </c>
      <c r="E425" s="1072">
        <f t="shared" si="88"/>
        <v>0</v>
      </c>
      <c r="F425" s="1072">
        <f t="shared" si="88"/>
        <v>64.5</v>
      </c>
      <c r="G425" s="1072">
        <f t="shared" si="88"/>
        <v>0</v>
      </c>
      <c r="H425" s="1072">
        <f t="shared" si="88"/>
        <v>451.99999999999994</v>
      </c>
      <c r="I425" s="1072">
        <f t="shared" si="88"/>
        <v>0</v>
      </c>
      <c r="J425" s="1072">
        <f t="shared" si="88"/>
        <v>0</v>
      </c>
      <c r="K425" s="1072">
        <f t="shared" si="88"/>
        <v>313</v>
      </c>
      <c r="L425" s="1072">
        <f t="shared" si="88"/>
        <v>47.300000000000004</v>
      </c>
      <c r="M425" s="1072">
        <f t="shared" si="88"/>
        <v>16.200000000000003</v>
      </c>
      <c r="N425" s="1072">
        <f t="shared" si="88"/>
        <v>0.09</v>
      </c>
      <c r="O425" s="1072">
        <f t="shared" si="88"/>
        <v>0</v>
      </c>
      <c r="P425" s="1072">
        <f t="shared" si="88"/>
        <v>241.5</v>
      </c>
      <c r="Q425" s="1072">
        <f t="shared" si="88"/>
        <v>0</v>
      </c>
      <c r="R425" s="1072">
        <f t="shared" si="88"/>
        <v>0</v>
      </c>
      <c r="S425" s="1072">
        <f t="shared" si="88"/>
        <v>0</v>
      </c>
      <c r="T425" s="1070">
        <f>3600-SUM(D425:S425)</f>
        <v>2262.7700000000004</v>
      </c>
      <c r="U425" s="956" t="s">
        <v>3066</v>
      </c>
      <c r="V425" s="1072">
        <f t="shared" ref="V425:AK425" si="89">V431+V437+V443+V449</f>
        <v>99.06</v>
      </c>
      <c r="W425" s="1072">
        <f t="shared" si="89"/>
        <v>0</v>
      </c>
      <c r="X425" s="1072">
        <f t="shared" si="89"/>
        <v>21.5</v>
      </c>
      <c r="Y425" s="1072">
        <f t="shared" si="89"/>
        <v>0</v>
      </c>
      <c r="Z425" s="1072">
        <f t="shared" si="89"/>
        <v>369.2</v>
      </c>
      <c r="AA425" s="1072">
        <f t="shared" si="89"/>
        <v>0</v>
      </c>
      <c r="AB425" s="1072">
        <f t="shared" si="89"/>
        <v>15.2</v>
      </c>
      <c r="AC425" s="1072">
        <f t="shared" si="89"/>
        <v>173.68</v>
      </c>
      <c r="AD425" s="1072">
        <f t="shared" si="89"/>
        <v>93.654000000000011</v>
      </c>
      <c r="AE425" s="1072">
        <f t="shared" si="89"/>
        <v>29.160000000000004</v>
      </c>
      <c r="AF425" s="1072">
        <f t="shared" si="89"/>
        <v>34.020000000000003</v>
      </c>
      <c r="AG425" s="1072">
        <f t="shared" si="89"/>
        <v>5.9280000000000008</v>
      </c>
      <c r="AH425" s="1072">
        <f t="shared" si="89"/>
        <v>210.60000000000002</v>
      </c>
      <c r="AI425" s="1072">
        <f t="shared" si="89"/>
        <v>0</v>
      </c>
      <c r="AJ425" s="1072">
        <f t="shared" si="89"/>
        <v>30</v>
      </c>
      <c r="AK425" s="1072">
        <f t="shared" si="89"/>
        <v>0</v>
      </c>
      <c r="AL425" s="1070">
        <f>3600-SUM(V425:AK425)</f>
        <v>2517.998</v>
      </c>
    </row>
    <row r="426" spans="1:38">
      <c r="A426" s="1066"/>
      <c r="B426" s="956" t="s">
        <v>3065</v>
      </c>
      <c r="C426" s="945"/>
      <c r="D426" s="1072">
        <f t="shared" ref="D426:S426" si="90">D432+D438+D444+D450</f>
        <v>40.800000000000004</v>
      </c>
      <c r="E426" s="1072">
        <f t="shared" si="90"/>
        <v>32</v>
      </c>
      <c r="F426" s="1072">
        <f t="shared" si="90"/>
        <v>64.5</v>
      </c>
      <c r="G426" s="1072">
        <f t="shared" si="90"/>
        <v>319.5</v>
      </c>
      <c r="H426" s="1072">
        <f t="shared" si="90"/>
        <v>0</v>
      </c>
      <c r="I426" s="1072">
        <f t="shared" si="90"/>
        <v>65.8</v>
      </c>
      <c r="J426" s="1072">
        <f t="shared" si="90"/>
        <v>91.2</v>
      </c>
      <c r="K426" s="1072">
        <f t="shared" si="90"/>
        <v>55</v>
      </c>
      <c r="L426" s="1072">
        <f t="shared" si="90"/>
        <v>66.22</v>
      </c>
      <c r="M426" s="1072">
        <f t="shared" si="90"/>
        <v>216.3</v>
      </c>
      <c r="N426" s="1072">
        <f t="shared" si="90"/>
        <v>84.21</v>
      </c>
      <c r="O426" s="1072">
        <f t="shared" si="90"/>
        <v>0</v>
      </c>
      <c r="P426" s="1072">
        <f t="shared" si="90"/>
        <v>218.70000000000002</v>
      </c>
      <c r="Q426" s="1072">
        <f t="shared" si="90"/>
        <v>0</v>
      </c>
      <c r="R426" s="1072">
        <f t="shared" si="90"/>
        <v>0</v>
      </c>
      <c r="S426" s="1072">
        <f t="shared" si="90"/>
        <v>0</v>
      </c>
      <c r="T426" s="1070">
        <f>3600-SUM(D426:S426)</f>
        <v>2345.7699999999995</v>
      </c>
      <c r="U426" s="956" t="s">
        <v>3065</v>
      </c>
      <c r="V426" s="1072">
        <f t="shared" ref="V426:AK426" si="91">V432+V438+V444+V450</f>
        <v>103.8</v>
      </c>
      <c r="W426" s="1072">
        <f t="shared" si="91"/>
        <v>96</v>
      </c>
      <c r="X426" s="1072">
        <f t="shared" si="91"/>
        <v>64.5</v>
      </c>
      <c r="Y426" s="1072">
        <f t="shared" si="91"/>
        <v>0</v>
      </c>
      <c r="Z426" s="1072">
        <f t="shared" si="91"/>
        <v>0</v>
      </c>
      <c r="AA426" s="1072">
        <f t="shared" si="91"/>
        <v>0</v>
      </c>
      <c r="AB426" s="1072">
        <f t="shared" si="91"/>
        <v>0</v>
      </c>
      <c r="AC426" s="1072">
        <f t="shared" si="91"/>
        <v>348.5</v>
      </c>
      <c r="AD426" s="1072">
        <f t="shared" si="91"/>
        <v>23.650000000000002</v>
      </c>
      <c r="AE426" s="1072">
        <f t="shared" si="91"/>
        <v>384</v>
      </c>
      <c r="AF426" s="1072">
        <f t="shared" si="91"/>
        <v>0.21000000000000002</v>
      </c>
      <c r="AG426" s="1072">
        <f t="shared" si="91"/>
        <v>9.5</v>
      </c>
      <c r="AH426" s="1072">
        <f t="shared" si="91"/>
        <v>218.70000000000002</v>
      </c>
      <c r="AI426" s="1072">
        <f t="shared" si="91"/>
        <v>0</v>
      </c>
      <c r="AJ426" s="1072">
        <f t="shared" si="91"/>
        <v>0</v>
      </c>
      <c r="AK426" s="1072">
        <f t="shared" si="91"/>
        <v>0</v>
      </c>
      <c r="AL426" s="1070">
        <f t="shared" ref="AL426" si="92">3600-SUM(V426:AK426)</f>
        <v>2351.1400000000003</v>
      </c>
    </row>
    <row r="427" spans="1:38">
      <c r="A427" s="1066"/>
      <c r="B427" s="1074" t="s">
        <v>3064</v>
      </c>
      <c r="C427" s="1027"/>
      <c r="D427" s="1075">
        <f t="shared" ref="D427:S427" si="93">D433+D439+D445+D451</f>
        <v>269.39999999999998</v>
      </c>
      <c r="E427" s="1075">
        <f t="shared" si="93"/>
        <v>0</v>
      </c>
      <c r="F427" s="1075">
        <f t="shared" si="93"/>
        <v>64.5</v>
      </c>
      <c r="G427" s="1075">
        <f t="shared" si="93"/>
        <v>130.80000000000001</v>
      </c>
      <c r="H427" s="1075">
        <f t="shared" si="93"/>
        <v>156</v>
      </c>
      <c r="I427" s="1075">
        <f t="shared" si="93"/>
        <v>0</v>
      </c>
      <c r="J427" s="1075">
        <f t="shared" si="93"/>
        <v>91.2</v>
      </c>
      <c r="K427" s="1075">
        <f t="shared" si="93"/>
        <v>202.99999999999997</v>
      </c>
      <c r="L427" s="1075">
        <f t="shared" si="93"/>
        <v>75.680000000000007</v>
      </c>
      <c r="M427" s="1075">
        <f t="shared" si="93"/>
        <v>24.3</v>
      </c>
      <c r="N427" s="1075">
        <f t="shared" si="93"/>
        <v>5.0640000000000009</v>
      </c>
      <c r="O427" s="1075">
        <f t="shared" si="93"/>
        <v>0</v>
      </c>
      <c r="P427" s="1075">
        <f t="shared" si="93"/>
        <v>243.00000000000003</v>
      </c>
      <c r="Q427" s="1075">
        <f t="shared" si="93"/>
        <v>0</v>
      </c>
      <c r="R427" s="1075">
        <f t="shared" si="93"/>
        <v>0</v>
      </c>
      <c r="S427" s="1075">
        <f t="shared" si="93"/>
        <v>0</v>
      </c>
      <c r="T427" s="1078">
        <f>3600-SUM(D427:S427)</f>
        <v>2337.0559999999996</v>
      </c>
      <c r="U427" s="1074" t="s">
        <v>3064</v>
      </c>
      <c r="V427" s="1075">
        <f t="shared" ref="V427:AK427" si="94">V433+V439+V445+V451</f>
        <v>180.5</v>
      </c>
      <c r="W427" s="1075">
        <f t="shared" si="94"/>
        <v>0</v>
      </c>
      <c r="X427" s="1075">
        <f t="shared" si="94"/>
        <v>51.6</v>
      </c>
      <c r="Y427" s="1075">
        <f t="shared" si="94"/>
        <v>451.99999999999994</v>
      </c>
      <c r="Z427" s="1075">
        <f t="shared" si="94"/>
        <v>0</v>
      </c>
      <c r="AA427" s="1075">
        <f t="shared" si="94"/>
        <v>0</v>
      </c>
      <c r="AB427" s="1075">
        <f t="shared" si="94"/>
        <v>85.12</v>
      </c>
      <c r="AC427" s="1075">
        <f t="shared" si="94"/>
        <v>324.59999999999997</v>
      </c>
      <c r="AD427" s="1075">
        <f t="shared" si="94"/>
        <v>236.5</v>
      </c>
      <c r="AE427" s="1075">
        <f t="shared" si="94"/>
        <v>64.2</v>
      </c>
      <c r="AF427" s="1075">
        <f t="shared" si="94"/>
        <v>34.507999999999996</v>
      </c>
      <c r="AG427" s="1075">
        <f t="shared" si="94"/>
        <v>0</v>
      </c>
      <c r="AH427" s="1075">
        <f t="shared" si="94"/>
        <v>81</v>
      </c>
      <c r="AI427" s="1075">
        <f t="shared" si="94"/>
        <v>0</v>
      </c>
      <c r="AJ427" s="1075">
        <f t="shared" si="94"/>
        <v>0</v>
      </c>
      <c r="AK427" s="1075">
        <f t="shared" si="94"/>
        <v>0</v>
      </c>
      <c r="AL427" s="1078">
        <f>3600-SUM(V427:AK427)</f>
        <v>2089.9719999999998</v>
      </c>
    </row>
    <row r="428" spans="1:38">
      <c r="A428" s="1066"/>
      <c r="B428" s="956" t="s">
        <v>3571</v>
      </c>
      <c r="C428" s="945"/>
      <c r="D428" s="1269" t="s">
        <v>3140</v>
      </c>
      <c r="E428" s="1083" t="s">
        <v>3069</v>
      </c>
      <c r="F428" s="1083" t="s">
        <v>3077</v>
      </c>
      <c r="G428" s="1083" t="s">
        <v>3073</v>
      </c>
      <c r="H428" s="1083" t="s">
        <v>3070</v>
      </c>
      <c r="I428" s="913" t="s">
        <v>3575</v>
      </c>
      <c r="J428" s="913" t="s">
        <v>3072</v>
      </c>
      <c r="K428" s="1083" t="s">
        <v>3085</v>
      </c>
      <c r="L428" s="1083" t="s">
        <v>3075</v>
      </c>
      <c r="M428" s="1083" t="s">
        <v>3141</v>
      </c>
      <c r="N428" s="1083" t="s">
        <v>3550</v>
      </c>
      <c r="O428" s="1083" t="s">
        <v>3078</v>
      </c>
      <c r="P428" s="1083" t="s">
        <v>3551</v>
      </c>
      <c r="Q428" s="1083" t="s">
        <v>3082</v>
      </c>
      <c r="R428" s="1083" t="s">
        <v>3083</v>
      </c>
      <c r="S428" s="1083" t="s">
        <v>3084</v>
      </c>
      <c r="T428" s="1068"/>
      <c r="U428" s="956" t="s">
        <v>3571</v>
      </c>
      <c r="V428" s="1269" t="s">
        <v>3140</v>
      </c>
      <c r="W428" s="1083" t="s">
        <v>3069</v>
      </c>
      <c r="X428" s="1083" t="s">
        <v>3077</v>
      </c>
      <c r="Y428" s="1083" t="s">
        <v>3073</v>
      </c>
      <c r="Z428" s="1083" t="s">
        <v>3070</v>
      </c>
      <c r="AA428" s="913" t="s">
        <v>3575</v>
      </c>
      <c r="AB428" s="913" t="s">
        <v>3072</v>
      </c>
      <c r="AC428" s="1083" t="s">
        <v>3085</v>
      </c>
      <c r="AD428" s="1083" t="s">
        <v>3075</v>
      </c>
      <c r="AE428" s="1083" t="s">
        <v>3141</v>
      </c>
      <c r="AF428" s="1083" t="s">
        <v>3550</v>
      </c>
      <c r="AG428" s="1083" t="s">
        <v>3078</v>
      </c>
      <c r="AH428" s="1083" t="s">
        <v>3551</v>
      </c>
      <c r="AI428" s="1083" t="s">
        <v>3082</v>
      </c>
      <c r="AJ428" s="1083" t="s">
        <v>3083</v>
      </c>
      <c r="AK428" s="1083" t="s">
        <v>3084</v>
      </c>
      <c r="AL428" s="1068"/>
    </row>
    <row r="429" spans="1:38">
      <c r="A429" s="1066"/>
      <c r="B429" s="956" t="s">
        <v>3068</v>
      </c>
      <c r="C429" s="945"/>
      <c r="D429" s="1069">
        <f>SUMIF(Meal_entry_week_1!G$407:G$426,"Vegetables_mushrooms_fresh_frozen",Meal_entry_week_1!V$407:V$426)</f>
        <v>0</v>
      </c>
      <c r="E429" s="1069">
        <f>SUMIF(Meal_entry_week_1!G$407:G$426,"Vegetables_processed",Meal_entry_week_1!V$407:V$426)</f>
        <v>0</v>
      </c>
      <c r="F429" s="1069">
        <f>SUMIF(Meal_entry_week_1!G$407:G$426,"Fruits_nuts_dried_fruit",Meal_entry_week_1!V$407:V$426)</f>
        <v>0</v>
      </c>
      <c r="G429" s="1069">
        <f>SUMIF(Meal_entry_week_1!G$407:G$426,"Meat_fresh_frozen",Meal_entry_week_1!V$407:V$426)</f>
        <v>0</v>
      </c>
      <c r="H429" s="1069">
        <f>SUMIF(Meal_entry_week_1!G$407:G$426,"Meat_processed",Meal_entry_week_1!V$407:V$426)</f>
        <v>0</v>
      </c>
      <c r="I429" s="1069">
        <f>SUMIF(Meal_entry_week_1!G$407:G$426,"Fish_fresh_frozen",Meal_entry_week_1!V$407:V$426)+SUMIF(Meal_entry_week_1!G$407:G$426,"Fish_processed_canned",Meal_entry_week_1!V$407:V$426)</f>
        <v>0</v>
      </c>
      <c r="J429" s="1069">
        <f>SUMIF(Meal_entry_week_1!G$407:G$426,"Eggs",Meal_entry_week_1!V$407:V$426)</f>
        <v>0</v>
      </c>
      <c r="K429" s="1069">
        <f>SUMIF(Meal_entry_week_1!G$407:G$426,"Dairy_products",Meal_entry_week_1!V$407:V$426)</f>
        <v>0</v>
      </c>
      <c r="L429" s="1069">
        <f>SUMIF(Meal_entry_week_1!G$407:G$426,"Oil_butter_margarine",Meal_entry_week_1!V$407:V$426)</f>
        <v>0</v>
      </c>
      <c r="M429" s="1069">
        <f>SUMIF(Meal_entry_week_1!G$407:G$426,"Flour_pasta_seeds_cereals",Meal_entry_week_1!V$407:V$426)</f>
        <v>0</v>
      </c>
      <c r="N429" s="1069">
        <f>SUMIF(Meal_entry_week_1!G$407:G$426,"Sauces_purees_dressings",Meal_entry_week_1!V$407:V$426)+SUMIF(Meal_entry_week_1!G$407:G$426,"Spices_seasonings",Meal_entry_week_1!V$407:V$426)</f>
        <v>0</v>
      </c>
      <c r="O429" s="1069">
        <f>SUMIF(Meal_entry_week_1!G$407:G$426,"Sweet_foods_cakes",Meal_entry_week_1!V$407:V$426)</f>
        <v>0</v>
      </c>
      <c r="P429" s="1069">
        <f>SUMIF(Meal_entry_week_1!G$407:G$426,"Bread_and_pastries",Meal_entry_week_1!V$407:V$426)+SUMIF(Meal_entry_week_1!G$407:G$426,"Savoury_pastries",Meal_entry_week_1!V$407:V$426)+SUMIF(Meal_entry_week_1!G$407:G$426,"Sweet_pastries",Meal_entry_week_1!V$407:V$426)</f>
        <v>0</v>
      </c>
      <c r="Q429" s="1069">
        <f>SUMIF(Meal_entry_week_1!G$407:G$426,"Other_processed_foods",Meal_entry_week_1!V$407:V$426)</f>
        <v>0</v>
      </c>
      <c r="R429" s="1069">
        <f>SUMIF(Meal_entry_week_1!G$407:G$426,"Sweetened_drinks_teas_coffee",Meal_entry_week_1!V$407:V$426)</f>
        <v>0</v>
      </c>
      <c r="S429" s="1069">
        <f>SUMIF(Meal_entry_week_1!G$407:G$426,"Fruit_juices_water",Meal_entry_week_1!V$407:V$426)</f>
        <v>0</v>
      </c>
      <c r="T429" s="1070">
        <f>1120-SUM(D429:S429)</f>
        <v>1120</v>
      </c>
      <c r="U429" s="956" t="s">
        <v>3068</v>
      </c>
      <c r="V429" s="1069">
        <f>SUMIF(Meal_entry_week_2!G$407:G$426,"Vegetables_mushrooms_fresh_frozen",Meal_entry_week_2!V$407:V$426)</f>
        <v>0</v>
      </c>
      <c r="W429" s="1069">
        <f>SUMIF(Meal_entry_week_2!G$407:G$426,"Vegetables_processed",Meal_entry_week_2!V$407:V$426)</f>
        <v>0</v>
      </c>
      <c r="X429" s="1069">
        <f>SUMIF(Meal_entry_week_2!G$407:G$426,"Fruits_nuts_dried_fruit",Meal_entry_week_2!V$407:V$426)</f>
        <v>0</v>
      </c>
      <c r="Y429" s="1069">
        <f>SUMIF(Meal_entry_week_2!G$407:G$426,"Meat_fresh_frozen",Meal_entry_week_2!V$407:V$426)</f>
        <v>0</v>
      </c>
      <c r="Z429" s="1069">
        <f>SUMIF(Meal_entry_week_2!G$407:G$426,"Meat_processed",Meal_entry_week_2!V$407:V$426)</f>
        <v>0</v>
      </c>
      <c r="AA429" s="1069">
        <f>SUMIF(Meal_entry_week_2!G$407:G$426,"Fish_fresh_frozen",Meal_entry_week_2!V$407:V$426)+SUMIF(Meal_entry_week_2!G$407:G$426,"Fish_processed_canned",Meal_entry_week_2!V$407:V$426)</f>
        <v>0</v>
      </c>
      <c r="AB429" s="1069">
        <f>SUMIF(Meal_entry_week_2!G$407:G$426,"Eggs",Meal_entry_week_2!V$407:V$426)</f>
        <v>0</v>
      </c>
      <c r="AC429" s="1069">
        <f>SUMIF(Meal_entry_week_2!G$407:G$426,"Dairy_products",Meal_entry_week_2!V$407:V$426)</f>
        <v>0</v>
      </c>
      <c r="AD429" s="1069">
        <f>SUMIF(Meal_entry_week_2!G$407:G$426,"Oil_butter_margarine",Meal_entry_week_2!V$407:V$426)</f>
        <v>0</v>
      </c>
      <c r="AE429" s="1069">
        <f>SUMIF(Meal_entry_week_2!G$407:G$426,"Flour_pasta_seeds_cereals",Meal_entry_week_2!V$407:V$426)</f>
        <v>0</v>
      </c>
      <c r="AF429" s="1069">
        <f>SUMIF(Meal_entry_week_2!G$407:G$426,"Sauces_purees_dressings",Meal_entry_week_2!V$407:V$426)+SUMIF(Meal_entry_week_2!G$407:G$426,"Spices_seasonings",Meal_entry_week_2!V$407:V$426)</f>
        <v>0</v>
      </c>
      <c r="AG429" s="1069">
        <f>SUMIF(Meal_entry_week_2!G$407:G$426,"Sweet_foods_cakes",Meal_entry_week_2!V$407:V$426)</f>
        <v>0</v>
      </c>
      <c r="AH429" s="1069">
        <f>SUMIF(Meal_entry_week_2!G$407:G$426,"Bread_and_pastries",Meal_entry_week_2!V$407:V$426)+SUMIF(Meal_entry_week_2!G$407:G$426,"Savoury_pastries",Meal_entry_week_2!V$407:V$426)+SUMIF(Meal_entry_week_2!G$407:G$426,"Sweet_pastries",Meal_entry_week_2!V$407:V$426)</f>
        <v>0</v>
      </c>
      <c r="AI429" s="1069">
        <f>SUMIF(Meal_entry_week_2!G$407:G$426,"Other_processed_foods",Meal_entry_week_2!V$407:V$426)</f>
        <v>0</v>
      </c>
      <c r="AJ429" s="1069">
        <f>SUMIF(Meal_entry_week_2!G$407:G$426,"Sweetened_drinks_teas_coffee",Meal_entry_week_2!V$407:V$426)</f>
        <v>0</v>
      </c>
      <c r="AK429" s="1069">
        <f>SUMIF(Meal_entry_week_2!G$407:G$426,"Fruit_juices_water",Meal_entry_week_2!V$407:V$426)</f>
        <v>0</v>
      </c>
      <c r="AL429" s="1070">
        <f>1120-SUM(D429:S429)</f>
        <v>1120</v>
      </c>
    </row>
    <row r="430" spans="1:38" s="1071" customFormat="1">
      <c r="A430" s="1066"/>
      <c r="B430" s="956" t="s">
        <v>3067</v>
      </c>
      <c r="C430" s="945"/>
      <c r="D430" s="1069">
        <f>SUMIF(Meal_entry_week_1!G$308:G$327,"Vegetables_mushrooms_fresh_frozen",Meal_entry_week_1!V$308:V$327)</f>
        <v>0</v>
      </c>
      <c r="E430" s="1069">
        <f>SUMIF(Meal_entry_week_1!G$308:G$327,"Vegetables_processed",Meal_entry_week_1!V$308:V$327)</f>
        <v>0</v>
      </c>
      <c r="F430" s="1069">
        <f>SUMIF(Meal_entry_week_1!G$308:G$327,"Fruits_nuts_dried_fruit",Meal_entry_week_1!V$308:V$327)</f>
        <v>0</v>
      </c>
      <c r="G430" s="1069">
        <f>SUMIF(Meal_entry_week_1!G$308:G$327,"Meat_fresh_frozen",Meal_entry_week_1!V$308:V$327)</f>
        <v>0</v>
      </c>
      <c r="H430" s="1069">
        <f>SUMIF(Meal_entry_week_1!G$308:G$327,"Meat_processed",Meal_entry_week_1!V$308:V$327)</f>
        <v>0</v>
      </c>
      <c r="I430" s="1069">
        <f>SUMIF(Meal_entry_week_1!G$308:G$327,"Fish_fresh_frozen",Meal_entry_week_1!V$308:V$327)+SUMIF(Meal_entry_week_1!G$308:G$327,"Fish_processed_canned",Meal_entry_week_1!V$308:V$327)</f>
        <v>0</v>
      </c>
      <c r="J430" s="1069">
        <f>SUMIF(Meal_entry_week_1!G$308:G$327,"Eggs",Meal_entry_week_1!V$308:V$327)</f>
        <v>0</v>
      </c>
      <c r="K430" s="1069">
        <f>SUMIF(Meal_entry_week_1!G$308:G$327,"Dairy_products",Meal_entry_week_1!V$308:V$327)</f>
        <v>0</v>
      </c>
      <c r="L430" s="1069">
        <f>SUMIF(Meal_entry_week_1!G$308:G$327,"Oil_butter_margarine",Meal_entry_week_1!V$308:V$327)</f>
        <v>0</v>
      </c>
      <c r="M430" s="1069">
        <f>SUMIF(Meal_entry_week_1!G$308:G$327,"Flour_pasta_seeds_cereals",Meal_entry_week_1!V$308:V$327)</f>
        <v>0</v>
      </c>
      <c r="N430" s="1069">
        <f>SUMIF(Meal_entry_week_1!G$308:G$327,"Sauces_purees_dressings",Meal_entry_week_1!V$308:V$327)+SUMIF(Meal_entry_week_1!G$308:G$327,"Spices_seasonings",Meal_entry_week_1!V$308:V$327)</f>
        <v>0</v>
      </c>
      <c r="O430" s="1069">
        <f>SUMIF(Meal_entry_week_1!G$308:G$327,"Sweet_foods_cakes",Meal_entry_week_1!V$308:V$327)</f>
        <v>0</v>
      </c>
      <c r="P430" s="1069">
        <f>SUMIF(Meal_entry_week_1!G$308:G$327,"Bread_and_pastries",Meal_entry_week_1!V$308:V$327)+SUMIF(Meal_entry_week_1!G$308:G$327,"Savoury_pastries",Meal_entry_week_1!V$308:V$327)+SUMIF(Meal_entry_week_1!G$308:G$327,"Sweet_pastries",Meal_entry_week_1!V$308:V$327)</f>
        <v>0</v>
      </c>
      <c r="Q430" s="1069">
        <f>SUMIF(Meal_entry_week_1!G$308:G$327,"Other_processed_foods",Meal_entry_week_1!V$308:V$327)</f>
        <v>0</v>
      </c>
      <c r="R430" s="1069">
        <f>SUMIF(Meal_entry_week_1!G$308:G$327,"Sweetened_drinks_teas_coffee",Meal_entry_week_1!V$308:V$327)</f>
        <v>0</v>
      </c>
      <c r="S430" s="1069">
        <f>SUMIF(Meal_entry_week_1!G$308:G$327,"Fruit_juices_water",Meal_entry_week_1!V$308:V$327)</f>
        <v>0</v>
      </c>
      <c r="T430" s="1069">
        <f>1120-SUM(D430:S430)</f>
        <v>1120</v>
      </c>
      <c r="U430" s="956" t="s">
        <v>3067</v>
      </c>
      <c r="V430" s="1069">
        <f>SUMIF(Meal_entry_week_2!G$308:G$327,"Vegetables_mushrooms_fresh_frozen",Meal_entry_week_2!V$308:V$327)</f>
        <v>0</v>
      </c>
      <c r="W430" s="1069">
        <f>SUMIF(Meal_entry_week_2!G$308:G$327,"Vegetables_processed",Meal_entry_week_2!V$308:V$327)</f>
        <v>0</v>
      </c>
      <c r="X430" s="1069">
        <f>SUMIF(Meal_entry_week_2!G$308:G$327,"Fruits_nuts_dried_fruit",Meal_entry_week_2!V$308:V$327)</f>
        <v>0</v>
      </c>
      <c r="Y430" s="1069">
        <f>SUMIF(Meal_entry_week_2!G$308:G$327,"Meat_fresh_frozen",Meal_entry_week_2!V$308:V$327)</f>
        <v>0</v>
      </c>
      <c r="Z430" s="1069">
        <f>SUMIF(Meal_entry_week_2!G$308:G$327,"Meat_processed",Meal_entry_week_2!V$308:V$327)</f>
        <v>0</v>
      </c>
      <c r="AA430" s="1069">
        <f>SUMIF(Meal_entry_week_2!G$308:G$327,"Fish_fresh_frozen",Meal_entry_week_2!V$308:V$327)+SUMIF(Meal_entry_week_2!G$308:G$327,"Fish_processed_canned",Meal_entry_week_2!V$308:V$327)</f>
        <v>0</v>
      </c>
      <c r="AB430" s="1069">
        <f>SUMIF(Meal_entry_week_2!G$308:G$327,"Eggs",Meal_entry_week_2!V$308:V$327)</f>
        <v>0</v>
      </c>
      <c r="AC430" s="1069">
        <f>SUMIF(Meal_entry_week_2!G$308:G$327,"Dairy_products",Meal_entry_week_2!V$308:V$327)</f>
        <v>0</v>
      </c>
      <c r="AD430" s="1069">
        <f>SUMIF(Meal_entry_week_2!G$308:G$327,"Oil_butter_margarine",Meal_entry_week_2!V$308:V$327)</f>
        <v>0</v>
      </c>
      <c r="AE430" s="1069">
        <f>SUMIF(Meal_entry_week_2!G$308:G$327,"Flour_pasta_seeds_cereals",Meal_entry_week_2!V$308:V$327)</f>
        <v>0</v>
      </c>
      <c r="AF430" s="1069">
        <f>SUMIF(Meal_entry_week_2!G$308:G$327,"Sauces_purees_dressings",Meal_entry_week_2!V$308:V$327)+SUMIF(Meal_entry_week_2!G$308:G$327,"Spices_seasonings",Meal_entry_week_2!V$308:V$327)</f>
        <v>0</v>
      </c>
      <c r="AG430" s="1069">
        <f>SUMIF(Meal_entry_week_2!G$308:G$327,"Sweet_foods_cakes",Meal_entry_week_2!V$308:V$327)</f>
        <v>0</v>
      </c>
      <c r="AH430" s="1069">
        <f>SUMIF(Meal_entry_week_2!G$308:G$327,"Bread_and_pastries",Meal_entry_week_2!V$308:V$327)+SUMIF(Meal_entry_week_2!G$308:G$327,"Savoury_pastries",Meal_entry_week_2!V$308:V$327)+SUMIF(Meal_entry_week_2!G$308:G$327,"Sweet_pastries",Meal_entry_week_2!V$308:V$327)</f>
        <v>0</v>
      </c>
      <c r="AI430" s="1069">
        <f>SUMIF(Meal_entry_week_2!G$308:G$327,"Other_processed_foods",Meal_entry_week_2!V$308:V$327)</f>
        <v>0</v>
      </c>
      <c r="AJ430" s="1069">
        <f>SUMIF(Meal_entry_week_2!G$308:G$327,"Sweetened_drinks_teas_coffee",Meal_entry_week_2!V$308:V$327)</f>
        <v>0</v>
      </c>
      <c r="AK430" s="1069">
        <f>SUMIF(Meal_entry_week_2!G$308:G$327,"Fruit_juices_water",Meal_entry_week_2!V$308:V$327)</f>
        <v>0</v>
      </c>
      <c r="AL430" s="1069">
        <f>1120-SUM(V430:AK430)</f>
        <v>1120</v>
      </c>
    </row>
    <row r="431" spans="1:38">
      <c r="A431" s="1066"/>
      <c r="B431" s="956" t="s">
        <v>3066</v>
      </c>
      <c r="C431" s="945"/>
      <c r="D431" s="1072">
        <f>SUMIF(Meal_entry_week_1!G$209:G$228,"Vegetables_mushrooms_fresh_frozen",Meal_entry_week_1!V$209:V$228)</f>
        <v>48</v>
      </c>
      <c r="E431" s="1072">
        <f>SUMIF(Meal_entry_week_1!G$209:G$228,"Vegetables_processed",Meal_entry_week_1!V$209:V$228)</f>
        <v>0</v>
      </c>
      <c r="F431" s="1072">
        <f>SUMIF(Meal_entry_week_1!G$209:G$228,"Fruits_nuts_dried_fruit",Meal_entry_week_1!V$209:V$228)</f>
        <v>0</v>
      </c>
      <c r="G431" s="1072">
        <f>SUMIF(Meal_entry_week_1!G$209:G$228,"Meat_fresh_frozen",Meal_entry_week_1!V$209:V$228)</f>
        <v>0</v>
      </c>
      <c r="H431" s="1072">
        <f>SUMIF(Meal_entry_week_1!G$209:G$228,"Meat_processed",Meal_entry_week_1!V$209:V$228)</f>
        <v>0</v>
      </c>
      <c r="I431" s="1072">
        <f>SUMIF(Meal_entry_week_1!G$209:G$228,"Fish_fresh_frozen",Meal_entry_week_1!V$209:V$228)+SUMIF(Meal_entry_week_1!G$209:G$228,"Fish_processed_canned",Meal_entry_week_1!V$209:V$228)</f>
        <v>0</v>
      </c>
      <c r="J431" s="1072">
        <f>SUMIF(Meal_entry_week_1!G$209:G$228,"Eggs",Meal_entry_week_1!V$209:V$228)</f>
        <v>0</v>
      </c>
      <c r="K431" s="1072">
        <f>SUMIF(Meal_entry_week_1!G$209:G$228,"Dairy_products",Meal_entry_week_1!V$209:V$228)</f>
        <v>0</v>
      </c>
      <c r="L431" s="1072">
        <f>SUMIF(Meal_entry_week_1!G$209:G$228,"Oil_butter_margarine",Meal_entry_week_1!V$209:V$228)</f>
        <v>0</v>
      </c>
      <c r="M431" s="1072">
        <f>SUMIF(Meal_entry_week_1!G$209:G$228,"Flour_pasta_seeds_cereals",Meal_entry_week_1!V$209:V$228)</f>
        <v>0</v>
      </c>
      <c r="N431" s="1072">
        <f>SUMIF(Meal_entry_week_1!G$209:G$228,"Sauces_purees_dressings",Meal_entry_week_1!V$209:V$228)+SUMIF(Meal_entry_week_1!G$209:G$228,"Spices_seasonings",Meal_entry_week_1!V$209:V$228)</f>
        <v>0</v>
      </c>
      <c r="O431" s="1072">
        <f>SUMIF(Meal_entry_week_1!G$209:G$228,"Sweet_foods_cakes",Meal_entry_week_1!V$209:V$228)</f>
        <v>0</v>
      </c>
      <c r="P431" s="1072">
        <f>SUMIF(Meal_entry_week_1!G$209:G$228,"Bread_and_pastries",Meal_entry_week_1!V$209:V$228)+SUMIF(Meal_entry_week_1!G$209:G$228,"Savoury_pastries",Meal_entry_week_1!V$209:V$228)+SUMIF(Meal_entry_week_1!G$209:G$228,"Sweet_pastries",Meal_entry_week_1!V$209:V$228)</f>
        <v>0</v>
      </c>
      <c r="Q431" s="1072">
        <f>SUMIF(Meal_entry_week_1!G$209:G$228,"Other_processed_foods",Meal_entry_week_1!V$209:V$228)</f>
        <v>0</v>
      </c>
      <c r="R431" s="1072">
        <f>SUMIF(Meal_entry_week_1!G$209:G$228,"Sweetened_drinks_teas_coffee",Meal_entry_week_1!V$209:V$228)</f>
        <v>0</v>
      </c>
      <c r="S431" s="1072">
        <f>SUMIF(Meal_entry_week_1!G$209:G$228,"Fruit_juices_water",Meal_entry_week_1!V$209:V$228)</f>
        <v>0</v>
      </c>
      <c r="T431" s="1070">
        <f>1120-SUM(D431:S431)</f>
        <v>1072</v>
      </c>
      <c r="U431" s="956" t="s">
        <v>3066</v>
      </c>
      <c r="V431" s="1072">
        <f>SUMIF(Meal_entry_week_2!G$209:G$228,"Vegetables_mushrooms_fresh_frozen",Meal_entry_week_2!V$209:V$228)</f>
        <v>0</v>
      </c>
      <c r="W431" s="1072">
        <f>SUMIF(Meal_entry_week_2!G$209:G$228,"Vegetables_processed",Meal_entry_week_2!V$209:V$228)</f>
        <v>0</v>
      </c>
      <c r="X431" s="1072">
        <f>SUMIF(Meal_entry_week_2!G$209:G$228,"Fruits_nuts_dried_fruit",Meal_entry_week_2!V$209:V$228)</f>
        <v>0</v>
      </c>
      <c r="Y431" s="1072">
        <f>SUMIF(Meal_entry_week_2!G$209:G$228,"Meat_fresh_frozen",Meal_entry_week_2!V$209:V$228)</f>
        <v>0</v>
      </c>
      <c r="Z431" s="1072">
        <f>SUMIF(Meal_entry_week_2!G$209:G$228,"Meat_processed",Meal_entry_week_2!V$209:V$228)</f>
        <v>0</v>
      </c>
      <c r="AA431" s="1072">
        <f>SUMIF(Meal_entry_week_2!G$209:G$228,"Fish_fresh_frozen",Meal_entry_week_2!V$209:V$228)+SUMIF(Meal_entry_week_2!G$209:G$228,"Fish_processed_canned",Meal_entry_week_2!V$209:V$228)</f>
        <v>0</v>
      </c>
      <c r="AB431" s="1072">
        <f>SUMIF(Meal_entry_week_2!G$209:G$228,"Eggs",Meal_entry_week_2!V$209:V$228)</f>
        <v>0</v>
      </c>
      <c r="AC431" s="1072">
        <f>SUMIF(Meal_entry_week_2!G$209:G$228,"Dairy_products",Meal_entry_week_2!V$209:V$228)</f>
        <v>0</v>
      </c>
      <c r="AD431" s="1072">
        <f>SUMIF(Meal_entry_week_2!G$209:G$228,"Oil_butter_margarine",Meal_entry_week_2!V$209:V$228)</f>
        <v>0</v>
      </c>
      <c r="AE431" s="1072">
        <f>SUMIF(Meal_entry_week_2!G$209:G$228,"Flour_pasta_seeds_cereals",Meal_entry_week_2!V$209:V$228)</f>
        <v>0</v>
      </c>
      <c r="AF431" s="1072">
        <f>SUMIF(Meal_entry_week_2!G$209:G$228,"Sauces_purees_dressings",Meal_entry_week_2!V$209:V$228)+SUMIF(Meal_entry_week_2!G$209:G$228,"Spices_seasonings",Meal_entry_week_2!V$209:V$228)</f>
        <v>0</v>
      </c>
      <c r="AG431" s="1072">
        <f>SUMIF(Meal_entry_week_2!G$209:G$228,"Sweet_foods_cakes",Meal_entry_week_2!V$209:V$228)</f>
        <v>0</v>
      </c>
      <c r="AH431" s="1072">
        <f>SUMIF(Meal_entry_week_2!G$209:G$228,"Bread_and_pastries",Meal_entry_week_2!V$209:V$228)+SUMIF(Meal_entry_week_2!G$209:G$228,"Savoury_pastries",Meal_entry_week_2!V$209:V$228)+SUMIF(Meal_entry_week_2!G$209:G$228,"Sweet_pastries",Meal_entry_week_2!V$209:V$228)</f>
        <v>0</v>
      </c>
      <c r="AI431" s="1072">
        <f>SUMIF(Meal_entry_week_2!G$209:G$228,"Other_processed_foods",Meal_entry_week_2!V$209:V$228)</f>
        <v>0</v>
      </c>
      <c r="AJ431" s="1072">
        <f>SUMIF(Meal_entry_week_2!G$209:G$228,"Sweetened_drinks_teas_coffee",Meal_entry_week_2!V$209:V$228)</f>
        <v>0</v>
      </c>
      <c r="AK431" s="1072">
        <f>SUMIF(Meal_entry_week_2!G$209:G$228,"Fruit_juices_water",Meal_entry_week_2!V$209:V$228)</f>
        <v>0</v>
      </c>
      <c r="AL431" s="1070">
        <f>1120-SUM(V431:AK431)</f>
        <v>1120</v>
      </c>
    </row>
    <row r="432" spans="1:38">
      <c r="A432" s="1066"/>
      <c r="B432" s="956" t="s">
        <v>3065</v>
      </c>
      <c r="C432" s="945"/>
      <c r="D432" s="1072">
        <f>SUMIF(Meal_entry_week_1!G$110:G$129,"Vegetables_mushrooms_fresh_frozen",Meal_entry_week_1!V$110:V$129)</f>
        <v>0</v>
      </c>
      <c r="E432" s="1072">
        <f>SUMIF(Meal_entry_week_1!G$110:G$129,"Vegetables_processed",Meal_entry_week_1!V$110:V$129)</f>
        <v>0</v>
      </c>
      <c r="F432" s="1072">
        <f>SUMIF(Meal_entry_week_1!G$110:G$129,"Fruits_nuts_dried_fruit",Meal_entry_week_1!V$110:V$129)</f>
        <v>0</v>
      </c>
      <c r="G432" s="1072">
        <f>SUMIF(Meal_entry_week_1!G$110:G$129,"Meat_fresh_frozen",Meal_entry_week_1!V$110:V$129)</f>
        <v>0</v>
      </c>
      <c r="H432" s="1072">
        <f>SUMIF(Meal_entry_week_1!G$110:G$129,"Meat_processed",Meal_entry_week_1!V$110:V$129)</f>
        <v>0</v>
      </c>
      <c r="I432" s="1072">
        <f>SUMIF(Meal_entry_week_1!G$110:G$129,"Fish_fresh_frozen",Meal_entry_week_1!V$110:V$129)+SUMIF(Meal_entry_week_1!G$110:G$129,"Fish_processed_canned",Meal_entry_week_1!V$110:V$129)</f>
        <v>0</v>
      </c>
      <c r="J432" s="1072">
        <f>SUMIF(Meal_entry_week_1!G$110:G$129,"Eggs",Meal_entry_week_1!V$110:V$129)</f>
        <v>0</v>
      </c>
      <c r="K432" s="1072">
        <f>SUMIF(Meal_entry_week_1!G$110:G$129,"Dairy_products",Meal_entry_week_1!V$110:V$129)</f>
        <v>0</v>
      </c>
      <c r="L432" s="1072">
        <f>SUMIF(Meal_entry_week_1!G$110:G$129,"Oil_butter_margarine",Meal_entry_week_1!V$110:V$129)</f>
        <v>0</v>
      </c>
      <c r="M432" s="1072">
        <f>SUMIF(Meal_entry_week_1!G$110:G$129,"Flour_pasta_seeds_cereals",Meal_entry_week_1!V$110:V$129)</f>
        <v>0</v>
      </c>
      <c r="N432" s="1072">
        <f>SUMIF(Meal_entry_week_1!G$110:G$129,"Sauces_purees_dressings",Meal_entry_week_1!V$110:V$129)+SUMIF(Meal_entry_week_1!G$110:G$129,"Spices_seasonings",Meal_entry_week_1!V$110:V$129)</f>
        <v>0</v>
      </c>
      <c r="O432" s="1072">
        <f>SUMIF(Meal_entry_week_1!G$110:G$129,"Sweet_foods_cakes",Meal_entry_week_1!V$110:V$129)</f>
        <v>0</v>
      </c>
      <c r="P432" s="1072">
        <f>SUMIF(Meal_entry_week_1!G$110:G$129,"Bread_and_pastries",Meal_entry_week_1!V$110:V$129)+SUMIF(Meal_entry_week_1!G$110:G$129,"Savoury_pastries",Meal_entry_week_1!V$110:V$129)+SUMIF(Meal_entry_week_1!G$110:G$129,"Sweet_pastries",Meal_entry_week_1!V$110:V$129)</f>
        <v>0</v>
      </c>
      <c r="Q432" s="1072">
        <f>SUMIF(Meal_entry_week_1!G$110:G$129,"Other_processed_foods",Meal_entry_week_1!V$110:V$129)</f>
        <v>0</v>
      </c>
      <c r="R432" s="1072">
        <f>SUMIF(Meal_entry_week_1!G$110:G$129,"Sweetened_drinks_teas_coffee",Meal_entry_week_1!V$110:V$129)</f>
        <v>0</v>
      </c>
      <c r="S432" s="1072">
        <f>SUMIF(Meal_entry_week_1!G$110:G$129,"Fruit_juices_water",Meal_entry_week_1!V$110:V$129)</f>
        <v>0</v>
      </c>
      <c r="T432" s="1070">
        <f>1120-SUM(D432:S432)</f>
        <v>1120</v>
      </c>
      <c r="U432" s="956" t="s">
        <v>3065</v>
      </c>
      <c r="V432" s="1072">
        <f>SUMIF(Meal_entry_week_2!G$110:G$129,"Vegetables_mushrooms_fresh_frozen",Meal_entry_week_2!V$110:V$129)</f>
        <v>0</v>
      </c>
      <c r="W432" s="1072">
        <f>SUMIF(Meal_entry_week_2!G$110:G$129,"Vegetables_processed",Meal_entry_week_2!V$110:V$129)</f>
        <v>0</v>
      </c>
      <c r="X432" s="1072">
        <f>SUMIF(Meal_entry_week_2!G$110:G$129,"Fruits_nuts_dried_fruit",Meal_entry_week_2!V$110:V$129)</f>
        <v>0</v>
      </c>
      <c r="Y432" s="1072">
        <f>SUMIF(Meal_entry_week_2!G$110:G$129,"Meat_fresh_frozen",Meal_entry_week_2!V$110:V$129)</f>
        <v>0</v>
      </c>
      <c r="Z432" s="1072">
        <f>SUMIF(Meal_entry_week_2!G$110:G$129,"Meat_processed",Meal_entry_week_2!V$110:V$129)</f>
        <v>0</v>
      </c>
      <c r="AA432" s="1072">
        <f>SUMIF(Meal_entry_week_2!G$110:G$129,"Fish_fresh_frozen",Meal_entry_week_2!V$110:V$129)+SUMIF(Meal_entry_week_2!G$110:G$129,"Fish_processed_canned",Meal_entry_week_2!V$110:V$129)</f>
        <v>0</v>
      </c>
      <c r="AB432" s="1072">
        <f>SUMIF(Meal_entry_week_2!G$110:G$129,"Eggs",Meal_entry_week_2!V$110:V$129)</f>
        <v>0</v>
      </c>
      <c r="AC432" s="1072">
        <f>SUMIF(Meal_entry_week_2!G$110:G$129,"Dairy_products",Meal_entry_week_2!V$110:V$129)</f>
        <v>0</v>
      </c>
      <c r="AD432" s="1072">
        <f>SUMIF(Meal_entry_week_2!G$110:G$129,"Oil_butter_margarine",Meal_entry_week_2!V$110:V$129)</f>
        <v>0</v>
      </c>
      <c r="AE432" s="1072">
        <f>SUMIF(Meal_entry_week_2!G$110:G$129,"Flour_pasta_seeds_cereals",Meal_entry_week_2!V$110:V$129)</f>
        <v>0</v>
      </c>
      <c r="AF432" s="1072">
        <f>SUMIF(Meal_entry_week_2!G$110:G$129,"Sauces_purees_dressings",Meal_entry_week_2!V$110:V$129)+SUMIF(Meal_entry_week_2!G$110:G$129,"Spices_seasonings",Meal_entry_week_2!V$110:V$129)</f>
        <v>0</v>
      </c>
      <c r="AG432" s="1072">
        <f>SUMIF(Meal_entry_week_2!G$110:G$129,"Sweet_foods_cakes",Meal_entry_week_2!V$110:V$129)</f>
        <v>0</v>
      </c>
      <c r="AH432" s="1072">
        <f>SUMIF(Meal_entry_week_2!G$110:G$129,"Bread_and_pastries",Meal_entry_week_2!V$110:V$129)+SUMIF(Meal_entry_week_2!G$110:G$129,"Savoury_pastries",Meal_entry_week_2!V$110:V$129)+SUMIF(Meal_entry_week_2!G$110:G$129,"Sweet_pastries",Meal_entry_week_2!V$110:V$129)</f>
        <v>0</v>
      </c>
      <c r="AI432" s="1072">
        <f>SUMIF(Meal_entry_week_2!G$110:G$129,"Other_processed_foods",Meal_entry_week_2!V$110:V$129)</f>
        <v>0</v>
      </c>
      <c r="AJ432" s="1072">
        <f>SUMIF(Meal_entry_week_2!G$110:G$129,"Sweetened_drinks_teas_coffee",Meal_entry_week_2!V$110:V$129)</f>
        <v>0</v>
      </c>
      <c r="AK432" s="1072">
        <f>SUMIF(Meal_entry_week_2!G$110:G$129,"Fruit_juices_water",Meal_entry_week_2!V$110:V$129)</f>
        <v>0</v>
      </c>
      <c r="AL432" s="1070">
        <f>1120-SUM(V432:AK432)</f>
        <v>1120</v>
      </c>
    </row>
    <row r="433" spans="1:38">
      <c r="A433" s="1066"/>
      <c r="B433" s="1074" t="s">
        <v>3064</v>
      </c>
      <c r="C433" s="1027"/>
      <c r="D433" s="1075">
        <f>SUMIF(Meal_entry_week_1!G$11:G$30,"Vegetables_mushrooms_fresh_frozen",Meal_entry_week_1!V$11:V$30)</f>
        <v>0</v>
      </c>
      <c r="E433" s="1075">
        <f>SUMIF(Meal_entry_week_1!G$11:G$30,"Vegetables_processed",Meal_entry_week_1!V$11:V$30)</f>
        <v>0</v>
      </c>
      <c r="F433" s="1075">
        <f>SUMIF(Meal_entry_week_1!G$11:G$30,"Fruits_nuts_dried_fruit",Meal_entry_week_1!V$11:V$30)</f>
        <v>0</v>
      </c>
      <c r="G433" s="1075">
        <f>SUMIF(Meal_entry_week_1!G$11:G$30,"Meat_fresh_frozen",Meal_entry_week_1!V$11:V$30)</f>
        <v>0</v>
      </c>
      <c r="H433" s="1075">
        <f>SUMIF(Meal_entry_week_1!G$11:G$30,"Meat_processed",Meal_entry_week_1!V$11:V$30)</f>
        <v>0</v>
      </c>
      <c r="I433" s="1075">
        <f>SUMIF(Meal_entry_week_1!G$11:G$30,"Fish_fresh_frozen",Meal_entry_week_1!V$11:V$30)+SUMIF(Meal_entry_week_1!G$11:G$30,"Fish_processed_canned",Meal_entry_week_1!V$11:V$30)</f>
        <v>0</v>
      </c>
      <c r="J433" s="1075">
        <f>SUMIF(Meal_entry_week_1!G$11:G$30,"Eggs",Meal_entry_week_1!V$11:V$30)</f>
        <v>0</v>
      </c>
      <c r="K433" s="1075">
        <f>SUMIF(Meal_entry_week_1!G$11:G$30,"Dairy_products",Meal_entry_week_1!V$11:V$30)</f>
        <v>0</v>
      </c>
      <c r="L433" s="1075">
        <f>SUMIF(Meal_entry_week_1!G$11:G$30,"Oil_butter_margarine",Meal_entry_week_1!V$11:V$30)</f>
        <v>0</v>
      </c>
      <c r="M433" s="1075">
        <f>SUMIF(Meal_entry_week_1!G$11:G$30,"Flour_pasta_seeds_cereals",Meal_entry_week_1!V$11:V$30)</f>
        <v>0</v>
      </c>
      <c r="N433" s="1075">
        <f>SUMIF(Meal_entry_week_1!G$11:G$30,"Sauces_purees_dressings",Meal_entry_week_1!V$11:V$30)+SUMIF(Meal_entry_week_1!G$11:G$30,"Spices_seasonings",Meal_entry_week_1!V$11:V$30)</f>
        <v>0</v>
      </c>
      <c r="O433" s="1075">
        <f>SUMIF(Meal_entry_week_1!G$11:G$30,"Sweet_foods_cakes",Meal_entry_week_1!V$11:V$30)</f>
        <v>0</v>
      </c>
      <c r="P433" s="1075">
        <f>SUMIF(Meal_entry_week_1!G$11:G$30,"Bread_and_pastries",Meal_entry_week_1!V$11:V$30)+SUMIF(Meal_entry_week_1!G$11:G$30,"Savoury_pastries",Meal_entry_week_1!V$11:V$30)+SUMIF(Meal_entry_week_1!G$11:G$30,"Sweet_pastries",Meal_entry_week_1!V$11:V$30)</f>
        <v>0</v>
      </c>
      <c r="Q433" s="1075">
        <f>SUMIF(Meal_entry_week_1!G$11:G$30,"Other_processed_foods",Meal_entry_week_1!V$11:V$30)</f>
        <v>0</v>
      </c>
      <c r="R433" s="1075">
        <f>SUMIF(Meal_entry_week_1!G$11:G$30,"Sweetened_drinks_teas_coffee",Meal_entry_week_1!V$11:V$30)</f>
        <v>0</v>
      </c>
      <c r="S433" s="1075">
        <f>SUMIF(Meal_entry_week_1!G$11:G$30,"Fruit_juices_water",Meal_entry_week_1!V$11:V$30)</f>
        <v>0</v>
      </c>
      <c r="T433" s="1078">
        <f>1120-SUM(D433:S433)</f>
        <v>1120</v>
      </c>
      <c r="U433" s="1074" t="s">
        <v>3064</v>
      </c>
      <c r="V433" s="1075">
        <f>SUMIF(Meal_entry_week_2!G$11:G$30,"Vegetables_mushrooms_fresh_frozen",Meal_entry_week_2!V$11:V$30)</f>
        <v>0</v>
      </c>
      <c r="W433" s="1075">
        <f>SUMIF(Meal_entry_week_2!G$11:G$30,"Vegetables_processed",Meal_entry_week_2!V$11:V$30)</f>
        <v>0</v>
      </c>
      <c r="X433" s="1075">
        <f>SUMIF(Meal_entry_week_2!G$11:G$30,"Fruits_nuts_dried_fruit",Meal_entry_week_2!V$11:V$30)</f>
        <v>0</v>
      </c>
      <c r="Y433" s="1075">
        <f>SUMIF(Meal_entry_week_2!G$11:G$30,"Meat_fresh_frozen",Meal_entry_week_2!V$11:V$30)</f>
        <v>0</v>
      </c>
      <c r="Z433" s="1075">
        <f>SUMIF(Meal_entry_week_2!G$11:G$30,"Meat_processed",Meal_entry_week_2!V$11:V$30)</f>
        <v>0</v>
      </c>
      <c r="AA433" s="1075">
        <f>SUMIF(Meal_entry_week_2!G$11:G$30,"Fish_fresh_frozen",Meal_entry_week_2!V$11:V$30)+SUMIF(Meal_entry_week_2!G$11:G$30,"Fish_processed_canned",Meal_entry_week_2!V$11:V$30)</f>
        <v>0</v>
      </c>
      <c r="AB433" s="1075">
        <f>SUMIF(Meal_entry_week_2!G$11:G$30,"Eggs",Meal_entry_week_2!V$11:V$30)</f>
        <v>0</v>
      </c>
      <c r="AC433" s="1075">
        <f>SUMIF(Meal_entry_week_2!G$11:G$30,"Dairy_products",Meal_entry_week_2!V$11:V$30)</f>
        <v>0</v>
      </c>
      <c r="AD433" s="1075">
        <f>SUMIF(Meal_entry_week_2!G$11:G$30,"Oil_butter_margarine",Meal_entry_week_2!V$11:V$30)</f>
        <v>0</v>
      </c>
      <c r="AE433" s="1075">
        <f>SUMIF(Meal_entry_week_2!G$11:G$30,"Flour_pasta_seeds_cereals",Meal_entry_week_2!V$11:V$30)</f>
        <v>0</v>
      </c>
      <c r="AF433" s="1075">
        <f>SUMIF(Meal_entry_week_2!G$11:G$30,"Sauces_purees_dressings",Meal_entry_week_2!V$11:V$30)+SUMIF(Meal_entry_week_2!G$11:G$30,"Spices_seasonings",Meal_entry_week_2!V$11:V$30)</f>
        <v>0</v>
      </c>
      <c r="AG433" s="1075">
        <f>SUMIF(Meal_entry_week_2!G$11:G$30,"Sweet_foods_cakes",Meal_entry_week_2!V$11:V$30)</f>
        <v>0</v>
      </c>
      <c r="AH433" s="1075">
        <f>SUMIF(Meal_entry_week_2!G$11:G$30,"Bread_and_pastries",Meal_entry_week_2!V$11:V$30)+SUMIF(Meal_entry_week_2!G$11:G$30,"Savoury_pastries",Meal_entry_week_2!V$11:V$30)+SUMIF(Meal_entry_week_2!G$11:G$30,"Sweet_pastries",Meal_entry_week_2!V$11:V$30)</f>
        <v>0</v>
      </c>
      <c r="AI433" s="1075">
        <f>SUMIF(Meal_entry_week_2!G$11:G$30,"Other_processed_foods",Meal_entry_week_2!V$11:V$30)</f>
        <v>0</v>
      </c>
      <c r="AJ433" s="1075">
        <f>SUMIF(Meal_entry_week_2!G$11:G$30,"Sweetened_drinks_teas_coffee",Meal_entry_week_2!V$11:V$30)</f>
        <v>0</v>
      </c>
      <c r="AK433" s="1075">
        <f>SUMIF(Meal_entry_week_2!G$11:G$30,"Fruit_juices_water",Meal_entry_week_2!V$11:V$30)</f>
        <v>0</v>
      </c>
      <c r="AL433" s="1078">
        <f>1120-SUM(V433:AK433)</f>
        <v>1120</v>
      </c>
    </row>
    <row r="434" spans="1:38">
      <c r="A434" s="1066"/>
      <c r="B434" s="956" t="s">
        <v>3572</v>
      </c>
      <c r="C434" s="945"/>
      <c r="D434" s="1269" t="s">
        <v>3140</v>
      </c>
      <c r="E434" s="1083" t="s">
        <v>3069</v>
      </c>
      <c r="F434" s="1083" t="s">
        <v>3077</v>
      </c>
      <c r="G434" s="1083" t="s">
        <v>3073</v>
      </c>
      <c r="H434" s="1083" t="s">
        <v>3070</v>
      </c>
      <c r="I434" s="913" t="s">
        <v>3575</v>
      </c>
      <c r="J434" s="913" t="s">
        <v>3072</v>
      </c>
      <c r="K434" s="1083" t="s">
        <v>3085</v>
      </c>
      <c r="L434" s="1083" t="s">
        <v>3075</v>
      </c>
      <c r="M434" s="1083" t="s">
        <v>3141</v>
      </c>
      <c r="N434" s="1083" t="s">
        <v>3550</v>
      </c>
      <c r="O434" s="1083" t="s">
        <v>3078</v>
      </c>
      <c r="P434" s="1083" t="s">
        <v>3551</v>
      </c>
      <c r="Q434" s="1083" t="s">
        <v>3082</v>
      </c>
      <c r="R434" s="1083" t="s">
        <v>3083</v>
      </c>
      <c r="S434" s="1083" t="s">
        <v>3084</v>
      </c>
      <c r="T434" s="1068"/>
      <c r="U434" s="956" t="s">
        <v>3572</v>
      </c>
      <c r="V434" s="1269" t="s">
        <v>3140</v>
      </c>
      <c r="W434" s="1083" t="s">
        <v>3069</v>
      </c>
      <c r="X434" s="1083" t="s">
        <v>3077</v>
      </c>
      <c r="Y434" s="1083" t="s">
        <v>3073</v>
      </c>
      <c r="Z434" s="1083" t="s">
        <v>3070</v>
      </c>
      <c r="AA434" s="913" t="s">
        <v>3575</v>
      </c>
      <c r="AB434" s="913" t="s">
        <v>3072</v>
      </c>
      <c r="AC434" s="1083" t="s">
        <v>3085</v>
      </c>
      <c r="AD434" s="1083" t="s">
        <v>3075</v>
      </c>
      <c r="AE434" s="1083" t="s">
        <v>3141</v>
      </c>
      <c r="AF434" s="1083" t="s">
        <v>3550</v>
      </c>
      <c r="AG434" s="1083" t="s">
        <v>3078</v>
      </c>
      <c r="AH434" s="1083" t="s">
        <v>3551</v>
      </c>
      <c r="AI434" s="1083" t="s">
        <v>3082</v>
      </c>
      <c r="AJ434" s="1083" t="s">
        <v>3083</v>
      </c>
      <c r="AK434" s="1083" t="s">
        <v>3084</v>
      </c>
      <c r="AL434" s="1068"/>
    </row>
    <row r="435" spans="1:38">
      <c r="A435" s="1066"/>
      <c r="B435" s="956" t="s">
        <v>3068</v>
      </c>
      <c r="C435" s="945"/>
      <c r="D435" s="1069">
        <f>SUMIF(Meal_entry_week_1!G$434:G$445,"Vegetables_mushrooms_fresh_frozen",Meal_entry_week_1!V$434:V$445)</f>
        <v>0</v>
      </c>
      <c r="E435" s="1069">
        <f>SUMIF(Meal_entry_week_1!G$434:G$445,"Vegetables_processed",Meal_entry_week_1!V$434:V$445)</f>
        <v>0</v>
      </c>
      <c r="F435" s="1069">
        <f>SUMIF(Meal_entry_week_1!G$434:G$445,"Fruits_nuts_dried_fruit",Meal_entry_week_1!V$434:V$445)</f>
        <v>0</v>
      </c>
      <c r="G435" s="1069">
        <f>SUMIF(Meal_entry_week_1!G$434:G$445,"Meat_fresh_frozen",Meal_entry_week_1!V$434:V$445)</f>
        <v>0</v>
      </c>
      <c r="H435" s="1069">
        <f>SUMIF(Meal_entry_week_1!G$434:G$445,"Meat_processed",Meal_entry_week_1!V$434:V$445)</f>
        <v>0</v>
      </c>
      <c r="I435" s="1069">
        <f>SUMIF(Meal_entry_week_1!G$434:G$445,"Fish_fresh_frozen",Meal_entry_week_1!V$434:V$445)+SUMIF(Meal_entry_week_1!G$434:G$445,"Fish_processed_canned",Meal_entry_week_1!V$434:V$445)</f>
        <v>0</v>
      </c>
      <c r="J435" s="1069">
        <f>SUMIF(Meal_entry_week_1!G$434:G$445,"Eggs",Meal_entry_week_1!V$434:V$445)</f>
        <v>0</v>
      </c>
      <c r="K435" s="1069">
        <f>SUMIF(Meal_entry_week_1!G$434:G$445,"Dairy_products",Meal_entry_week_1!V$434:V$445)</f>
        <v>202.99999999999997</v>
      </c>
      <c r="L435" s="1069">
        <f>SUMIF(Meal_entry_week_1!G$434:G$445,"Oil_butter_margarine",Meal_entry_week_1!V$434:V$445)</f>
        <v>0</v>
      </c>
      <c r="M435" s="1069">
        <f>SUMIF(Meal_entry_week_1!G$434:G$445,"Flour_pasta_seeds_cereals",Meal_entry_week_1!V$434:V$445)</f>
        <v>0</v>
      </c>
      <c r="N435" s="1069">
        <f>SUMIF(Meal_entry_week_1!G$434:G$445,"Sauces_purees_dressings",Meal_entry_week_1!V$434:V$445)+SUMIF(Meal_entry_week_1!G$434:G$445,"Spices_seasonings",Meal_entry_week_1!V$434:V$445)</f>
        <v>0</v>
      </c>
      <c r="O435" s="1069">
        <f>SUMIF(Meal_entry_week_1!G$434:G$445,"Sweet_foods_cakes",Meal_entry_week_1!V$434:V$445)</f>
        <v>0</v>
      </c>
      <c r="P435" s="1069">
        <f>SUMIF(Meal_entry_week_1!G$434:G$445,"Bread_and_pastries",Meal_entry_week_1!V$434:V$445)+SUMIF(Meal_entry_week_1!G$434:G$445,"Savoury_pastries",Meal_entry_week_1!V$434:V$445)+SUMIF(Meal_entry_week_1!G$434:G$445,"Sweet_pastries",Meal_entry_week_1!V$434:V$445)</f>
        <v>113.4</v>
      </c>
      <c r="Q435" s="1069">
        <f>SUMIF(Meal_entry_week_1!G$434:G$445,"Other_processed_foods",Meal_entry_week_1!V$434:V$445)</f>
        <v>0</v>
      </c>
      <c r="R435" s="1069">
        <f>SUMIF(Meal_entry_week_1!G$434:G$445,"Sweetened_drinks_teas_coffee",Meal_entry_week_1!V$434:V$445)</f>
        <v>0</v>
      </c>
      <c r="S435" s="1069">
        <f>SUMIF(Meal_entry_week_1!G$434:G$445,"Fruit_juices_water",Meal_entry_week_1!V$434:V$445)</f>
        <v>0</v>
      </c>
      <c r="T435" s="1070">
        <f>1120-SUM(D435:S435)</f>
        <v>803.6</v>
      </c>
      <c r="U435" s="956" t="s">
        <v>3068</v>
      </c>
      <c r="V435" s="1069">
        <f>SUMIF(Meal_entry_week_2!G$434:G$445,"Vegetables_mushrooms_fresh_frozen",Meal_entry_week_2!V$434:V$445)</f>
        <v>0</v>
      </c>
      <c r="W435" s="1069">
        <f>SUMIF(Meal_entry_week_2!G$434:G$445,"Vegetables_processed",Meal_entry_week_2!V$434:V$445)</f>
        <v>0</v>
      </c>
      <c r="X435" s="1069">
        <f>SUMIF(Meal_entry_week_2!G$434:G$445,"Fruits_nuts_dried_fruit",Meal_entry_week_2!V$434:V$445)</f>
        <v>0</v>
      </c>
      <c r="Y435" s="1069">
        <f>SUMIF(Meal_entry_week_2!G$434:G$445,"Meat_fresh_frozen",Meal_entry_week_2!V$434:V$445)</f>
        <v>0</v>
      </c>
      <c r="Z435" s="1069">
        <f>SUMIF(Meal_entry_week_2!G$434:G$445,"Meat_processed",Meal_entry_week_2!V$434:V$445)</f>
        <v>0</v>
      </c>
      <c r="AA435" s="1069">
        <f>SUMIF(Meal_entry_week_2!G$434:G$445,"Fish_fresh_frozen",Meal_entry_week_2!V$434:V$445)+SUMIF(Meal_entry_week_2!G$434:G$445,"Fish_processed_canned",Meal_entry_week_2!V$434:V$445)</f>
        <v>0</v>
      </c>
      <c r="AB435" s="1069">
        <f>SUMIF(Meal_entry_week_2!G$434:G$445,"Eggs",Meal_entry_week_2!V$434:V$445)</f>
        <v>6.9919999999999991</v>
      </c>
      <c r="AC435" s="1069">
        <f>SUMIF(Meal_entry_week_2!G$434:G$445,"Dairy_products",Meal_entry_week_2!V$434:V$445)</f>
        <v>23.36</v>
      </c>
      <c r="AD435" s="1069">
        <f>SUMIF(Meal_entry_week_2!G$434:G$445,"Oil_butter_margarine",Meal_entry_week_2!V$434:V$445)</f>
        <v>146.63000000000002</v>
      </c>
      <c r="AE435" s="1069">
        <f>SUMIF(Meal_entry_week_2!G$434:G$445,"Flour_pasta_seeds_cereals",Meal_entry_week_2!V$434:V$445)</f>
        <v>76.14</v>
      </c>
      <c r="AF435" s="1069">
        <f>SUMIF(Meal_entry_week_2!G$434:G$445,"Sauces_purees_dressings",Meal_entry_week_2!V$434:V$445)+SUMIF(Meal_entry_week_2!G$434:G$445,"Spices_seasonings",Meal_entry_week_2!V$434:V$445)</f>
        <v>11.04</v>
      </c>
      <c r="AG435" s="1069">
        <f>SUMIF(Meal_entry_week_2!G$434:G$445,"Sweet_foods_cakes",Meal_entry_week_2!V$434:V$445)</f>
        <v>4.9399999999999995</v>
      </c>
      <c r="AH435" s="1069">
        <f>SUMIF(Meal_entry_week_2!G$434:G$445,"Bread_and_pastries",Meal_entry_week_2!V$434:V$445)+SUMIF(Meal_entry_week_2!G$434:G$445,"Savoury_pastries",Meal_entry_week_2!V$434:V$445)+SUMIF(Meal_entry_week_2!G$434:G$445,"Sweet_pastries",Meal_entry_week_2!V$434:V$445)</f>
        <v>0</v>
      </c>
      <c r="AI435" s="1069">
        <f>SUMIF(Meal_entry_week_2!G$434:G$445,"Other_processed_foods",Meal_entry_week_2!V$434:V$445)</f>
        <v>0</v>
      </c>
      <c r="AJ435" s="1069">
        <f>SUMIF(Meal_entry_week_2!G$434:G$445,"Sweetened_drinks_teas_coffee",Meal_entry_week_2!V$434:V$445)</f>
        <v>30</v>
      </c>
      <c r="AK435" s="1069">
        <f>SUMIF(Meal_entry_week_2!G$434:G$445,"Fruit_juices_water",Meal_entry_week_2!V$434:V$445)</f>
        <v>0</v>
      </c>
      <c r="AL435" s="1070">
        <f>1120-SUM(V435:AK435)</f>
        <v>820.89799999999991</v>
      </c>
    </row>
    <row r="436" spans="1:38" s="1071" customFormat="1">
      <c r="A436" s="1066"/>
      <c r="B436" s="956" t="s">
        <v>3067</v>
      </c>
      <c r="C436" s="945"/>
      <c r="D436" s="1069">
        <f>SUMIF(Meal_entry_week_1!G$335:G$346,"Vegetables_mushrooms_fresh_frozen",Meal_entry_week_1!V$335:V$346)</f>
        <v>0</v>
      </c>
      <c r="E436" s="1069">
        <f>SUMIF(Meal_entry_week_1!G$335:G$346,"Vegetables_processed",Meal_entry_week_1!V$335:V$346)</f>
        <v>0</v>
      </c>
      <c r="F436" s="1069">
        <f>SUMIF(Meal_entry_week_1!G$335:G$346,"Fruits_nuts_dried_fruit",Meal_entry_week_1!V$335:V$346)</f>
        <v>27.599999999999998</v>
      </c>
      <c r="G436" s="1069">
        <f>SUMIF(Meal_entry_week_1!G$335:G$346,"Meat_fresh_frozen",Meal_entry_week_1!V$335:V$346)</f>
        <v>0</v>
      </c>
      <c r="H436" s="1069">
        <f>SUMIF(Meal_entry_week_1!G$335:G$346,"Meat_processed",Meal_entry_week_1!V$335:V$346)</f>
        <v>0</v>
      </c>
      <c r="I436" s="1069">
        <f>SUMIF(Meal_entry_week_1!G$335:G$346,"Fish_fresh_frozen",Meal_entry_week_1!V$335:V$346)+SUMIF(Meal_entry_week_1!G$335:G$346,"Fish_processed_canned",Meal_entry_week_1!V$335:V$346)</f>
        <v>0</v>
      </c>
      <c r="J436" s="1069">
        <f>SUMIF(Meal_entry_week_1!G$335:G$346,"Eggs",Meal_entry_week_1!V$335:V$346)</f>
        <v>30.4</v>
      </c>
      <c r="K436" s="1069">
        <f>SUMIF(Meal_entry_week_1!G$335:G$346,"Dairy_products",Meal_entry_week_1!V$335:V$346)</f>
        <v>32.479999999999997</v>
      </c>
      <c r="L436" s="1069">
        <f>SUMIF(Meal_entry_week_1!G$335:G$346,"Oil_butter_margarine",Meal_entry_week_1!V$335:V$346)</f>
        <v>75.680000000000007</v>
      </c>
      <c r="M436" s="1069">
        <f>SUMIF(Meal_entry_week_1!G$335:G$346,"Flour_pasta_seeds_cereals",Meal_entry_week_1!V$335:V$346)</f>
        <v>50.220000000000006</v>
      </c>
      <c r="N436" s="1069">
        <f>SUMIF(Meal_entry_week_1!G$335:G$346,"Sauces_purees_dressings",Meal_entry_week_1!V$335:V$346)+SUMIF(Meal_entry_week_1!G$335:G$346,"Spices_seasonings",Meal_entry_week_1!V$335:V$346)</f>
        <v>0</v>
      </c>
      <c r="O436" s="1069">
        <f>SUMIF(Meal_entry_week_1!G$335:G$346,"Sweet_foods_cakes",Meal_entry_week_1!V$335:V$346)</f>
        <v>8.74</v>
      </c>
      <c r="P436" s="1069">
        <f>SUMIF(Meal_entry_week_1!G$335:G$346,"Bread_and_pastries",Meal_entry_week_1!V$335:V$346)+SUMIF(Meal_entry_week_1!G$335:G$346,"Savoury_pastries",Meal_entry_week_1!V$335:V$346)+SUMIF(Meal_entry_week_1!G$335:G$346,"Sweet_pastries",Meal_entry_week_1!V$335:V$346)</f>
        <v>0</v>
      </c>
      <c r="Q436" s="1069">
        <f>SUMIF(Meal_entry_week_1!G$335:G$346,"Other_processed_foods",Meal_entry_week_1!V$335:V$346)</f>
        <v>0</v>
      </c>
      <c r="R436" s="1069">
        <f>SUMIF(Meal_entry_week_1!G$335:G$346,"Sweetened_drinks_teas_coffee",Meal_entry_week_1!V$335:V$346)</f>
        <v>30</v>
      </c>
      <c r="S436" s="1069">
        <f>SUMIF(Meal_entry_week_1!G$335:G$346,"Fruit_juices_water",Meal_entry_week_1!V$335:V$346)</f>
        <v>0</v>
      </c>
      <c r="T436" s="1069">
        <f>1120-SUM(D436:S436)</f>
        <v>864.88</v>
      </c>
      <c r="U436" s="956" t="s">
        <v>3067</v>
      </c>
      <c r="V436" s="1069">
        <f>SUMIF(Meal_entry_week_2!G$335:G$346,"Vegetables_mushrooms_fresh_frozen",Meal_entry_week_2!V$335:V$346)</f>
        <v>0</v>
      </c>
      <c r="W436" s="1069">
        <f>SUMIF(Meal_entry_week_2!G$335:G$346,"Vegetables_processed",Meal_entry_week_2!V$335:V$346)</f>
        <v>0</v>
      </c>
      <c r="X436" s="1069">
        <f>SUMIF(Meal_entry_week_2!G$335:G$346,"Fruits_nuts_dried_fruit",Meal_entry_week_2!V$335:V$346)</f>
        <v>0</v>
      </c>
      <c r="Y436" s="1069">
        <f>SUMIF(Meal_entry_week_2!G$335:G$346,"Meat_fresh_frozen",Meal_entry_week_2!V$335:V$346)</f>
        <v>0</v>
      </c>
      <c r="Z436" s="1069">
        <f>SUMIF(Meal_entry_week_2!G$335:G$346,"Meat_processed",Meal_entry_week_2!V$335:V$346)</f>
        <v>0</v>
      </c>
      <c r="AA436" s="1069">
        <f>SUMIF(Meal_entry_week_2!G$335:G$346,"Fish_fresh_frozen",Meal_entry_week_2!V$335:V$346)+SUMIF(Meal_entry_week_2!G$335:G$346,"Fish_processed_canned",Meal_entry_week_2!V$335:V$346)</f>
        <v>0</v>
      </c>
      <c r="AB436" s="1069">
        <f>SUMIF(Meal_entry_week_2!G$335:G$346,"Eggs",Meal_entry_week_2!V$335:V$346)</f>
        <v>0</v>
      </c>
      <c r="AC436" s="1069">
        <f>SUMIF(Meal_entry_week_2!G$335:G$346,"Dairy_products",Meal_entry_week_2!V$335:V$346)</f>
        <v>155</v>
      </c>
      <c r="AD436" s="1069">
        <f>SUMIF(Meal_entry_week_2!G$335:G$346,"Oil_butter_margarine",Meal_entry_week_2!V$335:V$346)</f>
        <v>0</v>
      </c>
      <c r="AE436" s="1069">
        <f>SUMIF(Meal_entry_week_2!G$335:G$346,"Flour_pasta_seeds_cereals",Meal_entry_week_2!V$335:V$346)</f>
        <v>0</v>
      </c>
      <c r="AF436" s="1069">
        <f>SUMIF(Meal_entry_week_2!G$335:G$346,"Sauces_purees_dressings",Meal_entry_week_2!V$335:V$346)+SUMIF(Meal_entry_week_2!G$335:G$346,"Spices_seasonings",Meal_entry_week_2!V$335:V$346)</f>
        <v>0</v>
      </c>
      <c r="AG436" s="1069">
        <f>SUMIF(Meal_entry_week_2!G$335:G$346,"Sweet_foods_cakes",Meal_entry_week_2!V$335:V$346)</f>
        <v>0</v>
      </c>
      <c r="AH436" s="1069">
        <f>SUMIF(Meal_entry_week_2!G$335:G$346,"Bread_and_pastries",Meal_entry_week_2!V$335:V$346)+SUMIF(Meal_entry_week_2!G$335:G$346,"Savoury_pastries",Meal_entry_week_2!V$335:V$346)+SUMIF(Meal_entry_week_2!G$335:G$346,"Sweet_pastries",Meal_entry_week_2!V$335:V$346)</f>
        <v>113.4</v>
      </c>
      <c r="AI436" s="1069">
        <f>SUMIF(Meal_entry_week_2!G$335:G$346,"Other_processed_foods",Meal_entry_week_2!V$335:V$346)</f>
        <v>0</v>
      </c>
      <c r="AJ436" s="1069">
        <f>SUMIF(Meal_entry_week_2!G$335:G$346,"Sweetened_drinks_teas_coffee",Meal_entry_week_2!V$335:V$346)</f>
        <v>0</v>
      </c>
      <c r="AK436" s="1069">
        <f>SUMIF(Meal_entry_week_2!G$335:G$346,"Fruit_juices_water",Meal_entry_week_2!V$335:V$346)</f>
        <v>0</v>
      </c>
      <c r="AL436" s="1069">
        <f>1120-SUM(V436:AK436)</f>
        <v>851.6</v>
      </c>
    </row>
    <row r="437" spans="1:38">
      <c r="A437" s="1066"/>
      <c r="B437" s="956" t="s">
        <v>3066</v>
      </c>
      <c r="C437" s="945"/>
      <c r="D437" s="1072">
        <f>SUMIF(Meal_entry_week_1!G$236:G$247,"Vegetables_mushrooms_fresh_frozen",Meal_entry_week_1!V$236:V$247)</f>
        <v>0</v>
      </c>
      <c r="E437" s="1072">
        <f>SUMIF(Meal_entry_week_1!G$236:G$247,"Vegetables_processed",Meal_entry_week_1!V$236:V$247)</f>
        <v>0</v>
      </c>
      <c r="F437" s="1072">
        <f>SUMIF(Meal_entry_week_1!G$236:G$247,"Fruits_nuts_dried_fruit",Meal_entry_week_1!V$236:V$247)</f>
        <v>0</v>
      </c>
      <c r="G437" s="1072">
        <f>SUMIF(Meal_entry_week_1!G$236:G$247,"Meat_fresh_frozen",Meal_entry_week_1!V$236:V$247)</f>
        <v>0</v>
      </c>
      <c r="H437" s="1072">
        <f>SUMIF(Meal_entry_week_1!G$236:G$247,"Meat_processed",Meal_entry_week_1!V$236:V$247)</f>
        <v>0</v>
      </c>
      <c r="I437" s="1072">
        <f>SUMIF(Meal_entry_week_1!G$236:G$247,"Fish_fresh_frozen",Meal_entry_week_1!V$236:V$247)+SUMIF(Meal_entry_week_1!G$236:G$247,"Fish_processed_canned",Meal_entry_week_1!V$236:V$247)</f>
        <v>0</v>
      </c>
      <c r="J437" s="1072">
        <f>SUMIF(Meal_entry_week_1!G$236:G$247,"Eggs",Meal_entry_week_1!V$236:V$247)</f>
        <v>0</v>
      </c>
      <c r="K437" s="1072">
        <f>SUMIF(Meal_entry_week_1!G$236:G$247,"Dairy_products",Meal_entry_week_1!V$236:V$247)</f>
        <v>202.99999999999997</v>
      </c>
      <c r="L437" s="1072">
        <f>SUMIF(Meal_entry_week_1!G$236:G$247,"Oil_butter_margarine",Meal_entry_week_1!V$236:V$247)</f>
        <v>0</v>
      </c>
      <c r="M437" s="1072">
        <f>SUMIF(Meal_entry_week_1!G$236:G$247,"Flour_pasta_seeds_cereals",Meal_entry_week_1!V$236:V$247)</f>
        <v>0</v>
      </c>
      <c r="N437" s="1072">
        <f>SUMIF(Meal_entry_week_1!G$236:G$247,"Sauces_purees_dressings",Meal_entry_week_1!V$236:V$247)+SUMIF(Meal_entry_week_1!G$236:G$247,"Spices_seasonings",Meal_entry_week_1!V$236:V$247)</f>
        <v>0</v>
      </c>
      <c r="O437" s="1072">
        <f>SUMIF(Meal_entry_week_1!G$236:G$247,"Sweet_foods_cakes",Meal_entry_week_1!V$236:V$247)</f>
        <v>0</v>
      </c>
      <c r="P437" s="1072">
        <f>SUMIF(Meal_entry_week_1!G$236:G$247,"Bread_and_pastries",Meal_entry_week_1!V$236:V$247)+SUMIF(Meal_entry_week_1!G$236:G$247,"Savoury_pastries",Meal_entry_week_1!V$236:V$247)+SUMIF(Meal_entry_week_1!G$236:G$247,"Sweet_pastries",Meal_entry_week_1!V$236:V$247)</f>
        <v>120</v>
      </c>
      <c r="Q437" s="1072">
        <f>SUMIF(Meal_entry_week_1!G$236:G$247,"Other_processed_foods",Meal_entry_week_1!V$236:V$247)</f>
        <v>0</v>
      </c>
      <c r="R437" s="1072">
        <f>SUMIF(Meal_entry_week_1!G$236:G$247,"Sweetened_drinks_teas_coffee",Meal_entry_week_1!V$236:V$247)</f>
        <v>0</v>
      </c>
      <c r="S437" s="1072">
        <f>SUMIF(Meal_entry_week_1!G$236:G$247,"Fruit_juices_water",Meal_entry_week_1!V$236:V$247)</f>
        <v>0</v>
      </c>
      <c r="T437" s="1070">
        <f>1120-SUM(D437:S437)</f>
        <v>797</v>
      </c>
      <c r="U437" s="956" t="s">
        <v>3066</v>
      </c>
      <c r="V437" s="1072">
        <f>SUMIF(Meal_entry_week_2!G$236:G$247,"Vegetables_mushrooms_fresh_frozen",Meal_entry_week_2!V$236:V$247)</f>
        <v>0</v>
      </c>
      <c r="W437" s="1072">
        <f>SUMIF(Meal_entry_week_2!G$236:G$247,"Vegetables_processed",Meal_entry_week_2!V$236:V$247)</f>
        <v>0</v>
      </c>
      <c r="X437" s="1072">
        <f>SUMIF(Meal_entry_week_2!G$236:G$247,"Fruits_nuts_dried_fruit",Meal_entry_week_2!V$236:V$247)</f>
        <v>0</v>
      </c>
      <c r="Y437" s="1072">
        <f>SUMIF(Meal_entry_week_2!G$236:G$247,"Meat_fresh_frozen",Meal_entry_week_2!V$236:V$247)</f>
        <v>0</v>
      </c>
      <c r="Z437" s="1072">
        <f>SUMIF(Meal_entry_week_2!G$236:G$247,"Meat_processed",Meal_entry_week_2!V$236:V$247)</f>
        <v>98</v>
      </c>
      <c r="AA437" s="1072">
        <f>SUMIF(Meal_entry_week_2!G$236:G$247,"Fish_fresh_frozen",Meal_entry_week_2!V$236:V$247)+SUMIF(Meal_entry_week_2!G$236:G$247,"Fish_processed_canned",Meal_entry_week_2!V$236:V$247)</f>
        <v>0</v>
      </c>
      <c r="AB437" s="1072">
        <f>SUMIF(Meal_entry_week_2!G$236:G$247,"Eggs",Meal_entry_week_2!V$236:V$247)</f>
        <v>0</v>
      </c>
      <c r="AC437" s="1072">
        <f>SUMIF(Meal_entry_week_2!G$236:G$247,"Dairy_products",Meal_entry_week_2!V$236:V$247)</f>
        <v>162</v>
      </c>
      <c r="AD437" s="1072">
        <f>SUMIF(Meal_entry_week_2!G$236:G$247,"Oil_butter_margarine",Meal_entry_week_2!V$236:V$247)</f>
        <v>0</v>
      </c>
      <c r="AE437" s="1072">
        <f>SUMIF(Meal_entry_week_2!G$236:G$247,"Flour_pasta_seeds_cereals",Meal_entry_week_2!V$236:V$247)</f>
        <v>0</v>
      </c>
      <c r="AF437" s="1072">
        <f>SUMIF(Meal_entry_week_2!G$236:G$247,"Sauces_purees_dressings",Meal_entry_week_2!V$236:V$247)+SUMIF(Meal_entry_week_2!G$236:G$247,"Spices_seasonings",Meal_entry_week_2!V$236:V$247)</f>
        <v>24</v>
      </c>
      <c r="AG437" s="1072">
        <f>SUMIF(Meal_entry_week_2!G$236:G$247,"Sweet_foods_cakes",Meal_entry_week_2!V$236:V$247)</f>
        <v>0</v>
      </c>
      <c r="AH437" s="1072">
        <f>SUMIF(Meal_entry_week_2!G$236:G$247,"Bread_and_pastries",Meal_entry_week_2!V$236:V$247)+SUMIF(Meal_entry_week_2!G$236:G$247,"Savoury_pastries",Meal_entry_week_2!V$236:V$247)+SUMIF(Meal_entry_week_2!G$236:G$247,"Sweet_pastries",Meal_entry_week_2!V$236:V$247)</f>
        <v>81</v>
      </c>
      <c r="AI437" s="1072">
        <f>SUMIF(Meal_entry_week_2!G$236:G$247,"Other_processed_foods",Meal_entry_week_2!V$236:V$247)</f>
        <v>0</v>
      </c>
      <c r="AJ437" s="1072">
        <f>SUMIF(Meal_entry_week_2!G$236:G$247,"Sweetened_drinks_teas_coffee",Meal_entry_week_2!V$236:V$247)</f>
        <v>30</v>
      </c>
      <c r="AK437" s="1072">
        <f>SUMIF(Meal_entry_week_2!G$236:G$247,"Fruit_juices_water",Meal_entry_week_2!V$236:V$247)</f>
        <v>0</v>
      </c>
      <c r="AL437" s="1070">
        <f>1120-SUM(V437:AK437)</f>
        <v>725</v>
      </c>
    </row>
    <row r="438" spans="1:38">
      <c r="A438" s="1066"/>
      <c r="B438" s="956" t="s">
        <v>3065</v>
      </c>
      <c r="C438" s="945"/>
      <c r="D438" s="1072">
        <f>SUMIF(Meal_entry_week_1!G$137:G$148,"Vegetables_mushrooms_fresh_frozen",Meal_entry_week_1!V$137:V$148)</f>
        <v>0</v>
      </c>
      <c r="E438" s="1072">
        <f>SUMIF(Meal_entry_week_1!G$137:G$148,"Vegetables_processed",Meal_entry_week_1!V$137:V$148)</f>
        <v>32</v>
      </c>
      <c r="F438" s="1072">
        <f>SUMIF(Meal_entry_week_1!G$137:G$148,"Fruits_nuts_dried_fruit",Meal_entry_week_1!V$137:V$148)</f>
        <v>0</v>
      </c>
      <c r="G438" s="1072">
        <f>SUMIF(Meal_entry_week_1!G$137:G$148,"Meat_fresh_frozen",Meal_entry_week_1!V$137:V$148)</f>
        <v>0</v>
      </c>
      <c r="H438" s="1072">
        <f>SUMIF(Meal_entry_week_1!G$137:G$148,"Meat_processed",Meal_entry_week_1!V$137:V$148)</f>
        <v>0</v>
      </c>
      <c r="I438" s="1072">
        <f>SUMIF(Meal_entry_week_1!G$137:G$148,"Fish_fresh_frozen",Meal_entry_week_1!V$137:V$148)+SUMIF(Meal_entry_week_1!G$137:G$148,"Fish_processed_canned",Meal_entry_week_1!V$137:V$148)</f>
        <v>65.8</v>
      </c>
      <c r="J438" s="1072">
        <f>SUMIF(Meal_entry_week_1!G$137:G$148,"Eggs",Meal_entry_week_1!V$137:V$148)</f>
        <v>0</v>
      </c>
      <c r="K438" s="1072">
        <f>SUMIF(Meal_entry_week_1!G$137:G$148,"Dairy_products",Meal_entry_week_1!V$137:V$148)</f>
        <v>55</v>
      </c>
      <c r="L438" s="1072">
        <f>SUMIF(Meal_entry_week_1!G$137:G$148,"Oil_butter_margarine",Meal_entry_week_1!V$137:V$148)</f>
        <v>0</v>
      </c>
      <c r="M438" s="1072">
        <f>SUMIF(Meal_entry_week_1!G$137:G$148,"Flour_pasta_seeds_cereals",Meal_entry_week_1!V$137:V$148)</f>
        <v>0</v>
      </c>
      <c r="N438" s="1072">
        <f>SUMIF(Meal_entry_week_1!G$137:G$148,"Sauces_purees_dressings",Meal_entry_week_1!V$137:V$148)+SUMIF(Meal_entry_week_1!G$137:G$148,"Spices_seasonings",Meal_entry_week_1!V$137:V$148)</f>
        <v>0</v>
      </c>
      <c r="O438" s="1072">
        <f>SUMIF(Meal_entry_week_1!G$137:G$148,"Sweet_foods_cakes",Meal_entry_week_1!V$137:V$148)</f>
        <v>0</v>
      </c>
      <c r="P438" s="1072">
        <f>SUMIF(Meal_entry_week_1!G$137:G$148,"Bread_and_pastries",Meal_entry_week_1!V$137:V$148)+SUMIF(Meal_entry_week_1!G$137:G$148,"Savoury_pastries",Meal_entry_week_1!V$137:V$148)+SUMIF(Meal_entry_week_1!G$137:G$148,"Sweet_pastries",Meal_entry_week_1!V$137:V$148)</f>
        <v>97.2</v>
      </c>
      <c r="Q438" s="1072">
        <f>SUMIF(Meal_entry_week_1!G$137:G$148,"Other_processed_foods",Meal_entry_week_1!V$137:V$148)</f>
        <v>0</v>
      </c>
      <c r="R438" s="1072">
        <f>SUMIF(Meal_entry_week_1!G$137:G$148,"Sweetened_drinks_teas_coffee",Meal_entry_week_1!V$137:V$148)</f>
        <v>0</v>
      </c>
      <c r="S438" s="1072">
        <f>SUMIF(Meal_entry_week_1!G$137:G$148,"Fruit_juices_water",Meal_entry_week_1!V$137:V$148)</f>
        <v>0</v>
      </c>
      <c r="T438" s="1070">
        <f>1120-SUM(D438:S438)</f>
        <v>870</v>
      </c>
      <c r="U438" s="956" t="s">
        <v>3065</v>
      </c>
      <c r="V438" s="1072">
        <f>SUMIF(Meal_entry_week_2!G$137:G$148,"Vegetables_mushrooms_fresh_frozen",Meal_entry_week_2!V$137:V$148)</f>
        <v>0</v>
      </c>
      <c r="W438" s="1072">
        <f>SUMIF(Meal_entry_week_2!G$137:G$148,"Vegetables_processed",Meal_entry_week_2!V$137:V$148)</f>
        <v>0</v>
      </c>
      <c r="X438" s="1072">
        <f>SUMIF(Meal_entry_week_2!G$137:G$148,"Fruits_nuts_dried_fruit",Meal_entry_week_2!V$137:V$148)</f>
        <v>0</v>
      </c>
      <c r="Y438" s="1072">
        <f>SUMIF(Meal_entry_week_2!G$137:G$148,"Meat_fresh_frozen",Meal_entry_week_2!V$137:V$148)</f>
        <v>0</v>
      </c>
      <c r="Z438" s="1072">
        <f>SUMIF(Meal_entry_week_2!G$137:G$148,"Meat_processed",Meal_entry_week_2!V$137:V$148)</f>
        <v>0</v>
      </c>
      <c r="AA438" s="1072">
        <f>SUMIF(Meal_entry_week_2!G$137:G$148,"Fish_fresh_frozen",Meal_entry_week_2!V$137:V$148)+SUMIF(Meal_entry_week_2!G$137:G$148,"Fish_processed_canned",Meal_entry_week_2!V$137:V$148)</f>
        <v>0</v>
      </c>
      <c r="AB438" s="1072">
        <f>SUMIF(Meal_entry_week_2!G$137:G$148,"Eggs",Meal_entry_week_2!V$137:V$148)</f>
        <v>0</v>
      </c>
      <c r="AC438" s="1072">
        <f>SUMIF(Meal_entry_week_2!G$137:G$148,"Dairy_products",Meal_entry_week_2!V$137:V$148)</f>
        <v>146</v>
      </c>
      <c r="AD438" s="1072">
        <f>SUMIF(Meal_entry_week_2!G$137:G$148,"Oil_butter_margarine",Meal_entry_week_2!V$137:V$148)</f>
        <v>0</v>
      </c>
      <c r="AE438" s="1072">
        <f>SUMIF(Meal_entry_week_2!G$137:G$148,"Flour_pasta_seeds_cereals",Meal_entry_week_2!V$137:V$148)</f>
        <v>0</v>
      </c>
      <c r="AF438" s="1072">
        <f>SUMIF(Meal_entry_week_2!G$137:G$148,"Sauces_purees_dressings",Meal_entry_week_2!V$137:V$148)+SUMIF(Meal_entry_week_2!G$137:G$148,"Spices_seasonings",Meal_entry_week_2!V$137:V$148)</f>
        <v>0</v>
      </c>
      <c r="AG438" s="1072">
        <f>SUMIF(Meal_entry_week_2!G$137:G$148,"Sweet_foods_cakes",Meal_entry_week_2!V$137:V$148)</f>
        <v>9.5</v>
      </c>
      <c r="AH438" s="1072">
        <f>SUMIF(Meal_entry_week_2!G$137:G$148,"Bread_and_pastries",Meal_entry_week_2!V$137:V$148)+SUMIF(Meal_entry_week_2!G$137:G$148,"Savoury_pastries",Meal_entry_week_2!V$137:V$148)+SUMIF(Meal_entry_week_2!G$137:G$148,"Sweet_pastries",Meal_entry_week_2!V$137:V$148)</f>
        <v>97.2</v>
      </c>
      <c r="AI438" s="1072">
        <f>SUMIF(Meal_entry_week_2!G$137:G$148,"Other_processed_foods",Meal_entry_week_2!V$137:V$148)</f>
        <v>0</v>
      </c>
      <c r="AJ438" s="1072">
        <f>SUMIF(Meal_entry_week_2!G$137:G$148,"Sweetened_drinks_teas_coffee",Meal_entry_week_2!V$137:V$148)</f>
        <v>0</v>
      </c>
      <c r="AK438" s="1072">
        <f>SUMIF(Meal_entry_week_2!G$137:G$148,"Fruit_juices_water",Meal_entry_week_2!V$137:V$148)</f>
        <v>0</v>
      </c>
      <c r="AL438" s="1070">
        <f t="shared" ref="AL438" si="95">1120-SUM(V438:AK438)</f>
        <v>867.3</v>
      </c>
    </row>
    <row r="439" spans="1:38">
      <c r="A439" s="1066"/>
      <c r="B439" s="1074" t="s">
        <v>3064</v>
      </c>
      <c r="C439" s="1027"/>
      <c r="D439" s="1075">
        <f>SUMIF(Meal_entry_week_1!G$38:G$49,"Vegetables_mushrooms_fresh_frozen",Meal_entry_week_1!V$38:V$49)</f>
        <v>0</v>
      </c>
      <c r="E439" s="1075">
        <f>SUMIF(Meal_entry_week_1!G$38:G$49,"Vegetables_processed",Meal_entry_week_1!V$38:V$49)</f>
        <v>0</v>
      </c>
      <c r="F439" s="1075">
        <f>SUMIF(Meal_entry_week_1!G$38:G$49,"Fruits_nuts_dried_fruit",Meal_entry_week_1!V$38:V$49)</f>
        <v>0</v>
      </c>
      <c r="G439" s="1075">
        <f>SUMIF(Meal_entry_week_1!G$38:G$49,"Meat_fresh_frozen",Meal_entry_week_1!V$38:V$49)</f>
        <v>0</v>
      </c>
      <c r="H439" s="1075">
        <f>SUMIF(Meal_entry_week_1!G$38:G$49,"Meat_processed",Meal_entry_week_1!V$38:V$49)</f>
        <v>156</v>
      </c>
      <c r="I439" s="1075">
        <f>SUMIF(Meal_entry_week_1!G$38:G$49,"Fish_fresh_frozen",Meal_entry_week_1!V$38:V$49)+SUMIF(Meal_entry_week_1!G$38:G$49,"Fish_processed_canned",Meal_entry_week_1!V$38:V$49)</f>
        <v>0</v>
      </c>
      <c r="J439" s="1075">
        <f>SUMIF(Meal_entry_week_1!G$38:G$49,"Eggs",Meal_entry_week_1!V$38:V$49)</f>
        <v>0</v>
      </c>
      <c r="K439" s="1075">
        <f>SUMIF(Meal_entry_week_1!G$38:G$49,"Dairy_products",Meal_entry_week_1!V$38:V$49)</f>
        <v>202.99999999999997</v>
      </c>
      <c r="L439" s="1075">
        <f>SUMIF(Meal_entry_week_1!G$38:G$49,"Oil_butter_margarine",Meal_entry_week_1!V$38:V$49)</f>
        <v>0</v>
      </c>
      <c r="M439" s="1075">
        <f>SUMIF(Meal_entry_week_1!G$38:G$49,"Flour_pasta_seeds_cereals",Meal_entry_week_1!V$38:V$49)</f>
        <v>0</v>
      </c>
      <c r="N439" s="1075">
        <f>SUMIF(Meal_entry_week_1!G$38:G$49,"Sauces_purees_dressings",Meal_entry_week_1!V$38:V$49)+SUMIF(Meal_entry_week_1!G$38:G$49,"Spices_seasonings",Meal_entry_week_1!V$38:V$49)</f>
        <v>0</v>
      </c>
      <c r="O439" s="1075">
        <f>SUMIF(Meal_entry_week_1!G$38:G$49,"Sweet_foods_cakes",Meal_entry_week_1!V$38:V$49)</f>
        <v>0</v>
      </c>
      <c r="P439" s="1075">
        <f>SUMIF(Meal_entry_week_1!G$38:G$49,"Bread_and_pastries",Meal_entry_week_1!V$38:V$49)+SUMIF(Meal_entry_week_1!G$38:G$49,"Savoury_pastries",Meal_entry_week_1!V$38:V$49)+SUMIF(Meal_entry_week_1!G$38:G$49,"Sweet_pastries",Meal_entry_week_1!V$38:V$49)</f>
        <v>121.50000000000001</v>
      </c>
      <c r="Q439" s="1075">
        <f>SUMIF(Meal_entry_week_1!G$38:G$49,"Other_processed_foods",Meal_entry_week_1!V$38:V$49)</f>
        <v>0</v>
      </c>
      <c r="R439" s="1075">
        <f>SUMIF(Meal_entry_week_1!G$38:G$49,"Sweetened_drinks_teas_coffee",Meal_entry_week_1!V$38:V$49)</f>
        <v>0</v>
      </c>
      <c r="S439" s="1075">
        <f>SUMIF(Meal_entry_week_1!G$38:G$49,"Fruit_juices_water",Meal_entry_week_1!V$38:V$49)</f>
        <v>0</v>
      </c>
      <c r="T439" s="1078">
        <f>1120-SUM(D439:S439)</f>
        <v>639.5</v>
      </c>
      <c r="U439" s="1074" t="s">
        <v>3064</v>
      </c>
      <c r="V439" s="1075">
        <f>SUMIF(Meal_entry_week_2!G$38:G$49,"Vegetables_mushrooms_fresh_frozen",Meal_entry_week_2!V$38:V$49)</f>
        <v>0</v>
      </c>
      <c r="W439" s="1075">
        <f>SUMIF(Meal_entry_week_2!G$38:G$49,"Vegetables_processed",Meal_entry_week_2!V$38:V$49)</f>
        <v>0</v>
      </c>
      <c r="X439" s="1075">
        <f>SUMIF(Meal_entry_week_2!G$38:G$49,"Fruits_nuts_dried_fruit",Meal_entry_week_2!V$38:V$49)</f>
        <v>0</v>
      </c>
      <c r="Y439" s="1075">
        <f>SUMIF(Meal_entry_week_2!G$38:G$49,"Meat_fresh_frozen",Meal_entry_week_2!V$38:V$49)</f>
        <v>0</v>
      </c>
      <c r="Z439" s="1075">
        <f>SUMIF(Meal_entry_week_2!G$38:G$49,"Meat_processed",Meal_entry_week_2!V$38:V$49)</f>
        <v>0</v>
      </c>
      <c r="AA439" s="1075">
        <f>SUMIF(Meal_entry_week_2!G$38:G$49,"Fish_fresh_frozen",Meal_entry_week_2!V$38:V$49)+SUMIF(Meal_entry_week_2!G$38:G$49,"Fish_processed_canned",Meal_entry_week_2!V$38:V$49)</f>
        <v>0</v>
      </c>
      <c r="AB439" s="1075">
        <f>SUMIF(Meal_entry_week_2!G$38:G$49,"Eggs",Meal_entry_week_2!V$38:V$49)</f>
        <v>24.32</v>
      </c>
      <c r="AC439" s="1075">
        <f>SUMIF(Meal_entry_week_2!G$38:G$49,"Dairy_products",Meal_entry_week_2!V$38:V$49)</f>
        <v>251.59999999999997</v>
      </c>
      <c r="AD439" s="1075">
        <f>SUMIF(Meal_entry_week_2!G$38:G$49,"Oil_butter_margarine",Meal_entry_week_2!V$38:V$49)</f>
        <v>75.680000000000007</v>
      </c>
      <c r="AE439" s="1075">
        <f>SUMIF(Meal_entry_week_2!G$38:G$49,"Flour_pasta_seeds_cereals",Meal_entry_week_2!V$38:V$49)</f>
        <v>48</v>
      </c>
      <c r="AF439" s="1075">
        <f>SUMIF(Meal_entry_week_2!G$38:G$49,"Sauces_purees_dressings",Meal_entry_week_2!V$38:V$49)+SUMIF(Meal_entry_week_2!G$38:G$49,"Spices_seasonings",Meal_entry_week_2!V$38:V$49)</f>
        <v>0</v>
      </c>
      <c r="AG439" s="1075">
        <f>SUMIF(Meal_entry_week_2!G$38:G$49,"Sweet_foods_cakes",Meal_entry_week_2!V$38:V$49)</f>
        <v>0</v>
      </c>
      <c r="AH439" s="1075">
        <f>SUMIF(Meal_entry_week_2!G$38:G$49,"Bread_and_pastries",Meal_entry_week_2!V$38:V$49)+SUMIF(Meal_entry_week_2!G$38:G$49,"Savoury_pastries",Meal_entry_week_2!V$38:V$49)+SUMIF(Meal_entry_week_2!G$38:G$49,"Sweet_pastries",Meal_entry_week_2!V$38:V$49)</f>
        <v>0</v>
      </c>
      <c r="AI439" s="1075">
        <f>SUMIF(Meal_entry_week_2!G$38:G$49,"Other_processed_foods",Meal_entry_week_2!V$38:V$49)</f>
        <v>0</v>
      </c>
      <c r="AJ439" s="1075">
        <f>SUMIF(Meal_entry_week_2!G$38:G$49,"Sweetened_drinks_teas_coffee",Meal_entry_week_2!V$38:V$49)</f>
        <v>0</v>
      </c>
      <c r="AK439" s="1075">
        <f>SUMIF(Meal_entry_week_2!G$38:G$49,"Fruit_juices_water",Meal_entry_week_2!V$38:V$49)</f>
        <v>0</v>
      </c>
      <c r="AL439" s="1078">
        <f>1120-SUM(V439:AK439)</f>
        <v>720.40000000000009</v>
      </c>
    </row>
    <row r="440" spans="1:38">
      <c r="A440" s="1066"/>
      <c r="B440" s="956" t="s">
        <v>3573</v>
      </c>
      <c r="C440" s="945"/>
      <c r="D440" s="1269" t="s">
        <v>3140</v>
      </c>
      <c r="E440" s="1083" t="s">
        <v>3069</v>
      </c>
      <c r="F440" s="1083" t="s">
        <v>3077</v>
      </c>
      <c r="G440" s="1083" t="s">
        <v>3073</v>
      </c>
      <c r="H440" s="1083" t="s">
        <v>3070</v>
      </c>
      <c r="I440" s="913" t="s">
        <v>3575</v>
      </c>
      <c r="J440" s="913" t="s">
        <v>3072</v>
      </c>
      <c r="K440" s="1083" t="s">
        <v>3085</v>
      </c>
      <c r="L440" s="1083" t="s">
        <v>3075</v>
      </c>
      <c r="M440" s="1083" t="s">
        <v>3141</v>
      </c>
      <c r="N440" s="1083" t="s">
        <v>3550</v>
      </c>
      <c r="O440" s="1083" t="s">
        <v>3078</v>
      </c>
      <c r="P440" s="1083" t="s">
        <v>3551</v>
      </c>
      <c r="Q440" s="1083" t="s">
        <v>3082</v>
      </c>
      <c r="R440" s="1083" t="s">
        <v>3083</v>
      </c>
      <c r="S440" s="1083" t="s">
        <v>3084</v>
      </c>
      <c r="T440" s="1068"/>
      <c r="U440" s="956" t="s">
        <v>3573</v>
      </c>
      <c r="V440" s="1269" t="s">
        <v>3140</v>
      </c>
      <c r="W440" s="1083" t="s">
        <v>3069</v>
      </c>
      <c r="X440" s="1083" t="s">
        <v>3077</v>
      </c>
      <c r="Y440" s="1083" t="s">
        <v>3073</v>
      </c>
      <c r="Z440" s="1083" t="s">
        <v>3070</v>
      </c>
      <c r="AA440" s="913" t="s">
        <v>3575</v>
      </c>
      <c r="AB440" s="913" t="s">
        <v>3072</v>
      </c>
      <c r="AC440" s="1083" t="s">
        <v>3085</v>
      </c>
      <c r="AD440" s="1083" t="s">
        <v>3075</v>
      </c>
      <c r="AE440" s="1083" t="s">
        <v>3141</v>
      </c>
      <c r="AF440" s="1083" t="s">
        <v>3550</v>
      </c>
      <c r="AG440" s="1083" t="s">
        <v>3078</v>
      </c>
      <c r="AH440" s="1083" t="s">
        <v>3551</v>
      </c>
      <c r="AI440" s="1083" t="s">
        <v>3082</v>
      </c>
      <c r="AJ440" s="1083" t="s">
        <v>3083</v>
      </c>
      <c r="AK440" s="1083" t="s">
        <v>3084</v>
      </c>
      <c r="AL440" s="1068"/>
    </row>
    <row r="441" spans="1:38">
      <c r="A441" s="1066"/>
      <c r="B441" s="956" t="s">
        <v>3068</v>
      </c>
      <c r="C441" s="945"/>
      <c r="D441" s="1069">
        <f>SUMIF(Meal_entry_week_1!G$453:G$477,"Vegetables_mushrooms_fresh_frozen",Meal_entry_week_1!V$453:V$477)</f>
        <v>219.18</v>
      </c>
      <c r="E441" s="1069">
        <f>SUMIF(Meal_entry_week_1!G$453:G$477,"Vegetables_processed",Meal_entry_week_1!V$453:V$477)</f>
        <v>0</v>
      </c>
      <c r="F441" s="1069">
        <f>SUMIF(Meal_entry_week_1!G$453:G$477,"Fruits_nuts_dried_fruit",Meal_entry_week_1!V$453:V$477)</f>
        <v>64.5</v>
      </c>
      <c r="G441" s="1069">
        <f>SUMIF(Meal_entry_week_1!G$453:G$477,"Meat_fresh_frozen",Meal_entry_week_1!V$453:V$477)</f>
        <v>65.400000000000006</v>
      </c>
      <c r="H441" s="1069">
        <f>SUMIF(Meal_entry_week_1!G$453:G$477,"Meat_processed",Meal_entry_week_1!V$453:V$477)</f>
        <v>0</v>
      </c>
      <c r="I441" s="1069">
        <f>SUMIF(Meal_entry_week_1!G$453:G$477,"Fish_fresh_frozen",Meal_entry_week_1!V$453:V$477)+SUMIF(Meal_entry_week_1!G$453:G$477,"Fish_processed_canned",Meal_entry_week_1!V$453:V$477)</f>
        <v>0</v>
      </c>
      <c r="J441" s="1069">
        <f>SUMIF(Meal_entry_week_1!G$453:G$477,"Eggs",Meal_entry_week_1!V$453:V$477)</f>
        <v>91.2</v>
      </c>
      <c r="K441" s="1069">
        <f>SUMIF(Meal_entry_week_1!G$453:G$477,"Dairy_products",Meal_entry_week_1!V$453:V$477)</f>
        <v>385</v>
      </c>
      <c r="L441" s="1069">
        <f>SUMIF(Meal_entry_week_1!G$453:G$477,"Oil_butter_margarine",Meal_entry_week_1!V$453:V$477)</f>
        <v>75.680000000000007</v>
      </c>
      <c r="M441" s="1069">
        <f>SUMIF(Meal_entry_week_1!G$453:G$477,"Flour_pasta_seeds_cereals",Meal_entry_week_1!V$453:V$477)</f>
        <v>16.200000000000003</v>
      </c>
      <c r="N441" s="1069">
        <f>SUMIF(Meal_entry_week_1!G$453:G$477,"Sauces_purees_dressings",Meal_entry_week_1!V$453:V$477)+SUMIF(Meal_entry_week_1!G$453:G$477,"Spices_seasonings",Meal_entry_week_1!V$453:V$477)</f>
        <v>5.3505000000000003</v>
      </c>
      <c r="O441" s="1069">
        <f>SUMIF(Meal_entry_week_1!G$453:G$477,"Sweet_foods_cakes",Meal_entry_week_1!V$453:V$477)</f>
        <v>0</v>
      </c>
      <c r="P441" s="1069">
        <f>SUMIF(Meal_entry_week_1!G$453:G$477,"Bread_and_pastries",Meal_entry_week_1!V$453:V$477)+SUMIF(Meal_entry_week_1!G$453:G$477,"Savoury_pastries",Meal_entry_week_1!V$453:V$477)+SUMIF(Meal_entry_week_1!G$453:G$477,"Sweet_pastries",Meal_entry_week_1!V$453:V$477)</f>
        <v>121.50000000000001</v>
      </c>
      <c r="Q441" s="1069">
        <f>SUMIF(Meal_entry_week_1!G$453:G$477,"Other_processed_foods",Meal_entry_week_1!V$453:V$477)</f>
        <v>0</v>
      </c>
      <c r="R441" s="1069">
        <f>SUMIF(Meal_entry_week_1!G$453:G$477,"Sweetened_drinks_teas_coffee",Meal_entry_week_1!V$453:V$477)</f>
        <v>0</v>
      </c>
      <c r="S441" s="1069">
        <f>SUMIF(Meal_entry_week_1!G$453:G$477,"Fruit_juices_water",Meal_entry_week_1!V$453:V$477)</f>
        <v>0</v>
      </c>
      <c r="T441" s="1070">
        <f>2360-SUM(D441:S441)</f>
        <v>1315.9894999999999</v>
      </c>
      <c r="U441" s="956" t="s">
        <v>3068</v>
      </c>
      <c r="V441" s="1069">
        <f>SUMIF(Meal_entry_week_2!G$453:G$477,"Vegetables_mushrooms_fresh_frozen",Meal_entry_week_2!V$453:V$477)</f>
        <v>47.54</v>
      </c>
      <c r="W441" s="1069">
        <f>SUMIF(Meal_entry_week_2!G$453:G$477,"Vegetables_processed",Meal_entry_week_2!V$453:V$477)</f>
        <v>0</v>
      </c>
      <c r="X441" s="1069">
        <f>SUMIF(Meal_entry_week_2!G$453:G$477,"Fruits_nuts_dried_fruit",Meal_entry_week_2!V$453:V$477)</f>
        <v>64.5</v>
      </c>
      <c r="Y441" s="1069">
        <f>SUMIF(Meal_entry_week_2!G$453:G$477,"Meat_fresh_frozen",Meal_entry_week_2!V$453:V$477)</f>
        <v>163.5</v>
      </c>
      <c r="Z441" s="1069">
        <f>SUMIF(Meal_entry_week_2!G$453:G$477,"Meat_processed",Meal_entry_week_2!V$453:V$477)</f>
        <v>0</v>
      </c>
      <c r="AA441" s="1069">
        <f>SUMIF(Meal_entry_week_2!G$453:G$477,"Fish_fresh_frozen",Meal_entry_week_2!V$453:V$477)+SUMIF(Meal_entry_week_2!G$453:G$477,"Fish_processed_canned",Meal_entry_week_2!V$453:V$477)</f>
        <v>0</v>
      </c>
      <c r="AB441" s="1069">
        <f>SUMIF(Meal_entry_week_2!G$453:G$477,"Eggs",Meal_entry_week_2!V$453:V$477)</f>
        <v>60.8</v>
      </c>
      <c r="AC441" s="1069">
        <f>SUMIF(Meal_entry_week_2!G$453:G$477,"Dairy_products",Meal_entry_week_2!V$453:V$477)</f>
        <v>73</v>
      </c>
      <c r="AD441" s="1069">
        <f>SUMIF(Meal_entry_week_2!G$453:G$477,"Oil_butter_margarine",Meal_entry_week_2!V$453:V$477)</f>
        <v>80.41</v>
      </c>
      <c r="AE441" s="1069">
        <f>SUMIF(Meal_entry_week_2!G$453:G$477,"Flour_pasta_seeds_cereals",Meal_entry_week_2!V$453:V$477)</f>
        <v>249.7</v>
      </c>
      <c r="AF441" s="1069">
        <f>SUMIF(Meal_entry_week_2!G$453:G$477,"Sauces_purees_dressings",Meal_entry_week_2!V$453:V$477)+SUMIF(Meal_entry_week_2!G$453:G$477,"Spices_seasonings",Meal_entry_week_2!V$453:V$477)</f>
        <v>47.684000000000005</v>
      </c>
      <c r="AG441" s="1069">
        <f>SUMIF(Meal_entry_week_2!G$453:G$477,"Sweet_foods_cakes",Meal_entry_week_2!V$453:V$477)</f>
        <v>0</v>
      </c>
      <c r="AH441" s="1069">
        <f>SUMIF(Meal_entry_week_2!G$453:G$477,"Bread_and_pastries",Meal_entry_week_2!V$453:V$477)+SUMIF(Meal_entry_week_2!G$453:G$477,"Savoury_pastries",Meal_entry_week_2!V$453:V$477)+SUMIF(Meal_entry_week_2!G$453:G$477,"Sweet_pastries",Meal_entry_week_2!V$453:V$477)</f>
        <v>121.50000000000001</v>
      </c>
      <c r="AI441" s="1069">
        <f>SUMIF(Meal_entry_week_2!G$453:G$477,"Other_processed_foods",Meal_entry_week_2!V$453:V$477)</f>
        <v>0</v>
      </c>
      <c r="AJ441" s="1069">
        <f>SUMIF(Meal_entry_week_2!G$453:G$477,"Sweetened_drinks_teas_coffee",Meal_entry_week_2!V$453:V$477)</f>
        <v>0</v>
      </c>
      <c r="AK441" s="1069">
        <f>SUMIF(Meal_entry_week_2!G$453:G$477,"Fruit_juices_water",Meal_entry_week_2!V$453:V$477)</f>
        <v>0</v>
      </c>
      <c r="AL441" s="1070">
        <f>2360-SUM(V441:AK441)</f>
        <v>1451.366</v>
      </c>
    </row>
    <row r="442" spans="1:38" s="1071" customFormat="1">
      <c r="A442" s="1066"/>
      <c r="B442" s="956" t="s">
        <v>3067</v>
      </c>
      <c r="C442" s="945"/>
      <c r="D442" s="1069">
        <f>SUMIF(Meal_entry_week_1!G$354:G$378,"Vegetables_mushrooms_fresh_frozen",Meal_entry_week_1!V$354:V$378)</f>
        <v>170.6</v>
      </c>
      <c r="E442" s="1069">
        <f>SUMIF(Meal_entry_week_1!G$354:G$378,"Vegetables_processed",Meal_entry_week_1!V$354:V$378)</f>
        <v>112</v>
      </c>
      <c r="F442" s="1069">
        <f>SUMIF(Meal_entry_week_1!G$354:G$378,"Fruits_nuts_dried_fruit",Meal_entry_week_1!V$354:V$378)</f>
        <v>51.6</v>
      </c>
      <c r="G442" s="1069">
        <f>SUMIF(Meal_entry_week_1!G$354:G$378,"Meat_fresh_frozen",Meal_entry_week_1!V$354:V$378)</f>
        <v>451.99999999999994</v>
      </c>
      <c r="H442" s="1069">
        <f>SUMIF(Meal_entry_week_1!G$354:G$378,"Meat_processed",Meal_entry_week_1!V$354:V$378)</f>
        <v>0</v>
      </c>
      <c r="I442" s="1069">
        <f>SUMIF(Meal_entry_week_1!G$354:G$378,"Fish_fresh_frozen",Meal_entry_week_1!V$354:V$378)+SUMIF(Meal_entry_week_1!G$354:G$378,"Fish_processed_canned",Meal_entry_week_1!V$354:V$378)</f>
        <v>0</v>
      </c>
      <c r="J442" s="1069">
        <f>SUMIF(Meal_entry_week_1!G$354:G$378,"Eggs",Meal_entry_week_1!V$354:V$378)</f>
        <v>45.6</v>
      </c>
      <c r="K442" s="1069">
        <f>SUMIF(Meal_entry_week_1!G$354:G$378,"Dairy_products",Meal_entry_week_1!V$354:V$378)</f>
        <v>58.4</v>
      </c>
      <c r="L442" s="1069">
        <f>SUMIF(Meal_entry_week_1!G$354:G$378,"Oil_butter_margarine",Meal_entry_week_1!V$354:V$378)</f>
        <v>85.140000000000015</v>
      </c>
      <c r="M442" s="1069">
        <f>SUMIF(Meal_entry_week_1!G$354:G$378,"Flour_pasta_seeds_cereals",Meal_entry_week_1!V$354:V$378)</f>
        <v>101.5</v>
      </c>
      <c r="N442" s="1069">
        <f>SUMIF(Meal_entry_week_1!G$354:G$378,"Sauces_purees_dressings",Meal_entry_week_1!V$354:V$378)+SUMIF(Meal_entry_week_1!G$354:G$378,"Spices_seasonings",Meal_entry_week_1!V$354:V$378)</f>
        <v>28.036000000000001</v>
      </c>
      <c r="O442" s="1069">
        <f>SUMIF(Meal_entry_week_1!G$354:G$378,"Sweet_foods_cakes",Meal_entry_week_1!V$354:V$378)</f>
        <v>0</v>
      </c>
      <c r="P442" s="1069">
        <f>SUMIF(Meal_entry_week_1!G$354:G$378,"Bread_and_pastries",Meal_entry_week_1!V$354:V$378)+SUMIF(Meal_entry_week_1!G$354:G$378,"Savoury_pastries",Meal_entry_week_1!V$354:V$378)+SUMIF(Meal_entry_week_1!G$354:G$378,"Sweet_pastries",Meal_entry_week_1!V$354:V$378)</f>
        <v>121.50000000000001</v>
      </c>
      <c r="Q442" s="1069">
        <f>SUMIF(Meal_entry_week_1!G$354:G$378,"Other_processed_foods",Meal_entry_week_1!V$354:V$378)</f>
        <v>0</v>
      </c>
      <c r="R442" s="1069">
        <f>SUMIF(Meal_entry_week_1!G$354:G$378,"Sweetened_drinks_teas_coffee",Meal_entry_week_1!V$354:V$378)</f>
        <v>0</v>
      </c>
      <c r="S442" s="1069">
        <f>SUMIF(Meal_entry_week_1!G$354:G$378,"Fruit_juices_water",Meal_entry_week_1!V$354:V$378)</f>
        <v>0</v>
      </c>
      <c r="T442" s="1069">
        <f>2360-SUM(D442:S442)</f>
        <v>1133.6239999999998</v>
      </c>
      <c r="U442" s="956" t="s">
        <v>3067</v>
      </c>
      <c r="V442" s="1069">
        <f>SUMIF(Meal_entry_week_2!G$354:G$378,"Vegetables_mushrooms_fresh_frozen",Meal_entry_week_2!V$354:V$378)</f>
        <v>325.83999999999997</v>
      </c>
      <c r="W442" s="1069">
        <f>SUMIF(Meal_entry_week_2!G$354:G$378,"Vegetables_processed",Meal_entry_week_2!V$354:V$378)</f>
        <v>0</v>
      </c>
      <c r="X442" s="1069">
        <f>SUMIF(Meal_entry_week_2!G$354:G$378,"Fruits_nuts_dried_fruit",Meal_entry_week_2!V$354:V$378)</f>
        <v>64.5</v>
      </c>
      <c r="Y442" s="1069">
        <f>SUMIF(Meal_entry_week_2!G$354:G$378,"Meat_fresh_frozen",Meal_entry_week_2!V$354:V$378)</f>
        <v>451.99999999999994</v>
      </c>
      <c r="Z442" s="1069">
        <f>SUMIF(Meal_entry_week_2!G$354:G$378,"Meat_processed",Meal_entry_week_2!V$354:V$378)</f>
        <v>0</v>
      </c>
      <c r="AA442" s="1069">
        <f>SUMIF(Meal_entry_week_2!G$354:G$378,"Fish_fresh_frozen",Meal_entry_week_2!V$354:V$378)+SUMIF(Meal_entry_week_2!G$354:G$378,"Fish_processed_canned",Meal_entry_week_2!V$354:V$378)</f>
        <v>0</v>
      </c>
      <c r="AB442" s="1069">
        <f>SUMIF(Meal_entry_week_2!G$354:G$378,"Eggs",Meal_entry_week_2!V$354:V$378)</f>
        <v>60.8</v>
      </c>
      <c r="AC442" s="1069">
        <f>SUMIF(Meal_entry_week_2!G$354:G$378,"Dairy_products",Meal_entry_week_2!V$354:V$378)</f>
        <v>29.2</v>
      </c>
      <c r="AD442" s="1069">
        <f>SUMIF(Meal_entry_week_2!G$354:G$378,"Oil_butter_margarine",Meal_entry_week_2!V$354:V$378)</f>
        <v>113.52000000000001</v>
      </c>
      <c r="AE442" s="1069">
        <f>SUMIF(Meal_entry_week_2!G$354:G$378,"Flour_pasta_seeds_cereals",Meal_entry_week_2!V$354:V$378)</f>
        <v>32.400000000000006</v>
      </c>
      <c r="AF442" s="1069">
        <f>SUMIF(Meal_entry_week_2!G$354:G$378,"Sauces_purees_dressings",Meal_entry_week_2!V$354:V$378)+SUMIF(Meal_entry_week_2!G$354:G$378,"Spices_seasonings",Meal_entry_week_2!V$354:V$378)</f>
        <v>6.4162000000000008</v>
      </c>
      <c r="AG442" s="1069">
        <f>SUMIF(Meal_entry_week_2!G$354:G$378,"Sweet_foods_cakes",Meal_entry_week_2!V$354:V$378)</f>
        <v>1.9</v>
      </c>
      <c r="AH442" s="1069">
        <f>SUMIF(Meal_entry_week_2!G$354:G$378,"Bread_and_pastries",Meal_entry_week_2!V$354:V$378)+SUMIF(Meal_entry_week_2!G$354:G$378,"Savoury_pastries",Meal_entry_week_2!V$354:V$378)+SUMIF(Meal_entry_week_2!G$354:G$378,"Sweet_pastries",Meal_entry_week_2!V$354:V$378)</f>
        <v>121.50000000000001</v>
      </c>
      <c r="AI442" s="1069">
        <f>SUMIF(Meal_entry_week_2!G$354:G$378,"Other_processed_foods",Meal_entry_week_2!V$354:V$378)</f>
        <v>0</v>
      </c>
      <c r="AJ442" s="1069">
        <f>SUMIF(Meal_entry_week_2!G$354:G$378,"Sweetened_drinks_teas_coffee",Meal_entry_week_2!V$354:V$378)</f>
        <v>0</v>
      </c>
      <c r="AK442" s="1069">
        <f>SUMIF(Meal_entry_week_2!G$354:G$378,"Fruit_juices_water",Meal_entry_week_2!V$354:V$378)</f>
        <v>0</v>
      </c>
      <c r="AL442" s="1069">
        <f>2360-SUM(V442:AK442)</f>
        <v>1151.9238</v>
      </c>
    </row>
    <row r="443" spans="1:38">
      <c r="A443" s="1066"/>
      <c r="B443" s="956" t="s">
        <v>3066</v>
      </c>
      <c r="C443" s="945"/>
      <c r="D443" s="1072">
        <f>SUMIF(Meal_entry_week_1!G$255:G$279,"Vegetables_mushrooms_fresh_frozen",Meal_entry_week_1!V$255:V$279)</f>
        <v>154.64000000000004</v>
      </c>
      <c r="E443" s="1072">
        <f>SUMIF(Meal_entry_week_1!G$255:G$279,"Vegetables_processed",Meal_entry_week_1!V$255:V$279)</f>
        <v>0</v>
      </c>
      <c r="F443" s="1072">
        <f>SUMIF(Meal_entry_week_1!G$255:G$279,"Fruits_nuts_dried_fruit",Meal_entry_week_1!V$255:V$279)</f>
        <v>64.5</v>
      </c>
      <c r="G443" s="1072">
        <f>SUMIF(Meal_entry_week_1!G$255:G$279,"Meat_fresh_frozen",Meal_entry_week_1!V$255:V$279)</f>
        <v>0</v>
      </c>
      <c r="H443" s="1072">
        <f>SUMIF(Meal_entry_week_1!G$255:G$279,"Meat_processed",Meal_entry_week_1!V$255:V$279)</f>
        <v>451.99999999999994</v>
      </c>
      <c r="I443" s="1072">
        <f>SUMIF(Meal_entry_week_1!G$255:G$279,"Fish_fresh_frozen",Meal_entry_week_1!V$255:V$279)+SUMIF(Meal_entry_week_1!G$255:G$279,"Fish_processed_canned",Meal_entry_week_1!V$255:V$279)</f>
        <v>0</v>
      </c>
      <c r="J443" s="1072">
        <f>SUMIF(Meal_entry_week_1!G$255:G$279,"Eggs",Meal_entry_week_1!V$255:V$279)</f>
        <v>0</v>
      </c>
      <c r="K443" s="1072">
        <f>SUMIF(Meal_entry_week_1!G$255:G$279,"Dairy_products",Meal_entry_week_1!V$255:V$279)</f>
        <v>110</v>
      </c>
      <c r="L443" s="1072">
        <f>SUMIF(Meal_entry_week_1!G$255:G$279,"Oil_butter_margarine",Meal_entry_week_1!V$255:V$279)</f>
        <v>47.300000000000004</v>
      </c>
      <c r="M443" s="1072">
        <f>SUMIF(Meal_entry_week_1!G$255:G$279,"Flour_pasta_seeds_cereals",Meal_entry_week_1!V$255:V$279)</f>
        <v>16.200000000000003</v>
      </c>
      <c r="N443" s="1072">
        <f>SUMIF(Meal_entry_week_1!G$255:G$279,"Sauces_purees_dressings",Meal_entry_week_1!V$255:V$279)+SUMIF(Meal_entry_week_1!G$255:G$279,"Spices_seasonings",Meal_entry_week_1!V$255:V$279)</f>
        <v>0.09</v>
      </c>
      <c r="O443" s="1072">
        <f>SUMIF(Meal_entry_week_1!G$255:G$279,"Sweet_foods_cakes",Meal_entry_week_1!V$255:V$279)</f>
        <v>0</v>
      </c>
      <c r="P443" s="1072">
        <f>SUMIF(Meal_entry_week_1!G$255:G$279,"Bread_and_pastries",Meal_entry_week_1!V$255:V$279)+SUMIF(Meal_entry_week_1!G$255:G$279,"Savoury_pastries",Meal_entry_week_1!V$255:V$279)+SUMIF(Meal_entry_week_1!G$255:G$279,"Sweet_pastries",Meal_entry_week_1!V$255:V$279)</f>
        <v>121.50000000000001</v>
      </c>
      <c r="Q443" s="1072">
        <f>SUMIF(Meal_entry_week_1!G$255:G$279,"Other_processed_foods",Meal_entry_week_1!V$255:V$279)</f>
        <v>0</v>
      </c>
      <c r="R443" s="1072">
        <f>SUMIF(Meal_entry_week_1!G$255:G$279,"Sweetened_drinks_teas_coffee",Meal_entry_week_1!V$255:V$279)</f>
        <v>0</v>
      </c>
      <c r="S443" s="1072">
        <f>SUMIF(Meal_entry_week_1!G$255:G$279,"Fruit_juices_water",Meal_entry_week_1!V$255:V$279)</f>
        <v>0</v>
      </c>
      <c r="T443" s="1070">
        <f>2360-SUM(D443:S443)</f>
        <v>1393.77</v>
      </c>
      <c r="U443" s="956" t="s">
        <v>3066</v>
      </c>
      <c r="V443" s="1072">
        <f>SUMIF(Meal_entry_week_2!G$255:G$279,"Vegetables_mushrooms_fresh_frozen",Meal_entry_week_2!V$255:V$279)</f>
        <v>99.06</v>
      </c>
      <c r="W443" s="1072">
        <f>SUMIF(Meal_entry_week_2!G$255:G$279,"Vegetables_processed",Meal_entry_week_2!V$255:V$279)</f>
        <v>0</v>
      </c>
      <c r="X443" s="1072">
        <f>SUMIF(Meal_entry_week_2!G$255:G$279,"Fruits_nuts_dried_fruit",Meal_entry_week_2!V$255:V$279)</f>
        <v>21.5</v>
      </c>
      <c r="Y443" s="1072">
        <f>SUMIF(Meal_entry_week_2!G$255:G$279,"Meat_fresh_frozen",Meal_entry_week_2!V$255:V$279)</f>
        <v>0</v>
      </c>
      <c r="Z443" s="1072">
        <f>SUMIF(Meal_entry_week_2!G$255:G$279,"Meat_processed",Meal_entry_week_2!V$255:V$279)</f>
        <v>271.2</v>
      </c>
      <c r="AA443" s="1072">
        <f>SUMIF(Meal_entry_week_2!G$255:G$279,"Fish_fresh_frozen",Meal_entry_week_2!V$255:V$279)+SUMIF(Meal_entry_week_2!G$255:G$279,"Fish_processed_canned",Meal_entry_week_2!V$255:V$279)</f>
        <v>0</v>
      </c>
      <c r="AB443" s="1072">
        <f>SUMIF(Meal_entry_week_2!G$255:G$279,"Eggs",Meal_entry_week_2!V$255:V$279)</f>
        <v>15.2</v>
      </c>
      <c r="AC443" s="1072">
        <f>SUMIF(Meal_entry_week_2!G$255:G$279,"Dairy_products",Meal_entry_week_2!V$255:V$279)</f>
        <v>11.68</v>
      </c>
      <c r="AD443" s="1072">
        <f>SUMIF(Meal_entry_week_2!G$255:G$279,"Oil_butter_margarine",Meal_entry_week_2!V$255:V$279)</f>
        <v>93.654000000000011</v>
      </c>
      <c r="AE443" s="1072">
        <f>SUMIF(Meal_entry_week_2!G$255:G$279,"Flour_pasta_seeds_cereals",Meal_entry_week_2!V$255:V$279)</f>
        <v>29.160000000000004</v>
      </c>
      <c r="AF443" s="1072">
        <f>SUMIF(Meal_entry_week_2!G$255:G$279,"Sauces_purees_dressings",Meal_entry_week_2!V$255:V$279)+SUMIF(Meal_entry_week_2!G$255:G$279,"Spices_seasonings",Meal_entry_week_2!V$255:V$279)</f>
        <v>10.020000000000001</v>
      </c>
      <c r="AG443" s="1072">
        <f>SUMIF(Meal_entry_week_2!G$255:G$279,"Sweet_foods_cakes",Meal_entry_week_2!V$255:V$279)</f>
        <v>5.9280000000000008</v>
      </c>
      <c r="AH443" s="1072">
        <f>SUMIF(Meal_entry_week_2!G$255:G$279,"Bread_and_pastries",Meal_entry_week_2!V$255:V$279)+SUMIF(Meal_entry_week_2!G$255:G$279,"Savoury_pastries",Meal_entry_week_2!V$255:V$279)+SUMIF(Meal_entry_week_2!G$255:G$279,"Sweet_pastries",Meal_entry_week_2!V$255:V$279)</f>
        <v>129.60000000000002</v>
      </c>
      <c r="AI443" s="1072">
        <f>SUMIF(Meal_entry_week_2!G$255:G$279,"Other_processed_foods",Meal_entry_week_2!V$255:V$279)</f>
        <v>0</v>
      </c>
      <c r="AJ443" s="1072">
        <f>SUMIF(Meal_entry_week_2!G$255:G$279,"Sweetened_drinks_teas_coffee",Meal_entry_week_2!V$255:V$279)</f>
        <v>0</v>
      </c>
      <c r="AK443" s="1072">
        <f>SUMIF(Meal_entry_week_2!G$255:G$279,"Fruit_juices_water",Meal_entry_week_2!V$255:V$279)</f>
        <v>0</v>
      </c>
      <c r="AL443" s="1070">
        <f>2360-SUM(V443:AK443)</f>
        <v>1672.998</v>
      </c>
    </row>
    <row r="444" spans="1:38">
      <c r="A444" s="1066"/>
      <c r="B444" s="956" t="s">
        <v>3065</v>
      </c>
      <c r="C444" s="945"/>
      <c r="D444" s="1072">
        <f>SUMIF(Meal_entry_week_1!G$156:G$180,"Vegetables_mushrooms_fresh_frozen",Meal_entry_week_1!V$156:V$180)</f>
        <v>40.800000000000004</v>
      </c>
      <c r="E444" s="1072">
        <f>SUMIF(Meal_entry_week_1!G$156:G$180,"Vegetables_processed",Meal_entry_week_1!V$156:V$180)</f>
        <v>0</v>
      </c>
      <c r="F444" s="1072">
        <f>SUMIF(Meal_entry_week_1!G$156:G$180,"Fruits_nuts_dried_fruit",Meal_entry_week_1!V$156:V$180)</f>
        <v>64.5</v>
      </c>
      <c r="G444" s="1072">
        <f>SUMIF(Meal_entry_week_1!G$156:G$180,"Meat_fresh_frozen",Meal_entry_week_1!V$156:V$180)</f>
        <v>319.5</v>
      </c>
      <c r="H444" s="1072">
        <f>SUMIF(Meal_entry_week_1!G$156:G$180,"Meat_processed",Meal_entry_week_1!V$156:V$180)</f>
        <v>0</v>
      </c>
      <c r="I444" s="1072">
        <f>SUMIF(Meal_entry_week_1!G$156:G$180,"Fish_fresh_frozen",Meal_entry_week_1!V$156:V$180)+SUMIF(Meal_entry_week_1!G$156:G$180,"Fish_processed_canned",Meal_entry_week_1!V$156:V$180)</f>
        <v>0</v>
      </c>
      <c r="J444" s="1072">
        <f>SUMIF(Meal_entry_week_1!G$156:G$180,"Eggs",Meal_entry_week_1!V$156:V$180)</f>
        <v>91.2</v>
      </c>
      <c r="K444" s="1072">
        <f>SUMIF(Meal_entry_week_1!G$156:G$180,"Dairy_products",Meal_entry_week_1!V$156:V$180)</f>
        <v>0</v>
      </c>
      <c r="L444" s="1072">
        <f>SUMIF(Meal_entry_week_1!G$156:G$180,"Oil_butter_margarine",Meal_entry_week_1!V$156:V$180)</f>
        <v>66.22</v>
      </c>
      <c r="M444" s="1072">
        <f>SUMIF(Meal_entry_week_1!G$156:G$180,"Flour_pasta_seeds_cereals",Meal_entry_week_1!V$156:V$180)</f>
        <v>216.3</v>
      </c>
      <c r="N444" s="1072">
        <f>SUMIF(Meal_entry_week_1!G$156:G$180,"Sauces_purees_dressings",Meal_entry_week_1!V$156:V$180)+SUMIF(Meal_entry_week_1!G$156:G$180,"Spices_seasonings",Meal_entry_week_1!V$156:V$180)</f>
        <v>84.21</v>
      </c>
      <c r="O444" s="1072">
        <f>SUMIF(Meal_entry_week_1!G$156:G$180,"Sweet_foods_cakes",Meal_entry_week_1!V$156:V$180)</f>
        <v>0</v>
      </c>
      <c r="P444" s="1072">
        <f>SUMIF(Meal_entry_week_1!G$156:G$180,"Bread_and_pastries",Meal_entry_week_1!V$156:V$180)+SUMIF(Meal_entry_week_1!G$156:G$180,"Savoury_pastries",Meal_entry_week_1!V$156:V$180)+SUMIF(Meal_entry_week_1!G$156:G$180,"Sweet_pastries",Meal_entry_week_1!V$156:V$180)</f>
        <v>121.50000000000001</v>
      </c>
      <c r="Q444" s="1072">
        <f>SUMIF(Meal_entry_week_1!G$156:G$180,"Other_processed_foods",Meal_entry_week_1!V$156:V$180)</f>
        <v>0</v>
      </c>
      <c r="R444" s="1072">
        <f>SUMIF(Meal_entry_week_1!G$156:G$180,"Sweetened_drinks_teas_coffee",Meal_entry_week_1!V$156:V$180)</f>
        <v>0</v>
      </c>
      <c r="S444" s="1072">
        <f>SUMIF(Meal_entry_week_1!G$156:G$180,"Fruit_juices_water",Meal_entry_week_1!V$156:V$180)</f>
        <v>0</v>
      </c>
      <c r="T444" s="1070">
        <f>2360-SUM(D444:S444)</f>
        <v>1355.77</v>
      </c>
      <c r="U444" s="956" t="s">
        <v>3065</v>
      </c>
      <c r="V444" s="1072">
        <f>SUMIF(Meal_entry_week_2!G$156:G$180,"Vegetables_mushrooms_fresh_frozen",Meal_entry_week_2!V$156:V$180)</f>
        <v>103.8</v>
      </c>
      <c r="W444" s="1072">
        <f>SUMIF(Meal_entry_week_2!G$156:G$180,"Vegetables_processed",Meal_entry_week_2!V$156:V$180)</f>
        <v>96</v>
      </c>
      <c r="X444" s="1072">
        <f>SUMIF(Meal_entry_week_2!G$156:G$180,"Fruits_nuts_dried_fruit",Meal_entry_week_2!V$156:V$180)</f>
        <v>64.5</v>
      </c>
      <c r="Y444" s="1072">
        <f>SUMIF(Meal_entry_week_2!G$156:G$180,"Meat_fresh_frozen",Meal_entry_week_2!V$156:V$180)</f>
        <v>0</v>
      </c>
      <c r="Z444" s="1072">
        <f>SUMIF(Meal_entry_week_2!G$156:G$180,"Meat_processed",Meal_entry_week_2!V$156:V$180)</f>
        <v>0</v>
      </c>
      <c r="AA444" s="1072">
        <f>SUMIF(Meal_entry_week_2!G$156:G$180,"Fish_fresh_frozen",Meal_entry_week_2!V$156:V$180)+SUMIF(Meal_entry_week_2!G$156:G$180,"Fish_processed_canned",Meal_entry_week_2!V$156:V$180)</f>
        <v>0</v>
      </c>
      <c r="AB444" s="1072">
        <f>SUMIF(Meal_entry_week_2!G$156:G$180,"Eggs",Meal_entry_week_2!V$156:V$180)</f>
        <v>0</v>
      </c>
      <c r="AC444" s="1072">
        <f>SUMIF(Meal_entry_week_2!G$156:G$180,"Dairy_products",Meal_entry_week_2!V$156:V$180)</f>
        <v>202.5</v>
      </c>
      <c r="AD444" s="1072">
        <f>SUMIF(Meal_entry_week_2!G$156:G$180,"Oil_butter_margarine",Meal_entry_week_2!V$156:V$180)</f>
        <v>23.650000000000002</v>
      </c>
      <c r="AE444" s="1072">
        <f>SUMIF(Meal_entry_week_2!G$156:G$180,"Flour_pasta_seeds_cereals",Meal_entry_week_2!V$156:V$180)</f>
        <v>384</v>
      </c>
      <c r="AF444" s="1072">
        <f>SUMIF(Meal_entry_week_2!G$156:G$180,"Sauces_purees_dressings",Meal_entry_week_2!V$156:V$180)+SUMIF(Meal_entry_week_2!G$156:G$180,"Spices_seasonings",Meal_entry_week_2!V$156:V$180)</f>
        <v>0.21000000000000002</v>
      </c>
      <c r="AG444" s="1072">
        <f>SUMIF(Meal_entry_week_2!G$156:G$180,"Sweet_foods_cakes",Meal_entry_week_2!V$156:V$180)</f>
        <v>0</v>
      </c>
      <c r="AH444" s="1072">
        <f>SUMIF(Meal_entry_week_2!G$156:G$180,"Bread_and_pastries",Meal_entry_week_2!V$156:V$180)+SUMIF(Meal_entry_week_2!G$156:G$180,"Savoury_pastries",Meal_entry_week_2!V$156:V$180)+SUMIF(Meal_entry_week_2!G$156:G$180,"Sweet_pastries",Meal_entry_week_2!V$156:V$180)</f>
        <v>121.50000000000001</v>
      </c>
      <c r="AI444" s="1072">
        <f>SUMIF(Meal_entry_week_2!G$156:G$180,"Other_processed_foods",Meal_entry_week_2!V$156:V$180)</f>
        <v>0</v>
      </c>
      <c r="AJ444" s="1072">
        <f>SUMIF(Meal_entry_week_2!G$156:G$180,"Sweetened_drinks_teas_coffee",Meal_entry_week_2!V$156:V$180)</f>
        <v>0</v>
      </c>
      <c r="AK444" s="1072">
        <f>SUMIF(Meal_entry_week_2!G$156:G$180,"Fruit_juices_water",Meal_entry_week_2!V$156:V$180)</f>
        <v>0</v>
      </c>
      <c r="AL444" s="1070">
        <f t="shared" ref="AL444" si="96">2360-SUM(V444:AK444)</f>
        <v>1363.84</v>
      </c>
    </row>
    <row r="445" spans="1:38">
      <c r="A445" s="1066"/>
      <c r="B445" s="1074" t="s">
        <v>3064</v>
      </c>
      <c r="C445" s="1027"/>
      <c r="D445" s="1075">
        <f>SUMIF(Meal_entry_week_1!G$57:G$81,"Vegetables_mushrooms_fresh_frozen",Meal_entry_week_1!V$57:V$81)</f>
        <v>269.39999999999998</v>
      </c>
      <c r="E445" s="1075">
        <f>SUMIF(Meal_entry_week_1!G$57:G$81,"Vegetables_processed",Meal_entry_week_1!V$57:V$81)</f>
        <v>0</v>
      </c>
      <c r="F445" s="1075">
        <f>SUMIF(Meal_entry_week_1!G$57:G$81,"Fruits_nuts_dried_fruit",Meal_entry_week_1!V$57:V$81)</f>
        <v>64.5</v>
      </c>
      <c r="G445" s="1075">
        <f>SUMIF(Meal_entry_week_1!G$57:G$81,"Meat_fresh_frozen",Meal_entry_week_1!V$57:V$81)</f>
        <v>130.80000000000001</v>
      </c>
      <c r="H445" s="1075">
        <f>SUMIF(Meal_entry_week_1!G$57:G$81,"Meat_processed",Meal_entry_week_1!V$57:V$81)</f>
        <v>0</v>
      </c>
      <c r="I445" s="1075">
        <f>SUMIF(Meal_entry_week_1!G$57:G$81,"Fish_fresh_frozen",Meal_entry_week_1!V$57:V$81)+SUMIF(Meal_entry_week_1!G$57:G$81,"Fish_processed_canned",Meal_entry_week_1!V$57:V$81)</f>
        <v>0</v>
      </c>
      <c r="J445" s="1075">
        <f>SUMIF(Meal_entry_week_1!G$57:G$81,"Eggs",Meal_entry_week_1!V$57:V$81)</f>
        <v>91.2</v>
      </c>
      <c r="K445" s="1075">
        <f>SUMIF(Meal_entry_week_1!G$57:G$81,"Dairy_products",Meal_entry_week_1!V$57:V$81)</f>
        <v>0</v>
      </c>
      <c r="L445" s="1075">
        <f>SUMIF(Meal_entry_week_1!G$57:G$81,"Oil_butter_margarine",Meal_entry_week_1!V$57:V$81)</f>
        <v>75.680000000000007</v>
      </c>
      <c r="M445" s="1075">
        <f>SUMIF(Meal_entry_week_1!G$57:G$81,"Flour_pasta_seeds_cereals",Meal_entry_week_1!V$57:V$81)</f>
        <v>24.3</v>
      </c>
      <c r="N445" s="1075">
        <f>SUMIF(Meal_entry_week_1!G$57:G$81,"Sauces_purees_dressings",Meal_entry_week_1!V$57:V$81)+SUMIF(Meal_entry_week_1!G$57:G$81,"Spices_seasonings",Meal_entry_week_1!V$57:V$81)</f>
        <v>5.0640000000000009</v>
      </c>
      <c r="O445" s="1075">
        <f>SUMIF(Meal_entry_week_1!G$57:G$81,"Sweet_foods_cakes",Meal_entry_week_1!V$57:V$81)</f>
        <v>0</v>
      </c>
      <c r="P445" s="1075">
        <f>SUMIF(Meal_entry_week_1!G$57:G$81,"Bread_and_pastries",Meal_entry_week_1!V$57:V$81)+SUMIF(Meal_entry_week_1!G$57:G$81,"Savoury_pastries",Meal_entry_week_1!V$57:V$81)+SUMIF(Meal_entry_week_1!G$57:G$81,"Sweet_pastries",Meal_entry_week_1!V$57:V$81)</f>
        <v>121.50000000000001</v>
      </c>
      <c r="Q445" s="1075">
        <f>SUMIF(Meal_entry_week_1!G$57:G$81,"Other_processed_foods",Meal_entry_week_1!V$57:V$81)</f>
        <v>0</v>
      </c>
      <c r="R445" s="1075">
        <f>SUMIF(Meal_entry_week_1!G$57:G$81,"Sweetened_drinks_teas_coffee",Meal_entry_week_1!V$57:V$81)</f>
        <v>0</v>
      </c>
      <c r="S445" s="1075">
        <f>SUMIF(Meal_entry_week_1!G$57:G$81,"Fruit_juices_water",Meal_entry_week_1!V$57:V$81)</f>
        <v>0</v>
      </c>
      <c r="T445" s="1078">
        <f>2360-SUM(D445:S445)</f>
        <v>1577.556</v>
      </c>
      <c r="U445" s="1074" t="s">
        <v>3064</v>
      </c>
      <c r="V445" s="1075">
        <f>SUMIF(Meal_entry_week_2!G$57:G$81,"Vegetables_mushrooms_fresh_frozen",Meal_entry_week_2!V$57:V$81)</f>
        <v>180.5</v>
      </c>
      <c r="W445" s="1075">
        <f>SUMIF(Meal_entry_week_2!G$57:G$81,"Vegetables_processed",Meal_entry_week_2!V$57:V$81)</f>
        <v>0</v>
      </c>
      <c r="X445" s="1075">
        <f>SUMIF(Meal_entry_week_2!G$57:G$81,"Fruits_nuts_dried_fruit",Meal_entry_week_2!V$57:V$81)</f>
        <v>51.6</v>
      </c>
      <c r="Y445" s="1075">
        <f>SUMIF(Meal_entry_week_2!G$57:G$81,"Meat_fresh_frozen",Meal_entry_week_2!V$57:V$81)</f>
        <v>451.99999999999994</v>
      </c>
      <c r="Z445" s="1075">
        <f>SUMIF(Meal_entry_week_2!G$57:G$81,"Meat_processed",Meal_entry_week_2!V$57:V$81)</f>
        <v>0</v>
      </c>
      <c r="AA445" s="1075">
        <f>SUMIF(Meal_entry_week_2!G$57:G$81,"Fish_fresh_frozen",Meal_entry_week_2!V$57:V$81)+SUMIF(Meal_entry_week_2!G$57:G$81,"Fish_processed_canned",Meal_entry_week_2!V$57:V$81)</f>
        <v>0</v>
      </c>
      <c r="AB445" s="1075">
        <f>SUMIF(Meal_entry_week_2!G$57:G$81,"Eggs",Meal_entry_week_2!V$57:V$81)</f>
        <v>60.8</v>
      </c>
      <c r="AC445" s="1075">
        <f>SUMIF(Meal_entry_week_2!G$57:G$81,"Dairy_products",Meal_entry_week_2!V$57:V$81)</f>
        <v>73</v>
      </c>
      <c r="AD445" s="1075">
        <f>SUMIF(Meal_entry_week_2!G$57:G$81,"Oil_butter_margarine",Meal_entry_week_2!V$57:V$81)</f>
        <v>160.82</v>
      </c>
      <c r="AE445" s="1075">
        <f>SUMIF(Meal_entry_week_2!G$57:G$81,"Flour_pasta_seeds_cereals",Meal_entry_week_2!V$57:V$81)</f>
        <v>16.200000000000003</v>
      </c>
      <c r="AF445" s="1075">
        <f>SUMIF(Meal_entry_week_2!G$57:G$81,"Sauces_purees_dressings",Meal_entry_week_2!V$57:V$81)+SUMIF(Meal_entry_week_2!G$57:G$81,"Spices_seasonings",Meal_entry_week_2!V$57:V$81)</f>
        <v>34.507999999999996</v>
      </c>
      <c r="AG445" s="1075">
        <f>SUMIF(Meal_entry_week_2!G$57:G$81,"Sweet_foods_cakes",Meal_entry_week_2!V$57:V$81)</f>
        <v>0</v>
      </c>
      <c r="AH445" s="1075">
        <f>SUMIF(Meal_entry_week_2!G$57:G$81,"Bread_and_pastries",Meal_entry_week_2!V$57:V$81)+SUMIF(Meal_entry_week_2!G$57:G$81,"Savoury_pastries",Meal_entry_week_2!V$57:V$81)+SUMIF(Meal_entry_week_2!G$57:G$81,"Sweet_pastries",Meal_entry_week_2!V$57:V$81)</f>
        <v>81</v>
      </c>
      <c r="AI445" s="1075">
        <f>SUMIF(Meal_entry_week_2!G$57:G$81,"Other_processed_foods",Meal_entry_week_2!V$57:V$81)</f>
        <v>0</v>
      </c>
      <c r="AJ445" s="1075">
        <f>SUMIF(Meal_entry_week_2!G$57:G$81,"Sweetened_drinks_teas_coffee",Meal_entry_week_2!V$57:V$81)</f>
        <v>0</v>
      </c>
      <c r="AK445" s="1075">
        <f>SUMIF(Meal_entry_week_2!G$57:G$81,"Fruit_juices_water",Meal_entry_week_2!V$57:V$81)</f>
        <v>0</v>
      </c>
      <c r="AL445" s="1078">
        <f>2360-SUM(V445:AK445)</f>
        <v>1249.5720000000001</v>
      </c>
    </row>
    <row r="446" spans="1:38">
      <c r="A446" s="1066"/>
      <c r="B446" s="956" t="s">
        <v>3574</v>
      </c>
      <c r="C446" s="945"/>
      <c r="D446" s="1269" t="s">
        <v>3140</v>
      </c>
      <c r="E446" s="1083" t="s">
        <v>3069</v>
      </c>
      <c r="F446" s="1083" t="s">
        <v>3077</v>
      </c>
      <c r="G446" s="1083" t="s">
        <v>3073</v>
      </c>
      <c r="H446" s="1083" t="s">
        <v>3070</v>
      </c>
      <c r="I446" s="913" t="s">
        <v>3575</v>
      </c>
      <c r="J446" s="913" t="s">
        <v>3072</v>
      </c>
      <c r="K446" s="1083" t="s">
        <v>3085</v>
      </c>
      <c r="L446" s="1083" t="s">
        <v>3075</v>
      </c>
      <c r="M446" s="1083" t="s">
        <v>3141</v>
      </c>
      <c r="N446" s="1083" t="s">
        <v>3550</v>
      </c>
      <c r="O446" s="1083" t="s">
        <v>3078</v>
      </c>
      <c r="P446" s="1083" t="s">
        <v>3551</v>
      </c>
      <c r="Q446" s="1083" t="s">
        <v>3082</v>
      </c>
      <c r="R446" s="1083" t="s">
        <v>3083</v>
      </c>
      <c r="S446" s="1083" t="s">
        <v>3084</v>
      </c>
      <c r="T446" s="1068"/>
      <c r="U446" s="956" t="s">
        <v>3574</v>
      </c>
      <c r="V446" s="1269" t="s">
        <v>3140</v>
      </c>
      <c r="W446" s="1083" t="s">
        <v>3069</v>
      </c>
      <c r="X446" s="1083" t="s">
        <v>3077</v>
      </c>
      <c r="Y446" s="1083" t="s">
        <v>3073</v>
      </c>
      <c r="Z446" s="1083" t="s">
        <v>3070</v>
      </c>
      <c r="AA446" s="913" t="s">
        <v>3575</v>
      </c>
      <c r="AB446" s="913" t="s">
        <v>3072</v>
      </c>
      <c r="AC446" s="1083" t="s">
        <v>3085</v>
      </c>
      <c r="AD446" s="1083" t="s">
        <v>3075</v>
      </c>
      <c r="AE446" s="1083" t="s">
        <v>3141</v>
      </c>
      <c r="AF446" s="1083" t="s">
        <v>3550</v>
      </c>
      <c r="AG446" s="1083" t="s">
        <v>3078</v>
      </c>
      <c r="AH446" s="1083" t="s">
        <v>3551</v>
      </c>
      <c r="AI446" s="1083" t="s">
        <v>3082</v>
      </c>
      <c r="AJ446" s="1083" t="s">
        <v>3083</v>
      </c>
      <c r="AK446" s="1083" t="s">
        <v>3084</v>
      </c>
      <c r="AL446" s="1068"/>
    </row>
    <row r="447" spans="1:38">
      <c r="A447" s="1066"/>
      <c r="B447" s="956" t="s">
        <v>3068</v>
      </c>
      <c r="C447" s="945"/>
      <c r="D447" s="1069">
        <f>SUMIF(Meal_entry_week_1!G$485:G$496,"Vegetables_mushrooms_fresh_frozen",Meal_entry_week_1!V$485:V$496)</f>
        <v>0</v>
      </c>
      <c r="E447" s="1069">
        <f>SUMIF(Meal_entry_week_1!G$485:G$496,"Vegetables_processed",Meal_entry_week_1!V$485:V$496)</f>
        <v>0</v>
      </c>
      <c r="F447" s="1069">
        <f>SUMIF(Meal_entry_week_1!G$485:G$496,"Fruits_nuts_dried_fruit",Meal_entry_week_1!V$485:V$496)</f>
        <v>0</v>
      </c>
      <c r="G447" s="1069">
        <f>SUMIF(Meal_entry_week_1!G$485:G$496,"Meat_fresh_frozen",Meal_entry_week_1!V$485:V$496)</f>
        <v>0</v>
      </c>
      <c r="H447" s="1069">
        <f>SUMIF(Meal_entry_week_1!G$485:G$496,"Meat_processed",Meal_entry_week_1!V$485:V$496)</f>
        <v>0</v>
      </c>
      <c r="I447" s="1069">
        <f>SUMIF(Meal_entry_week_1!G$485:G$496,"Fish_fresh_frozen",Meal_entry_week_1!V$485:V$496)+SUMIF(Meal_entry_week_1!G$485:G$496,"Fish_processed_canned",Meal_entry_week_1!V$485:V$496)</f>
        <v>0</v>
      </c>
      <c r="J447" s="1069">
        <f>SUMIF(Meal_entry_week_1!G$485:G$496,"Eggs",Meal_entry_week_1!V$485:V$496)</f>
        <v>0</v>
      </c>
      <c r="K447" s="1069">
        <f>SUMIF(Meal_entry_week_1!G$485:G$496,"Dairy_products",Meal_entry_week_1!V$485:V$496)</f>
        <v>0</v>
      </c>
      <c r="L447" s="1069">
        <f>SUMIF(Meal_entry_week_1!G$485:G$496,"Oil_butter_margarine",Meal_entry_week_1!V$485:V$496)</f>
        <v>0</v>
      </c>
      <c r="M447" s="1069">
        <f>SUMIF(Meal_entry_week_1!G$485:G$496,"Flour_pasta_seeds_cereals",Meal_entry_week_1!V$485:V$496)</f>
        <v>0</v>
      </c>
      <c r="N447" s="1069">
        <f>SUMIF(Meal_entry_week_1!G$485:G$496,"Sauces_purees_dressings",Meal_entry_week_1!V$485:V$496)+SUMIF(Meal_entry_week_1!G$485:G$496,"Spices_seasonings",Meal_entry_week_1!V$485:V$496)</f>
        <v>0</v>
      </c>
      <c r="O447" s="1069">
        <f>SUMIF(Meal_entry_week_1!G$485:G$496,"Sweet_foods_cakes",Meal_entry_week_1!V$485:V$496)</f>
        <v>0</v>
      </c>
      <c r="P447" s="1069">
        <f>SUMIF(Meal_entry_week_1!G$485:G$496,"Bread_and_pastries",Meal_entry_week_1!V$485:V$496)+SUMIF(Meal_entry_week_1!G$485:G$496,"Savoury_pastries",Meal_entry_week_1!V$485:V$496)+SUMIF(Meal_entry_week_1!G$485:G$496,"Sweet_pastries",Meal_entry_week_1!V$485:V$496)</f>
        <v>0</v>
      </c>
      <c r="Q447" s="1069">
        <f>SUMIF(Meal_entry_week_1!G$485:G$496,"Other_processed_foods",Meal_entry_week_1!V$485:V$496)</f>
        <v>0</v>
      </c>
      <c r="R447" s="1069">
        <f>SUMIF(Meal_entry_week_1!G$485:G$496,"Sweetened_drinks_teas_coffee",Meal_entry_week_1!V$485:V$496)</f>
        <v>0</v>
      </c>
      <c r="S447" s="1069">
        <f>SUMIF(Meal_entry_week_1!G$485:G$496,"Fruit_juices_water",Meal_entry_week_1!V$485:V$496)</f>
        <v>0</v>
      </c>
      <c r="T447" s="1070">
        <f>1120-SUM(D447:S447)</f>
        <v>1120</v>
      </c>
      <c r="U447" s="956" t="s">
        <v>3068</v>
      </c>
      <c r="V447" s="1069">
        <f>SUMIF(Meal_entry_week_2!G$485:G$496,"Vegetables_mushrooms_fresh_frozen",Meal_entry_week_2!V$485:V$496)</f>
        <v>0</v>
      </c>
      <c r="W447" s="1069">
        <f>SUMIF(Meal_entry_week_2!G$485:G$496,"Vegetables_processed",Meal_entry_week_2!V$485:V$496)</f>
        <v>0</v>
      </c>
      <c r="X447" s="1069">
        <f>SUMIF(Meal_entry_week_2!G$485:G$496,"Fruits_nuts_dried_fruit",Meal_entry_week_2!V$485:V$496)</f>
        <v>0</v>
      </c>
      <c r="Y447" s="1069">
        <f>SUMIF(Meal_entry_week_2!G$485:G$496,"Meat_fresh_frozen",Meal_entry_week_2!V$485:V$496)</f>
        <v>0</v>
      </c>
      <c r="Z447" s="1069">
        <f>SUMIF(Meal_entry_week_2!G$485:G$496,"Meat_processed",Meal_entry_week_2!V$485:V$496)</f>
        <v>0</v>
      </c>
      <c r="AA447" s="1069">
        <f>SUMIF(Meal_entry_week_2!G$485:G$496,"Fish_fresh_frozen",Meal_entry_week_2!V$485:V$496)+SUMIF(Meal_entry_week_2!G$485:G$496,"Fish_processed_canned",Meal_entry_week_2!V$485:V$496)</f>
        <v>0</v>
      </c>
      <c r="AB447" s="1069">
        <f>SUMIF(Meal_entry_week_2!G$485:G$496,"Eggs",Meal_entry_week_2!V$485:V$496)</f>
        <v>0</v>
      </c>
      <c r="AC447" s="1069">
        <f>SUMIF(Meal_entry_week_2!G$485:G$496,"Dairy_products",Meal_entry_week_2!V$485:V$496)</f>
        <v>0</v>
      </c>
      <c r="AD447" s="1069">
        <f>SUMIF(Meal_entry_week_2!G$485:G$496,"Oil_butter_margarine",Meal_entry_week_2!V$485:V$496)</f>
        <v>0</v>
      </c>
      <c r="AE447" s="1069">
        <f>SUMIF(Meal_entry_week_2!G$485:G$496,"Flour_pasta_seeds_cereals",Meal_entry_week_2!V$485:V$496)</f>
        <v>0</v>
      </c>
      <c r="AF447" s="1069">
        <f>SUMIF(Meal_entry_week_2!G$485:G$496,"Sauces_purees_dressings",Meal_entry_week_2!V$485:V$496)+SUMIF(Meal_entry_week_2!G$485:G$496,"Spices_seasonings",Meal_entry_week_2!V$485:V$496)</f>
        <v>0</v>
      </c>
      <c r="AG447" s="1069">
        <f>SUMIF(Meal_entry_week_2!G$485:G$496,"Sweet_foods_cakes",Meal_entry_week_2!V$485:V$496)</f>
        <v>0</v>
      </c>
      <c r="AH447" s="1069">
        <f>SUMIF(Meal_entry_week_2!G$485:G$496,"Bread_and_pastries",Meal_entry_week_2!V$485:V$496)+SUMIF(Meal_entry_week_2!G$485:G$496,"Savoury_pastries",Meal_entry_week_2!V$485:V$496)+SUMIF(Meal_entry_week_2!G$485:G$496,"Sweet_pastries",Meal_entry_week_2!V$485:V$496)</f>
        <v>0</v>
      </c>
      <c r="AI447" s="1069">
        <f>SUMIF(Meal_entry_week_2!G$485:G$496,"Other_processed_foods",Meal_entry_week_2!V$485:V$496)</f>
        <v>0</v>
      </c>
      <c r="AJ447" s="1069">
        <f>SUMIF(Meal_entry_week_2!G$485:G$496,"Sweetened_drinks_teas_coffee",Meal_entry_week_2!V$485:V$496)</f>
        <v>0</v>
      </c>
      <c r="AK447" s="1069">
        <f>SUMIF(Meal_entry_week_2!G$485:G$496,"Fruit_juices_water",Meal_entry_week_2!V$485:V$496)</f>
        <v>0</v>
      </c>
      <c r="AL447" s="1070">
        <f>1120-SUM(V447:AK447)</f>
        <v>1120</v>
      </c>
    </row>
    <row r="448" spans="1:38" s="1071" customFormat="1">
      <c r="A448" s="1066"/>
      <c r="B448" s="956" t="s">
        <v>3067</v>
      </c>
      <c r="C448" s="945"/>
      <c r="D448" s="1069">
        <f>SUMIF(Meal_entry_week_1!G$386:G$397,"Vegetables_mushrooms_fresh_frozen",Meal_entry_week_1!V$386:V$397)</f>
        <v>0</v>
      </c>
      <c r="E448" s="1069">
        <f>SUMIF(Meal_entry_week_1!G$386:G$397,"Vegetables_processed",Meal_entry_week_1!V$386:V$397)</f>
        <v>0</v>
      </c>
      <c r="F448" s="1069">
        <f>SUMIF(Meal_entry_week_1!G$386:G$397,"Fruits_nuts_dried_fruit",Meal_entry_week_1!V$386:V$397)</f>
        <v>0</v>
      </c>
      <c r="G448" s="1069">
        <f>SUMIF(Meal_entry_week_1!G$386:G$397,"Meat_fresh_frozen",Meal_entry_week_1!V$386:V$397)</f>
        <v>0</v>
      </c>
      <c r="H448" s="1069">
        <f>SUMIF(Meal_entry_week_1!G$386:G$397,"Meat_processed",Meal_entry_week_1!V$386:V$397)</f>
        <v>0</v>
      </c>
      <c r="I448" s="1069">
        <f>SUMIF(Meal_entry_week_1!G$386:G$397,"Fish_fresh_frozen",Meal_entry_week_1!V$386:V$397)+SUMIF(Meal_entry_week_1!G$386:G$397,"Fish_processed_canned",Meal_entry_week_1!V$386:V$397)</f>
        <v>0</v>
      </c>
      <c r="J448" s="1069">
        <f>SUMIF(Meal_entry_week_1!G$386:G$397,"Eggs",Meal_entry_week_1!V$386:V$397)</f>
        <v>0</v>
      </c>
      <c r="K448" s="1069">
        <f>SUMIF(Meal_entry_week_1!G$386:G$397,"Dairy_products",Meal_entry_week_1!V$386:V$397)</f>
        <v>0</v>
      </c>
      <c r="L448" s="1069">
        <f>SUMIF(Meal_entry_week_1!G$386:G$397,"Oil_butter_margarine",Meal_entry_week_1!V$386:V$397)</f>
        <v>0</v>
      </c>
      <c r="M448" s="1069">
        <f>SUMIF(Meal_entry_week_1!G$386:G$397,"Flour_pasta_seeds_cereals",Meal_entry_week_1!V$386:V$397)</f>
        <v>0</v>
      </c>
      <c r="N448" s="1069">
        <f>SUMIF(Meal_entry_week_1!G$386:G$397,"Sauces_purees_dressings",Meal_entry_week_1!V$386:V$397)+SUMIF(Meal_entry_week_1!G$386:G$397,"Spices_seasonings",Meal_entry_week_1!V$386:V$397)</f>
        <v>0</v>
      </c>
      <c r="O448" s="1069">
        <f>SUMIF(Meal_entry_week_1!G$386:G$397,"Sweet_foods_cakes",Meal_entry_week_1!V$386:V$397)</f>
        <v>0</v>
      </c>
      <c r="P448" s="1069">
        <f>SUMIF(Meal_entry_week_1!G$386:G$397,"Bread_and_pastries",Meal_entry_week_1!V$386:V$397)+SUMIF(Meal_entry_week_1!G$386:G$397,"Savoury_pastries",Meal_entry_week_1!V$386:V$397)+SUMIF(Meal_entry_week_1!G$386:G$397,"Sweet_pastries",Meal_entry_week_1!V$386:V$397)</f>
        <v>0</v>
      </c>
      <c r="Q448" s="1069">
        <f>SUMIF(Meal_entry_week_1!G$386:G$397,"Other_processed_foods",Meal_entry_week_1!V$386:V$397)</f>
        <v>0</v>
      </c>
      <c r="R448" s="1069">
        <f>SUMIF(Meal_entry_week_1!G$386:G$397,"Sweetened_drinks_teas_coffee",Meal_entry_week_1!V$386:V$397)</f>
        <v>0</v>
      </c>
      <c r="S448" s="1069">
        <f>SUMIF(Meal_entry_week_1!G$386:G$397,"Fruit_juices_water",Meal_entry_week_1!V$386:V$397)</f>
        <v>0</v>
      </c>
      <c r="T448" s="1069">
        <f>1120-SUM(D448:S448)</f>
        <v>1120</v>
      </c>
      <c r="U448" s="956" t="s">
        <v>3067</v>
      </c>
      <c r="V448" s="1069">
        <f>SUMIF(Meal_entry_week_2!G$386:G$397,"Vegetables_mushrooms_fresh_frozen",Meal_entry_week_2!V$386:V$397)</f>
        <v>0</v>
      </c>
      <c r="W448" s="1069">
        <f>SUMIF(Meal_entry_week_2!G$386:G$397,"Vegetables_processed",Meal_entry_week_2!V$386:V$397)</f>
        <v>0</v>
      </c>
      <c r="X448" s="1069">
        <f>SUMIF(Meal_entry_week_2!G$386:G$397,"Fruits_nuts_dried_fruit",Meal_entry_week_2!V$386:V$397)</f>
        <v>0</v>
      </c>
      <c r="Y448" s="1069">
        <f>SUMIF(Meal_entry_week_2!G$386:G$397,"Meat_fresh_frozen",Meal_entry_week_2!V$386:V$397)</f>
        <v>0</v>
      </c>
      <c r="Z448" s="1069">
        <f>SUMIF(Meal_entry_week_2!G$386:G$397,"Meat_processed",Meal_entry_week_2!V$386:V$397)</f>
        <v>0</v>
      </c>
      <c r="AA448" s="1069">
        <f>SUMIF(Meal_entry_week_2!G$386:G$397,"Fish_fresh_frozen",Meal_entry_week_2!V$386:V$397)+SUMIF(Meal_entry_week_2!G$386:G$397,"Fish_processed_canned",Meal_entry_week_2!V$386:V$397)</f>
        <v>0</v>
      </c>
      <c r="AB448" s="1069">
        <f>SUMIF(Meal_entry_week_2!G$386:G$397,"Eggs",Meal_entry_week_2!V$386:V$397)</f>
        <v>0</v>
      </c>
      <c r="AC448" s="1069">
        <f>SUMIF(Meal_entry_week_2!G$386:G$397,"Dairy_products",Meal_entry_week_2!V$386:V$397)</f>
        <v>0</v>
      </c>
      <c r="AD448" s="1069">
        <f>SUMIF(Meal_entry_week_2!G$386:G$397,"Oil_butter_margarine",Meal_entry_week_2!V$386:V$397)</f>
        <v>0</v>
      </c>
      <c r="AE448" s="1069">
        <f>SUMIF(Meal_entry_week_2!G$386:G$397,"Flour_pasta_seeds_cereals",Meal_entry_week_2!V$386:V$397)</f>
        <v>0</v>
      </c>
      <c r="AF448" s="1069">
        <f>SUMIF(Meal_entry_week_2!G$386:G$397,"Sauces_purees_dressings",Meal_entry_week_2!V$386:V$397)+SUMIF(Meal_entry_week_2!G$386:G$397,"Spices_seasonings",Meal_entry_week_2!V$386:V$397)</f>
        <v>0</v>
      </c>
      <c r="AG448" s="1069">
        <f>SUMIF(Meal_entry_week_2!G$386:G$397,"Sweet_foods_cakes",Meal_entry_week_2!V$386:V$397)</f>
        <v>0</v>
      </c>
      <c r="AH448" s="1069">
        <f>SUMIF(Meal_entry_week_2!G$386:G$397,"Bread_and_pastries",Meal_entry_week_2!V$386:V$397)+SUMIF(Meal_entry_week_2!G$386:G$397,"Savoury_pastries",Meal_entry_week_2!V$386:V$397)+SUMIF(Meal_entry_week_2!G$386:G$397,"Sweet_pastries",Meal_entry_week_2!V$386:V$397)</f>
        <v>0</v>
      </c>
      <c r="AI448" s="1069">
        <f>SUMIF(Meal_entry_week_2!G$386:G$397,"Other_processed_foods",Meal_entry_week_2!V$386:V$397)</f>
        <v>0</v>
      </c>
      <c r="AJ448" s="1069">
        <f>SUMIF(Meal_entry_week_2!G$386:G$397,"Sweetened_drinks_teas_coffee",Meal_entry_week_2!V$386:V$397)</f>
        <v>0</v>
      </c>
      <c r="AK448" s="1069">
        <f>SUMIF(Meal_entry_week_2!G$386:G$397,"Fruit_juices_water",Meal_entry_week_2!V$386:V$397)</f>
        <v>0</v>
      </c>
      <c r="AL448" s="1069">
        <f>1120-SUM(V448:AK448)</f>
        <v>1120</v>
      </c>
    </row>
    <row r="449" spans="1:38">
      <c r="A449" s="1066"/>
      <c r="B449" s="956" t="s">
        <v>3066</v>
      </c>
      <c r="C449" s="945"/>
      <c r="D449" s="1072">
        <f>SUMIF(Meal_entry_week_1!G$287:G$298,"Vegetables_mushrooms_fresh_frozen",Meal_entry_week_1!V$287:V$298)</f>
        <v>0</v>
      </c>
      <c r="E449" s="1072">
        <f>SUMIF(Meal_entry_week_1!G$287:G$298,"Vegetables_processed",Meal_entry_week_1!V$287:V$298)</f>
        <v>0</v>
      </c>
      <c r="F449" s="1072">
        <f>SUMIF(Meal_entry_week_1!G$287:G$298,"Fruits_nuts_dried_fruit",Meal_entry_week_1!V$287:V$298)</f>
        <v>0</v>
      </c>
      <c r="G449" s="1072">
        <f>SUMIF(Meal_entry_week_1!G$287:G$298,"Meat_fresh_frozen",Meal_entry_week_1!V$287:V$298)</f>
        <v>0</v>
      </c>
      <c r="H449" s="1072">
        <f>SUMIF(Meal_entry_week_1!G$287:G$298,"Meat_processed",Meal_entry_week_1!V$287:V$298)</f>
        <v>0</v>
      </c>
      <c r="I449" s="1072">
        <f>SUMIF(Meal_entry_week_1!G$287:G$298,"Fish_fresh_frozen",Meal_entry_week_1!V$287:V$298)+SUMIF(Meal_entry_week_1!G$287:G$298,"Fish_processed_canned",Meal_entry_week_1!V$287:V$298)</f>
        <v>0</v>
      </c>
      <c r="J449" s="1072">
        <f>SUMIF(Meal_entry_week_1!G$287:G$298,"Eggs",Meal_entry_week_1!V$287:V$298)</f>
        <v>0</v>
      </c>
      <c r="K449" s="1072">
        <f>SUMIF(Meal_entry_week_1!G$287:G$298,"Dairy_products",Meal_entry_week_1!V$287:V$298)</f>
        <v>0</v>
      </c>
      <c r="L449" s="1072">
        <f>SUMIF(Meal_entry_week_1!G$287:G$298,"Oil_butter_margarine",Meal_entry_week_1!V$287:V$298)</f>
        <v>0</v>
      </c>
      <c r="M449" s="1072">
        <f>SUMIF(Meal_entry_week_1!G$287:G$298,"Flour_pasta_seeds_cereals",Meal_entry_week_1!V$287:V$298)</f>
        <v>0</v>
      </c>
      <c r="N449" s="1072">
        <f>SUMIF(Meal_entry_week_1!G$287:G$298,"Sauces_purees_dressings",Meal_entry_week_1!V$287:V$298)+SUMIF(Meal_entry_week_1!G$287:G$298,"Spices_seasonings",Meal_entry_week_1!V$287:V$298)</f>
        <v>0</v>
      </c>
      <c r="O449" s="1072">
        <f>SUMIF(Meal_entry_week_1!G$287:G$298,"Sweet_foods_cakes",Meal_entry_week_1!V$287:V$298)</f>
        <v>0</v>
      </c>
      <c r="P449" s="1072">
        <f>SUMIF(Meal_entry_week_1!G$287:G$298,"Bread_and_pastries",Meal_entry_week_1!V$287:V$298)+SUMIF(Meal_entry_week_1!G$287:G$298,"Savoury_pastries",Meal_entry_week_1!V$287:V$298)+SUMIF(Meal_entry_week_1!G$287:G$298,"Sweet_pastries",Meal_entry_week_1!V$287:V$298)</f>
        <v>0</v>
      </c>
      <c r="Q449" s="1072">
        <f>SUMIF(Meal_entry_week_1!G$287:G$298,"Other_processed_foods",Meal_entry_week_1!V$287:V$298)</f>
        <v>0</v>
      </c>
      <c r="R449" s="1072">
        <f>SUMIF(Meal_entry_week_1!G$287:G$298,"Sweetened_drinks_teas_coffee",Meal_entry_week_1!V$287:V$298)</f>
        <v>0</v>
      </c>
      <c r="S449" s="1072">
        <f>SUMIF(Meal_entry_week_1!G$287:G$298,"Fruit_juices_water",Meal_entry_week_1!V$287:V$298)</f>
        <v>0</v>
      </c>
      <c r="T449" s="1070">
        <f>1120-SUM(D449:S449)</f>
        <v>1120</v>
      </c>
      <c r="U449" s="956" t="s">
        <v>3066</v>
      </c>
      <c r="V449" s="1072">
        <f>SUMIF(Meal_entry_week_2!G$287:G$298,"Vegetables_mushrooms_fresh_frozen",Meal_entry_week_2!V$287:V$298)</f>
        <v>0</v>
      </c>
      <c r="W449" s="1072">
        <f>SUMIF(Meal_entry_week_2!G$287:G$298,"Vegetables_processed",Meal_entry_week_2!V$287:V$298)</f>
        <v>0</v>
      </c>
      <c r="X449" s="1072">
        <f>SUMIF(Meal_entry_week_2!G$287:G$298,"Fruits_nuts_dried_fruit",Meal_entry_week_2!V$287:V$298)</f>
        <v>0</v>
      </c>
      <c r="Y449" s="1072">
        <f>SUMIF(Meal_entry_week_2!G$287:G$298,"Meat_fresh_frozen",Meal_entry_week_2!V$287:V$298)</f>
        <v>0</v>
      </c>
      <c r="Z449" s="1072">
        <f>SUMIF(Meal_entry_week_2!G$287:G$298,"Meat_processed",Meal_entry_week_2!V$287:V$298)</f>
        <v>0</v>
      </c>
      <c r="AA449" s="1072">
        <f>SUMIF(Meal_entry_week_2!G$287:G$298,"Fish_fresh_frozen",Meal_entry_week_2!V$287:V$298)+SUMIF(Meal_entry_week_2!G$287:G$298,"Fish_processed_canned",Meal_entry_week_2!V$287:V$298)</f>
        <v>0</v>
      </c>
      <c r="AB449" s="1072">
        <f>SUMIF(Meal_entry_week_2!G$287:G$298,"Eggs",Meal_entry_week_2!V$287:V$298)</f>
        <v>0</v>
      </c>
      <c r="AC449" s="1072">
        <f>SUMIF(Meal_entry_week_2!G$287:G$298,"Dairy_products",Meal_entry_week_2!V$287:V$298)</f>
        <v>0</v>
      </c>
      <c r="AD449" s="1072">
        <f>SUMIF(Meal_entry_week_2!G$287:G$298,"Oil_butter_margarine",Meal_entry_week_2!V$287:V$298)</f>
        <v>0</v>
      </c>
      <c r="AE449" s="1072">
        <f>SUMIF(Meal_entry_week_2!G$287:G$298,"Flour_pasta_seeds_cereals",Meal_entry_week_2!V$287:V$298)</f>
        <v>0</v>
      </c>
      <c r="AF449" s="1072">
        <f>SUMIF(Meal_entry_week_2!G$287:G$298,"Sauces_purees_dressings",Meal_entry_week_2!V$287:V$298)+SUMIF(Meal_entry_week_2!G$287:G$298,"Spices_seasonings",Meal_entry_week_2!V$287:V$298)</f>
        <v>0</v>
      </c>
      <c r="AG449" s="1072">
        <f>SUMIF(Meal_entry_week_2!G$287:G$298,"Sweet_foods_cakes",Meal_entry_week_2!V$287:V$298)</f>
        <v>0</v>
      </c>
      <c r="AH449" s="1072">
        <f>SUMIF(Meal_entry_week_2!G$287:G$298,"Bread_and_pastries",Meal_entry_week_2!V$287:V$298)+SUMIF(Meal_entry_week_2!G$287:G$298,"Savoury_pastries",Meal_entry_week_2!V$287:V$298)+SUMIF(Meal_entry_week_2!G$287:G$298,"Sweet_pastries",Meal_entry_week_2!V$287:V$298)</f>
        <v>0</v>
      </c>
      <c r="AI449" s="1072">
        <f>SUMIF(Meal_entry_week_2!G$287:G$298,"Other_processed_foods",Meal_entry_week_2!V$287:V$298)</f>
        <v>0</v>
      </c>
      <c r="AJ449" s="1072">
        <f>SUMIF(Meal_entry_week_2!G$287:G$298,"Sweetened_drinks_teas_coffee",Meal_entry_week_2!V$287:V$298)</f>
        <v>0</v>
      </c>
      <c r="AK449" s="1072">
        <f>SUMIF(Meal_entry_week_2!G$287:G$298,"Fruit_juices_water",Meal_entry_week_2!V$287:V$298)</f>
        <v>0</v>
      </c>
      <c r="AL449" s="1070">
        <f>1120-SUM(V449:AK449)</f>
        <v>1120</v>
      </c>
    </row>
    <row r="450" spans="1:38">
      <c r="A450" s="1066"/>
      <c r="B450" s="956" t="s">
        <v>3065</v>
      </c>
      <c r="C450" s="945"/>
      <c r="D450" s="1072">
        <f>SUMIF(Meal_entry_week_1!G$188:G$199,"Vegetables_mushrooms_fresh_frozen",Meal_entry_week_1!V$188:V$199)</f>
        <v>0</v>
      </c>
      <c r="E450" s="1072">
        <f>SUMIF(Meal_entry_week_1!G$188:G$199,"Vegetables_processed",Meal_entry_week_1!V$188:V$199)</f>
        <v>0</v>
      </c>
      <c r="F450" s="1072">
        <f>SUMIF(Meal_entry_week_1!G$188:G$199,"Fruits_nuts_dried_fruit",Meal_entry_week_1!V$188:V$199)</f>
        <v>0</v>
      </c>
      <c r="G450" s="1072">
        <f>SUMIF(Meal_entry_week_1!G$188:G$199,"Meat_fresh_frozen",Meal_entry_week_1!V$188:V$199)</f>
        <v>0</v>
      </c>
      <c r="H450" s="1072">
        <f>SUMIF(Meal_entry_week_1!G$188:G$199,"Meat_processed",Meal_entry_week_1!V$188:V$199)</f>
        <v>0</v>
      </c>
      <c r="I450" s="1072">
        <f>SUMIF(Meal_entry_week_1!G$188:G$199,"Fish_fresh_frozen",Meal_entry_week_1!V$188:V$199)+SUMIF(Meal_entry_week_1!G$188:G$199,"Fish_processed_canned",Meal_entry_week_1!V$188:V$199)</f>
        <v>0</v>
      </c>
      <c r="J450" s="1072">
        <f>SUMIF(Meal_entry_week_1!G$188:G$199,"Eggs",Meal_entry_week_1!V$188:V$199)</f>
        <v>0</v>
      </c>
      <c r="K450" s="1072">
        <f>SUMIF(Meal_entry_week_1!G$188:G$199,"Dairy_products",Meal_entry_week_1!V$188:V$199)</f>
        <v>0</v>
      </c>
      <c r="L450" s="1072">
        <f>SUMIF(Meal_entry_week_1!G$188:G$199,"Oil_butter_margarine",Meal_entry_week_1!V$188:V$199)</f>
        <v>0</v>
      </c>
      <c r="M450" s="1072">
        <f>SUMIF(Meal_entry_week_1!G$188:G$199,"Flour_pasta_seeds_cereals",Meal_entry_week_1!V$188:V$199)</f>
        <v>0</v>
      </c>
      <c r="N450" s="1072">
        <f>SUMIF(Meal_entry_week_1!G$188:G$199,"Sauces_purees_dressings",Meal_entry_week_1!V$188:V$199)+SUMIF(Meal_entry_week_1!G$188:G$199,"Spices_seasonings",Meal_entry_week_1!V$188:V$199)</f>
        <v>0</v>
      </c>
      <c r="O450" s="1072">
        <f>SUMIF(Meal_entry_week_1!G$188:G$199,"Sweet_foods_cakes",Meal_entry_week_1!V$188:V$199)</f>
        <v>0</v>
      </c>
      <c r="P450" s="1072">
        <f>SUMIF(Meal_entry_week_1!G$188:G$199,"Bread_and_pastries",Meal_entry_week_1!V$188:V$199)+SUMIF(Meal_entry_week_1!G$188:G$199,"Savoury_pastries",Meal_entry_week_1!V$188:V$199)+SUMIF(Meal_entry_week_1!G$188:G$199,"Sweet_pastries",Meal_entry_week_1!V$188:V$199)</f>
        <v>0</v>
      </c>
      <c r="Q450" s="1072">
        <f>SUMIF(Meal_entry_week_1!G$188:G$199,"Other_processed_foods",Meal_entry_week_1!V$188:V$199)</f>
        <v>0</v>
      </c>
      <c r="R450" s="1072">
        <f>SUMIF(Meal_entry_week_1!G$188:G$199,"Sweetened_drinks_teas_coffee",Meal_entry_week_1!V$188:V$199)</f>
        <v>0</v>
      </c>
      <c r="S450" s="1072">
        <f>SUMIF(Meal_entry_week_1!G$188:G$199,"Fruit_juices_water",Meal_entry_week_1!V$188:V$199)</f>
        <v>0</v>
      </c>
      <c r="T450" s="1070">
        <f>1120-SUM(D450:S450)</f>
        <v>1120</v>
      </c>
      <c r="U450" s="956" t="s">
        <v>3065</v>
      </c>
      <c r="V450" s="1072">
        <f>SUMIF(Meal_entry_week_2!G$188:G$199,"Vegetables_mushrooms_fresh_frozen",Meal_entry_week_2!V$188:V$199)</f>
        <v>0</v>
      </c>
      <c r="W450" s="1072">
        <f>SUMIF(Meal_entry_week_2!G$188:G$199,"Vegetables_processed",Meal_entry_week_2!V$188:V$199)</f>
        <v>0</v>
      </c>
      <c r="X450" s="1072">
        <f>SUMIF(Meal_entry_week_2!G$188:G$199,"Fruits_nuts_dried_fruit",Meal_entry_week_2!V$188:V$199)</f>
        <v>0</v>
      </c>
      <c r="Y450" s="1072">
        <f>SUMIF(Meal_entry_week_2!G$188:G$199,"Meat_fresh_frozen",Meal_entry_week_2!V$188:V$199)</f>
        <v>0</v>
      </c>
      <c r="Z450" s="1072">
        <f>SUMIF(Meal_entry_week_2!G$188:G$199,"Meat_processed",Meal_entry_week_2!V$188:V$199)</f>
        <v>0</v>
      </c>
      <c r="AA450" s="1072">
        <f>SUMIF(Meal_entry_week_2!G$188:G$199,"Fish_fresh_frozen",Meal_entry_week_2!V$188:V$199)+SUMIF(Meal_entry_week_2!G$188:G$199,"Fish_processed_canned",Meal_entry_week_2!V$188:V$199)</f>
        <v>0</v>
      </c>
      <c r="AB450" s="1072">
        <f>SUMIF(Meal_entry_week_2!G$188:G$199,"Eggs",Meal_entry_week_2!V$188:V$199)</f>
        <v>0</v>
      </c>
      <c r="AC450" s="1072">
        <f>SUMIF(Meal_entry_week_2!G$188:G$199,"Dairy_products",Meal_entry_week_2!V$188:V$199)</f>
        <v>0</v>
      </c>
      <c r="AD450" s="1072">
        <f>SUMIF(Meal_entry_week_2!G$188:G$199,"Oil_butter_margarine",Meal_entry_week_2!V$188:V$199)</f>
        <v>0</v>
      </c>
      <c r="AE450" s="1072">
        <f>SUMIF(Meal_entry_week_2!G$188:G$199,"Flour_pasta_seeds_cereals",Meal_entry_week_2!V$188:V$199)</f>
        <v>0</v>
      </c>
      <c r="AF450" s="1072">
        <f>SUMIF(Meal_entry_week_2!G$188:G$199,"Sauces_purees_dressings",Meal_entry_week_2!V$188:V$199)+SUMIF(Meal_entry_week_2!G$188:G$199,"Spices_seasonings",Meal_entry_week_2!V$188:V$199)</f>
        <v>0</v>
      </c>
      <c r="AG450" s="1072">
        <f>SUMIF(Meal_entry_week_2!G$188:G$199,"Sweet_foods_cakes",Meal_entry_week_2!V$188:V$199)</f>
        <v>0</v>
      </c>
      <c r="AH450" s="1072">
        <f>SUMIF(Meal_entry_week_2!G$188:G$199,"Bread_and_pastries",Meal_entry_week_2!V$188:V$199)+SUMIF(Meal_entry_week_2!G$188:G$199,"Savoury_pastries",Meal_entry_week_2!V$188:V$199)+SUMIF(Meal_entry_week_2!G$188:G$199,"Sweet_pastries",Meal_entry_week_2!V$188:V$199)</f>
        <v>0</v>
      </c>
      <c r="AI450" s="1072">
        <f>SUMIF(Meal_entry_week_2!G$188:G$199,"Other_processed_foods",Meal_entry_week_2!V$188:V$199)</f>
        <v>0</v>
      </c>
      <c r="AJ450" s="1072">
        <f>SUMIF(Meal_entry_week_2!G$188:G$199,"Sweetened_drinks_teas_coffee",Meal_entry_week_2!V$188:V$199)</f>
        <v>0</v>
      </c>
      <c r="AK450" s="1072">
        <f>SUMIF(Meal_entry_week_2!G$188:G$199,"Fruit_juices_water",Meal_entry_week_2!V$188:V$199)</f>
        <v>0</v>
      </c>
      <c r="AL450" s="1070">
        <f t="shared" ref="AL450" si="97">1120-SUM(V450:AK450)</f>
        <v>1120</v>
      </c>
    </row>
    <row r="451" spans="1:38">
      <c r="A451" s="1066"/>
      <c r="B451" s="1074" t="s">
        <v>3064</v>
      </c>
      <c r="C451" s="1027"/>
      <c r="D451" s="1075">
        <f>SUMIF(Meal_entry_week_1!G$89:G$100,"Vegetables_mushrooms_fresh_frozen",Meal_entry_week_1!V$89:V$100)</f>
        <v>0</v>
      </c>
      <c r="E451" s="1075">
        <f>SUMIF(Meal_entry_week_1!G$89:G$100,"Vegetables_processed",Meal_entry_week_1!V$89:V$100)</f>
        <v>0</v>
      </c>
      <c r="F451" s="1075">
        <f>SUMIF(Meal_entry_week_1!G$89:G$100,"Fruits_nuts_dried_fruit",Meal_entry_week_1!V$89:V$100)</f>
        <v>0</v>
      </c>
      <c r="G451" s="1075">
        <f>SUMIF(Meal_entry_week_1!G$89:G$100,"Meat_fresh_frozen",Meal_entry_week_1!V$89:V$100)</f>
        <v>0</v>
      </c>
      <c r="H451" s="1075">
        <f>SUMIF(Meal_entry_week_1!G$89:G$100,"Meat_processed",Meal_entry_week_1!V$89:V$100)</f>
        <v>0</v>
      </c>
      <c r="I451" s="1075">
        <f>SUMIF(Meal_entry_week_1!G$89:G$100,"Fish_fresh_frozen",Meal_entry_week_1!V$89:V$100)+SUMIF(Meal_entry_week_1!G$89:G$100,"Fish_processed_canned",Meal_entry_week_1!V$89:V$100)</f>
        <v>0</v>
      </c>
      <c r="J451" s="1075">
        <f>SUMIF(Meal_entry_week_1!G$89:G$100,"Eggs",Meal_entry_week_1!V$89:V$100)</f>
        <v>0</v>
      </c>
      <c r="K451" s="1075">
        <f>SUMIF(Meal_entry_week_1!G$89:G$100,"Dairy_products",Meal_entry_week_1!V$89:V$100)</f>
        <v>0</v>
      </c>
      <c r="L451" s="1075">
        <f>SUMIF(Meal_entry_week_1!G$89:G$100,"Oil_butter_margarine",Meal_entry_week_1!V$89:V$100)</f>
        <v>0</v>
      </c>
      <c r="M451" s="1075">
        <f>SUMIF(Meal_entry_week_1!G$89:G$100,"Flour_pasta_seeds_cereals",Meal_entry_week_1!V$89:V$100)</f>
        <v>0</v>
      </c>
      <c r="N451" s="1075">
        <f>SUMIF(Meal_entry_week_1!G$89:G$100,"Sauces_purees_dressings",Meal_entry_week_1!V$89:V$100)+SUMIF(Meal_entry_week_1!G$89:G$100,"Spices_seasonings",Meal_entry_week_1!V$89:V$100)</f>
        <v>0</v>
      </c>
      <c r="O451" s="1075">
        <f>SUMIF(Meal_entry_week_1!G$89:G$100,"Sweet_foods_cakes",Meal_entry_week_1!V$89:V$100)</f>
        <v>0</v>
      </c>
      <c r="P451" s="1075">
        <f>SUMIF(Meal_entry_week_1!G$89:G$100,"Bread_and_pastries",Meal_entry_week_1!V$89:V$100)+SUMIF(Meal_entry_week_1!G$89:G$100,"Savoury_pastries",Meal_entry_week_1!V$89:V$100)+SUMIF(Meal_entry_week_1!G$89:G$100,"Sweet_pastries",Meal_entry_week_1!V$89:V$100)</f>
        <v>0</v>
      </c>
      <c r="Q451" s="1075">
        <f>SUMIF(Meal_entry_week_1!G$89:G$100,"Other_processed_foods",Meal_entry_week_1!V$89:V$100)</f>
        <v>0</v>
      </c>
      <c r="R451" s="1075">
        <f>SUMIF(Meal_entry_week_1!G$89:G$100,"Sweetened_drinks_teas_coffee",Meal_entry_week_1!V$89:V$100)</f>
        <v>0</v>
      </c>
      <c r="S451" s="1075">
        <f>SUMIF(Meal_entry_week_1!G$89:G$100,"Fruit_juices_water",Meal_entry_week_1!V$89:V$100)</f>
        <v>0</v>
      </c>
      <c r="T451" s="1078">
        <f>1120-SUM(D451:S451)</f>
        <v>1120</v>
      </c>
      <c r="U451" s="1074" t="s">
        <v>3064</v>
      </c>
      <c r="V451" s="1075">
        <f>SUMIF(Meal_entry_week_2!G$89:G$100,"Vegetables_mushrooms_fresh_frozen",Meal_entry_week_2!V$89:V$100)</f>
        <v>0</v>
      </c>
      <c r="W451" s="1075">
        <f>SUMIF(Meal_entry_week_2!G$89:G$100,"Vegetables_processed",Meal_entry_week_2!V$89:V$100)</f>
        <v>0</v>
      </c>
      <c r="X451" s="1075">
        <f>SUMIF(Meal_entry_week_2!G$89:G$100,"Fruits_nuts_dried_fruit",Meal_entry_week_2!V$89:V$100)</f>
        <v>0</v>
      </c>
      <c r="Y451" s="1075">
        <f>SUMIF(Meal_entry_week_2!G$89:G$100,"Meat_fresh_frozen",Meal_entry_week_2!V$89:V$100)</f>
        <v>0</v>
      </c>
      <c r="Z451" s="1075">
        <f>SUMIF(Meal_entry_week_2!G$89:G$100,"Meat_processed",Meal_entry_week_2!V$89:V$100)</f>
        <v>0</v>
      </c>
      <c r="AA451" s="1075">
        <f>SUMIF(Meal_entry_week_2!G$89:G$100,"Fish_fresh_frozen",Meal_entry_week_2!V$89:V$100)+SUMIF(Meal_entry_week_2!G$89:G$100,"Fish_processed_canned",Meal_entry_week_2!V$89:V$100)</f>
        <v>0</v>
      </c>
      <c r="AB451" s="1075">
        <f>SUMIF(Meal_entry_week_2!G$89:G$100,"Eggs",Meal_entry_week_2!V$89:V$100)</f>
        <v>0</v>
      </c>
      <c r="AC451" s="1075">
        <f>SUMIF(Meal_entry_week_2!G$89:G$100,"Dairy_products",Meal_entry_week_2!V$89:V$100)</f>
        <v>0</v>
      </c>
      <c r="AD451" s="1075">
        <f>SUMIF(Meal_entry_week_2!G$89:G$100,"Oil_butter_margarine",Meal_entry_week_2!V$89:V$100)</f>
        <v>0</v>
      </c>
      <c r="AE451" s="1075">
        <f>SUMIF(Meal_entry_week_2!G$89:G$100,"Flour_pasta_seeds_cereals",Meal_entry_week_2!V$89:V$100)</f>
        <v>0</v>
      </c>
      <c r="AF451" s="1075">
        <f>SUMIF(Meal_entry_week_2!G$89:G$100,"Sauces_purees_dressings",Meal_entry_week_2!V$89:V$100)+SUMIF(Meal_entry_week_2!G$89:G$100,"Spices_seasonings",Meal_entry_week_2!V$89:V$100)</f>
        <v>0</v>
      </c>
      <c r="AG451" s="1075">
        <f>SUMIF(Meal_entry_week_2!G$89:G$100,"Sweet_foods_cakes",Meal_entry_week_2!V$89:V$100)</f>
        <v>0</v>
      </c>
      <c r="AH451" s="1075">
        <f>SUMIF(Meal_entry_week_2!G$89:G$100,"Bread_and_pastries",Meal_entry_week_2!V$89:V$100)+SUMIF(Meal_entry_week_2!G$89:G$100,"Savoury_pastries",Meal_entry_week_2!V$89:V$100)+SUMIF(Meal_entry_week_2!G$89:G$100,"Sweet_pastries",Meal_entry_week_2!V$89:V$100)</f>
        <v>0</v>
      </c>
      <c r="AI451" s="1075">
        <f>SUMIF(Meal_entry_week_2!G$89:G$100,"Other_processed_foods",Meal_entry_week_2!V$89:V$100)</f>
        <v>0</v>
      </c>
      <c r="AJ451" s="1075">
        <f>SUMIF(Meal_entry_week_2!G$89:G$100,"Sweetened_drinks_teas_coffee",Meal_entry_week_2!V$89:V$100)</f>
        <v>0</v>
      </c>
      <c r="AK451" s="1075">
        <f>SUMIF(Meal_entry_week_2!G$89:G$100,"Fruit_juices_water",Meal_entry_week_2!V$89:V$100)</f>
        <v>0</v>
      </c>
      <c r="AL451" s="1078">
        <f>1120-SUM(V451:AK451)</f>
        <v>1120</v>
      </c>
    </row>
    <row r="452" spans="1:38" ht="15" thickBot="1">
      <c r="A452" s="1066"/>
      <c r="B452" s="913"/>
      <c r="C452" s="945"/>
      <c r="D452" s="965"/>
      <c r="E452" s="965"/>
      <c r="F452" s="965"/>
      <c r="G452" s="965"/>
      <c r="H452" s="965"/>
      <c r="I452" s="965"/>
      <c r="J452" s="965"/>
      <c r="K452" s="965"/>
      <c r="L452" s="965"/>
      <c r="M452" s="965"/>
      <c r="N452" s="965"/>
      <c r="O452" s="965"/>
      <c r="P452" s="965"/>
      <c r="Q452" s="965"/>
      <c r="R452" s="965"/>
      <c r="S452" s="965"/>
      <c r="T452" s="965"/>
      <c r="Y452" s="913"/>
      <c r="Z452" s="913"/>
      <c r="AA452" s="913"/>
      <c r="AB452" s="913"/>
      <c r="AC452" s="913"/>
      <c r="AD452" s="913"/>
      <c r="AE452" s="913"/>
      <c r="AF452" s="913"/>
      <c r="AG452" s="913"/>
    </row>
    <row r="453" spans="1:38" ht="15" thickBot="1">
      <c r="A453" s="1066"/>
      <c r="B453" s="913"/>
      <c r="C453" s="945"/>
      <c r="D453" s="914" t="s">
        <v>2490</v>
      </c>
      <c r="E453" s="915" t="s">
        <v>2491</v>
      </c>
      <c r="F453" s="915" t="s">
        <v>2492</v>
      </c>
      <c r="G453" s="915" t="s">
        <v>2493</v>
      </c>
      <c r="H453" s="916" t="s">
        <v>2494</v>
      </c>
      <c r="I453" s="1080" t="s">
        <v>2490</v>
      </c>
      <c r="J453" s="1080" t="s">
        <v>2490</v>
      </c>
      <c r="K453" s="1080" t="s">
        <v>2490</v>
      </c>
      <c r="L453" s="1080" t="s">
        <v>2490</v>
      </c>
      <c r="M453" s="1081" t="s">
        <v>2490</v>
      </c>
      <c r="N453" s="1080" t="s">
        <v>522</v>
      </c>
      <c r="O453" s="1080" t="s">
        <v>522</v>
      </c>
      <c r="P453" s="1080" t="s">
        <v>522</v>
      </c>
      <c r="Q453" s="1080" t="s">
        <v>522</v>
      </c>
      <c r="R453" s="1081" t="s">
        <v>522</v>
      </c>
      <c r="S453" s="1080" t="s">
        <v>523</v>
      </c>
      <c r="T453" s="1080" t="s">
        <v>523</v>
      </c>
      <c r="U453" s="1080" t="s">
        <v>523</v>
      </c>
      <c r="V453" s="1080" t="s">
        <v>523</v>
      </c>
      <c r="W453" s="1081" t="s">
        <v>523</v>
      </c>
      <c r="X453" s="1080" t="s">
        <v>524</v>
      </c>
      <c r="Y453" s="1080" t="s">
        <v>524</v>
      </c>
      <c r="Z453" s="1080" t="s">
        <v>524</v>
      </c>
      <c r="AA453" s="1080" t="s">
        <v>524</v>
      </c>
      <c r="AB453" s="1081" t="s">
        <v>524</v>
      </c>
      <c r="AC453" s="914" t="s">
        <v>525</v>
      </c>
      <c r="AD453" s="914" t="s">
        <v>525</v>
      </c>
      <c r="AE453" s="914" t="s">
        <v>525</v>
      </c>
      <c r="AF453" s="914" t="s">
        <v>525</v>
      </c>
      <c r="AG453" s="1081" t="s">
        <v>525</v>
      </c>
    </row>
    <row r="454" spans="1:38" ht="30">
      <c r="A454" s="1082"/>
      <c r="B454" s="913"/>
      <c r="C454" s="1083"/>
      <c r="D454" s="1084" t="s">
        <v>2570</v>
      </c>
      <c r="E454" s="1085" t="s">
        <v>522</v>
      </c>
      <c r="F454" s="1086" t="s">
        <v>523</v>
      </c>
      <c r="G454" s="1087" t="s">
        <v>524</v>
      </c>
      <c r="H454" s="1088" t="s">
        <v>525</v>
      </c>
      <c r="I454" s="1084" t="s">
        <v>2571</v>
      </c>
      <c r="J454" s="1084" t="s">
        <v>2572</v>
      </c>
      <c r="K454" s="1084" t="s">
        <v>2573</v>
      </c>
      <c r="L454" s="1084" t="s">
        <v>2574</v>
      </c>
      <c r="M454" s="1089" t="s">
        <v>2575</v>
      </c>
      <c r="N454" s="1090" t="s">
        <v>2576</v>
      </c>
      <c r="O454" s="1085" t="s">
        <v>2577</v>
      </c>
      <c r="P454" s="1085" t="s">
        <v>2578</v>
      </c>
      <c r="Q454" s="1085" t="s">
        <v>2579</v>
      </c>
      <c r="R454" s="1091" t="s">
        <v>2581</v>
      </c>
      <c r="S454" s="1092" t="s">
        <v>2582</v>
      </c>
      <c r="T454" s="1086" t="s">
        <v>2584</v>
      </c>
      <c r="U454" s="1086" t="s">
        <v>2583</v>
      </c>
      <c r="V454" s="1086" t="s">
        <v>2585</v>
      </c>
      <c r="W454" s="1093" t="s">
        <v>2586</v>
      </c>
      <c r="X454" s="1094" t="s">
        <v>2587</v>
      </c>
      <c r="Y454" s="1087" t="s">
        <v>2588</v>
      </c>
      <c r="Z454" s="1087" t="s">
        <v>2589</v>
      </c>
      <c r="AA454" s="1087" t="s">
        <v>2590</v>
      </c>
      <c r="AB454" s="1095" t="s">
        <v>2591</v>
      </c>
      <c r="AC454" s="1096" t="s">
        <v>2592</v>
      </c>
      <c r="AD454" s="1088" t="s">
        <v>2593</v>
      </c>
      <c r="AE454" s="1088" t="s">
        <v>2594</v>
      </c>
      <c r="AF454" s="1088" t="s">
        <v>2595</v>
      </c>
      <c r="AG454" s="1088" t="s">
        <v>2596</v>
      </c>
    </row>
    <row r="455" spans="1:38">
      <c r="A455" s="1082"/>
      <c r="B455" s="925" t="s">
        <v>1370</v>
      </c>
      <c r="C455" s="1083"/>
      <c r="V455" s="1097"/>
      <c r="W455" s="1097"/>
      <c r="X455" s="1097"/>
      <c r="Y455" s="1097"/>
      <c r="Z455" s="1097"/>
      <c r="AA455" s="1097"/>
      <c r="AB455" s="1097"/>
      <c r="AC455" s="1097"/>
      <c r="AD455" s="1097"/>
      <c r="AE455" s="1097"/>
      <c r="AF455" s="1097"/>
    </row>
    <row r="456" spans="1:38">
      <c r="A456" s="1082"/>
      <c r="B456" s="925" t="s">
        <v>1403</v>
      </c>
      <c r="C456" s="1083"/>
      <c r="V456" s="1097"/>
      <c r="W456" s="1097"/>
      <c r="X456" s="1097"/>
      <c r="Y456" s="1097"/>
      <c r="Z456" s="1097"/>
      <c r="AA456" s="1097"/>
      <c r="AB456" s="1097"/>
      <c r="AC456" s="1097"/>
      <c r="AD456" s="1097"/>
      <c r="AE456" s="1097"/>
      <c r="AF456" s="1097"/>
    </row>
    <row r="457" spans="1:38">
      <c r="A457" s="1082"/>
      <c r="B457" s="925" t="s">
        <v>1404</v>
      </c>
      <c r="C457" s="1083"/>
      <c r="V457" s="1097"/>
      <c r="W457" s="1097"/>
      <c r="X457" s="1097"/>
      <c r="Y457" s="1097"/>
      <c r="Z457" s="1097"/>
      <c r="AA457" s="1097"/>
      <c r="AB457" s="1097"/>
      <c r="AC457" s="1097"/>
      <c r="AD457" s="1097"/>
      <c r="AE457" s="1097"/>
      <c r="AF457" s="1097"/>
    </row>
    <row r="458" spans="1:38">
      <c r="A458" s="1082"/>
      <c r="B458" s="925" t="s">
        <v>1405</v>
      </c>
      <c r="C458" s="1083"/>
      <c r="V458" s="1097"/>
      <c r="W458" s="1097"/>
      <c r="X458" s="1097"/>
      <c r="Y458" s="1097"/>
      <c r="Z458" s="1097"/>
      <c r="AA458" s="1097"/>
      <c r="AB458" s="1097"/>
      <c r="AC458" s="1097"/>
      <c r="AD458" s="1097"/>
      <c r="AE458" s="1097"/>
      <c r="AF458" s="1097"/>
    </row>
    <row r="459" spans="1:38" ht="15">
      <c r="A459" s="1082"/>
      <c r="B459" s="950" t="s">
        <v>1406</v>
      </c>
      <c r="C459" s="1083"/>
      <c r="D459" s="408">
        <f>SUM(E459:H459)</f>
        <v>1.4</v>
      </c>
      <c r="E459" s="408">
        <f>(N459+O459+P459+Q459+R459)/5</f>
        <v>0</v>
      </c>
      <c r="F459" s="408">
        <f t="shared" ref="F459:F477" si="98">(S459+T459+U459+V459+W459)/5</f>
        <v>1</v>
      </c>
      <c r="G459" s="408">
        <f t="shared" ref="G459:G477" si="99">(X459+Y459+Z459+AA459+AB459)/5</f>
        <v>0.4</v>
      </c>
      <c r="H459" s="408">
        <f t="shared" ref="H459:H477" si="100">(AC459+AD459+AE459+AF459+AG459)/5</f>
        <v>0</v>
      </c>
      <c r="I459" s="408">
        <f>Meal_entry_week_1!$AA$559</f>
        <v>0</v>
      </c>
      <c r="J459" s="408">
        <f>Meal_entry_week_1!$AA$560</f>
        <v>3</v>
      </c>
      <c r="K459" s="408">
        <f>Meal_entry_week_1!$AA$561</f>
        <v>1</v>
      </c>
      <c r="L459" s="408">
        <f>Meal_entry_week_1!$AA$562</f>
        <v>2</v>
      </c>
      <c r="M459" s="408">
        <f>Meal_entry_week_1!$AA$563</f>
        <v>2</v>
      </c>
      <c r="N459" s="406">
        <f>Meal_entry_week_1!$AA$10</f>
        <v>0</v>
      </c>
      <c r="O459" s="408">
        <f>Meal_entry_week_1!$AA$109</f>
        <v>0</v>
      </c>
      <c r="P459" s="408">
        <f>Meal_entry_week_1!$AA$208</f>
        <v>0</v>
      </c>
      <c r="Q459" s="408">
        <f>Meal_entry_week_1!$AA$307</f>
        <v>0</v>
      </c>
      <c r="R459" s="408">
        <f>Meal_entry_week_1!$AA$406</f>
        <v>0</v>
      </c>
      <c r="S459" s="408">
        <f>Meal_entry_week_1!$AA$37</f>
        <v>0</v>
      </c>
      <c r="T459" s="408">
        <f>Meal_entry_week_1!$AA$136</f>
        <v>2</v>
      </c>
      <c r="U459" s="408">
        <f>Meal_entry_week_1!$AA$235</f>
        <v>1</v>
      </c>
      <c r="V459" s="408">
        <f>Meal_entry_week_1!$AA$334</f>
        <v>1</v>
      </c>
      <c r="W459" s="408">
        <f>Meal_entry_week_1!$AA$433</f>
        <v>1</v>
      </c>
      <c r="X459" s="408">
        <f>Meal_entry_week_1!$AA$56</f>
        <v>0</v>
      </c>
      <c r="Y459" s="408">
        <f>Meal_entry_week_1!$AA$155</f>
        <v>1</v>
      </c>
      <c r="Z459" s="408">
        <f>Meal_entry_week_1!$AA$254</f>
        <v>0</v>
      </c>
      <c r="AA459" s="408">
        <f>Meal_entry_week_1!$AA$353</f>
        <v>0</v>
      </c>
      <c r="AB459" s="408">
        <f>Meal_entry_week_1!$AA$452</f>
        <v>1</v>
      </c>
      <c r="AC459" s="408">
        <f>Meal_entry_week_1!$AA$88</f>
        <v>0</v>
      </c>
      <c r="AD459" s="408">
        <f>Meal_entry_week_1!$AA$187</f>
        <v>0</v>
      </c>
      <c r="AE459" s="408">
        <f>Meal_entry_week_1!$AA$286</f>
        <v>0</v>
      </c>
      <c r="AF459" s="408">
        <f>Meal_entry_week_1!$AA$385</f>
        <v>0</v>
      </c>
      <c r="AG459" s="408">
        <f>Meal_entry_week_1!$AA$484</f>
        <v>0</v>
      </c>
    </row>
    <row r="460" spans="1:38" ht="15">
      <c r="A460" s="1082"/>
      <c r="B460" s="950" t="s">
        <v>1407</v>
      </c>
      <c r="C460" s="1083"/>
      <c r="D460" s="408">
        <f t="shared" ref="D460:D477" si="101">SUM(E460:H460)</f>
        <v>1.4</v>
      </c>
      <c r="E460" s="408">
        <f t="shared" ref="E460:E477" si="102">(N460+O460+P460+Q460+R460)/5</f>
        <v>0</v>
      </c>
      <c r="F460" s="408">
        <f t="shared" si="98"/>
        <v>1</v>
      </c>
      <c r="G460" s="408">
        <f t="shared" si="99"/>
        <v>0.4</v>
      </c>
      <c r="H460" s="408">
        <f t="shared" si="100"/>
        <v>0</v>
      </c>
      <c r="I460" s="408">
        <f>Meal_entry_week_1!$AB$559</f>
        <v>0</v>
      </c>
      <c r="J460" s="408">
        <f>Meal_entry_week_1!$AB$560</f>
        <v>3</v>
      </c>
      <c r="K460" s="408">
        <f>Meal_entry_week_1!$AB$561</f>
        <v>1</v>
      </c>
      <c r="L460" s="408">
        <f>Meal_entry_week_1!$AB$562</f>
        <v>1</v>
      </c>
      <c r="M460" s="408">
        <f>Meal_entry_week_1!$AB$563</f>
        <v>2</v>
      </c>
      <c r="N460" s="406">
        <f>Meal_entry_week_1!$AB$10</f>
        <v>0</v>
      </c>
      <c r="O460" s="408">
        <f>Meal_entry_week_1!$AB$109</f>
        <v>0</v>
      </c>
      <c r="P460" s="408">
        <f>Meal_entry_week_1!$AB$208</f>
        <v>0</v>
      </c>
      <c r="Q460" s="408">
        <f>Meal_entry_week_1!$AB$307</f>
        <v>0</v>
      </c>
      <c r="R460" s="408">
        <f>Meal_entry_week_1!$AB$406</f>
        <v>0</v>
      </c>
      <c r="S460" s="408">
        <f>Meal_entry_week_1!$AB$37</f>
        <v>0</v>
      </c>
      <c r="T460" s="408">
        <f>Meal_entry_week_1!$AB$136</f>
        <v>2</v>
      </c>
      <c r="U460" s="408">
        <f>Meal_entry_week_1!$AB$235</f>
        <v>1</v>
      </c>
      <c r="V460" s="408">
        <f>Meal_entry_week_1!$AB$334</f>
        <v>1</v>
      </c>
      <c r="W460" s="408">
        <f>Meal_entry_week_1!$AB$433</f>
        <v>1</v>
      </c>
      <c r="X460" s="408">
        <f>Meal_entry_week_1!$AB$56</f>
        <v>0</v>
      </c>
      <c r="Y460" s="408">
        <f>Meal_entry_week_1!$AB$155</f>
        <v>1</v>
      </c>
      <c r="Z460" s="408">
        <f>Meal_entry_week_1!$AB$254</f>
        <v>0</v>
      </c>
      <c r="AA460" s="408">
        <f>Meal_entry_week_1!$AB$353</f>
        <v>0</v>
      </c>
      <c r="AB460" s="408">
        <f>Meal_entry_week_1!$AB$452</f>
        <v>1</v>
      </c>
      <c r="AC460" s="408">
        <f>Meal_entry_week_1!$AB$88</f>
        <v>0</v>
      </c>
      <c r="AD460" s="408">
        <f>Meal_entry_week_1!$AB$187</f>
        <v>0</v>
      </c>
      <c r="AE460" s="408">
        <f>Meal_entry_week_1!$AB$286</f>
        <v>0</v>
      </c>
      <c r="AF460" s="408">
        <f>Meal_entry_week_1!$AB$385</f>
        <v>0</v>
      </c>
      <c r="AG460" s="408">
        <f>Meal_entry_week_1!$AB$484</f>
        <v>0</v>
      </c>
    </row>
    <row r="461" spans="1:38" ht="16" customHeight="1">
      <c r="A461" s="1082"/>
      <c r="B461" s="950" t="s">
        <v>1408</v>
      </c>
      <c r="C461" s="1083"/>
      <c r="D461" s="408">
        <f t="shared" si="101"/>
        <v>1</v>
      </c>
      <c r="E461" s="408">
        <f t="shared" si="102"/>
        <v>0</v>
      </c>
      <c r="F461" s="408">
        <f t="shared" si="98"/>
        <v>1</v>
      </c>
      <c r="G461" s="408">
        <f t="shared" si="99"/>
        <v>0</v>
      </c>
      <c r="H461" s="408">
        <f t="shared" si="100"/>
        <v>0</v>
      </c>
      <c r="I461" s="408">
        <f>Meal_entry_week_1!$AC$559</f>
        <v>0</v>
      </c>
      <c r="J461" s="408">
        <f>Meal_entry_week_1!$AC$560</f>
        <v>2</v>
      </c>
      <c r="K461" s="408">
        <f>Meal_entry_week_1!$AC$561</f>
        <v>1</v>
      </c>
      <c r="L461" s="408">
        <f>Meal_entry_week_1!$AC$562</f>
        <v>1</v>
      </c>
      <c r="M461" s="408">
        <f>Meal_entry_week_1!$AC$563</f>
        <v>1</v>
      </c>
      <c r="N461" s="406">
        <f>Meal_entry_week_1!$AC$10</f>
        <v>0</v>
      </c>
      <c r="O461" s="408">
        <f>Meal_entry_week_1!$AC$109</f>
        <v>0</v>
      </c>
      <c r="P461" s="408">
        <f>Meal_entry_week_1!$AC$208</f>
        <v>0</v>
      </c>
      <c r="Q461" s="408">
        <f>Meal_entry_week_1!$AC$307</f>
        <v>0</v>
      </c>
      <c r="R461" s="408">
        <f>Meal_entry_week_1!$AC$406</f>
        <v>0</v>
      </c>
      <c r="S461" s="408">
        <f>Meal_entry_week_1!$AC$37</f>
        <v>0</v>
      </c>
      <c r="T461" s="408">
        <f>Meal_entry_week_1!$AC$136</f>
        <v>2</v>
      </c>
      <c r="U461" s="408">
        <f>Meal_entry_week_1!$AC$235</f>
        <v>1</v>
      </c>
      <c r="V461" s="408">
        <f>Meal_entry_week_1!$AC$334</f>
        <v>1</v>
      </c>
      <c r="W461" s="408">
        <f>Meal_entry_week_1!$AC$433</f>
        <v>1</v>
      </c>
      <c r="X461" s="408">
        <f>Meal_entry_week_1!$AC$56</f>
        <v>0</v>
      </c>
      <c r="Y461" s="408">
        <f>Meal_entry_week_1!$AC$155</f>
        <v>0</v>
      </c>
      <c r="Z461" s="408">
        <f>Meal_entry_week_1!$AC$254</f>
        <v>0</v>
      </c>
      <c r="AA461" s="408">
        <f>Meal_entry_week_1!$AC$353</f>
        <v>0</v>
      </c>
      <c r="AB461" s="408">
        <f>Meal_entry_week_1!$AC$452</f>
        <v>0</v>
      </c>
      <c r="AC461" s="408">
        <f>Meal_entry_week_1!$AC$88</f>
        <v>0</v>
      </c>
      <c r="AD461" s="408">
        <f>Meal_entry_week_1!$AC$187</f>
        <v>0</v>
      </c>
      <c r="AE461" s="408">
        <f>Meal_entry_week_1!$AC$286</f>
        <v>0</v>
      </c>
      <c r="AF461" s="408">
        <f>Meal_entry_week_1!$AC$385</f>
        <v>0</v>
      </c>
      <c r="AG461" s="408">
        <f>Meal_entry_week_1!$AC$484</f>
        <v>0</v>
      </c>
    </row>
    <row r="462" spans="1:38" ht="15">
      <c r="A462" s="1082"/>
      <c r="B462" s="950" t="s">
        <v>1409</v>
      </c>
      <c r="C462" s="1083"/>
      <c r="D462" s="408">
        <f t="shared" si="101"/>
        <v>1</v>
      </c>
      <c r="E462" s="408">
        <f t="shared" si="102"/>
        <v>0</v>
      </c>
      <c r="F462" s="408">
        <f t="shared" si="98"/>
        <v>1</v>
      </c>
      <c r="G462" s="408">
        <f t="shared" si="99"/>
        <v>0</v>
      </c>
      <c r="H462" s="408">
        <f t="shared" si="100"/>
        <v>0</v>
      </c>
      <c r="I462" s="408">
        <f>Meal_entry_week_1!$AD$559</f>
        <v>0</v>
      </c>
      <c r="J462" s="408">
        <f>Meal_entry_week_1!$AD$560</f>
        <v>2</v>
      </c>
      <c r="K462" s="408">
        <f>Meal_entry_week_1!$AD$561</f>
        <v>1</v>
      </c>
      <c r="L462" s="408">
        <f>Meal_entry_week_1!$AD$562</f>
        <v>1</v>
      </c>
      <c r="M462" s="408">
        <f>Meal_entry_week_1!$AD$563</f>
        <v>1</v>
      </c>
      <c r="N462" s="406">
        <f>Meal_entry_week_1!$AD$10</f>
        <v>0</v>
      </c>
      <c r="O462" s="408">
        <f>Meal_entry_week_1!$AD$109</f>
        <v>0</v>
      </c>
      <c r="P462" s="408">
        <f>Meal_entry_week_1!$AD$208</f>
        <v>0</v>
      </c>
      <c r="Q462" s="408">
        <f>Meal_entry_week_1!$AD$307</f>
        <v>0</v>
      </c>
      <c r="R462" s="408">
        <f>Meal_entry_week_1!$AD$406</f>
        <v>0</v>
      </c>
      <c r="S462" s="408">
        <f>Meal_entry_week_1!$AD$37</f>
        <v>0</v>
      </c>
      <c r="T462" s="408">
        <f>Meal_entry_week_1!$AD$136</f>
        <v>2</v>
      </c>
      <c r="U462" s="408">
        <f>Meal_entry_week_1!$AD$235</f>
        <v>1</v>
      </c>
      <c r="V462" s="408">
        <f>Meal_entry_week_1!$AD$334</f>
        <v>1</v>
      </c>
      <c r="W462" s="408">
        <f>Meal_entry_week_1!$AD$433</f>
        <v>1</v>
      </c>
      <c r="X462" s="408">
        <f>Meal_entry_week_1!$AD$56</f>
        <v>0</v>
      </c>
      <c r="Y462" s="408">
        <f>Meal_entry_week_1!$AD$155</f>
        <v>0</v>
      </c>
      <c r="Z462" s="408">
        <f>Meal_entry_week_1!$AD$254</f>
        <v>0</v>
      </c>
      <c r="AA462" s="408">
        <f>Meal_entry_week_1!$AD$353</f>
        <v>0</v>
      </c>
      <c r="AB462" s="408">
        <f>Meal_entry_week_1!$AD$452</f>
        <v>0</v>
      </c>
      <c r="AC462" s="408">
        <f>Meal_entry_week_1!$AD$88</f>
        <v>0</v>
      </c>
      <c r="AD462" s="408">
        <f>Meal_entry_week_1!$AD$187</f>
        <v>0</v>
      </c>
      <c r="AE462" s="408">
        <f>Meal_entry_week_1!$AD$286</f>
        <v>0</v>
      </c>
      <c r="AF462" s="408">
        <f>Meal_entry_week_1!$AD$385</f>
        <v>0</v>
      </c>
      <c r="AG462" s="408">
        <f>Meal_entry_week_1!$AD$484</f>
        <v>0</v>
      </c>
    </row>
    <row r="463" spans="1:38" ht="15">
      <c r="A463" s="1082"/>
      <c r="B463" s="950" t="s">
        <v>1410</v>
      </c>
      <c r="C463" s="1083"/>
      <c r="D463" s="408">
        <f t="shared" si="101"/>
        <v>1</v>
      </c>
      <c r="E463" s="408">
        <f t="shared" si="102"/>
        <v>0</v>
      </c>
      <c r="F463" s="408">
        <f t="shared" si="98"/>
        <v>1</v>
      </c>
      <c r="G463" s="408">
        <f t="shared" si="99"/>
        <v>0</v>
      </c>
      <c r="H463" s="408">
        <f t="shared" si="100"/>
        <v>0</v>
      </c>
      <c r="I463" s="408">
        <f>Meal_entry_week_1!$AE$559</f>
        <v>0</v>
      </c>
      <c r="J463" s="408">
        <f>Meal_entry_week_1!$AE$560</f>
        <v>2</v>
      </c>
      <c r="K463" s="408">
        <f>Meal_entry_week_1!$AE$561</f>
        <v>1</v>
      </c>
      <c r="L463" s="408">
        <f>Meal_entry_week_1!$AE$562</f>
        <v>1</v>
      </c>
      <c r="M463" s="408">
        <f>Meal_entry_week_1!$AE$563</f>
        <v>1</v>
      </c>
      <c r="N463" s="406">
        <f>Meal_entry_week_1!$AE$10</f>
        <v>0</v>
      </c>
      <c r="O463" s="408">
        <f>Meal_entry_week_1!$AE$109</f>
        <v>0</v>
      </c>
      <c r="P463" s="408">
        <f>Meal_entry_week_1!$AE$208</f>
        <v>0</v>
      </c>
      <c r="Q463" s="408">
        <f>Meal_entry_week_1!$AE$307</f>
        <v>0</v>
      </c>
      <c r="R463" s="408">
        <f>Meal_entry_week_1!$AE$406</f>
        <v>0</v>
      </c>
      <c r="S463" s="408">
        <f>Meal_entry_week_1!$AE$37</f>
        <v>0</v>
      </c>
      <c r="T463" s="408">
        <f>Meal_entry_week_1!$AE$136</f>
        <v>2</v>
      </c>
      <c r="U463" s="408">
        <f>Meal_entry_week_1!$AE$235</f>
        <v>1</v>
      </c>
      <c r="V463" s="408">
        <f>Meal_entry_week_1!$AE$334</f>
        <v>1</v>
      </c>
      <c r="W463" s="408">
        <f>Meal_entry_week_1!$AE$433</f>
        <v>1</v>
      </c>
      <c r="X463" s="408">
        <f>Meal_entry_week_1!$AE$56</f>
        <v>0</v>
      </c>
      <c r="Y463" s="408">
        <f>Meal_entry_week_1!$AE$155</f>
        <v>0</v>
      </c>
      <c r="Z463" s="408">
        <f>Meal_entry_week_1!$AE$254</f>
        <v>0</v>
      </c>
      <c r="AA463" s="408">
        <f>Meal_entry_week_1!$AE$353</f>
        <v>0</v>
      </c>
      <c r="AB463" s="408">
        <f>Meal_entry_week_1!$AE$452</f>
        <v>0</v>
      </c>
      <c r="AC463" s="408">
        <f>Meal_entry_week_1!$AE$88</f>
        <v>0</v>
      </c>
      <c r="AD463" s="408">
        <f>Meal_entry_week_1!$AE$187</f>
        <v>0</v>
      </c>
      <c r="AE463" s="408">
        <f>Meal_entry_week_1!$AE$286</f>
        <v>0</v>
      </c>
      <c r="AF463" s="408">
        <f>Meal_entry_week_1!$AE$385</f>
        <v>0</v>
      </c>
      <c r="AG463" s="408">
        <f>Meal_entry_week_1!$AE$484</f>
        <v>0</v>
      </c>
    </row>
    <row r="464" spans="1:38" ht="15">
      <c r="A464" s="1082"/>
      <c r="B464" s="950" t="s">
        <v>1411</v>
      </c>
      <c r="C464" s="1083"/>
      <c r="D464" s="408">
        <f t="shared" si="101"/>
        <v>1.4</v>
      </c>
      <c r="E464" s="408">
        <f t="shared" si="102"/>
        <v>0</v>
      </c>
      <c r="F464" s="408">
        <f t="shared" si="98"/>
        <v>1</v>
      </c>
      <c r="G464" s="408">
        <f t="shared" si="99"/>
        <v>0.4</v>
      </c>
      <c r="H464" s="408">
        <f t="shared" si="100"/>
        <v>0</v>
      </c>
      <c r="I464" s="408">
        <f>Meal_entry_week_1!$AF$559</f>
        <v>0</v>
      </c>
      <c r="J464" s="408">
        <f>Meal_entry_week_1!$AF$560</f>
        <v>3</v>
      </c>
      <c r="K464" s="408">
        <f>Meal_entry_week_1!$AF$561</f>
        <v>1</v>
      </c>
      <c r="L464" s="408">
        <f>Meal_entry_week_1!$AF$562</f>
        <v>1</v>
      </c>
      <c r="M464" s="408">
        <f>Meal_entry_week_1!$AF$563</f>
        <v>2</v>
      </c>
      <c r="N464" s="406">
        <f>Meal_entry_week_1!$AF$10</f>
        <v>0</v>
      </c>
      <c r="O464" s="408">
        <f>Meal_entry_week_1!$AF$109</f>
        <v>0</v>
      </c>
      <c r="P464" s="408">
        <f>Meal_entry_week_1!$AF$208</f>
        <v>0</v>
      </c>
      <c r="Q464" s="408">
        <f>Meal_entry_week_1!$AF$307</f>
        <v>0</v>
      </c>
      <c r="R464" s="408">
        <f>Meal_entry_week_1!$AF$406</f>
        <v>0</v>
      </c>
      <c r="S464" s="408">
        <f>Meal_entry_week_1!$AF$37</f>
        <v>0</v>
      </c>
      <c r="T464" s="408">
        <f>Meal_entry_week_1!$AF$136</f>
        <v>2</v>
      </c>
      <c r="U464" s="408">
        <f>Meal_entry_week_1!$AF$235</f>
        <v>1</v>
      </c>
      <c r="V464" s="408">
        <f>Meal_entry_week_1!$AF$334</f>
        <v>1</v>
      </c>
      <c r="W464" s="408">
        <f>Meal_entry_week_1!$AF$433</f>
        <v>1</v>
      </c>
      <c r="X464" s="408">
        <f>Meal_entry_week_1!$AF$56</f>
        <v>0</v>
      </c>
      <c r="Y464" s="408">
        <f>Meal_entry_week_1!$AF$155</f>
        <v>1</v>
      </c>
      <c r="Z464" s="408">
        <f>Meal_entry_week_1!$AF$254</f>
        <v>0</v>
      </c>
      <c r="AA464" s="408">
        <f>Meal_entry_week_1!$AF$353</f>
        <v>0</v>
      </c>
      <c r="AB464" s="408">
        <f>Meal_entry_week_1!$AF$452</f>
        <v>1</v>
      </c>
      <c r="AC464" s="408">
        <f>Meal_entry_week_1!$AF$88</f>
        <v>0</v>
      </c>
      <c r="AD464" s="408">
        <f>Meal_entry_week_1!$AF$187</f>
        <v>0</v>
      </c>
      <c r="AE464" s="408">
        <f>Meal_entry_week_1!$AF$286</f>
        <v>0</v>
      </c>
      <c r="AF464" s="408">
        <f>Meal_entry_week_1!$AF$385</f>
        <v>0</v>
      </c>
      <c r="AG464" s="408">
        <f>Meal_entry_week_1!$AF$484</f>
        <v>0</v>
      </c>
    </row>
    <row r="465" spans="1:33" ht="15">
      <c r="A465" s="1082"/>
      <c r="B465" s="950" t="s">
        <v>1412</v>
      </c>
      <c r="C465" s="1083"/>
      <c r="D465" s="408">
        <f t="shared" si="101"/>
        <v>1.4</v>
      </c>
      <c r="E465" s="408">
        <f t="shared" si="102"/>
        <v>0</v>
      </c>
      <c r="F465" s="408">
        <f t="shared" si="98"/>
        <v>1</v>
      </c>
      <c r="G465" s="408">
        <f t="shared" si="99"/>
        <v>0.4</v>
      </c>
      <c r="H465" s="408">
        <f t="shared" si="100"/>
        <v>0</v>
      </c>
      <c r="I465" s="408">
        <f>Meal_entry_week_1!$AG$559</f>
        <v>0</v>
      </c>
      <c r="J465" s="408">
        <f>Meal_entry_week_1!$AG$560</f>
        <v>3</v>
      </c>
      <c r="K465" s="408">
        <f>Meal_entry_week_1!$AG$561</f>
        <v>1</v>
      </c>
      <c r="L465" s="408">
        <f>Meal_entry_week_1!$AG$562</f>
        <v>1</v>
      </c>
      <c r="M465" s="408">
        <f>Meal_entry_week_1!$AG$563</f>
        <v>2</v>
      </c>
      <c r="N465" s="406">
        <f>Meal_entry_week_1!$AG$10</f>
        <v>0</v>
      </c>
      <c r="O465" s="408">
        <f>Meal_entry_week_1!$AG$109</f>
        <v>0</v>
      </c>
      <c r="P465" s="408">
        <f>Meal_entry_week_1!$AG$208</f>
        <v>0</v>
      </c>
      <c r="Q465" s="408">
        <f>Meal_entry_week_1!$AG$307</f>
        <v>0</v>
      </c>
      <c r="R465" s="408">
        <f>Meal_entry_week_1!$AG$406</f>
        <v>0</v>
      </c>
      <c r="S465" s="408">
        <f>Meal_entry_week_1!$AG$37</f>
        <v>0</v>
      </c>
      <c r="T465" s="408">
        <f>Meal_entry_week_1!$AG$136</f>
        <v>2</v>
      </c>
      <c r="U465" s="408">
        <f>Meal_entry_week_1!$AG$235</f>
        <v>1</v>
      </c>
      <c r="V465" s="408">
        <f>Meal_entry_week_1!$AG$334</f>
        <v>1</v>
      </c>
      <c r="W465" s="408">
        <f>Meal_entry_week_1!$AG$433</f>
        <v>1</v>
      </c>
      <c r="X465" s="408">
        <f>Meal_entry_week_1!$AG$56</f>
        <v>0</v>
      </c>
      <c r="Y465" s="408">
        <f>Meal_entry_week_1!$AG$155</f>
        <v>1</v>
      </c>
      <c r="Z465" s="408">
        <f>Meal_entry_week_1!$AG$254</f>
        <v>0</v>
      </c>
      <c r="AA465" s="408">
        <f>Meal_entry_week_1!$AG$353</f>
        <v>0</v>
      </c>
      <c r="AB465" s="408">
        <f>Meal_entry_week_1!$AG$452</f>
        <v>1</v>
      </c>
      <c r="AC465" s="408">
        <f>Meal_entry_week_1!$AG$88</f>
        <v>0</v>
      </c>
      <c r="AD465" s="408">
        <f>Meal_entry_week_1!$AG$187</f>
        <v>0</v>
      </c>
      <c r="AE465" s="408">
        <f>Meal_entry_week_1!$AG$286</f>
        <v>0</v>
      </c>
      <c r="AF465" s="408">
        <f>Meal_entry_week_1!$AG$385</f>
        <v>0</v>
      </c>
      <c r="AG465" s="408">
        <f>Meal_entry_week_1!$AG$484</f>
        <v>0</v>
      </c>
    </row>
    <row r="466" spans="1:33" ht="15">
      <c r="A466" s="1082"/>
      <c r="B466" s="950" t="s">
        <v>1413</v>
      </c>
      <c r="C466" s="1083"/>
      <c r="D466" s="408">
        <f t="shared" si="101"/>
        <v>1</v>
      </c>
      <c r="E466" s="408">
        <f t="shared" si="102"/>
        <v>0</v>
      </c>
      <c r="F466" s="408">
        <f t="shared" si="98"/>
        <v>1</v>
      </c>
      <c r="G466" s="408">
        <f t="shared" si="99"/>
        <v>0</v>
      </c>
      <c r="H466" s="408">
        <f t="shared" si="100"/>
        <v>0</v>
      </c>
      <c r="I466" s="408">
        <f>Meal_entry_week_1!$AH$559</f>
        <v>0</v>
      </c>
      <c r="J466" s="408">
        <f>Meal_entry_week_1!$AH$560</f>
        <v>2</v>
      </c>
      <c r="K466" s="408">
        <f>Meal_entry_week_1!$AH$561</f>
        <v>1</v>
      </c>
      <c r="L466" s="408">
        <f>Meal_entry_week_1!$AH$562</f>
        <v>1</v>
      </c>
      <c r="M466" s="408">
        <f>Meal_entry_week_1!$AH$563</f>
        <v>1</v>
      </c>
      <c r="N466" s="406">
        <f>Meal_entry_week_1!$AH$10</f>
        <v>0</v>
      </c>
      <c r="O466" s="408">
        <f>Meal_entry_week_1!$AH$109</f>
        <v>0</v>
      </c>
      <c r="P466" s="408">
        <f>Meal_entry_week_1!$AH$208</f>
        <v>0</v>
      </c>
      <c r="Q466" s="408">
        <f>Meal_entry_week_1!$AH$307</f>
        <v>0</v>
      </c>
      <c r="R466" s="408">
        <f>Meal_entry_week_1!$AH$406</f>
        <v>0</v>
      </c>
      <c r="S466" s="408">
        <f>Meal_entry_week_1!$AH$37</f>
        <v>0</v>
      </c>
      <c r="T466" s="408">
        <f>Meal_entry_week_1!$AH$136</f>
        <v>2</v>
      </c>
      <c r="U466" s="408">
        <f>Meal_entry_week_1!$AH$235</f>
        <v>1</v>
      </c>
      <c r="V466" s="408">
        <f>Meal_entry_week_1!$AH$334</f>
        <v>1</v>
      </c>
      <c r="W466" s="408">
        <f>Meal_entry_week_1!$AH$433</f>
        <v>1</v>
      </c>
      <c r="X466" s="408">
        <f>Meal_entry_week_1!$AH$56</f>
        <v>0</v>
      </c>
      <c r="Y466" s="408">
        <f>Meal_entry_week_1!$AH$155</f>
        <v>0</v>
      </c>
      <c r="Z466" s="408">
        <f>Meal_entry_week_1!$AH$254</f>
        <v>0</v>
      </c>
      <c r="AA466" s="408">
        <f>Meal_entry_week_1!$AH$353</f>
        <v>0</v>
      </c>
      <c r="AB466" s="408">
        <f>Meal_entry_week_1!$AH$452</f>
        <v>0</v>
      </c>
      <c r="AC466" s="408">
        <f>Meal_entry_week_1!$AH$88</f>
        <v>0</v>
      </c>
      <c r="AD466" s="408">
        <f>Meal_entry_week_1!$AH$187</f>
        <v>0</v>
      </c>
      <c r="AE466" s="408">
        <f>Meal_entry_week_1!$AH$286</f>
        <v>0</v>
      </c>
      <c r="AF466" s="408">
        <f>Meal_entry_week_1!$AH$385</f>
        <v>0</v>
      </c>
      <c r="AG466" s="408">
        <f>Meal_entry_week_1!$AH$484</f>
        <v>0</v>
      </c>
    </row>
    <row r="467" spans="1:33" ht="15">
      <c r="A467" s="1082"/>
      <c r="B467" s="950" t="s">
        <v>1414</v>
      </c>
      <c r="C467" s="1083"/>
      <c r="D467" s="408">
        <f t="shared" si="101"/>
        <v>1.4</v>
      </c>
      <c r="E467" s="408">
        <f t="shared" si="102"/>
        <v>0</v>
      </c>
      <c r="F467" s="408">
        <f t="shared" si="98"/>
        <v>1</v>
      </c>
      <c r="G467" s="408">
        <f t="shared" si="99"/>
        <v>0.4</v>
      </c>
      <c r="H467" s="408">
        <f t="shared" si="100"/>
        <v>0</v>
      </c>
      <c r="I467" s="408">
        <f>Meal_entry_week_1!$AI$559</f>
        <v>0</v>
      </c>
      <c r="J467" s="408">
        <f>Meal_entry_week_1!$AI$560</f>
        <v>3</v>
      </c>
      <c r="K467" s="408">
        <f>Meal_entry_week_1!$AI$561</f>
        <v>1</v>
      </c>
      <c r="L467" s="408">
        <f>Meal_entry_week_1!$AI$562</f>
        <v>1</v>
      </c>
      <c r="M467" s="408">
        <f>Meal_entry_week_1!$AI$563</f>
        <v>2</v>
      </c>
      <c r="N467" s="406">
        <f>Meal_entry_week_1!$AI$10</f>
        <v>0</v>
      </c>
      <c r="O467" s="408">
        <f>Meal_entry_week_1!$AI$109</f>
        <v>0</v>
      </c>
      <c r="P467" s="408">
        <f>Meal_entry_week_1!$AI$208</f>
        <v>0</v>
      </c>
      <c r="Q467" s="408">
        <f>Meal_entry_week_1!$AI$307</f>
        <v>0</v>
      </c>
      <c r="R467" s="408">
        <f>Meal_entry_week_1!$AI$406</f>
        <v>0</v>
      </c>
      <c r="S467" s="408">
        <f>Meal_entry_week_1!$AI$37</f>
        <v>0</v>
      </c>
      <c r="T467" s="408">
        <f>Meal_entry_week_1!$AI$136</f>
        <v>2</v>
      </c>
      <c r="U467" s="408">
        <f>Meal_entry_week_1!$AI$235</f>
        <v>1</v>
      </c>
      <c r="V467" s="408">
        <f>Meal_entry_week_1!$AI$334</f>
        <v>1</v>
      </c>
      <c r="W467" s="408">
        <f>Meal_entry_week_1!$AI$433</f>
        <v>1</v>
      </c>
      <c r="X467" s="408">
        <f>Meal_entry_week_1!$AI$56</f>
        <v>0</v>
      </c>
      <c r="Y467" s="408">
        <f>Meal_entry_week_1!$AI$155</f>
        <v>1</v>
      </c>
      <c r="Z467" s="408">
        <f>Meal_entry_week_1!$AI$254</f>
        <v>0</v>
      </c>
      <c r="AA467" s="408">
        <f>Meal_entry_week_1!$AI$353</f>
        <v>0</v>
      </c>
      <c r="AB467" s="408">
        <f>Meal_entry_week_1!$AI$452</f>
        <v>1</v>
      </c>
      <c r="AC467" s="408">
        <f>Meal_entry_week_1!$AI$88</f>
        <v>0</v>
      </c>
      <c r="AD467" s="408">
        <f>Meal_entry_week_1!$AI$187</f>
        <v>0</v>
      </c>
      <c r="AE467" s="408">
        <f>Meal_entry_week_1!$AI$286</f>
        <v>0</v>
      </c>
      <c r="AF467" s="408">
        <f>Meal_entry_week_1!$AI$385</f>
        <v>0</v>
      </c>
      <c r="AG467" s="408">
        <f>Meal_entry_week_1!$AI$484</f>
        <v>0</v>
      </c>
    </row>
    <row r="468" spans="1:33" ht="15">
      <c r="A468" s="1082"/>
      <c r="B468" s="950" t="s">
        <v>1415</v>
      </c>
      <c r="C468" s="1083"/>
      <c r="D468" s="408">
        <f t="shared" si="101"/>
        <v>1.4</v>
      </c>
      <c r="E468" s="408">
        <f t="shared" si="102"/>
        <v>0</v>
      </c>
      <c r="F468" s="408">
        <f t="shared" si="98"/>
        <v>1</v>
      </c>
      <c r="G468" s="408">
        <f t="shared" si="99"/>
        <v>0.4</v>
      </c>
      <c r="H468" s="408">
        <f t="shared" si="100"/>
        <v>0</v>
      </c>
      <c r="I468" s="408">
        <f>Meal_entry_week_1!$AJ$559</f>
        <v>0</v>
      </c>
      <c r="J468" s="408">
        <f>Meal_entry_week_1!$AJ$560</f>
        <v>3</v>
      </c>
      <c r="K468" s="408">
        <f>Meal_entry_week_1!$AJ$561</f>
        <v>1</v>
      </c>
      <c r="L468" s="408">
        <f>Meal_entry_week_1!$AJ$562</f>
        <v>1</v>
      </c>
      <c r="M468" s="408">
        <f>Meal_entry_week_1!$AJ$563</f>
        <v>2</v>
      </c>
      <c r="N468" s="406">
        <f>Meal_entry_week_1!$AJ$10</f>
        <v>0</v>
      </c>
      <c r="O468" s="408">
        <f>Meal_entry_week_1!$AJ$109</f>
        <v>0</v>
      </c>
      <c r="P468" s="408">
        <f>Meal_entry_week_1!$AJ$208</f>
        <v>0</v>
      </c>
      <c r="Q468" s="408">
        <f>Meal_entry_week_1!$AJ$307</f>
        <v>0</v>
      </c>
      <c r="R468" s="408">
        <f>Meal_entry_week_1!$AJ$406</f>
        <v>0</v>
      </c>
      <c r="S468" s="408">
        <f>Meal_entry_week_1!$AJ$37</f>
        <v>0</v>
      </c>
      <c r="T468" s="408">
        <f>Meal_entry_week_1!$AJ$136</f>
        <v>2</v>
      </c>
      <c r="U468" s="408">
        <f>Meal_entry_week_1!$AJ$235</f>
        <v>1</v>
      </c>
      <c r="V468" s="408">
        <f>Meal_entry_week_1!$AJ$334</f>
        <v>1</v>
      </c>
      <c r="W468" s="408">
        <f>Meal_entry_week_1!$AJ$433</f>
        <v>1</v>
      </c>
      <c r="X468" s="408">
        <f>Meal_entry_week_1!$AJ$56</f>
        <v>0</v>
      </c>
      <c r="Y468" s="408">
        <f>Meal_entry_week_1!$AJ$155</f>
        <v>1</v>
      </c>
      <c r="Z468" s="408">
        <f>Meal_entry_week_1!$AJ$254</f>
        <v>0</v>
      </c>
      <c r="AA468" s="408">
        <f>Meal_entry_week_1!$AJ$353</f>
        <v>0</v>
      </c>
      <c r="AB468" s="408">
        <f>Meal_entry_week_1!$AJ$452</f>
        <v>1</v>
      </c>
      <c r="AC468" s="408">
        <f>Meal_entry_week_1!$AJ$88</f>
        <v>0</v>
      </c>
      <c r="AD468" s="408">
        <f>Meal_entry_week_1!$AJ$187</f>
        <v>0</v>
      </c>
      <c r="AE468" s="408">
        <f>Meal_entry_week_1!$AJ$286</f>
        <v>0</v>
      </c>
      <c r="AF468" s="408">
        <f>Meal_entry_week_1!$AJ$385</f>
        <v>0</v>
      </c>
      <c r="AG468" s="408">
        <f>Meal_entry_week_1!$AJ$484</f>
        <v>0</v>
      </c>
    </row>
    <row r="469" spans="1:33" ht="15">
      <c r="A469" s="1082"/>
      <c r="B469" s="950" t="s">
        <v>1416</v>
      </c>
      <c r="C469" s="1083"/>
      <c r="D469" s="408">
        <f t="shared" si="101"/>
        <v>1.6</v>
      </c>
      <c r="E469" s="408">
        <f t="shared" si="102"/>
        <v>0</v>
      </c>
      <c r="F469" s="408">
        <f t="shared" si="98"/>
        <v>1</v>
      </c>
      <c r="G469" s="408">
        <f t="shared" si="99"/>
        <v>0.6</v>
      </c>
      <c r="H469" s="408">
        <f t="shared" si="100"/>
        <v>0</v>
      </c>
      <c r="I469" s="408">
        <f>Meal_entry_week_1!$AK$559</f>
        <v>0</v>
      </c>
      <c r="J469" s="408">
        <f>Meal_entry_week_1!$AK$560</f>
        <v>3</v>
      </c>
      <c r="K469" s="408">
        <f>Meal_entry_week_1!$AK$561</f>
        <v>2</v>
      </c>
      <c r="L469" s="408">
        <f>Meal_entry_week_1!$AK$562</f>
        <v>1</v>
      </c>
      <c r="M469" s="408">
        <f>Meal_entry_week_1!$AK$563</f>
        <v>2</v>
      </c>
      <c r="N469" s="406">
        <f>Meal_entry_week_1!$AK$10</f>
        <v>0</v>
      </c>
      <c r="O469" s="408">
        <f>Meal_entry_week_1!$AK$109</f>
        <v>0</v>
      </c>
      <c r="P469" s="408">
        <f>Meal_entry_week_1!$AK$208</f>
        <v>0</v>
      </c>
      <c r="Q469" s="408">
        <f>Meal_entry_week_1!$AK$307</f>
        <v>0</v>
      </c>
      <c r="R469" s="408">
        <f>Meal_entry_week_1!$AK$406</f>
        <v>0</v>
      </c>
      <c r="S469" s="408">
        <f>Meal_entry_week_1!$AK$37</f>
        <v>0</v>
      </c>
      <c r="T469" s="408">
        <f>Meal_entry_week_1!$AK$136</f>
        <v>2</v>
      </c>
      <c r="U469" s="408">
        <f>Meal_entry_week_1!$AK$235</f>
        <v>1</v>
      </c>
      <c r="V469" s="408">
        <f>Meal_entry_week_1!$AK$334</f>
        <v>1</v>
      </c>
      <c r="W469" s="408">
        <f>Meal_entry_week_1!$AK$433</f>
        <v>1</v>
      </c>
      <c r="X469" s="408">
        <f>Meal_entry_week_1!$AK$56</f>
        <v>0</v>
      </c>
      <c r="Y469" s="408">
        <f>Meal_entry_week_1!$AK$155</f>
        <v>1</v>
      </c>
      <c r="Z469" s="408">
        <f>Meal_entry_week_1!$AK$254</f>
        <v>1</v>
      </c>
      <c r="AA469" s="408">
        <f>Meal_entry_week_1!$AK$353</f>
        <v>0</v>
      </c>
      <c r="AB469" s="408">
        <f>Meal_entry_week_1!$AK$452</f>
        <v>1</v>
      </c>
      <c r="AC469" s="408">
        <f>Meal_entry_week_1!$AK$88</f>
        <v>0</v>
      </c>
      <c r="AD469" s="408">
        <f>Meal_entry_week_1!$AK$187</f>
        <v>0</v>
      </c>
      <c r="AE469" s="408">
        <f>Meal_entry_week_1!$AK$286</f>
        <v>0</v>
      </c>
      <c r="AF469" s="408">
        <f>Meal_entry_week_1!$AK$385</f>
        <v>0</v>
      </c>
      <c r="AG469" s="408">
        <f>Meal_entry_week_1!$AK$484</f>
        <v>0</v>
      </c>
    </row>
    <row r="470" spans="1:33" ht="15">
      <c r="A470" s="1082"/>
      <c r="B470" s="950" t="s">
        <v>1417</v>
      </c>
      <c r="C470" s="1083"/>
      <c r="D470" s="408">
        <f t="shared" si="101"/>
        <v>1.4</v>
      </c>
      <c r="E470" s="408">
        <f t="shared" si="102"/>
        <v>0</v>
      </c>
      <c r="F470" s="408">
        <f t="shared" si="98"/>
        <v>1</v>
      </c>
      <c r="G470" s="408">
        <f t="shared" si="99"/>
        <v>0.4</v>
      </c>
      <c r="H470" s="408">
        <f t="shared" si="100"/>
        <v>0</v>
      </c>
      <c r="I470" s="408">
        <f>Meal_entry_week_1!$AL$559</f>
        <v>0</v>
      </c>
      <c r="J470" s="408">
        <f>Meal_entry_week_1!$AL$560</f>
        <v>3</v>
      </c>
      <c r="K470" s="408">
        <f>Meal_entry_week_1!$AL$561</f>
        <v>1</v>
      </c>
      <c r="L470" s="408">
        <f>Meal_entry_week_1!$AL$562</f>
        <v>1</v>
      </c>
      <c r="M470" s="408">
        <f>Meal_entry_week_1!$AL$563</f>
        <v>2</v>
      </c>
      <c r="N470" s="406">
        <f>Meal_entry_week_1!$AL$10</f>
        <v>0</v>
      </c>
      <c r="O470" s="408">
        <f>Meal_entry_week_1!$AL$109</f>
        <v>0</v>
      </c>
      <c r="P470" s="408">
        <f>Meal_entry_week_1!$AL$208</f>
        <v>0</v>
      </c>
      <c r="Q470" s="408">
        <f>Meal_entry_week_1!$AL$307</f>
        <v>0</v>
      </c>
      <c r="R470" s="408">
        <f>Meal_entry_week_1!$AL$406</f>
        <v>0</v>
      </c>
      <c r="S470" s="408">
        <f>Meal_entry_week_1!$AL$37</f>
        <v>0</v>
      </c>
      <c r="T470" s="408">
        <f>Meal_entry_week_1!$AL$136</f>
        <v>2</v>
      </c>
      <c r="U470" s="408">
        <f>Meal_entry_week_1!$AL$235</f>
        <v>1</v>
      </c>
      <c r="V470" s="408">
        <f>Meal_entry_week_1!$AL$334</f>
        <v>1</v>
      </c>
      <c r="W470" s="408">
        <f>Meal_entry_week_1!$AL$433</f>
        <v>1</v>
      </c>
      <c r="X470" s="408">
        <f>Meal_entry_week_1!$AL$56</f>
        <v>0</v>
      </c>
      <c r="Y470" s="408">
        <f>Meal_entry_week_1!$AL$155</f>
        <v>1</v>
      </c>
      <c r="Z470" s="408">
        <f>Meal_entry_week_1!$AL$254</f>
        <v>0</v>
      </c>
      <c r="AA470" s="408">
        <f>Meal_entry_week_1!$AL$353</f>
        <v>0</v>
      </c>
      <c r="AB470" s="408">
        <f>Meal_entry_week_1!$AL$452</f>
        <v>1</v>
      </c>
      <c r="AC470" s="408">
        <f>Meal_entry_week_1!$AL$88</f>
        <v>0</v>
      </c>
      <c r="AD470" s="408">
        <f>Meal_entry_week_1!$AL$187</f>
        <v>0</v>
      </c>
      <c r="AE470" s="408">
        <f>Meal_entry_week_1!$AL$286</f>
        <v>0</v>
      </c>
      <c r="AF470" s="408">
        <f>Meal_entry_week_1!$AL$385</f>
        <v>0</v>
      </c>
      <c r="AG470" s="408">
        <f>Meal_entry_week_1!$AL$484</f>
        <v>0</v>
      </c>
    </row>
    <row r="471" spans="1:33" ht="15">
      <c r="A471" s="1082"/>
      <c r="B471" s="950" t="s">
        <v>1418</v>
      </c>
      <c r="C471" s="1083"/>
      <c r="D471" s="408">
        <f t="shared" si="101"/>
        <v>1.4</v>
      </c>
      <c r="E471" s="408">
        <f t="shared" si="102"/>
        <v>0</v>
      </c>
      <c r="F471" s="408">
        <f t="shared" si="98"/>
        <v>1</v>
      </c>
      <c r="G471" s="408">
        <f t="shared" si="99"/>
        <v>0.4</v>
      </c>
      <c r="H471" s="408">
        <f t="shared" si="100"/>
        <v>0</v>
      </c>
      <c r="I471" s="408">
        <f>Meal_entry_week_1!$AM$559</f>
        <v>0</v>
      </c>
      <c r="J471" s="408">
        <f>Meal_entry_week_1!$AM$560</f>
        <v>3</v>
      </c>
      <c r="K471" s="408">
        <f>Meal_entry_week_1!$AM$561</f>
        <v>1</v>
      </c>
      <c r="L471" s="408">
        <f>Meal_entry_week_1!$AM$562</f>
        <v>1</v>
      </c>
      <c r="M471" s="408">
        <f>Meal_entry_week_1!$AM$563</f>
        <v>2</v>
      </c>
      <c r="N471" s="406">
        <f>Meal_entry_week_1!$AM$10</f>
        <v>0</v>
      </c>
      <c r="O471" s="408">
        <f>Meal_entry_week_1!$AM$109</f>
        <v>0</v>
      </c>
      <c r="P471" s="408">
        <f>Meal_entry_week_1!$AM$208</f>
        <v>0</v>
      </c>
      <c r="Q471" s="408">
        <f>Meal_entry_week_1!$AM$307</f>
        <v>0</v>
      </c>
      <c r="R471" s="408">
        <f>Meal_entry_week_1!$AM$406</f>
        <v>0</v>
      </c>
      <c r="S471" s="408">
        <f>Meal_entry_week_1!$AM$37</f>
        <v>0</v>
      </c>
      <c r="T471" s="408">
        <f>Meal_entry_week_1!$AM$136</f>
        <v>2</v>
      </c>
      <c r="U471" s="408">
        <f>Meal_entry_week_1!$AM$235</f>
        <v>1</v>
      </c>
      <c r="V471" s="408">
        <f>Meal_entry_week_1!$AM$334</f>
        <v>1</v>
      </c>
      <c r="W471" s="408">
        <f>Meal_entry_week_1!$AM$433</f>
        <v>1</v>
      </c>
      <c r="X471" s="408">
        <f>Meal_entry_week_1!$AM$56</f>
        <v>0</v>
      </c>
      <c r="Y471" s="408">
        <f>Meal_entry_week_1!$AM$155</f>
        <v>1</v>
      </c>
      <c r="Z471" s="408">
        <f>Meal_entry_week_1!$AM$254</f>
        <v>0</v>
      </c>
      <c r="AA471" s="408">
        <f>Meal_entry_week_1!$AM$353</f>
        <v>0</v>
      </c>
      <c r="AB471" s="408">
        <f>Meal_entry_week_1!$AM$452</f>
        <v>1</v>
      </c>
      <c r="AC471" s="408">
        <f>Meal_entry_week_1!$AM$88</f>
        <v>0</v>
      </c>
      <c r="AD471" s="408">
        <f>Meal_entry_week_1!$AM$187</f>
        <v>0</v>
      </c>
      <c r="AE471" s="408">
        <f>Meal_entry_week_1!$AM$286</f>
        <v>0</v>
      </c>
      <c r="AF471" s="408">
        <f>Meal_entry_week_1!$AM$385</f>
        <v>0</v>
      </c>
      <c r="AG471" s="408">
        <f>Meal_entry_week_1!$AM$484</f>
        <v>0</v>
      </c>
    </row>
    <row r="472" spans="1:33" ht="15">
      <c r="A472" s="1082"/>
      <c r="B472" s="950" t="s">
        <v>1419</v>
      </c>
      <c r="C472" s="1083"/>
      <c r="D472" s="408">
        <f t="shared" si="101"/>
        <v>1.4</v>
      </c>
      <c r="E472" s="408">
        <f t="shared" si="102"/>
        <v>0</v>
      </c>
      <c r="F472" s="408">
        <f t="shared" si="98"/>
        <v>1</v>
      </c>
      <c r="G472" s="408">
        <f t="shared" si="99"/>
        <v>0.4</v>
      </c>
      <c r="H472" s="408">
        <f t="shared" si="100"/>
        <v>0</v>
      </c>
      <c r="I472" s="408">
        <f>Meal_entry_week_1!$AN$559</f>
        <v>0</v>
      </c>
      <c r="J472" s="408">
        <f>Meal_entry_week_1!$AN$560</f>
        <v>3</v>
      </c>
      <c r="K472" s="408">
        <f>Meal_entry_week_1!$AN$561</f>
        <v>1</v>
      </c>
      <c r="L472" s="408">
        <f>Meal_entry_week_1!$AN$562</f>
        <v>1</v>
      </c>
      <c r="M472" s="408">
        <f>Meal_entry_week_1!$AN$563</f>
        <v>2</v>
      </c>
      <c r="N472" s="406">
        <f>Meal_entry_week_1!$AN$10</f>
        <v>0</v>
      </c>
      <c r="O472" s="408">
        <f>Meal_entry_week_1!$AN$109</f>
        <v>0</v>
      </c>
      <c r="P472" s="408">
        <f>Meal_entry_week_1!$AN$208</f>
        <v>0</v>
      </c>
      <c r="Q472" s="408">
        <f>Meal_entry_week_1!$AN$307</f>
        <v>0</v>
      </c>
      <c r="R472" s="408">
        <f>Meal_entry_week_1!$AN$406</f>
        <v>0</v>
      </c>
      <c r="S472" s="408">
        <f>Meal_entry_week_1!$AN$37</f>
        <v>0</v>
      </c>
      <c r="T472" s="408">
        <f>Meal_entry_week_1!$AN$136</f>
        <v>2</v>
      </c>
      <c r="U472" s="408">
        <f>Meal_entry_week_1!$AN$235</f>
        <v>1</v>
      </c>
      <c r="V472" s="408">
        <f>Meal_entry_week_1!$AN$334</f>
        <v>1</v>
      </c>
      <c r="W472" s="408">
        <f>Meal_entry_week_1!$AN$433</f>
        <v>1</v>
      </c>
      <c r="X472" s="408">
        <f>Meal_entry_week_1!$AN$56</f>
        <v>0</v>
      </c>
      <c r="Y472" s="408">
        <f>Meal_entry_week_1!$AN$155</f>
        <v>1</v>
      </c>
      <c r="Z472" s="408">
        <f>Meal_entry_week_1!$AN$254</f>
        <v>0</v>
      </c>
      <c r="AA472" s="408">
        <f>Meal_entry_week_1!$AN$353</f>
        <v>0</v>
      </c>
      <c r="AB472" s="408">
        <f>Meal_entry_week_1!$AN$452</f>
        <v>1</v>
      </c>
      <c r="AC472" s="408">
        <f>Meal_entry_week_1!$AN$88</f>
        <v>0</v>
      </c>
      <c r="AD472" s="408">
        <f>Meal_entry_week_1!$AN$187</f>
        <v>0</v>
      </c>
      <c r="AE472" s="408">
        <f>Meal_entry_week_1!$AN$286</f>
        <v>0</v>
      </c>
      <c r="AF472" s="408">
        <f>Meal_entry_week_1!$AN$385</f>
        <v>0</v>
      </c>
      <c r="AG472" s="408">
        <f>Meal_entry_week_1!$AN$484</f>
        <v>0</v>
      </c>
    </row>
    <row r="473" spans="1:33" ht="15">
      <c r="A473" s="1082"/>
      <c r="B473" s="950" t="s">
        <v>1420</v>
      </c>
      <c r="C473" s="1083"/>
      <c r="D473" s="408">
        <f t="shared" si="101"/>
        <v>1.4</v>
      </c>
      <c r="E473" s="408">
        <f t="shared" si="102"/>
        <v>0</v>
      </c>
      <c r="F473" s="408">
        <f t="shared" si="98"/>
        <v>1</v>
      </c>
      <c r="G473" s="408">
        <f t="shared" si="99"/>
        <v>0.4</v>
      </c>
      <c r="H473" s="408">
        <f t="shared" si="100"/>
        <v>0</v>
      </c>
      <c r="I473" s="408">
        <f>Meal_entry_week_1!$AO$559</f>
        <v>0</v>
      </c>
      <c r="J473" s="408">
        <f>Meal_entry_week_1!$AO$560</f>
        <v>3</v>
      </c>
      <c r="K473" s="408">
        <f>Meal_entry_week_1!$AO$561</f>
        <v>1</v>
      </c>
      <c r="L473" s="408">
        <f>Meal_entry_week_1!$AO$562</f>
        <v>1</v>
      </c>
      <c r="M473" s="408">
        <f>Meal_entry_week_1!$AO$563</f>
        <v>2</v>
      </c>
      <c r="N473" s="406">
        <f>Meal_entry_week_1!$AO$10</f>
        <v>0</v>
      </c>
      <c r="O473" s="408">
        <f>Meal_entry_week_1!$AO$109</f>
        <v>0</v>
      </c>
      <c r="P473" s="408">
        <f>Meal_entry_week_1!$AO$208</f>
        <v>0</v>
      </c>
      <c r="Q473" s="408">
        <f>Meal_entry_week_1!$AO$307</f>
        <v>0</v>
      </c>
      <c r="R473" s="408">
        <f>Meal_entry_week_1!$AO$406</f>
        <v>0</v>
      </c>
      <c r="S473" s="408">
        <f>Meal_entry_week_1!$AO$37</f>
        <v>0</v>
      </c>
      <c r="T473" s="408">
        <f>Meal_entry_week_1!$AO$136</f>
        <v>2</v>
      </c>
      <c r="U473" s="408">
        <f>Meal_entry_week_1!$AO$235</f>
        <v>1</v>
      </c>
      <c r="V473" s="408">
        <f>Meal_entry_week_1!$AO$334</f>
        <v>1</v>
      </c>
      <c r="W473" s="408">
        <f>Meal_entry_week_1!$AO$433</f>
        <v>1</v>
      </c>
      <c r="X473" s="408">
        <f>Meal_entry_week_1!$AO$56</f>
        <v>0</v>
      </c>
      <c r="Y473" s="408">
        <f>Meal_entry_week_1!$AO$155</f>
        <v>1</v>
      </c>
      <c r="Z473" s="408">
        <f>Meal_entry_week_1!$AO$254</f>
        <v>0</v>
      </c>
      <c r="AA473" s="408">
        <f>Meal_entry_week_1!$AO$353</f>
        <v>0</v>
      </c>
      <c r="AB473" s="408">
        <f>Meal_entry_week_1!$AO$452</f>
        <v>1</v>
      </c>
      <c r="AC473" s="408">
        <f>Meal_entry_week_1!$AO$88</f>
        <v>0</v>
      </c>
      <c r="AD473" s="408">
        <f>Meal_entry_week_1!$AO$187</f>
        <v>0</v>
      </c>
      <c r="AE473" s="408">
        <f>Meal_entry_week_1!$AO$286</f>
        <v>0</v>
      </c>
      <c r="AF473" s="408">
        <f>Meal_entry_week_1!$AO$385</f>
        <v>0</v>
      </c>
      <c r="AG473" s="408">
        <f>Meal_entry_week_1!$AO$484</f>
        <v>0</v>
      </c>
    </row>
    <row r="474" spans="1:33" ht="15">
      <c r="A474" s="1082"/>
      <c r="B474" s="950" t="s">
        <v>1421</v>
      </c>
      <c r="C474" s="1083"/>
      <c r="D474" s="408">
        <f t="shared" si="101"/>
        <v>1.4</v>
      </c>
      <c r="E474" s="408">
        <f t="shared" si="102"/>
        <v>0</v>
      </c>
      <c r="F474" s="408">
        <f t="shared" si="98"/>
        <v>1</v>
      </c>
      <c r="G474" s="408">
        <f t="shared" si="99"/>
        <v>0.4</v>
      </c>
      <c r="H474" s="408">
        <f t="shared" si="100"/>
        <v>0</v>
      </c>
      <c r="I474" s="408">
        <f>Meal_entry_week_1!$AP$559</f>
        <v>0</v>
      </c>
      <c r="J474" s="408">
        <f>Meal_entry_week_1!$AP$560</f>
        <v>3</v>
      </c>
      <c r="K474" s="408">
        <f>Meal_entry_week_1!$AP$561</f>
        <v>1</v>
      </c>
      <c r="L474" s="408">
        <f>Meal_entry_week_1!$AP$562</f>
        <v>1</v>
      </c>
      <c r="M474" s="408">
        <f>Meal_entry_week_1!$AP$563</f>
        <v>2</v>
      </c>
      <c r="N474" s="406">
        <f>Meal_entry_week_1!$AP$10</f>
        <v>0</v>
      </c>
      <c r="O474" s="408">
        <f>Meal_entry_week_1!$AP$109</f>
        <v>0</v>
      </c>
      <c r="P474" s="408">
        <f>Meal_entry_week_1!$AP$208</f>
        <v>0</v>
      </c>
      <c r="Q474" s="408">
        <f>Meal_entry_week_1!$AP$307</f>
        <v>0</v>
      </c>
      <c r="R474" s="408">
        <f>Meal_entry_week_1!$AP$406</f>
        <v>0</v>
      </c>
      <c r="S474" s="408">
        <f>Meal_entry_week_1!$AP$37</f>
        <v>0</v>
      </c>
      <c r="T474" s="408">
        <f>Meal_entry_week_1!$AP$136</f>
        <v>2</v>
      </c>
      <c r="U474" s="408">
        <f>Meal_entry_week_1!$AP$235</f>
        <v>1</v>
      </c>
      <c r="V474" s="408">
        <f>Meal_entry_week_1!$AP$334</f>
        <v>1</v>
      </c>
      <c r="W474" s="408">
        <f>Meal_entry_week_1!$AP$433</f>
        <v>1</v>
      </c>
      <c r="X474" s="408">
        <f>Meal_entry_week_1!$AP$56</f>
        <v>0</v>
      </c>
      <c r="Y474" s="408">
        <f>Meal_entry_week_1!$AP$155</f>
        <v>1</v>
      </c>
      <c r="Z474" s="408">
        <f>Meal_entry_week_1!$AP$254</f>
        <v>0</v>
      </c>
      <c r="AA474" s="408">
        <f>Meal_entry_week_1!$AP$353</f>
        <v>0</v>
      </c>
      <c r="AB474" s="408">
        <f>Meal_entry_week_1!$AP$452</f>
        <v>1</v>
      </c>
      <c r="AC474" s="408">
        <f>Meal_entry_week_1!$AP$88</f>
        <v>0</v>
      </c>
      <c r="AD474" s="408">
        <f>Meal_entry_week_1!$AP$187</f>
        <v>0</v>
      </c>
      <c r="AE474" s="408">
        <f>Meal_entry_week_1!$AP$286</f>
        <v>0</v>
      </c>
      <c r="AF474" s="408">
        <f>Meal_entry_week_1!$AP$385</f>
        <v>0</v>
      </c>
      <c r="AG474" s="408">
        <f>Meal_entry_week_1!$AP$484</f>
        <v>0</v>
      </c>
    </row>
    <row r="475" spans="1:33" ht="15">
      <c r="A475" s="1082"/>
      <c r="B475" s="950" t="s">
        <v>1422</v>
      </c>
      <c r="C475" s="1083"/>
      <c r="D475" s="408">
        <f t="shared" si="101"/>
        <v>2.8</v>
      </c>
      <c r="E475" s="408">
        <f t="shared" si="102"/>
        <v>0</v>
      </c>
      <c r="F475" s="408">
        <f t="shared" si="98"/>
        <v>1.2</v>
      </c>
      <c r="G475" s="408">
        <f t="shared" si="99"/>
        <v>1.6</v>
      </c>
      <c r="H475" s="408">
        <f t="shared" si="100"/>
        <v>0</v>
      </c>
      <c r="I475" s="408">
        <f>Meal_entry_week_1!$AQ$559</f>
        <v>2</v>
      </c>
      <c r="J475" s="408">
        <f>Meal_entry_week_1!$AQ$560</f>
        <v>4</v>
      </c>
      <c r="K475" s="408">
        <f>Meal_entry_week_1!$AQ$561</f>
        <v>2</v>
      </c>
      <c r="L475" s="408">
        <f>Meal_entry_week_1!$AQ$562</f>
        <v>3</v>
      </c>
      <c r="M475" s="408">
        <f>Meal_entry_week_1!$AQ$563</f>
        <v>3</v>
      </c>
      <c r="N475" s="406">
        <f>Meal_entry_week_1!$AQ$10</f>
        <v>0</v>
      </c>
      <c r="O475" s="408">
        <f>Meal_entry_week_1!$AQ$109</f>
        <v>0</v>
      </c>
      <c r="P475" s="408">
        <f>Meal_entry_week_1!$AQ$208</f>
        <v>0</v>
      </c>
      <c r="Q475" s="408">
        <f>Meal_entry_week_1!$AQ$307</f>
        <v>0</v>
      </c>
      <c r="R475" s="408">
        <f>Meal_entry_week_1!$AQ$406</f>
        <v>0</v>
      </c>
      <c r="S475" s="408">
        <f>Meal_entry_week_1!$AQ$37</f>
        <v>0</v>
      </c>
      <c r="T475" s="408">
        <f>Meal_entry_week_1!$AQ$136</f>
        <v>2</v>
      </c>
      <c r="U475" s="408">
        <f>Meal_entry_week_1!$AQ$235</f>
        <v>1</v>
      </c>
      <c r="V475" s="408">
        <f>Meal_entry_week_1!$AQ$334</f>
        <v>2</v>
      </c>
      <c r="W475" s="408">
        <f>Meal_entry_week_1!$AQ$433</f>
        <v>1</v>
      </c>
      <c r="X475" s="408">
        <f>Meal_entry_week_1!$AQ$56</f>
        <v>2</v>
      </c>
      <c r="Y475" s="408">
        <f>Meal_entry_week_1!$AQ$155</f>
        <v>2</v>
      </c>
      <c r="Z475" s="408">
        <f>Meal_entry_week_1!$AQ$254</f>
        <v>1</v>
      </c>
      <c r="AA475" s="408">
        <f>Meal_entry_week_1!$AQ$353</f>
        <v>1</v>
      </c>
      <c r="AB475" s="408">
        <f>Meal_entry_week_1!$AQ$452</f>
        <v>2</v>
      </c>
      <c r="AC475" s="408">
        <f>Meal_entry_week_1!$AQ$88</f>
        <v>0</v>
      </c>
      <c r="AD475" s="408">
        <f>Meal_entry_week_1!$AQ$187</f>
        <v>0</v>
      </c>
      <c r="AE475" s="408">
        <f>Meal_entry_week_1!$AQ$286</f>
        <v>0</v>
      </c>
      <c r="AF475" s="408">
        <f>Meal_entry_week_1!$AQ$385</f>
        <v>0</v>
      </c>
      <c r="AG475" s="408">
        <f>Meal_entry_week_1!$AQ$484</f>
        <v>0</v>
      </c>
    </row>
    <row r="476" spans="1:33" ht="15">
      <c r="A476" s="1082"/>
      <c r="B476" s="950" t="s">
        <v>1423</v>
      </c>
      <c r="C476" s="1083"/>
      <c r="D476" s="408">
        <f t="shared" si="101"/>
        <v>1</v>
      </c>
      <c r="E476" s="408">
        <f t="shared" si="102"/>
        <v>0</v>
      </c>
      <c r="F476" s="408">
        <f t="shared" si="98"/>
        <v>1</v>
      </c>
      <c r="G476" s="408">
        <f t="shared" si="99"/>
        <v>0</v>
      </c>
      <c r="H476" s="408">
        <f t="shared" si="100"/>
        <v>0</v>
      </c>
      <c r="I476" s="408">
        <f>Meal_entry_week_1!$AR$559</f>
        <v>0</v>
      </c>
      <c r="J476" s="408">
        <f>Meal_entry_week_1!$AR$560</f>
        <v>2</v>
      </c>
      <c r="K476" s="408">
        <f>Meal_entry_week_1!$AR$561</f>
        <v>1</v>
      </c>
      <c r="L476" s="408">
        <f>Meal_entry_week_1!$AR$562</f>
        <v>1</v>
      </c>
      <c r="M476" s="408">
        <f>Meal_entry_week_1!$AR$563</f>
        <v>1</v>
      </c>
      <c r="N476" s="406">
        <f>Meal_entry_week_1!$AR$10</f>
        <v>0</v>
      </c>
      <c r="O476" s="408">
        <f>Meal_entry_week_1!$AR$109</f>
        <v>0</v>
      </c>
      <c r="P476" s="408">
        <f>Meal_entry_week_1!$AR$208</f>
        <v>0</v>
      </c>
      <c r="Q476" s="408">
        <f>Meal_entry_week_1!$AR$307</f>
        <v>0</v>
      </c>
      <c r="R476" s="408">
        <f>Meal_entry_week_1!$AR$406</f>
        <v>0</v>
      </c>
      <c r="S476" s="408">
        <f>Meal_entry_week_1!$AR$37</f>
        <v>0</v>
      </c>
      <c r="T476" s="408">
        <f>Meal_entry_week_1!$AR$136</f>
        <v>2</v>
      </c>
      <c r="U476" s="408">
        <f>Meal_entry_week_1!$AR$235</f>
        <v>1</v>
      </c>
      <c r="V476" s="408">
        <f>Meal_entry_week_1!$AR$334</f>
        <v>1</v>
      </c>
      <c r="W476" s="408">
        <f>Meal_entry_week_1!$AR$433</f>
        <v>1</v>
      </c>
      <c r="X476" s="408">
        <f>Meal_entry_week_1!$AR$56</f>
        <v>0</v>
      </c>
      <c r="Y476" s="408">
        <f>Meal_entry_week_1!$AR$155</f>
        <v>0</v>
      </c>
      <c r="Z476" s="408">
        <f>Meal_entry_week_1!$AR$254</f>
        <v>0</v>
      </c>
      <c r="AA476" s="408">
        <f>Meal_entry_week_1!$AR$353</f>
        <v>0</v>
      </c>
      <c r="AB476" s="408">
        <f>Meal_entry_week_1!$AR$452</f>
        <v>0</v>
      </c>
      <c r="AC476" s="408">
        <f>Meal_entry_week_1!$AR$88</f>
        <v>0</v>
      </c>
      <c r="AD476" s="408">
        <f>Meal_entry_week_1!$AR$187</f>
        <v>0</v>
      </c>
      <c r="AE476" s="408">
        <f>Meal_entry_week_1!$AR$286</f>
        <v>0</v>
      </c>
      <c r="AF476" s="408">
        <f>Meal_entry_week_1!$AR$385</f>
        <v>0</v>
      </c>
      <c r="AG476" s="408">
        <f>Meal_entry_week_1!$AR$484</f>
        <v>0</v>
      </c>
    </row>
    <row r="477" spans="1:33" ht="16" thickBot="1">
      <c r="A477" s="1082"/>
      <c r="B477" s="1098" t="s">
        <v>1424</v>
      </c>
      <c r="C477" s="1083"/>
      <c r="D477" s="408">
        <f t="shared" si="101"/>
        <v>2.6</v>
      </c>
      <c r="E477" s="408">
        <f t="shared" si="102"/>
        <v>0</v>
      </c>
      <c r="F477" s="408">
        <f t="shared" si="98"/>
        <v>1</v>
      </c>
      <c r="G477" s="408">
        <f t="shared" si="99"/>
        <v>1.6</v>
      </c>
      <c r="H477" s="408">
        <f t="shared" si="100"/>
        <v>0</v>
      </c>
      <c r="I477" s="408">
        <f>Meal_entry_week_1!$AS$559</f>
        <v>2</v>
      </c>
      <c r="J477" s="408">
        <f>Meal_entry_week_1!$AS$560</f>
        <v>3</v>
      </c>
      <c r="K477" s="408">
        <f>Meal_entry_week_1!$AS$561</f>
        <v>2</v>
      </c>
      <c r="L477" s="408">
        <f>Meal_entry_week_1!$AS$562</f>
        <v>3</v>
      </c>
      <c r="M477" s="408">
        <f>Meal_entry_week_1!$AS$563</f>
        <v>3</v>
      </c>
      <c r="N477" s="406">
        <f>Meal_entry_week_1!$AS$10</f>
        <v>0</v>
      </c>
      <c r="O477" s="408">
        <f>Meal_entry_week_1!$AS$109</f>
        <v>0</v>
      </c>
      <c r="P477" s="408">
        <f>Meal_entry_week_1!$AS$208</f>
        <v>0</v>
      </c>
      <c r="Q477" s="408">
        <f>Meal_entry_week_1!$AS$307</f>
        <v>0</v>
      </c>
      <c r="R477" s="408">
        <f>Meal_entry_week_1!$AS$406</f>
        <v>0</v>
      </c>
      <c r="S477" s="408">
        <f>Meal_entry_week_1!$AS$37</f>
        <v>0</v>
      </c>
      <c r="T477" s="408">
        <f>Meal_entry_week_1!$AS$136</f>
        <v>1</v>
      </c>
      <c r="U477" s="408">
        <f>Meal_entry_week_1!$AS$235</f>
        <v>1</v>
      </c>
      <c r="V477" s="408">
        <f>Meal_entry_week_1!$AS$334</f>
        <v>2</v>
      </c>
      <c r="W477" s="408">
        <f>Meal_entry_week_1!$AS$433</f>
        <v>1</v>
      </c>
      <c r="X477" s="408">
        <f>Meal_entry_week_1!$AS$56</f>
        <v>2</v>
      </c>
      <c r="Y477" s="408">
        <f>Meal_entry_week_1!$AS$155</f>
        <v>2</v>
      </c>
      <c r="Z477" s="408">
        <f>Meal_entry_week_1!$AS$254</f>
        <v>1</v>
      </c>
      <c r="AA477" s="408">
        <f>Meal_entry_week_1!$AS$353</f>
        <v>1</v>
      </c>
      <c r="AB477" s="408">
        <f>Meal_entry_week_1!$AS$452</f>
        <v>2</v>
      </c>
      <c r="AC477" s="408">
        <f>Meal_entry_week_1!$AS$88</f>
        <v>0</v>
      </c>
      <c r="AD477" s="408">
        <f>Meal_entry_week_1!$AS$187</f>
        <v>0</v>
      </c>
      <c r="AE477" s="408">
        <f>Meal_entry_week_1!$AS$286</f>
        <v>0</v>
      </c>
      <c r="AF477" s="408">
        <f>Meal_entry_week_1!$AS$385</f>
        <v>0</v>
      </c>
      <c r="AG477" s="408">
        <f>Meal_entry_week_1!$AS$484</f>
        <v>0</v>
      </c>
    </row>
    <row r="478" spans="1:33" ht="15">
      <c r="B478" s="887"/>
      <c r="C478" s="887"/>
      <c r="D478" s="887" t="s">
        <v>2580</v>
      </c>
      <c r="E478" s="887" t="s">
        <v>2532</v>
      </c>
    </row>
    <row r="479" spans="1:33">
      <c r="B479" s="1099" t="s">
        <v>75</v>
      </c>
      <c r="C479" s="1100"/>
      <c r="D479" s="1101">
        <v>649.25</v>
      </c>
      <c r="E479" s="1102">
        <f t="shared" ref="E479:E501" si="103">(D479/0.35)*(2000/1855)</f>
        <v>2000</v>
      </c>
    </row>
    <row r="480" spans="1:33">
      <c r="B480" s="1099" t="s">
        <v>385</v>
      </c>
      <c r="C480" s="1100"/>
      <c r="D480" s="1103">
        <v>81.199999999999989</v>
      </c>
      <c r="E480" s="1102">
        <f t="shared" si="103"/>
        <v>250.13477088948781</v>
      </c>
    </row>
    <row r="481" spans="2:5">
      <c r="B481" s="1099" t="s">
        <v>386</v>
      </c>
      <c r="C481" s="1100"/>
      <c r="D481" s="1103">
        <v>20.299999999999997</v>
      </c>
      <c r="E481" s="1102">
        <f t="shared" si="103"/>
        <v>62.533692722371953</v>
      </c>
    </row>
    <row r="482" spans="2:5">
      <c r="B482" s="1099" t="s">
        <v>387</v>
      </c>
      <c r="C482" s="1100"/>
      <c r="D482" s="1103">
        <v>21.7</v>
      </c>
      <c r="E482" s="1102">
        <f t="shared" si="103"/>
        <v>66.846361185983824</v>
      </c>
    </row>
    <row r="483" spans="2:5">
      <c r="B483" s="1099" t="s">
        <v>388</v>
      </c>
      <c r="C483" s="1100"/>
      <c r="D483" s="1103">
        <v>6.6499999999999995</v>
      </c>
      <c r="E483" s="1102">
        <f t="shared" si="103"/>
        <v>20.485175202156334</v>
      </c>
    </row>
    <row r="484" spans="2:5">
      <c r="B484" s="1104" t="s">
        <v>389</v>
      </c>
      <c r="C484" s="1105"/>
      <c r="D484" s="1106">
        <v>7</v>
      </c>
      <c r="E484" s="1102">
        <f t="shared" si="103"/>
        <v>21.563342318059298</v>
      </c>
    </row>
    <row r="485" spans="2:5">
      <c r="B485" s="1104" t="s">
        <v>390</v>
      </c>
      <c r="C485" s="1105"/>
      <c r="D485" s="1106">
        <v>482.99999999999994</v>
      </c>
      <c r="E485" s="1102">
        <f t="shared" si="103"/>
        <v>1487.8706199460914</v>
      </c>
    </row>
    <row r="486" spans="2:5">
      <c r="B486" s="1099" t="s">
        <v>391</v>
      </c>
      <c r="C486" s="1100"/>
      <c r="D486" s="1106">
        <v>630</v>
      </c>
      <c r="E486" s="1102">
        <f t="shared" si="103"/>
        <v>1940.700808625337</v>
      </c>
    </row>
    <row r="487" spans="2:5">
      <c r="B487" s="1099" t="s">
        <v>392</v>
      </c>
      <c r="C487" s="1100"/>
      <c r="D487" s="1106">
        <v>315</v>
      </c>
      <c r="E487" s="1102">
        <f t="shared" si="103"/>
        <v>970.3504043126685</v>
      </c>
    </row>
    <row r="488" spans="2:5">
      <c r="B488" s="1099" t="s">
        <v>393</v>
      </c>
      <c r="C488" s="1100"/>
      <c r="D488" s="1106">
        <v>59.499999999999993</v>
      </c>
      <c r="E488" s="1102">
        <f t="shared" si="103"/>
        <v>183.28840970350402</v>
      </c>
    </row>
    <row r="489" spans="2:5">
      <c r="B489" s="1099" t="s">
        <v>394</v>
      </c>
      <c r="C489" s="1100"/>
      <c r="D489" s="1106">
        <v>280</v>
      </c>
      <c r="E489" s="1102">
        <f t="shared" si="103"/>
        <v>862.53369272237194</v>
      </c>
    </row>
    <row r="490" spans="2:5">
      <c r="B490" s="1099" t="s">
        <v>395</v>
      </c>
      <c r="C490" s="1100"/>
      <c r="D490" s="1106">
        <v>3.5</v>
      </c>
      <c r="E490" s="1102">
        <f t="shared" si="103"/>
        <v>10.781671159029649</v>
      </c>
    </row>
    <row r="491" spans="2:5">
      <c r="B491" s="1099" t="s">
        <v>396</v>
      </c>
      <c r="C491" s="1100"/>
      <c r="D491" s="1106">
        <v>2.4499999999999997</v>
      </c>
      <c r="E491" s="1102">
        <f t="shared" si="103"/>
        <v>7.5471698113207539</v>
      </c>
    </row>
    <row r="492" spans="2:5">
      <c r="B492" s="1104" t="s">
        <v>397</v>
      </c>
      <c r="C492" s="1105"/>
      <c r="D492" s="1106">
        <v>0.4375</v>
      </c>
      <c r="E492" s="1102">
        <f t="shared" si="103"/>
        <v>1.3477088948787062</v>
      </c>
    </row>
    <row r="493" spans="2:5">
      <c r="B493" s="1104" t="s">
        <v>398</v>
      </c>
      <c r="C493" s="1105"/>
      <c r="D493" s="1106">
        <v>280</v>
      </c>
      <c r="E493" s="1102">
        <f t="shared" si="103"/>
        <v>862.53369272237194</v>
      </c>
    </row>
    <row r="494" spans="2:5">
      <c r="B494" s="1099" t="s">
        <v>399</v>
      </c>
      <c r="C494" s="1100"/>
      <c r="D494" s="1106">
        <v>0.35</v>
      </c>
      <c r="E494" s="1102">
        <f t="shared" si="103"/>
        <v>1.0781671159029649</v>
      </c>
    </row>
    <row r="495" spans="2:5">
      <c r="B495" s="1099" t="s">
        <v>400</v>
      </c>
      <c r="C495" s="1100"/>
      <c r="D495" s="1106">
        <v>0.38500000000000001</v>
      </c>
      <c r="E495" s="1102">
        <f t="shared" si="103"/>
        <v>1.1859838274932615</v>
      </c>
    </row>
    <row r="496" spans="2:5">
      <c r="B496" s="1099" t="s">
        <v>401</v>
      </c>
      <c r="C496" s="1100"/>
      <c r="D496" s="1106">
        <v>4.1999999999999993</v>
      </c>
      <c r="E496" s="1102">
        <f t="shared" si="103"/>
        <v>12.938005390835576</v>
      </c>
    </row>
    <row r="497" spans="2:5">
      <c r="B497" s="1099" t="s">
        <v>402</v>
      </c>
      <c r="C497" s="1100"/>
      <c r="D497" s="1106">
        <v>0.24499999999999997</v>
      </c>
      <c r="E497" s="1102">
        <f t="shared" si="103"/>
        <v>0.75471698113207542</v>
      </c>
    </row>
    <row r="498" spans="2:5">
      <c r="B498" s="1099" t="s">
        <v>406</v>
      </c>
      <c r="C498" s="1100"/>
      <c r="D498" s="1106">
        <v>105</v>
      </c>
      <c r="E498" s="1102">
        <f t="shared" si="103"/>
        <v>323.45013477088946</v>
      </c>
    </row>
    <row r="499" spans="2:5">
      <c r="B499" s="1099" t="s">
        <v>405</v>
      </c>
      <c r="C499" s="1100"/>
      <c r="D499" s="1106">
        <v>0.63</v>
      </c>
      <c r="E499" s="1102">
        <f t="shared" si="103"/>
        <v>1.9407008086253368</v>
      </c>
    </row>
    <row r="500" spans="2:5">
      <c r="B500" s="1099" t="s">
        <v>403</v>
      </c>
      <c r="C500" s="1100"/>
      <c r="D500" s="1106">
        <v>28</v>
      </c>
      <c r="E500" s="1102">
        <f t="shared" si="103"/>
        <v>86.253369272237194</v>
      </c>
    </row>
    <row r="501" spans="2:5">
      <c r="B501" s="1104" t="s">
        <v>404</v>
      </c>
      <c r="C501" s="1105"/>
      <c r="D501" s="1106">
        <v>1.75</v>
      </c>
      <c r="E501" s="1102">
        <f t="shared" si="103"/>
        <v>5.3908355795148246</v>
      </c>
    </row>
  </sheetData>
  <conditionalFormatting sqref="A147:A148">
    <cfRule type="colorScale" priority="33">
      <colorScale>
        <cfvo type="num" val="0"/>
        <cfvo type="num" val="80"/>
        <color rgb="FFFF0000"/>
        <color theme="0"/>
      </colorScale>
    </cfRule>
  </conditionalFormatting>
  <conditionalFormatting sqref="A149">
    <cfRule type="colorScale" priority="35">
      <colorScale>
        <cfvo type="num" val="0"/>
        <cfvo type="num" val="80"/>
        <color rgb="FFFF0000"/>
        <color theme="0"/>
      </colorScale>
    </cfRule>
  </conditionalFormatting>
  <conditionalFormatting sqref="A156:A173">
    <cfRule type="colorScale" priority="34">
      <colorScale>
        <cfvo type="num" val="0"/>
        <cfvo type="num" val="80"/>
        <color rgb="FFFF0000"/>
        <color theme="0"/>
      </colorScale>
    </cfRule>
  </conditionalFormatting>
  <conditionalFormatting sqref="C147:C148">
    <cfRule type="colorScale" priority="30">
      <colorScale>
        <cfvo type="num" val="0"/>
        <cfvo type="num" val="80"/>
        <color rgb="FFFF0000"/>
        <color theme="0"/>
      </colorScale>
    </cfRule>
  </conditionalFormatting>
  <conditionalFormatting sqref="C149">
    <cfRule type="colorScale" priority="32">
      <colorScale>
        <cfvo type="num" val="0"/>
        <cfvo type="num" val="80"/>
        <color rgb="FFFF0000"/>
        <color theme="0"/>
      </colorScale>
    </cfRule>
  </conditionalFormatting>
  <conditionalFormatting sqref="C156:C173">
    <cfRule type="colorScale" priority="31">
      <colorScale>
        <cfvo type="num" val="0"/>
        <cfvo type="num" val="80"/>
        <color rgb="FFFF0000"/>
        <color theme="0"/>
      </colorScale>
    </cfRule>
  </conditionalFormatting>
  <conditionalFormatting sqref="A179:A180">
    <cfRule type="colorScale" priority="29">
      <colorScale>
        <cfvo type="num" val="0"/>
        <cfvo type="num" val="80"/>
        <color rgb="FFFF0000"/>
        <color theme="0"/>
      </colorScale>
    </cfRule>
  </conditionalFormatting>
  <conditionalFormatting sqref="A174:A178">
    <cfRule type="colorScale" priority="28">
      <colorScale>
        <cfvo type="num" val="0"/>
        <cfvo type="num" val="80"/>
        <color rgb="FFFF0000"/>
        <color theme="0"/>
      </colorScale>
    </cfRule>
  </conditionalFormatting>
  <conditionalFormatting sqref="A210:A211">
    <cfRule type="colorScale" priority="27">
      <colorScale>
        <cfvo type="num" val="0"/>
        <cfvo type="num" val="80"/>
        <color rgb="FFFF0000"/>
        <color theme="0"/>
      </colorScale>
    </cfRule>
  </conditionalFormatting>
  <conditionalFormatting sqref="A187:A209">
    <cfRule type="colorScale" priority="26">
      <colorScale>
        <cfvo type="num" val="0"/>
        <cfvo type="num" val="80"/>
        <color rgb="FFFF0000"/>
        <color theme="0"/>
      </colorScale>
    </cfRule>
  </conditionalFormatting>
  <conditionalFormatting sqref="A218:A234">
    <cfRule type="colorScale" priority="25">
      <colorScale>
        <cfvo type="num" val="0"/>
        <cfvo type="num" val="80"/>
        <color rgb="FFFF0000"/>
        <color theme="0"/>
      </colorScale>
    </cfRule>
  </conditionalFormatting>
  <conditionalFormatting sqref="C179:C180">
    <cfRule type="colorScale" priority="24">
      <colorScale>
        <cfvo type="num" val="0"/>
        <cfvo type="num" val="80"/>
        <color rgb="FFFF0000"/>
        <color theme="0"/>
      </colorScale>
    </cfRule>
  </conditionalFormatting>
  <conditionalFormatting sqref="C174:C178">
    <cfRule type="colorScale" priority="23">
      <colorScale>
        <cfvo type="num" val="0"/>
        <cfvo type="num" val="80"/>
        <color rgb="FFFF0000"/>
        <color theme="0"/>
      </colorScale>
    </cfRule>
  </conditionalFormatting>
  <conditionalFormatting sqref="C210:C211">
    <cfRule type="colorScale" priority="22">
      <colorScale>
        <cfvo type="num" val="0"/>
        <cfvo type="num" val="80"/>
        <color rgb="FFFF0000"/>
        <color theme="0"/>
      </colorScale>
    </cfRule>
  </conditionalFormatting>
  <conditionalFormatting sqref="C187:C209">
    <cfRule type="colorScale" priority="21">
      <colorScale>
        <cfvo type="num" val="0"/>
        <cfvo type="num" val="80"/>
        <color rgb="FFFF0000"/>
        <color theme="0"/>
      </colorScale>
    </cfRule>
  </conditionalFormatting>
  <conditionalFormatting sqref="C218:C234">
    <cfRule type="colorScale" priority="20">
      <colorScale>
        <cfvo type="num" val="0"/>
        <cfvo type="num" val="80"/>
        <color rgb="FFFF0000"/>
        <color theme="0"/>
      </colorScale>
    </cfRule>
  </conditionalFormatting>
  <conditionalFormatting sqref="A121:A146">
    <cfRule type="colorScale" priority="19">
      <colorScale>
        <cfvo type="num" val="0"/>
        <cfvo type="num" val="80"/>
        <color rgb="FFFF0000"/>
        <color theme="0"/>
      </colorScale>
    </cfRule>
  </conditionalFormatting>
  <conditionalFormatting sqref="C121:C146">
    <cfRule type="colorScale" priority="18">
      <colorScale>
        <cfvo type="num" val="0"/>
        <cfvo type="num" val="80"/>
        <color rgb="FFFF0000"/>
        <color theme="0"/>
      </colorScale>
    </cfRule>
  </conditionalFormatting>
  <conditionalFormatting sqref="A249:A258">
    <cfRule type="colorScale" priority="14">
      <colorScale>
        <cfvo type="num" val="0"/>
        <cfvo type="num" val="80"/>
        <color rgb="FFFF0000"/>
        <color theme="0"/>
      </colorScale>
    </cfRule>
  </conditionalFormatting>
  <conditionalFormatting sqref="A241">
    <cfRule type="colorScale" priority="17">
      <colorScale>
        <cfvo type="num" val="0"/>
        <cfvo type="num" val="80"/>
        <color rgb="FFFF0000"/>
        <color theme="0"/>
      </colorScale>
    </cfRule>
  </conditionalFormatting>
  <conditionalFormatting sqref="A235:A240">
    <cfRule type="colorScale" priority="16">
      <colorScale>
        <cfvo type="num" val="0"/>
        <cfvo type="num" val="80"/>
        <color rgb="FFFF0000"/>
        <color theme="0"/>
      </colorScale>
    </cfRule>
  </conditionalFormatting>
  <conditionalFormatting sqref="A242">
    <cfRule type="colorScale" priority="15">
      <colorScale>
        <cfvo type="num" val="0"/>
        <cfvo type="num" val="80"/>
        <color rgb="FFFF0000"/>
        <color theme="0"/>
      </colorScale>
    </cfRule>
  </conditionalFormatting>
  <conditionalFormatting sqref="C249:C258">
    <cfRule type="colorScale" priority="10">
      <colorScale>
        <cfvo type="num" val="0"/>
        <cfvo type="num" val="80"/>
        <color rgb="FFFF0000"/>
        <color theme="0"/>
      </colorScale>
    </cfRule>
  </conditionalFormatting>
  <conditionalFormatting sqref="C241">
    <cfRule type="colorScale" priority="13">
      <colorScale>
        <cfvo type="num" val="0"/>
        <cfvo type="num" val="80"/>
        <color rgb="FFFF0000"/>
        <color theme="0"/>
      </colorScale>
    </cfRule>
  </conditionalFormatting>
  <conditionalFormatting sqref="C235:C240">
    <cfRule type="colorScale" priority="12">
      <colorScale>
        <cfvo type="num" val="0"/>
        <cfvo type="num" val="80"/>
        <color rgb="FFFF0000"/>
        <color theme="0"/>
      </colorScale>
    </cfRule>
  </conditionalFormatting>
  <conditionalFormatting sqref="C242">
    <cfRule type="colorScale" priority="11">
      <colorScale>
        <cfvo type="num" val="0"/>
        <cfvo type="num" val="80"/>
        <color rgb="FFFF0000"/>
        <color theme="0"/>
      </colorScale>
    </cfRule>
  </conditionalFormatting>
  <conditionalFormatting sqref="A261:A265">
    <cfRule type="colorScale" priority="8">
      <colorScale>
        <cfvo type="num" val="0"/>
        <cfvo type="num" val="80"/>
        <color rgb="FFFF0000"/>
        <color theme="0"/>
      </colorScale>
    </cfRule>
  </conditionalFormatting>
  <conditionalFormatting sqref="A284:A301">
    <cfRule type="colorScale" priority="9">
      <colorScale>
        <cfvo type="num" val="0"/>
        <cfvo type="num" val="80"/>
        <color rgb="FFFF0000"/>
        <color theme="0"/>
      </colorScale>
    </cfRule>
  </conditionalFormatting>
  <conditionalFormatting sqref="A259:A260">
    <cfRule type="colorScale" priority="7">
      <colorScale>
        <cfvo type="num" val="0"/>
        <cfvo type="num" val="80"/>
        <color rgb="FFFF0000"/>
        <color theme="0"/>
      </colorScale>
    </cfRule>
  </conditionalFormatting>
  <conditionalFormatting sqref="C261:C265">
    <cfRule type="colorScale" priority="5">
      <colorScale>
        <cfvo type="num" val="0"/>
        <cfvo type="num" val="80"/>
        <color rgb="FFFF0000"/>
        <color theme="0"/>
      </colorScale>
    </cfRule>
  </conditionalFormatting>
  <conditionalFormatting sqref="C284:C301">
    <cfRule type="colorScale" priority="6">
      <colorScale>
        <cfvo type="num" val="0"/>
        <cfvo type="num" val="80"/>
        <color rgb="FFFF0000"/>
        <color theme="0"/>
      </colorScale>
    </cfRule>
  </conditionalFormatting>
  <conditionalFormatting sqref="C259:C260">
    <cfRule type="colorScale" priority="4">
      <colorScale>
        <cfvo type="num" val="0"/>
        <cfvo type="num" val="80"/>
        <color rgb="FFFF0000"/>
        <color theme="0"/>
      </colorScale>
    </cfRule>
  </conditionalFormatting>
  <conditionalFormatting sqref="F300 F298">
    <cfRule type="colorScale" priority="3">
      <colorScale>
        <cfvo type="num" val="-1E-4"/>
        <cfvo type="num" val="0"/>
        <cfvo type="num" val="80"/>
        <color theme="0"/>
        <color rgb="FFFF0000"/>
        <color theme="0"/>
      </colorScale>
    </cfRule>
  </conditionalFormatting>
  <conditionalFormatting sqref="A87">
    <cfRule type="colorScale" priority="2">
      <colorScale>
        <cfvo type="num" val="0"/>
        <cfvo type="num" val="80"/>
        <color rgb="FFFF0000"/>
        <color theme="0"/>
      </colorScale>
    </cfRule>
  </conditionalFormatting>
  <conditionalFormatting sqref="C87">
    <cfRule type="colorScale" priority="1">
      <colorScale>
        <cfvo type="num" val="0"/>
        <cfvo type="num" val="80"/>
        <color rgb="FFFF0000"/>
        <color theme="0"/>
      </colorScale>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53BF0-D4C5-1F41-A6D5-E16BF7A8DC36}">
  <dimension ref="A33:AK502"/>
  <sheetViews>
    <sheetView topLeftCell="A344" workbookViewId="0">
      <selection activeCell="H371" sqref="H371:P371"/>
    </sheetView>
  </sheetViews>
  <sheetFormatPr baseColWidth="10" defaultRowHeight="14"/>
  <cols>
    <col min="1" max="1" width="2.1640625" style="891" customWidth="1"/>
    <col min="2" max="2" width="29.5" style="890" customWidth="1"/>
    <col min="3" max="3" width="2.6640625" style="891" customWidth="1"/>
    <col min="4" max="33" width="14" style="891" customWidth="1"/>
    <col min="34" max="16384" width="10.83203125" style="891"/>
  </cols>
  <sheetData>
    <row r="33" spans="31:32">
      <c r="AE33" s="892" t="s">
        <v>2568</v>
      </c>
      <c r="AF33" s="893">
        <f>'Charts and graphs'!AF33</f>
        <v>4</v>
      </c>
    </row>
    <row r="34" spans="31:32">
      <c r="AE34" s="894" t="s">
        <v>2567</v>
      </c>
      <c r="AF34" s="893">
        <f>'Charts and graphs'!AF34</f>
        <v>1</v>
      </c>
    </row>
    <row r="35" spans="31:32">
      <c r="AE35" s="895" t="s">
        <v>2566</v>
      </c>
      <c r="AF35" s="896"/>
    </row>
    <row r="87" spans="1:18" s="896" customFormat="1" ht="15" customHeight="1">
      <c r="A87" s="897"/>
      <c r="B87" s="898"/>
      <c r="C87" s="897"/>
      <c r="D87" s="896" t="str" cm="1">
        <f t="array" ref="D87">INDEX(H320:M320,0,$AF$34)</f>
        <v>Cumulative costs of food categories per meal: average (din)</v>
      </c>
      <c r="H87" s="896" t="str" cm="1">
        <f t="array" ref="H87">INDEX(H371:M371,0,$AF$34)</f>
        <v>Cumulative weight of food categories per meal: average (g)</v>
      </c>
      <c r="L87" s="899"/>
      <c r="M87" s="899"/>
      <c r="N87" s="896" t="str" cm="1">
        <f t="array" ref="N87">INDEX(H415:M415,0,$AF$34)</f>
        <v>Doprinos hrane globalnom zagrevanju: Kumulativna emisija CO2 (g/g) iz kategorije hrane - nedeljni prosek za:</v>
      </c>
      <c r="O87" s="899"/>
      <c r="P87" s="899"/>
      <c r="Q87" s="899"/>
      <c r="R87" s="899"/>
    </row>
    <row r="119" spans="1:37">
      <c r="AH119" s="891" t="s">
        <v>2599</v>
      </c>
      <c r="AI119" s="891" t="s">
        <v>2601</v>
      </c>
    </row>
    <row r="120" spans="1:37">
      <c r="AH120" s="891" t="s">
        <v>2600</v>
      </c>
      <c r="AI120" s="891" t="s">
        <v>2602</v>
      </c>
    </row>
    <row r="121" spans="1:37" ht="15">
      <c r="A121" s="900"/>
      <c r="B121" s="1013" t="s">
        <v>1402</v>
      </c>
      <c r="C121" s="919"/>
      <c r="D121" s="1015" t="s">
        <v>3778</v>
      </c>
      <c r="E121" s="1016" t="s">
        <v>67</v>
      </c>
      <c r="F121" s="1016" t="s">
        <v>1362</v>
      </c>
      <c r="G121" s="1016" t="s">
        <v>69</v>
      </c>
      <c r="H121" s="1017" t="s">
        <v>1364</v>
      </c>
      <c r="I121" s="1015" t="s">
        <v>3778</v>
      </c>
      <c r="J121" s="1016" t="s">
        <v>3778</v>
      </c>
      <c r="K121" s="1016" t="s">
        <v>3778</v>
      </c>
      <c r="L121" s="1016" t="s">
        <v>3778</v>
      </c>
      <c r="M121" s="1017" t="s">
        <v>3778</v>
      </c>
      <c r="N121" s="1015" t="s">
        <v>67</v>
      </c>
      <c r="O121" s="1016" t="s">
        <v>67</v>
      </c>
      <c r="P121" s="1016" t="s">
        <v>67</v>
      </c>
      <c r="Q121" s="1016" t="s">
        <v>67</v>
      </c>
      <c r="R121" s="1017" t="s">
        <v>67</v>
      </c>
      <c r="S121" s="1285" t="s">
        <v>1362</v>
      </c>
      <c r="T121" s="1285" t="s">
        <v>1362</v>
      </c>
      <c r="U121" s="1285" t="s">
        <v>1362</v>
      </c>
      <c r="V121" s="1285" t="s">
        <v>1362</v>
      </c>
      <c r="W121" s="1285" t="s">
        <v>1362</v>
      </c>
      <c r="X121" s="1016" t="s">
        <v>69</v>
      </c>
      <c r="Y121" s="1016" t="s">
        <v>69</v>
      </c>
      <c r="Z121" s="1016" t="s">
        <v>69</v>
      </c>
      <c r="AA121" s="1016" t="s">
        <v>69</v>
      </c>
      <c r="AB121" s="1017" t="s">
        <v>69</v>
      </c>
      <c r="AC121" s="1015" t="s">
        <v>1364</v>
      </c>
      <c r="AD121" s="1016" t="s">
        <v>1364</v>
      </c>
      <c r="AE121" s="1016" t="s">
        <v>1364</v>
      </c>
      <c r="AF121" s="1016" t="s">
        <v>1364</v>
      </c>
      <c r="AG121" s="1017" t="s">
        <v>1364</v>
      </c>
      <c r="AH121" s="1014" t="s">
        <v>589</v>
      </c>
      <c r="AI121" s="1018" t="s">
        <v>2562</v>
      </c>
      <c r="AJ121" s="1019" t="s">
        <v>2531</v>
      </c>
    </row>
    <row r="122" spans="1:37">
      <c r="A122" s="900"/>
      <c r="B122" s="1020">
        <f>AH122</f>
        <v>80</v>
      </c>
      <c r="C122" s="919"/>
      <c r="D122" s="1018">
        <f>IF($E146&gt;0,$E$122,0)+IF($F146&gt;0,$F$122,0)+IF($G146&gt;0,$G$122,0)+IF($H146&gt;0,$H$122,0)</f>
        <v>70</v>
      </c>
      <c r="E122" s="1018">
        <f>IF((Meal_entry_week_1!L3=1),30,35)</f>
        <v>30</v>
      </c>
      <c r="F122" s="1018">
        <f>IF((Meal_entry_week_1!E38)-(Meal_entry_week_1!E57)&gt;9,15,10)</f>
        <v>10</v>
      </c>
      <c r="G122" s="1018">
        <v>30</v>
      </c>
      <c r="H122" s="1018">
        <f>IF(E122=35,5,10)</f>
        <v>10</v>
      </c>
      <c r="I122" s="1021">
        <f t="shared" ref="I122:M137" si="0">$D122</f>
        <v>70</v>
      </c>
      <c r="J122" s="945">
        <f t="shared" si="0"/>
        <v>70</v>
      </c>
      <c r="K122" s="945">
        <f t="shared" si="0"/>
        <v>70</v>
      </c>
      <c r="L122" s="945">
        <f t="shared" si="0"/>
        <v>70</v>
      </c>
      <c r="M122" s="1022">
        <f t="shared" si="0"/>
        <v>70</v>
      </c>
      <c r="N122" s="1023">
        <f t="shared" ref="N122:R137" si="1">$E122</f>
        <v>30</v>
      </c>
      <c r="O122" s="1024">
        <f t="shared" si="1"/>
        <v>30</v>
      </c>
      <c r="P122" s="1024">
        <f t="shared" si="1"/>
        <v>30</v>
      </c>
      <c r="Q122" s="1024">
        <f t="shared" si="1"/>
        <v>30</v>
      </c>
      <c r="R122" s="1025">
        <f t="shared" si="1"/>
        <v>30</v>
      </c>
      <c r="S122" s="1026">
        <f t="shared" ref="S122:W137" si="2">$F122</f>
        <v>10</v>
      </c>
      <c r="T122" s="1027">
        <f t="shared" si="2"/>
        <v>10</v>
      </c>
      <c r="U122" s="1027">
        <f t="shared" si="2"/>
        <v>10</v>
      </c>
      <c r="V122" s="1027">
        <f t="shared" si="2"/>
        <v>10</v>
      </c>
      <c r="W122" s="1028">
        <f t="shared" si="2"/>
        <v>10</v>
      </c>
      <c r="X122" s="1027">
        <f t="shared" ref="X122:AB137" si="3">$G122</f>
        <v>30</v>
      </c>
      <c r="Y122" s="1027">
        <f t="shared" si="3"/>
        <v>30</v>
      </c>
      <c r="Z122" s="1027">
        <f t="shared" si="3"/>
        <v>30</v>
      </c>
      <c r="AA122" s="1027">
        <f t="shared" si="3"/>
        <v>30</v>
      </c>
      <c r="AB122" s="1028">
        <f t="shared" si="3"/>
        <v>30</v>
      </c>
      <c r="AC122" s="1026">
        <f t="shared" ref="AC122:AG137" si="4">$H122</f>
        <v>10</v>
      </c>
      <c r="AD122" s="1027">
        <f t="shared" si="4"/>
        <v>10</v>
      </c>
      <c r="AE122" s="1027">
        <f t="shared" si="4"/>
        <v>10</v>
      </c>
      <c r="AF122" s="1027">
        <f t="shared" si="4"/>
        <v>10</v>
      </c>
      <c r="AG122" s="1028">
        <f t="shared" si="4"/>
        <v>10</v>
      </c>
      <c r="AH122" s="1029">
        <f t="shared" ref="AH122:AH145" si="5">SUM($E122:$H122)</f>
        <v>80</v>
      </c>
      <c r="AI122" s="1027">
        <f>IF($E146&gt;0,$E122,0)+IF($F146&gt;0,$F122,0)+IF($G146&gt;0,$G122,0)+IF($H146&gt;0,$H122,0)</f>
        <v>70</v>
      </c>
      <c r="AJ122" s="1029">
        <v>100</v>
      </c>
    </row>
    <row r="123" spans="1:37">
      <c r="A123" s="900"/>
      <c r="B123" s="768" t="s">
        <v>3878</v>
      </c>
      <c r="C123" s="919"/>
      <c r="D123" s="1015">
        <f>IF($E$146&gt;0,$E123,0)+IF($F$146&gt;0,$F123,0)+IF($G$146&gt;0,$G123,0)+IF($H$146&gt;0,$H123,0)</f>
        <v>1400</v>
      </c>
      <c r="E123" s="1016">
        <f t="shared" ref="E123:E145" si="6">E$122*AJ123/100</f>
        <v>600</v>
      </c>
      <c r="F123" s="1016">
        <f t="shared" ref="F123:F145" si="7">F$122*AJ123/100</f>
        <v>200</v>
      </c>
      <c r="G123" s="1016">
        <f t="shared" ref="G123:G145" si="8">G$122*AJ123/100</f>
        <v>600</v>
      </c>
      <c r="H123" s="1017">
        <f t="shared" ref="H123:H145" si="9">H$122*AJ123/100</f>
        <v>200</v>
      </c>
      <c r="I123" s="1031">
        <f t="shared" si="0"/>
        <v>1400</v>
      </c>
      <c r="J123" s="1032">
        <f t="shared" si="0"/>
        <v>1400</v>
      </c>
      <c r="K123" s="1032">
        <f t="shared" si="0"/>
        <v>1400</v>
      </c>
      <c r="L123" s="1032">
        <f t="shared" si="0"/>
        <v>1400</v>
      </c>
      <c r="M123" s="1033">
        <f t="shared" si="0"/>
        <v>1400</v>
      </c>
      <c r="N123" s="1034">
        <f t="shared" si="1"/>
        <v>600</v>
      </c>
      <c r="O123" s="1034">
        <f t="shared" si="1"/>
        <v>600</v>
      </c>
      <c r="P123" s="1034">
        <f t="shared" si="1"/>
        <v>600</v>
      </c>
      <c r="Q123" s="1034">
        <f t="shared" si="1"/>
        <v>600</v>
      </c>
      <c r="R123" s="1035">
        <f t="shared" si="1"/>
        <v>600</v>
      </c>
      <c r="S123" s="1036">
        <f t="shared" si="2"/>
        <v>200</v>
      </c>
      <c r="T123" s="1034">
        <f t="shared" si="2"/>
        <v>200</v>
      </c>
      <c r="U123" s="1034">
        <f t="shared" si="2"/>
        <v>200</v>
      </c>
      <c r="V123" s="1034">
        <f t="shared" si="2"/>
        <v>200</v>
      </c>
      <c r="W123" s="1035">
        <f t="shared" si="2"/>
        <v>200</v>
      </c>
      <c r="X123" s="1036">
        <f t="shared" si="3"/>
        <v>600</v>
      </c>
      <c r="Y123" s="1034">
        <f t="shared" si="3"/>
        <v>600</v>
      </c>
      <c r="Z123" s="1034">
        <f t="shared" si="3"/>
        <v>600</v>
      </c>
      <c r="AA123" s="1034">
        <f t="shared" si="3"/>
        <v>600</v>
      </c>
      <c r="AB123" s="1035">
        <f t="shared" si="3"/>
        <v>600</v>
      </c>
      <c r="AC123" s="1036">
        <f t="shared" si="4"/>
        <v>200</v>
      </c>
      <c r="AD123" s="1034">
        <f t="shared" si="4"/>
        <v>200</v>
      </c>
      <c r="AE123" s="1034">
        <f t="shared" si="4"/>
        <v>200</v>
      </c>
      <c r="AF123" s="1034">
        <f t="shared" si="4"/>
        <v>200</v>
      </c>
      <c r="AG123" s="1035">
        <f t="shared" si="4"/>
        <v>200</v>
      </c>
      <c r="AH123" s="1018">
        <f t="shared" si="5"/>
        <v>1600</v>
      </c>
      <c r="AI123" s="945">
        <f t="shared" ref="AI123:AI145" si="10">IF($E$146&gt;0,E123,0)+IF($F$146&gt;0,F123,0)+IF($G$146&gt;0,G123,0)+IF($H$146&gt;0,H123,0)</f>
        <v>1400</v>
      </c>
      <c r="AJ123" s="406">
        <v>2000</v>
      </c>
      <c r="AK123" s="945" t="s">
        <v>2536</v>
      </c>
    </row>
    <row r="124" spans="1:37">
      <c r="A124" s="900"/>
      <c r="B124" s="768" t="s">
        <v>3879</v>
      </c>
      <c r="C124" s="919"/>
      <c r="D124" s="1038">
        <f>IF($E$146&gt;0,$E124,0)+IF($F$146&gt;0,$F124,0)+IF($G$146&gt;0,$G124,0)+IF($H$146&gt;0,$H124,0)</f>
        <v>192.5</v>
      </c>
      <c r="E124" s="1038">
        <f t="shared" si="6"/>
        <v>82.5</v>
      </c>
      <c r="F124" s="1038">
        <f t="shared" si="7"/>
        <v>27.5</v>
      </c>
      <c r="G124" s="1038">
        <f t="shared" si="8"/>
        <v>82.5</v>
      </c>
      <c r="H124" s="1039">
        <f t="shared" si="9"/>
        <v>27.5</v>
      </c>
      <c r="I124" s="941">
        <f t="shared" si="0"/>
        <v>192.5</v>
      </c>
      <c r="J124" s="922">
        <f t="shared" si="0"/>
        <v>192.5</v>
      </c>
      <c r="K124" s="922">
        <f t="shared" si="0"/>
        <v>192.5</v>
      </c>
      <c r="L124" s="922">
        <f t="shared" si="0"/>
        <v>192.5</v>
      </c>
      <c r="M124" s="1040">
        <f t="shared" si="0"/>
        <v>192.5</v>
      </c>
      <c r="N124" s="1041">
        <f t="shared" si="1"/>
        <v>82.5</v>
      </c>
      <c r="O124" s="1041">
        <f t="shared" si="1"/>
        <v>82.5</v>
      </c>
      <c r="P124" s="1041">
        <f t="shared" si="1"/>
        <v>82.5</v>
      </c>
      <c r="Q124" s="1041">
        <f t="shared" si="1"/>
        <v>82.5</v>
      </c>
      <c r="R124" s="1042">
        <f t="shared" si="1"/>
        <v>82.5</v>
      </c>
      <c r="S124" s="1043">
        <f t="shared" si="2"/>
        <v>27.5</v>
      </c>
      <c r="T124" s="1041">
        <f t="shared" si="2"/>
        <v>27.5</v>
      </c>
      <c r="U124" s="1041">
        <f t="shared" si="2"/>
        <v>27.5</v>
      </c>
      <c r="V124" s="1041">
        <f t="shared" si="2"/>
        <v>27.5</v>
      </c>
      <c r="W124" s="1042">
        <f t="shared" si="2"/>
        <v>27.5</v>
      </c>
      <c r="X124" s="1043">
        <f t="shared" si="3"/>
        <v>82.5</v>
      </c>
      <c r="Y124" s="1041">
        <f t="shared" si="3"/>
        <v>82.5</v>
      </c>
      <c r="Z124" s="1041">
        <f t="shared" si="3"/>
        <v>82.5</v>
      </c>
      <c r="AA124" s="1041">
        <f t="shared" si="3"/>
        <v>82.5</v>
      </c>
      <c r="AB124" s="1042">
        <f t="shared" si="3"/>
        <v>82.5</v>
      </c>
      <c r="AC124" s="1043">
        <f t="shared" si="4"/>
        <v>27.5</v>
      </c>
      <c r="AD124" s="1041">
        <f t="shared" si="4"/>
        <v>27.5</v>
      </c>
      <c r="AE124" s="1041">
        <f t="shared" si="4"/>
        <v>27.5</v>
      </c>
      <c r="AF124" s="1041">
        <f t="shared" si="4"/>
        <v>27.5</v>
      </c>
      <c r="AG124" s="1042">
        <f t="shared" si="4"/>
        <v>27.5</v>
      </c>
      <c r="AH124" s="1038">
        <f t="shared" si="5"/>
        <v>220</v>
      </c>
      <c r="AI124" s="922">
        <f t="shared" si="10"/>
        <v>192.5</v>
      </c>
      <c r="AJ124" s="407">
        <v>275</v>
      </c>
      <c r="AK124" s="945" t="s">
        <v>2537</v>
      </c>
    </row>
    <row r="125" spans="1:37">
      <c r="A125" s="900"/>
      <c r="B125" s="768" t="s">
        <v>3880</v>
      </c>
      <c r="C125" s="919"/>
      <c r="D125" s="1038">
        <f t="shared" ref="D125:D145" si="11">IF($E$146&gt;0,$E125,0)+IF($F$146&gt;0,$F125,0)+IF($G$146&gt;0,$G125,0)+IF($H$146&gt;0,$H125,0)</f>
        <v>48.72</v>
      </c>
      <c r="E125" s="1038">
        <f t="shared" si="6"/>
        <v>20.88</v>
      </c>
      <c r="F125" s="1038">
        <f t="shared" si="7"/>
        <v>6.96</v>
      </c>
      <c r="G125" s="1038">
        <f t="shared" si="8"/>
        <v>20.88</v>
      </c>
      <c r="H125" s="1039">
        <f t="shared" si="9"/>
        <v>6.96</v>
      </c>
      <c r="I125" s="941">
        <f t="shared" si="0"/>
        <v>48.72</v>
      </c>
      <c r="J125" s="922">
        <f t="shared" si="0"/>
        <v>48.72</v>
      </c>
      <c r="K125" s="922">
        <f t="shared" si="0"/>
        <v>48.72</v>
      </c>
      <c r="L125" s="922">
        <f t="shared" si="0"/>
        <v>48.72</v>
      </c>
      <c r="M125" s="1040">
        <f t="shared" si="0"/>
        <v>48.72</v>
      </c>
      <c r="N125" s="1041">
        <f t="shared" si="1"/>
        <v>20.88</v>
      </c>
      <c r="O125" s="1041">
        <f t="shared" si="1"/>
        <v>20.88</v>
      </c>
      <c r="P125" s="1041">
        <f t="shared" si="1"/>
        <v>20.88</v>
      </c>
      <c r="Q125" s="1041">
        <f t="shared" si="1"/>
        <v>20.88</v>
      </c>
      <c r="R125" s="1042">
        <f t="shared" si="1"/>
        <v>20.88</v>
      </c>
      <c r="S125" s="1043">
        <f t="shared" si="2"/>
        <v>6.96</v>
      </c>
      <c r="T125" s="1041">
        <f t="shared" si="2"/>
        <v>6.96</v>
      </c>
      <c r="U125" s="1041">
        <f t="shared" si="2"/>
        <v>6.96</v>
      </c>
      <c r="V125" s="1041">
        <f t="shared" si="2"/>
        <v>6.96</v>
      </c>
      <c r="W125" s="1042">
        <f t="shared" si="2"/>
        <v>6.96</v>
      </c>
      <c r="X125" s="1043">
        <f t="shared" si="3"/>
        <v>20.88</v>
      </c>
      <c r="Y125" s="1041">
        <f t="shared" si="3"/>
        <v>20.88</v>
      </c>
      <c r="Z125" s="1041">
        <f t="shared" si="3"/>
        <v>20.88</v>
      </c>
      <c r="AA125" s="1041">
        <f t="shared" si="3"/>
        <v>20.88</v>
      </c>
      <c r="AB125" s="1042">
        <f t="shared" si="3"/>
        <v>20.88</v>
      </c>
      <c r="AC125" s="1043">
        <f t="shared" si="4"/>
        <v>6.96</v>
      </c>
      <c r="AD125" s="1041">
        <f t="shared" si="4"/>
        <v>6.96</v>
      </c>
      <c r="AE125" s="1041">
        <f t="shared" si="4"/>
        <v>6.96</v>
      </c>
      <c r="AF125" s="1041">
        <f t="shared" si="4"/>
        <v>6.96</v>
      </c>
      <c r="AG125" s="1042">
        <f t="shared" si="4"/>
        <v>6.96</v>
      </c>
      <c r="AH125" s="1038">
        <f t="shared" si="5"/>
        <v>55.68</v>
      </c>
      <c r="AI125" s="922">
        <f t="shared" si="10"/>
        <v>48.72</v>
      </c>
      <c r="AJ125" s="407">
        <v>69.599999999999994</v>
      </c>
      <c r="AK125" s="945" t="s">
        <v>2540</v>
      </c>
    </row>
    <row r="126" spans="1:37">
      <c r="A126" s="900"/>
      <c r="B126" s="768" t="s">
        <v>3881</v>
      </c>
      <c r="C126" s="919"/>
      <c r="D126" s="1038">
        <f t="shared" si="11"/>
        <v>46.666661999999995</v>
      </c>
      <c r="E126" s="1038">
        <f t="shared" si="6"/>
        <v>19.999997999999998</v>
      </c>
      <c r="F126" s="1038">
        <f t="shared" si="7"/>
        <v>6.6666659999999993</v>
      </c>
      <c r="G126" s="1038">
        <f t="shared" si="8"/>
        <v>19.999997999999998</v>
      </c>
      <c r="H126" s="1039">
        <f t="shared" si="9"/>
        <v>6.6666659999999993</v>
      </c>
      <c r="I126" s="941">
        <f t="shared" si="0"/>
        <v>46.666661999999995</v>
      </c>
      <c r="J126" s="922">
        <f t="shared" si="0"/>
        <v>46.666661999999995</v>
      </c>
      <c r="K126" s="922">
        <f t="shared" si="0"/>
        <v>46.666661999999995</v>
      </c>
      <c r="L126" s="922">
        <f t="shared" si="0"/>
        <v>46.666661999999995</v>
      </c>
      <c r="M126" s="1040">
        <f t="shared" si="0"/>
        <v>46.666661999999995</v>
      </c>
      <c r="N126" s="1041">
        <f t="shared" si="1"/>
        <v>19.999997999999998</v>
      </c>
      <c r="O126" s="1041">
        <f t="shared" si="1"/>
        <v>19.999997999999998</v>
      </c>
      <c r="P126" s="1041">
        <f t="shared" si="1"/>
        <v>19.999997999999998</v>
      </c>
      <c r="Q126" s="1041">
        <f t="shared" si="1"/>
        <v>19.999997999999998</v>
      </c>
      <c r="R126" s="1042">
        <f t="shared" si="1"/>
        <v>19.999997999999998</v>
      </c>
      <c r="S126" s="1043">
        <f t="shared" si="2"/>
        <v>6.6666659999999993</v>
      </c>
      <c r="T126" s="1041">
        <f t="shared" si="2"/>
        <v>6.6666659999999993</v>
      </c>
      <c r="U126" s="1041">
        <f t="shared" si="2"/>
        <v>6.6666659999999993</v>
      </c>
      <c r="V126" s="1041">
        <f t="shared" si="2"/>
        <v>6.6666659999999993</v>
      </c>
      <c r="W126" s="1042">
        <f t="shared" si="2"/>
        <v>6.6666659999999993</v>
      </c>
      <c r="X126" s="1043">
        <f t="shared" si="3"/>
        <v>19.999997999999998</v>
      </c>
      <c r="Y126" s="1041">
        <f t="shared" si="3"/>
        <v>19.999997999999998</v>
      </c>
      <c r="Z126" s="1041">
        <f t="shared" si="3"/>
        <v>19.999997999999998</v>
      </c>
      <c r="AA126" s="1041">
        <f t="shared" si="3"/>
        <v>19.999997999999998</v>
      </c>
      <c r="AB126" s="1042">
        <f t="shared" si="3"/>
        <v>19.999997999999998</v>
      </c>
      <c r="AC126" s="1043">
        <f t="shared" si="4"/>
        <v>6.6666659999999993</v>
      </c>
      <c r="AD126" s="1041">
        <f t="shared" si="4"/>
        <v>6.6666659999999993</v>
      </c>
      <c r="AE126" s="1041">
        <f t="shared" si="4"/>
        <v>6.6666659999999993</v>
      </c>
      <c r="AF126" s="1041">
        <f t="shared" si="4"/>
        <v>6.6666659999999993</v>
      </c>
      <c r="AG126" s="1042">
        <f t="shared" si="4"/>
        <v>6.6666659999999993</v>
      </c>
      <c r="AH126" s="1038">
        <f t="shared" si="5"/>
        <v>53.333327999999995</v>
      </c>
      <c r="AI126" s="922">
        <f t="shared" si="10"/>
        <v>46.666661999999995</v>
      </c>
      <c r="AJ126" s="407">
        <v>66.666659999999993</v>
      </c>
      <c r="AK126" s="945" t="s">
        <v>2538</v>
      </c>
    </row>
    <row r="127" spans="1:37" ht="15">
      <c r="A127" s="900"/>
      <c r="B127" s="770" t="s">
        <v>3882</v>
      </c>
      <c r="C127" s="919"/>
      <c r="D127" s="1038">
        <f t="shared" si="11"/>
        <v>14</v>
      </c>
      <c r="E127" s="1038">
        <f t="shared" si="6"/>
        <v>6</v>
      </c>
      <c r="F127" s="1038">
        <f t="shared" si="7"/>
        <v>2</v>
      </c>
      <c r="G127" s="1038">
        <f t="shared" si="8"/>
        <v>6</v>
      </c>
      <c r="H127" s="1039">
        <f t="shared" si="9"/>
        <v>2</v>
      </c>
      <c r="I127" s="941">
        <f t="shared" si="0"/>
        <v>14</v>
      </c>
      <c r="J127" s="922">
        <f t="shared" si="0"/>
        <v>14</v>
      </c>
      <c r="K127" s="922">
        <f t="shared" si="0"/>
        <v>14</v>
      </c>
      <c r="L127" s="922">
        <f t="shared" si="0"/>
        <v>14</v>
      </c>
      <c r="M127" s="1040">
        <f t="shared" si="0"/>
        <v>14</v>
      </c>
      <c r="N127" s="1041">
        <f t="shared" si="1"/>
        <v>6</v>
      </c>
      <c r="O127" s="1041">
        <f t="shared" si="1"/>
        <v>6</v>
      </c>
      <c r="P127" s="1041">
        <f t="shared" si="1"/>
        <v>6</v>
      </c>
      <c r="Q127" s="1041">
        <f t="shared" si="1"/>
        <v>6</v>
      </c>
      <c r="R127" s="1042">
        <f t="shared" si="1"/>
        <v>6</v>
      </c>
      <c r="S127" s="1043">
        <f t="shared" si="2"/>
        <v>2</v>
      </c>
      <c r="T127" s="1041">
        <f t="shared" si="2"/>
        <v>2</v>
      </c>
      <c r="U127" s="1041">
        <f t="shared" si="2"/>
        <v>2</v>
      </c>
      <c r="V127" s="1041">
        <f t="shared" si="2"/>
        <v>2</v>
      </c>
      <c r="W127" s="1042">
        <f t="shared" si="2"/>
        <v>2</v>
      </c>
      <c r="X127" s="1043">
        <f t="shared" si="3"/>
        <v>6</v>
      </c>
      <c r="Y127" s="1041">
        <f t="shared" si="3"/>
        <v>6</v>
      </c>
      <c r="Z127" s="1041">
        <f t="shared" si="3"/>
        <v>6</v>
      </c>
      <c r="AA127" s="1041">
        <f t="shared" si="3"/>
        <v>6</v>
      </c>
      <c r="AB127" s="1042">
        <f t="shared" si="3"/>
        <v>6</v>
      </c>
      <c r="AC127" s="1043">
        <f t="shared" si="4"/>
        <v>2</v>
      </c>
      <c r="AD127" s="1041">
        <f t="shared" si="4"/>
        <v>2</v>
      </c>
      <c r="AE127" s="1041">
        <f t="shared" si="4"/>
        <v>2</v>
      </c>
      <c r="AF127" s="1041">
        <f t="shared" si="4"/>
        <v>2</v>
      </c>
      <c r="AG127" s="1042">
        <f t="shared" si="4"/>
        <v>2</v>
      </c>
      <c r="AH127" s="1038">
        <f t="shared" si="5"/>
        <v>16</v>
      </c>
      <c r="AI127" s="922">
        <f t="shared" si="10"/>
        <v>14</v>
      </c>
      <c r="AJ127" s="407">
        <v>20</v>
      </c>
      <c r="AK127" s="913" t="s">
        <v>2539</v>
      </c>
    </row>
    <row r="128" spans="1:37" ht="15">
      <c r="A128" s="900"/>
      <c r="B128" s="771" t="s">
        <v>3883</v>
      </c>
      <c r="C128" s="919"/>
      <c r="D128" s="1038">
        <f t="shared" si="11"/>
        <v>15.4</v>
      </c>
      <c r="E128" s="1038">
        <f t="shared" si="6"/>
        <v>6.6</v>
      </c>
      <c r="F128" s="1038">
        <f t="shared" si="7"/>
        <v>2.2000000000000002</v>
      </c>
      <c r="G128" s="1038">
        <f t="shared" si="8"/>
        <v>6.6</v>
      </c>
      <c r="H128" s="1039">
        <f t="shared" si="9"/>
        <v>2.2000000000000002</v>
      </c>
      <c r="I128" s="941">
        <f t="shared" si="0"/>
        <v>15.4</v>
      </c>
      <c r="J128" s="922">
        <f t="shared" si="0"/>
        <v>15.4</v>
      </c>
      <c r="K128" s="922">
        <f t="shared" si="0"/>
        <v>15.4</v>
      </c>
      <c r="L128" s="922">
        <f t="shared" si="0"/>
        <v>15.4</v>
      </c>
      <c r="M128" s="1040">
        <f t="shared" si="0"/>
        <v>15.4</v>
      </c>
      <c r="N128" s="1041">
        <f t="shared" si="1"/>
        <v>6.6</v>
      </c>
      <c r="O128" s="1041">
        <f t="shared" si="1"/>
        <v>6.6</v>
      </c>
      <c r="P128" s="1041">
        <f t="shared" si="1"/>
        <v>6.6</v>
      </c>
      <c r="Q128" s="1041">
        <f t="shared" si="1"/>
        <v>6.6</v>
      </c>
      <c r="R128" s="1042">
        <f t="shared" si="1"/>
        <v>6.6</v>
      </c>
      <c r="S128" s="1043">
        <f t="shared" si="2"/>
        <v>2.2000000000000002</v>
      </c>
      <c r="T128" s="1041">
        <f t="shared" si="2"/>
        <v>2.2000000000000002</v>
      </c>
      <c r="U128" s="1041">
        <f t="shared" si="2"/>
        <v>2.2000000000000002</v>
      </c>
      <c r="V128" s="1041">
        <f t="shared" si="2"/>
        <v>2.2000000000000002</v>
      </c>
      <c r="W128" s="1042">
        <f t="shared" si="2"/>
        <v>2.2000000000000002</v>
      </c>
      <c r="X128" s="1043">
        <f t="shared" si="3"/>
        <v>6.6</v>
      </c>
      <c r="Y128" s="1041">
        <f t="shared" si="3"/>
        <v>6.6</v>
      </c>
      <c r="Z128" s="1041">
        <f t="shared" si="3"/>
        <v>6.6</v>
      </c>
      <c r="AA128" s="1041">
        <f t="shared" si="3"/>
        <v>6.6</v>
      </c>
      <c r="AB128" s="1042">
        <f t="shared" si="3"/>
        <v>6.6</v>
      </c>
      <c r="AC128" s="1043">
        <f t="shared" si="4"/>
        <v>2.2000000000000002</v>
      </c>
      <c r="AD128" s="1041">
        <f t="shared" si="4"/>
        <v>2.2000000000000002</v>
      </c>
      <c r="AE128" s="1041">
        <f t="shared" si="4"/>
        <v>2.2000000000000002</v>
      </c>
      <c r="AF128" s="1041">
        <f t="shared" si="4"/>
        <v>2.2000000000000002</v>
      </c>
      <c r="AG128" s="1042">
        <f t="shared" si="4"/>
        <v>2.2000000000000002</v>
      </c>
      <c r="AH128" s="1038">
        <f t="shared" si="5"/>
        <v>17.600000000000001</v>
      </c>
      <c r="AI128" s="922">
        <f t="shared" si="10"/>
        <v>15.4</v>
      </c>
      <c r="AJ128" s="407">
        <v>22</v>
      </c>
      <c r="AK128" s="913" t="s">
        <v>2539</v>
      </c>
    </row>
    <row r="129" spans="1:37" ht="15">
      <c r="A129" s="900"/>
      <c r="B129" s="770" t="s">
        <v>3884</v>
      </c>
      <c r="C129" s="919"/>
      <c r="D129" s="1038">
        <f t="shared" si="11"/>
        <v>1041.509433962264</v>
      </c>
      <c r="E129" s="1038">
        <f t="shared" si="6"/>
        <v>446.36118598382745</v>
      </c>
      <c r="F129" s="1038">
        <f t="shared" si="7"/>
        <v>148.78706199460913</v>
      </c>
      <c r="G129" s="1038">
        <f t="shared" si="8"/>
        <v>446.36118598382745</v>
      </c>
      <c r="H129" s="1039">
        <f t="shared" si="9"/>
        <v>148.78706199460913</v>
      </c>
      <c r="I129" s="941">
        <f t="shared" si="0"/>
        <v>1041.509433962264</v>
      </c>
      <c r="J129" s="922">
        <f t="shared" si="0"/>
        <v>1041.509433962264</v>
      </c>
      <c r="K129" s="922">
        <f t="shared" si="0"/>
        <v>1041.509433962264</v>
      </c>
      <c r="L129" s="922">
        <f t="shared" si="0"/>
        <v>1041.509433962264</v>
      </c>
      <c r="M129" s="1040">
        <f t="shared" si="0"/>
        <v>1041.509433962264</v>
      </c>
      <c r="N129" s="1041">
        <f t="shared" si="1"/>
        <v>446.36118598382745</v>
      </c>
      <c r="O129" s="1041">
        <f t="shared" si="1"/>
        <v>446.36118598382745</v>
      </c>
      <c r="P129" s="1041">
        <f t="shared" si="1"/>
        <v>446.36118598382745</v>
      </c>
      <c r="Q129" s="1041">
        <f t="shared" si="1"/>
        <v>446.36118598382745</v>
      </c>
      <c r="R129" s="1042">
        <f t="shared" si="1"/>
        <v>446.36118598382745</v>
      </c>
      <c r="S129" s="1043">
        <f t="shared" si="2"/>
        <v>148.78706199460913</v>
      </c>
      <c r="T129" s="1041">
        <f t="shared" si="2"/>
        <v>148.78706199460913</v>
      </c>
      <c r="U129" s="1041">
        <f t="shared" si="2"/>
        <v>148.78706199460913</v>
      </c>
      <c r="V129" s="1041">
        <f t="shared" si="2"/>
        <v>148.78706199460913</v>
      </c>
      <c r="W129" s="1042">
        <f t="shared" si="2"/>
        <v>148.78706199460913</v>
      </c>
      <c r="X129" s="1043">
        <f t="shared" si="3"/>
        <v>446.36118598382745</v>
      </c>
      <c r="Y129" s="1041">
        <f t="shared" si="3"/>
        <v>446.36118598382745</v>
      </c>
      <c r="Z129" s="1041">
        <f t="shared" si="3"/>
        <v>446.36118598382745</v>
      </c>
      <c r="AA129" s="1041">
        <f t="shared" si="3"/>
        <v>446.36118598382745</v>
      </c>
      <c r="AB129" s="1042">
        <f t="shared" si="3"/>
        <v>446.36118598382745</v>
      </c>
      <c r="AC129" s="1043">
        <f t="shared" si="4"/>
        <v>148.78706199460913</v>
      </c>
      <c r="AD129" s="1041">
        <f t="shared" si="4"/>
        <v>148.78706199460913</v>
      </c>
      <c r="AE129" s="1041">
        <f t="shared" si="4"/>
        <v>148.78706199460913</v>
      </c>
      <c r="AF129" s="1041">
        <f t="shared" si="4"/>
        <v>148.78706199460913</v>
      </c>
      <c r="AG129" s="1042">
        <f t="shared" si="4"/>
        <v>148.78706199460913</v>
      </c>
      <c r="AH129" s="1038">
        <f t="shared" si="5"/>
        <v>1190.2964959568731</v>
      </c>
      <c r="AI129" s="922">
        <f t="shared" si="10"/>
        <v>1041.509433962264</v>
      </c>
      <c r="AJ129" s="407">
        <v>1487.8706199460914</v>
      </c>
      <c r="AK129" s="913" t="s">
        <v>2535</v>
      </c>
    </row>
    <row r="130" spans="1:37" ht="15">
      <c r="A130" s="900"/>
      <c r="B130" s="770" t="s">
        <v>3885</v>
      </c>
      <c r="C130" s="919"/>
      <c r="D130" s="1038">
        <f t="shared" si="11"/>
        <v>1260</v>
      </c>
      <c r="E130" s="1038">
        <f t="shared" si="6"/>
        <v>540</v>
      </c>
      <c r="F130" s="1038">
        <f t="shared" si="7"/>
        <v>180</v>
      </c>
      <c r="G130" s="1038">
        <f t="shared" si="8"/>
        <v>540</v>
      </c>
      <c r="H130" s="1039">
        <f t="shared" si="9"/>
        <v>180</v>
      </c>
      <c r="I130" s="941">
        <f t="shared" si="0"/>
        <v>1260</v>
      </c>
      <c r="J130" s="922">
        <f t="shared" si="0"/>
        <v>1260</v>
      </c>
      <c r="K130" s="922">
        <f t="shared" si="0"/>
        <v>1260</v>
      </c>
      <c r="L130" s="922">
        <f t="shared" si="0"/>
        <v>1260</v>
      </c>
      <c r="M130" s="1040">
        <f t="shared" si="0"/>
        <v>1260</v>
      </c>
      <c r="N130" s="1041">
        <f t="shared" si="1"/>
        <v>540</v>
      </c>
      <c r="O130" s="1041">
        <f t="shared" si="1"/>
        <v>540</v>
      </c>
      <c r="P130" s="1041">
        <f t="shared" si="1"/>
        <v>540</v>
      </c>
      <c r="Q130" s="1041">
        <f t="shared" si="1"/>
        <v>540</v>
      </c>
      <c r="R130" s="1042">
        <f t="shared" si="1"/>
        <v>540</v>
      </c>
      <c r="S130" s="1043">
        <f t="shared" si="2"/>
        <v>180</v>
      </c>
      <c r="T130" s="1041">
        <f t="shared" si="2"/>
        <v>180</v>
      </c>
      <c r="U130" s="1041">
        <f t="shared" si="2"/>
        <v>180</v>
      </c>
      <c r="V130" s="1041">
        <f t="shared" si="2"/>
        <v>180</v>
      </c>
      <c r="W130" s="1042">
        <f t="shared" si="2"/>
        <v>180</v>
      </c>
      <c r="X130" s="1043">
        <f t="shared" si="3"/>
        <v>540</v>
      </c>
      <c r="Y130" s="1041">
        <f t="shared" si="3"/>
        <v>540</v>
      </c>
      <c r="Z130" s="1041">
        <f t="shared" si="3"/>
        <v>540</v>
      </c>
      <c r="AA130" s="1041">
        <f t="shared" si="3"/>
        <v>540</v>
      </c>
      <c r="AB130" s="1042">
        <f t="shared" si="3"/>
        <v>540</v>
      </c>
      <c r="AC130" s="1043">
        <f t="shared" si="4"/>
        <v>180</v>
      </c>
      <c r="AD130" s="1041">
        <f t="shared" si="4"/>
        <v>180</v>
      </c>
      <c r="AE130" s="1041">
        <f t="shared" si="4"/>
        <v>180</v>
      </c>
      <c r="AF130" s="1041">
        <f t="shared" si="4"/>
        <v>180</v>
      </c>
      <c r="AG130" s="1042">
        <f t="shared" si="4"/>
        <v>180</v>
      </c>
      <c r="AH130" s="1038">
        <f t="shared" si="5"/>
        <v>1440</v>
      </c>
      <c r="AI130" s="922">
        <f t="shared" si="10"/>
        <v>1260</v>
      </c>
      <c r="AJ130" s="407">
        <v>1800</v>
      </c>
      <c r="AK130" s="913" t="s">
        <v>2535</v>
      </c>
    </row>
    <row r="131" spans="1:37" ht="15">
      <c r="A131" s="900"/>
      <c r="B131" s="770" t="s">
        <v>3886</v>
      </c>
      <c r="C131" s="919"/>
      <c r="D131" s="1038">
        <f t="shared" si="11"/>
        <v>553</v>
      </c>
      <c r="E131" s="1038">
        <f t="shared" si="6"/>
        <v>237</v>
      </c>
      <c r="F131" s="1038">
        <f t="shared" si="7"/>
        <v>79</v>
      </c>
      <c r="G131" s="1038">
        <f t="shared" si="8"/>
        <v>237</v>
      </c>
      <c r="H131" s="1039">
        <f t="shared" si="9"/>
        <v>79</v>
      </c>
      <c r="I131" s="941">
        <f t="shared" si="0"/>
        <v>553</v>
      </c>
      <c r="J131" s="922">
        <f t="shared" si="0"/>
        <v>553</v>
      </c>
      <c r="K131" s="922">
        <f t="shared" si="0"/>
        <v>553</v>
      </c>
      <c r="L131" s="922">
        <f t="shared" si="0"/>
        <v>553</v>
      </c>
      <c r="M131" s="1040">
        <f t="shared" si="0"/>
        <v>553</v>
      </c>
      <c r="N131" s="1041">
        <f t="shared" si="1"/>
        <v>237</v>
      </c>
      <c r="O131" s="1041">
        <f t="shared" si="1"/>
        <v>237</v>
      </c>
      <c r="P131" s="1041">
        <f t="shared" si="1"/>
        <v>237</v>
      </c>
      <c r="Q131" s="1041">
        <f t="shared" si="1"/>
        <v>237</v>
      </c>
      <c r="R131" s="1042">
        <f t="shared" si="1"/>
        <v>237</v>
      </c>
      <c r="S131" s="1043">
        <f t="shared" si="2"/>
        <v>79</v>
      </c>
      <c r="T131" s="1041">
        <f t="shared" si="2"/>
        <v>79</v>
      </c>
      <c r="U131" s="1041">
        <f t="shared" si="2"/>
        <v>79</v>
      </c>
      <c r="V131" s="1041">
        <f t="shared" si="2"/>
        <v>79</v>
      </c>
      <c r="W131" s="1042">
        <f t="shared" si="2"/>
        <v>79</v>
      </c>
      <c r="X131" s="1043">
        <f t="shared" si="3"/>
        <v>237</v>
      </c>
      <c r="Y131" s="1041">
        <f t="shared" si="3"/>
        <v>237</v>
      </c>
      <c r="Z131" s="1041">
        <f t="shared" si="3"/>
        <v>237</v>
      </c>
      <c r="AA131" s="1041">
        <f t="shared" si="3"/>
        <v>237</v>
      </c>
      <c r="AB131" s="1042">
        <f t="shared" si="3"/>
        <v>237</v>
      </c>
      <c r="AC131" s="1043">
        <f t="shared" si="4"/>
        <v>79</v>
      </c>
      <c r="AD131" s="1041">
        <f t="shared" si="4"/>
        <v>79</v>
      </c>
      <c r="AE131" s="1041">
        <f t="shared" si="4"/>
        <v>79</v>
      </c>
      <c r="AF131" s="1041">
        <f t="shared" si="4"/>
        <v>79</v>
      </c>
      <c r="AG131" s="1042">
        <f t="shared" si="4"/>
        <v>79</v>
      </c>
      <c r="AH131" s="1038">
        <f t="shared" si="5"/>
        <v>632</v>
      </c>
      <c r="AI131" s="922">
        <f t="shared" si="10"/>
        <v>553</v>
      </c>
      <c r="AJ131" s="407">
        <v>790</v>
      </c>
      <c r="AK131" s="913" t="s">
        <v>2533</v>
      </c>
    </row>
    <row r="132" spans="1:37" ht="15">
      <c r="A132" s="900"/>
      <c r="B132" s="770" t="s">
        <v>3887</v>
      </c>
      <c r="C132" s="919"/>
      <c r="D132" s="1038">
        <f t="shared" si="11"/>
        <v>140</v>
      </c>
      <c r="E132" s="1038">
        <f t="shared" si="6"/>
        <v>60</v>
      </c>
      <c r="F132" s="1038">
        <f t="shared" si="7"/>
        <v>20</v>
      </c>
      <c r="G132" s="1038">
        <f t="shared" si="8"/>
        <v>60</v>
      </c>
      <c r="H132" s="1039">
        <f t="shared" si="9"/>
        <v>20</v>
      </c>
      <c r="I132" s="941">
        <f t="shared" si="0"/>
        <v>140</v>
      </c>
      <c r="J132" s="922">
        <f t="shared" si="0"/>
        <v>140</v>
      </c>
      <c r="K132" s="922">
        <f t="shared" si="0"/>
        <v>140</v>
      </c>
      <c r="L132" s="922">
        <f t="shared" si="0"/>
        <v>140</v>
      </c>
      <c r="M132" s="1040">
        <f t="shared" si="0"/>
        <v>140</v>
      </c>
      <c r="N132" s="1041">
        <f t="shared" si="1"/>
        <v>60</v>
      </c>
      <c r="O132" s="1041">
        <f t="shared" si="1"/>
        <v>60</v>
      </c>
      <c r="P132" s="1041">
        <f t="shared" si="1"/>
        <v>60</v>
      </c>
      <c r="Q132" s="1041">
        <f t="shared" si="1"/>
        <v>60</v>
      </c>
      <c r="R132" s="1042">
        <f t="shared" si="1"/>
        <v>60</v>
      </c>
      <c r="S132" s="1043">
        <f t="shared" si="2"/>
        <v>20</v>
      </c>
      <c r="T132" s="1041">
        <f t="shared" si="2"/>
        <v>20</v>
      </c>
      <c r="U132" s="1041">
        <f t="shared" si="2"/>
        <v>20</v>
      </c>
      <c r="V132" s="1041">
        <f t="shared" si="2"/>
        <v>20</v>
      </c>
      <c r="W132" s="1042">
        <f t="shared" si="2"/>
        <v>20</v>
      </c>
      <c r="X132" s="1043">
        <f t="shared" si="3"/>
        <v>60</v>
      </c>
      <c r="Y132" s="1041">
        <f t="shared" si="3"/>
        <v>60</v>
      </c>
      <c r="Z132" s="1041">
        <f t="shared" si="3"/>
        <v>60</v>
      </c>
      <c r="AA132" s="1041">
        <f t="shared" si="3"/>
        <v>60</v>
      </c>
      <c r="AB132" s="1042">
        <f t="shared" si="3"/>
        <v>60</v>
      </c>
      <c r="AC132" s="1043">
        <f t="shared" si="4"/>
        <v>20</v>
      </c>
      <c r="AD132" s="1041">
        <f t="shared" si="4"/>
        <v>20</v>
      </c>
      <c r="AE132" s="1041">
        <f t="shared" si="4"/>
        <v>20</v>
      </c>
      <c r="AF132" s="1041">
        <f t="shared" si="4"/>
        <v>20</v>
      </c>
      <c r="AG132" s="1042">
        <f t="shared" si="4"/>
        <v>20</v>
      </c>
      <c r="AH132" s="1038">
        <f t="shared" si="5"/>
        <v>160</v>
      </c>
      <c r="AI132" s="922">
        <f t="shared" si="10"/>
        <v>140</v>
      </c>
      <c r="AJ132" s="407">
        <v>200</v>
      </c>
      <c r="AK132" s="913" t="s">
        <v>2533</v>
      </c>
    </row>
    <row r="133" spans="1:37" ht="15">
      <c r="A133" s="900"/>
      <c r="B133" s="770" t="s">
        <v>3888</v>
      </c>
      <c r="C133" s="919"/>
      <c r="D133" s="1038">
        <f t="shared" si="11"/>
        <v>434</v>
      </c>
      <c r="E133" s="1038">
        <f t="shared" si="6"/>
        <v>186</v>
      </c>
      <c r="F133" s="1038">
        <f t="shared" si="7"/>
        <v>62</v>
      </c>
      <c r="G133" s="1038">
        <f t="shared" si="8"/>
        <v>186</v>
      </c>
      <c r="H133" s="1039">
        <f t="shared" si="9"/>
        <v>62</v>
      </c>
      <c r="I133" s="941">
        <f t="shared" si="0"/>
        <v>434</v>
      </c>
      <c r="J133" s="922">
        <f t="shared" si="0"/>
        <v>434</v>
      </c>
      <c r="K133" s="922">
        <f t="shared" si="0"/>
        <v>434</v>
      </c>
      <c r="L133" s="922">
        <f t="shared" si="0"/>
        <v>434</v>
      </c>
      <c r="M133" s="1040">
        <f t="shared" si="0"/>
        <v>434</v>
      </c>
      <c r="N133" s="1041">
        <f t="shared" si="1"/>
        <v>186</v>
      </c>
      <c r="O133" s="1041">
        <f t="shared" si="1"/>
        <v>186</v>
      </c>
      <c r="P133" s="1041">
        <f t="shared" si="1"/>
        <v>186</v>
      </c>
      <c r="Q133" s="1041">
        <f t="shared" si="1"/>
        <v>186</v>
      </c>
      <c r="R133" s="1042">
        <f t="shared" si="1"/>
        <v>186</v>
      </c>
      <c r="S133" s="1043">
        <f t="shared" si="2"/>
        <v>62</v>
      </c>
      <c r="T133" s="1041">
        <f t="shared" si="2"/>
        <v>62</v>
      </c>
      <c r="U133" s="1041">
        <f t="shared" si="2"/>
        <v>62</v>
      </c>
      <c r="V133" s="1041">
        <f t="shared" si="2"/>
        <v>62</v>
      </c>
      <c r="W133" s="1042">
        <f t="shared" si="2"/>
        <v>62</v>
      </c>
      <c r="X133" s="1043">
        <f t="shared" si="3"/>
        <v>186</v>
      </c>
      <c r="Y133" s="1041">
        <f t="shared" si="3"/>
        <v>186</v>
      </c>
      <c r="Z133" s="1041">
        <f t="shared" si="3"/>
        <v>186</v>
      </c>
      <c r="AA133" s="1041">
        <f t="shared" si="3"/>
        <v>186</v>
      </c>
      <c r="AB133" s="1042">
        <f t="shared" si="3"/>
        <v>186</v>
      </c>
      <c r="AC133" s="1043">
        <f t="shared" si="4"/>
        <v>62</v>
      </c>
      <c r="AD133" s="1041">
        <f t="shared" si="4"/>
        <v>62</v>
      </c>
      <c r="AE133" s="1041">
        <f t="shared" si="4"/>
        <v>62</v>
      </c>
      <c r="AF133" s="1041">
        <f t="shared" si="4"/>
        <v>62</v>
      </c>
      <c r="AG133" s="1042">
        <f t="shared" si="4"/>
        <v>62</v>
      </c>
      <c r="AH133" s="1038">
        <f t="shared" si="5"/>
        <v>496</v>
      </c>
      <c r="AI133" s="922">
        <f t="shared" si="10"/>
        <v>434</v>
      </c>
      <c r="AJ133" s="407">
        <v>620</v>
      </c>
      <c r="AK133" s="913" t="s">
        <v>2533</v>
      </c>
    </row>
    <row r="134" spans="1:37" ht="15">
      <c r="A134" s="900"/>
      <c r="B134" s="770" t="s">
        <v>3889</v>
      </c>
      <c r="C134" s="919"/>
      <c r="D134" s="1038">
        <f t="shared" si="11"/>
        <v>7.7</v>
      </c>
      <c r="E134" s="1038">
        <f t="shared" si="6"/>
        <v>3.3</v>
      </c>
      <c r="F134" s="1038">
        <f t="shared" si="7"/>
        <v>1.1000000000000001</v>
      </c>
      <c r="G134" s="1038">
        <f t="shared" si="8"/>
        <v>3.3</v>
      </c>
      <c r="H134" s="1039">
        <f t="shared" si="9"/>
        <v>1.1000000000000001</v>
      </c>
      <c r="I134" s="941">
        <f t="shared" si="0"/>
        <v>7.7</v>
      </c>
      <c r="J134" s="922">
        <f t="shared" si="0"/>
        <v>7.7</v>
      </c>
      <c r="K134" s="922">
        <f t="shared" si="0"/>
        <v>7.7</v>
      </c>
      <c r="L134" s="922">
        <f t="shared" si="0"/>
        <v>7.7</v>
      </c>
      <c r="M134" s="1040">
        <f t="shared" si="0"/>
        <v>7.7</v>
      </c>
      <c r="N134" s="1041">
        <f t="shared" si="1"/>
        <v>3.3</v>
      </c>
      <c r="O134" s="1041">
        <f t="shared" si="1"/>
        <v>3.3</v>
      </c>
      <c r="P134" s="1041">
        <f t="shared" si="1"/>
        <v>3.3</v>
      </c>
      <c r="Q134" s="1041">
        <f t="shared" si="1"/>
        <v>3.3</v>
      </c>
      <c r="R134" s="1042">
        <f t="shared" si="1"/>
        <v>3.3</v>
      </c>
      <c r="S134" s="1043">
        <f t="shared" si="2"/>
        <v>1.1000000000000001</v>
      </c>
      <c r="T134" s="1041">
        <f t="shared" si="2"/>
        <v>1.1000000000000001</v>
      </c>
      <c r="U134" s="1041">
        <f t="shared" si="2"/>
        <v>1.1000000000000001</v>
      </c>
      <c r="V134" s="1041">
        <f t="shared" si="2"/>
        <v>1.1000000000000001</v>
      </c>
      <c r="W134" s="1042">
        <f t="shared" si="2"/>
        <v>1.1000000000000001</v>
      </c>
      <c r="X134" s="1043">
        <f t="shared" si="3"/>
        <v>3.3</v>
      </c>
      <c r="Y134" s="1041">
        <f t="shared" si="3"/>
        <v>3.3</v>
      </c>
      <c r="Z134" s="1041">
        <f t="shared" si="3"/>
        <v>3.3</v>
      </c>
      <c r="AA134" s="1041">
        <f t="shared" si="3"/>
        <v>3.3</v>
      </c>
      <c r="AB134" s="1042">
        <f t="shared" si="3"/>
        <v>3.3</v>
      </c>
      <c r="AC134" s="1043">
        <f t="shared" si="4"/>
        <v>1.1000000000000001</v>
      </c>
      <c r="AD134" s="1041">
        <f t="shared" si="4"/>
        <v>1.1000000000000001</v>
      </c>
      <c r="AE134" s="1041">
        <f t="shared" si="4"/>
        <v>1.1000000000000001</v>
      </c>
      <c r="AF134" s="1041">
        <f t="shared" si="4"/>
        <v>1.1000000000000001</v>
      </c>
      <c r="AG134" s="1042">
        <f t="shared" si="4"/>
        <v>1.1000000000000001</v>
      </c>
      <c r="AH134" s="1038">
        <f t="shared" si="5"/>
        <v>8.8000000000000007</v>
      </c>
      <c r="AI134" s="922">
        <f t="shared" si="10"/>
        <v>7.7</v>
      </c>
      <c r="AJ134" s="407">
        <v>11</v>
      </c>
      <c r="AK134" s="913" t="s">
        <v>2535</v>
      </c>
    </row>
    <row r="135" spans="1:37" ht="15">
      <c r="A135" s="900"/>
      <c r="B135" s="770" t="s">
        <v>3890</v>
      </c>
      <c r="C135" s="919"/>
      <c r="D135" s="1038">
        <f t="shared" si="11"/>
        <v>4.9000000000000004</v>
      </c>
      <c r="E135" s="1038">
        <f t="shared" si="6"/>
        <v>2.1</v>
      </c>
      <c r="F135" s="1038">
        <f t="shared" si="7"/>
        <v>0.7</v>
      </c>
      <c r="G135" s="1038">
        <f t="shared" si="8"/>
        <v>2.1</v>
      </c>
      <c r="H135" s="1039">
        <f t="shared" si="9"/>
        <v>0.7</v>
      </c>
      <c r="I135" s="941">
        <f t="shared" si="0"/>
        <v>4.9000000000000004</v>
      </c>
      <c r="J135" s="922">
        <f t="shared" si="0"/>
        <v>4.9000000000000004</v>
      </c>
      <c r="K135" s="922">
        <f t="shared" si="0"/>
        <v>4.9000000000000004</v>
      </c>
      <c r="L135" s="922">
        <f t="shared" si="0"/>
        <v>4.9000000000000004</v>
      </c>
      <c r="M135" s="1040">
        <f t="shared" si="0"/>
        <v>4.9000000000000004</v>
      </c>
      <c r="N135" s="1041">
        <f t="shared" si="1"/>
        <v>2.1</v>
      </c>
      <c r="O135" s="1041">
        <f t="shared" si="1"/>
        <v>2.1</v>
      </c>
      <c r="P135" s="1041">
        <f t="shared" si="1"/>
        <v>2.1</v>
      </c>
      <c r="Q135" s="1041">
        <f t="shared" si="1"/>
        <v>2.1</v>
      </c>
      <c r="R135" s="1042">
        <f t="shared" si="1"/>
        <v>2.1</v>
      </c>
      <c r="S135" s="1043">
        <f t="shared" si="2"/>
        <v>0.7</v>
      </c>
      <c r="T135" s="1041">
        <f t="shared" si="2"/>
        <v>0.7</v>
      </c>
      <c r="U135" s="1041">
        <f t="shared" si="2"/>
        <v>0.7</v>
      </c>
      <c r="V135" s="1041">
        <f t="shared" si="2"/>
        <v>0.7</v>
      </c>
      <c r="W135" s="1042">
        <f t="shared" si="2"/>
        <v>0.7</v>
      </c>
      <c r="X135" s="1043">
        <f t="shared" si="3"/>
        <v>2.1</v>
      </c>
      <c r="Y135" s="1041">
        <f t="shared" si="3"/>
        <v>2.1</v>
      </c>
      <c r="Z135" s="1041">
        <f t="shared" si="3"/>
        <v>2.1</v>
      </c>
      <c r="AA135" s="1041">
        <f t="shared" si="3"/>
        <v>2.1</v>
      </c>
      <c r="AB135" s="1042">
        <f t="shared" si="3"/>
        <v>2.1</v>
      </c>
      <c r="AC135" s="1043">
        <f t="shared" si="4"/>
        <v>0.7</v>
      </c>
      <c r="AD135" s="1041">
        <f t="shared" si="4"/>
        <v>0.7</v>
      </c>
      <c r="AE135" s="1041">
        <f t="shared" si="4"/>
        <v>0.7</v>
      </c>
      <c r="AF135" s="1041">
        <f t="shared" si="4"/>
        <v>0.7</v>
      </c>
      <c r="AG135" s="1042">
        <f t="shared" si="4"/>
        <v>0.7</v>
      </c>
      <c r="AH135" s="1038">
        <f t="shared" si="5"/>
        <v>5.6000000000000005</v>
      </c>
      <c r="AI135" s="922">
        <f t="shared" si="10"/>
        <v>4.9000000000000004</v>
      </c>
      <c r="AJ135" s="407">
        <v>7</v>
      </c>
      <c r="AK135" s="913" t="s">
        <v>2539</v>
      </c>
    </row>
    <row r="136" spans="1:37" ht="15">
      <c r="A136" s="900"/>
      <c r="B136" s="770" t="s">
        <v>3891</v>
      </c>
      <c r="C136" s="919"/>
      <c r="D136" s="1038">
        <f t="shared" si="11"/>
        <v>0.7</v>
      </c>
      <c r="E136" s="1038">
        <f t="shared" si="6"/>
        <v>0.3</v>
      </c>
      <c r="F136" s="1038">
        <f t="shared" si="7"/>
        <v>0.1</v>
      </c>
      <c r="G136" s="1038">
        <f t="shared" si="8"/>
        <v>0.3</v>
      </c>
      <c r="H136" s="1039">
        <f t="shared" si="9"/>
        <v>0.1</v>
      </c>
      <c r="I136" s="941">
        <f t="shared" si="0"/>
        <v>0.7</v>
      </c>
      <c r="J136" s="922">
        <f t="shared" si="0"/>
        <v>0.7</v>
      </c>
      <c r="K136" s="922">
        <f t="shared" si="0"/>
        <v>0.7</v>
      </c>
      <c r="L136" s="922">
        <f t="shared" si="0"/>
        <v>0.7</v>
      </c>
      <c r="M136" s="1040">
        <f t="shared" si="0"/>
        <v>0.7</v>
      </c>
      <c r="N136" s="1041">
        <f t="shared" si="1"/>
        <v>0.3</v>
      </c>
      <c r="O136" s="1041">
        <f t="shared" si="1"/>
        <v>0.3</v>
      </c>
      <c r="P136" s="1041">
        <f t="shared" si="1"/>
        <v>0.3</v>
      </c>
      <c r="Q136" s="1041">
        <f t="shared" si="1"/>
        <v>0.3</v>
      </c>
      <c r="R136" s="1042">
        <f t="shared" si="1"/>
        <v>0.3</v>
      </c>
      <c r="S136" s="1043">
        <f t="shared" si="2"/>
        <v>0.1</v>
      </c>
      <c r="T136" s="1041">
        <f t="shared" si="2"/>
        <v>0.1</v>
      </c>
      <c r="U136" s="1041">
        <f t="shared" si="2"/>
        <v>0.1</v>
      </c>
      <c r="V136" s="1041">
        <f t="shared" si="2"/>
        <v>0.1</v>
      </c>
      <c r="W136" s="1042">
        <f t="shared" si="2"/>
        <v>0.1</v>
      </c>
      <c r="X136" s="1043">
        <f t="shared" si="3"/>
        <v>0.3</v>
      </c>
      <c r="Y136" s="1041">
        <f t="shared" si="3"/>
        <v>0.3</v>
      </c>
      <c r="Z136" s="1041">
        <f t="shared" si="3"/>
        <v>0.3</v>
      </c>
      <c r="AA136" s="1041">
        <f t="shared" si="3"/>
        <v>0.3</v>
      </c>
      <c r="AB136" s="1042">
        <f t="shared" si="3"/>
        <v>0.3</v>
      </c>
      <c r="AC136" s="1043">
        <f t="shared" si="4"/>
        <v>0.1</v>
      </c>
      <c r="AD136" s="1041">
        <f t="shared" si="4"/>
        <v>0.1</v>
      </c>
      <c r="AE136" s="1041">
        <f t="shared" si="4"/>
        <v>0.1</v>
      </c>
      <c r="AF136" s="1041">
        <f t="shared" si="4"/>
        <v>0.1</v>
      </c>
      <c r="AG136" s="1042">
        <f t="shared" si="4"/>
        <v>0.1</v>
      </c>
      <c r="AH136" s="1038">
        <f t="shared" si="5"/>
        <v>0.79999999999999993</v>
      </c>
      <c r="AI136" s="922">
        <f t="shared" si="10"/>
        <v>0.7</v>
      </c>
      <c r="AJ136" s="407">
        <v>1</v>
      </c>
      <c r="AK136" s="913" t="s">
        <v>2533</v>
      </c>
    </row>
    <row r="137" spans="1:37" ht="15">
      <c r="A137" s="900"/>
      <c r="B137" s="770" t="s">
        <v>2990</v>
      </c>
      <c r="C137" s="919"/>
      <c r="D137" s="1038">
        <f t="shared" si="11"/>
        <v>560</v>
      </c>
      <c r="E137" s="1038">
        <f t="shared" si="6"/>
        <v>240</v>
      </c>
      <c r="F137" s="1038">
        <f t="shared" si="7"/>
        <v>80</v>
      </c>
      <c r="G137" s="1038">
        <f t="shared" si="8"/>
        <v>240</v>
      </c>
      <c r="H137" s="1039">
        <f t="shared" si="9"/>
        <v>80</v>
      </c>
      <c r="I137" s="941">
        <f t="shared" si="0"/>
        <v>560</v>
      </c>
      <c r="J137" s="922">
        <f t="shared" si="0"/>
        <v>560</v>
      </c>
      <c r="K137" s="922">
        <f t="shared" si="0"/>
        <v>560</v>
      </c>
      <c r="L137" s="922">
        <f t="shared" si="0"/>
        <v>560</v>
      </c>
      <c r="M137" s="1040">
        <f t="shared" si="0"/>
        <v>560</v>
      </c>
      <c r="N137" s="1041">
        <f t="shared" si="1"/>
        <v>240</v>
      </c>
      <c r="O137" s="1041">
        <f t="shared" si="1"/>
        <v>240</v>
      </c>
      <c r="P137" s="1041">
        <f t="shared" si="1"/>
        <v>240</v>
      </c>
      <c r="Q137" s="1041">
        <f t="shared" si="1"/>
        <v>240</v>
      </c>
      <c r="R137" s="1042">
        <f t="shared" si="1"/>
        <v>240</v>
      </c>
      <c r="S137" s="1043">
        <f t="shared" si="2"/>
        <v>80</v>
      </c>
      <c r="T137" s="1041">
        <f t="shared" si="2"/>
        <v>80</v>
      </c>
      <c r="U137" s="1041">
        <f t="shared" si="2"/>
        <v>80</v>
      </c>
      <c r="V137" s="1041">
        <f t="shared" si="2"/>
        <v>80</v>
      </c>
      <c r="W137" s="1042">
        <f t="shared" si="2"/>
        <v>80</v>
      </c>
      <c r="X137" s="1043">
        <f t="shared" si="3"/>
        <v>240</v>
      </c>
      <c r="Y137" s="1041">
        <f t="shared" si="3"/>
        <v>240</v>
      </c>
      <c r="Z137" s="1041">
        <f t="shared" si="3"/>
        <v>240</v>
      </c>
      <c r="AA137" s="1041">
        <f t="shared" si="3"/>
        <v>240</v>
      </c>
      <c r="AB137" s="1042">
        <f t="shared" si="3"/>
        <v>240</v>
      </c>
      <c r="AC137" s="1043">
        <f t="shared" si="4"/>
        <v>80</v>
      </c>
      <c r="AD137" s="1041">
        <f t="shared" si="4"/>
        <v>80</v>
      </c>
      <c r="AE137" s="1041">
        <f t="shared" si="4"/>
        <v>80</v>
      </c>
      <c r="AF137" s="1041">
        <f t="shared" si="4"/>
        <v>80</v>
      </c>
      <c r="AG137" s="1042">
        <f t="shared" si="4"/>
        <v>80</v>
      </c>
      <c r="AH137" s="1038">
        <f t="shared" si="5"/>
        <v>640</v>
      </c>
      <c r="AI137" s="922">
        <f t="shared" si="10"/>
        <v>560</v>
      </c>
      <c r="AJ137" s="407">
        <v>800</v>
      </c>
      <c r="AK137" s="913" t="s">
        <v>2534</v>
      </c>
    </row>
    <row r="138" spans="1:37" ht="15">
      <c r="A138" s="900"/>
      <c r="B138" s="770" t="s">
        <v>3892</v>
      </c>
      <c r="C138" s="919"/>
      <c r="D138" s="1038">
        <f t="shared" si="11"/>
        <v>0.7</v>
      </c>
      <c r="E138" s="1038">
        <f t="shared" si="6"/>
        <v>0.3</v>
      </c>
      <c r="F138" s="1038">
        <f t="shared" si="7"/>
        <v>0.1</v>
      </c>
      <c r="G138" s="1038">
        <f t="shared" si="8"/>
        <v>0.3</v>
      </c>
      <c r="H138" s="1039">
        <f t="shared" si="9"/>
        <v>0.1</v>
      </c>
      <c r="I138" s="941">
        <f t="shared" ref="I138:M145" si="12">$D138</f>
        <v>0.7</v>
      </c>
      <c r="J138" s="922">
        <f t="shared" si="12"/>
        <v>0.7</v>
      </c>
      <c r="K138" s="922">
        <f t="shared" si="12"/>
        <v>0.7</v>
      </c>
      <c r="L138" s="922">
        <f t="shared" si="12"/>
        <v>0.7</v>
      </c>
      <c r="M138" s="1040">
        <f t="shared" si="12"/>
        <v>0.7</v>
      </c>
      <c r="N138" s="1041">
        <f t="shared" ref="N138:R145" si="13">$E138</f>
        <v>0.3</v>
      </c>
      <c r="O138" s="1041">
        <f t="shared" si="13"/>
        <v>0.3</v>
      </c>
      <c r="P138" s="1041">
        <f t="shared" si="13"/>
        <v>0.3</v>
      </c>
      <c r="Q138" s="1041">
        <f t="shared" si="13"/>
        <v>0.3</v>
      </c>
      <c r="R138" s="1042">
        <f t="shared" si="13"/>
        <v>0.3</v>
      </c>
      <c r="S138" s="1043">
        <f t="shared" ref="S138:W145" si="14">$F138</f>
        <v>0.1</v>
      </c>
      <c r="T138" s="1041">
        <f t="shared" si="14"/>
        <v>0.1</v>
      </c>
      <c r="U138" s="1041">
        <f t="shared" si="14"/>
        <v>0.1</v>
      </c>
      <c r="V138" s="1041">
        <f t="shared" si="14"/>
        <v>0.1</v>
      </c>
      <c r="W138" s="1042">
        <f t="shared" si="14"/>
        <v>0.1</v>
      </c>
      <c r="X138" s="1043">
        <f t="shared" ref="X138:AB145" si="15">$G138</f>
        <v>0.3</v>
      </c>
      <c r="Y138" s="1041">
        <f t="shared" si="15"/>
        <v>0.3</v>
      </c>
      <c r="Z138" s="1041">
        <f t="shared" si="15"/>
        <v>0.3</v>
      </c>
      <c r="AA138" s="1041">
        <f t="shared" si="15"/>
        <v>0.3</v>
      </c>
      <c r="AB138" s="1042">
        <f t="shared" si="15"/>
        <v>0.3</v>
      </c>
      <c r="AC138" s="1043">
        <f t="shared" ref="AC138:AG145" si="16">$H138</f>
        <v>0.1</v>
      </c>
      <c r="AD138" s="1041">
        <f t="shared" si="16"/>
        <v>0.1</v>
      </c>
      <c r="AE138" s="1041">
        <f t="shared" si="16"/>
        <v>0.1</v>
      </c>
      <c r="AF138" s="1041">
        <f t="shared" si="16"/>
        <v>0.1</v>
      </c>
      <c r="AG138" s="1042">
        <f t="shared" si="16"/>
        <v>0.1</v>
      </c>
      <c r="AH138" s="1038">
        <f t="shared" si="5"/>
        <v>0.79999999999999993</v>
      </c>
      <c r="AI138" s="922">
        <f t="shared" si="10"/>
        <v>0.7</v>
      </c>
      <c r="AJ138" s="407">
        <v>1</v>
      </c>
      <c r="AK138" s="913" t="s">
        <v>2534</v>
      </c>
    </row>
    <row r="139" spans="1:37">
      <c r="A139" s="900"/>
      <c r="B139" s="1287" t="s">
        <v>2985</v>
      </c>
      <c r="C139" s="919"/>
      <c r="D139" s="1038">
        <f t="shared" si="11"/>
        <v>0.73499999999999999</v>
      </c>
      <c r="E139" s="1038">
        <f t="shared" si="6"/>
        <v>0.315</v>
      </c>
      <c r="F139" s="1038">
        <f t="shared" si="7"/>
        <v>0.105</v>
      </c>
      <c r="G139" s="1038">
        <f t="shared" si="8"/>
        <v>0.315</v>
      </c>
      <c r="H139" s="1039">
        <f t="shared" si="9"/>
        <v>0.105</v>
      </c>
      <c r="I139" s="941">
        <f t="shared" si="12"/>
        <v>0.73499999999999999</v>
      </c>
      <c r="J139" s="922">
        <f t="shared" si="12"/>
        <v>0.73499999999999999</v>
      </c>
      <c r="K139" s="922">
        <f t="shared" si="12"/>
        <v>0.73499999999999999</v>
      </c>
      <c r="L139" s="922">
        <f t="shared" si="12"/>
        <v>0.73499999999999999</v>
      </c>
      <c r="M139" s="1040">
        <f t="shared" si="12"/>
        <v>0.73499999999999999</v>
      </c>
      <c r="N139" s="1041">
        <f t="shared" si="13"/>
        <v>0.315</v>
      </c>
      <c r="O139" s="1041">
        <f t="shared" si="13"/>
        <v>0.315</v>
      </c>
      <c r="P139" s="1041">
        <f t="shared" si="13"/>
        <v>0.315</v>
      </c>
      <c r="Q139" s="1041">
        <f t="shared" si="13"/>
        <v>0.315</v>
      </c>
      <c r="R139" s="1042">
        <f t="shared" si="13"/>
        <v>0.315</v>
      </c>
      <c r="S139" s="1043">
        <f t="shared" si="14"/>
        <v>0.105</v>
      </c>
      <c r="T139" s="1041">
        <f t="shared" si="14"/>
        <v>0.105</v>
      </c>
      <c r="U139" s="1041">
        <f t="shared" si="14"/>
        <v>0.105</v>
      </c>
      <c r="V139" s="1041">
        <f t="shared" si="14"/>
        <v>0.105</v>
      </c>
      <c r="W139" s="1042">
        <f t="shared" si="14"/>
        <v>0.105</v>
      </c>
      <c r="X139" s="1043">
        <f t="shared" si="15"/>
        <v>0.315</v>
      </c>
      <c r="Y139" s="1041">
        <f t="shared" si="15"/>
        <v>0.315</v>
      </c>
      <c r="Z139" s="1041">
        <f t="shared" si="15"/>
        <v>0.315</v>
      </c>
      <c r="AA139" s="1041">
        <f t="shared" si="15"/>
        <v>0.315</v>
      </c>
      <c r="AB139" s="1042">
        <f t="shared" si="15"/>
        <v>0.315</v>
      </c>
      <c r="AC139" s="1043">
        <f t="shared" si="16"/>
        <v>0.105</v>
      </c>
      <c r="AD139" s="1041">
        <f t="shared" si="16"/>
        <v>0.105</v>
      </c>
      <c r="AE139" s="1041">
        <f t="shared" si="16"/>
        <v>0.105</v>
      </c>
      <c r="AF139" s="1041">
        <f t="shared" si="16"/>
        <v>0.105</v>
      </c>
      <c r="AG139" s="1042">
        <f t="shared" si="16"/>
        <v>0.105</v>
      </c>
      <c r="AH139" s="1038">
        <f t="shared" si="5"/>
        <v>0.84</v>
      </c>
      <c r="AI139" s="922">
        <f t="shared" si="10"/>
        <v>0.73499999999999999</v>
      </c>
      <c r="AJ139" s="407">
        <v>1.05</v>
      </c>
      <c r="AK139" s="913" t="s">
        <v>2533</v>
      </c>
    </row>
    <row r="140" spans="1:37" ht="15">
      <c r="A140" s="900"/>
      <c r="B140" s="770" t="s">
        <v>3893</v>
      </c>
      <c r="C140" s="919"/>
      <c r="D140" s="1038">
        <f t="shared" si="11"/>
        <v>9.1</v>
      </c>
      <c r="E140" s="1038">
        <f t="shared" si="6"/>
        <v>3.9</v>
      </c>
      <c r="F140" s="1038">
        <f t="shared" si="7"/>
        <v>1.3</v>
      </c>
      <c r="G140" s="1038">
        <f t="shared" si="8"/>
        <v>3.9</v>
      </c>
      <c r="H140" s="1039">
        <f t="shared" si="9"/>
        <v>1.3</v>
      </c>
      <c r="I140" s="941">
        <f t="shared" si="12"/>
        <v>9.1</v>
      </c>
      <c r="J140" s="922">
        <f t="shared" si="12"/>
        <v>9.1</v>
      </c>
      <c r="K140" s="922">
        <f t="shared" si="12"/>
        <v>9.1</v>
      </c>
      <c r="L140" s="922">
        <f t="shared" si="12"/>
        <v>9.1</v>
      </c>
      <c r="M140" s="1040">
        <f t="shared" si="12"/>
        <v>9.1</v>
      </c>
      <c r="N140" s="1041">
        <f t="shared" si="13"/>
        <v>3.9</v>
      </c>
      <c r="O140" s="1041">
        <f t="shared" si="13"/>
        <v>3.9</v>
      </c>
      <c r="P140" s="1041">
        <f t="shared" si="13"/>
        <v>3.9</v>
      </c>
      <c r="Q140" s="1041">
        <f t="shared" si="13"/>
        <v>3.9</v>
      </c>
      <c r="R140" s="1042">
        <f t="shared" si="13"/>
        <v>3.9</v>
      </c>
      <c r="S140" s="1043">
        <f t="shared" si="14"/>
        <v>1.3</v>
      </c>
      <c r="T140" s="1041">
        <f t="shared" si="14"/>
        <v>1.3</v>
      </c>
      <c r="U140" s="1041">
        <f t="shared" si="14"/>
        <v>1.3</v>
      </c>
      <c r="V140" s="1041">
        <f t="shared" si="14"/>
        <v>1.3</v>
      </c>
      <c r="W140" s="1042">
        <f t="shared" si="14"/>
        <v>1.3</v>
      </c>
      <c r="X140" s="1043">
        <f t="shared" si="15"/>
        <v>3.9</v>
      </c>
      <c r="Y140" s="1041">
        <f t="shared" si="15"/>
        <v>3.9</v>
      </c>
      <c r="Z140" s="1041">
        <f t="shared" si="15"/>
        <v>3.9</v>
      </c>
      <c r="AA140" s="1041">
        <f t="shared" si="15"/>
        <v>3.9</v>
      </c>
      <c r="AB140" s="1042">
        <f t="shared" si="15"/>
        <v>3.9</v>
      </c>
      <c r="AC140" s="1043">
        <f t="shared" si="16"/>
        <v>1.3</v>
      </c>
      <c r="AD140" s="1041">
        <f t="shared" si="16"/>
        <v>1.3</v>
      </c>
      <c r="AE140" s="1041">
        <f t="shared" si="16"/>
        <v>1.3</v>
      </c>
      <c r="AF140" s="1041">
        <f t="shared" si="16"/>
        <v>1.3</v>
      </c>
      <c r="AG140" s="1042">
        <f t="shared" si="16"/>
        <v>1.3</v>
      </c>
      <c r="AH140" s="1038">
        <f t="shared" si="5"/>
        <v>10.4</v>
      </c>
      <c r="AI140" s="922">
        <f t="shared" si="10"/>
        <v>9.1</v>
      </c>
      <c r="AJ140" s="407">
        <v>13</v>
      </c>
      <c r="AK140" s="913" t="s">
        <v>2533</v>
      </c>
    </row>
    <row r="141" spans="1:37" ht="15">
      <c r="A141" s="900"/>
      <c r="B141" s="770" t="s">
        <v>2986</v>
      </c>
      <c r="C141" s="919"/>
      <c r="D141" s="1038">
        <f t="shared" si="11"/>
        <v>0.59499999999999997</v>
      </c>
      <c r="E141" s="1038">
        <f t="shared" si="6"/>
        <v>0.255</v>
      </c>
      <c r="F141" s="1038">
        <f t="shared" si="7"/>
        <v>8.5000000000000006E-2</v>
      </c>
      <c r="G141" s="1038">
        <f t="shared" si="8"/>
        <v>0.255</v>
      </c>
      <c r="H141" s="1039">
        <f t="shared" si="9"/>
        <v>8.5000000000000006E-2</v>
      </c>
      <c r="I141" s="941">
        <f t="shared" si="12"/>
        <v>0.59499999999999997</v>
      </c>
      <c r="J141" s="922">
        <f t="shared" si="12"/>
        <v>0.59499999999999997</v>
      </c>
      <c r="K141" s="922">
        <f t="shared" si="12"/>
        <v>0.59499999999999997</v>
      </c>
      <c r="L141" s="922">
        <f t="shared" si="12"/>
        <v>0.59499999999999997</v>
      </c>
      <c r="M141" s="1040">
        <f t="shared" si="12"/>
        <v>0.59499999999999997</v>
      </c>
      <c r="N141" s="1041">
        <f t="shared" si="13"/>
        <v>0.255</v>
      </c>
      <c r="O141" s="1041">
        <f t="shared" si="13"/>
        <v>0.255</v>
      </c>
      <c r="P141" s="1041">
        <f t="shared" si="13"/>
        <v>0.255</v>
      </c>
      <c r="Q141" s="1041">
        <f t="shared" si="13"/>
        <v>0.255</v>
      </c>
      <c r="R141" s="1042">
        <f t="shared" si="13"/>
        <v>0.255</v>
      </c>
      <c r="S141" s="1043">
        <f t="shared" si="14"/>
        <v>8.5000000000000006E-2</v>
      </c>
      <c r="T141" s="1041">
        <f t="shared" si="14"/>
        <v>8.5000000000000006E-2</v>
      </c>
      <c r="U141" s="1041">
        <f t="shared" si="14"/>
        <v>8.5000000000000006E-2</v>
      </c>
      <c r="V141" s="1041">
        <f t="shared" si="14"/>
        <v>8.5000000000000006E-2</v>
      </c>
      <c r="W141" s="1042">
        <f t="shared" si="14"/>
        <v>8.5000000000000006E-2</v>
      </c>
      <c r="X141" s="1043">
        <f t="shared" si="15"/>
        <v>0.255</v>
      </c>
      <c r="Y141" s="1041">
        <f t="shared" si="15"/>
        <v>0.255</v>
      </c>
      <c r="Z141" s="1041">
        <f t="shared" si="15"/>
        <v>0.255</v>
      </c>
      <c r="AA141" s="1041">
        <f t="shared" si="15"/>
        <v>0.255</v>
      </c>
      <c r="AB141" s="1042">
        <f t="shared" si="15"/>
        <v>0.255</v>
      </c>
      <c r="AC141" s="1043">
        <f t="shared" si="16"/>
        <v>8.5000000000000006E-2</v>
      </c>
      <c r="AD141" s="1041">
        <f t="shared" si="16"/>
        <v>8.5000000000000006E-2</v>
      </c>
      <c r="AE141" s="1041">
        <f t="shared" si="16"/>
        <v>8.5000000000000006E-2</v>
      </c>
      <c r="AF141" s="1041">
        <f t="shared" si="16"/>
        <v>8.5000000000000006E-2</v>
      </c>
      <c r="AG141" s="1042">
        <f t="shared" si="16"/>
        <v>8.5000000000000006E-2</v>
      </c>
      <c r="AH141" s="1038">
        <f t="shared" si="5"/>
        <v>0.67999999999999994</v>
      </c>
      <c r="AI141" s="922">
        <f t="shared" si="10"/>
        <v>0.59499999999999997</v>
      </c>
      <c r="AJ141" s="407">
        <v>0.85</v>
      </c>
      <c r="AK141" s="913" t="s">
        <v>2533</v>
      </c>
    </row>
    <row r="142" spans="1:37" ht="15">
      <c r="A142" s="900"/>
      <c r="B142" s="770" t="s">
        <v>3894</v>
      </c>
      <c r="C142" s="919"/>
      <c r="D142" s="1038">
        <f t="shared" si="11"/>
        <v>175</v>
      </c>
      <c r="E142" s="1038">
        <f t="shared" si="6"/>
        <v>75</v>
      </c>
      <c r="F142" s="1038">
        <f t="shared" si="7"/>
        <v>25</v>
      </c>
      <c r="G142" s="1038">
        <f t="shared" si="8"/>
        <v>75</v>
      </c>
      <c r="H142" s="1039">
        <f t="shared" si="9"/>
        <v>25</v>
      </c>
      <c r="I142" s="941">
        <f t="shared" si="12"/>
        <v>175</v>
      </c>
      <c r="J142" s="922">
        <f t="shared" si="12"/>
        <v>175</v>
      </c>
      <c r="K142" s="922">
        <f t="shared" si="12"/>
        <v>175</v>
      </c>
      <c r="L142" s="922">
        <f t="shared" si="12"/>
        <v>175</v>
      </c>
      <c r="M142" s="1040">
        <f t="shared" si="12"/>
        <v>175</v>
      </c>
      <c r="N142" s="1041">
        <f t="shared" si="13"/>
        <v>75</v>
      </c>
      <c r="O142" s="1041">
        <f t="shared" si="13"/>
        <v>75</v>
      </c>
      <c r="P142" s="1041">
        <f t="shared" si="13"/>
        <v>75</v>
      </c>
      <c r="Q142" s="1041">
        <f t="shared" si="13"/>
        <v>75</v>
      </c>
      <c r="R142" s="1042">
        <f t="shared" si="13"/>
        <v>75</v>
      </c>
      <c r="S142" s="1043">
        <f t="shared" si="14"/>
        <v>25</v>
      </c>
      <c r="T142" s="1041">
        <f t="shared" si="14"/>
        <v>25</v>
      </c>
      <c r="U142" s="1041">
        <f t="shared" si="14"/>
        <v>25</v>
      </c>
      <c r="V142" s="1041">
        <f t="shared" si="14"/>
        <v>25</v>
      </c>
      <c r="W142" s="1042">
        <f t="shared" si="14"/>
        <v>25</v>
      </c>
      <c r="X142" s="1043">
        <f t="shared" si="15"/>
        <v>75</v>
      </c>
      <c r="Y142" s="1041">
        <f t="shared" si="15"/>
        <v>75</v>
      </c>
      <c r="Z142" s="1041">
        <f t="shared" si="15"/>
        <v>75</v>
      </c>
      <c r="AA142" s="1041">
        <f t="shared" si="15"/>
        <v>75</v>
      </c>
      <c r="AB142" s="1042">
        <f t="shared" si="15"/>
        <v>75</v>
      </c>
      <c r="AC142" s="1043">
        <f t="shared" si="16"/>
        <v>25</v>
      </c>
      <c r="AD142" s="1041">
        <f t="shared" si="16"/>
        <v>25</v>
      </c>
      <c r="AE142" s="1041">
        <f t="shared" si="16"/>
        <v>25</v>
      </c>
      <c r="AF142" s="1041">
        <f t="shared" si="16"/>
        <v>25</v>
      </c>
      <c r="AG142" s="1042">
        <f t="shared" si="16"/>
        <v>25</v>
      </c>
      <c r="AH142" s="1038">
        <f t="shared" si="5"/>
        <v>200</v>
      </c>
      <c r="AI142" s="922">
        <f t="shared" si="10"/>
        <v>175</v>
      </c>
      <c r="AJ142" s="407">
        <v>250</v>
      </c>
      <c r="AK142" s="913" t="s">
        <v>2533</v>
      </c>
    </row>
    <row r="143" spans="1:37" ht="15">
      <c r="A143" s="900"/>
      <c r="B143" s="770" t="s">
        <v>2987</v>
      </c>
      <c r="C143" s="919"/>
      <c r="D143" s="1038">
        <f t="shared" si="11"/>
        <v>1.75</v>
      </c>
      <c r="E143" s="1038">
        <f t="shared" si="6"/>
        <v>0.75</v>
      </c>
      <c r="F143" s="1038">
        <f t="shared" si="7"/>
        <v>0.25</v>
      </c>
      <c r="G143" s="1038">
        <f t="shared" si="8"/>
        <v>0.75</v>
      </c>
      <c r="H143" s="1039">
        <f t="shared" si="9"/>
        <v>0.25</v>
      </c>
      <c r="I143" s="941">
        <f t="shared" si="12"/>
        <v>1.75</v>
      </c>
      <c r="J143" s="922">
        <f t="shared" si="12"/>
        <v>1.75</v>
      </c>
      <c r="K143" s="922">
        <f t="shared" si="12"/>
        <v>1.75</v>
      </c>
      <c r="L143" s="922">
        <f t="shared" si="12"/>
        <v>1.75</v>
      </c>
      <c r="M143" s="1040">
        <f t="shared" si="12"/>
        <v>1.75</v>
      </c>
      <c r="N143" s="1041">
        <f t="shared" si="13"/>
        <v>0.75</v>
      </c>
      <c r="O143" s="1041">
        <f t="shared" si="13"/>
        <v>0.75</v>
      </c>
      <c r="P143" s="1041">
        <f t="shared" si="13"/>
        <v>0.75</v>
      </c>
      <c r="Q143" s="1041">
        <f t="shared" si="13"/>
        <v>0.75</v>
      </c>
      <c r="R143" s="1042">
        <f t="shared" si="13"/>
        <v>0.75</v>
      </c>
      <c r="S143" s="1043">
        <f t="shared" si="14"/>
        <v>0.25</v>
      </c>
      <c r="T143" s="1041">
        <f t="shared" si="14"/>
        <v>0.25</v>
      </c>
      <c r="U143" s="1041">
        <f t="shared" si="14"/>
        <v>0.25</v>
      </c>
      <c r="V143" s="1041">
        <f t="shared" si="14"/>
        <v>0.25</v>
      </c>
      <c r="W143" s="1042">
        <f t="shared" si="14"/>
        <v>0.25</v>
      </c>
      <c r="X143" s="1043">
        <f t="shared" si="15"/>
        <v>0.75</v>
      </c>
      <c r="Y143" s="1041">
        <f t="shared" si="15"/>
        <v>0.75</v>
      </c>
      <c r="Z143" s="1041">
        <f t="shared" si="15"/>
        <v>0.75</v>
      </c>
      <c r="AA143" s="1041">
        <f t="shared" si="15"/>
        <v>0.75</v>
      </c>
      <c r="AB143" s="1042">
        <f t="shared" si="15"/>
        <v>0.75</v>
      </c>
      <c r="AC143" s="1043">
        <f t="shared" si="16"/>
        <v>0.25</v>
      </c>
      <c r="AD143" s="1041">
        <f t="shared" si="16"/>
        <v>0.25</v>
      </c>
      <c r="AE143" s="1041">
        <f t="shared" si="16"/>
        <v>0.25</v>
      </c>
      <c r="AF143" s="1041">
        <f t="shared" si="16"/>
        <v>0.25</v>
      </c>
      <c r="AG143" s="1042">
        <f t="shared" si="16"/>
        <v>0.25</v>
      </c>
      <c r="AH143" s="1038">
        <f t="shared" si="5"/>
        <v>2</v>
      </c>
      <c r="AI143" s="922">
        <f t="shared" si="10"/>
        <v>1.75</v>
      </c>
      <c r="AJ143" s="407">
        <v>2.5</v>
      </c>
      <c r="AK143" s="913" t="s">
        <v>2535</v>
      </c>
    </row>
    <row r="144" spans="1:37" ht="15">
      <c r="A144" s="900"/>
      <c r="B144" s="770" t="s">
        <v>2988</v>
      </c>
      <c r="C144" s="919"/>
      <c r="D144" s="1038">
        <f t="shared" si="11"/>
        <v>56</v>
      </c>
      <c r="E144" s="1038">
        <f t="shared" si="6"/>
        <v>24</v>
      </c>
      <c r="F144" s="1038">
        <f t="shared" si="7"/>
        <v>8</v>
      </c>
      <c r="G144" s="1038">
        <f t="shared" si="8"/>
        <v>24</v>
      </c>
      <c r="H144" s="1039">
        <f t="shared" si="9"/>
        <v>8</v>
      </c>
      <c r="I144" s="941">
        <f t="shared" si="12"/>
        <v>56</v>
      </c>
      <c r="J144" s="922">
        <f t="shared" si="12"/>
        <v>56</v>
      </c>
      <c r="K144" s="922">
        <f t="shared" si="12"/>
        <v>56</v>
      </c>
      <c r="L144" s="922">
        <f t="shared" si="12"/>
        <v>56</v>
      </c>
      <c r="M144" s="1040">
        <f t="shared" si="12"/>
        <v>56</v>
      </c>
      <c r="N144" s="1041">
        <f t="shared" si="13"/>
        <v>24</v>
      </c>
      <c r="O144" s="1041">
        <f t="shared" si="13"/>
        <v>24</v>
      </c>
      <c r="P144" s="1041">
        <f t="shared" si="13"/>
        <v>24</v>
      </c>
      <c r="Q144" s="1041">
        <f t="shared" si="13"/>
        <v>24</v>
      </c>
      <c r="R144" s="1042">
        <f t="shared" si="13"/>
        <v>24</v>
      </c>
      <c r="S144" s="1043">
        <f t="shared" si="14"/>
        <v>8</v>
      </c>
      <c r="T144" s="1041">
        <f t="shared" si="14"/>
        <v>8</v>
      </c>
      <c r="U144" s="1041">
        <f t="shared" si="14"/>
        <v>8</v>
      </c>
      <c r="V144" s="1041">
        <f t="shared" si="14"/>
        <v>8</v>
      </c>
      <c r="W144" s="1042">
        <f t="shared" si="14"/>
        <v>8</v>
      </c>
      <c r="X144" s="1043">
        <f t="shared" si="15"/>
        <v>24</v>
      </c>
      <c r="Y144" s="1041">
        <f t="shared" si="15"/>
        <v>24</v>
      </c>
      <c r="Z144" s="1041">
        <f t="shared" si="15"/>
        <v>24</v>
      </c>
      <c r="AA144" s="1041">
        <f t="shared" si="15"/>
        <v>24</v>
      </c>
      <c r="AB144" s="1042">
        <f t="shared" si="15"/>
        <v>24</v>
      </c>
      <c r="AC144" s="1043">
        <f t="shared" si="16"/>
        <v>8</v>
      </c>
      <c r="AD144" s="1041">
        <f t="shared" si="16"/>
        <v>8</v>
      </c>
      <c r="AE144" s="1041">
        <f t="shared" si="16"/>
        <v>8</v>
      </c>
      <c r="AF144" s="1041">
        <f t="shared" si="16"/>
        <v>8</v>
      </c>
      <c r="AG144" s="1042">
        <f t="shared" si="16"/>
        <v>8</v>
      </c>
      <c r="AH144" s="1038">
        <f t="shared" si="5"/>
        <v>64</v>
      </c>
      <c r="AI144" s="922">
        <f t="shared" si="10"/>
        <v>56</v>
      </c>
      <c r="AJ144" s="407">
        <v>80</v>
      </c>
      <c r="AK144" s="913" t="s">
        <v>2534</v>
      </c>
    </row>
    <row r="145" spans="1:37" ht="15">
      <c r="A145" s="900"/>
      <c r="B145" s="979" t="s">
        <v>2989</v>
      </c>
      <c r="C145" s="919"/>
      <c r="D145" s="1047">
        <f t="shared" si="11"/>
        <v>3.5</v>
      </c>
      <c r="E145" s="1048">
        <f t="shared" si="6"/>
        <v>1.5</v>
      </c>
      <c r="F145" s="1048">
        <f t="shared" si="7"/>
        <v>0.5</v>
      </c>
      <c r="G145" s="1048">
        <f t="shared" si="8"/>
        <v>1.5</v>
      </c>
      <c r="H145" s="1049">
        <f t="shared" si="9"/>
        <v>0.5</v>
      </c>
      <c r="I145" s="1050">
        <f t="shared" si="12"/>
        <v>3.5</v>
      </c>
      <c r="J145" s="1051">
        <f t="shared" si="12"/>
        <v>3.5</v>
      </c>
      <c r="K145" s="1051">
        <f t="shared" si="12"/>
        <v>3.5</v>
      </c>
      <c r="L145" s="1051">
        <f t="shared" si="12"/>
        <v>3.5</v>
      </c>
      <c r="M145" s="1052">
        <f t="shared" si="12"/>
        <v>3.5</v>
      </c>
      <c r="N145" s="1053">
        <f t="shared" si="13"/>
        <v>1.5</v>
      </c>
      <c r="O145" s="1053">
        <f t="shared" si="13"/>
        <v>1.5</v>
      </c>
      <c r="P145" s="1053">
        <f t="shared" si="13"/>
        <v>1.5</v>
      </c>
      <c r="Q145" s="1053">
        <f t="shared" si="13"/>
        <v>1.5</v>
      </c>
      <c r="R145" s="1054">
        <f t="shared" si="13"/>
        <v>1.5</v>
      </c>
      <c r="S145" s="1055">
        <f t="shared" si="14"/>
        <v>0.5</v>
      </c>
      <c r="T145" s="1053">
        <f t="shared" si="14"/>
        <v>0.5</v>
      </c>
      <c r="U145" s="1053">
        <f t="shared" si="14"/>
        <v>0.5</v>
      </c>
      <c r="V145" s="1053">
        <f t="shared" si="14"/>
        <v>0.5</v>
      </c>
      <c r="W145" s="1054">
        <f t="shared" si="14"/>
        <v>0.5</v>
      </c>
      <c r="X145" s="1055">
        <f t="shared" si="15"/>
        <v>1.5</v>
      </c>
      <c r="Y145" s="1053">
        <f t="shared" si="15"/>
        <v>1.5</v>
      </c>
      <c r="Z145" s="1053">
        <f t="shared" si="15"/>
        <v>1.5</v>
      </c>
      <c r="AA145" s="1053">
        <f t="shared" si="15"/>
        <v>1.5</v>
      </c>
      <c r="AB145" s="1054">
        <f t="shared" si="15"/>
        <v>1.5</v>
      </c>
      <c r="AC145" s="1055">
        <f t="shared" si="16"/>
        <v>0.5</v>
      </c>
      <c r="AD145" s="1053">
        <f t="shared" si="16"/>
        <v>0.5</v>
      </c>
      <c r="AE145" s="1053">
        <f t="shared" si="16"/>
        <v>0.5</v>
      </c>
      <c r="AF145" s="1053">
        <f t="shared" si="16"/>
        <v>0.5</v>
      </c>
      <c r="AG145" s="1054">
        <f t="shared" si="16"/>
        <v>0.5</v>
      </c>
      <c r="AH145" s="1038">
        <f t="shared" si="5"/>
        <v>4</v>
      </c>
      <c r="AI145" s="922">
        <f t="shared" si="10"/>
        <v>3.5</v>
      </c>
      <c r="AJ145" s="407">
        <v>5</v>
      </c>
      <c r="AK145" s="913" t="s">
        <v>2560</v>
      </c>
    </row>
    <row r="146" spans="1:37" ht="16" thickBot="1">
      <c r="A146" s="900"/>
      <c r="B146" s="1030" t="s">
        <v>2561</v>
      </c>
      <c r="C146" s="919"/>
      <c r="D146" s="1056">
        <f>COUNTIF(I146:M146,"&gt;0")</f>
        <v>5</v>
      </c>
      <c r="E146" s="1056">
        <f>COUNTIF(N146:R146,"&gt;0")</f>
        <v>4</v>
      </c>
      <c r="F146" s="1056">
        <f>COUNTIF(S146:W146,"&gt;0")</f>
        <v>5</v>
      </c>
      <c r="G146" s="1056">
        <f>COUNTIF(X146:AB146,"&gt;0")</f>
        <v>5</v>
      </c>
      <c r="H146" s="1056">
        <f>COUNTIF(AC146:AG146,"&gt;0")</f>
        <v>0</v>
      </c>
      <c r="I146" s="1057">
        <f>N146+S146+X146+AC146</f>
        <v>200</v>
      </c>
      <c r="J146" s="1057">
        <f>O146+T146+Y146+AD146</f>
        <v>300</v>
      </c>
      <c r="K146" s="1057">
        <f t="shared" ref="K146:M146" si="17">P146+U146+Z146+AE146</f>
        <v>300</v>
      </c>
      <c r="L146" s="1057">
        <f>Q146+V146+AA146+AF146</f>
        <v>300</v>
      </c>
      <c r="M146" s="1057">
        <f t="shared" si="17"/>
        <v>300</v>
      </c>
      <c r="N146" s="1058">
        <f>Meal_entry_week_2!E11</f>
        <v>0</v>
      </c>
      <c r="O146" s="1058">
        <f>Meal_entry_week_2!E110</f>
        <v>100</v>
      </c>
      <c r="P146" s="1058">
        <f>Meal_entry_week_2!E209</f>
        <v>100</v>
      </c>
      <c r="Q146" s="1058">
        <f>Meal_entry_week_2!E308</f>
        <v>100</v>
      </c>
      <c r="R146" s="1058">
        <f>Meal_entry_week_2!E407</f>
        <v>100</v>
      </c>
      <c r="S146" s="1058">
        <f>Meal_entry_week_2!E38</f>
        <v>100</v>
      </c>
      <c r="T146" s="1058">
        <f>Meal_entry_week_2!E137</f>
        <v>100</v>
      </c>
      <c r="U146" s="1058">
        <f>Meal_entry_week_2!E236</f>
        <v>100</v>
      </c>
      <c r="V146" s="1058">
        <f>Meal_entry_week_2!E335</f>
        <v>100</v>
      </c>
      <c r="W146" s="1058">
        <f>Meal_entry_week_2!E434</f>
        <v>100</v>
      </c>
      <c r="X146" s="1058">
        <f>Meal_entry_week_2!E57</f>
        <v>100</v>
      </c>
      <c r="Y146" s="1058">
        <f>Meal_entry_week_2!E156</f>
        <v>100</v>
      </c>
      <c r="Z146" s="1058">
        <f>Meal_entry_week_2!E255</f>
        <v>100</v>
      </c>
      <c r="AA146" s="1058">
        <f>Meal_entry_week_2!E354</f>
        <v>100</v>
      </c>
      <c r="AB146" s="1058">
        <f>Meal_entry_week_2!E453</f>
        <v>100</v>
      </c>
      <c r="AC146" s="1058">
        <f>Meal_entry_week_2!E89</f>
        <v>0</v>
      </c>
      <c r="AD146" s="1058">
        <f>Meal_entry_week_2!E188</f>
        <v>0</v>
      </c>
      <c r="AE146" s="1058">
        <f>Meal_entry_week_2!E287</f>
        <v>0</v>
      </c>
      <c r="AF146" s="1058">
        <f>Meal_entry_week_2!E386</f>
        <v>0</v>
      </c>
      <c r="AG146" s="1058">
        <f>Meal_entry_week_2!E485</f>
        <v>0</v>
      </c>
      <c r="AH146" s="1058"/>
      <c r="AI146" s="1058"/>
      <c r="AJ146" s="1018"/>
      <c r="AK146" s="1018"/>
    </row>
    <row r="147" spans="1:37" ht="15" thickBot="1">
      <c r="A147" s="900"/>
      <c r="B147" s="939"/>
      <c r="C147" s="919"/>
      <c r="D147" s="914" t="s">
        <v>3773</v>
      </c>
      <c r="E147" s="915" t="s">
        <v>3774</v>
      </c>
      <c r="F147" s="915" t="s">
        <v>3775</v>
      </c>
      <c r="G147" s="915" t="s">
        <v>3776</v>
      </c>
      <c r="H147" s="916" t="s">
        <v>3777</v>
      </c>
      <c r="I147" s="914" t="s">
        <v>3773</v>
      </c>
      <c r="J147" s="914" t="s">
        <v>3773</v>
      </c>
      <c r="K147" s="914" t="s">
        <v>3773</v>
      </c>
      <c r="L147" s="914" t="s">
        <v>3773</v>
      </c>
      <c r="M147" s="914" t="s">
        <v>3773</v>
      </c>
      <c r="N147" s="914" t="s">
        <v>67</v>
      </c>
      <c r="O147" s="914" t="s">
        <v>67</v>
      </c>
      <c r="P147" s="914" t="s">
        <v>67</v>
      </c>
      <c r="Q147" s="914" t="s">
        <v>67</v>
      </c>
      <c r="R147" s="917" t="s">
        <v>67</v>
      </c>
      <c r="S147" s="914" t="s">
        <v>1362</v>
      </c>
      <c r="T147" s="914" t="s">
        <v>1362</v>
      </c>
      <c r="U147" s="914" t="s">
        <v>1362</v>
      </c>
      <c r="V147" s="914" t="s">
        <v>1362</v>
      </c>
      <c r="W147" s="914" t="s">
        <v>1362</v>
      </c>
      <c r="X147" s="914" t="s">
        <v>69</v>
      </c>
      <c r="Y147" s="914" t="s">
        <v>69</v>
      </c>
      <c r="Z147" s="914" t="s">
        <v>69</v>
      </c>
      <c r="AA147" s="914" t="s">
        <v>69</v>
      </c>
      <c r="AB147" s="914" t="s">
        <v>69</v>
      </c>
      <c r="AC147" s="1281" t="s">
        <v>1364</v>
      </c>
      <c r="AD147" s="1281" t="s">
        <v>1364</v>
      </c>
      <c r="AE147" s="1281" t="s">
        <v>1364</v>
      </c>
      <c r="AF147" s="1281" t="s">
        <v>1364</v>
      </c>
      <c r="AG147" s="1281" t="s">
        <v>1364</v>
      </c>
    </row>
    <row r="148" spans="1:37" ht="45">
      <c r="A148" s="900"/>
      <c r="B148" s="940" t="s">
        <v>3742</v>
      </c>
      <c r="C148" s="919"/>
      <c r="D148" s="874" t="s">
        <v>3743</v>
      </c>
      <c r="E148" s="875" t="s">
        <v>3744</v>
      </c>
      <c r="F148" s="876" t="s">
        <v>3745</v>
      </c>
      <c r="G148" s="877" t="s">
        <v>3746</v>
      </c>
      <c r="H148" s="878" t="s">
        <v>3747</v>
      </c>
      <c r="I148" s="874" t="s">
        <v>3748</v>
      </c>
      <c r="J148" s="874" t="s">
        <v>3749</v>
      </c>
      <c r="K148" s="874" t="s">
        <v>3750</v>
      </c>
      <c r="L148" s="874" t="s">
        <v>3751</v>
      </c>
      <c r="M148" s="874" t="s">
        <v>3752</v>
      </c>
      <c r="N148" s="880" t="s">
        <v>3753</v>
      </c>
      <c r="O148" s="880" t="s">
        <v>3754</v>
      </c>
      <c r="P148" s="880" t="s">
        <v>3755</v>
      </c>
      <c r="Q148" s="880" t="s">
        <v>3756</v>
      </c>
      <c r="R148" s="880" t="s">
        <v>3757</v>
      </c>
      <c r="S148" s="882" t="s">
        <v>3758</v>
      </c>
      <c r="T148" s="882" t="s">
        <v>3759</v>
      </c>
      <c r="U148" s="882" t="s">
        <v>3760</v>
      </c>
      <c r="V148" s="882" t="s">
        <v>3761</v>
      </c>
      <c r="W148" s="882" t="s">
        <v>3762</v>
      </c>
      <c r="X148" s="884" t="s">
        <v>3768</v>
      </c>
      <c r="Y148" s="884" t="s">
        <v>3769</v>
      </c>
      <c r="Z148" s="884" t="s">
        <v>3770</v>
      </c>
      <c r="AA148" s="884" t="s">
        <v>3771</v>
      </c>
      <c r="AB148" s="884" t="s">
        <v>3772</v>
      </c>
      <c r="AC148" s="886" t="s">
        <v>3763</v>
      </c>
      <c r="AD148" s="886" t="s">
        <v>3764</v>
      </c>
      <c r="AE148" s="886" t="s">
        <v>3765</v>
      </c>
      <c r="AF148" s="886" t="s">
        <v>3766</v>
      </c>
      <c r="AG148" s="886" t="s">
        <v>3767</v>
      </c>
    </row>
    <row r="149" spans="1:37">
      <c r="A149" s="900"/>
      <c r="B149" s="768" t="s">
        <v>3878</v>
      </c>
      <c r="C149" s="919"/>
      <c r="D149" s="921">
        <f>SUM(E149:H149)</f>
        <v>1198.9836884255628</v>
      </c>
      <c r="E149" s="922">
        <f>Meal_entry_week_2!$W$512</f>
        <v>0</v>
      </c>
      <c r="F149" s="941">
        <f>Meal_entry_week_2!$W$522</f>
        <v>350.62045436994606</v>
      </c>
      <c r="G149" s="941">
        <f>Meal_entry_week_2!$W$532</f>
        <v>848.36323405561689</v>
      </c>
      <c r="H149" s="942">
        <f>Meal_entry_week_2!$W$542</f>
        <v>0</v>
      </c>
      <c r="I149" s="921">
        <f>Meal_entry_week_2!$W$547</f>
        <v>1094.6497833566432</v>
      </c>
      <c r="J149" s="922">
        <f>Meal_entry_week_2!$W$548</f>
        <v>1228.0577166666665</v>
      </c>
      <c r="K149" s="922">
        <f>Meal_entry_week_2!$W$549</f>
        <v>1157.6292673941725</v>
      </c>
      <c r="L149" s="922">
        <f>Meal_entry_week_2!$W$550</f>
        <v>1169.8186116211477</v>
      </c>
      <c r="M149" s="923">
        <f>Meal_entry_week_2!$W$551</f>
        <v>1344.7750529260686</v>
      </c>
      <c r="N149" s="922">
        <f>IF(Meal_entry_week_2!$W$32&lt;0,0,Meal_entry_week_2!$W$32)</f>
        <v>0</v>
      </c>
      <c r="O149" s="922">
        <f>IF(Meal_entry_week_2!$W$131&lt;0,0,Meal_entry_week_2!$W$131)</f>
        <v>0</v>
      </c>
      <c r="P149" s="922">
        <f>IF(Meal_entry_week_2!$W$230&lt;0,0,Meal_entry_week_2!$W$230)</f>
        <v>0</v>
      </c>
      <c r="Q149" s="922">
        <f>IF(Meal_entry_week_2!$W$329&lt;0,0,Meal_entry_week_2!$W$329)</f>
        <v>0</v>
      </c>
      <c r="R149" s="922">
        <f>IF(Meal_entry_week_2!$W$428&lt;0,0,Meal_entry_week_2!$W$428)</f>
        <v>0</v>
      </c>
      <c r="S149" s="921">
        <f>IF(Meal_entry_week_2!$W$51&lt;0,0,Meal_entry_week_2!$W$51)</f>
        <v>274.58136000000002</v>
      </c>
      <c r="T149" s="922">
        <f>IF(Meal_entry_week_2!$W$150&lt;0,0,Meal_entry_week_2!$W$150)</f>
        <v>349.97516666666667</v>
      </c>
      <c r="U149" s="922">
        <f>IF(Meal_entry_week_2!$W$249&lt;0,0,Meal_entry_week_2!$W$249)</f>
        <v>271.25</v>
      </c>
      <c r="V149" s="922">
        <f>IF(Meal_entry_week_2!$W$348&lt;0,0,Meal_entry_week_2!$W$348)</f>
        <v>355.1</v>
      </c>
      <c r="W149" s="923">
        <f>IF(Meal_entry_week_2!$W$447&lt;0,0,Meal_entry_week_2!$W$447)</f>
        <v>502.19925138760703</v>
      </c>
      <c r="X149" s="921">
        <f>IF(Meal_entry_week_2!$W$83&lt;0,0,Meal_entry_week_2!$W$83)</f>
        <v>820.06842335664328</v>
      </c>
      <c r="Y149" s="922">
        <f>IF(Meal_entry_week_2!$W$182&lt;0,0,Meal_entry_week_2!$W$182)</f>
        <v>878.08254999999986</v>
      </c>
      <c r="Z149" s="922">
        <f>IF(Meal_entry_week_2!$W$281&lt;0,0,Meal_entry_week_2!$W$281)</f>
        <v>886.37926739417242</v>
      </c>
      <c r="AA149" s="922">
        <f>IF(Meal_entry_week_2!$W$380&lt;0,0,Meal_entry_week_2!$W$380)</f>
        <v>814.71861162114783</v>
      </c>
      <c r="AB149" s="923">
        <f>IF(Meal_entry_week_2!$W$479&lt;0,0,Meal_entry_week_2!$W$479)</f>
        <v>842.57580153846152</v>
      </c>
      <c r="AC149" s="921">
        <f>IF(Meal_entry_week_2!$W$102&lt;0,0,Meal_entry_week_2!$W$102)</f>
        <v>0</v>
      </c>
      <c r="AD149" s="922">
        <f>IF(Meal_entry_week_2!$W$201&lt;0,0,Meal_entry_week_2!$W$201)</f>
        <v>0</v>
      </c>
      <c r="AE149" s="922">
        <f>IF(Meal_entry_week_2!$W$300&lt;0,0,Meal_entry_week_2!$W$300)</f>
        <v>0</v>
      </c>
      <c r="AF149" s="922">
        <f>IF(Meal_entry_week_2!$W$399&lt;0,0,Meal_entry_week_2!$W$399)</f>
        <v>0</v>
      </c>
      <c r="AG149" s="923">
        <f>IF(Meal_entry_week_2!$W$498&lt;0,0,Meal_entry_week_2!$W$498)</f>
        <v>0</v>
      </c>
    </row>
    <row r="150" spans="1:37">
      <c r="A150" s="904"/>
      <c r="B150" s="768" t="s">
        <v>3879</v>
      </c>
      <c r="C150" s="925"/>
      <c r="D150" s="921">
        <f t="shared" ref="D150:D171" si="18">SUM(E150:H150)</f>
        <v>147.73619521618221</v>
      </c>
      <c r="E150" s="922">
        <f>Meal_entry_week_2!$X$512</f>
        <v>0</v>
      </c>
      <c r="F150" s="941">
        <f>Meal_entry_week_2!$X$522</f>
        <v>37.389656155438068</v>
      </c>
      <c r="G150" s="941">
        <f>Meal_entry_week_2!$X$532</f>
        <v>110.34653906074415</v>
      </c>
      <c r="H150" s="942">
        <f>Meal_entry_week_2!$X$542</f>
        <v>0</v>
      </c>
      <c r="I150" s="921">
        <f>Meal_entry_week_2!$X$547</f>
        <v>95.179967585047009</v>
      </c>
      <c r="J150" s="922">
        <f>Meal_entry_week_2!$X$548</f>
        <v>208.44999362848236</v>
      </c>
      <c r="K150" s="922">
        <f>Meal_entry_week_2!$X$549</f>
        <v>154.93328380387612</v>
      </c>
      <c r="L150" s="922">
        <f>Meal_entry_week_2!$X$550</f>
        <v>123.65097498294962</v>
      </c>
      <c r="M150" s="923">
        <f>Meal_entry_week_2!$X$551</f>
        <v>156.46823344250814</v>
      </c>
      <c r="N150" s="922">
        <f>IF(Meal_entry_week_2!$X$32&lt;0,0,Meal_entry_week_2!$X$32)</f>
        <v>0</v>
      </c>
      <c r="O150" s="922">
        <f>IF(Meal_entry_week_2!$X$131&lt;0,0,Meal_entry_week_2!$X$131)</f>
        <v>0</v>
      </c>
      <c r="P150" s="922">
        <f>IF(Meal_entry_week_2!$X$230&lt;0,0,Meal_entry_week_2!$X$230)</f>
        <v>0</v>
      </c>
      <c r="Q150" s="922">
        <f>IF(Meal_entry_week_2!$X$329&lt;0,0,Meal_entry_week_2!$X$329)</f>
        <v>0</v>
      </c>
      <c r="R150" s="922">
        <f>IF(Meal_entry_week_2!$X$428&lt;0,0,Meal_entry_week_2!$X$428)</f>
        <v>0</v>
      </c>
      <c r="S150" s="921">
        <f>IF(Meal_entry_week_2!$X$51&lt;0,0,Meal_entry_week_2!$X$51)</f>
        <v>14.560014939309058</v>
      </c>
      <c r="T150" s="922">
        <f>IF(Meal_entry_week_2!$X$150&lt;0,0,Meal_entry_week_2!$X$150)</f>
        <v>53.149860041987402</v>
      </c>
      <c r="U150" s="922">
        <f>IF(Meal_entry_week_2!$X$249&lt;0,0,Meal_entry_week_2!$X$249)</f>
        <v>34.989999999999995</v>
      </c>
      <c r="V150" s="922">
        <f>IF(Meal_entry_week_2!$X$348&lt;0,0,Meal_entry_week_2!$X$348)</f>
        <v>35.299999999999997</v>
      </c>
      <c r="W150" s="923">
        <f>IF(Meal_entry_week_2!$X$447&lt;0,0,Meal_entry_week_2!$X$447)</f>
        <v>48.948779692455446</v>
      </c>
      <c r="X150" s="921">
        <f>IF(Meal_entry_week_2!$X$83&lt;0,0,Meal_entry_week_2!$X$83)</f>
        <v>80.619952645737953</v>
      </c>
      <c r="Y150" s="922">
        <f>IF(Meal_entry_week_2!$X$182&lt;0,0,Meal_entry_week_2!$X$182)</f>
        <v>155.30013358649495</v>
      </c>
      <c r="Z150" s="922">
        <f>IF(Meal_entry_week_2!$X$281&lt;0,0,Meal_entry_week_2!$X$281)</f>
        <v>119.94328380387614</v>
      </c>
      <c r="AA150" s="922">
        <f>IF(Meal_entry_week_2!$X$380&lt;0,0,Meal_entry_week_2!$X$380)</f>
        <v>88.350974982949623</v>
      </c>
      <c r="AB150" s="923">
        <f>IF(Meal_entry_week_2!$X$479&lt;0,0,Meal_entry_week_2!$X$479)</f>
        <v>107.51945375005269</v>
      </c>
      <c r="AC150" s="921">
        <f>IF(Meal_entry_week_2!$X$102&lt;0,0,Meal_entry_week_2!$X$102)</f>
        <v>0</v>
      </c>
      <c r="AD150" s="922">
        <f>IF(Meal_entry_week_2!$X$201&lt;0,0,Meal_entry_week_2!$X$201)</f>
        <v>0</v>
      </c>
      <c r="AE150" s="922">
        <f>IF(Meal_entry_week_2!$X$300&lt;0,0,Meal_entry_week_2!$X$300)</f>
        <v>0</v>
      </c>
      <c r="AF150" s="922">
        <f>IF(Meal_entry_week_2!$X$399&lt;0,0,Meal_entry_week_2!$X$399)</f>
        <v>0</v>
      </c>
      <c r="AG150" s="923">
        <f>IF(Meal_entry_week_2!$X$498&lt;0,0,Meal_entry_week_2!$X$498)</f>
        <v>0</v>
      </c>
    </row>
    <row r="151" spans="1:37">
      <c r="A151" s="905"/>
      <c r="B151" s="768" t="s">
        <v>3880</v>
      </c>
      <c r="C151" s="873"/>
      <c r="D151" s="921">
        <f t="shared" si="18"/>
        <v>34.924191260177665</v>
      </c>
      <c r="E151" s="922">
        <f>Meal_entry_week_2!$Y$512</f>
        <v>0</v>
      </c>
      <c r="F151" s="941">
        <f>Meal_entry_week_2!$Y$522</f>
        <v>8.888714856832296</v>
      </c>
      <c r="G151" s="941">
        <f>Meal_entry_week_2!$Y$532</f>
        <v>26.035476403345367</v>
      </c>
      <c r="H151" s="942">
        <f>Meal_entry_week_2!$Y$542</f>
        <v>0</v>
      </c>
      <c r="I151" s="921">
        <f>Meal_entry_week_2!$Y$547</f>
        <v>30.819435946681054</v>
      </c>
      <c r="J151" s="922">
        <f>Meal_entry_week_2!$Y$548</f>
        <v>36.344812996196922</v>
      </c>
      <c r="K151" s="922">
        <f>Meal_entry_week_2!$Y$549</f>
        <v>44.004524399196221</v>
      </c>
      <c r="L151" s="922">
        <f>Meal_entry_week_2!$Y$550</f>
        <v>30.093164013083651</v>
      </c>
      <c r="M151" s="923">
        <f>Meal_entry_week_2!$Y$551</f>
        <v>33.359368187643049</v>
      </c>
      <c r="N151" s="922">
        <f>IF(Meal_entry_week_2!$Y$32&lt;0,0,Meal_entry_week_2!$Y$32)</f>
        <v>0</v>
      </c>
      <c r="O151" s="922">
        <f>IF(Meal_entry_week_2!$Y$131&lt;0,0,Meal_entry_week_2!$Y$131)</f>
        <v>0</v>
      </c>
      <c r="P151" s="922">
        <f>IF(Meal_entry_week_2!$Y$230&lt;0,0,Meal_entry_week_2!$Y$230)</f>
        <v>0</v>
      </c>
      <c r="Q151" s="922">
        <f>IF(Meal_entry_week_2!$Y$329&lt;0,0,Meal_entry_week_2!$Y$329)</f>
        <v>0</v>
      </c>
      <c r="R151" s="922">
        <f>IF(Meal_entry_week_2!$Y$428&lt;0,0,Meal_entry_week_2!$Y$428)</f>
        <v>0</v>
      </c>
      <c r="S151" s="921">
        <f>IF(Meal_entry_week_2!$Y$51&lt;0,0,Meal_entry_week_2!$Y$51)</f>
        <v>6.434029878618114</v>
      </c>
      <c r="T151" s="922">
        <f>IF(Meal_entry_week_2!$Y$150&lt;0,0,Meal_entry_week_2!$Y$150)</f>
        <v>9.9502799160251918</v>
      </c>
      <c r="U151" s="922">
        <f>IF(Meal_entry_week_2!$Y$249&lt;0,0,Meal_entry_week_2!$Y$249)</f>
        <v>15.12</v>
      </c>
      <c r="V151" s="922">
        <f>IF(Meal_entry_week_2!$Y$348&lt;0,0,Meal_entry_week_2!$Y$348)</f>
        <v>7.1</v>
      </c>
      <c r="W151" s="923">
        <f>IF(Meal_entry_week_2!$Y$447&lt;0,0,Meal_entry_week_2!$Y$447)</f>
        <v>5.8393533766667387</v>
      </c>
      <c r="X151" s="921">
        <f>IF(Meal_entry_week_2!$Y$83&lt;0,0,Meal_entry_week_2!$Y$83)</f>
        <v>24.385406068062942</v>
      </c>
      <c r="Y151" s="922">
        <f>IF(Meal_entry_week_2!$Y$182&lt;0,0,Meal_entry_week_2!$Y$182)</f>
        <v>26.39453308017173</v>
      </c>
      <c r="Z151" s="922">
        <f>IF(Meal_entry_week_2!$Y$281&lt;0,0,Meal_entry_week_2!$Y$281)</f>
        <v>28.88452439919622</v>
      </c>
      <c r="AA151" s="922">
        <f>IF(Meal_entry_week_2!$Y$380&lt;0,0,Meal_entry_week_2!$Y$380)</f>
        <v>22.993164013083653</v>
      </c>
      <c r="AB151" s="923">
        <f>IF(Meal_entry_week_2!$Y$479&lt;0,0,Meal_entry_week_2!$Y$479)</f>
        <v>27.52001481097631</v>
      </c>
      <c r="AC151" s="921">
        <f>IF(Meal_entry_week_2!$Y$102&lt;0,0,Meal_entry_week_2!$Y$102)</f>
        <v>0</v>
      </c>
      <c r="AD151" s="922">
        <f>IF(Meal_entry_week_2!$Y$201&lt;0,0,Meal_entry_week_2!$Y$201)</f>
        <v>0</v>
      </c>
      <c r="AE151" s="922">
        <f>IF(Meal_entry_week_2!$Y$300&lt;0,0,Meal_entry_week_2!$Y$300)</f>
        <v>0</v>
      </c>
      <c r="AF151" s="922">
        <f>IF(Meal_entry_week_2!$Y$399&lt;0,0,Meal_entry_week_2!$Y$399)</f>
        <v>0</v>
      </c>
      <c r="AG151" s="923">
        <f>IF(Meal_entry_week_2!$Y$498&lt;0,0,Meal_entry_week_2!$Y$498)</f>
        <v>0</v>
      </c>
    </row>
    <row r="152" spans="1:37">
      <c r="A152" s="905"/>
      <c r="B152" s="768" t="s">
        <v>3881</v>
      </c>
      <c r="C152" s="873"/>
      <c r="D152" s="921">
        <f t="shared" si="18"/>
        <v>49.973598461315419</v>
      </c>
      <c r="E152" s="922">
        <f>Meal_entry_week_2!$Z$512</f>
        <v>0</v>
      </c>
      <c r="F152" s="941">
        <f>Meal_entry_week_2!$Z$522</f>
        <v>18.883626067605817</v>
      </c>
      <c r="G152" s="941">
        <f>Meal_entry_week_2!$Z$532</f>
        <v>31.089972393709598</v>
      </c>
      <c r="H152" s="942">
        <f>Meal_entry_week_2!$Z$542</f>
        <v>0</v>
      </c>
      <c r="I152" s="921">
        <f>Meal_entry_week_2!$Z$547</f>
        <v>62.458053187072821</v>
      </c>
      <c r="J152" s="922">
        <f>Meal_entry_week_2!$Z$548</f>
        <v>23.885078733258666</v>
      </c>
      <c r="K152" s="922">
        <f>Meal_entry_week_2!$Z$549</f>
        <v>42.984693290131787</v>
      </c>
      <c r="L152" s="922">
        <f>Meal_entry_week_2!$Z$550</f>
        <v>57.240065294182941</v>
      </c>
      <c r="M152" s="923">
        <f>Meal_entry_week_2!$Z$551</f>
        <v>63.300601537915441</v>
      </c>
      <c r="N152" s="922">
        <f>IF(Meal_entry_week_2!$Z$32&lt;0,0,Meal_entry_week_2!$Z$32)</f>
        <v>0</v>
      </c>
      <c r="O152" s="922">
        <f>IF(Meal_entry_week_2!$Z$131&lt;0,0,Meal_entry_week_2!$Z$131)</f>
        <v>0</v>
      </c>
      <c r="P152" s="922">
        <f>IF(Meal_entry_week_2!$Z$230&lt;0,0,Meal_entry_week_2!$Z$230)</f>
        <v>0</v>
      </c>
      <c r="Q152" s="922">
        <f>IF(Meal_entry_week_2!$Z$329&lt;0,0,Meal_entry_week_2!$Z$329)</f>
        <v>0</v>
      </c>
      <c r="R152" s="922">
        <f>IF(Meal_entry_week_2!$Z$428&lt;0,0,Meal_entry_week_2!$Z$428)</f>
        <v>0</v>
      </c>
      <c r="S152" s="921">
        <f>IF(Meal_entry_week_2!$Z$51&lt;0,0,Meal_entry_week_2!$Z$51)</f>
        <v>21.337007469654527</v>
      </c>
      <c r="T152" s="922">
        <f>IF(Meal_entry_week_2!$Z$150&lt;0,0,Meal_entry_week_2!$Z$150)</f>
        <v>11.1</v>
      </c>
      <c r="U152" s="922">
        <f>IF(Meal_entry_week_2!$Z$249&lt;0,0,Meal_entry_week_2!$Z$249)</f>
        <v>11.32</v>
      </c>
      <c r="V152" s="922">
        <f>IF(Meal_entry_week_2!$Z$348&lt;0,0,Meal_entry_week_2!$Z$348)</f>
        <v>18.57</v>
      </c>
      <c r="W152" s="923">
        <f>IF(Meal_entry_week_2!$Y$447&lt;0,0,Meal_entry_week_2!$Y$447)</f>
        <v>5.8393533766667387</v>
      </c>
      <c r="X152" s="921">
        <f>IF(Meal_entry_week_2!$Z$83&lt;0,0,Meal_entry_week_2!$Z$83)</f>
        <v>41.121045717418291</v>
      </c>
      <c r="Y152" s="922">
        <f>IF(Meal_entry_week_2!$Z$182&lt;0,0,Meal_entry_week_2!$Z$182)</f>
        <v>12.785078733258668</v>
      </c>
      <c r="Z152" s="922">
        <f>IF(Meal_entry_week_2!$Z$281&lt;0,0,Meal_entry_week_2!$Z$281)</f>
        <v>31.66469329013179</v>
      </c>
      <c r="AA152" s="922">
        <f>IF(Meal_entry_week_2!$Z$380&lt;0,0,Meal_entry_week_2!$Z$380)</f>
        <v>38.67006529418294</v>
      </c>
      <c r="AB152" s="923">
        <f>IF(Meal_entry_week_2!$Z$479&lt;0,0,Meal_entry_week_2!$Z$479)</f>
        <v>31.209289833280209</v>
      </c>
      <c r="AC152" s="921">
        <f>IF(Meal_entry_week_2!$Z$102&lt;0,0,Meal_entry_week_2!$Z$102)</f>
        <v>0</v>
      </c>
      <c r="AD152" s="922">
        <f>IF(Meal_entry_week_2!$Z$201&lt;0,0,Meal_entry_week_2!$Z$201)</f>
        <v>0</v>
      </c>
      <c r="AE152" s="922">
        <f>IF(Meal_entry_week_2!$Z$300&lt;0,0,Meal_entry_week_2!$Z$300)</f>
        <v>0</v>
      </c>
      <c r="AF152" s="922">
        <f>IF(Meal_entry_week_2!$Z$399&lt;0,0,Meal_entry_week_2!$Z$399)</f>
        <v>0</v>
      </c>
      <c r="AG152" s="923">
        <f>IF(Meal_entry_week_2!$Z$498&lt;0,0,Meal_entry_week_2!$Z$498)</f>
        <v>0</v>
      </c>
    </row>
    <row r="153" spans="1:37" ht="15">
      <c r="A153" s="905"/>
      <c r="B153" s="770" t="s">
        <v>3882</v>
      </c>
      <c r="C153" s="873"/>
      <c r="D153" s="921">
        <f t="shared" si="18"/>
        <v>14.943684950445157</v>
      </c>
      <c r="E153" s="922">
        <f>Meal_entry_week_2!$AA$512</f>
        <v>0</v>
      </c>
      <c r="F153" s="941">
        <f>Meal_entry_week_2!$AA$522</f>
        <v>0.92276931157093411</v>
      </c>
      <c r="G153" s="941">
        <f>Meal_entry_week_2!$AA$532</f>
        <v>14.020915638874223</v>
      </c>
      <c r="H153" s="942">
        <f>Meal_entry_week_2!$AA$542</f>
        <v>0</v>
      </c>
      <c r="I153" s="921">
        <f>Meal_entry_week_2!$AA$547</f>
        <v>14.076127749892555</v>
      </c>
      <c r="J153" s="922">
        <f>Meal_entry_week_2!$AA$548</f>
        <v>16.879228199776001</v>
      </c>
      <c r="K153" s="922">
        <f>Meal_entry_week_2!$AA$549</f>
        <v>19.602264446654026</v>
      </c>
      <c r="L153" s="922">
        <f>Meal_entry_week_2!$AA$550</f>
        <v>13.5399331002331</v>
      </c>
      <c r="M153" s="923">
        <f>Meal_entry_week_2!$AA$551</f>
        <v>10.621020692519602</v>
      </c>
      <c r="N153" s="922">
        <f>IF(Meal_entry_week_2!$AA$32&lt;0,0,Meal_entry_week_2!$AA$32)</f>
        <v>0</v>
      </c>
      <c r="O153" s="922">
        <f>IF(Meal_entry_week_2!$AA$131&lt;0,0,Meal_entry_week_2!$AA$131)</f>
        <v>0</v>
      </c>
      <c r="P153" s="922">
        <f>IF(Meal_entry_week_2!$AA$230&lt;0,0,Meal_entry_week_2!$AA$230)</f>
        <v>0</v>
      </c>
      <c r="Q153" s="922">
        <f>IF(Meal_entry_week_2!$AA$329&lt;0,0,Meal_entry_week_2!$AA$329)</f>
        <v>0</v>
      </c>
      <c r="R153" s="922">
        <f>IF(Meal_entry_week_2!$AA$428&lt;0,0,Meal_entry_week_2!$AA$428)</f>
        <v>0</v>
      </c>
      <c r="S153" s="921">
        <f>IF(Meal_entry_week_2!$AA$51&lt;0,0,Meal_entry_week_2!$AA$51)</f>
        <v>1.095</v>
      </c>
      <c r="T153" s="922">
        <f>IF(Meal_entry_week_2!$AA$150&lt;0,0,Meal_entry_week_2!$AA$150)</f>
        <v>1.1226</v>
      </c>
      <c r="U153" s="922">
        <f>IF(Meal_entry_week_2!$AA$249&lt;0,0,Meal_entry_week_2!$AA$249)</f>
        <v>0.65710000000000002</v>
      </c>
      <c r="V153" s="922">
        <f>IF(Meal_entry_week_2!$AA$348&lt;0,0,Meal_entry_week_2!$AA$348)</f>
        <v>0.56419999999999992</v>
      </c>
      <c r="W153" s="923">
        <f>IF(Meal_entry_week_2!$AA$447&lt;0,0,Meal_entry_week_2!$AA$447)</f>
        <v>1.1749557855477857</v>
      </c>
      <c r="X153" s="921">
        <f>IF(Meal_entry_week_2!$AA$83&lt;0,0,Meal_entry_week_2!$AA$83)</f>
        <v>12.981127749892554</v>
      </c>
      <c r="Y153" s="922">
        <f>IF(Meal_entry_week_2!$AA$182&lt;0,0,Meal_entry_week_2!$AA$182)</f>
        <v>15.756628199776003</v>
      </c>
      <c r="Z153" s="922">
        <f>IF(Meal_entry_week_2!$AA$281&lt;0,0,Meal_entry_week_2!$AA$281)</f>
        <v>18.945164446654026</v>
      </c>
      <c r="AA153" s="922">
        <f>IF(Meal_entry_week_2!$AA$380&lt;0,0,Meal_entry_week_2!$AA$380)</f>
        <v>12.9757331002331</v>
      </c>
      <c r="AB153" s="923">
        <f>IF(Meal_entry_week_2!$AA$479&lt;0,0,Meal_entry_week_2!$AA$479)</f>
        <v>9.4460649069718166</v>
      </c>
      <c r="AC153" s="921">
        <f>IF(Meal_entry_week_2!$AA$102&lt;0,0,Meal_entry_week_2!$AA$102)</f>
        <v>0</v>
      </c>
      <c r="AD153" s="922">
        <f>IF(Meal_entry_week_2!$AA$201&lt;0,0,Meal_entry_week_2!$AA$201)</f>
        <v>0</v>
      </c>
      <c r="AE153" s="922">
        <f>IF(Meal_entry_week_2!$AA$300&lt;0,0,Meal_entry_week_2!$AA$300)</f>
        <v>0</v>
      </c>
      <c r="AF153" s="922">
        <f>IF(Meal_entry_week_2!$AA$399&lt;0,0,Meal_entry_week_2!$AA$399)</f>
        <v>0</v>
      </c>
      <c r="AG153" s="923">
        <f>IF(Meal_entry_week_2!$AA$498&lt;0,0,Meal_entry_week_2!$AA$498)</f>
        <v>0</v>
      </c>
    </row>
    <row r="154" spans="1:37" ht="15">
      <c r="A154" s="905"/>
      <c r="B154" s="771" t="s">
        <v>3883</v>
      </c>
      <c r="C154" s="873"/>
      <c r="D154" s="921">
        <f t="shared" si="18"/>
        <v>9.6980095883141644</v>
      </c>
      <c r="E154" s="922">
        <f>Meal_entry_week_2!$AB$512</f>
        <v>0</v>
      </c>
      <c r="F154" s="941">
        <f>Meal_entry_week_2!$AB$522</f>
        <v>3.7946805855018746</v>
      </c>
      <c r="G154" s="941">
        <f>Meal_entry_week_2!$AB$532</f>
        <v>5.9033290028122893</v>
      </c>
      <c r="H154" s="942">
        <f>Meal_entry_week_2!$AB$542</f>
        <v>0</v>
      </c>
      <c r="I154" s="921">
        <f>Meal_entry_week_2!$AB$547</f>
        <v>15.122993344483584</v>
      </c>
      <c r="J154" s="922">
        <f>Meal_entry_week_2!$AB$548</f>
        <v>9.401496853236269</v>
      </c>
      <c r="K154" s="922">
        <f>Meal_entry_week_2!$AB$549</f>
        <v>9.2659666246272678</v>
      </c>
      <c r="L154" s="922">
        <f>Meal_entry_week_2!$AB$550</f>
        <v>8.0440725287131194</v>
      </c>
      <c r="M154" s="923">
        <f>Meal_entry_week_2!$AB$551</f>
        <v>6.655615570606459</v>
      </c>
      <c r="N154" s="922">
        <f>IF(Meal_entry_week_2!$AB$32&lt;0,0,Meal_entry_week_2!$AB$32)</f>
        <v>0</v>
      </c>
      <c r="O154" s="922">
        <f>IF(Meal_entry_week_2!$AB$131&lt;0,0,Meal_entry_week_2!$AB$131)</f>
        <v>0</v>
      </c>
      <c r="P154" s="922">
        <f>IF(Meal_entry_week_2!$AB$230&lt;0,0,Meal_entry_week_2!$AB$230)</f>
        <v>0</v>
      </c>
      <c r="Q154" s="922">
        <f>IF(Meal_entry_week_2!$AB$329&lt;0,0,Meal_entry_week_2!$AB$329)</f>
        <v>0</v>
      </c>
      <c r="R154" s="922">
        <f>IF(Meal_entry_week_2!$AB$428&lt;0,0,Meal_entry_week_2!$AB$428)</f>
        <v>0</v>
      </c>
      <c r="S154" s="921">
        <f>IF(Meal_entry_week_2!$AB$51&lt;0,0,Meal_entry_week_2!$AB$51)</f>
        <v>3.9834298786181144</v>
      </c>
      <c r="T154" s="922">
        <f>IF(Meal_entry_week_2!$AB$150&lt;0,0,Meal_entry_week_2!$AB$150)</f>
        <v>7.2476000000000003</v>
      </c>
      <c r="U154" s="922">
        <f>IF(Meal_entry_week_2!$AB$249&lt;0,0,Meal_entry_week_2!$AB$249)</f>
        <v>4.4851000000000001</v>
      </c>
      <c r="V154" s="922">
        <f>IF(Meal_entry_week_2!$AB$348&lt;0,0,Meal_entry_week_2!$AB$348)</f>
        <v>0.69719999999999993</v>
      </c>
      <c r="W154" s="923">
        <f>IF(Meal_entry_week_2!$AB$447&lt;0,0,Meal_entry_week_2!$AB$447)</f>
        <v>2.5601109956971135</v>
      </c>
      <c r="X154" s="921">
        <f>IF(Meal_entry_week_2!$AB$83&lt;0,0,Meal_entry_week_2!$AB$83)</f>
        <v>11.13956346586547</v>
      </c>
      <c r="Y154" s="922">
        <f>IF(Meal_entry_week_2!$AB$182&lt;0,0,Meal_entry_week_2!$AB$182)</f>
        <v>2.1538968532362688</v>
      </c>
      <c r="Z154" s="922">
        <f>IF(Meal_entry_week_2!$AB$281&lt;0,0,Meal_entry_week_2!$AB$281)</f>
        <v>4.7808666246272686</v>
      </c>
      <c r="AA154" s="922">
        <f>IF(Meal_entry_week_2!$AB$380&lt;0,0,Meal_entry_week_2!$AB$380)</f>
        <v>7.3468725287131189</v>
      </c>
      <c r="AB154" s="923">
        <f>IF(Meal_entry_week_2!$AB$479&lt;0,0,Meal_entry_week_2!$AB$479)</f>
        <v>4.0955045749093451</v>
      </c>
      <c r="AC154" s="921">
        <f>IF(Meal_entry_week_2!$AB$102&lt;0,0,Meal_entry_week_2!$AB$102)</f>
        <v>0</v>
      </c>
      <c r="AD154" s="922">
        <f>IF(Meal_entry_week_2!$AB$201&lt;0,0,Meal_entry_week_2!$AB$201)</f>
        <v>0</v>
      </c>
      <c r="AE154" s="922">
        <f>IF(Meal_entry_week_2!$AB$300&lt;0,0,Meal_entry_week_2!$AB$300)</f>
        <v>0</v>
      </c>
      <c r="AF154" s="922">
        <f>IF(Meal_entry_week_2!$AB$399&lt;0,0,Meal_entry_week_2!$AB$399)</f>
        <v>0</v>
      </c>
      <c r="AG154" s="923">
        <f>IF(Meal_entry_week_2!$AB$498&lt;0,0,Meal_entry_week_2!$AB$498)</f>
        <v>0</v>
      </c>
    </row>
    <row r="155" spans="1:37" ht="15">
      <c r="A155" s="905"/>
      <c r="B155" s="770" t="s">
        <v>3884</v>
      </c>
      <c r="C155" s="873"/>
      <c r="D155" s="921">
        <f t="shared" si="18"/>
        <v>797.78503814850819</v>
      </c>
      <c r="E155" s="922">
        <f>Meal_entry_week_2!$AC$512</f>
        <v>0</v>
      </c>
      <c r="F155" s="941">
        <f>Meal_entry_week_2!$AC$522</f>
        <v>112.29087250683307</v>
      </c>
      <c r="G155" s="941">
        <f>Meal_entry_week_2!$AC$532</f>
        <v>685.49416564167507</v>
      </c>
      <c r="H155" s="942">
        <f>Meal_entry_week_2!$AC$542</f>
        <v>0</v>
      </c>
      <c r="I155" s="921">
        <f>Meal_entry_week_2!$AC$547</f>
        <v>898.16997668997681</v>
      </c>
      <c r="J155" s="922">
        <f>Meal_entry_week_2!$AC$548</f>
        <v>748.88760000000002</v>
      </c>
      <c r="K155" s="922">
        <f>Meal_entry_week_2!$AC$549</f>
        <v>1085.5889280419578</v>
      </c>
      <c r="L155" s="922">
        <f>Meal_entry_week_2!$AC$550</f>
        <v>600.50829837995343</v>
      </c>
      <c r="M155" s="923">
        <f>Meal_entry_week_2!$AC$551</f>
        <v>655.77836548103403</v>
      </c>
      <c r="N155" s="922">
        <f>IF(Meal_entry_week_2!$AC$32&lt;0,0,Meal_entry_week_2!$AC$32)</f>
        <v>0</v>
      </c>
      <c r="O155" s="922">
        <f>IF(Meal_entry_week_2!$AC$131&lt;0,0,Meal_entry_week_2!$AC$131)</f>
        <v>0</v>
      </c>
      <c r="P155" s="922">
        <f>IF(Meal_entry_week_2!$AC$230&lt;0,0,Meal_entry_week_2!$AC$230)</f>
        <v>0</v>
      </c>
      <c r="Q155" s="922">
        <f>IF(Meal_entry_week_2!$AC$329&lt;0,0,Meal_entry_week_2!$AC$329)</f>
        <v>0</v>
      </c>
      <c r="R155" s="922">
        <f>IF(Meal_entry_week_2!$AC$428&lt;0,0,Meal_entry_week_2!$AC$428)</f>
        <v>0</v>
      </c>
      <c r="S155" s="921">
        <f>IF(Meal_entry_week_2!$AC$51&lt;0,0,Meal_entry_week_2!$AC$51)</f>
        <v>88.786000000000016</v>
      </c>
      <c r="T155" s="922">
        <f>IF(Meal_entry_week_2!$AC$150&lt;0,0,Meal_entry_week_2!$AC$150)</f>
        <v>43.497599999999998</v>
      </c>
      <c r="U155" s="922">
        <f>IF(Meal_entry_week_2!$AC$249&lt;0,0,Meal_entry_week_2!$AC$249)</f>
        <v>375.19709999999998</v>
      </c>
      <c r="V155" s="922">
        <f>IF(Meal_entry_week_2!$AC$348&lt;0,0,Meal_entry_week_2!$AC$348)</f>
        <v>42.797199999999997</v>
      </c>
      <c r="W155" s="923">
        <f>IF(Meal_entry_week_2!$AC$447&lt;0,0,Meal_entry_week_2!$AC$447)</f>
        <v>11.177585442890441</v>
      </c>
      <c r="X155" s="921">
        <f>IF(Meal_entry_week_2!$AC$83&lt;0,0,Meal_entry_week_2!$AC$83)</f>
        <v>809.38397668997675</v>
      </c>
      <c r="Y155" s="922">
        <f>IF(Meal_entry_week_2!$AC$182&lt;0,0,Meal_entry_week_2!$AC$182)</f>
        <v>705.39</v>
      </c>
      <c r="Z155" s="922">
        <f>IF(Meal_entry_week_2!$AC$281&lt;0,0,Meal_entry_week_2!$AC$281)</f>
        <v>710.39182804195798</v>
      </c>
      <c r="AA155" s="922">
        <f>IF(Meal_entry_week_2!$AC$380&lt;0,0,Meal_entry_week_2!$AC$380)</f>
        <v>557.71109837995346</v>
      </c>
      <c r="AB155" s="923">
        <f>IF(Meal_entry_week_2!$AC$479&lt;0,0,Meal_entry_week_2!$AC$479)</f>
        <v>644.60078003814363</v>
      </c>
      <c r="AC155" s="921">
        <f>IF(Meal_entry_week_2!$AC$102&lt;0,0,Meal_entry_week_2!$AC$102)</f>
        <v>0</v>
      </c>
      <c r="AD155" s="922">
        <f>IF(Meal_entry_week_2!$AC$201&lt;0,0,Meal_entry_week_2!$AC$201)</f>
        <v>0</v>
      </c>
      <c r="AE155" s="922">
        <f>IF(Meal_entry_week_2!$AC$300&lt;0,0,Meal_entry_week_2!$AC$300)</f>
        <v>0</v>
      </c>
      <c r="AF155" s="922">
        <f>IF(Meal_entry_week_2!$AC$399&lt;0,0,Meal_entry_week_2!$AC$399)</f>
        <v>0</v>
      </c>
      <c r="AG155" s="923">
        <f>IF(Meal_entry_week_2!$AC$498&lt;0,0,Meal_entry_week_2!$AC$498)</f>
        <v>0</v>
      </c>
    </row>
    <row r="156" spans="1:37" ht="15">
      <c r="A156" s="905"/>
      <c r="B156" s="770" t="s">
        <v>3885</v>
      </c>
      <c r="C156" s="873"/>
      <c r="D156" s="921">
        <f t="shared" si="18"/>
        <v>1445.9464579935525</v>
      </c>
      <c r="E156" s="922">
        <f>Meal_entry_week_2!$AD$512</f>
        <v>0</v>
      </c>
      <c r="F156" s="941">
        <f>Meal_entry_week_2!$AD$522</f>
        <v>146.53396853206297</v>
      </c>
      <c r="G156" s="941">
        <f>Meal_entry_week_2!$AD$532</f>
        <v>1299.4124894614895</v>
      </c>
      <c r="H156" s="942">
        <f>Meal_entry_week_2!$AD$542</f>
        <v>0</v>
      </c>
      <c r="I156" s="921">
        <f>Meal_entry_week_2!$AD$547</f>
        <v>1625.7060000000001</v>
      </c>
      <c r="J156" s="922">
        <f>Meal_entry_week_2!$AD$548</f>
        <v>1440.0664868868869</v>
      </c>
      <c r="K156" s="922">
        <f>Meal_entry_week_2!$AD$549</f>
        <v>1601.0108</v>
      </c>
      <c r="L156" s="922">
        <f>Meal_entry_week_2!$AD$550</f>
        <v>1661.2666000000002</v>
      </c>
      <c r="M156" s="923">
        <f>Meal_entry_week_2!$AD$551</f>
        <v>901.69686254545456</v>
      </c>
      <c r="N156" s="922">
        <f>IF(Meal_entry_week_2!$AD$32&lt;0,0,Meal_entry_week_2!$AD$32)</f>
        <v>0</v>
      </c>
      <c r="O156" s="922">
        <f>IF(Meal_entry_week_2!$AD$131&lt;0,0,Meal_entry_week_2!$AD$131)</f>
        <v>0</v>
      </c>
      <c r="P156" s="922">
        <f>IF(Meal_entry_week_2!$AD$230&lt;0,0,Meal_entry_week_2!$AD$230)</f>
        <v>0</v>
      </c>
      <c r="Q156" s="922">
        <f>IF(Meal_entry_week_2!$AD$329&lt;0,0,Meal_entry_week_2!$AD$329)</f>
        <v>0</v>
      </c>
      <c r="R156" s="922">
        <f>IF(Meal_entry_week_2!$AD$428&lt;0,0,Meal_entry_week_2!$AD$428)</f>
        <v>0</v>
      </c>
      <c r="S156" s="921">
        <f>IF(Meal_entry_week_2!$AD$51&lt;0,0,Meal_entry_week_2!$AD$51)</f>
        <v>220.25000000000003</v>
      </c>
      <c r="T156" s="922">
        <f>IF(Meal_entry_week_2!$AD$150&lt;0,0,Meal_entry_week_2!$AD$150)</f>
        <v>166.99760000000001</v>
      </c>
      <c r="U156" s="922">
        <f>IF(Meal_entry_week_2!$AD$249&lt;0,0,Meal_entry_week_2!$AD$249)</f>
        <v>88.197100000000006</v>
      </c>
      <c r="V156" s="922">
        <f>IF(Meal_entry_week_2!$AD$348&lt;0,0,Meal_entry_week_2!$AD$348)</f>
        <v>153.99719999999999</v>
      </c>
      <c r="W156" s="923">
        <f>IF(Meal_entry_week_2!$AD$447&lt;0,0,Meal_entry_week_2!$AD$447)</f>
        <v>103.22940800000001</v>
      </c>
      <c r="X156" s="921">
        <f>IF(Meal_entry_week_2!$AD$83&lt;0,0,Meal_entry_week_2!$AD$83)</f>
        <v>1405.4560000000001</v>
      </c>
      <c r="Y156" s="922">
        <f>IF(Meal_entry_week_2!$AD$182&lt;0,0,Meal_entry_week_2!$AD$182)</f>
        <v>1273.068886886887</v>
      </c>
      <c r="Z156" s="922">
        <f>IF(Meal_entry_week_2!$AD$281&lt;0,0,Meal_entry_week_2!$AD$281)</f>
        <v>1512.8136999999999</v>
      </c>
      <c r="AA156" s="922">
        <f>IF(Meal_entry_week_2!$AD$380&lt;0,0,Meal_entry_week_2!$AD$380)</f>
        <v>1507.2694000000001</v>
      </c>
      <c r="AB156" s="923">
        <f>IF(Meal_entry_week_2!$AD$479&lt;0,0,Meal_entry_week_2!$AD$479)</f>
        <v>798.46745454545453</v>
      </c>
      <c r="AC156" s="921">
        <f>IF(Meal_entry_week_2!$AD$102&lt;0,0,Meal_entry_week_2!$AD$102)</f>
        <v>0</v>
      </c>
      <c r="AD156" s="922">
        <f>IF(Meal_entry_week_2!$AD$201&lt;0,0,Meal_entry_week_2!$AD$201)</f>
        <v>0</v>
      </c>
      <c r="AE156" s="922">
        <f>IF(Meal_entry_week_2!$AD$300&lt;0,0,Meal_entry_week_2!$AD$300)</f>
        <v>0</v>
      </c>
      <c r="AF156" s="922">
        <f>IF(Meal_entry_week_2!$AD$399&lt;0,0,Meal_entry_week_2!$AD$399)</f>
        <v>0</v>
      </c>
      <c r="AG156" s="923">
        <f>IF(Meal_entry_week_2!$AD$498&lt;0,0,Meal_entry_week_2!$AD$498)</f>
        <v>0</v>
      </c>
    </row>
    <row r="157" spans="1:37" ht="15">
      <c r="A157" s="905"/>
      <c r="B157" s="770" t="s">
        <v>3886</v>
      </c>
      <c r="C157" s="873"/>
      <c r="D157" s="921">
        <f t="shared" si="18"/>
        <v>376.5510794069321</v>
      </c>
      <c r="E157" s="922">
        <f>Meal_entry_week_2!$AE$512</f>
        <v>0</v>
      </c>
      <c r="F157" s="941">
        <f>Meal_entry_week_2!$AE$522</f>
        <v>108.9248437503125</v>
      </c>
      <c r="G157" s="941">
        <f>Meal_entry_week_2!$AE$532</f>
        <v>267.6262356566196</v>
      </c>
      <c r="H157" s="942">
        <f>Meal_entry_week_2!$AE$542</f>
        <v>0</v>
      </c>
      <c r="I157" s="921">
        <f>Meal_entry_week_2!$AE$547</f>
        <v>421.47399999999999</v>
      </c>
      <c r="J157" s="922">
        <f>Meal_entry_week_2!$AE$548</f>
        <v>363.7056</v>
      </c>
      <c r="K157" s="922">
        <f>Meal_entry_week_2!$AE$549</f>
        <v>362.75740000000002</v>
      </c>
      <c r="L157" s="922">
        <f>Meal_entry_week_2!$AE$550</f>
        <v>507.61529999999999</v>
      </c>
      <c r="M157" s="923">
        <f>Meal_entry_week_2!$AE$551</f>
        <v>227.2068625454545</v>
      </c>
      <c r="N157" s="922">
        <f>IF(Meal_entry_week_2!$AE$32&lt;0,0,Meal_entry_week_2!$AE$32)</f>
        <v>0</v>
      </c>
      <c r="O157" s="922">
        <f>IF(Meal_entry_week_2!$AE$131&lt;0,0,Meal_entry_week_2!$AE$131)</f>
        <v>0</v>
      </c>
      <c r="P157" s="922">
        <f>IF(Meal_entry_week_2!$AE$230&lt;0,0,Meal_entry_week_2!$AE$230)</f>
        <v>0</v>
      </c>
      <c r="Q157" s="922">
        <f>IF(Meal_entry_week_2!$AE$329&lt;0,0,Meal_entry_week_2!$AE$329)</f>
        <v>0</v>
      </c>
      <c r="R157" s="922">
        <f>IF(Meal_entry_week_2!$AE$428&lt;0,0,Meal_entry_week_2!$AE$428)</f>
        <v>0</v>
      </c>
      <c r="S157" s="921">
        <f>IF(Meal_entry_week_2!$AE$51&lt;0,0,Meal_entry_week_2!$AE$51)</f>
        <v>206.28200000000001</v>
      </c>
      <c r="T157" s="922">
        <f>IF(Meal_entry_week_2!$AE$150&lt;0,0,Meal_entry_week_2!$AE$150)</f>
        <v>152.99760000000001</v>
      </c>
      <c r="U157" s="922">
        <f>IF(Meal_entry_week_2!$AE$249&lt;0,0,Meal_entry_week_2!$AE$249)</f>
        <v>143.69710000000001</v>
      </c>
      <c r="V157" s="922">
        <f>IF(Meal_entry_week_2!$AE$348&lt;0,0,Meal_entry_week_2!$AE$348)</f>
        <v>10.7972</v>
      </c>
      <c r="W157" s="923">
        <f>IF(Meal_entry_week_2!$AE$447&lt;0,0,Meal_entry_week_2!$AE$447)</f>
        <v>30.851408000000003</v>
      </c>
      <c r="X157" s="921">
        <f>IF(Meal_entry_week_2!$AE$83&lt;0,0,Meal_entry_week_2!$AE$83)</f>
        <v>215.19199999999998</v>
      </c>
      <c r="Y157" s="922">
        <f>IF(Meal_entry_week_2!$AE$182&lt;0,0,Meal_entry_week_2!$AE$182)</f>
        <v>210.708</v>
      </c>
      <c r="Z157" s="922">
        <f>IF(Meal_entry_week_2!$AE$281&lt;0,0,Meal_entry_week_2!$AE$281)</f>
        <v>219.06030000000001</v>
      </c>
      <c r="AA157" s="922">
        <f>IF(Meal_entry_week_2!$AE$380&lt;0,0,Meal_entry_week_2!$AE$380)</f>
        <v>496.81810000000002</v>
      </c>
      <c r="AB157" s="923">
        <f>IF(Meal_entry_week_2!$AE$479&lt;0,0,Meal_entry_week_2!$AE$479)</f>
        <v>196.35545454545451</v>
      </c>
      <c r="AC157" s="921">
        <f>IF(Meal_entry_week_2!$AE$102&lt;0,0,Meal_entry_week_2!$AE$102)</f>
        <v>0</v>
      </c>
      <c r="AD157" s="922">
        <f>IF(Meal_entry_week_2!$AE$201&lt;0,0,Meal_entry_week_2!$AE$201)</f>
        <v>0</v>
      </c>
      <c r="AE157" s="922">
        <f>IF(Meal_entry_week_2!$AE$300&lt;0,0,Meal_entry_week_2!$AE$300)</f>
        <v>0</v>
      </c>
      <c r="AF157" s="922">
        <f>IF(Meal_entry_week_2!$AE$399&lt;0,0,Meal_entry_week_2!$AE$399)</f>
        <v>0</v>
      </c>
      <c r="AG157" s="923">
        <f>IF(Meal_entry_week_2!$AE$498&lt;0,0,Meal_entry_week_2!$AE$498)</f>
        <v>0</v>
      </c>
    </row>
    <row r="158" spans="1:37" ht="15">
      <c r="A158" s="905"/>
      <c r="B158" s="770" t="s">
        <v>3887</v>
      </c>
      <c r="C158" s="873"/>
      <c r="D158" s="921">
        <f t="shared" si="18"/>
        <v>144.4684477003521</v>
      </c>
      <c r="E158" s="922">
        <f>Meal_entry_week_2!$AF$512</f>
        <v>0</v>
      </c>
      <c r="F158" s="941">
        <f>Meal_entry_week_2!$AF$522</f>
        <v>24.225169326817522</v>
      </c>
      <c r="G158" s="941">
        <f>Meal_entry_week_2!$AF$532</f>
        <v>120.24327837353459</v>
      </c>
      <c r="H158" s="942">
        <f>Meal_entry_week_2!$AF$542</f>
        <v>0</v>
      </c>
      <c r="I158" s="921">
        <f>Meal_entry_week_2!$AF$547</f>
        <v>136.41995337995337</v>
      </c>
      <c r="J158" s="922">
        <f>Meal_entry_week_2!$AF$548</f>
        <v>178.09642887854523</v>
      </c>
      <c r="K158" s="922">
        <f>Meal_entry_week_2!$AF$549</f>
        <v>167.20838608391608</v>
      </c>
      <c r="L158" s="922">
        <f>Meal_entry_week_2!$AF$550</f>
        <v>141.16560675990678</v>
      </c>
      <c r="M158" s="923">
        <f>Meal_entry_week_2!$AF$551</f>
        <v>99.453308083916085</v>
      </c>
      <c r="N158" s="922">
        <f>IF(Meal_entry_week_2!$AF$32&lt;0,0,Meal_entry_week_2!$AF$32)</f>
        <v>0</v>
      </c>
      <c r="O158" s="922">
        <f>IF(Meal_entry_week_2!$AF$131&lt;0,0,Meal_entry_week_2!$AF$131)</f>
        <v>0</v>
      </c>
      <c r="P158" s="922">
        <f>IF(Meal_entry_week_2!$AF$230&lt;0,0,Meal_entry_week_2!$AF$230)</f>
        <v>0</v>
      </c>
      <c r="Q158" s="922">
        <f>IF(Meal_entry_week_2!$AF$329&lt;0,0,Meal_entry_week_2!$AF$329)</f>
        <v>0</v>
      </c>
      <c r="R158" s="922">
        <f>IF(Meal_entry_week_2!$AF$428&lt;0,0,Meal_entry_week_2!$AF$428)</f>
        <v>0</v>
      </c>
      <c r="S158" s="921">
        <f>IF(Meal_entry_week_2!$AF$51&lt;0,0,Meal_entry_week_2!$AF$51)</f>
        <v>34.049999999999997</v>
      </c>
      <c r="T158" s="922">
        <f>IF(Meal_entry_week_2!$AF$150&lt;0,0,Meal_entry_week_2!$AF$150)</f>
        <v>44.497599999999998</v>
      </c>
      <c r="U158" s="922">
        <f>IF(Meal_entry_week_2!$AF$249&lt;0,0,Meal_entry_week_2!$AF$249)</f>
        <v>10.3971</v>
      </c>
      <c r="V158" s="922">
        <f>IF(Meal_entry_week_2!$AF$348&lt;0,0,Meal_entry_week_2!$AF$348)</f>
        <v>17.997199999999999</v>
      </c>
      <c r="W158" s="923">
        <f>IF(Meal_entry_week_2!$AF$447&lt;0,0,Meal_entry_week_2!$AF$447)</f>
        <v>14.184188885780886</v>
      </c>
      <c r="X158" s="921">
        <f>IF(Meal_entry_week_2!$AF$83&lt;0,0,Meal_entry_week_2!$AF$83)</f>
        <v>102.36995337995339</v>
      </c>
      <c r="Y158" s="922">
        <f>IF(Meal_entry_week_2!$AF$182&lt;0,0,Meal_entry_week_2!$AF$182)</f>
        <v>133.59882887854522</v>
      </c>
      <c r="Z158" s="922">
        <f>IF(Meal_entry_week_2!$AF$281&lt;0,0,Meal_entry_week_2!$AF$281)</f>
        <v>156.81128608391609</v>
      </c>
      <c r="AA158" s="922">
        <f>IF(Meal_entry_week_2!$AF$380&lt;0,0,Meal_entry_week_2!$AF$380)</f>
        <v>123.16840675990677</v>
      </c>
      <c r="AB158" s="923">
        <f>IF(Meal_entry_week_2!$AF$479&lt;0,0,Meal_entry_week_2!$AF$479)</f>
        <v>85.269119198135201</v>
      </c>
      <c r="AC158" s="921">
        <f>IF(Meal_entry_week_2!$AF$102&lt;0,0,Meal_entry_week_2!$AF$102)</f>
        <v>0</v>
      </c>
      <c r="AD158" s="922">
        <f>IF(Meal_entry_week_2!$AF$201&lt;0,0,Meal_entry_week_2!$AF$201)</f>
        <v>0</v>
      </c>
      <c r="AE158" s="922">
        <f>IF(Meal_entry_week_2!$AF$300&lt;0,0,Meal_entry_week_2!$AF$300)</f>
        <v>0</v>
      </c>
      <c r="AF158" s="922">
        <f>IF(Meal_entry_week_2!$AF$399&lt;0,0,Meal_entry_week_2!$AF$399)</f>
        <v>0</v>
      </c>
      <c r="AG158" s="923">
        <f>IF(Meal_entry_week_2!$AF$498&lt;0,0,Meal_entry_week_2!$AF$498)</f>
        <v>0</v>
      </c>
    </row>
    <row r="159" spans="1:37" ht="15">
      <c r="A159" s="905"/>
      <c r="B159" s="770" t="s">
        <v>3888</v>
      </c>
      <c r="C159" s="873"/>
      <c r="D159" s="921">
        <f t="shared" si="18"/>
        <v>492.37465059409067</v>
      </c>
      <c r="E159" s="922">
        <f>Meal_entry_week_2!$AG$512</f>
        <v>0</v>
      </c>
      <c r="F159" s="941">
        <f>Meal_entry_week_2!$AG$522</f>
        <v>120.72602014795969</v>
      </c>
      <c r="G159" s="941">
        <f>Meal_entry_week_2!$AG$532</f>
        <v>371.64863044613099</v>
      </c>
      <c r="H159" s="942">
        <f>Meal_entry_week_2!$AG$542</f>
        <v>0</v>
      </c>
      <c r="I159" s="921">
        <f>Meal_entry_week_2!$AG$547</f>
        <v>545.08799999999997</v>
      </c>
      <c r="J159" s="922">
        <f>Meal_entry_week_2!$AG$548</f>
        <v>605.12343017150488</v>
      </c>
      <c r="K159" s="922">
        <f>Meal_entry_week_2!$AG$549</f>
        <v>494.22350000000006</v>
      </c>
      <c r="L159" s="922">
        <f>Meal_entry_week_2!$AG$550</f>
        <v>416.88440000000003</v>
      </c>
      <c r="M159" s="923">
        <f>Meal_entry_week_2!$AG$551</f>
        <v>400.55884654545451</v>
      </c>
      <c r="N159" s="922">
        <f>IF(Meal_entry_week_2!$AG$32&lt;0,0,Meal_entry_week_2!$AG$32)</f>
        <v>0</v>
      </c>
      <c r="O159" s="922">
        <f>IF(Meal_entry_week_2!$AG$131&lt;0,0,Meal_entry_week_2!$AG$131)</f>
        <v>0</v>
      </c>
      <c r="P159" s="922">
        <f>IF(Meal_entry_week_2!$AG$230&lt;0,0,Meal_entry_week_2!$AG$230)</f>
        <v>0</v>
      </c>
      <c r="Q159" s="922">
        <f>IF(Meal_entry_week_2!$AG$329&lt;0,0,Meal_entry_week_2!$AG$329)</f>
        <v>0</v>
      </c>
      <c r="R159" s="922">
        <f>IF(Meal_entry_week_2!$AG$428&lt;0,0,Meal_entry_week_2!$AG$428)</f>
        <v>0</v>
      </c>
      <c r="S159" s="921">
        <f>IF(Meal_entry_week_2!$AG$51&lt;0,0,Meal_entry_week_2!$AG$51)</f>
        <v>195.8</v>
      </c>
      <c r="T159" s="922">
        <f>IF(Meal_entry_week_2!$AG$150&lt;0,0,Meal_entry_week_2!$AG$150)</f>
        <v>136.74760000000001</v>
      </c>
      <c r="U159" s="922">
        <f>IF(Meal_entry_week_2!$AG$249&lt;0,0,Meal_entry_week_2!$AG$249)</f>
        <v>112.8771</v>
      </c>
      <c r="V159" s="922">
        <f>IF(Meal_entry_week_2!$AG$348&lt;0,0,Meal_entry_week_2!$AG$348)</f>
        <v>88.997200000000007</v>
      </c>
      <c r="W159" s="923">
        <f>IF(Meal_entry_week_2!$AG$447&lt;0,0,Meal_entry_week_2!$AG$447)</f>
        <v>69.209407999999982</v>
      </c>
      <c r="X159" s="921">
        <f>IF(Meal_entry_week_2!$AG$83&lt;0,0,Meal_entry_week_2!$AG$83)</f>
        <v>349.2879999999999</v>
      </c>
      <c r="Y159" s="922">
        <f>IF(Meal_entry_week_2!$AG$182&lt;0,0,Meal_entry_week_2!$AG$182)</f>
        <v>468.3758301715049</v>
      </c>
      <c r="Z159" s="922">
        <f>IF(Meal_entry_week_2!$AG$281&lt;0,0,Meal_entry_week_2!$AG$281)</f>
        <v>381.34640000000007</v>
      </c>
      <c r="AA159" s="922">
        <f>IF(Meal_entry_week_2!$AG$380&lt;0,0,Meal_entry_week_2!$AG$380)</f>
        <v>327.88720000000001</v>
      </c>
      <c r="AB159" s="923">
        <f>IF(Meal_entry_week_2!$AG$479&lt;0,0,Meal_entry_week_2!$AG$479)</f>
        <v>331.34943854545452</v>
      </c>
      <c r="AC159" s="921">
        <f>IF(Meal_entry_week_2!$AG$102&lt;0,0,Meal_entry_week_2!$AG$102)</f>
        <v>0</v>
      </c>
      <c r="AD159" s="922">
        <f>IF(Meal_entry_week_2!$AG$201&lt;0,0,Meal_entry_week_2!$AG$201)</f>
        <v>0</v>
      </c>
      <c r="AE159" s="922">
        <f>IF(Meal_entry_week_2!$AG$300&lt;0,0,Meal_entry_week_2!$AG$300)</f>
        <v>0</v>
      </c>
      <c r="AF159" s="922">
        <f>IF(Meal_entry_week_2!$AG$399&lt;0,0,Meal_entry_week_2!$AG$399)</f>
        <v>0</v>
      </c>
      <c r="AG159" s="923">
        <f>IF(Meal_entry_week_2!$AG$498&lt;0,0,Meal_entry_week_2!$AG$498)</f>
        <v>0</v>
      </c>
    </row>
    <row r="160" spans="1:37" ht="15">
      <c r="A160" s="905"/>
      <c r="B160" s="770" t="s">
        <v>3889</v>
      </c>
      <c r="C160" s="873"/>
      <c r="D160" s="921">
        <f t="shared" si="18"/>
        <v>5.5152317665813637</v>
      </c>
      <c r="E160" s="922">
        <f>Meal_entry_week_2!$AH$512</f>
        <v>0</v>
      </c>
      <c r="F160" s="941">
        <f>Meal_entry_week_2!$AH$522</f>
        <v>0.40235472930148031</v>
      </c>
      <c r="G160" s="941">
        <f>Meal_entry_week_2!$AH$532</f>
        <v>5.1128770372798833</v>
      </c>
      <c r="H160" s="942">
        <f>Meal_entry_week_2!$AH$542</f>
        <v>0</v>
      </c>
      <c r="I160" s="921">
        <f>Meal_entry_week_2!$AH$547</f>
        <v>4.6821086791651174</v>
      </c>
      <c r="J160" s="922">
        <f>Meal_entry_week_2!$AH$548</f>
        <v>5.3919242694449858</v>
      </c>
      <c r="K160" s="922">
        <f>Meal_entry_week_2!$AH$549</f>
        <v>6.5969049770173003</v>
      </c>
      <c r="L160" s="922">
        <f>Meal_entry_week_2!$AH$550</f>
        <v>6.9367698391102701</v>
      </c>
      <c r="M160" s="923">
        <f>Meal_entry_week_2!$AH$551</f>
        <v>3.9685062204868102</v>
      </c>
      <c r="N160" s="922">
        <f>IF(Meal_entry_week_2!$AH$32&lt;0,0,Meal_entry_week_2!$AH$32)</f>
        <v>0</v>
      </c>
      <c r="O160" s="922">
        <f>IF(Meal_entry_week_2!$AH$131&lt;0,0,Meal_entry_week_2!$AH$131)</f>
        <v>0</v>
      </c>
      <c r="P160" s="922">
        <f>IF(Meal_entry_week_2!$AH$230&lt;0,0,Meal_entry_week_2!$AH$230)</f>
        <v>0</v>
      </c>
      <c r="Q160" s="922">
        <f>IF(Meal_entry_week_2!$AH$329&lt;0,0,Meal_entry_week_2!$AH$329)</f>
        <v>0</v>
      </c>
      <c r="R160" s="922">
        <f>IF(Meal_entry_week_2!$AH$428&lt;0,0,Meal_entry_week_2!$AH$428)</f>
        <v>0</v>
      </c>
      <c r="S160" s="921">
        <f>IF(Meal_entry_week_2!$AH$51&lt;0,0,Meal_entry_week_2!$AH$51)</f>
        <v>0.63300000000000001</v>
      </c>
      <c r="T160" s="922">
        <f>IF(Meal_entry_week_2!$AH$150&lt;0,0,Meal_entry_week_2!$AH$150)</f>
        <v>0.43748803358992305</v>
      </c>
      <c r="U160" s="922">
        <f>IF(Meal_entry_week_2!$AH$249&lt;0,0,Meal_entry_week_2!$AH$249)</f>
        <v>0.19109999999999999</v>
      </c>
      <c r="V160" s="922">
        <f>IF(Meal_entry_week_2!$AH$348&lt;0,0,Meal_entry_week_2!$AH$348)</f>
        <v>0.2402</v>
      </c>
      <c r="W160" s="923">
        <f>IF(Meal_entry_week_2!$AH$447&lt;0,0,Meal_entry_week_2!$AH$447)</f>
        <v>0.50998963646477147</v>
      </c>
      <c r="X160" s="921">
        <f>IF(Meal_entry_week_2!$AH$83&lt;0,0,Meal_entry_week_2!$AH$83)</f>
        <v>4.0491086791651174</v>
      </c>
      <c r="Y160" s="922">
        <f>IF(Meal_entry_week_2!$AH$182&lt;0,0,Meal_entry_week_2!$AH$182)</f>
        <v>4.9544362358550629</v>
      </c>
      <c r="Z160" s="922">
        <f>IF(Meal_entry_week_2!$AH$281&lt;0,0,Meal_entry_week_2!$AH$281)</f>
        <v>6.4058049770173007</v>
      </c>
      <c r="AA160" s="922">
        <f>IF(Meal_entry_week_2!$AH$380&lt;0,0,Meal_entry_week_2!$AH$380)</f>
        <v>6.6965698391102704</v>
      </c>
      <c r="AB160" s="923">
        <f>IF(Meal_entry_week_2!$AH$479&lt;0,0,Meal_entry_week_2!$AH$479)</f>
        <v>3.4585165840220387</v>
      </c>
      <c r="AC160" s="921">
        <f>IF(Meal_entry_week_2!$AH$102&lt;0,0,Meal_entry_week_2!$AH$102)</f>
        <v>0</v>
      </c>
      <c r="AD160" s="922">
        <f>IF(Meal_entry_week_2!$AH$201&lt;0,0,Meal_entry_week_2!$AH$201)</f>
        <v>0</v>
      </c>
      <c r="AE160" s="922">
        <f>IF(Meal_entry_week_2!$AH$300&lt;0,0,Meal_entry_week_2!$AH$300)</f>
        <v>0</v>
      </c>
      <c r="AF160" s="922">
        <f>IF(Meal_entry_week_2!$AH$399&lt;0,0,Meal_entry_week_2!$AH$399)</f>
        <v>0</v>
      </c>
      <c r="AG160" s="923">
        <f>IF(Meal_entry_week_2!$AH$498&lt;0,0,Meal_entry_week_2!$AH$498)</f>
        <v>0</v>
      </c>
    </row>
    <row r="161" spans="1:34" ht="15">
      <c r="A161" s="905"/>
      <c r="B161" s="770" t="s">
        <v>3890</v>
      </c>
      <c r="C161" s="873"/>
      <c r="D161" s="921">
        <f t="shared" si="18"/>
        <v>6.1485990389011995</v>
      </c>
      <c r="E161" s="922">
        <f>Meal_entry_week_2!$AI$512</f>
        <v>0</v>
      </c>
      <c r="F161" s="941">
        <f>Meal_entry_week_2!$AI$522</f>
        <v>0.75166739643697411</v>
      </c>
      <c r="G161" s="941">
        <f>Meal_entry_week_2!$AI$532</f>
        <v>5.3969316424642253</v>
      </c>
      <c r="H161" s="942">
        <f>Meal_entry_week_2!$AI$542</f>
        <v>0</v>
      </c>
      <c r="I161" s="921">
        <f>Meal_entry_week_2!$AI$547</f>
        <v>6.031772669350234</v>
      </c>
      <c r="J161" s="922">
        <f>Meal_entry_week_2!$AI$548</f>
        <v>5.7045546996080034</v>
      </c>
      <c r="K161" s="922">
        <f>Meal_entry_week_2!$AI$549</f>
        <v>7.1866788346515644</v>
      </c>
      <c r="L161" s="922">
        <f>Meal_entry_week_2!$AI$550</f>
        <v>6.2056757288292008</v>
      </c>
      <c r="M161" s="923">
        <f>Meal_entry_week_2!$AI$551</f>
        <v>5.6143747480573838</v>
      </c>
      <c r="N161" s="922">
        <f>IF(Meal_entry_week_2!$AI$32&lt;0,0,Meal_entry_week_2!$AI$32)</f>
        <v>0</v>
      </c>
      <c r="O161" s="922">
        <f>IF(Meal_entry_week_2!$AI$131&lt;0,0,Meal_entry_week_2!$AI$131)</f>
        <v>0</v>
      </c>
      <c r="P161" s="922">
        <f>IF(Meal_entry_week_2!$AI$230&lt;0,0,Meal_entry_week_2!$AI$230)</f>
        <v>0</v>
      </c>
      <c r="Q161" s="922">
        <f>IF(Meal_entry_week_2!$AI$329&lt;0,0,Meal_entry_week_2!$AI$329)</f>
        <v>0</v>
      </c>
      <c r="R161" s="922">
        <f>IF(Meal_entry_week_2!$AI$428&lt;0,0,Meal_entry_week_2!$AI$428)</f>
        <v>0</v>
      </c>
      <c r="S161" s="921">
        <f>IF(Meal_entry_week_2!$AI$51&lt;0,0,Meal_entry_week_2!$AI$51)</f>
        <v>1.2119701213818863</v>
      </c>
      <c r="T161" s="922">
        <f>IF(Meal_entry_week_2!$AI$150&lt;0,0,Meal_entry_week_2!$AI$150)</f>
        <v>0.80776794961511555</v>
      </c>
      <c r="U161" s="922">
        <f>IF(Meal_entry_week_2!$AI$249&lt;0,0,Meal_entry_week_2!$AI$249)</f>
        <v>0.85709999999999997</v>
      </c>
      <c r="V161" s="922">
        <f>IF(Meal_entry_week_2!$AI$348&lt;0,0,Meal_entry_week_2!$AI$348)</f>
        <v>0.45020000000000004</v>
      </c>
      <c r="W161" s="923">
        <f>IF(Meal_entry_week_2!$AI$447&lt;0,0,Meal_entry_week_2!$AI$447)</f>
        <v>0.43130642786183299</v>
      </c>
      <c r="X161" s="921">
        <f>IF(Meal_entry_week_2!$AI$83&lt;0,0,Meal_entry_week_2!$AI$83)</f>
        <v>4.8198025479683482</v>
      </c>
      <c r="Y161" s="922">
        <f>IF(Meal_entry_week_2!$AI$182&lt;0,0,Meal_entry_week_2!$AI$182)</f>
        <v>4.8967867499928879</v>
      </c>
      <c r="Z161" s="922">
        <f>IF(Meal_entry_week_2!$AI$281&lt;0,0,Meal_entry_week_2!$AI$281)</f>
        <v>6.3295788346515645</v>
      </c>
      <c r="AA161" s="922">
        <f>IF(Meal_entry_week_2!$AI$380&lt;0,0,Meal_entry_week_2!$AI$380)</f>
        <v>5.7554757288292011</v>
      </c>
      <c r="AB161" s="923">
        <f>IF(Meal_entry_week_2!$AI$479&lt;0,0,Meal_entry_week_2!$AI$479)</f>
        <v>5.1830683201955505</v>
      </c>
      <c r="AC161" s="921">
        <f>IF(Meal_entry_week_2!$AI$102&lt;0,0,Meal_entry_week_2!$AI$102)</f>
        <v>0</v>
      </c>
      <c r="AD161" s="922">
        <f>IF(Meal_entry_week_2!$AI$201&lt;0,0,Meal_entry_week_2!$AI$201)</f>
        <v>0</v>
      </c>
      <c r="AE161" s="922">
        <f>IF(Meal_entry_week_2!$AI$300&lt;0,0,Meal_entry_week_2!$AI$300)</f>
        <v>0</v>
      </c>
      <c r="AF161" s="922">
        <f>IF(Meal_entry_week_2!$AI$399&lt;0,0,Meal_entry_week_2!$AI$399)</f>
        <v>0</v>
      </c>
      <c r="AG161" s="923">
        <f>IF(Meal_entry_week_2!$AI$498&lt;0,0,Meal_entry_week_2!$AI$498)</f>
        <v>0</v>
      </c>
    </row>
    <row r="162" spans="1:34" ht="15">
      <c r="A162" s="905"/>
      <c r="B162" s="770" t="s">
        <v>3891</v>
      </c>
      <c r="C162" s="873"/>
      <c r="D162" s="921">
        <f t="shared" si="18"/>
        <v>0.85720903250468339</v>
      </c>
      <c r="E162" s="922">
        <f>Meal_entry_week_2!$AJ$512</f>
        <v>0</v>
      </c>
      <c r="F162" s="941">
        <f>Meal_entry_week_2!$AJ$522</f>
        <v>0.13389019990790527</v>
      </c>
      <c r="G162" s="941">
        <f>Meal_entry_week_2!$AJ$532</f>
        <v>0.72331883259677809</v>
      </c>
      <c r="H162" s="942">
        <f>Meal_entry_week_2!$AJ$542</f>
        <v>0</v>
      </c>
      <c r="I162" s="921">
        <f>Meal_entry_week_2!$AJ$547</f>
        <v>0.80562753992047176</v>
      </c>
      <c r="J162" s="922">
        <f>Meal_entry_week_2!$AJ$548</f>
        <v>0.92169464996996986</v>
      </c>
      <c r="K162" s="922">
        <f>Meal_entry_week_2!$AJ$549</f>
        <v>0.9622713292882944</v>
      </c>
      <c r="L162" s="922">
        <f>Meal_entry_week_2!$AJ$550</f>
        <v>0.79447714870679342</v>
      </c>
      <c r="M162" s="923">
        <f>Meal_entry_week_2!$AJ$551</f>
        <v>0.80198306672821185</v>
      </c>
      <c r="N162" s="922">
        <f>IF(Meal_entry_week_2!$AJ$32&lt;0,0,Meal_entry_week_2!$AJ$32)</f>
        <v>0</v>
      </c>
      <c r="O162" s="922">
        <f>IF(Meal_entry_week_2!$AJ$131&lt;0,0,Meal_entry_week_2!$AJ$131)</f>
        <v>0</v>
      </c>
      <c r="P162" s="922">
        <f>IF(Meal_entry_week_2!$AJ$230&lt;0,0,Meal_entry_week_2!$AJ$230)</f>
        <v>0</v>
      </c>
      <c r="Q162" s="922">
        <f>IF(Meal_entry_week_2!$AJ$329&lt;0,0,Meal_entry_week_2!$AJ$329)</f>
        <v>0</v>
      </c>
      <c r="R162" s="922">
        <f>IF(Meal_entry_week_2!$AJ$428&lt;0,0,Meal_entry_week_2!$AJ$428)</f>
        <v>0</v>
      </c>
      <c r="S162" s="921">
        <f>IF(Meal_entry_week_2!$AJ$51&lt;0,0,Meal_entry_week_2!$AJ$51)</f>
        <v>0.11120224089635855</v>
      </c>
      <c r="T162" s="922">
        <f>IF(Meal_entry_week_2!$AJ$150&lt;0,0,Meal_entry_week_2!$AJ$150)</f>
        <v>9.6600000000000002E-3</v>
      </c>
      <c r="U162" s="922">
        <f>IF(Meal_entry_week_2!$AJ$249&lt;0,0,Meal_entry_week_2!$AJ$249)</f>
        <v>0.18481999999999998</v>
      </c>
      <c r="V162" s="922">
        <f>IF(Meal_entry_week_2!$AJ$348&lt;0,0,Meal_entry_week_2!$AJ$348)</f>
        <v>0.12472</v>
      </c>
      <c r="W162" s="923">
        <f>IF(Meal_entry_week_2!$AJ$447&lt;0,0,Meal_entry_week_2!$AJ$447)</f>
        <v>0.23905009754516673</v>
      </c>
      <c r="X162" s="921">
        <f>IF(Meal_entry_week_2!$AJ$83&lt;0,0,Meal_entry_week_2!$AJ$83)</f>
        <v>0.69442529902411321</v>
      </c>
      <c r="Y162" s="922">
        <f>IF(Meal_entry_week_2!$AJ$182&lt;0,0,Meal_entry_week_2!$AJ$182)</f>
        <v>0.91203464996996986</v>
      </c>
      <c r="Z162" s="922">
        <f>IF(Meal_entry_week_2!$AJ$281&lt;0,0,Meal_entry_week_2!$AJ$281)</f>
        <v>0.77745132928829441</v>
      </c>
      <c r="AA162" s="922">
        <f>IF(Meal_entry_week_2!$AJ$380&lt;0,0,Meal_entry_week_2!$AJ$380)</f>
        <v>0.66975714870679348</v>
      </c>
      <c r="AB162" s="923">
        <f>IF(Meal_entry_week_2!$AJ$479&lt;0,0,Meal_entry_week_2!$AJ$479)</f>
        <v>0.56293296918304514</v>
      </c>
      <c r="AC162" s="921">
        <f>IF(Meal_entry_week_2!$AJ$102&lt;0,0,Meal_entry_week_2!$AJ$102)</f>
        <v>0</v>
      </c>
      <c r="AD162" s="922">
        <f>IF(Meal_entry_week_2!$AJ$201&lt;0,0,Meal_entry_week_2!$AJ$201)</f>
        <v>0</v>
      </c>
      <c r="AE162" s="922">
        <f>IF(Meal_entry_week_2!$AJ$300&lt;0,0,Meal_entry_week_2!$AJ$300)</f>
        <v>0</v>
      </c>
      <c r="AF162" s="922">
        <f>IF(Meal_entry_week_2!$AJ$399&lt;0,0,Meal_entry_week_2!$AJ$399)</f>
        <v>0</v>
      </c>
      <c r="AG162" s="923">
        <f>IF(Meal_entry_week_2!$AJ$498&lt;0,0,Meal_entry_week_2!$AJ$498)</f>
        <v>0</v>
      </c>
    </row>
    <row r="163" spans="1:34" ht="15">
      <c r="A163" s="905"/>
      <c r="B163" s="770" t="s">
        <v>2990</v>
      </c>
      <c r="C163" s="873"/>
      <c r="D163" s="921">
        <f>SUM(E163:H163)</f>
        <v>555.65264234008953</v>
      </c>
      <c r="E163" s="922">
        <f>Meal_entry_week_2!$AK$512</f>
        <v>0</v>
      </c>
      <c r="F163" s="941">
        <f>Meal_entry_week_2!$AK$522</f>
        <v>47.37696684606631</v>
      </c>
      <c r="G163" s="941">
        <f>Meal_entry_week_2!$AK$532</f>
        <v>508.27567549402318</v>
      </c>
      <c r="H163" s="942">
        <f>Meal_entry_week_2!$AK$542</f>
        <v>0</v>
      </c>
      <c r="I163" s="921">
        <f>Meal_entry_week_2!$AK$547</f>
        <v>746.54</v>
      </c>
      <c r="J163" s="922">
        <f>Meal_entry_week_2!$AK$548</f>
        <v>467.00160768234912</v>
      </c>
      <c r="K163" s="922">
        <f>Meal_entry_week_2!$AK$549</f>
        <v>286.99911399906671</v>
      </c>
      <c r="L163" s="922">
        <f>Meal_entry_week_2!$AK$550</f>
        <v>993.5471500000001</v>
      </c>
      <c r="M163" s="923">
        <f>Meal_entry_week_2!$AK$551</f>
        <v>284.18089654545452</v>
      </c>
      <c r="N163" s="922">
        <f>IF(Meal_entry_week_2!$AK$32&lt;0,0,Meal_entry_week_2!$AK$32)</f>
        <v>0</v>
      </c>
      <c r="O163" s="922">
        <f>IF(Meal_entry_week_2!$AK$131&lt;0,0,Meal_entry_week_2!$AK$131)</f>
        <v>0</v>
      </c>
      <c r="P163" s="922">
        <f>IF(Meal_entry_week_2!$AK$230&lt;0,0,Meal_entry_week_2!$AK$230)</f>
        <v>0</v>
      </c>
      <c r="Q163" s="922">
        <f>IF(Meal_entry_week_2!$AK$329&lt;0,0,Meal_entry_week_2!$AK$329)</f>
        <v>0</v>
      </c>
      <c r="R163" s="922">
        <f>IF(Meal_entry_week_2!$AK$428&lt;0,0,Meal_entry_week_2!$AK$428)</f>
        <v>0</v>
      </c>
      <c r="S163" s="921">
        <f>IF(Meal_entry_week_2!$AK$51&lt;0,0,Meal_entry_week_2!$AK$51)</f>
        <v>66.239999999999995</v>
      </c>
      <c r="T163" s="922">
        <f>IF(Meal_entry_week_2!$AK$150&lt;0,0,Meal_entry_week_2!$AK$150)</f>
        <v>125.99760000000001</v>
      </c>
      <c r="U163" s="922">
        <f>IF(Meal_entry_week_2!$AK$249&lt;0,0,Meal_entry_week_2!$AK$249)</f>
        <v>10.0291</v>
      </c>
      <c r="V163" s="922">
        <f>IF(Meal_entry_week_2!$AK$348&lt;0,0,Meal_entry_week_2!$AK$348)</f>
        <v>25.997199999999999</v>
      </c>
      <c r="W163" s="923">
        <f>IF(Meal_entry_week_2!$AK$447&lt;0,0,Meal_entry_week_2!$AK$447)</f>
        <v>8.6214079999999971</v>
      </c>
      <c r="X163" s="921">
        <f>IF(Meal_entry_week_2!$AK$83&lt;0,0,Meal_entry_week_2!$AK$83)</f>
        <v>680.3</v>
      </c>
      <c r="Y163" s="922">
        <f>IF(Meal_entry_week_2!$AK$182&lt;0,0,Meal_entry_week_2!$AK$182)</f>
        <v>341.00400768234908</v>
      </c>
      <c r="Z163" s="922">
        <f>IF(Meal_entry_week_2!$AK$281&lt;0,0,Meal_entry_week_2!$AK$281)</f>
        <v>276.97001399906668</v>
      </c>
      <c r="AA163" s="922">
        <f>IF(Meal_entry_week_2!$AK$380&lt;0,0,Meal_entry_week_2!$AK$380)</f>
        <v>967.54995000000008</v>
      </c>
      <c r="AB163" s="923">
        <f>IF(Meal_entry_week_2!$AK$479&lt;0,0,Meal_entry_week_2!$AK$479)</f>
        <v>275.55948854545454</v>
      </c>
      <c r="AC163" s="921">
        <f>IF(Meal_entry_week_2!$AK$102&lt;0,0,Meal_entry_week_2!$AK$102)</f>
        <v>0</v>
      </c>
      <c r="AD163" s="922">
        <f>IF(Meal_entry_week_2!$AK$201&lt;0,0,Meal_entry_week_2!$AK$201)</f>
        <v>0</v>
      </c>
      <c r="AE163" s="922">
        <f>IF(Meal_entry_week_2!$AK$300&lt;0,0,Meal_entry_week_2!$AK$300)</f>
        <v>0</v>
      </c>
      <c r="AF163" s="922">
        <f>IF(Meal_entry_week_2!$AK$399&lt;0,0,Meal_entry_week_2!$AK$399)</f>
        <v>0</v>
      </c>
      <c r="AG163" s="923">
        <f>IF(Meal_entry_week_2!$AK$498&lt;0,0,Meal_entry_week_2!$AK$498)</f>
        <v>0</v>
      </c>
    </row>
    <row r="164" spans="1:34" ht="15">
      <c r="A164" s="905"/>
      <c r="B164" s="770" t="s">
        <v>3892</v>
      </c>
      <c r="C164" s="873"/>
      <c r="D164" s="921">
        <f t="shared" si="18"/>
        <v>0.64975373240874723</v>
      </c>
      <c r="E164" s="922">
        <f>Meal_entry_week_2!$AL$512</f>
        <v>0</v>
      </c>
      <c r="F164" s="941">
        <f>Meal_entry_week_2!$AL$522</f>
        <v>5.700139684419081E-2</v>
      </c>
      <c r="G164" s="941">
        <f>Meal_entry_week_2!$AL$532</f>
        <v>0.59275233556455642</v>
      </c>
      <c r="H164" s="942">
        <f>Meal_entry_week_2!$AL$542</f>
        <v>0</v>
      </c>
      <c r="I164" s="921">
        <f>Meal_entry_week_2!$AL$547</f>
        <v>0.7932990218756909</v>
      </c>
      <c r="J164" s="922">
        <f>Meal_entry_week_2!$AL$548</f>
        <v>0.58771211394831591</v>
      </c>
      <c r="K164" s="922">
        <f>Meal_entry_week_2!$AL$549</f>
        <v>0.68454768996057413</v>
      </c>
      <c r="L164" s="922">
        <f>Meal_entry_week_2!$AL$550</f>
        <v>0.67960003879571085</v>
      </c>
      <c r="M164" s="923">
        <f>Meal_entry_week_2!$AL$551</f>
        <v>0.50361629500076843</v>
      </c>
      <c r="N164" s="922">
        <f>IF(Meal_entry_week_2!$AL$32&lt;0,0,Meal_entry_week_2!$AL$32)</f>
        <v>0</v>
      </c>
      <c r="O164" s="922">
        <f>IF(Meal_entry_week_2!$AL$131&lt;0,0,Meal_entry_week_2!$AL$131)</f>
        <v>0</v>
      </c>
      <c r="P164" s="922">
        <f>IF(Meal_entry_week_2!$AL$230&lt;0,0,Meal_entry_week_2!$AL$230)</f>
        <v>0</v>
      </c>
      <c r="Q164" s="922">
        <f>IF(Meal_entry_week_2!$AL$329&lt;0,0,Meal_entry_week_2!$AL$329)</f>
        <v>0</v>
      </c>
      <c r="R164" s="922">
        <f>IF(Meal_entry_week_2!$AL$428&lt;0,0,Meal_entry_week_2!$AL$428)</f>
        <v>0</v>
      </c>
      <c r="S164" s="921">
        <f>IF(Meal_entry_week_2!$AL$51&lt;0,0,Meal_entry_week_2!$AL$51)</f>
        <v>8.8902240896358536E-2</v>
      </c>
      <c r="T164" s="922">
        <f>IF(Meal_entry_week_2!$AL$150&lt;0,0,Meal_entry_week_2!$AL$150)</f>
        <v>6.2488033589923032E-2</v>
      </c>
      <c r="U164" s="922">
        <f>IF(Meal_entry_week_2!$AL$249&lt;0,0,Meal_entry_week_2!$AL$249)</f>
        <v>1.9100000000000002E-2</v>
      </c>
      <c r="V164" s="922">
        <f>IF(Meal_entry_week_2!$AL$348&lt;0,0,Meal_entry_week_2!$AL$348)</f>
        <v>3.7000000000000005E-2</v>
      </c>
      <c r="W164" s="923">
        <f>IF(Meal_entry_week_2!$AL$447&lt;0,0,Meal_entry_week_2!$AL$447)</f>
        <v>7.751727974864088E-2</v>
      </c>
      <c r="X164" s="921">
        <f>IF(Meal_entry_week_2!$AL$83&lt;0,0,Meal_entry_week_2!$AL$83)</f>
        <v>0.70439678097933234</v>
      </c>
      <c r="Y164" s="922">
        <f>IF(Meal_entry_week_2!$AL$182&lt;0,0,Meal_entry_week_2!$AL$182)</f>
        <v>0.52522408035839285</v>
      </c>
      <c r="Z164" s="922">
        <f>IF(Meal_entry_week_2!$AL$281&lt;0,0,Meal_entry_week_2!$AL$281)</f>
        <v>0.66544768996057413</v>
      </c>
      <c r="AA164" s="922">
        <f>IF(Meal_entry_week_2!$AL$380&lt;0,0,Meal_entry_week_2!$AL$380)</f>
        <v>0.64260003879571082</v>
      </c>
      <c r="AB164" s="923">
        <f>IF(Meal_entry_week_2!$AL$479&lt;0,0,Meal_entry_week_2!$AL$479)</f>
        <v>0.42609901525212757</v>
      </c>
      <c r="AC164" s="921">
        <f>IF(Meal_entry_week_2!$AL$102&lt;0,0,Meal_entry_week_2!$AL$102)</f>
        <v>0</v>
      </c>
      <c r="AD164" s="922">
        <f>IF(Meal_entry_week_2!$AL$201&lt;0,0,Meal_entry_week_2!$AL$201)</f>
        <v>0</v>
      </c>
      <c r="AE164" s="922">
        <f>IF(Meal_entry_week_2!$AL$300&lt;0,0,Meal_entry_week_2!$AL$300)</f>
        <v>0</v>
      </c>
      <c r="AF164" s="922">
        <f>IF(Meal_entry_week_2!$AL$399&lt;0,0,Meal_entry_week_2!$AL$399)</f>
        <v>0</v>
      </c>
      <c r="AG164" s="923">
        <f>IF(Meal_entry_week_2!$AL$498&lt;0,0,Meal_entry_week_2!$AL$498)</f>
        <v>0</v>
      </c>
    </row>
    <row r="165" spans="1:34">
      <c r="A165" s="905"/>
      <c r="B165" s="1287" t="s">
        <v>2985</v>
      </c>
      <c r="C165" s="873"/>
      <c r="D165" s="921">
        <f t="shared" si="18"/>
        <v>0.61755307126273451</v>
      </c>
      <c r="E165" s="922">
        <f>Meal_entry_week_2!$AM$512</f>
        <v>0</v>
      </c>
      <c r="F165" s="941">
        <f>Meal_entry_week_2!$AM$522</f>
        <v>0.14764375767777022</v>
      </c>
      <c r="G165" s="941">
        <f>Meal_entry_week_2!$AM$532</f>
        <v>0.46990931358496429</v>
      </c>
      <c r="H165" s="942">
        <f>Meal_entry_week_2!$AM$542</f>
        <v>0</v>
      </c>
      <c r="I165" s="921">
        <f>Meal_entry_week_2!$AM$547</f>
        <v>0.74327046184264556</v>
      </c>
      <c r="J165" s="922">
        <f>Meal_entry_week_2!$AM$548</f>
        <v>0.55048869862230043</v>
      </c>
      <c r="K165" s="922">
        <f>Meal_entry_week_2!$AM$549</f>
        <v>0.44434042117662031</v>
      </c>
      <c r="L165" s="922">
        <f>Meal_entry_week_2!$AM$550</f>
        <v>0.89999210251281292</v>
      </c>
      <c r="M165" s="923">
        <f>Meal_entry_week_2!$AM$551</f>
        <v>0.44967984769000541</v>
      </c>
      <c r="N165" s="922">
        <f>IF(Meal_entry_week_2!$AM$32&lt;0,0,Meal_entry_week_2!$AM$32)</f>
        <v>0</v>
      </c>
      <c r="O165" s="922">
        <f>IF(Meal_entry_week_2!$AM$131&lt;0,0,Meal_entry_week_2!$AM$131)</f>
        <v>0</v>
      </c>
      <c r="P165" s="922">
        <f>IF(Meal_entry_week_2!$AM$230&lt;0,0,Meal_entry_week_2!$AM$230)</f>
        <v>0</v>
      </c>
      <c r="Q165" s="922">
        <f>IF(Meal_entry_week_2!$AM$329&lt;0,0,Meal_entry_week_2!$AM$329)</f>
        <v>0</v>
      </c>
      <c r="R165" s="922">
        <f>IF(Meal_entry_week_2!$AM$428&lt;0,0,Meal_entry_week_2!$AM$428)</f>
        <v>0</v>
      </c>
      <c r="S165" s="921">
        <f>IF(Meal_entry_week_2!$AM$51&lt;0,0,Meal_entry_week_2!$AM$51)</f>
        <v>0.25850373482726424</v>
      </c>
      <c r="T165" s="922">
        <f>IF(Meal_entry_week_2!$AM$150&lt;0,0,Meal_entry_week_2!$AM$150)</f>
        <v>0.18755801259622115</v>
      </c>
      <c r="U165" s="922">
        <f>IF(Meal_entry_week_2!$AM$249&lt;0,0,Meal_entry_week_2!$AM$249)</f>
        <v>7.51E-2</v>
      </c>
      <c r="V165" s="922">
        <f>IF(Meal_entry_week_2!$AM$348&lt;0,0,Meal_entry_week_2!$AM$348)</f>
        <v>0.16620000000000001</v>
      </c>
      <c r="W165" s="923">
        <f>IF(Meal_entry_week_2!$AM$447&lt;0,0,Meal_entry_week_2!$AM$447)</f>
        <v>5.0858517402942484E-2</v>
      </c>
      <c r="X165" s="921">
        <f>IF(Meal_entry_week_2!$AM$83&lt;0,0,Meal_entry_week_2!$AM$83)</f>
        <v>0.48476672701538137</v>
      </c>
      <c r="Y165" s="922">
        <f>IF(Meal_entry_week_2!$AM$182&lt;0,0,Meal_entry_week_2!$AM$182)</f>
        <v>0.36293068602607925</v>
      </c>
      <c r="Z165" s="922">
        <f>IF(Meal_entry_week_2!$AM$281&lt;0,0,Meal_entry_week_2!$AM$281)</f>
        <v>0.36924042117662031</v>
      </c>
      <c r="AA165" s="922">
        <f>IF(Meal_entry_week_2!$AM$380&lt;0,0,Meal_entry_week_2!$AM$380)</f>
        <v>0.7337921025128129</v>
      </c>
      <c r="AB165" s="923">
        <f>IF(Meal_entry_week_2!$AM$479&lt;0,0,Meal_entry_week_2!$AM$479)</f>
        <v>0.3988213302870629</v>
      </c>
      <c r="AC165" s="921">
        <f>IF(Meal_entry_week_2!$AM$102&lt;0,0,Meal_entry_week_2!$AM$102)</f>
        <v>0</v>
      </c>
      <c r="AD165" s="922">
        <f>IF(Meal_entry_week_2!$AM$201&lt;0,0,Meal_entry_week_2!$AM$201)</f>
        <v>0</v>
      </c>
      <c r="AE165" s="922">
        <f>IF(Meal_entry_week_2!$AM$300&lt;0,0,Meal_entry_week_2!$AM$300)</f>
        <v>0</v>
      </c>
      <c r="AF165" s="922">
        <f>IF(Meal_entry_week_2!$AM$399&lt;0,0,Meal_entry_week_2!$AM$399)</f>
        <v>0</v>
      </c>
      <c r="AG165" s="923">
        <f>IF(Meal_entry_week_2!$AM$498&lt;0,0,Meal_entry_week_2!$AM$498)</f>
        <v>0</v>
      </c>
    </row>
    <row r="166" spans="1:34" ht="15">
      <c r="A166" s="905"/>
      <c r="B166" s="770" t="s">
        <v>3893</v>
      </c>
      <c r="C166" s="873"/>
      <c r="D166" s="921">
        <f t="shared" si="18"/>
        <v>9.3374619230606921</v>
      </c>
      <c r="E166" s="922">
        <f>Meal_entry_week_2!$AN$512</f>
        <v>0</v>
      </c>
      <c r="F166" s="941">
        <f>Meal_entry_week_2!$AN$522</f>
        <v>0.75862469422552659</v>
      </c>
      <c r="G166" s="941">
        <f>Meal_entry_week_2!$AN$532</f>
        <v>8.578837228835166</v>
      </c>
      <c r="H166" s="942">
        <f>Meal_entry_week_2!$AN$542</f>
        <v>0</v>
      </c>
      <c r="I166" s="921">
        <f>Meal_entry_week_2!$AN$547</f>
        <v>8.802293948378809</v>
      </c>
      <c r="J166" s="922">
        <f>Meal_entry_week_2!$AN$548</f>
        <v>11.1534575797107</v>
      </c>
      <c r="K166" s="922">
        <f>Meal_entry_week_2!$AN$549</f>
        <v>5.8686912694428175</v>
      </c>
      <c r="L166" s="922">
        <f>Meal_entry_week_2!$AN$550</f>
        <v>7.3299546998168479</v>
      </c>
      <c r="M166" s="923">
        <f>Meal_entry_week_2!$AN$551</f>
        <v>13.533005492573519</v>
      </c>
      <c r="N166" s="922">
        <f>IF(Meal_entry_week_2!$AN$32&lt;0,0,Meal_entry_week_2!$AN$32)</f>
        <v>0</v>
      </c>
      <c r="O166" s="922">
        <f>IF(Meal_entry_week_2!$AN$131&lt;0,0,Meal_entry_week_2!$AN$131)</f>
        <v>0</v>
      </c>
      <c r="P166" s="922">
        <f>IF(Meal_entry_week_2!$AN$230&lt;0,0,Meal_entry_week_2!$AN$230)</f>
        <v>0</v>
      </c>
      <c r="Q166" s="922">
        <f>IF(Meal_entry_week_2!$AN$329&lt;0,0,Meal_entry_week_2!$AN$329)</f>
        <v>0</v>
      </c>
      <c r="R166" s="922">
        <f>IF(Meal_entry_week_2!$AN$428&lt;0,0,Meal_entry_week_2!$AN$428)</f>
        <v>0</v>
      </c>
      <c r="S166" s="921">
        <f>IF(Meal_entry_week_2!$AN$51&lt;0,0,Meal_entry_week_2!$AN$51)</f>
        <v>1.4500336134453782</v>
      </c>
      <c r="T166" s="922">
        <f>IF(Meal_entry_week_2!$AN$150&lt;0,0,Meal_entry_week_2!$AN$150)</f>
        <v>1.297530020993702</v>
      </c>
      <c r="U166" s="922">
        <f>IF(Meal_entry_week_2!$AN$249&lt;0,0,Meal_entry_week_2!$AN$249)</f>
        <v>0.1371</v>
      </c>
      <c r="V166" s="922">
        <f>IF(Meal_entry_week_2!$AN$348&lt;0,0,Meal_entry_week_2!$AN$348)</f>
        <v>0.1482</v>
      </c>
      <c r="W166" s="923">
        <f>IF(Meal_entry_week_2!$AN$447&lt;0,0,Meal_entry_week_2!$AN$447)</f>
        <v>0.76026742293549443</v>
      </c>
      <c r="X166" s="921">
        <f>IF(Meal_entry_week_2!$AN$83&lt;0,0,Meal_entry_week_2!$AN$83)</f>
        <v>7.3522603349334315</v>
      </c>
      <c r="Y166" s="922">
        <f>IF(Meal_entry_week_2!$AN$182&lt;0,0,Meal_entry_week_2!$AN$182)</f>
        <v>9.8559275587169974</v>
      </c>
      <c r="Z166" s="922">
        <f>IF(Meal_entry_week_2!$AN$281&lt;0,0,Meal_entry_week_2!$AN$281)</f>
        <v>5.7315912694428173</v>
      </c>
      <c r="AA166" s="922">
        <f>IF(Meal_entry_week_2!$AN$380&lt;0,0,Meal_entry_week_2!$AN$380)</f>
        <v>7.1817546998168478</v>
      </c>
      <c r="AB166" s="923">
        <f>IF(Meal_entry_week_2!$AN$479&lt;0,0,Meal_entry_week_2!$AN$479)</f>
        <v>12.772738069638025</v>
      </c>
      <c r="AC166" s="921">
        <f>IF(Meal_entry_week_2!$AN$102&lt;0,0,Meal_entry_week_2!$AN$102)</f>
        <v>0</v>
      </c>
      <c r="AD166" s="922">
        <f>IF(Meal_entry_week_2!$AN$201&lt;0,0,Meal_entry_week_2!$AN$201)</f>
        <v>0</v>
      </c>
      <c r="AE166" s="922">
        <f>IF(Meal_entry_week_2!$AN$300&lt;0,0,Meal_entry_week_2!$AN$300)</f>
        <v>0</v>
      </c>
      <c r="AF166" s="922">
        <f>IF(Meal_entry_week_2!$AN$399&lt;0,0,Meal_entry_week_2!$AN$399)</f>
        <v>0</v>
      </c>
      <c r="AG166" s="923">
        <f>IF(Meal_entry_week_2!$AN$498&lt;0,0,Meal_entry_week_2!$AN$498)</f>
        <v>0</v>
      </c>
    </row>
    <row r="167" spans="1:34" ht="15">
      <c r="A167" s="905"/>
      <c r="B167" s="770" t="s">
        <v>2986</v>
      </c>
      <c r="C167" s="873"/>
      <c r="D167" s="921">
        <f t="shared" si="18"/>
        <v>0.96340028507517361</v>
      </c>
      <c r="E167" s="922">
        <f>Meal_entry_week_2!$AO$512</f>
        <v>0</v>
      </c>
      <c r="F167" s="941">
        <f>Meal_entry_week_2!$AO$522</f>
        <v>6.079682793229671E-2</v>
      </c>
      <c r="G167" s="941">
        <f>Meal_entry_week_2!$AO$532</f>
        <v>0.90260345714287693</v>
      </c>
      <c r="H167" s="942">
        <f>Meal_entry_week_2!$AO$542</f>
        <v>0</v>
      </c>
      <c r="I167" s="921">
        <f>Meal_entry_week_2!$AO$547</f>
        <v>1.7209537137600512</v>
      </c>
      <c r="J167" s="922">
        <f>Meal_entry_week_2!$AO$548</f>
        <v>0.76156123336592763</v>
      </c>
      <c r="K167" s="922">
        <f>Meal_entry_week_2!$AO$549</f>
        <v>0.70113126647804247</v>
      </c>
      <c r="L167" s="922">
        <f>Meal_entry_week_2!$AO$550</f>
        <v>0.81726825655834046</v>
      </c>
      <c r="M167" s="923">
        <f>Meal_entry_week_2!$AO$551</f>
        <v>0.81609658921635675</v>
      </c>
      <c r="N167" s="922">
        <f>IF(Meal_entry_week_2!$AO$32&lt;0,0,Meal_entry_week_2!$AO$32)</f>
        <v>0</v>
      </c>
      <c r="O167" s="922">
        <f>IF(Meal_entry_week_2!$AO$131&lt;0,0,Meal_entry_week_2!$AO$131)</f>
        <v>0</v>
      </c>
      <c r="P167" s="922">
        <f>IF(Meal_entry_week_2!$AO$230&lt;0,0,Meal_entry_week_2!$AO$230)</f>
        <v>0</v>
      </c>
      <c r="Q167" s="922">
        <f>IF(Meal_entry_week_2!$AO$329&lt;0,0,Meal_entry_week_2!$AO$329)</f>
        <v>0</v>
      </c>
      <c r="R167" s="922">
        <f>IF(Meal_entry_week_2!$AO$428&lt;0,0,Meal_entry_week_2!$AO$428)</f>
        <v>0</v>
      </c>
      <c r="S167" s="921">
        <f>IF(Meal_entry_week_2!$AO$51&lt;0,0,Meal_entry_week_2!$AO$51)</f>
        <v>0.13806918767507001</v>
      </c>
      <c r="T167" s="922">
        <f>IF(Meal_entry_week_2!$AO$150&lt;0,0,Meal_entry_week_2!$AO$150)</f>
        <v>5.248803358992303E-2</v>
      </c>
      <c r="U167" s="922">
        <f>IF(Meal_entry_week_2!$AO$249&lt;0,0,Meal_entry_week_2!$AO$249)</f>
        <v>4.6300000000000001E-2</v>
      </c>
      <c r="V167" s="922">
        <f>IF(Meal_entry_week_2!$AO$348&lt;0,0,Meal_entry_week_2!$AO$348)</f>
        <v>2.5700000000000001E-2</v>
      </c>
      <c r="W167" s="923">
        <f>IF(Meal_entry_week_2!$AO$447&lt;0,0,Meal_entry_week_2!$AO$447)</f>
        <v>4.1427526364769839E-2</v>
      </c>
      <c r="X167" s="921">
        <f>IF(Meal_entry_week_2!$AO$83&lt;0,0,Meal_entry_week_2!$AO$83)</f>
        <v>1.5828845260849813</v>
      </c>
      <c r="Y167" s="922">
        <f>IF(Meal_entry_week_2!$AO$182&lt;0,0,Meal_entry_week_2!$AO$182)</f>
        <v>0.70907319977600458</v>
      </c>
      <c r="Z167" s="922">
        <f>IF(Meal_entry_week_2!$AO$281&lt;0,0,Meal_entry_week_2!$AO$281)</f>
        <v>0.65483126647804246</v>
      </c>
      <c r="AA167" s="922">
        <f>IF(Meal_entry_week_2!$AO$380&lt;0,0,Meal_entry_week_2!$AO$380)</f>
        <v>0.7915682565583404</v>
      </c>
      <c r="AB167" s="923">
        <f>IF(Meal_entry_week_2!$AO$479&lt;0,0,Meal_entry_week_2!$AO$479)</f>
        <v>0.77466906285158688</v>
      </c>
      <c r="AC167" s="921">
        <f>IF(Meal_entry_week_2!$AO$102&lt;0,0,Meal_entry_week_2!$AO$102)</f>
        <v>0</v>
      </c>
      <c r="AD167" s="922">
        <f>IF(Meal_entry_week_2!$AO$201&lt;0,0,Meal_entry_week_2!$AO$201)</f>
        <v>0</v>
      </c>
      <c r="AE167" s="922">
        <f>IF(Meal_entry_week_2!$AO$300&lt;0,0,Meal_entry_week_2!$AO$300)</f>
        <v>0</v>
      </c>
      <c r="AF167" s="922">
        <f>IF(Meal_entry_week_2!$AO$399&lt;0,0,Meal_entry_week_2!$AO$399)</f>
        <v>0</v>
      </c>
      <c r="AG167" s="923">
        <f>IF(Meal_entry_week_2!$AO$498&lt;0,0,Meal_entry_week_2!$AO$498)</f>
        <v>0</v>
      </c>
    </row>
    <row r="168" spans="1:34" ht="15">
      <c r="A168" s="905"/>
      <c r="B168" s="770" t="s">
        <v>3894</v>
      </c>
      <c r="C168" s="873"/>
      <c r="D168" s="921">
        <f t="shared" si="18"/>
        <v>212.50501256095569</v>
      </c>
      <c r="E168" s="922">
        <f>Meal_entry_week_2!$AP$512</f>
        <v>0</v>
      </c>
      <c r="F168" s="941">
        <f>Meal_entry_week_2!$AP$522</f>
        <v>11.832525580636485</v>
      </c>
      <c r="G168" s="941">
        <f>Meal_entry_week_2!$AP$532</f>
        <v>200.67248698031921</v>
      </c>
      <c r="H168" s="942">
        <f>Meal_entry_week_2!$AP$542</f>
        <v>0</v>
      </c>
      <c r="I168" s="921">
        <f>Meal_entry_week_2!$AP$547</f>
        <v>189.01009324009323</v>
      </c>
      <c r="J168" s="922">
        <f>Meal_entry_week_2!$AP$548</f>
        <v>174.6519713793794</v>
      </c>
      <c r="K168" s="922">
        <f>Meal_entry_week_2!$AP$549</f>
        <v>198.45926783216788</v>
      </c>
      <c r="L168" s="922">
        <f>Meal_entry_week_2!$AP$550</f>
        <v>399.51238648018648</v>
      </c>
      <c r="M168" s="923">
        <f>Meal_entry_week_2!$AP$551</f>
        <v>100.89346892307692</v>
      </c>
      <c r="N168" s="922">
        <f>IF(Meal_entry_week_2!$AP$32&lt;0,0,Meal_entry_week_2!$AP$32)</f>
        <v>0</v>
      </c>
      <c r="O168" s="922">
        <f>IF(Meal_entry_week_2!$AP$131&lt;0,0,Meal_entry_week_2!$AP$131)</f>
        <v>0</v>
      </c>
      <c r="P168" s="922">
        <f>IF(Meal_entry_week_2!$AP$230&lt;0,0,Meal_entry_week_2!$AP$230)</f>
        <v>0</v>
      </c>
      <c r="Q168" s="922">
        <f>IF(Meal_entry_week_2!$AP$329&lt;0,0,Meal_entry_week_2!$AP$329)</f>
        <v>0</v>
      </c>
      <c r="R168" s="922">
        <f>IF(Meal_entry_week_2!$AP$428&lt;0,0,Meal_entry_week_2!$AP$428)</f>
        <v>0</v>
      </c>
      <c r="S168" s="921">
        <f>IF(Meal_entry_week_2!$AP$51&lt;0,0,Meal_entry_week_2!$AP$51)</f>
        <v>18.329999999999998</v>
      </c>
      <c r="T168" s="922">
        <f>IF(Meal_entry_week_2!$AP$150&lt;0,0,Meal_entry_week_2!$AP$150)</f>
        <v>23.247599999999998</v>
      </c>
      <c r="U168" s="922">
        <f>IF(Meal_entry_week_2!$AP$249&lt;0,0,Meal_entry_week_2!$AP$249)</f>
        <v>5.7971000000000004</v>
      </c>
      <c r="V168" s="922">
        <f>IF(Meal_entry_week_2!$AP$348&lt;0,0,Meal_entry_week_2!$AP$348)</f>
        <v>2.7971999999999997</v>
      </c>
      <c r="W168" s="923">
        <f>IF(Meal_entry_week_2!$AP$447&lt;0,0,Meal_entry_week_2!$AP$447)</f>
        <v>8.9908462284382278</v>
      </c>
      <c r="X168" s="921">
        <f>IF(Meal_entry_week_2!$AP$83&lt;0,0,Meal_entry_week_2!$AP$83)</f>
        <v>170.68009324009324</v>
      </c>
      <c r="Y168" s="922">
        <f>IF(Meal_entry_week_2!$AP$182&lt;0,0,Meal_entry_week_2!$AP$182)</f>
        <v>151.4043713793794</v>
      </c>
      <c r="Z168" s="922">
        <f>IF(Meal_entry_week_2!$AP$281&lt;0,0,Meal_entry_week_2!$AP$281)</f>
        <v>192.66216783216788</v>
      </c>
      <c r="AA168" s="922">
        <f>IF(Meal_entry_week_2!$AP$380&lt;0,0,Meal_entry_week_2!$AP$380)</f>
        <v>396.7151864801865</v>
      </c>
      <c r="AB168" s="923">
        <f>IF(Meal_entry_week_2!$AP$479&lt;0,0,Meal_entry_week_2!$AP$479)</f>
        <v>91.902622694638694</v>
      </c>
      <c r="AC168" s="921">
        <f>IF(Meal_entry_week_2!$AP$102&lt;0,0,Meal_entry_week_2!$AP$102)</f>
        <v>0</v>
      </c>
      <c r="AD168" s="922">
        <f>IF(Meal_entry_week_2!$AP$201&lt;0,0,Meal_entry_week_2!$AP$201)</f>
        <v>0</v>
      </c>
      <c r="AE168" s="922">
        <f>IF(Meal_entry_week_2!$AP$300&lt;0,0,Meal_entry_week_2!$AP$300)</f>
        <v>0</v>
      </c>
      <c r="AF168" s="922">
        <f>IF(Meal_entry_week_2!$AP$399&lt;0,0,Meal_entry_week_2!$AP$399)</f>
        <v>0</v>
      </c>
      <c r="AG168" s="923">
        <f>IF(Meal_entry_week_2!$AP$498&lt;0,0,Meal_entry_week_2!$AP$498)</f>
        <v>0</v>
      </c>
    </row>
    <row r="169" spans="1:34" ht="15">
      <c r="A169" s="905"/>
      <c r="B169" s="770" t="s">
        <v>2987</v>
      </c>
      <c r="C169" s="873"/>
      <c r="D169" s="921">
        <f t="shared" si="18"/>
        <v>1.0306734044227852</v>
      </c>
      <c r="E169" s="922">
        <f>Meal_entry_week_2!$AQ$512</f>
        <v>0</v>
      </c>
      <c r="F169" s="941">
        <f>Meal_entry_week_2!$AQ$522</f>
        <v>0.33894571342099766</v>
      </c>
      <c r="G169" s="941">
        <f>Meal_entry_week_2!$AQ$532</f>
        <v>0.69172769100178744</v>
      </c>
      <c r="H169" s="942">
        <f>Meal_entry_week_2!$AQ$542</f>
        <v>0</v>
      </c>
      <c r="I169" s="921">
        <f>Meal_entry_week_2!$AQ$547</f>
        <v>1.4837479279852408</v>
      </c>
      <c r="J169" s="922">
        <f>Meal_entry_week_2!$AQ$548</f>
        <v>0.98647998787208024</v>
      </c>
      <c r="K169" s="922">
        <f>Meal_entry_week_2!$AQ$549</f>
        <v>0.68457355938672948</v>
      </c>
      <c r="L169" s="922">
        <f>Meal_entry_week_2!$AQ$550</f>
        <v>1.0568166257395508</v>
      </c>
      <c r="M169" s="923">
        <f>Meal_entry_week_2!$AQ$551</f>
        <v>0.94175922786436794</v>
      </c>
      <c r="N169" s="922">
        <f>IF(Meal_entry_week_2!$AQ$32&lt;0,0,Meal_entry_week_2!$AQ$32)</f>
        <v>0</v>
      </c>
      <c r="O169" s="922">
        <f>IF(Meal_entry_week_2!$AQ$131&lt;0,0,Meal_entry_week_2!$AQ$131)</f>
        <v>0</v>
      </c>
      <c r="P169" s="922">
        <f>IF(Meal_entry_week_2!$AQ$230&lt;0,0,Meal_entry_week_2!$AQ$230)</f>
        <v>0</v>
      </c>
      <c r="Q169" s="922">
        <f>IF(Meal_entry_week_2!$AQ$329&lt;0,0,Meal_entry_week_2!$AQ$329)</f>
        <v>0</v>
      </c>
      <c r="R169" s="922">
        <f>IF(Meal_entry_week_2!$AQ$428&lt;0,0,Meal_entry_week_2!$AQ$428)</f>
        <v>0</v>
      </c>
      <c r="S169" s="921">
        <f>IF(Meal_entry_week_2!$AQ$51&lt;0,0,Meal_entry_week_2!$AQ$51)</f>
        <v>0.51500000000000001</v>
      </c>
      <c r="T169" s="922">
        <f>IF(Meal_entry_week_2!$AQ$150&lt;0,0,Meal_entry_week_2!$AQ$150)</f>
        <v>0.41963403778866343</v>
      </c>
      <c r="U169" s="922">
        <f>IF(Meal_entry_week_2!$AQ$249&lt;0,0,Meal_entry_week_2!$AQ$249)</f>
        <v>0.39962000000000003</v>
      </c>
      <c r="V169" s="922">
        <f>IF(Meal_entry_week_2!$AQ$348&lt;0,0,Meal_entry_week_2!$AQ$348)</f>
        <v>0.20471999999999999</v>
      </c>
      <c r="W169" s="923">
        <f>IF(Meal_entry_week_2!$AQ$447&lt;0,0,Meal_entry_week_2!$AQ$447)</f>
        <v>0.15575791877345888</v>
      </c>
      <c r="X169" s="921">
        <f>IF(Meal_entry_week_2!$AQ$83&lt;0,0,Meal_entry_week_2!$AQ$83)</f>
        <v>0.96874792798524079</v>
      </c>
      <c r="Y169" s="922">
        <f>IF(Meal_entry_week_2!$AQ$182&lt;0,0,Meal_entry_week_2!$AQ$182)</f>
        <v>0.56684595008341676</v>
      </c>
      <c r="Z169" s="922">
        <f>IF(Meal_entry_week_2!$AQ$281&lt;0,0,Meal_entry_week_2!$AQ$281)</f>
        <v>0.28495355938672939</v>
      </c>
      <c r="AA169" s="922">
        <f>IF(Meal_entry_week_2!$AQ$380&lt;0,0,Meal_entry_week_2!$AQ$380)</f>
        <v>0.85209662573955081</v>
      </c>
      <c r="AB169" s="923">
        <f>IF(Meal_entry_week_2!$AQ$479&lt;0,0,Meal_entry_week_2!$AQ$479)</f>
        <v>0.78600130909090904</v>
      </c>
      <c r="AC169" s="921">
        <f>IF(Meal_entry_week_2!$AQ$102&lt;0,0,Meal_entry_week_2!$AQ$102)</f>
        <v>0</v>
      </c>
      <c r="AD169" s="922">
        <f>IF(Meal_entry_week_2!$AQ$201&lt;0,0,Meal_entry_week_2!$AQ$201)</f>
        <v>0</v>
      </c>
      <c r="AE169" s="922">
        <f>IF(Meal_entry_week_2!$AQ$300&lt;0,0,Meal_entry_week_2!$AQ$300)</f>
        <v>0</v>
      </c>
      <c r="AF169" s="922">
        <f>IF(Meal_entry_week_2!$AQ$399&lt;0,0,Meal_entry_week_2!$AQ$399)</f>
        <v>0</v>
      </c>
      <c r="AG169" s="923">
        <f>IF(Meal_entry_week_2!$AQ$498&lt;0,0,Meal_entry_week_2!$AQ$498)</f>
        <v>0</v>
      </c>
    </row>
    <row r="170" spans="1:34" ht="15">
      <c r="A170" s="905"/>
      <c r="B170" s="770" t="s">
        <v>2988</v>
      </c>
      <c r="C170" s="873"/>
      <c r="D170" s="921">
        <f t="shared" si="18"/>
        <v>50.099612043884562</v>
      </c>
      <c r="E170" s="922">
        <f>Meal_entry_week_2!$AR$512</f>
        <v>0</v>
      </c>
      <c r="F170" s="941">
        <f>Meal_entry_week_2!$AR$522</f>
        <v>0.30426099147801711</v>
      </c>
      <c r="G170" s="941">
        <f>Meal_entry_week_2!$AR$532</f>
        <v>49.795351052406545</v>
      </c>
      <c r="H170" s="942">
        <f>Meal_entry_week_2!$AR$542</f>
        <v>0</v>
      </c>
      <c r="I170" s="921">
        <f>Meal_entry_week_2!$AR$547</f>
        <v>70.182000000000002</v>
      </c>
      <c r="J170" s="922">
        <f>Meal_entry_week_2!$AR$548</f>
        <v>43.394600000000004</v>
      </c>
      <c r="K170" s="922">
        <f>Meal_entry_week_2!$AR$549</f>
        <v>39.767048670088656</v>
      </c>
      <c r="L170" s="922">
        <f>Meal_entry_week_2!$AR$550</f>
        <v>75.828250000000011</v>
      </c>
      <c r="M170" s="923">
        <f>Meal_entry_week_2!$AR$551</f>
        <v>21.326662545454546</v>
      </c>
      <c r="N170" s="922">
        <f>IF(Meal_entry_week_2!$AR$32&lt;0,0,Meal_entry_week_2!$AR$32)</f>
        <v>0</v>
      </c>
      <c r="O170" s="922">
        <f>IF(Meal_entry_week_2!$AR$131&lt;0,0,Meal_entry_week_2!$AR$131)</f>
        <v>0</v>
      </c>
      <c r="P170" s="922">
        <f>IF(Meal_entry_week_2!$AR$230&lt;0,0,Meal_entry_week_2!$AR$230)</f>
        <v>0</v>
      </c>
      <c r="Q170" s="922">
        <f>IF(Meal_entry_week_2!$AR$329&lt;0,0,Meal_entry_week_2!$AR$329)</f>
        <v>0</v>
      </c>
      <c r="R170" s="922">
        <f>IF(Meal_entry_week_2!$AR$428&lt;0,0,Meal_entry_week_2!$AR$428)</f>
        <v>0</v>
      </c>
      <c r="S170" s="921">
        <f>IF(Meal_entry_week_2!$AR$51&lt;0,0,Meal_entry_week_2!$AR$51)</f>
        <v>0.5</v>
      </c>
      <c r="T170" s="922">
        <f>IF(Meal_entry_week_2!$AR$150&lt;0,0,Meal_entry_week_2!$AR$150)</f>
        <v>0.24759999999999999</v>
      </c>
      <c r="U170" s="922">
        <f>IF(Meal_entry_week_2!$AR$249&lt;0,0,Meal_entry_week_2!$AR$249)</f>
        <v>0.77710000000000001</v>
      </c>
      <c r="V170" s="922">
        <f>IF(Meal_entry_week_2!$AR$348&lt;0,0,Meal_entry_week_2!$AR$348)</f>
        <v>0</v>
      </c>
      <c r="W170" s="923">
        <f>IF(Meal_entry_week_2!$AR$447&lt;0,0,Meal_entry_week_2!$AR$447)</f>
        <v>0</v>
      </c>
      <c r="X170" s="921">
        <f>IF(Meal_entry_week_2!$AR$83&lt;0,0,Meal_entry_week_2!$AR$83)</f>
        <v>69.682000000000002</v>
      </c>
      <c r="Y170" s="922">
        <f>IF(Meal_entry_week_2!$AR$182&lt;0,0,Meal_entry_week_2!$AR$182)</f>
        <v>43.147000000000006</v>
      </c>
      <c r="Z170" s="922">
        <f>IF(Meal_entry_week_2!$AR$281&lt;0,0,Meal_entry_week_2!$AR$281)</f>
        <v>38.989948670088658</v>
      </c>
      <c r="AA170" s="922">
        <f>IF(Meal_entry_week_2!$AR$380&lt;0,0,Meal_entry_week_2!$AR$380)</f>
        <v>75.831050000000005</v>
      </c>
      <c r="AB170" s="923">
        <f>IF(Meal_entry_week_2!$AR$479&lt;0,0,Meal_entry_week_2!$AR$479)</f>
        <v>21.327254545454547</v>
      </c>
      <c r="AC170" s="921">
        <f>IF(Meal_entry_week_2!$AR$102&lt;0,0,Meal_entry_week_2!$AR$102)</f>
        <v>0</v>
      </c>
      <c r="AD170" s="922">
        <f>IF(Meal_entry_week_2!$AR$201&lt;0,0,Meal_entry_week_2!$AR$201)</f>
        <v>0</v>
      </c>
      <c r="AE170" s="922">
        <f>IF(Meal_entry_week_2!$AR$300&lt;0,0,Meal_entry_week_2!$AR$300)</f>
        <v>0</v>
      </c>
      <c r="AF170" s="922">
        <f>IF(Meal_entry_week_2!$AR$399&lt;0,0,Meal_entry_week_2!$AR$399)</f>
        <v>0</v>
      </c>
      <c r="AG170" s="923">
        <f>IF(Meal_entry_week_2!$AR$498&lt;0,0,Meal_entry_week_2!$AR$498)</f>
        <v>0</v>
      </c>
    </row>
    <row r="171" spans="1:34" ht="16" thickBot="1">
      <c r="A171" s="905"/>
      <c r="B171" s="979" t="s">
        <v>2989</v>
      </c>
      <c r="C171" s="873"/>
      <c r="D171" s="930">
        <f t="shared" si="18"/>
        <v>1.2584839642766279</v>
      </c>
      <c r="E171" s="931">
        <f>Meal_entry_week_2!$AS$512</f>
        <v>0</v>
      </c>
      <c r="F171" s="943">
        <f>Meal_entry_week_2!$AS$522</f>
        <v>0.16438321018721383</v>
      </c>
      <c r="G171" s="943">
        <f>Meal_entry_week_2!$AS$532</f>
        <v>1.0941007540894141</v>
      </c>
      <c r="H171" s="944">
        <f>Meal_entry_week_2!$AS$542</f>
        <v>0</v>
      </c>
      <c r="I171" s="930">
        <f>Meal_entry_week_2!$AS$547</f>
        <v>2.3440015964361023</v>
      </c>
      <c r="J171" s="931">
        <f>Meal_entry_week_2!$AS$548</f>
        <v>0.54982069941403966</v>
      </c>
      <c r="K171" s="931">
        <f>Meal_entry_week_2!$AS$549</f>
        <v>0.96673184161091541</v>
      </c>
      <c r="L171" s="931">
        <f>Meal_entry_week_2!$AS$550</f>
        <v>1.1361720970244877</v>
      </c>
      <c r="M171" s="932">
        <f>Meal_entry_week_2!$AS$551</f>
        <v>1.2957061717372371</v>
      </c>
      <c r="N171" s="931">
        <f>IF(Meal_entry_week_2!$AS$32&lt;0,0,Meal_entry_week_2!$AS$32)</f>
        <v>0</v>
      </c>
      <c r="O171" s="931">
        <f>IF(Meal_entry_week_2!$AS$131&lt;0,0,Meal_entry_week_2!$AS$131)</f>
        <v>0</v>
      </c>
      <c r="P171" s="931">
        <f>IF(Meal_entry_week_2!$AS$230&lt;0,0,Meal_entry_week_2!$AS$230)</f>
        <v>0</v>
      </c>
      <c r="Q171" s="931">
        <f>IF(Meal_entry_week_2!$AS$329&lt;0,0,Meal_entry_week_2!$AS$329)</f>
        <v>0</v>
      </c>
      <c r="R171" s="931">
        <f>IF(Meal_entry_week_2!$AS$428&lt;0,0,Meal_entry_week_2!$AS$428)</f>
        <v>0</v>
      </c>
      <c r="S171" s="930">
        <f>IF(Meal_entry_week_2!$AS$51&lt;0,0,Meal_entry_week_2!$AS$51)</f>
        <v>0.1791813258636788</v>
      </c>
      <c r="T171" s="931">
        <f>IF(Meal_entry_week_2!$AS$150&lt;0,0,Meal_entry_week_2!$AS$150)</f>
        <v>2.0053911826452064E-2</v>
      </c>
      <c r="U171" s="931">
        <f>IF(Meal_entry_week_2!$AS$249&lt;0,0,Meal_entry_week_2!$AS$249)</f>
        <v>0.12962000000000001</v>
      </c>
      <c r="V171" s="931">
        <f>IF(Meal_entry_week_2!$AS$348&lt;0,0,Meal_entry_week_2!$AS$348)</f>
        <v>0.44972000000000001</v>
      </c>
      <c r="W171" s="932">
        <f>IF(Meal_entry_week_2!$AS$447&lt;0,0,Meal_entry_week_2!$AS$447)</f>
        <v>4.3342457078039985E-2</v>
      </c>
      <c r="X171" s="930">
        <f>IF(Meal_entry_week_2!$AS$83&lt;0,0,Meal_entry_week_2!$AS$83)</f>
        <v>2.1648202705724233</v>
      </c>
      <c r="Y171" s="931">
        <f>IF(Meal_entry_week_2!$AS$182&lt;0,0,Meal_entry_week_2!$AS$182)</f>
        <v>0.52976678758758755</v>
      </c>
      <c r="Z171" s="931">
        <f>IF(Meal_entry_week_2!$AS$281&lt;0,0,Meal_entry_week_2!$AS$281)</f>
        <v>0.83711184161091545</v>
      </c>
      <c r="AA171" s="931">
        <f>IF(Meal_entry_week_2!$AS$380&lt;0,0,Meal_entry_week_2!$AS$380)</f>
        <v>0.68645209702448762</v>
      </c>
      <c r="AB171" s="932">
        <f>IF(Meal_entry_week_2!$AS$479&lt;0,0,Meal_entry_week_2!$AS$479)</f>
        <v>1.252363714659197</v>
      </c>
      <c r="AC171" s="930">
        <f>IF(Meal_entry_week_2!$AS$102&lt;0,0,Meal_entry_week_2!$AS$102)</f>
        <v>0</v>
      </c>
      <c r="AD171" s="931">
        <f>IF(Meal_entry_week_2!$AS$201&lt;0,0,Meal_entry_week_2!$AS$201)</f>
        <v>0</v>
      </c>
      <c r="AE171" s="931">
        <f>IF(Meal_entry_week_2!$AS$300&lt;0,0,Meal_entry_week_2!$AS$300)</f>
        <v>0</v>
      </c>
      <c r="AF171" s="931">
        <f>IF(Meal_entry_week_2!$AS$399&lt;0,0,Meal_entry_week_2!$AS$399)</f>
        <v>0</v>
      </c>
      <c r="AG171" s="932">
        <f>IF(Meal_entry_week_2!$AS$498&lt;0,0,Meal_entry_week_2!$AS$498)</f>
        <v>0</v>
      </c>
    </row>
    <row r="172" spans="1:34">
      <c r="A172" s="905"/>
      <c r="B172" s="939"/>
      <c r="C172" s="873"/>
      <c r="D172" s="919" t="s">
        <v>3580</v>
      </c>
      <c r="E172" s="945"/>
      <c r="F172" s="913"/>
      <c r="G172" s="913"/>
      <c r="H172" s="913"/>
      <c r="I172" s="913"/>
      <c r="J172" s="913"/>
      <c r="K172" s="913"/>
      <c r="L172" s="913"/>
      <c r="M172" s="913"/>
      <c r="N172" s="913"/>
      <c r="O172" s="913"/>
      <c r="P172" s="913"/>
      <c r="Q172" s="913"/>
      <c r="R172" s="913"/>
      <c r="S172" s="913"/>
      <c r="T172" s="913"/>
      <c r="U172" s="913"/>
      <c r="V172" s="913"/>
      <c r="W172" s="913"/>
      <c r="X172" s="913"/>
      <c r="Y172" s="913"/>
      <c r="Z172" s="913"/>
      <c r="AA172" s="913"/>
      <c r="AB172" s="913"/>
      <c r="AC172" s="913"/>
      <c r="AD172" s="913"/>
      <c r="AE172" s="913"/>
      <c r="AF172" s="913"/>
      <c r="AG172" s="913"/>
    </row>
    <row r="173" spans="1:34" ht="15" thickBot="1">
      <c r="A173" s="905"/>
      <c r="B173" s="939"/>
      <c r="C173" s="873"/>
      <c r="D173" s="913" t="s">
        <v>3581</v>
      </c>
      <c r="E173" s="945"/>
      <c r="F173" s="913"/>
      <c r="G173" s="913"/>
      <c r="H173" s="913"/>
      <c r="I173" s="913"/>
      <c r="J173" s="913"/>
      <c r="K173" s="913"/>
      <c r="L173" s="913"/>
      <c r="M173" s="913"/>
      <c r="N173" s="913"/>
      <c r="O173" s="913"/>
      <c r="P173" s="913"/>
      <c r="Q173" s="913"/>
      <c r="R173" s="913"/>
      <c r="S173" s="913"/>
      <c r="T173" s="913"/>
      <c r="U173" s="913"/>
      <c r="V173" s="913"/>
      <c r="W173" s="913"/>
      <c r="X173" s="913"/>
      <c r="Y173" s="913"/>
      <c r="Z173" s="913"/>
      <c r="AA173" s="913"/>
      <c r="AB173" s="913"/>
      <c r="AC173" s="913"/>
      <c r="AD173" s="913"/>
      <c r="AE173" s="913"/>
      <c r="AF173" s="913"/>
      <c r="AG173" s="913"/>
    </row>
    <row r="174" spans="1:34" ht="15" thickBot="1">
      <c r="A174" s="905"/>
      <c r="B174" s="913"/>
      <c r="C174" s="873"/>
      <c r="D174" s="914" t="s">
        <v>3773</v>
      </c>
      <c r="E174" s="915" t="s">
        <v>3774</v>
      </c>
      <c r="F174" s="915" t="s">
        <v>3775</v>
      </c>
      <c r="G174" s="915" t="s">
        <v>3776</v>
      </c>
      <c r="H174" s="916" t="s">
        <v>3777</v>
      </c>
      <c r="I174" s="914" t="s">
        <v>3773</v>
      </c>
      <c r="J174" s="914" t="s">
        <v>3773</v>
      </c>
      <c r="K174" s="914" t="s">
        <v>3773</v>
      </c>
      <c r="L174" s="914" t="s">
        <v>3773</v>
      </c>
      <c r="M174" s="914" t="s">
        <v>3773</v>
      </c>
      <c r="N174" s="914" t="s">
        <v>67</v>
      </c>
      <c r="O174" s="914" t="s">
        <v>67</v>
      </c>
      <c r="P174" s="914" t="s">
        <v>67</v>
      </c>
      <c r="Q174" s="914" t="s">
        <v>67</v>
      </c>
      <c r="R174" s="917" t="s">
        <v>67</v>
      </c>
      <c r="S174" s="914" t="s">
        <v>1362</v>
      </c>
      <c r="T174" s="914" t="s">
        <v>1362</v>
      </c>
      <c r="U174" s="914" t="s">
        <v>1362</v>
      </c>
      <c r="V174" s="914" t="s">
        <v>1362</v>
      </c>
      <c r="W174" s="914" t="s">
        <v>1362</v>
      </c>
      <c r="X174" s="914" t="s">
        <v>69</v>
      </c>
      <c r="Y174" s="914" t="s">
        <v>69</v>
      </c>
      <c r="Z174" s="914" t="s">
        <v>69</v>
      </c>
      <c r="AA174" s="914" t="s">
        <v>69</v>
      </c>
      <c r="AB174" s="914" t="s">
        <v>69</v>
      </c>
      <c r="AC174" s="1281" t="s">
        <v>1364</v>
      </c>
      <c r="AD174" s="1281" t="s">
        <v>1364</v>
      </c>
      <c r="AE174" s="1281" t="s">
        <v>1364</v>
      </c>
      <c r="AF174" s="1281" t="s">
        <v>1364</v>
      </c>
      <c r="AG174" s="1281" t="s">
        <v>1364</v>
      </c>
      <c r="AH174" s="901"/>
    </row>
    <row r="175" spans="1:34" ht="60">
      <c r="A175" s="905"/>
      <c r="B175" s="940" t="s">
        <v>3600</v>
      </c>
      <c r="C175" s="873"/>
      <c r="D175" s="874" t="s">
        <v>3779</v>
      </c>
      <c r="E175" s="875" t="s">
        <v>3780</v>
      </c>
      <c r="F175" s="876" t="s">
        <v>3783</v>
      </c>
      <c r="G175" s="877" t="s">
        <v>3782</v>
      </c>
      <c r="H175" s="878" t="s">
        <v>3781</v>
      </c>
      <c r="I175" s="874" t="s">
        <v>3784</v>
      </c>
      <c r="J175" s="874" t="s">
        <v>3785</v>
      </c>
      <c r="K175" s="874" t="s">
        <v>3786</v>
      </c>
      <c r="L175" s="874" t="s">
        <v>3787</v>
      </c>
      <c r="M175" s="879" t="s">
        <v>3788</v>
      </c>
      <c r="N175" s="880" t="s">
        <v>3789</v>
      </c>
      <c r="O175" s="875" t="s">
        <v>3790</v>
      </c>
      <c r="P175" s="875" t="s">
        <v>3791</v>
      </c>
      <c r="Q175" s="875" t="s">
        <v>3792</v>
      </c>
      <c r="R175" s="881" t="s">
        <v>3793</v>
      </c>
      <c r="S175" s="882" t="s">
        <v>3794</v>
      </c>
      <c r="T175" s="876" t="s">
        <v>3795</v>
      </c>
      <c r="U175" s="876" t="s">
        <v>3796</v>
      </c>
      <c r="V175" s="876" t="s">
        <v>3797</v>
      </c>
      <c r="W175" s="883" t="s">
        <v>3798</v>
      </c>
      <c r="X175" s="884" t="s">
        <v>3799</v>
      </c>
      <c r="Y175" s="877" t="s">
        <v>3800</v>
      </c>
      <c r="Z175" s="877" t="s">
        <v>3801</v>
      </c>
      <c r="AA175" s="877" t="s">
        <v>3802</v>
      </c>
      <c r="AB175" s="885" t="s">
        <v>3803</v>
      </c>
      <c r="AC175" s="886" t="s">
        <v>3804</v>
      </c>
      <c r="AD175" s="878" t="s">
        <v>3805</v>
      </c>
      <c r="AE175" s="878" t="s">
        <v>3806</v>
      </c>
      <c r="AF175" s="878" t="s">
        <v>3807</v>
      </c>
      <c r="AG175" s="878" t="s">
        <v>3808</v>
      </c>
      <c r="AH175" s="906"/>
    </row>
    <row r="176" spans="1:34">
      <c r="A176" s="905"/>
      <c r="B176" s="768" t="s">
        <v>3878</v>
      </c>
      <c r="C176" s="873"/>
      <c r="D176" s="873">
        <f t="shared" ref="D176:AG184" si="19">100*(D149/D123)</f>
        <v>85.641692030397337</v>
      </c>
      <c r="E176" s="919">
        <f t="shared" si="19"/>
        <v>0</v>
      </c>
      <c r="F176" s="919">
        <f t="shared" si="19"/>
        <v>175.31022718497303</v>
      </c>
      <c r="G176" s="919">
        <f t="shared" si="19"/>
        <v>141.3938723426028</v>
      </c>
      <c r="H176" s="920">
        <f t="shared" si="19"/>
        <v>0</v>
      </c>
      <c r="I176" s="873">
        <f t="shared" si="19"/>
        <v>78.189270239760219</v>
      </c>
      <c r="J176" s="919">
        <f t="shared" si="19"/>
        <v>87.718408333333315</v>
      </c>
      <c r="K176" s="919">
        <f t="shared" si="19"/>
        <v>82.687804813869477</v>
      </c>
      <c r="L176" s="919">
        <f t="shared" si="19"/>
        <v>83.55847225865341</v>
      </c>
      <c r="M176" s="920">
        <f t="shared" si="19"/>
        <v>96.055360923290607</v>
      </c>
      <c r="N176" s="873">
        <f t="shared" si="19"/>
        <v>0</v>
      </c>
      <c r="O176" s="919">
        <f t="shared" si="19"/>
        <v>0</v>
      </c>
      <c r="P176" s="919">
        <f t="shared" si="19"/>
        <v>0</v>
      </c>
      <c r="Q176" s="919">
        <f t="shared" si="19"/>
        <v>0</v>
      </c>
      <c r="R176" s="920">
        <f t="shared" si="19"/>
        <v>0</v>
      </c>
      <c r="S176" s="873">
        <f t="shared" si="19"/>
        <v>137.29068000000001</v>
      </c>
      <c r="T176" s="919">
        <f t="shared" si="19"/>
        <v>174.98758333333333</v>
      </c>
      <c r="U176" s="919">
        <f t="shared" si="19"/>
        <v>135.625</v>
      </c>
      <c r="V176" s="919">
        <f t="shared" si="19"/>
        <v>177.55</v>
      </c>
      <c r="W176" s="920">
        <f t="shared" si="19"/>
        <v>251.09962569380352</v>
      </c>
      <c r="X176" s="873">
        <f t="shared" si="19"/>
        <v>136.67807055944056</v>
      </c>
      <c r="Y176" s="919">
        <f t="shared" si="19"/>
        <v>146.34709166666664</v>
      </c>
      <c r="Z176" s="919">
        <f t="shared" si="19"/>
        <v>147.72987789902874</v>
      </c>
      <c r="AA176" s="919">
        <f t="shared" si="19"/>
        <v>135.7864352701913</v>
      </c>
      <c r="AB176" s="920">
        <f t="shared" si="19"/>
        <v>140.42930025641024</v>
      </c>
      <c r="AC176" s="873">
        <f t="shared" si="19"/>
        <v>0</v>
      </c>
      <c r="AD176" s="919">
        <f t="shared" si="19"/>
        <v>0</v>
      </c>
      <c r="AE176" s="919">
        <f t="shared" si="19"/>
        <v>0</v>
      </c>
      <c r="AF176" s="919">
        <f t="shared" si="19"/>
        <v>0</v>
      </c>
      <c r="AG176" s="920">
        <f t="shared" si="19"/>
        <v>0</v>
      </c>
      <c r="AH176" s="903"/>
    </row>
    <row r="177" spans="1:34">
      <c r="A177" s="905"/>
      <c r="B177" s="768" t="s">
        <v>3879</v>
      </c>
      <c r="C177" s="873"/>
      <c r="D177" s="873">
        <f t="shared" si="19"/>
        <v>76.746075436977762</v>
      </c>
      <c r="E177" s="919">
        <f t="shared" si="19"/>
        <v>0</v>
      </c>
      <c r="F177" s="919">
        <f t="shared" si="19"/>
        <v>135.96238601977478</v>
      </c>
      <c r="G177" s="919">
        <f t="shared" si="19"/>
        <v>133.75338067968988</v>
      </c>
      <c r="H177" s="920">
        <f t="shared" si="19"/>
        <v>0</v>
      </c>
      <c r="I177" s="873">
        <f t="shared" si="19"/>
        <v>49.44413900521922</v>
      </c>
      <c r="J177" s="919">
        <f t="shared" si="19"/>
        <v>108.28571097583499</v>
      </c>
      <c r="K177" s="919">
        <f t="shared" si="19"/>
        <v>80.484822755260325</v>
      </c>
      <c r="L177" s="919">
        <f t="shared" si="19"/>
        <v>64.234272718415383</v>
      </c>
      <c r="M177" s="920">
        <f t="shared" si="19"/>
        <v>81.282199190913317</v>
      </c>
      <c r="N177" s="873">
        <f t="shared" si="19"/>
        <v>0</v>
      </c>
      <c r="O177" s="919">
        <f t="shared" si="19"/>
        <v>0</v>
      </c>
      <c r="P177" s="919">
        <f t="shared" si="19"/>
        <v>0</v>
      </c>
      <c r="Q177" s="919">
        <f t="shared" si="19"/>
        <v>0</v>
      </c>
      <c r="R177" s="920">
        <f t="shared" si="19"/>
        <v>0</v>
      </c>
      <c r="S177" s="873">
        <f t="shared" si="19"/>
        <v>52.945508870214752</v>
      </c>
      <c r="T177" s="919">
        <f t="shared" si="19"/>
        <v>193.27221833449963</v>
      </c>
      <c r="U177" s="919">
        <f t="shared" si="19"/>
        <v>127.23636363636362</v>
      </c>
      <c r="V177" s="919">
        <f t="shared" si="19"/>
        <v>128.36363636363635</v>
      </c>
      <c r="W177" s="920">
        <f t="shared" si="19"/>
        <v>177.9955625180198</v>
      </c>
      <c r="X177" s="873">
        <f t="shared" si="19"/>
        <v>97.721154722106604</v>
      </c>
      <c r="Y177" s="919">
        <f t="shared" si="19"/>
        <v>188.24258616544842</v>
      </c>
      <c r="Z177" s="919">
        <f t="shared" si="19"/>
        <v>145.38579855015291</v>
      </c>
      <c r="AA177" s="919">
        <f t="shared" si="19"/>
        <v>107.09209088842377</v>
      </c>
      <c r="AB177" s="920">
        <f t="shared" si="19"/>
        <v>130.32661060612446</v>
      </c>
      <c r="AC177" s="873">
        <f t="shared" si="19"/>
        <v>0</v>
      </c>
      <c r="AD177" s="919">
        <f t="shared" si="19"/>
        <v>0</v>
      </c>
      <c r="AE177" s="919">
        <f t="shared" si="19"/>
        <v>0</v>
      </c>
      <c r="AF177" s="919">
        <f t="shared" si="19"/>
        <v>0</v>
      </c>
      <c r="AG177" s="920">
        <f t="shared" si="19"/>
        <v>0</v>
      </c>
      <c r="AH177" s="903"/>
    </row>
    <row r="178" spans="1:34">
      <c r="A178" s="905"/>
      <c r="B178" s="768" t="s">
        <v>3880</v>
      </c>
      <c r="C178" s="873"/>
      <c r="D178" s="873">
        <f t="shared" si="19"/>
        <v>71.683479598065816</v>
      </c>
      <c r="E178" s="919">
        <f t="shared" si="19"/>
        <v>0</v>
      </c>
      <c r="F178" s="919">
        <f t="shared" si="19"/>
        <v>127.71142035678587</v>
      </c>
      <c r="G178" s="919">
        <f t="shared" si="19"/>
        <v>124.69097894322493</v>
      </c>
      <c r="H178" s="920">
        <f t="shared" si="19"/>
        <v>0</v>
      </c>
      <c r="I178" s="873">
        <f t="shared" si="19"/>
        <v>63.258283962810047</v>
      </c>
      <c r="J178" s="919">
        <f t="shared" si="19"/>
        <v>74.599369860831118</v>
      </c>
      <c r="K178" s="919">
        <f t="shared" si="19"/>
        <v>90.32127339736499</v>
      </c>
      <c r="L178" s="919">
        <f t="shared" si="19"/>
        <v>61.767578023570714</v>
      </c>
      <c r="M178" s="920">
        <f t="shared" si="19"/>
        <v>68.471609580548133</v>
      </c>
      <c r="N178" s="873">
        <f t="shared" si="19"/>
        <v>0</v>
      </c>
      <c r="O178" s="919">
        <f t="shared" si="19"/>
        <v>0</v>
      </c>
      <c r="P178" s="919">
        <f t="shared" si="19"/>
        <v>0</v>
      </c>
      <c r="Q178" s="919">
        <f t="shared" si="19"/>
        <v>0</v>
      </c>
      <c r="R178" s="920">
        <f t="shared" si="19"/>
        <v>0</v>
      </c>
      <c r="S178" s="873">
        <f t="shared" si="19"/>
        <v>92.442958026122326</v>
      </c>
      <c r="T178" s="919">
        <f t="shared" si="19"/>
        <v>142.96379189691368</v>
      </c>
      <c r="U178" s="919">
        <f t="shared" si="19"/>
        <v>217.2413793103448</v>
      </c>
      <c r="V178" s="919">
        <f t="shared" si="19"/>
        <v>102.01149425287358</v>
      </c>
      <c r="W178" s="920">
        <f t="shared" si="19"/>
        <v>83.89875541187844</v>
      </c>
      <c r="X178" s="873">
        <f t="shared" si="19"/>
        <v>116.78834323784935</v>
      </c>
      <c r="Y178" s="919">
        <f t="shared" si="19"/>
        <v>126.41059904296806</v>
      </c>
      <c r="Z178" s="919">
        <f t="shared" si="19"/>
        <v>138.33584482373669</v>
      </c>
      <c r="AA178" s="919">
        <f t="shared" si="19"/>
        <v>110.12051730404049</v>
      </c>
      <c r="AB178" s="920">
        <f t="shared" si="19"/>
        <v>131.8008372173195</v>
      </c>
      <c r="AC178" s="873">
        <f t="shared" si="19"/>
        <v>0</v>
      </c>
      <c r="AD178" s="919">
        <f t="shared" si="19"/>
        <v>0</v>
      </c>
      <c r="AE178" s="919">
        <f t="shared" si="19"/>
        <v>0</v>
      </c>
      <c r="AF178" s="919">
        <f t="shared" si="19"/>
        <v>0</v>
      </c>
      <c r="AG178" s="920">
        <f t="shared" si="19"/>
        <v>0</v>
      </c>
      <c r="AH178" s="903"/>
    </row>
    <row r="179" spans="1:34">
      <c r="A179" s="900"/>
      <c r="B179" s="768" t="s">
        <v>3881</v>
      </c>
      <c r="C179" s="919"/>
      <c r="D179" s="873">
        <f t="shared" si="19"/>
        <v>107.08629312573379</v>
      </c>
      <c r="E179" s="919">
        <f t="shared" si="19"/>
        <v>0</v>
      </c>
      <c r="F179" s="919">
        <f t="shared" si="19"/>
        <v>283.25441933952919</v>
      </c>
      <c r="G179" s="919">
        <f t="shared" si="19"/>
        <v>155.44987751353577</v>
      </c>
      <c r="H179" s="920">
        <f t="shared" si="19"/>
        <v>0</v>
      </c>
      <c r="I179" s="873">
        <f t="shared" si="19"/>
        <v>133.83869878474022</v>
      </c>
      <c r="J179" s="919">
        <f t="shared" si="19"/>
        <v>51.18231668950024</v>
      </c>
      <c r="K179" s="919">
        <f t="shared" si="19"/>
        <v>92.110066261289035</v>
      </c>
      <c r="L179" s="919">
        <f t="shared" si="19"/>
        <v>122.65729503897866</v>
      </c>
      <c r="M179" s="920">
        <f t="shared" si="19"/>
        <v>135.64415971709195</v>
      </c>
      <c r="N179" s="873">
        <f t="shared" si="19"/>
        <v>0</v>
      </c>
      <c r="O179" s="919">
        <f t="shared" si="19"/>
        <v>0</v>
      </c>
      <c r="P179" s="919">
        <f t="shared" si="19"/>
        <v>0</v>
      </c>
      <c r="Q179" s="919">
        <f t="shared" si="19"/>
        <v>0</v>
      </c>
      <c r="R179" s="920">
        <f t="shared" si="19"/>
        <v>0</v>
      </c>
      <c r="S179" s="873">
        <f t="shared" si="19"/>
        <v>320.05514405033233</v>
      </c>
      <c r="T179" s="919">
        <f t="shared" si="19"/>
        <v>166.50001665000167</v>
      </c>
      <c r="U179" s="919">
        <f t="shared" si="19"/>
        <v>169.80001698000171</v>
      </c>
      <c r="V179" s="919">
        <f t="shared" si="19"/>
        <v>278.55002785500284</v>
      </c>
      <c r="W179" s="920">
        <f t="shared" si="19"/>
        <v>87.590309409032031</v>
      </c>
      <c r="X179" s="873">
        <f t="shared" si="19"/>
        <v>205.60524914761641</v>
      </c>
      <c r="Y179" s="919">
        <f t="shared" si="19"/>
        <v>63.925400058833361</v>
      </c>
      <c r="Z179" s="919">
        <f t="shared" si="19"/>
        <v>158.32348228300719</v>
      </c>
      <c r="AA179" s="919">
        <f t="shared" si="19"/>
        <v>193.3503458059493</v>
      </c>
      <c r="AB179" s="920">
        <f t="shared" si="19"/>
        <v>156.04646477104754</v>
      </c>
      <c r="AC179" s="873">
        <f t="shared" si="19"/>
        <v>0</v>
      </c>
      <c r="AD179" s="919">
        <f t="shared" si="19"/>
        <v>0</v>
      </c>
      <c r="AE179" s="919">
        <f t="shared" si="19"/>
        <v>0</v>
      </c>
      <c r="AF179" s="919">
        <f t="shared" si="19"/>
        <v>0</v>
      </c>
      <c r="AG179" s="920">
        <f t="shared" si="19"/>
        <v>0</v>
      </c>
      <c r="AH179" s="903"/>
    </row>
    <row r="180" spans="1:34" ht="15">
      <c r="A180" s="900"/>
      <c r="B180" s="770" t="s">
        <v>3882</v>
      </c>
      <c r="C180" s="919"/>
      <c r="D180" s="873">
        <f t="shared" si="19"/>
        <v>106.74060678889397</v>
      </c>
      <c r="E180" s="919">
        <f t="shared" si="19"/>
        <v>0</v>
      </c>
      <c r="F180" s="919">
        <f t="shared" si="19"/>
        <v>46.138465578546707</v>
      </c>
      <c r="G180" s="919">
        <f t="shared" si="19"/>
        <v>233.6819273145704</v>
      </c>
      <c r="H180" s="920">
        <f t="shared" si="19"/>
        <v>0</v>
      </c>
      <c r="I180" s="873">
        <f t="shared" si="19"/>
        <v>100.54376964208969</v>
      </c>
      <c r="J180" s="919">
        <f t="shared" si="19"/>
        <v>120.56591571268574</v>
      </c>
      <c r="K180" s="919">
        <f t="shared" si="19"/>
        <v>140.01617461895734</v>
      </c>
      <c r="L180" s="919">
        <f t="shared" si="19"/>
        <v>96.713807858807854</v>
      </c>
      <c r="M180" s="920">
        <f t="shared" si="19"/>
        <v>75.864433517997156</v>
      </c>
      <c r="N180" s="873">
        <f t="shared" si="19"/>
        <v>0</v>
      </c>
      <c r="O180" s="919">
        <f t="shared" si="19"/>
        <v>0</v>
      </c>
      <c r="P180" s="919">
        <f t="shared" si="19"/>
        <v>0</v>
      </c>
      <c r="Q180" s="919">
        <f t="shared" si="19"/>
        <v>0</v>
      </c>
      <c r="R180" s="920">
        <f t="shared" si="19"/>
        <v>0</v>
      </c>
      <c r="S180" s="873">
        <f t="shared" si="19"/>
        <v>54.75</v>
      </c>
      <c r="T180" s="919">
        <f t="shared" si="19"/>
        <v>56.13</v>
      </c>
      <c r="U180" s="919">
        <f t="shared" si="19"/>
        <v>32.855000000000004</v>
      </c>
      <c r="V180" s="919">
        <f t="shared" si="19"/>
        <v>28.209999999999997</v>
      </c>
      <c r="W180" s="920">
        <f t="shared" si="19"/>
        <v>58.747789277389288</v>
      </c>
      <c r="X180" s="873">
        <f t="shared" si="19"/>
        <v>216.35212916487592</v>
      </c>
      <c r="Y180" s="919">
        <f t="shared" si="19"/>
        <v>262.61046999626672</v>
      </c>
      <c r="Z180" s="919">
        <f t="shared" si="19"/>
        <v>315.75274077756711</v>
      </c>
      <c r="AA180" s="919">
        <f t="shared" si="19"/>
        <v>216.26221833721834</v>
      </c>
      <c r="AB180" s="920">
        <f t="shared" si="19"/>
        <v>157.43441511619693</v>
      </c>
      <c r="AC180" s="873">
        <f t="shared" si="19"/>
        <v>0</v>
      </c>
      <c r="AD180" s="919">
        <f t="shared" si="19"/>
        <v>0</v>
      </c>
      <c r="AE180" s="919">
        <f t="shared" si="19"/>
        <v>0</v>
      </c>
      <c r="AF180" s="919">
        <f t="shared" si="19"/>
        <v>0</v>
      </c>
      <c r="AG180" s="920">
        <f t="shared" si="19"/>
        <v>0</v>
      </c>
      <c r="AH180" s="903"/>
    </row>
    <row r="181" spans="1:34" ht="15">
      <c r="A181" s="904"/>
      <c r="B181" s="771" t="s">
        <v>3883</v>
      </c>
      <c r="C181" s="925"/>
      <c r="D181" s="873">
        <f t="shared" si="19"/>
        <v>62.974088235806256</v>
      </c>
      <c r="E181" s="919">
        <f t="shared" si="19"/>
        <v>0</v>
      </c>
      <c r="F181" s="919">
        <f t="shared" si="19"/>
        <v>172.48548115917609</v>
      </c>
      <c r="G181" s="919">
        <f t="shared" si="19"/>
        <v>89.444378830489228</v>
      </c>
      <c r="H181" s="920">
        <f t="shared" si="19"/>
        <v>0</v>
      </c>
      <c r="I181" s="873">
        <f t="shared" si="19"/>
        <v>98.201255483659637</v>
      </c>
      <c r="J181" s="919">
        <f t="shared" si="19"/>
        <v>61.048680865170581</v>
      </c>
      <c r="K181" s="919">
        <f t="shared" si="19"/>
        <v>60.168614445631604</v>
      </c>
      <c r="L181" s="919">
        <f t="shared" si="19"/>
        <v>52.234237199435839</v>
      </c>
      <c r="M181" s="920">
        <f t="shared" si="19"/>
        <v>43.218282926015966</v>
      </c>
      <c r="N181" s="873">
        <f t="shared" si="19"/>
        <v>0</v>
      </c>
      <c r="O181" s="919">
        <f t="shared" si="19"/>
        <v>0</v>
      </c>
      <c r="P181" s="919">
        <f t="shared" si="19"/>
        <v>0</v>
      </c>
      <c r="Q181" s="919">
        <f t="shared" si="19"/>
        <v>0</v>
      </c>
      <c r="R181" s="920">
        <f t="shared" si="19"/>
        <v>0</v>
      </c>
      <c r="S181" s="873">
        <f t="shared" si="19"/>
        <v>181.06499448264154</v>
      </c>
      <c r="T181" s="919">
        <f t="shared" si="19"/>
        <v>329.43636363636364</v>
      </c>
      <c r="U181" s="919">
        <f t="shared" si="19"/>
        <v>203.86818181818182</v>
      </c>
      <c r="V181" s="919">
        <f t="shared" si="19"/>
        <v>31.690909090909088</v>
      </c>
      <c r="W181" s="920">
        <f t="shared" si="19"/>
        <v>116.36868162259606</v>
      </c>
      <c r="X181" s="873">
        <f t="shared" si="19"/>
        <v>168.78126463432531</v>
      </c>
      <c r="Y181" s="919">
        <f t="shared" si="19"/>
        <v>32.634800806610137</v>
      </c>
      <c r="Z181" s="919">
        <f t="shared" si="19"/>
        <v>72.437373100413154</v>
      </c>
      <c r="AA181" s="919">
        <f t="shared" si="19"/>
        <v>111.31625043504727</v>
      </c>
      <c r="AB181" s="920">
        <f t="shared" si="19"/>
        <v>62.053099619838569</v>
      </c>
      <c r="AC181" s="873">
        <f t="shared" si="19"/>
        <v>0</v>
      </c>
      <c r="AD181" s="919">
        <f t="shared" si="19"/>
        <v>0</v>
      </c>
      <c r="AE181" s="919">
        <f t="shared" si="19"/>
        <v>0</v>
      </c>
      <c r="AF181" s="919">
        <f t="shared" si="19"/>
        <v>0</v>
      </c>
      <c r="AG181" s="920">
        <f t="shared" si="19"/>
        <v>0</v>
      </c>
      <c r="AH181" s="903"/>
    </row>
    <row r="182" spans="1:34" ht="15">
      <c r="A182" s="905"/>
      <c r="B182" s="770" t="s">
        <v>3884</v>
      </c>
      <c r="C182" s="873"/>
      <c r="D182" s="873">
        <f t="shared" si="19"/>
        <v>76.598925764258951</v>
      </c>
      <c r="E182" s="919">
        <f t="shared" si="19"/>
        <v>0</v>
      </c>
      <c r="F182" s="919">
        <f t="shared" si="19"/>
        <v>75.470858152237469</v>
      </c>
      <c r="G182" s="919">
        <f t="shared" si="19"/>
        <v>153.57387406585838</v>
      </c>
      <c r="H182" s="920">
        <f t="shared" si="19"/>
        <v>0</v>
      </c>
      <c r="I182" s="873">
        <f t="shared" si="19"/>
        <v>86.237334718421693</v>
      </c>
      <c r="J182" s="919">
        <f t="shared" si="19"/>
        <v>71.904063043478274</v>
      </c>
      <c r="K182" s="919">
        <f t="shared" si="19"/>
        <v>104.23227026489815</v>
      </c>
      <c r="L182" s="919">
        <f t="shared" si="19"/>
        <v>57.657499663292647</v>
      </c>
      <c r="M182" s="920">
        <f t="shared" si="19"/>
        <v>62.964227120461615</v>
      </c>
      <c r="N182" s="873">
        <f t="shared" si="19"/>
        <v>0</v>
      </c>
      <c r="O182" s="919">
        <f t="shared" si="19"/>
        <v>0</v>
      </c>
      <c r="P182" s="919">
        <f t="shared" si="19"/>
        <v>0</v>
      </c>
      <c r="Q182" s="919">
        <f t="shared" si="19"/>
        <v>0</v>
      </c>
      <c r="R182" s="920">
        <f t="shared" si="19"/>
        <v>0</v>
      </c>
      <c r="S182" s="873">
        <f t="shared" si="19"/>
        <v>59.673199275362343</v>
      </c>
      <c r="T182" s="919">
        <f t="shared" si="19"/>
        <v>29.234800000000007</v>
      </c>
      <c r="U182" s="919">
        <f t="shared" si="19"/>
        <v>252.17051467391309</v>
      </c>
      <c r="V182" s="919">
        <f t="shared" si="19"/>
        <v>28.764060144927541</v>
      </c>
      <c r="W182" s="920">
        <f t="shared" si="19"/>
        <v>7.5124713755658599</v>
      </c>
      <c r="X182" s="873">
        <f t="shared" si="19"/>
        <v>181.32938125119651</v>
      </c>
      <c r="Y182" s="919">
        <f t="shared" si="19"/>
        <v>158.03121376811595</v>
      </c>
      <c r="Z182" s="919">
        <f t="shared" si="19"/>
        <v>159.15179239345798</v>
      </c>
      <c r="AA182" s="919">
        <f t="shared" si="19"/>
        <v>124.94614583270697</v>
      </c>
      <c r="AB182" s="920">
        <f t="shared" si="19"/>
        <v>144.41237282255514</v>
      </c>
      <c r="AC182" s="873">
        <f t="shared" si="19"/>
        <v>0</v>
      </c>
      <c r="AD182" s="919">
        <f t="shared" si="19"/>
        <v>0</v>
      </c>
      <c r="AE182" s="919">
        <f t="shared" si="19"/>
        <v>0</v>
      </c>
      <c r="AF182" s="919">
        <f t="shared" si="19"/>
        <v>0</v>
      </c>
      <c r="AG182" s="920">
        <f t="shared" si="19"/>
        <v>0</v>
      </c>
      <c r="AH182" s="903"/>
    </row>
    <row r="183" spans="1:34" ht="15">
      <c r="A183" s="905"/>
      <c r="B183" s="770" t="s">
        <v>3885</v>
      </c>
      <c r="C183" s="873"/>
      <c r="D183" s="873">
        <f t="shared" si="19"/>
        <v>114.75765539631368</v>
      </c>
      <c r="E183" s="919">
        <f t="shared" si="19"/>
        <v>0</v>
      </c>
      <c r="F183" s="919">
        <f t="shared" si="19"/>
        <v>81.407760295590535</v>
      </c>
      <c r="G183" s="919">
        <f t="shared" si="19"/>
        <v>240.6319424928684</v>
      </c>
      <c r="H183" s="920">
        <f t="shared" si="19"/>
        <v>0</v>
      </c>
      <c r="I183" s="873">
        <f t="shared" si="19"/>
        <v>129.02428571428572</v>
      </c>
      <c r="J183" s="919">
        <f t="shared" si="19"/>
        <v>114.29099102276881</v>
      </c>
      <c r="K183" s="919">
        <f t="shared" si="19"/>
        <v>127.06434920634922</v>
      </c>
      <c r="L183" s="919">
        <f t="shared" si="19"/>
        <v>131.84655555555557</v>
      </c>
      <c r="M183" s="920">
        <f t="shared" si="19"/>
        <v>71.563243059163057</v>
      </c>
      <c r="N183" s="873">
        <f t="shared" si="19"/>
        <v>0</v>
      </c>
      <c r="O183" s="919">
        <f t="shared" si="19"/>
        <v>0</v>
      </c>
      <c r="P183" s="919">
        <f t="shared" si="19"/>
        <v>0</v>
      </c>
      <c r="Q183" s="919">
        <f t="shared" si="19"/>
        <v>0</v>
      </c>
      <c r="R183" s="920">
        <f t="shared" si="19"/>
        <v>0</v>
      </c>
      <c r="S183" s="873">
        <f t="shared" si="19"/>
        <v>122.36111111111111</v>
      </c>
      <c r="T183" s="919">
        <f t="shared" si="19"/>
        <v>92.776444444444451</v>
      </c>
      <c r="U183" s="919">
        <f t="shared" si="19"/>
        <v>48.998388888888897</v>
      </c>
      <c r="V183" s="919">
        <f t="shared" si="19"/>
        <v>85.554000000000002</v>
      </c>
      <c r="W183" s="920">
        <f t="shared" si="19"/>
        <v>57.349671111111114</v>
      </c>
      <c r="X183" s="873">
        <f t="shared" si="19"/>
        <v>260.26962962962966</v>
      </c>
      <c r="Y183" s="919">
        <f t="shared" si="19"/>
        <v>235.75349757164571</v>
      </c>
      <c r="Z183" s="919">
        <f t="shared" si="19"/>
        <v>280.15068518518518</v>
      </c>
      <c r="AA183" s="919">
        <f t="shared" si="19"/>
        <v>279.12396296296299</v>
      </c>
      <c r="AB183" s="920">
        <f t="shared" si="19"/>
        <v>147.86434343434343</v>
      </c>
      <c r="AC183" s="873">
        <f t="shared" si="19"/>
        <v>0</v>
      </c>
      <c r="AD183" s="919">
        <f t="shared" si="19"/>
        <v>0</v>
      </c>
      <c r="AE183" s="919">
        <f t="shared" si="19"/>
        <v>0</v>
      </c>
      <c r="AF183" s="919">
        <f t="shared" si="19"/>
        <v>0</v>
      </c>
      <c r="AG183" s="920">
        <f t="shared" si="19"/>
        <v>0</v>
      </c>
      <c r="AH183" s="903"/>
    </row>
    <row r="184" spans="1:34" ht="15">
      <c r="A184" s="905"/>
      <c r="B184" s="770" t="s">
        <v>3886</v>
      </c>
      <c r="C184" s="873"/>
      <c r="D184" s="873">
        <f t="shared" si="19"/>
        <v>68.092419422591703</v>
      </c>
      <c r="E184" s="919">
        <f t="shared" si="19"/>
        <v>0</v>
      </c>
      <c r="F184" s="919">
        <f t="shared" si="19"/>
        <v>137.87954905102848</v>
      </c>
      <c r="G184" s="919">
        <f t="shared" si="19"/>
        <v>112.92246230237113</v>
      </c>
      <c r="H184" s="920">
        <f t="shared" si="19"/>
        <v>0</v>
      </c>
      <c r="I184" s="873">
        <f t="shared" si="19"/>
        <v>76.215913200723335</v>
      </c>
      <c r="J184" s="919">
        <f t="shared" si="19"/>
        <v>65.769547920434007</v>
      </c>
      <c r="K184" s="919">
        <f t="shared" si="19"/>
        <v>65.598083182640138</v>
      </c>
      <c r="L184" s="919">
        <f t="shared" si="19"/>
        <v>91.793001808318266</v>
      </c>
      <c r="M184" s="920">
        <f t="shared" si="19"/>
        <v>41.086231925036984</v>
      </c>
      <c r="N184" s="873">
        <f t="shared" si="19"/>
        <v>0</v>
      </c>
      <c r="O184" s="919">
        <f t="shared" si="19"/>
        <v>0</v>
      </c>
      <c r="P184" s="919">
        <f t="shared" si="19"/>
        <v>0</v>
      </c>
      <c r="Q184" s="919">
        <f t="shared" si="19"/>
        <v>0</v>
      </c>
      <c r="R184" s="920">
        <f t="shared" si="19"/>
        <v>0</v>
      </c>
      <c r="S184" s="873">
        <f t="shared" ref="S184:AG184" si="20">100*(S157/S131)</f>
        <v>261.11645569620254</v>
      </c>
      <c r="T184" s="919">
        <f t="shared" si="20"/>
        <v>193.66784810126583</v>
      </c>
      <c r="U184" s="919">
        <f t="shared" si="20"/>
        <v>181.89506329113925</v>
      </c>
      <c r="V184" s="919">
        <f t="shared" si="20"/>
        <v>13.6673417721519</v>
      </c>
      <c r="W184" s="920">
        <f t="shared" si="20"/>
        <v>39.052415189873422</v>
      </c>
      <c r="X184" s="873">
        <f t="shared" si="20"/>
        <v>90.798312236286918</v>
      </c>
      <c r="Y184" s="919">
        <f t="shared" si="20"/>
        <v>88.906329113924059</v>
      </c>
      <c r="Z184" s="919">
        <f t="shared" si="20"/>
        <v>92.430506329113925</v>
      </c>
      <c r="AA184" s="919">
        <f t="shared" si="20"/>
        <v>209.62789029535864</v>
      </c>
      <c r="AB184" s="920">
        <f t="shared" si="20"/>
        <v>82.850402761795152</v>
      </c>
      <c r="AC184" s="873">
        <f t="shared" si="20"/>
        <v>0</v>
      </c>
      <c r="AD184" s="919">
        <f t="shared" si="20"/>
        <v>0</v>
      </c>
      <c r="AE184" s="919">
        <f t="shared" si="20"/>
        <v>0</v>
      </c>
      <c r="AF184" s="919">
        <f t="shared" si="20"/>
        <v>0</v>
      </c>
      <c r="AG184" s="920">
        <f t="shared" si="20"/>
        <v>0</v>
      </c>
      <c r="AH184" s="903"/>
    </row>
    <row r="185" spans="1:34" ht="15">
      <c r="A185" s="905"/>
      <c r="B185" s="770" t="s">
        <v>3887</v>
      </c>
      <c r="C185" s="873"/>
      <c r="D185" s="873">
        <f t="shared" ref="D185:AG193" si="21">100*(D158/D132)</f>
        <v>103.19174835739435</v>
      </c>
      <c r="E185" s="919">
        <f t="shared" si="21"/>
        <v>0</v>
      </c>
      <c r="F185" s="919">
        <f t="shared" si="21"/>
        <v>121.12584663408761</v>
      </c>
      <c r="G185" s="919">
        <f t="shared" si="21"/>
        <v>200.40546395589098</v>
      </c>
      <c r="H185" s="920">
        <f t="shared" si="21"/>
        <v>0</v>
      </c>
      <c r="I185" s="873">
        <f t="shared" si="21"/>
        <v>97.442823842823827</v>
      </c>
      <c r="J185" s="919">
        <f t="shared" si="21"/>
        <v>127.2117349132466</v>
      </c>
      <c r="K185" s="919">
        <f t="shared" si="21"/>
        <v>119.43456148851148</v>
      </c>
      <c r="L185" s="919">
        <f t="shared" si="21"/>
        <v>100.83257625707627</v>
      </c>
      <c r="M185" s="920">
        <f t="shared" si="21"/>
        <v>71.038077202797197</v>
      </c>
      <c r="N185" s="873">
        <f t="shared" si="21"/>
        <v>0</v>
      </c>
      <c r="O185" s="919">
        <f t="shared" si="21"/>
        <v>0</v>
      </c>
      <c r="P185" s="919">
        <f t="shared" si="21"/>
        <v>0</v>
      </c>
      <c r="Q185" s="919">
        <f t="shared" si="21"/>
        <v>0</v>
      </c>
      <c r="R185" s="920">
        <f t="shared" si="21"/>
        <v>0</v>
      </c>
      <c r="S185" s="873">
        <f t="shared" si="21"/>
        <v>170.25</v>
      </c>
      <c r="T185" s="919">
        <f t="shared" si="21"/>
        <v>222.48799999999997</v>
      </c>
      <c r="U185" s="919">
        <f t="shared" si="21"/>
        <v>51.985499999999995</v>
      </c>
      <c r="V185" s="919">
        <f t="shared" si="21"/>
        <v>89.986000000000004</v>
      </c>
      <c r="W185" s="920">
        <f t="shared" si="21"/>
        <v>70.920944428904434</v>
      </c>
      <c r="X185" s="873">
        <f t="shared" si="21"/>
        <v>170.61658896658898</v>
      </c>
      <c r="Y185" s="919">
        <f t="shared" si="21"/>
        <v>222.66471479757536</v>
      </c>
      <c r="Z185" s="919">
        <f t="shared" si="21"/>
        <v>261.35214347319351</v>
      </c>
      <c r="AA185" s="919">
        <f t="shared" si="21"/>
        <v>205.28067793317794</v>
      </c>
      <c r="AB185" s="920">
        <f t="shared" si="21"/>
        <v>142.11519866355866</v>
      </c>
      <c r="AC185" s="873">
        <f t="shared" si="21"/>
        <v>0</v>
      </c>
      <c r="AD185" s="919">
        <f t="shared" si="21"/>
        <v>0</v>
      </c>
      <c r="AE185" s="919">
        <f t="shared" si="21"/>
        <v>0</v>
      </c>
      <c r="AF185" s="919">
        <f t="shared" si="21"/>
        <v>0</v>
      </c>
      <c r="AG185" s="920">
        <f t="shared" si="21"/>
        <v>0</v>
      </c>
      <c r="AH185" s="903"/>
    </row>
    <row r="186" spans="1:34" ht="15">
      <c r="A186" s="905"/>
      <c r="B186" s="770" t="s">
        <v>3888</v>
      </c>
      <c r="C186" s="873"/>
      <c r="D186" s="873">
        <f t="shared" si="21"/>
        <v>113.45038032121906</v>
      </c>
      <c r="E186" s="919">
        <f t="shared" si="21"/>
        <v>0</v>
      </c>
      <c r="F186" s="919">
        <f t="shared" si="21"/>
        <v>194.71938733541884</v>
      </c>
      <c r="G186" s="919">
        <f t="shared" si="21"/>
        <v>199.81109163770483</v>
      </c>
      <c r="H186" s="920">
        <f t="shared" si="21"/>
        <v>0</v>
      </c>
      <c r="I186" s="873">
        <f t="shared" si="21"/>
        <v>125.59631336405531</v>
      </c>
      <c r="J186" s="919">
        <f t="shared" si="21"/>
        <v>139.42936179066933</v>
      </c>
      <c r="K186" s="919">
        <f t="shared" si="21"/>
        <v>113.87638248847927</v>
      </c>
      <c r="L186" s="919">
        <f t="shared" si="21"/>
        <v>96.056313364055299</v>
      </c>
      <c r="M186" s="920">
        <f t="shared" si="21"/>
        <v>92.294665102639286</v>
      </c>
      <c r="N186" s="873">
        <f t="shared" si="21"/>
        <v>0</v>
      </c>
      <c r="O186" s="919">
        <f t="shared" si="21"/>
        <v>0</v>
      </c>
      <c r="P186" s="919">
        <f t="shared" si="21"/>
        <v>0</v>
      </c>
      <c r="Q186" s="919">
        <f t="shared" si="21"/>
        <v>0</v>
      </c>
      <c r="R186" s="920">
        <f t="shared" si="21"/>
        <v>0</v>
      </c>
      <c r="S186" s="873">
        <f t="shared" si="21"/>
        <v>315.80645161290323</v>
      </c>
      <c r="T186" s="919">
        <f t="shared" si="21"/>
        <v>220.56064516129035</v>
      </c>
      <c r="U186" s="919">
        <f t="shared" si="21"/>
        <v>182.05983870967742</v>
      </c>
      <c r="V186" s="919">
        <f t="shared" si="21"/>
        <v>143.54387096774195</v>
      </c>
      <c r="W186" s="920">
        <f t="shared" si="21"/>
        <v>111.62807741935481</v>
      </c>
      <c r="X186" s="873">
        <f t="shared" si="21"/>
        <v>187.78924731182792</v>
      </c>
      <c r="Y186" s="919">
        <f t="shared" si="21"/>
        <v>251.81496245779834</v>
      </c>
      <c r="Z186" s="919">
        <f t="shared" si="21"/>
        <v>205.02494623655915</v>
      </c>
      <c r="AA186" s="919">
        <f t="shared" si="21"/>
        <v>176.28344086021505</v>
      </c>
      <c r="AB186" s="920">
        <f t="shared" si="21"/>
        <v>178.14485943304007</v>
      </c>
      <c r="AC186" s="873">
        <f t="shared" si="21"/>
        <v>0</v>
      </c>
      <c r="AD186" s="919">
        <f t="shared" si="21"/>
        <v>0</v>
      </c>
      <c r="AE186" s="919">
        <f t="shared" si="21"/>
        <v>0</v>
      </c>
      <c r="AF186" s="919">
        <f t="shared" si="21"/>
        <v>0</v>
      </c>
      <c r="AG186" s="920">
        <f t="shared" si="21"/>
        <v>0</v>
      </c>
      <c r="AH186" s="903"/>
    </row>
    <row r="187" spans="1:34" ht="15">
      <c r="A187" s="905"/>
      <c r="B187" s="770" t="s">
        <v>3889</v>
      </c>
      <c r="C187" s="873"/>
      <c r="D187" s="873">
        <f t="shared" si="21"/>
        <v>71.626386578978753</v>
      </c>
      <c r="E187" s="919">
        <f t="shared" si="21"/>
        <v>0</v>
      </c>
      <c r="F187" s="919">
        <f t="shared" si="21"/>
        <v>36.577702663770935</v>
      </c>
      <c r="G187" s="919">
        <f t="shared" si="21"/>
        <v>154.93566779636009</v>
      </c>
      <c r="H187" s="920">
        <f t="shared" si="21"/>
        <v>0</v>
      </c>
      <c r="I187" s="873">
        <f t="shared" si="21"/>
        <v>60.806606222923598</v>
      </c>
      <c r="J187" s="919">
        <f t="shared" si="21"/>
        <v>70.024990512272538</v>
      </c>
      <c r="K187" s="919">
        <f t="shared" si="21"/>
        <v>85.674090610614286</v>
      </c>
      <c r="L187" s="919">
        <f t="shared" si="21"/>
        <v>90.087919988445066</v>
      </c>
      <c r="M187" s="920">
        <f t="shared" si="21"/>
        <v>51.539041824504025</v>
      </c>
      <c r="N187" s="873">
        <f t="shared" si="21"/>
        <v>0</v>
      </c>
      <c r="O187" s="919">
        <f t="shared" si="21"/>
        <v>0</v>
      </c>
      <c r="P187" s="919">
        <f t="shared" si="21"/>
        <v>0</v>
      </c>
      <c r="Q187" s="919">
        <f t="shared" si="21"/>
        <v>0</v>
      </c>
      <c r="R187" s="920">
        <f t="shared" si="21"/>
        <v>0</v>
      </c>
      <c r="S187" s="873">
        <f t="shared" si="21"/>
        <v>57.545454545454547</v>
      </c>
      <c r="T187" s="919">
        <f t="shared" si="21"/>
        <v>39.771639417265732</v>
      </c>
      <c r="U187" s="919">
        <f t="shared" si="21"/>
        <v>17.372727272727271</v>
      </c>
      <c r="V187" s="919">
        <f t="shared" si="21"/>
        <v>21.836363636363636</v>
      </c>
      <c r="W187" s="920">
        <f t="shared" si="21"/>
        <v>46.362694224070125</v>
      </c>
      <c r="X187" s="873">
        <f t="shared" si="21"/>
        <v>122.70026300500356</v>
      </c>
      <c r="Y187" s="919">
        <f t="shared" si="21"/>
        <v>150.13443138954736</v>
      </c>
      <c r="Z187" s="919">
        <f t="shared" si="21"/>
        <v>194.11530233385761</v>
      </c>
      <c r="AA187" s="919">
        <f t="shared" si="21"/>
        <v>202.92635876091731</v>
      </c>
      <c r="AB187" s="920">
        <f t="shared" si="21"/>
        <v>104.80353284915269</v>
      </c>
      <c r="AC187" s="873">
        <f t="shared" si="21"/>
        <v>0</v>
      </c>
      <c r="AD187" s="919">
        <f t="shared" si="21"/>
        <v>0</v>
      </c>
      <c r="AE187" s="919">
        <f t="shared" si="21"/>
        <v>0</v>
      </c>
      <c r="AF187" s="919">
        <f t="shared" si="21"/>
        <v>0</v>
      </c>
      <c r="AG187" s="920">
        <f t="shared" si="21"/>
        <v>0</v>
      </c>
      <c r="AH187" s="903"/>
    </row>
    <row r="188" spans="1:34" ht="15">
      <c r="A188" s="905"/>
      <c r="B188" s="770" t="s">
        <v>3890</v>
      </c>
      <c r="C188" s="873"/>
      <c r="D188" s="873">
        <f t="shared" si="21"/>
        <v>125.48161303879999</v>
      </c>
      <c r="E188" s="919">
        <f t="shared" si="21"/>
        <v>0</v>
      </c>
      <c r="F188" s="919">
        <f t="shared" si="21"/>
        <v>107.38105663385345</v>
      </c>
      <c r="G188" s="919">
        <f t="shared" si="21"/>
        <v>256.99674487924881</v>
      </c>
      <c r="H188" s="920">
        <f t="shared" si="21"/>
        <v>0</v>
      </c>
      <c r="I188" s="873">
        <f t="shared" si="21"/>
        <v>123.0974014153109</v>
      </c>
      <c r="J188" s="919">
        <f t="shared" si="21"/>
        <v>116.41948366546946</v>
      </c>
      <c r="K188" s="919">
        <f t="shared" si="21"/>
        <v>146.66691499288908</v>
      </c>
      <c r="L188" s="919">
        <f t="shared" si="21"/>
        <v>126.6464434454939</v>
      </c>
      <c r="M188" s="920">
        <f t="shared" si="21"/>
        <v>114.57907649096701</v>
      </c>
      <c r="N188" s="873">
        <f t="shared" si="21"/>
        <v>0</v>
      </c>
      <c r="O188" s="919">
        <f t="shared" si="21"/>
        <v>0</v>
      </c>
      <c r="P188" s="919">
        <f t="shared" si="21"/>
        <v>0</v>
      </c>
      <c r="Q188" s="919">
        <f t="shared" si="21"/>
        <v>0</v>
      </c>
      <c r="R188" s="920">
        <f t="shared" si="21"/>
        <v>0</v>
      </c>
      <c r="S188" s="873">
        <f t="shared" si="21"/>
        <v>173.13858876884092</v>
      </c>
      <c r="T188" s="919">
        <f t="shared" si="21"/>
        <v>115.39542137358794</v>
      </c>
      <c r="U188" s="919">
        <f t="shared" si="21"/>
        <v>122.44285714285714</v>
      </c>
      <c r="V188" s="919">
        <f t="shared" si="21"/>
        <v>64.314285714285717</v>
      </c>
      <c r="W188" s="920">
        <f t="shared" si="21"/>
        <v>61.615203980261853</v>
      </c>
      <c r="X188" s="873">
        <f t="shared" si="21"/>
        <v>229.51440704611178</v>
      </c>
      <c r="Y188" s="919">
        <f t="shared" si="21"/>
        <v>233.18032142823273</v>
      </c>
      <c r="Z188" s="919">
        <f t="shared" si="21"/>
        <v>301.40851593578878</v>
      </c>
      <c r="AA188" s="919">
        <f t="shared" si="21"/>
        <v>274.07027280139056</v>
      </c>
      <c r="AB188" s="920">
        <f t="shared" si="21"/>
        <v>246.81277715216905</v>
      </c>
      <c r="AC188" s="873">
        <f t="shared" si="21"/>
        <v>0</v>
      </c>
      <c r="AD188" s="919">
        <f t="shared" si="21"/>
        <v>0</v>
      </c>
      <c r="AE188" s="919">
        <f t="shared" si="21"/>
        <v>0</v>
      </c>
      <c r="AF188" s="919">
        <f t="shared" si="21"/>
        <v>0</v>
      </c>
      <c r="AG188" s="920">
        <f t="shared" si="21"/>
        <v>0</v>
      </c>
      <c r="AH188" s="903"/>
    </row>
    <row r="189" spans="1:34" ht="15">
      <c r="A189" s="905"/>
      <c r="B189" s="770" t="s">
        <v>3891</v>
      </c>
      <c r="C189" s="873"/>
      <c r="D189" s="873">
        <f t="shared" si="21"/>
        <v>122.45843321495478</v>
      </c>
      <c r="E189" s="919">
        <f t="shared" si="21"/>
        <v>0</v>
      </c>
      <c r="F189" s="919">
        <f t="shared" si="21"/>
        <v>133.89019990790524</v>
      </c>
      <c r="G189" s="919">
        <f t="shared" si="21"/>
        <v>241.10627753225938</v>
      </c>
      <c r="H189" s="920">
        <f t="shared" si="21"/>
        <v>0</v>
      </c>
      <c r="I189" s="873">
        <f t="shared" si="21"/>
        <v>115.0896485600674</v>
      </c>
      <c r="J189" s="919">
        <f t="shared" si="21"/>
        <v>131.67066428142425</v>
      </c>
      <c r="K189" s="919">
        <f t="shared" si="21"/>
        <v>137.46733275547064</v>
      </c>
      <c r="L189" s="919">
        <f t="shared" si="21"/>
        <v>113.49673552954191</v>
      </c>
      <c r="M189" s="920">
        <f t="shared" si="21"/>
        <v>114.5690095326017</v>
      </c>
      <c r="N189" s="873">
        <f t="shared" si="21"/>
        <v>0</v>
      </c>
      <c r="O189" s="919">
        <f t="shared" si="21"/>
        <v>0</v>
      </c>
      <c r="P189" s="919">
        <f t="shared" si="21"/>
        <v>0</v>
      </c>
      <c r="Q189" s="919">
        <f t="shared" si="21"/>
        <v>0</v>
      </c>
      <c r="R189" s="920">
        <f t="shared" si="21"/>
        <v>0</v>
      </c>
      <c r="S189" s="873">
        <f t="shared" si="21"/>
        <v>111.20224089635855</v>
      </c>
      <c r="T189" s="919">
        <f t="shared" si="21"/>
        <v>9.6599999999999984</v>
      </c>
      <c r="U189" s="919">
        <f t="shared" si="21"/>
        <v>184.82</v>
      </c>
      <c r="V189" s="919">
        <f t="shared" si="21"/>
        <v>124.71999999999998</v>
      </c>
      <c r="W189" s="920">
        <f t="shared" si="21"/>
        <v>239.05009754516672</v>
      </c>
      <c r="X189" s="873">
        <f t="shared" si="21"/>
        <v>231.47509967470441</v>
      </c>
      <c r="Y189" s="919">
        <f t="shared" si="21"/>
        <v>304.01154998998999</v>
      </c>
      <c r="Z189" s="919">
        <f t="shared" si="21"/>
        <v>259.15044309609817</v>
      </c>
      <c r="AA189" s="919">
        <f t="shared" si="21"/>
        <v>223.25238290226451</v>
      </c>
      <c r="AB189" s="920">
        <f t="shared" si="21"/>
        <v>187.64432306101506</v>
      </c>
      <c r="AC189" s="873">
        <f t="shared" si="21"/>
        <v>0</v>
      </c>
      <c r="AD189" s="919">
        <f t="shared" si="21"/>
        <v>0</v>
      </c>
      <c r="AE189" s="919">
        <f t="shared" si="21"/>
        <v>0</v>
      </c>
      <c r="AF189" s="919">
        <f t="shared" si="21"/>
        <v>0</v>
      </c>
      <c r="AG189" s="920">
        <f t="shared" si="21"/>
        <v>0</v>
      </c>
      <c r="AH189" s="903"/>
    </row>
    <row r="190" spans="1:34" ht="15">
      <c r="A190" s="905"/>
      <c r="B190" s="770" t="s">
        <v>2990</v>
      </c>
      <c r="C190" s="873"/>
      <c r="D190" s="873">
        <f t="shared" si="21"/>
        <v>99.223686132158832</v>
      </c>
      <c r="E190" s="919">
        <f t="shared" si="21"/>
        <v>0</v>
      </c>
      <c r="F190" s="919">
        <f t="shared" si="21"/>
        <v>59.221208557582884</v>
      </c>
      <c r="G190" s="919">
        <f t="shared" si="21"/>
        <v>211.78153145584298</v>
      </c>
      <c r="H190" s="920">
        <f t="shared" si="21"/>
        <v>0</v>
      </c>
      <c r="I190" s="873">
        <f t="shared" si="21"/>
        <v>133.31071428571428</v>
      </c>
      <c r="J190" s="919">
        <f t="shared" si="21"/>
        <v>83.393144228990906</v>
      </c>
      <c r="K190" s="919">
        <f t="shared" si="21"/>
        <v>51.249841785547623</v>
      </c>
      <c r="L190" s="919">
        <f t="shared" si="21"/>
        <v>177.41913392857145</v>
      </c>
      <c r="M190" s="920">
        <f t="shared" si="21"/>
        <v>50.746588668831158</v>
      </c>
      <c r="N190" s="873">
        <f t="shared" si="21"/>
        <v>0</v>
      </c>
      <c r="O190" s="919">
        <f t="shared" si="21"/>
        <v>0</v>
      </c>
      <c r="P190" s="919">
        <f t="shared" si="21"/>
        <v>0</v>
      </c>
      <c r="Q190" s="919">
        <f t="shared" si="21"/>
        <v>0</v>
      </c>
      <c r="R190" s="920">
        <f t="shared" si="21"/>
        <v>0</v>
      </c>
      <c r="S190" s="873">
        <f t="shared" si="21"/>
        <v>82.8</v>
      </c>
      <c r="T190" s="919">
        <f t="shared" si="21"/>
        <v>157.49699999999999</v>
      </c>
      <c r="U190" s="919">
        <f t="shared" si="21"/>
        <v>12.536375</v>
      </c>
      <c r="V190" s="919">
        <f t="shared" si="21"/>
        <v>32.496499999999997</v>
      </c>
      <c r="W190" s="920">
        <f t="shared" si="21"/>
        <v>10.776759999999996</v>
      </c>
      <c r="X190" s="873">
        <f t="shared" si="21"/>
        <v>283.45833333333331</v>
      </c>
      <c r="Y190" s="919">
        <f t="shared" si="21"/>
        <v>142.08500320097878</v>
      </c>
      <c r="Z190" s="919">
        <f t="shared" si="21"/>
        <v>115.40417249961112</v>
      </c>
      <c r="AA190" s="919">
        <f t="shared" si="21"/>
        <v>403.14581250000003</v>
      </c>
      <c r="AB190" s="920">
        <f t="shared" si="21"/>
        <v>114.81645356060606</v>
      </c>
      <c r="AC190" s="873">
        <f t="shared" si="21"/>
        <v>0</v>
      </c>
      <c r="AD190" s="919">
        <f t="shared" si="21"/>
        <v>0</v>
      </c>
      <c r="AE190" s="919">
        <f t="shared" si="21"/>
        <v>0</v>
      </c>
      <c r="AF190" s="919">
        <f t="shared" si="21"/>
        <v>0</v>
      </c>
      <c r="AG190" s="920">
        <f t="shared" si="21"/>
        <v>0</v>
      </c>
      <c r="AH190" s="903"/>
    </row>
    <row r="191" spans="1:34" ht="15">
      <c r="A191" s="905"/>
      <c r="B191" s="770" t="s">
        <v>3892</v>
      </c>
      <c r="C191" s="873"/>
      <c r="D191" s="873">
        <f t="shared" si="21"/>
        <v>92.821961772678179</v>
      </c>
      <c r="E191" s="919">
        <f t="shared" si="21"/>
        <v>0</v>
      </c>
      <c r="F191" s="919">
        <f t="shared" si="21"/>
        <v>57.001396844190808</v>
      </c>
      <c r="G191" s="919">
        <f t="shared" si="21"/>
        <v>197.58411185485215</v>
      </c>
      <c r="H191" s="920">
        <f t="shared" si="21"/>
        <v>0</v>
      </c>
      <c r="I191" s="873">
        <f t="shared" si="21"/>
        <v>113.32843169652729</v>
      </c>
      <c r="J191" s="919">
        <f t="shared" si="21"/>
        <v>83.958873421188002</v>
      </c>
      <c r="K191" s="919">
        <f t="shared" si="21"/>
        <v>97.79252713722488</v>
      </c>
      <c r="L191" s="919">
        <f t="shared" si="21"/>
        <v>97.085719827958698</v>
      </c>
      <c r="M191" s="920">
        <f t="shared" si="21"/>
        <v>71.945185000109774</v>
      </c>
      <c r="N191" s="873">
        <f t="shared" si="21"/>
        <v>0</v>
      </c>
      <c r="O191" s="919">
        <f t="shared" si="21"/>
        <v>0</v>
      </c>
      <c r="P191" s="919">
        <f t="shared" si="21"/>
        <v>0</v>
      </c>
      <c r="Q191" s="919">
        <f t="shared" si="21"/>
        <v>0</v>
      </c>
      <c r="R191" s="920">
        <f t="shared" si="21"/>
        <v>0</v>
      </c>
      <c r="S191" s="873">
        <f t="shared" si="21"/>
        <v>88.902240896358535</v>
      </c>
      <c r="T191" s="919">
        <f t="shared" si="21"/>
        <v>62.488033589923035</v>
      </c>
      <c r="U191" s="919">
        <f t="shared" si="21"/>
        <v>19.100000000000001</v>
      </c>
      <c r="V191" s="919">
        <f t="shared" si="21"/>
        <v>37.000000000000007</v>
      </c>
      <c r="W191" s="920">
        <f t="shared" si="21"/>
        <v>77.517279748640874</v>
      </c>
      <c r="X191" s="873">
        <f t="shared" si="21"/>
        <v>234.79892699311077</v>
      </c>
      <c r="Y191" s="919">
        <f t="shared" si="21"/>
        <v>175.07469345279762</v>
      </c>
      <c r="Z191" s="919">
        <f t="shared" si="21"/>
        <v>221.81589665352473</v>
      </c>
      <c r="AA191" s="919">
        <f t="shared" si="21"/>
        <v>214.20001293190361</v>
      </c>
      <c r="AB191" s="920">
        <f t="shared" si="21"/>
        <v>142.03300508404254</v>
      </c>
      <c r="AC191" s="873">
        <f t="shared" si="21"/>
        <v>0</v>
      </c>
      <c r="AD191" s="919">
        <f t="shared" si="21"/>
        <v>0</v>
      </c>
      <c r="AE191" s="919">
        <f t="shared" si="21"/>
        <v>0</v>
      </c>
      <c r="AF191" s="919">
        <f t="shared" si="21"/>
        <v>0</v>
      </c>
      <c r="AG191" s="920">
        <f t="shared" si="21"/>
        <v>0</v>
      </c>
      <c r="AH191" s="903"/>
    </row>
    <row r="192" spans="1:34">
      <c r="A192" s="905"/>
      <c r="B192" s="1287" t="s">
        <v>2985</v>
      </c>
      <c r="C192" s="873"/>
      <c r="D192" s="873">
        <f t="shared" si="21"/>
        <v>84.020826022140753</v>
      </c>
      <c r="E192" s="919">
        <f t="shared" si="21"/>
        <v>0</v>
      </c>
      <c r="F192" s="919">
        <f t="shared" si="21"/>
        <v>140.61310255025737</v>
      </c>
      <c r="G192" s="919">
        <f t="shared" si="21"/>
        <v>149.17755986824264</v>
      </c>
      <c r="H192" s="920">
        <f t="shared" si="21"/>
        <v>0</v>
      </c>
      <c r="I192" s="873">
        <f t="shared" si="21"/>
        <v>101.1252329037613</v>
      </c>
      <c r="J192" s="919">
        <f t="shared" si="21"/>
        <v>74.896421581265372</v>
      </c>
      <c r="K192" s="919">
        <f t="shared" si="21"/>
        <v>60.454479071649025</v>
      </c>
      <c r="L192" s="919">
        <f t="shared" si="21"/>
        <v>122.44790510378407</v>
      </c>
      <c r="M192" s="920">
        <f t="shared" si="21"/>
        <v>61.180931658504136</v>
      </c>
      <c r="N192" s="873">
        <f t="shared" si="21"/>
        <v>0</v>
      </c>
      <c r="O192" s="919">
        <f t="shared" si="21"/>
        <v>0</v>
      </c>
      <c r="P192" s="919">
        <f t="shared" si="21"/>
        <v>0</v>
      </c>
      <c r="Q192" s="919">
        <f t="shared" si="21"/>
        <v>0</v>
      </c>
      <c r="R192" s="920">
        <f t="shared" si="21"/>
        <v>0</v>
      </c>
      <c r="S192" s="873">
        <f t="shared" si="21"/>
        <v>246.1940331688231</v>
      </c>
      <c r="T192" s="919">
        <f t="shared" si="21"/>
        <v>178.62667866306776</v>
      </c>
      <c r="U192" s="919">
        <f t="shared" si="21"/>
        <v>71.523809523809518</v>
      </c>
      <c r="V192" s="919">
        <f t="shared" si="21"/>
        <v>158.28571428571431</v>
      </c>
      <c r="W192" s="920">
        <f t="shared" si="21"/>
        <v>48.436683240897608</v>
      </c>
      <c r="X192" s="873">
        <f t="shared" si="21"/>
        <v>153.89419905250202</v>
      </c>
      <c r="Y192" s="919">
        <f t="shared" si="21"/>
        <v>115.21609080192991</v>
      </c>
      <c r="Z192" s="919">
        <f t="shared" si="21"/>
        <v>117.21918132591121</v>
      </c>
      <c r="AA192" s="919">
        <f t="shared" si="21"/>
        <v>232.94987381359138</v>
      </c>
      <c r="AB192" s="920">
        <f t="shared" si="21"/>
        <v>126.6099461228771</v>
      </c>
      <c r="AC192" s="873">
        <f t="shared" si="21"/>
        <v>0</v>
      </c>
      <c r="AD192" s="919">
        <f t="shared" si="21"/>
        <v>0</v>
      </c>
      <c r="AE192" s="919">
        <f t="shared" si="21"/>
        <v>0</v>
      </c>
      <c r="AF192" s="919">
        <f t="shared" si="21"/>
        <v>0</v>
      </c>
      <c r="AG192" s="920">
        <f t="shared" si="21"/>
        <v>0</v>
      </c>
      <c r="AH192" s="903"/>
    </row>
    <row r="193" spans="1:34" ht="15">
      <c r="A193" s="905"/>
      <c r="B193" s="770" t="s">
        <v>3893</v>
      </c>
      <c r="C193" s="873"/>
      <c r="D193" s="873">
        <f t="shared" si="21"/>
        <v>102.60947168198564</v>
      </c>
      <c r="E193" s="919">
        <f t="shared" si="21"/>
        <v>0</v>
      </c>
      <c r="F193" s="919">
        <f t="shared" si="21"/>
        <v>58.355745709655892</v>
      </c>
      <c r="G193" s="919">
        <f t="shared" si="21"/>
        <v>219.97018535474785</v>
      </c>
      <c r="H193" s="920">
        <f t="shared" si="21"/>
        <v>0</v>
      </c>
      <c r="I193" s="873">
        <f t="shared" si="21"/>
        <v>96.728504927239669</v>
      </c>
      <c r="J193" s="919">
        <f t="shared" si="21"/>
        <v>122.56546790890881</v>
      </c>
      <c r="K193" s="919">
        <f t="shared" si="21"/>
        <v>64.491112851019977</v>
      </c>
      <c r="L193" s="919">
        <f t="shared" si="21"/>
        <v>80.548952745240086</v>
      </c>
      <c r="M193" s="920">
        <f t="shared" si="21"/>
        <v>148.71434607223648</v>
      </c>
      <c r="N193" s="873">
        <f t="shared" si="21"/>
        <v>0</v>
      </c>
      <c r="O193" s="919">
        <f t="shared" si="21"/>
        <v>0</v>
      </c>
      <c r="P193" s="919">
        <f t="shared" si="21"/>
        <v>0</v>
      </c>
      <c r="Q193" s="919">
        <f t="shared" si="21"/>
        <v>0</v>
      </c>
      <c r="R193" s="920">
        <f t="shared" si="21"/>
        <v>0</v>
      </c>
      <c r="S193" s="873">
        <f t="shared" ref="S193:AG193" si="22">100*(S166/S140)</f>
        <v>111.54104718810601</v>
      </c>
      <c r="T193" s="919">
        <f t="shared" si="22"/>
        <v>99.810001614900145</v>
      </c>
      <c r="U193" s="919">
        <f t="shared" si="22"/>
        <v>10.546153846153846</v>
      </c>
      <c r="V193" s="919">
        <f t="shared" si="22"/>
        <v>11.399999999999999</v>
      </c>
      <c r="W193" s="920">
        <f t="shared" si="22"/>
        <v>58.482109456576495</v>
      </c>
      <c r="X193" s="873">
        <f t="shared" si="22"/>
        <v>188.51949576752389</v>
      </c>
      <c r="Y193" s="919">
        <f t="shared" si="22"/>
        <v>252.71609124915378</v>
      </c>
      <c r="Z193" s="919">
        <f t="shared" si="22"/>
        <v>146.96387870366198</v>
      </c>
      <c r="AA193" s="919">
        <f t="shared" si="22"/>
        <v>184.14755640556021</v>
      </c>
      <c r="AB193" s="920">
        <f t="shared" si="22"/>
        <v>327.50610434969298</v>
      </c>
      <c r="AC193" s="873">
        <f t="shared" si="22"/>
        <v>0</v>
      </c>
      <c r="AD193" s="919">
        <f t="shared" si="22"/>
        <v>0</v>
      </c>
      <c r="AE193" s="919">
        <f t="shared" si="22"/>
        <v>0</v>
      </c>
      <c r="AF193" s="919">
        <f t="shared" si="22"/>
        <v>0</v>
      </c>
      <c r="AG193" s="920">
        <f t="shared" si="22"/>
        <v>0</v>
      </c>
      <c r="AH193" s="903"/>
    </row>
    <row r="194" spans="1:34" ht="15">
      <c r="A194" s="905"/>
      <c r="B194" s="770" t="s">
        <v>2986</v>
      </c>
      <c r="C194" s="873"/>
      <c r="D194" s="873">
        <f t="shared" ref="D194:AG198" si="23">100*(D167/D141)</f>
        <v>161.91601429834853</v>
      </c>
      <c r="E194" s="919">
        <f t="shared" si="23"/>
        <v>0</v>
      </c>
      <c r="F194" s="919">
        <f t="shared" si="23"/>
        <v>71.525679920349063</v>
      </c>
      <c r="G194" s="919">
        <f t="shared" si="23"/>
        <v>353.96214005603019</v>
      </c>
      <c r="H194" s="920">
        <f t="shared" si="23"/>
        <v>0</v>
      </c>
      <c r="I194" s="873">
        <f t="shared" si="23"/>
        <v>289.2359182790002</v>
      </c>
      <c r="J194" s="919">
        <f t="shared" si="23"/>
        <v>127.99348459931556</v>
      </c>
      <c r="K194" s="919">
        <f t="shared" si="23"/>
        <v>117.83718764336848</v>
      </c>
      <c r="L194" s="919">
        <f t="shared" si="23"/>
        <v>137.35600950560345</v>
      </c>
      <c r="M194" s="920">
        <f t="shared" si="23"/>
        <v>137.15909062459778</v>
      </c>
      <c r="N194" s="873">
        <f t="shared" si="23"/>
        <v>0</v>
      </c>
      <c r="O194" s="919">
        <f t="shared" si="23"/>
        <v>0</v>
      </c>
      <c r="P194" s="919">
        <f t="shared" si="23"/>
        <v>0</v>
      </c>
      <c r="Q194" s="919">
        <f t="shared" si="23"/>
        <v>0</v>
      </c>
      <c r="R194" s="920">
        <f t="shared" si="23"/>
        <v>0</v>
      </c>
      <c r="S194" s="873">
        <f t="shared" si="23"/>
        <v>162.43433844125883</v>
      </c>
      <c r="T194" s="919">
        <f t="shared" si="23"/>
        <v>61.750627752850619</v>
      </c>
      <c r="U194" s="919">
        <f t="shared" si="23"/>
        <v>54.470588235294116</v>
      </c>
      <c r="V194" s="919">
        <f t="shared" si="23"/>
        <v>30.235294117647054</v>
      </c>
      <c r="W194" s="920">
        <f t="shared" si="23"/>
        <v>48.738266311493923</v>
      </c>
      <c r="X194" s="873">
        <f t="shared" si="23"/>
        <v>620.73902983724759</v>
      </c>
      <c r="Y194" s="919">
        <f t="shared" si="23"/>
        <v>278.06792148078608</v>
      </c>
      <c r="Z194" s="919">
        <f t="shared" si="23"/>
        <v>256.79657508942842</v>
      </c>
      <c r="AA194" s="919">
        <f t="shared" si="23"/>
        <v>310.41892414052563</v>
      </c>
      <c r="AB194" s="920">
        <f t="shared" si="23"/>
        <v>303.79178935356344</v>
      </c>
      <c r="AC194" s="873">
        <f t="shared" si="23"/>
        <v>0</v>
      </c>
      <c r="AD194" s="919">
        <f t="shared" si="23"/>
        <v>0</v>
      </c>
      <c r="AE194" s="919">
        <f t="shared" si="23"/>
        <v>0</v>
      </c>
      <c r="AF194" s="919">
        <f t="shared" si="23"/>
        <v>0</v>
      </c>
      <c r="AG194" s="920">
        <f t="shared" si="23"/>
        <v>0</v>
      </c>
      <c r="AH194" s="903"/>
    </row>
    <row r="195" spans="1:34" ht="15">
      <c r="A195" s="905"/>
      <c r="B195" s="770" t="s">
        <v>3894</v>
      </c>
      <c r="C195" s="873"/>
      <c r="D195" s="873">
        <f t="shared" si="23"/>
        <v>121.43143574911754</v>
      </c>
      <c r="E195" s="919">
        <f t="shared" si="23"/>
        <v>0</v>
      </c>
      <c r="F195" s="919">
        <f t="shared" si="23"/>
        <v>47.33010232254594</v>
      </c>
      <c r="G195" s="919">
        <f t="shared" si="23"/>
        <v>267.5633159737589</v>
      </c>
      <c r="H195" s="920">
        <f t="shared" si="23"/>
        <v>0</v>
      </c>
      <c r="I195" s="873">
        <f t="shared" si="23"/>
        <v>108.00576756576757</v>
      </c>
      <c r="J195" s="919">
        <f t="shared" si="23"/>
        <v>99.801126502502512</v>
      </c>
      <c r="K195" s="919">
        <f t="shared" si="23"/>
        <v>113.40529590409594</v>
      </c>
      <c r="L195" s="919">
        <f t="shared" si="23"/>
        <v>228.29279227439224</v>
      </c>
      <c r="M195" s="920">
        <f t="shared" si="23"/>
        <v>57.653410813186809</v>
      </c>
      <c r="N195" s="873">
        <f t="shared" si="23"/>
        <v>0</v>
      </c>
      <c r="O195" s="919">
        <f t="shared" si="23"/>
        <v>0</v>
      </c>
      <c r="P195" s="919">
        <f t="shared" si="23"/>
        <v>0</v>
      </c>
      <c r="Q195" s="919">
        <f t="shared" si="23"/>
        <v>0</v>
      </c>
      <c r="R195" s="920">
        <f t="shared" si="23"/>
        <v>0</v>
      </c>
      <c r="S195" s="873">
        <f t="shared" si="23"/>
        <v>73.319999999999993</v>
      </c>
      <c r="T195" s="919">
        <f t="shared" si="23"/>
        <v>92.990399999999994</v>
      </c>
      <c r="U195" s="919">
        <f t="shared" si="23"/>
        <v>23.188400000000001</v>
      </c>
      <c r="V195" s="919">
        <f t="shared" si="23"/>
        <v>11.188799999999999</v>
      </c>
      <c r="W195" s="920">
        <f t="shared" si="23"/>
        <v>35.963384913752911</v>
      </c>
      <c r="X195" s="873">
        <f t="shared" si="23"/>
        <v>227.57345765345764</v>
      </c>
      <c r="Y195" s="919">
        <f t="shared" si="23"/>
        <v>201.87249517250586</v>
      </c>
      <c r="Z195" s="919">
        <f t="shared" si="23"/>
        <v>256.88289044289047</v>
      </c>
      <c r="AA195" s="919">
        <f t="shared" si="23"/>
        <v>528.953581973582</v>
      </c>
      <c r="AB195" s="920">
        <f t="shared" si="23"/>
        <v>122.53683025951825</v>
      </c>
      <c r="AC195" s="873">
        <f t="shared" si="23"/>
        <v>0</v>
      </c>
      <c r="AD195" s="919">
        <f t="shared" si="23"/>
        <v>0</v>
      </c>
      <c r="AE195" s="919">
        <f t="shared" si="23"/>
        <v>0</v>
      </c>
      <c r="AF195" s="919">
        <f t="shared" si="23"/>
        <v>0</v>
      </c>
      <c r="AG195" s="920">
        <f t="shared" si="23"/>
        <v>0</v>
      </c>
      <c r="AH195" s="903"/>
    </row>
    <row r="196" spans="1:34" ht="15">
      <c r="A196" s="905"/>
      <c r="B196" s="770" t="s">
        <v>2987</v>
      </c>
      <c r="C196" s="873"/>
      <c r="D196" s="873">
        <f t="shared" si="23"/>
        <v>58.895623109873441</v>
      </c>
      <c r="E196" s="919">
        <f t="shared" si="23"/>
        <v>0</v>
      </c>
      <c r="F196" s="919">
        <f t="shared" si="23"/>
        <v>135.57828536839907</v>
      </c>
      <c r="G196" s="919">
        <f t="shared" si="23"/>
        <v>92.230358800238321</v>
      </c>
      <c r="H196" s="920">
        <f t="shared" si="23"/>
        <v>0</v>
      </c>
      <c r="I196" s="873">
        <f t="shared" si="23"/>
        <v>84.785595884870901</v>
      </c>
      <c r="J196" s="919">
        <f t="shared" si="23"/>
        <v>56.370285021261722</v>
      </c>
      <c r="K196" s="919">
        <f t="shared" si="23"/>
        <v>39.118489107813112</v>
      </c>
      <c r="L196" s="919">
        <f t="shared" si="23"/>
        <v>60.389521470831475</v>
      </c>
      <c r="M196" s="920">
        <f t="shared" si="23"/>
        <v>53.814813020821028</v>
      </c>
      <c r="N196" s="873">
        <f t="shared" si="23"/>
        <v>0</v>
      </c>
      <c r="O196" s="919">
        <f t="shared" si="23"/>
        <v>0</v>
      </c>
      <c r="P196" s="919">
        <f t="shared" si="23"/>
        <v>0</v>
      </c>
      <c r="Q196" s="919">
        <f t="shared" si="23"/>
        <v>0</v>
      </c>
      <c r="R196" s="920">
        <f t="shared" si="23"/>
        <v>0</v>
      </c>
      <c r="S196" s="873">
        <f t="shared" si="23"/>
        <v>206</v>
      </c>
      <c r="T196" s="919">
        <f t="shared" si="23"/>
        <v>167.85361511546537</v>
      </c>
      <c r="U196" s="919">
        <f t="shared" si="23"/>
        <v>159.84800000000001</v>
      </c>
      <c r="V196" s="919">
        <f t="shared" si="23"/>
        <v>81.887999999999991</v>
      </c>
      <c r="W196" s="920">
        <f t="shared" si="23"/>
        <v>62.303167509383549</v>
      </c>
      <c r="X196" s="873">
        <f t="shared" si="23"/>
        <v>129.16639039803209</v>
      </c>
      <c r="Y196" s="919">
        <f t="shared" si="23"/>
        <v>75.579460011122237</v>
      </c>
      <c r="Z196" s="919">
        <f t="shared" si="23"/>
        <v>37.993807918230587</v>
      </c>
      <c r="AA196" s="919">
        <f t="shared" si="23"/>
        <v>113.61288343194012</v>
      </c>
      <c r="AB196" s="920">
        <f t="shared" si="23"/>
        <v>104.80017454545454</v>
      </c>
      <c r="AC196" s="873">
        <f t="shared" si="23"/>
        <v>0</v>
      </c>
      <c r="AD196" s="919">
        <f t="shared" si="23"/>
        <v>0</v>
      </c>
      <c r="AE196" s="919">
        <f t="shared" si="23"/>
        <v>0</v>
      </c>
      <c r="AF196" s="919">
        <f t="shared" si="23"/>
        <v>0</v>
      </c>
      <c r="AG196" s="920">
        <f t="shared" si="23"/>
        <v>0</v>
      </c>
      <c r="AH196" s="903"/>
    </row>
    <row r="197" spans="1:34" ht="15">
      <c r="A197" s="905"/>
      <c r="B197" s="770" t="s">
        <v>2988</v>
      </c>
      <c r="C197" s="873"/>
      <c r="D197" s="873">
        <f t="shared" si="23"/>
        <v>89.463592935508146</v>
      </c>
      <c r="E197" s="919">
        <f t="shared" si="23"/>
        <v>0</v>
      </c>
      <c r="F197" s="919">
        <f t="shared" si="23"/>
        <v>3.8032623934752139</v>
      </c>
      <c r="G197" s="919">
        <f t="shared" si="23"/>
        <v>207.48062938502727</v>
      </c>
      <c r="H197" s="920">
        <f t="shared" si="23"/>
        <v>0</v>
      </c>
      <c r="I197" s="873">
        <f t="shared" si="23"/>
        <v>125.325</v>
      </c>
      <c r="J197" s="919">
        <f t="shared" si="23"/>
        <v>77.49035714285715</v>
      </c>
      <c r="K197" s="919">
        <f t="shared" si="23"/>
        <v>71.012586910872599</v>
      </c>
      <c r="L197" s="919">
        <f t="shared" si="23"/>
        <v>135.40758928571429</v>
      </c>
      <c r="M197" s="920">
        <f t="shared" si="23"/>
        <v>38.083325974025975</v>
      </c>
      <c r="N197" s="873">
        <f t="shared" si="23"/>
        <v>0</v>
      </c>
      <c r="O197" s="919">
        <f t="shared" si="23"/>
        <v>0</v>
      </c>
      <c r="P197" s="919">
        <f t="shared" si="23"/>
        <v>0</v>
      </c>
      <c r="Q197" s="919">
        <f t="shared" si="23"/>
        <v>0</v>
      </c>
      <c r="R197" s="920">
        <f t="shared" si="23"/>
        <v>0</v>
      </c>
      <c r="S197" s="873">
        <f t="shared" si="23"/>
        <v>6.25</v>
      </c>
      <c r="T197" s="919">
        <f t="shared" si="23"/>
        <v>3.0949999999999998</v>
      </c>
      <c r="U197" s="919">
        <f t="shared" si="23"/>
        <v>9.713750000000001</v>
      </c>
      <c r="V197" s="919">
        <f t="shared" si="23"/>
        <v>0</v>
      </c>
      <c r="W197" s="920">
        <f t="shared" si="23"/>
        <v>0</v>
      </c>
      <c r="X197" s="873">
        <f t="shared" si="23"/>
        <v>290.3416666666667</v>
      </c>
      <c r="Y197" s="919">
        <f t="shared" si="23"/>
        <v>179.7791666666667</v>
      </c>
      <c r="Z197" s="919">
        <f t="shared" si="23"/>
        <v>162.45811945870275</v>
      </c>
      <c r="AA197" s="919">
        <f t="shared" si="23"/>
        <v>315.96270833333335</v>
      </c>
      <c r="AB197" s="920">
        <f t="shared" si="23"/>
        <v>88.863560606060616</v>
      </c>
      <c r="AC197" s="873">
        <f t="shared" si="23"/>
        <v>0</v>
      </c>
      <c r="AD197" s="919">
        <f t="shared" si="23"/>
        <v>0</v>
      </c>
      <c r="AE197" s="919">
        <f t="shared" si="23"/>
        <v>0</v>
      </c>
      <c r="AF197" s="919">
        <f t="shared" si="23"/>
        <v>0</v>
      </c>
      <c r="AG197" s="920">
        <f t="shared" si="23"/>
        <v>0</v>
      </c>
      <c r="AH197" s="903"/>
    </row>
    <row r="198" spans="1:34" ht="16" thickBot="1">
      <c r="A198" s="905"/>
      <c r="B198" s="979" t="s">
        <v>2989</v>
      </c>
      <c r="C198" s="873"/>
      <c r="D198" s="927">
        <f t="shared" si="23"/>
        <v>35.956684693617937</v>
      </c>
      <c r="E198" s="928">
        <f t="shared" si="23"/>
        <v>0</v>
      </c>
      <c r="F198" s="928">
        <f t="shared" si="23"/>
        <v>32.876642037442764</v>
      </c>
      <c r="G198" s="928">
        <f t="shared" si="23"/>
        <v>72.940050272627616</v>
      </c>
      <c r="H198" s="929">
        <f t="shared" si="23"/>
        <v>0</v>
      </c>
      <c r="I198" s="927">
        <f t="shared" si="23"/>
        <v>66.971474183888631</v>
      </c>
      <c r="J198" s="928">
        <f t="shared" si="23"/>
        <v>15.709162840401133</v>
      </c>
      <c r="K198" s="928">
        <f t="shared" si="23"/>
        <v>27.620909760311868</v>
      </c>
      <c r="L198" s="928">
        <f t="shared" si="23"/>
        <v>32.46205991498536</v>
      </c>
      <c r="M198" s="929">
        <f t="shared" si="23"/>
        <v>37.020176335349632</v>
      </c>
      <c r="N198" s="927">
        <f t="shared" si="23"/>
        <v>0</v>
      </c>
      <c r="O198" s="928">
        <f t="shared" si="23"/>
        <v>0</v>
      </c>
      <c r="P198" s="928">
        <f t="shared" si="23"/>
        <v>0</v>
      </c>
      <c r="Q198" s="928">
        <f t="shared" si="23"/>
        <v>0</v>
      </c>
      <c r="R198" s="929">
        <f t="shared" si="23"/>
        <v>0</v>
      </c>
      <c r="S198" s="927">
        <f t="shared" si="23"/>
        <v>35.836265172735757</v>
      </c>
      <c r="T198" s="928">
        <f t="shared" si="23"/>
        <v>4.0107823652904129</v>
      </c>
      <c r="U198" s="928">
        <f t="shared" si="23"/>
        <v>25.924000000000003</v>
      </c>
      <c r="V198" s="928">
        <f t="shared" si="23"/>
        <v>89.944000000000003</v>
      </c>
      <c r="W198" s="929">
        <f t="shared" si="23"/>
        <v>8.6684914156079973</v>
      </c>
      <c r="X198" s="927">
        <f t="shared" si="23"/>
        <v>144.3213513714949</v>
      </c>
      <c r="Y198" s="928">
        <f t="shared" si="23"/>
        <v>35.317785839172508</v>
      </c>
      <c r="Z198" s="928">
        <f t="shared" si="23"/>
        <v>55.807456107394358</v>
      </c>
      <c r="AA198" s="928">
        <f t="shared" si="23"/>
        <v>45.763473134965842</v>
      </c>
      <c r="AB198" s="929">
        <f t="shared" si="23"/>
        <v>83.490914310613135</v>
      </c>
      <c r="AC198" s="927">
        <f t="shared" si="23"/>
        <v>0</v>
      </c>
      <c r="AD198" s="928">
        <f t="shared" si="23"/>
        <v>0</v>
      </c>
      <c r="AE198" s="928">
        <f t="shared" si="23"/>
        <v>0</v>
      </c>
      <c r="AF198" s="928">
        <f t="shared" si="23"/>
        <v>0</v>
      </c>
      <c r="AG198" s="929">
        <f t="shared" si="23"/>
        <v>0</v>
      </c>
      <c r="AH198" s="903"/>
    </row>
    <row r="199" spans="1:34">
      <c r="A199" s="905"/>
      <c r="B199" s="913"/>
      <c r="C199" s="873"/>
      <c r="D199" s="913"/>
      <c r="E199" s="913"/>
      <c r="F199" s="913"/>
      <c r="G199" s="913"/>
      <c r="H199" s="913"/>
      <c r="I199" s="913"/>
      <c r="J199" s="913"/>
      <c r="K199" s="913"/>
      <c r="L199" s="913"/>
      <c r="M199" s="913"/>
      <c r="N199" s="913"/>
      <c r="O199" s="913"/>
      <c r="P199" s="913"/>
      <c r="Q199" s="913"/>
      <c r="R199" s="913"/>
      <c r="S199" s="913"/>
      <c r="T199" s="913"/>
      <c r="U199" s="913"/>
      <c r="V199" s="913"/>
      <c r="W199" s="913"/>
      <c r="X199" s="913"/>
      <c r="Y199" s="913"/>
      <c r="Z199" s="913"/>
      <c r="AA199" s="913"/>
      <c r="AB199" s="913"/>
      <c r="AC199" s="913"/>
      <c r="AD199" s="913"/>
      <c r="AE199" s="913"/>
      <c r="AF199" s="913"/>
      <c r="AG199" s="913"/>
      <c r="AH199" s="896"/>
    </row>
    <row r="200" spans="1:34" ht="15" thickBot="1">
      <c r="A200" s="905"/>
      <c r="B200" s="913"/>
      <c r="C200" s="873"/>
      <c r="D200" s="913"/>
      <c r="E200" s="913"/>
      <c r="F200" s="913"/>
      <c r="G200" s="913"/>
      <c r="H200" s="913"/>
      <c r="I200" s="913"/>
      <c r="J200" s="913"/>
      <c r="K200" s="913"/>
      <c r="L200" s="913"/>
      <c r="M200" s="913"/>
      <c r="N200" s="913">
        <v>29</v>
      </c>
      <c r="O200" s="913">
        <v>128</v>
      </c>
      <c r="P200" s="913">
        <v>227</v>
      </c>
      <c r="Q200" s="913">
        <v>326</v>
      </c>
      <c r="R200" s="913">
        <v>425</v>
      </c>
      <c r="S200" s="913"/>
      <c r="T200" s="913"/>
      <c r="U200" s="913"/>
      <c r="V200" s="913"/>
      <c r="W200" s="913"/>
      <c r="X200" s="913"/>
      <c r="Y200" s="913"/>
      <c r="Z200" s="913"/>
      <c r="AA200" s="913"/>
      <c r="AB200" s="913"/>
      <c r="AC200" s="913"/>
      <c r="AD200" s="913"/>
      <c r="AE200" s="913"/>
      <c r="AF200" s="913"/>
      <c r="AG200" s="913"/>
      <c r="AH200" s="896"/>
    </row>
    <row r="201" spans="1:34" ht="15" thickBot="1">
      <c r="A201" s="905"/>
      <c r="B201" s="913"/>
      <c r="C201" s="873"/>
      <c r="D201" s="914" t="s">
        <v>3773</v>
      </c>
      <c r="E201" s="915" t="s">
        <v>3774</v>
      </c>
      <c r="F201" s="915" t="s">
        <v>3775</v>
      </c>
      <c r="G201" s="915" t="s">
        <v>3776</v>
      </c>
      <c r="H201" s="916" t="s">
        <v>3777</v>
      </c>
      <c r="I201" s="914" t="s">
        <v>3773</v>
      </c>
      <c r="J201" s="914" t="s">
        <v>3773</v>
      </c>
      <c r="K201" s="914" t="s">
        <v>3773</v>
      </c>
      <c r="L201" s="914" t="s">
        <v>3773</v>
      </c>
      <c r="M201" s="914" t="s">
        <v>3773</v>
      </c>
      <c r="N201" s="914" t="s">
        <v>67</v>
      </c>
      <c r="O201" s="914" t="s">
        <v>67</v>
      </c>
      <c r="P201" s="914" t="s">
        <v>67</v>
      </c>
      <c r="Q201" s="914" t="s">
        <v>67</v>
      </c>
      <c r="R201" s="917" t="s">
        <v>67</v>
      </c>
      <c r="S201" s="914" t="s">
        <v>1362</v>
      </c>
      <c r="T201" s="914" t="s">
        <v>1362</v>
      </c>
      <c r="U201" s="914" t="s">
        <v>1362</v>
      </c>
      <c r="V201" s="914" t="s">
        <v>1362</v>
      </c>
      <c r="W201" s="914" t="s">
        <v>1362</v>
      </c>
      <c r="X201" s="914" t="s">
        <v>69</v>
      </c>
      <c r="Y201" s="914" t="s">
        <v>69</v>
      </c>
      <c r="Z201" s="914" t="s">
        <v>69</v>
      </c>
      <c r="AA201" s="914" t="s">
        <v>69</v>
      </c>
      <c r="AB201" s="914" t="s">
        <v>69</v>
      </c>
      <c r="AC201" s="1281" t="s">
        <v>1364</v>
      </c>
      <c r="AD201" s="1281" t="s">
        <v>1364</v>
      </c>
      <c r="AE201" s="1281" t="s">
        <v>1364</v>
      </c>
      <c r="AF201" s="1281" t="s">
        <v>1364</v>
      </c>
      <c r="AG201" s="1281" t="s">
        <v>1364</v>
      </c>
      <c r="AH201" s="901"/>
    </row>
    <row r="202" spans="1:34" ht="60">
      <c r="A202" s="905"/>
      <c r="B202" s="940" t="s">
        <v>3600</v>
      </c>
      <c r="C202" s="873"/>
      <c r="D202" s="874" t="s">
        <v>3809</v>
      </c>
      <c r="E202" s="875" t="s">
        <v>3810</v>
      </c>
      <c r="F202" s="876" t="s">
        <v>3811</v>
      </c>
      <c r="G202" s="877" t="s">
        <v>3812</v>
      </c>
      <c r="H202" s="878" t="s">
        <v>3813</v>
      </c>
      <c r="I202" s="874" t="s">
        <v>3814</v>
      </c>
      <c r="J202" s="874" t="s">
        <v>3815</v>
      </c>
      <c r="K202" s="874" t="s">
        <v>3816</v>
      </c>
      <c r="L202" s="874" t="s">
        <v>3817</v>
      </c>
      <c r="M202" s="879" t="s">
        <v>3818</v>
      </c>
      <c r="N202" s="880" t="s">
        <v>3819</v>
      </c>
      <c r="O202" s="875" t="s">
        <v>3820</v>
      </c>
      <c r="P202" s="875" t="s">
        <v>3821</v>
      </c>
      <c r="Q202" s="875" t="s">
        <v>3822</v>
      </c>
      <c r="R202" s="881" t="s">
        <v>3823</v>
      </c>
      <c r="S202" s="882" t="s">
        <v>3824</v>
      </c>
      <c r="T202" s="876" t="s">
        <v>3825</v>
      </c>
      <c r="U202" s="876" t="s">
        <v>3826</v>
      </c>
      <c r="V202" s="876" t="s">
        <v>3827</v>
      </c>
      <c r="W202" s="883" t="s">
        <v>3828</v>
      </c>
      <c r="X202" s="884" t="s">
        <v>3829</v>
      </c>
      <c r="Y202" s="877" t="s">
        <v>3830</v>
      </c>
      <c r="Z202" s="877" t="s">
        <v>3831</v>
      </c>
      <c r="AA202" s="877" t="s">
        <v>3832</v>
      </c>
      <c r="AB202" s="885" t="s">
        <v>3833</v>
      </c>
      <c r="AC202" s="886" t="s">
        <v>3834</v>
      </c>
      <c r="AD202" s="878" t="s">
        <v>3835</v>
      </c>
      <c r="AE202" s="878" t="s">
        <v>3836</v>
      </c>
      <c r="AF202" s="878" t="s">
        <v>3837</v>
      </c>
      <c r="AG202" s="878" t="s">
        <v>3838</v>
      </c>
      <c r="AH202" s="906"/>
    </row>
    <row r="203" spans="1:34">
      <c r="A203" s="905"/>
      <c r="B203" s="768" t="s">
        <v>3878</v>
      </c>
      <c r="C203" s="873"/>
      <c r="D203" s="873">
        <f>100*(Meal_entry_week_2!$W$108+Meal_entry_week_2!$W$207+Meal_entry_week_2!$W$306+Meal_entry_week_2!$W$405+Meal_entry_week_2!$W$504)/D123/$D$146</f>
        <v>66.336691155436057</v>
      </c>
      <c r="E203" s="919">
        <f>100*(Meal_entry_week_2!$W$35+Meal_entry_week_2!$W$134+Meal_entry_week_2!$W$233+Meal_entry_week_2!$W$332+Meal_entry_week_2!$W$431)/E123/($E$146+0.00001)</f>
        <v>0</v>
      </c>
      <c r="F203" s="919">
        <f>100*(Meal_entry_week_2!$W$54+Meal_entry_week_2!$W$153+Meal_entry_week_2!$W$252+Meal_entry_week_2!$W$351+Meal_entry_week_2!$W$450)/F123/($F$146+0.00001)</f>
        <v>156.69432272514285</v>
      </c>
      <c r="G203" s="919">
        <f>100*(Meal_entry_week_2!$W$86+Meal_entry_week_2!$W$185+Meal_entry_week_2!$W$284+Meal_entry_week_2!$W$383+Meal_entry_week_2!$W$482)/G123/($G$146+0.00001)</f>
        <v>102.55386221703024</v>
      </c>
      <c r="H203" s="920">
        <f>100*(Meal_entry_week_2!$W$105+Meal_entry_week_2!$W$204+Meal_entry_week_2!$W$303+Meal_entry_week_2!$W$402+Meal_entry_week_2!$W$501)/H123/($H$146+0.00001)</f>
        <v>0</v>
      </c>
      <c r="I203" s="921">
        <f>100*Meal_entry_week_2!$W$108/I123</f>
        <v>59.63361761443339</v>
      </c>
      <c r="J203" s="922">
        <f>100*Meal_entry_week_2!$W$207/J123</f>
        <v>71.036027959178426</v>
      </c>
      <c r="K203" s="922">
        <f>100*Meal_entry_week_2!$W$306/K123</f>
        <v>61.754471886375185</v>
      </c>
      <c r="L203" s="922">
        <f>100*Meal_entry_week_2!$W$405/L123</f>
        <v>66.500821177689176</v>
      </c>
      <c r="M203" s="923">
        <f>100*Meal_entry_week_2!$W$504/M123</f>
        <v>72.758517139504036</v>
      </c>
      <c r="N203" s="921">
        <f>IF(100*Meal_entry_week_2!$AV$32/N123&lt;0,0,100*Meal_entry_week_2!$AV$32/N123)</f>
        <v>0</v>
      </c>
      <c r="O203" s="922">
        <f>IF(100*Meal_entry_week_2!$AV$131/O123&lt;0,0,100*Meal_entry_week_2!$AV$131/O123)</f>
        <v>0</v>
      </c>
      <c r="P203" s="922">
        <f>IF(100*Meal_entry_week_2!$AV$230/P123&lt;0,0,100*Meal_entry_week_2!$AV$230/P123)</f>
        <v>0</v>
      </c>
      <c r="Q203" s="922">
        <f>IF(100*Meal_entry_week_2!$AV$329/Q123&lt;0,0,100*Meal_entry_week_2!$AV$329/Q123)</f>
        <v>0</v>
      </c>
      <c r="R203" s="923">
        <f>IF(100*Meal_entry_week_2!$AV$428/R123&lt;0,0,100*Meal_entry_week_2!$AV$428/R123)</f>
        <v>0</v>
      </c>
      <c r="S203" s="921">
        <f>IF(100*Meal_entry_week_2!$AV$51/S123&lt;0,0,100*Meal_entry_week_2!$AV$51/S123)</f>
        <v>115.32755071249804</v>
      </c>
      <c r="T203" s="922">
        <f>IF(100*Meal_entry_week_2!$AV$150/T123&lt;0,0,100*Meal_entry_week_2!$AV$150/T123)</f>
        <v>169.79762090729969</v>
      </c>
      <c r="U203" s="922">
        <f>IF(100*Meal_entry_week_2!$AV$249/U123&lt;0,0,100*Meal_entry_week_2!$AV$249/U123)</f>
        <v>127.48506620998593</v>
      </c>
      <c r="V203" s="922">
        <f>IF(100*Meal_entry_week_2!$AV$348/V123&lt;0,0,100*Meal_entry_week_2!$AV$348/V123)</f>
        <v>177.55015364497933</v>
      </c>
      <c r="W203" s="923">
        <f>IF(100*Meal_entry_week_2!$AV$447/W123&lt;0,0,100*Meal_entry_week_2!$AV$447/W123)</f>
        <v>193.31278909417841</v>
      </c>
      <c r="X203" s="921">
        <f>IF(100*Meal_entry_week_2!$AV$83/X123&lt;0,0,100*Meal_entry_week_2!$AV$83/X123)</f>
        <v>100.70259086284523</v>
      </c>
      <c r="Y203" s="922">
        <f>IF(100*Meal_entry_week_2!$AV$182/Y123&lt;0,0,100*Meal_entry_week_2!$AV$182/Y123)</f>
        <v>109.15152493564976</v>
      </c>
      <c r="Z203" s="922">
        <f>IF(100*Meal_entry_week_2!$AV$281/Z123&lt;0,0,100*Meal_entry_week_2!$AV$281/Z123)</f>
        <v>101.59874566488014</v>
      </c>
      <c r="AA203" s="922">
        <f>IF(100*Meal_entry_week_2!$AV$380/AA123&lt;0,0,100*Meal_entry_week_2!$AV$380/AA123)</f>
        <v>95.985198199614956</v>
      </c>
      <c r="AB203" s="923">
        <f>IF(100*Meal_entry_week_2!$AV$479/AB123&lt;0,0,100*Meal_entry_week_2!$AV$479/AB123)</f>
        <v>105.33227696078329</v>
      </c>
      <c r="AC203" s="921">
        <f>IF(100*Meal_entry_week_2!$AV$102/AC123&lt;0,0,100*Meal_entry_week_2!$AV$102/AC123)</f>
        <v>0</v>
      </c>
      <c r="AD203" s="922">
        <f>IF(100*Meal_entry_week_2!$AV$201/AD123&lt;0,0,100*Meal_entry_week_2!$AV$201/AD123)</f>
        <v>0</v>
      </c>
      <c r="AE203" s="922">
        <f>IF(100*Meal_entry_week_2!$AV$300/AE123&lt;0,0,100*Meal_entry_week_2!$AV$300/AE123)</f>
        <v>0</v>
      </c>
      <c r="AF203" s="922">
        <f>IF(100*Meal_entry_week_2!$AV$399/AF123&lt;0,0,100*Meal_entry_week_2!$AV$399/AF123)</f>
        <v>0</v>
      </c>
      <c r="AG203" s="923">
        <f>IF(100*Meal_entry_week_2!$AV$498/AG123&lt;0,0,100*Meal_entry_week_2!$AV$498/AG123)</f>
        <v>0</v>
      </c>
      <c r="AH203" s="903"/>
    </row>
    <row r="204" spans="1:34">
      <c r="A204" s="905"/>
      <c r="B204" s="768" t="s">
        <v>3879</v>
      </c>
      <c r="C204" s="873"/>
      <c r="D204" s="873">
        <f>100*(Meal_entry_week_2!$X$108+Meal_entry_week_2!$X$207+Meal_entry_week_2!$X$306+Meal_entry_week_2!$X$405+Meal_entry_week_2!$X$504)/D124/$D$146</f>
        <v>59.701855384472857</v>
      </c>
      <c r="E204" s="919">
        <f>100*(Meal_entry_week_2!$X$35+Meal_entry_week_2!$X$134+Meal_entry_week_2!$X$233+Meal_entry_week_2!$X$332+Meal_entry_week_2!$X$431)/E124/($E$146+0.00001)</f>
        <v>0</v>
      </c>
      <c r="F204" s="919">
        <f>100*(Meal_entry_week_2!$X$54+Meal_entry_week_2!$X$153+Meal_entry_week_2!$X$252+Meal_entry_week_2!$X$351+Meal_entry_week_2!$X$450)/F124/($F$146+0.00001)</f>
        <v>129.10945257819242</v>
      </c>
      <c r="G204" s="919">
        <f>100*(Meal_entry_week_2!$X$86+Meal_entry_week_2!$X$185+Meal_entry_week_2!$X$284+Meal_entry_week_2!$X$383+Meal_entry_week_2!$X$482)/G124/($G$146+0.00001)</f>
        <v>96.267566429604614</v>
      </c>
      <c r="H204" s="920">
        <f>100*(Meal_entry_week_2!$X$105+Meal_entry_week_2!$X$204+Meal_entry_week_2!$X$303+Meal_entry_week_2!$X$402+Meal_entry_week_2!$X$501)/H124/($H$146+0.00001)</f>
        <v>0</v>
      </c>
      <c r="I204" s="921">
        <f>100*Meal_entry_week_2!$X$108/I124</f>
        <v>36.985847316682154</v>
      </c>
      <c r="J204" s="922">
        <f>100*Meal_entry_week_2!$X$207/J124</f>
        <v>87.17039869227844</v>
      </c>
      <c r="K204" s="922">
        <f>100*Meal_entry_week_2!$X$306/K124</f>
        <v>63.185446642956542</v>
      </c>
      <c r="L204" s="922">
        <f>100*Meal_entry_week_2!$X$405/L124</f>
        <v>50.195394917336777</v>
      </c>
      <c r="M204" s="923">
        <f>100*Meal_entry_week_2!$X$504/M124</f>
        <v>60.972189353110309</v>
      </c>
      <c r="N204" s="921">
        <f>IF(100*Meal_entry_week_2!$AW$32/N124&lt;0,0,100*Meal_entry_week_2!$AW$32/N124)</f>
        <v>0</v>
      </c>
      <c r="O204" s="922">
        <f>IF(100*Meal_entry_week_2!$AW$131/O124&lt;0,0,100*Meal_entry_week_2!$AW$131/O124)</f>
        <v>0</v>
      </c>
      <c r="P204" s="922">
        <f>IF(100*Meal_entry_week_2!$AW$230/P124&lt;0,0,100*Meal_entry_week_2!$AW$230/P124)</f>
        <v>0</v>
      </c>
      <c r="Q204" s="922">
        <f>IF(100*Meal_entry_week_2!$AW$329/Q124&lt;0,0,100*Meal_entry_week_2!$AW$329/Q124)</f>
        <v>0</v>
      </c>
      <c r="R204" s="923">
        <f>IF(100*Meal_entry_week_2!$AW$428/R124&lt;0,0,100*Meal_entry_week_2!$AW$428/R124)</f>
        <v>0</v>
      </c>
      <c r="S204" s="921">
        <f>IF(100*Meal_entry_week_2!$AW$51/S124&lt;0,0,100*Meal_entry_week_2!$AW$51/S124)</f>
        <v>52.329325073031711</v>
      </c>
      <c r="T204" s="922">
        <f>IF(100*Meal_entry_week_2!$AW$150/T124&lt;0,0,100*Meal_entry_week_2!$AW$150/T124)</f>
        <v>190.25274893735596</v>
      </c>
      <c r="U204" s="922">
        <f>IF(100*Meal_entry_week_2!$AW$249/U124&lt;0,0,100*Meal_entry_week_2!$AW$249/U124)</f>
        <v>126.95645599452273</v>
      </c>
      <c r="V204" s="922">
        <f>IF(100*Meal_entry_week_2!$AW$348/V124&lt;0,0,100*Meal_entry_week_2!$AW$348/V124)</f>
        <v>128.36374807271281</v>
      </c>
      <c r="W204" s="923">
        <f>IF(100*Meal_entry_week_2!$AW$447/W124&lt;0,0,100*Meal_entry_week_2!$AW$447/W124)</f>
        <v>147.64627590786466</v>
      </c>
      <c r="X204" s="921">
        <f>IF(100*Meal_entry_week_2!$AW$83/X124&lt;0,0,100*Meal_entry_week_2!$AW$83/X124)</f>
        <v>68.857202047914456</v>
      </c>
      <c r="Y204" s="922">
        <f>IF(100*Meal_entry_week_2!$AW$182/Y124&lt;0,0,100*Meal_entry_week_2!$AW$182/Y124)</f>
        <v>139.98001396953106</v>
      </c>
      <c r="Z204" s="922">
        <f>IF(100*Meal_entry_week_2!$AW$281/Z124&lt;0,0,100*Meal_entry_week_2!$AW$281/Z124)</f>
        <v>105.11389016872437</v>
      </c>
      <c r="AA204" s="922">
        <f>IF(100*Meal_entry_week_2!$AW$380/AA124&lt;0,0,100*Meal_entry_week_2!$AW$380/AA124)</f>
        <v>74.334672116214875</v>
      </c>
      <c r="AB204" s="923">
        <f>IF(100*Meal_entry_week_2!$AW$479/AB124&lt;0,0,100*Meal_entry_week_2!$AW$479/AB124)</f>
        <v>93.05301652130251</v>
      </c>
      <c r="AC204" s="921">
        <f>IF(100*Meal_entry_week_2!$AW$102/AC124&lt;0,0,100*Meal_entry_week_2!$AW$102/AC124)</f>
        <v>0</v>
      </c>
      <c r="AD204" s="922">
        <f>IF(100*Meal_entry_week_2!$AW$201/AD124&lt;0,0,100*Meal_entry_week_2!$AW$201/AD124)</f>
        <v>0</v>
      </c>
      <c r="AE204" s="922">
        <f>IF(100*Meal_entry_week_2!$AW$300/AE124&lt;0,0,100*Meal_entry_week_2!$AW$300/AE124)</f>
        <v>0</v>
      </c>
      <c r="AF204" s="922">
        <f>IF(100*Meal_entry_week_2!$AW$399/AF124&lt;0,0,100*Meal_entry_week_2!$AW$399/AF124)</f>
        <v>0</v>
      </c>
      <c r="AG204" s="923">
        <f>IF(100*Meal_entry_week_2!$AW$498/AG124&lt;0,0,100*Meal_entry_week_2!$AW$498/AG124)</f>
        <v>0</v>
      </c>
      <c r="AH204" s="903"/>
    </row>
    <row r="205" spans="1:34">
      <c r="A205" s="905"/>
      <c r="B205" s="768" t="s">
        <v>3880</v>
      </c>
      <c r="C205" s="873"/>
      <c r="D205" s="873">
        <f>100*(Meal_entry_week_2!$Y$108+Meal_entry_week_2!$Y$207+Meal_entry_week_2!$Y$306+Meal_entry_week_2!$Y$405+Meal_entry_week_2!$Y$504)/D125/$D$146</f>
        <v>55.174921631451198</v>
      </c>
      <c r="E205" s="919">
        <f>100*(Meal_entry_week_2!$Y$35+Meal_entry_week_2!$Y$134+Meal_entry_week_2!$Y$233+Meal_entry_week_2!$Y$332+Meal_entry_week_2!$Y$431)/E125/($E$146+0.00001)</f>
        <v>0</v>
      </c>
      <c r="F205" s="919">
        <f>100*(Meal_entry_week_2!$Y$54+Meal_entry_week_2!$Y$153+Meal_entry_week_2!$Y$252+Meal_entry_week_2!$Y$351+Meal_entry_week_2!$Y$450)/F125/($F$146+0.00001)</f>
        <v>117.7197721023966</v>
      </c>
      <c r="G205" s="919">
        <f>100*(Meal_entry_week_2!$Y$86+Meal_entry_week_2!$Y$185+Meal_entry_week_2!$Y$284+Meal_entry_week_2!$Y$383+Meal_entry_week_2!$Y$482)/G125/($G$146+0.00001)</f>
        <v>89.501302290134618</v>
      </c>
      <c r="H205" s="920">
        <f>100*(Meal_entry_week_2!$Y$105+Meal_entry_week_2!$Y$204+Meal_entry_week_2!$Y$303+Meal_entry_week_2!$Y$402+Meal_entry_week_2!$Y$501)/H125/($H$146+0.00001)</f>
        <v>0</v>
      </c>
      <c r="I205" s="921">
        <f>100*Meal_entry_week_2!$Y$108/I125</f>
        <v>49.380516568305666</v>
      </c>
      <c r="J205" s="922">
        <f>100*Meal_entry_week_2!$Y$207/J125</f>
        <v>59.714480136768188</v>
      </c>
      <c r="K205" s="922">
        <f>100*Meal_entry_week_2!$Y$306/K125</f>
        <v>67.042490435511638</v>
      </c>
      <c r="L205" s="922">
        <f>100*Meal_entry_week_2!$Y$405/L125</f>
        <v>47.184409532538552</v>
      </c>
      <c r="M205" s="923">
        <f>100*Meal_entry_week_2!$Y$504/M125</f>
        <v>52.552711484131969</v>
      </c>
      <c r="N205" s="921">
        <f>IF(100*Meal_entry_week_2!$AX$32/N125&lt;0,0,100*Meal_entry_week_2!$AX$32/N125)</f>
        <v>0</v>
      </c>
      <c r="O205" s="922">
        <f>IF(100*Meal_entry_week_2!$AX$131/O125&lt;0,0,100*Meal_entry_week_2!$AX$131/O125)</f>
        <v>0</v>
      </c>
      <c r="P205" s="922">
        <f>IF(100*Meal_entry_week_2!$AX$230/P125&lt;0,0,100*Meal_entry_week_2!$AX$230/P125)</f>
        <v>0</v>
      </c>
      <c r="Q205" s="922">
        <f>IF(100*Meal_entry_week_2!$AX$329/Q125&lt;0,0,100*Meal_entry_week_2!$AX$329/Q125)</f>
        <v>0</v>
      </c>
      <c r="R205" s="923">
        <f>IF(100*Meal_entry_week_2!$AX$428/R125&lt;0,0,100*Meal_entry_week_2!$AX$428/R125)</f>
        <v>0</v>
      </c>
      <c r="S205" s="921">
        <f>IF(100*Meal_entry_week_2!$AX$51/S125&lt;0,0,100*Meal_entry_week_2!$AX$51/S125)</f>
        <v>88.11105221182622</v>
      </c>
      <c r="T205" s="922">
        <f>IF(100*Meal_entry_week_2!$AX$150/T125&lt;0,0,100*Meal_entry_week_2!$AX$150/T125)</f>
        <v>134.51199007685815</v>
      </c>
      <c r="U205" s="922">
        <f>IF(100*Meal_entry_week_2!$AX$249/U125&lt;0,0,100*Meal_entry_week_2!$AX$249/U125)</f>
        <v>195.90524644395438</v>
      </c>
      <c r="V205" s="922">
        <f>IF(100*Meal_entry_week_2!$AX$348/V125&lt;0,0,100*Meal_entry_week_2!$AX$348/V125)</f>
        <v>102.01158390803515</v>
      </c>
      <c r="W205" s="923">
        <f>IF(100*Meal_entry_week_2!$AX$447/W125&lt;0,0,100*Meal_entry_week_2!$AX$447/W125)</f>
        <v>68.060165069030063</v>
      </c>
      <c r="X205" s="921">
        <f>IF(100*Meal_entry_week_2!$AX$83/X125&lt;0,0,100*Meal_entry_week_2!$AX$83/X125)</f>
        <v>85.850854588771142</v>
      </c>
      <c r="Y205" s="922">
        <f>IF(100*Meal_entry_week_2!$AX$182/Y125&lt;0,0,100*Meal_entry_week_2!$AX$182/Y125)</f>
        <v>94.496456960173063</v>
      </c>
      <c r="Z205" s="922">
        <f>IF(100*Meal_entry_week_2!$AX$281/Z125&lt;0,0,100*Meal_entry_week_2!$AX$281/Z125)</f>
        <v>91.130728868209019</v>
      </c>
      <c r="AA205" s="922">
        <f>IF(100*Meal_entry_week_2!$AX$380/AA125&lt;0,0,100*Meal_entry_week_2!$AX$380/AA125)</f>
        <v>76.093094273244901</v>
      </c>
      <c r="AB205" s="923">
        <f>IF(100*Meal_entry_week_2!$AX$479/AB125&lt;0,0,100*Meal_entry_week_2!$AX$479/AB125)</f>
        <v>99.936271773297918</v>
      </c>
      <c r="AC205" s="921">
        <f>IF(100*Meal_entry_week_2!$AX$102/AC125&lt;0,0,100*Meal_entry_week_2!$AX$102/AC125)</f>
        <v>0</v>
      </c>
      <c r="AD205" s="922">
        <f>IF(100*Meal_entry_week_2!$AX$201/AD125&lt;0,0,100*Meal_entry_week_2!$AX$201/AD125)</f>
        <v>0</v>
      </c>
      <c r="AE205" s="922">
        <f>IF(100*Meal_entry_week_2!$AX$300/AE125&lt;0,0,100*Meal_entry_week_2!$AX$300/AE125)</f>
        <v>0</v>
      </c>
      <c r="AF205" s="922">
        <f>IF(100*Meal_entry_week_2!$AX$399/AF125&lt;0,0,100*Meal_entry_week_2!$AX$399/AF125)</f>
        <v>0</v>
      </c>
      <c r="AG205" s="923">
        <f>IF(100*Meal_entry_week_2!$AX$498/AG125&lt;0,0,100*Meal_entry_week_2!$AX$498/AG125)</f>
        <v>0</v>
      </c>
      <c r="AH205" s="903"/>
    </row>
    <row r="206" spans="1:34">
      <c r="A206" s="905"/>
      <c r="B206" s="768" t="s">
        <v>3881</v>
      </c>
      <c r="C206" s="873"/>
      <c r="D206" s="873">
        <f>100*(Meal_entry_week_2!$Z$108+Meal_entry_week_2!$Z$207+Meal_entry_week_2!$Z$306+Meal_entry_week_2!$Z$405+Meal_entry_week_2!$Z$504)/D126/$D$146</f>
        <v>83.103529300480616</v>
      </c>
      <c r="E206" s="919">
        <f>100*(Meal_entry_week_2!$Z$35+Meal_entry_week_2!$Z$134+Meal_entry_week_2!$Z$233+Meal_entry_week_2!$Z$332+Meal_entry_week_2!$Z$431)/E126/($E$146+0.00001)</f>
        <v>0</v>
      </c>
      <c r="F206" s="919">
        <f>100*(Meal_entry_week_2!$Z$54+Meal_entry_week_2!$Z$153+Meal_entry_week_2!$Z$252+Meal_entry_week_2!$Z$351+Meal_entry_week_2!$Z$450)/F126/($F$146+0.00001)</f>
        <v>235.70722159149031</v>
      </c>
      <c r="G206" s="919">
        <f>100*(Meal_entry_week_2!$Z$86+Meal_entry_week_2!$Z$185+Meal_entry_week_2!$Z$284+Meal_entry_week_2!$Z$383+Meal_entry_week_2!$Z$482)/G126/($G$146+0.00001)</f>
        <v>115.33877335493024</v>
      </c>
      <c r="H206" s="920">
        <f>100*(Meal_entry_week_2!$Z$105+Meal_entry_week_2!$Z$204+Meal_entry_week_2!$Z$303+Meal_entry_week_2!$Z$402+Meal_entry_week_2!$Z$501)/H126/($H$146+0.00001)</f>
        <v>0</v>
      </c>
      <c r="I206" s="921">
        <f>100*Meal_entry_week_2!$Z$108/I126</f>
        <v>103.51432452755073</v>
      </c>
      <c r="J206" s="922">
        <f>100*Meal_entry_week_2!$Z$207/J126</f>
        <v>43.386196970927735</v>
      </c>
      <c r="K206" s="922">
        <f>100*Meal_entry_week_2!$Z$306/K126</f>
        <v>64.361221600710337</v>
      </c>
      <c r="L206" s="922">
        <f>100*Meal_entry_week_2!$Z$405/L126</f>
        <v>99.972705608243643</v>
      </c>
      <c r="M206" s="923">
        <f>100*Meal_entry_week_2!$Z$504/M126</f>
        <v>104.28319779497059</v>
      </c>
      <c r="N206" s="921">
        <f>IF(100*Meal_entry_week_2!$AY$32/N126&lt;0,0,100*Meal_entry_week_2!$AY$32/N126)</f>
        <v>0</v>
      </c>
      <c r="O206" s="922">
        <f>IF(100*Meal_entry_week_2!$AY$131/O126&lt;0,0,100*Meal_entry_week_2!$AY$131/O126)</f>
        <v>0</v>
      </c>
      <c r="P206" s="922">
        <f>IF(100*Meal_entry_week_2!$AY$230/P126&lt;0,0,100*Meal_entry_week_2!$AY$230/P126)</f>
        <v>0</v>
      </c>
      <c r="Q206" s="922">
        <f>IF(100*Meal_entry_week_2!$AY$329/Q126&lt;0,0,100*Meal_entry_week_2!$AY$329/Q126)</f>
        <v>0</v>
      </c>
      <c r="R206" s="923">
        <f>IF(100*Meal_entry_week_2!$AY$428/R126&lt;0,0,100*Meal_entry_week_2!$AY$428/R126)</f>
        <v>0</v>
      </c>
      <c r="S206" s="921">
        <f>IF(100*Meal_entry_week_2!$AY$51/S126&lt;0,0,100*Meal_entry_week_2!$AY$51/S126)</f>
        <v>249.24309994322311</v>
      </c>
      <c r="T206" s="922">
        <f>IF(100*Meal_entry_week_2!$AY$150/T126&lt;0,0,100*Meal_entry_week_2!$AY$150/T126)</f>
        <v>158.71497465001463</v>
      </c>
      <c r="U206" s="922">
        <f>IF(100*Meal_entry_week_2!$AY$249/U126&lt;0,0,100*Meal_entry_week_2!$AY$249/U126)</f>
        <v>142.57502727000704</v>
      </c>
      <c r="V206" s="922">
        <f>IF(100*Meal_entry_week_2!$AY$348/V126&lt;0,0,100*Meal_entry_week_2!$AY$348/V126)</f>
        <v>278.55026729999315</v>
      </c>
      <c r="W206" s="923">
        <f>IF(100*Meal_entry_week_2!$AY$447/W126&lt;0,0,100*Meal_entry_week_2!$AY$447/W126)</f>
        <v>349.45509586642919</v>
      </c>
      <c r="X206" s="921">
        <f>IF(100*Meal_entry_week_2!$AY$83/X126&lt;0,0,100*Meal_entry_week_2!$AY$83/X126)</f>
        <v>158.45239058321064</v>
      </c>
      <c r="Y206" s="922">
        <f>IF(100*Meal_entry_week_2!$AY$182/Y126&lt;0,0,100*Meal_entry_week_2!$AY$182/Y126)</f>
        <v>48.32946804882652</v>
      </c>
      <c r="Z206" s="922">
        <f>IF(100*Meal_entry_week_2!$AY$281/Z126&lt;0,0,100*Meal_entry_week_2!$AY$281/Z126)</f>
        <v>102.65117464498846</v>
      </c>
      <c r="AA206" s="922">
        <f>IF(100*Meal_entry_week_2!$AY$380/AA126&lt;0,0,100*Meal_entry_week_2!$AY$380/AA126)</f>
        <v>140.41955731923744</v>
      </c>
      <c r="AB206" s="923">
        <f>IF(100*Meal_entry_week_2!$AY$479/AB126&lt;0,0,100*Meal_entry_week_2!$AY$479/AB126)</f>
        <v>126.84242956612164</v>
      </c>
      <c r="AC206" s="921">
        <f>IF(100*Meal_entry_week_2!$AY$102/AC126&lt;0,0,100*Meal_entry_week_2!$AY$102/AC126)</f>
        <v>0</v>
      </c>
      <c r="AD206" s="922">
        <f>IF(100*Meal_entry_week_2!$AY$201/AD126&lt;0,0,100*Meal_entry_week_2!$AY$201/AD126)</f>
        <v>0</v>
      </c>
      <c r="AE206" s="922">
        <f>IF(100*Meal_entry_week_2!$AY$300/AE126&lt;0,0,100*Meal_entry_week_2!$AY$300/AE126)</f>
        <v>0</v>
      </c>
      <c r="AF206" s="922">
        <f>IF(100*Meal_entry_week_2!$AY$399/AF126&lt;0,0,100*Meal_entry_week_2!$AY$399/AF126)</f>
        <v>0</v>
      </c>
      <c r="AG206" s="923">
        <f>IF(100*Meal_entry_week_2!$AY$498/AG126&lt;0,0,100*Meal_entry_week_2!$AY$498/AG126)</f>
        <v>0</v>
      </c>
      <c r="AH206" s="903"/>
    </row>
    <row r="207" spans="1:34" ht="15">
      <c r="A207" s="905"/>
      <c r="B207" s="770" t="s">
        <v>3882</v>
      </c>
      <c r="C207" s="873"/>
      <c r="D207" s="873">
        <f>100*(Meal_entry_week_2!$AA$108+Meal_entry_week_2!$AA$207+Meal_entry_week_2!$AA$306+Meal_entry_week_2!$AA$405+Meal_entry_week_2!$AA$504)/D127/$D$146</f>
        <v>77.06736285046388</v>
      </c>
      <c r="E207" s="919">
        <f>100*(Meal_entry_week_2!$AA$35+Meal_entry_week_2!$AA$134+Meal_entry_week_2!$AA$233+Meal_entry_week_2!$AA$332+Meal_entry_week_2!$AA$431)/E127/($E$146+0.00001)</f>
        <v>0</v>
      </c>
      <c r="F207" s="919">
        <f>100*(Meal_entry_week_2!$AA$54+Meal_entry_week_2!$AA$153+Meal_entry_week_2!$AA$252+Meal_entry_week_2!$AA$351+Meal_entry_week_2!$AA$450)/F127/($F$146+0.00001)</f>
        <v>43.587537518229162</v>
      </c>
      <c r="G207" s="919">
        <f>100*(Meal_entry_week_2!$AA$86+Meal_entry_week_2!$AA$185+Meal_entry_week_2!$AA$284+Meal_entry_week_2!$AA$383+Meal_entry_week_2!$AA$482)/G127/($G$146+0.00001)</f>
        <v>165.29430783136533</v>
      </c>
      <c r="H207" s="920">
        <f>100*(Meal_entry_week_2!$AA$105+Meal_entry_week_2!$AA$204+Meal_entry_week_2!$AA$303+Meal_entry_week_2!$AA$402+Meal_entry_week_2!$AA$501)/H127/($H$146+0.00001)</f>
        <v>0</v>
      </c>
      <c r="I207" s="921">
        <f>100*Meal_entry_week_2!$AA$108/I127</f>
        <v>74.633961200997078</v>
      </c>
      <c r="J207" s="922">
        <f>100*Meal_entry_week_2!$AA$207/J127</f>
        <v>89.09502800489814</v>
      </c>
      <c r="K207" s="922">
        <f>100*Meal_entry_week_2!$AA$306/K127</f>
        <v>101.42815647580665</v>
      </c>
      <c r="L207" s="922">
        <f>100*Meal_entry_week_2!$AA$405/L127</f>
        <v>65.238938528979403</v>
      </c>
      <c r="M207" s="923">
        <f>100*Meal_entry_week_2!$AA$504/M127</f>
        <v>54.940730041638133</v>
      </c>
      <c r="N207" s="921">
        <f>IF(100*Meal_entry_week_2!$AZ$32/N127&lt;0,0,100*Meal_entry_week_2!$AZ$32/N127)</f>
        <v>0</v>
      </c>
      <c r="O207" s="922">
        <f>IF(100*Meal_entry_week_2!$AZ$131/O127&lt;0,0,100*Meal_entry_week_2!$AZ$131/O127)</f>
        <v>0</v>
      </c>
      <c r="P207" s="922">
        <f>IF(100*Meal_entry_week_2!$AZ$230/P127&lt;0,0,100*Meal_entry_week_2!$AZ$230/P127)</f>
        <v>0</v>
      </c>
      <c r="Q207" s="922">
        <f>IF(100*Meal_entry_week_2!$AZ$329/Q127&lt;0,0,100*Meal_entry_week_2!$AZ$329/Q127)</f>
        <v>0</v>
      </c>
      <c r="R207" s="923">
        <f>IF(100*Meal_entry_week_2!$AZ$428/R127&lt;0,0,100*Meal_entry_week_2!$AZ$428/R127)</f>
        <v>0</v>
      </c>
      <c r="S207" s="921">
        <f>IF(100*Meal_entry_week_2!$AZ$51/S127&lt;0,0,100*Meal_entry_week_2!$AZ$51/S127)</f>
        <v>54.750018249987832</v>
      </c>
      <c r="T207" s="922">
        <f>IF(100*Meal_entry_week_2!$AZ$150/T127&lt;0,0,100*Meal_entry_week_2!$AZ$150/T127)</f>
        <v>56.129977400009011</v>
      </c>
      <c r="U207" s="922">
        <f>IF(100*Meal_entry_week_2!$AZ$249/U127&lt;0,0,100*Meal_entry_week_2!$AZ$249/U127)</f>
        <v>32.855016396991779</v>
      </c>
      <c r="V207" s="922">
        <f>IF(100*Meal_entry_week_2!$AZ$348/V127&lt;0,0,100*Meal_entry_week_2!$AZ$348/V127)</f>
        <v>28.210025394997462</v>
      </c>
      <c r="W207" s="923">
        <f>IF(100*Meal_entry_week_2!$AZ$447/W127&lt;0,0,100*Meal_entry_week_2!$AZ$447/W127)</f>
        <v>45.99308602453489</v>
      </c>
      <c r="X207" s="921">
        <f>IF(100*Meal_entry_week_2!$AZ$83/X127&lt;0,0,100*Meal_entry_week_2!$AZ$83/X127)</f>
        <v>155.8959033856639</v>
      </c>
      <c r="Y207" s="922">
        <f>IF(100*Meal_entry_week_2!$AZ$182/Y127&lt;0,0,100*Meal_entry_week_2!$AZ$182/Y127)</f>
        <v>189.17840621142599</v>
      </c>
      <c r="Z207" s="922">
        <f>IF(100*Meal_entry_week_2!$AZ$281/Z127&lt;0,0,100*Meal_entry_week_2!$AZ$281/Z127)</f>
        <v>225.71402631121828</v>
      </c>
      <c r="AA207" s="922">
        <f>IF(100*Meal_entry_week_2!$AZ$380/AA127&lt;0,0,100*Meal_entry_week_2!$AZ$380/AA127)</f>
        <v>142.82084810261946</v>
      </c>
      <c r="AB207" s="923">
        <f>IF(100*Meal_entry_week_2!$AZ$479/AB127&lt;0,0,100*Meal_entry_week_2!$AZ$479/AB127)</f>
        <v>112.86400808897736</v>
      </c>
      <c r="AC207" s="921">
        <f>IF(100*Meal_entry_week_2!$AZ$102/AC127&lt;0,0,100*Meal_entry_week_2!$AZ$102/AC127)</f>
        <v>0</v>
      </c>
      <c r="AD207" s="922">
        <f>IF(100*Meal_entry_week_2!$AZ$201/AD127&lt;0,0,100*Meal_entry_week_2!$AZ$201/AD127)</f>
        <v>0</v>
      </c>
      <c r="AE207" s="922">
        <f>IF(100*Meal_entry_week_2!$AZ$300/AE127&lt;0,0,100*Meal_entry_week_2!$AZ$300/AE127)</f>
        <v>0</v>
      </c>
      <c r="AF207" s="922">
        <f>IF(100*Meal_entry_week_2!$AZ$399/AF127&lt;0,0,100*Meal_entry_week_2!$AZ$399/AF127)</f>
        <v>0</v>
      </c>
      <c r="AG207" s="923">
        <f>IF(100*Meal_entry_week_2!$AZ$498/AG127&lt;0,0,100*Meal_entry_week_2!$AZ$498/AG127)</f>
        <v>0</v>
      </c>
      <c r="AH207" s="903"/>
    </row>
    <row r="208" spans="1:34" ht="15">
      <c r="A208" s="905"/>
      <c r="B208" s="771" t="s">
        <v>3883</v>
      </c>
      <c r="C208" s="873"/>
      <c r="D208" s="873">
        <f>100*(Meal_entry_week_2!$AB$108+Meal_entry_week_2!$AB$207+Meal_entry_week_2!$AB$306+Meal_entry_week_2!$AB$405+Meal_entry_week_2!$AB$504)/D128/$D$146</f>
        <v>49.635769472251134</v>
      </c>
      <c r="E208" s="919">
        <f>100*(Meal_entry_week_2!$AB$35+Meal_entry_week_2!$AB$134+Meal_entry_week_2!$AB$233+Meal_entry_week_2!$AB$332+Meal_entry_week_2!$AB$431)/E128/($E$146+0.00001)</f>
        <v>0</v>
      </c>
      <c r="F208" s="919">
        <f>100*(Meal_entry_week_2!$AB$54+Meal_entry_week_2!$AB$153+Meal_entry_week_2!$AB$252+Meal_entry_week_2!$AB$351+Meal_entry_week_2!$AB$450)/F128/($F$146+0.00001)</f>
        <v>148.09572742857728</v>
      </c>
      <c r="G208" s="919">
        <f>100*(Meal_entry_week_2!$AB$86+Meal_entry_week_2!$AB$185+Meal_entry_week_2!$AB$284+Meal_entry_week_2!$AB$383+Meal_entry_week_2!$AB$482)/G128/($G$146+0.00001)</f>
        <v>66.451321325932611</v>
      </c>
      <c r="H208" s="920">
        <f>100*(Meal_entry_week_2!$AB$105+Meal_entry_week_2!$AB$204+Meal_entry_week_2!$AB$303+Meal_entry_week_2!$AB$402+Meal_entry_week_2!$AB$501)/H128/($H$146+0.00001)</f>
        <v>0</v>
      </c>
      <c r="I208" s="921">
        <f>100*Meal_entry_week_2!$AB$108/I128</f>
        <v>79.524014096586939</v>
      </c>
      <c r="J208" s="922">
        <f>100*Meal_entry_week_2!$AB$207/J128</f>
        <v>55.632926258160943</v>
      </c>
      <c r="K208" s="922">
        <f>100*Meal_entry_week_2!$AB$306/K128</f>
        <v>39.180161052762116</v>
      </c>
      <c r="L208" s="922">
        <f>100*Meal_entry_week_2!$AB$405/L128</f>
        <v>39.5034762426817</v>
      </c>
      <c r="M208" s="923">
        <f>100*Meal_entry_week_2!$AB$504/M128</f>
        <v>34.338269711063923</v>
      </c>
      <c r="N208" s="921">
        <f>IF(100*Meal_entry_week_2!$BA$32/N128&lt;0,0,100*Meal_entry_week_2!$BA$32/N128)</f>
        <v>0</v>
      </c>
      <c r="O208" s="922">
        <f>IF(100*Meal_entry_week_2!$BA$131/O128&lt;0,0,100*Meal_entry_week_2!$BA$131/O128)</f>
        <v>0</v>
      </c>
      <c r="P208" s="922">
        <f>IF(100*Meal_entry_week_2!$BA$230/P128&lt;0,0,100*Meal_entry_week_2!$BA$230/P128)</f>
        <v>0</v>
      </c>
      <c r="Q208" s="922">
        <f>IF(100*Meal_entry_week_2!$BA$329/Q128&lt;0,0,100*Meal_entry_week_2!$BA$329/Q128)</f>
        <v>0</v>
      </c>
      <c r="R208" s="923">
        <f>IF(100*Meal_entry_week_2!$BA$428/R128&lt;0,0,100*Meal_entry_week_2!$BA$428/R128)</f>
        <v>0</v>
      </c>
      <c r="S208" s="921">
        <f>IF(100*Meal_entry_week_2!$BA$51/S128&lt;0,0,100*Meal_entry_week_2!$BA$51/S128)</f>
        <v>159.99189056297939</v>
      </c>
      <c r="T208" s="922">
        <f>IF(100*Meal_entry_week_2!$BA$150/T128&lt;0,0,100*Meal_entry_week_2!$BA$150/T128)</f>
        <v>313.70898784549348</v>
      </c>
      <c r="U208" s="922">
        <f>IF(100*Meal_entry_week_2!$BA$249/U128&lt;0,0,100*Meal_entry_week_2!$BA$249/U128)</f>
        <v>148.86811122458076</v>
      </c>
      <c r="V208" s="922">
        <f>IF(100*Meal_entry_week_2!$BA$348/V128&lt;0,0,100*Meal_entry_week_2!$BA$348/V128)</f>
        <v>31.690937618178964</v>
      </c>
      <c r="W208" s="923">
        <f>IF(100*Meal_entry_week_2!$BA$447/W128&lt;0,0,100*Meal_entry_week_2!$BA$447/W128)</f>
        <v>86.220190848928112</v>
      </c>
      <c r="X208" s="921">
        <f>IF(100*Meal_entry_week_2!$BA$83/X128&lt;0,0,100*Meal_entry_week_2!$BA$83/X128)</f>
        <v>132.22540270437636</v>
      </c>
      <c r="Y208" s="922">
        <f>IF(100*Meal_entry_week_2!$BA$182/Y128&lt;0,0,100*Meal_entry_week_2!$BA$182/Y128)</f>
        <v>25.240498653877715</v>
      </c>
      <c r="Z208" s="922">
        <f>IF(100*Meal_entry_week_2!$BA$281/Z128&lt;0,0,100*Meal_entry_week_2!$BA$281/Z128)</f>
        <v>41.797672048251357</v>
      </c>
      <c r="AA208" s="922">
        <f>IF(100*Meal_entry_week_2!$BA$380/AA128&lt;0,0,100*Meal_entry_week_2!$BA$380/AA128)</f>
        <v>81.611132026864311</v>
      </c>
      <c r="AB208" s="923">
        <f>IF(100*Meal_entry_week_2!$BA$479/AB128&lt;0,0,100*Meal_entry_week_2!$BA$479/AB128)</f>
        <v>51.382565709506466</v>
      </c>
      <c r="AC208" s="921">
        <f>IF(100*Meal_entry_week_2!$BA$102/AC128&lt;0,0,100*Meal_entry_week_2!$BA$102/AC128)</f>
        <v>0</v>
      </c>
      <c r="AD208" s="922">
        <f>IF(100*Meal_entry_week_2!$BA$201/AD128&lt;0,0,100*Meal_entry_week_2!$BA$201/AD128)</f>
        <v>0</v>
      </c>
      <c r="AE208" s="922">
        <f>IF(100*Meal_entry_week_2!$BA$300/AE128&lt;0,0,100*Meal_entry_week_2!$BA$300/AE128)</f>
        <v>0</v>
      </c>
      <c r="AF208" s="922">
        <f>IF(100*Meal_entry_week_2!$BA$399/AF128&lt;0,0,100*Meal_entry_week_2!$BA$399/AF128)</f>
        <v>0</v>
      </c>
      <c r="AG208" s="923">
        <f>IF(100*Meal_entry_week_2!$BA$498/AG128&lt;0,0,100*Meal_entry_week_2!$BA$498/AG128)</f>
        <v>0</v>
      </c>
      <c r="AH208" s="903"/>
    </row>
    <row r="209" spans="1:34" ht="15">
      <c r="A209" s="905"/>
      <c r="B209" s="770" t="s">
        <v>3884</v>
      </c>
      <c r="C209" s="873"/>
      <c r="D209" s="873">
        <f>100*(Meal_entry_week_2!$AC$108+Meal_entry_week_2!$AC$207+Meal_entry_week_2!$AC$306+Meal_entry_week_2!$AC$405+Meal_entry_week_2!$AC$504)/D129/$D$146</f>
        <v>54.152216366814272</v>
      </c>
      <c r="E209" s="919">
        <f>100*(Meal_entry_week_2!$AC$35+Meal_entry_week_2!$AC$134+Meal_entry_week_2!$AC$233+Meal_entry_week_2!$AC$332+Meal_entry_week_2!$AC$431)/E129/($E$146+0.00001)</f>
        <v>0</v>
      </c>
      <c r="F209" s="919">
        <f>100*(Meal_entry_week_2!$AC$54+Meal_entry_week_2!$AC$153+Meal_entry_week_2!$AC$252+Meal_entry_week_2!$AC$351+Meal_entry_week_2!$AC$450)/F129/($F$146+0.00001)</f>
        <v>67.739979596819751</v>
      </c>
      <c r="G209" s="919">
        <f>100*(Meal_entry_week_2!$AC$86+Meal_entry_week_2!$AC$185+Meal_entry_week_2!$AC$284+Meal_entry_week_2!$AC$383+Meal_entry_week_2!$AC$482)/G129/($G$146+0.00001)</f>
        <v>103.77492561378909</v>
      </c>
      <c r="H209" s="920">
        <f>100*(Meal_entry_week_2!$AC$105+Meal_entry_week_2!$AC$204+Meal_entry_week_2!$AC$303+Meal_entry_week_2!$AC$402+Meal_entry_week_2!$AC$501)/H129/($H$146+0.00001)</f>
        <v>0</v>
      </c>
      <c r="I209" s="921">
        <f>100*Meal_entry_week_2!$AC$108/I129</f>
        <v>63.464152973375064</v>
      </c>
      <c r="J209" s="922">
        <f>100*Meal_entry_week_2!$AC$207/J129</f>
        <v>50.117469132784258</v>
      </c>
      <c r="K209" s="922">
        <f>100*Meal_entry_week_2!$AC$306/K129</f>
        <v>76.451882773095178</v>
      </c>
      <c r="L209" s="922">
        <f>100*Meal_entry_week_2!$AC$405/L129</f>
        <v>37.635483470661725</v>
      </c>
      <c r="M209" s="923">
        <f>100*Meal_entry_week_2!$AC$504/M129</f>
        <v>43.092093484155143</v>
      </c>
      <c r="N209" s="921">
        <f>IF(100*Meal_entry_week_2!$BB$32/N129&lt;0,0,100*Meal_entry_week_2!$BB$32/N129)</f>
        <v>0</v>
      </c>
      <c r="O209" s="922">
        <f>IF(100*Meal_entry_week_2!$BB$131/O129&lt;0,0,100*Meal_entry_week_2!$BB$131/O129)</f>
        <v>0</v>
      </c>
      <c r="P209" s="922">
        <f>IF(100*Meal_entry_week_2!$BB$230/P129&lt;0,0,100*Meal_entry_week_2!$BB$230/P129)</f>
        <v>0</v>
      </c>
      <c r="Q209" s="922">
        <f>IF(100*Meal_entry_week_2!$BB$329/Q129&lt;0,0,100*Meal_entry_week_2!$BB$329/Q129)</f>
        <v>0</v>
      </c>
      <c r="R209" s="923">
        <f>IF(100*Meal_entry_week_2!$BB$428/R129&lt;0,0,100*Meal_entry_week_2!$BB$428/R129)</f>
        <v>0</v>
      </c>
      <c r="S209" s="921">
        <f>IF(100*Meal_entry_week_2!$BB$51/S129&lt;0,0,100*Meal_entry_week_2!$BB$51/S129)</f>
        <v>56.037811645671361</v>
      </c>
      <c r="T209" s="922">
        <f>IF(100*Meal_entry_week_2!$BB$150/T129&lt;0,0,100*Meal_entry_week_2!$BB$150/T129)</f>
        <v>24.467581467950325</v>
      </c>
      <c r="U209" s="922">
        <f>IF(100*Meal_entry_week_2!$BB$249/U129&lt;0,0,100*Meal_entry_week_2!$BB$249/U129)</f>
        <v>223.11560397969401</v>
      </c>
      <c r="V209" s="922">
        <f>IF(100*Meal_entry_week_2!$BB$348/V129&lt;0,0,100*Meal_entry_week_2!$BB$348/V129)</f>
        <v>28.764086032659737</v>
      </c>
      <c r="W209" s="923">
        <f>IF(100*Meal_entry_week_2!$BB$447/W129&lt;0,0,100*Meal_entry_week_2!$BB$447/W129)</f>
        <v>6.3154922579192379</v>
      </c>
      <c r="X209" s="921">
        <f>IF(100*Meal_entry_week_2!$BB$83/X129&lt;0,0,100*Meal_entry_week_2!$BB$83/X129)</f>
        <v>129.40375305598468</v>
      </c>
      <c r="Y209" s="922">
        <f>IF(100*Meal_entry_week_2!$BB$182/Y129&lt;0,0,100*Meal_entry_week_2!$BB$182/Y129)</f>
        <v>108.78490082051316</v>
      </c>
      <c r="Z209" s="922">
        <f>IF(100*Meal_entry_week_2!$BB$281/Z129&lt;0,0,100*Meal_entry_week_2!$BB$281/Z129)</f>
        <v>104.01585847732406</v>
      </c>
      <c r="AA209" s="922">
        <f>IF(100*Meal_entry_week_2!$BB$380/AA129&lt;0,0,100*Meal_entry_week_2!$BB$380/AA129)</f>
        <v>78.228099420657429</v>
      </c>
      <c r="AB209" s="923">
        <f>IF(100*Meal_entry_week_2!$BB$479/AB129&lt;0,0,100*Meal_entry_week_2!$BB$479/AB129)</f>
        <v>98.443054043722256</v>
      </c>
      <c r="AC209" s="921">
        <f>IF(100*Meal_entry_week_2!$BB$102/AC129&lt;0,0,100*Meal_entry_week_2!$BB$102/AC129)</f>
        <v>0</v>
      </c>
      <c r="AD209" s="922">
        <f>IF(100*Meal_entry_week_2!$BB$201/AD129&lt;0,0,100*Meal_entry_week_2!$BB$201/AD129)</f>
        <v>0</v>
      </c>
      <c r="AE209" s="922">
        <f>IF(100*Meal_entry_week_2!$BB$300/AE129&lt;0,0,100*Meal_entry_week_2!$BB$300/AE129)</f>
        <v>0</v>
      </c>
      <c r="AF209" s="922">
        <f>IF(100*Meal_entry_week_2!$BB$399/AF129&lt;0,0,100*Meal_entry_week_2!$BB$399/AF129)</f>
        <v>0</v>
      </c>
      <c r="AG209" s="923">
        <f>IF(100*Meal_entry_week_2!$BB$498/AG129&lt;0,0,100*Meal_entry_week_2!$BB$498/AG129)</f>
        <v>0</v>
      </c>
      <c r="AH209" s="903"/>
    </row>
    <row r="210" spans="1:34" ht="15">
      <c r="A210" s="900"/>
      <c r="B210" s="770" t="s">
        <v>3885</v>
      </c>
      <c r="C210" s="919"/>
      <c r="D210" s="873">
        <f>100*(Meal_entry_week_2!$AD$108+Meal_entry_week_2!$AD$207+Meal_entry_week_2!$AD$306+Meal_entry_week_2!$AD$405+Meal_entry_week_2!$AD$504)/D130/$D$146</f>
        <v>83.63710239081496</v>
      </c>
      <c r="E210" s="919">
        <f>100*(Meal_entry_week_2!$AD$35+Meal_entry_week_2!$AD$134+Meal_entry_week_2!$AD$233+Meal_entry_week_2!$AD$332+Meal_entry_week_2!$AD$431)/E130/($E$146+0.00001)</f>
        <v>0</v>
      </c>
      <c r="F210" s="919">
        <f>100*(Meal_entry_week_2!$AD$54+Meal_entry_week_2!$AD$153+Meal_entry_week_2!$AD$252+Meal_entry_week_2!$AD$351+Meal_entry_week_2!$AD$450)/F130/($F$146+0.00001)</f>
        <v>74.597420405085956</v>
      </c>
      <c r="G210" s="919">
        <f>100*(Meal_entry_week_2!$AD$86+Meal_entry_week_2!$AD$185+Meal_entry_week_2!$AD$284+Meal_entry_week_2!$AD$383+Meal_entry_week_2!$AD$482)/G130/($G$146+0.00001)</f>
        <v>170.28704180450907</v>
      </c>
      <c r="H210" s="920">
        <f>100*(Meal_entry_week_2!$AD$105+Meal_entry_week_2!$AD$204+Meal_entry_week_2!$AD$303+Meal_entry_week_2!$AD$402+Meal_entry_week_2!$AD$501)/H130/($H$146+0.00001)</f>
        <v>0</v>
      </c>
      <c r="I210" s="921">
        <f>100*Meal_entry_week_2!$AD$108/I130</f>
        <v>98.92807491249151</v>
      </c>
      <c r="J210" s="922">
        <f>100*Meal_entry_week_2!$AD$207/J130</f>
        <v>84.449820738390201</v>
      </c>
      <c r="K210" s="922">
        <f>100*Meal_entry_week_2!$AD$306/K130</f>
        <v>92.527831192785726</v>
      </c>
      <c r="L210" s="922">
        <f>100*Meal_entry_week_2!$AD$405/L130</f>
        <v>87.367514569374833</v>
      </c>
      <c r="M210" s="923">
        <f>100*Meal_entry_week_2!$AD$504/M130</f>
        <v>54.912270541032541</v>
      </c>
      <c r="N210" s="921">
        <f>IF(100*Meal_entry_week_2!$BC$32/N130&lt;0,0,100*Meal_entry_week_2!$BC$32/N130)</f>
        <v>0</v>
      </c>
      <c r="O210" s="922">
        <f>IF(100*Meal_entry_week_2!$BC$131/O130&lt;0,0,100*Meal_entry_week_2!$BC$131/O130)</f>
        <v>0</v>
      </c>
      <c r="P210" s="922">
        <f>IF(100*Meal_entry_week_2!$BC$230/P130&lt;0,0,100*Meal_entry_week_2!$BC$230/P130)</f>
        <v>0</v>
      </c>
      <c r="Q210" s="922">
        <f>IF(100*Meal_entry_week_2!$BC$329/Q130&lt;0,0,100*Meal_entry_week_2!$BC$329/Q130)</f>
        <v>0</v>
      </c>
      <c r="R210" s="923">
        <f>IF(100*Meal_entry_week_2!$BC$428/R130&lt;0,0,100*Meal_entry_week_2!$BC$428/R130)</f>
        <v>0</v>
      </c>
      <c r="S210" s="921">
        <f>IF(100*Meal_entry_week_2!$BC$51/S130&lt;0,0,100*Meal_entry_week_2!$BC$51/S130)</f>
        <v>117.48798882723267</v>
      </c>
      <c r="T210" s="922">
        <f>IF(100*Meal_entry_week_2!$BC$150/T130&lt;0,0,100*Meal_entry_week_2!$BC$150/T130)</f>
        <v>77.206435889223414</v>
      </c>
      <c r="U210" s="922">
        <f>IF(100*Meal_entry_week_2!$BC$249/U130&lt;0,0,100*Meal_entry_week_2!$BC$249/U130)</f>
        <v>47.012296047457532</v>
      </c>
      <c r="V210" s="922">
        <f>IF(100*Meal_entry_week_2!$BC$348/V130&lt;0,0,100*Meal_entry_week_2!$BC$348/V130)</f>
        <v>85.554076998658971</v>
      </c>
      <c r="W210" s="923">
        <f>IF(100*Meal_entry_week_2!$BC$447/W130&lt;0,0,100*Meal_entry_week_2!$BC$447/W130)</f>
        <v>45.727050237061199</v>
      </c>
      <c r="X210" s="921">
        <f>IF(100*Meal_entry_week_2!$BC$83/X130&lt;0,0,100*Meal_entry_week_2!$BC$83/X130)</f>
        <v>191.66951185340264</v>
      </c>
      <c r="Y210" s="922">
        <f>IF(100*Meal_entry_week_2!$BC$182/Y130&lt;0,0,100*Meal_entry_week_2!$BC$182/Y130)</f>
        <v>171.31410309316931</v>
      </c>
      <c r="Z210" s="922">
        <f>IF(100*Meal_entry_week_2!$BC$281/Z130&lt;0,0,100*Meal_entry_week_2!$BC$281/Z130)</f>
        <v>200.22750743401417</v>
      </c>
      <c r="AA210" s="922">
        <f>IF(100*Meal_entry_week_2!$BC$380/AA130&lt;0,0,100*Meal_entry_week_2!$BC$380/AA130)</f>
        <v>175.3395083289883</v>
      </c>
      <c r="AB210" s="923">
        <f>IF(100*Meal_entry_week_2!$BC$479/AB130&lt;0,0,100*Meal_entry_week_2!$BC$479/AB130)</f>
        <v>112.88628118338885</v>
      </c>
      <c r="AC210" s="921">
        <f>IF(100*Meal_entry_week_2!$BC$102/AC130&lt;0,0,100*Meal_entry_week_2!$BC$102/AC130)</f>
        <v>0</v>
      </c>
      <c r="AD210" s="922">
        <f>IF(100*Meal_entry_week_2!$BC$201/AD130&lt;0,0,100*Meal_entry_week_2!$BC$201/AD130)</f>
        <v>0</v>
      </c>
      <c r="AE210" s="922">
        <f>IF(100*Meal_entry_week_2!$BC$300/AE130&lt;0,0,100*Meal_entry_week_2!$BC$300/AE130)</f>
        <v>0</v>
      </c>
      <c r="AF210" s="922">
        <f>IF(100*Meal_entry_week_2!$BC$399/AF130&lt;0,0,100*Meal_entry_week_2!$BC$399/AF130)</f>
        <v>0</v>
      </c>
      <c r="AG210" s="923">
        <f>IF(100*Meal_entry_week_2!$BC$498/AG130&lt;0,0,100*Meal_entry_week_2!$BC$498/AG130)</f>
        <v>0</v>
      </c>
      <c r="AH210" s="903"/>
    </row>
    <row r="211" spans="1:34" ht="15">
      <c r="A211" s="900"/>
      <c r="B211" s="770" t="s">
        <v>3886</v>
      </c>
      <c r="C211" s="919"/>
      <c r="D211" s="873">
        <f>100*(Meal_entry_week_2!$AE$108+Meal_entry_week_2!$AE$207+Meal_entry_week_2!$AE$306+Meal_entry_week_2!$AE$405+Meal_entry_week_2!$AE$504)/D131/$D$146</f>
        <v>49.203849289362161</v>
      </c>
      <c r="E211" s="919">
        <f>100*(Meal_entry_week_2!$AE$35+Meal_entry_week_2!$AE$134+Meal_entry_week_2!$AE$233+Meal_entry_week_2!$AE$332+Meal_entry_week_2!$AE$431)/E131/($E$146+0.00001)</f>
        <v>0</v>
      </c>
      <c r="F211" s="919">
        <f>100*(Meal_entry_week_2!$AE$54+Meal_entry_week_2!$AE$153+Meal_entry_week_2!$AE$252+Meal_entry_week_2!$AE$351+Meal_entry_week_2!$AE$450)/F131/($F$146+0.00001)</f>
        <v>118.68407867364512</v>
      </c>
      <c r="G211" s="919">
        <f>100*(Meal_entry_week_2!$AE$86+Meal_entry_week_2!$AE$185+Meal_entry_week_2!$AE$284+Meal_entry_week_2!$AE$383+Meal_entry_week_2!$AE$482)/G131/($G$146+0.00001)</f>
        <v>75.247392499792568</v>
      </c>
      <c r="H211" s="920">
        <f>100*(Meal_entry_week_2!$AE$105+Meal_entry_week_2!$AE$204+Meal_entry_week_2!$AE$303+Meal_entry_week_2!$AE$402+Meal_entry_week_2!$AE$501)/H131/($H$146+0.00001)</f>
        <v>0</v>
      </c>
      <c r="I211" s="921">
        <f>100*Meal_entry_week_2!$AE$108/I131</f>
        <v>63.843432549093386</v>
      </c>
      <c r="J211" s="922">
        <f>100*Meal_entry_week_2!$AE$207/J131</f>
        <v>52.560828579942957</v>
      </c>
      <c r="K211" s="922">
        <f>100*Meal_entry_week_2!$AE$306/K131</f>
        <v>46.217000370288488</v>
      </c>
      <c r="L211" s="922">
        <f>100*Meal_entry_week_2!$AE$405/L131</f>
        <v>52.896708582699247</v>
      </c>
      <c r="M211" s="923">
        <f>100*Meal_entry_week_2!$AE$504/M131</f>
        <v>30.501276364786726</v>
      </c>
      <c r="N211" s="921">
        <f>IF(100*Meal_entry_week_2!$BD$32/N131&lt;0,0,100*Meal_entry_week_2!$BD$32/N131)</f>
        <v>0</v>
      </c>
      <c r="O211" s="922">
        <f>IF(100*Meal_entry_week_2!$BD$131/O131&lt;0,0,100*Meal_entry_week_2!$BD$131/O131)</f>
        <v>0</v>
      </c>
      <c r="P211" s="922">
        <f>IF(100*Meal_entry_week_2!$BD$230/P131&lt;0,0,100*Meal_entry_week_2!$BD$230/P131)</f>
        <v>0</v>
      </c>
      <c r="Q211" s="922">
        <f>IF(100*Meal_entry_week_2!$BD$329/Q131&lt;0,0,100*Meal_entry_week_2!$BD$329/Q131)</f>
        <v>0</v>
      </c>
      <c r="R211" s="923">
        <f>IF(100*Meal_entry_week_2!$BD$428/R131&lt;0,0,100*Meal_entry_week_2!$BD$428/R131)</f>
        <v>0</v>
      </c>
      <c r="S211" s="921">
        <f>IF(100*Meal_entry_week_2!$BD$51/S131&lt;0,0,100*Meal_entry_week_2!$BD$51/S131)</f>
        <v>246.58708240344188</v>
      </c>
      <c r="T211" s="922">
        <f>IF(100*Meal_entry_week_2!$BD$150/T131&lt;0,0,100*Meal_entry_week_2!$BD$150/T131)</f>
        <v>168.26528557570489</v>
      </c>
      <c r="U211" s="922">
        <f>IF(100*Meal_entry_week_2!$BD$249/U131&lt;0,0,100*Meal_entry_week_2!$BD$249/U131)</f>
        <v>133.16082417463858</v>
      </c>
      <c r="V211" s="922">
        <f>IF(100*Meal_entry_week_2!$BD$348/V131&lt;0,0,100*Meal_entry_week_2!$BD$348/V131)</f>
        <v>13.667354072910163</v>
      </c>
      <c r="W211" s="923">
        <f>IF(100*Meal_entry_week_2!$BD$447/W131&lt;0,0,100*Meal_entry_week_2!$BD$447/W131)</f>
        <v>31.741033982316768</v>
      </c>
      <c r="X211" s="921">
        <f>IF(100*Meal_entry_week_2!$BD$83/X131&lt;0,0,100*Meal_entry_week_2!$BD$83/X131)</f>
        <v>66.77231514673727</v>
      </c>
      <c r="Y211" s="922">
        <f>IF(100*Meal_entry_week_2!$BD$182/Y131&lt;0,0,100*Meal_entry_week_2!$BD$182/Y131)</f>
        <v>66.553504827965256</v>
      </c>
      <c r="Z211" s="922">
        <f>IF(100*Meal_entry_week_2!$BD$281/Z131&lt;0,0,100*Meal_entry_week_2!$BD$281/Z131)</f>
        <v>63.452726139126945</v>
      </c>
      <c r="AA211" s="922">
        <f>IF(100*Meal_entry_week_2!$BD$380/AA131&lt;0,0,100*Meal_entry_week_2!$BD$380/AA131)</f>
        <v>118.86986866866154</v>
      </c>
      <c r="AB211" s="923">
        <f>IF(100*Meal_entry_week_2!$BD$479/AB131&lt;0,0,100*Meal_entry_week_2!$BD$479/AB131)</f>
        <v>60.58930019039677</v>
      </c>
      <c r="AC211" s="921">
        <f>IF(100*Meal_entry_week_2!$BD$102/AC131&lt;0,0,100*Meal_entry_week_2!$BD$102/AC131)</f>
        <v>0</v>
      </c>
      <c r="AD211" s="922">
        <f>IF(100*Meal_entry_week_2!$BD$201/AD131&lt;0,0,100*Meal_entry_week_2!$BD$201/AD131)</f>
        <v>0</v>
      </c>
      <c r="AE211" s="922">
        <f>IF(100*Meal_entry_week_2!$BD$300/AE131&lt;0,0,100*Meal_entry_week_2!$BD$300/AE131)</f>
        <v>0</v>
      </c>
      <c r="AF211" s="922">
        <f>IF(100*Meal_entry_week_2!$BD$399/AF131&lt;0,0,100*Meal_entry_week_2!$BD$399/AF131)</f>
        <v>0</v>
      </c>
      <c r="AG211" s="923">
        <f>IF(100*Meal_entry_week_2!$BD$498/AG131&lt;0,0,100*Meal_entry_week_2!$BD$498/AG131)</f>
        <v>0</v>
      </c>
      <c r="AH211" s="903"/>
    </row>
    <row r="212" spans="1:34" ht="15">
      <c r="A212" s="904"/>
      <c r="B212" s="770" t="s">
        <v>3887</v>
      </c>
      <c r="C212" s="925"/>
      <c r="D212" s="873">
        <f>100*(Meal_entry_week_2!$AF$108+Meal_entry_week_2!$AF$207+Meal_entry_week_2!$AF$306+Meal_entry_week_2!$AF$405+Meal_entry_week_2!$AF$504)/D132/$D$146</f>
        <v>77.7798262649858</v>
      </c>
      <c r="E212" s="919">
        <f>100*(Meal_entry_week_2!$AF$35+Meal_entry_week_2!$AF$134+Meal_entry_week_2!$AF$233+Meal_entry_week_2!$AF$332+Meal_entry_week_2!$AF$431)/E132/($E$146+0.00001)</f>
        <v>0</v>
      </c>
      <c r="F212" s="919">
        <f>100*(Meal_entry_week_2!$AF$54+Meal_entry_week_2!$AF$153+Meal_entry_week_2!$AF$252+Meal_entry_week_2!$AF$351+Meal_entry_week_2!$AF$450)/F132/($F$146+0.00001)</f>
        <v>113.36360228075849</v>
      </c>
      <c r="G212" s="919">
        <f>100*(Meal_entry_week_2!$AF$86+Meal_entry_week_2!$AF$185+Meal_entry_week_2!$AF$284+Meal_entry_week_2!$AF$383+Meal_entry_week_2!$AF$482)/G132/($G$146+0.00001)</f>
        <v>143.69803088625079</v>
      </c>
      <c r="H212" s="920">
        <f>100*(Meal_entry_week_2!$AF$105+Meal_entry_week_2!$AF$204+Meal_entry_week_2!$AF$303+Meal_entry_week_2!$AF$402+Meal_entry_week_2!$AF$501)/H132/($H$146+0.00001)</f>
        <v>0</v>
      </c>
      <c r="I212" s="921">
        <f>100*Meal_entry_week_2!$AF$108/I132</f>
        <v>76.934686470545358</v>
      </c>
      <c r="J212" s="922">
        <f>100*Meal_entry_week_2!$AF$207/J132</f>
        <v>102.4243123351944</v>
      </c>
      <c r="K212" s="922">
        <f>100*Meal_entry_week_2!$AF$306/K132</f>
        <v>86.148153785941631</v>
      </c>
      <c r="L212" s="922">
        <f>100*Meal_entry_week_2!$AF$405/L132</f>
        <v>69.887213767238777</v>
      </c>
      <c r="M212" s="923">
        <f>100*Meal_entry_week_2!$AF$504/M132</f>
        <v>53.504764966008871</v>
      </c>
      <c r="N212" s="921">
        <f>IF(100*Meal_entry_week_2!$BE$32/N132&lt;0,0,100*Meal_entry_week_2!$BE$32/N132)</f>
        <v>0</v>
      </c>
      <c r="O212" s="922">
        <f>IF(100*Meal_entry_week_2!$BE$131/O132&lt;0,0,100*Meal_entry_week_2!$BE$131/O132)</f>
        <v>0</v>
      </c>
      <c r="P212" s="922">
        <f>IF(100*Meal_entry_week_2!$BE$230/P132&lt;0,0,100*Meal_entry_week_2!$BE$230/P132)</f>
        <v>0</v>
      </c>
      <c r="Q212" s="922">
        <f>IF(100*Meal_entry_week_2!$BE$329/Q132&lt;0,0,100*Meal_entry_week_2!$BE$329/Q132)</f>
        <v>0</v>
      </c>
      <c r="R212" s="923">
        <f>IF(100*Meal_entry_week_2!$BE$428/R132&lt;0,0,100*Meal_entry_week_2!$BE$428/R132)</f>
        <v>0</v>
      </c>
      <c r="S212" s="921">
        <f>IF(100*Meal_entry_week_2!$BE$51/S132&lt;0,0,100*Meal_entry_week_2!$BE$51/S132)</f>
        <v>166.06540603300991</v>
      </c>
      <c r="T212" s="922">
        <f>IF(100*Meal_entry_week_2!$BE$150/T132&lt;0,0,100*Meal_entry_week_2!$BE$150/T132)</f>
        <v>212.10793002802649</v>
      </c>
      <c r="U212" s="922">
        <f>IF(100*Meal_entry_week_2!$BE$249/U132&lt;0,0,100*Meal_entry_week_2!$BE$249/U132)</f>
        <v>42.635496664701662</v>
      </c>
      <c r="V212" s="922">
        <f>IF(100*Meal_entry_week_2!$BE$348/V132&lt;0,0,100*Meal_entry_week_2!$BE$348/V132)</f>
        <v>89.986080987991897</v>
      </c>
      <c r="W212" s="923">
        <f>IF(100*Meal_entry_week_2!$BE$447/W132&lt;0,0,100*Meal_entry_week_2!$BE$447/W132)</f>
        <v>56.024231326085236</v>
      </c>
      <c r="X212" s="921">
        <f>IF(100*Meal_entry_week_2!$BE$83/X132&lt;0,0,100*Meal_entry_week_2!$BE$83/X132)</f>
        <v>124.15913308693584</v>
      </c>
      <c r="Y212" s="922">
        <f>IF(100*Meal_entry_week_2!$BE$182/Y132&lt;0,0,100*Meal_entry_week_2!$BE$182/Y132)</f>
        <v>168.2874187727781</v>
      </c>
      <c r="Z212" s="922">
        <f>IF(100*Meal_entry_week_2!$BE$281/Z132&lt;0,0,100*Meal_entry_week_2!$BE$281/Z132)</f>
        <v>186.80052661229655</v>
      </c>
      <c r="AA212" s="922">
        <f>IF(100*Meal_entry_week_2!$BE$380/AA132&lt;0,0,100*Meal_entry_week_2!$BE$380/AA132)</f>
        <v>133.07480512755984</v>
      </c>
      <c r="AB212" s="923">
        <f>IF(100*Meal_entry_week_2!$BE$479/AB132&lt;0,0,100*Meal_entry_week_2!$BE$479/AB132)</f>
        <v>106.1697078119923</v>
      </c>
      <c r="AC212" s="921">
        <f>IF(100*Meal_entry_week_2!$BE$102/AC132&lt;0,0,100*Meal_entry_week_2!$BE$102/AC132)</f>
        <v>0</v>
      </c>
      <c r="AD212" s="922">
        <f>IF(100*Meal_entry_week_2!$BE$201/AD132&lt;0,0,100*Meal_entry_week_2!$BE$201/AD132)</f>
        <v>0</v>
      </c>
      <c r="AE212" s="922">
        <f>IF(100*Meal_entry_week_2!$BE$300/AE132&lt;0,0,100*Meal_entry_week_2!$BE$300/AE132)</f>
        <v>0</v>
      </c>
      <c r="AF212" s="922">
        <f>IF(100*Meal_entry_week_2!$BE$399/AF132&lt;0,0,100*Meal_entry_week_2!$BE$399/AF132)</f>
        <v>0</v>
      </c>
      <c r="AG212" s="923">
        <f>IF(100*Meal_entry_week_2!$BE$498/AG132&lt;0,0,100*Meal_entry_week_2!$BE$498/AG132)</f>
        <v>0</v>
      </c>
      <c r="AH212" s="903"/>
    </row>
    <row r="213" spans="1:34" ht="15">
      <c r="A213" s="905"/>
      <c r="B213" s="770" t="s">
        <v>3888</v>
      </c>
      <c r="C213" s="873"/>
      <c r="D213" s="873">
        <f>100*(Meal_entry_week_2!$AG$108+Meal_entry_week_2!$AG$207+Meal_entry_week_2!$AG$306+Meal_entry_week_2!$AG$405+Meal_entry_week_2!$AG$504)/D133/$D$146</f>
        <v>88.579295970000629</v>
      </c>
      <c r="E213" s="919">
        <f>100*(Meal_entry_week_2!$AG$35+Meal_entry_week_2!$AG$134+Meal_entry_week_2!$AG$233+Meal_entry_week_2!$AG$332+Meal_entry_week_2!$AG$431)/E133/($E$146+0.00001)</f>
        <v>0</v>
      </c>
      <c r="F213" s="919">
        <f>100*(Meal_entry_week_2!$AG$54+Meal_entry_week_2!$AG$153+Meal_entry_week_2!$AG$252+Meal_entry_week_2!$AG$351+Meal_entry_week_2!$AG$450)/F133/($F$146+0.00001)</f>
        <v>172.67872582345143</v>
      </c>
      <c r="G213" s="919">
        <f>100*(Meal_entry_week_2!$AG$86+Meal_entry_week_2!$AG$185+Meal_entry_week_2!$AG$284+Meal_entry_week_2!$AG$383+Meal_entry_week_2!$AG$482)/G133/($G$146+0.00001)</f>
        <v>149.12503528629654</v>
      </c>
      <c r="H213" s="920">
        <f>100*(Meal_entry_week_2!$AG$105+Meal_entry_week_2!$AG$204+Meal_entry_week_2!$AG$303+Meal_entry_week_2!$AG$402+Meal_entry_week_2!$AG$501)/H133/($H$146+0.00001)</f>
        <v>0</v>
      </c>
      <c r="I213" s="921">
        <f>100*Meal_entry_week_2!$AG$108/I133</f>
        <v>104.16412951224339</v>
      </c>
      <c r="J213" s="922">
        <f>100*Meal_entry_week_2!$AG$207/J133</f>
        <v>109.2811473006811</v>
      </c>
      <c r="K213" s="922">
        <f>100*Meal_entry_week_2!$AG$306/K133</f>
        <v>81.680150607486098</v>
      </c>
      <c r="L213" s="922">
        <f>100*Meal_entry_week_2!$AG$405/L133</f>
        <v>73.951063449909043</v>
      </c>
      <c r="M213" s="923">
        <f>100*Meal_entry_week_2!$AG$504/M133</f>
        <v>73.819988979683487</v>
      </c>
      <c r="N213" s="921">
        <f>IF(100*Meal_entry_week_2!$BF$32/N133&lt;0,0,100*Meal_entry_week_2!$BF$32/N133)</f>
        <v>0</v>
      </c>
      <c r="O213" s="922">
        <f>IF(100*Meal_entry_week_2!$BF$131/O133&lt;0,0,100*Meal_entry_week_2!$BF$131/O133)</f>
        <v>0</v>
      </c>
      <c r="P213" s="922">
        <f>IF(100*Meal_entry_week_2!$BF$230/P133&lt;0,0,100*Meal_entry_week_2!$BF$230/P133)</f>
        <v>0</v>
      </c>
      <c r="Q213" s="922">
        <f>IF(100*Meal_entry_week_2!$BF$329/Q133&lt;0,0,100*Meal_entry_week_2!$BF$329/Q133)</f>
        <v>0</v>
      </c>
      <c r="R213" s="923">
        <f>IF(100*Meal_entry_week_2!$BF$428/R133&lt;0,0,100*Meal_entry_week_2!$BF$428/R133)</f>
        <v>0</v>
      </c>
      <c r="S213" s="921">
        <f>IF(100*Meal_entry_week_2!$BF$51/S133&lt;0,0,100*Meal_entry_week_2!$BF$51/S133)</f>
        <v>300.3364967372674</v>
      </c>
      <c r="T213" s="922">
        <f>IF(100*Meal_entry_week_2!$BF$150/T133&lt;0,0,100*Meal_entry_week_2!$BF$150/T133)</f>
        <v>195.16866801985171</v>
      </c>
      <c r="U213" s="922">
        <f>IF(100*Meal_entry_week_2!$BF$249/U133&lt;0,0,100*Meal_entry_week_2!$BF$249/U133)</f>
        <v>135.04365324670562</v>
      </c>
      <c r="V213" s="922">
        <f>IF(100*Meal_entry_week_2!$BF$348/V133&lt;0,0,100*Meal_entry_week_2!$BF$348/V133)</f>
        <v>143.54400015740643</v>
      </c>
      <c r="W213" s="923">
        <f>IF(100*Meal_entry_week_2!$BF$447/W133&lt;0,0,100*Meal_entry_week_2!$BF$447/W133)</f>
        <v>89.30253774328402</v>
      </c>
      <c r="X213" s="921">
        <f>IF(100*Meal_entry_week_2!$BF$83/X133&lt;0,0,100*Meal_entry_week_2!$BF$83/X133)</f>
        <v>142.93746994947881</v>
      </c>
      <c r="Y213" s="922">
        <f>IF(100*Meal_entry_week_2!$BF$182/Y133&lt;0,0,100*Meal_entry_week_2!$BF$182/Y133)</f>
        <v>189.93312102830529</v>
      </c>
      <c r="Z213" s="922">
        <f>IF(100*Meal_entry_week_2!$BF$281/Z133&lt;0,0,100*Meal_entry_week_2!$BF$281/Z133)</f>
        <v>145.57246700189901</v>
      </c>
      <c r="AA213" s="922">
        <f>IF(100*Meal_entry_week_2!$BF$380/AA133&lt;0,0,100*Meal_entry_week_2!$BF$380/AA133)</f>
        <v>124.7044813306523</v>
      </c>
      <c r="AB213" s="923">
        <f>IF(100*Meal_entry_week_2!$BF$479/AB133&lt;0,0,100*Meal_entry_week_2!$BF$479/AB133)</f>
        <v>142.47912837150017</v>
      </c>
      <c r="AC213" s="921">
        <f>IF(100*Meal_entry_week_2!$BF$102/AC133&lt;0,0,100*Meal_entry_week_2!$BF$102/AC133)</f>
        <v>0</v>
      </c>
      <c r="AD213" s="922">
        <f>IF(100*Meal_entry_week_2!$BF$201/AD133&lt;0,0,100*Meal_entry_week_2!$BF$201/AD133)</f>
        <v>0</v>
      </c>
      <c r="AE213" s="922">
        <f>IF(100*Meal_entry_week_2!$BF$300/AE133&lt;0,0,100*Meal_entry_week_2!$BF$300/AE133)</f>
        <v>0</v>
      </c>
      <c r="AF213" s="922">
        <f>IF(100*Meal_entry_week_2!$BF$399/AF133&lt;0,0,100*Meal_entry_week_2!$BF$399/AF133)</f>
        <v>0</v>
      </c>
      <c r="AG213" s="923">
        <f>IF(100*Meal_entry_week_2!$BF$498/AG133&lt;0,0,100*Meal_entry_week_2!$BF$498/AG133)</f>
        <v>0</v>
      </c>
      <c r="AH213" s="903"/>
    </row>
    <row r="214" spans="1:34" ht="15">
      <c r="A214" s="905"/>
      <c r="B214" s="770" t="s">
        <v>3889</v>
      </c>
      <c r="C214" s="873"/>
      <c r="D214" s="873">
        <f>100*(Meal_entry_week_2!$AH$108+Meal_entry_week_2!$AH$207+Meal_entry_week_2!$AH$306+Meal_entry_week_2!$AH$405+Meal_entry_week_2!$AH$504)/D134/$D$146</f>
        <v>50.86058316350416</v>
      </c>
      <c r="E214" s="919">
        <f>100*(Meal_entry_week_2!$AH$35+Meal_entry_week_2!$AH$134+Meal_entry_week_2!$AH$233+Meal_entry_week_2!$AH$332+Meal_entry_week_2!$AH$431)/E134/($E$146+0.00001)</f>
        <v>0</v>
      </c>
      <c r="F214" s="919">
        <f>100*(Meal_entry_week_2!$AH$54+Meal_entry_week_2!$AH$153+Meal_entry_week_2!$AH$252+Meal_entry_week_2!$AH$351+Meal_entry_week_2!$AH$450)/F134/($F$146+0.00001)</f>
        <v>33.712822263458591</v>
      </c>
      <c r="G214" s="919">
        <f>100*(Meal_entry_week_2!$AH$86+Meal_entry_week_2!$AH$185+Meal_entry_week_2!$AH$284+Meal_entry_week_2!$AH$383+Meal_entry_week_2!$AH$482)/G134/($G$146+0.00001)</f>
        <v>107.43684927811016</v>
      </c>
      <c r="H214" s="920">
        <f>100*(Meal_entry_week_2!$AH$105+Meal_entry_week_2!$AH$204+Meal_entry_week_2!$AH$303+Meal_entry_week_2!$AH$402+Meal_entry_week_2!$AH$501)/H134/($H$146+0.00001)</f>
        <v>0</v>
      </c>
      <c r="I214" s="921">
        <f>100*Meal_entry_week_2!$AH$108/I134</f>
        <v>46.082879765969096</v>
      </c>
      <c r="J214" s="922">
        <f>100*Meal_entry_week_2!$AH$207/J134</f>
        <v>52.74534162181105</v>
      </c>
      <c r="K214" s="922">
        <f>100*Meal_entry_week_2!$AH$306/K134</f>
        <v>60.179614913743691</v>
      </c>
      <c r="L214" s="922">
        <f>100*Meal_entry_week_2!$AH$405/L134</f>
        <v>56.906185593473964</v>
      </c>
      <c r="M214" s="923">
        <f>100*Meal_entry_week_2!$AH$504/M134</f>
        <v>38.388893922523039</v>
      </c>
      <c r="N214" s="921">
        <f>IF(100*Meal_entry_week_2!$BG$32/N134&lt;0,0,100*Meal_entry_week_2!$BG$32/N134)</f>
        <v>0</v>
      </c>
      <c r="O214" s="922">
        <f>IF(100*Meal_entry_week_2!$BG$131/O134&lt;0,0,100*Meal_entry_week_2!$BG$131/O134)</f>
        <v>0</v>
      </c>
      <c r="P214" s="922">
        <f>IF(100*Meal_entry_week_2!$BG$230/P134&lt;0,0,100*Meal_entry_week_2!$BG$230/P134)</f>
        <v>0</v>
      </c>
      <c r="Q214" s="922">
        <f>IF(100*Meal_entry_week_2!$BG$329/Q134&lt;0,0,100*Meal_entry_week_2!$BG$329/Q134)</f>
        <v>0</v>
      </c>
      <c r="R214" s="923">
        <f>IF(100*Meal_entry_week_2!$BG$428/R134&lt;0,0,100*Meal_entry_week_2!$BG$428/R134)</f>
        <v>0</v>
      </c>
      <c r="S214" s="921">
        <f>IF(100*Meal_entry_week_2!$BG$51/S134&lt;0,0,100*Meal_entry_week_2!$BG$51/S134)</f>
        <v>55.349447885469914</v>
      </c>
      <c r="T214" s="922">
        <f>IF(100*Meal_entry_week_2!$BG$150/T134&lt;0,0,100*Meal_entry_week_2!$BG$150/T134)</f>
        <v>39.144294407290054</v>
      </c>
      <c r="U214" s="922">
        <f>IF(100*Meal_entry_week_2!$BG$249/U134&lt;0,0,100*Meal_entry_week_2!$BG$249/U134)</f>
        <v>15.522730101362178</v>
      </c>
      <c r="V214" s="922">
        <f>IF(100*Meal_entry_week_2!$BG$348/V134&lt;0,0,100*Meal_entry_week_2!$BG$348/V134)</f>
        <v>21.83638329999804</v>
      </c>
      <c r="W214" s="923">
        <f>IF(100*Meal_entry_week_2!$BG$447/W134&lt;0,0,100*Meal_entry_week_2!$BG$447/W134)</f>
        <v>36.711592751395393</v>
      </c>
      <c r="X214" s="921">
        <f>IF(100*Meal_entry_week_2!$BG$83/X134&lt;0,0,100*Meal_entry_week_2!$BG$83/X134)</f>
        <v>89.07690349210462</v>
      </c>
      <c r="Y214" s="922">
        <f>IF(100*Meal_entry_week_2!$BG$182/Y134&lt;0,0,100*Meal_entry_week_2!$BG$182/Y134)</f>
        <v>110.02436564846245</v>
      </c>
      <c r="Z214" s="922">
        <f>IF(100*Meal_entry_week_2!$BG$281/Z134&lt;0,0,100*Meal_entry_week_2!$BG$281/Z134)</f>
        <v>135.24485809828124</v>
      </c>
      <c r="AA214" s="922">
        <f>IF(100*Meal_entry_week_2!$BG$380/AA134&lt;0,0,100*Meal_entry_week_2!$BG$380/AA134)</f>
        <v>125.50230528477323</v>
      </c>
      <c r="AB214" s="923">
        <f>IF(100*Meal_entry_week_2!$BG$479/AB134&lt;0,0,100*Meal_entry_week_2!$BG$479/AB134)</f>
        <v>77.336888235421981</v>
      </c>
      <c r="AC214" s="921">
        <f>IF(100*Meal_entry_week_2!$BG$102/AC134&lt;0,0,100*Meal_entry_week_2!$BG$102/AC134)</f>
        <v>0</v>
      </c>
      <c r="AD214" s="922">
        <f>IF(100*Meal_entry_week_2!$BG$201/AD134&lt;0,0,100*Meal_entry_week_2!$BG$201/AD134)</f>
        <v>0</v>
      </c>
      <c r="AE214" s="922">
        <f>IF(100*Meal_entry_week_2!$BG$300/AE134&lt;0,0,100*Meal_entry_week_2!$BG$300/AE134)</f>
        <v>0</v>
      </c>
      <c r="AF214" s="922">
        <f>IF(100*Meal_entry_week_2!$BG$399/AF134&lt;0,0,100*Meal_entry_week_2!$BG$399/AF134)</f>
        <v>0</v>
      </c>
      <c r="AG214" s="923">
        <f>IF(100*Meal_entry_week_2!$BG$498/AG134&lt;0,0,100*Meal_entry_week_2!$BG$498/AG134)</f>
        <v>0</v>
      </c>
      <c r="AH214" s="903"/>
    </row>
    <row r="215" spans="1:34" ht="15">
      <c r="A215" s="905"/>
      <c r="B215" s="770" t="s">
        <v>3890</v>
      </c>
      <c r="C215" s="873"/>
      <c r="D215" s="873">
        <f>100*(Meal_entry_week_2!$AI$108+Meal_entry_week_2!$AI$207+Meal_entry_week_2!$AI$306+Meal_entry_week_2!$AI$405+Meal_entry_week_2!$AI$504)/D135/$D$146</f>
        <v>87.798919172400915</v>
      </c>
      <c r="E215" s="919">
        <f>100*(Meal_entry_week_2!$AI$35+Meal_entry_week_2!$AI$134+Meal_entry_week_2!$AI$233+Meal_entry_week_2!$AI$332+Meal_entry_week_2!$AI$431)/E135/($E$146+0.00001)</f>
        <v>0</v>
      </c>
      <c r="F215" s="919">
        <f>100*(Meal_entry_week_2!$AI$54+Meal_entry_week_2!$AI$153+Meal_entry_week_2!$AI$252+Meal_entry_week_2!$AI$351+Meal_entry_week_2!$AI$450)/F135/($F$146+0.00001)</f>
        <v>94.715402665126931</v>
      </c>
      <c r="G215" s="919">
        <f>100*(Meal_entry_week_2!$AI$86+Meal_entry_week_2!$AI$185+Meal_entry_week_2!$AI$284+Meal_entry_week_2!$AI$383+Meal_entry_week_2!$AI$482)/G135/($G$146+0.00001)</f>
        <v>173.29193411975652</v>
      </c>
      <c r="H215" s="920">
        <f>100*(Meal_entry_week_2!$AI$105+Meal_entry_week_2!$AI$204+Meal_entry_week_2!$AI$303+Meal_entry_week_2!$AI$402+Meal_entry_week_2!$AI$501)/H135/($H$146+0.00001)</f>
        <v>0</v>
      </c>
      <c r="I215" s="921">
        <f>100*Meal_entry_week_2!$AI$108/I135</f>
        <v>91.728276212426294</v>
      </c>
      <c r="J215" s="922">
        <f>100*Meal_entry_week_2!$AI$207/J135</f>
        <v>86.657157467543584</v>
      </c>
      <c r="K215" s="922">
        <f>100*Meal_entry_week_2!$AI$306/K135</f>
        <v>94.770488551911839</v>
      </c>
      <c r="L215" s="922">
        <f>100*Meal_entry_week_2!$AI$405/L135</f>
        <v>85.820098986539151</v>
      </c>
      <c r="M215" s="923">
        <f>100*Meal_entry_week_2!$AI$504/M135</f>
        <v>80.018574643583719</v>
      </c>
      <c r="N215" s="921">
        <f>IF(100*Meal_entry_week_2!$BH$32/N135&lt;0,0,100*Meal_entry_week_2!$BH$32/N135)</f>
        <v>0</v>
      </c>
      <c r="O215" s="922">
        <f>IF(100*Meal_entry_week_2!$BH$131/O135&lt;0,0,100*Meal_entry_week_2!$BH$131/O135)</f>
        <v>0</v>
      </c>
      <c r="P215" s="922">
        <f>IF(100*Meal_entry_week_2!$BH$230/P135&lt;0,0,100*Meal_entry_week_2!$BH$230/P135)</f>
        <v>0</v>
      </c>
      <c r="Q215" s="922">
        <f>IF(100*Meal_entry_week_2!$BH$329/Q135&lt;0,0,100*Meal_entry_week_2!$BH$329/Q135)</f>
        <v>0</v>
      </c>
      <c r="R215" s="923">
        <f>IF(100*Meal_entry_week_2!$BH$428/R135&lt;0,0,100*Meal_entry_week_2!$BH$428/R135)</f>
        <v>0</v>
      </c>
      <c r="S215" s="921">
        <f>IF(100*Meal_entry_week_2!$BH$51/S135&lt;0,0,100*Meal_entry_week_2!$BH$51/S135)</f>
        <v>165.32726491064253</v>
      </c>
      <c r="T215" s="922">
        <f>IF(100*Meal_entry_week_2!$BH$150/T135&lt;0,0,100*Meal_entry_week_2!$BH$150/T135)</f>
        <v>104.51695827569634</v>
      </c>
      <c r="U215" s="922">
        <f>IF(100*Meal_entry_week_2!$BH$249/U135&lt;0,0,100*Meal_entry_week_2!$BH$249/U135)</f>
        <v>90.228531527162744</v>
      </c>
      <c r="V215" s="922">
        <f>IF(100*Meal_entry_week_2!$BH$348/V135&lt;0,0,100*Meal_entry_week_2!$BH$348/V135)</f>
        <v>64.314343614279963</v>
      </c>
      <c r="W215" s="923">
        <f>IF(100*Meal_entry_week_2!$BH$447/W135&lt;0,0,100*Meal_entry_week_2!$BH$447/W135)</f>
        <v>49.190862151879706</v>
      </c>
      <c r="X215" s="921">
        <f>IF(100*Meal_entry_week_2!$BH$83/X135&lt;0,0,100*Meal_entry_week_2!$BH$83/X135)</f>
        <v>158.92355619211384</v>
      </c>
      <c r="Y215" s="922">
        <f>IF(100*Meal_entry_week_2!$BH$182/Y135&lt;0,0,100*Meal_entry_week_2!$BH$182/Y135)</f>
        <v>167.36104799903626</v>
      </c>
      <c r="Z215" s="922">
        <f>IF(100*Meal_entry_week_2!$BH$281/Z135&lt;0,0,100*Meal_entry_week_2!$BH$281/Z135)</f>
        <v>191.05496277874005</v>
      </c>
      <c r="AA215" s="922">
        <f>IF(100*Meal_entry_week_2!$BH$380/AA135&lt;0,0,100*Meal_entry_week_2!$BH$380/AA135)</f>
        <v>178.80878309716468</v>
      </c>
      <c r="AB215" s="923">
        <f>IF(100*Meal_entry_week_2!$BH$479/AB135&lt;0,0,100*Meal_entry_week_2!$BH$479/AB135)</f>
        <v>170.31305345106881</v>
      </c>
      <c r="AC215" s="921">
        <f>IF(100*Meal_entry_week_2!$BH$102/AC135&lt;0,0,100*Meal_entry_week_2!$BH$102/AC135)</f>
        <v>0</v>
      </c>
      <c r="AD215" s="922">
        <f>IF(100*Meal_entry_week_2!$BH$201/AD135&lt;0,0,100*Meal_entry_week_2!$BH$201/AD135)</f>
        <v>0</v>
      </c>
      <c r="AE215" s="922">
        <f>IF(100*Meal_entry_week_2!$BH$300/AE135&lt;0,0,100*Meal_entry_week_2!$BH$300/AE135)</f>
        <v>0</v>
      </c>
      <c r="AF215" s="922">
        <f>IF(100*Meal_entry_week_2!$BH$399/AF135&lt;0,0,100*Meal_entry_week_2!$BH$399/AF135)</f>
        <v>0</v>
      </c>
      <c r="AG215" s="923">
        <f>IF(100*Meal_entry_week_2!$BH$498/AG135&lt;0,0,100*Meal_entry_week_2!$BH$498/AG135)</f>
        <v>0</v>
      </c>
      <c r="AH215" s="903"/>
    </row>
    <row r="216" spans="1:34" ht="15">
      <c r="A216" s="905"/>
      <c r="B216" s="770" t="s">
        <v>3891</v>
      </c>
      <c r="C216" s="873"/>
      <c r="D216" s="873">
        <f>100*(Meal_entry_week_2!$AJ$108+Meal_entry_week_2!$AJ$207+Meal_entry_week_2!$AJ$306+Meal_entry_week_2!$AJ$405+Meal_entry_week_2!$AJ$504)/D136/$D$146</f>
        <v>88.447351596285429</v>
      </c>
      <c r="E216" s="919">
        <f>100*(Meal_entry_week_2!$AJ$35+Meal_entry_week_2!$AJ$134+Meal_entry_week_2!$AJ$233+Meal_entry_week_2!$AJ$332+Meal_entry_week_2!$AJ$431)/E136/($E$146+0.00001)</f>
        <v>0</v>
      </c>
      <c r="F216" s="919">
        <f>100*(Meal_entry_week_2!$AJ$54+Meal_entry_week_2!$AJ$153+Meal_entry_week_2!$AJ$252+Meal_entry_week_2!$AJ$351+Meal_entry_week_2!$AJ$450)/F136/($F$146+0.00001)</f>
        <v>112.74931945371227</v>
      </c>
      <c r="G216" s="919">
        <f>100*(Meal_entry_week_2!$AJ$86+Meal_entry_week_2!$AJ$185+Meal_entry_week_2!$AJ$284+Meal_entry_week_2!$AJ$383+Meal_entry_week_2!$AJ$482)/G136/($G$146+0.00001)</f>
        <v>168.79363448661331</v>
      </c>
      <c r="H216" s="920">
        <f>100*(Meal_entry_week_2!$AJ$105+Meal_entry_week_2!$AJ$204+Meal_entry_week_2!$AJ$303+Meal_entry_week_2!$AJ$402+Meal_entry_week_2!$AJ$501)/H136/($H$146+0.00001)</f>
        <v>0</v>
      </c>
      <c r="I216" s="921">
        <f>100*Meal_entry_week_2!$AJ$108/I136</f>
        <v>85.381653568042239</v>
      </c>
      <c r="J216" s="922">
        <f>100*Meal_entry_week_2!$AJ$207/J136</f>
        <v>96.383582186181926</v>
      </c>
      <c r="K216" s="922">
        <f>100*Meal_entry_week_2!$AJ$306/K136</f>
        <v>95.997508955702358</v>
      </c>
      <c r="L216" s="922">
        <f>100*Meal_entry_week_2!$AJ$405/L136</f>
        <v>79.874548417232518</v>
      </c>
      <c r="M216" s="923">
        <f>100*Meal_entry_week_2!$AJ$504/M136</f>
        <v>84.599464854268092</v>
      </c>
      <c r="N216" s="921">
        <f>IF(100*Meal_entry_week_2!$BI$32/N136&lt;0,0,100*Meal_entry_week_2!$BI$32/N136)</f>
        <v>0</v>
      </c>
      <c r="O216" s="922">
        <f>IF(100*Meal_entry_week_2!$BI$131/O136&lt;0,0,100*Meal_entry_week_2!$BI$131/O136)</f>
        <v>0</v>
      </c>
      <c r="P216" s="922">
        <f>IF(100*Meal_entry_week_2!$BI$230/P136&lt;0,0,100*Meal_entry_week_2!$BI$230/P136)</f>
        <v>0</v>
      </c>
      <c r="Q216" s="922">
        <f>IF(100*Meal_entry_week_2!$BI$329/Q136&lt;0,0,100*Meal_entry_week_2!$BI$329/Q136)</f>
        <v>0</v>
      </c>
      <c r="R216" s="923">
        <f>IF(100*Meal_entry_week_2!$BI$428/R136&lt;0,0,100*Meal_entry_week_2!$BI$428/R136)</f>
        <v>0</v>
      </c>
      <c r="S216" s="921">
        <f>IF(100*Meal_entry_week_2!$BI$51/S136&lt;0,0,100*Meal_entry_week_2!$BI$51/S136)</f>
        <v>106.12693203547025</v>
      </c>
      <c r="T216" s="922">
        <f>IF(100*Meal_entry_week_2!$BI$150/T136&lt;0,0,100*Meal_entry_week_2!$BI$150/T136)</f>
        <v>7.9299990130001001</v>
      </c>
      <c r="U216" s="922">
        <f>IF(100*Meal_entry_week_2!$BI$249/U136&lt;0,0,100*Meal_entry_week_2!$BI$249/U136)</f>
        <v>137.51994399002794</v>
      </c>
      <c r="V216" s="922">
        <f>IF(100*Meal_entry_week_2!$BI$348/V136&lt;0,0,100*Meal_entry_week_2!$BI$348/V136)</f>
        <v>124.72011225998877</v>
      </c>
      <c r="W216" s="923">
        <f>IF(100*Meal_entry_week_2!$BI$447/W136&lt;0,0,100*Meal_entry_week_2!$BI$447/W136)</f>
        <v>187.45073746326889</v>
      </c>
      <c r="X216" s="921">
        <f>IF(100*Meal_entry_week_2!$BI$83/X136&lt;0,0,100*Meal_entry_week_2!$BI$83/X136)</f>
        <v>163.84821431360845</v>
      </c>
      <c r="Y216" s="922">
        <f>IF(100*Meal_entry_week_2!$BI$182/Y136&lt;0,0,100*Meal_entry_week_2!$BI$182/Y136)</f>
        <v>222.25169209675781</v>
      </c>
      <c r="Z216" s="922">
        <f>IF(100*Meal_entry_week_2!$BI$281/Z136&lt;0,0,100*Meal_entry_week_2!$BI$281/Z136)</f>
        <v>178.15420623329615</v>
      </c>
      <c r="AA216" s="922">
        <f>IF(100*Meal_entry_week_2!$BI$380/AA136&lt;0,0,100*Meal_entry_week_2!$BI$380/AA136)</f>
        <v>144.80057555354631</v>
      </c>
      <c r="AB216" s="923">
        <f>IF(100*Meal_entry_week_2!$BI$479/AB136&lt;0,0,100*Meal_entry_week_2!$BI$479/AB136)</f>
        <v>134.9151721722026</v>
      </c>
      <c r="AC216" s="921">
        <f>IF(100*Meal_entry_week_2!$BI$102/AC136&lt;0,0,100*Meal_entry_week_2!$BI$102/AC136)</f>
        <v>0</v>
      </c>
      <c r="AD216" s="922">
        <f>IF(100*Meal_entry_week_2!$BI$201/AD136&lt;0,0,100*Meal_entry_week_2!$BI$201/AD136)</f>
        <v>0</v>
      </c>
      <c r="AE216" s="922">
        <f>IF(100*Meal_entry_week_2!$BI$300/AE136&lt;0,0,100*Meal_entry_week_2!$BI$300/AE136)</f>
        <v>0</v>
      </c>
      <c r="AF216" s="922">
        <f>IF(100*Meal_entry_week_2!$BI$399/AF136&lt;0,0,100*Meal_entry_week_2!$BI$399/AF136)</f>
        <v>0</v>
      </c>
      <c r="AG216" s="923">
        <f>IF(100*Meal_entry_week_2!$BI$498/AG136&lt;0,0,100*Meal_entry_week_2!$BI$498/AG136)</f>
        <v>0</v>
      </c>
      <c r="AH216" s="903"/>
    </row>
    <row r="217" spans="1:34" ht="15">
      <c r="A217" s="905"/>
      <c r="B217" s="770" t="s">
        <v>2990</v>
      </c>
      <c r="C217" s="873"/>
      <c r="D217" s="873">
        <f>100*(Meal_entry_week_2!$AK$108+Meal_entry_week_2!$AK$207+Meal_entry_week_2!$AK$306+Meal_entry_week_2!$AK$405+Meal_entry_week_2!$AK$504)/D137/$D$146</f>
        <v>68.733244639191383</v>
      </c>
      <c r="E217" s="919">
        <f>100*(Meal_entry_week_2!$AK$35+Meal_entry_week_2!$AK$134+Meal_entry_week_2!$AK$233+Meal_entry_week_2!$AK$332+Meal_entry_week_2!$AK$431)/E137/($E$146+0.00001)</f>
        <v>0</v>
      </c>
      <c r="F217" s="919">
        <f>100*(Meal_entry_week_2!$AK$54+Meal_entry_week_2!$AK$153+Meal_entry_week_2!$AK$252+Meal_entry_week_2!$AK$351+Meal_entry_week_2!$AK$450)/F137/($F$146+0.00001)</f>
        <v>56.843559193448947</v>
      </c>
      <c r="G217" s="919">
        <f>100*(Meal_entry_week_2!$AK$86+Meal_entry_week_2!$AK$185+Meal_entry_week_2!$AK$284+Meal_entry_week_2!$AK$383+Meal_entry_week_2!$AK$482)/G137/($G$146+0.00001)</f>
        <v>141.4293970057968</v>
      </c>
      <c r="H217" s="920">
        <f>100*(Meal_entry_week_2!$AK$105+Meal_entry_week_2!$AK$204+Meal_entry_week_2!$AK$303+Meal_entry_week_2!$AK$402+Meal_entry_week_2!$AK$501)/H137/($H$146+0.00001)</f>
        <v>0</v>
      </c>
      <c r="I217" s="921">
        <f>100*Meal_entry_week_2!$AK$108/I137</f>
        <v>107.15697879274914</v>
      </c>
      <c r="J217" s="922">
        <f>100*Meal_entry_week_2!$AK$207/J137</f>
        <v>65.865314814366997</v>
      </c>
      <c r="K217" s="922">
        <f>100*Meal_entry_week_2!$AK$306/K137</f>
        <v>36.815950612769576</v>
      </c>
      <c r="L217" s="922">
        <f>100*Meal_entry_week_2!$AK$405/L137</f>
        <v>94.565293560124999</v>
      </c>
      <c r="M217" s="923">
        <f>100*Meal_entry_week_2!$AK$504/M137</f>
        <v>39.262685415946216</v>
      </c>
      <c r="N217" s="921">
        <f>IF(100*Meal_entry_week_2!$BJ$32/N137&lt;0,0,100*Meal_entry_week_2!$BJ$32/N137)</f>
        <v>0</v>
      </c>
      <c r="O217" s="922">
        <f>IF(100*Meal_entry_week_2!$BJ$131/O137&lt;0,0,100*Meal_entry_week_2!$BJ$131/O137)</f>
        <v>0</v>
      </c>
      <c r="P217" s="922">
        <f>IF(100*Meal_entry_week_2!$BJ$230/P137&lt;0,0,100*Meal_entry_week_2!$BJ$230/P137)</f>
        <v>0</v>
      </c>
      <c r="Q217" s="922">
        <f>IF(100*Meal_entry_week_2!$BJ$329/Q137&lt;0,0,100*Meal_entry_week_2!$BJ$329/Q137)</f>
        <v>0</v>
      </c>
      <c r="R217" s="923">
        <f>IF(100*Meal_entry_week_2!$BJ$428/R137&lt;0,0,100*Meal_entry_week_2!$BJ$428/R137)</f>
        <v>0</v>
      </c>
      <c r="S217" s="921">
        <f>IF(100*Meal_entry_week_2!$BJ$51/S137&lt;0,0,100*Meal_entry_week_2!$BJ$51/S137)</f>
        <v>78.042961001553962</v>
      </c>
      <c r="T217" s="922">
        <f>IF(100*Meal_entry_week_2!$BJ$150/T137&lt;0,0,100*Meal_entry_week_2!$BJ$150/T137)</f>
        <v>151.87444730977026</v>
      </c>
      <c r="U217" s="922">
        <f>IF(100*Meal_entry_week_2!$BJ$249/U137&lt;0,0,100*Meal_entry_week_2!$BJ$249/U137)</f>
        <v>12.518506211359394</v>
      </c>
      <c r="V217" s="922">
        <f>IF(100*Meal_entry_week_2!$BJ$348/V137&lt;0,0,100*Meal_entry_week_2!$BJ$348/V137)</f>
        <v>32.496529246997078</v>
      </c>
      <c r="W217" s="923">
        <f>IF(100*Meal_entry_week_2!$BJ$447/W137&lt;0,0,100*Meal_entry_week_2!$BJ$447/W137)</f>
        <v>9.2859206331559356</v>
      </c>
      <c r="X217" s="921">
        <f>IF(100*Meal_entry_week_2!$BJ$83/X137&lt;0,0,100*Meal_entry_week_2!$BJ$83/X137)</f>
        <v>224.01863018256336</v>
      </c>
      <c r="Y217" s="922">
        <f>IF(100*Meal_entry_week_2!$BJ$182/Y137&lt;0,0,100*Meal_entry_week_2!$BJ$182/Y137)</f>
        <v>103.06091879693291</v>
      </c>
      <c r="Z217" s="922">
        <f>IF(100*Meal_entry_week_2!$BJ$281/Z137&lt;0,0,100*Meal_entry_week_2!$BJ$281/Z137)</f>
        <v>81.731049359342535</v>
      </c>
      <c r="AA217" s="922">
        <f>IF(100*Meal_entry_week_2!$BJ$380/AA137&lt;0,0,100*Meal_entry_week_2!$BJ$380/AA137)</f>
        <v>209.82017522462596</v>
      </c>
      <c r="AB217" s="923">
        <f>IF(100*Meal_entry_week_2!$BJ$479/AB137&lt;0,0,100*Meal_entry_week_2!$BJ$479/AB137)</f>
        <v>88.517625759489192</v>
      </c>
      <c r="AC217" s="921">
        <f>IF(100*Meal_entry_week_2!$BJ$102/AC137&lt;0,0,100*Meal_entry_week_2!$BJ$102/AC137)</f>
        <v>0</v>
      </c>
      <c r="AD217" s="922">
        <f>IF(100*Meal_entry_week_2!$BJ$201/AD137&lt;0,0,100*Meal_entry_week_2!$BJ$201/AD137)</f>
        <v>0</v>
      </c>
      <c r="AE217" s="922">
        <f>IF(100*Meal_entry_week_2!$BJ$300/AE137&lt;0,0,100*Meal_entry_week_2!$BJ$300/AE137)</f>
        <v>0</v>
      </c>
      <c r="AF217" s="922">
        <f>IF(100*Meal_entry_week_2!$BJ$399/AF137&lt;0,0,100*Meal_entry_week_2!$BJ$399/AF137)</f>
        <v>0</v>
      </c>
      <c r="AG217" s="923">
        <f>IF(100*Meal_entry_week_2!$BJ$498/AG137&lt;0,0,100*Meal_entry_week_2!$BJ$498/AG137)</f>
        <v>0</v>
      </c>
      <c r="AH217" s="903"/>
    </row>
    <row r="218" spans="1:34" ht="15">
      <c r="A218" s="905"/>
      <c r="B218" s="770" t="s">
        <v>3892</v>
      </c>
      <c r="C218" s="873"/>
      <c r="D218" s="873">
        <f>100*(Meal_entry_week_2!$AL$108+Meal_entry_week_2!$AL$207+Meal_entry_week_2!$AL$306+Meal_entry_week_2!$AL$405+Meal_entry_week_2!$AL$504)/D138/$D$146</f>
        <v>65.911621251232106</v>
      </c>
      <c r="E218" s="919">
        <f>100*(Meal_entry_week_2!$AL$35+Meal_entry_week_2!$AL$134+Meal_entry_week_2!$AL$233+Meal_entry_week_2!$AL$332+Meal_entry_week_2!$AL$431)/E138/($E$146+0.00001)</f>
        <v>0</v>
      </c>
      <c r="F218" s="919">
        <f>100*(Meal_entry_week_2!$AL$54+Meal_entry_week_2!$AL$153+Meal_entry_week_2!$AL$252+Meal_entry_week_2!$AL$351+Meal_entry_week_2!$AL$450)/F138/($F$146+0.00001)</f>
        <v>51.202351037378492</v>
      </c>
      <c r="G218" s="919">
        <f>100*(Meal_entry_week_2!$AL$86+Meal_entry_week_2!$AL$185+Meal_entry_week_2!$AL$284+Meal_entry_week_2!$AL$383+Meal_entry_week_2!$AL$482)/G138/($G$146+0.00001)</f>
        <v>136.72602498679811</v>
      </c>
      <c r="H218" s="920">
        <f>100*(Meal_entry_week_2!$AL$105+Meal_entry_week_2!$AL$204+Meal_entry_week_2!$AL$303+Meal_entry_week_2!$AL$402+Meal_entry_week_2!$AL$501)/H138/($H$146+0.00001)</f>
        <v>0</v>
      </c>
      <c r="I218" s="921">
        <f>100*Meal_entry_week_2!$AL$108/I138</f>
        <v>84.486406530867768</v>
      </c>
      <c r="J218" s="922">
        <f>100*Meal_entry_week_2!$AL$207/J138</f>
        <v>62.451948994359839</v>
      </c>
      <c r="K218" s="922">
        <f>100*Meal_entry_week_2!$AL$306/K138</f>
        <v>64.463777147779169</v>
      </c>
      <c r="L218" s="922">
        <f>100*Meal_entry_week_2!$AL$405/L138</f>
        <v>65.405765264984538</v>
      </c>
      <c r="M218" s="923">
        <f>100*Meal_entry_week_2!$AL$504/M138</f>
        <v>52.750208318169214</v>
      </c>
      <c r="N218" s="921">
        <f>IF(100*Meal_entry_week_2!$BK$32/N138&lt;0,0,100*Meal_entry_week_2!$BK$32/N138)</f>
        <v>0</v>
      </c>
      <c r="O218" s="922">
        <f>IF(100*Meal_entry_week_2!$BK$131/O138&lt;0,0,100*Meal_entry_week_2!$BK$131/O138)</f>
        <v>0</v>
      </c>
      <c r="P218" s="922">
        <f>IF(100*Meal_entry_week_2!$BK$230/P138&lt;0,0,100*Meal_entry_week_2!$BK$230/P138)</f>
        <v>0</v>
      </c>
      <c r="Q218" s="922">
        <f>IF(100*Meal_entry_week_2!$BK$329/Q138&lt;0,0,100*Meal_entry_week_2!$BK$329/Q138)</f>
        <v>0</v>
      </c>
      <c r="R218" s="923">
        <f>IF(100*Meal_entry_week_2!$BK$428/R138&lt;0,0,100*Meal_entry_week_2!$BK$428/R138)</f>
        <v>0</v>
      </c>
      <c r="S218" s="921">
        <f>IF(100*Meal_entry_week_2!$BK$51/S138&lt;0,0,100*Meal_entry_week_2!$BK$51/S138)</f>
        <v>87.147710125343437</v>
      </c>
      <c r="T218" s="922">
        <f>IF(100*Meal_entry_week_2!$BK$150/T138&lt;0,0,100*Meal_entry_week_2!$BK$150/T138)</f>
        <v>55.587388480130627</v>
      </c>
      <c r="U218" s="922">
        <f>IF(100*Meal_entry_week_2!$BK$249/U138&lt;0,0,100*Meal_entry_week_2!$BK$249/U138)</f>
        <v>15.249996865001082</v>
      </c>
      <c r="V218" s="922">
        <f>IF(100*Meal_entry_week_2!$BK$348/V138&lt;0,0,100*Meal_entry_week_2!$BK$348/V138)</f>
        <v>37.000033419996761</v>
      </c>
      <c r="W218" s="923">
        <f>IF(100*Meal_entry_week_2!$BK$447/W138&lt;0,0,100*Meal_entry_week_2!$BK$447/W138)</f>
        <v>61.027138319930906</v>
      </c>
      <c r="X218" s="921">
        <f>IF(100*Meal_entry_week_2!$BK$83/X138&lt;0,0,100*Meal_entry_week_2!$BK$83/X138)</f>
        <v>168.08571186357693</v>
      </c>
      <c r="Y218" s="922">
        <f>IF(100*Meal_entry_week_2!$BK$182/Y138&lt;0,0,100*Meal_entry_week_2!$BK$182/Y138)</f>
        <v>127.19208482679608</v>
      </c>
      <c r="Z218" s="922">
        <f>IF(100*Meal_entry_week_2!$BK$281/Z138&lt;0,0,100*Meal_entry_week_2!$BK$281/Z138)</f>
        <v>145.33214772315102</v>
      </c>
      <c r="AA218" s="922">
        <f>IF(100*Meal_entry_week_2!$BK$380/AA138&lt;0,0,100*Meal_entry_week_2!$BK$380/AA138)</f>
        <v>140.28010781163167</v>
      </c>
      <c r="AB218" s="923">
        <f>IF(100*Meal_entry_week_2!$BK$479/AB138&lt;0,0,100*Meal_entry_week_2!$BK$479/AB138)</f>
        <v>102.74143996908452</v>
      </c>
      <c r="AC218" s="921">
        <f>IF(100*Meal_entry_week_2!$BK$102/AC138&lt;0,0,100*Meal_entry_week_2!$BK$102/AC138)</f>
        <v>0</v>
      </c>
      <c r="AD218" s="922">
        <f>IF(100*Meal_entry_week_2!$BK$201/AD138&lt;0,0,100*Meal_entry_week_2!$BK$201/AD138)</f>
        <v>0</v>
      </c>
      <c r="AE218" s="922">
        <f>IF(100*Meal_entry_week_2!$BK$300/AE138&lt;0,0,100*Meal_entry_week_2!$BK$300/AE138)</f>
        <v>0</v>
      </c>
      <c r="AF218" s="922">
        <f>IF(100*Meal_entry_week_2!$BK$399/AF138&lt;0,0,100*Meal_entry_week_2!$BK$399/AF138)</f>
        <v>0</v>
      </c>
      <c r="AG218" s="923">
        <f>IF(100*Meal_entry_week_2!$BK$498/AG138&lt;0,0,100*Meal_entry_week_2!$BK$498/AG138)</f>
        <v>0</v>
      </c>
      <c r="AH218" s="903"/>
    </row>
    <row r="219" spans="1:34">
      <c r="A219" s="905"/>
      <c r="B219" s="1287" t="s">
        <v>2985</v>
      </c>
      <c r="C219" s="873"/>
      <c r="D219" s="873">
        <f>100*(Meal_entry_week_2!$AM$108+Meal_entry_week_2!$AM$207+Meal_entry_week_2!$AM$306+Meal_entry_week_2!$AM$405+Meal_entry_week_2!$AM$504)/D139/$D$146</f>
        <v>63.631603079953187</v>
      </c>
      <c r="E219" s="919">
        <f>100*(Meal_entry_week_2!$AM$35+Meal_entry_week_2!$AM$134+Meal_entry_week_2!$AM$233+Meal_entry_week_2!$AM$332+Meal_entry_week_2!$AM$431)/E139/($E$146+0.00001)</f>
        <v>0</v>
      </c>
      <c r="F219" s="919">
        <f>100*(Meal_entry_week_2!$AM$54+Meal_entry_week_2!$AM$153+Meal_entry_week_2!$AM$252+Meal_entry_week_2!$AM$351+Meal_entry_week_2!$AM$450)/F139/($F$146+0.00001)</f>
        <v>128.19855749163472</v>
      </c>
      <c r="G219" s="919">
        <f>100*(Meal_entry_week_2!$AM$86+Meal_entry_week_2!$AM$185+Meal_entry_week_2!$AM$284+Meal_entry_week_2!$AM$383+Meal_entry_week_2!$AM$482)/G139/($G$146+0.00001)</f>
        <v>105.74059107579205</v>
      </c>
      <c r="H219" s="920">
        <f>100*(Meal_entry_week_2!$AM$105+Meal_entry_week_2!$AM$204+Meal_entry_week_2!$AM$303+Meal_entry_week_2!$AM$402+Meal_entry_week_2!$AM$501)/H139/($H$146+0.00001)</f>
        <v>0</v>
      </c>
      <c r="I219" s="921">
        <f>100*Meal_entry_week_2!$AM$108/I139</f>
        <v>83.765790489589506</v>
      </c>
      <c r="J219" s="922">
        <f>100*Meal_entry_week_2!$AM$207/J139</f>
        <v>59.127917912742348</v>
      </c>
      <c r="K219" s="922">
        <f>100*Meal_entry_week_2!$AM$306/K139</f>
        <v>40.370557048105958</v>
      </c>
      <c r="L219" s="922">
        <f>100*Meal_entry_week_2!$AM$405/L139</f>
        <v>86.292847237274714</v>
      </c>
      <c r="M219" s="923">
        <f>100*Meal_entry_week_2!$AM$504/M139</f>
        <v>48.600902712053383</v>
      </c>
      <c r="N219" s="921">
        <f>IF(100*Meal_entry_week_2!$BL$32/N139&lt;0,0,100*Meal_entry_week_2!$BL$32/N139)</f>
        <v>0</v>
      </c>
      <c r="O219" s="922">
        <f>IF(100*Meal_entry_week_2!$BL$131/O139&lt;0,0,100*Meal_entry_week_2!$BL$131/O139)</f>
        <v>0</v>
      </c>
      <c r="P219" s="922">
        <f>IF(100*Meal_entry_week_2!$BL$230/P139&lt;0,0,100*Meal_entry_week_2!$BL$230/P139)</f>
        <v>0</v>
      </c>
      <c r="Q219" s="922">
        <f>IF(100*Meal_entry_week_2!$BL$329/Q139&lt;0,0,100*Meal_entry_week_2!$BL$329/Q139)</f>
        <v>0</v>
      </c>
      <c r="R219" s="923">
        <f>IF(100*Meal_entry_week_2!$BL$428/R139&lt;0,0,100*Meal_entry_week_2!$BL$428/R139)</f>
        <v>0</v>
      </c>
      <c r="S219" s="921">
        <f>IF(100*Meal_entry_week_2!$BL$51/S139&lt;0,0,100*Meal_entry_week_2!$BL$51/S139)</f>
        <v>233.58072183714611</v>
      </c>
      <c r="T219" s="922">
        <f>IF(100*Meal_entry_week_2!$BL$150/T139&lt;0,0,100*Meal_entry_week_2!$BL$150/T139)</f>
        <v>155.56689794529211</v>
      </c>
      <c r="U219" s="922">
        <f>IF(100*Meal_entry_week_2!$BL$249/U139&lt;0,0,100*Meal_entry_week_2!$BL$249/U139)</f>
        <v>53.714265038105125</v>
      </c>
      <c r="V219" s="922">
        <f>IF(100*Meal_entry_week_2!$BL$348/V139&lt;0,0,100*Meal_entry_week_2!$BL$348/V139)</f>
        <v>158.28585685712869</v>
      </c>
      <c r="W219" s="923">
        <f>IF(100*Meal_entry_week_2!$BL$447/W139&lt;0,0,100*Meal_entry_week_2!$BL$447/W139)</f>
        <v>39.846327766076293</v>
      </c>
      <c r="X219" s="921">
        <f>IF(100*Meal_entry_week_2!$BL$83/X139&lt;0,0,100*Meal_entry_week_2!$BL$83/X139)</f>
        <v>117.59327052999348</v>
      </c>
      <c r="Y219" s="922">
        <f>IF(100*Meal_entry_week_2!$BL$182/Y139&lt;0,0,100*Meal_entry_week_2!$BL$182/Y139)</f>
        <v>86.109509147968112</v>
      </c>
      <c r="Z219" s="922">
        <f>IF(100*Meal_entry_week_2!$BL$281/Z139&lt;0,0,100*Meal_entry_week_2!$BL$281/Z139)</f>
        <v>76.293211432878863</v>
      </c>
      <c r="AA219" s="922">
        <f>IF(100*Meal_entry_week_2!$BL$380/AA139&lt;0,0,100*Meal_entry_week_2!$BL$380/AA139)</f>
        <v>148.58802460126478</v>
      </c>
      <c r="AB219" s="923">
        <f>IF(100*Meal_entry_week_2!$BL$479/AB139&lt;0,0,100*Meal_entry_week_2!$BL$479/AB139)</f>
        <v>100.1199970727658</v>
      </c>
      <c r="AC219" s="921">
        <f>IF(100*Meal_entry_week_2!$BL$102/AC139&lt;0,0,100*Meal_entry_week_2!$BL$102/AC139)</f>
        <v>0</v>
      </c>
      <c r="AD219" s="922">
        <f>IF(100*Meal_entry_week_2!$BL$201/AD139&lt;0,0,100*Meal_entry_week_2!$BL$201/AD139)</f>
        <v>0</v>
      </c>
      <c r="AE219" s="922">
        <f>IF(100*Meal_entry_week_2!$BL$300/AE139&lt;0,0,100*Meal_entry_week_2!$BL$300/AE139)</f>
        <v>0</v>
      </c>
      <c r="AF219" s="922">
        <f>IF(100*Meal_entry_week_2!$BL$399/AF139&lt;0,0,100*Meal_entry_week_2!$BL$399/AF139)</f>
        <v>0</v>
      </c>
      <c r="AG219" s="923">
        <f>IF(100*Meal_entry_week_2!$BL$498/AG139&lt;0,0,100*Meal_entry_week_2!$BL$498/AG139)</f>
        <v>0</v>
      </c>
      <c r="AH219" s="903"/>
    </row>
    <row r="220" spans="1:34" ht="15">
      <c r="A220" s="905"/>
      <c r="B220" s="770" t="s">
        <v>3893</v>
      </c>
      <c r="C220" s="873"/>
      <c r="D220" s="873">
        <f>100*(Meal_entry_week_2!$AN$108+Meal_entry_week_2!$AN$207+Meal_entry_week_2!$AN$306+Meal_entry_week_2!$AN$405+Meal_entry_week_2!$AN$504)/D140/$D$146</f>
        <v>74.922893205760232</v>
      </c>
      <c r="E220" s="919">
        <f>100*(Meal_entry_week_2!$AN$35+Meal_entry_week_2!$AN$134+Meal_entry_week_2!$AN$233+Meal_entry_week_2!$AN$332+Meal_entry_week_2!$AN$431)/E140/($E$146+0.00001)</f>
        <v>0</v>
      </c>
      <c r="F220" s="919">
        <f>100*(Meal_entry_week_2!$AN$54+Meal_entry_week_2!$AN$153+Meal_entry_week_2!$AN$252+Meal_entry_week_2!$AN$351+Meal_entry_week_2!$AN$450)/F140/($F$146+0.00001)</f>
        <v>52.798343369728258</v>
      </c>
      <c r="G220" s="919">
        <f>100*(Meal_entry_week_2!$AN$86+Meal_entry_week_2!$AN$185+Meal_entry_week_2!$AN$284+Meal_entry_week_2!$AN$383+Meal_entry_week_2!$AN$482)/G140/($G$146+0.00001)</f>
        <v>157.22028671739548</v>
      </c>
      <c r="H220" s="920">
        <f>100*(Meal_entry_week_2!$AN$105+Meal_entry_week_2!$AN$204+Meal_entry_week_2!$AN$303+Meal_entry_week_2!$AN$402+Meal_entry_week_2!$AN$501)/H140/($H$146+0.00001)</f>
        <v>0</v>
      </c>
      <c r="I220" s="921">
        <f>100*Meal_entry_week_2!$AN$108/I140</f>
        <v>72.904897064348759</v>
      </c>
      <c r="J220" s="922">
        <f>100*Meal_entry_week_2!$AN$207/J140</f>
        <v>93.958650321172286</v>
      </c>
      <c r="K220" s="922">
        <f>100*Meal_entry_week_2!$AN$306/K140</f>
        <v>43.099888192061897</v>
      </c>
      <c r="L220" s="922">
        <f>100*Meal_entry_week_2!$AN$405/L140</f>
        <v>52.559198808640211</v>
      </c>
      <c r="M220" s="923">
        <f>100*Meal_entry_week_2!$AN$504/M140</f>
        <v>112.09183164257803</v>
      </c>
      <c r="N220" s="921">
        <f>IF(100*Meal_entry_week_2!$BM$32/N140&lt;0,0,100*Meal_entry_week_2!$BM$32/N140)</f>
        <v>0</v>
      </c>
      <c r="O220" s="922">
        <f>IF(100*Meal_entry_week_2!$BM$131/O140&lt;0,0,100*Meal_entry_week_2!$BM$131/O140)</f>
        <v>0</v>
      </c>
      <c r="P220" s="922">
        <f>IF(100*Meal_entry_week_2!$BM$230/P140&lt;0,0,100*Meal_entry_week_2!$BM$230/P140)</f>
        <v>0</v>
      </c>
      <c r="Q220" s="922">
        <f>IF(100*Meal_entry_week_2!$BM$329/Q140&lt;0,0,100*Meal_entry_week_2!$BM$329/Q140)</f>
        <v>0</v>
      </c>
      <c r="R220" s="923">
        <f>IF(100*Meal_entry_week_2!$BM$428/R140&lt;0,0,100*Meal_entry_week_2!$BM$428/R140)</f>
        <v>0</v>
      </c>
      <c r="S220" s="921">
        <f>IF(100*Meal_entry_week_2!$BM$51/S140&lt;0,0,100*Meal_entry_week_2!$BM$51/S140)</f>
        <v>108.35631775019343</v>
      </c>
      <c r="T220" s="922">
        <f>IF(100*Meal_entry_week_2!$BM$150/T140&lt;0,0,100*Meal_entry_week_2!$BM$150/T140)</f>
        <v>87.833991610588484</v>
      </c>
      <c r="U220" s="922">
        <f>IF(100*Meal_entry_week_2!$BM$249/U140&lt;0,0,100*Meal_entry_week_2!$BM$249/U140)</f>
        <v>10.123080822305704</v>
      </c>
      <c r="V220" s="922">
        <f>IF(100*Meal_entry_week_2!$BM$348/V140&lt;0,0,100*Meal_entry_week_2!$BM$348/V140)</f>
        <v>11.400010269229748</v>
      </c>
      <c r="W220" s="923">
        <f>IF(100*Meal_entry_week_2!$BM$447/W140&lt;0,0,100*Meal_entry_week_2!$BM$447/W140)</f>
        <v>46.278844379757615</v>
      </c>
      <c r="X220" s="921">
        <f>IF(100*Meal_entry_week_2!$BM$83/X140&lt;0,0,100*Meal_entry_week_2!$BM$83/X140)</f>
        <v>133.99265390008264</v>
      </c>
      <c r="Y220" s="922">
        <f>IF(100*Meal_entry_week_2!$BM$182/Y140&lt;0,0,100*Meal_entry_week_2!$BM$182/Y140)</f>
        <v>189.95885354587247</v>
      </c>
      <c r="Z220" s="922">
        <f>IF(100*Meal_entry_week_2!$BM$281/Z140&lt;0,0,100*Meal_entry_week_2!$BM$281/Z140)</f>
        <v>97.192045507375838</v>
      </c>
      <c r="AA220" s="922">
        <f>IF(100*Meal_entry_week_2!$BM$380/AA140&lt;0,0,100*Meal_entry_week_2!$BM$380/AA140)</f>
        <v>118.83812713041723</v>
      </c>
      <c r="AB220" s="923">
        <f>IF(100*Meal_entry_week_2!$BM$479/AB140&lt;0,0,100*Meal_entry_week_2!$BM$479/AB140)</f>
        <v>246.1213257060962</v>
      </c>
      <c r="AC220" s="921">
        <f>IF(100*Meal_entry_week_2!$BM$102/AC140&lt;0,0,100*Meal_entry_week_2!$BM$102/AC140)</f>
        <v>0</v>
      </c>
      <c r="AD220" s="922">
        <f>IF(100*Meal_entry_week_2!$BM$201/AD140&lt;0,0,100*Meal_entry_week_2!$BM$201/AD140)</f>
        <v>0</v>
      </c>
      <c r="AE220" s="922">
        <f>IF(100*Meal_entry_week_2!$BM$300/AE140&lt;0,0,100*Meal_entry_week_2!$BM$300/AE140)</f>
        <v>0</v>
      </c>
      <c r="AF220" s="922">
        <f>IF(100*Meal_entry_week_2!$BM$399/AF140&lt;0,0,100*Meal_entry_week_2!$BM$399/AF140)</f>
        <v>0</v>
      </c>
      <c r="AG220" s="923">
        <f>IF(100*Meal_entry_week_2!$BM$498/AG140&lt;0,0,100*Meal_entry_week_2!$BM$498/AG140)</f>
        <v>0</v>
      </c>
      <c r="AH220" s="903"/>
    </row>
    <row r="221" spans="1:34" ht="15">
      <c r="A221" s="905"/>
      <c r="B221" s="770" t="s">
        <v>2986</v>
      </c>
      <c r="C221" s="873"/>
      <c r="D221" s="873">
        <f>100*(Meal_entry_week_2!$AO$108+Meal_entry_week_2!$AO$207+Meal_entry_week_2!$AO$306+Meal_entry_week_2!$AO$405+Meal_entry_week_2!$AO$504)/D141/$D$146</f>
        <v>120.97028270314306</v>
      </c>
      <c r="E221" s="919">
        <f>100*(Meal_entry_week_2!$AO$35+Meal_entry_week_2!$AO$134+Meal_entry_week_2!$AO$233+Meal_entry_week_2!$AO$332+Meal_entry_week_2!$AO$431)/E141/($E$146+0.00001)</f>
        <v>0</v>
      </c>
      <c r="F221" s="919">
        <f>100*(Meal_entry_week_2!$AO$54+Meal_entry_week_2!$AO$153+Meal_entry_week_2!$AO$252+Meal_entry_week_2!$AO$351+Meal_entry_week_2!$AO$450)/F141/($F$146+0.00001)</f>
        <v>66.042198242088261</v>
      </c>
      <c r="G221" s="919">
        <f>100*(Meal_entry_week_2!$AO$86+Meal_entry_week_2!$AO$185+Meal_entry_week_2!$AO$284+Meal_entry_week_2!$AO$383+Meal_entry_week_2!$AO$482)/G141/($G$146+0.00001)</f>
        <v>260.24936236644749</v>
      </c>
      <c r="H221" s="920">
        <f>100*(Meal_entry_week_2!$AO$105+Meal_entry_week_2!$AO$204+Meal_entry_week_2!$AO$303+Meal_entry_week_2!$AO$402+Meal_entry_week_2!$AO$501)/H141/($H$146+0.00001)</f>
        <v>0</v>
      </c>
      <c r="I221" s="921">
        <f>100*Meal_entry_week_2!$AO$108/I141</f>
        <v>233.10710351556509</v>
      </c>
      <c r="J221" s="922">
        <f>100*Meal_entry_week_2!$AO$207/J141</f>
        <v>94.986903085953955</v>
      </c>
      <c r="K221" s="922">
        <f>100*Meal_entry_week_2!$AO$306/K141</f>
        <v>79.388008104776645</v>
      </c>
      <c r="L221" s="922">
        <f>100*Meal_entry_week_2!$AO$405/L141</f>
        <v>91.184609912481079</v>
      </c>
      <c r="M221" s="923">
        <f>100*Meal_entry_week_2!$AO$504/M141</f>
        <v>106.18478889693854</v>
      </c>
      <c r="N221" s="921">
        <f>IF(100*Meal_entry_week_2!$BN$32/N141&lt;0,0,100*Meal_entry_week_2!$BN$32/N141)</f>
        <v>0</v>
      </c>
      <c r="O221" s="922">
        <f>IF(100*Meal_entry_week_2!$BN$131/O141&lt;0,0,100*Meal_entry_week_2!$BN$131/O141)</f>
        <v>0</v>
      </c>
      <c r="P221" s="922">
        <f>IF(100*Meal_entry_week_2!$BN$230/P141&lt;0,0,100*Meal_entry_week_2!$BN$230/P141)</f>
        <v>0</v>
      </c>
      <c r="Q221" s="922">
        <f>IF(100*Meal_entry_week_2!$BN$329/Q141&lt;0,0,100*Meal_entry_week_2!$BN$329/Q141)</f>
        <v>0</v>
      </c>
      <c r="R221" s="923">
        <f>IF(100*Meal_entry_week_2!$BN$428/R141&lt;0,0,100*Meal_entry_week_2!$BN$428/R141)</f>
        <v>0</v>
      </c>
      <c r="S221" s="921">
        <f>IF(100*Meal_entry_week_2!$BN$51/S141&lt;0,0,100*Meal_entry_week_2!$BN$51/S141)</f>
        <v>158.99399451170845</v>
      </c>
      <c r="T221" s="922">
        <f>IF(100*Meal_entry_week_2!$BN$150/T141&lt;0,0,100*Meal_entry_week_2!$BN$150/T141)</f>
        <v>53.63222644721062</v>
      </c>
      <c r="U221" s="922">
        <f>IF(100*Meal_entry_week_2!$BN$249/U141&lt;0,0,100*Meal_entry_week_2!$BN$249/U141)</f>
        <v>48.647067076465881</v>
      </c>
      <c r="V221" s="922">
        <f>IF(100*Meal_entry_week_2!$BN$348/V141&lt;0,0,100*Meal_entry_week_2!$BN$348/V141)</f>
        <v>30.235321470585621</v>
      </c>
      <c r="W221" s="923">
        <f>IF(100*Meal_entry_week_2!$BN$447/W141&lt;0,0,100*Meal_entry_week_2!$BN$447/W141)</f>
        <v>38.703042126453134</v>
      </c>
      <c r="X221" s="921">
        <f>IF(100*Meal_entry_week_2!$BN$83/X141&lt;0,0,100*Meal_entry_week_2!$BN$83/X141)</f>
        <v>490.91857669908239</v>
      </c>
      <c r="Y221" s="922">
        <f>IF(100*Meal_entry_week_2!$BN$182/Y141&lt;0,0,100*Meal_entry_week_2!$BN$182/Y141)</f>
        <v>203.75869838482237</v>
      </c>
      <c r="Z221" s="922">
        <f>IF(100*Meal_entry_week_2!$BN$281/Z141&lt;0,0,100*Meal_entry_week_2!$BN$281/Z141)</f>
        <v>169.02299655232352</v>
      </c>
      <c r="AA221" s="922">
        <f>IF(100*Meal_entry_week_2!$BN$380/AA141&lt;0,0,100*Meal_entry_week_2!$BN$380/AA141)</f>
        <v>202.68564930559396</v>
      </c>
      <c r="AB221" s="923">
        <f>IF(100*Meal_entry_week_2!$BN$479/AB141&lt;0,0,100*Meal_entry_week_2!$BN$479/AB141)</f>
        <v>234.86349338403886</v>
      </c>
      <c r="AC221" s="921">
        <f>IF(100*Meal_entry_week_2!$BN$102/AC141&lt;0,0,100*Meal_entry_week_2!$BN$102/AC141)</f>
        <v>0</v>
      </c>
      <c r="AD221" s="922">
        <f>IF(100*Meal_entry_week_2!$BN$201/AD141&lt;0,0,100*Meal_entry_week_2!$BN$201/AD141)</f>
        <v>0</v>
      </c>
      <c r="AE221" s="922">
        <f>IF(100*Meal_entry_week_2!$BN$300/AE141&lt;0,0,100*Meal_entry_week_2!$BN$300/AE141)</f>
        <v>0</v>
      </c>
      <c r="AF221" s="922">
        <f>IF(100*Meal_entry_week_2!$BN$399/AF141&lt;0,0,100*Meal_entry_week_2!$BN$399/AF141)</f>
        <v>0</v>
      </c>
      <c r="AG221" s="923">
        <f>IF(100*Meal_entry_week_2!$BN$498/AG141&lt;0,0,100*Meal_entry_week_2!$BN$498/AG141)</f>
        <v>0</v>
      </c>
      <c r="AH221" s="903"/>
    </row>
    <row r="222" spans="1:34" ht="15">
      <c r="A222" s="905"/>
      <c r="B222" s="770" t="s">
        <v>3894</v>
      </c>
      <c r="C222" s="873"/>
      <c r="D222" s="873">
        <f>100*(Meal_entry_week_2!$AP$108+Meal_entry_week_2!$AP$207+Meal_entry_week_2!$AP$306+Meal_entry_week_2!$AP$405+Meal_entry_week_2!$AP$504)/D142/$D$146</f>
        <v>80.582251018460596</v>
      </c>
      <c r="E222" s="919">
        <f>100*(Meal_entry_week_2!$AP$35+Meal_entry_week_2!$AP$134+Meal_entry_week_2!$AP$233+Meal_entry_week_2!$AP$332+Meal_entry_week_2!$AP$431)/E142/($E$146+0.00001)</f>
        <v>0</v>
      </c>
      <c r="F222" s="919">
        <f>100*(Meal_entry_week_2!$AP$54+Meal_entry_week_2!$AP$153+Meal_entry_week_2!$AP$252+Meal_entry_week_2!$AP$351+Meal_entry_week_2!$AP$450)/F142/($F$146+0.00001)</f>
        <v>43.596331875639216</v>
      </c>
      <c r="G222" s="919">
        <f>100*(Meal_entry_week_2!$AP$86+Meal_entry_week_2!$AP$185+Meal_entry_week_2!$AP$284+Meal_entry_week_2!$AP$383+Meal_entry_week_2!$AP$482)/G142/($G$146+0.00001)</f>
        <v>173.49276570144235</v>
      </c>
      <c r="H222" s="920">
        <f>100*(Meal_entry_week_2!$AP$105+Meal_entry_week_2!$AP$204+Meal_entry_week_2!$AP$303+Meal_entry_week_2!$AP$402+Meal_entry_week_2!$AP$501)/H142/($H$146+0.00001)</f>
        <v>0</v>
      </c>
      <c r="I222" s="921">
        <f>100*Meal_entry_week_2!$AP$108/I142</f>
        <v>80.871478087894403</v>
      </c>
      <c r="J222" s="922">
        <f>100*Meal_entry_week_2!$AP$207/J142</f>
        <v>74.525550443235261</v>
      </c>
      <c r="K222" s="922">
        <f>100*Meal_entry_week_2!$AP$306/K142</f>
        <v>82.149275211580843</v>
      </c>
      <c r="L222" s="922">
        <f>100*Meal_entry_week_2!$AP$405/L142</f>
        <v>122.6560352153282</v>
      </c>
      <c r="M222" s="923">
        <f>100*Meal_entry_week_2!$AP$504/M142</f>
        <v>42.708916134264278</v>
      </c>
      <c r="N222" s="921">
        <f>IF(100*Meal_entry_week_2!$BO$32/N142&lt;0,0,100*Meal_entry_week_2!$BO$32/N142)</f>
        <v>0</v>
      </c>
      <c r="O222" s="922">
        <f>IF(100*Meal_entry_week_2!$BO$131/O142&lt;0,0,100*Meal_entry_week_2!$BO$131/O142)</f>
        <v>0</v>
      </c>
      <c r="P222" s="922">
        <f>IF(100*Meal_entry_week_2!$BO$230/P142&lt;0,0,100*Meal_entry_week_2!$BO$230/P142)</f>
        <v>0</v>
      </c>
      <c r="Q222" s="922">
        <f>IF(100*Meal_entry_week_2!$BO$329/Q142&lt;0,0,100*Meal_entry_week_2!$BO$329/Q142)</f>
        <v>0</v>
      </c>
      <c r="R222" s="923">
        <f>IF(100*Meal_entry_week_2!$BO$428/R142&lt;0,0,100*Meal_entry_week_2!$BO$428/R142)</f>
        <v>0</v>
      </c>
      <c r="S222" s="921">
        <f>IF(100*Meal_entry_week_2!$BO$51/S142&lt;0,0,100*Meal_entry_week_2!$BO$51/S142)</f>
        <v>69.960464109219615</v>
      </c>
      <c r="T222" s="922">
        <f>IF(100*Meal_entry_week_2!$BO$150/T142&lt;0,0,100*Meal_entry_week_2!$BO$150/T142)</f>
        <v>89.530369138011849</v>
      </c>
      <c r="U222" s="922">
        <f>IF(100*Meal_entry_week_2!$BO$249/U142&lt;0,0,100*Meal_entry_week_2!$BO$249/U142)</f>
        <v>18.788397791761103</v>
      </c>
      <c r="V222" s="922">
        <f>IF(100*Meal_entry_week_2!$BO$348/V142&lt;0,0,100*Meal_entry_week_2!$BO$348/V142)</f>
        <v>11.188810070398993</v>
      </c>
      <c r="W222" s="923">
        <f>IF(100*Meal_entry_week_2!$BO$447/W142&lt;0,0,100*Meal_entry_week_2!$BO$447/W142)</f>
        <v>28.514054232123282</v>
      </c>
      <c r="X222" s="921">
        <f>IF(100*Meal_entry_week_2!$BO$83/X142&lt;0,0,100*Meal_entry_week_2!$BO$83/X142)</f>
        <v>165.37996083534705</v>
      </c>
      <c r="Y222" s="922">
        <f>IF(100*Meal_entry_week_2!$BO$182/Y142&lt;0,0,100*Meal_entry_week_2!$BO$182/Y142)</f>
        <v>144.04949465487834</v>
      </c>
      <c r="Z222" s="922">
        <f>IF(100*Meal_entry_week_2!$BO$281/Z142&lt;0,0,100*Meal_entry_week_2!$BO$281/Z142)</f>
        <v>185.41884289643491</v>
      </c>
      <c r="AA222" s="922">
        <f>IF(100*Meal_entry_week_2!$BO$380/AA142&lt;0,0,100*Meal_entry_week_2!$BO$380/AA142)</f>
        <v>282.46781214563282</v>
      </c>
      <c r="AB222" s="923">
        <f>IF(100*Meal_entry_week_2!$BO$479/AB142&lt;0,0,100*Meal_entry_week_2!$BO$479/AB142)</f>
        <v>90.149452902575561</v>
      </c>
      <c r="AC222" s="921">
        <f>IF(100*Meal_entry_week_2!$BO$102/AC142&lt;0,0,100*Meal_entry_week_2!$BO$102/AC142)</f>
        <v>0</v>
      </c>
      <c r="AD222" s="922">
        <f>IF(100*Meal_entry_week_2!$BO$201/AD142&lt;0,0,100*Meal_entry_week_2!$BO$201/AD142)</f>
        <v>0</v>
      </c>
      <c r="AE222" s="922">
        <f>IF(100*Meal_entry_week_2!$BO$300/AE142&lt;0,0,100*Meal_entry_week_2!$BO$300/AE142)</f>
        <v>0</v>
      </c>
      <c r="AF222" s="922">
        <f>IF(100*Meal_entry_week_2!$BO$399/AF142&lt;0,0,100*Meal_entry_week_2!$BO$399/AF142)</f>
        <v>0</v>
      </c>
      <c r="AG222" s="923">
        <f>IF(100*Meal_entry_week_2!$BO$498/AG142&lt;0,0,100*Meal_entry_week_2!$BO$498/AG142)</f>
        <v>0</v>
      </c>
      <c r="AH222" s="903"/>
    </row>
    <row r="223" spans="1:34" ht="15">
      <c r="A223" s="905"/>
      <c r="B223" s="770" t="s">
        <v>2987</v>
      </c>
      <c r="C223" s="873"/>
      <c r="D223" s="873">
        <f>100*(Meal_entry_week_2!$AQ$108+Meal_entry_week_2!$AQ$207+Meal_entry_week_2!$AQ$306+Meal_entry_week_2!$AQ$405+Meal_entry_week_2!$AQ$504)/D143/$D$146</f>
        <v>48.485078302086592</v>
      </c>
      <c r="E223" s="919">
        <f>100*(Meal_entry_week_2!$AQ$35+Meal_entry_week_2!$AQ$134+Meal_entry_week_2!$AQ$233+Meal_entry_week_2!$AQ$332+Meal_entry_week_2!$AQ$431)/E143/($E$146+0.00001)</f>
        <v>0</v>
      </c>
      <c r="F223" s="919">
        <f>100*(Meal_entry_week_2!$AQ$54+Meal_entry_week_2!$AQ$153+Meal_entry_week_2!$AQ$252+Meal_entry_week_2!$AQ$351+Meal_entry_week_2!$AQ$450)/F143/($F$146+0.00001)</f>
        <v>115.98522691224059</v>
      </c>
      <c r="G223" s="919">
        <f>100*(Meal_entry_week_2!$AQ$86+Meal_entry_week_2!$AQ$185+Meal_entry_week_2!$AQ$284+Meal_entry_week_2!$AQ$383+Meal_entry_week_2!$AQ$482)/G143/($G$146+0.00001)</f>
        <v>74.469880804208955</v>
      </c>
      <c r="H223" s="920">
        <f>100*(Meal_entry_week_2!$AQ$105+Meal_entry_week_2!$AQ$204+Meal_entry_week_2!$AQ$303+Meal_entry_week_2!$AQ$402+Meal_entry_week_2!$AQ$501)/H143/($H$146+0.00001)</f>
        <v>0</v>
      </c>
      <c r="I223" s="921">
        <f>100*Meal_entry_week_2!$AQ$108/I143</f>
        <v>72.392901824678702</v>
      </c>
      <c r="J223" s="922">
        <f>100*Meal_entry_week_2!$AQ$207/J143</f>
        <v>45.491456438052069</v>
      </c>
      <c r="K223" s="922">
        <f>100*Meal_entry_week_2!$AQ$306/K143</f>
        <v>27.521725709735936</v>
      </c>
      <c r="L223" s="922">
        <f>100*Meal_entry_week_2!$AQ$405/L143</f>
        <v>51.211999769470538</v>
      </c>
      <c r="M223" s="923">
        <f>100*Meal_entry_week_2!$AQ$504/M143</f>
        <v>45.807307768495647</v>
      </c>
      <c r="N223" s="921">
        <f>IF(100*Meal_entry_week_2!$BP$32/N143&lt;0,0,100*Meal_entry_week_2!$BP$32/N143)</f>
        <v>0</v>
      </c>
      <c r="O223" s="922">
        <f>IF(100*Meal_entry_week_2!$BP$131/O143&lt;0,0,100*Meal_entry_week_2!$BP$131/O143)</f>
        <v>0</v>
      </c>
      <c r="P223" s="922">
        <f>IF(100*Meal_entry_week_2!$BP$230/P143&lt;0,0,100*Meal_entry_week_2!$BP$230/P143)</f>
        <v>0</v>
      </c>
      <c r="Q223" s="922">
        <f>IF(100*Meal_entry_week_2!$BP$329/Q143&lt;0,0,100*Meal_entry_week_2!$BP$329/Q143)</f>
        <v>0</v>
      </c>
      <c r="R223" s="923">
        <f>IF(100*Meal_entry_week_2!$BP$428/R143&lt;0,0,100*Meal_entry_week_2!$BP$428/R143)</f>
        <v>0</v>
      </c>
      <c r="S223" s="921">
        <f>IF(100*Meal_entry_week_2!$BP$51/S143&lt;0,0,100*Meal_entry_week_2!$BP$51/S143)</f>
        <v>191.39785446019778</v>
      </c>
      <c r="T223" s="922">
        <f>IF(100*Meal_entry_week_2!$BP$150/T143&lt;0,0,100*Meal_entry_week_2!$BP$150/T143)</f>
        <v>138.79831773105812</v>
      </c>
      <c r="U223" s="922">
        <f>IF(100*Meal_entry_week_2!$BP$249/U143&lt;0,0,100*Meal_entry_week_2!$BP$249/U143)</f>
        <v>115.84794189602906</v>
      </c>
      <c r="V223" s="922">
        <f>IF(100*Meal_entry_week_2!$BP$348/V143&lt;0,0,100*Meal_entry_week_2!$BP$348/V143)</f>
        <v>81.888073703992632</v>
      </c>
      <c r="W223" s="923">
        <f>IF(100*Meal_entry_week_2!$BP$447/W143&lt;0,0,100*Meal_entry_week_2!$BP$447/W143)</f>
        <v>51.995106622194484</v>
      </c>
      <c r="X223" s="921">
        <f>IF(100*Meal_entry_week_2!$BP$83/X143&lt;0,0,100*Meal_entry_week_2!$BP$83/X143)</f>
        <v>105.11748610418438</v>
      </c>
      <c r="Y223" s="922">
        <f>IF(100*Meal_entry_week_2!$BP$182/Y143&lt;0,0,100*Meal_entry_week_2!$BP$182/Y143)</f>
        <v>59.880625778435473</v>
      </c>
      <c r="Z223" s="922">
        <f>IF(100*Meal_entry_week_2!$BP$281/Z143&lt;0,0,100*Meal_entry_week_2!$BP$281/Z143)</f>
        <v>25.601379357374171</v>
      </c>
      <c r="AA223" s="922">
        <f>IF(100*Meal_entry_week_2!$BP$380/AA143&lt;0,0,100*Meal_entry_week_2!$BP$380/AA143)</f>
        <v>92.198641560767044</v>
      </c>
      <c r="AB223" s="923">
        <f>IF(100*Meal_entry_week_2!$BP$479/AB143&lt;0,0,100*Meal_entry_week_2!$BP$479/AB143)</f>
        <v>89.552015919091687</v>
      </c>
      <c r="AC223" s="921">
        <f>IF(100*Meal_entry_week_2!$BP$102/AC143&lt;0,0,100*Meal_entry_week_2!$BP$102/AC143)</f>
        <v>0</v>
      </c>
      <c r="AD223" s="922">
        <f>IF(100*Meal_entry_week_2!$BP$201/AD143&lt;0,0,100*Meal_entry_week_2!$BP$201/AD143)</f>
        <v>0</v>
      </c>
      <c r="AE223" s="922">
        <f>IF(100*Meal_entry_week_2!$BP$300/AE143&lt;0,0,100*Meal_entry_week_2!$BP$300/AE143)</f>
        <v>0</v>
      </c>
      <c r="AF223" s="922">
        <f>IF(100*Meal_entry_week_2!$BP$399/AF143&lt;0,0,100*Meal_entry_week_2!$BP$399/AF143)</f>
        <v>0</v>
      </c>
      <c r="AG223" s="923">
        <f>IF(100*Meal_entry_week_2!$BP$498/AG143&lt;0,0,100*Meal_entry_week_2!$BP$498/AG143)</f>
        <v>0</v>
      </c>
      <c r="AH223" s="903"/>
    </row>
    <row r="224" spans="1:34" ht="15">
      <c r="A224" s="905"/>
      <c r="B224" s="770" t="s">
        <v>2988</v>
      </c>
      <c r="C224" s="873"/>
      <c r="D224" s="873">
        <f>100*(Meal_entry_week_2!$AR$108+Meal_entry_week_2!$AAS$207+Meal_entry_week_2!$AR$306+Meal_entry_week_2!$AR$405+Meal_entry_week_2!$AR$504)/D144/$D$146</f>
        <v>52.191378189378916</v>
      </c>
      <c r="E224" s="919">
        <f>100*(Meal_entry_week_2!$AR$35+Meal_entry_week_2!$AAS$134+Meal_entry_week_2!$AR$233+Meal_entry_week_2!$AR$332+Meal_entry_week_2!$AR$431)/E144/($E$146+0.00001)</f>
        <v>0</v>
      </c>
      <c r="F224" s="919">
        <f>100*(Meal_entry_week_2!$AR$54+Meal_entry_week_2!$AAS$153+Meal_entry_week_2!$AR$252+Meal_entry_week_2!$AR$351+Meal_entry_week_2!$AR$450)/F144/($F$146+0.00001)</f>
        <v>3.1280145890653448</v>
      </c>
      <c r="G224" s="919">
        <f>100*(Meal_entry_week_2!$AR$86+Meal_entry_week_2!$AAS$185+Meal_entry_week_2!$AR$284+Meal_entry_week_2!$AR$383+Meal_entry_week_2!$AR$482)/G144/($G$146+0.00001)</f>
        <v>120.73696735291796</v>
      </c>
      <c r="H224" s="920">
        <f>100*(Meal_entry_week_2!$AR$105+Meal_entry_week_2!$AAS$204+Meal_entry_week_2!$AR$303+Meal_entry_week_2!$AR$402+Meal_entry_week_2!$AR$501)/H144/($H$146+0.00001)</f>
        <v>0</v>
      </c>
      <c r="I224" s="921">
        <f>100*Meal_entry_week_2!$AR$108/I144</f>
        <v>91.763220362954328</v>
      </c>
      <c r="J224" s="922">
        <f>100*Meal_entry_week_2!$AR$207/J144</f>
        <v>56.942058853814849</v>
      </c>
      <c r="K224" s="922">
        <f>100*Meal_entry_week_2!$AR$306/K144</f>
        <v>51.801567300068086</v>
      </c>
      <c r="L224" s="922">
        <f>100*Meal_entry_week_2!$AR$405/L144</f>
        <v>87.739538860715882</v>
      </c>
      <c r="M224" s="923">
        <f>100*Meal_entry_week_2!$AR$504/M144</f>
        <v>29.652564423156321</v>
      </c>
      <c r="N224" s="921">
        <f>IF(100*Meal_entry_week_2!$BQ$32/N144&lt;0,0,100*Meal_entry_week_2!$BQ$32/N144)</f>
        <v>0</v>
      </c>
      <c r="O224" s="922">
        <f>IF(100*Meal_entry_week_2!$BQ$131/O144&lt;0,0,100*Meal_entry_week_2!$BQ$131/O144)</f>
        <v>0</v>
      </c>
      <c r="P224" s="922">
        <f>IF(100*Meal_entry_week_2!$BQ$230/P144&lt;0,0,100*Meal_entry_week_2!$BQ$230/P144)</f>
        <v>0</v>
      </c>
      <c r="Q224" s="922">
        <f>IF(100*Meal_entry_week_2!$BQ$329/Q144&lt;0,0,100*Meal_entry_week_2!$BQ$329/Q144)</f>
        <v>0</v>
      </c>
      <c r="R224" s="923">
        <f>IF(100*Meal_entry_week_2!$BQ$428/R144&lt;0,0,100*Meal_entry_week_2!$BQ$428/R144)</f>
        <v>0</v>
      </c>
      <c r="S224" s="921">
        <f>IF(100*Meal_entry_week_2!$BQ$51/S144&lt;0,0,100*Meal_entry_week_2!$BQ$51/S144)</f>
        <v>5.9687494031250594</v>
      </c>
      <c r="T224" s="922">
        <f>IF(100*Meal_entry_week_2!$BQ$150/T144&lt;0,0,100*Meal_entry_week_2!$BQ$150/T144)</f>
        <v>3.094998725000504</v>
      </c>
      <c r="U224" s="922">
        <f>IF(100*Meal_entry_week_2!$BQ$249/U144&lt;0,0,100*Meal_entry_week_2!$BQ$249/U144)</f>
        <v>9.713754849247568</v>
      </c>
      <c r="V224" s="922">
        <f>IF(100*Meal_entry_week_2!$BQ$348/V144&lt;0,0,100*Meal_entry_week_2!$BQ$348/V144)</f>
        <v>0</v>
      </c>
      <c r="W224" s="923">
        <f>IF(100*Meal_entry_week_2!$BQ$447/W144&lt;0,0,100*Meal_entry_week_2!$BQ$447/W144)</f>
        <v>0</v>
      </c>
      <c r="X224" s="921">
        <f>IF(100*Meal_entry_week_2!$BQ$83/X144&lt;0,0,100*Meal_entry_week_2!$BQ$83/X144)</f>
        <v>212.12459771251841</v>
      </c>
      <c r="Y224" s="922">
        <f>IF(100*Meal_entry_week_2!$BQ$182/Y144&lt;0,0,100*Meal_entry_week_2!$BQ$182/Y144)</f>
        <v>131.83313775056783</v>
      </c>
      <c r="Z224" s="922">
        <f>IF(100*Meal_entry_week_2!$BQ$281/Z144&lt;0,0,100*Meal_entry_week_2!$BQ$281/Z144)</f>
        <v>117.63240541707636</v>
      </c>
      <c r="AA224" s="922">
        <f>IF(100*Meal_entry_week_2!$BQ$380/AA144&lt;0,0,100*Meal_entry_week_2!$BQ$380/AA144)</f>
        <v>204.73725735167042</v>
      </c>
      <c r="AB224" s="923">
        <f>IF(100*Meal_entry_week_2!$BQ$479/AB144&lt;0,0,100*Meal_entry_week_2!$BQ$479/AB144)</f>
        <v>69.191783652998083</v>
      </c>
      <c r="AC224" s="921">
        <f>IF(100*Meal_entry_week_2!$BQ$102/AC144&lt;0,0,100*Meal_entry_week_2!$BQ$102/AC144)</f>
        <v>0</v>
      </c>
      <c r="AD224" s="922">
        <f>IF(100*Meal_entry_week_2!$BQ$201/AD144&lt;0,0,100*Meal_entry_week_2!$BQ$201/AD144)</f>
        <v>0</v>
      </c>
      <c r="AE224" s="922">
        <f>IF(100*Meal_entry_week_2!$BQ$300/AE144&lt;0,0,100*Meal_entry_week_2!$BQ$300/AE144)</f>
        <v>0</v>
      </c>
      <c r="AF224" s="922">
        <f>IF(100*Meal_entry_week_2!$BQ$399/AF144&lt;0,0,100*Meal_entry_week_2!$BQ$399/AF144)</f>
        <v>0</v>
      </c>
      <c r="AG224" s="923">
        <f>IF(100*Meal_entry_week_2!$BQ$498/AG144&lt;0,0,100*Meal_entry_week_2!$BQ$498/AG144)</f>
        <v>0</v>
      </c>
      <c r="AH224" s="903"/>
    </row>
    <row r="225" spans="1:34" ht="16" thickBot="1">
      <c r="A225" s="905"/>
      <c r="B225" s="979" t="s">
        <v>2989</v>
      </c>
      <c r="C225" s="873"/>
      <c r="D225" s="927">
        <f>100*(Meal_entry_week_2!$AS$108+Meal_entry_week_2!$AS$207+Meal_entry_week_2!$AS$306+Meal_entry_week_2!$AS$405+Meal_entry_week_2!$AS$504)/D145/$D$146</f>
        <v>28.390102279921365</v>
      </c>
      <c r="E225" s="928">
        <f>100*(Meal_entry_week_2!$AS$35+Meal_entry_week_2!$AS$134+Meal_entry_week_2!$AS$233+Meal_entry_week_2!$AS$332+Meal_entry_week_2!$AS$431)/E145/($E$146+0.00001)</f>
        <v>0</v>
      </c>
      <c r="F225" s="928">
        <f>100*(Meal_entry_week_2!$AS$54+Meal_entry_week_2!$AS$153+Meal_entry_week_2!$AS$252+Meal_entry_week_2!$AS$351+Meal_entry_week_2!$AS$450)/F145/($F$146+0.00001)</f>
        <v>30.422913979989076</v>
      </c>
      <c r="G225" s="928">
        <f>100*(Meal_entry_week_2!$AS$86+Meal_entry_week_2!$AS$185+Meal_entry_week_2!$AS$284+Meal_entry_week_2!$AS$383+Meal_entry_week_2!$AS$482)/G145/($G$146+0.00001)</f>
        <v>56.10246817294118</v>
      </c>
      <c r="H225" s="929">
        <f>100*(Meal_entry_week_2!$AS$105+Meal_entry_week_2!$AS$204+Meal_entry_week_2!$AS$303+Meal_entry_week_2!$AS$402+Meal_entry_week_2!$AS$501)/H145/($H$146+0.00001)</f>
        <v>0</v>
      </c>
      <c r="I225" s="930">
        <f>100*Meal_entry_week_2!$AS$108/I145</f>
        <v>56.372874110371733</v>
      </c>
      <c r="J225" s="931">
        <f>100*Meal_entry_week_2!$AS$207/J145</f>
        <v>12.127913612575286</v>
      </c>
      <c r="K225" s="931">
        <f>100*Meal_entry_week_2!$AS$306/K145</f>
        <v>15.141682794477243</v>
      </c>
      <c r="L225" s="931">
        <f>100*Meal_entry_week_2!$AS$405/L145</f>
        <v>28.418189731056735</v>
      </c>
      <c r="M225" s="932">
        <f>100*Meal_entry_week_2!$AS$504/M145</f>
        <v>29.88985115112585</v>
      </c>
      <c r="N225" s="930">
        <f>IF(100*Meal_entry_week_2!$BR$32/N145&lt;0,0,100*Meal_entry_week_2!$BR$32/N145)</f>
        <v>0</v>
      </c>
      <c r="O225" s="931">
        <f>IF(100*Meal_entry_week_2!$BR$131/O145&lt;0,0,100*Meal_entry_week_2!$BR$131/O145)</f>
        <v>0</v>
      </c>
      <c r="P225" s="931">
        <f>IF(100*Meal_entry_week_2!$BR$230/P145&lt;0,0,100*Meal_entry_week_2!$BR$230/P145)</f>
        <v>0</v>
      </c>
      <c r="Q225" s="931">
        <f>IF(100*Meal_entry_week_2!$BR$329/Q145&lt;0,0,100*Meal_entry_week_2!$BR$329/Q145)</f>
        <v>0</v>
      </c>
      <c r="R225" s="932">
        <f>IF(100*Meal_entry_week_2!$BR$428/R145&lt;0,0,100*Meal_entry_week_2!$BR$428/R145)</f>
        <v>0</v>
      </c>
      <c r="S225" s="930">
        <f>IF(100*Meal_entry_week_2!$BR$51/S145&lt;0,0,100*Meal_entry_week_2!$BR$51/S145)</f>
        <v>32.385263502248414</v>
      </c>
      <c r="T225" s="931">
        <f>IF(100*Meal_entry_week_2!$BR$150/T145&lt;0,0,100*Meal_entry_week_2!$BR$150/T145)</f>
        <v>3.3086126404339105</v>
      </c>
      <c r="U225" s="931">
        <f>IF(100*Meal_entry_week_2!$BR$249/U145&lt;0,0,100*Meal_entry_week_2!$BR$249/U145)</f>
        <v>18.773990523004727</v>
      </c>
      <c r="V225" s="931">
        <f>IF(100*Meal_entry_week_2!$BR$348/V145&lt;0,0,100*Meal_entry_week_2!$BR$348/V145)</f>
        <v>89.944080951991907</v>
      </c>
      <c r="W225" s="932">
        <f>IF(100*Meal_entry_week_2!$BR$447/W145&lt;0,0,100*Meal_entry_week_2!$BR$447/W145)</f>
        <v>7.7029265114062175</v>
      </c>
      <c r="X225" s="930">
        <f>IF(100*Meal_entry_week_2!$BR$83/X145&lt;0,0,100*Meal_entry_week_2!$BR$83/X145)</f>
        <v>120.74161842345124</v>
      </c>
      <c r="Y225" s="931">
        <f>IF(100*Meal_entry_week_2!$BR$182/Y145&lt;0,0,100*Meal_entry_week_2!$BR$182/Y145)</f>
        <v>27.195594215864364</v>
      </c>
      <c r="Z225" s="931">
        <f>IF(100*Meal_entry_week_2!$BR$281/Z145&lt;0,0,100*Meal_entry_week_2!$BR$281/Z145)</f>
        <v>29.07259634611199</v>
      </c>
      <c r="AA225" s="931">
        <f>IF(100*Meal_entry_week_2!$BR$380/AA145&lt;0,0,100*Meal_entry_week_2!$BR$380/AA145)</f>
        <v>36.327749055135087</v>
      </c>
      <c r="AB225" s="932">
        <f>IF(100*Meal_entry_week_2!$BR$479/AB145&lt;0,0,100*Meal_entry_week_2!$BR$479/AB145)</f>
        <v>67.175343848824909</v>
      </c>
      <c r="AC225" s="930">
        <f>IF(100*Meal_entry_week_2!$BR$102/AC145&lt;0,0,100*Meal_entry_week_2!$BR$102/AC145)</f>
        <v>0</v>
      </c>
      <c r="AD225" s="931">
        <f>IF(100*Meal_entry_week_2!$BR$201/AD145&lt;0,0,100*Meal_entry_week_2!$BR$201/AD145)</f>
        <v>0</v>
      </c>
      <c r="AE225" s="931">
        <f>IF(100*Meal_entry_week_2!$BR$300/AE145&lt;0,0,100*Meal_entry_week_2!$BR$300/AE145)</f>
        <v>0</v>
      </c>
      <c r="AF225" s="931">
        <f>IF(100*Meal_entry_week_2!$BR$399/AF145&lt;0,0,100*Meal_entry_week_2!$BR$399/AF145)</f>
        <v>0</v>
      </c>
      <c r="AG225" s="932">
        <f>IF(100*Meal_entry_week_2!$BR$498/AG145&lt;0,0,100*Meal_entry_week_2!$BR$498/AG145)</f>
        <v>0</v>
      </c>
      <c r="AH225" s="903"/>
    </row>
    <row r="226" spans="1:34">
      <c r="A226" s="905"/>
      <c r="B226" s="913"/>
      <c r="C226" s="873"/>
      <c r="D226" s="913"/>
      <c r="E226" s="913"/>
      <c r="F226" s="913"/>
      <c r="G226" s="913"/>
      <c r="H226" s="913"/>
      <c r="I226" s="913"/>
      <c r="J226" s="913"/>
      <c r="K226" s="913"/>
      <c r="L226" s="913"/>
      <c r="M226" s="913"/>
      <c r="N226" s="913"/>
      <c r="O226" s="913"/>
      <c r="P226" s="913"/>
      <c r="Q226" s="913"/>
      <c r="R226" s="913"/>
      <c r="S226" s="913"/>
      <c r="T226" s="913"/>
      <c r="U226" s="913"/>
      <c r="V226" s="913"/>
      <c r="W226" s="913"/>
      <c r="X226" s="913"/>
      <c r="Y226" s="913"/>
      <c r="Z226" s="913"/>
      <c r="AA226" s="913"/>
      <c r="AB226" s="913"/>
      <c r="AC226" s="913"/>
      <c r="AD226" s="913"/>
      <c r="AE226" s="913"/>
      <c r="AF226" s="913"/>
      <c r="AG226" s="913"/>
      <c r="AH226" s="896"/>
    </row>
    <row r="227" spans="1:34" ht="15" thickBot="1">
      <c r="A227" s="905"/>
      <c r="B227" s="913"/>
      <c r="C227" s="873"/>
      <c r="D227" s="913"/>
      <c r="E227" s="913"/>
      <c r="F227" s="913"/>
      <c r="G227" s="913"/>
      <c r="H227" s="913"/>
      <c r="I227" s="913"/>
      <c r="J227" s="913"/>
      <c r="K227" s="913"/>
      <c r="L227" s="913"/>
      <c r="M227" s="913"/>
      <c r="N227" s="913"/>
      <c r="O227" s="913"/>
      <c r="P227" s="913"/>
      <c r="Q227" s="913"/>
      <c r="R227" s="913"/>
      <c r="S227" s="913"/>
      <c r="T227" s="913"/>
      <c r="U227" s="913"/>
      <c r="V227" s="913"/>
      <c r="W227" s="913"/>
      <c r="X227" s="913"/>
      <c r="Y227" s="913"/>
      <c r="Z227" s="913"/>
      <c r="AA227" s="913"/>
      <c r="AB227" s="913"/>
      <c r="AC227" s="913"/>
      <c r="AD227" s="913"/>
      <c r="AE227" s="913"/>
      <c r="AF227" s="913"/>
      <c r="AG227" s="913"/>
      <c r="AH227" s="896"/>
    </row>
    <row r="228" spans="1:34">
      <c r="A228" s="905"/>
      <c r="B228" s="787" t="s">
        <v>3587</v>
      </c>
      <c r="C228" s="873"/>
      <c r="D228" s="933">
        <f>SUM($I228:$M228)/(COUNTIF($I228:$M228,"&gt;0")+0.00001)</f>
        <v>700.60259879480236</v>
      </c>
      <c r="E228" s="934">
        <f>SUM($N228:$R228)/(COUNTIF($N228:$R228,"&gt;0")+0.00001)</f>
        <v>0</v>
      </c>
      <c r="F228" s="934">
        <f>SUM($S228:$W228)/(COUNTIF($S228:$W228,"&gt;0")+0.00001)</f>
        <v>154.3196913606173</v>
      </c>
      <c r="G228" s="934">
        <f>SUM($X228:$AB228)/(COUNTIF($X228:$AB228,"&gt;0")+0.00001)</f>
        <v>546.28290743418506</v>
      </c>
      <c r="H228" s="935">
        <f>SUM($AC228:$AG228)/(COUNTIF($AC228:$AG228,"&gt;0")+0.00001)</f>
        <v>0</v>
      </c>
      <c r="I228" s="933">
        <f>Meal_entry_week_2!$Q$107</f>
        <v>763.6</v>
      </c>
      <c r="J228" s="934">
        <f>Meal_entry_week_2!$Q$206</f>
        <v>760.4</v>
      </c>
      <c r="K228" s="934">
        <f>Meal_entry_week_2!$Q$305</f>
        <v>550.23</v>
      </c>
      <c r="L228" s="934">
        <f>Meal_entry_week_2!$Q$404</f>
        <v>803.58999999999992</v>
      </c>
      <c r="M228" s="935">
        <f>Meal_entry_week_2!$Q$503</f>
        <v>625.20000000000005</v>
      </c>
      <c r="N228" s="933">
        <f>Meal_entry_week_2!$Q$32</f>
        <v>0</v>
      </c>
      <c r="O228" s="934">
        <f>Meal_entry_week_2!$Q$131</f>
        <v>0</v>
      </c>
      <c r="P228" s="934">
        <f>Meal_entry_week_2!$Q$230</f>
        <v>0</v>
      </c>
      <c r="Q228" s="934">
        <f>Meal_entry_week_2!$Q$329</f>
        <v>0</v>
      </c>
      <c r="R228" s="935">
        <f>Meal_entry_week_2!$Q$428</f>
        <v>0</v>
      </c>
      <c r="S228" s="933">
        <f>Meal_entry_week_2!$Q$51</f>
        <v>145</v>
      </c>
      <c r="T228" s="934">
        <f>Meal_entry_week_2!$Q$150</f>
        <v>185</v>
      </c>
      <c r="U228" s="934">
        <f>Meal_entry_week_2!$Q$249</f>
        <v>135</v>
      </c>
      <c r="V228" s="934">
        <f>Meal_entry_week_2!$Q$348</f>
        <v>170</v>
      </c>
      <c r="W228" s="935">
        <f>Meal_entry_week_2!$Q$447</f>
        <v>136.6</v>
      </c>
      <c r="X228" s="933">
        <f>Meal_entry_week_2!$Q$83</f>
        <v>618.6</v>
      </c>
      <c r="Y228" s="934">
        <f>Meal_entry_week_2!$Q$182</f>
        <v>575.4</v>
      </c>
      <c r="Z228" s="934">
        <f>Meal_entry_week_2!$Q$281</f>
        <v>415.23</v>
      </c>
      <c r="AA228" s="934">
        <f>Meal_entry_week_2!$Q$380</f>
        <v>633.58999999999992</v>
      </c>
      <c r="AB228" s="935">
        <f>Meal_entry_week_2!$Q$479</f>
        <v>488.6</v>
      </c>
      <c r="AC228" s="933">
        <f>Meal_entry_week_2!$Q$102</f>
        <v>0</v>
      </c>
      <c r="AD228" s="934">
        <f>Meal_entry_week_2!$Q$201</f>
        <v>0</v>
      </c>
      <c r="AE228" s="934">
        <f>Meal_entry_week_2!$Q$300</f>
        <v>0</v>
      </c>
      <c r="AF228" s="934">
        <f>Meal_entry_week_2!$Q$399</f>
        <v>0</v>
      </c>
      <c r="AG228" s="935">
        <f>Meal_entry_week_2!$Q$498</f>
        <v>0</v>
      </c>
      <c r="AH228" s="897"/>
    </row>
    <row r="229" spans="1:34">
      <c r="A229" s="905"/>
      <c r="B229" s="788" t="s">
        <v>3582</v>
      </c>
      <c r="C229" s="873"/>
      <c r="D229" s="873">
        <f>SUM($I229:$M229)/(COUNTIF($I229:$M229,"&gt;0")+0.00001)</f>
        <v>161.42994908010186</v>
      </c>
      <c r="E229" s="919">
        <f>SUM($N229:$R229)/(COUNTIF($N229:$R229,"&gt;0")+0.00001)</f>
        <v>0</v>
      </c>
      <c r="F229" s="919">
        <f>SUM($S229:$W229)/(COUNTIF($S229:$W229,"&gt;0")+0.00001)</f>
        <v>13.789066202334496</v>
      </c>
      <c r="G229" s="919">
        <f>SUM($X229:$AB229)/(COUNTIF($X229:$AB229,"&gt;0")+0.00001)</f>
        <v>150.39869060261884</v>
      </c>
      <c r="H229" s="920">
        <f>SUM($AC229:$AG229)/(COUNTIF($AC229:$AG229,"&gt;0")+0.00001)</f>
        <v>0</v>
      </c>
      <c r="I229" s="873">
        <f>Meal_entry_week_2!$R$107</f>
        <v>169.48098499999998</v>
      </c>
      <c r="J229" s="919">
        <f>Meal_entry_week_2!$R$206</f>
        <v>167.89374000000001</v>
      </c>
      <c r="K229" s="919">
        <f>Meal_entry_week_2!$R$305</f>
        <v>129.33945199999999</v>
      </c>
      <c r="L229" s="919">
        <f>Meal_entry_week_2!$R$404</f>
        <v>202.03173000000001</v>
      </c>
      <c r="M229" s="920">
        <f>Meal_entry_week_2!$R$503</f>
        <v>138.40545270000001</v>
      </c>
      <c r="N229" s="873">
        <f>Meal_entry_week_2!$R$32</f>
        <v>0</v>
      </c>
      <c r="O229" s="919">
        <f>Meal_entry_week_2!$R$131</f>
        <v>0</v>
      </c>
      <c r="P229" s="919">
        <f>Meal_entry_week_2!$R$230</f>
        <v>0</v>
      </c>
      <c r="Q229" s="919">
        <f>Meal_entry_week_2!$R$329</f>
        <v>0</v>
      </c>
      <c r="R229" s="920">
        <f>Meal_entry_week_2!$R$428</f>
        <v>0</v>
      </c>
      <c r="S229" s="873">
        <f>Meal_entry_week_2!$R$51</f>
        <v>10.269985</v>
      </c>
      <c r="T229" s="919">
        <f>Meal_entry_week_2!$R$150</f>
        <v>17.299939999999999</v>
      </c>
      <c r="U229" s="919">
        <f>Meal_entry_week_2!$R$249</f>
        <v>5.4998849999999999</v>
      </c>
      <c r="V229" s="919">
        <f>Meal_entry_week_2!$R$348</f>
        <v>-1.7000000000000001E-4</v>
      </c>
      <c r="W229" s="920">
        <f>Meal_entry_week_2!$R$447</f>
        <v>22.086762700000001</v>
      </c>
      <c r="X229" s="873">
        <f>Meal_entry_week_2!$R$83</f>
        <v>159.21099999999998</v>
      </c>
      <c r="Y229" s="919">
        <f>Meal_entry_week_2!$R$182</f>
        <v>150.59380000000002</v>
      </c>
      <c r="Z229" s="919">
        <f>Meal_entry_week_2!$R$281</f>
        <v>123.83956699999999</v>
      </c>
      <c r="AA229" s="919">
        <f>Meal_entry_week_2!$R$380</f>
        <v>202.03190000000001</v>
      </c>
      <c r="AB229" s="920">
        <f>Meal_entry_week_2!$R$479</f>
        <v>116.31869</v>
      </c>
      <c r="AC229" s="873">
        <f>Meal_entry_week_2!$R$102</f>
        <v>0</v>
      </c>
      <c r="AD229" s="919">
        <f>Meal_entry_week_2!$R$201</f>
        <v>0</v>
      </c>
      <c r="AE229" s="919">
        <f>Meal_entry_week_2!$R$300</f>
        <v>0</v>
      </c>
      <c r="AF229" s="919">
        <f>Meal_entry_week_2!$R$399</f>
        <v>0</v>
      </c>
      <c r="AG229" s="920">
        <f>Meal_entry_week_2!$R$498</f>
        <v>0</v>
      </c>
      <c r="AH229" s="897"/>
    </row>
    <row r="230" spans="1:34">
      <c r="A230" s="905"/>
      <c r="B230" s="789" t="s">
        <v>3583</v>
      </c>
      <c r="C230" s="873"/>
      <c r="D230" s="873">
        <f>SUM($I230:$M230)/(COUNTIF($I230:$M230,"&gt;0")+0.00001)</f>
        <v>1305.0178299643401</v>
      </c>
      <c r="E230" s="919">
        <f>SUM($N230:$R230)/(COUNTIF($N230:$R230,"&gt;0")+0.00001)</f>
        <v>0</v>
      </c>
      <c r="F230" s="919">
        <f>SUM($S230:$W230)/(COUNTIF($S230:$W230,"&gt;0")+0.00001)</f>
        <v>322.95975408049179</v>
      </c>
      <c r="G230" s="919">
        <f>SUM($X230:$AB230)/(COUNTIF($X230:$AB230,"&gt;0")+0.00001)</f>
        <v>982.05807588384823</v>
      </c>
      <c r="H230" s="920">
        <f>SUM($AC230:$AG230)/(COUNTIF($AC230:$AG230,"&gt;0")+0.00001)</f>
        <v>0</v>
      </c>
      <c r="I230" s="873">
        <f>Meal_entry_week_2!$V$107</f>
        <v>1510.0279999999996</v>
      </c>
      <c r="J230" s="919">
        <f>Meal_entry_week_2!$V$206</f>
        <v>1248.8599999999999</v>
      </c>
      <c r="K230" s="919">
        <f>Meal_entry_week_2!$V$305</f>
        <v>1082.0020000000002</v>
      </c>
      <c r="L230" s="919">
        <f>Meal_entry_week_2!$V$404</f>
        <v>1476.4762000000001</v>
      </c>
      <c r="M230" s="920">
        <f>Meal_entry_week_2!$V$503</f>
        <v>1207.7359999999999</v>
      </c>
      <c r="N230" s="873">
        <f>Meal_entry_week_2!$V$32</f>
        <v>0</v>
      </c>
      <c r="O230" s="919">
        <f>Meal_entry_week_2!$V$131</f>
        <v>0</v>
      </c>
      <c r="P230" s="919">
        <f>Meal_entry_week_2!$V$230</f>
        <v>0</v>
      </c>
      <c r="Q230" s="919">
        <f>Meal_entry_week_2!$V$329</f>
        <v>0</v>
      </c>
      <c r="R230" s="920">
        <f>Meal_entry_week_2!$V$428</f>
        <v>0</v>
      </c>
      <c r="S230" s="873">
        <f>Meal_entry_week_2!$V$51</f>
        <v>399.59999999999997</v>
      </c>
      <c r="T230" s="919">
        <f>Meal_entry_week_2!$V$150</f>
        <v>252.7</v>
      </c>
      <c r="U230" s="919">
        <f>Meal_entry_week_2!$V$249</f>
        <v>395</v>
      </c>
      <c r="V230" s="919">
        <f>Meal_entry_week_2!$V$348</f>
        <v>268.39999999999998</v>
      </c>
      <c r="W230" s="920">
        <f>Meal_entry_week_2!$V$447</f>
        <v>299.10199999999998</v>
      </c>
      <c r="X230" s="873">
        <f>Meal_entry_week_2!$V$83</f>
        <v>1110.4279999999997</v>
      </c>
      <c r="Y230" s="919">
        <f>Meal_entry_week_2!$V$182</f>
        <v>996.16</v>
      </c>
      <c r="Z230" s="919">
        <f>Meal_entry_week_2!$V$281</f>
        <v>687.00200000000018</v>
      </c>
      <c r="AA230" s="919">
        <f>Meal_entry_week_2!$V$380</f>
        <v>1208.0762</v>
      </c>
      <c r="AB230" s="920">
        <f>Meal_entry_week_2!$V$479</f>
        <v>908.63400000000001</v>
      </c>
      <c r="AC230" s="873">
        <f>Meal_entry_week_2!$V$102</f>
        <v>0</v>
      </c>
      <c r="AD230" s="919">
        <f>Meal_entry_week_2!$V$201</f>
        <v>0</v>
      </c>
      <c r="AE230" s="919">
        <f>Meal_entry_week_2!$V$300</f>
        <v>0</v>
      </c>
      <c r="AF230" s="919">
        <f>Meal_entry_week_2!$V$399</f>
        <v>0</v>
      </c>
      <c r="AG230" s="920">
        <f>Meal_entry_week_2!$V$498</f>
        <v>0</v>
      </c>
      <c r="AH230" s="897"/>
    </row>
    <row r="231" spans="1:34" ht="15" thickBot="1">
      <c r="A231" s="905"/>
      <c r="B231" s="788" t="s">
        <v>3584</v>
      </c>
      <c r="C231" s="873"/>
      <c r="D231" s="936">
        <f>Meal_entry_week_2!I552/100</f>
        <v>0.23011958412633024</v>
      </c>
      <c r="E231" s="937">
        <f>Meal_entry_week_2!I512/100</f>
        <v>0</v>
      </c>
      <c r="F231" s="937">
        <f>Meal_entry_week_2!I522/100</f>
        <v>9.169198768704355E-2</v>
      </c>
      <c r="G231" s="937">
        <f>Meal_entry_week_2!I532/100</f>
        <v>0.27485352077426262</v>
      </c>
      <c r="H231" s="938">
        <f>Meal_entry_week_2!I542/100</f>
        <v>0</v>
      </c>
      <c r="I231" s="936">
        <f>Meal_entry_week_2!I547/100</f>
        <v>0.22194995125785813</v>
      </c>
      <c r="J231" s="937">
        <f>Meal_entry_week_2!I548/100</f>
        <v>0.22079660414523139</v>
      </c>
      <c r="K231" s="937">
        <f>Meal_entry_week_2!I549/100</f>
        <v>0.23506433609464522</v>
      </c>
      <c r="L231" s="937">
        <f>Meal_entry_week_2!I550/100</f>
        <v>0.25141145047335772</v>
      </c>
      <c r="M231" s="938">
        <f>Meal_entry_week_2!I551/100</f>
        <v>0.2213778798563999</v>
      </c>
      <c r="N231" s="936">
        <f>Meal_entry_week_2!I507/100</f>
        <v>0</v>
      </c>
      <c r="O231" s="937">
        <f>Meal_entry_week_2!I508/100</f>
        <v>0</v>
      </c>
      <c r="P231" s="937">
        <f>Meal_entry_week_2!I509/100</f>
        <v>0</v>
      </c>
      <c r="Q231" s="937">
        <f>Meal_entry_week_2!I510/100</f>
        <v>0</v>
      </c>
      <c r="R231" s="938">
        <f>Meal_entry_week_2!I511/100</f>
        <v>0</v>
      </c>
      <c r="S231" s="936">
        <f>Meal_entry_week_2!I517/100</f>
        <v>7.0827477873967037E-2</v>
      </c>
      <c r="T231" s="937">
        <f>Meal_entry_week_2!I518/100</f>
        <v>9.3513184134422472E-2</v>
      </c>
      <c r="U231" s="937">
        <f>Meal_entry_week_2!I519/100</f>
        <v>4.0739885871119562E-2</v>
      </c>
      <c r="V231" s="937">
        <f>Meal_entry_week_2!I520/100</f>
        <v>-9.9999994117647408E-7</v>
      </c>
      <c r="W231" s="938">
        <f>Meal_entry_week_2!I521/100</f>
        <v>0.16168931978848317</v>
      </c>
      <c r="X231" s="936">
        <f>Meal_entry_week_2!I527/100</f>
        <v>0.25737309638905437</v>
      </c>
      <c r="Y231" s="937">
        <f>Meal_entry_week_2!I528/100</f>
        <v>0.26172019009871067</v>
      </c>
      <c r="Z231" s="937">
        <f>Meal_entry_week_2!I529/100</f>
        <v>0.29824329652859144</v>
      </c>
      <c r="AA231" s="937">
        <f>Meal_entry_week_2!I530/100</f>
        <v>0.31886850614958412</v>
      </c>
      <c r="AB231" s="938">
        <f>Meal_entry_week_2!I531/100</f>
        <v>0.23806526324057997</v>
      </c>
      <c r="AC231" s="936">
        <f>Meal_entry_week_2!I537/100</f>
        <v>0</v>
      </c>
      <c r="AD231" s="937">
        <f>Meal_entry_week_2!I538/100</f>
        <v>0</v>
      </c>
      <c r="AE231" s="937">
        <f>Meal_entry_week_2!I539/100</f>
        <v>0</v>
      </c>
      <c r="AF231" s="937">
        <f>Meal_entry_week_2!I540/100</f>
        <v>0</v>
      </c>
      <c r="AG231" s="938">
        <f>Meal_entry_week_2!I541/100</f>
        <v>0</v>
      </c>
      <c r="AH231" s="907"/>
    </row>
    <row r="232" spans="1:34">
      <c r="A232" s="905"/>
      <c r="B232" s="790" t="s">
        <v>3588</v>
      </c>
      <c r="C232" s="873"/>
      <c r="D232" s="873">
        <f>SUM($I232:$M232)/(COUNTIF($I232:$M232,"&gt;0")+0.00001)</f>
        <v>98.423273829693755</v>
      </c>
      <c r="E232" s="919">
        <f t="shared" ref="E232:E233" si="24">SUM($N232:$R232)/(COUNTIF($N232:$R232,"&gt;0")+0.00001)</f>
        <v>0</v>
      </c>
      <c r="F232" s="919">
        <f t="shared" ref="F232" si="25">SUM($S232:$W232)/(COUNTIF($S232:$W232,"&gt;0")+0.00001)</f>
        <v>28.120925365992406</v>
      </c>
      <c r="G232" s="919">
        <f t="shared" ref="G232:G233" si="26">SUM($X232:$AB232)/(COUNTIF($X232:$AB232,"&gt;0")+0.00001)</f>
        <v>70.302348463701335</v>
      </c>
      <c r="H232" s="920">
        <f t="shared" ref="H232:H233" si="27">SUM($AC232:$AG232)/(COUNTIF($AC232:$AG232,"&gt;0")+0.00001)</f>
        <v>0</v>
      </c>
      <c r="I232" s="873">
        <f>Meal_entry_week_2!$T$107</f>
        <v>90.566308484848463</v>
      </c>
      <c r="J232" s="919">
        <f>Meal_entry_week_2!$T$206</f>
        <v>101.93230428571428</v>
      </c>
      <c r="K232" s="919">
        <f>Meal_entry_week_2!$T$305</f>
        <v>105.42598666666666</v>
      </c>
      <c r="L232" s="919">
        <f>Meal_entry_week_2!$T$404</f>
        <v>101.01903590476189</v>
      </c>
      <c r="M232" s="920">
        <f>Meal_entry_week_2!$T$503</f>
        <v>93.1737180392157</v>
      </c>
      <c r="N232" s="873">
        <f>Meal_entry_week_2!$T$32</f>
        <v>0</v>
      </c>
      <c r="O232" s="919">
        <f>Meal_entry_week_2!$T$131</f>
        <v>0</v>
      </c>
      <c r="P232" s="919">
        <f>Meal_entry_week_2!$T$230</f>
        <v>0</v>
      </c>
      <c r="Q232" s="919">
        <f>Meal_entry_week_2!$T$329</f>
        <v>0</v>
      </c>
      <c r="R232" s="920">
        <f>Meal_entry_week_2!$T$428</f>
        <v>0</v>
      </c>
      <c r="S232" s="873">
        <f>Meal_entry_week_2!$T$51</f>
        <v>14.416699999999999</v>
      </c>
      <c r="T232" s="919">
        <f>Meal_entry_week_2!$T$150</f>
        <v>31.484000000000002</v>
      </c>
      <c r="U232" s="919">
        <f>Meal_entry_week_2!$T$249</f>
        <v>40.445499999999996</v>
      </c>
      <c r="V232" s="919">
        <f>Meal_entry_week_2!$T$348</f>
        <v>26.835416666666667</v>
      </c>
      <c r="W232" s="920">
        <f>Meal_entry_week_2!$T$447</f>
        <v>27.42329137254902</v>
      </c>
      <c r="X232" s="873">
        <f>Meal_entry_week_2!$T$83</f>
        <v>76.149608484848471</v>
      </c>
      <c r="Y232" s="919">
        <f>Meal_entry_week_2!$T$182</f>
        <v>70.448304285714286</v>
      </c>
      <c r="Z232" s="919">
        <f>Meal_entry_week_2!$T$281</f>
        <v>64.980486666666664</v>
      </c>
      <c r="AA232" s="919">
        <f>Meal_entry_week_2!$T$380</f>
        <v>74.183619238095233</v>
      </c>
      <c r="AB232" s="920">
        <f>Meal_entry_week_2!$T$479</f>
        <v>65.750426666666684</v>
      </c>
      <c r="AC232" s="873">
        <f>Meal_entry_week_2!$T$102</f>
        <v>0</v>
      </c>
      <c r="AD232" s="919">
        <f>Meal_entry_week_2!$T$201</f>
        <v>0</v>
      </c>
      <c r="AE232" s="919">
        <f>Meal_entry_week_2!$T$300</f>
        <v>0</v>
      </c>
      <c r="AF232" s="919">
        <f>Meal_entry_week_2!$T$399</f>
        <v>0</v>
      </c>
      <c r="AG232" s="920">
        <f>Meal_entry_week_2!$T$498</f>
        <v>0</v>
      </c>
      <c r="AH232" s="903"/>
    </row>
    <row r="233" spans="1:34">
      <c r="A233" s="905"/>
      <c r="B233" s="791" t="s">
        <v>3585</v>
      </c>
      <c r="C233" s="873"/>
      <c r="D233" s="873">
        <f>SUM($I233:$M233)/(COUNTIF($I233:$M233,"&gt;0")+0.00001)</f>
        <v>20.852129144989593</v>
      </c>
      <c r="E233" s="919">
        <f t="shared" si="24"/>
        <v>0</v>
      </c>
      <c r="F233" s="919">
        <f>SUM($S233:$W233)/(COUNTIF($S233:$W233,"&gt;0")+0.00001)</f>
        <v>1.9246104360619003</v>
      </c>
      <c r="G233" s="919">
        <f t="shared" si="26"/>
        <v>19.312440026297434</v>
      </c>
      <c r="H233" s="920">
        <f t="shared" si="27"/>
        <v>0</v>
      </c>
      <c r="I233" s="873">
        <f>Meal_entry_week_2!$U$107</f>
        <v>20.503513062196969</v>
      </c>
      <c r="J233" s="919">
        <f>Meal_entry_week_2!$U$206</f>
        <v>19.003324157428573</v>
      </c>
      <c r="K233" s="919">
        <f>Meal_entry_week_2!$U$305</f>
        <v>23.67741365116666</v>
      </c>
      <c r="L233" s="919">
        <f>Meal_entry_week_2!$U$404</f>
        <v>25.059013042678576</v>
      </c>
      <c r="M233" s="920">
        <f>Meal_entry_week_2!$U$503</f>
        <v>16.017590332768627</v>
      </c>
      <c r="N233" s="873">
        <f>Meal_entry_week_2!$U$32</f>
        <v>0</v>
      </c>
      <c r="O233" s="919">
        <f>Meal_entry_week_2!$U$131</f>
        <v>0</v>
      </c>
      <c r="P233" s="919">
        <f>Meal_entry_week_2!$U$230</f>
        <v>0</v>
      </c>
      <c r="Q233" s="919">
        <f>Meal_entry_week_2!$U$329</f>
        <v>0</v>
      </c>
      <c r="R233" s="920">
        <f>Meal_entry_week_2!$U$428</f>
        <v>0</v>
      </c>
      <c r="S233" s="873">
        <f>Meal_entry_week_2!$U$51</f>
        <v>1.1866565591666669</v>
      </c>
      <c r="T233" s="919">
        <f>Meal_entry_week_2!$U$150</f>
        <v>1.579480606</v>
      </c>
      <c r="U233" s="919">
        <f>Meal_entry_week_2!$U$249</f>
        <v>3.1349709545</v>
      </c>
      <c r="V233" s="919">
        <f>Meal_entry_week_2!$U$348</f>
        <v>-2.6835416666666671E-5</v>
      </c>
      <c r="W233" s="920">
        <f>Meal_entry_week_2!$U$447</f>
        <v>1.7973797061019607</v>
      </c>
      <c r="X233" s="873">
        <f>Meal_entry_week_2!$U$83</f>
        <v>19.316856503030301</v>
      </c>
      <c r="Y233" s="919">
        <f>Meal_entry_week_2!$U$182</f>
        <v>17.423843551428572</v>
      </c>
      <c r="Z233" s="919">
        <f>Meal_entry_week_2!$U$281</f>
        <v>20.542442696666658</v>
      </c>
      <c r="AA233" s="919">
        <f>Meal_entry_week_2!$U$380</f>
        <v>25.059039878095241</v>
      </c>
      <c r="AB233" s="920">
        <f>Meal_entry_week_2!$U$479</f>
        <v>14.220210626666665</v>
      </c>
      <c r="AC233" s="873">
        <f>Meal_entry_week_2!$U$102</f>
        <v>0</v>
      </c>
      <c r="AD233" s="919">
        <f>Meal_entry_week_2!$U$201</f>
        <v>0</v>
      </c>
      <c r="AE233" s="919">
        <f>Meal_entry_week_2!$U$300</f>
        <v>0</v>
      </c>
      <c r="AF233" s="919">
        <f>Meal_entry_week_2!$U$399</f>
        <v>0</v>
      </c>
      <c r="AG233" s="920">
        <f>Meal_entry_week_2!$U$498</f>
        <v>0</v>
      </c>
      <c r="AH233" s="903"/>
    </row>
    <row r="234" spans="1:34" ht="15" thickBot="1">
      <c r="A234" s="905"/>
      <c r="B234" s="792" t="s">
        <v>3586</v>
      </c>
      <c r="C234" s="873"/>
      <c r="D234" s="936">
        <f>Meal_entry_week_2!J552/100</f>
        <v>0.21147644613062305</v>
      </c>
      <c r="E234" s="937">
        <f>Meal_entry_week_2!J512/100</f>
        <v>0</v>
      </c>
      <c r="F234" s="937">
        <f>Meal_entry_week_2!J522/100</f>
        <v>6.8882561616543728E-2</v>
      </c>
      <c r="G234" s="937">
        <f>Meal_entry_week_2!J532/100</f>
        <v>0.27424009545688333</v>
      </c>
      <c r="H234" s="938">
        <f>Meal_entry_week_2!J542/100</f>
        <v>0</v>
      </c>
      <c r="I234" s="936">
        <f>Meal_entry_week_2!J547/100</f>
        <v>0.2263922549267271</v>
      </c>
      <c r="J234" s="937">
        <f>Meal_entry_week_2!J548/100</f>
        <v>0.18643081235419245</v>
      </c>
      <c r="K234" s="937">
        <f>Meal_entry_week_2!J549/100</f>
        <v>0.22458799916333091</v>
      </c>
      <c r="L234" s="937">
        <f>Meal_entry_week_2!J550/100</f>
        <v>0.24806226210355969</v>
      </c>
      <c r="M234" s="938">
        <f>Meal_entry_week_2!J551/100</f>
        <v>0.17191101686976629</v>
      </c>
      <c r="N234" s="936">
        <f>Meal_entry_week_2!J507/100</f>
        <v>0</v>
      </c>
      <c r="O234" s="937">
        <f>Meal_entry_week_2!J508/100</f>
        <v>0</v>
      </c>
      <c r="P234" s="937">
        <f>Meal_entry_week_2!J509/100</f>
        <v>0</v>
      </c>
      <c r="Q234" s="937">
        <f>Meal_entry_week_2!J510/100</f>
        <v>0</v>
      </c>
      <c r="R234" s="938">
        <f>Meal_entry_week_2!J511/100</f>
        <v>0</v>
      </c>
      <c r="S234" s="936">
        <f>Meal_entry_week_2!J517/100</f>
        <v>8.2311190220699937E-2</v>
      </c>
      <c r="T234" s="937">
        <f>Meal_entry_week_2!J518/100</f>
        <v>5.0167707544242289E-2</v>
      </c>
      <c r="U234" s="937">
        <f>Meal_entry_week_2!J519/100</f>
        <v>7.7510975989671049E-2</v>
      </c>
      <c r="V234" s="937">
        <f>Meal_entry_week_2!J520/100</f>
        <v>-9.9999962735826336E-7</v>
      </c>
      <c r="W234" s="938">
        <f>Meal_entry_week_2!J521/100</f>
        <v>6.5542061536805141E-2</v>
      </c>
      <c r="X234" s="936">
        <f>Meal_entry_week_2!J527/100</f>
        <v>0.25366977389221962</v>
      </c>
      <c r="Y234" s="937">
        <f>Meal_entry_week_2!J528/100</f>
        <v>0.24732804082101123</v>
      </c>
      <c r="Z234" s="937">
        <f>Meal_entry_week_2!J529/100</f>
        <v>0.31613243589140505</v>
      </c>
      <c r="AA234" s="937">
        <f>Meal_entry_week_2!J530/100</f>
        <v>0.33779743772938475</v>
      </c>
      <c r="AB234" s="938">
        <f>Meal_entry_week_2!J531/100</f>
        <v>0.21627553135135064</v>
      </c>
      <c r="AC234" s="937">
        <f>Meal_entry_week_2!J537/100</f>
        <v>0</v>
      </c>
      <c r="AD234" s="937">
        <f>Meal_entry_week_2!J538/100</f>
        <v>0</v>
      </c>
      <c r="AE234" s="937">
        <f>Meal_entry_week_2!J539/100</f>
        <v>0</v>
      </c>
      <c r="AF234" s="937">
        <f>Meal_entry_week_2!J540/100</f>
        <v>0</v>
      </c>
      <c r="AG234" s="938">
        <f>Meal_entry_week_2!J541/100</f>
        <v>0</v>
      </c>
      <c r="AH234" s="907"/>
    </row>
    <row r="235" spans="1:34" ht="15" thickBot="1">
      <c r="A235" s="905"/>
      <c r="B235" s="913"/>
      <c r="C235" s="873"/>
      <c r="D235" s="919"/>
      <c r="E235" s="945"/>
      <c r="F235" s="913"/>
      <c r="G235" s="913"/>
      <c r="H235" s="913"/>
      <c r="I235" s="913"/>
      <c r="J235" s="913"/>
      <c r="K235" s="913"/>
      <c r="L235" s="913"/>
      <c r="M235" s="913"/>
      <c r="N235" s="913"/>
      <c r="O235" s="913"/>
      <c r="P235" s="913"/>
      <c r="Q235" s="913"/>
      <c r="R235" s="913"/>
      <c r="S235" s="913"/>
      <c r="T235" s="913"/>
      <c r="U235" s="913"/>
      <c r="V235" s="913"/>
      <c r="W235" s="913"/>
      <c r="X235" s="913"/>
      <c r="Y235" s="913"/>
      <c r="Z235" s="913"/>
      <c r="AA235" s="913"/>
      <c r="AB235" s="913"/>
      <c r="AC235" s="913"/>
      <c r="AD235" s="913"/>
      <c r="AE235" s="913"/>
      <c r="AF235" s="913"/>
      <c r="AG235" s="913"/>
      <c r="AH235" s="896"/>
    </row>
    <row r="236" spans="1:34" ht="15" thickBot="1">
      <c r="A236" s="905"/>
      <c r="B236" s="939"/>
      <c r="C236" s="873"/>
      <c r="D236" s="914" t="s">
        <v>3773</v>
      </c>
      <c r="E236" s="915" t="s">
        <v>3774</v>
      </c>
      <c r="F236" s="915" t="s">
        <v>3775</v>
      </c>
      <c r="G236" s="915" t="s">
        <v>3776</v>
      </c>
      <c r="H236" s="916" t="s">
        <v>3777</v>
      </c>
      <c r="I236" s="914" t="s">
        <v>3773</v>
      </c>
      <c r="J236" s="914" t="s">
        <v>3773</v>
      </c>
      <c r="K236" s="914" t="s">
        <v>3773</v>
      </c>
      <c r="L236" s="914" t="s">
        <v>3773</v>
      </c>
      <c r="M236" s="914" t="s">
        <v>3773</v>
      </c>
      <c r="N236" s="914" t="s">
        <v>67</v>
      </c>
      <c r="O236" s="914" t="s">
        <v>67</v>
      </c>
      <c r="P236" s="914" t="s">
        <v>67</v>
      </c>
      <c r="Q236" s="914" t="s">
        <v>67</v>
      </c>
      <c r="R236" s="917" t="s">
        <v>67</v>
      </c>
      <c r="S236" s="914" t="s">
        <v>1362</v>
      </c>
      <c r="T236" s="914" t="s">
        <v>1362</v>
      </c>
      <c r="U236" s="914" t="s">
        <v>1362</v>
      </c>
      <c r="V236" s="914" t="s">
        <v>1362</v>
      </c>
      <c r="W236" s="914" t="s">
        <v>1362</v>
      </c>
      <c r="X236" s="914" t="s">
        <v>69</v>
      </c>
      <c r="Y236" s="914" t="s">
        <v>69</v>
      </c>
      <c r="Z236" s="914" t="s">
        <v>69</v>
      </c>
      <c r="AA236" s="914" t="s">
        <v>69</v>
      </c>
      <c r="AB236" s="914" t="s">
        <v>69</v>
      </c>
      <c r="AC236" s="1281" t="s">
        <v>1364</v>
      </c>
      <c r="AD236" s="1281" t="s">
        <v>1364</v>
      </c>
      <c r="AE236" s="1281" t="s">
        <v>1364</v>
      </c>
      <c r="AF236" s="1281" t="s">
        <v>1364</v>
      </c>
      <c r="AG236" s="1281" t="s">
        <v>1364</v>
      </c>
    </row>
    <row r="237" spans="1:34" ht="45">
      <c r="A237" s="905"/>
      <c r="B237" s="946" t="s">
        <v>3839</v>
      </c>
      <c r="C237" s="873"/>
      <c r="D237" s="874" t="s">
        <v>3743</v>
      </c>
      <c r="E237" s="875" t="s">
        <v>3744</v>
      </c>
      <c r="F237" s="876" t="s">
        <v>3745</v>
      </c>
      <c r="G237" s="877" t="s">
        <v>3746</v>
      </c>
      <c r="H237" s="878" t="s">
        <v>3747</v>
      </c>
      <c r="I237" s="874" t="s">
        <v>3748</v>
      </c>
      <c r="J237" s="874" t="s">
        <v>3749</v>
      </c>
      <c r="K237" s="874" t="s">
        <v>3750</v>
      </c>
      <c r="L237" s="874" t="s">
        <v>3751</v>
      </c>
      <c r="M237" s="874" t="s">
        <v>3752</v>
      </c>
      <c r="N237" s="880" t="s">
        <v>3753</v>
      </c>
      <c r="O237" s="880" t="s">
        <v>3754</v>
      </c>
      <c r="P237" s="880" t="s">
        <v>3755</v>
      </c>
      <c r="Q237" s="880" t="s">
        <v>3756</v>
      </c>
      <c r="R237" s="880" t="s">
        <v>3757</v>
      </c>
      <c r="S237" s="882" t="s">
        <v>3758</v>
      </c>
      <c r="T237" s="882" t="s">
        <v>3759</v>
      </c>
      <c r="U237" s="882" t="s">
        <v>3760</v>
      </c>
      <c r="V237" s="882" t="s">
        <v>3761</v>
      </c>
      <c r="W237" s="882" t="s">
        <v>3762</v>
      </c>
      <c r="X237" s="884" t="s">
        <v>3768</v>
      </c>
      <c r="Y237" s="884" t="s">
        <v>3769</v>
      </c>
      <c r="Z237" s="884" t="s">
        <v>3770</v>
      </c>
      <c r="AA237" s="884" t="s">
        <v>3771</v>
      </c>
      <c r="AB237" s="884" t="s">
        <v>3772</v>
      </c>
      <c r="AC237" s="886" t="s">
        <v>3763</v>
      </c>
      <c r="AD237" s="886" t="s">
        <v>3764</v>
      </c>
      <c r="AE237" s="886" t="s">
        <v>3765</v>
      </c>
      <c r="AF237" s="886" t="s">
        <v>3766</v>
      </c>
      <c r="AG237" s="886" t="s">
        <v>3767</v>
      </c>
    </row>
    <row r="238" spans="1:34">
      <c r="A238" s="905"/>
      <c r="B238" s="947" t="s">
        <v>3140</v>
      </c>
      <c r="C238" s="873"/>
      <c r="D238" s="948">
        <f>100*(SUM(D$379:D$383)/SUM($D$379:$S$383))</f>
        <v>26.165501503032129</v>
      </c>
      <c r="E238" s="948">
        <f>IF(Meal_entry_week_2!$Q$512&gt;0,100*SUM(D$385:D$389)/SUM($D$385:$S$389),0.00001)</f>
        <v>1.0000000000000001E-5</v>
      </c>
      <c r="F238" s="948">
        <f>IF(Meal_entry_week_2!$Q$522&gt;0,100*SUM(D$391:D$395)/SUM($D$391:$S$395),0.00001)</f>
        <v>0</v>
      </c>
      <c r="G238" s="948">
        <f>IF(Meal_entry_week_2!$Q$532&gt;0,100*SUM(D$397:D$401)/SUM($D$397:$S$401),0.00001)</f>
        <v>33.078032671650647</v>
      </c>
      <c r="H238" s="949">
        <f>IF(Meal_entry_week_2!$Q$542&gt;0,100*SUM(D$403:D$407)/SUM($D$403:$S$407),0.00001)</f>
        <v>1.0000000000000001E-5</v>
      </c>
      <c r="I238" s="921">
        <f>IF(Meal_entry_week_2!$Q$547&gt;0,100*$D$379/(SUM($D$379:$S$379)+0.00001),0.00001)</f>
        <v>34.049239994116817</v>
      </c>
      <c r="J238" s="921">
        <f>IF(Meal_entry_week_2!$Q$548&gt;0,100*D$380/(SUM($D$380:$S$380)+0.00001),0.00001)</f>
        <v>18.41136219869329</v>
      </c>
      <c r="K238" s="921">
        <f>IF(Meal_entry_week_2!$Q$549&gt;0,100*D$381/(SUM($D$381:$S$381)+0.00001),0.00001)</f>
        <v>34.651485355911021</v>
      </c>
      <c r="L238" s="921">
        <f>IF(Meal_entry_week_2!$Q$550&gt;0,100*D$382/(SUM($D$382:$S$382)+0.00001),0.00001)</f>
        <v>33.039236015390486</v>
      </c>
      <c r="M238" s="921">
        <f>IF(Meal_entry_week_2!$Q$551&gt;0,100*D$383/(SUM($D$383:$S$383)+0.00001),0.00001)</f>
        <v>9.330223103461794</v>
      </c>
      <c r="N238" s="921">
        <f>IF(Meal_entry_week_2!$Q$32&gt;0,100*$D$385/(SUM($D$385:$S$385)+0.00001),0.00001)</f>
        <v>1.0000000000000001E-5</v>
      </c>
      <c r="O238" s="921">
        <f>IF(Meal_entry_week_2!$Q$131&gt;0,100*$D$386/(SUM($D$386:$S$386)+0.00001),0.00001)</f>
        <v>1.0000000000000001E-5</v>
      </c>
      <c r="P238" s="921">
        <f>IF(Meal_entry_week_2!$Q$230&gt;0,100*$D$387/(SUM($D$387:$S$387)+0.00001),0.00001)</f>
        <v>1.0000000000000001E-5</v>
      </c>
      <c r="Q238" s="921">
        <f>IF(Meal_entry_week_2!$Q$329&gt;0,100*$D$388/(SUM($D$388:$S$388)+0.00001),0.00001)</f>
        <v>1.0000000000000001E-5</v>
      </c>
      <c r="R238" s="921">
        <f>IF(Meal_entry_week_2!$Q$428&gt;0,100*$D$389/(SUM($D$389:$S$389)+0.00001),0.00001)</f>
        <v>1.0000000000000001E-5</v>
      </c>
      <c r="S238" s="921">
        <f>IF(Meal_entry_week_2!$Q$51&gt;0,100*$D$391/(SUM($D$391:$S$391)+0.00001),0.00001)</f>
        <v>0</v>
      </c>
      <c r="T238" s="921">
        <f>IF(Meal_entry_week_2!$Q$150&gt;0,100*$D$392/(SUM($D$392:$S$392)+0.00001),0.00001)</f>
        <v>0</v>
      </c>
      <c r="U238" s="921">
        <f>IF(Meal_entry_week_2!$Q$249&gt;0,100*$D$393/(SUM($D$393:$S$393)+0.00001),0.00001)</f>
        <v>0</v>
      </c>
      <c r="V238" s="921">
        <f>IF(Meal_entry_week_2!$Q$348&gt;0,100*$D$394/(SUM($D$394:$S$394)+0.00001),0.00001)</f>
        <v>0</v>
      </c>
      <c r="W238" s="921">
        <f>IF(Meal_entry_week_2!$Q$447&gt;0,100*$D$395/(SUM($D$395:$S$395)+0.00001),0.00001)</f>
        <v>0</v>
      </c>
      <c r="X238" s="921">
        <f>IF(Meal_entry_week_2!$Q$83&gt;0,100*$D$397/(SUM($D$397:$S$397)+0.00001),0.00001)</f>
        <v>42.030390526505165</v>
      </c>
      <c r="Y238" s="921">
        <f>IF(Meal_entry_week_2!$Q$182&gt;0,100*$D$398/(SUM($D$398:$S$398)+0.00001),0.00001)</f>
        <v>24.330899820457077</v>
      </c>
      <c r="Z238" s="921">
        <f>IF(Meal_entry_week_2!$Q$281&gt;0,100*$D$399/(SUM($D$399:$S$399)+0.00001),0.00001)</f>
        <v>43.831128679740658</v>
      </c>
      <c r="AA238" s="921">
        <f>IF(Meal_entry_week_2!$Q$380&gt;0,100*$D$400/(SUM($D$400:$S$400)+0.00001),0.00001)</f>
        <v>41.904069794282265</v>
      </c>
      <c r="AB238" s="921">
        <f>IF(Meal_entry_week_2!$Q$479&gt;0,100*$D$401/(SUM($D$401:$S$401)+0.00001),0.00001)</f>
        <v>11.461317817001273</v>
      </c>
      <c r="AC238" s="921">
        <f>IF(Meal_entry_week_2!$Q$102&gt;0,100*$D$403/(SUM($D$403:$S$403)+0.00001),0.00001)</f>
        <v>1.0000000000000001E-5</v>
      </c>
      <c r="AD238" s="921">
        <f>IF(Meal_entry_week_2!$Q$201&gt;0,100*$D$404/(SUM($D$404:$S$404)+0.00001),0.00001)</f>
        <v>1.0000000000000001E-5</v>
      </c>
      <c r="AE238" s="921">
        <f>IF(Meal_entry_week_2!$Q$300&gt;0,100*$D$405/(SUM($D$405:$S$405)+0.00001),0.00001)</f>
        <v>1.0000000000000001E-5</v>
      </c>
      <c r="AF238" s="921">
        <f>IF(Meal_entry_week_2!$Q$399&gt;0,100*$D$406/(SUM($D$406:$S$406)+0.00001),0.00001)</f>
        <v>1.0000000000000001E-5</v>
      </c>
      <c r="AG238" s="921">
        <f>IF(Meal_entry_week_2!$Q$498&gt;0,100*$D$407/(SUM($D$407:$S$407)+0.00001),0.00001)</f>
        <v>1.0000000000000001E-5</v>
      </c>
    </row>
    <row r="239" spans="1:34">
      <c r="A239" s="905"/>
      <c r="B239" s="947" t="s">
        <v>3069</v>
      </c>
      <c r="C239" s="873"/>
      <c r="D239" s="948">
        <f>100*(SUM(E$379:E$383)/SUM($D$379:$S$383))</f>
        <v>1.7376093969916189</v>
      </c>
      <c r="E239" s="948">
        <f>IF(Meal_entry_week_2!$Q$512&gt;0,100*SUM(E$385:E$389)/SUM($D$385:$S$389),0.00001)</f>
        <v>1.0000000000000001E-5</v>
      </c>
      <c r="F239" s="948">
        <f>IF(Meal_entry_week_2!$Q$522&gt;0,100*SUM(E$391:E$395)/SUM($D$391:$S$395),0.00001)</f>
        <v>0</v>
      </c>
      <c r="G239" s="948">
        <f>IF(Meal_entry_week_2!$Q$532&gt;0,100*SUM(E$397:E$401)/SUM($D$397:$S$401),0.00001)</f>
        <v>2.1966596129485767</v>
      </c>
      <c r="H239" s="949">
        <f>IF(Meal_entry_week_2!$Q$542&gt;0,100*SUM(E$403:E$407)/SUM($D$403:$S$407),0.00001)</f>
        <v>1.0000000000000001E-5</v>
      </c>
      <c r="I239" s="921">
        <f>IF(Meal_entry_week_2!$Q$547&gt;0,100*$E$379/(SUM($D$379:$S$379)+0.00001),0.00001)</f>
        <v>0</v>
      </c>
      <c r="J239" s="921">
        <f>IF(Meal_entry_week_2!$Q$548&gt;0,100*E$380/(SUM($D$380:$S$380)+0.00001),0.00001)</f>
        <v>7.8905837994399821</v>
      </c>
      <c r="K239" s="921">
        <f>IF(Meal_entry_week_2!$Q$549&gt;0,100*E$381/(SUM($D$381:$S$381)+0.00001),0.00001)</f>
        <v>0</v>
      </c>
      <c r="L239" s="921">
        <f>IF(Meal_entry_week_2!$Q$550&gt;0,100*E$382/(SUM($D$382:$S$382)+0.00001),0.00001)</f>
        <v>0</v>
      </c>
      <c r="M239" s="921">
        <f>IF(Meal_entry_week_2!$Q$551&gt;0,100*E$383/(SUM($D$383:$S$383)+0.00001),0.00001)</f>
        <v>0</v>
      </c>
      <c r="N239" s="921">
        <f>IF(Meal_entry_week_2!$Q$32&gt;0,100*$E$385/(SUM($D$385:$S$385)+0.00001),0.00001)</f>
        <v>1.0000000000000001E-5</v>
      </c>
      <c r="O239" s="921">
        <f>IF(Meal_entry_week_2!$Q$131&gt;0,100*$E$386/(SUM($D$386:$S$386)+0.00001),0.00001)</f>
        <v>1.0000000000000001E-5</v>
      </c>
      <c r="P239" s="921">
        <f>IF(Meal_entry_week_2!$Q$230&gt;0,100*$E$387/(SUM($D$387:$S$387)+0.00001),0.00001)</f>
        <v>1.0000000000000001E-5</v>
      </c>
      <c r="Q239" s="921">
        <f>IF(Meal_entry_week_2!$Q$329&gt;0,100*$E$388/(SUM($D$388:$S$388)+0.00001),0.00001)</f>
        <v>1.0000000000000001E-5</v>
      </c>
      <c r="R239" s="921">
        <f>IF(Meal_entry_week_2!$Q$428&gt;0,100*$E$389/(SUM($D$389:$S$389)+0.00001),0.00001)</f>
        <v>1.0000000000000001E-5</v>
      </c>
      <c r="S239" s="921">
        <f>IF(Meal_entry_week_2!$Q$51&gt;0,100*$E$391/(SUM($D$391:$S$391)+0.00001),0.00001)</f>
        <v>0</v>
      </c>
      <c r="T239" s="921">
        <f>IF(Meal_entry_week_2!$Q$150&gt;0,100*$E$392/(SUM($D$392:$S$392)+0.00001),0.00001)</f>
        <v>0</v>
      </c>
      <c r="U239" s="921">
        <f>IF(Meal_entry_week_2!$Q$249&gt;0,100*$E$393/(SUM($D$393:$S$393)+0.00001),0.00001)</f>
        <v>0</v>
      </c>
      <c r="V239" s="921">
        <f>IF(Meal_entry_week_2!$Q$348&gt;0,100*$E$394/(SUM($D$394:$S$394)+0.00001),0.00001)</f>
        <v>0</v>
      </c>
      <c r="W239" s="921">
        <f>IF(Meal_entry_week_2!$Q$447&gt;0,100*$E$395/(SUM($D$395:$S$395)+0.00001),0.00001)</f>
        <v>0</v>
      </c>
      <c r="X239" s="921">
        <f>IF(Meal_entry_week_2!$Q$83&gt;0,100*$E$397/(SUM($D$397:$S$397)+0.00001),0.00001)</f>
        <v>0</v>
      </c>
      <c r="Y239" s="921">
        <f>IF(Meal_entry_week_2!$Q$182&gt;0,100*$E$398/(SUM($D$398:$S$398)+0.00001),0.00001)</f>
        <v>10.427528494481605</v>
      </c>
      <c r="Z239" s="921">
        <f>IF(Meal_entry_week_2!$Q$281&gt;0,100*$E$399/(SUM($D$399:$S$399)+0.00001),0.00001)</f>
        <v>0</v>
      </c>
      <c r="AA239" s="921">
        <f>IF(Meal_entry_week_2!$Q$380&gt;0,100*$E$400/(SUM($D$400:$S$400)+0.00001),0.00001)</f>
        <v>0</v>
      </c>
      <c r="AB239" s="921">
        <f>IF(Meal_entry_week_2!$Q$479&gt;0,100*$E$401/(SUM($D$401:$S$401)+0.00001),0.00001)</f>
        <v>0</v>
      </c>
      <c r="AC239" s="921">
        <f>IF(Meal_entry_week_2!$Q$102&gt;0,100*$E$403/(SUM($D$403:$S$403)+0.00001),0.00001)</f>
        <v>1.0000000000000001E-5</v>
      </c>
      <c r="AD239" s="921">
        <f>IF(Meal_entry_week_2!$Q$201&gt;0,100*$E$404/(SUM($D$404:$S$404)+0.00001),0.00001)</f>
        <v>1.0000000000000001E-5</v>
      </c>
      <c r="AE239" s="921">
        <f>IF(Meal_entry_week_2!$Q$300&gt;0,100*$E$405/(SUM($D$405:$S$405)+0.00001),0.00001)</f>
        <v>1.0000000000000001E-5</v>
      </c>
      <c r="AF239" s="921">
        <f>IF(Meal_entry_week_2!$Q$399&gt;0,100*$E$406/(SUM($D$406:$S$406)+0.00001),0.00001)</f>
        <v>1.0000000000000001E-5</v>
      </c>
      <c r="AG239" s="921">
        <f>IF(Meal_entry_week_2!$Q$498&gt;0,100*$E$407/(SUM($D$407:$S$407)+0.00001),0.00001)</f>
        <v>1.0000000000000001E-5</v>
      </c>
    </row>
    <row r="240" spans="1:34">
      <c r="A240" s="905"/>
      <c r="B240" s="947" t="s">
        <v>1733</v>
      </c>
      <c r="C240" s="873"/>
      <c r="D240" s="948">
        <f>100*(SUM(F$379:F$383)/SUM($D$379:$S$383))</f>
        <v>17.955297102246728</v>
      </c>
      <c r="E240" s="948">
        <f>IF(Meal_entry_week_2!$Q$512&gt;0,100*SUM(F$385:F$389)/SUM($D$385:$S$389),0.00001)</f>
        <v>1.0000000000000001E-5</v>
      </c>
      <c r="F240" s="948">
        <f>IF(Meal_entry_week_2!$Q$522&gt;0,100*SUM(F$391:F$395)/SUM($D$391:$S$395),0.00001)</f>
        <v>0</v>
      </c>
      <c r="G240" s="948">
        <f>IF(Meal_entry_week_2!$Q$532&gt;0,100*SUM(F$397:F$401)/SUM($D$397:$S$401),0.00001)</f>
        <v>22.698816000468625</v>
      </c>
      <c r="H240" s="949">
        <f>IF(Meal_entry_week_2!$Q$542&gt;0,100*SUM(F$403:F$407)/SUM($D$403:$S$407),0.00001)</f>
        <v>1.0000000000000001E-5</v>
      </c>
      <c r="I240" s="921">
        <f>IF(Meal_entry_week_2!$Q$547&gt;0,100*$F$379/(SUM($D$379:$S$379)+0.00001),0.00001)</f>
        <v>15.71503384343853</v>
      </c>
      <c r="J240" s="921">
        <f>IF(Meal_entry_week_2!$Q$548&gt;0,100*F$380/(SUM($D$380:$S$380)+0.00001),0.00001)</f>
        <v>19.726459498599954</v>
      </c>
      <c r="K240" s="921">
        <f>IF(Meal_entry_week_2!$Q$549&gt;0,100*F$381/(SUM($D$381:$S$381)+0.00001),0.00001)</f>
        <v>9.5196388340414906</v>
      </c>
      <c r="L240" s="921">
        <f>IF(Meal_entry_week_2!$Q$550&gt;0,100*F$382/(SUM($D$382:$S$382)+0.00001),0.00001)</f>
        <v>18.666235036943778</v>
      </c>
      <c r="M240" s="921">
        <f>IF(Meal_entry_week_2!$Q$551&gt;0,100*F$383/(SUM($D$383:$S$383)+0.00001),0.00001)</f>
        <v>24.991669027129806</v>
      </c>
      <c r="N240" s="921">
        <f>IF(Meal_entry_week_2!$Q$32&gt;0,100*$F$385/(SUM($D$385:$S$385)+0.00001),0.00001)</f>
        <v>1.0000000000000001E-5</v>
      </c>
      <c r="O240" s="921">
        <f>IF(Meal_entry_week_2!$Q$131&gt;0,100*$F$386/(SUM($D$386:$S$386)+0.00001),0.00001)</f>
        <v>1.0000000000000001E-5</v>
      </c>
      <c r="P240" s="921">
        <f>IF(Meal_entry_week_2!$Q$230&gt;0,100*$F$387/(SUM($D$387:$S$387)+0.00001),0.00001)</f>
        <v>1.0000000000000001E-5</v>
      </c>
      <c r="Q240" s="921">
        <f>IF(Meal_entry_week_2!$Q$329&gt;0,100*$F$388/(SUM($D$388:$S$388)+0.00001),0.00001)</f>
        <v>1.0000000000000001E-5</v>
      </c>
      <c r="R240" s="921">
        <f>IF(Meal_entry_week_2!$Q$428&gt;0,100*$F$389/(SUM($D$389:$S$389)+0.00001),0.00001)</f>
        <v>1.0000000000000001E-5</v>
      </c>
      <c r="S240" s="921">
        <f>IF(Meal_entry_week_2!$Q$51&gt;0,100*$F$391/(SUM($D$391:$S$391)+0.00001),0.00001)</f>
        <v>0</v>
      </c>
      <c r="T240" s="921">
        <f>IF(Meal_entry_week_2!$Q$150&gt;0,100*$F$392/(SUM($D$392:$S$392)+0.00001),0.00001)</f>
        <v>0</v>
      </c>
      <c r="U240" s="921">
        <f>IF(Meal_entry_week_2!$Q$249&gt;0,100*$F$393/(SUM($D$393:$S$393)+0.00001),0.00001)</f>
        <v>0</v>
      </c>
      <c r="V240" s="921">
        <f>IF(Meal_entry_week_2!$Q$348&gt;0,100*$F$394/(SUM($D$394:$S$394)+0.00001),0.00001)</f>
        <v>0</v>
      </c>
      <c r="W240" s="921">
        <f>IF(Meal_entry_week_2!$Q$447&gt;0,100*$F$395/(SUM($D$395:$S$395)+0.00001),0.00001)</f>
        <v>0</v>
      </c>
      <c r="X240" s="921">
        <f>IF(Meal_entry_week_2!$Q$83&gt;0,100*$F$397/(SUM($D$397:$S$397)+0.00001),0.00001)</f>
        <v>19.398641781463922</v>
      </c>
      <c r="Y240" s="921">
        <f>IF(Meal_entry_week_2!$Q$182&gt;0,100*$F$398/(SUM($D$398:$S$398)+0.00001),0.00001)</f>
        <v>26.068821236204013</v>
      </c>
      <c r="Z240" s="921">
        <f>IF(Meal_entry_week_2!$Q$281&gt;0,100*$F$399/(SUM($D$399:$S$399)+0.00001),0.00001)</f>
        <v>12.041518868060621</v>
      </c>
      <c r="AA240" s="921">
        <f>IF(Meal_entry_week_2!$Q$380&gt;0,100*$F$400/(SUM($D$400:$S$400)+0.00001),0.00001)</f>
        <v>23.674615702984333</v>
      </c>
      <c r="AB240" s="921">
        <f>IF(Meal_entry_week_2!$Q$479&gt;0,100*$F$401/(SUM($D$401:$S$401)+0.00001),0.00001)</f>
        <v>30.699958438396266</v>
      </c>
      <c r="AC240" s="921">
        <f>IF(Meal_entry_week_2!$Q$102&gt;0,100*$F$403/(SUM($D$403:$S$403)+0.00001),0.00001)</f>
        <v>1.0000000000000001E-5</v>
      </c>
      <c r="AD240" s="921">
        <f>IF(Meal_entry_week_2!$Q$201&gt;0,100*$F$404/(SUM($D$404:$S$404)+0.00001),0.00001)</f>
        <v>1.0000000000000001E-5</v>
      </c>
      <c r="AE240" s="921">
        <f>IF(Meal_entry_week_2!$Q$300&gt;0,100*$F$405/(SUM($D$405:$S$405)+0.00001),0.00001)</f>
        <v>1.0000000000000001E-5</v>
      </c>
      <c r="AF240" s="921">
        <f>IF(Meal_entry_week_2!$Q$399&gt;0,100*$F$406/(SUM($D$406:$S$406)+0.00001),0.00001)</f>
        <v>1.0000000000000001E-5</v>
      </c>
      <c r="AG240" s="921">
        <f>IF(Meal_entry_week_2!$Q$498&gt;0,100*$F$407/(SUM($D$407:$S$407)+0.00001),0.00001)</f>
        <v>1.0000000000000001E-5</v>
      </c>
    </row>
    <row r="241" spans="1:33">
      <c r="A241" s="900"/>
      <c r="B241" s="947" t="s">
        <v>3073</v>
      </c>
      <c r="C241" s="919"/>
      <c r="D241" s="948">
        <f>100*(SUM(G$379:G$383)/SUM($D$379:$S$383))</f>
        <v>4.3440234924790477</v>
      </c>
      <c r="E241" s="948">
        <f>IF(Meal_entry_week_2!$Q$512&gt;0,100*SUM(G$385:G$389)/SUM($D$385:$S$389),0.00001)</f>
        <v>1.0000000000000001E-5</v>
      </c>
      <c r="F241" s="948">
        <f>IF(Meal_entry_week_2!$Q$522&gt;0,100*SUM(G$391:G$395)/SUM($D$391:$S$395),0.00001)</f>
        <v>0</v>
      </c>
      <c r="G241" s="948">
        <f>IF(Meal_entry_week_2!$Q$532&gt;0,100*SUM(G$397:G$401)/SUM($D$397:$S$401),0.00001)</f>
        <v>5.4916490323714413</v>
      </c>
      <c r="H241" s="949">
        <f>IF(Meal_entry_week_2!$Q$542&gt;0,100*SUM(G$403:G$407)/SUM($D$403:$S$407),0.00001)</f>
        <v>1.0000000000000001E-5</v>
      </c>
      <c r="I241" s="921">
        <f>IF(Meal_entry_week_2!$Q$547&gt;0,100*$G$379/(SUM($D$379:$S$379)+0.00001),0.00001)</f>
        <v>6.5479307680993877</v>
      </c>
      <c r="J241" s="921">
        <f>IF(Meal_entry_week_2!$Q$548&gt;0,100*G$380/(SUM($D$380:$S$380)+0.00001),0.00001)</f>
        <v>0</v>
      </c>
      <c r="K241" s="921">
        <f>IF(Meal_entry_week_2!$Q$549&gt;0,100*G$381/(SUM($D$381:$S$381)+0.00001),0.00001)</f>
        <v>0</v>
      </c>
      <c r="L241" s="921">
        <f>IF(Meal_entry_week_2!$Q$550&gt;0,100*G$382/(SUM($D$382:$S$382)+0.00001),0.00001)</f>
        <v>6.2220783456479252</v>
      </c>
      <c r="M241" s="921">
        <f>IF(Meal_entry_week_2!$Q$551&gt;0,100*G$383/(SUM($D$383:$S$383)+0.00001),0.00001)</f>
        <v>8.3305563423766014</v>
      </c>
      <c r="N241" s="921">
        <f>IF(Meal_entry_week_2!$Q$32&gt;0,100*$G$385/(SUM($D$385:$S$385)+0.00001),0.00001)</f>
        <v>1.0000000000000001E-5</v>
      </c>
      <c r="O241" s="921">
        <f>IF(Meal_entry_week_2!$Q$131&gt;0,100*$G$386/(SUM($D$386:$S$386)+0.00001),0.00001)</f>
        <v>1.0000000000000001E-5</v>
      </c>
      <c r="P241" s="921">
        <f>IF(Meal_entry_week_2!$Q$230&gt;0,100*$G$387/(SUM($D$387:$S$387)+0.00001),0.00001)</f>
        <v>1.0000000000000001E-5</v>
      </c>
      <c r="Q241" s="921">
        <f>IF(Meal_entry_week_2!$Q$329&gt;0,100*$G$388/(SUM($D$388:$S$388)+0.00001),0.00001)</f>
        <v>1.0000000000000001E-5</v>
      </c>
      <c r="R241" s="921">
        <f>IF(Meal_entry_week_2!$Q$428&gt;0,100*$G$389/(SUM($D$389:$S$389)+0.00001),0.00001)</f>
        <v>1.0000000000000001E-5</v>
      </c>
      <c r="S241" s="921">
        <f>IF(Meal_entry_week_2!$Q$51&gt;0,100*$G$391/(SUM($D$391:$S$391)+0.00001),0.00001)</f>
        <v>0</v>
      </c>
      <c r="T241" s="921">
        <f>IF(Meal_entry_week_2!$Q$150&gt;0,100*$G$392/(SUM($D$392:$S$392)+0.00001),0.00001)</f>
        <v>0</v>
      </c>
      <c r="U241" s="921">
        <f>IF(Meal_entry_week_2!$Q$249&gt;0,100*$G$393/(SUM($D$393:$S$393)+0.00001),0.00001)</f>
        <v>0</v>
      </c>
      <c r="V241" s="921">
        <f>IF(Meal_entry_week_2!$Q$348&gt;0,100*$G$394/(SUM($D$394:$S$394)+0.00001),0.00001)</f>
        <v>0</v>
      </c>
      <c r="W241" s="921">
        <f>IF(Meal_entry_week_2!$Q$447&gt;0,100*$G$395/(SUM($D$395:$S$395)+0.00001),0.00001)</f>
        <v>0</v>
      </c>
      <c r="X241" s="921">
        <f>IF(Meal_entry_week_2!$Q$83&gt;0,100*$G$397/(SUM($D$397:$S$397)+0.00001),0.00001)</f>
        <v>8.082767408943301</v>
      </c>
      <c r="Y241" s="921">
        <f>IF(Meal_entry_week_2!$Q$182&gt;0,100*$G$398/(SUM($D$398:$S$398)+0.00001),0.00001)</f>
        <v>0</v>
      </c>
      <c r="Z241" s="921">
        <f>IF(Meal_entry_week_2!$Q$281&gt;0,100*$G$399/(SUM($D$399:$S$399)+0.00001),0.00001)</f>
        <v>0</v>
      </c>
      <c r="AA241" s="921">
        <f>IF(Meal_entry_week_2!$Q$380&gt;0,100*$G$400/(SUM($D$400:$S$400)+0.00001),0.00001)</f>
        <v>7.8915385676614438</v>
      </c>
      <c r="AB241" s="921">
        <f>IF(Meal_entry_week_2!$Q$479&gt;0,100*$G$401/(SUM($D$401:$S$401)+0.00001),0.00001)</f>
        <v>10.233319479465422</v>
      </c>
      <c r="AC241" s="921">
        <f>IF(Meal_entry_week_2!$Q$102&gt;0,100*$G$403/(SUM($D$403:$S$403)+0.00001),0.00001)</f>
        <v>1.0000000000000001E-5</v>
      </c>
      <c r="AD241" s="921">
        <f>IF(Meal_entry_week_2!$Q$201&gt;0,100*$G$404/(SUM($D$404:$S$404)+0.00001),0.00001)</f>
        <v>1.0000000000000001E-5</v>
      </c>
      <c r="AE241" s="921">
        <f>IF(Meal_entry_week_2!$Q$300&gt;0,100*$G$405/(SUM($D$405:$S$405)+0.00001),0.00001)</f>
        <v>1.0000000000000001E-5</v>
      </c>
      <c r="AF241" s="921">
        <f>IF(Meal_entry_week_2!$Q$399&gt;0,100*$G$406/(SUM($D$406:$S$406)+0.00001),0.00001)</f>
        <v>1.0000000000000001E-5</v>
      </c>
      <c r="AG241" s="921">
        <f>IF(Meal_entry_week_2!$Q$498&gt;0,100*$G$407/(SUM($D$407:$S$407)+0.00001),0.00001)</f>
        <v>1.0000000000000001E-5</v>
      </c>
    </row>
    <row r="242" spans="1:33">
      <c r="A242" s="900"/>
      <c r="B242" s="947" t="s">
        <v>3070</v>
      </c>
      <c r="C242" s="919"/>
      <c r="D242" s="948">
        <f>100*(SUM(H$379:H$383)/SUM($D$379:$S$383))</f>
        <v>1.4480078308263491</v>
      </c>
      <c r="E242" s="948">
        <f>IF(Meal_entry_week_2!$Q$512&gt;0,100*SUM(H$385:H$389)/SUM($D$385:$S$389),0.00001)</f>
        <v>1.0000000000000001E-5</v>
      </c>
      <c r="F242" s="948">
        <f>IF(Meal_entry_week_2!$Q$522&gt;0,100*SUM(H$391:H$395)/SUM($D$391:$S$395),0.00001)</f>
        <v>2.7716186252771622</v>
      </c>
      <c r="G242" s="948">
        <f>IF(Meal_entry_week_2!$Q$532&gt;0,100*SUM(H$397:H$401)/SUM($D$397:$S$401),0.00001)</f>
        <v>1.0983298064742884</v>
      </c>
      <c r="H242" s="949">
        <f>IF(Meal_entry_week_2!$Q$542&gt;0,100*SUM(H$403:H$407)/SUM($D$403:$S$407),0.00001)</f>
        <v>1.0000000000000001E-5</v>
      </c>
      <c r="I242" s="921">
        <f>IF(Meal_entry_week_2!$Q$547&gt;0,100*$H$379/(SUM($D$379:$S$379)+0.00001),0.00001)</f>
        <v>0</v>
      </c>
      <c r="J242" s="921">
        <f>IF(Meal_entry_week_2!$Q$548&gt;0,100*H$380/(SUM($D$380:$S$380)+0.00001),0.00001)</f>
        <v>0</v>
      </c>
      <c r="K242" s="921">
        <f>IF(Meal_entry_week_2!$Q$549&gt;0,100*H$381/(SUM($D$381:$S$381)+0.00001),0.00001)</f>
        <v>9.5196388340414906</v>
      </c>
      <c r="L242" s="921">
        <f>IF(Meal_entry_week_2!$Q$550&gt;0,100*H$382/(SUM($D$382:$S$382)+0.00001),0.00001)</f>
        <v>0</v>
      </c>
      <c r="M242" s="921">
        <f>IF(Meal_entry_week_2!$Q$551&gt;0,100*H$383/(SUM($D$383:$S$383)+0.00001),0.00001)</f>
        <v>0</v>
      </c>
      <c r="N242" s="921">
        <f>IF(Meal_entry_week_2!$Q$32&gt;0,100*$H$385/(SUM($D$385:$S$385)+0.00001),0.00001)</f>
        <v>1.0000000000000001E-5</v>
      </c>
      <c r="O242" s="921">
        <f>IF(Meal_entry_week_2!$Q$131&gt;0,100*$H$386/(SUM($D$386:$S$386)+0.00001),0.00001)</f>
        <v>1.0000000000000001E-5</v>
      </c>
      <c r="P242" s="921">
        <f>IF(Meal_entry_week_2!$Q$230&gt;0,100*$H$387/(SUM($D$387:$S$387)+0.00001),0.00001)</f>
        <v>1.0000000000000001E-5</v>
      </c>
      <c r="Q242" s="921">
        <f>IF(Meal_entry_week_2!$Q$329&gt;0,100*$H$388/(SUM($D$388:$S$388)+0.00001),0.00001)</f>
        <v>1.0000000000000001E-5</v>
      </c>
      <c r="R242" s="921">
        <f>IF(Meal_entry_week_2!$Q$428&gt;0,100*$H$389/(SUM($D$389:$S$389)+0.00001),0.00001)</f>
        <v>1.0000000000000001E-5</v>
      </c>
      <c r="S242" s="921">
        <f>IF(Meal_entry_week_2!$Q$51&gt;0,100*$H$391/(SUM($D$391:$S$391)+0.00001),0.00001)</f>
        <v>0</v>
      </c>
      <c r="T242" s="921">
        <f>IF(Meal_entry_week_2!$Q$150&gt;0,100*$H$392/(SUM($D$392:$S$392)+0.00001),0.00001)</f>
        <v>0</v>
      </c>
      <c r="U242" s="921">
        <f>IF(Meal_entry_week_2!$Q$249&gt;0,100*$H$393/(SUM($D$393:$S$393)+0.00001),0.00001)</f>
        <v>18.181816528925768</v>
      </c>
      <c r="V242" s="921">
        <f>IF(Meal_entry_week_2!$Q$348&gt;0,100*$H$394/(SUM($D$394:$S$394)+0.00001),0.00001)</f>
        <v>0</v>
      </c>
      <c r="W242" s="921">
        <f>IF(Meal_entry_week_2!$Q$447&gt;0,100*$H$395/(SUM($D$395:$S$395)+0.00001),0.00001)</f>
        <v>0</v>
      </c>
      <c r="X242" s="921">
        <f>IF(Meal_entry_week_2!$Q$83&gt;0,100*$H$397/(SUM($D$397:$S$397)+0.00001),0.00001)</f>
        <v>0</v>
      </c>
      <c r="Y242" s="921">
        <f>IF(Meal_entry_week_2!$Q$182&gt;0,100*$H$398/(SUM($D$398:$S$398)+0.00001),0.00001)</f>
        <v>0</v>
      </c>
      <c r="Z242" s="921">
        <f>IF(Meal_entry_week_2!$Q$281&gt;0,100*$H$399/(SUM($D$399:$S$399)+0.00001),0.00001)</f>
        <v>7.2249113208363722</v>
      </c>
      <c r="AA242" s="921">
        <f>IF(Meal_entry_week_2!$Q$380&gt;0,100*$H$400/(SUM($D$400:$S$400)+0.00001),0.00001)</f>
        <v>0</v>
      </c>
      <c r="AB242" s="921">
        <f>IF(Meal_entry_week_2!$Q$479&gt;0,100*$H$401/(SUM($D$401:$S$401)+0.00001),0.00001)</f>
        <v>0</v>
      </c>
      <c r="AC242" s="921">
        <f>IF(Meal_entry_week_2!$Q$102&gt;0,100*$H$403/(SUM($D$403:$S$403)+0.00001),0.00001)</f>
        <v>1.0000000000000001E-5</v>
      </c>
      <c r="AD242" s="921">
        <f>IF(Meal_entry_week_2!$Q$201&gt;0,100*$H$404/(SUM($D$404:$S$404)+0.00001),0.00001)</f>
        <v>1.0000000000000001E-5</v>
      </c>
      <c r="AE242" s="921">
        <f>IF(Meal_entry_week_2!$Q$300&gt;0,100*$H$405/(SUM($D$405:$S$405)+0.00001),0.00001)</f>
        <v>1.0000000000000001E-5</v>
      </c>
      <c r="AF242" s="921">
        <f>IF(Meal_entry_week_2!$Q$399&gt;0,100*$H$406/(SUM($D$406:$S$406)+0.00001),0.00001)</f>
        <v>1.0000000000000001E-5</v>
      </c>
      <c r="AG242" s="921">
        <f>IF(Meal_entry_week_2!$Q$498&gt;0,100*$H$407/(SUM($D$407:$S$407)+0.00001),0.00001)</f>
        <v>1.0000000000000001E-5</v>
      </c>
    </row>
    <row r="243" spans="1:33">
      <c r="A243" s="908"/>
      <c r="B243" s="947" t="s">
        <v>3575</v>
      </c>
      <c r="C243" s="950"/>
      <c r="D243" s="948">
        <f>100*(SUM(I$379:I$383)/SUM($D$379:$S$383))</f>
        <v>0</v>
      </c>
      <c r="E243" s="948">
        <f>IF(Meal_entry_week_2!$Q$512&gt;0,100*SUM(I$385:I$389)/SUM($D$385:$S$389),0.00001)</f>
        <v>1.0000000000000001E-5</v>
      </c>
      <c r="F243" s="948">
        <f>IF(Meal_entry_week_2!$Q$522&gt;0,100*SUM(I$391:I$395)/SUM($D$391:$S$395),0.00001)</f>
        <v>0</v>
      </c>
      <c r="G243" s="948">
        <f>IF(Meal_entry_week_2!$Q$532&gt;0,100*SUM(I$397:I$401)/SUM($D$397:$S$401),0.00001)</f>
        <v>0</v>
      </c>
      <c r="H243" s="949">
        <f>IF(Meal_entry_week_2!$Q$542&gt;0,100*SUM(I$403:I$407)/SUM($D$403:$S$407),0.00001)</f>
        <v>1.0000000000000001E-5</v>
      </c>
      <c r="I243" s="921">
        <f>IF(Meal_entry_week_2!$Q$547&gt;0,100*$I$379/(SUM($D$379:$S$379)+0.00001),0.00001)</f>
        <v>0</v>
      </c>
      <c r="J243" s="921">
        <f>IF(Meal_entry_week_2!$Q$548&gt;0,100*I$380/(SUM($D$380:$S$380)+0.00001),0.00001)</f>
        <v>0</v>
      </c>
      <c r="K243" s="921">
        <f>IF(Meal_entry_week_2!$Q$549&gt;0,100*I$381/(SUM($D$381:$S$381)+0.00001),0.00001)</f>
        <v>0</v>
      </c>
      <c r="L243" s="921">
        <f>IF(Meal_entry_week_2!$Q$550&gt;0,100*I$382/(SUM($D$382:$S$382)+0.00001),0.00001)</f>
        <v>0</v>
      </c>
      <c r="M243" s="921">
        <f>IF(Meal_entry_week_2!$Q$551&gt;0,100*I$383/(SUM($D$383:$S$383)+0.00001),0.00001)</f>
        <v>0</v>
      </c>
      <c r="N243" s="921">
        <f>IF(Meal_entry_week_2!$Q$32&gt;0,100*$I$385/(SUM($D$385:$S$385)+0.00001),0.00001)</f>
        <v>1.0000000000000001E-5</v>
      </c>
      <c r="O243" s="921">
        <f>IF(Meal_entry_week_2!$Q$131&gt;0,100*$I$386/(SUM($D$386:$S$386)+0.00001),0.00001)</f>
        <v>1.0000000000000001E-5</v>
      </c>
      <c r="P243" s="921">
        <f>IF(Meal_entry_week_2!$Q$230&gt;0,100*$I$387/(SUM($D$387:$S$387)+0.00001),0.00001)</f>
        <v>1.0000000000000001E-5</v>
      </c>
      <c r="Q243" s="921">
        <f>IF(Meal_entry_week_2!$Q$329&gt;0,100*$I$388/(SUM($D$388:$S$388)+0.00001),0.00001)</f>
        <v>1.0000000000000001E-5</v>
      </c>
      <c r="R243" s="921">
        <f>IF(Meal_entry_week_2!$Q$428&gt;0,100*$I$389/(SUM($D$389:$S$389)+0.00001),0.00001)</f>
        <v>1.0000000000000001E-5</v>
      </c>
      <c r="S243" s="921">
        <f>IF(Meal_entry_week_2!$Q$51&gt;0,100*$I$391/(SUM($D$391:$S$391)+0.00001),0.00001)</f>
        <v>0</v>
      </c>
      <c r="T243" s="921">
        <f>IF(Meal_entry_week_2!$Q$150&gt;0,100*$I$392/(SUM($D$392:$S$392)+0.00001),0.00001)</f>
        <v>0</v>
      </c>
      <c r="U243" s="921">
        <f>IF(Meal_entry_week_2!$Q$249&gt;0,100*$I$393/(SUM($D$393:$S$393)+0.00001),0.00001)</f>
        <v>0</v>
      </c>
      <c r="V243" s="921">
        <f>IF(Meal_entry_week_2!$Q$348&gt;0,100*$I$394/(SUM($D$394:$S$394)+0.00001),0.00001)</f>
        <v>0</v>
      </c>
      <c r="W243" s="921">
        <f>IF(Meal_entry_week_2!$Q$447&gt;0,100*$I$395/(SUM($D$395:$S$395)+0.00001),0.00001)</f>
        <v>0</v>
      </c>
      <c r="X243" s="921">
        <f>IF(Meal_entry_week_2!$Q$83&gt;0,100*$I$397/(SUM($D$397:$S$397)+0.00001),0.00001)</f>
        <v>0</v>
      </c>
      <c r="Y243" s="921">
        <f>IF(Meal_entry_week_2!$Q$182&gt;0,100*$I$398/(SUM($D$398:$S$398)+0.00001),0.00001)</f>
        <v>0</v>
      </c>
      <c r="Z243" s="921">
        <f>IF(Meal_entry_week_2!$Q$281&gt;0,100*$I$399/(SUM($D$399:$S$399)+0.00001),0.00001)</f>
        <v>0</v>
      </c>
      <c r="AA243" s="921">
        <f>IF(Meal_entry_week_2!$Q$380&gt;0,100*$I$400/(SUM($D$400:$S$400)+0.00001),0.00001)</f>
        <v>0</v>
      </c>
      <c r="AB243" s="921">
        <f>IF(Meal_entry_week_2!$Q$479&gt;0,100*$I$401/(SUM($D$401:$S$401)+0.00001),0.00001)</f>
        <v>0</v>
      </c>
      <c r="AC243" s="921">
        <f>IF(Meal_entry_week_2!$Q$102&gt;0,100*$I$403/(SUM($D$403:$S$403)+0.00001),0.00001)</f>
        <v>1.0000000000000001E-5</v>
      </c>
      <c r="AD243" s="921">
        <f>IF(Meal_entry_week_2!$Q$201&gt;0,100*$I$404/(SUM($D$404:$S$404)+0.00001),0.00001)</f>
        <v>1.0000000000000001E-5</v>
      </c>
      <c r="AE243" s="921">
        <f>IF(Meal_entry_week_2!$Q$300&gt;0,100*$I$405/(SUM($D$405:$S$405)+0.00001),0.00001)</f>
        <v>1.0000000000000001E-5</v>
      </c>
      <c r="AF243" s="921">
        <f>IF(Meal_entry_week_2!$Q$399&gt;0,100*$I$406/(SUM($D$406:$S$406)+0.00001),0.00001)</f>
        <v>1.0000000000000001E-5</v>
      </c>
      <c r="AG243" s="921">
        <f>IF(Meal_entry_week_2!$Q$498&gt;0,100*$I$407/(SUM($D$407:$S$407)+0.00001),0.00001)</f>
        <v>1.0000000000000001E-5</v>
      </c>
    </row>
    <row r="244" spans="1:33">
      <c r="A244" s="905"/>
      <c r="B244" s="947" t="s">
        <v>3072</v>
      </c>
      <c r="C244" s="873"/>
      <c r="D244" s="948">
        <f>100*(SUM(J$379:J$383)/SUM($D$379:$S$383))</f>
        <v>2.1806997932244818</v>
      </c>
      <c r="E244" s="948">
        <f>IF(Meal_entry_week_2!$Q$512&gt;0,100*SUM(J$385:J$389)/SUM($D$385:$S$389),0.00001)</f>
        <v>1.0000000000000001E-5</v>
      </c>
      <c r="F244" s="948">
        <f>IF(Meal_entry_week_2!$Q$522&gt;0,100*SUM(J$391:J$395)/SUM($D$391:$S$395),0.00001)</f>
        <v>1.4273835920177385</v>
      </c>
      <c r="G244" s="948">
        <f>IF(Meal_entry_week_2!$Q$532&gt;0,100*SUM(J$397:J$401)/SUM($D$397:$S$401),0.00001)</f>
        <v>2.3797145806942912</v>
      </c>
      <c r="H244" s="949">
        <f>IF(Meal_entry_week_2!$Q$542&gt;0,100*SUM(J$403:J$407)/SUM($D$403:$S$407),0.00001)</f>
        <v>1.0000000000000001E-5</v>
      </c>
      <c r="I244" s="921">
        <f>IF(Meal_entry_week_2!$Q$547&gt;0,100*$J$379/(SUM($D$379:$S$379)+0.00001),0.00001)</f>
        <v>3.666841230135657</v>
      </c>
      <c r="J244" s="921">
        <f>IF(Meal_entry_week_2!$Q$548&gt;0,100*J$380/(SUM($D$380:$S$380)+0.00001),0.00001)</f>
        <v>0</v>
      </c>
      <c r="K244" s="921">
        <f>IF(Meal_entry_week_2!$Q$549&gt;0,100*J$381/(SUM($D$381:$S$381)+0.00001),0.00001)</f>
        <v>0.95196388340414895</v>
      </c>
      <c r="L244" s="921">
        <f>IF(Meal_entry_week_2!$Q$550&gt;0,100*J$382/(SUM($D$382:$S$382)+0.00001),0.00001)</f>
        <v>2.4888313382591702</v>
      </c>
      <c r="M244" s="921">
        <f>IF(Meal_entry_week_2!$Q$551&gt;0,100*J$383/(SUM($D$383:$S$383)+0.00001),0.00001)</f>
        <v>3.7154281286999642</v>
      </c>
      <c r="N244" s="921">
        <f>IF(Meal_entry_week_2!$Q$32&gt;0,100*$J$385/(SUM($D$385:$S$385)+0.00001),0.00001)</f>
        <v>1.0000000000000001E-5</v>
      </c>
      <c r="O244" s="921">
        <f>IF(Meal_entry_week_2!$Q$131&gt;0,100*$J$386/(SUM($D$386:$S$386)+0.00001),0.00001)</f>
        <v>1.0000000000000001E-5</v>
      </c>
      <c r="P244" s="921">
        <f>IF(Meal_entry_week_2!$Q$230&gt;0,100*$J$387/(SUM($D$387:$S$387)+0.00001),0.00001)</f>
        <v>1.0000000000000001E-5</v>
      </c>
      <c r="Q244" s="921">
        <f>IF(Meal_entry_week_2!$Q$329&gt;0,100*$J$388/(SUM($D$388:$S$388)+0.00001),0.00001)</f>
        <v>1.0000000000000001E-5</v>
      </c>
      <c r="R244" s="921">
        <f>IF(Meal_entry_week_2!$Q$428&gt;0,100*$J$389/(SUM($D$389:$S$389)+0.00001),0.00001)</f>
        <v>1.0000000000000001E-5</v>
      </c>
      <c r="S244" s="921">
        <f>IF(Meal_entry_week_2!$Q$51&gt;0,100*$J$391/(SUM($D$391:$S$391)+0.00001),0.00001)</f>
        <v>5.5172409988109656</v>
      </c>
      <c r="T244" s="921">
        <f>IF(Meal_entry_week_2!$Q$150&gt;0,100*$J$392/(SUM($D$392:$S$392)+0.00001),0.00001)</f>
        <v>0</v>
      </c>
      <c r="U244" s="921">
        <f>IF(Meal_entry_week_2!$Q$249&gt;0,100*$J$393/(SUM($D$393:$S$393)+0.00001),0.00001)</f>
        <v>0</v>
      </c>
      <c r="V244" s="921">
        <f>IF(Meal_entry_week_2!$Q$348&gt;0,100*$J$394/(SUM($D$394:$S$394)+0.00001),0.00001)</f>
        <v>0</v>
      </c>
      <c r="W244" s="921">
        <f>IF(Meal_entry_week_2!$Q$447&gt;0,100*$J$395/(SUM($D$395:$S$395)+0.00001),0.00001)</f>
        <v>2.0609317149702764</v>
      </c>
      <c r="X244" s="921">
        <f>IF(Meal_entry_week_2!$Q$83&gt;0,100*$J$397/(SUM($D$397:$S$397)+0.00001),0.00001)</f>
        <v>3.2331069635773204</v>
      </c>
      <c r="Y244" s="921">
        <f>IF(Meal_entry_week_2!$Q$182&gt;0,100*$J$398/(SUM($D$398:$S$398)+0.00001),0.00001)</f>
        <v>0</v>
      </c>
      <c r="Z244" s="921">
        <f>IF(Meal_entry_week_2!$Q$281&gt;0,100*$J$399/(SUM($D$399:$S$399)+0.00001),0.00001)</f>
        <v>1.2041518868060621</v>
      </c>
      <c r="AA244" s="921">
        <f>IF(Meal_entry_week_2!$Q$380&gt;0,100*$J$400/(SUM($D$400:$S$400)+0.00001),0.00001)</f>
        <v>3.1566154270645774</v>
      </c>
      <c r="AB244" s="921">
        <f>IF(Meal_entry_week_2!$Q$479&gt;0,100*$J$401/(SUM($D$401:$S$401)+0.00001),0.00001)</f>
        <v>4.0933277917861686</v>
      </c>
      <c r="AC244" s="921">
        <f>IF(Meal_entry_week_2!$Q$102&gt;0,100*$J$403/(SUM($D$403:$S$403)+0.00001),0.00001)</f>
        <v>1.0000000000000001E-5</v>
      </c>
      <c r="AD244" s="921">
        <f>IF(Meal_entry_week_2!$Q$201&gt;0,100*$J$404/(SUM($D$404:$S$404)+0.00001),0.00001)</f>
        <v>1.0000000000000001E-5</v>
      </c>
      <c r="AE244" s="921">
        <f>IF(Meal_entry_week_2!$Q$300&gt;0,100*$J$405/(SUM($D$405:$S$405)+0.00001),0.00001)</f>
        <v>1.0000000000000001E-5</v>
      </c>
      <c r="AF244" s="921">
        <f>IF(Meal_entry_week_2!$Q$399&gt;0,100*$J$406/(SUM($D$406:$S$406)+0.00001),0.00001)</f>
        <v>1.0000000000000001E-5</v>
      </c>
      <c r="AG244" s="921">
        <f>IF(Meal_entry_week_2!$Q$498&gt;0,100*$J$407/(SUM($D$407:$S$407)+0.00001),0.00001)</f>
        <v>1.0000000000000001E-5</v>
      </c>
    </row>
    <row r="245" spans="1:33">
      <c r="A245" s="905"/>
      <c r="B245" s="947" t="s">
        <v>3085</v>
      </c>
      <c r="C245" s="873"/>
      <c r="D245" s="948">
        <f>100*(SUM(K$379:K$383)/SUM($D$379:$S$383))</f>
        <v>14.335277525180857</v>
      </c>
      <c r="E245" s="948">
        <f>IF(Meal_entry_week_2!$Q$512&gt;0,100*SUM(K$385:K$389)/SUM($D$385:$S$389),0.00001)</f>
        <v>1.0000000000000001E-5</v>
      </c>
      <c r="F245" s="948">
        <f>IF(Meal_entry_week_2!$Q$522&gt;0,100*SUM(K$391:K$395)/SUM($D$391:$S$395),0.00001)</f>
        <v>47.394678492239471</v>
      </c>
      <c r="G245" s="948">
        <f>IF(Meal_entry_week_2!$Q$532&gt;0,100*SUM(K$397:K$401)/SUM($D$397:$S$401),0.00001)</f>
        <v>5.6014820130188703</v>
      </c>
      <c r="H245" s="949">
        <f>IF(Meal_entry_week_2!$Q$542&gt;0,100*SUM(K$403:K$407)/SUM($D$403:$S$407),0.00001)</f>
        <v>1.0000000000000001E-5</v>
      </c>
      <c r="I245" s="921">
        <f>IF(Meal_entry_week_2!$Q$547&gt;0,100*$K$379/(SUM($D$379:$S$379)+0.00001),0.00001)</f>
        <v>20.429543996470088</v>
      </c>
      <c r="J245" s="921">
        <f>IF(Meal_entry_week_2!$Q$548&gt;0,100*K$380/(SUM($D$380:$S$380)+0.00001),0.00001)</f>
        <v>16.438716248833295</v>
      </c>
      <c r="K245" s="921">
        <f>IF(Meal_entry_week_2!$Q$549&gt;0,100*K$381/(SUM($D$381:$S$381)+0.00001),0.00001)</f>
        <v>5.3309977470632344</v>
      </c>
      <c r="L245" s="921">
        <f>IF(Meal_entry_week_2!$Q$550&gt;0,100*K$382/(SUM($D$382:$S$382)+0.00001),0.00001)</f>
        <v>14.932988029555021</v>
      </c>
      <c r="M245" s="921">
        <f>IF(Meal_entry_week_2!$Q$551&gt;0,100*K$383/(SUM($D$383:$S$383)+0.00001),0.00001)</f>
        <v>10.996334371937115</v>
      </c>
      <c r="N245" s="921">
        <f>IF(Meal_entry_week_2!$Q$32&gt;0,100*$K$385/(SUM($D$385:$S$385)+0.00001),0.00001)</f>
        <v>1.0000000000000001E-5</v>
      </c>
      <c r="O245" s="921">
        <f>IF(Meal_entry_week_2!$Q$131&gt;0,100*$K$386/(SUM($D$386:$S$386)+0.00001),0.00001)</f>
        <v>1.0000000000000001E-5</v>
      </c>
      <c r="P245" s="921">
        <f>IF(Meal_entry_week_2!$Q$230&gt;0,100*$K$387/(SUM($D$387:$S$387)+0.00001),0.00001)</f>
        <v>1.0000000000000001E-5</v>
      </c>
      <c r="Q245" s="921">
        <f>IF(Meal_entry_week_2!$Q$329&gt;0,100*$K$388/(SUM($D$388:$S$388)+0.00001),0.00001)</f>
        <v>1.0000000000000001E-5</v>
      </c>
      <c r="R245" s="921">
        <f>IF(Meal_entry_week_2!$Q$428&gt;0,100*$K$389/(SUM($D$389:$S$389)+0.00001),0.00001)</f>
        <v>1.0000000000000001E-5</v>
      </c>
      <c r="S245" s="921">
        <f>IF(Meal_entry_week_2!$Q$51&gt;0,100*$K$391/(SUM($D$391:$S$391)+0.00001),0.00001)</f>
        <v>73.10344323424529</v>
      </c>
      <c r="T245" s="921">
        <f>IF(Meal_entry_week_2!$Q$150&gt;0,100*$K$392/(SUM($D$392:$S$392)+0.00001),0.00001)</f>
        <v>54.054051132213452</v>
      </c>
      <c r="U245" s="921">
        <f>IF(Meal_entry_week_2!$Q$249&gt;0,100*$K$393/(SUM($D$393:$S$393)+0.00001),0.00001)</f>
        <v>18.181816528925768</v>
      </c>
      <c r="V245" s="921">
        <f>IF(Meal_entry_week_2!$Q$348&gt;0,100*$K$394/(SUM($D$394:$S$394)+0.00001),0.00001)</f>
        <v>58.823525951557293</v>
      </c>
      <c r="W245" s="921">
        <f>IF(Meal_entry_week_2!$Q$447&gt;0,100*$K$395/(SUM($D$395:$S$395)+0.00001),0.00001)</f>
        <v>14.336916278054098</v>
      </c>
      <c r="X245" s="921">
        <f>IF(Meal_entry_week_2!$Q$83&gt;0,100*$K$397/(SUM($D$397:$S$397)+0.00001),0.00001)</f>
        <v>8.082767408943301</v>
      </c>
      <c r="Y245" s="921">
        <f>IF(Meal_entry_week_2!$Q$182&gt;0,100*$K$398/(SUM($D$398:$S$398)+0.00001),0.00001)</f>
        <v>4.3448035393673354</v>
      </c>
      <c r="Z245" s="921">
        <f>IF(Meal_entry_week_2!$Q$281&gt;0,100*$K$399/(SUM($D$399:$S$399)+0.00001),0.00001)</f>
        <v>1.9266430188896992</v>
      </c>
      <c r="AA245" s="921">
        <f>IF(Meal_entry_week_2!$Q$380&gt;0,100*$K$400/(SUM($D$400:$S$400)+0.00001),0.00001)</f>
        <v>3.1566154270645774</v>
      </c>
      <c r="AB245" s="921">
        <f>IF(Meal_entry_week_2!$Q$479&gt;0,100*$K$401/(SUM($D$401:$S$401)+0.00001),0.00001)</f>
        <v>10.233319479465422</v>
      </c>
      <c r="AC245" s="921">
        <f>IF(Meal_entry_week_2!$Q$102&gt;0,100*$K$403/(SUM($D$403:$S$403)+0.00001),0.00001)</f>
        <v>1.0000000000000001E-5</v>
      </c>
      <c r="AD245" s="921">
        <f>IF(Meal_entry_week_2!$Q$201&gt;0,100*$K$404/(SUM($D$404:$S$404)+0.00001),0.00001)</f>
        <v>1.0000000000000001E-5</v>
      </c>
      <c r="AE245" s="921">
        <f>IF(Meal_entry_week_2!$Q$300&gt;0,100*$K$405/(SUM($D$405:$S$405)+0.00001),0.00001)</f>
        <v>1.0000000000000001E-5</v>
      </c>
      <c r="AF245" s="921">
        <f>IF(Meal_entry_week_2!$Q$399&gt;0,100*$K$406/(SUM($D$406:$S$406)+0.00001),0.00001)</f>
        <v>1.0000000000000001E-5</v>
      </c>
      <c r="AG245" s="921">
        <f>IF(Meal_entry_week_2!$Q$498&gt;0,100*$K$407/(SUM($D$407:$S$407)+0.00001),0.00001)</f>
        <v>1.0000000000000001E-5</v>
      </c>
    </row>
    <row r="246" spans="1:33">
      <c r="A246" s="905"/>
      <c r="B246" s="947" t="s">
        <v>3075</v>
      </c>
      <c r="C246" s="873"/>
      <c r="D246" s="948">
        <f>100*(SUM(L$379:L$383)/SUM($D$379:$S$383))</f>
        <v>4.2513509913061611</v>
      </c>
      <c r="E246" s="948">
        <f>IF(Meal_entry_week_2!$Q$512&gt;0,100*SUM(L$385:L$389)/SUM($D$385:$S$389),0.00001)</f>
        <v>1.0000000000000001E-5</v>
      </c>
      <c r="F246" s="948">
        <f>IF(Meal_entry_week_2!$Q$522&gt;0,100*SUM(L$391:L$395)/SUM($D$391:$S$395),0.00001)</f>
        <v>6.5133037694013316</v>
      </c>
      <c r="G246" s="948">
        <f>IF(Meal_entry_week_2!$Q$532&gt;0,100*SUM(L$397:L$401)/SUM($D$397:$S$401),0.00001)</f>
        <v>3.6537771562044656</v>
      </c>
      <c r="H246" s="949">
        <f>IF(Meal_entry_week_2!$Q$542&gt;0,100*SUM(L$403:L$407)/SUM($D$403:$S$407),0.00001)</f>
        <v>1.0000000000000001E-5</v>
      </c>
      <c r="I246" s="921">
        <f>IF(Meal_entry_week_2!$Q$547&gt;0,100*$L$379/(SUM($D$379:$S$379)+0.00001),0.00001)</f>
        <v>6.5479307680993877</v>
      </c>
      <c r="J246" s="921">
        <f>IF(Meal_entry_week_2!$Q$548&gt;0,100*L$380/(SUM($D$380:$S$380)+0.00001),0.00001)</f>
        <v>0.65754864995333184</v>
      </c>
      <c r="K246" s="921">
        <f>IF(Meal_entry_week_2!$Q$549&gt;0,100*L$381/(SUM($D$381:$S$381)+0.00001),0.00001)</f>
        <v>3.7697769782804298</v>
      </c>
      <c r="L246" s="921">
        <f>IF(Meal_entry_week_2!$Q$550&gt;0,100*L$382/(SUM($D$382:$S$382)+0.00001),0.00001)</f>
        <v>2.9865976059110042</v>
      </c>
      <c r="M246" s="921">
        <f>IF(Meal_entry_week_2!$Q$551&gt;0,100*L$383/(SUM($D$383:$S$383)+0.00001),0.00001)</f>
        <v>7.9973340886815381</v>
      </c>
      <c r="N246" s="921">
        <f>IF(Meal_entry_week_2!$Q$32&gt;0,100*$L$385/(SUM($D$385:$S$385)+0.00001),0.00001)</f>
        <v>1.0000000000000001E-5</v>
      </c>
      <c r="O246" s="921">
        <f>IF(Meal_entry_week_2!$Q$131&gt;0,100*$L$386/(SUM($D$386:$S$386)+0.00001),0.00001)</f>
        <v>1.0000000000000001E-5</v>
      </c>
      <c r="P246" s="921">
        <f>IF(Meal_entry_week_2!$Q$230&gt;0,100*$L$387/(SUM($D$387:$S$387)+0.00001),0.00001)</f>
        <v>1.0000000000000001E-5</v>
      </c>
      <c r="Q246" s="921">
        <f>IF(Meal_entry_week_2!$Q$329&gt;0,100*$L$388/(SUM($D$388:$S$388)+0.00001),0.00001)</f>
        <v>1.0000000000000001E-5</v>
      </c>
      <c r="R246" s="921">
        <f>IF(Meal_entry_week_2!$Q$428&gt;0,100*$L$389/(SUM($D$389:$S$389)+0.00001),0.00001)</f>
        <v>1.0000000000000001E-5</v>
      </c>
      <c r="S246" s="921">
        <f>IF(Meal_entry_week_2!$Q$51&gt;0,100*$L$391/(SUM($D$391:$S$391)+0.00001),0.00001)</f>
        <v>11.034481997621931</v>
      </c>
      <c r="T246" s="921">
        <f>IF(Meal_entry_week_2!$Q$150&gt;0,100*$L$392/(SUM($D$392:$S$392)+0.00001),0.00001)</f>
        <v>0</v>
      </c>
      <c r="U246" s="921">
        <f>IF(Meal_entry_week_2!$Q$249&gt;0,100*$L$393/(SUM($D$393:$S$393)+0.00001),0.00001)</f>
        <v>0</v>
      </c>
      <c r="V246" s="921">
        <f>IF(Meal_entry_week_2!$Q$348&gt;0,100*$L$394/(SUM($D$394:$S$394)+0.00001),0.00001)</f>
        <v>0</v>
      </c>
      <c r="W246" s="921">
        <f>IF(Meal_entry_week_2!$Q$447&gt;0,100*$L$395/(SUM($D$395:$S$395)+0.00001),0.00001)</f>
        <v>27.777775288729813</v>
      </c>
      <c r="X246" s="921">
        <f>IF(Meal_entry_week_2!$Q$83&gt;0,100*$L$397/(SUM($D$397:$S$397)+0.00001),0.00001)</f>
        <v>5.4962818380814449</v>
      </c>
      <c r="Y246" s="921">
        <f>IF(Meal_entry_week_2!$Q$182&gt;0,100*$L$398/(SUM($D$398:$S$398)+0.00001),0.00001)</f>
        <v>0.86896070787346713</v>
      </c>
      <c r="Z246" s="921">
        <f>IF(Meal_entry_week_2!$Q$281&gt;0,100*$L$399/(SUM($D$399:$S$399)+0.00001),0.00001)</f>
        <v>4.7684414717520056</v>
      </c>
      <c r="AA246" s="921">
        <f>IF(Meal_entry_week_2!$Q$380&gt;0,100*$L$400/(SUM($D$400:$S$400)+0.00001),0.00001)</f>
        <v>3.7879385124774929</v>
      </c>
      <c r="AB246" s="921">
        <f>IF(Meal_entry_week_2!$Q$479&gt;0,100*$L$401/(SUM($D$401:$S$401)+0.00001),0.00001)</f>
        <v>3.4793286230182434</v>
      </c>
      <c r="AC246" s="921">
        <f>IF(Meal_entry_week_2!$Q$102&gt;0,100*$L$403/(SUM($D$403:$S$403)+0.00001),0.00001)</f>
        <v>1.0000000000000001E-5</v>
      </c>
      <c r="AD246" s="921">
        <f>IF(Meal_entry_week_2!$Q$201&gt;0,100*$L$404/(SUM($D$404:$S$404)+0.00001),0.00001)</f>
        <v>1.0000000000000001E-5</v>
      </c>
      <c r="AE246" s="921">
        <f>IF(Meal_entry_week_2!$Q$300&gt;0,100*$L$405/(SUM($D$405:$S$405)+0.00001),0.00001)</f>
        <v>1.0000000000000001E-5</v>
      </c>
      <c r="AF246" s="921">
        <f>IF(Meal_entry_week_2!$Q$399&gt;0,100*$L$406/(SUM($D$406:$S$406)+0.00001),0.00001)</f>
        <v>1.0000000000000001E-5</v>
      </c>
      <c r="AG246" s="921">
        <f>IF(Meal_entry_week_2!$Q$498&gt;0,100*$L$407/(SUM($D$407:$S$407)+0.00001),0.00001)</f>
        <v>1.0000000000000001E-5</v>
      </c>
    </row>
    <row r="247" spans="1:33">
      <c r="A247" s="905"/>
      <c r="B247" s="947" t="s">
        <v>3141</v>
      </c>
      <c r="C247" s="873"/>
      <c r="D247" s="948">
        <f>100*(SUM(M$379:M$383)/SUM($D$379:$S$383))</f>
        <v>8.398445418792825</v>
      </c>
      <c r="E247" s="948">
        <f>IF(Meal_entry_week_2!$Q$512&gt;0,100*SUM(M$385:M$389)/SUM($D$385:$S$389),0.00001)</f>
        <v>1.0000000000000001E-5</v>
      </c>
      <c r="F247" s="948">
        <f>IF(Meal_entry_week_2!$Q$522&gt;0,100*SUM(M$391:M$395)/SUM($D$391:$S$395),0.00001)</f>
        <v>8.5920177383592033</v>
      </c>
      <c r="G247" s="948">
        <f>IF(Meal_entry_week_2!$Q$532&gt;0,100*SUM(M$397:M$401)/SUM($D$397:$S$401),0.00001)</f>
        <v>8.3473065292045909</v>
      </c>
      <c r="H247" s="949">
        <f>IF(Meal_entry_week_2!$Q$542&gt;0,100*SUM(M$403:M$407)/SUM($D$403:$S$407),0.00001)</f>
        <v>1.0000000000000001E-5</v>
      </c>
      <c r="I247" s="921">
        <f>IF(Meal_entry_week_2!$Q$547&gt;0,100*$M$379/(SUM($D$379:$S$379)+0.00001),0.00001)</f>
        <v>3.2739653840496938</v>
      </c>
      <c r="J247" s="921">
        <f>IF(Meal_entry_week_2!$Q$548&gt;0,100*M$380/(SUM($D$380:$S$380)+0.00001),0.00001)</f>
        <v>15.781167598879964</v>
      </c>
      <c r="K247" s="921">
        <f>IF(Meal_entry_week_2!$Q$549&gt;0,100*M$381/(SUM($D$381:$S$381)+0.00001),0.00001)</f>
        <v>3.4270699802549363</v>
      </c>
      <c r="L247" s="921">
        <f>IF(Meal_entry_week_2!$Q$550&gt;0,100*M$382/(SUM($D$382:$S$382)+0.00001),0.00001)</f>
        <v>2.4888313382591702</v>
      </c>
      <c r="M247" s="921">
        <f>IF(Meal_entry_week_2!$Q$551&gt;0,100*M$383/(SUM($D$383:$S$383)+0.00001),0.00001)</f>
        <v>17.827390572685928</v>
      </c>
      <c r="N247" s="921">
        <f>IF(Meal_entry_week_2!$Q$32&gt;0,100*$M$385/(SUM($D$385:$S$385)+0.00001),0.00001)</f>
        <v>1.0000000000000001E-5</v>
      </c>
      <c r="O247" s="921">
        <f>IF(Meal_entry_week_2!$Q$131&gt;0,100*$M$386/(SUM($D$386:$S$386)+0.00001),0.00001)</f>
        <v>1.0000000000000001E-5</v>
      </c>
      <c r="P247" s="921">
        <f>IF(Meal_entry_week_2!$Q$230&gt;0,100*$M$387/(SUM($D$387:$S$387)+0.00001),0.00001)</f>
        <v>1.0000000000000001E-5</v>
      </c>
      <c r="Q247" s="921">
        <f>IF(Meal_entry_week_2!$Q$329&gt;0,100*$M$388/(SUM($D$388:$S$388)+0.00001),0.00001)</f>
        <v>1.0000000000000001E-5</v>
      </c>
      <c r="R247" s="921">
        <f>IF(Meal_entry_week_2!$Q$428&gt;0,100*$M$389/(SUM($D$389:$S$389)+0.00001),0.00001)</f>
        <v>1.0000000000000001E-5</v>
      </c>
      <c r="S247" s="921">
        <f>IF(Meal_entry_week_2!$Q$51&gt;0,100*$M$391/(SUM($D$391:$S$391)+0.00001),0.00001)</f>
        <v>10.344826872770561</v>
      </c>
      <c r="T247" s="921">
        <f>IF(Meal_entry_week_2!$Q$150&gt;0,100*$M$392/(SUM($D$392:$S$392)+0.00001),0.00001)</f>
        <v>0</v>
      </c>
      <c r="U247" s="921">
        <f>IF(Meal_entry_week_2!$Q$249&gt;0,100*$M$393/(SUM($D$393:$S$393)+0.00001),0.00001)</f>
        <v>0</v>
      </c>
      <c r="V247" s="921">
        <f>IF(Meal_entry_week_2!$Q$348&gt;0,100*$M$394/(SUM($D$394:$S$394)+0.00001),0.00001)</f>
        <v>0</v>
      </c>
      <c r="W247" s="921">
        <f>IF(Meal_entry_week_2!$Q$447&gt;0,100*$M$395/(SUM($D$395:$S$395)+0.00001),0.00001)</f>
        <v>42.114691566783911</v>
      </c>
      <c r="X247" s="921">
        <f>IF(Meal_entry_week_2!$Q$83&gt;0,100*$M$397/(SUM($D$397:$S$397)+0.00001),0.00001)</f>
        <v>1.6165534817886602</v>
      </c>
      <c r="Y247" s="921">
        <f>IF(Meal_entry_week_2!$Q$182&gt;0,100*$M$398/(SUM($D$398:$S$398)+0.00001),0.00001)</f>
        <v>20.855056988963209</v>
      </c>
      <c r="Z247" s="921">
        <f>IF(Meal_entry_week_2!$Q$281&gt;0,100*$M$399/(SUM($D$399:$S$399)+0.00001),0.00001)</f>
        <v>4.3349467925018237</v>
      </c>
      <c r="AA247" s="921">
        <f>IF(Meal_entry_week_2!$Q$380&gt;0,100*$M$400/(SUM($D$400:$S$400)+0.00001),0.00001)</f>
        <v>3.1566154270645774</v>
      </c>
      <c r="AB247" s="921">
        <f>IF(Meal_entry_week_2!$Q$479&gt;0,100*$M$401/(SUM($D$401:$S$401)+0.00001),0.00001)</f>
        <v>12.279983375358507</v>
      </c>
      <c r="AC247" s="921">
        <f>IF(Meal_entry_week_2!$Q$102&gt;0,100*$M$403/(SUM($D$403:$S$403)+0.00001),0.00001)</f>
        <v>1.0000000000000001E-5</v>
      </c>
      <c r="AD247" s="921">
        <f>IF(Meal_entry_week_2!$Q$201&gt;0,100*$M$404/(SUM($D$404:$S$404)+0.00001),0.00001)</f>
        <v>1.0000000000000001E-5</v>
      </c>
      <c r="AE247" s="921">
        <f>IF(Meal_entry_week_2!$Q$300&gt;0,100*$M$405/(SUM($D$405:$S$405)+0.00001),0.00001)</f>
        <v>1.0000000000000001E-5</v>
      </c>
      <c r="AF247" s="921">
        <f>IF(Meal_entry_week_2!$Q$399&gt;0,100*$M$406/(SUM($D$406:$S$406)+0.00001),0.00001)</f>
        <v>1.0000000000000001E-5</v>
      </c>
      <c r="AG247" s="921">
        <f>IF(Meal_entry_week_2!$Q$498&gt;0,100*$M$407/(SUM($D$407:$S$407)+0.00001),0.00001)</f>
        <v>1.0000000000000001E-5</v>
      </c>
    </row>
    <row r="248" spans="1:33">
      <c r="A248" s="905"/>
      <c r="B248" s="947" t="s">
        <v>3550</v>
      </c>
      <c r="C248" s="873"/>
      <c r="D248" s="948">
        <f>100*(SUM(N$379:N$383)/SUM($D$379:$S$383))</f>
        <v>1.9930379783493868</v>
      </c>
      <c r="E248" s="948">
        <f>IF(Meal_entry_week_2!$Q$512&gt;0,100*SUM(N$385:N$389)/SUM($D$385:$S$389),0.00001)</f>
        <v>1.0000000000000001E-5</v>
      </c>
      <c r="F248" s="948">
        <f>IF(Meal_entry_week_2!$Q$522&gt;0,100*SUM(N$391:N$395)/SUM($D$391:$S$395),0.00001)</f>
        <v>3.0903547671840359</v>
      </c>
      <c r="G248" s="948">
        <f>IF(Meal_entry_week_2!$Q$532&gt;0,100*SUM(N$397:N$401)/SUM($D$397:$S$401),0.00001)</f>
        <v>1.7031434199061297</v>
      </c>
      <c r="H248" s="949">
        <f>IF(Meal_entry_week_2!$Q$542&gt;0,100*SUM(N$403:N$407)/SUM($D$403:$S$407),0.00001)</f>
        <v>1.0000000000000001E-5</v>
      </c>
      <c r="I248" s="921">
        <f>IF(Meal_entry_week_2!$Q$547&gt;0,100*$N$379/(SUM($D$379:$S$379)+0.00001),0.00001)</f>
        <v>3.2215819379048987</v>
      </c>
      <c r="J248" s="921">
        <f>IF(Meal_entry_week_2!$Q$548&gt;0,100*N$380/(SUM($D$380:$S$380)+0.00001),0.00001)</f>
        <v>5.2603891996266548E-2</v>
      </c>
      <c r="K248" s="921">
        <f>IF(Meal_entry_week_2!$Q$549&gt;0,100*N$381/(SUM($D$381:$S$381)+0.00001),0.00001)</f>
        <v>5.1082381983466636</v>
      </c>
      <c r="L248" s="921">
        <f>IF(Meal_entry_week_2!$Q$550&gt;0,100*N$382/(SUM($D$382:$S$382)+0.00001),0.00001)</f>
        <v>0.50896600867400033</v>
      </c>
      <c r="M248" s="921">
        <f>IF(Meal_entry_week_2!$Q$551&gt;0,100*N$383/(SUM($D$383:$S$383)+0.00001),0.00001)</f>
        <v>2.1492835363331628</v>
      </c>
      <c r="N248" s="921">
        <f>IF(Meal_entry_week_2!$Q$32&gt;0,100*$N$385/(SUM($D$385:$S$385)+0.00001),0.00001)</f>
        <v>1.0000000000000001E-5</v>
      </c>
      <c r="O248" s="921">
        <f>IF(Meal_entry_week_2!$Q$131&gt;0,100*$N$386/(SUM($D$386:$S$386)+0.00001),0.00001)</f>
        <v>1.0000000000000001E-5</v>
      </c>
      <c r="P248" s="921">
        <f>IF(Meal_entry_week_2!$Q$230&gt;0,100*$N$387/(SUM($D$387:$S$387)+0.00001),0.00001)</f>
        <v>1.0000000000000001E-5</v>
      </c>
      <c r="Q248" s="921">
        <f>IF(Meal_entry_week_2!$Q$329&gt;0,100*$N$388/(SUM($D$388:$S$388)+0.00001),0.00001)</f>
        <v>1.0000000000000001E-5</v>
      </c>
      <c r="R248" s="921">
        <f>IF(Meal_entry_week_2!$Q$428&gt;0,100*$N$389/(SUM($D$389:$S$389)+0.00001),0.00001)</f>
        <v>1.0000000000000001E-5</v>
      </c>
      <c r="S248" s="921">
        <f>IF(Meal_entry_week_2!$Q$51&gt;0,100*$N$391/(SUM($D$391:$S$391)+0.00001),0.00001)</f>
        <v>0</v>
      </c>
      <c r="T248" s="921">
        <f>IF(Meal_entry_week_2!$Q$150&gt;0,100*$N$392/(SUM($D$392:$S$392)+0.00001),0.00001)</f>
        <v>0</v>
      </c>
      <c r="U248" s="921">
        <f>IF(Meal_entry_week_2!$Q$249&gt;0,100*$N$393/(SUM($D$393:$S$393)+0.00001),0.00001)</f>
        <v>18.181816528925768</v>
      </c>
      <c r="V248" s="921">
        <f>IF(Meal_entry_week_2!$Q$348&gt;0,100*$N$394/(SUM($D$394:$S$394)+0.00001),0.00001)</f>
        <v>0</v>
      </c>
      <c r="W248" s="921">
        <f>IF(Meal_entry_week_2!$Q$447&gt;0,100*$N$395/(SUM($D$395:$S$395)+0.00001),0.00001)</f>
        <v>2.0609317149702764</v>
      </c>
      <c r="X248" s="921">
        <f>IF(Meal_entry_week_2!$Q$83&gt;0,100*$N$397/(SUM($D$397:$S$397)+0.00001),0.00001)</f>
        <v>3.976721565200104</v>
      </c>
      <c r="Y248" s="921">
        <f>IF(Meal_entry_week_2!$Q$182&gt;0,100*$N$398/(SUM($D$398:$S$398)+0.00001),0.00001)</f>
        <v>6.951685662987736E-2</v>
      </c>
      <c r="Z248" s="921">
        <f>IF(Meal_entry_week_2!$Q$281&gt;0,100*$N$399/(SUM($D$399:$S$399)+0.00001),0.00001)</f>
        <v>1.6448714773770807</v>
      </c>
      <c r="AA248" s="921">
        <f>IF(Meal_entry_week_2!$Q$380&gt;0,100*$N$400/(SUM($D$400:$S$400)+0.00001),0.00001)</f>
        <v>0.64552785483470609</v>
      </c>
      <c r="AB248" s="921">
        <f>IF(Meal_entry_week_2!$Q$479&gt;0,100*$N$401/(SUM($D$401:$S$401)+0.00001),0.00001)</f>
        <v>2.1694637296466697</v>
      </c>
      <c r="AC248" s="921">
        <f>IF(Meal_entry_week_2!$Q$102&gt;0,100*$N$403/(SUM($D$403:$S$403)+0.00001),0.00001)</f>
        <v>1.0000000000000001E-5</v>
      </c>
      <c r="AD248" s="921">
        <f>IF(Meal_entry_week_2!$Q$201&gt;0,100*$N$404/(SUM($D$404:$S$404)+0.00001),0.00001)</f>
        <v>1.0000000000000001E-5</v>
      </c>
      <c r="AE248" s="921">
        <f>IF(Meal_entry_week_2!$Q$300&gt;0,100*$N$405/(SUM($D$405:$S$405)+0.00001),0.00001)</f>
        <v>1.0000000000000001E-5</v>
      </c>
      <c r="AF248" s="921">
        <f>IF(Meal_entry_week_2!$Q$399&gt;0,100*$N$406/(SUM($D$406:$S$406)+0.00001),0.00001)</f>
        <v>1.0000000000000001E-5</v>
      </c>
      <c r="AG248" s="921">
        <f>IF(Meal_entry_week_2!$Q$498&gt;0,100*$N$407/(SUM($D$407:$S$407)+0.00001),0.00001)</f>
        <v>1.0000000000000001E-5</v>
      </c>
    </row>
    <row r="249" spans="1:33">
      <c r="A249" s="905"/>
      <c r="B249" s="947" t="s">
        <v>3078</v>
      </c>
      <c r="C249" s="873"/>
      <c r="D249" s="948">
        <f>100*(SUM(O$379:O$383)/SUM($D$379:$S$383))</f>
        <v>1.6970651777284813</v>
      </c>
      <c r="E249" s="948">
        <f>IF(Meal_entry_week_2!$Q$512&gt;0,100*SUM(O$385:O$389)/SUM($D$385:$S$389),0.00001)</f>
        <v>1.0000000000000001E-5</v>
      </c>
      <c r="F249" s="948">
        <f>IF(Meal_entry_week_2!$Q$522&gt;0,100*SUM(O$391:O$395)/SUM($D$391:$S$395),0.00001)</f>
        <v>5.266075388026608</v>
      </c>
      <c r="G249" s="948">
        <f>IF(Meal_entry_week_2!$Q$532&gt;0,100*SUM(O$397:O$401)/SUM($D$397:$S$401),0.00001)</f>
        <v>0.75418646711234461</v>
      </c>
      <c r="H249" s="949">
        <f>IF(Meal_entry_week_2!$Q$542&gt;0,100*SUM(O$403:O$407)/SUM($D$403:$S$407),0.00001)</f>
        <v>1.0000000000000001E-5</v>
      </c>
      <c r="I249" s="921">
        <f>IF(Meal_entry_week_2!$Q$547&gt;0,100*$O$379/(SUM($D$379:$S$379)+0.00001),0.00001)</f>
        <v>0</v>
      </c>
      <c r="J249" s="921">
        <f>IF(Meal_entry_week_2!$Q$548&gt;0,100*O$380/(SUM($D$380:$S$380)+0.00001),0.00001)</f>
        <v>3.2877432497666592</v>
      </c>
      <c r="K249" s="921">
        <f>IF(Meal_entry_week_2!$Q$549&gt;0,100*O$381/(SUM($D$381:$S$381)+0.00001),0.00001)</f>
        <v>2.9701273162209447</v>
      </c>
      <c r="L249" s="921">
        <f>IF(Meal_entry_week_2!$Q$550&gt;0,100*O$382/(SUM($D$382:$S$382)+0.00001),0.00001)</f>
        <v>0.62220783456479256</v>
      </c>
      <c r="M249" s="921">
        <f>IF(Meal_entry_week_2!$Q$551&gt;0,100*O$383/(SUM($D$383:$S$383)+0.00001),0.00001)</f>
        <v>2.1659446490179164</v>
      </c>
      <c r="N249" s="921">
        <f>IF(Meal_entry_week_2!$Q$32&gt;0,100*$O$385/(SUM($D$385:$S$385)+0.00001),0.00001)</f>
        <v>1.0000000000000001E-5</v>
      </c>
      <c r="O249" s="921">
        <f>IF(Meal_entry_week_2!$Q$131&gt;0,100*$O$386/(SUM($D$386:$S$386)+0.00001),0.00001)</f>
        <v>1.0000000000000001E-5</v>
      </c>
      <c r="P249" s="921">
        <f>IF(Meal_entry_week_2!$Q$230&gt;0,100*$O$387/(SUM($D$387:$S$387)+0.00001),0.00001)</f>
        <v>1.0000000000000001E-5</v>
      </c>
      <c r="Q249" s="921">
        <f>IF(Meal_entry_week_2!$Q$329&gt;0,100*$O$388/(SUM($D$388:$S$388)+0.00001),0.00001)</f>
        <v>1.0000000000000001E-5</v>
      </c>
      <c r="R249" s="921">
        <f>IF(Meal_entry_week_2!$Q$428&gt;0,100*$O$389/(SUM($D$389:$S$389)+0.00001),0.00001)</f>
        <v>1.0000000000000001E-5</v>
      </c>
      <c r="S249" s="921">
        <f>IF(Meal_entry_week_2!$Q$51&gt;0,100*$O$391/(SUM($D$391:$S$391)+0.00001),0.00001)</f>
        <v>0</v>
      </c>
      <c r="T249" s="921">
        <f>IF(Meal_entry_week_2!$Q$150&gt;0,100*$O$392/(SUM($D$392:$S$392)+0.00001),0.00001)</f>
        <v>13.513512783053363</v>
      </c>
      <c r="U249" s="921">
        <f>IF(Meal_entry_week_2!$Q$249&gt;0,100*$O$393/(SUM($D$393:$S$393)+0.00001),0.00001)</f>
        <v>0</v>
      </c>
      <c r="V249" s="921">
        <f>IF(Meal_entry_week_2!$Q$348&gt;0,100*$O$394/(SUM($D$394:$S$394)+0.00001),0.00001)</f>
        <v>0</v>
      </c>
      <c r="W249" s="921">
        <f>IF(Meal_entry_week_2!$Q$447&gt;0,100*$O$395/(SUM($D$395:$S$395)+0.00001),0.00001)</f>
        <v>11.648744475918955</v>
      </c>
      <c r="X249" s="921">
        <f>IF(Meal_entry_week_2!$Q$83&gt;0,100*$O$397/(SUM($D$397:$S$397)+0.00001),0.00001)</f>
        <v>0</v>
      </c>
      <c r="Y249" s="921">
        <f>IF(Meal_entry_week_2!$Q$182&gt;0,100*$O$398/(SUM($D$398:$S$398)+0.00001),0.00001)</f>
        <v>0</v>
      </c>
      <c r="Z249" s="921">
        <f>IF(Meal_entry_week_2!$Q$281&gt;0,100*$O$399/(SUM($D$399:$S$399)+0.00001),0.00001)</f>
        <v>3.7569538868349137</v>
      </c>
      <c r="AA249" s="921">
        <f>IF(Meal_entry_week_2!$Q$380&gt;0,100*$O$400/(SUM($D$400:$S$400)+0.00001),0.00001)</f>
        <v>0.78915385676614436</v>
      </c>
      <c r="AB249" s="921">
        <f>IF(Meal_entry_week_2!$Q$479&gt;0,100*$O$401/(SUM($D$401:$S$401)+0.00001),0.00001)</f>
        <v>0</v>
      </c>
      <c r="AC249" s="921">
        <f>IF(Meal_entry_week_2!$Q$102&gt;0,100*$O$403/(SUM($D$403:$S$403)+0.00001),0.00001)</f>
        <v>1.0000000000000001E-5</v>
      </c>
      <c r="AD249" s="921">
        <f>IF(Meal_entry_week_2!$Q$201&gt;0,100*$O$404/(SUM($D$404:$S$404)+0.00001),0.00001)</f>
        <v>1.0000000000000001E-5</v>
      </c>
      <c r="AE249" s="921">
        <f>IF(Meal_entry_week_2!$Q$300&gt;0,100*$O$405/(SUM($D$405:$S$405)+0.00001),0.00001)</f>
        <v>1.0000000000000001E-5</v>
      </c>
      <c r="AF249" s="921">
        <f>IF(Meal_entry_week_2!$Q$399&gt;0,100*$O$406/(SUM($D$406:$S$406)+0.00001),0.00001)</f>
        <v>1.0000000000000001E-5</v>
      </c>
      <c r="AG249" s="921">
        <f>IF(Meal_entry_week_2!$Q$498&gt;0,100*$O$407/(SUM($D$407:$S$407)+0.00001),0.00001)</f>
        <v>1.0000000000000001E-5</v>
      </c>
    </row>
    <row r="250" spans="1:33">
      <c r="A250" s="905"/>
      <c r="B250" s="947" t="s">
        <v>3551</v>
      </c>
      <c r="C250" s="873"/>
      <c r="D250" s="948">
        <f>100*(SUM(P$379:P$383)/SUM($D$379:$S$383))</f>
        <v>15.493683789841937</v>
      </c>
      <c r="E250" s="948">
        <f>IF(Meal_entry_week_2!$Q$512&gt;0,100*SUM(P$385:P$389)/SUM($D$385:$S$389),0.00001)</f>
        <v>1.0000000000000001E-5</v>
      </c>
      <c r="F250" s="948">
        <f>IF(Meal_entry_week_2!$Q$522&gt;0,100*SUM(P$391:P$395)/SUM($D$391:$S$395),0.00001)</f>
        <v>24.944567627494461</v>
      </c>
      <c r="G250" s="948">
        <f>IF(Meal_entry_week_2!$Q$532&gt;0,100*SUM(P$397:P$401)/SUM($D$397:$S$401),0.00001)</f>
        <v>12.996902709945743</v>
      </c>
      <c r="H250" s="949">
        <f>IF(Meal_entry_week_2!$Q$542&gt;0,100*SUM(P$403:P$407)/SUM($D$403:$S$407),0.00001)</f>
        <v>1.0000000000000001E-5</v>
      </c>
      <c r="I250" s="921">
        <f>IF(Meal_entry_week_2!$Q$547&gt;0,100*$P$379/(SUM($D$379:$S$379)+0.00001),0.00001)</f>
        <v>6.5479307680993877</v>
      </c>
      <c r="J250" s="921">
        <f>IF(Meal_entry_week_2!$Q$548&gt;0,100*P$380/(SUM($D$380:$S$380)+0.00001),0.00001)</f>
        <v>17.753813548739959</v>
      </c>
      <c r="K250" s="921">
        <f>IF(Meal_entry_week_2!$Q$549&gt;0,100*P$381/(SUM($D$381:$S$381)+0.00001),0.00001)</f>
        <v>24.751060968507872</v>
      </c>
      <c r="L250" s="921">
        <f>IF(Meal_entry_week_2!$Q$550&gt;0,100*P$382/(SUM($D$382:$S$382)+0.00001),0.00001)</f>
        <v>18.044027202378984</v>
      </c>
      <c r="M250" s="921">
        <f>IF(Meal_entry_week_2!$Q$551&gt;0,100*P$383/(SUM($D$383:$S$383)+0.00001),0.00001)</f>
        <v>12.495834513564903</v>
      </c>
      <c r="N250" s="921">
        <f>IF(Meal_entry_week_2!$Q$32&gt;0,100*$P$385/(SUM($D$385:$S$385)+0.00001),0.00001)</f>
        <v>1.0000000000000001E-5</v>
      </c>
      <c r="O250" s="921">
        <f>IF(Meal_entry_week_2!$Q$131&gt;0,100*$P$386/(SUM($D$386:$S$386)+0.00001),0.00001)</f>
        <v>1.0000000000000001E-5</v>
      </c>
      <c r="P250" s="921">
        <f>IF(Meal_entry_week_2!$Q$230&gt;0,100*$P$387/(SUM($D$387:$S$387)+0.00001),0.00001)</f>
        <v>1.0000000000000001E-5</v>
      </c>
      <c r="Q250" s="921">
        <f>IF(Meal_entry_week_2!$Q$329&gt;0,100*$P$388/(SUM($D$388:$S$388)+0.00001),0.00001)</f>
        <v>1.0000000000000001E-5</v>
      </c>
      <c r="R250" s="921">
        <f>IF(Meal_entry_week_2!$Q$428&gt;0,100*$P$389/(SUM($D$389:$S$389)+0.00001),0.00001)</f>
        <v>1.0000000000000001E-5</v>
      </c>
      <c r="S250" s="921">
        <f>IF(Meal_entry_week_2!$Q$51&gt;0,100*$P$391/(SUM($D$391:$S$391)+0.00001),0.00001)</f>
        <v>0</v>
      </c>
      <c r="T250" s="921">
        <f>IF(Meal_entry_week_2!$Q$150&gt;0,100*$P$392/(SUM($D$392:$S$392)+0.00001),0.00001)</f>
        <v>32.432430679328071</v>
      </c>
      <c r="U250" s="921">
        <f>IF(Meal_entry_week_2!$Q$249&gt;0,100*$P$393/(SUM($D$393:$S$393)+0.00001),0.00001)</f>
        <v>45.454541322314427</v>
      </c>
      <c r="V250" s="921">
        <f>IF(Meal_entry_week_2!$Q$348&gt;0,100*$P$394/(SUM($D$394:$S$394)+0.00001),0.00001)</f>
        <v>41.17646816609011</v>
      </c>
      <c r="W250" s="921">
        <f>IF(Meal_entry_week_2!$Q$447&gt;0,100*$P$395/(SUM($D$395:$S$395)+0.00001),0.00001)</f>
        <v>0</v>
      </c>
      <c r="X250" s="921">
        <f>IF(Meal_entry_week_2!$Q$83&gt;0,100*$P$397/(SUM($D$397:$S$397)+0.00001),0.00001)</f>
        <v>8.082767408943301</v>
      </c>
      <c r="Y250" s="921">
        <f>IF(Meal_entry_week_2!$Q$182&gt;0,100*$P$398/(SUM($D$398:$S$398)+0.00001),0.00001)</f>
        <v>13.034410618102006</v>
      </c>
      <c r="Z250" s="921">
        <f>IF(Meal_entry_week_2!$Q$281&gt;0,100*$P$399/(SUM($D$399:$S$399)+0.00001),0.00001)</f>
        <v>19.266430188896994</v>
      </c>
      <c r="AA250" s="921">
        <f>IF(Meal_entry_week_2!$Q$380&gt;0,100*$P$400/(SUM($D$400:$S$400)+0.00001),0.00001)</f>
        <v>11.837307851492167</v>
      </c>
      <c r="AB250" s="921">
        <f>IF(Meal_entry_week_2!$Q$479&gt;0,100*$P$401/(SUM($D$401:$S$401)+0.00001),0.00001)</f>
        <v>15.349979219198133</v>
      </c>
      <c r="AC250" s="921">
        <f>IF(Meal_entry_week_2!$Q$102&gt;0,100*$P$403/(SUM($D$403:$S$403)+0.00001),0.00001)</f>
        <v>1.0000000000000001E-5</v>
      </c>
      <c r="AD250" s="921">
        <f>IF(Meal_entry_week_2!$Q$201&gt;0,100*$P$404/(SUM($D$404:$S$404)+0.00001),0.00001)</f>
        <v>1.0000000000000001E-5</v>
      </c>
      <c r="AE250" s="921">
        <f>IF(Meal_entry_week_2!$Q$300&gt;0,100*$P$405/(SUM($D$405:$S$405)+0.00001),0.00001)</f>
        <v>1.0000000000000001E-5</v>
      </c>
      <c r="AF250" s="921">
        <f>IF(Meal_entry_week_2!$Q$399&gt;0,100*$P$406/(SUM($D$406:$S$406)+0.00001),0.00001)</f>
        <v>1.0000000000000001E-5</v>
      </c>
      <c r="AG250" s="921">
        <f>IF(Meal_entry_week_2!$Q$498&gt;0,100*$P$407/(SUM($D$407:$S$407)+0.00001),0.00001)</f>
        <v>1.0000000000000001E-5</v>
      </c>
    </row>
    <row r="251" spans="1:33">
      <c r="A251" s="905"/>
      <c r="B251" s="947" t="s">
        <v>3082</v>
      </c>
      <c r="C251" s="873"/>
      <c r="D251" s="948">
        <f>100*(SUM(Q$379:Q$383)/SUM($D$379:$S$383))</f>
        <v>0</v>
      </c>
      <c r="E251" s="948">
        <f>IF(Meal_entry_week_2!$Q$512&gt;0,100*SUM(Q$385:Q$389)/SUM($D$385:$S$389),0.00001)</f>
        <v>1.0000000000000001E-5</v>
      </c>
      <c r="F251" s="948">
        <f>IF(Meal_entry_week_2!$Q$522&gt;0,100*SUM(Q$391:Q$395)/SUM($D$391:$S$395),0.00001)</f>
        <v>0</v>
      </c>
      <c r="G251" s="948">
        <f>IF(Meal_entry_week_2!$Q$532&gt;0,100*SUM(Q$397:Q$401)/SUM($D$397:$S$401),0.00001)</f>
        <v>0</v>
      </c>
      <c r="H251" s="949">
        <f>IF(Meal_entry_week_2!$Q$542&gt;0,100*SUM(Q$403:Q$407)/SUM($D$403:$S$407),0.00001)</f>
        <v>1.0000000000000001E-5</v>
      </c>
      <c r="I251" s="921">
        <f>IF(Meal_entry_week_2!$Q$547&gt;0,100*$Q$379/(SUM($D$379:$S$379)+0.00001),0.00001)</f>
        <v>0</v>
      </c>
      <c r="J251" s="921">
        <f>IF(Meal_entry_week_2!$Q$548&gt;0,100*Q$380/(SUM($D$380:$S$380)+0.00001),0.00001)</f>
        <v>0</v>
      </c>
      <c r="K251" s="921">
        <f>IF(Meal_entry_week_2!$Q$549&gt;0,100*Q$381/(SUM($D$381:$S$381)+0.00001),0.00001)</f>
        <v>0</v>
      </c>
      <c r="L251" s="921">
        <f>IF(Meal_entry_week_2!$Q$550&gt;0,100*Q$382/(SUM($D$382:$S$382)+0.00001),0.00001)</f>
        <v>0</v>
      </c>
      <c r="M251" s="921">
        <f>IF(Meal_entry_week_2!$Q$551&gt;0,100*Q$383/(SUM($D$383:$S$383)+0.00001),0.00001)</f>
        <v>0</v>
      </c>
      <c r="N251" s="921">
        <f>IF(Meal_entry_week_2!$Q$32&gt;0,100*$Q$385/(SUM($D$385:$S$385)+0.00001),0.00001)</f>
        <v>1.0000000000000001E-5</v>
      </c>
      <c r="O251" s="921">
        <f>IF(Meal_entry_week_2!$Q$131&gt;0,100*$Q$386/(SUM($D$386:$S$386)+0.00001),0.00001)</f>
        <v>1.0000000000000001E-5</v>
      </c>
      <c r="P251" s="921">
        <f>IF(Meal_entry_week_2!$Q$230&gt;0,100*$Q$387/(SUM($D$387:$S$387)+0.00001),0.00001)</f>
        <v>1.0000000000000001E-5</v>
      </c>
      <c r="Q251" s="921">
        <f>IF(Meal_entry_week_2!$Q$329&gt;0,100*$Q$388/(SUM($D$388:$S$388)+0.00001),0.00001)</f>
        <v>1.0000000000000001E-5</v>
      </c>
      <c r="R251" s="921">
        <f>IF(Meal_entry_week_2!$Q$428&gt;0,100*$Q$389/(SUM($D$389:$S$389)+0.00001),0.00001)</f>
        <v>1.0000000000000001E-5</v>
      </c>
      <c r="S251" s="921">
        <f>IF(Meal_entry_week_2!$Q$51&gt;0,100*$Q$391/(SUM($D$391:$S$391)+0.00001),0.00001)</f>
        <v>0</v>
      </c>
      <c r="T251" s="921">
        <f>IF(Meal_entry_week_2!$Q$150&gt;0,100*$Q$392/(SUM($D$392:$S$392)+0.00001),0.00001)</f>
        <v>0</v>
      </c>
      <c r="U251" s="921">
        <f>IF(Meal_entry_week_2!$Q$249&gt;0,100*$Q$393/(SUM($D$393:$S$393)+0.00001),0.00001)</f>
        <v>0</v>
      </c>
      <c r="V251" s="921">
        <f>IF(Meal_entry_week_2!$Q$348&gt;0,100*$Q$394/(SUM($D$394:$S$394)+0.00001),0.00001)</f>
        <v>0</v>
      </c>
      <c r="W251" s="921">
        <f>IF(Meal_entry_week_2!$Q$447&gt;0,100*$Q$395/(SUM($D$395:$S$395)+0.00001),0.00001)</f>
        <v>0</v>
      </c>
      <c r="X251" s="921">
        <f>IF(Meal_entry_week_2!$Q$83&gt;0,100*$Q$397/(SUM($D$397:$S$397)+0.00001),0.00001)</f>
        <v>0</v>
      </c>
      <c r="Y251" s="921">
        <f>IF(Meal_entry_week_2!$Q$182&gt;0,100*$Q$398/(SUM($D$398:$S$398)+0.00001),0.00001)</f>
        <v>0</v>
      </c>
      <c r="Z251" s="921">
        <f>IF(Meal_entry_week_2!$Q$281&gt;0,100*$Q$399/(SUM($D$399:$S$399)+0.00001),0.00001)</f>
        <v>0</v>
      </c>
      <c r="AA251" s="921">
        <f>IF(Meal_entry_week_2!$Q$380&gt;0,100*$Q$400/(SUM($D$400:$S$400)+0.00001),0.00001)</f>
        <v>0</v>
      </c>
      <c r="AB251" s="921">
        <f>IF(Meal_entry_week_2!$Q$479&gt;0,100*$Q$401/(SUM($D$401:$S$401)+0.00001),0.00001)</f>
        <v>0</v>
      </c>
      <c r="AC251" s="921">
        <f>IF(Meal_entry_week_2!$Q$102&gt;0,100*$Q$403/(SUM($D$403:$S$403)+0.00001),0.00001)</f>
        <v>1.0000000000000001E-5</v>
      </c>
      <c r="AD251" s="921">
        <f>IF(Meal_entry_week_2!$Q$201&gt;0,100*$Q$404/(SUM($D$404:$S$404)+0.00001),0.00001)</f>
        <v>1.0000000000000001E-5</v>
      </c>
      <c r="AE251" s="921">
        <f>IF(Meal_entry_week_2!$Q$300&gt;0,100*$Q$405/(SUM($D$405:$S$405)+0.00001),0.00001)</f>
        <v>1.0000000000000001E-5</v>
      </c>
      <c r="AF251" s="921">
        <f>IF(Meal_entry_week_2!$Q$399&gt;0,100*$Q$406/(SUM($D$406:$S$406)+0.00001),0.00001)</f>
        <v>1.0000000000000001E-5</v>
      </c>
      <c r="AG251" s="921">
        <f>IF(Meal_entry_week_2!$Q$498&gt;0,100*$Q$407/(SUM($D$407:$S$407)+0.00001),0.00001)</f>
        <v>1.0000000000000001E-5</v>
      </c>
    </row>
    <row r="252" spans="1:33">
      <c r="A252" s="905"/>
      <c r="B252" s="951" t="s">
        <v>1734</v>
      </c>
      <c r="C252" s="873"/>
      <c r="D252" s="948">
        <f>100*(SUM(R$379:R$383)/SUM($D$379:$S$383))</f>
        <v>0</v>
      </c>
      <c r="E252" s="948">
        <f>IF(Meal_entry_week_2!$Q$512&gt;0,100*SUM(R$385:R$389)/SUM($D$385:$S$389),0.00001)</f>
        <v>1.0000000000000001E-5</v>
      </c>
      <c r="F252" s="948">
        <f>IF(Meal_entry_week_2!$Q$522&gt;0,100*SUM(R$391:R$395)/SUM($D$391:$S$395),0.00001)</f>
        <v>0</v>
      </c>
      <c r="G252" s="948">
        <f>IF(Meal_entry_week_2!$Q$532&gt;0,100*SUM(R$397:R$401)/SUM($D$397:$S$401),0.00001)</f>
        <v>0</v>
      </c>
      <c r="H252" s="949">
        <f>IF(Meal_entry_week_2!$Q$542&gt;0,100*SUM(R$403:R$407)/SUM($D$403:$S$407),0.00001)</f>
        <v>1.0000000000000001E-5</v>
      </c>
      <c r="I252" s="921">
        <f>IF(Meal_entry_week_2!$Q$547&gt;0,100*$R$379/(SUM($D$379:$S$379)+0.00001),0.00001)</f>
        <v>0</v>
      </c>
      <c r="J252" s="921">
        <f>IF(Meal_entry_week_2!$Q$548&gt;0,100*R$380/(SUM($D$380:$S$380)+0.00001),0.00001)</f>
        <v>0</v>
      </c>
      <c r="K252" s="921">
        <f>IF(Meal_entry_week_2!$Q$549&gt;0,100*R$381/(SUM($D$381:$S$381)+0.00001),0.00001)</f>
        <v>0</v>
      </c>
      <c r="L252" s="921">
        <f>IF(Meal_entry_week_2!$Q$550&gt;0,100*R$382/(SUM($D$382:$S$382)+0.00001),0.00001)</f>
        <v>0</v>
      </c>
      <c r="M252" s="921">
        <f>IF(Meal_entry_week_2!$Q$551&gt;0,100*R$383/(SUM($D$383:$S$383)+0.00001),0.00001)</f>
        <v>0</v>
      </c>
      <c r="N252" s="921">
        <f>IF(Meal_entry_week_2!$Q$32&gt;0,100*$R$385/(SUM($D$385:$S$385)+0.00001),0.00001)</f>
        <v>1.0000000000000001E-5</v>
      </c>
      <c r="O252" s="921">
        <f>IF(Meal_entry_week_2!$Q$131&gt;0,100*$R$386/(SUM($D$386:$S$386)+0.00001),0.00001)</f>
        <v>1.0000000000000001E-5</v>
      </c>
      <c r="P252" s="921">
        <f>IF(Meal_entry_week_2!$Q$230&gt;0,100*$R$387/(SUM($D$387:$S$387)+0.00001),0.00001)</f>
        <v>1.0000000000000001E-5</v>
      </c>
      <c r="Q252" s="921">
        <f>IF(Meal_entry_week_2!$Q$329&gt;0,100*$R$388/(SUM($D$388:$S$388)+0.00001),0.00001)</f>
        <v>1.0000000000000001E-5</v>
      </c>
      <c r="R252" s="921">
        <f>IF(Meal_entry_week_2!$Q$428&gt;0,100*$R$389/(SUM($D$389:$S$389)+0.00001),0.00001)</f>
        <v>1.0000000000000001E-5</v>
      </c>
      <c r="S252" s="921">
        <f>IF(Meal_entry_week_2!$Q$51&gt;0,100*$R$391/(SUM($D$391:$S$391)+0.00001),0.00001)</f>
        <v>0</v>
      </c>
      <c r="T252" s="921">
        <f>IF(Meal_entry_week_2!$Q$150&gt;0,100*$R$392/(SUM($D$392:$S$392)+0.00001),0.00001)</f>
        <v>0</v>
      </c>
      <c r="U252" s="921">
        <f>IF(Meal_entry_week_2!$Q$249&gt;0,100*$R$393/(SUM($D$393:$S$393)+0.00001),0.00001)</f>
        <v>0</v>
      </c>
      <c r="V252" s="921">
        <f>IF(Meal_entry_week_2!$Q$348&gt;0,100*$R$394/(SUM($D$394:$S$394)+0.00001),0.00001)</f>
        <v>0</v>
      </c>
      <c r="W252" s="921">
        <f>IF(Meal_entry_week_2!$Q$447&gt;0,100*$R$395/(SUM($D$395:$S$395)+0.00001),0.00001)</f>
        <v>0</v>
      </c>
      <c r="X252" s="921">
        <f>IF(Meal_entry_week_2!$Q$83&gt;0,100*$R$397/(SUM($D$397:$S$397)+0.00001),0.00001)</f>
        <v>0</v>
      </c>
      <c r="Y252" s="921">
        <f>IF(Meal_entry_week_2!$Q$182&gt;0,100*$R$398/(SUM($D$398:$S$398)+0.00001),0.00001)</f>
        <v>0</v>
      </c>
      <c r="Z252" s="921">
        <f>IF(Meal_entry_week_2!$Q$281&gt;0,100*$R$399/(SUM($D$399:$S$399)+0.00001),0.00001)</f>
        <v>0</v>
      </c>
      <c r="AA252" s="921">
        <f>IF(Meal_entry_week_2!$Q$380&gt;0,100*$R$400/(SUM($D$400:$S$400)+0.00001),0.00001)</f>
        <v>0</v>
      </c>
      <c r="AB252" s="921">
        <f>IF(Meal_entry_week_2!$Q$479&gt;0,100*$R$401/(SUM($D$401:$S$401)+0.00001),0.00001)</f>
        <v>0</v>
      </c>
      <c r="AC252" s="921">
        <f>IF(Meal_entry_week_2!$Q$102&gt;0,100*$R$403/(SUM($D$403:$S$403)+0.00001),0.00001)</f>
        <v>1.0000000000000001E-5</v>
      </c>
      <c r="AD252" s="921">
        <f>IF(Meal_entry_week_2!$Q$201&gt;0,100*$R$404/(SUM($D$404:$S$404)+0.00001),0.00001)</f>
        <v>1.0000000000000001E-5</v>
      </c>
      <c r="AE252" s="921">
        <f>IF(Meal_entry_week_2!$Q$300&gt;0,100*$R$405/(SUM($D$405:$S$405)+0.00001),0.00001)</f>
        <v>1.0000000000000001E-5</v>
      </c>
      <c r="AF252" s="921">
        <f>IF(Meal_entry_week_2!$Q$399&gt;0,100*$R$406/(SUM($D$406:$S$406)+0.00001),0.00001)</f>
        <v>1.0000000000000001E-5</v>
      </c>
      <c r="AG252" s="921">
        <f>IF(Meal_entry_week_2!$Q$498&gt;0,100*$R$407/(SUM($D$407:$S$407)+0.00001),0.00001)</f>
        <v>1.0000000000000001E-5</v>
      </c>
    </row>
    <row r="253" spans="1:33" ht="15" thickBot="1">
      <c r="A253" s="905"/>
      <c r="B253" s="952" t="s">
        <v>3084</v>
      </c>
      <c r="C253" s="873"/>
      <c r="D253" s="953">
        <f>100*(SUM(S$379:S$383)/SUM($D$379:$S$383))</f>
        <v>0</v>
      </c>
      <c r="E253" s="953">
        <f>IF(Meal_entry_week_2!$Q$512&gt;0,100*SUM(S$385:S$389)/SUM($D$385:$S$389),0.00001)</f>
        <v>1.0000000000000001E-5</v>
      </c>
      <c r="F253" s="953">
        <f>IF(Meal_entry_week_2!$Q$522&gt;0,100*SUM(S$391:S$395)/SUM($D$391:$S$395),0.00001)</f>
        <v>0</v>
      </c>
      <c r="G253" s="953">
        <f>IF(Meal_entry_week_2!$Q$532&gt;0,100*SUM(S$397:S$401)/SUM($D$397:$S$401),0.00001)</f>
        <v>0</v>
      </c>
      <c r="H253" s="954">
        <f>IF(Meal_entry_week_2!$Q$542&gt;0,100*SUM(S$403:S$407)/SUM($D$403:$S$407),0.00001)</f>
        <v>1.0000000000000001E-5</v>
      </c>
      <c r="I253" s="921">
        <f>IF(Meal_entry_week_2!$Q$547&gt;0,100*$S$379/(SUM($D$379:$S$379)+0.00001),0.00001)</f>
        <v>0</v>
      </c>
      <c r="J253" s="921">
        <f>IF(Meal_entry_week_2!$Q$548&gt;0,100*S$380/(SUM($D$380:$S$380)+0.00001),0.00001)</f>
        <v>0</v>
      </c>
      <c r="K253" s="921">
        <f>IF(Meal_entry_week_2!$Q$549&gt;0,100*S$381/(SUM($D$381:$S$381)+0.00001),0.00001)</f>
        <v>0</v>
      </c>
      <c r="L253" s="921">
        <f>IF(Meal_entry_week_2!$Q$550&gt;0,100*S$382/(SUM($D$382:$S$382)+0.00001),0.00001)</f>
        <v>0</v>
      </c>
      <c r="M253" s="921">
        <f>IF(Meal_entry_week_2!$Q$551&gt;0,100*S$383/(SUM($D$383:$S$383)+0.00001),0.00001)</f>
        <v>0</v>
      </c>
      <c r="N253" s="921">
        <f>IF(Meal_entry_week_2!$Q$32&gt;0,100*$S$385/(SUM($D$385:$S$385)+0.00001),0.00001)</f>
        <v>1.0000000000000001E-5</v>
      </c>
      <c r="O253" s="921">
        <f>IF(Meal_entry_week_2!$Q$131&gt;0,100*$S$386/(SUM($D$386:$S$386)+0.00001),0.00001)</f>
        <v>1.0000000000000001E-5</v>
      </c>
      <c r="P253" s="921">
        <f>IF(Meal_entry_week_2!$Q$230&gt;0,100*$S$387/(SUM($D$387:$S$387)+0.00001),0.00001)</f>
        <v>1.0000000000000001E-5</v>
      </c>
      <c r="Q253" s="921">
        <f>IF(Meal_entry_week_2!$Q$329&gt;0,100*$S$388/(SUM($D$388:$S$388)+0.00001),0.00001)</f>
        <v>1.0000000000000001E-5</v>
      </c>
      <c r="R253" s="921">
        <f>IF(Meal_entry_week_2!$Q$428&gt;0,100*$S$389/(SUM($D$389:$S$389)+0.00001),0.00001)</f>
        <v>1.0000000000000001E-5</v>
      </c>
      <c r="S253" s="921">
        <f>IF(Meal_entry_week_2!$Q$51&gt;0,100*$S$391/(SUM($D$391:$S$391)+0.00001),0.00001)</f>
        <v>0</v>
      </c>
      <c r="T253" s="921">
        <f>IF(Meal_entry_week_2!$Q$150&gt;0,100*$S$392/(SUM($D$392:$S$392)+0.00001),0.00001)</f>
        <v>0</v>
      </c>
      <c r="U253" s="921">
        <f>IF(Meal_entry_week_2!$Q$249&gt;0,100*$S$393/(SUM($D$393:$S$393)+0.00001),0.00001)</f>
        <v>0</v>
      </c>
      <c r="V253" s="921">
        <f>IF(Meal_entry_week_2!$Q$348&gt;0,100*$S$394/(SUM($D$394:$S$394)+0.00001),0.00001)</f>
        <v>0</v>
      </c>
      <c r="W253" s="921">
        <f>IF(Meal_entry_week_2!$Q$447&gt;0,100*$S$395/(SUM($D$395:$S$395)+0.00001),0.00001)</f>
        <v>0</v>
      </c>
      <c r="X253" s="921">
        <f>IF(Meal_entry_week_2!$Q$83&gt;0,100*$S$397/(SUM($D$397:$S$397)+0.00001),0.00001)</f>
        <v>0</v>
      </c>
      <c r="Y253" s="921">
        <f>IF(Meal_entry_week_2!$Q$182&gt;0,100*$S$398/(SUM($D$398:$S$398)+0.00001),0.00001)</f>
        <v>0</v>
      </c>
      <c r="Z253" s="921">
        <f>IF(Meal_entry_week_2!$Q$281&gt;0,100*$S$399/(SUM($D$399:$S$399)+0.00001),0.00001)</f>
        <v>0</v>
      </c>
      <c r="AA253" s="921">
        <f>IF(Meal_entry_week_2!$Q$380&gt;0,100*$S$400/(SUM($D$400:$S$400)+0.00001),0.00001)</f>
        <v>0</v>
      </c>
      <c r="AB253" s="921">
        <f>IF(Meal_entry_week_2!$Q$479&gt;0,100*$S$401/(SUM($D$401:$S$401)+0.00001),0.00001)</f>
        <v>0</v>
      </c>
      <c r="AC253" s="921">
        <f>IF(Meal_entry_week_2!$Q$102&gt;0,100*$S$403/(SUM($D$403:$S$403)+0.00001),0.00001)</f>
        <v>1.0000000000000001E-5</v>
      </c>
      <c r="AD253" s="921">
        <f>IF(Meal_entry_week_2!$Q$201&gt;0,100*$S$404/(SUM($D$404:$S$404)+0.00001),0.00001)</f>
        <v>1.0000000000000001E-5</v>
      </c>
      <c r="AE253" s="921">
        <f>IF(Meal_entry_week_2!$Q$300&gt;0,100*$S$405/(SUM($D$405:$S$405)+0.00001),0.00001)</f>
        <v>1.0000000000000001E-5</v>
      </c>
      <c r="AF253" s="921">
        <f>IF(Meal_entry_week_2!$Q$399&gt;0,100*$S$406/(SUM($D$406:$S$406)+0.00001),0.00001)</f>
        <v>1.0000000000000001E-5</v>
      </c>
      <c r="AG253" s="921">
        <f>IF(Meal_entry_week_2!$Q$498&gt;0,100*$S$407/(SUM($D$407:$S$407)+0.00001),0.00001)</f>
        <v>1.0000000000000001E-5</v>
      </c>
    </row>
    <row r="254" spans="1:33">
      <c r="A254" s="905"/>
      <c r="B254" s="913"/>
      <c r="C254" s="873"/>
      <c r="D254" s="955"/>
      <c r="E254" s="913"/>
      <c r="F254" s="913"/>
      <c r="G254" s="913"/>
      <c r="H254" s="913"/>
      <c r="I254" s="913"/>
      <c r="J254" s="913"/>
      <c r="K254" s="913"/>
      <c r="L254" s="913"/>
      <c r="M254" s="913"/>
      <c r="N254" s="921" t="s">
        <v>2569</v>
      </c>
      <c r="O254" s="913"/>
      <c r="P254" s="913"/>
      <c r="Q254" s="913"/>
      <c r="R254" s="913"/>
      <c r="S254" s="913"/>
      <c r="T254" s="913"/>
      <c r="U254" s="913"/>
      <c r="V254" s="913"/>
      <c r="W254" s="913"/>
      <c r="X254" s="913"/>
      <c r="Y254" s="913"/>
      <c r="Z254" s="913"/>
      <c r="AA254" s="913"/>
      <c r="AB254" s="913"/>
      <c r="AC254" s="913"/>
      <c r="AD254" s="913"/>
      <c r="AE254" s="913"/>
      <c r="AF254" s="913"/>
      <c r="AG254" s="913"/>
    </row>
    <row r="255" spans="1:33" s="406" customFormat="1">
      <c r="A255" s="872"/>
      <c r="B255" s="956" t="s">
        <v>2495</v>
      </c>
      <c r="C255" s="873"/>
      <c r="D255" s="913" t="s">
        <v>3629</v>
      </c>
      <c r="E255" s="913" t="s">
        <v>3590</v>
      </c>
      <c r="F255" s="913" t="s">
        <v>3640</v>
      </c>
      <c r="G255" s="945" t="s">
        <v>3592</v>
      </c>
      <c r="H255" s="945" t="s">
        <v>3606</v>
      </c>
      <c r="I255" s="945" t="s">
        <v>3609</v>
      </c>
      <c r="J255" s="945" t="s">
        <v>3610</v>
      </c>
      <c r="K255" s="945" t="s">
        <v>3611</v>
      </c>
      <c r="L255" s="945" t="s">
        <v>3612</v>
      </c>
      <c r="M255" s="945" t="s">
        <v>3613</v>
      </c>
      <c r="N255" s="945" t="s">
        <v>3624</v>
      </c>
      <c r="O255" s="945" t="s">
        <v>3625</v>
      </c>
      <c r="P255" s="945" t="s">
        <v>3626</v>
      </c>
      <c r="Q255" s="945" t="s">
        <v>3627</v>
      </c>
      <c r="R255" s="945" t="s">
        <v>3628</v>
      </c>
      <c r="S255" s="945" t="s">
        <v>3635</v>
      </c>
      <c r="T255" s="945" t="s">
        <v>3636</v>
      </c>
      <c r="U255" s="945" t="s">
        <v>3637</v>
      </c>
      <c r="V255" s="945" t="s">
        <v>3638</v>
      </c>
      <c r="W255" s="945" t="s">
        <v>3639</v>
      </c>
      <c r="X255" s="945" t="s">
        <v>3646</v>
      </c>
      <c r="Y255" s="945" t="s">
        <v>3647</v>
      </c>
      <c r="Z255" s="945" t="s">
        <v>3648</v>
      </c>
      <c r="AA255" s="945" t="s">
        <v>3649</v>
      </c>
      <c r="AB255" s="945" t="s">
        <v>3650</v>
      </c>
      <c r="AC255" s="945" t="s">
        <v>3651</v>
      </c>
      <c r="AD255" s="945" t="s">
        <v>3652</v>
      </c>
      <c r="AE255" s="945" t="s">
        <v>3653</v>
      </c>
      <c r="AF255" s="945" t="s">
        <v>3654</v>
      </c>
      <c r="AG255" s="945" t="s">
        <v>3655</v>
      </c>
    </row>
    <row r="256" spans="1:33">
      <c r="A256" s="909"/>
      <c r="B256" s="957"/>
      <c r="C256" s="958"/>
      <c r="D256" s="793" t="s">
        <v>3589</v>
      </c>
      <c r="E256" s="793" t="s">
        <v>3591</v>
      </c>
      <c r="F256" s="793" t="s">
        <v>3608</v>
      </c>
      <c r="G256" s="793" t="s">
        <v>3593</v>
      </c>
      <c r="H256" s="793" t="s">
        <v>3607</v>
      </c>
      <c r="I256" s="793" t="s">
        <v>3614</v>
      </c>
      <c r="J256" s="793" t="s">
        <v>3615</v>
      </c>
      <c r="K256" s="793" t="s">
        <v>3616</v>
      </c>
      <c r="L256" s="793" t="s">
        <v>3617</v>
      </c>
      <c r="M256" s="793" t="s">
        <v>3618</v>
      </c>
      <c r="N256" s="793" t="s">
        <v>3619</v>
      </c>
      <c r="O256" s="793" t="s">
        <v>3620</v>
      </c>
      <c r="P256" s="793" t="s">
        <v>3621</v>
      </c>
      <c r="Q256" s="793" t="s">
        <v>3622</v>
      </c>
      <c r="R256" s="793" t="s">
        <v>3623</v>
      </c>
      <c r="S256" s="793" t="s">
        <v>3630</v>
      </c>
      <c r="T256" s="793" t="s">
        <v>3631</v>
      </c>
      <c r="U256" s="793" t="s">
        <v>3632</v>
      </c>
      <c r="V256" s="793" t="s">
        <v>3633</v>
      </c>
      <c r="W256" s="793" t="s">
        <v>3634</v>
      </c>
      <c r="X256" s="793" t="s">
        <v>3641</v>
      </c>
      <c r="Y256" s="793" t="s">
        <v>3642</v>
      </c>
      <c r="Z256" s="793" t="s">
        <v>3643</v>
      </c>
      <c r="AA256" s="793" t="s">
        <v>3644</v>
      </c>
      <c r="AB256" s="793" t="s">
        <v>3645</v>
      </c>
      <c r="AC256" s="793" t="s">
        <v>3656</v>
      </c>
      <c r="AD256" s="793" t="s">
        <v>3657</v>
      </c>
      <c r="AE256" s="793" t="s">
        <v>3658</v>
      </c>
      <c r="AF256" s="793" t="s">
        <v>3659</v>
      </c>
      <c r="AG256" s="793" t="s">
        <v>3660</v>
      </c>
    </row>
    <row r="257" spans="1:33">
      <c r="A257" s="905"/>
      <c r="B257" s="913"/>
      <c r="C257" s="873"/>
      <c r="D257" s="959"/>
      <c r="E257" s="959"/>
      <c r="F257" s="960"/>
      <c r="G257" s="960"/>
      <c r="H257" s="960"/>
      <c r="I257" s="960"/>
      <c r="J257" s="913"/>
      <c r="K257" s="913"/>
      <c r="L257" s="913"/>
      <c r="M257" s="913"/>
      <c r="N257" s="913"/>
      <c r="O257" s="913"/>
      <c r="P257" s="913"/>
      <c r="Q257" s="913"/>
      <c r="R257" s="913"/>
      <c r="S257" s="913"/>
      <c r="T257" s="913"/>
      <c r="U257" s="913"/>
      <c r="V257" s="913"/>
      <c r="W257" s="913"/>
      <c r="X257" s="913"/>
      <c r="Y257" s="913"/>
      <c r="Z257" s="913"/>
      <c r="AA257" s="913"/>
      <c r="AB257" s="913"/>
      <c r="AC257" s="913"/>
      <c r="AD257" s="913"/>
      <c r="AE257" s="913"/>
      <c r="AF257" s="913"/>
      <c r="AG257" s="913"/>
    </row>
    <row r="258" spans="1:33" ht="15" thickBot="1">
      <c r="A258" s="905"/>
      <c r="B258" s="913"/>
      <c r="C258" s="873"/>
      <c r="D258" s="913"/>
      <c r="E258" s="913"/>
      <c r="F258" s="913"/>
      <c r="G258" s="913"/>
      <c r="H258" s="913"/>
      <c r="I258" s="913"/>
      <c r="J258" s="913"/>
      <c r="K258" s="913"/>
      <c r="L258" s="913"/>
      <c r="M258" s="913"/>
      <c r="N258" s="913"/>
      <c r="O258" s="913"/>
      <c r="P258" s="913"/>
      <c r="Q258" s="913"/>
      <c r="R258" s="913"/>
      <c r="S258" s="913"/>
      <c r="T258" s="913"/>
      <c r="U258" s="913"/>
      <c r="V258" s="913"/>
      <c r="W258" s="913"/>
      <c r="X258" s="913"/>
      <c r="Y258" s="913"/>
      <c r="Z258" s="913"/>
      <c r="AA258" s="913"/>
      <c r="AB258" s="913"/>
      <c r="AC258" s="913"/>
      <c r="AD258" s="913"/>
      <c r="AE258" s="913"/>
      <c r="AF258" s="913"/>
      <c r="AG258" s="913"/>
    </row>
    <row r="259" spans="1:33" ht="15" thickBot="1">
      <c r="A259" s="905"/>
      <c r="B259" s="939"/>
      <c r="C259" s="873"/>
      <c r="D259" s="914" t="s">
        <v>3773</v>
      </c>
      <c r="E259" s="915" t="s">
        <v>3774</v>
      </c>
      <c r="F259" s="915" t="s">
        <v>3775</v>
      </c>
      <c r="G259" s="915" t="s">
        <v>3776</v>
      </c>
      <c r="H259" s="916" t="s">
        <v>3777</v>
      </c>
      <c r="I259" s="914" t="s">
        <v>3773</v>
      </c>
      <c r="J259" s="914" t="s">
        <v>3773</v>
      </c>
      <c r="K259" s="914" t="s">
        <v>3773</v>
      </c>
      <c r="L259" s="914" t="s">
        <v>3773</v>
      </c>
      <c r="M259" s="914" t="s">
        <v>3773</v>
      </c>
      <c r="N259" s="914" t="s">
        <v>67</v>
      </c>
      <c r="O259" s="914" t="s">
        <v>67</v>
      </c>
      <c r="P259" s="914" t="s">
        <v>67</v>
      </c>
      <c r="Q259" s="914" t="s">
        <v>67</v>
      </c>
      <c r="R259" s="917" t="s">
        <v>67</v>
      </c>
      <c r="S259" s="914" t="s">
        <v>1362</v>
      </c>
      <c r="T259" s="914" t="s">
        <v>1362</v>
      </c>
      <c r="U259" s="914" t="s">
        <v>1362</v>
      </c>
      <c r="V259" s="914" t="s">
        <v>1362</v>
      </c>
      <c r="W259" s="914" t="s">
        <v>1362</v>
      </c>
      <c r="X259" s="914" t="s">
        <v>69</v>
      </c>
      <c r="Y259" s="914" t="s">
        <v>69</v>
      </c>
      <c r="Z259" s="914" t="s">
        <v>69</v>
      </c>
      <c r="AA259" s="914" t="s">
        <v>69</v>
      </c>
      <c r="AB259" s="914" t="s">
        <v>69</v>
      </c>
      <c r="AC259" s="1281" t="s">
        <v>1364</v>
      </c>
      <c r="AD259" s="1281" t="s">
        <v>1364</v>
      </c>
      <c r="AE259" s="1281" t="s">
        <v>1364</v>
      </c>
      <c r="AF259" s="1281" t="s">
        <v>1364</v>
      </c>
      <c r="AG259" s="1281" t="s">
        <v>1364</v>
      </c>
    </row>
    <row r="260" spans="1:33" ht="45">
      <c r="A260" s="905"/>
      <c r="B260" s="946" t="s">
        <v>3840</v>
      </c>
      <c r="C260" s="873"/>
      <c r="D260" s="874" t="s">
        <v>3743</v>
      </c>
      <c r="E260" s="875" t="s">
        <v>3744</v>
      </c>
      <c r="F260" s="876" t="s">
        <v>3745</v>
      </c>
      <c r="G260" s="877" t="s">
        <v>3746</v>
      </c>
      <c r="H260" s="878" t="s">
        <v>3747</v>
      </c>
      <c r="I260" s="874" t="s">
        <v>3748</v>
      </c>
      <c r="J260" s="874" t="s">
        <v>3749</v>
      </c>
      <c r="K260" s="874" t="s">
        <v>3750</v>
      </c>
      <c r="L260" s="874" t="s">
        <v>3751</v>
      </c>
      <c r="M260" s="874" t="s">
        <v>3752</v>
      </c>
      <c r="N260" s="880" t="s">
        <v>3753</v>
      </c>
      <c r="O260" s="880" t="s">
        <v>3754</v>
      </c>
      <c r="P260" s="880" t="s">
        <v>3755</v>
      </c>
      <c r="Q260" s="880" t="s">
        <v>3756</v>
      </c>
      <c r="R260" s="880" t="s">
        <v>3757</v>
      </c>
      <c r="S260" s="882" t="s">
        <v>3758</v>
      </c>
      <c r="T260" s="882" t="s">
        <v>3759</v>
      </c>
      <c r="U260" s="882" t="s">
        <v>3760</v>
      </c>
      <c r="V260" s="882" t="s">
        <v>3761</v>
      </c>
      <c r="W260" s="882" t="s">
        <v>3762</v>
      </c>
      <c r="X260" s="884" t="s">
        <v>3768</v>
      </c>
      <c r="Y260" s="884" t="s">
        <v>3769</v>
      </c>
      <c r="Z260" s="884" t="s">
        <v>3770</v>
      </c>
      <c r="AA260" s="884" t="s">
        <v>3771</v>
      </c>
      <c r="AB260" s="884" t="s">
        <v>3772</v>
      </c>
      <c r="AC260" s="886" t="s">
        <v>3763</v>
      </c>
      <c r="AD260" s="886" t="s">
        <v>3764</v>
      </c>
      <c r="AE260" s="886" t="s">
        <v>3765</v>
      </c>
      <c r="AF260" s="886" t="s">
        <v>3766</v>
      </c>
      <c r="AG260" s="886" t="s">
        <v>3767</v>
      </c>
    </row>
    <row r="261" spans="1:33">
      <c r="A261" s="905"/>
      <c r="B261" s="947" t="s">
        <v>3140</v>
      </c>
      <c r="C261" s="873"/>
      <c r="D261" s="948">
        <f>100*(SUM(D$423:D$427)/SUM($D$423:$S$427))</f>
        <v>11.704996712967667</v>
      </c>
      <c r="E261" s="948">
        <f>IF(Meal_entry_week_2!$Q$512&gt;0,100*SUM(D$429:D$433)/SUM($D$429:$S$433),0.00001)</f>
        <v>1.0000000000000001E-5</v>
      </c>
      <c r="F261" s="948">
        <f>IF(Meal_entry_week_2!$Q$522&gt;0,100*SUM(D$435:D$439)/SUM($D$435:$S$439),0.00001)</f>
        <v>0</v>
      </c>
      <c r="G261" s="948">
        <f>IF(Meal_entry_week_2!$Q$532&gt;0,100*SUM(D$441:D$445)/SUM($D$441:$S$445),0.00001)</f>
        <v>15.411277705587127</v>
      </c>
      <c r="H261" s="949">
        <f>IF(Meal_entry_week_2!$Q$542&gt;0,100*SUM(D$447:D$451)/SUM($D$447:$S$451),0.00001)</f>
        <v>1.0000000000000001E-5</v>
      </c>
      <c r="I261" s="921">
        <f>IF(Meal_entry_week_2!$Q$547&gt;0,100*$D$423/(SUM($D$423:$S$423)+0.00001),0.00001)</f>
        <v>11.95342065211095</v>
      </c>
      <c r="J261" s="921">
        <f>IF(Meal_entry_week_2!$Q$548&gt;0,100*$D$424/(SUM($D$424:$S$424)+0.00001),0.00001)</f>
        <v>8.3115800945535927</v>
      </c>
      <c r="K261" s="921">
        <f>IF(Meal_entry_week_2!$Q$549&gt;0,100*$D$425/(SUM($D$425:$S$425)+0.00001),0.00001)</f>
        <v>9.4163318186055562</v>
      </c>
      <c r="L261" s="921">
        <f>IF(Meal_entry_week_2!$Q$550&gt;0,100*$D$426/(SUM($D$426:$S$426)+0.00001),0.00001)</f>
        <v>22.068760593169323</v>
      </c>
      <c r="M261" s="921">
        <f>IF(Meal_entry_week_2!$Q$551&gt;0,100*$D$427/(SUM($D$427:$S$427)+0.00001),0.00001)</f>
        <v>4.0365582436423937</v>
      </c>
      <c r="N261" s="921">
        <f>IF(Meal_entry_week_2!$V$32&gt;0,100*$D$429/(SUM($D$429:$S$429)+0.00001),0.00001)</f>
        <v>1.0000000000000001E-5</v>
      </c>
      <c r="O261" s="921">
        <f>IF(Meal_entry_week_2!$V$131&gt;0,100*$D$430/(SUM($D$430:$S$430)+0.00001),0.00001)</f>
        <v>1.0000000000000001E-5</v>
      </c>
      <c r="P261" s="921">
        <f>IF(Meal_entry_week_2!$V$230&gt;0,100*$D$431/(SUM($D$431:$S$431)+0.00001),0.00001)</f>
        <v>1.0000000000000001E-5</v>
      </c>
      <c r="Q261" s="921">
        <f>IF(Meal_entry_week_2!$V$329&gt;0,100*$D$432/(SUM($D$432:$S$432)+0.00001),0.00001)</f>
        <v>1.0000000000000001E-5</v>
      </c>
      <c r="R261" s="921">
        <f>IF(Meal_entry_week_2!$V$428&gt;0,100*$D$433/(SUM($D$433:$S$433)+0.00001),0.00001)</f>
        <v>1.0000000000000001E-5</v>
      </c>
      <c r="S261" s="921">
        <f>IF(Meal_entry_week_2!$V$51&gt;0,100*$D$435/(SUM($D$435:$S$435)+0.00001),0.00001)</f>
        <v>0</v>
      </c>
      <c r="T261" s="921">
        <f>IF(Meal_entry_week_2!$V$150&gt;0,100*$D$436/(SUM($D$436:$S$436)+0.00001),0.00001)</f>
        <v>0</v>
      </c>
      <c r="U261" s="921">
        <f>IF(Meal_entry_week_2!$V$249&gt;0,100*$D$437/(SUM($D$437:$S$437)+0.00001),0.00001)</f>
        <v>0</v>
      </c>
      <c r="V261" s="921">
        <f>IF(Meal_entry_week_2!$V$348&gt;0,100*$D$438/(SUM($D$438:$S$438)+0.00001),0.00001)</f>
        <v>0</v>
      </c>
      <c r="W261" s="921">
        <f>IF(Meal_entry_week_2!$V$447&gt;0,100*$D$439/(SUM($D$439:$S$439)+0.00001),0.00001)</f>
        <v>0</v>
      </c>
      <c r="X261" s="921">
        <f>IF(Meal_entry_week_2!$V$83&gt;0,100*$D$441/(SUM($D$441:$S$441)+0.00001),0.00001)</f>
        <v>16.254993423661929</v>
      </c>
      <c r="Y261" s="921">
        <f>IF(Meal_entry_week_2!$V$182&gt;0,100*$D$442/(SUM($D$442:$S$442)+0.00001),0.00001)</f>
        <v>10.420012744739672</v>
      </c>
      <c r="Z261" s="921">
        <f>IF(Meal_entry_week_2!$V$281&gt;0,100*$D$443/(SUM($D$443:$S$443)+0.00001),0.00001)</f>
        <v>14.419171786702634</v>
      </c>
      <c r="AA261" s="921">
        <f>IF(Meal_entry_week_2!$V$380&gt;0,100*$D$444/(SUM($D$444:$S$444)+0.00001),0.00001)</f>
        <v>26.97180834311769</v>
      </c>
      <c r="AB261" s="921">
        <f>IF(Meal_entry_week_2!$V$479&gt;0,100*$D$445/(SUM($D$445:$S$445)+0.00001),0.00001)</f>
        <v>5.2320295605047846</v>
      </c>
      <c r="AC261" s="921">
        <f>IF(Meal_entry_week_2!$V$102&gt;0,100*$D$447/(SUM($D$447:$S$447)+0.00001),0.00001)</f>
        <v>1.0000000000000001E-5</v>
      </c>
      <c r="AD261" s="921">
        <f>IF(Meal_entry_week_2!$V$201&gt;0,100*$D$448/(SUM($D$448:$S$448)+0.00001),0.00001)</f>
        <v>1.0000000000000001E-5</v>
      </c>
      <c r="AE261" s="921">
        <f>IF(Meal_entry_week_2!$V$300&gt;0,100*$D$449/(SUM($D$449:$S$449)+0.00001),0.00001)</f>
        <v>1.0000000000000001E-5</v>
      </c>
      <c r="AF261" s="921">
        <f>IF(Meal_entry_week_2!$V$399&gt;0,100*$D$450/(SUM($D$450:$S$450)+0.00001),0.00001)</f>
        <v>1.0000000000000001E-5</v>
      </c>
      <c r="AG261" s="921">
        <f>IF(Meal_entry_week_2!$V$498&gt;0,100*$D$451/(SUM($D$451:$S$451)+0.00001),0.00001)</f>
        <v>1.0000000000000001E-5</v>
      </c>
    </row>
    <row r="262" spans="1:33">
      <c r="A262" s="905"/>
      <c r="B262" s="947" t="s">
        <v>3069</v>
      </c>
      <c r="C262" s="873"/>
      <c r="D262" s="948">
        <f>100*(SUM(E$423:E$427)/SUM($D$423:$S$427))</f>
        <v>1.4848953199842692</v>
      </c>
      <c r="E262" s="948">
        <f>IF(Meal_entry_week_2!$Q$512&gt;0,100*SUM(E$429:E$433)/SUM($D$429:$S$433),0.00001)</f>
        <v>1.0000000000000001E-5</v>
      </c>
      <c r="F262" s="948">
        <f>IF(Meal_entry_week_2!$Q$522&gt;0,100*SUM(E$435:E$439)/SUM($D$435:$S$439),0.00001)</f>
        <v>0</v>
      </c>
      <c r="G262" s="948">
        <f>IF(Meal_entry_week_2!$Q$532&gt;0,100*SUM(E$441:E$445)/SUM($D$441:$S$445),0.00001)</f>
        <v>1.9550739484319106</v>
      </c>
      <c r="H262" s="949">
        <f>IF(Meal_entry_week_2!$Q$542&gt;0,100*SUM(E$447:E$451)/SUM($D$447:$S$451),0.00001)</f>
        <v>1.0000000000000001E-5</v>
      </c>
      <c r="I262" s="921">
        <f>IF(Meal_entry_week_2!$Q$547&gt;0,100*$E$423/(SUM($D$423:$S$423)+0.00001),0.00001)</f>
        <v>0</v>
      </c>
      <c r="J262" s="921">
        <f>IF(Meal_entry_week_2!$Q$548&gt;0,100*$E$424/(SUM($D$424:$S$424)+0.00001),0.00001)</f>
        <v>7.6870104920726874</v>
      </c>
      <c r="K262" s="921">
        <f>IF(Meal_entry_week_2!$Q$549&gt;0,100*$E$425/(SUM($D$425:$S$425)+0.00001),0.00001)</f>
        <v>0</v>
      </c>
      <c r="L262" s="921">
        <f>IF(Meal_entry_week_2!$Q$550&gt;0,100*$E$426/(SUM($D$426:$S$426)+0.00001),0.00001)</f>
        <v>0</v>
      </c>
      <c r="M262" s="921">
        <f>IF(Meal_entry_week_2!$Q$551&gt;0,100*$E$427/(SUM($D$427:$S$427)+0.00001),0.00001)</f>
        <v>0</v>
      </c>
      <c r="N262" s="921">
        <f>IF(Meal_entry_week_2!$V$32&gt;0,100*$E$429/(SUM($D$429:$S$429)+0.00001),0.00001)</f>
        <v>1.0000000000000001E-5</v>
      </c>
      <c r="O262" s="921">
        <f>IF(Meal_entry_week_2!$V$131&gt;0,100*$E$430/(SUM($D$430:$S$430)+0.00001),0.00001)</f>
        <v>1.0000000000000001E-5</v>
      </c>
      <c r="P262" s="921">
        <f>IF(Meal_entry_week_2!$V$230&gt;0,100*$E$431/(SUM($D$431:$S$431)+0.00001),0.00001)</f>
        <v>1.0000000000000001E-5</v>
      </c>
      <c r="Q262" s="921">
        <f>IF(Meal_entry_week_2!$V$329&gt;0,100*$E$432/(SUM($D$432:$S$432)+0.00001),0.00001)</f>
        <v>1.0000000000000001E-5</v>
      </c>
      <c r="R262" s="921">
        <f>IF(Meal_entry_week_2!$V$428&gt;0,100*$E$433/(SUM($D$433:$S$433)+0.00001),0.00001)</f>
        <v>1.0000000000000001E-5</v>
      </c>
      <c r="S262" s="921">
        <f>IF(Meal_entry_week_2!$V$51&gt;0,100*$E$435/(SUM($D$435:$S$435)+0.00001),0.00001)</f>
        <v>0</v>
      </c>
      <c r="T262" s="921">
        <f>IF(Meal_entry_week_2!$V$150&gt;0,100*$E$436/(SUM($D$436:$S$436)+0.00001),0.00001)</f>
        <v>0</v>
      </c>
      <c r="U262" s="921">
        <f>IF(Meal_entry_week_2!$V$249&gt;0,100*$E$437/(SUM($D$437:$S$437)+0.00001),0.00001)</f>
        <v>0</v>
      </c>
      <c r="V262" s="921">
        <f>IF(Meal_entry_week_2!$V$348&gt;0,100*$E$438/(SUM($D$438:$S$438)+0.00001),0.00001)</f>
        <v>0</v>
      </c>
      <c r="W262" s="921">
        <f>IF(Meal_entry_week_2!$V$447&gt;0,100*$E$439/(SUM($D$439:$S$439)+0.00001),0.00001)</f>
        <v>0</v>
      </c>
      <c r="X262" s="921">
        <f>IF(Meal_entry_week_2!$V$83&gt;0,100*$E$441/(SUM($D$441:$S$441)+0.00001),0.00001)</f>
        <v>0</v>
      </c>
      <c r="Y262" s="921">
        <f>IF(Meal_entry_week_2!$V$182&gt;0,100*$E$442/(SUM($D$442:$S$442)+0.00001),0.00001)</f>
        <v>9.6370060066956515</v>
      </c>
      <c r="Z262" s="921">
        <f>IF(Meal_entry_week_2!$V$281&gt;0,100*$E$443/(SUM($D$443:$S$443)+0.00001),0.00001)</f>
        <v>0</v>
      </c>
      <c r="AA262" s="921">
        <f>IF(Meal_entry_week_2!$V$380&gt;0,100*$E$444/(SUM($D$444:$S$444)+0.00001),0.00001)</f>
        <v>0</v>
      </c>
      <c r="AB262" s="921">
        <f>IF(Meal_entry_week_2!$V$479&gt;0,100*$E$445/(SUM($D$445:$S$445)+0.00001),0.00001)</f>
        <v>0</v>
      </c>
      <c r="AC262" s="921">
        <f>IF(Meal_entry_week_2!$V$102&gt;0,100*$E$447/(SUM($D$447:$S$447)+0.00001),0.00001)</f>
        <v>1.0000000000000001E-5</v>
      </c>
      <c r="AD262" s="921">
        <f>IF(Meal_entry_week_2!$V$201&gt;0,100*$E$448/(SUM($D$448:$S$448)+0.00001),0.00001)</f>
        <v>1.0000000000000001E-5</v>
      </c>
      <c r="AE262" s="921">
        <f>IF(Meal_entry_week_2!$V$300&gt;0,100*$E$449/(SUM($D$449:$S$449)+0.00001),0.00001)</f>
        <v>1.0000000000000001E-5</v>
      </c>
      <c r="AF262" s="921">
        <f>IF(Meal_entry_week_2!$V$399&gt;0,100*$E$450/(SUM($D$450:$S$450)+0.00001),0.00001)</f>
        <v>1.0000000000000001E-5</v>
      </c>
      <c r="AG262" s="921">
        <f>IF(Meal_entry_week_2!$V$498&gt;0,100*$E$451/(SUM($D$451:$S$451)+0.00001),0.00001)</f>
        <v>1.0000000000000001E-5</v>
      </c>
    </row>
    <row r="263" spans="1:33">
      <c r="A263" s="905"/>
      <c r="B263" s="947" t="s">
        <v>1733</v>
      </c>
      <c r="C263" s="873"/>
      <c r="D263" s="948">
        <f>100*(SUM(F$423:F$427)/SUM($D$423:$S$427))</f>
        <v>4.1236780448729817</v>
      </c>
      <c r="E263" s="948">
        <f>IF(Meal_entry_week_2!$Q$512&gt;0,100*SUM(F$429:F$433)/SUM($D$429:$S$433),0.00001)</f>
        <v>1.0000000000000001E-5</v>
      </c>
      <c r="F263" s="948">
        <f>IF(Meal_entry_week_2!$Q$522&gt;0,100*SUM(F$435:F$439)/SUM($D$435:$S$439),0.00001)</f>
        <v>0</v>
      </c>
      <c r="G263" s="948">
        <f>IF(Meal_entry_week_2!$Q$532&gt;0,100*SUM(F$441:F$445)/SUM($D$441:$S$445),0.00001)</f>
        <v>5.429403277624453</v>
      </c>
      <c r="H263" s="949">
        <f>IF(Meal_entry_week_2!$Q$542&gt;0,100*SUM(F$447:F$451)/SUM($D$447:$S$451),0.00001)</f>
        <v>1.0000000000000001E-5</v>
      </c>
      <c r="I263" s="921">
        <f>IF(Meal_entry_week_2!$Q$547&gt;0,100*$F$423/(SUM($D$423:$S$423)+0.00001),0.00001)</f>
        <v>3.4171551559497231</v>
      </c>
      <c r="J263" s="921">
        <f>IF(Meal_entry_week_2!$Q$548&gt;0,100*$F$424/(SUM($D$424:$S$424)+0.00001),0.00001)</f>
        <v>5.1647101743613364</v>
      </c>
      <c r="K263" s="921">
        <f>IF(Meal_entry_week_2!$Q$549&gt;0,100*$F$425/(SUM($D$425:$S$425)+0.00001),0.00001)</f>
        <v>2.0437223309107555</v>
      </c>
      <c r="L263" s="921">
        <f>IF(Meal_entry_week_2!$Q$550&gt;0,100*$F$426/(SUM($D$426:$S$426)+0.00001),0.00001)</f>
        <v>4.368509263010746</v>
      </c>
      <c r="M263" s="921">
        <f>IF(Meal_entry_week_2!$Q$551&gt;0,100*$F$427/(SUM($D$427:$S$427)+0.00001),0.00001)</f>
        <v>5.4766093124723261</v>
      </c>
      <c r="N263" s="921">
        <f>IF(Meal_entry_week_2!$V$32&gt;0,100*$F$429/(SUM($D$429:$S$429)+0.00001),0.00001)</f>
        <v>1.0000000000000001E-5</v>
      </c>
      <c r="O263" s="921">
        <f>IF(Meal_entry_week_2!$V$131&gt;0,100*$F$430/(SUM($D$430:$S$430)+0.00001),0.00001)</f>
        <v>1.0000000000000001E-5</v>
      </c>
      <c r="P263" s="921">
        <f>IF(Meal_entry_week_2!$V$230&gt;0,100*$F$431/(SUM($D$431:$S$431)+0.00001),0.00001)</f>
        <v>1.0000000000000001E-5</v>
      </c>
      <c r="Q263" s="921">
        <f>IF(Meal_entry_week_2!$V$329&gt;0,100*$F$432/(SUM($D$432:$S$432)+0.00001),0.00001)</f>
        <v>1.0000000000000001E-5</v>
      </c>
      <c r="R263" s="921">
        <f>IF(Meal_entry_week_2!$V$428&gt;0,100*$F$433/(SUM($D$433:$S$433)+0.00001),0.00001)</f>
        <v>1.0000000000000001E-5</v>
      </c>
      <c r="S263" s="921">
        <f>IF(Meal_entry_week_2!$V$51&gt;0,100*$F$435/(SUM($D$435:$S$435)+0.00001),0.00001)</f>
        <v>0</v>
      </c>
      <c r="T263" s="921">
        <f>IF(Meal_entry_week_2!$V$150&gt;0,100*$F$436/(SUM($D$436:$S$436)+0.00001),0.00001)</f>
        <v>0</v>
      </c>
      <c r="U263" s="921">
        <f>IF(Meal_entry_week_2!$V$249&gt;0,100*$F$437/(SUM($D$437:$S$437)+0.00001),0.00001)</f>
        <v>0</v>
      </c>
      <c r="V263" s="921">
        <f>IF(Meal_entry_week_2!$V$348&gt;0,100*$F$438/(SUM($D$438:$S$438)+0.00001),0.00001)</f>
        <v>0</v>
      </c>
      <c r="W263" s="921">
        <f>IF(Meal_entry_week_2!$V$447&gt;0,100*$F$439/(SUM($D$439:$S$439)+0.00001),0.00001)</f>
        <v>0</v>
      </c>
      <c r="X263" s="921">
        <f>IF(Meal_entry_week_2!$V$83&gt;0,100*$F$441/(SUM($D$441:$S$441)+0.00001),0.00001)</f>
        <v>4.6468568457670667</v>
      </c>
      <c r="Y263" s="921">
        <f>IF(Meal_entry_week_2!$V$182&gt;0,100*$F$442/(SUM($D$442:$S$442)+0.00001),0.00001)</f>
        <v>6.4748634107486405</v>
      </c>
      <c r="Z263" s="921">
        <f>IF(Meal_entry_week_2!$V$281&gt;0,100*$F$443/(SUM($D$443:$S$443)+0.00001),0.00001)</f>
        <v>3.1295396064416177</v>
      </c>
      <c r="AA263" s="921">
        <f>IF(Meal_entry_week_2!$V$380&gt;0,100*$F$444/(SUM($D$444:$S$444)+0.00001),0.00001)</f>
        <v>5.3390671437855728</v>
      </c>
      <c r="AB263" s="921">
        <f>IF(Meal_entry_week_2!$V$479&gt;0,100*$F$445/(SUM($D$445:$S$445)+0.00001),0.00001)</f>
        <v>7.0985676620226883</v>
      </c>
      <c r="AC263" s="921">
        <f>IF(Meal_entry_week_2!$V$102&gt;0,100*$F$447/(SUM($D$447:$S$447)+0.00001),0.00001)</f>
        <v>1.0000000000000001E-5</v>
      </c>
      <c r="AD263" s="921">
        <f>IF(Meal_entry_week_2!$V$201&gt;0,100*$F$448/(SUM($D$448:$S$448)+0.00001),0.00001)</f>
        <v>1.0000000000000001E-5</v>
      </c>
      <c r="AE263" s="921">
        <f>IF(Meal_entry_week_2!$V$300&gt;0,100*$F$449/(SUM($D$449:$S$449)+0.00001),0.00001)</f>
        <v>1.0000000000000001E-5</v>
      </c>
      <c r="AF263" s="921">
        <f>IF(Meal_entry_week_2!$V$399&gt;0,100*$F$450/(SUM($D$450:$S$450)+0.00001),0.00001)</f>
        <v>1.0000000000000001E-5</v>
      </c>
      <c r="AG263" s="921">
        <f>IF(Meal_entry_week_2!$V$498&gt;0,100*$F$451/(SUM($D$451:$S$451)+0.00001),0.00001)</f>
        <v>1.0000000000000001E-5</v>
      </c>
    </row>
    <row r="264" spans="1:33">
      <c r="A264" s="905"/>
      <c r="B264" s="947" t="s">
        <v>3073</v>
      </c>
      <c r="C264" s="873"/>
      <c r="D264" s="948">
        <f>100*(SUM(G$423:G$427)/SUM($D$423:$S$427))</f>
        <v>16.511726605033409</v>
      </c>
      <c r="E264" s="948">
        <f>IF(Meal_entry_week_2!$Q$512&gt;0,100*SUM(G$429:G$433)/SUM($D$429:$S$433),0.00001)</f>
        <v>1.0000000000000001E-5</v>
      </c>
      <c r="F264" s="948">
        <f>IF(Meal_entry_week_2!$Q$522&gt;0,100*SUM(G$435:G$439)/SUM($D$435:$S$439),0.00001)</f>
        <v>0</v>
      </c>
      <c r="G264" s="948">
        <f>IF(Meal_entry_week_2!$Q$532&gt;0,100*SUM(G$441:G$445)/SUM($D$441:$S$445),0.00001)</f>
        <v>21.740014999490256</v>
      </c>
      <c r="H264" s="949">
        <f>IF(Meal_entry_week_2!$Q$542&gt;0,100*SUM(G$447:G$451)/SUM($D$447:$S$451),0.00001)</f>
        <v>1.0000000000000001E-5</v>
      </c>
      <c r="I264" s="921">
        <f>IF(Meal_entry_week_2!$Q$547&gt;0,100*$G$423/(SUM($D$423:$S$423)+0.00001),0.00001)</f>
        <v>29.933219583125478</v>
      </c>
      <c r="J264" s="921">
        <f>IF(Meal_entry_week_2!$Q$548&gt;0,100*$G$424/(SUM($D$424:$S$424)+0.00001),0.00001)</f>
        <v>0</v>
      </c>
      <c r="K264" s="921">
        <f>IF(Meal_entry_week_2!$Q$549&gt;0,100*$G$425/(SUM($D$425:$S$425)+0.00001),0.00001)</f>
        <v>0</v>
      </c>
      <c r="L264" s="921">
        <f>IF(Meal_entry_week_2!$Q$550&gt;0,100*$G$426/(SUM($D$426:$S$426)+0.00001),0.00001)</f>
        <v>30.613429253966775</v>
      </c>
      <c r="M264" s="921">
        <f>IF(Meal_entry_week_2!$Q$551&gt;0,100*$G$427/(SUM($D$427:$S$427)+0.00001),0.00001)</f>
        <v>13.882567792081014</v>
      </c>
      <c r="N264" s="921">
        <f>IF(Meal_entry_week_2!$V$32&gt;0,100*$G$429/(SUM($D$429:$S$429)+0.00001),0.00001)</f>
        <v>1.0000000000000001E-5</v>
      </c>
      <c r="O264" s="921">
        <f>IF(Meal_entry_week_2!$V$131&gt;0,100*$G$430/(SUM($D$430:$S$430)+0.00001),0.00001)</f>
        <v>1.0000000000000001E-5</v>
      </c>
      <c r="P264" s="921">
        <f>IF(Meal_entry_week_2!$V$230&gt;0,100*$G$431/(SUM($D$431:$S$431)+0.00001),0.00001)</f>
        <v>1.0000000000000001E-5</v>
      </c>
      <c r="Q264" s="921">
        <f>IF(Meal_entry_week_2!$V$329&gt;0,100*$G$432/(SUM($D$432:$S$432)+0.00001),0.00001)</f>
        <v>1.0000000000000001E-5</v>
      </c>
      <c r="R264" s="921">
        <f>IF(Meal_entry_week_2!$V$428&gt;0,100*$G$433/(SUM($D$433:$S$433)+0.00001),0.00001)</f>
        <v>1.0000000000000001E-5</v>
      </c>
      <c r="S264" s="921">
        <f>IF(Meal_entry_week_2!$V$51&gt;0,100*$G$435/(SUM($D$435:$S$435)+0.00001),0.00001)</f>
        <v>0</v>
      </c>
      <c r="T264" s="921">
        <f>IF(Meal_entry_week_2!$V$150&gt;0,100*$G$436/(SUM($D$436:$S$436)+0.00001),0.00001)</f>
        <v>0</v>
      </c>
      <c r="U264" s="921">
        <f>IF(Meal_entry_week_2!$V$249&gt;0,100*$G$437/(SUM($D$437:$S$437)+0.00001),0.00001)</f>
        <v>0</v>
      </c>
      <c r="V264" s="921">
        <f>IF(Meal_entry_week_2!$V$348&gt;0,100*$G$438/(SUM($D$438:$S$438)+0.00001),0.00001)</f>
        <v>0</v>
      </c>
      <c r="W264" s="921">
        <f>IF(Meal_entry_week_2!$V$447&gt;0,100*$G$439/(SUM($D$439:$S$439)+0.00001),0.00001)</f>
        <v>0</v>
      </c>
      <c r="X264" s="921">
        <f>IF(Meal_entry_week_2!$V$83&gt;0,100*$G$441/(SUM($D$441:$S$441)+0.00001),0.00001)</f>
        <v>40.705025083075846</v>
      </c>
      <c r="Y264" s="921">
        <f>IF(Meal_entry_week_2!$V$182&gt;0,100*$G$442/(SUM($D$442:$S$442)+0.00001),0.00001)</f>
        <v>0</v>
      </c>
      <c r="Z264" s="921">
        <f>IF(Meal_entry_week_2!$V$281&gt;0,100*$G$443/(SUM($D$443:$S$443)+0.00001),0.00001)</f>
        <v>0</v>
      </c>
      <c r="AA264" s="921">
        <f>IF(Meal_entry_week_2!$V$380&gt;0,100*$G$444/(SUM($D$444:$S$444)+0.00001),0.00001)</f>
        <v>37.414858123892692</v>
      </c>
      <c r="AB264" s="921">
        <f>IF(Meal_entry_week_2!$V$479&gt;0,100*$G$445/(SUM($D$445:$S$445)+0.00001),0.00001)</f>
        <v>17.994043608383095</v>
      </c>
      <c r="AC264" s="921">
        <f>IF(Meal_entry_week_2!$V$102&gt;0,100*$G$447/(SUM($D$447:$S$447)+0.00001),0.00001)</f>
        <v>1.0000000000000001E-5</v>
      </c>
      <c r="AD264" s="921">
        <f>IF(Meal_entry_week_2!$V$201&gt;0,100*$G$448/(SUM($D$448:$S$448)+0.00001),0.00001)</f>
        <v>1.0000000000000001E-5</v>
      </c>
      <c r="AE264" s="921">
        <f>IF(Meal_entry_week_2!$V$300&gt;0,100*$G$449/(SUM($D$449:$S$449)+0.00001),0.00001)</f>
        <v>1.0000000000000001E-5</v>
      </c>
      <c r="AF264" s="921">
        <f>IF(Meal_entry_week_2!$V$399&gt;0,100*$G$450/(SUM($D$450:$S$450)+0.00001),0.00001)</f>
        <v>1.0000000000000001E-5</v>
      </c>
      <c r="AG264" s="921">
        <f>IF(Meal_entry_week_2!$V$498&gt;0,100*$G$451/(SUM($D$451:$S$451)+0.00001),0.00001)</f>
        <v>1.0000000000000001E-5</v>
      </c>
    </row>
    <row r="265" spans="1:33">
      <c r="A265" s="905"/>
      <c r="B265" s="947" t="s">
        <v>3070</v>
      </c>
      <c r="C265" s="873"/>
      <c r="D265" s="948">
        <f>100*(SUM(H$423:H$427)/SUM($D$423:$S$427))</f>
        <v>5.7106599181061686</v>
      </c>
      <c r="E265" s="948">
        <f>IF(Meal_entry_week_2!$Q$512&gt;0,100*SUM(H$429:H$433)/SUM($D$429:$S$433),0.00001)</f>
        <v>1.0000000000000001E-5</v>
      </c>
      <c r="F265" s="948">
        <f>IF(Meal_entry_week_2!$Q$522&gt;0,100*SUM(H$435:H$439)/SUM($D$435:$S$439),0.00001)</f>
        <v>6.3030533791440959</v>
      </c>
      <c r="G265" s="948">
        <f>IF(Meal_entry_week_2!$Q$532&gt;0,100*SUM(H$441:H$445)/SUM($D$441:$S$445),0.00001)</f>
        <v>5.5230839043201474</v>
      </c>
      <c r="H265" s="949">
        <f>IF(Meal_entry_week_2!$Q$542&gt;0,100*SUM(H$447:H$451)/SUM($D$447:$S$451),0.00001)</f>
        <v>1.0000000000000001E-5</v>
      </c>
      <c r="I265" s="921">
        <f>IF(Meal_entry_week_2!$Q$547&gt;0,100*$H$423/(SUM($D$423:$S$423)+0.00001),0.00001)</f>
        <v>0</v>
      </c>
      <c r="J265" s="921">
        <f>IF(Meal_entry_week_2!$Q$548&gt;0,100*$H$424/(SUM($D$424:$S$424)+0.00001),0.00001)</f>
        <v>0</v>
      </c>
      <c r="K265" s="921">
        <f>IF(Meal_entry_week_2!$Q$549&gt;0,100*$H$425/(SUM($D$425:$S$425)+0.00001),0.00001)</f>
        <v>35.0949899801047</v>
      </c>
      <c r="L265" s="921">
        <f>IF(Meal_entry_week_2!$Q$550&gt;0,100*$H$426/(SUM($D$426:$S$426)+0.00001),0.00001)</f>
        <v>0</v>
      </c>
      <c r="M265" s="921">
        <f>IF(Meal_entry_week_2!$Q$551&gt;0,100*$H$427/(SUM($D$427:$S$427)+0.00001),0.00001)</f>
        <v>0</v>
      </c>
      <c r="N265" s="921">
        <f>IF(Meal_entry_week_2!$V$32&gt;0,100*$H$429/(SUM($D$429:$S$429)+0.00001),0.00001)</f>
        <v>1.0000000000000001E-5</v>
      </c>
      <c r="O265" s="921">
        <f>IF(Meal_entry_week_2!$V$131&gt;0,100*$H$430/(SUM($D$430:$S$430)+0.00001),0.00001)</f>
        <v>1.0000000000000001E-5</v>
      </c>
      <c r="P265" s="921">
        <f>IF(Meal_entry_week_2!$V$230&gt;0,100*$H$431/(SUM($D$431:$S$431)+0.00001),0.00001)</f>
        <v>1.0000000000000001E-5</v>
      </c>
      <c r="Q265" s="921">
        <f>IF(Meal_entry_week_2!$V$329&gt;0,100*$H$432/(SUM($D$432:$S$432)+0.00001),0.00001)</f>
        <v>1.0000000000000001E-5</v>
      </c>
      <c r="R265" s="921">
        <f>IF(Meal_entry_week_2!$V$428&gt;0,100*$H$433/(SUM($D$433:$S$433)+0.00001),0.00001)</f>
        <v>1.0000000000000001E-5</v>
      </c>
      <c r="S265" s="921">
        <f>IF(Meal_entry_week_2!$V$51&gt;0,100*$H$435/(SUM($D$435:$S$435)+0.00001),0.00001)</f>
        <v>0</v>
      </c>
      <c r="T265" s="921">
        <f>IF(Meal_entry_week_2!$V$150&gt;0,100*$H$436/(SUM($D$436:$S$436)+0.00001),0.00001)</f>
        <v>0</v>
      </c>
      <c r="U265" s="921">
        <f>IF(Meal_entry_week_2!$V$249&gt;0,100*$H$437/(SUM($D$437:$S$437)+0.00001),0.00001)</f>
        <v>26.849314332895499</v>
      </c>
      <c r="V265" s="921">
        <f>IF(Meal_entry_week_2!$V$348&gt;0,100*$H$438/(SUM($D$438:$S$438)+0.00001),0.00001)</f>
        <v>0</v>
      </c>
      <c r="W265" s="921">
        <f>IF(Meal_entry_week_2!$V$447&gt;0,100*$H$439/(SUM($D$439:$S$439)+0.00001),0.00001)</f>
        <v>0</v>
      </c>
      <c r="X265" s="921">
        <f>IF(Meal_entry_week_2!$V$83&gt;0,100*$H$441/(SUM($D$441:$S$441)+0.00001),0.00001)</f>
        <v>0</v>
      </c>
      <c r="Y265" s="921">
        <f>IF(Meal_entry_week_2!$V$182&gt;0,100*$H$442/(SUM($D$442:$S$442)+0.00001),0.00001)</f>
        <v>0</v>
      </c>
      <c r="Z265" s="921">
        <f>IF(Meal_entry_week_2!$V$281&gt;0,100*$H$443/(SUM($D$443:$S$443)+0.00001),0.00001)</f>
        <v>39.47586703567287</v>
      </c>
      <c r="AA265" s="921">
        <f>IF(Meal_entry_week_2!$V$380&gt;0,100*$H$444/(SUM($D$444:$S$444)+0.00001),0.00001)</f>
        <v>0</v>
      </c>
      <c r="AB265" s="921">
        <f>IF(Meal_entry_week_2!$V$479&gt;0,100*$H$445/(SUM($D$445:$S$445)+0.00001),0.00001)</f>
        <v>0</v>
      </c>
      <c r="AC265" s="921">
        <f>IF(Meal_entry_week_2!$V$102&gt;0,100*$H$447/(SUM($D$447:$S$447)+0.00001),0.00001)</f>
        <v>1.0000000000000001E-5</v>
      </c>
      <c r="AD265" s="921">
        <f>IF(Meal_entry_week_2!$V$201&gt;0,100*$H$448/(SUM($D$448:$S$448)+0.00001),0.00001)</f>
        <v>1.0000000000000001E-5</v>
      </c>
      <c r="AE265" s="921">
        <f>IF(Meal_entry_week_2!$V$300&gt;0,100*$H$449/(SUM($D$449:$S$449)+0.00001),0.00001)</f>
        <v>1.0000000000000001E-5</v>
      </c>
      <c r="AF265" s="921">
        <f>IF(Meal_entry_week_2!$V$399&gt;0,100*$H$450/(SUM($D$450:$S$450)+0.00001),0.00001)</f>
        <v>1.0000000000000001E-5</v>
      </c>
      <c r="AG265" s="921">
        <f>IF(Meal_entry_week_2!$V$498&gt;0,100*$H$451/(SUM($D$451:$S$451)+0.00001),0.00001)</f>
        <v>1.0000000000000001E-5</v>
      </c>
    </row>
    <row r="266" spans="1:33">
      <c r="A266" s="902"/>
      <c r="B266" s="947" t="s">
        <v>3575</v>
      </c>
      <c r="C266" s="913"/>
      <c r="D266" s="948">
        <f>100*(SUM(I$423:I$427)/SUM($D$423:$S$427))</f>
        <v>0</v>
      </c>
      <c r="E266" s="948">
        <f>IF(Meal_entry_week_2!$Q$512&gt;0,100*SUM(I$429:I$433)/SUM($D$429:$S$433),0.00001)</f>
        <v>1.0000000000000001E-5</v>
      </c>
      <c r="F266" s="948">
        <f>IF(Meal_entry_week_2!$Q$522&gt;0,100*SUM(I$435:I$439)/SUM($D$435:$S$439),0.00001)</f>
        <v>0</v>
      </c>
      <c r="G266" s="948">
        <f>IF(Meal_entry_week_2!$Q$532&gt;0,100*SUM(I$441:I$445)/SUM($D$441:$S$445),0.00001)</f>
        <v>0</v>
      </c>
      <c r="H266" s="949">
        <f>IF(Meal_entry_week_2!$Q$542&gt;0,100*SUM(I$447:I$451)/SUM($D$447:$S$451),0.00001)</f>
        <v>1.0000000000000001E-5</v>
      </c>
      <c r="I266" s="921">
        <f>IF(Meal_entry_week_2!$Q$547&gt;0,100*$I$423/(SUM($D$423:$S$423)+0.00001),0.00001)</f>
        <v>0</v>
      </c>
      <c r="J266" s="921">
        <f>IF(Meal_entry_week_2!$Q$548&gt;0,100*$I$424/(SUM($D$424:$S$424)+0.00001),0.00001)</f>
        <v>0</v>
      </c>
      <c r="K266" s="921">
        <f>IF(Meal_entry_week_2!$Q$549&gt;0,100*$I$425/(SUM($D$425:$S$425)+0.00001),0.00001)</f>
        <v>0</v>
      </c>
      <c r="L266" s="921">
        <f>IF(Meal_entry_week_2!$Q$550&gt;0,100*$I$426/(SUM($D$426:$S$426)+0.00001),0.00001)</f>
        <v>0</v>
      </c>
      <c r="M266" s="921">
        <f>IF(Meal_entry_week_2!$Q$551&gt;0,100*$I$427/(SUM($D$427:$S$427)+0.00001),0.00001)</f>
        <v>0</v>
      </c>
      <c r="N266" s="921">
        <f>IF(Meal_entry_week_2!$V$32&gt;0,100*$I$429/(SUM($D$429:$S$429)+0.00001),0.00001)</f>
        <v>1.0000000000000001E-5</v>
      </c>
      <c r="O266" s="921">
        <f>IF(Meal_entry_week_2!$V$131&gt;0,100*$I$430/(SUM($D$430:$S$430)+0.00001),0.00001)</f>
        <v>1.0000000000000001E-5</v>
      </c>
      <c r="P266" s="921">
        <f>IF(Meal_entry_week_2!$V$230&gt;0,100*$I$431/(SUM($D$431:$S$431)+0.00001),0.00001)</f>
        <v>1.0000000000000001E-5</v>
      </c>
      <c r="Q266" s="921">
        <f>IF(Meal_entry_week_2!$V$329&gt;0,100*$I$432/(SUM($D$432:$S$432)+0.00001),0.00001)</f>
        <v>1.0000000000000001E-5</v>
      </c>
      <c r="R266" s="921">
        <f>IF(Meal_entry_week_2!$V$428&gt;0,100*$I$433/(SUM($D$433:$S$433)+0.00001),0.00001)</f>
        <v>1.0000000000000001E-5</v>
      </c>
      <c r="S266" s="921">
        <f>IF(Meal_entry_week_2!$V$51&gt;0,100*$I$435/(SUM($D$435:$S$435)+0.00001),0.00001)</f>
        <v>0</v>
      </c>
      <c r="T266" s="921">
        <f>IF(Meal_entry_week_2!$V$150&gt;0,100*$I$436/(SUM($D$436:$S$436)+0.00001),0.00001)</f>
        <v>0</v>
      </c>
      <c r="U266" s="921">
        <f>IF(Meal_entry_week_2!$V$249&gt;0,100*$I$437/(SUM($D$437:$S$437)+0.00001),0.00001)</f>
        <v>0</v>
      </c>
      <c r="V266" s="921">
        <f>IF(Meal_entry_week_2!$V$348&gt;0,100*$I$438/(SUM($D$438:$S$438)+0.00001),0.00001)</f>
        <v>0</v>
      </c>
      <c r="W266" s="921">
        <f>IF(Meal_entry_week_2!$V$447&gt;0,100*$I$439/(SUM($D$439:$S$439)+0.00001),0.00001)</f>
        <v>0</v>
      </c>
      <c r="X266" s="921">
        <f>IF(Meal_entry_week_2!$V$83&gt;0,100*$I$441/(SUM($D$441:$S$441)+0.00001),0.00001)</f>
        <v>0</v>
      </c>
      <c r="Y266" s="921">
        <f>IF(Meal_entry_week_2!$V$182&gt;0,100*$I$442/(SUM($D$442:$S$442)+0.00001),0.00001)</f>
        <v>0</v>
      </c>
      <c r="Z266" s="921">
        <f>IF(Meal_entry_week_2!$V$281&gt;0,100*$I$443/(SUM($D$443:$S$443)+0.00001),0.00001)</f>
        <v>0</v>
      </c>
      <c r="AA266" s="921">
        <f>IF(Meal_entry_week_2!$V$380&gt;0,100*$I$444/(SUM($D$444:$S$444)+0.00001),0.00001)</f>
        <v>0</v>
      </c>
      <c r="AB266" s="921">
        <f>IF(Meal_entry_week_2!$V$479&gt;0,100*$I$445/(SUM($D$445:$S$445)+0.00001),0.00001)</f>
        <v>0</v>
      </c>
      <c r="AC266" s="921">
        <f>IF(Meal_entry_week_2!$V$102&gt;0,100*$I$447/(SUM($D$447:$S$447)+0.00001),0.00001)</f>
        <v>1.0000000000000001E-5</v>
      </c>
      <c r="AD266" s="921">
        <f>IF(Meal_entry_week_2!$V$201&gt;0,100*$I$448/(SUM($D$448:$S$448)+0.00001),0.00001)</f>
        <v>1.0000000000000001E-5</v>
      </c>
      <c r="AE266" s="921">
        <f>IF(Meal_entry_week_2!$V$300&gt;0,100*$I$449/(SUM($D$449:$S$449)+0.00001),0.00001)</f>
        <v>1.0000000000000001E-5</v>
      </c>
      <c r="AF266" s="921">
        <f>IF(Meal_entry_week_2!$V$399&gt;0,100*$I$450/(SUM($D$450:$S$450)+0.00001),0.00001)</f>
        <v>1.0000000000000001E-5</v>
      </c>
      <c r="AG266" s="921">
        <f>IF(Meal_entry_week_2!$V$498&gt;0,100*$I$451/(SUM($D$451:$S$451)+0.00001),0.00001)</f>
        <v>1.0000000000000001E-5</v>
      </c>
    </row>
    <row r="267" spans="1:33">
      <c r="A267" s="902"/>
      <c r="B267" s="947" t="s">
        <v>3072</v>
      </c>
      <c r="C267" s="913"/>
      <c r="D267" s="948">
        <f>100*(SUM(J$423:J$427)/SUM($D$423:$S$427))</f>
        <v>3.5407328905024906</v>
      </c>
      <c r="E267" s="948">
        <f>IF(Meal_entry_week_2!$Q$512&gt;0,100*SUM(J$429:J$433)/SUM($D$429:$S$433),0.00001)</f>
        <v>1.0000000000000001E-5</v>
      </c>
      <c r="F267" s="948">
        <f>IF(Meal_entry_week_2!$Q$522&gt;0,100*SUM(J$435:J$439)/SUM($D$435:$S$439),0.00001)</f>
        <v>2.0138898715077542</v>
      </c>
      <c r="G267" s="948">
        <f>IF(Meal_entry_week_2!$Q$532&gt;0,100*SUM(J$441:J$445)/SUM($D$441:$S$445),0.00001)</f>
        <v>4.0241938771890169</v>
      </c>
      <c r="H267" s="949">
        <f>IF(Meal_entry_week_2!$Q$542&gt;0,100*SUM(J$447:J$451)/SUM($D$447:$S$451),0.00001)</f>
        <v>1.0000000000000001E-5</v>
      </c>
      <c r="I267" s="921">
        <f>IF(Meal_entry_week_2!$Q$547&gt;0,100*$J$423/(SUM($D$423:$S$423)+0.00001),0.00001)</f>
        <v>5.6369815285744274</v>
      </c>
      <c r="J267" s="921">
        <f>IF(Meal_entry_week_2!$Q$548&gt;0,100*$J$424/(SUM($D$424:$S$424)+0.00001),0.00001)</f>
        <v>0</v>
      </c>
      <c r="K267" s="921">
        <f>IF(Meal_entry_week_2!$Q$549&gt;0,100*$J$425/(SUM($D$425:$S$425)+0.00001),0.00001)</f>
        <v>1.4448641595276039</v>
      </c>
      <c r="L267" s="921">
        <f>IF(Meal_entry_week_2!$Q$550&gt;0,100*$J$426/(SUM($D$426:$S$426)+0.00001),0.00001)</f>
        <v>4.1179126076132304</v>
      </c>
      <c r="M267" s="921">
        <f>IF(Meal_entry_week_2!$Q$551&gt;0,100*$J$427/(SUM($D$427:$S$427)+0.00001),0.00001)</f>
        <v>5.7561286590871932</v>
      </c>
      <c r="N267" s="921">
        <f>IF(Meal_entry_week_2!$V$32&gt;0,100*$J$429/(SUM($D$429:$S$429)+0.00001),0.00001)</f>
        <v>1.0000000000000001E-5</v>
      </c>
      <c r="O267" s="921">
        <f>IF(Meal_entry_week_2!$V$131&gt;0,100*$J$430/(SUM($D$430:$S$430)+0.00001),0.00001)</f>
        <v>1.0000000000000001E-5</v>
      </c>
      <c r="P267" s="921">
        <f>IF(Meal_entry_week_2!$V$230&gt;0,100*$J$431/(SUM($D$431:$S$431)+0.00001),0.00001)</f>
        <v>1.0000000000000001E-5</v>
      </c>
      <c r="Q267" s="921">
        <f>IF(Meal_entry_week_2!$V$329&gt;0,100*$J$432/(SUM($D$432:$S$432)+0.00001),0.00001)</f>
        <v>1.0000000000000001E-5</v>
      </c>
      <c r="R267" s="921">
        <f>IF(Meal_entry_week_2!$V$428&gt;0,100*$J$433/(SUM($D$433:$S$433)+0.00001),0.00001)</f>
        <v>1.0000000000000001E-5</v>
      </c>
      <c r="S267" s="921">
        <f>IF(Meal_entry_week_2!$V$51&gt;0,100*$J$435/(SUM($D$435:$S$435)+0.00001),0.00001)</f>
        <v>6.086085933781634</v>
      </c>
      <c r="T267" s="921">
        <f>IF(Meal_entry_week_2!$V$150&gt;0,100*$J$436/(SUM($D$436:$S$436)+0.00001),0.00001)</f>
        <v>0</v>
      </c>
      <c r="U267" s="921">
        <f>IF(Meal_entry_week_2!$V$249&gt;0,100*$J$437/(SUM($D$437:$S$437)+0.00001),0.00001)</f>
        <v>0</v>
      </c>
      <c r="V267" s="921">
        <f>IF(Meal_entry_week_2!$V$348&gt;0,100*$J$438/(SUM($D$438:$S$438)+0.00001),0.00001)</f>
        <v>0</v>
      </c>
      <c r="W267" s="921">
        <f>IF(Meal_entry_week_2!$V$447&gt;0,100*$J$439/(SUM($D$439:$S$439)+0.00001),0.00001)</f>
        <v>2.5982711909138096</v>
      </c>
      <c r="X267" s="921">
        <f>IF(Meal_entry_week_2!$V$83&gt;0,100*$J$441/(SUM($D$441:$S$441)+0.00001),0.00001)</f>
        <v>5.4753662058650709</v>
      </c>
      <c r="Y267" s="921">
        <f>IF(Meal_entry_week_2!$V$182&gt;0,100*$J$442/(SUM($D$442:$S$442)+0.00001),0.00001)</f>
        <v>0</v>
      </c>
      <c r="Z267" s="921">
        <f>IF(Meal_entry_week_2!$V$281&gt;0,100*$J$443/(SUM($D$443:$S$443)+0.00001),0.00001)</f>
        <v>2.2125117217633763</v>
      </c>
      <c r="AA267" s="921">
        <f>IF(Meal_entry_week_2!$V$380&gt;0,100*$J$444/(SUM($D$444:$S$444)+0.00001),0.00001)</f>
        <v>5.0327950750722925</v>
      </c>
      <c r="AB267" s="921">
        <f>IF(Meal_entry_week_2!$V$479&gt;0,100*$J$445/(SUM($D$445:$S$445)+0.00001),0.00001)</f>
        <v>6.6913630054415423</v>
      </c>
      <c r="AC267" s="921">
        <f>IF(Meal_entry_week_2!$V$102&gt;0,100*$J$447/(SUM($D$447:$S$447)+0.00001),0.00001)</f>
        <v>1.0000000000000001E-5</v>
      </c>
      <c r="AD267" s="921">
        <f>IF(Meal_entry_week_2!$V$201&gt;0,100*$J$448/(SUM($D$448:$S$448)+0.00001),0.00001)</f>
        <v>1.0000000000000001E-5</v>
      </c>
      <c r="AE267" s="921">
        <f>IF(Meal_entry_week_2!$V$300&gt;0,100*$J$449/(SUM($D$449:$S$449)+0.00001),0.00001)</f>
        <v>1.0000000000000001E-5</v>
      </c>
      <c r="AF267" s="921">
        <f>IF(Meal_entry_week_2!$V$399&gt;0,100*$J$450/(SUM($D$450:$S$450)+0.00001),0.00001)</f>
        <v>1.0000000000000001E-5</v>
      </c>
      <c r="AG267" s="921">
        <f>IF(Meal_entry_week_2!$V$498&gt;0,100*$J$451/(SUM($D$451:$S$451)+0.00001),0.00001)</f>
        <v>1.0000000000000001E-5</v>
      </c>
    </row>
    <row r="268" spans="1:33">
      <c r="A268" s="902"/>
      <c r="B268" s="947" t="s">
        <v>3085</v>
      </c>
      <c r="C268" s="913"/>
      <c r="D268" s="948">
        <f>100*(SUM(K$423:K$427)/SUM($D$423:$S$427))</f>
        <v>17.437311354490269</v>
      </c>
      <c r="E268" s="948">
        <f>IF(Meal_entry_week_2!$Q$512&gt;0,100*SUM(K$429:K$433)/SUM($D$429:$S$433),0.00001)</f>
        <v>1.0000000000000001E-5</v>
      </c>
      <c r="F268" s="948">
        <f>IF(Meal_entry_week_2!$Q$522&gt;0,100*SUM(K$435:K$439)/SUM($D$435:$S$439),0.00001)</f>
        <v>47.463278282379349</v>
      </c>
      <c r="G268" s="948">
        <f>IF(Meal_entry_week_2!$Q$532&gt;0,100*SUM(K$441:K$445)/SUM($D$441:$S$445),0.00001)</f>
        <v>7.9298613962543474</v>
      </c>
      <c r="H268" s="949">
        <f>IF(Meal_entry_week_2!$Q$542&gt;0,100*SUM(K$447:K$451)/SUM($D$447:$S$451),0.00001)</f>
        <v>1.0000000000000001E-5</v>
      </c>
      <c r="I268" s="921">
        <f>IF(Meal_entry_week_2!$Q$547&gt;0,100*$K$423/(SUM($D$423:$S$423)+0.00001),0.00001)</f>
        <v>21.496289992660465</v>
      </c>
      <c r="J268" s="921">
        <f>IF(Meal_entry_week_2!$Q$548&gt;0,100*$K$424/(SUM($D$424:$S$424)+0.00001),0.00001)</f>
        <v>27.905449546743036</v>
      </c>
      <c r="K268" s="921">
        <f>IF(Meal_entry_week_2!$Q$549&gt;0,100*$K$425/(SUM($D$425:$S$425)+0.00001),0.00001)</f>
        <v>16.509474159654886</v>
      </c>
      <c r="L268" s="921">
        <f>IF(Meal_entry_week_2!$Q$550&gt;0,100*$K$426/(SUM($D$426:$S$426)+0.00001),0.00001)</f>
        <v>12.475649709249295</v>
      </c>
      <c r="M268" s="921">
        <f>IF(Meal_entry_week_2!$Q$551&gt;0,100*$K$427/(SUM($D$427:$S$427)+0.00001),0.00001)</f>
        <v>8.1817995868191211</v>
      </c>
      <c r="N268" s="921">
        <f>IF(Meal_entry_week_2!$V$32&gt;0,100*$K$429/(SUM($D$429:$S$429)+0.00001),0.00001)</f>
        <v>1.0000000000000001E-5</v>
      </c>
      <c r="O268" s="921">
        <f>IF(Meal_entry_week_2!$V$131&gt;0,100*$K$430/(SUM($D$430:$S$430)+0.00001),0.00001)</f>
        <v>1.0000000000000001E-5</v>
      </c>
      <c r="P268" s="921">
        <f>IF(Meal_entry_week_2!$V$230&gt;0,100*$K$431/(SUM($D$431:$S$431)+0.00001),0.00001)</f>
        <v>1.0000000000000001E-5</v>
      </c>
      <c r="Q268" s="921">
        <f>IF(Meal_entry_week_2!$V$329&gt;0,100*$K$432/(SUM($D$432:$S$432)+0.00001),0.00001)</f>
        <v>1.0000000000000001E-5</v>
      </c>
      <c r="R268" s="921">
        <f>IF(Meal_entry_week_2!$V$428&gt;0,100*$K$433/(SUM($D$433:$S$433)+0.00001),0.00001)</f>
        <v>1.0000000000000001E-5</v>
      </c>
      <c r="S268" s="921">
        <f>IF(Meal_entry_week_2!$V$51&gt;0,100*$K$435/(SUM($D$435:$S$435)+0.00001),0.00001)</f>
        <v>62.962961387313278</v>
      </c>
      <c r="T268" s="921">
        <f>IF(Meal_entry_week_2!$V$150&gt;0,100*$K$436/(SUM($D$436:$S$436)+0.00001),0.00001)</f>
        <v>57.776016708507456</v>
      </c>
      <c r="U268" s="921">
        <f>IF(Meal_entry_week_2!$V$249&gt;0,100*$K$437/(SUM($D$437:$S$437)+0.00001),0.00001)</f>
        <v>44.383560427847662</v>
      </c>
      <c r="V268" s="921">
        <f>IF(Meal_entry_week_2!$V$348&gt;0,100*$K$438/(SUM($D$438:$S$438)+0.00001),0.00001)</f>
        <v>57.749625270133194</v>
      </c>
      <c r="W268" s="921">
        <f>IF(Meal_entry_week_2!$V$447&gt;0,100*$K$439/(SUM($D$439:$S$439)+0.00001),0.00001)</f>
        <v>8.680722971931722</v>
      </c>
      <c r="X268" s="921">
        <f>IF(Meal_entry_week_2!$V$83&gt;0,100*$K$441/(SUM($D$441:$S$441)+0.00001),0.00001)</f>
        <v>6.5740416616472066</v>
      </c>
      <c r="Y268" s="921">
        <f>IF(Meal_entry_week_2!$V$182&gt;0,100*$K$442/(SUM($D$442:$S$442)+0.00001),0.00001)</f>
        <v>20.328059545373637</v>
      </c>
      <c r="Z268" s="921">
        <f>IF(Meal_entry_week_2!$V$281&gt;0,100*$K$443/(SUM($D$443:$S$443)+0.00001),0.00001)</f>
        <v>1.7001405861971206</v>
      </c>
      <c r="AA268" s="921">
        <f>IF(Meal_entry_week_2!$V$380&gt;0,100*$K$444/(SUM($D$444:$S$444)+0.00001),0.00001)</f>
        <v>2.4170660557912984</v>
      </c>
      <c r="AB268" s="921">
        <f>IF(Meal_entry_week_2!$V$479&gt;0,100*$K$445/(SUM($D$445:$S$445)+0.00001),0.00001)</f>
        <v>8.0340378190334309</v>
      </c>
      <c r="AC268" s="921">
        <f>IF(Meal_entry_week_2!$V$102&gt;0,100*$K$447/(SUM($D$447:$S$447)+0.00001),0.00001)</f>
        <v>1.0000000000000001E-5</v>
      </c>
      <c r="AD268" s="921">
        <f>IF(Meal_entry_week_2!$V$201&gt;0,100*$K$448/(SUM($D$448:$S$448)+0.00001),0.00001)</f>
        <v>1.0000000000000001E-5</v>
      </c>
      <c r="AE268" s="921">
        <f>IF(Meal_entry_week_2!$V$300&gt;0,100*$K$449/(SUM($D$449:$S$449)+0.00001),0.00001)</f>
        <v>1.0000000000000001E-5</v>
      </c>
      <c r="AF268" s="921">
        <f>IF(Meal_entry_week_2!$V$399&gt;0,100*$K$450/(SUM($D$450:$S$450)+0.00001),0.00001)</f>
        <v>1.0000000000000001E-5</v>
      </c>
      <c r="AG268" s="921">
        <f>IF(Meal_entry_week_2!$V$498&gt;0,100*$K$451/(SUM($D$451:$S$451)+0.00001),0.00001)</f>
        <v>1.0000000000000001E-5</v>
      </c>
    </row>
    <row r="269" spans="1:33">
      <c r="A269" s="902"/>
      <c r="B269" s="947" t="s">
        <v>3075</v>
      </c>
      <c r="C269" s="913"/>
      <c r="D269" s="948">
        <f>100*(SUM(L$423:L$427)/SUM($D$423:$S$427))</f>
        <v>10.740185978807888</v>
      </c>
      <c r="E269" s="948">
        <f>IF(Meal_entry_week_2!$Q$512&gt;0,100*SUM(L$429:L$433)/SUM($D$429:$S$433),0.00001)</f>
        <v>1.0000000000000001E-5</v>
      </c>
      <c r="F269" s="948">
        <f>IF(Meal_entry_week_2!$Q$522&gt;0,100*SUM(L$435:L$439)/SUM($D$435:$S$439),0.00001)</f>
        <v>14.298283639974738</v>
      </c>
      <c r="G269" s="948">
        <f>IF(Meal_entry_week_2!$Q$532&gt;0,100*SUM(L$441:L$445)/SUM($D$441:$S$445),0.00001)</f>
        <v>9.6135466422195517</v>
      </c>
      <c r="H269" s="949">
        <f>IF(Meal_entry_week_2!$Q$542&gt;0,100*SUM(L$447:L$451)/SUM($D$447:$S$451),0.00001)</f>
        <v>1.0000000000000001E-5</v>
      </c>
      <c r="I269" s="921">
        <f>IF(Meal_entry_week_2!$Q$547&gt;0,100*$L$423/(SUM($D$423:$S$423)+0.00001),0.00001)</f>
        <v>15.661961131436231</v>
      </c>
      <c r="J269" s="921">
        <f>IF(Meal_entry_week_2!$Q$548&gt;0,100*$L$424/(SUM($D$424:$S$424)+0.00001),0.00001)</f>
        <v>1.8937270639324901</v>
      </c>
      <c r="K269" s="921">
        <f>IF(Meal_entry_week_2!$Q$549&gt;0,100*$L$425/(SUM($D$425:$S$425)+0.00001),0.00001)</f>
        <v>8.9024544734472535</v>
      </c>
      <c r="L269" s="921">
        <f>IF(Meal_entry_week_2!$Q$550&gt;0,100*$L$426/(SUM($D$426:$S$426)+0.00001),0.00001)</f>
        <v>7.6885763028989142</v>
      </c>
      <c r="M269" s="921">
        <f>IF(Meal_entry_week_2!$Q$551&gt;0,100*$L$427/(SUM($D$427:$S$427)+0.00001),0.00001)</f>
        <v>19.27766477990259</v>
      </c>
      <c r="N269" s="921">
        <f>IF(Meal_entry_week_2!$V$32&gt;0,100*$L$429/(SUM($D$429:$S$429)+0.00001),0.00001)</f>
        <v>1.0000000000000001E-5</v>
      </c>
      <c r="O269" s="921">
        <f>IF(Meal_entry_week_2!$V$131&gt;0,100*$L$430/(SUM($D$430:$S$430)+0.00001),0.00001)</f>
        <v>1.0000000000000001E-5</v>
      </c>
      <c r="P269" s="921">
        <f>IF(Meal_entry_week_2!$V$230&gt;0,100*$L$431/(SUM($D$431:$S$431)+0.00001),0.00001)</f>
        <v>1.0000000000000001E-5</v>
      </c>
      <c r="Q269" s="921">
        <f>IF(Meal_entry_week_2!$V$329&gt;0,100*$L$432/(SUM($D$432:$S$432)+0.00001),0.00001)</f>
        <v>1.0000000000000001E-5</v>
      </c>
      <c r="R269" s="921">
        <f>IF(Meal_entry_week_2!$V$428&gt;0,100*$L$433/(SUM($D$433:$S$433)+0.00001),0.00001)</f>
        <v>1.0000000000000001E-5</v>
      </c>
      <c r="S269" s="921">
        <f>IF(Meal_entry_week_2!$V$51&gt;0,100*$L$435/(SUM($D$435:$S$435)+0.00001),0.00001)</f>
        <v>18.938938464991534</v>
      </c>
      <c r="T269" s="921">
        <f>IF(Meal_entry_week_2!$V$150&gt;0,100*$L$436/(SUM($D$436:$S$436)+0.00001),0.00001)</f>
        <v>0</v>
      </c>
      <c r="U269" s="921">
        <f>IF(Meal_entry_week_2!$V$249&gt;0,100*$L$437/(SUM($D$437:$S$437)+0.00001),0.00001)</f>
        <v>0</v>
      </c>
      <c r="V269" s="921">
        <f>IF(Meal_entry_week_2!$V$348&gt;0,100*$L$438/(SUM($D$438:$S$438)+0.00001),0.00001)</f>
        <v>0</v>
      </c>
      <c r="W269" s="921">
        <f>IF(Meal_entry_week_2!$V$447&gt;0,100*$L$439/(SUM($D$439:$S$439)+0.00001),0.00001)</f>
        <v>54.48863053828547</v>
      </c>
      <c r="X269" s="921">
        <f>IF(Meal_entry_week_2!$V$83&gt;0,100*$L$441/(SUM($D$441:$S$441)+0.00001),0.00001)</f>
        <v>14.482703835974025</v>
      </c>
      <c r="Y269" s="921">
        <f>IF(Meal_entry_week_2!$V$182&gt;0,100*$L$442/(SUM($D$442:$S$442)+0.00001),0.00001)</f>
        <v>2.3741165839411682</v>
      </c>
      <c r="Z269" s="921">
        <f>IF(Meal_entry_week_2!$V$281&gt;0,100*$L$443/(SUM($D$443:$S$443)+0.00001),0.00001)</f>
        <v>13.632274525659689</v>
      </c>
      <c r="AA269" s="921">
        <f>IF(Meal_entry_week_2!$V$380&gt;0,100*$L$444/(SUM($D$444:$S$444)+0.00001),0.00001)</f>
        <v>9.3967581730626097</v>
      </c>
      <c r="AB269" s="921">
        <f>IF(Meal_entry_week_2!$V$479&gt;0,100*$L$445/(SUM($D$445:$S$445)+0.00001),0.00001)</f>
        <v>8.8495476853216175</v>
      </c>
      <c r="AC269" s="921">
        <f>IF(Meal_entry_week_2!$V$102&gt;0,100*$L$447/(SUM($D$447:$S$447)+0.00001),0.00001)</f>
        <v>1.0000000000000001E-5</v>
      </c>
      <c r="AD269" s="921">
        <f>IF(Meal_entry_week_2!$V$201&gt;0,100*$L$448/(SUM($D$448:$S$448)+0.00001),0.00001)</f>
        <v>1.0000000000000001E-5</v>
      </c>
      <c r="AE269" s="921">
        <f>IF(Meal_entry_week_2!$V$300&gt;0,100*$L$449/(SUM($D$449:$S$449)+0.00001),0.00001)</f>
        <v>1.0000000000000001E-5</v>
      </c>
      <c r="AF269" s="921">
        <f>IF(Meal_entry_week_2!$V$399&gt;0,100*$L$450/(SUM($D$450:$S$450)+0.00001),0.00001)</f>
        <v>1.0000000000000001E-5</v>
      </c>
      <c r="AG269" s="921">
        <f>IF(Meal_entry_week_2!$V$498&gt;0,100*$L$451/(SUM($D$451:$S$451)+0.00001),0.00001)</f>
        <v>1.0000000000000001E-5</v>
      </c>
    </row>
    <row r="270" spans="1:33">
      <c r="A270" s="902"/>
      <c r="B270" s="947" t="s">
        <v>3141</v>
      </c>
      <c r="C270" s="913"/>
      <c r="D270" s="948">
        <f>100*(SUM(M$423:M$427)/SUM($D$423:$S$427))</f>
        <v>12.92477634769641</v>
      </c>
      <c r="E270" s="948">
        <f>IF(Meal_entry_week_2!$Q$512&gt;0,100*SUM(M$429:M$433)/SUM($D$429:$S$433),0.00001)</f>
        <v>1.0000000000000001E-5</v>
      </c>
      <c r="F270" s="948">
        <f>IF(Meal_entry_week_2!$Q$522&gt;0,100*SUM(M$435:M$439)/SUM($D$435:$S$439),0.00001)</f>
        <v>7.9842963927239605</v>
      </c>
      <c r="G270" s="948">
        <f>IF(Meal_entry_week_2!$Q$532&gt;0,100*SUM(M$441:M$445)/SUM($D$441:$S$445),0.00001)</f>
        <v>14.489134493243409</v>
      </c>
      <c r="H270" s="949">
        <f>IF(Meal_entry_week_2!$Q$542&gt;0,100*SUM(M$447:M$451)/SUM($D$447:$S$451),0.00001)</f>
        <v>1.0000000000000001E-5</v>
      </c>
      <c r="I270" s="921">
        <f>IF(Meal_entry_week_2!$Q$547&gt;0,100*$M$423/(SUM($D$423:$S$423)+0.00001),0.00001)</f>
        <v>4.2515767637979112</v>
      </c>
      <c r="J270" s="921">
        <f>IF(Meal_entry_week_2!$Q$548&gt;0,100*$M$424/(SUM($D$424:$S$424)+0.00001),0.00001)</f>
        <v>30.74804196829075</v>
      </c>
      <c r="K270" s="921">
        <f>IF(Meal_entry_week_2!$Q$549&gt;0,100*$M$425/(SUM($D$425:$S$425)+0.00001),0.00001)</f>
        <v>2.7718578218305883</v>
      </c>
      <c r="L270" s="921">
        <f>IF(Meal_entry_week_2!$Q$550&gt;0,100*$M$426/(SUM($D$426:$S$426)+0.00001),0.00001)</f>
        <v>2.1944139553728403</v>
      </c>
      <c r="M270" s="921">
        <f>IF(Meal_entry_week_2!$Q$551&gt;0,100*$M$427/(SUM($D$427:$S$427)+0.00001),0.00001)</f>
        <v>27.666641525209034</v>
      </c>
      <c r="N270" s="921">
        <f>IF(Meal_entry_week_2!$V$32&gt;0,100*$M$429/(SUM($D$429:$S$429)+0.00001),0.00001)</f>
        <v>1.0000000000000001E-5</v>
      </c>
      <c r="O270" s="921">
        <f>IF(Meal_entry_week_2!$V$131&gt;0,100*$M$430/(SUM($D$430:$S$430)+0.00001),0.00001)</f>
        <v>1.0000000000000001E-5</v>
      </c>
      <c r="P270" s="921">
        <f>IF(Meal_entry_week_2!$V$230&gt;0,100*$M$431/(SUM($D$431:$S$431)+0.00001),0.00001)</f>
        <v>1.0000000000000001E-5</v>
      </c>
      <c r="Q270" s="921">
        <f>IF(Meal_entry_week_2!$V$329&gt;0,100*$M$432/(SUM($D$432:$S$432)+0.00001),0.00001)</f>
        <v>1.0000000000000001E-5</v>
      </c>
      <c r="R270" s="921">
        <f>IF(Meal_entry_week_2!$V$428&gt;0,100*$M$433/(SUM($D$433:$S$433)+0.00001),0.00001)</f>
        <v>1.0000000000000001E-5</v>
      </c>
      <c r="S270" s="921">
        <f>IF(Meal_entry_week_2!$V$51&gt;0,100*$M$435/(SUM($D$435:$S$435)+0.00001),0.00001)</f>
        <v>12.01201171141112</v>
      </c>
      <c r="T270" s="921">
        <f>IF(Meal_entry_week_2!$V$150&gt;0,100*$M$436/(SUM($D$436:$S$436)+0.00001),0.00001)</f>
        <v>0</v>
      </c>
      <c r="U270" s="921">
        <f>IF(Meal_entry_week_2!$V$249&gt;0,100*$M$437/(SUM($D$437:$S$437)+0.00001),0.00001)</f>
        <v>0</v>
      </c>
      <c r="V270" s="921">
        <f>IF(Meal_entry_week_2!$V$348&gt;0,100*$M$438/(SUM($D$438:$S$438)+0.00001),0.00001)</f>
        <v>0</v>
      </c>
      <c r="W270" s="921">
        <f>IF(Meal_entry_week_2!$V$447&gt;0,100*$M$439/(SUM($D$439:$S$439)+0.00001),0.00001)</f>
        <v>28.294103042931564</v>
      </c>
      <c r="X270" s="921">
        <f>IF(Meal_entry_week_2!$V$83&gt;0,100*$M$441/(SUM($D$441:$S$441)+0.00001),0.00001)</f>
        <v>1.4588969166943118</v>
      </c>
      <c r="Y270" s="921">
        <f>IF(Meal_entry_week_2!$V$182&gt;0,100*$M$442/(SUM($D$442:$S$442)+0.00001),0.00001)</f>
        <v>38.548024026782606</v>
      </c>
      <c r="Z270" s="921">
        <f>IF(Meal_entry_week_2!$V$281&gt;0,100*$M$443/(SUM($D$443:$S$443)+0.00001),0.00001)</f>
        <v>4.2445290662250041</v>
      </c>
      <c r="AA270" s="921">
        <f>IF(Meal_entry_week_2!$V$380&gt;0,100*$M$444/(SUM($D$444:$S$444)+0.00001),0.00001)</f>
        <v>2.6819500071108928</v>
      </c>
      <c r="AB270" s="921">
        <f>IF(Meal_entry_week_2!$V$479&gt;0,100*$M$445/(SUM($D$445:$S$445)+0.00001),0.00001)</f>
        <v>27.48081155359791</v>
      </c>
      <c r="AC270" s="921">
        <f>IF(Meal_entry_week_2!$V$102&gt;0,100*$M$447/(SUM($D$447:$S$447)+0.00001),0.00001)</f>
        <v>1.0000000000000001E-5</v>
      </c>
      <c r="AD270" s="921">
        <f>IF(Meal_entry_week_2!$V$201&gt;0,100*$M$448/(SUM($D$448:$S$448)+0.00001),0.00001)</f>
        <v>1.0000000000000001E-5</v>
      </c>
      <c r="AE270" s="921">
        <f>IF(Meal_entry_week_2!$V$300&gt;0,100*$M$449/(SUM($D$449:$S$449)+0.00001),0.00001)</f>
        <v>1.0000000000000001E-5</v>
      </c>
      <c r="AF270" s="921">
        <f>IF(Meal_entry_week_2!$V$399&gt;0,100*$M$450/(SUM($D$450:$S$450)+0.00001),0.00001)</f>
        <v>1.0000000000000001E-5</v>
      </c>
      <c r="AG270" s="921">
        <f>IF(Meal_entry_week_2!$V$498&gt;0,100*$M$451/(SUM($D$451:$S$451)+0.00001),0.00001)</f>
        <v>1.0000000000000001E-5</v>
      </c>
    </row>
    <row r="271" spans="1:33">
      <c r="A271" s="902"/>
      <c r="B271" s="947" t="s">
        <v>3550</v>
      </c>
      <c r="C271" s="913"/>
      <c r="D271" s="948">
        <f>100*(SUM(N$423:N$427)/SUM($D$423:$S$427))</f>
        <v>2.0707824232074792</v>
      </c>
      <c r="E271" s="948">
        <f>IF(Meal_entry_week_2!$Q$512&gt;0,100*SUM(N$429:N$433)/SUM($D$429:$S$433),0.00001)</f>
        <v>1.0000000000000001E-5</v>
      </c>
      <c r="F271" s="948">
        <f>IF(Meal_entry_week_2!$Q$522&gt;0,100*SUM(N$435:N$439)/SUM($D$435:$S$439),0.00001)</f>
        <v>2.2536631674000933</v>
      </c>
      <c r="G271" s="948">
        <f>IF(Meal_entry_week_2!$Q$532&gt;0,100*SUM(N$441:N$445)/SUM($D$441:$S$445),0.00001)</f>
        <v>2.0128748951031548</v>
      </c>
      <c r="H271" s="949">
        <f>IF(Meal_entry_week_2!$Q$542&gt;0,100*SUM(N$447:N$451)/SUM($D$447:$S$451),0.00001)</f>
        <v>1.0000000000000001E-5</v>
      </c>
      <c r="I271" s="921">
        <f>IF(Meal_entry_week_2!$Q$547&gt;0,100*$N$423/(SUM($D$423:$S$423)+0.00001),0.00001)</f>
        <v>2.2852556225099425</v>
      </c>
      <c r="J271" s="921">
        <f>IF(Meal_entry_week_2!$Q$548&gt;0,100*$N$424/(SUM($D$424:$S$424)+0.00001),0.00001)</f>
        <v>1.6815335451409005E-2</v>
      </c>
      <c r="K271" s="921">
        <f>IF(Meal_entry_week_2!$Q$549&gt;0,100*$N$425/(SUM($D$425:$S$425)+0.00001),0.00001)</f>
        <v>3.2338341254690195</v>
      </c>
      <c r="L271" s="921">
        <f>IF(Meal_entry_week_2!$Q$550&gt;0,100*$N$426/(SUM($D$426:$S$426)+0.00001),0.00001)</f>
        <v>0.43456169198960554</v>
      </c>
      <c r="M271" s="921">
        <f>IF(Meal_entry_week_2!$Q$551&gt;0,100*$N$427/(SUM($D$427:$S$427)+0.00001),0.00001)</f>
        <v>4.9861768258236419</v>
      </c>
      <c r="N271" s="921">
        <f>IF(Meal_entry_week_2!$V$32&gt;0,100*$N$429/(SUM($D$429:$S$429)+0.00001),0.00001)</f>
        <v>1.0000000000000001E-5</v>
      </c>
      <c r="O271" s="921">
        <f>IF(Meal_entry_week_2!$V$131&gt;0,100*$N$430/(SUM($D$430:$S$430)+0.00001),0.00001)</f>
        <v>1.0000000000000001E-5</v>
      </c>
      <c r="P271" s="921">
        <f>IF(Meal_entry_week_2!$V$230&gt;0,100*$N$431/(SUM($D$431:$S$431)+0.00001),0.00001)</f>
        <v>1.0000000000000001E-5</v>
      </c>
      <c r="Q271" s="921">
        <f>IF(Meal_entry_week_2!$V$329&gt;0,100*$N$432/(SUM($D$432:$S$432)+0.00001),0.00001)</f>
        <v>1.0000000000000001E-5</v>
      </c>
      <c r="R271" s="921">
        <f>IF(Meal_entry_week_2!$V$428&gt;0,100*$N$433/(SUM($D$433:$S$433)+0.00001),0.00001)</f>
        <v>1.0000000000000001E-5</v>
      </c>
      <c r="S271" s="921">
        <f>IF(Meal_entry_week_2!$V$51&gt;0,100*$N$435/(SUM($D$435:$S$435)+0.00001),0.00001)</f>
        <v>0</v>
      </c>
      <c r="T271" s="921">
        <f>IF(Meal_entry_week_2!$V$150&gt;0,100*$N$436/(SUM($D$436:$S$436)+0.00001),0.00001)</f>
        <v>0</v>
      </c>
      <c r="U271" s="921">
        <f>IF(Meal_entry_week_2!$V$249&gt;0,100*$N$437/(SUM($D$437:$S$437)+0.00001),0.00001)</f>
        <v>6.5753422856070607</v>
      </c>
      <c r="V271" s="921">
        <f>IF(Meal_entry_week_2!$V$348&gt;0,100*$N$438/(SUM($D$438:$S$438)+0.00001),0.00001)</f>
        <v>0</v>
      </c>
      <c r="W271" s="921">
        <f>IF(Meal_entry_week_2!$V$447&gt;0,100*$N$439/(SUM($D$439:$S$439)+0.00001),0.00001)</f>
        <v>4.1025334593375948</v>
      </c>
      <c r="X271" s="921">
        <f>IF(Meal_entry_week_2!$V$83&gt;0,100*$N$441/(SUM($D$441:$S$441)+0.00001),0.00001)</f>
        <v>3.1076305432893396</v>
      </c>
      <c r="Y271" s="921">
        <f>IF(Meal_entry_week_2!$V$182&gt;0,100*$N$442/(SUM($D$442:$S$442)+0.00001),0.00001)</f>
        <v>2.1080950639646739E-2</v>
      </c>
      <c r="Z271" s="921">
        <f>IF(Meal_entry_week_2!$V$281&gt;0,100*$N$443/(SUM($D$443:$S$443)+0.00001),0.00001)</f>
        <v>1.4585110165834889</v>
      </c>
      <c r="AA271" s="921">
        <f>IF(Meal_entry_week_2!$V$380&gt;0,100*$N$444/(SUM($D$444:$S$444)+0.00001),0.00001)</f>
        <v>0.53110887764274417</v>
      </c>
      <c r="AB271" s="921">
        <f>IF(Meal_entry_week_2!$V$479&gt;0,100*$N$445/(SUM($D$445:$S$445)+0.00001),0.00001)</f>
        <v>5.2478775255176728</v>
      </c>
      <c r="AC271" s="921">
        <f>IF(Meal_entry_week_2!$V$102&gt;0,100*$N$447/(SUM($D$447:$S$447)+0.00001),0.00001)</f>
        <v>1.0000000000000001E-5</v>
      </c>
      <c r="AD271" s="921">
        <f>IF(Meal_entry_week_2!$V$201&gt;0,100*$N$448/(SUM($D$448:$S$448)+0.00001),0.00001)</f>
        <v>1.0000000000000001E-5</v>
      </c>
      <c r="AE271" s="921">
        <f>IF(Meal_entry_week_2!$V$300&gt;0,100*$N$449/(SUM($D$449:$S$449)+0.00001),0.00001)</f>
        <v>1.0000000000000001E-5</v>
      </c>
      <c r="AF271" s="921">
        <f>IF(Meal_entry_week_2!$V$399&gt;0,100*$N$450/(SUM($D$450:$S$450)+0.00001),0.00001)</f>
        <v>1.0000000000000001E-5</v>
      </c>
      <c r="AG271" s="921">
        <f>IF(Meal_entry_week_2!$V$498&gt;0,100*$N$451/(SUM($D$451:$S$451)+0.00001),0.00001)</f>
        <v>1.0000000000000001E-5</v>
      </c>
    </row>
    <row r="272" spans="1:33">
      <c r="A272" s="902"/>
      <c r="B272" s="947" t="s">
        <v>3078</v>
      </c>
      <c r="C272" s="913"/>
      <c r="D272" s="948">
        <f>100*(SUM(O$423:O$427)/SUM($D$423:$S$427))</f>
        <v>0.34443384359801782</v>
      </c>
      <c r="E272" s="948">
        <f>IF(Meal_entry_week_2!$Q$512&gt;0,100*SUM(O$429:O$433)/SUM($D$429:$S$433),0.00001)</f>
        <v>1.0000000000000001E-5</v>
      </c>
      <c r="F272" s="948">
        <f>IF(Meal_entry_week_2!$Q$522&gt;0,100*SUM(O$435:O$439)/SUM($D$435:$S$439),0.00001)</f>
        <v>0.92873562035551782</v>
      </c>
      <c r="G272" s="948">
        <f>IF(Meal_entry_week_2!$Q$532&gt;0,100*SUM(O$441:O$445)/SUM($D$441:$S$445),0.00001)</f>
        <v>0.15941998821171874</v>
      </c>
      <c r="H272" s="949">
        <f>IF(Meal_entry_week_2!$Q$542&gt;0,100*SUM(O$447:O$451)/SUM($D$447:$S$451),0.00001)</f>
        <v>1.0000000000000001E-5</v>
      </c>
      <c r="I272" s="921">
        <f>IF(Meal_entry_week_2!$Q$547&gt;0,100*$O$423/(SUM($D$423:$S$423)+0.00001),0.00001)</f>
        <v>0</v>
      </c>
      <c r="J272" s="921">
        <f>IF(Meal_entry_week_2!$Q$548&gt;0,100*$O$424/(SUM($D$424:$S$424)+0.00001),0.00001)</f>
        <v>0.76069374661135969</v>
      </c>
      <c r="K272" s="921">
        <f>IF(Meal_entry_week_2!$Q$549&gt;0,100*$O$425/(SUM($D$425:$S$425)+0.00001),0.00001)</f>
        <v>0.5634970222157657</v>
      </c>
      <c r="L272" s="921">
        <f>IF(Meal_entry_week_2!$Q$550&gt;0,100*$O$426/(SUM($D$426:$S$426)+0.00001),0.00001)</f>
        <v>0.12868476898791345</v>
      </c>
      <c r="M272" s="921">
        <f>IF(Meal_entry_week_2!$Q$551&gt;0,100*$O$427/(SUM($D$427:$S$427)+0.00001),0.00001)</f>
        <v>0.41944883726532228</v>
      </c>
      <c r="N272" s="921">
        <f>IF(Meal_entry_week_2!$V$32&gt;0,100*$O$429/(SUM($D$429:$S$429)+0.00001),0.00001)</f>
        <v>1.0000000000000001E-5</v>
      </c>
      <c r="O272" s="921">
        <f>IF(Meal_entry_week_2!$V$131&gt;0,100*$O$430/(SUM($D$430:$S$430)+0.00001),0.00001)</f>
        <v>1.0000000000000001E-5</v>
      </c>
      <c r="P272" s="921">
        <f>IF(Meal_entry_week_2!$V$230&gt;0,100*$O$431/(SUM($D$431:$S$431)+0.00001),0.00001)</f>
        <v>1.0000000000000001E-5</v>
      </c>
      <c r="Q272" s="921">
        <f>IF(Meal_entry_week_2!$V$329&gt;0,100*$O$432/(SUM($D$432:$S$432)+0.00001),0.00001)</f>
        <v>1.0000000000000001E-5</v>
      </c>
      <c r="R272" s="921">
        <f>IF(Meal_entry_week_2!$V$428&gt;0,100*$O$433/(SUM($D$433:$S$433)+0.00001),0.00001)</f>
        <v>1.0000000000000001E-5</v>
      </c>
      <c r="S272" s="921">
        <f>IF(Meal_entry_week_2!$V$51&gt;0,100*$O$435/(SUM($D$435:$S$435)+0.00001),0.00001)</f>
        <v>0</v>
      </c>
      <c r="T272" s="921">
        <f>IF(Meal_entry_week_2!$V$150&gt;0,100*$O$436/(SUM($D$436:$S$436)+0.00001),0.00001)</f>
        <v>3.7593983474713752</v>
      </c>
      <c r="U272" s="921">
        <f>IF(Meal_entry_week_2!$V$249&gt;0,100*$O$437/(SUM($D$437:$S$437)+0.00001),0.00001)</f>
        <v>0</v>
      </c>
      <c r="V272" s="921">
        <f>IF(Meal_entry_week_2!$V$348&gt;0,100*$O$438/(SUM($D$438:$S$438)+0.00001),0.00001)</f>
        <v>0</v>
      </c>
      <c r="W272" s="921">
        <f>IF(Meal_entry_week_2!$V$447&gt;0,100*$O$439/(SUM($D$439:$S$439)+0.00001),0.00001)</f>
        <v>1.8357350805369308</v>
      </c>
      <c r="X272" s="921">
        <f>IF(Meal_entry_week_2!$V$83&gt;0,100*$O$441/(SUM($D$441:$S$441)+0.00001),0.00001)</f>
        <v>0</v>
      </c>
      <c r="Y272" s="921">
        <f>IF(Meal_entry_week_2!$V$182&gt;0,100*$O$442/(SUM($D$442:$S$442)+0.00001),0.00001)</f>
        <v>0</v>
      </c>
      <c r="Z272" s="921">
        <f>IF(Meal_entry_week_2!$V$281&gt;0,100*$O$443/(SUM($D$443:$S$443)+0.00001),0.00001)</f>
        <v>0.86287957148771677</v>
      </c>
      <c r="AA272" s="921">
        <f>IF(Meal_entry_week_2!$V$380&gt;0,100*$O$444/(SUM($D$444:$S$444)+0.00001),0.00001)</f>
        <v>0.15727484609600914</v>
      </c>
      <c r="AB272" s="921">
        <f>IF(Meal_entry_week_2!$V$479&gt;0,100*$O$445/(SUM($D$445:$S$445)+0.00001),0.00001)</f>
        <v>0</v>
      </c>
      <c r="AC272" s="921">
        <f>IF(Meal_entry_week_2!$V$102&gt;0,100*$O$447/(SUM($D$447:$S$447)+0.00001),0.00001)</f>
        <v>1.0000000000000001E-5</v>
      </c>
      <c r="AD272" s="921">
        <f>IF(Meal_entry_week_2!$V$201&gt;0,100*$O$448/(SUM($D$448:$S$448)+0.00001),0.00001)</f>
        <v>1.0000000000000001E-5</v>
      </c>
      <c r="AE272" s="921">
        <f>IF(Meal_entry_week_2!$V$300&gt;0,100*$O$449/(SUM($D$449:$S$449)+0.00001),0.00001)</f>
        <v>1.0000000000000001E-5</v>
      </c>
      <c r="AF272" s="921">
        <f>IF(Meal_entry_week_2!$V$399&gt;0,100*$O$450/(SUM($D$450:$S$450)+0.00001),0.00001)</f>
        <v>1.0000000000000001E-5</v>
      </c>
      <c r="AG272" s="921">
        <f>IF(Meal_entry_week_2!$V$498&gt;0,100*$O$451/(SUM($D$451:$S$451)+0.00001),0.00001)</f>
        <v>1.0000000000000001E-5</v>
      </c>
    </row>
    <row r="273" spans="1:33">
      <c r="A273" s="902"/>
      <c r="B273" s="947" t="s">
        <v>3551</v>
      </c>
      <c r="C273" s="913"/>
      <c r="D273" s="948">
        <f>100*(SUM(P$423:P$427)/SUM($D$423:$S$427))</f>
        <v>13.40582056073298</v>
      </c>
      <c r="E273" s="948">
        <f>IF(Meal_entry_week_2!$Q$512&gt;0,100*SUM(P$429:P$433)/SUM($D$429:$S$433),0.00001)</f>
        <v>1.0000000000000001E-5</v>
      </c>
      <c r="F273" s="948">
        <f>IF(Meal_entry_week_2!$Q$522&gt;0,100*SUM(P$435:P$439)/SUM($D$435:$S$439),0.00001)</f>
        <v>18.754799646514478</v>
      </c>
      <c r="G273" s="948">
        <f>IF(Meal_entry_week_2!$Q$532&gt;0,100*SUM(P$441:P$445)/SUM($D$441:$S$445),0.00001)</f>
        <v>11.712114872324914</v>
      </c>
      <c r="H273" s="949">
        <f>IF(Meal_entry_week_2!$Q$542&gt;0,100*SUM(P$447:P$451)/SUM($D$447:$S$451),0.00001)</f>
        <v>1.0000000000000001E-5</v>
      </c>
      <c r="I273" s="921">
        <f>IF(Meal_entry_week_2!$Q$547&gt;0,100*$P$423/(SUM($D$423:$S$423)+0.00001),0.00001)</f>
        <v>5.3641389075954953</v>
      </c>
      <c r="J273" s="921">
        <f>IF(Meal_entry_week_2!$Q$548&gt;0,100*$P$424/(SUM($D$424:$S$424)+0.00001),0.00001)</f>
        <v>17.51197077725309</v>
      </c>
      <c r="K273" s="921">
        <f>IF(Meal_entry_week_2!$Q$549&gt;0,100*$P$425/(SUM($D$425:$S$425)+0.00001),0.00001)</f>
        <v>20.018973157665361</v>
      </c>
      <c r="L273" s="921">
        <f>IF(Meal_entry_week_2!$Q$550&gt;0,100*$P$426/(SUM($D$426:$S$426)+0.00001),0.00001)</f>
        <v>15.909501176453093</v>
      </c>
      <c r="M273" s="921">
        <f>IF(Meal_entry_week_2!$Q$551&gt;0,100*$P$427/(SUM($D$427:$S$427)+0.00001),0.00001)</f>
        <v>10.316403588610664</v>
      </c>
      <c r="N273" s="921">
        <f>IF(Meal_entry_week_2!$V$32&gt;0,100*$P$429/(SUM($D$429:$S$429)+0.00001),0.00001)</f>
        <v>1.0000000000000001E-5</v>
      </c>
      <c r="O273" s="921">
        <f>IF(Meal_entry_week_2!$V$131&gt;0,100*$P$430/(SUM($D$430:$S$430)+0.00001),0.00001)</f>
        <v>1.0000000000000001E-5</v>
      </c>
      <c r="P273" s="921">
        <f>IF(Meal_entry_week_2!$V$230&gt;0,100*$P$431/(SUM($D$431:$S$431)+0.00001),0.00001)</f>
        <v>1.0000000000000001E-5</v>
      </c>
      <c r="Q273" s="921">
        <f>IF(Meal_entry_week_2!$V$329&gt;0,100*$P$432/(SUM($D$432:$S$432)+0.00001),0.00001)</f>
        <v>1.0000000000000001E-5</v>
      </c>
      <c r="R273" s="921">
        <f>IF(Meal_entry_week_2!$V$428&gt;0,100*$P$433/(SUM($D$433:$S$433)+0.00001),0.00001)</f>
        <v>1.0000000000000001E-5</v>
      </c>
      <c r="S273" s="921">
        <f>IF(Meal_entry_week_2!$V$51&gt;0,100*$P$435/(SUM($D$435:$S$435)+0.00001),0.00001)</f>
        <v>0</v>
      </c>
      <c r="T273" s="921">
        <f>IF(Meal_entry_week_2!$V$150&gt;0,100*$P$436/(SUM($D$436:$S$436)+0.00001),0.00001)</f>
        <v>38.464580986759756</v>
      </c>
      <c r="U273" s="921">
        <f>IF(Meal_entry_week_2!$V$249&gt;0,100*$P$437/(SUM($D$437:$S$437)+0.00001),0.00001)</f>
        <v>22.191780213923831</v>
      </c>
      <c r="V273" s="921">
        <f>IF(Meal_entry_week_2!$V$348&gt;0,100*$P$438/(SUM($D$438:$S$438)+0.00001),0.00001)</f>
        <v>42.250371004084542</v>
      </c>
      <c r="W273" s="921">
        <f>IF(Meal_entry_week_2!$V$447&gt;0,100*$P$439/(SUM($D$439:$S$439)+0.00001),0.00001)</f>
        <v>0</v>
      </c>
      <c r="X273" s="921">
        <f>IF(Meal_entry_week_2!$V$83&gt;0,100*$P$441/(SUM($D$441:$S$441)+0.00001),0.00001)</f>
        <v>7.2944845834715579</v>
      </c>
      <c r="Y273" s="921">
        <f>IF(Meal_entry_week_2!$V$182&gt;0,100*$P$442/(SUM($D$442:$S$442)+0.00001),0.00001)</f>
        <v>12.196835727224185</v>
      </c>
      <c r="Z273" s="921">
        <f>IF(Meal_entry_week_2!$V$281&gt;0,100*$P$443/(SUM($D$443:$S$443)+0.00001),0.00001)</f>
        <v>18.864573627666683</v>
      </c>
      <c r="AA273" s="921">
        <f>IF(Meal_entry_week_2!$V$380&gt;0,100*$P$444/(SUM($D$444:$S$444)+0.00001),0.00001)</f>
        <v>10.057312526665848</v>
      </c>
      <c r="AB273" s="921">
        <f>IF(Meal_entry_week_2!$V$479&gt;0,100*$P$445/(SUM($D$445:$S$445)+0.00001),0.00001)</f>
        <v>13.371720479624136</v>
      </c>
      <c r="AC273" s="921">
        <f>IF(Meal_entry_week_2!$V$102&gt;0,100*$P$447/(SUM($D$447:$S$447)+0.00001),0.00001)</f>
        <v>1.0000000000000001E-5</v>
      </c>
      <c r="AD273" s="921">
        <f>IF(Meal_entry_week_2!$V$201&gt;0,100*$P$448/(SUM($D$448:$S$448)+0.00001),0.00001)</f>
        <v>1.0000000000000001E-5</v>
      </c>
      <c r="AE273" s="921">
        <f>IF(Meal_entry_week_2!$V$300&gt;0,100*$P$449/(SUM($D$449:$S$449)+0.00001),0.00001)</f>
        <v>1.0000000000000001E-5</v>
      </c>
      <c r="AF273" s="921">
        <f>IF(Meal_entry_week_2!$V$399&gt;0,100*$P$450/(SUM($D$450:$S$450)+0.00001),0.00001)</f>
        <v>1.0000000000000001E-5</v>
      </c>
      <c r="AG273" s="921">
        <f>IF(Meal_entry_week_2!$V$498&gt;0,100*$P$451/(SUM($D$451:$S$451)+0.00001),0.00001)</f>
        <v>1.0000000000000001E-5</v>
      </c>
    </row>
    <row r="274" spans="1:33">
      <c r="A274" s="902"/>
      <c r="B274" s="947" t="s">
        <v>3082</v>
      </c>
      <c r="C274" s="913"/>
      <c r="D274" s="948">
        <f>100*(SUM(Q$423:Q$427)/SUM($D$423:$S$427))</f>
        <v>0</v>
      </c>
      <c r="E274" s="948">
        <f>IF(Meal_entry_week_2!$Q$512&gt;0,100*SUM(Q$429:Q$433)/SUM($D$429:$S$433),0.00001)</f>
        <v>1.0000000000000001E-5</v>
      </c>
      <c r="F274" s="948">
        <f>IF(Meal_entry_week_2!$Q$522&gt;0,100*SUM(Q$435:Q$439)/SUM($D$435:$S$439),0.00001)</f>
        <v>0</v>
      </c>
      <c r="G274" s="948">
        <f>IF(Meal_entry_week_2!$Q$532&gt;0,100*SUM(Q$441:Q$445)/SUM($D$441:$S$445),0.00001)</f>
        <v>0</v>
      </c>
      <c r="H274" s="949">
        <f>IF(Meal_entry_week_2!$Q$542&gt;0,100*SUM(Q$447:Q$451)/SUM($D$447:$S$451),0.00001)</f>
        <v>1.0000000000000001E-5</v>
      </c>
      <c r="I274" s="921">
        <f>IF(Meal_entry_week_2!$Q$547&gt;0,100*$Q$423/(SUM($D$423:$S$423)+0.00001),0.00001)</f>
        <v>0</v>
      </c>
      <c r="J274" s="921">
        <f>IF(Meal_entry_week_2!$Q$548&gt;0,100*$Q$424/(SUM($D$424:$S$424)+0.00001),0.00001)</f>
        <v>0</v>
      </c>
      <c r="K274" s="921">
        <f>IF(Meal_entry_week_2!$Q$549&gt;0,100*$Q$425/(SUM($D$425:$S$425)+0.00001),0.00001)</f>
        <v>0</v>
      </c>
      <c r="L274" s="921">
        <f>IF(Meal_entry_week_2!$Q$550&gt;0,100*$Q$426/(SUM($D$426:$S$426)+0.00001),0.00001)</f>
        <v>0</v>
      </c>
      <c r="M274" s="921">
        <f>IF(Meal_entry_week_2!$Q$551&gt;0,100*$Q$427/(SUM($D$427:$S$427)+0.00001),0.00001)</f>
        <v>0</v>
      </c>
      <c r="N274" s="921">
        <f>IF(Meal_entry_week_2!$V$32&gt;0,100*$Q$429/(SUM($D$429:$S$429)+0.00001),0.00001)</f>
        <v>1.0000000000000001E-5</v>
      </c>
      <c r="O274" s="921">
        <f>IF(Meal_entry_week_2!$V$131&gt;0,100*$Q$430/(SUM($D$430:$S$430)+0.00001),0.00001)</f>
        <v>1.0000000000000001E-5</v>
      </c>
      <c r="P274" s="921">
        <f>IF(Meal_entry_week_2!$V$230&gt;0,100*$Q$431/(SUM($D$431:$S$431)+0.00001),0.00001)</f>
        <v>1.0000000000000001E-5</v>
      </c>
      <c r="Q274" s="921">
        <f>IF(Meal_entry_week_2!$V$329&gt;0,100*$Q$432/(SUM($D$432:$S$432)+0.00001),0.00001)</f>
        <v>1.0000000000000001E-5</v>
      </c>
      <c r="R274" s="921">
        <f>IF(Meal_entry_week_2!$V$428&gt;0,100*$Q$433/(SUM($D$433:$S$433)+0.00001),0.00001)</f>
        <v>1.0000000000000001E-5</v>
      </c>
      <c r="S274" s="921">
        <f>IF(Meal_entry_week_2!$V$51&gt;0,100*$Q$435/(SUM($D$435:$S$435)+0.00001),0.00001)</f>
        <v>0</v>
      </c>
      <c r="T274" s="921">
        <f>IF(Meal_entry_week_2!$V$150&gt;0,100*$Q$436/(SUM($D$436:$S$436)+0.00001),0.00001)</f>
        <v>0</v>
      </c>
      <c r="U274" s="921">
        <f>IF(Meal_entry_week_2!$V$249&gt;0,100*$Q$437/(SUM($D$437:$S$437)+0.00001),0.00001)</f>
        <v>0</v>
      </c>
      <c r="V274" s="921">
        <f>IF(Meal_entry_week_2!$V$348&gt;0,100*$Q$438/(SUM($D$438:$S$438)+0.00001),0.00001)</f>
        <v>0</v>
      </c>
      <c r="W274" s="921">
        <f>IF(Meal_entry_week_2!$V$447&gt;0,100*$Q$439/(SUM($D$439:$S$439)+0.00001),0.00001)</f>
        <v>0</v>
      </c>
      <c r="X274" s="921">
        <f>IF(Meal_entry_week_2!$V$83&gt;0,100*$Q$441/(SUM($D$441:$S$441)+0.00001),0.00001)</f>
        <v>0</v>
      </c>
      <c r="Y274" s="921">
        <f>IF(Meal_entry_week_2!$V$182&gt;0,100*$Q$442/(SUM($D$442:$S$442)+0.00001),0.00001)</f>
        <v>0</v>
      </c>
      <c r="Z274" s="921">
        <f>IF(Meal_entry_week_2!$V$281&gt;0,100*$Q$443/(SUM($D$443:$S$443)+0.00001),0.00001)</f>
        <v>0</v>
      </c>
      <c r="AA274" s="921">
        <f>IF(Meal_entry_week_2!$V$380&gt;0,100*$Q$444/(SUM($D$444:$S$444)+0.00001),0.00001)</f>
        <v>0</v>
      </c>
      <c r="AB274" s="921">
        <f>IF(Meal_entry_week_2!$V$479&gt;0,100*$Q$445/(SUM($D$445:$S$445)+0.00001),0.00001)</f>
        <v>0</v>
      </c>
      <c r="AC274" s="921">
        <f>IF(Meal_entry_week_2!$V$102&gt;0,100*$Q$447/(SUM($D$447:$S$447)+0.00001),0.00001)</f>
        <v>1.0000000000000001E-5</v>
      </c>
      <c r="AD274" s="921">
        <f>IF(Meal_entry_week_2!$V$201&gt;0,100*$Q$448/(SUM($D$448:$S$448)+0.00001),0.00001)</f>
        <v>1.0000000000000001E-5</v>
      </c>
      <c r="AE274" s="921">
        <f>IF(Meal_entry_week_2!$V$300&gt;0,100*$Q$449/(SUM($D$449:$S$449)+0.00001),0.00001)</f>
        <v>1.0000000000000001E-5</v>
      </c>
      <c r="AF274" s="921">
        <f>IF(Meal_entry_week_2!$V$399&gt;0,100*$Q$450/(SUM($D$450:$S$450)+0.00001),0.00001)</f>
        <v>1.0000000000000001E-5</v>
      </c>
      <c r="AG274" s="921">
        <f>IF(Meal_entry_week_2!$V$498&gt;0,100*$Q$451/(SUM($D$451:$S$451)+0.00001),0.00001)</f>
        <v>1.0000000000000001E-5</v>
      </c>
    </row>
    <row r="275" spans="1:33">
      <c r="A275" s="902"/>
      <c r="B275" s="951" t="s">
        <v>1734</v>
      </c>
      <c r="C275" s="913"/>
      <c r="D275" s="948">
        <f>100*(SUM(R$423:R$427)/SUM($D$423:$S$427))</f>
        <v>0</v>
      </c>
      <c r="E275" s="948">
        <f>IF(Meal_entry_week_2!$Q$512&gt;0,100*SUM(R$429:R$433)/SUM($D$429:$S$433),0.00001)</f>
        <v>1.0000000000000001E-5</v>
      </c>
      <c r="F275" s="948">
        <f>IF(Meal_entry_week_2!$Q$522&gt;0,100*SUM(R$435:R$439)/SUM($D$435:$S$439),0.00001)</f>
        <v>0</v>
      </c>
      <c r="G275" s="948">
        <f>IF(Meal_entry_week_2!$Q$532&gt;0,100*SUM(R$441:R$445)/SUM($D$441:$S$445),0.00001)</f>
        <v>0</v>
      </c>
      <c r="H275" s="949">
        <f>IF(Meal_entry_week_2!$Q$542&gt;0,100*SUM(R$447:R$451)/SUM($D$447:$S$451),0.00001)</f>
        <v>1.0000000000000001E-5</v>
      </c>
      <c r="I275" s="921">
        <f>IF(Meal_entry_week_2!$Q$547&gt;0,100*$R$423/(SUM($D$423:$S$423)+0.00001),0.00001)</f>
        <v>0</v>
      </c>
      <c r="J275" s="921">
        <f>IF(Meal_entry_week_2!$Q$548&gt;0,100*$R$424/(SUM($D$424:$S$424)+0.00001),0.00001)</f>
        <v>0</v>
      </c>
      <c r="K275" s="921">
        <f>IF(Meal_entry_week_2!$Q$549&gt;0,100*$R$425/(SUM($D$425:$S$425)+0.00001),0.00001)</f>
        <v>0</v>
      </c>
      <c r="L275" s="921">
        <f>IF(Meal_entry_week_2!$Q$550&gt;0,100*$R$426/(SUM($D$426:$S$426)+0.00001),0.00001)</f>
        <v>0</v>
      </c>
      <c r="M275" s="921">
        <f>IF(Meal_entry_week_2!$Q$551&gt;0,100*$R$427/(SUM($D$427:$S$427)+0.00001),0.00001)</f>
        <v>0</v>
      </c>
      <c r="N275" s="921">
        <f>IF(Meal_entry_week_2!$V$32&gt;0,100*$R$429/(SUM($D$429:$S$429)+0.00001),0.00001)</f>
        <v>1.0000000000000001E-5</v>
      </c>
      <c r="O275" s="921">
        <f>IF(Meal_entry_week_2!$V$131&gt;0,100*$R$430/(SUM($D$430:$S$430)+0.00001),0.00001)</f>
        <v>1.0000000000000001E-5</v>
      </c>
      <c r="P275" s="921">
        <f>IF(Meal_entry_week_2!$V$230&gt;0,100*$R$431/(SUM($D$431:$S$431)+0.00001),0.00001)</f>
        <v>1.0000000000000001E-5</v>
      </c>
      <c r="Q275" s="921">
        <f>IF(Meal_entry_week_2!$V$329&gt;0,100*$R$432/(SUM($D$432:$S$432)+0.00001),0.00001)</f>
        <v>1.0000000000000001E-5</v>
      </c>
      <c r="R275" s="921">
        <f>IF(Meal_entry_week_2!$V$428&gt;0,100*$R$433/(SUM($D$433:$S$433)+0.00001),0.00001)</f>
        <v>1.0000000000000001E-5</v>
      </c>
      <c r="S275" s="921">
        <f>IF(Meal_entry_week_2!$V$51&gt;0,100*$R$435/(SUM($D$435:$S$435)+0.00001),0.00001)</f>
        <v>0</v>
      </c>
      <c r="T275" s="921">
        <f>IF(Meal_entry_week_2!$V$150&gt;0,100*$R$436/(SUM($D$436:$S$436)+0.00001),0.00001)</f>
        <v>0</v>
      </c>
      <c r="U275" s="921">
        <f>IF(Meal_entry_week_2!$V$249&gt;0,100*$R$437/(SUM($D$437:$S$437)+0.00001),0.00001)</f>
        <v>0</v>
      </c>
      <c r="V275" s="921">
        <f>IF(Meal_entry_week_2!$V$348&gt;0,100*$R$438/(SUM($D$438:$S$438)+0.00001),0.00001)</f>
        <v>0</v>
      </c>
      <c r="W275" s="921">
        <f>IF(Meal_entry_week_2!$V$447&gt;0,100*$R$439/(SUM($D$439:$S$439)+0.00001),0.00001)</f>
        <v>0</v>
      </c>
      <c r="X275" s="921">
        <f>IF(Meal_entry_week_2!$V$83&gt;0,100*$R$441/(SUM($D$441:$S$441)+0.00001),0.00001)</f>
        <v>0</v>
      </c>
      <c r="Y275" s="921">
        <f>IF(Meal_entry_week_2!$V$182&gt;0,100*$R$442/(SUM($D$442:$S$442)+0.00001),0.00001)</f>
        <v>0</v>
      </c>
      <c r="Z275" s="921">
        <f>IF(Meal_entry_week_2!$V$281&gt;0,100*$R$443/(SUM($D$443:$S$443)+0.00001),0.00001)</f>
        <v>0</v>
      </c>
      <c r="AA275" s="921">
        <f>IF(Meal_entry_week_2!$V$380&gt;0,100*$R$444/(SUM($D$444:$S$444)+0.00001),0.00001)</f>
        <v>0</v>
      </c>
      <c r="AB275" s="921">
        <f>IF(Meal_entry_week_2!$V$479&gt;0,100*$R$445/(SUM($D$445:$S$445)+0.00001),0.00001)</f>
        <v>0</v>
      </c>
      <c r="AC275" s="921">
        <f>IF(Meal_entry_week_2!$V$102&gt;0,100*$R$447/(SUM($D$447:$S$447)+0.00001),0.00001)</f>
        <v>1.0000000000000001E-5</v>
      </c>
      <c r="AD275" s="921">
        <f>IF(Meal_entry_week_2!$V$201&gt;0,100*$R$448/(SUM($D$448:$S$448)+0.00001),0.00001)</f>
        <v>1.0000000000000001E-5</v>
      </c>
      <c r="AE275" s="921">
        <f>IF(Meal_entry_week_2!$V$300&gt;0,100*$R$449/(SUM($D$449:$S$449)+0.00001),0.00001)</f>
        <v>1.0000000000000001E-5</v>
      </c>
      <c r="AF275" s="921">
        <f>IF(Meal_entry_week_2!$V$399&gt;0,100*$R$450/(SUM($D$450:$S$450)+0.00001),0.00001)</f>
        <v>1.0000000000000001E-5</v>
      </c>
      <c r="AG275" s="921">
        <f>IF(Meal_entry_week_2!$V$498&gt;0,100*$R$451/(SUM($D$451:$S$451)+0.00001),0.00001)</f>
        <v>1.0000000000000001E-5</v>
      </c>
    </row>
    <row r="276" spans="1:33" ht="15" thickBot="1">
      <c r="A276" s="902"/>
      <c r="B276" s="952" t="s">
        <v>3084</v>
      </c>
      <c r="C276" s="913"/>
      <c r="D276" s="953">
        <f>100*(SUM(S$423:S$427)/SUM($D$423:$S$427))</f>
        <v>0</v>
      </c>
      <c r="E276" s="953">
        <f>IF(Meal_entry_week_2!$Q$512&gt;0,100*SUM(S$429:S$433)/SUM($D$429:$S$433),0.00001)</f>
        <v>1.0000000000000001E-5</v>
      </c>
      <c r="F276" s="953">
        <f>IF(Meal_entry_week_2!$Q$522&gt;0,100*SUM(S$435:S$439)/SUM($D$435:$S$439),0.00001)</f>
        <v>0</v>
      </c>
      <c r="G276" s="953">
        <f>IF(Meal_entry_week_2!$Q$532&gt;0,100*SUM(S$441:S$445)/SUM($D$441:$S$445),0.00001)</f>
        <v>0</v>
      </c>
      <c r="H276" s="954">
        <f>IF(Meal_entry_week_2!$Q$542&gt;0,100*SUM(S$447:S$451)/SUM($D$447:$S$451),0.00001)</f>
        <v>1.0000000000000001E-5</v>
      </c>
      <c r="I276" s="921">
        <f>IF(Meal_entry_week_2!$Q$547&gt;0,100*$S$423/(SUM($D$423:$S$423)+0.00001),0.00001)</f>
        <v>0</v>
      </c>
      <c r="J276" s="921">
        <f>IF(Meal_entry_week_2!$Q$548&gt;0,100*$S$424/(SUM($D$424:$S$424)+0.00001),0.00001)</f>
        <v>0</v>
      </c>
      <c r="K276" s="921">
        <f>IF(Meal_entry_week_2!$Q$549&gt;0,100*$S$425/(SUM($D$425:$S$425)+0.00001),0.00001)</f>
        <v>0</v>
      </c>
      <c r="L276" s="921">
        <f>IF(Meal_entry_week_2!$Q$550&gt;0,100*$S$426/(SUM($D$426:$S$426)+0.00001),0.00001)</f>
        <v>0</v>
      </c>
      <c r="M276" s="921">
        <f>IF(Meal_entry_week_2!$Q$551&gt;0,100*$S$427/(SUM($D$427:$S$427)+0.00001),0.00001)</f>
        <v>0</v>
      </c>
      <c r="N276" s="921">
        <f>IF(Meal_entry_week_2!$V$32&gt;0,100*$S$429/(SUM($D$429:$S$429)+0.00001),0.00001)</f>
        <v>1.0000000000000001E-5</v>
      </c>
      <c r="O276" s="921">
        <f>IF(Meal_entry_week_2!$V$131&gt;0,100*$S$430/(SUM($D$430:$S$430)+0.00001),0.00001)</f>
        <v>1.0000000000000001E-5</v>
      </c>
      <c r="P276" s="921">
        <f>IF(Meal_entry_week_2!$V$230&gt;0,100*$S$431/(SUM($D$431:$S$431)+0.00001),0.00001)</f>
        <v>1.0000000000000001E-5</v>
      </c>
      <c r="Q276" s="921">
        <f>IF(Meal_entry_week_2!$V$329&gt;0,100*$S$432/(SUM($D$432:$S$432)+0.00001),0.00001)</f>
        <v>1.0000000000000001E-5</v>
      </c>
      <c r="R276" s="921">
        <f>IF(Meal_entry_week_2!$V$428&gt;0,100*$S$433/(SUM($D$433:$S$433)+0.00001),0.00001)</f>
        <v>1.0000000000000001E-5</v>
      </c>
      <c r="S276" s="921">
        <f>IF(Meal_entry_week_2!$V$51&gt;0,100*$S$435/(SUM($D$435:$S$435)+0.00001),0.00001)</f>
        <v>0</v>
      </c>
      <c r="T276" s="921">
        <f>IF(Meal_entry_week_2!$V$150&gt;0,100*$S$436/(SUM($D$436:$S$436)+0.00001),0.00001)</f>
        <v>0</v>
      </c>
      <c r="U276" s="921">
        <f>IF(Meal_entry_week_2!$V$249&gt;0,100*$S$437/(SUM($D$437:$S$437)+0.00001),0.00001)</f>
        <v>0</v>
      </c>
      <c r="V276" s="921">
        <f>IF(Meal_entry_week_2!$V$348&gt;0,100*$S$438/(SUM($D$438:$S$438)+0.00001),0.00001)</f>
        <v>0</v>
      </c>
      <c r="W276" s="921">
        <f>IF(Meal_entry_week_2!$V$447&gt;0,100*$S$439/(SUM($D$439:$S$439)+0.00001),0.00001)</f>
        <v>0</v>
      </c>
      <c r="X276" s="921">
        <f>IF(Meal_entry_week_2!$V$83&gt;0,100*$S$441/(SUM($D$441:$S$441)+0.00001),0.00001)</f>
        <v>0</v>
      </c>
      <c r="Y276" s="921">
        <f>IF(Meal_entry_week_2!$V$182&gt;0,100*$S$442/(SUM($D$442:$S$442)+0.00001),0.00001)</f>
        <v>0</v>
      </c>
      <c r="Z276" s="921">
        <f>IF(Meal_entry_week_2!$V$281&gt;0,100*$S$443/(SUM($D$443:$S$443)+0.00001),0.00001)</f>
        <v>0</v>
      </c>
      <c r="AA276" s="921">
        <f>IF(Meal_entry_week_2!$V$380&gt;0,100*$S$444/(SUM($D$444:$S$444)+0.00001),0.00001)</f>
        <v>0</v>
      </c>
      <c r="AB276" s="921">
        <f>IF(Meal_entry_week_2!$V$479&gt;0,100*$S$445/(SUM($D$445:$S$445)+0.00001),0.00001)</f>
        <v>0</v>
      </c>
      <c r="AC276" s="921">
        <f>IF(Meal_entry_week_2!$V$102&gt;0,100*$S$447/(SUM($D$447:$S$447)+0.00001),0.00001)</f>
        <v>1.0000000000000001E-5</v>
      </c>
      <c r="AD276" s="921">
        <f>IF(Meal_entry_week_2!$V$201&gt;0,100*$S$448/(SUM($D$448:$S$448)+0.00001),0.00001)</f>
        <v>1.0000000000000001E-5</v>
      </c>
      <c r="AE276" s="921">
        <f>IF(Meal_entry_week_2!$V$300&gt;0,100*$S$449/(SUM($D$449:$S$449)+0.00001),0.00001)</f>
        <v>1.0000000000000001E-5</v>
      </c>
      <c r="AF276" s="921">
        <f>IF(Meal_entry_week_2!$V$399&gt;0,100*$S$450/(SUM($D$450:$S$450)+0.00001),0.00001)</f>
        <v>1.0000000000000001E-5</v>
      </c>
      <c r="AG276" s="921">
        <f>IF(Meal_entry_week_2!$V$498&gt;0,100*$S$451/(SUM($D$451:$S$451)+0.00001),0.00001)</f>
        <v>1.0000000000000001E-5</v>
      </c>
    </row>
    <row r="277" spans="1:33">
      <c r="A277" s="902"/>
      <c r="B277" s="961"/>
      <c r="C277" s="913"/>
      <c r="D277" s="955"/>
      <c r="E277" s="922"/>
      <c r="F277" s="922"/>
      <c r="G277" s="922"/>
      <c r="H277" s="922"/>
      <c r="I277" s="922"/>
      <c r="J277" s="922"/>
      <c r="K277" s="922"/>
      <c r="L277" s="922"/>
      <c r="M277" s="922"/>
      <c r="N277" s="922"/>
      <c r="O277" s="922"/>
      <c r="P277" s="922"/>
      <c r="Q277" s="922"/>
      <c r="R277" s="922"/>
      <c r="S277" s="922"/>
      <c r="T277" s="922"/>
      <c r="U277" s="922"/>
      <c r="V277" s="922"/>
      <c r="W277" s="922"/>
      <c r="X277" s="922"/>
      <c r="Y277" s="922"/>
      <c r="Z277" s="922"/>
      <c r="AA277" s="922"/>
      <c r="AB277" s="922"/>
      <c r="AC277" s="922"/>
      <c r="AD277" s="922"/>
      <c r="AE277" s="922"/>
      <c r="AF277" s="922"/>
      <c r="AG277" s="922"/>
    </row>
    <row r="278" spans="1:33">
      <c r="A278" s="902"/>
      <c r="B278" s="961" t="s">
        <v>3844</v>
      </c>
      <c r="C278" s="913"/>
      <c r="D278" s="913" t="s">
        <v>3661</v>
      </c>
      <c r="E278" s="913" t="s">
        <v>3662</v>
      </c>
      <c r="F278" s="913" t="s">
        <v>3663</v>
      </c>
      <c r="G278" s="945" t="s">
        <v>3664</v>
      </c>
      <c r="H278" s="945" t="s">
        <v>3665</v>
      </c>
      <c r="I278" s="945" t="s">
        <v>3666</v>
      </c>
      <c r="J278" s="945" t="s">
        <v>3667</v>
      </c>
      <c r="K278" s="945" t="s">
        <v>3668</v>
      </c>
      <c r="L278" s="945" t="s">
        <v>3669</v>
      </c>
      <c r="M278" s="945" t="s">
        <v>3670</v>
      </c>
      <c r="N278" s="945" t="s">
        <v>3671</v>
      </c>
      <c r="O278" s="945" t="s">
        <v>3672</v>
      </c>
      <c r="P278" s="945" t="s">
        <v>3673</v>
      </c>
      <c r="Q278" s="945" t="s">
        <v>3674</v>
      </c>
      <c r="R278" s="945" t="s">
        <v>3675</v>
      </c>
      <c r="S278" s="945" t="s">
        <v>3676</v>
      </c>
      <c r="T278" s="945" t="s">
        <v>3677</v>
      </c>
      <c r="U278" s="945" t="s">
        <v>3678</v>
      </c>
      <c r="V278" s="945" t="s">
        <v>3679</v>
      </c>
      <c r="W278" s="945" t="s">
        <v>3680</v>
      </c>
      <c r="X278" s="945" t="s">
        <v>3681</v>
      </c>
      <c r="Y278" s="945" t="s">
        <v>3682</v>
      </c>
      <c r="Z278" s="945" t="s">
        <v>3683</v>
      </c>
      <c r="AA278" s="945" t="s">
        <v>3684</v>
      </c>
      <c r="AB278" s="945" t="s">
        <v>3685</v>
      </c>
      <c r="AC278" s="945" t="s">
        <v>3686</v>
      </c>
      <c r="AD278" s="945" t="s">
        <v>3687</v>
      </c>
      <c r="AE278" s="945" t="s">
        <v>3688</v>
      </c>
      <c r="AF278" s="945" t="s">
        <v>3689</v>
      </c>
      <c r="AG278" s="945" t="s">
        <v>3690</v>
      </c>
    </row>
    <row r="279" spans="1:33" ht="15" thickBot="1">
      <c r="A279" s="902"/>
      <c r="B279" s="913"/>
      <c r="C279" s="913"/>
      <c r="D279" s="913"/>
      <c r="E279" s="913"/>
      <c r="F279" s="945"/>
      <c r="G279" s="945"/>
      <c r="H279" s="913"/>
      <c r="I279" s="913"/>
      <c r="J279" s="962"/>
      <c r="K279" s="913"/>
      <c r="L279" s="913"/>
      <c r="M279" s="913"/>
      <c r="N279" s="913"/>
      <c r="O279" s="913"/>
      <c r="P279" s="913"/>
      <c r="Q279" s="913"/>
      <c r="R279" s="913"/>
      <c r="S279" s="913"/>
      <c r="T279" s="913"/>
      <c r="U279" s="913"/>
      <c r="V279" s="913"/>
      <c r="W279" s="913"/>
      <c r="X279" s="913"/>
      <c r="Y279" s="913"/>
      <c r="Z279" s="913"/>
      <c r="AA279" s="913"/>
      <c r="AB279" s="913"/>
      <c r="AC279" s="913"/>
      <c r="AD279" s="913"/>
      <c r="AE279" s="913"/>
      <c r="AF279" s="913"/>
      <c r="AG279" s="913"/>
    </row>
    <row r="280" spans="1:33" ht="15" thickBot="1">
      <c r="A280" s="902"/>
      <c r="B280" s="939"/>
      <c r="C280" s="913"/>
      <c r="D280" s="914" t="s">
        <v>3773</v>
      </c>
      <c r="E280" s="915" t="s">
        <v>3774</v>
      </c>
      <c r="F280" s="915" t="s">
        <v>3775</v>
      </c>
      <c r="G280" s="915" t="s">
        <v>3776</v>
      </c>
      <c r="H280" s="916" t="s">
        <v>3777</v>
      </c>
      <c r="I280" s="914" t="s">
        <v>3773</v>
      </c>
      <c r="J280" s="914" t="s">
        <v>3773</v>
      </c>
      <c r="K280" s="914" t="s">
        <v>3773</v>
      </c>
      <c r="L280" s="914" t="s">
        <v>3773</v>
      </c>
      <c r="M280" s="914" t="s">
        <v>3773</v>
      </c>
      <c r="N280" s="914" t="s">
        <v>67</v>
      </c>
      <c r="O280" s="914" t="s">
        <v>67</v>
      </c>
      <c r="P280" s="914" t="s">
        <v>67</v>
      </c>
      <c r="Q280" s="914" t="s">
        <v>67</v>
      </c>
      <c r="R280" s="917" t="s">
        <v>67</v>
      </c>
      <c r="S280" s="914" t="s">
        <v>1362</v>
      </c>
      <c r="T280" s="914" t="s">
        <v>1362</v>
      </c>
      <c r="U280" s="914" t="s">
        <v>1362</v>
      </c>
      <c r="V280" s="914" t="s">
        <v>1362</v>
      </c>
      <c r="W280" s="914" t="s">
        <v>1362</v>
      </c>
      <c r="X280" s="914" t="s">
        <v>69</v>
      </c>
      <c r="Y280" s="914" t="s">
        <v>69</v>
      </c>
      <c r="Z280" s="914" t="s">
        <v>69</v>
      </c>
      <c r="AA280" s="914" t="s">
        <v>69</v>
      </c>
      <c r="AB280" s="914" t="s">
        <v>69</v>
      </c>
      <c r="AC280" s="1281" t="s">
        <v>1364</v>
      </c>
      <c r="AD280" s="1281" t="s">
        <v>1364</v>
      </c>
      <c r="AE280" s="1281" t="s">
        <v>1364</v>
      </c>
      <c r="AF280" s="1281" t="s">
        <v>1364</v>
      </c>
      <c r="AG280" s="1281" t="s">
        <v>1364</v>
      </c>
    </row>
    <row r="281" spans="1:33" ht="45">
      <c r="A281" s="902"/>
      <c r="B281" s="946" t="s">
        <v>3841</v>
      </c>
      <c r="C281" s="913"/>
      <c r="D281" s="874" t="s">
        <v>3743</v>
      </c>
      <c r="E281" s="875" t="s">
        <v>3744</v>
      </c>
      <c r="F281" s="876" t="s">
        <v>3745</v>
      </c>
      <c r="G281" s="877" t="s">
        <v>3746</v>
      </c>
      <c r="H281" s="878" t="s">
        <v>3747</v>
      </c>
      <c r="I281" s="874" t="s">
        <v>3748</v>
      </c>
      <c r="J281" s="874" t="s">
        <v>3749</v>
      </c>
      <c r="K281" s="874" t="s">
        <v>3750</v>
      </c>
      <c r="L281" s="874" t="s">
        <v>3751</v>
      </c>
      <c r="M281" s="874" t="s">
        <v>3752</v>
      </c>
      <c r="N281" s="880" t="s">
        <v>3753</v>
      </c>
      <c r="O281" s="880" t="s">
        <v>3754</v>
      </c>
      <c r="P281" s="880" t="s">
        <v>3755</v>
      </c>
      <c r="Q281" s="880" t="s">
        <v>3756</v>
      </c>
      <c r="R281" s="880" t="s">
        <v>3757</v>
      </c>
      <c r="S281" s="882" t="s">
        <v>3758</v>
      </c>
      <c r="T281" s="882" t="s">
        <v>3759</v>
      </c>
      <c r="U281" s="882" t="s">
        <v>3760</v>
      </c>
      <c r="V281" s="882" t="s">
        <v>3761</v>
      </c>
      <c r="W281" s="882" t="s">
        <v>3762</v>
      </c>
      <c r="X281" s="884" t="s">
        <v>3768</v>
      </c>
      <c r="Y281" s="884" t="s">
        <v>3769</v>
      </c>
      <c r="Z281" s="884" t="s">
        <v>3770</v>
      </c>
      <c r="AA281" s="884" t="s">
        <v>3771</v>
      </c>
      <c r="AB281" s="884" t="s">
        <v>3772</v>
      </c>
      <c r="AC281" s="886" t="s">
        <v>3763</v>
      </c>
      <c r="AD281" s="886" t="s">
        <v>3764</v>
      </c>
      <c r="AE281" s="886" t="s">
        <v>3765</v>
      </c>
      <c r="AF281" s="886" t="s">
        <v>3766</v>
      </c>
      <c r="AG281" s="886" t="s">
        <v>3767</v>
      </c>
    </row>
    <row r="282" spans="1:33">
      <c r="A282" s="902"/>
      <c r="B282" s="947" t="s">
        <v>3140</v>
      </c>
      <c r="C282" s="913"/>
      <c r="D282" s="948">
        <f>100*(SUM(D$335:D$339)/SUM($D$335:$S$339))</f>
        <v>28.415067384450342</v>
      </c>
      <c r="E282" s="948">
        <f>IF(Meal_entry_week_2!$Q$512&gt;0,100*SUM(D$341:D$345)/SUM($D$341:$S$345),0.00001)</f>
        <v>1.0000000000000001E-5</v>
      </c>
      <c r="F282" s="948">
        <f>IF(Meal_entry_week_2!$Q$522&gt;0,100*SUM(D$347:D$351)/SUM($D$347:$S$351),0.00001)</f>
        <v>0</v>
      </c>
      <c r="G282" s="948">
        <f>IF(Meal_entry_week_2!$Q$532&gt;0,100*SUM(D$353:D$357)/SUM($D$353:$S$357),0.00001)</f>
        <v>37.50149683695458</v>
      </c>
      <c r="H282" s="949">
        <f>IF(Meal_entry_week_2!$Q$542&gt;0,100*SUM(D$359:D$363)/SUM($D$359:$S$363),0.00001)</f>
        <v>1.0000000000000001E-5</v>
      </c>
      <c r="I282" s="921">
        <f>IF(Meal_entry_week_2!$Q$547&gt;0,100*$D$335/(SUM($D$335:$S$335)+0.00001),0.00001)</f>
        <v>32.020734071079225</v>
      </c>
      <c r="J282" s="921">
        <f>IF(Meal_entry_week_2!$Q$548&gt;0,100*$D$336/(SUM($D$336:$S$336)+0.00001),0.00001)</f>
        <v>20.896219367978357</v>
      </c>
      <c r="K282" s="921">
        <f>IF(Meal_entry_week_2!$Q$549&gt;0,100*$D$337/(SUM($D$337:$S$337)+0.00001),0.00001)</f>
        <v>43.14215167430055</v>
      </c>
      <c r="L282" s="921">
        <f>IF(Meal_entry_week_2!$Q$550&gt;0,100*$D$338/(SUM($D$338:$S$338)+0.00001),0.00001)</f>
        <v>33.752475353582128</v>
      </c>
      <c r="M282" s="921">
        <f>IF(Meal_entry_week_2!$Q$551&gt;0,100*$D$339/(SUM($D$339:$S$339)+0.00001),0.00001)</f>
        <v>10.150020998149472</v>
      </c>
      <c r="N282" s="921">
        <f>IF(Meal_entry_week_2!$T$32&gt;0,100*$D$341/(SUM($D$341:$S$341)+0.00001),0.00001)</f>
        <v>1.0000000000000001E-5</v>
      </c>
      <c r="O282" s="921">
        <f>IF(Meal_entry_week_2!$T$131&gt;0,100*$D$342/(SUM($D$342:$S$342)+0.00001),0.00001)</f>
        <v>1.0000000000000001E-5</v>
      </c>
      <c r="P282" s="921">
        <f>IF(Meal_entry_week_2!$T$230&gt;0,100*$D$343/(SUM($D$343:$S$343)+0.00001),0.00001)</f>
        <v>1.0000000000000001E-5</v>
      </c>
      <c r="Q282" s="921">
        <f>IF(Meal_entry_week_2!$T$329&gt;0,100*$D$344/(SUM($D$344:$S$344)+0.00001),0.00001)</f>
        <v>1.0000000000000001E-5</v>
      </c>
      <c r="R282" s="921">
        <f>IF(Meal_entry_week_2!$T$428&gt;0,100*$D$345/(SUM($D$345:$S$345)+0.00001),0.00001)</f>
        <v>1.0000000000000001E-5</v>
      </c>
      <c r="S282" s="921">
        <f>IF(Meal_entry_week_2!$T$51&gt;0,100*$D$347/(SUM($D$347:$S$347)+0.00001),0.00001)</f>
        <v>0</v>
      </c>
      <c r="T282" s="921">
        <f>IF(Meal_entry_week_2!$T$150&gt;0,100*$D$348/(SUM($D$348:$S$348)+0.00001),0.00001)</f>
        <v>0</v>
      </c>
      <c r="U282" s="921">
        <f>IF(Meal_entry_week_2!$T$249&gt;0,100*$D$349/(SUM($D$349:$S$349)+0.00001),0.00001)</f>
        <v>0</v>
      </c>
      <c r="V282" s="921">
        <f>IF(Meal_entry_week_2!$T$348&gt;0,100*$D$350/(SUM($D$350:$S$350)+0.00001),0.00001)</f>
        <v>0</v>
      </c>
      <c r="W282" s="921">
        <f>IF(Meal_entry_week_2!$T$447&gt;0,100*$D$351/(SUM($D$351:$S$351)+0.00001),0.00001)</f>
        <v>0</v>
      </c>
      <c r="X282" s="921">
        <f>IF(Meal_entry_week_2!$T$83&gt;0,100*$D$353/(SUM($D$353:$S$353)+0.00001),0.00001)</f>
        <v>38.082922248349995</v>
      </c>
      <c r="Y282" s="921">
        <f>IF(Meal_entry_week_2!$T$182&gt;0,100*$D$354/(SUM($D$354:$S$354)+0.00001),0.00001)</f>
        <v>30.234932114364693</v>
      </c>
      <c r="Z282" s="921">
        <f>IF(Meal_entry_week_2!$T$281&gt;0,100*$D$355/(SUM($D$355:$S$355)+0.00001),0.00001)</f>
        <v>60.633577798138298</v>
      </c>
      <c r="AA282" s="921">
        <f>IF(Meal_entry_week_2!$T$380&gt;0,100*$D$356/(SUM($D$356:$S$356)+0.00001),0.00001)</f>
        <v>45.962200719507493</v>
      </c>
      <c r="AB282" s="921">
        <f>IF(Meal_entry_week_2!$T$479&gt;0,100*$D$357/(SUM($D$357:$S$357)+0.00001),0.00001)</f>
        <v>12.20676303746728</v>
      </c>
      <c r="AC282" s="921">
        <f>IF(Meal_entry_week_2!$T$102&gt;0,100*$D$359/(SUM($D$359:$S$359)+0.00001),0.00001)</f>
        <v>1.0000000000000001E-5</v>
      </c>
      <c r="AD282" s="921">
        <f>IF(Meal_entry_week_2!$T$201&gt;0,100*$D$360/(SUM($D$360:$S$360)+0.00001),0.00001)</f>
        <v>1.0000000000000001E-5</v>
      </c>
      <c r="AE282" s="921">
        <f>IF(Meal_entry_week_2!$T$300&gt;0,100*$D$361/(SUM($D$361:$S$361)+0.00001),0.00001)</f>
        <v>1.0000000000000001E-5</v>
      </c>
      <c r="AF282" s="921">
        <f>IF(Meal_entry_week_2!$T$399&gt;0,100*$D$362/(SUM($D$362:$S$362)+0.00001),0.00001)</f>
        <v>1.0000000000000001E-5</v>
      </c>
      <c r="AG282" s="921">
        <f>IF(Meal_entry_week_2!$T$498&gt;0,100*$D$363/(SUM($D$363:$S$363)+0.00001),0.00001)</f>
        <v>1.0000000000000001E-5</v>
      </c>
    </row>
    <row r="283" spans="1:33">
      <c r="A283" s="902"/>
      <c r="B283" s="947" t="s">
        <v>3069</v>
      </c>
      <c r="C283" s="913"/>
      <c r="D283" s="948">
        <f>100*(SUM(E$335:E$339)/SUM($D$335:$S$339))</f>
        <v>0.9755432196552144</v>
      </c>
      <c r="E283" s="948">
        <f>IF(Meal_entry_week_2!$Q$512&gt;0,100*SUM(E$341:E$345)/SUM($D$341:$S$345),0.00001)</f>
        <v>1.0000000000000001E-5</v>
      </c>
      <c r="F283" s="948">
        <f>IF(Meal_entry_week_2!$Q$522&gt;0,100*SUM(E$347:E$351)/SUM($D$347:$S$351),0.00001)</f>
        <v>0</v>
      </c>
      <c r="G283" s="948">
        <f>IF(Meal_entry_week_2!$Q$532&gt;0,100*SUM(E$353:E$357)/SUM($D$353:$S$357),0.00001)</f>
        <v>1.2874975966529876</v>
      </c>
      <c r="H283" s="949">
        <f>IF(Meal_entry_week_2!$Q$542&gt;0,100*SUM(E$359:E$363)/SUM($D$359:$S$363),0.00001)</f>
        <v>1.0000000000000001E-5</v>
      </c>
      <c r="I283" s="921">
        <f>IF(Meal_entry_week_2!$Q$547&gt;0,100*$E$335/(SUM($D$335:$S$335)+0.00001),0.00001)</f>
        <v>0</v>
      </c>
      <c r="J283" s="921">
        <f>IF(Meal_entry_week_2!$Q$548&gt;0,100*$E$336/(SUM($D$336:$S$336)+0.00001),0.00001)</f>
        <v>4.4399210568581786</v>
      </c>
      <c r="K283" s="921">
        <f>IF(Meal_entry_week_2!$Q$549&gt;0,100*$E$337/(SUM($D$337:$S$337)+0.00001),0.00001)</f>
        <v>0</v>
      </c>
      <c r="L283" s="921">
        <f>IF(Meal_entry_week_2!$Q$550&gt;0,100*$E$338/(SUM($D$338:$S$338)+0.00001),0.00001)</f>
        <v>0</v>
      </c>
      <c r="M283" s="921">
        <f>IF(Meal_entry_week_2!$Q$551&gt;0,100*$E$339/(SUM($D$339:$S$339)+0.00001),0.00001)</f>
        <v>0</v>
      </c>
      <c r="N283" s="921">
        <f>IF(Meal_entry_week_2!$T$32&gt;0,100*$E$341/(SUM($D$341:$S$341)+0.00001),0.00001)</f>
        <v>1.0000000000000001E-5</v>
      </c>
      <c r="O283" s="921">
        <f>IF(Meal_entry_week_2!$T$131&gt;0,100*$E$342/(SUM($D$342:$S$342)+0.00001),0.00001)</f>
        <v>1.0000000000000001E-5</v>
      </c>
      <c r="P283" s="921">
        <f>IF(Meal_entry_week_2!$T$230&gt;0,100*$E$343/(SUM($D$343:$S$343)+0.00001),0.00001)</f>
        <v>1.0000000000000001E-5</v>
      </c>
      <c r="Q283" s="921">
        <f>IF(Meal_entry_week_2!$T$329&gt;0,100*$E$344/(SUM($D$344:$S$344)+0.00001),0.00001)</f>
        <v>1.0000000000000001E-5</v>
      </c>
      <c r="R283" s="921">
        <f>IF(Meal_entry_week_2!$T$428&gt;0,100*$E$345/(SUM($D$345:$S$345)+0.00001),0.00001)</f>
        <v>1.0000000000000001E-5</v>
      </c>
      <c r="S283" s="921">
        <f>IF(Meal_entry_week_2!$T$51&gt;0,100*$E$347/(SUM($D$347:$S$347)+0.00001),0.00001)</f>
        <v>0</v>
      </c>
      <c r="T283" s="921">
        <f>IF(Meal_entry_week_2!$T$150&gt;0,100*$E$348/(SUM($D$348:$S$348)+0.00001),0.00001)</f>
        <v>0</v>
      </c>
      <c r="U283" s="921">
        <f>IF(Meal_entry_week_2!$T$249&gt;0,100*$E$349/(SUM($D$349:$S$349)+0.00001),0.00001)</f>
        <v>0</v>
      </c>
      <c r="V283" s="921">
        <f>IF(Meal_entry_week_2!$T$348&gt;0,100*$E$350/(SUM($D$350:$S$350)+0.00001),0.00001)</f>
        <v>0</v>
      </c>
      <c r="W283" s="921">
        <f>IF(Meal_entry_week_2!$T$447&gt;0,100*$E$351/(SUM($D$351:$S$351)+0.00001),0.00001)</f>
        <v>0</v>
      </c>
      <c r="X283" s="921">
        <f>IF(Meal_entry_week_2!$T$83&gt;0,100*$E$353/(SUM($D$353:$S$353)+0.00001),0.00001)</f>
        <v>0</v>
      </c>
      <c r="Y283" s="921">
        <f>IF(Meal_entry_week_2!$T$182&gt;0,100*$E$354/(SUM($D$354:$S$354)+0.00001),0.00001)</f>
        <v>6.4241626383841277</v>
      </c>
      <c r="Z283" s="921">
        <f>IF(Meal_entry_week_2!$T$281&gt;0,100*$E$355/(SUM($D$355:$S$355)+0.00001),0.00001)</f>
        <v>0</v>
      </c>
      <c r="AA283" s="921">
        <f>IF(Meal_entry_week_2!$T$380&gt;0,100*$E$356/(SUM($D$356:$S$356)+0.00001),0.00001)</f>
        <v>0</v>
      </c>
      <c r="AB283" s="921">
        <f>IF(Meal_entry_week_2!$T$479&gt;0,100*$E$357/(SUM($D$357:$S$357)+0.00001),0.00001)</f>
        <v>0</v>
      </c>
      <c r="AC283" s="921">
        <f>IF(Meal_entry_week_2!$T$102&gt;0,100*$E$359/(SUM($D$359:$S$359)+0.00001),0.00001)</f>
        <v>1.0000000000000001E-5</v>
      </c>
      <c r="AD283" s="921">
        <f>IF(Meal_entry_week_2!$T$201&gt;0,100*$E$360/(SUM($D$360:$S$360)+0.00001),0.00001)</f>
        <v>1.0000000000000001E-5</v>
      </c>
      <c r="AE283" s="921">
        <f>IF(Meal_entry_week_2!$T$300&gt;0,100*$E$361/(SUM($D$361:$S$361)+0.00001),0.00001)</f>
        <v>1.0000000000000001E-5</v>
      </c>
      <c r="AF283" s="921">
        <f>IF(Meal_entry_week_2!$T$399&gt;0,100*$E$362/(SUM($D$362:$S$362)+0.00001),0.00001)</f>
        <v>1.0000000000000001E-5</v>
      </c>
      <c r="AG283" s="921">
        <f>IF(Meal_entry_week_2!$T$498&gt;0,100*$E$363/(SUM($D$363:$S$363)+0.00001),0.00001)</f>
        <v>1.0000000000000001E-5</v>
      </c>
    </row>
    <row r="284" spans="1:33">
      <c r="A284" s="910"/>
      <c r="B284" s="947" t="s">
        <v>1733</v>
      </c>
      <c r="C284" s="963"/>
      <c r="D284" s="948">
        <f>100*(SUM(F$335:F$339)/SUM($D$335:$S$339))</f>
        <v>6.6154024582869226</v>
      </c>
      <c r="E284" s="948">
        <f>IF(Meal_entry_week_2!$Q$512&gt;0,100*SUM(F$341:F$345)/SUM($D$341:$S$345),0.00001)</f>
        <v>1.0000000000000001E-5</v>
      </c>
      <c r="F284" s="948">
        <f>IF(Meal_entry_week_2!$Q$522&gt;0,100*SUM(F$347:F$351)/SUM($D$347:$S$351),0.00001)</f>
        <v>0</v>
      </c>
      <c r="G284" s="948">
        <f>IF(Meal_entry_week_2!$Q$532&gt;0,100*SUM(F$353:F$357)/SUM($D$353:$S$357),0.00001)</f>
        <v>8.7308430773030725</v>
      </c>
      <c r="H284" s="949">
        <f>IF(Meal_entry_week_2!$Q$542&gt;0,100*SUM(F$359:F$363)/SUM($D$359:$S$363),0.00001)</f>
        <v>1.0000000000000001E-5</v>
      </c>
      <c r="I284" s="921">
        <f>IF(Meal_entry_week_2!$Q$547&gt;0,100*$F$335/(SUM($D$335:$S$335)+0.00001),0.00001)</f>
        <v>6.5587296683520897</v>
      </c>
      <c r="J284" s="921">
        <f>IF(Meal_entry_week_2!$Q$548&gt;0,100*$F$336/(SUM($D$336:$S$336)+0.00001),0.00001)</f>
        <v>7.2842454839079487</v>
      </c>
      <c r="K284" s="921">
        <f>IF(Meal_entry_week_2!$Q$549&gt;0,100*$F$337/(SUM($D$337:$S$337)+0.00001),0.00001)</f>
        <v>2.7100717105049199</v>
      </c>
      <c r="L284" s="921">
        <f>IF(Meal_entry_week_2!$Q$550&gt;0,100*$F$338/(SUM($D$338:$S$338)+0.00001),0.00001)</f>
        <v>7.3500991159628404</v>
      </c>
      <c r="M284" s="921">
        <f>IF(Meal_entry_week_2!$Q$551&gt;0,100*$F$339/(SUM($D$339:$S$339)+0.00001),0.00001)</f>
        <v>9.3899708336979604</v>
      </c>
      <c r="N284" s="921">
        <f>IF(Meal_entry_week_2!$T$32&gt;0,100*$F$341/(SUM($D$341:$S$341)+0.00001),0.00001)</f>
        <v>1.0000000000000001E-5</v>
      </c>
      <c r="O284" s="921">
        <f>IF(Meal_entry_week_2!$T$131&gt;0,100*$F$342/(SUM($D$342:$S$342)+0.00001),0.00001)</f>
        <v>1.0000000000000001E-5</v>
      </c>
      <c r="P284" s="921">
        <f>IF(Meal_entry_week_2!$T$230&gt;0,100*$F$343/(SUM($D$343:$S$343)+0.00001),0.00001)</f>
        <v>1.0000000000000001E-5</v>
      </c>
      <c r="Q284" s="921">
        <f>IF(Meal_entry_week_2!$T$329&gt;0,100*$F$344/(SUM($D$344:$S$344)+0.00001),0.00001)</f>
        <v>1.0000000000000001E-5</v>
      </c>
      <c r="R284" s="921">
        <f>IF(Meal_entry_week_2!$T$428&gt;0,100*$F$345/(SUM($D$345:$S$345)+0.00001),0.00001)</f>
        <v>1.0000000000000001E-5</v>
      </c>
      <c r="S284" s="921">
        <f>IF(Meal_entry_week_2!$T$51&gt;0,100*$F$347/(SUM($D$347:$S$347)+0.00001),0.00001)</f>
        <v>0</v>
      </c>
      <c r="T284" s="921">
        <f>IF(Meal_entry_week_2!$T$150&gt;0,100*$F$348/(SUM($D$348:$S$348)+0.00001),0.00001)</f>
        <v>0</v>
      </c>
      <c r="U284" s="921">
        <f>IF(Meal_entry_week_2!$T$249&gt;0,100*$F$349/(SUM($D$349:$S$349)+0.00001),0.00001)</f>
        <v>0</v>
      </c>
      <c r="V284" s="921">
        <f>IF(Meal_entry_week_2!$T$348&gt;0,100*$F$350/(SUM($D$350:$S$350)+0.00001),0.00001)</f>
        <v>0</v>
      </c>
      <c r="W284" s="921">
        <f>IF(Meal_entry_week_2!$T$447&gt;0,100*$F$351/(SUM($D$351:$S$351)+0.00001),0.00001)</f>
        <v>0</v>
      </c>
      <c r="X284" s="921">
        <f>IF(Meal_entry_week_2!$T$83&gt;0,100*$F$353/(SUM($D$353:$S$353)+0.00001),0.00001)</f>
        <v>7.8004330398344468</v>
      </c>
      <c r="Y284" s="921">
        <f>IF(Meal_entry_week_2!$T$182&gt;0,100*$F$354/(SUM($D$354:$S$354)+0.00001),0.00001)</f>
        <v>10.53964182859896</v>
      </c>
      <c r="Z284" s="921">
        <f>IF(Meal_entry_week_2!$T$281&gt;0,100*$F$355/(SUM($D$355:$S$355)+0.00001),0.00001)</f>
        <v>3.8088351535632556</v>
      </c>
      <c r="AA284" s="921">
        <f>IF(Meal_entry_week_2!$T$380&gt;0,100*$F$356/(SUM($D$356:$S$356)+0.00001),0.00001)</f>
        <v>10.008946820556831</v>
      </c>
      <c r="AB284" s="921">
        <f>IF(Meal_entry_week_2!$T$479&gt;0,100*$F$357/(SUM($D$357:$S$357)+0.00001),0.00001)</f>
        <v>11.292700666981627</v>
      </c>
      <c r="AC284" s="921">
        <f>IF(Meal_entry_week_2!$T$102&gt;0,100*$F$359/(SUM($D$359:$S$359)+0.00001),0.00001)</f>
        <v>1.0000000000000001E-5</v>
      </c>
      <c r="AD284" s="921">
        <f>IF(Meal_entry_week_2!$T$201&gt;0,100*$F$360/(SUM($D$360:$S$360)+0.00001),0.00001)</f>
        <v>1.0000000000000001E-5</v>
      </c>
      <c r="AE284" s="921">
        <f>IF(Meal_entry_week_2!$T$300&gt;0,100*$F$361/(SUM($D$361:$S$361)+0.00001),0.00001)</f>
        <v>1.0000000000000001E-5</v>
      </c>
      <c r="AF284" s="921">
        <f>IF(Meal_entry_week_2!$T$399&gt;0,100*$F$362/(SUM($D$362:$S$362)+0.00001),0.00001)</f>
        <v>1.0000000000000001E-5</v>
      </c>
      <c r="AG284" s="921">
        <f>IF(Meal_entry_week_2!$T$498&gt;0,100*$F$363/(SUM($D$363:$S$363)+0.00001),0.00001)</f>
        <v>1.0000000000000001E-5</v>
      </c>
    </row>
    <row r="285" spans="1:33">
      <c r="A285" s="910"/>
      <c r="B285" s="947" t="s">
        <v>3073</v>
      </c>
      <c r="C285" s="963"/>
      <c r="D285" s="948">
        <f>100*(SUM(G$335:G$339)/SUM($D$335:$S$339))</f>
        <v>12.329782359531183</v>
      </c>
      <c r="E285" s="948">
        <f>IF(Meal_entry_week_2!$Q$512&gt;0,100*SUM(G$341:G$345)/SUM($D$341:$S$345),0.00001)</f>
        <v>1.0000000000000001E-5</v>
      </c>
      <c r="F285" s="948">
        <f>IF(Meal_entry_week_2!$Q$522&gt;0,100*SUM(G$347:G$351)/SUM($D$347:$S$351),0.00001)</f>
        <v>0</v>
      </c>
      <c r="G285" s="948">
        <f>IF(Meal_entry_week_2!$Q$532&gt;0,100*SUM(G$353:G$357)/SUM($D$353:$S$357),0.00001)</f>
        <v>16.272539068808594</v>
      </c>
      <c r="H285" s="949">
        <f>IF(Meal_entry_week_2!$Q$542&gt;0,100*SUM(G$359:G$363)/SUM($D$359:$S$363),0.00001)</f>
        <v>1.0000000000000001E-5</v>
      </c>
      <c r="I285" s="921">
        <f>IF(Meal_entry_week_2!$Q$547&gt;0,100*$G$335/(SUM($D$335:$S$335)+0.00001),0.00001)</f>
        <v>19.4332730914136</v>
      </c>
      <c r="J285" s="921">
        <f>IF(Meal_entry_week_2!$Q$548&gt;0,100*$G$336/(SUM($D$336:$S$336)+0.00001),0.00001)</f>
        <v>0</v>
      </c>
      <c r="K285" s="921">
        <f>IF(Meal_entry_week_2!$Q$549&gt;0,100*$G$337/(SUM($D$337:$S$337)+0.00001),0.00001)</f>
        <v>0</v>
      </c>
      <c r="L285" s="921">
        <f>IF(Meal_entry_week_2!$Q$550&gt;0,100*$G$338/(SUM($D$338:$S$338)+0.00001),0.00001)</f>
        <v>17.422457163763774</v>
      </c>
      <c r="M285" s="921">
        <f>IF(Meal_entry_week_2!$Q$551&gt;0,100*$G$339/(SUM($D$339:$S$339)+0.00001),0.00001)</f>
        <v>27.822135803549514</v>
      </c>
      <c r="N285" s="921">
        <f>IF(Meal_entry_week_2!$T$32&gt;0,100*$G$341/(SUM($D$341:$S$341)+0.00001),0.00001)</f>
        <v>1.0000000000000001E-5</v>
      </c>
      <c r="O285" s="921">
        <f>IF(Meal_entry_week_2!$T$131&gt;0,100*$G$342/(SUM($D$342:$S$342)+0.00001),0.00001)</f>
        <v>1.0000000000000001E-5</v>
      </c>
      <c r="P285" s="921">
        <f>IF(Meal_entry_week_2!$T$230&gt;0,100*$G$343/(SUM($D$343:$S$343)+0.00001),0.00001)</f>
        <v>1.0000000000000001E-5</v>
      </c>
      <c r="Q285" s="921">
        <f>IF(Meal_entry_week_2!$T$329&gt;0,100*$G$344/(SUM($D$344:$S$344)+0.00001),0.00001)</f>
        <v>1.0000000000000001E-5</v>
      </c>
      <c r="R285" s="921">
        <f>IF(Meal_entry_week_2!$T$428&gt;0,100*$G$345/(SUM($D$345:$S$345)+0.00001),0.00001)</f>
        <v>1.0000000000000001E-5</v>
      </c>
      <c r="S285" s="921">
        <f>IF(Meal_entry_week_2!$T$51&gt;0,100*$G$347/(SUM($D$347:$S$347)+0.00001),0.00001)</f>
        <v>0</v>
      </c>
      <c r="T285" s="921">
        <f>IF(Meal_entry_week_2!$T$150&gt;0,100*$G$348/(SUM($D$348:$S$348)+0.00001),0.00001)</f>
        <v>0</v>
      </c>
      <c r="U285" s="921">
        <f>IF(Meal_entry_week_2!$T$249&gt;0,100*$G$349/(SUM($D$349:$S$349)+0.00001),0.00001)</f>
        <v>0</v>
      </c>
      <c r="V285" s="921">
        <f>IF(Meal_entry_week_2!$T$348&gt;0,100*$G$350/(SUM($D$350:$S$350)+0.00001),0.00001)</f>
        <v>0</v>
      </c>
      <c r="W285" s="921">
        <f>IF(Meal_entry_week_2!$T$447&gt;0,100*$G$351/(SUM($D$351:$S$351)+0.00001),0.00001)</f>
        <v>0</v>
      </c>
      <c r="X285" s="921">
        <f>IF(Meal_entry_week_2!$T$83&gt;0,100*$G$353/(SUM($D$353:$S$353)+0.00001),0.00001)</f>
        <v>23.112394192102069</v>
      </c>
      <c r="Y285" s="921">
        <f>IF(Meal_entry_week_2!$T$182&gt;0,100*$G$354/(SUM($D$354:$S$354)+0.00001),0.00001)</f>
        <v>0</v>
      </c>
      <c r="Z285" s="921">
        <f>IF(Meal_entry_week_2!$T$281&gt;0,100*$G$355/(SUM($D$355:$S$355)+0.00001),0.00001)</f>
        <v>0</v>
      </c>
      <c r="AA285" s="921">
        <f>IF(Meal_entry_week_2!$T$380&gt;0,100*$G$356/(SUM($D$356:$S$356)+0.00001),0.00001)</f>
        <v>23.724910982060642</v>
      </c>
      <c r="AB285" s="921">
        <f>IF(Meal_entry_week_2!$T$479&gt;0,100*$G$357/(SUM($D$357:$S$357)+0.00001),0.00001)</f>
        <v>33.459853828093713</v>
      </c>
      <c r="AC285" s="921">
        <f>IF(Meal_entry_week_2!$T$102&gt;0,100*$G$359/(SUM($D$359:$S$359)+0.00001),0.00001)</f>
        <v>1.0000000000000001E-5</v>
      </c>
      <c r="AD285" s="921">
        <f>IF(Meal_entry_week_2!$T$201&gt;0,100*$G$360/(SUM($D$360:$S$360)+0.00001),0.00001)</f>
        <v>1.0000000000000001E-5</v>
      </c>
      <c r="AE285" s="921">
        <f>IF(Meal_entry_week_2!$T$300&gt;0,100*$G$361/(SUM($D$361:$S$361)+0.00001),0.00001)</f>
        <v>1.0000000000000001E-5</v>
      </c>
      <c r="AF285" s="921">
        <f>IF(Meal_entry_week_2!$T$399&gt;0,100*$G$362/(SUM($D$362:$S$362)+0.00001),0.00001)</f>
        <v>1.0000000000000001E-5</v>
      </c>
      <c r="AG285" s="921">
        <f>IF(Meal_entry_week_2!$T$498&gt;0,100*$G$363/(SUM($D$363:$S$363)+0.00001),0.00001)</f>
        <v>1.0000000000000001E-5</v>
      </c>
    </row>
    <row r="286" spans="1:33">
      <c r="A286" s="910"/>
      <c r="B286" s="947" t="s">
        <v>3070</v>
      </c>
      <c r="C286" s="963"/>
      <c r="D286" s="948">
        <f>100*(SUM(H$335:H$339)/SUM($D$335:$S$339))</f>
        <v>3.6989347078593546</v>
      </c>
      <c r="E286" s="948">
        <f>IF(Meal_entry_week_2!$Q$512&gt;0,100*SUM(H$341:H$345)/SUM($D$341:$S$345),0.00001)</f>
        <v>1.0000000000000001E-5</v>
      </c>
      <c r="F286" s="948">
        <f>IF(Meal_entry_week_2!$Q$522&gt;0,100*SUM(H$347:H$351)/SUM($D$347:$S$351),0.00001)</f>
        <v>5.337845210377048</v>
      </c>
      <c r="G286" s="948">
        <f>IF(Meal_entry_week_2!$Q$532&gt;0,100*SUM(H$353:H$357)/SUM($D$353:$S$357),0.00001)</f>
        <v>3.1748520281102079</v>
      </c>
      <c r="H286" s="949">
        <f>IF(Meal_entry_week_2!$Q$542&gt;0,100*SUM(H$359:H$363)/SUM($D$359:$S$363),0.00001)</f>
        <v>1.0000000000000001E-5</v>
      </c>
      <c r="I286" s="921">
        <f>IF(Meal_entry_week_2!$Q$547&gt;0,100*$H$335/(SUM($D$335:$S$335)+0.00001),0.00001)</f>
        <v>0</v>
      </c>
      <c r="J286" s="921">
        <f>IF(Meal_entry_week_2!$Q$548&gt;0,100*$H$336/(SUM($D$336:$S$336)+0.00001),0.00001)</f>
        <v>0</v>
      </c>
      <c r="K286" s="921">
        <f>IF(Meal_entry_week_2!$Q$549&gt;0,100*$H$337/(SUM($D$337:$S$337)+0.00001),0.00001)</f>
        <v>18.789830526167446</v>
      </c>
      <c r="L286" s="921">
        <f>IF(Meal_entry_week_2!$Q$550&gt;0,100*$H$338/(SUM($D$338:$S$338)+0.00001),0.00001)</f>
        <v>0</v>
      </c>
      <c r="M286" s="921">
        <f>IF(Meal_entry_week_2!$Q$551&gt;0,100*$H$339/(SUM($D$339:$S$339)+0.00001),0.00001)</f>
        <v>0</v>
      </c>
      <c r="N286" s="921">
        <f>IF(Meal_entry_week_2!$T$32&gt;0,100*$H$341/(SUM($D$341:$S$341)+0.00001),0.00001)</f>
        <v>1.0000000000000001E-5</v>
      </c>
      <c r="O286" s="921">
        <f>IF(Meal_entry_week_2!$T$131&gt;0,100*$H$342/(SUM($D$342:$S$342)+0.00001),0.00001)</f>
        <v>1.0000000000000001E-5</v>
      </c>
      <c r="P286" s="921">
        <f>IF(Meal_entry_week_2!$T$230&gt;0,100*$H$343/(SUM($D$343:$S$343)+0.00001),0.00001)</f>
        <v>1.0000000000000001E-5</v>
      </c>
      <c r="Q286" s="921">
        <f>IF(Meal_entry_week_2!$T$329&gt;0,100*$H$344/(SUM($D$344:$S$344)+0.00001),0.00001)</f>
        <v>1.0000000000000001E-5</v>
      </c>
      <c r="R286" s="921">
        <f>IF(Meal_entry_week_2!$T$428&gt;0,100*$H$345/(SUM($D$345:$S$345)+0.00001),0.00001)</f>
        <v>1.0000000000000001E-5</v>
      </c>
      <c r="S286" s="921">
        <f>IF(Meal_entry_week_2!$T$51&gt;0,100*$H$347/(SUM($D$347:$S$347)+0.00001),0.00001)</f>
        <v>0</v>
      </c>
      <c r="T286" s="921">
        <f>IF(Meal_entry_week_2!$T$150&gt;0,100*$H$348/(SUM($D$348:$S$348)+0.00001),0.00001)</f>
        <v>0</v>
      </c>
      <c r="U286" s="921">
        <f>IF(Meal_entry_week_2!$T$249&gt;0,100*$H$349/(SUM($D$349:$S$349)+0.00001),0.00001)</f>
        <v>22.774279184574528</v>
      </c>
      <c r="V286" s="921">
        <f>IF(Meal_entry_week_2!$T$348&gt;0,100*$H$350/(SUM($D$350:$S$350)+0.00001),0.00001)</f>
        <v>0</v>
      </c>
      <c r="W286" s="921">
        <f>IF(Meal_entry_week_2!$T$447&gt;0,100*$H$351/(SUM($D$351:$S$351)+0.00001),0.00001)</f>
        <v>0</v>
      </c>
      <c r="X286" s="921">
        <f>IF(Meal_entry_week_2!$T$83&gt;0,100*$H$353/(SUM($D$353:$S$353)+0.00001),0.00001)</f>
        <v>0</v>
      </c>
      <c r="Y286" s="921">
        <f>IF(Meal_entry_week_2!$T$182&gt;0,100*$H$354/(SUM($D$354:$S$354)+0.00001),0.00001)</f>
        <v>0</v>
      </c>
      <c r="Z286" s="921">
        <f>IF(Meal_entry_week_2!$T$281&gt;0,100*$H$355/(SUM($D$355:$S$355)+0.00001),0.00001)</f>
        <v>17.174383965157951</v>
      </c>
      <c r="AA286" s="921">
        <f>IF(Meal_entry_week_2!$T$380&gt;0,100*$H$356/(SUM($D$356:$S$356)+0.00001),0.00001)</f>
        <v>0</v>
      </c>
      <c r="AB286" s="921">
        <f>IF(Meal_entry_week_2!$T$479&gt;0,100*$H$357/(SUM($D$357:$S$357)+0.00001),0.00001)</f>
        <v>0</v>
      </c>
      <c r="AC286" s="921">
        <f>IF(Meal_entry_week_2!$T$102&gt;0,100*$H$359/(SUM($D$359:$S$359)+0.00001),0.00001)</f>
        <v>1.0000000000000001E-5</v>
      </c>
      <c r="AD286" s="921">
        <f>IF(Meal_entry_week_2!$T$201&gt;0,100*$H$360/(SUM($D$360:$S$360)+0.00001),0.00001)</f>
        <v>1.0000000000000001E-5</v>
      </c>
      <c r="AE286" s="921">
        <f>IF(Meal_entry_week_2!$T$300&gt;0,100*$H$361/(SUM($D$361:$S$361)+0.00001),0.00001)</f>
        <v>1.0000000000000001E-5</v>
      </c>
      <c r="AF286" s="921">
        <f>IF(Meal_entry_week_2!$T$399&gt;0,100*$H$362/(SUM($D$362:$S$362)+0.00001),0.00001)</f>
        <v>1.0000000000000001E-5</v>
      </c>
      <c r="AG286" s="921">
        <f>IF(Meal_entry_week_2!$T$498&gt;0,100*$H$363/(SUM($D$363:$S$363)+0.00001),0.00001)</f>
        <v>1.0000000000000001E-5</v>
      </c>
    </row>
    <row r="287" spans="1:33">
      <c r="A287" s="910"/>
      <c r="B287" s="947" t="s">
        <v>3575</v>
      </c>
      <c r="C287" s="963"/>
      <c r="D287" s="948">
        <f>100*(SUM(I$335:I$339)/SUM($D$335:$S$339))</f>
        <v>0</v>
      </c>
      <c r="E287" s="948">
        <f>IF(Meal_entry_week_2!$Q$512&gt;0,100*SUM(I$341:I$345)/SUM($D$341:$S$345),0.00001)</f>
        <v>1.0000000000000001E-5</v>
      </c>
      <c r="F287" s="948">
        <f>IF(Meal_entry_week_2!$Q$522&gt;0,100*SUM(I$347:I$351)/SUM($D$347:$S$351),0.00001)</f>
        <v>0</v>
      </c>
      <c r="G287" s="948">
        <f>IF(Meal_entry_week_2!$Q$532&gt;0,100*SUM(I$353:I$357)/SUM($D$353:$S$357),0.00001)</f>
        <v>0</v>
      </c>
      <c r="H287" s="949">
        <f>IF(Meal_entry_week_2!$Q$542&gt;0,100*SUM(I$359:I$363)/SUM($D$359:$S$363),0.00001)</f>
        <v>1.0000000000000001E-5</v>
      </c>
      <c r="I287" s="921">
        <f>IF(Meal_entry_week_2!$Q$547&gt;0,100*$I$335/(SUM($D$335:$S$335)+0.00001),0.00001)</f>
        <v>0</v>
      </c>
      <c r="J287" s="921">
        <f>IF(Meal_entry_week_2!$Q$548&gt;0,100*$I$336/(SUM($D$336:$S$336)+0.00001),0.00001)</f>
        <v>0</v>
      </c>
      <c r="K287" s="921">
        <f>IF(Meal_entry_week_2!$Q$549&gt;0,100*$I$337/(SUM($D$337:$S$337)+0.00001),0.00001)</f>
        <v>0</v>
      </c>
      <c r="L287" s="921">
        <f>IF(Meal_entry_week_2!$Q$550&gt;0,100*$I$338/(SUM($D$338:$S$338)+0.00001),0.00001)</f>
        <v>0</v>
      </c>
      <c r="M287" s="921">
        <f>IF(Meal_entry_week_2!$Q$551&gt;0,100*$I$339/(SUM($D$339:$S$339)+0.00001),0.00001)</f>
        <v>0</v>
      </c>
      <c r="N287" s="921">
        <f>IF(Meal_entry_week_2!$T$32&gt;0,100*$I$341/(SUM($D$341:$S$341)+0.00001),0.00001)</f>
        <v>1.0000000000000001E-5</v>
      </c>
      <c r="O287" s="921">
        <f>IF(Meal_entry_week_2!$T$131&gt;0,100*$I$342/(SUM($D$342:$S$342)+0.00001),0.00001)</f>
        <v>1.0000000000000001E-5</v>
      </c>
      <c r="P287" s="921">
        <f>IF(Meal_entry_week_2!$T$230&gt;0,100*$I$343/(SUM($D$343:$S$343)+0.00001),0.00001)</f>
        <v>1.0000000000000001E-5</v>
      </c>
      <c r="Q287" s="921">
        <f>IF(Meal_entry_week_2!$T$329&gt;0,100*$I$344/(SUM($D$344:$S$344)+0.00001),0.00001)</f>
        <v>1.0000000000000001E-5</v>
      </c>
      <c r="R287" s="921">
        <f>IF(Meal_entry_week_2!$T$428&gt;0,100*$I$345/(SUM($D$345:$S$345)+0.00001),0.00001)</f>
        <v>1.0000000000000001E-5</v>
      </c>
      <c r="S287" s="921">
        <f>IF(Meal_entry_week_2!$T$51&gt;0,100*$I$347/(SUM($D$347:$S$347)+0.00001),0.00001)</f>
        <v>0</v>
      </c>
      <c r="T287" s="921">
        <f>IF(Meal_entry_week_2!$T$150&gt;0,100*$I$348/(SUM($D$348:$S$348)+0.00001),0.00001)</f>
        <v>0</v>
      </c>
      <c r="U287" s="921">
        <f>IF(Meal_entry_week_2!$T$249&gt;0,100*$I$349/(SUM($D$349:$S$349)+0.00001),0.00001)</f>
        <v>0</v>
      </c>
      <c r="V287" s="921">
        <f>IF(Meal_entry_week_2!$T$348&gt;0,100*$I$350/(SUM($D$350:$S$350)+0.00001),0.00001)</f>
        <v>0</v>
      </c>
      <c r="W287" s="921">
        <f>IF(Meal_entry_week_2!$T$447&gt;0,100*$I$351/(SUM($D$351:$S$351)+0.00001),0.00001)</f>
        <v>0</v>
      </c>
      <c r="X287" s="921">
        <f>IF(Meal_entry_week_2!$T$83&gt;0,100*$I$353/(SUM($D$353:$S$353)+0.00001),0.00001)</f>
        <v>0</v>
      </c>
      <c r="Y287" s="921">
        <f>IF(Meal_entry_week_2!$T$182&gt;0,100*$I$354/(SUM($D$354:$S$354)+0.00001),0.00001)</f>
        <v>0</v>
      </c>
      <c r="Z287" s="921">
        <f>IF(Meal_entry_week_2!$T$281&gt;0,100*$I$355/(SUM($D$355:$S$355)+0.00001),0.00001)</f>
        <v>0</v>
      </c>
      <c r="AA287" s="921">
        <f>IF(Meal_entry_week_2!$T$380&gt;0,100*$I$356/(SUM($D$356:$S$356)+0.00001),0.00001)</f>
        <v>0</v>
      </c>
      <c r="AB287" s="921">
        <f>IF(Meal_entry_week_2!$T$479&gt;0,100*$I$357/(SUM($D$357:$S$357)+0.00001),0.00001)</f>
        <v>0</v>
      </c>
      <c r="AC287" s="921">
        <f>IF(Meal_entry_week_2!$T$102&gt;0,100*$I$359/(SUM($D$359:$S$359)+0.00001),0.00001)</f>
        <v>1.0000000000000001E-5</v>
      </c>
      <c r="AD287" s="921">
        <f>IF(Meal_entry_week_2!$T$201&gt;0,100*$I$360/(SUM($D$360:$S$360)+0.00001),0.00001)</f>
        <v>1.0000000000000001E-5</v>
      </c>
      <c r="AE287" s="921">
        <f>IF(Meal_entry_week_2!$T$300&gt;0,100*$I$361/(SUM($D$361:$S$361)+0.00001),0.00001)</f>
        <v>1.0000000000000001E-5</v>
      </c>
      <c r="AF287" s="921">
        <f>IF(Meal_entry_week_2!$T$399&gt;0,100*$I$362/(SUM($D$362:$S$362)+0.00001),0.00001)</f>
        <v>1.0000000000000001E-5</v>
      </c>
      <c r="AG287" s="921">
        <f>IF(Meal_entry_week_2!$T$498&gt;0,100*$I$363/(SUM($D$363:$S$363)+0.00001),0.00001)</f>
        <v>1.0000000000000001E-5</v>
      </c>
    </row>
    <row r="288" spans="1:33">
      <c r="A288" s="910"/>
      <c r="B288" s="947" t="s">
        <v>3072</v>
      </c>
      <c r="C288" s="963"/>
      <c r="D288" s="948">
        <f>100*(SUM(J$335:J$339)/SUM($D$335:$S$339))</f>
        <v>2.975745550233007</v>
      </c>
      <c r="E288" s="948">
        <f>IF(Meal_entry_week_2!$Q$512&gt;0,100*SUM(J$341:J$345)/SUM($D$341:$S$345),0.00001)</f>
        <v>1.0000000000000001E-5</v>
      </c>
      <c r="F288" s="948">
        <f>IF(Meal_entry_week_2!$Q$522&gt;0,100*SUM(J$347:J$351)/SUM($D$347:$S$351),0.00001)</f>
        <v>1.6799385064881098</v>
      </c>
      <c r="G288" s="948">
        <f>IF(Meal_entry_week_2!$Q$532&gt;0,100*SUM(J$353:J$357)/SUM($D$353:$S$357),0.00001)</f>
        <v>3.3901123060017904</v>
      </c>
      <c r="H288" s="949">
        <f>IF(Meal_entry_week_2!$Q$542&gt;0,100*SUM(J$359:J$363)/SUM($D$359:$S$363),0.00001)</f>
        <v>1.0000000000000001E-5</v>
      </c>
      <c r="I288" s="921">
        <f>IF(Meal_entry_week_2!$Q$547&gt;0,100*$J$335/(SUM($D$335:$S$335)+0.00001),0.00001)</f>
        <v>5.6680379849956335</v>
      </c>
      <c r="J288" s="921">
        <f>IF(Meal_entry_week_2!$Q$548&gt;0,100*$J$336/(SUM($D$336:$S$336)+0.00001),0.00001)</f>
        <v>0</v>
      </c>
      <c r="K288" s="921">
        <f>IF(Meal_entry_week_2!$Q$549&gt;0,100*$J$337/(SUM($D$337:$S$337)+0.00001),0.00001)</f>
        <v>1.0037302631499705</v>
      </c>
      <c r="L288" s="921">
        <f>IF(Meal_entry_week_2!$Q$550&gt;0,100*$J$338/(SUM($D$338:$S$338)+0.00001),0.00001)</f>
        <v>3.6296785757841188</v>
      </c>
      <c r="M288" s="921">
        <f>IF(Meal_entry_week_2!$Q$551&gt;0,100*$J$339/(SUM($D$339:$S$339)+0.00001),0.00001)</f>
        <v>5.1702802368262848</v>
      </c>
      <c r="N288" s="921">
        <f>IF(Meal_entry_week_2!$T$32&gt;0,100*$J$341/(SUM($D$341:$S$341)+0.00001),0.00001)</f>
        <v>1.0000000000000001E-5</v>
      </c>
      <c r="O288" s="921">
        <f>IF(Meal_entry_week_2!$T$131&gt;0,100*$J$342/(SUM($D$342:$S$342)+0.00001),0.00001)</f>
        <v>1.0000000000000001E-5</v>
      </c>
      <c r="P288" s="921">
        <f>IF(Meal_entry_week_2!$T$230&gt;0,100*$J$343/(SUM($D$343:$S$343)+0.00001),0.00001)</f>
        <v>1.0000000000000001E-5</v>
      </c>
      <c r="Q288" s="921">
        <f>IF(Meal_entry_week_2!$T$329&gt;0,100*$J$344/(SUM($D$344:$S$344)+0.00001),0.00001)</f>
        <v>1.0000000000000001E-5</v>
      </c>
      <c r="R288" s="921">
        <f>IF(Meal_entry_week_2!$T$428&gt;0,100*$J$345/(SUM($D$345:$S$345)+0.00001),0.00001)</f>
        <v>1.0000000000000001E-5</v>
      </c>
      <c r="S288" s="921">
        <f>IF(Meal_entry_week_2!$T$51&gt;0,100*$J$347/(SUM($D$347:$S$347)+0.00001),0.00001)</f>
        <v>10.17337982567914</v>
      </c>
      <c r="T288" s="921">
        <f>IF(Meal_entry_week_2!$T$150&gt;0,100*$J$348/(SUM($D$348:$S$348)+0.00001),0.00001)</f>
        <v>0</v>
      </c>
      <c r="U288" s="921">
        <f>IF(Meal_entry_week_2!$T$249&gt;0,100*$J$349/(SUM($D$349:$S$349)+0.00001),0.00001)</f>
        <v>0</v>
      </c>
      <c r="V288" s="921">
        <f>IF(Meal_entry_week_2!$T$348&gt;0,100*$J$350/(SUM($D$350:$S$350)+0.00001),0.00001)</f>
        <v>0</v>
      </c>
      <c r="W288" s="921">
        <f>IF(Meal_entry_week_2!$T$447&gt;0,100*$J$351/(SUM($D$351:$S$351)+0.00001),0.00001)</f>
        <v>3.1648812473420262</v>
      </c>
      <c r="X288" s="921">
        <f>IF(Meal_entry_week_2!$T$83&gt;0,100*$J$353/(SUM($D$353:$S$353)+0.00001),0.00001)</f>
        <v>4.8150821233545971</v>
      </c>
      <c r="Y288" s="921">
        <f>IF(Meal_entry_week_2!$T$182&gt;0,100*$J$354/(SUM($D$354:$S$354)+0.00001),0.00001)</f>
        <v>0</v>
      </c>
      <c r="Z288" s="921">
        <f>IF(Meal_entry_week_2!$T$281&gt;0,100*$J$355/(SUM($D$355:$S$355)+0.00001),0.00001)</f>
        <v>1.4106796865049096</v>
      </c>
      <c r="AA288" s="921">
        <f>IF(Meal_entry_week_2!$T$380&gt;0,100*$J$356/(SUM($D$356:$S$356)+0.00001),0.00001)</f>
        <v>4.9426897879293001</v>
      </c>
      <c r="AB288" s="921">
        <f>IF(Meal_entry_week_2!$T$479&gt;0,100*$J$357/(SUM($D$357:$S$357)+0.00001),0.00001)</f>
        <v>5.5766423046822853</v>
      </c>
      <c r="AC288" s="921">
        <f>IF(Meal_entry_week_2!$T$102&gt;0,100*$J$359/(SUM($D$359:$S$359)+0.00001),0.00001)</f>
        <v>1.0000000000000001E-5</v>
      </c>
      <c r="AD288" s="921">
        <f>IF(Meal_entry_week_2!$T$201&gt;0,100*$J$360/(SUM($D$360:$S$360)+0.00001),0.00001)</f>
        <v>1.0000000000000001E-5</v>
      </c>
      <c r="AE288" s="921">
        <f>IF(Meal_entry_week_2!$T$300&gt;0,100*$J$361/(SUM($D$361:$S$361)+0.00001),0.00001)</f>
        <v>1.0000000000000001E-5</v>
      </c>
      <c r="AF288" s="921">
        <f>IF(Meal_entry_week_2!$T$399&gt;0,100*$J$362/(SUM($D$362:$S$362)+0.00001),0.00001)</f>
        <v>1.0000000000000001E-5</v>
      </c>
      <c r="AG288" s="921">
        <f>IF(Meal_entry_week_2!$T$498&gt;0,100*$J$363/(SUM($D$363:$S$363)+0.00001),0.00001)</f>
        <v>1.0000000000000001E-5</v>
      </c>
    </row>
    <row r="289" spans="1:33">
      <c r="A289" s="910"/>
      <c r="B289" s="947" t="s">
        <v>3085</v>
      </c>
      <c r="C289" s="963"/>
      <c r="D289" s="948">
        <f>100*(SUM(K$335:K$339)/SUM($D$335:$S$339))</f>
        <v>16.500510872338982</v>
      </c>
      <c r="E289" s="948">
        <f>IF(Meal_entry_week_2!$Q$512&gt;0,100*SUM(K$341:K$345)/SUM($D$341:$S$345),0.00001)</f>
        <v>1.0000000000000001E-5</v>
      </c>
      <c r="F289" s="948">
        <f>IF(Meal_entry_week_2!$Q$522&gt;0,100*SUM(K$347:K$351)/SUM($D$347:$S$351),0.00001)</f>
        <v>43.038452837357873</v>
      </c>
      <c r="G289" s="948">
        <f>IF(Meal_entry_week_2!$Q$532&gt;0,100*SUM(K$353:K$357)/SUM($D$353:$S$357),0.00001)</f>
        <v>8.0143392853677344</v>
      </c>
      <c r="H289" s="949">
        <f>IF(Meal_entry_week_2!$Q$542&gt;0,100*SUM(K$359:K$363)/SUM($D$359:$S$363),0.00001)</f>
        <v>1.0000000000000001E-5</v>
      </c>
      <c r="I289" s="921">
        <f>IF(Meal_entry_week_2!$Q$547&gt;0,100*$K$335/(SUM($D$335:$S$335)+0.00001),0.00001)</f>
        <v>16.199767837297973</v>
      </c>
      <c r="J289" s="921">
        <f>IF(Meal_entry_week_2!$Q$548&gt;0,100*$K$336/(SUM($D$336:$S$336)+0.00001),0.00001)</f>
        <v>20.435129081454892</v>
      </c>
      <c r="K289" s="921">
        <f>IF(Meal_entry_week_2!$Q$549&gt;0,100*$K$337/(SUM($D$337:$S$337)+0.00001),0.00001)</f>
        <v>13.28252681903389</v>
      </c>
      <c r="L289" s="921">
        <f>IF(Meal_entry_week_2!$Q$550&gt;0,100*$K$338/(SUM($D$338:$S$338)+0.00001),0.00001)</f>
        <v>17.923352807221981</v>
      </c>
      <c r="M289" s="921">
        <f>IF(Meal_entry_week_2!$Q$551&gt;0,100*$K$339/(SUM($D$339:$S$339)+0.00001),0.00001)</f>
        <v>13.671797533864229</v>
      </c>
      <c r="N289" s="921">
        <f>IF(Meal_entry_week_2!$T$32&gt;0,100*$K$341/(SUM($D$341:$S$341)+0.00001),0.00001)</f>
        <v>1.0000000000000001E-5</v>
      </c>
      <c r="O289" s="921">
        <f>IF(Meal_entry_week_2!$T$131&gt;0,100*$K$342/(SUM($D$342:$S$342)+0.00001),0.00001)</f>
        <v>1.0000000000000001E-5</v>
      </c>
      <c r="P289" s="921">
        <f>IF(Meal_entry_week_2!$T$230&gt;0,100*$K$343/(SUM($D$343:$S$343)+0.00001),0.00001)</f>
        <v>1.0000000000000001E-5</v>
      </c>
      <c r="Q289" s="921">
        <f>IF(Meal_entry_week_2!$T$329&gt;0,100*$K$344/(SUM($D$344:$S$344)+0.00001),0.00001)</f>
        <v>1.0000000000000001E-5</v>
      </c>
      <c r="R289" s="921">
        <f>IF(Meal_entry_week_2!$T$428&gt;0,100*$K$345/(SUM($D$345:$S$345)+0.00001),0.00001)</f>
        <v>1.0000000000000001E-5</v>
      </c>
      <c r="S289" s="921">
        <f>IF(Meal_entry_week_2!$T$51&gt;0,100*$K$347/(SUM($D$347:$S$347)+0.00001),0.00001)</f>
        <v>70.102910673332076</v>
      </c>
      <c r="T289" s="921">
        <f>IF(Meal_entry_week_2!$T$150&gt;0,100*$K$348/(SUM($D$348:$S$348)+0.00001),0.00001)</f>
        <v>28.998847351401555</v>
      </c>
      <c r="U289" s="921">
        <f>IF(Meal_entry_week_2!$T$249&gt;0,100*$K$349/(SUM($D$349:$S$349)+0.00001),0.00001)</f>
        <v>43.271130450691601</v>
      </c>
      <c r="V289" s="921">
        <f>IF(Meal_entry_week_2!$T$348&gt;0,100*$K$350/(SUM($D$350:$S$350)+0.00001),0.00001)</f>
        <v>60.666074745970128</v>
      </c>
      <c r="W289" s="921">
        <f>IF(Meal_entry_week_2!$T$447&gt;0,100*$K$351/(SUM($D$351:$S$351)+0.00001),0.00001)</f>
        <v>10.964249469052723</v>
      </c>
      <c r="X289" s="921">
        <f>IF(Meal_entry_week_2!$T$83&gt;0,100*$K$353/(SUM($D$353:$S$353)+0.00001),0.00001)</f>
        <v>5.9947772435764737</v>
      </c>
      <c r="Y289" s="921">
        <f>IF(Meal_entry_week_2!$T$182&gt;0,100*$K$354/(SUM($D$354:$S$354)+0.00001),0.00001)</f>
        <v>16.607920457186239</v>
      </c>
      <c r="Z289" s="921">
        <f>IF(Meal_entry_week_2!$T$281&gt;0,100*$K$355/(SUM($D$355:$S$355)+0.00001),0.00001)</f>
        <v>1.1240295742071118</v>
      </c>
      <c r="AA289" s="921">
        <f>IF(Meal_entry_week_2!$T$380&gt;0,100*$K$356/(SUM($D$356:$S$356)+0.00001),0.00001)</f>
        <v>2.4614595143887912</v>
      </c>
      <c r="AB289" s="921">
        <f>IF(Meal_entry_week_2!$T$479&gt;0,100*$K$357/(SUM($D$357:$S$357)+0.00001),0.00001)</f>
        <v>14.220437876939828</v>
      </c>
      <c r="AC289" s="921">
        <f>IF(Meal_entry_week_2!$T$102&gt;0,100*$K$359/(SUM($D$359:$S$359)+0.00001),0.00001)</f>
        <v>1.0000000000000001E-5</v>
      </c>
      <c r="AD289" s="921">
        <f>IF(Meal_entry_week_2!$T$201&gt;0,100*$K$360/(SUM($D$360:$S$360)+0.00001),0.00001)</f>
        <v>1.0000000000000001E-5</v>
      </c>
      <c r="AE289" s="921">
        <f>IF(Meal_entry_week_2!$T$300&gt;0,100*$K$361/(SUM($D$361:$S$361)+0.00001),0.00001)</f>
        <v>1.0000000000000001E-5</v>
      </c>
      <c r="AF289" s="921">
        <f>IF(Meal_entry_week_2!$T$399&gt;0,100*$K$362/(SUM($D$362:$S$362)+0.00001),0.00001)</f>
        <v>1.0000000000000001E-5</v>
      </c>
      <c r="AG289" s="921">
        <f>IF(Meal_entry_week_2!$T$498&gt;0,100*$K$363/(SUM($D$363:$S$363)+0.00001),0.00001)</f>
        <v>1.0000000000000001E-5</v>
      </c>
    </row>
    <row r="290" spans="1:33">
      <c r="A290" s="910"/>
      <c r="B290" s="947" t="s">
        <v>3075</v>
      </c>
      <c r="C290" s="963"/>
      <c r="D290" s="948">
        <f>100*(SUM(L$335:L$339)/SUM($D$335:$S$339))</f>
        <v>4.797147560400254</v>
      </c>
      <c r="E290" s="948">
        <f>IF(Meal_entry_week_2!$Q$512&gt;0,100*SUM(L$341:L$345)/SUM($D$341:$S$345),0.00001)</f>
        <v>1.0000000000000001E-5</v>
      </c>
      <c r="F290" s="948">
        <f>IF(Meal_entry_week_2!$Q$522&gt;0,100*SUM(L$347:L$351)/SUM($D$347:$S$351),0.00001)</f>
        <v>5.0593876185690441</v>
      </c>
      <c r="G290" s="948">
        <f>IF(Meal_entry_week_2!$Q$532&gt;0,100*SUM(L$353:L$357)/SUM($D$353:$S$357),0.00001)</f>
        <v>4.7132897339896322</v>
      </c>
      <c r="H290" s="949">
        <f>IF(Meal_entry_week_2!$Q$542&gt;0,100*SUM(L$359:L$363)/SUM($D$359:$S$363),0.00001)</f>
        <v>1.0000000000000001E-5</v>
      </c>
      <c r="I290" s="921">
        <f>IF(Meal_entry_week_2!$Q$547&gt;0,100*$L$335/(SUM($D$335:$S$335)+0.00001),0.00001)</f>
        <v>11.640088916459215</v>
      </c>
      <c r="J290" s="921">
        <f>IF(Meal_entry_week_2!$Q$548&gt;0,100*$L$336/(SUM($D$336:$S$336)+0.00001),0.00001)</f>
        <v>0.59353111350361065</v>
      </c>
      <c r="K290" s="921">
        <f>IF(Meal_entry_week_2!$Q$549&gt;0,100*$L$337/(SUM($D$337:$S$337)+0.00001),0.00001)</f>
        <v>2.6233494157687622</v>
      </c>
      <c r="L290" s="921">
        <f>IF(Meal_entry_week_2!$Q$550&gt;0,100*$L$338/(SUM($D$338:$S$338)+0.00001),0.00001)</f>
        <v>2.8747054320210217</v>
      </c>
      <c r="M290" s="921">
        <f>IF(Meal_entry_week_2!$Q$551&gt;0,100*$L$339/(SUM($D$339:$S$339)+0.00001),0.00001)</f>
        <v>7.3450438521370707</v>
      </c>
      <c r="N290" s="921">
        <f>IF(Meal_entry_week_2!$T$32&gt;0,100*$L$341/(SUM($D$341:$S$341)+0.00001),0.00001)</f>
        <v>1.0000000000000001E-5</v>
      </c>
      <c r="O290" s="921">
        <f>IF(Meal_entry_week_2!$T$131&gt;0,100*$L$342/(SUM($D$342:$S$342)+0.00001),0.00001)</f>
        <v>1.0000000000000001E-5</v>
      </c>
      <c r="P290" s="921">
        <f>IF(Meal_entry_week_2!$T$230&gt;0,100*$L$343/(SUM($D$343:$S$343)+0.00001),0.00001)</f>
        <v>1.0000000000000001E-5</v>
      </c>
      <c r="Q290" s="921">
        <f>IF(Meal_entry_week_2!$T$329&gt;0,100*$L$344/(SUM($D$344:$S$344)+0.00001),0.00001)</f>
        <v>1.0000000000000001E-5</v>
      </c>
      <c r="R290" s="921">
        <f>IF(Meal_entry_week_2!$T$428&gt;0,100*$L$345/(SUM($D$345:$S$345)+0.00001),0.00001)</f>
        <v>1.0000000000000001E-5</v>
      </c>
      <c r="S290" s="921">
        <f>IF(Meal_entry_week_2!$T$51&gt;0,100*$L$347/(SUM($D$347:$S$347)+0.00001),0.00001)</f>
        <v>13.428861369896461</v>
      </c>
      <c r="T290" s="921">
        <f>IF(Meal_entry_week_2!$T$150&gt;0,100*$L$348/(SUM($D$348:$S$348)+0.00001),0.00001)</f>
        <v>0</v>
      </c>
      <c r="U290" s="921">
        <f>IF(Meal_entry_week_2!$T$249&gt;0,100*$L$349/(SUM($D$349:$S$349)+0.00001),0.00001)</f>
        <v>0</v>
      </c>
      <c r="V290" s="921">
        <f>IF(Meal_entry_week_2!$T$348&gt;0,100*$L$350/(SUM($D$350:$S$350)+0.00001),0.00001)</f>
        <v>0</v>
      </c>
      <c r="W290" s="921">
        <f>IF(Meal_entry_week_2!$T$447&gt;0,100*$L$351/(SUM($D$351:$S$351)+0.00001),0.00001)</f>
        <v>28.153682748094717</v>
      </c>
      <c r="X290" s="921">
        <f>IF(Meal_entry_week_2!$T$83&gt;0,100*$L$353/(SUM($D$353:$S$353)+0.00001),0.00001)</f>
        <v>11.301435478251726</v>
      </c>
      <c r="Y290" s="921">
        <f>IF(Meal_entry_week_2!$T$182&gt;0,100*$L$354/(SUM($D$354:$S$354)+0.00001),0.00001)</f>
        <v>0.85878563047843381</v>
      </c>
      <c r="Z290" s="921">
        <f>IF(Meal_entry_week_2!$T$281&gt;0,100*$L$355/(SUM($D$355:$S$355)+0.00001),0.00001)</f>
        <v>3.686952428649231</v>
      </c>
      <c r="AA290" s="921">
        <f>IF(Meal_entry_week_2!$T$380&gt;0,100*$L$356/(SUM($D$356:$S$356)+0.00001),0.00001)</f>
        <v>3.9146103120400051</v>
      </c>
      <c r="AB290" s="921">
        <f>IF(Meal_entry_week_2!$T$479&gt;0,100*$L$357/(SUM($D$357:$S$357)+0.00001),0.00001)</f>
        <v>3.1284963329267619</v>
      </c>
      <c r="AC290" s="921">
        <f>IF(Meal_entry_week_2!$T$102&gt;0,100*$L$359/(SUM($D$359:$S$359)+0.00001),0.00001)</f>
        <v>1.0000000000000001E-5</v>
      </c>
      <c r="AD290" s="921">
        <f>IF(Meal_entry_week_2!$T$201&gt;0,100*$L$360/(SUM($D$360:$S$360)+0.00001),0.00001)</f>
        <v>1.0000000000000001E-5</v>
      </c>
      <c r="AE290" s="921">
        <f>IF(Meal_entry_week_2!$T$300&gt;0,100*$L$361/(SUM($D$361:$S$361)+0.00001),0.00001)</f>
        <v>1.0000000000000001E-5</v>
      </c>
      <c r="AF290" s="921">
        <f>IF(Meal_entry_week_2!$T$399&gt;0,100*$L$362/(SUM($D$362:$S$362)+0.00001),0.00001)</f>
        <v>1.0000000000000001E-5</v>
      </c>
      <c r="AG290" s="921">
        <f>IF(Meal_entry_week_2!$T$498&gt;0,100*$L$363/(SUM($D$363:$S$363)+0.00001),0.00001)</f>
        <v>1.0000000000000001E-5</v>
      </c>
    </row>
    <row r="291" spans="1:33">
      <c r="A291" s="910"/>
      <c r="B291" s="947" t="s">
        <v>3141</v>
      </c>
      <c r="C291" s="963"/>
      <c r="D291" s="948">
        <f>100*(SUM(M$335:M$339)/SUM($D$335:$S$339))</f>
        <v>6.5259684250531915</v>
      </c>
      <c r="E291" s="948">
        <f>IF(Meal_entry_week_2!$Q$512&gt;0,100*SUM(M$341:M$345)/SUM($D$341:$S$345),0.00001)</f>
        <v>1.0000000000000001E-5</v>
      </c>
      <c r="F291" s="948">
        <f>IF(Meal_entry_week_2!$Q$522&gt;0,100*SUM(M$347:M$351)/SUM($D$347:$S$351),0.00001)</f>
        <v>2.6103308575959523</v>
      </c>
      <c r="G291" s="948">
        <f>IF(Meal_entry_week_2!$Q$532&gt;0,100*SUM(M$353:M$357)/SUM($D$353:$S$357),0.00001)</f>
        <v>7.7780916045233051</v>
      </c>
      <c r="H291" s="949">
        <f>IF(Meal_entry_week_2!$Q$542&gt;0,100*SUM(M$359:M$363)/SUM($D$359:$S$363),0.00001)</f>
        <v>1.0000000000000001E-5</v>
      </c>
      <c r="I291" s="921">
        <f>IF(Meal_entry_week_2!$Q$547&gt;0,100*$M$335/(SUM($D$335:$S$335)+0.00001),0.00001)</f>
        <v>1.4781433345156469</v>
      </c>
      <c r="J291" s="921">
        <f>IF(Meal_entry_week_2!$Q$548&gt;0,100*$M$336/(SUM($D$336:$S$336)+0.00001),0.00001)</f>
        <v>20.484181239595689</v>
      </c>
      <c r="K291" s="921">
        <f>IF(Meal_entry_week_2!$Q$549&gt;0,100*$M$337/(SUM($D$337:$S$337)+0.00001),0.00001)</f>
        <v>0.84987848841434288</v>
      </c>
      <c r="L291" s="921">
        <f>IF(Meal_entry_week_2!$Q$550&gt;0,100*$M$338/(SUM($D$338:$S$338)+0.00001),0.00001)</f>
        <v>0.85370040102442468</v>
      </c>
      <c r="M291" s="921">
        <f>IF(Meal_entry_week_2!$Q$551&gt;0,100*$M$339/(SUM($D$339:$S$339)+0.00001),0.00001)</f>
        <v>8.1162734566114629</v>
      </c>
      <c r="N291" s="921">
        <f>IF(Meal_entry_week_2!$T$32&gt;0,100*$M$341/(SUM($D$341:$S$341)+0.00001),0.00001)</f>
        <v>1.0000000000000001E-5</v>
      </c>
      <c r="O291" s="921">
        <f>IF(Meal_entry_week_2!$T$131&gt;0,100*$M$342/(SUM($D$342:$S$342)+0.00001),0.00001)</f>
        <v>1.0000000000000001E-5</v>
      </c>
      <c r="P291" s="921">
        <f>IF(Meal_entry_week_2!$T$230&gt;0,100*$M$343/(SUM($D$343:$S$343)+0.00001),0.00001)</f>
        <v>1.0000000000000001E-5</v>
      </c>
      <c r="Q291" s="921">
        <f>IF(Meal_entry_week_2!$T$329&gt;0,100*$M$344/(SUM($D$344:$S$344)+0.00001),0.00001)</f>
        <v>1.0000000000000001E-5</v>
      </c>
      <c r="R291" s="921">
        <f>IF(Meal_entry_week_2!$T$428&gt;0,100*$M$345/(SUM($D$345:$S$345)+0.00001),0.00001)</f>
        <v>1.0000000000000001E-5</v>
      </c>
      <c r="S291" s="921">
        <f>IF(Meal_entry_week_2!$T$51&gt;0,100*$M$347/(SUM($D$347:$S$347)+0.00001),0.00001)</f>
        <v>6.2947787671389666</v>
      </c>
      <c r="T291" s="921">
        <f>IF(Meal_entry_week_2!$T$150&gt;0,100*$M$348/(SUM($D$348:$S$348)+0.00001),0.00001)</f>
        <v>0</v>
      </c>
      <c r="U291" s="921">
        <f>IF(Meal_entry_week_2!$T$249&gt;0,100*$M$349/(SUM($D$349:$S$349)+0.00001),0.00001)</f>
        <v>0</v>
      </c>
      <c r="V291" s="921">
        <f>IF(Meal_entry_week_2!$T$348&gt;0,100*$M$350/(SUM($D$350:$S$350)+0.00001),0.00001)</f>
        <v>0</v>
      </c>
      <c r="W291" s="921">
        <f>IF(Meal_entry_week_2!$T$447&gt;0,100*$M$351/(SUM($D$351:$S$351)+0.00001),0.00001)</f>
        <v>15.211244895920736</v>
      </c>
      <c r="X291" s="921">
        <f>IF(Meal_entry_week_2!$T$83&gt;0,100*$M$353/(SUM($D$353:$S$353)+0.00001),0.00001)</f>
        <v>0.5662536577065006</v>
      </c>
      <c r="Y291" s="921">
        <f>IF(Meal_entry_week_2!$T$182&gt;0,100*$M$354/(SUM($D$354:$S$354)+0.00001),0.00001)</f>
        <v>29.638750354363136</v>
      </c>
      <c r="Z291" s="921">
        <f>IF(Meal_entry_week_2!$T$281&gt;0,100*$M$355/(SUM($D$355:$S$355)+0.00001),0.00001)</f>
        <v>1.1944507041574368</v>
      </c>
      <c r="AA291" s="921">
        <f>IF(Meal_entry_week_2!$T$380&gt;0,100*$M$356/(SUM($D$356:$S$356)+0.00001),0.00001)</f>
        <v>1.1625206381209712</v>
      </c>
      <c r="AB291" s="921">
        <f>IF(Meal_entry_week_2!$T$479&gt;0,100*$M$357/(SUM($D$357:$S$357)+0.00001),0.00001)</f>
        <v>6.6785868240875041</v>
      </c>
      <c r="AC291" s="921">
        <f>IF(Meal_entry_week_2!$T$102&gt;0,100*$M$359/(SUM($D$359:$S$359)+0.00001),0.00001)</f>
        <v>1.0000000000000001E-5</v>
      </c>
      <c r="AD291" s="921">
        <f>IF(Meal_entry_week_2!$T$201&gt;0,100*$M$360/(SUM($D$360:$S$360)+0.00001),0.00001)</f>
        <v>1.0000000000000001E-5</v>
      </c>
      <c r="AE291" s="921">
        <f>IF(Meal_entry_week_2!$T$300&gt;0,100*$M$361/(SUM($D$361:$S$361)+0.00001),0.00001)</f>
        <v>1.0000000000000001E-5</v>
      </c>
      <c r="AF291" s="921">
        <f>IF(Meal_entry_week_2!$T$399&gt;0,100*$M$362/(SUM($D$362:$S$362)+0.00001),0.00001)</f>
        <v>1.0000000000000001E-5</v>
      </c>
      <c r="AG291" s="921">
        <f>IF(Meal_entry_week_2!$T$498&gt;0,100*$M$363/(SUM($D$363:$S$363)+0.00001),0.00001)</f>
        <v>1.0000000000000001E-5</v>
      </c>
    </row>
    <row r="292" spans="1:33">
      <c r="A292" s="910"/>
      <c r="B292" s="947" t="s">
        <v>3550</v>
      </c>
      <c r="C292" s="963"/>
      <c r="D292" s="948">
        <f>100*(SUM(N$335:N$339)/SUM($D$335:$S$339))</f>
        <v>2.2139861213042291</v>
      </c>
      <c r="E292" s="948">
        <f>IF(Meal_entry_week_2!$Q$512&gt;0,100*SUM(N$341:N$345)/SUM($D$341:$S$345),0.00001)</f>
        <v>1.0000000000000001E-5</v>
      </c>
      <c r="F292" s="948">
        <f>IF(Meal_entry_week_2!$Q$522&gt;0,100*SUM(N$347:N$351)/SUM($D$347:$S$351),0.00001)</f>
        <v>2.8973823801926613</v>
      </c>
      <c r="G292" s="948">
        <f>IF(Meal_entry_week_2!$Q$532&gt;0,100*SUM(N$353:N$357)/SUM($D$353:$S$357),0.00001)</f>
        <v>1.9954530518421729</v>
      </c>
      <c r="H292" s="949">
        <f>IF(Meal_entry_week_2!$Q$542&gt;0,100*SUM(N$359:N$363)/SUM($D$359:$S$363),0.00001)</f>
        <v>1.0000000000000001E-5</v>
      </c>
      <c r="I292" s="921">
        <f>IF(Meal_entry_week_2!$Q$547&gt;0,100*$N$335/(SUM($D$335:$S$335)+0.00001),0.00001)</f>
        <v>3.1145594359714659</v>
      </c>
      <c r="J292" s="921">
        <f>IF(Meal_entry_week_2!$Q$548&gt;0,100*$N$336/(SUM($D$336:$S$336)+0.00001),0.00001)</f>
        <v>7.9111320649473002E-2</v>
      </c>
      <c r="K292" s="921">
        <f>IF(Meal_entry_week_2!$Q$549&gt;0,100*$N$337/(SUM($D$337:$S$337)+0.00001),0.00001)</f>
        <v>2.8260299303604643</v>
      </c>
      <c r="L292" s="921">
        <f>IF(Meal_entry_week_2!$Q$550&gt;0,100*$N$338/(SUM($D$338:$S$338)+0.00001),0.00001)</f>
        <v>0.18355350551896213</v>
      </c>
      <c r="M292" s="921">
        <f>IF(Meal_entry_week_2!$Q$551&gt;0,100*$N$339/(SUM($D$339:$S$339)+0.00001),0.00001)</f>
        <v>5.8216048669376219</v>
      </c>
      <c r="N292" s="921">
        <f>IF(Meal_entry_week_2!$T$32&gt;0,100*$N$341/(SUM($D$341:$S$341)+0.00001),0.00001)</f>
        <v>1.0000000000000001E-5</v>
      </c>
      <c r="O292" s="921">
        <f>IF(Meal_entry_week_2!$T$131&gt;0,100*$N$342/(SUM($D$342:$S$342)+0.00001),0.00001)</f>
        <v>1.0000000000000001E-5</v>
      </c>
      <c r="P292" s="921">
        <f>IF(Meal_entry_week_2!$T$230&gt;0,100*$N$343/(SUM($D$343:$S$343)+0.00001),0.00001)</f>
        <v>1.0000000000000001E-5</v>
      </c>
      <c r="Q292" s="921">
        <f>IF(Meal_entry_week_2!$T$329&gt;0,100*$N$344/(SUM($D$344:$S$344)+0.00001),0.00001)</f>
        <v>1.0000000000000001E-5</v>
      </c>
      <c r="R292" s="921">
        <f>IF(Meal_entry_week_2!$T$428&gt;0,100*$N$345/(SUM($D$345:$S$345)+0.00001),0.00001)</f>
        <v>1.0000000000000001E-5</v>
      </c>
      <c r="S292" s="921">
        <f>IF(Meal_entry_week_2!$T$51&gt;0,100*$N$347/(SUM($D$347:$S$347)+0.00001),0.00001)</f>
        <v>0</v>
      </c>
      <c r="T292" s="921">
        <f>IF(Meal_entry_week_2!$T$150&gt;0,100*$N$348/(SUM($D$348:$S$348)+0.00001),0.00001)</f>
        <v>0</v>
      </c>
      <c r="U292" s="921">
        <f>IF(Meal_entry_week_2!$T$249&gt;0,100*$N$349/(SUM($D$349:$S$349)+0.00001),0.00001)</f>
        <v>8.3809347399234273</v>
      </c>
      <c r="V292" s="921">
        <f>IF(Meal_entry_week_2!$T$348&gt;0,100*$N$350/(SUM($D$350:$S$350)+0.00001),0.00001)</f>
        <v>0</v>
      </c>
      <c r="W292" s="921">
        <f>IF(Meal_entry_week_2!$T$447&gt;0,100*$N$351/(SUM($D$351:$S$351)+0.00001),0.00001)</f>
        <v>7.8719228115707125</v>
      </c>
      <c r="X292" s="921">
        <f>IF(Meal_entry_week_2!$T$83&gt;0,100*$N$353/(SUM($D$353:$S$353)+0.00001),0.00001)</f>
        <v>3.704210046361641</v>
      </c>
      <c r="Y292" s="921">
        <f>IF(Meal_entry_week_2!$T$182&gt;0,100*$N$354/(SUM($D$354:$S$354)+0.00001),0.00001)</f>
        <v>0.11446689792029902</v>
      </c>
      <c r="Z292" s="921">
        <f>IF(Meal_entry_week_2!$T$281&gt;0,100*$N$355/(SUM($D$355:$S$355)+0.00001),0.00001)</f>
        <v>0.57386449647019711</v>
      </c>
      <c r="AA292" s="921">
        <f>IF(Meal_entry_week_2!$T$380&gt;0,100*$N$356/(SUM($D$356:$S$356)+0.00001),0.00001)</f>
        <v>0.24995272124645523</v>
      </c>
      <c r="AB292" s="921">
        <f>IF(Meal_entry_week_2!$T$479&gt;0,100*$N$357/(SUM($D$357:$S$357)+0.00001),0.00001)</f>
        <v>5.4061390010540356</v>
      </c>
      <c r="AC292" s="921">
        <f>IF(Meal_entry_week_2!$T$102&gt;0,100*$N$359/(SUM($D$359:$S$359)+0.00001),0.00001)</f>
        <v>1.0000000000000001E-5</v>
      </c>
      <c r="AD292" s="921">
        <f>IF(Meal_entry_week_2!$T$201&gt;0,100*$N$360/(SUM($D$360:$S$360)+0.00001),0.00001)</f>
        <v>1.0000000000000001E-5</v>
      </c>
      <c r="AE292" s="921">
        <f>IF(Meal_entry_week_2!$T$300&gt;0,100*$N$361/(SUM($D$361:$S$361)+0.00001),0.00001)</f>
        <v>1.0000000000000001E-5</v>
      </c>
      <c r="AF292" s="921">
        <f>IF(Meal_entry_week_2!$T$399&gt;0,100*$N$362/(SUM($D$362:$S$362)+0.00001),0.00001)</f>
        <v>1.0000000000000001E-5</v>
      </c>
      <c r="AG292" s="921">
        <f>IF(Meal_entry_week_2!$T$498&gt;0,100*$N$363/(SUM($D$363:$S$363)+0.00001),0.00001)</f>
        <v>1.0000000000000001E-5</v>
      </c>
    </row>
    <row r="293" spans="1:33">
      <c r="A293" s="910"/>
      <c r="B293" s="947" t="s">
        <v>3078</v>
      </c>
      <c r="C293" s="963"/>
      <c r="D293" s="948">
        <f>100*(SUM(O$335:O$339)/SUM($D$335:$S$339))</f>
        <v>4.1028093834295856</v>
      </c>
      <c r="E293" s="948">
        <f>IF(Meal_entry_week_2!$Q$512&gt;0,100*SUM(O$341:O$345)/SUM($D$341:$S$345),0.00001)</f>
        <v>1.0000000000000001E-5</v>
      </c>
      <c r="F293" s="948">
        <f>IF(Meal_entry_week_2!$Q$522&gt;0,100*SUM(O$347:O$351)/SUM($D$347:$S$351),0.00001)</f>
        <v>15.634890871269626</v>
      </c>
      <c r="G293" s="948">
        <f>IF(Meal_entry_week_2!$Q$532&gt;0,100*SUM(O$353:O$357)/SUM($D$353:$S$357),0.00001)</f>
        <v>0.41513750632079771</v>
      </c>
      <c r="H293" s="949">
        <f>IF(Meal_entry_week_2!$Q$542&gt;0,100*SUM(O$359:O$363)/SUM($D$359:$S$363),0.00001)</f>
        <v>1.0000000000000001E-5</v>
      </c>
      <c r="I293" s="921">
        <f>IF(Meal_entry_week_2!$Q$547&gt;0,100*$O$335/(SUM($D$335:$S$335)+0.00001),0.00001)</f>
        <v>0</v>
      </c>
      <c r="J293" s="921">
        <f>IF(Meal_entry_week_2!$Q$548&gt;0,100*$O$336/(SUM($D$336:$S$336)+0.00001),0.00001)</f>
        <v>12.714319390093875</v>
      </c>
      <c r="K293" s="921">
        <f>IF(Meal_entry_week_2!$Q$549&gt;0,100*$O$337/(SUM($D$337:$S$337)+0.00001),0.00001)</f>
        <v>1.2280840515692517</v>
      </c>
      <c r="L293" s="921">
        <f>IF(Meal_entry_week_2!$Q$550&gt;0,100*$O$338/(SUM($D$338:$S$338)+0.00001),0.00001)</f>
        <v>0.33429339682971737</v>
      </c>
      <c r="M293" s="921">
        <f>IF(Meal_entry_week_2!$Q$551&gt;0,100*$O$339/(SUM($D$339:$S$339)+0.00001),0.00001)</f>
        <v>5.8355471789491231</v>
      </c>
      <c r="N293" s="921">
        <f>IF(Meal_entry_week_2!$T$32&gt;0,100*$O$341/(SUM($D$341:$S$341)+0.00001),0.00001)</f>
        <v>1.0000000000000001E-5</v>
      </c>
      <c r="O293" s="921">
        <f>IF(Meal_entry_week_2!$T$131&gt;0,100*$O$342/(SUM($D$342:$S$342)+0.00001),0.00001)</f>
        <v>1.0000000000000001E-5</v>
      </c>
      <c r="P293" s="921">
        <f>IF(Meal_entry_week_2!$T$230&gt;0,100*$O$343/(SUM($D$343:$S$343)+0.00001),0.00001)</f>
        <v>1.0000000000000001E-5</v>
      </c>
      <c r="Q293" s="921">
        <f>IF(Meal_entry_week_2!$T$329&gt;0,100*$O$344/(SUM($D$344:$S$344)+0.00001),0.00001)</f>
        <v>1.0000000000000001E-5</v>
      </c>
      <c r="R293" s="921">
        <f>IF(Meal_entry_week_2!$T$428&gt;0,100*$O$345/(SUM($D$345:$S$345)+0.00001),0.00001)</f>
        <v>1.0000000000000001E-5</v>
      </c>
      <c r="S293" s="921">
        <f>IF(Meal_entry_week_2!$T$51&gt;0,100*$O$347/(SUM($D$347:$S$347)+0.00001),0.00001)</f>
        <v>0</v>
      </c>
      <c r="T293" s="921">
        <f>IF(Meal_entry_week_2!$T$150&gt;0,100*$O$348/(SUM($D$348:$S$348)+0.00001),0.00001)</f>
        <v>41.163752647772633</v>
      </c>
      <c r="U293" s="921">
        <f>IF(Meal_entry_week_2!$T$249&gt;0,100*$O$349/(SUM($D$349:$S$349)+0.00001),0.00001)</f>
        <v>0</v>
      </c>
      <c r="V293" s="921">
        <f>IF(Meal_entry_week_2!$T$348&gt;0,100*$O$350/(SUM($D$350:$S$350)+0.00001),0.00001)</f>
        <v>0</v>
      </c>
      <c r="W293" s="921">
        <f>IF(Meal_entry_week_2!$T$447&gt;0,100*$O$351/(SUM($D$351:$S$351)+0.00001),0.00001)</f>
        <v>34.633943771546825</v>
      </c>
      <c r="X293" s="921">
        <f>IF(Meal_entry_week_2!$T$83&gt;0,100*$O$353/(SUM($D$353:$S$353)+0.00001),0.00001)</f>
        <v>0</v>
      </c>
      <c r="Y293" s="921">
        <f>IF(Meal_entry_week_2!$T$182&gt;0,100*$O$354/(SUM($D$354:$S$354)+0.00001),0.00001)</f>
        <v>0</v>
      </c>
      <c r="Z293" s="921">
        <f>IF(Meal_entry_week_2!$T$281&gt;0,100*$O$355/(SUM($D$355:$S$355)+0.00001),0.00001)</f>
        <v>1.7259948100324869</v>
      </c>
      <c r="AA293" s="921">
        <f>IF(Meal_entry_week_2!$T$380&gt;0,100*$O$356/(SUM($D$356:$S$356)+0.00001),0.00001)</f>
        <v>0.45522172946828854</v>
      </c>
      <c r="AB293" s="921">
        <f>IF(Meal_entry_week_2!$T$479&gt;0,100*$O$357/(SUM($D$357:$S$357)+0.00001),0.00001)</f>
        <v>0</v>
      </c>
      <c r="AC293" s="921">
        <f>IF(Meal_entry_week_2!$T$102&gt;0,100*$O$359/(SUM($D$359:$S$359)+0.00001),0.00001)</f>
        <v>1.0000000000000001E-5</v>
      </c>
      <c r="AD293" s="921">
        <f>IF(Meal_entry_week_2!$T$201&gt;0,100*$O$360/(SUM($D$360:$S$360)+0.00001),0.00001)</f>
        <v>1.0000000000000001E-5</v>
      </c>
      <c r="AE293" s="921">
        <f>IF(Meal_entry_week_2!$T$300&gt;0,100*$O$361/(SUM($D$361:$S$361)+0.00001),0.00001)</f>
        <v>1.0000000000000001E-5</v>
      </c>
      <c r="AF293" s="921">
        <f>IF(Meal_entry_week_2!$T$399&gt;0,100*$O$362/(SUM($D$362:$S$362)+0.00001),0.00001)</f>
        <v>1.0000000000000001E-5</v>
      </c>
      <c r="AG293" s="921">
        <f>IF(Meal_entry_week_2!$T$498&gt;0,100*$O$363/(SUM($D$363:$S$363)+0.00001),0.00001)</f>
        <v>1.0000000000000001E-5</v>
      </c>
    </row>
    <row r="294" spans="1:33">
      <c r="A294" s="910"/>
      <c r="B294" s="947" t="s">
        <v>3551</v>
      </c>
      <c r="C294" s="963"/>
      <c r="D294" s="948">
        <f>100*(SUM(P$335:P$339)/SUM($D$335:$S$339))</f>
        <v>10.849101957457737</v>
      </c>
      <c r="E294" s="948">
        <f>IF(Meal_entry_week_2!$Q$512&gt;0,100*SUM(P$341:P$345)/SUM($D$341:$S$345),0.00001)</f>
        <v>1.0000000000000001E-5</v>
      </c>
      <c r="F294" s="948">
        <f>IF(Meal_entry_week_2!$Q$522&gt;0,100*SUM(P$347:P$351)/SUM($D$347:$S$351),0.00001)</f>
        <v>23.741771718149678</v>
      </c>
      <c r="G294" s="948">
        <f>IF(Meal_entry_week_2!$Q$532&gt;0,100*SUM(P$353:P$357)/SUM($D$353:$S$357),0.00001)</f>
        <v>6.7263479041251211</v>
      </c>
      <c r="H294" s="949">
        <f>IF(Meal_entry_week_2!$Q$542&gt;0,100*SUM(P$359:P$363)/SUM($D$359:$S$363),0.00001)</f>
        <v>1.0000000000000001E-5</v>
      </c>
      <c r="I294" s="921">
        <f>IF(Meal_entry_week_2!$Q$547&gt;0,100*$P$335/(SUM($D$335:$S$335)+0.00001),0.00001)</f>
        <v>3.8866546182827206</v>
      </c>
      <c r="J294" s="921">
        <f>IF(Meal_entry_week_2!$Q$548&gt;0,100*$P$336/(SUM($D$336:$S$336)+0.00001),0.00001)</f>
        <v>13.073332135526346</v>
      </c>
      <c r="K294" s="921">
        <f>IF(Meal_entry_week_2!$Q$549&gt;0,100*$P$337/(SUM($D$337:$S$337)+0.00001),0.00001)</f>
        <v>13.544336170945698</v>
      </c>
      <c r="L294" s="921">
        <f>IF(Meal_entry_week_2!$Q$550&gt;0,100*$P$338/(SUM($D$338:$S$338)+0.00001),0.00001)</f>
        <v>15.675674349167663</v>
      </c>
      <c r="M294" s="921">
        <f>IF(Meal_entry_week_2!$Q$551&gt;0,100*$P$339/(SUM($D$339:$S$339)+0.00001),0.00001)</f>
        <v>6.6773125928518828</v>
      </c>
      <c r="N294" s="921">
        <f>IF(Meal_entry_week_2!$T$32&gt;0,100*$P$341/(SUM($D$341:$S$341)+0.00001),0.00001)</f>
        <v>1.0000000000000001E-5</v>
      </c>
      <c r="O294" s="921">
        <f>IF(Meal_entry_week_2!$T$131&gt;0,100*$P$342/(SUM($D$342:$S$342)+0.00001),0.00001)</f>
        <v>1.0000000000000001E-5</v>
      </c>
      <c r="P294" s="921">
        <f>IF(Meal_entry_week_2!$T$230&gt;0,100*$P$343/(SUM($D$343:$S$343)+0.00001),0.00001)</f>
        <v>1.0000000000000001E-5</v>
      </c>
      <c r="Q294" s="921">
        <f>IF(Meal_entry_week_2!$T$329&gt;0,100*$P$344/(SUM($D$344:$S$344)+0.00001),0.00001)</f>
        <v>1.0000000000000001E-5</v>
      </c>
      <c r="R294" s="921">
        <f>IF(Meal_entry_week_2!$T$428&gt;0,100*$P$345/(SUM($D$345:$S$345)+0.00001),0.00001)</f>
        <v>1.0000000000000001E-5</v>
      </c>
      <c r="S294" s="921">
        <f>IF(Meal_entry_week_2!$T$51&gt;0,100*$P$347/(SUM($D$347:$S$347)+0.00001),0.00001)</f>
        <v>0</v>
      </c>
      <c r="T294" s="921">
        <f>IF(Meal_entry_week_2!$T$150&gt;0,100*$P$348/(SUM($D$348:$S$348)+0.00001),0.00001)</f>
        <v>29.83736823867099</v>
      </c>
      <c r="U294" s="921">
        <f>IF(Meal_entry_week_2!$T$249&gt;0,100*$P$349/(SUM($D$349:$S$349)+0.00001),0.00001)</f>
        <v>25.57361766767848</v>
      </c>
      <c r="V294" s="921">
        <f>IF(Meal_entry_week_2!$T$348&gt;0,100*$P$350/(SUM($D$350:$S$350)+0.00001),0.00001)</f>
        <v>39.333887989856187</v>
      </c>
      <c r="W294" s="921">
        <f>IF(Meal_entry_week_2!$T$447&gt;0,100*$P$351/(SUM($D$351:$S$351)+0.00001),0.00001)</f>
        <v>0</v>
      </c>
      <c r="X294" s="921">
        <f>IF(Meal_entry_week_2!$T$83&gt;0,100*$P$353/(SUM($D$353:$S$353)+0.00001),0.00001)</f>
        <v>4.6224788384204141</v>
      </c>
      <c r="Y294" s="921">
        <f>IF(Meal_entry_week_2!$T$182&gt;0,100*$P$354/(SUM($D$354:$S$354)+0.00001),0.00001)</f>
        <v>5.5813258839002931</v>
      </c>
      <c r="Z294" s="921">
        <f>IF(Meal_entry_week_2!$T$281&gt;0,100*$P$355/(SUM($D$355:$S$355)+0.00001),0.00001)</f>
        <v>8.6672159938861633</v>
      </c>
      <c r="AA294" s="921">
        <f>IF(Meal_entry_week_2!$T$380&gt;0,100*$P$356/(SUM($D$356:$S$356)+0.00001),0.00001)</f>
        <v>7.1174732946181916</v>
      </c>
      <c r="AB294" s="921">
        <f>IF(Meal_entry_week_2!$T$479&gt;0,100*$P$357/(SUM($D$357:$S$357)+0.00001),0.00001)</f>
        <v>8.0303649187424906</v>
      </c>
      <c r="AC294" s="921">
        <f>IF(Meal_entry_week_2!$T$102&gt;0,100*$P$359/(SUM($D$359:$S$359)+0.00001),0.00001)</f>
        <v>1.0000000000000001E-5</v>
      </c>
      <c r="AD294" s="921">
        <f>IF(Meal_entry_week_2!$T$201&gt;0,100*$P$360/(SUM($D$360:$S$360)+0.00001),0.00001)</f>
        <v>1.0000000000000001E-5</v>
      </c>
      <c r="AE294" s="921">
        <f>IF(Meal_entry_week_2!$T$300&gt;0,100*$P$361/(SUM($D$361:$S$361)+0.00001),0.00001)</f>
        <v>1.0000000000000001E-5</v>
      </c>
      <c r="AF294" s="921">
        <f>IF(Meal_entry_week_2!$T$399&gt;0,100*$P$362/(SUM($D$362:$S$362)+0.00001),0.00001)</f>
        <v>1.0000000000000001E-5</v>
      </c>
      <c r="AG294" s="921">
        <f>IF(Meal_entry_week_2!$T$498&gt;0,100*$P$363/(SUM($D$363:$S$363)+0.00001),0.00001)</f>
        <v>1.0000000000000001E-5</v>
      </c>
    </row>
    <row r="295" spans="1:33">
      <c r="A295" s="910"/>
      <c r="B295" s="947" t="s">
        <v>3082</v>
      </c>
      <c r="C295" s="963"/>
      <c r="D295" s="948">
        <f>100*(SUM(Q$335:Q$339)/SUM($D$335:$S$339))</f>
        <v>0</v>
      </c>
      <c r="E295" s="948">
        <f>IF(Meal_entry_week_2!$Q$512&gt;0,100*SUM(Q$341:Q$345)/SUM($D$341:$S$345),0.00001)</f>
        <v>1.0000000000000001E-5</v>
      </c>
      <c r="F295" s="948">
        <f>IF(Meal_entry_week_2!$Q$522&gt;0,100*SUM(Q$347:Q$351)/SUM($D$347:$S$351),0.00001)</f>
        <v>0</v>
      </c>
      <c r="G295" s="948">
        <f>IF(Meal_entry_week_2!$Q$532&gt;0,100*SUM(Q$353:Q$357)/SUM($D$353:$S$357),0.00001)</f>
        <v>0</v>
      </c>
      <c r="H295" s="949">
        <f>IF(Meal_entry_week_2!$Q$542&gt;0,100*SUM(Q$359:Q$363)/SUM($D$359:$S$363),0.00001)</f>
        <v>1.0000000000000001E-5</v>
      </c>
      <c r="I295" s="921">
        <f>IF(Meal_entry_week_2!$Q$547&gt;0,100*$Q$335/(SUM($D$335:$S$335)+0.00001),0.00001)</f>
        <v>0</v>
      </c>
      <c r="J295" s="921">
        <f>IF(Meal_entry_week_2!$Q$548&gt;0,100*$Q$336/(SUM($D$336:$S$336)+0.00001),0.00001)</f>
        <v>0</v>
      </c>
      <c r="K295" s="921">
        <f>IF(Meal_entry_week_2!$Q$549&gt;0,100*$Q$337/(SUM($D$337:$S$337)+0.00001),0.00001)</f>
        <v>0</v>
      </c>
      <c r="L295" s="921">
        <f>IF(Meal_entry_week_2!$Q$550&gt;0,100*$Q$338/(SUM($D$338:$S$338)+0.00001),0.00001)</f>
        <v>0</v>
      </c>
      <c r="M295" s="921">
        <f>IF(Meal_entry_week_2!$Q$551&gt;0,100*$Q$339/(SUM($D$339:$S$339)+0.00001),0.00001)</f>
        <v>0</v>
      </c>
      <c r="N295" s="921">
        <f>IF(Meal_entry_week_2!$T$32&gt;0,100*$Q$341/(SUM($D$341:$S$341)+0.00001),0.00001)</f>
        <v>1.0000000000000001E-5</v>
      </c>
      <c r="O295" s="921">
        <f>IF(Meal_entry_week_2!$T$131&gt;0,100*$Q$342/(SUM($D$342:$S$342)+0.00001),0.00001)</f>
        <v>1.0000000000000001E-5</v>
      </c>
      <c r="P295" s="921">
        <f>IF(Meal_entry_week_2!$T$230&gt;0,100*$Q$343/(SUM($D$343:$S$343)+0.00001),0.00001)</f>
        <v>1.0000000000000001E-5</v>
      </c>
      <c r="Q295" s="921">
        <f>IF(Meal_entry_week_2!$T$329&gt;0,100*$Q$344/(SUM($D$344:$S$344)+0.00001),0.00001)</f>
        <v>1.0000000000000001E-5</v>
      </c>
      <c r="R295" s="921">
        <f>IF(Meal_entry_week_2!$T$428&gt;0,100*$Q$345/(SUM($D$345:$S$345)+0.00001),0.00001)</f>
        <v>1.0000000000000001E-5</v>
      </c>
      <c r="S295" s="921">
        <f>IF(Meal_entry_week_2!$T$51&gt;0,100*$Q$347/(SUM($D$347:$S$347)+0.00001),0.00001)</f>
        <v>0</v>
      </c>
      <c r="T295" s="921">
        <f>IF(Meal_entry_week_2!$T$150&gt;0,100*$Q$348/(SUM($D$348:$S$348)+0.00001),0.00001)</f>
        <v>0</v>
      </c>
      <c r="U295" s="921">
        <f>IF(Meal_entry_week_2!$T$249&gt;0,100*$Q$349/(SUM($D$349:$S$349)+0.00001),0.00001)</f>
        <v>0</v>
      </c>
      <c r="V295" s="921">
        <f>IF(Meal_entry_week_2!$T$348&gt;0,100*$Q$350/(SUM($D$350:$S$350)+0.00001),0.00001)</f>
        <v>0</v>
      </c>
      <c r="W295" s="921">
        <f>IF(Meal_entry_week_2!$T$447&gt;0,100*$Q$351/(SUM($D$351:$S$351)+0.00001),0.00001)</f>
        <v>0</v>
      </c>
      <c r="X295" s="921">
        <f>IF(Meal_entry_week_2!$T$83&gt;0,100*$Q$353/(SUM($D$353:$S$353)+0.00001),0.00001)</f>
        <v>0</v>
      </c>
      <c r="Y295" s="921">
        <f>IF(Meal_entry_week_2!$T$182&gt;0,100*$Q$354/(SUM($D$354:$S$354)+0.00001),0.00001)</f>
        <v>0</v>
      </c>
      <c r="Z295" s="921">
        <f>IF(Meal_entry_week_2!$T$281&gt;0,100*$Q$355/(SUM($D$355:$S$355)+0.00001),0.00001)</f>
        <v>0</v>
      </c>
      <c r="AA295" s="921">
        <f>IF(Meal_entry_week_2!$T$380&gt;0,100*$Q$356/(SUM($D$356:$S$356)+0.00001),0.00001)</f>
        <v>0</v>
      </c>
      <c r="AB295" s="921">
        <f>IF(Meal_entry_week_2!$T$479&gt;0,100*$Q$357/(SUM($D$357:$S$357)+0.00001),0.00001)</f>
        <v>0</v>
      </c>
      <c r="AC295" s="921">
        <f>IF(Meal_entry_week_2!$T$102&gt;0,100*$Q$359/(SUM($D$359:$S$359)+0.00001),0.00001)</f>
        <v>1.0000000000000001E-5</v>
      </c>
      <c r="AD295" s="921">
        <f>IF(Meal_entry_week_2!$T$201&gt;0,100*$Q$360/(SUM($D$360:$S$360)+0.00001),0.00001)</f>
        <v>1.0000000000000001E-5</v>
      </c>
      <c r="AE295" s="921">
        <f>IF(Meal_entry_week_2!$T$300&gt;0,100*$Q$361/(SUM($D$361:$S$361)+0.00001),0.00001)</f>
        <v>1.0000000000000001E-5</v>
      </c>
      <c r="AF295" s="921">
        <f>IF(Meal_entry_week_2!$T$399&gt;0,100*$Q$362/(SUM($D$362:$S$362)+0.00001),0.00001)</f>
        <v>1.0000000000000001E-5</v>
      </c>
      <c r="AG295" s="921">
        <f>IF(Meal_entry_week_2!$T$498&gt;0,100*$Q$363/(SUM($D$363:$S$363)+0.00001),0.00001)</f>
        <v>1.0000000000000001E-5</v>
      </c>
    </row>
    <row r="296" spans="1:33">
      <c r="A296" s="910"/>
      <c r="B296" s="951" t="s">
        <v>1734</v>
      </c>
      <c r="C296" s="963"/>
      <c r="D296" s="948">
        <f>100*(SUM(R$335:R$339)/SUM($D$335:$S$339))</f>
        <v>0</v>
      </c>
      <c r="E296" s="948">
        <f>IF(Meal_entry_week_2!$Q$512&gt;0,100*SUM(R$341:R$345)/SUM($D$341:$S$345),0.00001)</f>
        <v>1.0000000000000001E-5</v>
      </c>
      <c r="F296" s="948">
        <f>IF(Meal_entry_week_2!$Q$522&gt;0,100*SUM(R$347:R$351)/SUM($D$347:$S$351),0.00001)</f>
        <v>0</v>
      </c>
      <c r="G296" s="948">
        <f>IF(Meal_entry_week_2!$Q$532&gt;0,100*SUM(R$353:R$357)/SUM($D$353:$S$357),0.00001)</f>
        <v>0</v>
      </c>
      <c r="H296" s="949">
        <f>IF(Meal_entry_week_2!$Q$542&gt;0,100*SUM(R$359:R$363)/SUM($D$359:$S$363),0.00001)</f>
        <v>1.0000000000000001E-5</v>
      </c>
      <c r="I296" s="921">
        <f>IF(Meal_entry_week_2!$Q$547&gt;0,100*$R$335/(SUM($D$335:$S$335)+0.00001),0.00001)</f>
        <v>0</v>
      </c>
      <c r="J296" s="921">
        <f>IF(Meal_entry_week_2!$Q$548&gt;0,100*$R$336/(SUM($D$336:$S$336)+0.00001),0.00001)</f>
        <v>0</v>
      </c>
      <c r="K296" s="921">
        <f>IF(Meal_entry_week_2!$Q$549&gt;0,100*$R$337/(SUM($D$337:$S$337)+0.00001),0.00001)</f>
        <v>0</v>
      </c>
      <c r="L296" s="921">
        <f>IF(Meal_entry_week_2!$Q$550&gt;0,100*$R$338/(SUM($D$338:$S$338)+0.00001),0.00001)</f>
        <v>0</v>
      </c>
      <c r="M296" s="921">
        <f>IF(Meal_entry_week_2!$Q$551&gt;0,100*$R$339/(SUM($D$339:$S$339)+0.00001),0.00001)</f>
        <v>0</v>
      </c>
      <c r="N296" s="921">
        <f>IF(Meal_entry_week_2!$T$32&gt;0,100*$R$341/(SUM($D$341:$S$341)+0.00001),0.00001)</f>
        <v>1.0000000000000001E-5</v>
      </c>
      <c r="O296" s="921">
        <f>IF(Meal_entry_week_2!$T$131&gt;0,100*$R$342/(SUM($D$342:$S$342)+0.00001),0.00001)</f>
        <v>1.0000000000000001E-5</v>
      </c>
      <c r="P296" s="921">
        <f>IF(Meal_entry_week_2!$T$230&gt;0,100*$R$343/(SUM($D$343:$S$343)+0.00001),0.00001)</f>
        <v>1.0000000000000001E-5</v>
      </c>
      <c r="Q296" s="921">
        <f>IF(Meal_entry_week_2!$T$329&gt;0,100*$R$344/(SUM($D$344:$S$344)+0.00001),0.00001)</f>
        <v>1.0000000000000001E-5</v>
      </c>
      <c r="R296" s="921">
        <f>IF(Meal_entry_week_2!$T$428&gt;0,100*$R$345/(SUM($D$345:$S$345)+0.00001),0.00001)</f>
        <v>1.0000000000000001E-5</v>
      </c>
      <c r="S296" s="921">
        <f>IF(Meal_entry_week_2!$T$51&gt;0,100*$R$347/(SUM($D$347:$S$347)+0.00001),0.00001)</f>
        <v>0</v>
      </c>
      <c r="T296" s="921">
        <f>IF(Meal_entry_week_2!$T$150&gt;0,100*$R$348/(SUM($D$348:$S$348)+0.00001),0.00001)</f>
        <v>0</v>
      </c>
      <c r="U296" s="921">
        <f>IF(Meal_entry_week_2!$T$249&gt;0,100*$R$349/(SUM($D$349:$S$349)+0.00001),0.00001)</f>
        <v>0</v>
      </c>
      <c r="V296" s="921">
        <f>IF(Meal_entry_week_2!$T$348&gt;0,100*$R$350/(SUM($D$350:$S$350)+0.00001),0.00001)</f>
        <v>0</v>
      </c>
      <c r="W296" s="921">
        <f>IF(Meal_entry_week_2!$T$447&gt;0,100*$R$351/(SUM($D$351:$S$351)+0.00001),0.00001)</f>
        <v>0</v>
      </c>
      <c r="X296" s="921">
        <f>IF(Meal_entry_week_2!$T$83&gt;0,100*$R$353/(SUM($D$353:$S$353)+0.00001),0.00001)</f>
        <v>0</v>
      </c>
      <c r="Y296" s="921">
        <f>IF(Meal_entry_week_2!$T$182&gt;0,100*$R$354/(SUM($D$354:$S$354)+0.00001),0.00001)</f>
        <v>0</v>
      </c>
      <c r="Z296" s="921">
        <f>IF(Meal_entry_week_2!$T$281&gt;0,100*$R$355/(SUM($D$355:$S$355)+0.00001),0.00001)</f>
        <v>0</v>
      </c>
      <c r="AA296" s="921">
        <f>IF(Meal_entry_week_2!$T$380&gt;0,100*$R$356/(SUM($D$356:$S$356)+0.00001),0.00001)</f>
        <v>0</v>
      </c>
      <c r="AB296" s="921">
        <f>IF(Meal_entry_week_2!$T$479&gt;0,100*$R$357/(SUM($D$357:$S$357)+0.00001),0.00001)</f>
        <v>0</v>
      </c>
      <c r="AC296" s="921">
        <f>IF(Meal_entry_week_2!$T$102&gt;0,100*$R$359/(SUM($D$359:$S$359)+0.00001),0.00001)</f>
        <v>1.0000000000000001E-5</v>
      </c>
      <c r="AD296" s="921">
        <f>IF(Meal_entry_week_2!$T$201&gt;0,100*$R$360/(SUM($D$360:$S$360)+0.00001),0.00001)</f>
        <v>1.0000000000000001E-5</v>
      </c>
      <c r="AE296" s="921">
        <f>IF(Meal_entry_week_2!$T$300&gt;0,100*$R$361/(SUM($D$361:$S$361)+0.00001),0.00001)</f>
        <v>1.0000000000000001E-5</v>
      </c>
      <c r="AF296" s="921">
        <f>IF(Meal_entry_week_2!$T$399&gt;0,100*$R$362/(SUM($D$362:$S$362)+0.00001),0.00001)</f>
        <v>1.0000000000000001E-5</v>
      </c>
      <c r="AG296" s="921">
        <f>IF(Meal_entry_week_2!$T$498&gt;0,100*$R$363/(SUM($D$363:$S$363)+0.00001),0.00001)</f>
        <v>1.0000000000000001E-5</v>
      </c>
    </row>
    <row r="297" spans="1:33" ht="15" thickBot="1">
      <c r="A297" s="910"/>
      <c r="B297" s="952" t="s">
        <v>3084</v>
      </c>
      <c r="C297" s="963"/>
      <c r="D297" s="953">
        <f>100*(SUM(S$335:S$339)/SUM($D$335:$S$339))</f>
        <v>0</v>
      </c>
      <c r="E297" s="953">
        <f>IF(Meal_entry_week_2!$Q$512&gt;0,100*SUM(S$341:S$345)/SUM($D$341:$S$345),0.00001)</f>
        <v>1.0000000000000001E-5</v>
      </c>
      <c r="F297" s="953">
        <f>IF(Meal_entry_week_2!$Q$522&gt;0,100*SUM(S$347:S$351)/SUM($D$347:$S$351),0.00001)</f>
        <v>0</v>
      </c>
      <c r="G297" s="953">
        <f>IF(Meal_entry_week_2!$Q$532&gt;0,100*SUM(S$353:S$357)/SUM($D$353:$S$357),0.00001)</f>
        <v>0</v>
      </c>
      <c r="H297" s="954">
        <f>IF(Meal_entry_week_2!$Q$542&gt;0,100*SUM(S$359:S$363)/SUM($D$359:$S$363),0.00001)</f>
        <v>1.0000000000000001E-5</v>
      </c>
      <c r="I297" s="921">
        <f>IF(Meal_entry_week_2!$Q$547&gt;0,100*$S$335/(SUM($D$335:$S$335)+0.00001),0.00001)</f>
        <v>0</v>
      </c>
      <c r="J297" s="921">
        <f>IF(Meal_entry_week_2!$Q$548&gt;0,100*$S$336/(SUM($D$336:$S$336)+0.00001),0.00001)</f>
        <v>0</v>
      </c>
      <c r="K297" s="921">
        <f>IF(Meal_entry_week_2!$Q$549&gt;0,100*$S$337/(SUM($D$337:$S$337)+0.00001),0.00001)</f>
        <v>0</v>
      </c>
      <c r="L297" s="921">
        <f>IF(Meal_entry_week_2!$Q$550&gt;0,100*$S$338/(SUM($D$338:$S$338)+0.00001),0.00001)</f>
        <v>0</v>
      </c>
      <c r="M297" s="921">
        <f>IF(Meal_entry_week_2!$Q$551&gt;0,100*$S$339/(SUM($D$339:$S$339)+0.00001),0.00001)</f>
        <v>0</v>
      </c>
      <c r="N297" s="921">
        <f>IF(Meal_entry_week_2!$T$32&gt;0,100*$S$341/(SUM($D$341:$S$341)+0.00001),0.00001)</f>
        <v>1.0000000000000001E-5</v>
      </c>
      <c r="O297" s="921">
        <f>IF(Meal_entry_week_2!$T$131&gt;0,100*$S$342/(SUM($D$342:$S$342)+0.00001),0.00001)</f>
        <v>1.0000000000000001E-5</v>
      </c>
      <c r="P297" s="921">
        <f>IF(Meal_entry_week_2!$T$230&gt;0,100*$S$343/(SUM($D$343:$S$343)+0.00001),0.00001)</f>
        <v>1.0000000000000001E-5</v>
      </c>
      <c r="Q297" s="921">
        <f>IF(Meal_entry_week_2!$T$329&gt;0,100*$S$344/(SUM($D$344:$S$344)+0.00001),0.00001)</f>
        <v>1.0000000000000001E-5</v>
      </c>
      <c r="R297" s="921">
        <f>IF(Meal_entry_week_2!$T$428&gt;0,100*$S$345/(SUM($D$345:$S$345)+0.00001),0.00001)</f>
        <v>1.0000000000000001E-5</v>
      </c>
      <c r="S297" s="921">
        <f>IF(Meal_entry_week_2!$T$51&gt;0,100*$S$347/(SUM($D$347:$S$347)+0.00001),0.00001)</f>
        <v>0</v>
      </c>
      <c r="T297" s="921">
        <f>IF(Meal_entry_week_2!$T$150&gt;0,100*$S$348/(SUM($D$348:$S$348)+0.00001),0.00001)</f>
        <v>0</v>
      </c>
      <c r="U297" s="921">
        <f>IF(Meal_entry_week_2!$T$249&gt;0,100*$S$349/(SUM($D$349:$S$349)+0.00001),0.00001)</f>
        <v>0</v>
      </c>
      <c r="V297" s="921">
        <f>IF(Meal_entry_week_2!$T$348&gt;0,100*$S$350/(SUM($D$350:$S$350)+0.00001),0.00001)</f>
        <v>0</v>
      </c>
      <c r="W297" s="921">
        <f>IF(Meal_entry_week_2!$T$447&gt;0,100*$S$351/(SUM($D$351:$S$351)+0.00001),0.00001)</f>
        <v>0</v>
      </c>
      <c r="X297" s="921">
        <f>IF(Meal_entry_week_2!$T$83&gt;0,100*$S$353/(SUM($D$353:$S$353)+0.00001),0.00001)</f>
        <v>0</v>
      </c>
      <c r="Y297" s="921">
        <f>IF(Meal_entry_week_2!$T$182&gt;0,100*$S$354/(SUM($D$354:$S$354)+0.00001),0.00001)</f>
        <v>0</v>
      </c>
      <c r="Z297" s="921">
        <f>IF(Meal_entry_week_2!$T$281&gt;0,100*$S$355/(SUM($D$355:$S$355)+0.00001),0.00001)</f>
        <v>0</v>
      </c>
      <c r="AA297" s="921">
        <f>IF(Meal_entry_week_2!$T$380&gt;0,100*$S$356/(SUM($D$356:$S$356)+0.00001),0.00001)</f>
        <v>0</v>
      </c>
      <c r="AB297" s="921">
        <f>IF(Meal_entry_week_2!$T$479&gt;0,100*$S$357/(SUM($D$357:$S$357)+0.00001),0.00001)</f>
        <v>0</v>
      </c>
      <c r="AC297" s="921">
        <f>IF(Meal_entry_week_2!$T$102&gt;0,100*$S$359/(SUM($D$359:$S$359)+0.00001),0.00001)</f>
        <v>1.0000000000000001E-5</v>
      </c>
      <c r="AD297" s="921">
        <f>IF(Meal_entry_week_2!$T$201&gt;0,100*$S$360/(SUM($D$360:$S$360)+0.00001),0.00001)</f>
        <v>1.0000000000000001E-5</v>
      </c>
      <c r="AE297" s="921">
        <f>IF(Meal_entry_week_2!$T$300&gt;0,100*$S$361/(SUM($D$361:$S$361)+0.00001),0.00001)</f>
        <v>1.0000000000000001E-5</v>
      </c>
      <c r="AF297" s="921">
        <f>IF(Meal_entry_week_2!$T$399&gt;0,100*$S$362/(SUM($D$362:$S$362)+0.00001),0.00001)</f>
        <v>1.0000000000000001E-5</v>
      </c>
      <c r="AG297" s="921">
        <f>IF(Meal_entry_week_2!$T$498&gt;0,100*$S$363/(SUM($D$363:$S$363)+0.00001),0.00001)</f>
        <v>1.0000000000000001E-5</v>
      </c>
    </row>
    <row r="298" spans="1:33">
      <c r="A298" s="910"/>
      <c r="B298" s="913"/>
      <c r="C298" s="963"/>
      <c r="D298" s="913"/>
      <c r="E298" s="913"/>
      <c r="F298" s="919"/>
      <c r="G298" s="913"/>
      <c r="H298" s="913"/>
      <c r="I298" s="913"/>
      <c r="J298" s="913"/>
      <c r="K298" s="913"/>
      <c r="L298" s="913"/>
      <c r="M298" s="913"/>
      <c r="N298" s="913"/>
      <c r="O298" s="913"/>
      <c r="P298" s="913"/>
      <c r="Q298" s="913"/>
      <c r="R298" s="913"/>
      <c r="S298" s="913"/>
      <c r="T298" s="913"/>
      <c r="U298" s="913"/>
      <c r="V298" s="913"/>
      <c r="W298" s="913"/>
      <c r="X298" s="913"/>
      <c r="Y298" s="913"/>
      <c r="Z298" s="913"/>
      <c r="AA298" s="913"/>
      <c r="AB298" s="913"/>
      <c r="AC298" s="913"/>
      <c r="AD298" s="913"/>
      <c r="AE298" s="913"/>
      <c r="AF298" s="913"/>
      <c r="AG298" s="913"/>
    </row>
    <row r="299" spans="1:33">
      <c r="A299" s="910"/>
      <c r="B299" s="956" t="s">
        <v>3843</v>
      </c>
      <c r="C299" s="963"/>
      <c r="D299" s="913" t="s">
        <v>3716</v>
      </c>
      <c r="E299" s="913" t="s">
        <v>3717</v>
      </c>
      <c r="F299" s="913" t="s">
        <v>3718</v>
      </c>
      <c r="G299" s="945" t="s">
        <v>3719</v>
      </c>
      <c r="H299" s="945" t="s">
        <v>3720</v>
      </c>
      <c r="I299" s="945" t="s">
        <v>3691</v>
      </c>
      <c r="J299" s="945" t="s">
        <v>3692</v>
      </c>
      <c r="K299" s="945" t="s">
        <v>3693</v>
      </c>
      <c r="L299" s="945" t="s">
        <v>3694</v>
      </c>
      <c r="M299" s="945" t="s">
        <v>3695</v>
      </c>
      <c r="N299" s="945" t="s">
        <v>3696</v>
      </c>
      <c r="O299" s="945" t="s">
        <v>3697</v>
      </c>
      <c r="P299" s="945" t="s">
        <v>3698</v>
      </c>
      <c r="Q299" s="945" t="s">
        <v>3699</v>
      </c>
      <c r="R299" s="945" t="s">
        <v>3700</v>
      </c>
      <c r="S299" s="945" t="s">
        <v>3701</v>
      </c>
      <c r="T299" s="945" t="s">
        <v>3702</v>
      </c>
      <c r="U299" s="945" t="s">
        <v>3703</v>
      </c>
      <c r="V299" s="945" t="s">
        <v>3704</v>
      </c>
      <c r="W299" s="945" t="s">
        <v>3705</v>
      </c>
      <c r="X299" s="945" t="s">
        <v>3706</v>
      </c>
      <c r="Y299" s="945" t="s">
        <v>3707</v>
      </c>
      <c r="Z299" s="945" t="s">
        <v>3708</v>
      </c>
      <c r="AA299" s="945" t="s">
        <v>3709</v>
      </c>
      <c r="AB299" s="945" t="s">
        <v>3710</v>
      </c>
      <c r="AC299" s="945" t="s">
        <v>3711</v>
      </c>
      <c r="AD299" s="945" t="s">
        <v>3712</v>
      </c>
      <c r="AE299" s="945" t="s">
        <v>3713</v>
      </c>
      <c r="AF299" s="945" t="s">
        <v>3714</v>
      </c>
      <c r="AG299" s="945" t="s">
        <v>3715</v>
      </c>
    </row>
    <row r="300" spans="1:33" ht="15" thickBot="1">
      <c r="A300" s="910"/>
      <c r="B300" s="964"/>
      <c r="C300" s="963"/>
      <c r="D300" s="913"/>
      <c r="E300" s="913"/>
      <c r="F300" s="919"/>
      <c r="G300" s="913"/>
      <c r="H300" s="913"/>
      <c r="I300" s="922" t="s">
        <v>3972</v>
      </c>
      <c r="J300" s="913"/>
      <c r="K300" s="913"/>
      <c r="L300" s="913"/>
      <c r="M300" s="913"/>
      <c r="N300" s="913"/>
      <c r="O300" s="913"/>
      <c r="P300" s="913"/>
      <c r="Q300" s="913"/>
      <c r="R300" s="913"/>
      <c r="S300" s="913"/>
      <c r="T300" s="913"/>
      <c r="U300" s="913"/>
      <c r="V300" s="913"/>
      <c r="W300" s="913"/>
      <c r="X300" s="913"/>
      <c r="Y300" s="913"/>
      <c r="Z300" s="913"/>
      <c r="AA300" s="913"/>
      <c r="AB300" s="913"/>
      <c r="AC300" s="913"/>
      <c r="AD300" s="913"/>
      <c r="AE300" s="913"/>
      <c r="AF300" s="913"/>
      <c r="AG300" s="913"/>
    </row>
    <row r="301" spans="1:33" ht="15" thickBot="1">
      <c r="A301" s="910"/>
      <c r="B301" s="939"/>
      <c r="C301" s="963"/>
      <c r="D301" s="914" t="s">
        <v>3773</v>
      </c>
      <c r="E301" s="915" t="s">
        <v>3774</v>
      </c>
      <c r="F301" s="915" t="s">
        <v>3775</v>
      </c>
      <c r="G301" s="915" t="s">
        <v>3776</v>
      </c>
      <c r="H301" s="916" t="s">
        <v>3777</v>
      </c>
      <c r="I301" s="914" t="s">
        <v>3773</v>
      </c>
      <c r="J301" s="914" t="s">
        <v>3773</v>
      </c>
      <c r="K301" s="914" t="s">
        <v>3773</v>
      </c>
      <c r="L301" s="914" t="s">
        <v>3773</v>
      </c>
      <c r="M301" s="914" t="s">
        <v>3773</v>
      </c>
      <c r="N301" s="914" t="s">
        <v>67</v>
      </c>
      <c r="O301" s="914" t="s">
        <v>67</v>
      </c>
      <c r="P301" s="914" t="s">
        <v>67</v>
      </c>
      <c r="Q301" s="914" t="s">
        <v>67</v>
      </c>
      <c r="R301" s="917" t="s">
        <v>67</v>
      </c>
      <c r="S301" s="914" t="s">
        <v>1362</v>
      </c>
      <c r="T301" s="914" t="s">
        <v>1362</v>
      </c>
      <c r="U301" s="914" t="s">
        <v>1362</v>
      </c>
      <c r="V301" s="914" t="s">
        <v>1362</v>
      </c>
      <c r="W301" s="914" t="s">
        <v>1362</v>
      </c>
      <c r="X301" s="914" t="s">
        <v>69</v>
      </c>
      <c r="Y301" s="914" t="s">
        <v>69</v>
      </c>
      <c r="Z301" s="914" t="s">
        <v>69</v>
      </c>
      <c r="AA301" s="914" t="s">
        <v>69</v>
      </c>
      <c r="AB301" s="914" t="s">
        <v>69</v>
      </c>
      <c r="AC301" s="1281" t="s">
        <v>1364</v>
      </c>
      <c r="AD301" s="1281" t="s">
        <v>1364</v>
      </c>
      <c r="AE301" s="1281" t="s">
        <v>1364</v>
      </c>
      <c r="AF301" s="1281" t="s">
        <v>1364</v>
      </c>
      <c r="AG301" s="1281" t="s">
        <v>1364</v>
      </c>
    </row>
    <row r="302" spans="1:33" ht="45">
      <c r="A302" s="902"/>
      <c r="B302" s="946" t="s">
        <v>3842</v>
      </c>
      <c r="C302" s="913"/>
      <c r="D302" s="874" t="s">
        <v>3743</v>
      </c>
      <c r="E302" s="875" t="s">
        <v>3744</v>
      </c>
      <c r="F302" s="876" t="s">
        <v>3745</v>
      </c>
      <c r="G302" s="877" t="s">
        <v>3746</v>
      </c>
      <c r="H302" s="878" t="s">
        <v>3747</v>
      </c>
      <c r="I302" s="874" t="s">
        <v>3748</v>
      </c>
      <c r="J302" s="874" t="s">
        <v>3749</v>
      </c>
      <c r="K302" s="874" t="s">
        <v>3750</v>
      </c>
      <c r="L302" s="874" t="s">
        <v>3751</v>
      </c>
      <c r="M302" s="874" t="s">
        <v>3752</v>
      </c>
      <c r="N302" s="880" t="s">
        <v>3753</v>
      </c>
      <c r="O302" s="880" t="s">
        <v>3754</v>
      </c>
      <c r="P302" s="880" t="s">
        <v>3755</v>
      </c>
      <c r="Q302" s="880" t="s">
        <v>3756</v>
      </c>
      <c r="R302" s="880" t="s">
        <v>3757</v>
      </c>
      <c r="S302" s="882" t="s">
        <v>3758</v>
      </c>
      <c r="T302" s="882" t="s">
        <v>3759</v>
      </c>
      <c r="U302" s="882" t="s">
        <v>3760</v>
      </c>
      <c r="V302" s="882" t="s">
        <v>3761</v>
      </c>
      <c r="W302" s="882" t="s">
        <v>3762</v>
      </c>
      <c r="X302" s="884" t="s">
        <v>3768</v>
      </c>
      <c r="Y302" s="884" t="s">
        <v>3769</v>
      </c>
      <c r="Z302" s="884" t="s">
        <v>3770</v>
      </c>
      <c r="AA302" s="884" t="s">
        <v>3771</v>
      </c>
      <c r="AB302" s="884" t="s">
        <v>3772</v>
      </c>
      <c r="AC302" s="886" t="s">
        <v>3763</v>
      </c>
      <c r="AD302" s="886" t="s">
        <v>3764</v>
      </c>
      <c r="AE302" s="886" t="s">
        <v>3765</v>
      </c>
      <c r="AF302" s="886" t="s">
        <v>3766</v>
      </c>
      <c r="AG302" s="886" t="s">
        <v>3767</v>
      </c>
    </row>
    <row r="303" spans="1:33" ht="15" thickBot="1">
      <c r="A303" s="911"/>
      <c r="B303" s="913"/>
      <c r="C303" s="945"/>
      <c r="D303" s="965" t="s">
        <v>1431</v>
      </c>
      <c r="E303" s="965" t="s">
        <v>67</v>
      </c>
      <c r="F303" s="965" t="s">
        <v>1425</v>
      </c>
      <c r="G303" s="965" t="s">
        <v>69</v>
      </c>
      <c r="H303" s="965" t="s">
        <v>1426</v>
      </c>
      <c r="I303" s="965" t="s">
        <v>3064</v>
      </c>
      <c r="J303" s="965" t="s">
        <v>3065</v>
      </c>
      <c r="K303" s="965" t="s">
        <v>3940</v>
      </c>
      <c r="L303" s="965" t="s">
        <v>3067</v>
      </c>
      <c r="M303" s="965" t="s">
        <v>3068</v>
      </c>
      <c r="N303" s="965" t="s">
        <v>3064</v>
      </c>
      <c r="O303" s="965" t="s">
        <v>3065</v>
      </c>
      <c r="P303" s="965" t="s">
        <v>3940</v>
      </c>
      <c r="Q303" s="965" t="s">
        <v>3067</v>
      </c>
      <c r="R303" s="965" t="s">
        <v>3068</v>
      </c>
      <c r="S303" s="965" t="s">
        <v>3064</v>
      </c>
      <c r="T303" s="965" t="s">
        <v>3065</v>
      </c>
      <c r="U303" s="965" t="s">
        <v>3940</v>
      </c>
      <c r="V303" s="965" t="s">
        <v>3067</v>
      </c>
      <c r="W303" s="965" t="s">
        <v>3068</v>
      </c>
      <c r="X303" s="965" t="s">
        <v>3064</v>
      </c>
      <c r="Y303" s="965" t="s">
        <v>3065</v>
      </c>
      <c r="Z303" s="965" t="s">
        <v>3940</v>
      </c>
      <c r="AA303" s="965" t="s">
        <v>3067</v>
      </c>
      <c r="AB303" s="965" t="s">
        <v>3068</v>
      </c>
      <c r="AC303" s="965" t="s">
        <v>3064</v>
      </c>
      <c r="AD303" s="965" t="s">
        <v>3065</v>
      </c>
      <c r="AE303" s="965" t="s">
        <v>3940</v>
      </c>
      <c r="AF303" s="965" t="s">
        <v>3067</v>
      </c>
      <c r="AG303" s="965" t="s">
        <v>3068</v>
      </c>
    </row>
    <row r="304" spans="1:33">
      <c r="A304" s="902"/>
      <c r="B304" s="947" t="s">
        <v>3140</v>
      </c>
      <c r="C304" s="913"/>
      <c r="D304" s="966">
        <f>SUM(E304:H304)</f>
        <v>26.364485714285717</v>
      </c>
      <c r="E304" s="967">
        <f>SUM(N304:R304)/5</f>
        <v>0</v>
      </c>
      <c r="F304" s="967">
        <f>SUM(S304:W304)/5</f>
        <v>0</v>
      </c>
      <c r="G304" s="967">
        <f>SUM(X304:AB304)/5</f>
        <v>26.364485714285717</v>
      </c>
      <c r="H304" s="968">
        <f>SUM(AC304:AG304)/5</f>
        <v>0</v>
      </c>
      <c r="I304" s="969">
        <f>N304+S304+X304+AC304</f>
        <v>29</v>
      </c>
      <c r="J304" s="970">
        <f>O304+T304+Y304+AD304</f>
        <v>21.3</v>
      </c>
      <c r="K304" s="970">
        <f t="shared" ref="K304:M319" si="28">P304+U304+Z304+AE304</f>
        <v>39.400000000000006</v>
      </c>
      <c r="L304" s="970">
        <f>Q304+V304+AA304+AF304</f>
        <v>34.096428571428575</v>
      </c>
      <c r="M304" s="971">
        <f t="shared" si="28"/>
        <v>8.0259999999999998</v>
      </c>
      <c r="N304" s="969">
        <f>SUMIF(Meal_entry_week_2!G$11:G$30,"Vegetables_mushrooms_fresh_frozen",Meal_entry_week_2!T$11:T$30)</f>
        <v>0</v>
      </c>
      <c r="O304" s="970">
        <f>SUMIF(Meal_entry_week_2!G$110:G$129,"Vegetables_mushrooms_fresh_frozen",Meal_entry_week_2!T$110:T$129)</f>
        <v>0</v>
      </c>
      <c r="P304" s="970">
        <f>SUMIF(Meal_entry_week_2!G$209:G$228,"Vegetables_mushrooms_fresh_frozen",Meal_entry_week_2!T$209:T$228)</f>
        <v>0</v>
      </c>
      <c r="Q304" s="970">
        <f>SUMIF(Meal_entry_week_2!G$308:G$327,"Vegetables_mushrooms_fresh_frozen",Meal_entry_week_2!T$308:T$327)</f>
        <v>0</v>
      </c>
      <c r="R304" s="971">
        <f>SUMIF(Meal_entry_week_2!G$407:G$426,"Vegetables_mushrooms_fresh_frozen",Meal_entry_week_2!T$407:T$426)</f>
        <v>0</v>
      </c>
      <c r="S304" s="969">
        <f>SUMIF(Meal_entry_week_2!G$38:G$49,"Vegetables_mushrooms_fresh_frozen",Meal_entry_week_2!T$38:T$49)</f>
        <v>0</v>
      </c>
      <c r="T304" s="970">
        <f>SUMIF(Meal_entry_week_2!G$137:G$148,"Vegetables_mushrooms_fresh_frozen",Meal_entry_week_2!T$137:T$148)</f>
        <v>0</v>
      </c>
      <c r="U304" s="970">
        <f>SUMIF(Meal_entry_week_2!G$236:G$247,"Vegetables_mushrooms_fresh_frozen",Meal_entry_week_2!T$236:T$247)</f>
        <v>0</v>
      </c>
      <c r="V304" s="970">
        <f>SUMIF(Meal_entry_week_2!G$335:G$346,"Vegetables_mushrooms_fresh_frozen",Meal_entry_week_2!T$335:T$346)</f>
        <v>0</v>
      </c>
      <c r="W304" s="971">
        <f>SUMIF(Meal_entry_week_2!G$434:G$445,"Vegetables_mushrooms_fresh_frozen",Meal_entry_week_2!T$434:T$445)</f>
        <v>0</v>
      </c>
      <c r="X304" s="969">
        <f>SUMIF(Meal_entry_week_2!G$57:G$81,"Vegetables_mushrooms_fresh_frozen",Meal_entry_week_2!T$57:T$81)</f>
        <v>29</v>
      </c>
      <c r="Y304" s="970">
        <f>SUMIF(Meal_entry_week_2!G$156:G$180,"Vegetables_mushrooms_fresh_frozen",Meal_entry_week_2!T$156:T$180)</f>
        <v>21.3</v>
      </c>
      <c r="Z304" s="970">
        <f>SUMIF(Meal_entry_week_2!G$255:G$279,"Vegetables_mushrooms_fresh_frozen",Meal_entry_week_2!T$255:T$279)</f>
        <v>39.400000000000006</v>
      </c>
      <c r="AA304" s="970">
        <f>SUMIF(Meal_entry_week_2!G$354:G$378,"Vegetables_mushrooms_fresh_frozen",Meal_entry_week_2!T$354:T$378)</f>
        <v>34.096428571428575</v>
      </c>
      <c r="AB304" s="971">
        <f>SUMIF(Meal_entry_week_2!G$453:G$477,"Vegetables_mushrooms_fresh_frozen",Meal_entry_week_2!T$453:T$477)</f>
        <v>8.0259999999999998</v>
      </c>
      <c r="AC304" s="969">
        <f>SUMIF(Meal_entry_week_2!G$89:G$100,"Vegetables_mushrooms_fresh_frozen",Meal_entry_week_2!T$89:T$100)</f>
        <v>0</v>
      </c>
      <c r="AD304" s="970">
        <f>SUMIF(Meal_entry_week_2!G$188:G$199,"Vegetables_mushrooms_fresh_frozen",Meal_entry_week_2!T$188:T$199)</f>
        <v>0</v>
      </c>
      <c r="AE304" s="970">
        <f>SUMIF(Meal_entry_week_2!G$287:G$298,"Vegetables_mushrooms_fresh_frozen",Meal_entry_week_2!T$287:T$298)</f>
        <v>0</v>
      </c>
      <c r="AF304" s="970">
        <f>SUMIF(Meal_entry_week_2!G$386:G$397,"Vegetables_mushrooms_fresh_frozen",Meal_entry_week_2!T$386:T$397)</f>
        <v>0</v>
      </c>
      <c r="AG304" s="971">
        <f>SUMIF(Meal_entry_week_2!G$485:G$496,"Vegetables_mushrooms_fresh_frozen",Meal_entry_week_2!T$485:T$496)</f>
        <v>0</v>
      </c>
    </row>
    <row r="305" spans="1:33">
      <c r="A305" s="902"/>
      <c r="B305" s="947" t="s">
        <v>3069</v>
      </c>
      <c r="C305" s="913"/>
      <c r="D305" s="948">
        <f t="shared" ref="D305:D319" si="29">SUM(E305:H305)</f>
        <v>0.90514285714285714</v>
      </c>
      <c r="E305" s="955">
        <f t="shared" ref="E305:E319" si="30">SUM(N305:R305)/5</f>
        <v>0</v>
      </c>
      <c r="F305" s="955">
        <f t="shared" ref="F305:F319" si="31">SUM(S305:W305)/5</f>
        <v>0</v>
      </c>
      <c r="G305" s="955">
        <f t="shared" ref="G305:G319" si="32">SUM(X305:AB305)/5</f>
        <v>0.90514285714285714</v>
      </c>
      <c r="H305" s="972">
        <f t="shared" ref="H305:H319" si="33">SUM(AC305:AG305)/5</f>
        <v>0</v>
      </c>
      <c r="I305" s="921">
        <f t="shared" ref="I305:J319" si="34">N305+S305+X305+AC305</f>
        <v>0</v>
      </c>
      <c r="J305" s="922">
        <f t="shared" si="34"/>
        <v>4.5257142857142858</v>
      </c>
      <c r="K305" s="922">
        <f t="shared" si="28"/>
        <v>0</v>
      </c>
      <c r="L305" s="922">
        <f t="shared" si="28"/>
        <v>0</v>
      </c>
      <c r="M305" s="923">
        <f t="shared" si="28"/>
        <v>0</v>
      </c>
      <c r="N305" s="921">
        <f>SUMIF(Meal_entry_week_2!G$11:G$30,"Vegetables_processed",Meal_entry_week_2!T$11:T$30)</f>
        <v>0</v>
      </c>
      <c r="O305" s="922">
        <f>SUMIF(Meal_entry_week_2!G$110:G$129,"Vegetables_processed",Meal_entry_week_2!T$110:T$129)</f>
        <v>0</v>
      </c>
      <c r="P305" s="922">
        <f>SUMIF(Meal_entry_week_2!G$209:G$228,"Vegetables_processed",Meal_entry_week_2!T$209:T$228)</f>
        <v>0</v>
      </c>
      <c r="Q305" s="922">
        <f>SUMIF(Meal_entry_week_2!G$308:G$327,"Vegetables_processed",Meal_entry_week_2!T$308:T$327)</f>
        <v>0</v>
      </c>
      <c r="R305" s="923">
        <f>SUMIF(Meal_entry_week_2!G$407:G$426,"Vegetables_processed",Meal_entry_week_2!T$407:T$426)</f>
        <v>0</v>
      </c>
      <c r="S305" s="921">
        <f>SUMIF(Meal_entry_week_2!G$38:G$49,"Vegetables_processed",Meal_entry_week_2!T$38:T$49)</f>
        <v>0</v>
      </c>
      <c r="T305" s="922">
        <f>SUMIF(Meal_entry_week_2!G$137:G$148,"Vegetables_processed",Meal_entry_week_2!T$137:T$148)</f>
        <v>0</v>
      </c>
      <c r="U305" s="922">
        <f>SUMIF(Meal_entry_week_2!G$236:G$247,"Vegetables_processed",Meal_entry_week_2!T$236:T$247)</f>
        <v>0</v>
      </c>
      <c r="V305" s="922">
        <f>SUMIF(Meal_entry_week_2!G$335:G$346,"Vegetables_processed",Meal_entry_week_2!T$335:T$346)</f>
        <v>0</v>
      </c>
      <c r="W305" s="923">
        <f>SUMIF(Meal_entry_week_2!G$434:G$445,"Vegetables_processed",Meal_entry_week_2!T$434:T$445)</f>
        <v>0</v>
      </c>
      <c r="X305" s="921">
        <f>SUMIF(Meal_entry_week_2!G$57:G$81,"Vegetables_processed",Meal_entry_week_2!T$57:T$81)</f>
        <v>0</v>
      </c>
      <c r="Y305" s="922">
        <f>SUMIF(Meal_entry_week_2!G$156:G$180,"Vegetables_processed",Meal_entry_week_2!T$156:T$180)</f>
        <v>4.5257142857142858</v>
      </c>
      <c r="Z305" s="922">
        <f>SUMIF(Meal_entry_week_2!G$255:G$279,"Vegetables_processed",Meal_entry_week_2!T$255:T$279)</f>
        <v>0</v>
      </c>
      <c r="AA305" s="922">
        <f>SUMIF(Meal_entry_week_2!G$354:G$378,"Vegetables_processed",Meal_entry_week_2!T$354:T$378)</f>
        <v>0</v>
      </c>
      <c r="AB305" s="923">
        <f>SUMIF(Meal_entry_week_2!G$453:G$477,"Vegetables_processed",Meal_entry_week_2!T$453:T$477)</f>
        <v>0</v>
      </c>
      <c r="AC305" s="921">
        <f>SUMIF(Meal_entry_week_2!BM$11:BM$30,"Vegetables_processed",Meal_entry_week_2!BS$11:BS$30)</f>
        <v>0</v>
      </c>
      <c r="AD305" s="922">
        <f>SUMIF(Meal_entry_week_2!G$188:G$199,"Vegetables_processed",Meal_entry_week_2!T$188:T$199)</f>
        <v>0</v>
      </c>
      <c r="AE305" s="922">
        <f>SUMIF(Meal_entry_week_2!G$287:G$298,"Vegetables_processed",Meal_entry_week_2!T$287:T$298)</f>
        <v>0</v>
      </c>
      <c r="AF305" s="922">
        <f>SUMIF(Meal_entry_week_2!G$386:G$397,"Vegetables_processed",Meal_entry_week_2!T$386:T$397)</f>
        <v>0</v>
      </c>
      <c r="AG305" s="923">
        <f>SUMIF(Meal_entry_week_2!G$485:G$496,"Vegetables_processed",Meal_entry_week_2!T$485:T$496)</f>
        <v>0</v>
      </c>
    </row>
    <row r="306" spans="1:33">
      <c r="A306" s="902"/>
      <c r="B306" s="947" t="s">
        <v>1733</v>
      </c>
      <c r="C306" s="913"/>
      <c r="D306" s="948">
        <f t="shared" si="29"/>
        <v>0</v>
      </c>
      <c r="E306" s="955">
        <f t="shared" si="30"/>
        <v>0</v>
      </c>
      <c r="F306" s="955">
        <f t="shared" si="31"/>
        <v>0</v>
      </c>
      <c r="G306" s="955">
        <f t="shared" si="32"/>
        <v>0</v>
      </c>
      <c r="H306" s="972">
        <f t="shared" si="33"/>
        <v>0</v>
      </c>
      <c r="I306" s="921">
        <f t="shared" si="34"/>
        <v>0</v>
      </c>
      <c r="J306" s="922">
        <f t="shared" si="34"/>
        <v>0</v>
      </c>
      <c r="K306" s="922">
        <f t="shared" si="28"/>
        <v>0</v>
      </c>
      <c r="L306" s="922">
        <f t="shared" si="28"/>
        <v>0</v>
      </c>
      <c r="M306" s="923">
        <f t="shared" si="28"/>
        <v>0</v>
      </c>
      <c r="N306" s="921">
        <f>SUMIF(Meal_entry_week_2!G$11:G$30,"Voća_orasi_sušeno_voće",Meal_entry_week_2!T$11:T$30)</f>
        <v>0</v>
      </c>
      <c r="O306" s="922">
        <f>SUMIF(Meal_entry_week_2!G$110:G$129,"Voća_orasi_sušeno_voće",Meal_entry_week_2!T$110:T$129)</f>
        <v>0</v>
      </c>
      <c r="P306" s="922">
        <f>SUMIF(Meal_entry_week_2!G$209:G$228,"Voća_orasi_sušeno_voće",Meal_entry_week_2!T$209:T$228)</f>
        <v>0</v>
      </c>
      <c r="Q306" s="922">
        <f>SUMIF(Meal_entry_week_2!G$308:G$327,"Voća_orasi_sušeno_voće",Meal_entry_week_2!T$308:T$327)</f>
        <v>0</v>
      </c>
      <c r="R306" s="923">
        <f>SUMIF(Meal_entry_week_2!G$407:G$426,"Voća_orasi_sušeno_voće",Meal_entry_week_2!T$407:T$426)</f>
        <v>0</v>
      </c>
      <c r="S306" s="921">
        <f>SUMIF(Meal_entry_week_2!G$38:G$49,"Voća_orasi_sušeno_voće",Meal_entry_week_2!T$38:T$49)</f>
        <v>0</v>
      </c>
      <c r="T306" s="922">
        <f>SUMIF(Meal_entry_week_2!G$137:G$148,"Voća_orasi_sušeno_voće",Meal_entry_week_2!T$137:T$148)</f>
        <v>0</v>
      </c>
      <c r="U306" s="922">
        <f>SUMIF(Meal_entry_week_2!G$236:G$247,"Voća_orasi_sušeno_voće",Meal_entry_week_2!T$236:T$247)</f>
        <v>0</v>
      </c>
      <c r="V306" s="922">
        <f>SUMIF(Meal_entry_week_2!G$335:G$346,"Voća_orasi_sušeno_voće",Meal_entry_week_2!T$335:T$346)</f>
        <v>0</v>
      </c>
      <c r="W306" s="923">
        <f>SUMIF(Meal_entry_week_2!G$434:G$445,"Voća_orasi_sušeno_voće",Meal_entry_week_2!T$434:T$445)</f>
        <v>0</v>
      </c>
      <c r="X306" s="921">
        <f>SUMIF(Meal_entry_week_2!G$57:G$81,"Voća_orasi_sušeno_voće",Meal_entry_week_2!T$57:T$81)</f>
        <v>0</v>
      </c>
      <c r="Y306" s="922">
        <f>SUMIF(Meal_entry_week_2!G$156:G$180,"Voća_orasi_sušeno_voće",Meal_entry_week_2!T$156:T$180)</f>
        <v>0</v>
      </c>
      <c r="Z306" s="922">
        <f>SUMIF(Meal_entry_week_2!G$255:G$279,"Voća_orasi_sušeno_voće",Meal_entry_week_2!T$255:T$279)</f>
        <v>0</v>
      </c>
      <c r="AA306" s="922">
        <f>SUMIF(Meal_entry_week_2!G$354:G$378,"Voća_orasi_sušeno_voće",Meal_entry_week_2!T$354:T$378)</f>
        <v>0</v>
      </c>
      <c r="AB306" s="923">
        <f>SUMIF(Meal_entry_week_2!G$453:G$477,"Voća_orasi_sušeno_voće",Meal_entry_week_2!T$453:T$477)</f>
        <v>0</v>
      </c>
      <c r="AC306" s="921">
        <f>SUMIF(Meal_entry_week_2!BM$11:BM$30,"Voća_orasi_sušeno_voće",Meal_entry_week_2!BS$11:BS$30)</f>
        <v>0</v>
      </c>
      <c r="AD306" s="922">
        <f>SUMIF(Meal_entry_week_2!G$188:G$199,"Voća_orasi_sušeno_voće",Meal_entry_week_2!T$188:T$199)</f>
        <v>0</v>
      </c>
      <c r="AE306" s="922">
        <f>SUMIF(Meal_entry_week_2!G$287:G$298,"Voća_orasi_sušeno_voće",Meal_entry_week_2!T$287:T$298)</f>
        <v>0</v>
      </c>
      <c r="AF306" s="922">
        <f>SUMIF(Meal_entry_week_2!G$386:G$397,"Voća_orasi_sušeno_voće",Meal_entry_week_2!T$386:T$397)</f>
        <v>0</v>
      </c>
      <c r="AG306" s="923">
        <f>SUMIF(Meal_entry_week_2!G$485:G$496,"Voća_orasi_sušeno_voće",Meal_entry_week_2!T$485:T$496)</f>
        <v>0</v>
      </c>
    </row>
    <row r="307" spans="1:33">
      <c r="A307" s="902"/>
      <c r="B307" s="947" t="s">
        <v>3073</v>
      </c>
      <c r="C307" s="913"/>
      <c r="D307" s="948">
        <f t="shared" si="29"/>
        <v>11.440000000000001</v>
      </c>
      <c r="E307" s="955">
        <f t="shared" si="30"/>
        <v>0</v>
      </c>
      <c r="F307" s="955">
        <f t="shared" si="31"/>
        <v>0</v>
      </c>
      <c r="G307" s="955">
        <f t="shared" si="32"/>
        <v>11.440000000000001</v>
      </c>
      <c r="H307" s="972">
        <f t="shared" si="33"/>
        <v>0</v>
      </c>
      <c r="I307" s="921">
        <f t="shared" si="34"/>
        <v>17.600000000000001</v>
      </c>
      <c r="J307" s="922">
        <f t="shared" si="34"/>
        <v>0</v>
      </c>
      <c r="K307" s="922">
        <f t="shared" si="28"/>
        <v>0</v>
      </c>
      <c r="L307" s="922">
        <f t="shared" si="28"/>
        <v>17.600000000000001</v>
      </c>
      <c r="M307" s="923">
        <f t="shared" si="28"/>
        <v>22</v>
      </c>
      <c r="N307" s="921">
        <f>SUMIF(Meal_entry_week_2!G$11:G$30,"Meat_fresh_frozen",Meal_entry_week_2!T$11:T$30)</f>
        <v>0</v>
      </c>
      <c r="O307" s="922">
        <f>SUMIF(Meal_entry_week_2!G$110:G$129,"Meat_fresh_frozen",Meal_entry_week_2!T$110:T$129)</f>
        <v>0</v>
      </c>
      <c r="P307" s="922">
        <f>SUMIF(Meal_entry_week_2!G$209:G$228,"Meat_fresh_frozen",Meal_entry_week_2!T$209:T$228)</f>
        <v>0</v>
      </c>
      <c r="Q307" s="922">
        <f>SUMIF(Meal_entry_week_2!G$308:G$327,"Meat_fresh_frozen",Meal_entry_week_2!T$308:T$327)</f>
        <v>0</v>
      </c>
      <c r="R307" s="923">
        <f>SUMIF(Meal_entry_week_2!G$407:G$426,"Meat_fresh_frozen",Meal_entry_week_2!T$407:T$426)</f>
        <v>0</v>
      </c>
      <c r="S307" s="921">
        <f>SUMIF(Meal_entry_week_2!G$38:G$49,"Meat_fresh_frozen",Meal_entry_week_2!T$38:T$49)</f>
        <v>0</v>
      </c>
      <c r="T307" s="922">
        <f>SUMIF(Meal_entry_week_2!G$137:G$148,"Meat_fresh_frozen",Meal_entry_week_2!T$137:T$148)</f>
        <v>0</v>
      </c>
      <c r="U307" s="922">
        <f>SUMIF(Meal_entry_week_2!G$236:G$247,"Meat_fresh_frozen",Meal_entry_week_2!T$236:T$247)</f>
        <v>0</v>
      </c>
      <c r="V307" s="922">
        <f>SUMIF(Meal_entry_week_2!G$335:G$346,"Meat_fresh_frozen",Meal_entry_week_2!T$335:T$346)</f>
        <v>0</v>
      </c>
      <c r="W307" s="923">
        <f>SUMIF(Meal_entry_week_2!G$434:G$445,"Meat_fresh_frozen",Meal_entry_week_2!T$434:T$445)</f>
        <v>0</v>
      </c>
      <c r="X307" s="921">
        <f>SUMIF(Meal_entry_week_2!G$57:G$81,"Meat_fresh_frozen",Meal_entry_week_2!T$57:T$81)</f>
        <v>17.600000000000001</v>
      </c>
      <c r="Y307" s="922">
        <f>SUMIF(Meal_entry_week_2!G$156:G$180,"Meat_fresh_frozen",Meal_entry_week_2!T$156:T$180)</f>
        <v>0</v>
      </c>
      <c r="Z307" s="922">
        <f>SUMIF(Meal_entry_week_2!G$255:G$279,"Meat_fresh_frozen",Meal_entry_week_2!T$255:T$279)</f>
        <v>0</v>
      </c>
      <c r="AA307" s="922">
        <f>SUMIF(Meal_entry_week_2!G$354:G$378,"Meat_fresh_frozen",Meal_entry_week_2!T$354:T$378)</f>
        <v>17.600000000000001</v>
      </c>
      <c r="AB307" s="923">
        <f>SUMIF(Meal_entry_week_2!G$453:G$477,"Meat_fresh_frozen",Meal_entry_week_2!T$453:T$477)</f>
        <v>22</v>
      </c>
      <c r="AC307" s="921">
        <f>SUMIF(Meal_entry_week_2!BM$11:BM$30,"Meat_fresh_frozen",Meal_entry_week_2!BS$11:BS$30)</f>
        <v>0</v>
      </c>
      <c r="AD307" s="922">
        <f>SUMIF(Meal_entry_week_2!G$188:G$199,"Meat_fresh_frozen",Meal_entry_week_2!T$188:T$199)</f>
        <v>0</v>
      </c>
      <c r="AE307" s="922">
        <f>SUMIF(Meal_entry_week_2!G$287:G$298,"Meat_fresh_frozen",Meal_entry_week_2!T$287:T$298)</f>
        <v>0</v>
      </c>
      <c r="AF307" s="922">
        <f>SUMIF(Meal_entry_week_2!G$386:G$397,"Meat_fresh_frozen",Meal_entry_week_2!T$386:T$397)</f>
        <v>0</v>
      </c>
      <c r="AG307" s="923">
        <f>SUMIF(Meal_entry_week_2!G$485:G$496,"Meat_fresh_frozen",Meal_entry_week_2!T$485:T$496)</f>
        <v>0</v>
      </c>
    </row>
    <row r="308" spans="1:33">
      <c r="A308" s="911"/>
      <c r="B308" s="947" t="s">
        <v>3070</v>
      </c>
      <c r="C308" s="945"/>
      <c r="D308" s="948">
        <f t="shared" si="29"/>
        <v>3.4320000000000004</v>
      </c>
      <c r="E308" s="955">
        <f t="shared" si="30"/>
        <v>0</v>
      </c>
      <c r="F308" s="955">
        <f t="shared" si="31"/>
        <v>1.2</v>
      </c>
      <c r="G308" s="955">
        <f t="shared" si="32"/>
        <v>2.2320000000000002</v>
      </c>
      <c r="H308" s="972">
        <f t="shared" si="33"/>
        <v>0</v>
      </c>
      <c r="I308" s="921">
        <f t="shared" si="34"/>
        <v>0</v>
      </c>
      <c r="J308" s="922">
        <f t="shared" si="34"/>
        <v>0</v>
      </c>
      <c r="K308" s="922">
        <f t="shared" si="28"/>
        <v>17.16</v>
      </c>
      <c r="L308" s="922">
        <f t="shared" si="28"/>
        <v>0</v>
      </c>
      <c r="M308" s="923">
        <f t="shared" si="28"/>
        <v>0</v>
      </c>
      <c r="N308" s="921">
        <f>SUMIF(Meal_entry_week_2!G$11:G$30,"Meat_processed",Meal_entry_week_2!T$11:T$30)</f>
        <v>0</v>
      </c>
      <c r="O308" s="922">
        <f>SUMIF(Meal_entry_week_2!G$110:G$129,"Meat_processed",Meal_entry_week_2!T$110:T$129)</f>
        <v>0</v>
      </c>
      <c r="P308" s="922">
        <f>SUMIF(Meal_entry_week_2!G$209:G$228,"Meat_processed",Meal_entry_week_2!T$209:T$228)</f>
        <v>0</v>
      </c>
      <c r="Q308" s="922">
        <f>SUMIF(Meal_entry_week_2!G$308:G$327,"Meat_processed",Meal_entry_week_2!T$308:T$327)</f>
        <v>0</v>
      </c>
      <c r="R308" s="923">
        <f>SUMIF(Meal_entry_week_2!G$407:G$426,"Meat_processed",Meal_entry_week_2!T$407:T$426)</f>
        <v>0</v>
      </c>
      <c r="S308" s="921">
        <f>SUMIF(Meal_entry_week_2!G$38:G$49,"Meat_processed",Meal_entry_week_2!T$38:T$49)</f>
        <v>0</v>
      </c>
      <c r="T308" s="922">
        <f>SUMIF(Meal_entry_week_2!G$137:G$148,"Meat_processed",Meal_entry_week_2!T$137:T$148)</f>
        <v>0</v>
      </c>
      <c r="U308" s="922">
        <f>SUMIF(Meal_entry_week_2!G$236:G$247,"Meat_processed",Meal_entry_week_2!T$236:T$247)</f>
        <v>6</v>
      </c>
      <c r="V308" s="922">
        <f>SUMIF(Meal_entry_week_2!G$335:G$346,"Meat_processed",Meal_entry_week_2!T$335:T$346)</f>
        <v>0</v>
      </c>
      <c r="W308" s="923">
        <f>SUMIF(Meal_entry_week_2!G$434:G$445,"Meat_processed",Meal_entry_week_2!T$434:T$445)</f>
        <v>0</v>
      </c>
      <c r="X308" s="921">
        <f>SUMIF(Meal_entry_week_2!G$57:G$81,"Meat_processed",Meal_entry_week_2!T$57:T$81)</f>
        <v>0</v>
      </c>
      <c r="Y308" s="922">
        <f>SUMIF(Meal_entry_week_2!G$156:G$180,"Meat_processed",Meal_entry_week_2!T$156:T$180)</f>
        <v>0</v>
      </c>
      <c r="Z308" s="922">
        <f>SUMIF(Meal_entry_week_2!G$255:G$279,"Meat_processed",Meal_entry_week_2!T$255:T$279)</f>
        <v>11.16</v>
      </c>
      <c r="AA308" s="922">
        <f>SUMIF(Meal_entry_week_2!G$354:G$378,"Meat_processed",Meal_entry_week_2!T$354:T$378)</f>
        <v>0</v>
      </c>
      <c r="AB308" s="923">
        <f>SUMIF(Meal_entry_week_2!G$453:G$477,"Meat_processed",Meal_entry_week_2!T$453:T$477)</f>
        <v>0</v>
      </c>
      <c r="AC308" s="921">
        <f>SUMIF(Meal_entry_week_2!BM$11:BM$30,"Meat_processed",Meal_entry_week_2!BS$11:BS$30)</f>
        <v>0</v>
      </c>
      <c r="AD308" s="922">
        <f>SUMIF(Meal_entry_week_2!G$188:G$199,"Meat_processed",Meal_entry_week_2!T$188:T$199)</f>
        <v>0</v>
      </c>
      <c r="AE308" s="922">
        <f>SUMIF(Meal_entry_week_2!G$287:G$298,"Meat_processed",Meal_entry_week_2!T$287:T$298)</f>
        <v>0</v>
      </c>
      <c r="AF308" s="922">
        <f>SUMIF(Meal_entry_week_2!G$386:G$397,"Meat_processed",Meal_entry_week_2!T$386:T$397)</f>
        <v>0</v>
      </c>
      <c r="AG308" s="923">
        <f>SUMIF(Meal_entry_week_2!G$485:G$496,"Meat_processed",Meal_entry_week_2!T$485:T$496)</f>
        <v>0</v>
      </c>
    </row>
    <row r="309" spans="1:33">
      <c r="A309" s="911"/>
      <c r="B309" s="947" t="s">
        <v>3575</v>
      </c>
      <c r="C309" s="945"/>
      <c r="D309" s="948">
        <f t="shared" si="29"/>
        <v>0</v>
      </c>
      <c r="E309" s="955">
        <f t="shared" si="30"/>
        <v>0</v>
      </c>
      <c r="F309" s="955">
        <f t="shared" si="31"/>
        <v>0</v>
      </c>
      <c r="G309" s="955">
        <f t="shared" si="32"/>
        <v>0</v>
      </c>
      <c r="H309" s="972">
        <f t="shared" si="33"/>
        <v>0</v>
      </c>
      <c r="I309" s="921">
        <f t="shared" si="34"/>
        <v>0</v>
      </c>
      <c r="J309" s="922">
        <f t="shared" si="34"/>
        <v>0</v>
      </c>
      <c r="K309" s="922">
        <f t="shared" si="28"/>
        <v>0</v>
      </c>
      <c r="L309" s="922">
        <f t="shared" si="28"/>
        <v>0</v>
      </c>
      <c r="M309" s="923">
        <f t="shared" si="28"/>
        <v>0</v>
      </c>
      <c r="N309" s="921">
        <f>SUMIF(Meal_entry_week_2!G$11:G$30,"Riba_sveže_smrznuta",Meal_entry_week_2!T$11:T$30)+SUMIF(Meal_entry_week_2!G$11:G$30,"Riba_prerađena_konzervirana",Meal_entry_week_2!T$11:T$30)</f>
        <v>0</v>
      </c>
      <c r="O309" s="922">
        <f>SUMIF(Meal_entry_week_2!G$110:G$129,"Riba_sveže_smrznuta",Meal_entry_week_2!T$110:T$129)+SUMIF(Meal_entry_week_2!G$110:G$129,"Riba_prerađena_konzervirana",Meal_entry_week_2!T$110:T$129)</f>
        <v>0</v>
      </c>
      <c r="P309" s="922">
        <f>SUMIF(Meal_entry_week_2!G$209:G$228,"Riba_sveže_smrznuta",Meal_entry_week_2!T$209:T$228)+SUMIF(Meal_entry_week_2!G$209:G$228,"Riba_prerađena_konzervirana",Meal_entry_week_2!T$209:T$228)</f>
        <v>0</v>
      </c>
      <c r="Q309" s="922">
        <f>SUMIF(Meal_entry_week_2!G$308:G$327,"Riba_sveže_smrznuta",Meal_entry_week_2!T$308:T$327)+SUMIF(Meal_entry_week_2!G$308:G$327,"Riba_prerađena_konzervirana",Meal_entry_week_2!T$308:T$327)</f>
        <v>0</v>
      </c>
      <c r="R309" s="923">
        <f>SUMIF(Meal_entry_week_2!G$407:G$426,"Riba_sveže_smrznuta",Meal_entry_week_2!T$407:T$426)+SUMIF(Meal_entry_week_2!G$407:G$426,"Riba_prerađena_konzervirana",Meal_entry_week_2!T$407:T$426)</f>
        <v>0</v>
      </c>
      <c r="S309" s="921">
        <f>SUMIF(Meal_entry_week_2!G$38:G$49,"Riba_sveže_smrznuta",Meal_entry_week_2!T$38:T$49)+SUMIF(Meal_entry_week_2!G$38:G$49,"Riba_prerađena_konzervirana",Meal_entry_week_2!T$38:T$49)</f>
        <v>0</v>
      </c>
      <c r="T309" s="922">
        <f>SUMIF(Meal_entry_week_2!G$137:G$148,"Riba_sveže_smrznuta",Meal_entry_week_2!T$137:T$148)+SUMIF(Meal_entry_week_2!G$137:G$148,"Riba_prerađena_konzervirana",Meal_entry_week_2!T$137:T$148)</f>
        <v>0</v>
      </c>
      <c r="U309" s="922">
        <f>SUMIF(Meal_entry_week_2!G$236:G$247,"Riba_sveže_smrznuta",Meal_entry_week_2!T$236:T$247)+SUMIF(Meal_entry_week_2!G$236:G$247,"Riba_prerađena_konzervirana",Meal_entry_week_2!T$236:T$247)</f>
        <v>0</v>
      </c>
      <c r="V309" s="922">
        <f>SUMIF(Meal_entry_week_2!G$335:G$346,"Riba_sveže_smrznuta",Meal_entry_week_2!T$335:T$346)+SUMIF(Meal_entry_week_2!G$335:G$346,"Riba_prerađena_konzervirana",Meal_entry_week_2!T$335:T$346)</f>
        <v>0</v>
      </c>
      <c r="W309" s="923">
        <f>SUMIF(Meal_entry_week_2!G$434:G$445,"Riba_sveže_smrznuta",Meal_entry_week_2!T$434:T$445)+SUMIF(Meal_entry_week_2!G$434:G$445,"Riba_prerađena_konzervirana",Meal_entry_week_2!T$434:T$445)</f>
        <v>0</v>
      </c>
      <c r="X309" s="921">
        <f>SUMIF(Meal_entry_week_2!G$57:G$81,"Riba_sveže_smrznuta",Meal_entry_week_2!T$57:T$81)+SUMIF(Meal_entry_week_2!G$57:G$81,"Riba_prerađena_konzervirana",Meal_entry_week_2!T$57:T$81)</f>
        <v>0</v>
      </c>
      <c r="Y309" s="922">
        <f>SUMIF(Meal_entry_week_2!G$156:G$180,"Riba_sveže_smrznuta",Meal_entry_week_2!T$156:T$180)+SUMIF(Meal_entry_week_2!G$156:G$180,"Riba_prerađena_konzervirana",Meal_entry_week_2!T$156:T$180)</f>
        <v>0</v>
      </c>
      <c r="Z309" s="922">
        <f>SUMIF(Meal_entry_week_2!G$255:G$279,"Riba_sveže_smrznuta",Meal_entry_week_2!T$255:T$279)+SUMIF(Meal_entry_week_2!G$255:G$279,"Riba_prerađena_konzervirana",Meal_entry_week_2!T$255:T$279)</f>
        <v>0</v>
      </c>
      <c r="AA309" s="922">
        <f>SUMIF(Meal_entry_week_2!G$354:G$378,"Riba_sveže_smrznuta",Meal_entry_week_2!T$354:T$378)+SUMIF(Meal_entry_week_2!G$354:G$378,"Riba_prerađena_konzervirana",Meal_entry_week_2!T$354:T$378)</f>
        <v>0</v>
      </c>
      <c r="AB309" s="923">
        <f>SUMIF(Meal_entry_week_2!G$453:G$477,"Riba_sveže_smrznuta",Meal_entry_week_2!T$453:T$477)+SUMIF(Meal_entry_week_2!G$453:G$477,"Riba_prerađena_konzervirana",Meal_entry_week_2!T$453:T$477)</f>
        <v>0</v>
      </c>
      <c r="AC309" s="921">
        <f>SUMIF(Meal_entry_week_2!BM$11:BM$30,"Riba_sveže_smrznuta",Meal_entry_week_2!BS$11:BS$30)+SUMIF(Meal_entry_week_2!BM$11:BM$30,"Riba_prerađena_konzervirana",Meal_entry_week_2!BS$11:BS$30)</f>
        <v>0</v>
      </c>
      <c r="AD309" s="922">
        <f>SUMIF(Meal_entry_week_2!G$188:G$199,"Riba_sveže_smrznuta",Meal_entry_week_2!T$188:T$199)+SUMIF(Meal_entry_week_2!G$188:G$199,"Riba_prerađena_konzervirana",Meal_entry_week_2!T$188:T$199)</f>
        <v>0</v>
      </c>
      <c r="AE309" s="922">
        <f>SUMIF(Meal_entry_week_2!G$287:G$298,"Riba_sveže_smrznuta",Meal_entry_week_2!T$287:T$298)+SUMIF(Meal_entry_week_2!G$287:G$298,"Riba_prerađena_konzervirana",Meal_entry_week_2!T$287:T$298)</f>
        <v>0</v>
      </c>
      <c r="AF309" s="922">
        <f>SUMIF(Meal_entry_week_2!G$386:G$397,"Riba_sveže_smrznuta",Meal_entry_week_2!T$386:T$397)+SUMIF(Meal_entry_week_2!G$386:G$397,"Riba_prerađena_konzervirana",Meal_entry_week_2!T$386:T$397)</f>
        <v>0</v>
      </c>
      <c r="AG309" s="923">
        <f>SUMIF(Meal_entry_week_2!G$485:G$496,"Riba_sveže_smrznuta",Meal_entry_week_2!T$485:T$496)+SUMIF(Meal_entry_week_2!G$485:G$496,"Riba_prerađena_konzervirana",Meal_entry_week_2!T$485:T$496)</f>
        <v>0</v>
      </c>
    </row>
    <row r="310" spans="1:33">
      <c r="A310" s="911"/>
      <c r="B310" s="947" t="s">
        <v>3072</v>
      </c>
      <c r="C310" s="945"/>
      <c r="D310" s="948">
        <f t="shared" si="29"/>
        <v>2.7610000000000006</v>
      </c>
      <c r="E310" s="955">
        <f t="shared" si="30"/>
        <v>0</v>
      </c>
      <c r="F310" s="955">
        <f t="shared" si="31"/>
        <v>0.37766666666666671</v>
      </c>
      <c r="G310" s="955">
        <f t="shared" si="32"/>
        <v>2.3833333333333337</v>
      </c>
      <c r="H310" s="972">
        <f t="shared" si="33"/>
        <v>0</v>
      </c>
      <c r="I310" s="921">
        <f t="shared" si="34"/>
        <v>5.1333333333333337</v>
      </c>
      <c r="J310" s="922">
        <f t="shared" si="34"/>
        <v>0</v>
      </c>
      <c r="K310" s="922">
        <f t="shared" si="28"/>
        <v>0.91666666666666674</v>
      </c>
      <c r="L310" s="922">
        <f t="shared" si="28"/>
        <v>3.666666666666667</v>
      </c>
      <c r="M310" s="923">
        <f t="shared" si="28"/>
        <v>4.0883333333333338</v>
      </c>
      <c r="N310" s="921">
        <f>SUMIF(Meal_entry_week_2!G$11:G$30,"Eggs",Meal_entry_week_2!T$11:T$30)</f>
        <v>0</v>
      </c>
      <c r="O310" s="922">
        <f>SUMIF(Meal_entry_week_2!G$110:G$129,"Eggs",Meal_entry_week_2!T$110:T$129)</f>
        <v>0</v>
      </c>
      <c r="P310" s="922">
        <f>SUMIF(Meal_entry_week_2!G$209:G$228,"Eggs",Meal_entry_week_2!T$209:T$228)</f>
        <v>0</v>
      </c>
      <c r="Q310" s="922">
        <f>SUMIF(Meal_entry_week_2!G$308:G$327,"Eggs",Meal_entry_week_2!T$308:T$327)</f>
        <v>0</v>
      </c>
      <c r="R310" s="923">
        <f>SUMIF(Meal_entry_week_2!G$407:G$426,"Eggs",Meal_entry_week_2!T$407:T$426)</f>
        <v>0</v>
      </c>
      <c r="S310" s="921">
        <f>SUMIF(Meal_entry_week_2!G$38:G$49,"Eggs",Meal_entry_week_2!T$38:T$49)</f>
        <v>1.4666666666666668</v>
      </c>
      <c r="T310" s="922">
        <f>SUMIF(Meal_entry_week_2!G$137:G$148,"Eggs",Meal_entry_week_2!T$137:T$148)</f>
        <v>0</v>
      </c>
      <c r="U310" s="922">
        <f>SUMIF(Meal_entry_week_2!G$236:G$247,"Eggs",Meal_entry_week_2!T$236:T$247)</f>
        <v>0</v>
      </c>
      <c r="V310" s="922">
        <f>SUMIF(Meal_entry_week_2!G$335:G$346,"Eggs",Meal_entry_week_2!T$335:T$346)</f>
        <v>0</v>
      </c>
      <c r="W310" s="923">
        <f>SUMIF(Meal_entry_week_2!G$434:G$445,"Eggs",Meal_entry_week_2!T$434:T$445)</f>
        <v>0.42166666666666663</v>
      </c>
      <c r="X310" s="921">
        <f>SUMIF(Meal_entry_week_2!G$57:G$81,"Eggs",Meal_entry_week_2!T$57:T$81)</f>
        <v>3.666666666666667</v>
      </c>
      <c r="Y310" s="922">
        <f>SUMIF(Meal_entry_week_2!G$156:G$180,"Eggs",Meal_entry_week_2!T$156:T$180)</f>
        <v>0</v>
      </c>
      <c r="Z310" s="922">
        <f>SUMIF(Meal_entry_week_2!G$255:G$279,"Eggs",Meal_entry_week_2!T$255:T$279)</f>
        <v>0.91666666666666674</v>
      </c>
      <c r="AA310" s="922">
        <f>SUMIF(Meal_entry_week_2!G$354:G$378,"Eggs",Meal_entry_week_2!T$354:T$378)</f>
        <v>3.666666666666667</v>
      </c>
      <c r="AB310" s="923">
        <f>SUMIF(Meal_entry_week_2!G$453:G$477,"Eggs",Meal_entry_week_2!T$453:T$477)</f>
        <v>3.666666666666667</v>
      </c>
      <c r="AC310" s="921">
        <f>SUMIF(Meal_entry_week_2!BM$11:BM$30,"Eggs",Meal_entry_week_2!BS$11:BS$30)</f>
        <v>0</v>
      </c>
      <c r="AD310" s="922">
        <f>SUMIF(Meal_entry_week_2!G$188:G$199,"Eggs",Meal_entry_week_2!T$188:T$199)</f>
        <v>0</v>
      </c>
      <c r="AE310" s="922">
        <f>SUMIF(Meal_entry_week_2!G$287:G$298,"Eggs",Meal_entry_week_2!T$287:T$298)</f>
        <v>0</v>
      </c>
      <c r="AF310" s="922">
        <f>SUMIF(Meal_entry_week_2!G$386:G$397,"Eggs",Meal_entry_week_2!T$386:T$397)</f>
        <v>0</v>
      </c>
      <c r="AG310" s="923">
        <f>SUMIF(Meal_entry_week_2!G$485:G$496,"Eggs",Meal_entry_week_2!T$485:T$496)</f>
        <v>0</v>
      </c>
    </row>
    <row r="311" spans="1:33">
      <c r="A311" s="911"/>
      <c r="B311" s="947" t="s">
        <v>3085</v>
      </c>
      <c r="C311" s="945"/>
      <c r="D311" s="948">
        <f t="shared" si="29"/>
        <v>15.309746666666666</v>
      </c>
      <c r="E311" s="955">
        <f t="shared" si="30"/>
        <v>0</v>
      </c>
      <c r="F311" s="955">
        <f t="shared" si="31"/>
        <v>9.6754666666666669</v>
      </c>
      <c r="G311" s="955">
        <f t="shared" si="32"/>
        <v>5.6342799999999995</v>
      </c>
      <c r="H311" s="972">
        <f t="shared" si="33"/>
        <v>0</v>
      </c>
      <c r="I311" s="921">
        <f t="shared" si="34"/>
        <v>14.671533333333333</v>
      </c>
      <c r="J311" s="922">
        <f t="shared" si="34"/>
        <v>20.83</v>
      </c>
      <c r="K311" s="922">
        <f t="shared" si="28"/>
        <v>12.1304</v>
      </c>
      <c r="L311" s="922">
        <f t="shared" si="28"/>
        <v>18.106000000000002</v>
      </c>
      <c r="M311" s="923">
        <f t="shared" si="28"/>
        <v>10.8108</v>
      </c>
      <c r="N311" s="921">
        <f>SUMIF(Meal_entry_week_2!G$11:G$30,"Dairy_products",Meal_entry_week_2!T$11:T$30)</f>
        <v>0</v>
      </c>
      <c r="O311" s="922">
        <f>SUMIF(Meal_entry_week_2!G$110:G$129,"Dairy_products",Meal_entry_week_2!T$110:T$129)</f>
        <v>0</v>
      </c>
      <c r="P311" s="922">
        <f>SUMIF(Meal_entry_week_2!G$209:G$228,"Dairy_products",Meal_entry_week_2!T$209:T$228)</f>
        <v>0</v>
      </c>
      <c r="Q311" s="922">
        <f>SUMIF(Meal_entry_week_2!G$308:G$327,"Dairy_products",Meal_entry_week_2!T$308:T$327)</f>
        <v>0</v>
      </c>
      <c r="R311" s="923">
        <f>SUMIF(Meal_entry_week_2!G$407:G$426,"Dairy_products",Meal_entry_week_2!T$407:T$426)</f>
        <v>0</v>
      </c>
      <c r="S311" s="921">
        <f>SUMIF(Meal_entry_week_2!G$38:G$49,"Dairy_products",Meal_entry_week_2!T$38:T$49)</f>
        <v>10.106533333333331</v>
      </c>
      <c r="T311" s="922">
        <f>SUMIF(Meal_entry_week_2!G$137:G$148,"Dairy_products",Meal_entry_week_2!T$137:T$148)</f>
        <v>9.1300000000000008</v>
      </c>
      <c r="U311" s="922">
        <f>SUMIF(Meal_entry_week_2!G$236:G$247,"Dairy_products",Meal_entry_week_2!T$236:T$247)</f>
        <v>11.4</v>
      </c>
      <c r="V311" s="922">
        <f>SUMIF(Meal_entry_week_2!G$335:G$346,"Dairy_products",Meal_entry_week_2!T$335:T$346)</f>
        <v>16.28</v>
      </c>
      <c r="W311" s="923">
        <f>SUMIF(Meal_entry_week_2!G$434:G$445,"Dairy_products",Meal_entry_week_2!T$434:T$445)</f>
        <v>1.4607999999999999</v>
      </c>
      <c r="X311" s="921">
        <f>SUMIF(Meal_entry_week_2!G$57:G$81,"Dairy_products",Meal_entry_week_2!T$57:T$81)</f>
        <v>4.5650000000000004</v>
      </c>
      <c r="Y311" s="922">
        <f>SUMIF(Meal_entry_week_2!G$156:G$180,"Dairy_products",Meal_entry_week_2!T$156:T$180)</f>
        <v>11.7</v>
      </c>
      <c r="Z311" s="922">
        <f>SUMIF(Meal_entry_week_2!G$255:G$279,"Dairy_products",Meal_entry_week_2!T$255:T$279)</f>
        <v>0.73039999999999994</v>
      </c>
      <c r="AA311" s="922">
        <f>SUMIF(Meal_entry_week_2!G$354:G$378,"Dairy_products",Meal_entry_week_2!T$354:T$378)</f>
        <v>1.8260000000000001</v>
      </c>
      <c r="AB311" s="923">
        <f>SUMIF(Meal_entry_week_2!G$453:G$477,"Dairy_products",Meal_entry_week_2!T$453:T$477)</f>
        <v>9.35</v>
      </c>
      <c r="AC311" s="921">
        <f>SUMIF(Meal_entry_week_2!BM$11:BM$30,"Dairy_products",Meal_entry_week_2!BS$11:BS$30)</f>
        <v>0</v>
      </c>
      <c r="AD311" s="922">
        <f>SUMIF(Meal_entry_week_2!G$188:G$199,"Dairy_products",Meal_entry_week_2!T$188:T$199)</f>
        <v>0</v>
      </c>
      <c r="AE311" s="922">
        <f>SUMIF(Meal_entry_week_2!G$287:G$298,"Dairy_products",Meal_entry_week_2!T$287:T$298)</f>
        <v>0</v>
      </c>
      <c r="AF311" s="922">
        <f>SUMIF(Meal_entry_week_2!G$386:G$397,"Dairy_products",Meal_entry_week_2!T$386:T$397)</f>
        <v>0</v>
      </c>
      <c r="AG311" s="923">
        <f>SUMIF(Meal_entry_week_2!G$485:G$496,"Dairy_products",Meal_entry_week_2!T$485:T$496)</f>
        <v>0</v>
      </c>
    </row>
    <row r="312" spans="1:33">
      <c r="A312" s="911"/>
      <c r="B312" s="947" t="s">
        <v>3075</v>
      </c>
      <c r="C312" s="945"/>
      <c r="D312" s="948">
        <f t="shared" si="29"/>
        <v>4.4509600000000002</v>
      </c>
      <c r="E312" s="955">
        <f t="shared" si="30"/>
        <v>0</v>
      </c>
      <c r="F312" s="955">
        <f t="shared" si="31"/>
        <v>1.1374</v>
      </c>
      <c r="G312" s="955">
        <f t="shared" si="32"/>
        <v>3.3135599999999998</v>
      </c>
      <c r="H312" s="972">
        <f t="shared" si="33"/>
        <v>0</v>
      </c>
      <c r="I312" s="921">
        <f t="shared" si="34"/>
        <v>10.542</v>
      </c>
      <c r="J312" s="922">
        <f t="shared" si="34"/>
        <v>0.60499999999999998</v>
      </c>
      <c r="K312" s="922">
        <f t="shared" si="28"/>
        <v>2.3957999999999999</v>
      </c>
      <c r="L312" s="922">
        <f t="shared" si="28"/>
        <v>2.9039999999999999</v>
      </c>
      <c r="M312" s="923">
        <f t="shared" si="28"/>
        <v>5.8079999999999998</v>
      </c>
      <c r="N312" s="921">
        <f>SUMIF(Meal_entry_week_2!G$11:G$30,"Oil_butter_margarine",Meal_entry_week_2!T$11:T$30)</f>
        <v>0</v>
      </c>
      <c r="O312" s="922">
        <f>SUMIF(Meal_entry_week_2!G$110:G$129,"Oil_butter_margarine",Meal_entry_week_2!T$110:T$129)</f>
        <v>0</v>
      </c>
      <c r="P312" s="922">
        <f>SUMIF(Meal_entry_week_2!G$209:G$228,"Oil_butter_margarine",Meal_entry_week_2!T$209:T$228)</f>
        <v>0</v>
      </c>
      <c r="Q312" s="922">
        <f>SUMIF(Meal_entry_week_2!G$308:G$327,"Oil_butter_margarine",Meal_entry_week_2!T$308:T$327)</f>
        <v>0</v>
      </c>
      <c r="R312" s="923">
        <f>SUMIF(Meal_entry_week_2!G$407:G$426,"Oil_butter_margarine",Meal_entry_week_2!T$407:T$426)</f>
        <v>0</v>
      </c>
      <c r="S312" s="921">
        <f>SUMIF(Meal_entry_week_2!G$38:G$49,"Oil_butter_margarine",Meal_entry_week_2!T$38:T$49)</f>
        <v>1.9359999999999999</v>
      </c>
      <c r="T312" s="922">
        <f>SUMIF(Meal_entry_week_2!G$137:G$148,"Oil_butter_margarine",Meal_entry_week_2!T$137:T$148)</f>
        <v>0</v>
      </c>
      <c r="U312" s="922">
        <f>SUMIF(Meal_entry_week_2!G$236:G$247,"Oil_butter_margarine",Meal_entry_week_2!T$236:T$247)</f>
        <v>0</v>
      </c>
      <c r="V312" s="922">
        <f>SUMIF(Meal_entry_week_2!G$335:G$346,"Oil_butter_margarine",Meal_entry_week_2!T$335:T$346)</f>
        <v>0</v>
      </c>
      <c r="W312" s="923">
        <f>SUMIF(Meal_entry_week_2!G$434:G$445,"Oil_butter_margarine",Meal_entry_week_2!T$434:T$445)</f>
        <v>3.7509999999999999</v>
      </c>
      <c r="X312" s="921">
        <f>SUMIF(Meal_entry_week_2!G$57:G$81,"Oil_butter_margarine",Meal_entry_week_2!T$57:T$81)</f>
        <v>8.6059999999999999</v>
      </c>
      <c r="Y312" s="922">
        <f>SUMIF(Meal_entry_week_2!G$156:G$180,"Oil_butter_margarine",Meal_entry_week_2!T$156:T$180)</f>
        <v>0.60499999999999998</v>
      </c>
      <c r="Z312" s="922">
        <f>SUMIF(Meal_entry_week_2!G$255:G$279,"Oil_butter_margarine",Meal_entry_week_2!T$255:T$279)</f>
        <v>2.3957999999999999</v>
      </c>
      <c r="AA312" s="922">
        <f>SUMIF(Meal_entry_week_2!G$354:G$378,"Oil_butter_margarine",Meal_entry_week_2!T$354:T$378)</f>
        <v>2.9039999999999999</v>
      </c>
      <c r="AB312" s="923">
        <f>SUMIF(Meal_entry_week_2!G$453:G$477,"Oil_butter_margarine",Meal_entry_week_2!T$453:T$477)</f>
        <v>2.0569999999999999</v>
      </c>
      <c r="AC312" s="921">
        <f>SUMIF(Meal_entry_week_2!BM$11:BM$30,"Oil_butter_margarine",Meal_entry_week_2!BS$11:BS$30)</f>
        <v>0</v>
      </c>
      <c r="AD312" s="922">
        <f>SUMIF(Meal_entry_week_2!G$188:G$199,"Oil_butter_margarine",Meal_entry_week_2!T$188:T$199)</f>
        <v>0</v>
      </c>
      <c r="AE312" s="922">
        <f>SUMIF(Meal_entry_week_2!G$287:G$298,"Oil_butter_margarine",Meal_entry_week_2!T$287:T$298)</f>
        <v>0</v>
      </c>
      <c r="AF312" s="922">
        <f>SUMIF(Meal_entry_week_2!G$386:G$397,"Oil_butter_margarine",Meal_entry_week_2!T$386:T$397)</f>
        <v>0</v>
      </c>
      <c r="AG312" s="923">
        <f>SUMIF(Meal_entry_week_2!G$485:G$496,"Oil_butter_margarine",Meal_entry_week_2!T$485:T$496)</f>
        <v>0</v>
      </c>
    </row>
    <row r="313" spans="1:33">
      <c r="A313" s="911"/>
      <c r="B313" s="947" t="s">
        <v>3141</v>
      </c>
      <c r="C313" s="945"/>
      <c r="D313" s="948">
        <f t="shared" si="29"/>
        <v>6.0550199999999998</v>
      </c>
      <c r="E313" s="955">
        <f t="shared" si="30"/>
        <v>0</v>
      </c>
      <c r="F313" s="955">
        <f t="shared" si="31"/>
        <v>0.58682800000000002</v>
      </c>
      <c r="G313" s="955">
        <f t="shared" si="32"/>
        <v>5.4681920000000002</v>
      </c>
      <c r="H313" s="972">
        <f t="shared" si="33"/>
        <v>0</v>
      </c>
      <c r="I313" s="921">
        <f t="shared" si="34"/>
        <v>1.3387</v>
      </c>
      <c r="J313" s="922">
        <f t="shared" si="34"/>
        <v>20.88</v>
      </c>
      <c r="K313" s="922">
        <f t="shared" si="28"/>
        <v>0.77615999999999996</v>
      </c>
      <c r="L313" s="922">
        <f t="shared" si="28"/>
        <v>0.86239999999999994</v>
      </c>
      <c r="M313" s="923">
        <f t="shared" si="28"/>
        <v>6.41784</v>
      </c>
      <c r="N313" s="921">
        <f>SUMIF(Meal_entry_week_2!G$11:G$30,"Flour_pasta_seeds_cereals",Meal_entry_week_2!T$11:T$30)</f>
        <v>0</v>
      </c>
      <c r="O313" s="922">
        <f>SUMIF(Meal_entry_week_2!G$110:G$129,"Flour_pasta_seeds_cereals",Meal_entry_week_2!T$110:T$129)</f>
        <v>0</v>
      </c>
      <c r="P313" s="922">
        <f>SUMIF(Meal_entry_week_2!G$209:G$228,"Flour_pasta_seeds_cereals",Meal_entry_week_2!T$209:T$228)</f>
        <v>0</v>
      </c>
      <c r="Q313" s="922">
        <f>SUMIF(Meal_entry_week_2!G$308:G$327,"Flour_pasta_seeds_cereals",Meal_entry_week_2!T$308:T$327)</f>
        <v>0</v>
      </c>
      <c r="R313" s="923">
        <f>SUMIF(Meal_entry_week_2!G$407:G$426,"Flour_pasta_seeds_cereals",Meal_entry_week_2!T$407:T$426)</f>
        <v>0</v>
      </c>
      <c r="S313" s="921">
        <f>SUMIF(Meal_entry_week_2!G$38:G$49,"Flour_pasta_seeds_cereals",Meal_entry_week_2!T$38:T$49)</f>
        <v>0.90749999999999997</v>
      </c>
      <c r="T313" s="922">
        <f>SUMIF(Meal_entry_week_2!G$137:G$148,"Flour_pasta_seeds_cereals",Meal_entry_week_2!T$137:T$148)</f>
        <v>0</v>
      </c>
      <c r="U313" s="922">
        <f>SUMIF(Meal_entry_week_2!G$236:G$247,"Flour_pasta_seeds_cereals",Meal_entry_week_2!T$236:T$247)</f>
        <v>0</v>
      </c>
      <c r="V313" s="922">
        <f>SUMIF(Meal_entry_week_2!G$335:G$346,"Flour_pasta_seeds_cereals",Meal_entry_week_2!T$335:T$346)</f>
        <v>0</v>
      </c>
      <c r="W313" s="923">
        <f>SUMIF(Meal_entry_week_2!G$434:G$445,"Flour_pasta_seeds_cereals",Meal_entry_week_2!T$434:T$445)</f>
        <v>2.02664</v>
      </c>
      <c r="X313" s="921">
        <f>SUMIF(Meal_entry_week_2!G$57:G$81,"Flour_pasta_seeds_cereals",Meal_entry_week_2!T$57:T$81)</f>
        <v>0.43119999999999997</v>
      </c>
      <c r="Y313" s="922">
        <f>SUMIF(Meal_entry_week_2!G$156:G$180,"Flour_pasta_seeds_cereals",Meal_entry_week_2!T$156:T$180)</f>
        <v>20.88</v>
      </c>
      <c r="Z313" s="922">
        <f>SUMIF(Meal_entry_week_2!G$255:G$279,"Flour_pasta_seeds_cereals",Meal_entry_week_2!T$255:T$279)</f>
        <v>0.77615999999999996</v>
      </c>
      <c r="AA313" s="922">
        <f>SUMIF(Meal_entry_week_2!G$354:G$378,"Flour_pasta_seeds_cereals",Meal_entry_week_2!T$354:T$378)</f>
        <v>0.86239999999999994</v>
      </c>
      <c r="AB313" s="923">
        <f>SUMIF(Meal_entry_week_2!G$453:G$477,"Flour_pasta_seeds_cereals",Meal_entry_week_2!T$453:T$477)</f>
        <v>4.3911999999999995</v>
      </c>
      <c r="AC313" s="921">
        <f>SUMIF(Meal_entry_week_2!BM$11:BM$30,"Flour_pasta_seeds_cereals",Meal_entry_week_2!BS$11:BS$30)</f>
        <v>0</v>
      </c>
      <c r="AD313" s="922">
        <f>SUMIF(Meal_entry_week_2!G$188:G$199,"Flour_pasta_seeds_cereals",Meal_entry_week_2!T$188:T$199)</f>
        <v>0</v>
      </c>
      <c r="AE313" s="922">
        <f>SUMIF(Meal_entry_week_2!G$287:G$298,"Flour_pasta_seeds_cereals",Meal_entry_week_2!T$287:T$298)</f>
        <v>0</v>
      </c>
      <c r="AF313" s="922">
        <f>SUMIF(Meal_entry_week_2!G$386:G$397,"Flour_pasta_seeds_cereals",Meal_entry_week_2!T$386:T$397)</f>
        <v>0</v>
      </c>
      <c r="AG313" s="923">
        <f>SUMIF(Meal_entry_week_2!G$485:G$496,"Flour_pasta_seeds_cereals",Meal_entry_week_2!T$485:T$496)</f>
        <v>0</v>
      </c>
    </row>
    <row r="314" spans="1:33">
      <c r="A314" s="911"/>
      <c r="B314" s="947" t="s">
        <v>3550</v>
      </c>
      <c r="C314" s="945"/>
      <c r="D314" s="948">
        <f t="shared" si="29"/>
        <v>0</v>
      </c>
      <c r="E314" s="955">
        <f t="shared" si="30"/>
        <v>0</v>
      </c>
      <c r="F314" s="955">
        <f t="shared" si="31"/>
        <v>0</v>
      </c>
      <c r="G314" s="955">
        <f t="shared" si="32"/>
        <v>0</v>
      </c>
      <c r="H314" s="972">
        <f t="shared" si="33"/>
        <v>0</v>
      </c>
      <c r="I314" s="921">
        <f t="shared" si="34"/>
        <v>0</v>
      </c>
      <c r="J314" s="922">
        <f t="shared" si="34"/>
        <v>0</v>
      </c>
      <c r="K314" s="922">
        <f t="shared" si="28"/>
        <v>0</v>
      </c>
      <c r="L314" s="922">
        <f t="shared" si="28"/>
        <v>0</v>
      </c>
      <c r="M314" s="923">
        <f t="shared" si="28"/>
        <v>0</v>
      </c>
      <c r="N314" s="921">
        <f>SUMIF(Meal_entry_week_2!G$11:G$30,"Umaci_pire_prelivi",Meal_entry_week_2!T$11:T$30)+SUMIF(Meal_entry_week_2!G$11:G$30,"Začini",Meal_entry_week_2!T$11:T$30)</f>
        <v>0</v>
      </c>
      <c r="O314" s="922">
        <f>SUMIF(Meal_entry_week_2!G$110:G$129,"Umaci_pire_prelivi",Meal_entry_week_2!T$110:T$129)+SUMIF(Meal_entry_week_2!G$110:G$129,"Začini",Meal_entry_week_2!T$110:T$129)</f>
        <v>0</v>
      </c>
      <c r="P314" s="922">
        <f>SUMIF(Meal_entry_week_2!G$209:G$228,"Umaci_pire_prelivi",Meal_entry_week_2!T$209:T$228)+SUMIF(Meal_entry_week_2!G$209:G$228,"Začini",Meal_entry_week_2!T$209:T$228)</f>
        <v>0</v>
      </c>
      <c r="Q314" s="922">
        <f>SUMIF(Meal_entry_week_2!G$308:G$327,"Umaci_pire_prelivi",Meal_entry_week_2!T$308:T$327)+SUMIF(Meal_entry_week_2!G$308:G$327,"Začini",Meal_entry_week_2!T$308:T$327)</f>
        <v>0</v>
      </c>
      <c r="R314" s="923">
        <f>SUMIF(Meal_entry_week_2!G$407:G$426,"Umaci_pire_prelivi",Meal_entry_week_2!T$407:T$426)+SUMIF(Meal_entry_week_2!G$407:G$426,"Začini",Meal_entry_week_2!T$407:T$426)</f>
        <v>0</v>
      </c>
      <c r="S314" s="921">
        <f>SUMIF(Meal_entry_week_2!G$38:G$49,"Umaci_pire_prelivi",Meal_entry_week_2!T$38:T$49)+SUMIF(Meal_entry_week_2!G$38:G$49,"Začini",Meal_entry_week_2!T$38:T$49)</f>
        <v>0</v>
      </c>
      <c r="T314" s="922">
        <f>SUMIF(Meal_entry_week_2!G$137:G$148,"Umaci_pire_prelivi",Meal_entry_week_2!T$137:T$148)+SUMIF(Meal_entry_week_2!G$137:G$148,"Začini",Meal_entry_week_2!T$137:T$148)</f>
        <v>0</v>
      </c>
      <c r="U314" s="922">
        <f>SUMIF(Meal_entry_week_2!G$236:G$247,"Umaci_pire_prelivi",Meal_entry_week_2!T$236:T$247)+SUMIF(Meal_entry_week_2!G$236:G$247,"Začini",Meal_entry_week_2!T$236:T$247)</f>
        <v>0</v>
      </c>
      <c r="V314" s="922">
        <f>SUMIF(Meal_entry_week_2!G$335:G$346,"Umaci_pire_prelivi",Meal_entry_week_2!T$335:T$346)+SUMIF(Meal_entry_week_2!G$335:G$346,"Začini",Meal_entry_week_2!T$335:T$346)</f>
        <v>0</v>
      </c>
      <c r="W314" s="923">
        <f>SUMIF(Meal_entry_week_2!G$434:G$445,"Umaci_pire_prelivi",Meal_entry_week_2!T$434:T$445)+SUMIF(Meal_entry_week_2!G$434:G$445,"Začini",Meal_entry_week_2!T$434:T$445)</f>
        <v>0</v>
      </c>
      <c r="X314" s="921">
        <f>SUMIF(Meal_entry_week_2!G$57:G$81,"Umaci_pire_prelivi",Meal_entry_week_2!T$57:T$81)+SUMIF(Meal_entry_week_2!G$57:G$81,"Začini",Meal_entry_week_2!T$57:T$81)</f>
        <v>0</v>
      </c>
      <c r="Y314" s="922">
        <f>SUMIF(Meal_entry_week_2!G$156:G$180,"Umaci_pire_prelivi",Meal_entry_week_2!T$156:T$180)+SUMIF(Meal_entry_week_2!G$156:G$180,"Začini",Meal_entry_week_2!T$156:T$180)</f>
        <v>0</v>
      </c>
      <c r="Z314" s="922">
        <f>SUMIF(Meal_entry_week_2!G$255:G$279,"Umaci_pire_prelivi",Meal_entry_week_2!T$255:T$279)+SUMIF(Meal_entry_week_2!G$255:G$279,"Začini",Meal_entry_week_2!T$255:T$279)</f>
        <v>0</v>
      </c>
      <c r="AA314" s="922">
        <f>SUMIF(Meal_entry_week_2!G$354:G$378,"Umaci_pire_prelivi",Meal_entry_week_2!T$354:T$378)+SUMIF(Meal_entry_week_2!G$354:G$378,"Začini",Meal_entry_week_2!T$354:T$378)</f>
        <v>0</v>
      </c>
      <c r="AB314" s="923">
        <f>SUMIF(Meal_entry_week_2!G$453:G$477,"Umaci_pire_prelivi",Meal_entry_week_2!T$453:T$477)+SUMIF(Meal_entry_week_2!G$453:G$477,"Začini",Meal_entry_week_2!T$453:T$477)</f>
        <v>0</v>
      </c>
      <c r="AC314" s="921">
        <f>SUMIF(Meal_entry_week_2!BM$11:BM$30,"Umaci_pire_prelivi",Meal_entry_week_2!BS$11:BS$30)+SUMIF(Meal_entry_week_2!BM$11:BM$30,"Začini",Meal_entry_week_2!BS$11:BS$30)</f>
        <v>0</v>
      </c>
      <c r="AD314" s="922">
        <f>SUMIF(Meal_entry_week_2!G$188:G$199,"Umaci_pire_prelivi",Meal_entry_week_2!T$188:T$199)+SUMIF(Meal_entry_week_2!G$188:G$199,"Začini",Meal_entry_week_2!T$188:T$199)</f>
        <v>0</v>
      </c>
      <c r="AE314" s="922">
        <f>SUMIF(Meal_entry_week_2!G$287:G$298,"Umaci_pire_prelivi",Meal_entry_week_2!T$287:T$298)+SUMIF(Meal_entry_week_2!G$287:G$298,"Začini",Meal_entry_week_2!T$287:T$298)</f>
        <v>0</v>
      </c>
      <c r="AF314" s="922">
        <f>SUMIF(Meal_entry_week_2!G$386:G$397,"Umaci_pire_prelivi",Meal_entry_week_2!T$386:T$397)+SUMIF(Meal_entry_week_2!G$386:G$397,"Začini",Meal_entry_week_2!T$386:T$397)</f>
        <v>0</v>
      </c>
      <c r="AG314" s="923">
        <f>SUMIF(Meal_entry_week_2!G$485:G$496,"Umaci_pire_prelivi",Meal_entry_week_2!T$485:T$496)+SUMIF(Meal_entry_week_2!G$485:G$496,"Začini",Meal_entry_week_2!T$485:T$496)</f>
        <v>0</v>
      </c>
    </row>
    <row r="315" spans="1:33">
      <c r="A315" s="911"/>
      <c r="B315" s="947" t="s">
        <v>3078</v>
      </c>
      <c r="C315" s="945"/>
      <c r="D315" s="948">
        <f t="shared" si="29"/>
        <v>3.8067289411764702</v>
      </c>
      <c r="E315" s="955">
        <f t="shared" si="30"/>
        <v>0</v>
      </c>
      <c r="F315" s="955">
        <f t="shared" si="31"/>
        <v>3.5148769411764702</v>
      </c>
      <c r="G315" s="955">
        <f t="shared" si="32"/>
        <v>0.29185200000000006</v>
      </c>
      <c r="H315" s="972">
        <f t="shared" si="33"/>
        <v>0</v>
      </c>
      <c r="I315" s="921">
        <f t="shared" si="34"/>
        <v>0</v>
      </c>
      <c r="J315" s="922">
        <f t="shared" si="34"/>
        <v>12.96</v>
      </c>
      <c r="K315" s="922">
        <f t="shared" si="28"/>
        <v>1.1215600000000001</v>
      </c>
      <c r="L315" s="922">
        <f t="shared" si="28"/>
        <v>0.33770000000000006</v>
      </c>
      <c r="M315" s="923">
        <f t="shared" si="28"/>
        <v>4.6143847058823528</v>
      </c>
      <c r="N315" s="921">
        <f>SUMIF(Meal_entry_week_2!G$11:G$30,"Sweet_foods_cakes",Meal_entry_week_2!T$11:T$30)</f>
        <v>0</v>
      </c>
      <c r="O315" s="922">
        <f>SUMIF(Meal_entry_week_2!G$110:G$129,"Sweet_foods_cakes",Meal_entry_week_2!T$110:T$129)</f>
        <v>0</v>
      </c>
      <c r="P315" s="922">
        <f>SUMIF(Meal_entry_week_2!G$209:G$228,"Sweet_foods_cakes",Meal_entry_week_2!T$209:T$228)</f>
        <v>0</v>
      </c>
      <c r="Q315" s="922">
        <f>SUMIF(Meal_entry_week_2!G$308:G$327,"Sweet_foods_cakes",Meal_entry_week_2!T$308:T$327)</f>
        <v>0</v>
      </c>
      <c r="R315" s="923">
        <f>SUMIF(Meal_entry_week_2!G$407:G$426,"Sweet_foods_cakes",Meal_entry_week_2!T$407:T$426)</f>
        <v>0</v>
      </c>
      <c r="S315" s="921">
        <f>SUMIF(Meal_entry_week_2!G$38:G$49,"Sweet_foods_cakes",Meal_entry_week_2!T$38:T$49)</f>
        <v>0</v>
      </c>
      <c r="T315" s="922">
        <f>SUMIF(Meal_entry_week_2!G$137:G$148,"Sweet_foods_cakes",Meal_entry_week_2!T$137:T$148)</f>
        <v>12.96</v>
      </c>
      <c r="U315" s="922">
        <f>SUMIF(Meal_entry_week_2!G$236:G$247,"Sweet_foods_cakes",Meal_entry_week_2!T$236:T$247)</f>
        <v>0</v>
      </c>
      <c r="V315" s="922">
        <f>SUMIF(Meal_entry_week_2!G$335:G$346,"Sweet_foods_cakes",Meal_entry_week_2!T$335:T$346)</f>
        <v>0</v>
      </c>
      <c r="W315" s="923">
        <f>SUMIF(Meal_entry_week_2!G$434:G$445,"Sweet_foods_cakes",Meal_entry_week_2!T$434:T$445)</f>
        <v>4.6143847058823528</v>
      </c>
      <c r="X315" s="921">
        <f>SUMIF(Meal_entry_week_2!G$57:G$81,"Sweet_foods_cakes",Meal_entry_week_2!T$57:T$81)</f>
        <v>0</v>
      </c>
      <c r="Y315" s="922">
        <f>SUMIF(Meal_entry_week_2!G$156:G$180,"Sweet_foods_cakes",Meal_entry_week_2!T$156:T$180)</f>
        <v>0</v>
      </c>
      <c r="Z315" s="922">
        <f>SUMIF(Meal_entry_week_2!G$255:G$279,"Sweet_foods_cakes",Meal_entry_week_2!T$255:T$279)</f>
        <v>1.1215600000000001</v>
      </c>
      <c r="AA315" s="922">
        <f>SUMIF(Meal_entry_week_2!G$354:G$378,"Sweet_foods_cakes",Meal_entry_week_2!T$354:T$378)</f>
        <v>0.33770000000000006</v>
      </c>
      <c r="AB315" s="923">
        <f>SUMIF(Meal_entry_week_2!G$453:G$477,"Sweet_foods_cakes",Meal_entry_week_2!T$453:T$477)</f>
        <v>0</v>
      </c>
      <c r="AC315" s="921">
        <f>SUMIF(Meal_entry_week_2!BM$11:BM$30,"Sweet_foods_cakes",Meal_entry_week_2!BS$11:BS$30)</f>
        <v>0</v>
      </c>
      <c r="AD315" s="922">
        <f>SUMIF(Meal_entry_week_2!G$188:G$199,"Sweet_foods_cakes",Meal_entry_week_2!T$188:T$199)</f>
        <v>0</v>
      </c>
      <c r="AE315" s="922">
        <f>SUMIF(Meal_entry_week_2!G$287:G$298,"Sweet_foods_cakes",Meal_entry_week_2!T$287:T$298)</f>
        <v>0</v>
      </c>
      <c r="AF315" s="922">
        <f>SUMIF(Meal_entry_week_2!G$386:G$397,"Sweet_foods_cakes",Meal_entry_week_2!T$386:T$397)</f>
        <v>0</v>
      </c>
      <c r="AG315" s="923">
        <f>SUMIF(Meal_entry_week_2!G$485:G$496,"Sweet_foods_cakes",Meal_entry_week_2!T$485:T$496)</f>
        <v>0</v>
      </c>
    </row>
    <row r="316" spans="1:33">
      <c r="A316" s="911"/>
      <c r="B316" s="947" t="s">
        <v>3551</v>
      </c>
      <c r="C316" s="945"/>
      <c r="D316" s="948">
        <f t="shared" si="29"/>
        <v>0</v>
      </c>
      <c r="E316" s="955">
        <f t="shared" si="30"/>
        <v>0</v>
      </c>
      <c r="F316" s="955">
        <f t="shared" si="31"/>
        <v>0</v>
      </c>
      <c r="G316" s="955">
        <f t="shared" si="32"/>
        <v>0</v>
      </c>
      <c r="H316" s="972">
        <f t="shared" si="33"/>
        <v>0</v>
      </c>
      <c r="I316" s="921">
        <f t="shared" si="34"/>
        <v>0</v>
      </c>
      <c r="J316" s="922">
        <f t="shared" si="34"/>
        <v>0</v>
      </c>
      <c r="K316" s="922">
        <f t="shared" si="28"/>
        <v>0</v>
      </c>
      <c r="L316" s="922">
        <f t="shared" si="28"/>
        <v>0</v>
      </c>
      <c r="M316" s="923">
        <f t="shared" si="28"/>
        <v>0</v>
      </c>
      <c r="N316" s="921">
        <f>SUMIF(Meal_entry_week_2!G$11:G$30,"Hleb_i_peciva",Meal_entry_week_2!T$11:T$30)+SUMIF(Meal_entry_week_2!G$11:G$30,"Slana_peciva",Meal_entry_week_2!T$11:T$30)+SUMIF(Meal_entry_week_2!G$11:G$30,"Slatka_peciva",Meal_entry_week_2!T$11:T$30)</f>
        <v>0</v>
      </c>
      <c r="O316" s="922">
        <f>SUMIF(Meal_entry_week_2!G$110:G$129,"Hleb_i_peciva",Meal_entry_week_2!T$110:T$129)+SUMIF(Meal_entry_week_2!G$110:G$129,"Slana_peciva",Meal_entry_week_2!T$110:T$129)+SUMIF(Meal_entry_week_2!G$110:G$129,"Slatka_peciva",Meal_entry_week_2!T$110:T$129)</f>
        <v>0</v>
      </c>
      <c r="P316" s="922">
        <f>SUMIF(Meal_entry_week_2!G$209:G$228,"Hleb_i_peciva",Meal_entry_week_2!T$209:T$228)+SUMIF(Meal_entry_week_2!G$209:G$228,"Slana_peciva",Meal_entry_week_2!T$209:T$228)+SUMIF(Meal_entry_week_2!G$209:G$228,"Slatka_peciva",Meal_entry_week_2!T$209:T$228)</f>
        <v>0</v>
      </c>
      <c r="Q316" s="922">
        <f>SUMIF(Meal_entry_week_2!G$308:G$327,"Hleb_i_peciva",Meal_entry_week_2!T$308:T$327)+SUMIF(Meal_entry_week_2!G$308:G$327,"Slana_peciva",Meal_entry_week_2!T$308:T$327)+SUMIF(Meal_entry_week_2!G$308:G$327,"Slatka_peciva",Meal_entry_week_2!T$308:T$327)</f>
        <v>0</v>
      </c>
      <c r="R316" s="923">
        <f>SUMIF(Meal_entry_week_2!G$407:G$426,"Hleb_i_peciva",Meal_entry_week_2!T$407:T$426)+SUMIF(Meal_entry_week_2!G$407:G$426,"Slana_peciva",Meal_entry_week_2!T$407:T$426)+SUMIF(Meal_entry_week_2!G$407:G$426,"Slatka_peciva",Meal_entry_week_2!T$407:T$426)</f>
        <v>0</v>
      </c>
      <c r="S316" s="921">
        <f>SUMIF(Meal_entry_week_2!G$38:G$49,"Hleb_i_peciva",Meal_entry_week_2!T$38:T$49)+SUMIF(Meal_entry_week_2!G$38:G$49,"Slana_peciva",Meal_entry_week_2!T$38:T$49)+SUMIF(Meal_entry_week_2!G$38:G$49,"Slatka_peciva",Meal_entry_week_2!T$38:T$49)</f>
        <v>0</v>
      </c>
      <c r="T316" s="922">
        <f>SUMIF(Meal_entry_week_2!G$137:G$148,"Hleb_i_peciva",Meal_entry_week_2!T$137:T$148)+SUMIF(Meal_entry_week_2!G$137:G$148,"Slana_peciva",Meal_entry_week_2!T$137:T$148)+SUMIF(Meal_entry_week_2!G$137:G$148,"Slatka_peciva",Meal_entry_week_2!T$137:T$148)</f>
        <v>0</v>
      </c>
      <c r="U316" s="922">
        <f>SUMIF(Meal_entry_week_2!G$236:G$247,"Hleb_i_peciva",Meal_entry_week_2!T$236:T$247)+SUMIF(Meal_entry_week_2!G$236:G$247,"Slana_peciva",Meal_entry_week_2!T$236:T$247)+SUMIF(Meal_entry_week_2!G$236:G$247,"Slatka_peciva",Meal_entry_week_2!T$236:T$247)</f>
        <v>0</v>
      </c>
      <c r="V316" s="922">
        <f>SUMIF(Meal_entry_week_2!G$335:G$346,"Hleb_i_peciva",Meal_entry_week_2!T$335:T$346)+SUMIF(Meal_entry_week_2!G$335:G$346,"Slana_peciva",Meal_entry_week_2!T$335:T$346)+SUMIF(Meal_entry_week_2!G$335:G$346,"Slatka_peciva",Meal_entry_week_2!T$335:T$346)</f>
        <v>0</v>
      </c>
      <c r="W316" s="923">
        <f>SUMIF(Meal_entry_week_2!G$434:G$445,"Hleb_i_peciva",Meal_entry_week_2!T$434:T$445)+SUMIF(Meal_entry_week_2!G$434:G$445,"Slana_peciva",Meal_entry_week_2!T$434:T$445)+SUMIF(Meal_entry_week_2!G$434:G$445,"Slatka_peciva",Meal_entry_week_2!T$434:T$445)</f>
        <v>0</v>
      </c>
      <c r="X316" s="921">
        <f>SUMIF(Meal_entry_week_2!G$57:G$81,"Hleb_i_peciva",Meal_entry_week_2!T$57:T$81)+SUMIF(Meal_entry_week_2!G$57:G$81,"Slana_peciva",Meal_entry_week_2!T$57:T$81)+SUMIF(Meal_entry_week_2!G$57:G$81,"Slatka_peciva",Meal_entry_week_2!T$57:T$81)</f>
        <v>0</v>
      </c>
      <c r="Y316" s="922">
        <f>SUMIF(Meal_entry_week_2!G$156:G$180,"Hleb_i_peciva",Meal_entry_week_2!T$156:T$180)+SUMIF(Meal_entry_week_2!G$156:G$180,"Slana_peciva",Meal_entry_week_2!T$156:T$180)+SUMIF(Meal_entry_week_2!G$156:G$180,"Slatka_peciva",Meal_entry_week_2!T$156:T$180)</f>
        <v>0</v>
      </c>
      <c r="Z316" s="922">
        <f>SUMIF(Meal_entry_week_2!G$255:G$279,"Hleb_i_peciva",Meal_entry_week_2!T$255:T$279)+SUMIF(Meal_entry_week_2!G$255:G$279,"Slana_peciva",Meal_entry_week_2!T$255:T$279)+SUMIF(Meal_entry_week_2!G$255:G$279,"Slatka_peciva",Meal_entry_week_2!T$255:T$279)</f>
        <v>0</v>
      </c>
      <c r="AA316" s="922">
        <f>SUMIF(Meal_entry_week_2!G$354:G$378,"Hleb_i_peciva",Meal_entry_week_2!T$354:T$378)+SUMIF(Meal_entry_week_2!G$354:G$378,"Slana_peciva",Meal_entry_week_2!T$354:T$378)+SUMIF(Meal_entry_week_2!G$354:G$378,"Slatka_peciva",Meal_entry_week_2!T$354:T$378)</f>
        <v>0</v>
      </c>
      <c r="AB316" s="923">
        <f>SUMIF(Meal_entry_week_2!G$453:G$477,"Hleb_i_peciva",Meal_entry_week_2!T$453:T$477)+SUMIF(Meal_entry_week_2!G$453:G$477,"Slana_peciva",Meal_entry_week_2!T$453:T$477)+SUMIF(Meal_entry_week_2!G$453:G$477,"Slatka_peciva",Meal_entry_week_2!T$453:T$477)</f>
        <v>0</v>
      </c>
      <c r="AC316" s="921">
        <f>SUMIF(Meal_entry_week_2!BM$11:BM$30,"Hleb_i_peciva",Meal_entry_week_2!BS$11:BS$30)+SUMIF(Meal_entry_week_2!BM$11:BM$30,"Slana_peciva",Meal_entry_week_2!BS$11:BS$30)+SUMIF(Meal_entry_week_2!BM$11:BM$30,"Slatka_peciva",Meal_entry_week_2!BS$11:BS$30)</f>
        <v>0</v>
      </c>
      <c r="AD316" s="922">
        <f>SUMIF(Meal_entry_week_2!G$188:G$199,"Hleb_i_peciva",Meal_entry_week_2!T$188:T$199)+SUMIF(Meal_entry_week_2!G$188:G$199,"Slana_peciva",Meal_entry_week_2!T$188:T$199)+SUMIF(Meal_entry_week_2!G$188:G$199,"Slatka_peciva",Meal_entry_week_2!T$188:T$199)</f>
        <v>0</v>
      </c>
      <c r="AE316" s="922">
        <f>SUMIF(Meal_entry_week_2!G$287:G$298,"Hleb_i_peciva",Meal_entry_week_2!T$287:T$298)+SUMIF(Meal_entry_week_2!G$287:G$298,"Slana_peciva",Meal_entry_week_2!T$287:T$298)+SUMIF(Meal_entry_week_2!G$287:G$298,"Slatka_peciva",Meal_entry_week_2!T$287:T$298)</f>
        <v>0</v>
      </c>
      <c r="AF316" s="922">
        <f>SUMIF(Meal_entry_week_2!G$386:G$397,"Hleb_i_peciva",Meal_entry_week_2!T$386:T$397)+SUMIF(Meal_entry_week_2!G$386:G$397,"Slana_peciva",Meal_entry_week_2!T$386:T$397)+SUMIF(Meal_entry_week_2!G$386:G$397,"Slatka_peciva",Meal_entry_week_2!T$386:T$397)</f>
        <v>0</v>
      </c>
      <c r="AG316" s="923">
        <f>SUMIF(Meal_entry_week_2!G$485:G$496,"Hleb_i_peciva",Meal_entry_week_2!T$485:T$496)+SUMIF(Meal_entry_week_2!G$485:G$496,"Slana_peciva",Meal_entry_week_2!T$485:T$496)+SUMIF(Meal_entry_week_2!G$485:G$496,"Slatka_peciva",Meal_entry_week_2!T$485:T$496)</f>
        <v>0</v>
      </c>
    </row>
    <row r="317" spans="1:33">
      <c r="A317" s="911"/>
      <c r="B317" s="947" t="s">
        <v>3082</v>
      </c>
      <c r="C317" s="945"/>
      <c r="D317" s="948">
        <f t="shared" si="29"/>
        <v>0</v>
      </c>
      <c r="E317" s="955">
        <f t="shared" si="30"/>
        <v>0</v>
      </c>
      <c r="F317" s="955">
        <f t="shared" si="31"/>
        <v>0</v>
      </c>
      <c r="G317" s="955">
        <f t="shared" si="32"/>
        <v>0</v>
      </c>
      <c r="H317" s="972">
        <f t="shared" si="33"/>
        <v>0</v>
      </c>
      <c r="I317" s="921">
        <f t="shared" si="34"/>
        <v>0</v>
      </c>
      <c r="J317" s="922">
        <f t="shared" si="34"/>
        <v>0</v>
      </c>
      <c r="K317" s="922">
        <f t="shared" si="28"/>
        <v>0</v>
      </c>
      <c r="L317" s="922">
        <f t="shared" si="28"/>
        <v>0</v>
      </c>
      <c r="M317" s="923">
        <f t="shared" si="28"/>
        <v>0</v>
      </c>
      <c r="N317" s="921">
        <f>SUMIF(Meal_entry_week_2!G$11:G$30,"Other_processed_foods",Meal_entry_week_2!T$11:T$30)</f>
        <v>0</v>
      </c>
      <c r="O317" s="922">
        <f>SUMIF(Meal_entry_week_2!G$110:G$129,"Other_processed_foods",Meal_entry_week_2!T$110:T$129)</f>
        <v>0</v>
      </c>
      <c r="P317" s="922">
        <f>SUMIF(Meal_entry_week_2!G$209:G$228,"Other_processed_foods",Meal_entry_week_2!T$209:T$228)</f>
        <v>0</v>
      </c>
      <c r="Q317" s="922">
        <f>SUMIF(Meal_entry_week_2!G$308:G$327,"Other_processed_foods",Meal_entry_week_2!T$308:T$327)</f>
        <v>0</v>
      </c>
      <c r="R317" s="923">
        <f>SUMIF(Meal_entry_week_2!G$407:G$426,"Other_processed_foods",Meal_entry_week_2!T$407:T$426)</f>
        <v>0</v>
      </c>
      <c r="S317" s="921">
        <f>SUMIF(Meal_entry_week_2!G$38:G$49,"Other_processed_foods",Meal_entry_week_2!T$38:T$49)</f>
        <v>0</v>
      </c>
      <c r="T317" s="922">
        <f>SUMIF(Meal_entry_week_2!G$137:G$148,"Other_processed_foods",Meal_entry_week_2!T$137:T$148)</f>
        <v>0</v>
      </c>
      <c r="U317" s="922">
        <f>SUMIF(Meal_entry_week_2!G$236:G$247,"Other_processed_foods",Meal_entry_week_2!T$236:T$247)</f>
        <v>0</v>
      </c>
      <c r="V317" s="922">
        <f>SUMIF(Meal_entry_week_2!G$335:G$346,"Other_processed_foods",Meal_entry_week_2!T$335:T$346)</f>
        <v>0</v>
      </c>
      <c r="W317" s="923">
        <f>SUMIF(Meal_entry_week_2!G$434:G$445,"Other_processed_foods",Meal_entry_week_2!T$434:T$445)</f>
        <v>0</v>
      </c>
      <c r="X317" s="921">
        <f>SUMIF(Meal_entry_week_2!G$57:G$81,"Other_processed_foods",Meal_entry_week_2!T$57:T$81)</f>
        <v>0</v>
      </c>
      <c r="Y317" s="922">
        <f>SUMIF(Meal_entry_week_2!G$156:G$180,"Other_processed_foods",Meal_entry_week_2!T$156:T$180)</f>
        <v>0</v>
      </c>
      <c r="Z317" s="922">
        <f>SUMIF(Meal_entry_week_2!G$255:G$279,"Other_processed_foods",Meal_entry_week_2!T$255:T$279)</f>
        <v>0</v>
      </c>
      <c r="AA317" s="922">
        <f>SUMIF(Meal_entry_week_2!G$354:G$378,"Other_processed_foods",Meal_entry_week_2!T$354:T$378)</f>
        <v>0</v>
      </c>
      <c r="AB317" s="923">
        <f>SUMIF(Meal_entry_week_2!G$453:G$477,"Other_processed_foods",Meal_entry_week_2!T$453:T$477)</f>
        <v>0</v>
      </c>
      <c r="AC317" s="921">
        <f>SUMIF(Meal_entry_week_2!BM$11:BM$30,"Other_processed_foods",Meal_entry_week_2!BS$11:BS$30)</f>
        <v>0</v>
      </c>
      <c r="AD317" s="922">
        <f>SUMIF(Meal_entry_week_2!G$188:G$199,"Other_processed_foods",Meal_entry_week_2!T$188:T$199)</f>
        <v>0</v>
      </c>
      <c r="AE317" s="922">
        <f>SUMIF(Meal_entry_week_2!G$287:G$298,"Other_processed_foods",Meal_entry_week_2!T$287:T$298)</f>
        <v>0</v>
      </c>
      <c r="AF317" s="922">
        <f>SUMIF(Meal_entry_week_2!G$386:G$397,"Other_processed_foods",Meal_entry_week_2!T$386:T$397)</f>
        <v>0</v>
      </c>
      <c r="AG317" s="923">
        <f>SUMIF(Meal_entry_week_2!G$485:G$496,"Other_processed_foods",Meal_entry_week_2!T$485:T$496)</f>
        <v>0</v>
      </c>
    </row>
    <row r="318" spans="1:33">
      <c r="A318" s="911"/>
      <c r="B318" s="951" t="s">
        <v>1734</v>
      </c>
      <c r="C318" s="945"/>
      <c r="D318" s="948">
        <f t="shared" si="29"/>
        <v>0</v>
      </c>
      <c r="E318" s="955">
        <f t="shared" si="30"/>
        <v>0</v>
      </c>
      <c r="F318" s="955">
        <f t="shared" si="31"/>
        <v>0</v>
      </c>
      <c r="G318" s="955">
        <f t="shared" si="32"/>
        <v>0</v>
      </c>
      <c r="H318" s="972">
        <f t="shared" si="33"/>
        <v>0</v>
      </c>
      <c r="I318" s="921">
        <f t="shared" si="34"/>
        <v>0</v>
      </c>
      <c r="J318" s="922">
        <f t="shared" si="34"/>
        <v>0</v>
      </c>
      <c r="K318" s="922">
        <f t="shared" si="28"/>
        <v>0</v>
      </c>
      <c r="L318" s="922">
        <f t="shared" si="28"/>
        <v>0</v>
      </c>
      <c r="M318" s="923">
        <f t="shared" si="28"/>
        <v>0</v>
      </c>
      <c r="N318" s="921">
        <f>SUMIF(Meal_entry_week_2!G$11:G$30,"Zasladjena_piča_čajevi_kafa",Meal_entry_week_2!T$11:T$30)</f>
        <v>0</v>
      </c>
      <c r="O318" s="922">
        <f>SUMIF(Meal_entry_week_2!G$110:G$129,"Zasladjena_piča_čajevi_kafa",Meal_entry_week_2!T$110:T$129)</f>
        <v>0</v>
      </c>
      <c r="P318" s="922">
        <f>SUMIF(Meal_entry_week_2!G$209:G$228,"Zasladjena_piča_čajevi_kafa",Meal_entry_week_2!T$209:T$228)</f>
        <v>0</v>
      </c>
      <c r="Q318" s="922">
        <f>SUMIF(Meal_entry_week_2!G$308:G$327,"Zasladjena_piča_čajevi_kafa",Meal_entry_week_2!T$308:T$327)</f>
        <v>0</v>
      </c>
      <c r="R318" s="923">
        <f>SUMIF(Meal_entry_week_2!G$407:G$426,"Zasladjena_piča_čajevi_kafa",Meal_entry_week_2!T$407:T$426)</f>
        <v>0</v>
      </c>
      <c r="S318" s="921">
        <f>SUMIF(Meal_entry_week_2!G$38:G$49,"Zasladjena_piča_čajevi_kafa",Meal_entry_week_2!T$38:T$49)</f>
        <v>0</v>
      </c>
      <c r="T318" s="922">
        <f>SUMIF(Meal_entry_week_2!G$137:G$148,"Zasladjena_piča_čajevi_kafa",Meal_entry_week_2!T$137:T$148)</f>
        <v>0</v>
      </c>
      <c r="U318" s="922">
        <f>SUMIF(Meal_entry_week_2!G$236:G$247,"Zasladjena_piča_čajevi_kafa",Meal_entry_week_2!T$236:T$247)</f>
        <v>0</v>
      </c>
      <c r="V318" s="922">
        <f>SUMIF(Meal_entry_week_2!G$335:G$346,"Zasladjena_piča_čajevi_kafa",Meal_entry_week_2!T$335:T$346)</f>
        <v>0</v>
      </c>
      <c r="W318" s="923">
        <f>SUMIF(Meal_entry_week_2!G$434:G$445,"Zasladjena_piča_čajevi_kafa",Meal_entry_week_2!T$434:T$445)</f>
        <v>0</v>
      </c>
      <c r="X318" s="921">
        <f>SUMIF(Meal_entry_week_2!G$57:G$81,"Zasladjena_piča_čajevi_kafa",Meal_entry_week_2!T$57:T$81)</f>
        <v>0</v>
      </c>
      <c r="Y318" s="922">
        <f>SUMIF(Meal_entry_week_2!G$156:G$180,"Zasladjena_piča_čajevi_kafa",Meal_entry_week_2!T$156:T$180)</f>
        <v>0</v>
      </c>
      <c r="Z318" s="922">
        <f>SUMIF(Meal_entry_week_2!G$255:G$279,"Zasladjena_piča_čajevi_kafa",Meal_entry_week_2!T$255:T$279)</f>
        <v>0</v>
      </c>
      <c r="AA318" s="922">
        <f>SUMIF(Meal_entry_week_2!G$354:G$378,"Zasladjena_piča_čajevi_kafa",Meal_entry_week_2!T$354:T$378)</f>
        <v>0</v>
      </c>
      <c r="AB318" s="923">
        <f>SUMIF(Meal_entry_week_2!G$453:G$477,"Zasladjena_piča_čajevi_kafa",Meal_entry_week_2!T$453:T$477)</f>
        <v>0</v>
      </c>
      <c r="AC318" s="921">
        <f>SUMIF(Meal_entry_week_2!BM$11:BM$30,"Zasladjena_piča_čajevi_kafa",Meal_entry_week_2!BS$11:BS$30)</f>
        <v>0</v>
      </c>
      <c r="AD318" s="922">
        <f>SUMIF(Meal_entry_week_2!G$188:G$199,"Zasladjena_piča_čajevi_kafa",Meal_entry_week_2!T$188:T$199)</f>
        <v>0</v>
      </c>
      <c r="AE318" s="922">
        <f>SUMIF(Meal_entry_week_2!G$287:G$298,"Zasladjena_piča_čajevi_kafa",Meal_entry_week_2!T$287:T$298)</f>
        <v>0</v>
      </c>
      <c r="AF318" s="922">
        <f>SUMIF(Meal_entry_week_2!G$386:G$397,"Zasladjena_piča_čajevi_kafa",Meal_entry_week_2!T$386:T$397)</f>
        <v>0</v>
      </c>
      <c r="AG318" s="923">
        <f>SUMIF(Meal_entry_week_2!G$485:G$496,"Zasladjena_piča_čajevi_kafa",Meal_entry_week_2!T$485:T$496)</f>
        <v>0</v>
      </c>
    </row>
    <row r="319" spans="1:33" ht="15" thickBot="1">
      <c r="A319" s="911"/>
      <c r="B319" s="952" t="s">
        <v>3084</v>
      </c>
      <c r="C319" s="945"/>
      <c r="D319" s="953">
        <f t="shared" si="29"/>
        <v>0</v>
      </c>
      <c r="E319" s="973">
        <f t="shared" si="30"/>
        <v>0</v>
      </c>
      <c r="F319" s="973">
        <f t="shared" si="31"/>
        <v>0</v>
      </c>
      <c r="G319" s="973">
        <f t="shared" si="32"/>
        <v>0</v>
      </c>
      <c r="H319" s="974">
        <f t="shared" si="33"/>
        <v>0</v>
      </c>
      <c r="I319" s="930">
        <f t="shared" si="34"/>
        <v>0</v>
      </c>
      <c r="J319" s="931">
        <f t="shared" si="34"/>
        <v>0</v>
      </c>
      <c r="K319" s="931">
        <f t="shared" si="28"/>
        <v>0</v>
      </c>
      <c r="L319" s="931">
        <f t="shared" si="28"/>
        <v>0</v>
      </c>
      <c r="M319" s="932">
        <f t="shared" si="28"/>
        <v>0</v>
      </c>
      <c r="N319" s="930">
        <f>SUMIF(Meal_entry_week_2!G$11:G$30,"Fruit_juices_water",Meal_entry_week_2!T$11:T$30)</f>
        <v>0</v>
      </c>
      <c r="O319" s="931">
        <f>SUMIF(Meal_entry_week_2!G$110:G$129,"Fruit_juices_water",Meal_entry_week_2!T$110:T$129)</f>
        <v>0</v>
      </c>
      <c r="P319" s="931">
        <f>SUMIF(Meal_entry_week_2!G$209:G$228,"Fruit_juices_water",Meal_entry_week_2!T$209:T$228)</f>
        <v>0</v>
      </c>
      <c r="Q319" s="931">
        <f>SUMIF(Meal_entry_week_2!G$308:G$327,"Fruit_juices_water",Meal_entry_week_2!T$308:T$327)</f>
        <v>0</v>
      </c>
      <c r="R319" s="932">
        <f>SUMIF(Meal_entry_week_2!G$407:G$426,"Fruit_juices_water",Meal_entry_week_2!T$407:T$426)</f>
        <v>0</v>
      </c>
      <c r="S319" s="930">
        <f>SUMIF(Meal_entry_week_2!G$38:G$49,"Fruit_juices_water",Meal_entry_week_2!T$38:T$49)</f>
        <v>0</v>
      </c>
      <c r="T319" s="931">
        <f>SUMIF(Meal_entry_week_2!G$137:G$148,"Fruit_juices_water",Meal_entry_week_2!T$137:T$148)</f>
        <v>0</v>
      </c>
      <c r="U319" s="931">
        <f>SUMIF(Meal_entry_week_2!G$236:G$247,"Fruit_juices_water",Meal_entry_week_2!T$236:T$247)</f>
        <v>0</v>
      </c>
      <c r="V319" s="931">
        <f>SUMIF(Meal_entry_week_2!G$335:G$346,"Fruit_juices_water",Meal_entry_week_2!T$335:T$346)</f>
        <v>0</v>
      </c>
      <c r="W319" s="932">
        <f>SUMIF(Meal_entry_week_2!G$434:G$445,"Fruit_juices_water",Meal_entry_week_2!T$434:T$445)</f>
        <v>0</v>
      </c>
      <c r="X319" s="930">
        <f>SUMIF(Meal_entry_week_2!G$57:G$81,"Fruit_juices_water",Meal_entry_week_2!T$57:T$81)</f>
        <v>0</v>
      </c>
      <c r="Y319" s="931">
        <f>SUMIF(Meal_entry_week_2!G$156:G$180,"Fruit_juices_water",Meal_entry_week_2!T$156:T$180)</f>
        <v>0</v>
      </c>
      <c r="Z319" s="931">
        <f>SUMIF(Meal_entry_week_2!G$255:G$279,"Fruit_juices_water",Meal_entry_week_2!T$255:T$279)</f>
        <v>0</v>
      </c>
      <c r="AA319" s="931">
        <f>SUMIF(Meal_entry_week_2!G$354:G$378,"Fruit_juices_water",Meal_entry_week_2!T$354:T$378)</f>
        <v>0</v>
      </c>
      <c r="AB319" s="932">
        <f>SUMIF(Meal_entry_week_2!G$453:G$477,"Fruit_juices_water",Meal_entry_week_2!T$453:T$477)</f>
        <v>0</v>
      </c>
      <c r="AC319" s="930">
        <f>SUMIF(Meal_entry_week_2!BM$11:BM$30,"Fruit_juices_water",Meal_entry_week_2!BS$11:BS$30)</f>
        <v>0</v>
      </c>
      <c r="AD319" s="931">
        <f>SUMIF(Meal_entry_week_2!G$188:G$199,"Fruit_juices_water",Meal_entry_week_2!T$188:T$199)</f>
        <v>0</v>
      </c>
      <c r="AE319" s="931">
        <f>SUMIF(Meal_entry_week_2!G$287:G$298,"Fruit_juices_water",Meal_entry_week_2!T$287:T$298)</f>
        <v>0</v>
      </c>
      <c r="AF319" s="931">
        <f>SUMIF(Meal_entry_week_2!G$386:G$397,"Fruit_juices_water",Meal_entry_week_2!T$386:T$397)</f>
        <v>0</v>
      </c>
      <c r="AG319" s="932">
        <f>SUMIF(Meal_entry_week_2!G$485:G$496,"Fruit_juices_water",Meal_entry_week_2!T$485:T$496)</f>
        <v>0</v>
      </c>
    </row>
    <row r="320" spans="1:33" s="406" customFormat="1">
      <c r="A320" s="1195"/>
      <c r="D320" s="406" t="s">
        <v>2504</v>
      </c>
      <c r="F320" s="406" t="s">
        <v>2505</v>
      </c>
      <c r="H320" s="406" t="s">
        <v>3577</v>
      </c>
      <c r="I320" s="406" t="s">
        <v>3845</v>
      </c>
      <c r="J320" s="406" t="s">
        <v>3846</v>
      </c>
      <c r="K320" s="406" t="s">
        <v>3847</v>
      </c>
      <c r="L320" s="406" t="s">
        <v>3848</v>
      </c>
      <c r="M320" s="406" t="s">
        <v>3849</v>
      </c>
    </row>
    <row r="321" spans="1:33">
      <c r="A321" s="911"/>
      <c r="B321" s="956" t="s">
        <v>2515</v>
      </c>
      <c r="C321" s="945"/>
      <c r="D321" s="913" t="s">
        <v>3140</v>
      </c>
      <c r="E321" s="913" t="s">
        <v>3069</v>
      </c>
      <c r="F321" s="913" t="s">
        <v>803</v>
      </c>
      <c r="G321" s="913" t="s">
        <v>3073</v>
      </c>
      <c r="H321" s="913" t="s">
        <v>3070</v>
      </c>
      <c r="I321" s="913" t="s">
        <v>3575</v>
      </c>
      <c r="J321" s="913" t="s">
        <v>3072</v>
      </c>
      <c r="K321" s="913" t="s">
        <v>3085</v>
      </c>
      <c r="L321" s="913" t="s">
        <v>3075</v>
      </c>
      <c r="M321" s="913" t="s">
        <v>3141</v>
      </c>
      <c r="N321" s="913" t="s">
        <v>3550</v>
      </c>
      <c r="O321" s="913" t="s">
        <v>3078</v>
      </c>
      <c r="P321" s="913" t="s">
        <v>3551</v>
      </c>
      <c r="Q321" s="913" t="s">
        <v>3082</v>
      </c>
      <c r="R321" s="1067" t="s">
        <v>3083</v>
      </c>
      <c r="S321" s="913" t="s">
        <v>3084</v>
      </c>
      <c r="T321" s="1068"/>
      <c r="U321" s="965"/>
      <c r="V321" s="913"/>
      <c r="W321" s="913"/>
      <c r="X321" s="913"/>
      <c r="Y321" s="913"/>
      <c r="Z321" s="913"/>
      <c r="AA321" s="913"/>
      <c r="AB321" s="913"/>
      <c r="AC321" s="913"/>
      <c r="AD321" s="913"/>
      <c r="AE321" s="913"/>
      <c r="AF321" s="913"/>
      <c r="AG321" s="913"/>
    </row>
    <row r="322" spans="1:33">
      <c r="A322" s="911"/>
      <c r="B322" s="956" t="str">
        <f>IF($AB$34=1,B329,(IF($AB$34=2,B339,B339)))</f>
        <v>Friday</v>
      </c>
      <c r="C322" s="945"/>
      <c r="D322" s="1072">
        <f t="shared" ref="D322:S322" si="35">IF($AB$34=1,D333,(IF($AB$34=2,D339,IF($AB$34=3,D345,IF($AB$34=4, D351,IF($AB$34=5,D357,D363))))))</f>
        <v>0</v>
      </c>
      <c r="E322" s="1072">
        <f t="shared" si="35"/>
        <v>0</v>
      </c>
      <c r="F322" s="1072">
        <f t="shared" si="35"/>
        <v>0</v>
      </c>
      <c r="G322" s="1072">
        <f t="shared" si="35"/>
        <v>0</v>
      </c>
      <c r="H322" s="1072">
        <f t="shared" si="35"/>
        <v>0</v>
      </c>
      <c r="I322" s="1072">
        <f t="shared" si="35"/>
        <v>0</v>
      </c>
      <c r="J322" s="1072">
        <f t="shared" si="35"/>
        <v>0</v>
      </c>
      <c r="K322" s="1072">
        <f t="shared" si="35"/>
        <v>0</v>
      </c>
      <c r="L322" s="1072">
        <f t="shared" si="35"/>
        <v>0</v>
      </c>
      <c r="M322" s="1072">
        <f t="shared" si="35"/>
        <v>0</v>
      </c>
      <c r="N322" s="1072">
        <f t="shared" si="35"/>
        <v>0</v>
      </c>
      <c r="O322" s="1072">
        <f t="shared" si="35"/>
        <v>0</v>
      </c>
      <c r="P322" s="1072">
        <f t="shared" si="35"/>
        <v>0</v>
      </c>
      <c r="Q322" s="1072">
        <f t="shared" si="35"/>
        <v>0</v>
      </c>
      <c r="R322" s="1072">
        <f t="shared" si="35"/>
        <v>0</v>
      </c>
      <c r="S322" s="1072">
        <f t="shared" si="35"/>
        <v>0</v>
      </c>
      <c r="T322" s="1070">
        <f>IF($AB$34=1,T333,(IF($AB$34=2,T335,IF($AB$34=3,T341,IF($AB$34=4,T347,IF($AB$34=5,T353,T359))))))</f>
        <v>52</v>
      </c>
      <c r="U322" s="1072"/>
      <c r="V322" s="1073"/>
      <c r="W322" s="1073"/>
      <c r="X322" s="1073"/>
      <c r="Y322" s="1073"/>
      <c r="Z322" s="1073"/>
      <c r="AA322" s="1073"/>
      <c r="AB322" s="1073"/>
      <c r="AC322" s="1073"/>
      <c r="AD322" s="1073"/>
      <c r="AE322" s="1073"/>
      <c r="AF322" s="1073"/>
      <c r="AG322" s="1073"/>
    </row>
    <row r="323" spans="1:33">
      <c r="A323" s="911"/>
      <c r="B323" s="956" t="str">
        <f>IF($AB$34=1,B330,(IF($AB$34=2,B338,B338)))</f>
        <v>Thursday</v>
      </c>
      <c r="C323" s="945"/>
      <c r="D323" s="1072">
        <f t="shared" ref="D323:S323" si="36">IF($AB$34=1,D332,(IF($AB$34=2,D338,IF($AB$34=3,D344,IF($AB$34=4, D350,IF($AB$34=5,D356,D362))))))</f>
        <v>0</v>
      </c>
      <c r="E323" s="1072">
        <f t="shared" si="36"/>
        <v>0</v>
      </c>
      <c r="F323" s="1072">
        <f t="shared" si="36"/>
        <v>0</v>
      </c>
      <c r="G323" s="1072">
        <f t="shared" si="36"/>
        <v>0</v>
      </c>
      <c r="H323" s="1072">
        <f t="shared" si="36"/>
        <v>0</v>
      </c>
      <c r="I323" s="1072">
        <f t="shared" si="36"/>
        <v>0</v>
      </c>
      <c r="J323" s="1072">
        <f t="shared" si="36"/>
        <v>0</v>
      </c>
      <c r="K323" s="1072">
        <f t="shared" si="36"/>
        <v>0</v>
      </c>
      <c r="L323" s="1072">
        <f t="shared" si="36"/>
        <v>0</v>
      </c>
      <c r="M323" s="1072">
        <f t="shared" si="36"/>
        <v>0</v>
      </c>
      <c r="N323" s="1072">
        <f t="shared" si="36"/>
        <v>0</v>
      </c>
      <c r="O323" s="1072">
        <f t="shared" si="36"/>
        <v>0</v>
      </c>
      <c r="P323" s="1072">
        <f t="shared" si="36"/>
        <v>0</v>
      </c>
      <c r="Q323" s="1072">
        <f t="shared" si="36"/>
        <v>0</v>
      </c>
      <c r="R323" s="1072">
        <f t="shared" si="36"/>
        <v>0</v>
      </c>
      <c r="S323" s="1072">
        <f t="shared" si="36"/>
        <v>0</v>
      </c>
      <c r="T323" s="1070">
        <f>IF($AB$34=1,T332,(IF($AB$34=2,T336,IF($AB$34=3,T342,IF($AB$34=4,T348,IF($AB$34=5,T354,T360))))))</f>
        <v>52</v>
      </c>
      <c r="U323" s="1072"/>
      <c r="V323" s="1073"/>
      <c r="W323" s="1073"/>
      <c r="X323" s="1073"/>
      <c r="Y323" s="1073"/>
      <c r="Z323" s="1073"/>
      <c r="AA323" s="1073"/>
      <c r="AB323" s="1073"/>
      <c r="AC323" s="1073"/>
      <c r="AD323" s="1073"/>
      <c r="AE323" s="1073"/>
      <c r="AF323" s="1073"/>
      <c r="AG323" s="1073"/>
    </row>
    <row r="324" spans="1:33">
      <c r="A324" s="911"/>
      <c r="B324" s="956" t="str">
        <f>IF($AB$34=1,B331,(IF($AB$34=2,B337,B337)))</f>
        <v>Wedesday</v>
      </c>
      <c r="C324" s="945"/>
      <c r="D324" s="1072">
        <f t="shared" ref="D324:S324" si="37">IF($AB$34=1,D331,(IF($AB$34=2,D337,IF($AB$34=3,D343,IF($AB$34=4, D349,IF($AB$34=5,D355,D361))))))</f>
        <v>0</v>
      </c>
      <c r="E324" s="1072">
        <f t="shared" si="37"/>
        <v>0</v>
      </c>
      <c r="F324" s="1072">
        <f t="shared" si="37"/>
        <v>0</v>
      </c>
      <c r="G324" s="1072">
        <f t="shared" si="37"/>
        <v>0</v>
      </c>
      <c r="H324" s="1072">
        <f t="shared" si="37"/>
        <v>0</v>
      </c>
      <c r="I324" s="1072">
        <f t="shared" si="37"/>
        <v>0</v>
      </c>
      <c r="J324" s="1072">
        <f t="shared" si="37"/>
        <v>0</v>
      </c>
      <c r="K324" s="1072">
        <f t="shared" si="37"/>
        <v>0</v>
      </c>
      <c r="L324" s="1072">
        <f t="shared" si="37"/>
        <v>0</v>
      </c>
      <c r="M324" s="1072">
        <f t="shared" si="37"/>
        <v>0</v>
      </c>
      <c r="N324" s="1072">
        <f t="shared" si="37"/>
        <v>0</v>
      </c>
      <c r="O324" s="1072">
        <f t="shared" si="37"/>
        <v>0</v>
      </c>
      <c r="P324" s="1072">
        <f t="shared" si="37"/>
        <v>0</v>
      </c>
      <c r="Q324" s="1072">
        <f t="shared" si="37"/>
        <v>0</v>
      </c>
      <c r="R324" s="1072">
        <f t="shared" si="37"/>
        <v>0</v>
      </c>
      <c r="S324" s="1072">
        <f t="shared" si="37"/>
        <v>0</v>
      </c>
      <c r="T324" s="1070">
        <f>IF($AB$34=1,T331,(IF($AB$34=2,T337,IF($AB$34=3,T343,IF($AB$34=4,T349,IF($AB$34=5,T355,T361))))))</f>
        <v>52</v>
      </c>
      <c r="U324" s="1072"/>
      <c r="V324" s="1073"/>
      <c r="W324" s="1073"/>
      <c r="X324" s="1073"/>
      <c r="Y324" s="1073"/>
      <c r="Z324" s="1073"/>
      <c r="AA324" s="1073"/>
      <c r="AB324" s="1073"/>
      <c r="AC324" s="1073"/>
      <c r="AD324" s="1073"/>
      <c r="AE324" s="1073"/>
      <c r="AF324" s="1073"/>
      <c r="AG324" s="1073"/>
    </row>
    <row r="325" spans="1:33">
      <c r="A325" s="911"/>
      <c r="B325" s="956" t="str">
        <f>IF($AB$34=1,B332,(IF($AB$34=2,B336,B336)))</f>
        <v>Tuesday</v>
      </c>
      <c r="C325" s="945"/>
      <c r="D325" s="1072">
        <f t="shared" ref="D325:S325" si="38">IF($AB$34=1,D330,(IF($AB$34=2,D336,IF($AB$34=3,D342,IF($AB$34=4, D348,IF($AB$34=5,D354,D360))))))</f>
        <v>0</v>
      </c>
      <c r="E325" s="1072">
        <f t="shared" si="38"/>
        <v>0</v>
      </c>
      <c r="F325" s="1072">
        <f t="shared" si="38"/>
        <v>0</v>
      </c>
      <c r="G325" s="1072">
        <f t="shared" si="38"/>
        <v>0</v>
      </c>
      <c r="H325" s="1072">
        <f t="shared" si="38"/>
        <v>0</v>
      </c>
      <c r="I325" s="1072">
        <f t="shared" si="38"/>
        <v>0</v>
      </c>
      <c r="J325" s="1072">
        <f t="shared" si="38"/>
        <v>0</v>
      </c>
      <c r="K325" s="1072">
        <f t="shared" si="38"/>
        <v>0</v>
      </c>
      <c r="L325" s="1072">
        <f t="shared" si="38"/>
        <v>0</v>
      </c>
      <c r="M325" s="1072">
        <f t="shared" si="38"/>
        <v>0</v>
      </c>
      <c r="N325" s="1072">
        <f t="shared" si="38"/>
        <v>0</v>
      </c>
      <c r="O325" s="1072">
        <f t="shared" si="38"/>
        <v>0</v>
      </c>
      <c r="P325" s="1072">
        <f t="shared" si="38"/>
        <v>0</v>
      </c>
      <c r="Q325" s="1072">
        <f t="shared" si="38"/>
        <v>0</v>
      </c>
      <c r="R325" s="1072">
        <f t="shared" si="38"/>
        <v>0</v>
      </c>
      <c r="S325" s="1072">
        <f t="shared" si="38"/>
        <v>0</v>
      </c>
      <c r="T325" s="1070">
        <f>IF($AB$34=1,T330,(IF($AB$34=2,T338,IF($AB$34=3,T344,IF($AB$34=4,T350,IF($AB$34=5,T356,T362))))))</f>
        <v>52</v>
      </c>
      <c r="U325" s="1072"/>
      <c r="V325" s="1073"/>
      <c r="W325" s="1073"/>
      <c r="X325" s="1073"/>
      <c r="Y325" s="1073"/>
      <c r="Z325" s="1073"/>
      <c r="AA325" s="1073"/>
      <c r="AB325" s="1073"/>
      <c r="AC325" s="1073"/>
      <c r="AD325" s="1073"/>
      <c r="AE325" s="1073"/>
      <c r="AF325" s="1073"/>
      <c r="AG325" s="1073"/>
    </row>
    <row r="326" spans="1:33">
      <c r="A326" s="911"/>
      <c r="B326" s="1074" t="str">
        <f>IF($AB$34=1,B333,(IF($AB$34=2,B335,B335)))</f>
        <v>Monday</v>
      </c>
      <c r="C326" s="945"/>
      <c r="D326" s="1075">
        <f t="shared" ref="D326:S326" si="39">IF($AB$34=1,D329,(IF($AB$34=2,D335,IF($AB$34=3,D341,IF($AB$34=4, D347,IF($AB$34=5,D353,D359))))))</f>
        <v>0</v>
      </c>
      <c r="E326" s="1075">
        <f t="shared" si="39"/>
        <v>0</v>
      </c>
      <c r="F326" s="1075">
        <f t="shared" si="39"/>
        <v>0</v>
      </c>
      <c r="G326" s="1075">
        <f t="shared" si="39"/>
        <v>0</v>
      </c>
      <c r="H326" s="1075">
        <f t="shared" si="39"/>
        <v>0</v>
      </c>
      <c r="I326" s="1075">
        <f t="shared" si="39"/>
        <v>0</v>
      </c>
      <c r="J326" s="1075">
        <f t="shared" si="39"/>
        <v>0</v>
      </c>
      <c r="K326" s="1075">
        <f t="shared" si="39"/>
        <v>0</v>
      </c>
      <c r="L326" s="1075">
        <f t="shared" si="39"/>
        <v>0</v>
      </c>
      <c r="M326" s="1075">
        <f t="shared" si="39"/>
        <v>0</v>
      </c>
      <c r="N326" s="1075">
        <f t="shared" si="39"/>
        <v>0</v>
      </c>
      <c r="O326" s="1075">
        <f t="shared" si="39"/>
        <v>0</v>
      </c>
      <c r="P326" s="1075">
        <f t="shared" si="39"/>
        <v>0</v>
      </c>
      <c r="Q326" s="1075">
        <f t="shared" si="39"/>
        <v>0</v>
      </c>
      <c r="R326" s="1075">
        <f t="shared" si="39"/>
        <v>0</v>
      </c>
      <c r="S326" s="1075">
        <f t="shared" si="39"/>
        <v>0</v>
      </c>
      <c r="T326" s="1078">
        <f>IF($AB$34=1,T329,(IF($AB$34=2,T339,IF($AB$34=3,T345,IF($AB$34=4,T351,IF($AB$34=5,T357,T363))))))</f>
        <v>52</v>
      </c>
      <c r="U326" s="1072"/>
      <c r="V326" s="1073"/>
      <c r="W326" s="1073"/>
      <c r="X326" s="1073"/>
      <c r="Y326" s="1073"/>
      <c r="Z326" s="1073"/>
      <c r="AA326" s="1073"/>
      <c r="AB326" s="1073"/>
      <c r="AC326" s="1073"/>
      <c r="AD326" s="1073"/>
      <c r="AE326" s="1073"/>
      <c r="AF326" s="1073"/>
      <c r="AG326" s="1073"/>
    </row>
    <row r="327" spans="1:33">
      <c r="A327" s="911"/>
      <c r="B327" s="913"/>
      <c r="C327" s="945"/>
      <c r="D327" s="1072" t="s">
        <v>2507</v>
      </c>
      <c r="E327" s="1072"/>
      <c r="F327" s="1072"/>
      <c r="G327" s="1072"/>
      <c r="H327" s="1072"/>
      <c r="I327" s="1072"/>
      <c r="J327" s="1072"/>
      <c r="K327" s="1072"/>
      <c r="L327" s="1072"/>
      <c r="M327" s="1072"/>
      <c r="N327" s="1072"/>
      <c r="O327" s="1072"/>
      <c r="P327" s="1072"/>
      <c r="Q327" s="1072"/>
      <c r="R327" s="1072"/>
      <c r="S327" s="1072"/>
      <c r="T327" s="1070"/>
      <c r="U327" s="1072"/>
      <c r="V327" s="1073"/>
      <c r="W327" s="1073"/>
      <c r="X327" s="1073"/>
      <c r="Y327" s="1073"/>
      <c r="Z327" s="1073"/>
      <c r="AA327" s="1073"/>
      <c r="AB327" s="1073"/>
      <c r="AC327" s="1073"/>
      <c r="AD327" s="1073"/>
      <c r="AE327" s="1073"/>
      <c r="AF327" s="1073"/>
      <c r="AG327" s="1073"/>
    </row>
    <row r="328" spans="1:33">
      <c r="A328" s="911"/>
      <c r="B328" s="956" t="s">
        <v>2508</v>
      </c>
      <c r="C328" s="945"/>
      <c r="D328" s="913" t="s">
        <v>3140</v>
      </c>
      <c r="E328" s="913" t="s">
        <v>3069</v>
      </c>
      <c r="F328" s="913" t="s">
        <v>3077</v>
      </c>
      <c r="G328" s="913" t="s">
        <v>3073</v>
      </c>
      <c r="H328" s="913" t="s">
        <v>3070</v>
      </c>
      <c r="I328" s="913" t="s">
        <v>3575</v>
      </c>
      <c r="J328" s="913" t="s">
        <v>3072</v>
      </c>
      <c r="K328" s="913" t="s">
        <v>3085</v>
      </c>
      <c r="L328" s="913" t="s">
        <v>3075</v>
      </c>
      <c r="M328" s="913" t="s">
        <v>3141</v>
      </c>
      <c r="N328" s="913" t="s">
        <v>3550</v>
      </c>
      <c r="O328" s="913" t="s">
        <v>3078</v>
      </c>
      <c r="P328" s="913" t="s">
        <v>3551</v>
      </c>
      <c r="Q328" s="913" t="s">
        <v>3082</v>
      </c>
      <c r="R328" s="1067" t="s">
        <v>3083</v>
      </c>
      <c r="S328" s="913" t="s">
        <v>3084</v>
      </c>
      <c r="T328" s="1070"/>
      <c r="U328" s="1072"/>
      <c r="V328" s="1073"/>
      <c r="W328" s="1073"/>
      <c r="X328" s="1073"/>
      <c r="Y328" s="1073"/>
      <c r="Z328" s="1073"/>
      <c r="AA328" s="1073"/>
      <c r="AB328" s="1073"/>
      <c r="AC328" s="1073"/>
      <c r="AD328" s="1073"/>
      <c r="AE328" s="1073"/>
      <c r="AF328" s="1073"/>
      <c r="AG328" s="1073"/>
    </row>
    <row r="329" spans="1:33" s="975" customFormat="1">
      <c r="A329" s="911"/>
      <c r="B329" s="956" t="s">
        <v>2506</v>
      </c>
      <c r="C329" s="945"/>
      <c r="D329" s="1069">
        <f t="shared" ref="D329:S329" si="40">SUM(D330:D333)</f>
        <v>26.36443298541975</v>
      </c>
      <c r="E329" s="1069">
        <f t="shared" si="40"/>
        <v>0.90514104686076347</v>
      </c>
      <c r="F329" s="1069">
        <f t="shared" si="40"/>
        <v>6.1379877240245531</v>
      </c>
      <c r="G329" s="1069">
        <f t="shared" si="40"/>
        <v>11.439977120045761</v>
      </c>
      <c r="H329" s="1069">
        <f t="shared" si="40"/>
        <v>3.4319931360137286</v>
      </c>
      <c r="I329" s="1069">
        <f t="shared" si="40"/>
        <v>0</v>
      </c>
      <c r="J329" s="1069">
        <f t="shared" si="40"/>
        <v>2.7609944780110443</v>
      </c>
      <c r="K329" s="1069">
        <f t="shared" si="40"/>
        <v>15.309716047234573</v>
      </c>
      <c r="L329" s="1069">
        <f t="shared" si="40"/>
        <v>4.4509510980978035</v>
      </c>
      <c r="M329" s="1069">
        <f t="shared" si="40"/>
        <v>6.0550078899842212</v>
      </c>
      <c r="N329" s="1069">
        <f t="shared" si="40"/>
        <v>2.0542090552182533</v>
      </c>
      <c r="O329" s="1069">
        <f t="shared" si="40"/>
        <v>3.8067213277338157</v>
      </c>
      <c r="P329" s="1069">
        <f t="shared" si="40"/>
        <v>10.066153201026932</v>
      </c>
      <c r="Q329" s="1069">
        <f t="shared" si="40"/>
        <v>0</v>
      </c>
      <c r="R329" s="1069">
        <f t="shared" si="40"/>
        <v>0</v>
      </c>
      <c r="S329" s="1069">
        <f t="shared" si="40"/>
        <v>0</v>
      </c>
      <c r="T329" s="1070">
        <f>180-SUM(D329:S329)</f>
        <v>87.216714890328802</v>
      </c>
      <c r="U329" s="1079"/>
      <c r="V329" s="945"/>
      <c r="W329" s="945"/>
      <c r="X329" s="945"/>
      <c r="Y329" s="945"/>
      <c r="Z329" s="945"/>
      <c r="AA329" s="945"/>
      <c r="AB329" s="945"/>
      <c r="AC329" s="945"/>
      <c r="AD329" s="945"/>
      <c r="AE329" s="945"/>
      <c r="AF329" s="945"/>
      <c r="AG329" s="945"/>
    </row>
    <row r="330" spans="1:33">
      <c r="A330" s="911"/>
      <c r="B330" s="956" t="s">
        <v>67</v>
      </c>
      <c r="C330" s="945"/>
      <c r="D330" s="1072">
        <f>(D341+D342+D343+D344+D345)/(IF(Meal_entry_week_2!$V$547&gt;0,1,0)+IF(Meal_entry_week_2!$V$548&gt;0,1,0)+IF(Meal_entry_week_2!$V$549&gt;0,1,0)+IF(Meal_entry_week_2!$V$550&gt;0,1,0)+IF(Meal_entry_week_2!$V$551&gt;0,1,0)+0.00001)</f>
        <v>0</v>
      </c>
      <c r="E330" s="1072">
        <f>(E341+E342+E343+E344+E345)/(IF(Meal_entry_week_2!$V$547&gt;0,1,0)+IF(Meal_entry_week_2!$V$548&gt;0,1,0)+IF(Meal_entry_week_2!$V$549&gt;0,1,0)+IF(Meal_entry_week_2!$V$550&gt;0,1,0)+IF(Meal_entry_week_2!$V$551&gt;0,1,0)+0.00001)</f>
        <v>0</v>
      </c>
      <c r="F330" s="1072">
        <f>(F341+F342+F343+F344+F345)/(IF(Meal_entry_week_2!$V$547&gt;0,1,0)+IF(Meal_entry_week_2!$V$548&gt;0,1,0)+IF(Meal_entry_week_2!$V$549&gt;0,1,0)+IF(Meal_entry_week_2!$V$550&gt;0,1,0)+IF(Meal_entry_week_2!$V$551&gt;0,1,0)+0.00001)</f>
        <v>0</v>
      </c>
      <c r="G330" s="1072">
        <f>(G341+G342+G343+G344+G345)/(IF(Meal_entry_week_2!$V$547&gt;0,1,0)+IF(Meal_entry_week_2!$V$548&gt;0,1,0)+IF(Meal_entry_week_2!$V$549&gt;0,1,0)+IF(Meal_entry_week_2!$V$550&gt;0,1,0)+IF(Meal_entry_week_2!$V$551&gt;0,1,0)+0.00001)</f>
        <v>0</v>
      </c>
      <c r="H330" s="1072">
        <f>(H341+H342+H343+H344+H345)/(IF(Meal_entry_week_2!$V$547&gt;0,1,0)+IF(Meal_entry_week_2!$V$548&gt;0,1,0)+IF(Meal_entry_week_2!$V$549&gt;0,1,0)+IF(Meal_entry_week_2!$V$550&gt;0,1,0)+IF(Meal_entry_week_2!$V$551&gt;0,1,0)+0.00001)</f>
        <v>0</v>
      </c>
      <c r="I330" s="1072">
        <f>(I341+I342+I343+I344+I345)/(IF(Meal_entry_week_2!$V$547&gt;0,1,0)+IF(Meal_entry_week_2!$V$548&gt;0,1,0)+IF(Meal_entry_week_2!$V$549&gt;0,1,0)+IF(Meal_entry_week_2!$V$550&gt;0,1,0)+IF(Meal_entry_week_2!$V$551&gt;0,1,0)+0.00001)</f>
        <v>0</v>
      </c>
      <c r="J330" s="1072">
        <f>(J341+J342+J343+J344+J345)/(IF(Meal_entry_week_2!$V$547&gt;0,1,0)+IF(Meal_entry_week_2!$V$548&gt;0,1,0)+IF(Meal_entry_week_2!$V$549&gt;0,1,0)+IF(Meal_entry_week_2!$V$550&gt;0,1,0)+IF(Meal_entry_week_2!$V$551&gt;0,1,0)+0.00001)</f>
        <v>0</v>
      </c>
      <c r="K330" s="1072">
        <f>(K341+K342+K343+K344+K345)/(IF(Meal_entry_week_2!$V$547&gt;0,1,0)+IF(Meal_entry_week_2!$V$548&gt;0,1,0)+IF(Meal_entry_week_2!$V$549&gt;0,1,0)+IF(Meal_entry_week_2!$V$550&gt;0,1,0)+IF(Meal_entry_week_2!$V$551&gt;0,1,0)+0.00001)</f>
        <v>0</v>
      </c>
      <c r="L330" s="1072">
        <f>(L341+L342+L343+L344+L345)/(IF(Meal_entry_week_2!$V$547&gt;0,1,0)+IF(Meal_entry_week_2!$V$548&gt;0,1,0)+IF(Meal_entry_week_2!$V$549&gt;0,1,0)+IF(Meal_entry_week_2!$V$550&gt;0,1,0)+IF(Meal_entry_week_2!$V$551&gt;0,1,0)+0.00001)</f>
        <v>0</v>
      </c>
      <c r="M330" s="1072">
        <f>(M341+M342+M343+M344+M345)/(IF(Meal_entry_week_2!$V$547&gt;0,1,0)+IF(Meal_entry_week_2!$V$548&gt;0,1,0)+IF(Meal_entry_week_2!$V$549&gt;0,1,0)+IF(Meal_entry_week_2!$V$550&gt;0,1,0)+IF(Meal_entry_week_2!$V$551&gt;0,1,0)+0.00001)</f>
        <v>0</v>
      </c>
      <c r="N330" s="1072">
        <f>(N341+N342+N343+N344+N345)/(IF(Meal_entry_week_2!$V$547&gt;0,1,0)+IF(Meal_entry_week_2!$V$548&gt;0,1,0)+IF(Meal_entry_week_2!$V$549&gt;0,1,0)+IF(Meal_entry_week_2!$V$550&gt;0,1,0)+IF(Meal_entry_week_2!$V$551&gt;0,1,0)+0.00001)</f>
        <v>0</v>
      </c>
      <c r="O330" s="1072">
        <f>(O341+O342+O343+O344+O345)/(IF(Meal_entry_week_2!$V$547&gt;0,1,0)+IF(Meal_entry_week_2!$V$548&gt;0,1,0)+IF(Meal_entry_week_2!$V$549&gt;0,1,0)+IF(Meal_entry_week_2!$V$550&gt;0,1,0)+IF(Meal_entry_week_2!$V$551&gt;0,1,0)+0.00001)</f>
        <v>0</v>
      </c>
      <c r="P330" s="1072">
        <f>(P341+P342+P343+P344+P345)/(IF(Meal_entry_week_2!$V$547&gt;0,1,0)+IF(Meal_entry_week_2!$V$548&gt;0,1,0)+IF(Meal_entry_week_2!$V$549&gt;0,1,0)+IF(Meal_entry_week_2!$V$550&gt;0,1,0)+IF(Meal_entry_week_2!$V$551&gt;0,1,0)+0.00001)</f>
        <v>0</v>
      </c>
      <c r="Q330" s="1072">
        <f>(Q341+Q342+Q343+Q344+Q345)/(IF(Meal_entry_week_2!$V$547&gt;0,1,0)+IF(Meal_entry_week_2!$V$548&gt;0,1,0)+IF(Meal_entry_week_2!$V$549&gt;0,1,0)+IF(Meal_entry_week_2!$V$550&gt;0,1,0)+IF(Meal_entry_week_2!$V$551&gt;0,1,0)+0.00001)</f>
        <v>0</v>
      </c>
      <c r="R330" s="1072">
        <f>(R341+R342+R343+R344+R345)/(IF(Meal_entry_week_2!$V$547&gt;0,1,0)+IF(Meal_entry_week_2!$V$548&gt;0,1,0)+IF(Meal_entry_week_2!$V$549&gt;0,1,0)+IF(Meal_entry_week_2!$V$550&gt;0,1,0)+IF(Meal_entry_week_2!$V$551&gt;0,1,0)+0.00001)</f>
        <v>0</v>
      </c>
      <c r="S330" s="1072">
        <f>(S341+S342+S343+S344+S345)/(IF(Meal_entry_week_2!$V$547&gt;0,1,0)+IF(Meal_entry_week_2!$V$548&gt;0,1,0)+IF(Meal_entry_week_2!$V$549&gt;0,1,0)+IF(Meal_entry_week_2!$V$550&gt;0,1,0)+IF(Meal_entry_week_2!$V$551&gt;0,1,0)+0.00001)</f>
        <v>0</v>
      </c>
      <c r="T330" s="1070">
        <f>180-SUM(D330:S330)</f>
        <v>180</v>
      </c>
      <c r="U330" s="965"/>
      <c r="V330" s="913"/>
      <c r="W330" s="913"/>
      <c r="X330" s="913"/>
      <c r="Y330" s="913"/>
      <c r="Z330" s="913"/>
      <c r="AA330" s="913"/>
      <c r="AB330" s="913"/>
      <c r="AC330" s="913"/>
      <c r="AD330" s="913"/>
      <c r="AE330" s="913"/>
      <c r="AF330" s="913"/>
      <c r="AG330" s="913"/>
    </row>
    <row r="331" spans="1:33">
      <c r="A331" s="911"/>
      <c r="B331" s="956" t="s">
        <v>1425</v>
      </c>
      <c r="C331" s="945"/>
      <c r="D331" s="1072">
        <f>(D347+D348+D349+D350+D351)/(IF(Meal_entry_week_2!$V$547&gt;0,1,0)+IF(Meal_entry_week_2!$V$548&gt;0,1,0)+IF(Meal_entry_week_2!$V$549&gt;0,1,0)+IF(Meal_entry_week_2!$V$550&gt;0,1,0)+IF(Meal_entry_week_2!$V$551&gt;0,1,0)+0.00001)</f>
        <v>0</v>
      </c>
      <c r="E331" s="1072">
        <f>(E347+E348+E349+E350+E351)/(IF(Meal_entry_week_2!$V$547&gt;0,1,0)+IF(Meal_entry_week_2!$V$548&gt;0,1,0)+IF(Meal_entry_week_2!$V$549&gt;0,1,0)+IF(Meal_entry_week_2!$V$550&gt;0,1,0)+IF(Meal_entry_week_2!$V$551&gt;0,1,0)+0.00001)</f>
        <v>0</v>
      </c>
      <c r="F331" s="1072">
        <f>(F347+F348+F349+F350+F351)/(IF(Meal_entry_week_2!$V$547&gt;0,1,0)+IF(Meal_entry_week_2!$V$548&gt;0,1,0)+IF(Meal_entry_week_2!$V$549&gt;0,1,0)+IF(Meal_entry_week_2!$V$550&gt;0,1,0)+IF(Meal_entry_week_2!$V$551&gt;0,1,0)+0.00001)</f>
        <v>0</v>
      </c>
      <c r="G331" s="1072">
        <f>(G347+G348+G349+G350+G351)/(IF(Meal_entry_week_2!$V$547&gt;0,1,0)+IF(Meal_entry_week_2!$V$548&gt;0,1,0)+IF(Meal_entry_week_2!$V$549&gt;0,1,0)+IF(Meal_entry_week_2!$V$550&gt;0,1,0)+IF(Meal_entry_week_2!$V$551&gt;0,1,0)+0.00001)</f>
        <v>0</v>
      </c>
      <c r="H331" s="1072">
        <f>(H347+H348+H349+H350+H351)/(IF(Meal_entry_week_2!$V$547&gt;0,1,0)+IF(Meal_entry_week_2!$V$548&gt;0,1,0)+IF(Meal_entry_week_2!$V$549&gt;0,1,0)+IF(Meal_entry_week_2!$V$550&gt;0,1,0)+IF(Meal_entry_week_2!$V$551&gt;0,1,0)+0.00001)</f>
        <v>1.1999976000048</v>
      </c>
      <c r="I331" s="1072">
        <f>(I347+I348+I349+I350+I351)/(IF(Meal_entry_week_2!$V$547&gt;0,1,0)+IF(Meal_entry_week_2!$V$548&gt;0,1,0)+IF(Meal_entry_week_2!$V$549&gt;0,1,0)+IF(Meal_entry_week_2!$V$550&gt;0,1,0)+IF(Meal_entry_week_2!$V$551&gt;0,1,0)+0.00001)</f>
        <v>0</v>
      </c>
      <c r="J331" s="1072">
        <f>(J347+J348+J349+J350+J351)/(IF(Meal_entry_week_2!$V$547&gt;0,1,0)+IF(Meal_entry_week_2!$V$548&gt;0,1,0)+IF(Meal_entry_week_2!$V$549&gt;0,1,0)+IF(Meal_entry_week_2!$V$550&gt;0,1,0)+IF(Meal_entry_week_2!$V$551&gt;0,1,0)+0.00001)</f>
        <v>0.37766591133484406</v>
      </c>
      <c r="K331" s="1072">
        <f>(K347+K348+K349+K350+K351)/(IF(Meal_entry_week_2!$V$547&gt;0,1,0)+IF(Meal_entry_week_2!$V$548&gt;0,1,0)+IF(Meal_entry_week_2!$V$549&gt;0,1,0)+IF(Meal_entry_week_2!$V$550&gt;0,1,0)+IF(Meal_entry_week_2!$V$551&gt;0,1,0)+0.00001)</f>
        <v>9.6754473157720362</v>
      </c>
      <c r="L331" s="1072">
        <f>(L347+L348+L349+L350+L351)/(IF(Meal_entry_week_2!$V$547&gt;0,1,0)+IF(Meal_entry_week_2!$V$548&gt;0,1,0)+IF(Meal_entry_week_2!$V$549&gt;0,1,0)+IF(Meal_entry_week_2!$V$550&gt;0,1,0)+IF(Meal_entry_week_2!$V$551&gt;0,1,0)+0.00001)</f>
        <v>1.1373977252045495</v>
      </c>
      <c r="M331" s="1072">
        <f>(M347+M348+M349+M350+M351)/(IF(Meal_entry_week_2!$V$547&gt;0,1,0)+IF(Meal_entry_week_2!$V$548&gt;0,1,0)+IF(Meal_entry_week_2!$V$549&gt;0,1,0)+IF(Meal_entry_week_2!$V$550&gt;0,1,0)+IF(Meal_entry_week_2!$V$551&gt;0,1,0)+0.00001)</f>
        <v>0.58682682634634742</v>
      </c>
      <c r="N331" s="1072">
        <f>(N347+N348+N349+N350+N351)/(IF(Meal_entry_week_2!$V$547&gt;0,1,0)+IF(Meal_entry_week_2!$V$548&gt;0,1,0)+IF(Meal_entry_week_2!$V$549&gt;0,1,0)+IF(Meal_entry_week_2!$V$550&gt;0,1,0)+IF(Meal_entry_week_2!$V$551&gt;0,1,0)+0.00001)</f>
        <v>0.65135869728260554</v>
      </c>
      <c r="O331" s="1072">
        <f>(O347+O348+O349+O350+O351)/(IF(Meal_entry_week_2!$V$547&gt;0,1,0)+IF(Meal_entry_week_2!$V$548&gt;0,1,0)+IF(Meal_entry_week_2!$V$549&gt;0,1,0)+IF(Meal_entry_week_2!$V$550&gt;0,1,0)+IF(Meal_entry_week_2!$V$551&gt;0,1,0)+0.00001)</f>
        <v>3.514869911436648</v>
      </c>
      <c r="P331" s="1072">
        <f>(P347+P348+P349+P350+P351)/(IF(Meal_entry_week_2!$V$547&gt;0,1,0)+IF(Meal_entry_week_2!$V$548&gt;0,1,0)+IF(Meal_entry_week_2!$V$549&gt;0,1,0)+IF(Meal_entry_week_2!$V$550&gt;0,1,0)+IF(Meal_entry_week_2!$V$551&gt;0,1,0)+0.00001)</f>
        <v>5.3373726585880163</v>
      </c>
      <c r="Q331" s="1072">
        <f>(Q347+Q348+Q349+Q350+Q351)/(IF(Meal_entry_week_2!$V$547&gt;0,1,0)+IF(Meal_entry_week_2!$V$548&gt;0,1,0)+IF(Meal_entry_week_2!$V$549&gt;0,1,0)+IF(Meal_entry_week_2!$V$550&gt;0,1,0)+IF(Meal_entry_week_2!$V$551&gt;0,1,0)+0.00001)</f>
        <v>0</v>
      </c>
      <c r="R331" s="1072">
        <f>(R347+R348+R349+R350+R351)/(IF(Meal_entry_week_2!$V$547&gt;0,1,0)+IF(Meal_entry_week_2!$V$548&gt;0,1,0)+IF(Meal_entry_week_2!$V$549&gt;0,1,0)+IF(Meal_entry_week_2!$V$550&gt;0,1,0)+IF(Meal_entry_week_2!$V$551&gt;0,1,0)+0.00001)</f>
        <v>0</v>
      </c>
      <c r="S331" s="1072">
        <f>(S347+S348+S349+S350+S351)/(IF(Meal_entry_week_2!$V$547&gt;0,1,0)+IF(Meal_entry_week_2!$V$548&gt;0,1,0)+IF(Meal_entry_week_2!$V$549&gt;0,1,0)+IF(Meal_entry_week_2!$V$550&gt;0,1,0)+IF(Meal_entry_week_2!$V$551&gt;0,1,0)+0.00001)</f>
        <v>0</v>
      </c>
      <c r="T331" s="1070">
        <f>180-SUM(D331:S331)</f>
        <v>157.51906335403015</v>
      </c>
      <c r="U331" s="965"/>
      <c r="V331" s="913"/>
      <c r="W331" s="913"/>
      <c r="X331" s="913"/>
      <c r="Y331" s="913"/>
      <c r="Z331" s="913"/>
      <c r="AA331" s="913"/>
      <c r="AB331" s="913"/>
      <c r="AC331" s="913"/>
      <c r="AD331" s="913"/>
      <c r="AE331" s="913"/>
      <c r="AF331" s="913"/>
      <c r="AG331" s="913"/>
    </row>
    <row r="332" spans="1:33">
      <c r="A332" s="911"/>
      <c r="B332" s="956" t="s">
        <v>69</v>
      </c>
      <c r="C332" s="945"/>
      <c r="D332" s="1072">
        <f>(D353+D354+D355+D356+D357)/(IF(Meal_entry_week_2!$V$547&gt;0,1,0)+IF(Meal_entry_week_2!$V$548&gt;0,1,0)+IF(Meal_entry_week_2!$V$549&gt;0,1,0)+IF(Meal_entry_week_2!$V$550&gt;0,1,0)+IF(Meal_entry_week_2!$V$551&gt;0,1,0)+0.00001)</f>
        <v>26.36443298541975</v>
      </c>
      <c r="E332" s="1072">
        <f>(E353+E354+E355+E356+E357)/(IF(Meal_entry_week_2!$V$547&gt;0,1,0)+IF(Meal_entry_week_2!$V$548&gt;0,1,0)+IF(Meal_entry_week_2!$V$549&gt;0,1,0)+IF(Meal_entry_week_2!$V$550&gt;0,1,0)+IF(Meal_entry_week_2!$V$551&gt;0,1,0)+0.00001)</f>
        <v>0.90514104686076347</v>
      </c>
      <c r="F332" s="1072">
        <f>(F353+F354+F355+F356+F357)/(IF(Meal_entry_week_2!$V$547&gt;0,1,0)+IF(Meal_entry_week_2!$V$548&gt;0,1,0)+IF(Meal_entry_week_2!$V$549&gt;0,1,0)+IF(Meal_entry_week_2!$V$550&gt;0,1,0)+IF(Meal_entry_week_2!$V$551&gt;0,1,0)+0.00001)</f>
        <v>6.1379877240245531</v>
      </c>
      <c r="G332" s="1072">
        <f>(G353+G354+G355+G356+G357)/(IF(Meal_entry_week_2!$V$547&gt;0,1,0)+IF(Meal_entry_week_2!$V$548&gt;0,1,0)+IF(Meal_entry_week_2!$V$549&gt;0,1,0)+IF(Meal_entry_week_2!$V$550&gt;0,1,0)+IF(Meal_entry_week_2!$V$551&gt;0,1,0)+0.00001)</f>
        <v>11.439977120045761</v>
      </c>
      <c r="H332" s="1072">
        <f>(H353+H354+H355+H356+H357)/(IF(Meal_entry_week_2!$V$547&gt;0,1,0)+IF(Meal_entry_week_2!$V$548&gt;0,1,0)+IF(Meal_entry_week_2!$V$549&gt;0,1,0)+IF(Meal_entry_week_2!$V$550&gt;0,1,0)+IF(Meal_entry_week_2!$V$551&gt;0,1,0)+0.00001)</f>
        <v>2.2319955360089283</v>
      </c>
      <c r="I332" s="1072">
        <f>(I353+I354+I355+I356+I357)/(IF(Meal_entry_week_2!$V$547&gt;0,1,0)+IF(Meal_entry_week_2!$V$548&gt;0,1,0)+IF(Meal_entry_week_2!$V$549&gt;0,1,0)+IF(Meal_entry_week_2!$V$550&gt;0,1,0)+IF(Meal_entry_week_2!$V$551&gt;0,1,0)+0.00001)</f>
        <v>0</v>
      </c>
      <c r="J332" s="1072">
        <f>(J353+J354+J355+J356+J357)/(IF(Meal_entry_week_2!$V$547&gt;0,1,0)+IF(Meal_entry_week_2!$V$548&gt;0,1,0)+IF(Meal_entry_week_2!$V$549&gt;0,1,0)+IF(Meal_entry_week_2!$V$550&gt;0,1,0)+IF(Meal_entry_week_2!$V$551&gt;0,1,0)+0.00001)</f>
        <v>2.3833285666762003</v>
      </c>
      <c r="K332" s="1072">
        <f>(K353+K354+K355+K356+K357)/(IF(Meal_entry_week_2!$V$547&gt;0,1,0)+IF(Meal_entry_week_2!$V$548&gt;0,1,0)+IF(Meal_entry_week_2!$V$549&gt;0,1,0)+IF(Meal_entry_week_2!$V$550&gt;0,1,0)+IF(Meal_entry_week_2!$V$551&gt;0,1,0)+0.00001)</f>
        <v>5.6342687314625373</v>
      </c>
      <c r="L332" s="1072">
        <f>(L353+L354+L355+L356+L357)/(IF(Meal_entry_week_2!$V$547&gt;0,1,0)+IF(Meal_entry_week_2!$V$548&gt;0,1,0)+IF(Meal_entry_week_2!$V$549&gt;0,1,0)+IF(Meal_entry_week_2!$V$550&gt;0,1,0)+IF(Meal_entry_week_2!$V$551&gt;0,1,0)+0.00001)</f>
        <v>3.3135533728932542</v>
      </c>
      <c r="M332" s="1072">
        <f>(M353+M354+M355+M356+M357)/(IF(Meal_entry_week_2!$V$547&gt;0,1,0)+IF(Meal_entry_week_2!$V$548&gt;0,1,0)+IF(Meal_entry_week_2!$V$549&gt;0,1,0)+IF(Meal_entry_week_2!$V$550&gt;0,1,0)+IF(Meal_entry_week_2!$V$551&gt;0,1,0)+0.00001)</f>
        <v>5.468181063637874</v>
      </c>
      <c r="N332" s="1072">
        <f>(N353+N354+N355+N356+N357)/(IF(Meal_entry_week_2!$V$547&gt;0,1,0)+IF(Meal_entry_week_2!$V$548&gt;0,1,0)+IF(Meal_entry_week_2!$V$549&gt;0,1,0)+IF(Meal_entry_week_2!$V$550&gt;0,1,0)+IF(Meal_entry_week_2!$V$551&gt;0,1,0)+0.00001)</f>
        <v>1.4028503579356477</v>
      </c>
      <c r="O332" s="1072">
        <f>(O353+O354+O355+O356+O357)/(IF(Meal_entry_week_2!$V$547&gt;0,1,0)+IF(Meal_entry_week_2!$V$548&gt;0,1,0)+IF(Meal_entry_week_2!$V$549&gt;0,1,0)+IF(Meal_entry_week_2!$V$550&gt;0,1,0)+IF(Meal_entry_week_2!$V$551&gt;0,1,0)+0.00001)</f>
        <v>0.29185141629716749</v>
      </c>
      <c r="P332" s="1072">
        <f>(P353+P354+P355+P356+P357)/(IF(Meal_entry_week_2!$V$547&gt;0,1,0)+IF(Meal_entry_week_2!$V$548&gt;0,1,0)+IF(Meal_entry_week_2!$V$549&gt;0,1,0)+IF(Meal_entry_week_2!$V$550&gt;0,1,0)+IF(Meal_entry_week_2!$V$551&gt;0,1,0)+0.00001)</f>
        <v>4.7287805424389155</v>
      </c>
      <c r="Q332" s="1072">
        <f>(Q353+Q354+Q355+Q356+Q357)/(IF(Meal_entry_week_2!$V$547&gt;0,1,0)+IF(Meal_entry_week_2!$V$548&gt;0,1,0)+IF(Meal_entry_week_2!$V$549&gt;0,1,0)+IF(Meal_entry_week_2!$V$550&gt;0,1,0)+IF(Meal_entry_week_2!$V$551&gt;0,1,0)+0.00001)</f>
        <v>0</v>
      </c>
      <c r="R332" s="1072">
        <f>(R353+R354+R355+R356+R357)/(IF(Meal_entry_week_2!$V$547&gt;0,1,0)+IF(Meal_entry_week_2!$V$548&gt;0,1,0)+IF(Meal_entry_week_2!$V$549&gt;0,1,0)+IF(Meal_entry_week_2!$V$550&gt;0,1,0)+IF(Meal_entry_week_2!$V$551&gt;0,1,0)+0.00001)</f>
        <v>0</v>
      </c>
      <c r="S332" s="1072">
        <f>(S353+S354+S355+S356+S357)/(IF(Meal_entry_week_2!$V$547&gt;0,1,0)+IF(Meal_entry_week_2!$V$548&gt;0,1,0)+IF(Meal_entry_week_2!$V$549&gt;0,1,0)+IF(Meal_entry_week_2!$V$550&gt;0,1,0)+IF(Meal_entry_week_2!$V$551&gt;0,1,0)+0.00001)</f>
        <v>0</v>
      </c>
      <c r="T332" s="1070">
        <f>180-SUM(D332:S332)</f>
        <v>109.69765153629866</v>
      </c>
      <c r="U332" s="965"/>
      <c r="V332" s="913"/>
      <c r="W332" s="913"/>
      <c r="X332" s="913"/>
      <c r="Y332" s="913"/>
      <c r="Z332" s="913"/>
      <c r="AA332" s="913"/>
      <c r="AB332" s="913"/>
      <c r="AC332" s="913"/>
      <c r="AD332" s="913"/>
      <c r="AE332" s="913"/>
      <c r="AF332" s="913"/>
      <c r="AG332" s="913"/>
    </row>
    <row r="333" spans="1:33">
      <c r="A333" s="911"/>
      <c r="B333" s="1074" t="s">
        <v>1426</v>
      </c>
      <c r="C333" s="1027"/>
      <c r="D333" s="1075">
        <f>(D359+D360+D361+D362+D363)/(IF(Meal_entry_week_2!$V$547&gt;0,1,0)+IF(Meal_entry_week_2!$V$548&gt;0,1,0)+IF(Meal_entry_week_2!$V$549&gt;0,1,0)+IF(Meal_entry_week_2!$V$550&gt;0,1,0)+IF(Meal_entry_week_2!$V$551&gt;0,1,0)+0.00001)</f>
        <v>0</v>
      </c>
      <c r="E333" s="1075">
        <f>(E359+E360+E361+E362+E363)/(IF(Meal_entry_week_2!$V$547&gt;0,1,0)+IF(Meal_entry_week_2!$V$548&gt;0,1,0)+IF(Meal_entry_week_2!$V$549&gt;0,1,0)+IF(Meal_entry_week_2!$V$550&gt;0,1,0)+IF(Meal_entry_week_2!$V$551&gt;0,1,0)+0.00001)</f>
        <v>0</v>
      </c>
      <c r="F333" s="1075">
        <f>(F359+F360+F361+F362+F363)/(IF(Meal_entry_week_2!$V$547&gt;0,1,0)+IF(Meal_entry_week_2!$V$548&gt;0,1,0)+IF(Meal_entry_week_2!$V$549&gt;0,1,0)+IF(Meal_entry_week_2!$V$550&gt;0,1,0)+IF(Meal_entry_week_2!$V$551&gt;0,1,0)+0.00001)</f>
        <v>0</v>
      </c>
      <c r="G333" s="1075">
        <f>(G359+G360+G361+G362+G363)/(IF(Meal_entry_week_2!$V$547&gt;0,1,0)+IF(Meal_entry_week_2!$V$548&gt;0,1,0)+IF(Meal_entry_week_2!$V$549&gt;0,1,0)+IF(Meal_entry_week_2!$V$550&gt;0,1,0)+IF(Meal_entry_week_2!$V$551&gt;0,1,0)+0.00001)</f>
        <v>0</v>
      </c>
      <c r="H333" s="1075">
        <f>(H359+H360+H361+H362+H363)/(IF(Meal_entry_week_2!$V$547&gt;0,1,0)+IF(Meal_entry_week_2!$V$548&gt;0,1,0)+IF(Meal_entry_week_2!$V$549&gt;0,1,0)+IF(Meal_entry_week_2!$V$550&gt;0,1,0)+IF(Meal_entry_week_2!$V$551&gt;0,1,0)+0.00001)</f>
        <v>0</v>
      </c>
      <c r="I333" s="1075">
        <f>(I359+I360+I361+I362+I363)/(IF(Meal_entry_week_2!$V$547&gt;0,1,0)+IF(Meal_entry_week_2!$V$548&gt;0,1,0)+IF(Meal_entry_week_2!$V$549&gt;0,1,0)+IF(Meal_entry_week_2!$V$550&gt;0,1,0)+IF(Meal_entry_week_2!$V$551&gt;0,1,0)+0.00001)</f>
        <v>0</v>
      </c>
      <c r="J333" s="1075">
        <f>(J359+J360+J361+J362+J363)/(IF(Meal_entry_week_2!$V$547&gt;0,1,0)+IF(Meal_entry_week_2!$V$548&gt;0,1,0)+IF(Meal_entry_week_2!$V$549&gt;0,1,0)+IF(Meal_entry_week_2!$V$550&gt;0,1,0)+IF(Meal_entry_week_2!$V$551&gt;0,1,0)+0.00001)</f>
        <v>0</v>
      </c>
      <c r="K333" s="1075">
        <f>(K359+K360+K361+K362+K363)/(IF(Meal_entry_week_2!$V$547&gt;0,1,0)+IF(Meal_entry_week_2!$V$548&gt;0,1,0)+IF(Meal_entry_week_2!$V$549&gt;0,1,0)+IF(Meal_entry_week_2!$V$550&gt;0,1,0)+IF(Meal_entry_week_2!$V$551&gt;0,1,0)+0.00001)</f>
        <v>0</v>
      </c>
      <c r="L333" s="1075">
        <f>(L359+L360+L361+L362+L363)/(IF(Meal_entry_week_2!$V$547&gt;0,1,0)+IF(Meal_entry_week_2!$V$548&gt;0,1,0)+IF(Meal_entry_week_2!$V$549&gt;0,1,0)+IF(Meal_entry_week_2!$V$550&gt;0,1,0)+IF(Meal_entry_week_2!$V$551&gt;0,1,0)+0.00001)</f>
        <v>0</v>
      </c>
      <c r="M333" s="1075">
        <f>(M359+M360+M361+M362+M363)/(IF(Meal_entry_week_2!$V$547&gt;0,1,0)+IF(Meal_entry_week_2!$V$548&gt;0,1,0)+IF(Meal_entry_week_2!$V$549&gt;0,1,0)+IF(Meal_entry_week_2!$V$550&gt;0,1,0)+IF(Meal_entry_week_2!$V$551&gt;0,1,0)+0.00001)</f>
        <v>0</v>
      </c>
      <c r="N333" s="1075">
        <f>(N359+N360+N361+N362+N363)/(IF(Meal_entry_week_2!$V$547&gt;0,1,0)+IF(Meal_entry_week_2!$V$548&gt;0,1,0)+IF(Meal_entry_week_2!$V$549&gt;0,1,0)+IF(Meal_entry_week_2!$V$550&gt;0,1,0)+IF(Meal_entry_week_2!$V$551&gt;0,1,0)+0.00001)</f>
        <v>0</v>
      </c>
      <c r="O333" s="1075">
        <f>(O359+O360+O361+O362+O363)/(IF(Meal_entry_week_2!$V$547&gt;0,1,0)+IF(Meal_entry_week_2!$V$548&gt;0,1,0)+IF(Meal_entry_week_2!$V$549&gt;0,1,0)+IF(Meal_entry_week_2!$V$550&gt;0,1,0)+IF(Meal_entry_week_2!$V$551&gt;0,1,0)+0.00001)</f>
        <v>0</v>
      </c>
      <c r="P333" s="1075">
        <f>(P359+P360+P361+P362+P363)/(IF(Meal_entry_week_2!$V$547&gt;0,1,0)+IF(Meal_entry_week_2!$V$548&gt;0,1,0)+IF(Meal_entry_week_2!$V$549&gt;0,1,0)+IF(Meal_entry_week_2!$V$550&gt;0,1,0)+IF(Meal_entry_week_2!$V$551&gt;0,1,0)+0.00001)</f>
        <v>0</v>
      </c>
      <c r="Q333" s="1075">
        <f>(Q359+Q360+Q361+Q362+Q363)/(IF(Meal_entry_week_2!$V$547&gt;0,1,0)+IF(Meal_entry_week_2!$V$548&gt;0,1,0)+IF(Meal_entry_week_2!$V$549&gt;0,1,0)+IF(Meal_entry_week_2!$V$550&gt;0,1,0)+IF(Meal_entry_week_2!$V$551&gt;0,1,0)+0.00001)</f>
        <v>0</v>
      </c>
      <c r="R333" s="1075">
        <f>(R359+R360+R361+R362+R363)/(IF(Meal_entry_week_2!$V$547&gt;0,1,0)+IF(Meal_entry_week_2!$V$548&gt;0,1,0)+IF(Meal_entry_week_2!$V$549&gt;0,1,0)+IF(Meal_entry_week_2!$V$550&gt;0,1,0)+IF(Meal_entry_week_2!$V$551&gt;0,1,0)+0.00001)</f>
        <v>0</v>
      </c>
      <c r="S333" s="1075">
        <f>(S359+S360+S361+S362+S363)/(IF(Meal_entry_week_2!$V$547&gt;0,1,0)+IF(Meal_entry_week_2!$V$548&gt;0,1,0)+IF(Meal_entry_week_2!$V$549&gt;0,1,0)+IF(Meal_entry_week_2!$V$550&gt;0,1,0)+IF(Meal_entry_week_2!$V$551&gt;0,1,0)+0.00001)</f>
        <v>0</v>
      </c>
      <c r="T333" s="1070">
        <f>180-SUM(D333:S333)</f>
        <v>180</v>
      </c>
      <c r="U333" s="965"/>
      <c r="V333" s="913"/>
      <c r="W333" s="913"/>
      <c r="X333" s="913"/>
      <c r="Y333" s="913"/>
      <c r="Z333" s="913"/>
      <c r="AA333" s="913"/>
      <c r="AB333" s="913"/>
      <c r="AC333" s="913"/>
      <c r="AD333" s="913"/>
      <c r="AE333" s="913"/>
      <c r="AF333" s="913"/>
      <c r="AG333" s="913"/>
    </row>
    <row r="334" spans="1:33">
      <c r="A334" s="911"/>
      <c r="B334" s="956" t="s">
        <v>2511</v>
      </c>
      <c r="C334" s="945"/>
      <c r="D334" s="913" t="s">
        <v>3140</v>
      </c>
      <c r="E334" s="913" t="s">
        <v>3069</v>
      </c>
      <c r="F334" s="913" t="s">
        <v>3077</v>
      </c>
      <c r="G334" s="913" t="s">
        <v>3073</v>
      </c>
      <c r="H334" s="913" t="s">
        <v>3070</v>
      </c>
      <c r="I334" s="913" t="s">
        <v>3575</v>
      </c>
      <c r="J334" s="913" t="s">
        <v>3072</v>
      </c>
      <c r="K334" s="913" t="s">
        <v>3085</v>
      </c>
      <c r="L334" s="913" t="s">
        <v>3075</v>
      </c>
      <c r="M334" s="913" t="s">
        <v>3141</v>
      </c>
      <c r="N334" s="913" t="s">
        <v>3550</v>
      </c>
      <c r="O334" s="913" t="s">
        <v>3078</v>
      </c>
      <c r="P334" s="913" t="s">
        <v>3551</v>
      </c>
      <c r="Q334" s="913" t="s">
        <v>3082</v>
      </c>
      <c r="R334" s="1067" t="s">
        <v>3083</v>
      </c>
      <c r="S334" s="913" t="s">
        <v>3084</v>
      </c>
      <c r="T334" s="1068"/>
      <c r="U334" s="965"/>
      <c r="V334" s="913"/>
      <c r="W334" s="913"/>
      <c r="X334" s="913"/>
      <c r="Y334" s="913"/>
      <c r="Z334" s="913"/>
      <c r="AA334" s="913"/>
      <c r="AB334" s="913"/>
      <c r="AC334" s="913"/>
      <c r="AD334" s="913"/>
      <c r="AE334" s="913"/>
      <c r="AF334" s="913"/>
      <c r="AG334" s="913"/>
    </row>
    <row r="335" spans="1:33">
      <c r="A335" s="911"/>
      <c r="B335" s="956" t="s">
        <v>3064</v>
      </c>
      <c r="C335" s="945"/>
      <c r="D335" s="1072">
        <f t="shared" ref="D335:E339" si="41">D341+D347+D353+D359</f>
        <v>29</v>
      </c>
      <c r="E335" s="1072">
        <f t="shared" si="41"/>
        <v>0</v>
      </c>
      <c r="F335" s="1072">
        <f t="shared" ref="F335:S335" si="42">F341+F347+F353+F359</f>
        <v>5.94</v>
      </c>
      <c r="G335" s="1072">
        <f t="shared" si="42"/>
        <v>17.600000000000001</v>
      </c>
      <c r="H335" s="1072">
        <f t="shared" si="42"/>
        <v>0</v>
      </c>
      <c r="I335" s="1072">
        <f t="shared" si="42"/>
        <v>0</v>
      </c>
      <c r="J335" s="1072">
        <f t="shared" si="42"/>
        <v>5.1333333333333337</v>
      </c>
      <c r="K335" s="1072">
        <f t="shared" si="42"/>
        <v>14.671533333333333</v>
      </c>
      <c r="L335" s="1072">
        <f t="shared" si="42"/>
        <v>10.542</v>
      </c>
      <c r="M335" s="1072">
        <f t="shared" si="42"/>
        <v>1.3387</v>
      </c>
      <c r="N335" s="1072">
        <f t="shared" si="42"/>
        <v>2.8207418181818182</v>
      </c>
      <c r="O335" s="1072">
        <f t="shared" si="42"/>
        <v>0</v>
      </c>
      <c r="P335" s="1072">
        <f t="shared" si="42"/>
        <v>3.5200000000000005</v>
      </c>
      <c r="Q335" s="1072">
        <f t="shared" si="42"/>
        <v>0</v>
      </c>
      <c r="R335" s="1072">
        <f t="shared" si="42"/>
        <v>0</v>
      </c>
      <c r="S335" s="1072">
        <f t="shared" si="42"/>
        <v>0</v>
      </c>
      <c r="T335" s="1070">
        <f>220-SUM(D335:S335)</f>
        <v>129.43369151515151</v>
      </c>
      <c r="U335" s="965"/>
      <c r="V335" s="913"/>
      <c r="W335" s="913"/>
      <c r="X335" s="913"/>
      <c r="Y335" s="913"/>
      <c r="Z335" s="913"/>
      <c r="AA335" s="913"/>
      <c r="AB335" s="913"/>
      <c r="AC335" s="913"/>
      <c r="AD335" s="913"/>
      <c r="AE335" s="913"/>
      <c r="AF335" s="913"/>
      <c r="AG335" s="913"/>
    </row>
    <row r="336" spans="1:33">
      <c r="A336" s="911"/>
      <c r="B336" s="956" t="s">
        <v>3065</v>
      </c>
      <c r="C336" s="945"/>
      <c r="D336" s="1072">
        <f t="shared" si="41"/>
        <v>21.3</v>
      </c>
      <c r="E336" s="1072">
        <f t="shared" si="41"/>
        <v>4.5257142857142858</v>
      </c>
      <c r="F336" s="1072">
        <f t="shared" ref="F336:S336" si="43">F342+F348+F354+F360</f>
        <v>7.4249999999999998</v>
      </c>
      <c r="G336" s="1072">
        <f t="shared" si="43"/>
        <v>0</v>
      </c>
      <c r="H336" s="1072">
        <f t="shared" si="43"/>
        <v>0</v>
      </c>
      <c r="I336" s="1072">
        <f t="shared" si="43"/>
        <v>0</v>
      </c>
      <c r="J336" s="1072">
        <f t="shared" si="43"/>
        <v>0</v>
      </c>
      <c r="K336" s="1072">
        <f t="shared" si="43"/>
        <v>20.83</v>
      </c>
      <c r="L336" s="1072">
        <f t="shared" si="43"/>
        <v>0.60499999999999998</v>
      </c>
      <c r="M336" s="1072">
        <f t="shared" si="43"/>
        <v>20.88</v>
      </c>
      <c r="N336" s="1072">
        <f t="shared" si="43"/>
        <v>8.0640000000000003E-2</v>
      </c>
      <c r="O336" s="1072">
        <f t="shared" si="43"/>
        <v>12.96</v>
      </c>
      <c r="P336" s="1072">
        <f t="shared" si="43"/>
        <v>13.325949999999999</v>
      </c>
      <c r="Q336" s="1072">
        <f t="shared" si="43"/>
        <v>0</v>
      </c>
      <c r="R336" s="1072">
        <f t="shared" si="43"/>
        <v>0</v>
      </c>
      <c r="S336" s="1072">
        <f t="shared" si="43"/>
        <v>0</v>
      </c>
      <c r="T336" s="1070">
        <f>220-SUM(D336:S336)</f>
        <v>118.06769571428572</v>
      </c>
      <c r="U336" s="965"/>
      <c r="V336" s="913"/>
      <c r="W336" s="913"/>
      <c r="X336" s="913"/>
      <c r="Y336" s="913"/>
      <c r="Z336" s="913"/>
      <c r="AA336" s="913"/>
      <c r="AB336" s="913"/>
      <c r="AC336" s="913"/>
      <c r="AD336" s="913"/>
      <c r="AE336" s="913"/>
      <c r="AF336" s="913"/>
      <c r="AG336" s="913"/>
    </row>
    <row r="337" spans="1:33">
      <c r="A337" s="911"/>
      <c r="B337" s="956" t="s">
        <v>3940</v>
      </c>
      <c r="C337" s="945"/>
      <c r="D337" s="1072">
        <f t="shared" si="41"/>
        <v>39.400000000000006</v>
      </c>
      <c r="E337" s="1072">
        <f t="shared" si="41"/>
        <v>0</v>
      </c>
      <c r="F337" s="1072">
        <f t="shared" ref="F337:S337" si="44">F343+F349+F355+F361</f>
        <v>2.4750000000000001</v>
      </c>
      <c r="G337" s="1072">
        <f t="shared" si="44"/>
        <v>0</v>
      </c>
      <c r="H337" s="1072">
        <f t="shared" si="44"/>
        <v>17.16</v>
      </c>
      <c r="I337" s="1072">
        <f t="shared" si="44"/>
        <v>0</v>
      </c>
      <c r="J337" s="1072">
        <f t="shared" si="44"/>
        <v>0.91666666666666674</v>
      </c>
      <c r="K337" s="1072">
        <f t="shared" si="44"/>
        <v>12.1304</v>
      </c>
      <c r="L337" s="1072">
        <f t="shared" si="44"/>
        <v>2.3957999999999999</v>
      </c>
      <c r="M337" s="1072">
        <f t="shared" si="44"/>
        <v>0.77615999999999996</v>
      </c>
      <c r="N337" s="1072">
        <f t="shared" si="44"/>
        <v>2.5809000000000002</v>
      </c>
      <c r="O337" s="1072">
        <f t="shared" si="44"/>
        <v>1.1215600000000001</v>
      </c>
      <c r="P337" s="1072">
        <f t="shared" si="44"/>
        <v>12.369499999999999</v>
      </c>
      <c r="Q337" s="1072">
        <f t="shared" si="44"/>
        <v>0</v>
      </c>
      <c r="R337" s="1072">
        <f t="shared" si="44"/>
        <v>0</v>
      </c>
      <c r="S337" s="1072">
        <f t="shared" si="44"/>
        <v>0</v>
      </c>
      <c r="T337" s="1070">
        <f>220-SUM(D337:S337)</f>
        <v>128.67401333333333</v>
      </c>
      <c r="U337" s="965"/>
      <c r="V337" s="913"/>
      <c r="W337" s="913"/>
      <c r="X337" s="913"/>
      <c r="Y337" s="913"/>
      <c r="Z337" s="913"/>
      <c r="AA337" s="913"/>
      <c r="AB337" s="913"/>
      <c r="AC337" s="913"/>
      <c r="AD337" s="913"/>
      <c r="AE337" s="913"/>
      <c r="AF337" s="913"/>
      <c r="AG337" s="913"/>
    </row>
    <row r="338" spans="1:33">
      <c r="A338" s="911"/>
      <c r="B338" s="956" t="s">
        <v>3067</v>
      </c>
      <c r="C338" s="945"/>
      <c r="D338" s="1072">
        <f t="shared" si="41"/>
        <v>34.096428571428575</v>
      </c>
      <c r="E338" s="1072">
        <f t="shared" si="41"/>
        <v>0</v>
      </c>
      <c r="F338" s="1072">
        <f t="shared" ref="F338:S338" si="45">F344+F350+F356+F362</f>
        <v>7.4249999999999998</v>
      </c>
      <c r="G338" s="1072">
        <f t="shared" si="45"/>
        <v>17.600000000000001</v>
      </c>
      <c r="H338" s="1072">
        <f t="shared" si="45"/>
        <v>0</v>
      </c>
      <c r="I338" s="1072">
        <f t="shared" si="45"/>
        <v>0</v>
      </c>
      <c r="J338" s="1072">
        <f t="shared" si="45"/>
        <v>3.666666666666667</v>
      </c>
      <c r="K338" s="1072">
        <f t="shared" si="45"/>
        <v>18.106000000000002</v>
      </c>
      <c r="L338" s="1072">
        <f t="shared" si="45"/>
        <v>2.9039999999999999</v>
      </c>
      <c r="M338" s="1072">
        <f t="shared" si="45"/>
        <v>0.86239999999999994</v>
      </c>
      <c r="N338" s="1072">
        <f t="shared" si="45"/>
        <v>0.18542400000000001</v>
      </c>
      <c r="O338" s="1072">
        <f t="shared" si="45"/>
        <v>0.33770000000000006</v>
      </c>
      <c r="P338" s="1072">
        <f t="shared" si="45"/>
        <v>15.835416666666667</v>
      </c>
      <c r="Q338" s="1072">
        <f t="shared" si="45"/>
        <v>0</v>
      </c>
      <c r="R338" s="1072">
        <f t="shared" si="45"/>
        <v>0</v>
      </c>
      <c r="S338" s="1072">
        <f t="shared" si="45"/>
        <v>0</v>
      </c>
      <c r="T338" s="1070">
        <f>220-SUM(D338:S338)</f>
        <v>118.98096409523811</v>
      </c>
      <c r="U338" s="965"/>
      <c r="V338" s="913"/>
      <c r="W338" s="913"/>
      <c r="X338" s="913"/>
      <c r="Y338" s="913"/>
      <c r="Z338" s="913"/>
      <c r="AA338" s="913"/>
      <c r="AB338" s="913"/>
      <c r="AC338" s="913"/>
      <c r="AD338" s="913"/>
      <c r="AE338" s="913"/>
      <c r="AF338" s="913"/>
      <c r="AG338" s="913"/>
    </row>
    <row r="339" spans="1:33">
      <c r="A339" s="911"/>
      <c r="B339" s="1074" t="s">
        <v>3068</v>
      </c>
      <c r="C339" s="945"/>
      <c r="D339" s="1075">
        <f t="shared" si="41"/>
        <v>8.0259999999999998</v>
      </c>
      <c r="E339" s="1075">
        <f t="shared" si="41"/>
        <v>0</v>
      </c>
      <c r="F339" s="1075">
        <f t="shared" ref="F339:S339" si="46">F345+F351+F357+F363</f>
        <v>7.4249999999999998</v>
      </c>
      <c r="G339" s="1075">
        <f t="shared" si="46"/>
        <v>22</v>
      </c>
      <c r="H339" s="1075">
        <f t="shared" si="46"/>
        <v>0</v>
      </c>
      <c r="I339" s="1075">
        <f t="shared" si="46"/>
        <v>0</v>
      </c>
      <c r="J339" s="1075">
        <f t="shared" si="46"/>
        <v>4.0883333333333338</v>
      </c>
      <c r="K339" s="1075">
        <f t="shared" si="46"/>
        <v>10.8108</v>
      </c>
      <c r="L339" s="1075">
        <f t="shared" si="46"/>
        <v>5.8079999999999998</v>
      </c>
      <c r="M339" s="1075">
        <f t="shared" si="46"/>
        <v>6.41784</v>
      </c>
      <c r="N339" s="1075">
        <f t="shared" si="46"/>
        <v>4.6033600000000003</v>
      </c>
      <c r="O339" s="1075">
        <f t="shared" si="46"/>
        <v>4.6143847058823528</v>
      </c>
      <c r="P339" s="1075">
        <f t="shared" si="46"/>
        <v>5.28</v>
      </c>
      <c r="Q339" s="1075">
        <f t="shared" si="46"/>
        <v>0</v>
      </c>
      <c r="R339" s="1075">
        <f t="shared" si="46"/>
        <v>0</v>
      </c>
      <c r="S339" s="1075">
        <f t="shared" si="46"/>
        <v>0</v>
      </c>
      <c r="T339" s="1070">
        <f>220-SUM(D339:S339)</f>
        <v>140.92628196078431</v>
      </c>
      <c r="U339" s="965"/>
      <c r="V339" s="913"/>
      <c r="W339" s="913"/>
      <c r="X339" s="913"/>
      <c r="Y339" s="913"/>
      <c r="Z339" s="913"/>
      <c r="AA339" s="913"/>
      <c r="AB339" s="913"/>
      <c r="AC339" s="913"/>
      <c r="AD339" s="913"/>
      <c r="AE339" s="913"/>
      <c r="AF339" s="913"/>
      <c r="AG339" s="913"/>
    </row>
    <row r="340" spans="1:33">
      <c r="A340" s="911"/>
      <c r="B340" s="956" t="s">
        <v>3944</v>
      </c>
      <c r="C340" s="945"/>
      <c r="D340" s="913" t="s">
        <v>3140</v>
      </c>
      <c r="E340" s="913" t="s">
        <v>3069</v>
      </c>
      <c r="F340" s="913" t="s">
        <v>3077</v>
      </c>
      <c r="G340" s="913" t="s">
        <v>3073</v>
      </c>
      <c r="H340" s="913" t="s">
        <v>3070</v>
      </c>
      <c r="I340" s="913" t="s">
        <v>3575</v>
      </c>
      <c r="J340" s="913" t="s">
        <v>3072</v>
      </c>
      <c r="K340" s="913" t="s">
        <v>3085</v>
      </c>
      <c r="L340" s="913" t="s">
        <v>3075</v>
      </c>
      <c r="M340" s="913" t="s">
        <v>3141</v>
      </c>
      <c r="N340" s="913" t="s">
        <v>3550</v>
      </c>
      <c r="O340" s="913" t="s">
        <v>3078</v>
      </c>
      <c r="P340" s="913" t="s">
        <v>3551</v>
      </c>
      <c r="Q340" s="913" t="s">
        <v>3082</v>
      </c>
      <c r="R340" s="1067" t="s">
        <v>3083</v>
      </c>
      <c r="S340" s="913" t="s">
        <v>3084</v>
      </c>
      <c r="T340" s="1068"/>
      <c r="U340" s="965"/>
      <c r="V340" s="913"/>
      <c r="W340" s="913"/>
      <c r="X340" s="913"/>
      <c r="Y340" s="913"/>
      <c r="Z340" s="913"/>
      <c r="AA340" s="913"/>
      <c r="AB340" s="913"/>
      <c r="AC340" s="913"/>
      <c r="AD340" s="913"/>
      <c r="AE340" s="913"/>
      <c r="AF340" s="913"/>
      <c r="AG340" s="913"/>
    </row>
    <row r="341" spans="1:33">
      <c r="A341" s="911"/>
      <c r="B341" s="956" t="s">
        <v>3064</v>
      </c>
      <c r="C341" s="945"/>
      <c r="D341" s="1072">
        <f>SUMIF(Meal_entry_week_2!G$11:G$30,"Vegetables_mushrooms_fresh_frozen",Meal_entry_week_2!T$11:T$30)</f>
        <v>0</v>
      </c>
      <c r="E341" s="1072">
        <f>SUMIF(Meal_entry_week_2!G$11:G$30,"Vegetables_processed",Meal_entry_week_2!T$11:T$30)</f>
        <v>0</v>
      </c>
      <c r="F341" s="1072">
        <f>SUMIF(Meal_entry_week_2!G$11:G$30,"Fruits_nuts_dried_fruit",Meal_entry_week_2!T$11:T$30)</f>
        <v>0</v>
      </c>
      <c r="G341" s="1072">
        <f>SUMIF(Meal_entry_week_2!G$11:G$30,"Meat_fresh_frozen",Meal_entry_week_2!T$11:T$30)</f>
        <v>0</v>
      </c>
      <c r="H341" s="1072">
        <f>SUMIF(Meal_entry_week_2!G$11:G$30,"Meat_processed",Meal_entry_week_2!T$11:T$30)</f>
        <v>0</v>
      </c>
      <c r="I341" s="1072">
        <f>SUMIF(Meal_entry_week_2!G$11:G$30,"Fish_fresh_frozen",Meal_entry_week_2!T$11:T$30)+SUMIF(Meal_entry_week_2!G$11:G$30,"Fish_processed_canned",Meal_entry_week_2!T$11:T$30)</f>
        <v>0</v>
      </c>
      <c r="J341" s="1072">
        <f>SUMIF(Meal_entry_week_2!G$11:G$30,"Eggs",Meal_entry_week_2!T$11:T$30)</f>
        <v>0</v>
      </c>
      <c r="K341" s="1072">
        <f>SUMIF(Meal_entry_week_2!G$11:G$30,"Dairy_products",Meal_entry_week_2!T$11:T$30)</f>
        <v>0</v>
      </c>
      <c r="L341" s="1072">
        <f>SUMIF(Meal_entry_week_2!G$11:G$30,"Oil_butter_margarine",Meal_entry_week_2!T$11:T$30)</f>
        <v>0</v>
      </c>
      <c r="M341" s="1072">
        <f>SUMIF(Meal_entry_week_2!G$11:G$30,"Flour_pasta_seeds_cereals",Meal_entry_week_2!T$11:T$30)</f>
        <v>0</v>
      </c>
      <c r="N341" s="1072">
        <f>SUMIF(Meal_entry_week_2!G$11:G$30,"Sauces_purees_dressings",Meal_entry_week_2!T$11:T$30)+SUMIF(Meal_entry_week_2!G$11:G$30,"Spices_seasonings",Meal_entry_week_2!T$11:T$30)</f>
        <v>0</v>
      </c>
      <c r="O341" s="1072">
        <f>SUMIF(Meal_entry_week_2!G$11:G$30,"Sweet_foods_cakes",Meal_entry_week_2!T$11:T$30)</f>
        <v>0</v>
      </c>
      <c r="P341" s="1072">
        <f>SUMIF(Meal_entry_week_2!G$11:G$30,"Bread_and_pastries",Meal_entry_week_2!T$11:T$30)+SUMIF(Meal_entry_week_2!G$11:G$30,"Savoury_pastries",Meal_entry_week_2!T$11:T$30)+SUMIF(Meal_entry_week_2!G$11:G$30,"Sweet_pastries",Meal_entry_week_2!T$11:T$30)</f>
        <v>0</v>
      </c>
      <c r="Q341" s="1072">
        <f>SUMIF(Meal_entry_week_2!G$11:G$30,"Other_processed_foods",Meal_entry_week_2!T$11:T$30)</f>
        <v>0</v>
      </c>
      <c r="R341" s="1072">
        <f>SUMIF(Meal_entry_week_2!G$11:G$30,"Zasladjena_piča_čajevi_kafa",Meal_entry_week_2!T$11:T$30)</f>
        <v>0</v>
      </c>
      <c r="S341" s="1072">
        <f>SUMIF(Meal_entry_week_2!G$11:G$30,"Fruit_juices_water",Meal_entry_week_2!T$11:T$30)</f>
        <v>0</v>
      </c>
      <c r="T341" s="1070">
        <f>65-SUM(D341:S341)</f>
        <v>65</v>
      </c>
      <c r="U341" s="965"/>
      <c r="V341" s="913"/>
      <c r="W341" s="913"/>
      <c r="X341" s="913"/>
      <c r="Y341" s="913"/>
      <c r="Z341" s="913"/>
      <c r="AA341" s="913"/>
      <c r="AB341" s="913"/>
      <c r="AC341" s="913"/>
      <c r="AD341" s="913"/>
      <c r="AE341" s="913"/>
      <c r="AF341" s="913"/>
      <c r="AG341" s="913"/>
    </row>
    <row r="342" spans="1:33">
      <c r="A342" s="911"/>
      <c r="B342" s="956" t="s">
        <v>3065</v>
      </c>
      <c r="C342" s="945"/>
      <c r="D342" s="1072">
        <f>SUMIF(Meal_entry_week_2!G$110:G$129,"Vegetables_mushrooms_fresh_frozen",Meal_entry_week_2!T$110:T$129)</f>
        <v>0</v>
      </c>
      <c r="E342" s="1072">
        <f>SUMIF(Meal_entry_week_2!G$110:G$129,"Vegetables_processed",Meal_entry_week_2!T$110:T$129)</f>
        <v>0</v>
      </c>
      <c r="F342" s="1072">
        <f>SUMIF(Meal_entry_week_2!G$110:G$129,"Fruits_nuts_dried_fruit",Meal_entry_week_2!T$110:T$129)</f>
        <v>0</v>
      </c>
      <c r="G342" s="1072">
        <f>SUMIF(Meal_entry_week_2!G$110:G$129,"Meat_fresh_frozen",Meal_entry_week_2!T$110:T$129)</f>
        <v>0</v>
      </c>
      <c r="H342" s="1072">
        <f>SUMIF(Meal_entry_week_2!G$110:G$129,"Meat_processed",Meal_entry_week_2!T$110:T$129)</f>
        <v>0</v>
      </c>
      <c r="I342" s="1072">
        <f>SUMIF(Meal_entry_week_2!G$110:G$129,"Fish_fresh_frozen",Meal_entry_week_2!T$110:T$129)+SUMIF(Meal_entry_week_2!G$110:G$129,"Fish_processed_canned",Meal_entry_week_2!T$110:T$129)</f>
        <v>0</v>
      </c>
      <c r="J342" s="1072">
        <f>SUMIF(Meal_entry_week_2!G$110:G$129,"Eggs",Meal_entry_week_2!T$110:T$129)</f>
        <v>0</v>
      </c>
      <c r="K342" s="1072">
        <f>SUMIF(Meal_entry_week_2!G$110:G$129,"Dairy_products",Meal_entry_week_2!T$110:T$129)</f>
        <v>0</v>
      </c>
      <c r="L342" s="1072">
        <f>SUMIF(Meal_entry_week_2!G$110:G$129,"Oil_butter_margarine",Meal_entry_week_2!T$110:T$129)</f>
        <v>0</v>
      </c>
      <c r="M342" s="1072">
        <f>SUMIF(Meal_entry_week_2!G$110:G$129,"Flour_pasta_seeds_cereals",Meal_entry_week_2!T$110:T$129)</f>
        <v>0</v>
      </c>
      <c r="N342" s="1072">
        <f>SUMIF(Meal_entry_week_2!G$110:G$129,"Sauces_purees_dressings",Meal_entry_week_2!T$110:T$129)+SUMIF(Meal_entry_week_2!G$110:G$129,"Spices_seasonings",Meal_entry_week_2!T$110:T$129)</f>
        <v>0</v>
      </c>
      <c r="O342" s="1072">
        <f>SUMIF(Meal_entry_week_2!G$110:G$129,"Sweet_foods_cakes",Meal_entry_week_2!T$110:T$129)</f>
        <v>0</v>
      </c>
      <c r="P342" s="1072">
        <f>SUMIF(Meal_entry_week_2!G$110:G$129,"Bread_and_pastries",Meal_entry_week_2!T$110:T$129)+SUMIF(Meal_entry_week_2!G$110:G$129,"Savoury_pastries",Meal_entry_week_2!T$110:T$129)+SUMIF(Meal_entry_week_2!G$110:G$129,"Sweet_pastries",Meal_entry_week_2!T$110:T$129)</f>
        <v>0</v>
      </c>
      <c r="Q342" s="1072">
        <f>SUMIF(Meal_entry_week_2!G$110:G$129,"Other_processed_foods",Meal_entry_week_2!T$110:T$129)</f>
        <v>0</v>
      </c>
      <c r="R342" s="1072">
        <f>SUMIF(Meal_entry_week_2!G$110:G$129,"Zasladjena_piča_čajevi_kafa",Meal_entry_week_2!T$110:T$129)</f>
        <v>0</v>
      </c>
      <c r="S342" s="1072">
        <f>SUMIF(Meal_entry_week_2!G$110:G$129,"Fruit_juices_water",Meal_entry_week_2!T$110:T$129)</f>
        <v>0</v>
      </c>
      <c r="T342" s="1070">
        <f>65-SUM(D342:S342)</f>
        <v>65</v>
      </c>
      <c r="U342" s="965"/>
      <c r="V342" s="913"/>
      <c r="W342" s="913"/>
      <c r="X342" s="913"/>
      <c r="Y342" s="913"/>
      <c r="Z342" s="913"/>
      <c r="AA342" s="913"/>
      <c r="AB342" s="913"/>
      <c r="AC342" s="913"/>
      <c r="AD342" s="913"/>
      <c r="AE342" s="913"/>
      <c r="AF342" s="913"/>
      <c r="AG342" s="913"/>
    </row>
    <row r="343" spans="1:33">
      <c r="A343" s="911"/>
      <c r="B343" s="956" t="s">
        <v>3940</v>
      </c>
      <c r="C343" s="945"/>
      <c r="D343" s="1072">
        <f>SUMIF(Meal_entry_week_2!G$209:G$228,"Vegetables_mushrooms_fresh_frozen",Meal_entry_week_2!T$209:T$228)</f>
        <v>0</v>
      </c>
      <c r="E343" s="1072">
        <f>SUMIF(Meal_entry_week_2!G$209:G$228,"Vegetables_processed",Meal_entry_week_2!T$209:T$228)</f>
        <v>0</v>
      </c>
      <c r="F343" s="1072">
        <f>SUMIF(Meal_entry_week_2!G$209:G$228,"Fruits_nuts_dried_fruit",Meal_entry_week_2!T$209:T$228)</f>
        <v>0</v>
      </c>
      <c r="G343" s="1072">
        <f>SUMIF(Meal_entry_week_2!G$209:G$228,"Meat_fresh_frozen",Meal_entry_week_2!T$209:T$228)</f>
        <v>0</v>
      </c>
      <c r="H343" s="1072">
        <f>SUMIF(Meal_entry_week_2!G$209:G$228,"Meat_processed",Meal_entry_week_2!T$209:T$228)</f>
        <v>0</v>
      </c>
      <c r="I343" s="1072">
        <f>SUMIF(Meal_entry_week_2!G$209:G$228,"Fish_fresh_frozen",Meal_entry_week_2!T$209:T$228)+SUMIF(Meal_entry_week_2!G$209:G$228,"Fish_processed_canned",Meal_entry_week_2!T$209:T$228)</f>
        <v>0</v>
      </c>
      <c r="J343" s="1072">
        <f>SUMIF(Meal_entry_week_2!G$209:G$228,"Eggs",Meal_entry_week_2!T$209:T$228)</f>
        <v>0</v>
      </c>
      <c r="K343" s="1072">
        <f>SUMIF(Meal_entry_week_2!G$209:G$228,"Dairy_products",Meal_entry_week_2!T$209:T$228)</f>
        <v>0</v>
      </c>
      <c r="L343" s="1072">
        <f>SUMIF(Meal_entry_week_2!G$209:G$228,"Oil_butter_margarine",Meal_entry_week_2!T$209:T$228)</f>
        <v>0</v>
      </c>
      <c r="M343" s="1072">
        <f>SUMIF(Meal_entry_week_2!G$209:G$228,"Flour_pasta_seeds_cereals",Meal_entry_week_2!T$209:T$228)</f>
        <v>0</v>
      </c>
      <c r="N343" s="1072">
        <f>SUMIF(Meal_entry_week_2!G$209:G$228,"Sauces_purees_dressings",Meal_entry_week_2!T$209:T$228)+SUMIF(Meal_entry_week_2!G$209:G$228,"Spices_seasonings",Meal_entry_week_2!T$209:T$228)</f>
        <v>0</v>
      </c>
      <c r="O343" s="1072">
        <f>SUMIF(Meal_entry_week_2!G$209:G$228,"Sweet_foods_cakes",Meal_entry_week_2!T$209:T$228)</f>
        <v>0</v>
      </c>
      <c r="P343" s="1072">
        <f>SUMIF(Meal_entry_week_2!G$209:G$228,"Bread_and_pastries",Meal_entry_week_2!T$209:T$228)+SUMIF(Meal_entry_week_2!G$209:G$228,"Savoury_pastries",Meal_entry_week_2!T$209:T$228)+SUMIF(Meal_entry_week_2!G$209:G$228,"Sweet_pastries",Meal_entry_week_2!T$209:T$228)</f>
        <v>0</v>
      </c>
      <c r="Q343" s="1072">
        <f>SUMIF(Meal_entry_week_2!G$209:G$228,"Other_processed_foods",Meal_entry_week_2!T$209:T$228)</f>
        <v>0</v>
      </c>
      <c r="R343" s="1072">
        <f>SUMIF(Meal_entry_week_2!G$209:G$228,"Zasladjena_piča_čajevi_kafa",Meal_entry_week_2!T$209:T$228)</f>
        <v>0</v>
      </c>
      <c r="S343" s="1072">
        <f>SUMIF(Meal_entry_week_2!G$209:G$228,"Fruit_juices_water",Meal_entry_week_2!T$209:T$228)</f>
        <v>0</v>
      </c>
      <c r="T343" s="1070">
        <f>65-SUM(D343:S343)</f>
        <v>65</v>
      </c>
      <c r="U343" s="965"/>
      <c r="V343" s="913"/>
      <c r="W343" s="913"/>
      <c r="X343" s="913"/>
      <c r="Y343" s="913"/>
      <c r="Z343" s="913"/>
      <c r="AA343" s="913"/>
      <c r="AB343" s="913"/>
      <c r="AC343" s="913"/>
      <c r="AD343" s="913"/>
      <c r="AE343" s="913"/>
      <c r="AF343" s="913"/>
      <c r="AG343" s="913"/>
    </row>
    <row r="344" spans="1:33">
      <c r="A344" s="911"/>
      <c r="B344" s="956" t="s">
        <v>3067</v>
      </c>
      <c r="C344" s="945"/>
      <c r="D344" s="1072">
        <f>SUMIF(Meal_entry_week_2!G$308:G$327,"Vegetables_mushrooms_fresh_frozen",Meal_entry_week_2!T$308:T$327)</f>
        <v>0</v>
      </c>
      <c r="E344" s="1072">
        <f>SUMIF(Meal_entry_week_2!G$308:G$327,"Vegetables_processed",Meal_entry_week_2!T$308:T$327)</f>
        <v>0</v>
      </c>
      <c r="F344" s="1072">
        <f>SUMIF(Meal_entry_week_2!G$308:G$327,"Fruits_nuts_dried_fruit",Meal_entry_week_2!T$308:T$327)</f>
        <v>0</v>
      </c>
      <c r="G344" s="1072">
        <f>SUMIF(Meal_entry_week_2!G$308:G$327,"Meat_fresh_frozen",Meal_entry_week_2!T$308:T$327)</f>
        <v>0</v>
      </c>
      <c r="H344" s="1072">
        <f>SUMIF(Meal_entry_week_2!G$308:G$327,"Meat_processed",Meal_entry_week_2!T$308:T$327)</f>
        <v>0</v>
      </c>
      <c r="I344" s="1072">
        <f>SUMIF(Meal_entry_week_2!G$308:G$327,"Fish_fresh_frozen",Meal_entry_week_2!T$308:T$327)+SUMIF(Meal_entry_week_2!G$308:G$327,"Fish_processed_canned",Meal_entry_week_2!T$308:T$327)</f>
        <v>0</v>
      </c>
      <c r="J344" s="1072">
        <f>SUMIF(Meal_entry_week_2!G$308:G$327,"Eggs",Meal_entry_week_2!T$308:T$327)</f>
        <v>0</v>
      </c>
      <c r="K344" s="1072">
        <f>SUMIF(Meal_entry_week_2!G$308:G$327,"Dairy_products",Meal_entry_week_2!T$308:T$327)</f>
        <v>0</v>
      </c>
      <c r="L344" s="1072">
        <f>SUMIF(Meal_entry_week_2!G$308:G$327,"Oil_butter_margarine",Meal_entry_week_2!T$308:T$327)</f>
        <v>0</v>
      </c>
      <c r="M344" s="1072">
        <f>SUMIF(Meal_entry_week_2!G$308:G$327,"Flour_pasta_seeds_cereals",Meal_entry_week_2!T$308:T$327)</f>
        <v>0</v>
      </c>
      <c r="N344" s="1072">
        <f>SUMIF(Meal_entry_week_2!G$308:G$327,"Sauces_purees_dressings",Meal_entry_week_2!T$308:T$327)+SUMIF(Meal_entry_week_2!G$308:G$327,"Spices_seasonings",Meal_entry_week_2!T$308:T$327)</f>
        <v>0</v>
      </c>
      <c r="O344" s="1072">
        <f>SUMIF(Meal_entry_week_2!G$308:G$327,"Sweet_foods_cakes",Meal_entry_week_2!T$308:T$327)</f>
        <v>0</v>
      </c>
      <c r="P344" s="1072">
        <f>SUMIF(Meal_entry_week_2!G$308:G$327,"Bread_and_pastries",Meal_entry_week_2!T$308:T$327)+SUMIF(Meal_entry_week_2!G$308:G$327,"Savoury_pastries",Meal_entry_week_2!T$308:T$327)+SUMIF(Meal_entry_week_2!G$308:G$327,"Sweet_pastries",Meal_entry_week_2!T$308:T$327)</f>
        <v>0</v>
      </c>
      <c r="Q344" s="1072">
        <f>SUMIF(Meal_entry_week_2!G$308:G$327,"Other_processed_foods",Meal_entry_week_2!T$308:T$327)</f>
        <v>0</v>
      </c>
      <c r="R344" s="1072">
        <f>SUMIF(Meal_entry_week_2!G$308:G$327,"Zasladjena_piča_čajevi_kafa",Meal_entry_week_2!T$308:T$327)</f>
        <v>0</v>
      </c>
      <c r="S344" s="1072">
        <f>SUMIF(Meal_entry_week_2!G$308:G$327,"Fruit_juices_water",Meal_entry_week_2!T$308:T$327)</f>
        <v>0</v>
      </c>
      <c r="T344" s="1070">
        <f>65-SUM(D344:S344)</f>
        <v>65</v>
      </c>
      <c r="U344" s="965"/>
      <c r="V344" s="913"/>
      <c r="W344" s="913"/>
      <c r="X344" s="913"/>
      <c r="Y344" s="913"/>
      <c r="Z344" s="913"/>
      <c r="AA344" s="913"/>
      <c r="AB344" s="913"/>
      <c r="AC344" s="913"/>
      <c r="AD344" s="913"/>
      <c r="AE344" s="913"/>
      <c r="AF344" s="913"/>
      <c r="AG344" s="913"/>
    </row>
    <row r="345" spans="1:33">
      <c r="A345" s="911"/>
      <c r="B345" s="1074" t="s">
        <v>3068</v>
      </c>
      <c r="C345" s="945"/>
      <c r="D345" s="1075">
        <f>SUMIF(Meal_entry_week_2!G$407:G$426,"Vegetables_mushrooms_fresh_frozen",Meal_entry_week_2!T$407:T$426)</f>
        <v>0</v>
      </c>
      <c r="E345" s="1075">
        <f>SUMIF(Meal_entry_week_2!G$407:G$426,"Vegetables_processed",Meal_entry_week_2!T$407:T$426)</f>
        <v>0</v>
      </c>
      <c r="F345" s="1075">
        <f>SUMIF(Meal_entry_week_2!G$407:G$426,"Fruits_nuts_dried_fruit",Meal_entry_week_2!T$407:T$426)</f>
        <v>0</v>
      </c>
      <c r="G345" s="1075">
        <f>SUMIF(Meal_entry_week_2!G$407:G$426,"Meat_fresh_frozen",Meal_entry_week_2!T$407:T$426)</f>
        <v>0</v>
      </c>
      <c r="H345" s="1075">
        <f>SUMIF(Meal_entry_week_2!G$407:G$426,"Meat_processed",Meal_entry_week_2!T$407:T$426)</f>
        <v>0</v>
      </c>
      <c r="I345" s="1075">
        <f>SUMIF(Meal_entry_week_2!G$407:G$426,"Fish_fresh_frozen",Meal_entry_week_2!T$407:T$426)+SUMIF(Meal_entry_week_2!G$407:G$426,"Fish_processed_canned",Meal_entry_week_2!T$407:T$426)</f>
        <v>0</v>
      </c>
      <c r="J345" s="1075">
        <f>SUMIF(Meal_entry_week_2!G$407:G$426,"Eggs",Meal_entry_week_2!T$407:T$426)</f>
        <v>0</v>
      </c>
      <c r="K345" s="1075">
        <f>SUMIF(Meal_entry_week_2!G$407:G$426,"Dairy_products",Meal_entry_week_2!T$407:T$426)</f>
        <v>0</v>
      </c>
      <c r="L345" s="1075">
        <f>SUMIF(Meal_entry_week_2!G$407:G$426,"Oil_butter_margarine",Meal_entry_week_2!T$407:T$426)</f>
        <v>0</v>
      </c>
      <c r="M345" s="1075">
        <f>SUMIF(Meal_entry_week_2!G$407:G$426,"Flour_pasta_seeds_cereals",Meal_entry_week_2!T$407:T$426)</f>
        <v>0</v>
      </c>
      <c r="N345" s="1075">
        <f>SUMIF(Meal_entry_week_2!G$407:G$426,"Sauces_purees_dressings",Meal_entry_week_2!T$407:T$426)+SUMIF(Meal_entry_week_2!G$407:G$426,"Spices_seasonings",Meal_entry_week_2!T$407:T$426)</f>
        <v>0</v>
      </c>
      <c r="O345" s="1075">
        <f>SUMIF(Meal_entry_week_2!G$407:G$426,"Sweet_foods_cakes",Meal_entry_week_2!T$407:T$426)</f>
        <v>0</v>
      </c>
      <c r="P345" s="1075">
        <f>SUMIF(Meal_entry_week_2!G$407:G$426,"Bread_and_pastries",Meal_entry_week_2!T$407:T$426)+SUMIF(Meal_entry_week_2!G$407:G$426,"Savoury_pastries",Meal_entry_week_2!T$407:T$426)+SUMIF(Meal_entry_week_2!G$407:G$426,"Sweet_pastries",Meal_entry_week_2!T$407:T$426)</f>
        <v>0</v>
      </c>
      <c r="Q345" s="1075">
        <f>SUMIF(Meal_entry_week_2!G$407:G$426,"Other_processed_foods",Meal_entry_week_2!T$407:T$426)</f>
        <v>0</v>
      </c>
      <c r="R345" s="1075">
        <f>SUMIF(Meal_entry_week_2!G$407:G$426,"Zasladjena_piča_čajevi_kafa",Meal_entry_week_2!T$407:T$426)</f>
        <v>0</v>
      </c>
      <c r="S345" s="1075">
        <f>SUMIF(Meal_entry_week_2!G$407:G$426,"Fruit_juices_water",Meal_entry_week_2!T$407:T$426)</f>
        <v>0</v>
      </c>
      <c r="T345" s="1070">
        <f>65-SUM(D345:S345)</f>
        <v>65</v>
      </c>
      <c r="U345" s="965"/>
      <c r="V345" s="913"/>
      <c r="W345" s="913"/>
      <c r="X345" s="913"/>
      <c r="Y345" s="913"/>
      <c r="Z345" s="913"/>
      <c r="AA345" s="913"/>
      <c r="AB345" s="913"/>
      <c r="AC345" s="913"/>
      <c r="AD345" s="913"/>
      <c r="AE345" s="913"/>
      <c r="AF345" s="913"/>
      <c r="AG345" s="913"/>
    </row>
    <row r="346" spans="1:33">
      <c r="A346" s="911"/>
      <c r="B346" s="956" t="s">
        <v>2509</v>
      </c>
      <c r="C346" s="945"/>
      <c r="D346" s="913" t="s">
        <v>3140</v>
      </c>
      <c r="E346" s="913" t="s">
        <v>3069</v>
      </c>
      <c r="F346" s="913" t="s">
        <v>3077</v>
      </c>
      <c r="G346" s="913" t="s">
        <v>3073</v>
      </c>
      <c r="H346" s="913" t="s">
        <v>3070</v>
      </c>
      <c r="I346" s="913" t="s">
        <v>3575</v>
      </c>
      <c r="J346" s="913" t="s">
        <v>3072</v>
      </c>
      <c r="K346" s="913" t="s">
        <v>3085</v>
      </c>
      <c r="L346" s="913" t="s">
        <v>3075</v>
      </c>
      <c r="M346" s="913" t="s">
        <v>3141</v>
      </c>
      <c r="N346" s="913" t="s">
        <v>3550</v>
      </c>
      <c r="O346" s="913" t="s">
        <v>3078</v>
      </c>
      <c r="P346" s="913" t="s">
        <v>3551</v>
      </c>
      <c r="Q346" s="913" t="s">
        <v>3082</v>
      </c>
      <c r="R346" s="1067" t="s">
        <v>3083</v>
      </c>
      <c r="S346" s="913" t="s">
        <v>3084</v>
      </c>
      <c r="T346" s="1068"/>
      <c r="U346" s="965"/>
      <c r="V346" s="913"/>
      <c r="W346" s="913"/>
      <c r="X346" s="913"/>
      <c r="Y346" s="913"/>
      <c r="Z346" s="913"/>
      <c r="AA346" s="913"/>
      <c r="AB346" s="913"/>
      <c r="AC346" s="913"/>
      <c r="AD346" s="913"/>
      <c r="AE346" s="913"/>
      <c r="AF346" s="913"/>
      <c r="AG346" s="913"/>
    </row>
    <row r="347" spans="1:33">
      <c r="A347" s="911"/>
      <c r="B347" s="956" t="s">
        <v>3064</v>
      </c>
      <c r="C347" s="945"/>
      <c r="D347" s="1069">
        <f>SUMIF(Meal_entry_week_2!G$38:G$49,"Vegetables_mushrooms_fresh_frozen",Meal_entry_week_2!T$38:T$49)</f>
        <v>0</v>
      </c>
      <c r="E347" s="1069">
        <f>SUMIF(Meal_entry_week_2!G$38:G$49,"Vegetables_processed",Meal_entry_week_2!T$38:T$49)</f>
        <v>0</v>
      </c>
      <c r="F347" s="1069">
        <f>SUMIF(Meal_entry_week_2!G$38:G$49,"Fruits_nuts_dried_fruit",Meal_entry_week_2!T$38:T$49)</f>
        <v>0</v>
      </c>
      <c r="G347" s="1069">
        <f>SUMIF(Meal_entry_week_2!G$38:G$49,"Meat_fresh_frozen",Meal_entry_week_2!T$38:T$49)</f>
        <v>0</v>
      </c>
      <c r="H347" s="1069">
        <f>SUMIF(Meal_entry_week_2!G$38:G$49,"Meat_processed",Meal_entry_week_2!T$38:T$49)</f>
        <v>0</v>
      </c>
      <c r="I347" s="1069">
        <f>SUMIF(Meal_entry_week_2!G$38:G$49,"Fish_fresh_frozen",Meal_entry_week_2!T$38:T$49)+SUMIF(Meal_entry_week_2!G$38:G$49,"Fish_processed_canned",Meal_entry_week_2!T$38:T$49)</f>
        <v>0</v>
      </c>
      <c r="J347" s="1069">
        <f>SUMIF(Meal_entry_week_2!G$38:G$49,"Eggs",Meal_entry_week_2!T$38:T$49)</f>
        <v>1.4666666666666668</v>
      </c>
      <c r="K347" s="1069">
        <f>SUMIF(Meal_entry_week_2!G$38:G$49,"Dairy_products",Meal_entry_week_2!T$38:T$49)</f>
        <v>10.106533333333331</v>
      </c>
      <c r="L347" s="1069">
        <f>SUMIF(Meal_entry_week_2!G$38:G$49,"Oil_butter_margarine",Meal_entry_week_2!T$38:T$49)</f>
        <v>1.9359999999999999</v>
      </c>
      <c r="M347" s="1069">
        <f>SUMIF(Meal_entry_week_2!G$38:G$49,"Flour_pasta_seeds_cereals",Meal_entry_week_2!T$38:T$49)</f>
        <v>0.90749999999999997</v>
      </c>
      <c r="N347" s="1069">
        <f>SUMIF(Meal_entry_week_2!G$38:G$49,"Sauces_purees_dressings",Meal_entry_week_2!T$38:T$49)+SUMIF(Meal_entry_week_2!G$38:G$49,"Spices_seasonings",Meal_entry_week_2!T$38:T$49)</f>
        <v>0</v>
      </c>
      <c r="O347" s="1069">
        <f>SUMIF(Meal_entry_week_2!G$38:G$49,"Sweet_foods_cakes",Meal_entry_week_2!T$38:T$49)</f>
        <v>0</v>
      </c>
      <c r="P347" s="1069">
        <f>SUMIF(Meal_entry_week_2!G$38:G$49,"Bread_and_pastries",Meal_entry_week_2!T$38:T$49)+SUMIF(Meal_entry_week_2!G$38:G$49,"Savoury_pastries",Meal_entry_week_2!T$38:T$49)+SUMIF(Meal_entry_week_2!G$38:G$49,"Sweet_pastries",Meal_entry_week_2!T$38:T$49)</f>
        <v>0</v>
      </c>
      <c r="Q347" s="1069">
        <f>SUMIF(Meal_entry_week_2!G$38:G$49,"Other_processed_foods",Meal_entry_week_2!T$38:T$49)</f>
        <v>0</v>
      </c>
      <c r="R347" s="1069">
        <f>SUMIF(Meal_entry_week_2!G$38:G$49,"Zasladjena_piča_čajevi_kafa",Meal_entry_week_2!T$38:T$49)</f>
        <v>0</v>
      </c>
      <c r="S347" s="1069">
        <f>SUMIF(Meal_entry_week_2!G$38:G$49,"Fruit_juices_water",Meal_entry_week_2!T$38:T$49)</f>
        <v>0</v>
      </c>
      <c r="T347" s="1070">
        <f>70-SUM(D347:S347)</f>
        <v>55.583300000000001</v>
      </c>
      <c r="U347" s="965"/>
      <c r="V347" s="913"/>
      <c r="W347" s="913"/>
      <c r="X347" s="913"/>
      <c r="Y347" s="913"/>
      <c r="Z347" s="913"/>
      <c r="AA347" s="913"/>
      <c r="AB347" s="913"/>
      <c r="AC347" s="913"/>
      <c r="AD347" s="913"/>
      <c r="AE347" s="913"/>
      <c r="AF347" s="913"/>
      <c r="AG347" s="913"/>
    </row>
    <row r="348" spans="1:33">
      <c r="A348" s="911"/>
      <c r="B348" s="956" t="s">
        <v>3065</v>
      </c>
      <c r="C348" s="945"/>
      <c r="D348" s="1069">
        <f>SUMIF(Meal_entry_week_2!G$137:G$148,"Vegetables_mushrooms_fresh_frozen",Meal_entry_week_2!T$137:T$148)</f>
        <v>0</v>
      </c>
      <c r="E348" s="1069">
        <f>SUMIF(Meal_entry_week_2!G$137:G$148,"Vegetables_processed",Meal_entry_week_2!T$137:T$148)</f>
        <v>0</v>
      </c>
      <c r="F348" s="1069">
        <f>SUMIF(Meal_entry_week_2!G$137:G$148,"Fruits_nuts_dried_fruit",Meal_entry_week_2!T$137:T$148)</f>
        <v>0</v>
      </c>
      <c r="G348" s="1069">
        <f>SUMIF(Meal_entry_week_2!G$137:G$148,"Meat_fresh_frozen",Meal_entry_week_2!T$137:T$148)</f>
        <v>0</v>
      </c>
      <c r="H348" s="1069">
        <f>SUMIF(Meal_entry_week_2!G$137:G$148,"Meat_processed",Meal_entry_week_2!T$137:T$148)</f>
        <v>0</v>
      </c>
      <c r="I348" s="1069">
        <f>SUMIF(Meal_entry_week_2!G$137:G$148,"Fish_fresh_frozen",Meal_entry_week_2!T$137:T$148)+SUMIF(Meal_entry_week_2!G$137:G$148,"Fish_processed_canned",Meal_entry_week_2!T$137:T$148)</f>
        <v>0</v>
      </c>
      <c r="J348" s="1069">
        <f>SUMIF(Meal_entry_week_2!G$137:G$148,"Eggs",Meal_entry_week_2!T$137:T$148)</f>
        <v>0</v>
      </c>
      <c r="K348" s="1069">
        <f>SUMIF(Meal_entry_week_2!G$137:G$148,"Dairy_products",Meal_entry_week_2!T$137:T$148)</f>
        <v>9.1300000000000008</v>
      </c>
      <c r="L348" s="1069">
        <f>SUMIF(Meal_entry_week_2!G$137:G$148,"Oil_butter_margarine",Meal_entry_week_2!T$137:T$148)</f>
        <v>0</v>
      </c>
      <c r="M348" s="1069">
        <f>SUMIF(Meal_entry_week_2!G$137:G$148,"Flour_pasta_seeds_cereals",Meal_entry_week_2!T$137:T$148)</f>
        <v>0</v>
      </c>
      <c r="N348" s="1069">
        <f>SUMIF(Meal_entry_week_2!G$137:G$148,"Sauces_purees_dressings",Meal_entry_week_2!T$137:T$148)+SUMIF(Meal_entry_week_2!G$137:G$148,"Spices_seasonings",Meal_entry_week_2!T$137:T$148)</f>
        <v>0</v>
      </c>
      <c r="O348" s="1069">
        <f>SUMIF(Meal_entry_week_2!G$137:G$148,"Sweet_foods_cakes",Meal_entry_week_2!T$137:T$148)</f>
        <v>12.96</v>
      </c>
      <c r="P348" s="1069">
        <f>SUMIF(Meal_entry_week_2!G$137:G$148,"Bread_and_pastries",Meal_entry_week_2!T$137:T$148)+SUMIF(Meal_entry_week_2!G$137:G$148,"Savoury_pastries",Meal_entry_week_2!T$137:T$148)+SUMIF(Meal_entry_week_2!G$137:G$148,"Sweet_pastries",Meal_entry_week_2!T$137:T$148)</f>
        <v>9.3939999999999984</v>
      </c>
      <c r="Q348" s="1069">
        <f>SUMIF(Meal_entry_week_2!G$137:G$148,"Other_processed_foods",Meal_entry_week_2!T$137:T$148)</f>
        <v>0</v>
      </c>
      <c r="R348" s="1069">
        <f>SUMIF(Meal_entry_week_2!G$137:G$148,"Zasladjena_piča_čajevi_kafa",Meal_entry_week_2!T$137:T$148)</f>
        <v>0</v>
      </c>
      <c r="S348" s="1069">
        <f>SUMIF(Meal_entry_week_2!G$137:G$148,"Fruit_juices_water",Meal_entry_week_2!T$137:T$148)</f>
        <v>0</v>
      </c>
      <c r="T348" s="1070">
        <f>70-SUM(D348:S348)</f>
        <v>38.515999999999998</v>
      </c>
      <c r="U348" s="965"/>
      <c r="V348" s="913"/>
      <c r="W348" s="913"/>
      <c r="X348" s="913"/>
      <c r="Y348" s="913"/>
      <c r="Z348" s="913"/>
      <c r="AA348" s="913"/>
      <c r="AB348" s="913"/>
      <c r="AC348" s="913"/>
      <c r="AD348" s="913"/>
      <c r="AE348" s="913"/>
      <c r="AF348" s="913"/>
      <c r="AG348" s="913"/>
    </row>
    <row r="349" spans="1:33">
      <c r="A349" s="911"/>
      <c r="B349" s="956" t="s">
        <v>3940</v>
      </c>
      <c r="C349" s="945"/>
      <c r="D349" s="1069">
        <f>SUMIF(Meal_entry_week_2!G$236:G$247,"Vegetables_mushrooms_fresh_frozen",Meal_entry_week_2!T$236:T$247)</f>
        <v>0</v>
      </c>
      <c r="E349" s="1069">
        <f>SUMIF(Meal_entry_week_2!G$236:G$247,"Vegetables_processed",Meal_entry_week_2!T$236:T$247)</f>
        <v>0</v>
      </c>
      <c r="F349" s="1069">
        <f>SUMIF(Meal_entry_week_2!G$236:G$247,"Fruits_nuts_dried_fruit",Meal_entry_week_2!T$236:T$247)</f>
        <v>0</v>
      </c>
      <c r="G349" s="1069">
        <f>SUMIF(Meal_entry_week_2!G$236:G$247,"Meat_fresh_frozen",Meal_entry_week_2!T$236:T$247)</f>
        <v>0</v>
      </c>
      <c r="H349" s="1069">
        <f>SUMIF(Meal_entry_week_2!G$236:G$247,"Meat_processed",Meal_entry_week_2!T$236:T$247)</f>
        <v>6</v>
      </c>
      <c r="I349" s="1069">
        <f>SUMIF(Meal_entry_week_2!G$236:G$247,"Fish_fresh_frozen",Meal_entry_week_2!T$236:T$247)+SUMIF(Meal_entry_week_2!G$236:G$247,"Fish_processed_canned",Meal_entry_week_2!T$236:T$247)</f>
        <v>0</v>
      </c>
      <c r="J349" s="1069">
        <f>SUMIF(Meal_entry_week_2!G$236:G$247,"Eggs",Meal_entry_week_2!T$236:T$247)</f>
        <v>0</v>
      </c>
      <c r="K349" s="1069">
        <f>SUMIF(Meal_entry_week_2!G$236:G$247,"Dairy_products",Meal_entry_week_2!T$236:T$247)</f>
        <v>11.4</v>
      </c>
      <c r="L349" s="1069">
        <f>SUMIF(Meal_entry_week_2!G$236:G$247,"Oil_butter_margarine",Meal_entry_week_2!T$236:T$247)</f>
        <v>0</v>
      </c>
      <c r="M349" s="1069">
        <f>SUMIF(Meal_entry_week_2!G$236:G$247,"Flour_pasta_seeds_cereals",Meal_entry_week_2!T$236:T$247)</f>
        <v>0</v>
      </c>
      <c r="N349" s="1069">
        <f>SUMIF(Meal_entry_week_2!G$236:G$247,"Sauces_purees_dressings",Meal_entry_week_2!T$236:T$247)+SUMIF(Meal_entry_week_2!G$236:G$247,"Spices_seasonings",Meal_entry_week_2!T$236:T$247)</f>
        <v>2.2080000000000002</v>
      </c>
      <c r="O349" s="1069">
        <f>SUMIF(Meal_entry_week_2!G$236:G$247,"Sweet_foods_cakes",Meal_entry_week_2!T$236:T$247)</f>
        <v>0</v>
      </c>
      <c r="P349" s="1069">
        <f>SUMIF(Meal_entry_week_2!G$236:G$247,"Bread_and_pastries",Meal_entry_week_2!T$236:T$247)+SUMIF(Meal_entry_week_2!G$236:G$247,"Savoury_pastries",Meal_entry_week_2!T$236:T$247)+SUMIF(Meal_entry_week_2!G$236:G$247,"Sweet_pastries",Meal_entry_week_2!T$236:T$247)</f>
        <v>6.7374999999999998</v>
      </c>
      <c r="Q349" s="1069">
        <f>SUMIF(Meal_entry_week_2!G$236:G$247,"Other_processed_foods",Meal_entry_week_2!T$236:T$247)</f>
        <v>0</v>
      </c>
      <c r="R349" s="1069">
        <f>SUMIF(Meal_entry_week_2!G$236:G$247,"Zasladjena_piča_čajevi_kafa",Meal_entry_week_2!T$236:T$247)</f>
        <v>0</v>
      </c>
      <c r="S349" s="1069">
        <f>SUMIF(Meal_entry_week_2!G$236:G$247,"Fruit_juices_water",Meal_entry_week_2!T$236:T$247)</f>
        <v>0</v>
      </c>
      <c r="T349" s="1070">
        <f>70-SUM(D349:S349)</f>
        <v>43.654499999999999</v>
      </c>
      <c r="U349" s="965"/>
      <c r="V349" s="913"/>
      <c r="W349" s="913"/>
      <c r="X349" s="913"/>
      <c r="Y349" s="913"/>
      <c r="Z349" s="913"/>
      <c r="AA349" s="913"/>
      <c r="AB349" s="913"/>
      <c r="AC349" s="913"/>
      <c r="AD349" s="913"/>
      <c r="AE349" s="913"/>
      <c r="AF349" s="913"/>
      <c r="AG349" s="913"/>
    </row>
    <row r="350" spans="1:33">
      <c r="A350" s="911"/>
      <c r="B350" s="956" t="s">
        <v>3067</v>
      </c>
      <c r="C350" s="945"/>
      <c r="D350" s="1069">
        <f>SUMIF(Meal_entry_week_2!G$335:G$346,"Vegetables_mushrooms_fresh_frozen",Meal_entry_week_2!T$335:T$346)</f>
        <v>0</v>
      </c>
      <c r="E350" s="1069">
        <f>SUMIF(Meal_entry_week_2!G$335:G$346,"Vegetables_processed",Meal_entry_week_2!T$335:T$346)</f>
        <v>0</v>
      </c>
      <c r="F350" s="1069">
        <f>SUMIF(Meal_entry_week_2!G$335:G$346,"Fruits_nuts_dried_fruit",Meal_entry_week_2!T$335:T$346)</f>
        <v>0</v>
      </c>
      <c r="G350" s="1069">
        <f>SUMIF(Meal_entry_week_2!G$335:G$346,"Meat_fresh_frozen",Meal_entry_week_2!T$335:T$346)</f>
        <v>0</v>
      </c>
      <c r="H350" s="1069">
        <f>SUMIF(Meal_entry_week_2!G$335:G$346,"Meat_processed",Meal_entry_week_2!T$335:T$346)</f>
        <v>0</v>
      </c>
      <c r="I350" s="1069">
        <f>SUMIF(Meal_entry_week_2!G$335:G$346,"Fish_fresh_frozen",Meal_entry_week_2!T$335:T$346)+SUMIF(Meal_entry_week_2!G$335:G$346,"Fish_processed_canned",Meal_entry_week_2!T$335:T$346)</f>
        <v>0</v>
      </c>
      <c r="J350" s="1069">
        <f>SUMIF(Meal_entry_week_2!G$335:G$346,"Eggs",Meal_entry_week_2!T$335:T$346)</f>
        <v>0</v>
      </c>
      <c r="K350" s="1069">
        <f>SUMIF(Meal_entry_week_2!G$335:G$346,"Dairy_products",Meal_entry_week_2!T$335:T$346)</f>
        <v>16.28</v>
      </c>
      <c r="L350" s="1069">
        <f>SUMIF(Meal_entry_week_2!G$335:G$346,"Oil_butter_margarine",Meal_entry_week_2!T$335:T$346)</f>
        <v>0</v>
      </c>
      <c r="M350" s="1069">
        <f>SUMIF(Meal_entry_week_2!G$335:G$346,"Flour_pasta_seeds_cereals",Meal_entry_week_2!T$335:T$346)</f>
        <v>0</v>
      </c>
      <c r="N350" s="1069">
        <f>SUMIF(Meal_entry_week_2!G$335:G$346,"Sauces_purees_dressings",Meal_entry_week_2!T$335:T$346)+SUMIF(Meal_entry_week_2!G$335:G$346,"Spices_seasonings",Meal_entry_week_2!T$335:T$346)</f>
        <v>0</v>
      </c>
      <c r="O350" s="1069">
        <f>SUMIF(Meal_entry_week_2!G$335:G$346,"Sweet_foods_cakes",Meal_entry_week_2!T$335:T$346)</f>
        <v>0</v>
      </c>
      <c r="P350" s="1069">
        <f>SUMIF(Meal_entry_week_2!G$335:G$346,"Bread_and_pastries",Meal_entry_week_2!T$335:T$346)+SUMIF(Meal_entry_week_2!G$335:G$346,"Savoury_pastries",Meal_entry_week_2!T$335:T$346)+SUMIF(Meal_entry_week_2!G$335:G$346,"Sweet_pastries",Meal_entry_week_2!T$335:T$346)</f>
        <v>10.555416666666666</v>
      </c>
      <c r="Q350" s="1069">
        <f>SUMIF(Meal_entry_week_2!G$335:G$346,"Other_processed_foods",Meal_entry_week_2!T$335:T$346)</f>
        <v>0</v>
      </c>
      <c r="R350" s="1069">
        <f>SUMIF(Meal_entry_week_2!G$335:G$346,"Zasladjena_piča_čajevi_kafa",Meal_entry_week_2!T$335:T$346)</f>
        <v>0</v>
      </c>
      <c r="S350" s="1069">
        <f>SUMIF(Meal_entry_week_2!G$335:G$346,"Fruit_juices_water",Meal_entry_week_2!T$335:T$346)</f>
        <v>0</v>
      </c>
      <c r="T350" s="1070">
        <f>70-SUM(D350:S350)</f>
        <v>43.164583333333333</v>
      </c>
      <c r="U350" s="965"/>
      <c r="V350" s="913"/>
      <c r="W350" s="913"/>
      <c r="X350" s="913"/>
      <c r="Y350" s="913"/>
      <c r="Z350" s="913"/>
      <c r="AA350" s="913"/>
      <c r="AB350" s="913"/>
      <c r="AC350" s="913"/>
      <c r="AD350" s="913"/>
      <c r="AE350" s="913"/>
      <c r="AF350" s="913"/>
      <c r="AG350" s="913"/>
    </row>
    <row r="351" spans="1:33">
      <c r="A351" s="911"/>
      <c r="B351" s="1074" t="s">
        <v>3068</v>
      </c>
      <c r="C351" s="945"/>
      <c r="D351" s="1075">
        <f>SUMIF(Meal_entry_week_2!G$434:G$445,"Vegetables_mushrooms_fresh_frozen",Meal_entry_week_2!T$434:T$445)</f>
        <v>0</v>
      </c>
      <c r="E351" s="1075">
        <f>SUMIF(Meal_entry_week_2!G$434:G$445,"Vegetables_processed",Meal_entry_week_2!T$434:T$445)</f>
        <v>0</v>
      </c>
      <c r="F351" s="1075">
        <f>SUMIF(Meal_entry_week_2!G$434:G$445,"Fruits_nuts_dried_fruit",Meal_entry_week_2!T$434:T$445)</f>
        <v>0</v>
      </c>
      <c r="G351" s="1075">
        <f>SUMIF(Meal_entry_week_2!G$434:G$445,"Meat_fresh_frozen",Meal_entry_week_2!T$434:T$445)</f>
        <v>0</v>
      </c>
      <c r="H351" s="1075">
        <f>SUMIF(Meal_entry_week_2!G$434:G$445,"Meat_processed",Meal_entry_week_2!T$434:T$445)</f>
        <v>0</v>
      </c>
      <c r="I351" s="1075">
        <f>SUMIF(Meal_entry_week_2!G$434:G$445,"Fish_fresh_frozen",Meal_entry_week_2!T$434:T$445)+SUMIF(Meal_entry_week_2!G$434:G$445,"Fish_processed_canned",Meal_entry_week_2!T$434:T$445)</f>
        <v>0</v>
      </c>
      <c r="J351" s="1075">
        <f>SUMIF(Meal_entry_week_2!G$434:G$445,"Eggs",Meal_entry_week_2!T$434:T$445)</f>
        <v>0.42166666666666663</v>
      </c>
      <c r="K351" s="1075">
        <f>SUMIF(Meal_entry_week_2!G$434:G$445,"Dairy_products",Meal_entry_week_2!T$434:T$445)</f>
        <v>1.4607999999999999</v>
      </c>
      <c r="L351" s="1075">
        <f>SUMIF(Meal_entry_week_2!G$434:G$445,"Oil_butter_margarine",Meal_entry_week_2!T$434:T$445)</f>
        <v>3.7509999999999999</v>
      </c>
      <c r="M351" s="1075">
        <f>SUMIF(Meal_entry_week_2!G$434:G$445,"Flour_pasta_seeds_cereals",Meal_entry_week_2!T$434:T$445)</f>
        <v>2.02664</v>
      </c>
      <c r="N351" s="1075">
        <f>SUMIF(Meal_entry_week_2!G$434:G$445,"Sauces_purees_dressings",Meal_entry_week_2!T$434:T$445)+SUMIF(Meal_entry_week_2!G$434:G$445,"Spices_seasonings",Meal_entry_week_2!T$434:T$445)</f>
        <v>1.0488</v>
      </c>
      <c r="O351" s="1075">
        <f>SUMIF(Meal_entry_week_2!G$434:G$445,"Sweet_foods_cakes",Meal_entry_week_2!T$434:T$445)</f>
        <v>4.6143847058823528</v>
      </c>
      <c r="P351" s="1075">
        <f>SUMIF(Meal_entry_week_2!G$434:G$445,"Bread_and_pastries",Meal_entry_week_2!T$434:T$445)+SUMIF(Meal_entry_week_2!G$434:G$445,"Savoury_pastries",Meal_entry_week_2!T$434:T$445)+SUMIF(Meal_entry_week_2!G$434:G$445,"Sweet_pastries",Meal_entry_week_2!T$434:T$445)</f>
        <v>0</v>
      </c>
      <c r="Q351" s="1075">
        <f>SUMIF(Meal_entry_week_2!G$434:G$445,"Other_processed_foods",Meal_entry_week_2!T$434:T$445)</f>
        <v>0</v>
      </c>
      <c r="R351" s="1075">
        <f>SUMIF(Meal_entry_week_2!G$434:G$445,"Zasladjena_piča_čajevi_kafa",Meal_entry_week_2!T$434:T$445)</f>
        <v>0</v>
      </c>
      <c r="S351" s="1075">
        <f>SUMIF(Meal_entry_week_2!G$434:G$445,"Fruit_juices_water",Meal_entry_week_2!T$434:T$445)</f>
        <v>0</v>
      </c>
      <c r="T351" s="1070">
        <f>70-SUM(D351:S351)</f>
        <v>56.676708627450978</v>
      </c>
      <c r="U351" s="965"/>
      <c r="V351" s="913"/>
      <c r="W351" s="913"/>
      <c r="X351" s="913"/>
      <c r="Y351" s="913"/>
      <c r="Z351" s="913"/>
      <c r="AA351" s="913"/>
      <c r="AB351" s="913"/>
      <c r="AC351" s="913"/>
      <c r="AD351" s="913"/>
      <c r="AE351" s="913"/>
      <c r="AF351" s="913"/>
      <c r="AG351" s="913"/>
    </row>
    <row r="352" spans="1:33">
      <c r="A352" s="911"/>
      <c r="B352" s="956" t="s">
        <v>3963</v>
      </c>
      <c r="C352" s="945"/>
      <c r="D352" s="913" t="s">
        <v>3140</v>
      </c>
      <c r="E352" s="913" t="s">
        <v>3069</v>
      </c>
      <c r="F352" s="913" t="s">
        <v>3077</v>
      </c>
      <c r="G352" s="913" t="s">
        <v>3073</v>
      </c>
      <c r="H352" s="913" t="s">
        <v>3070</v>
      </c>
      <c r="I352" s="913" t="s">
        <v>3575</v>
      </c>
      <c r="J352" s="913" t="s">
        <v>3072</v>
      </c>
      <c r="K352" s="913" t="s">
        <v>3085</v>
      </c>
      <c r="L352" s="913" t="s">
        <v>3075</v>
      </c>
      <c r="M352" s="913" t="s">
        <v>3141</v>
      </c>
      <c r="N352" s="913" t="s">
        <v>3550</v>
      </c>
      <c r="O352" s="913" t="s">
        <v>3078</v>
      </c>
      <c r="P352" s="913" t="s">
        <v>3551</v>
      </c>
      <c r="Q352" s="913" t="s">
        <v>3082</v>
      </c>
      <c r="R352" s="1067" t="s">
        <v>3083</v>
      </c>
      <c r="S352" s="913" t="s">
        <v>3084</v>
      </c>
      <c r="T352" s="1068"/>
      <c r="U352" s="965"/>
      <c r="V352" s="913"/>
      <c r="W352" s="913"/>
      <c r="X352" s="913"/>
      <c r="Y352" s="913"/>
      <c r="Z352" s="913"/>
      <c r="AA352" s="913"/>
      <c r="AB352" s="913"/>
      <c r="AC352" s="913"/>
      <c r="AD352" s="913"/>
      <c r="AE352" s="913"/>
      <c r="AF352" s="913"/>
      <c r="AG352" s="913"/>
    </row>
    <row r="353" spans="1:33">
      <c r="A353" s="911"/>
      <c r="B353" s="956" t="s">
        <v>3064</v>
      </c>
      <c r="C353" s="945"/>
      <c r="D353" s="1069">
        <f>SUMIF(Meal_entry_week_2!G$57:G$81,"Vegetables_mushrooms_fresh_frozen",Meal_entry_week_2!T$57:T$81)</f>
        <v>29</v>
      </c>
      <c r="E353" s="1069">
        <f>SUMIF(Meal_entry_week_2!G$57:G$81,"Vegetables_processed",Meal_entry_week_2!T$57:T$81)</f>
        <v>0</v>
      </c>
      <c r="F353" s="1069">
        <f>SUMIF(Meal_entry_week_2!G$57:G$81,"Fruits_nuts_dried_fruit",Meal_entry_week_2!T$57:T$81)</f>
        <v>5.94</v>
      </c>
      <c r="G353" s="1069">
        <f>SUMIF(Meal_entry_week_2!G$57:G$81,"Meat_fresh_frozen",Meal_entry_week_2!T$57:T$81)</f>
        <v>17.600000000000001</v>
      </c>
      <c r="H353" s="1069">
        <f>SUMIF(Meal_entry_week_2!G$57:G$81,"Meat_processed",Meal_entry_week_2!T$57:T$81)</f>
        <v>0</v>
      </c>
      <c r="I353" s="1069">
        <f>SUMIF(Meal_entry_week_2!G$57:G$81,"Fish_fresh_frozen",Meal_entry_week_2!T$57:T$81)+SUMIF(Meal_entry_week_2!G$57:G$81,"Fish_processed_canned",Meal_entry_week_2!T$57:T$81)</f>
        <v>0</v>
      </c>
      <c r="J353" s="1069">
        <f>SUMIF(Meal_entry_week_2!G$57:G$81,"Eggs",Meal_entry_week_2!T$57:T$81)</f>
        <v>3.666666666666667</v>
      </c>
      <c r="K353" s="1069">
        <f>SUMIF(Meal_entry_week_2!G$57:G$81,"Dairy_products",Meal_entry_week_2!T$57:T$81)</f>
        <v>4.5650000000000004</v>
      </c>
      <c r="L353" s="1069">
        <f>SUMIF(Meal_entry_week_2!G$57:G$81,"Oil_butter_margarine",Meal_entry_week_2!T$57:T$81)</f>
        <v>8.6059999999999999</v>
      </c>
      <c r="M353" s="1069">
        <f>SUMIF(Meal_entry_week_2!G$57:G$81,"Flour_pasta_seeds_cereals",Meal_entry_week_2!T$57:T$81)</f>
        <v>0.43119999999999997</v>
      </c>
      <c r="N353" s="1069">
        <f>SUMIF(Meal_entry_week_2!G$57:G$81,"Sauces_purees_dressings",Meal_entry_week_2!T$57:T$81)+SUMIF(Meal_entry_week_2!G$57:G$81,"Spices_seasonings",Meal_entry_week_2!T$57:T$81)</f>
        <v>2.8207418181818182</v>
      </c>
      <c r="O353" s="1069">
        <f>SUMIF(Meal_entry_week_2!G$57:G$81,"Sweet_foods_cakes",Meal_entry_week_2!T$57:T$81)</f>
        <v>0</v>
      </c>
      <c r="P353" s="1069">
        <f>SUMIF(Meal_entry_week_2!G$57:G$81,"Bread_and_pastries",Meal_entry_week_2!T$57:T$81)+SUMIF(Meal_entry_week_2!G$57:G$81,"Savoury_pastries",Meal_entry_week_2!T$57:T$81)+SUMIF(Meal_entry_week_2!G$57:G$81,"Sweet_pastries",Meal_entry_week_2!T$57:T$81)</f>
        <v>3.5200000000000005</v>
      </c>
      <c r="Q353" s="1069">
        <f>SUMIF(Meal_entry_week_2!G$57:G$81,"Other_processed_foods",Meal_entry_week_2!T$57:T$81)</f>
        <v>0</v>
      </c>
      <c r="R353" s="1069">
        <f>SUMIF(Meal_entry_week_2!G$57:G$81,"Zasladjena_piča_čajevi_kafa",Meal_entry_week_2!T$57:T$81)</f>
        <v>0</v>
      </c>
      <c r="S353" s="1069">
        <f>SUMIF(Meal_entry_week_2!G$57:G$81,"Fruit_juices_water",Meal_entry_week_2!T$57:T$81)</f>
        <v>0</v>
      </c>
      <c r="T353" s="1070">
        <f>170-SUM(D353:S353)</f>
        <v>93.850391515151529</v>
      </c>
      <c r="U353" s="965"/>
      <c r="V353" s="913"/>
      <c r="W353" s="913"/>
      <c r="X353" s="913"/>
      <c r="Y353" s="913"/>
      <c r="Z353" s="913"/>
      <c r="AA353" s="913"/>
      <c r="AB353" s="913"/>
      <c r="AC353" s="913"/>
      <c r="AD353" s="913"/>
      <c r="AE353" s="913"/>
      <c r="AF353" s="913"/>
      <c r="AG353" s="913"/>
    </row>
    <row r="354" spans="1:33">
      <c r="A354" s="911"/>
      <c r="B354" s="956" t="s">
        <v>3065</v>
      </c>
      <c r="C354" s="945"/>
      <c r="D354" s="1069">
        <f>SUMIF(Meal_entry_week_2!G$156:G$180,"Vegetables_mushrooms_fresh_frozen",Meal_entry_week_2!T$156:T$180)</f>
        <v>21.3</v>
      </c>
      <c r="E354" s="1069">
        <f>SUMIF(Meal_entry_week_2!G$156:G$180,"Vegetables_processed",Meal_entry_week_2!T$156:T$180)</f>
        <v>4.5257142857142858</v>
      </c>
      <c r="F354" s="1069">
        <f>SUMIF(Meal_entry_week_2!G$156:G$180,"Fruits_nuts_dried_fruit",Meal_entry_week_2!T$156:T$180)</f>
        <v>7.4249999999999998</v>
      </c>
      <c r="G354" s="1069">
        <f>SUMIF(Meal_entry_week_2!G$156:G$180,"Meat_fresh_frozen",Meal_entry_week_2!T$156:T$180)</f>
        <v>0</v>
      </c>
      <c r="H354" s="1069">
        <f>SUMIF(Meal_entry_week_2!G$156:G$180,"Meat_processed",Meal_entry_week_2!T$156:T$180)</f>
        <v>0</v>
      </c>
      <c r="I354" s="1069">
        <f>SUMIF(Meal_entry_week_2!G$156:G$180,"Fish_fresh_frozen",Meal_entry_week_2!T$156:T$180)+SUMIF(Meal_entry_week_2!G$156:G$180,"Fish_processed_canned",Meal_entry_week_2!T$156:T$180)</f>
        <v>0</v>
      </c>
      <c r="J354" s="1069">
        <f>SUMIF(Meal_entry_week_2!G$156:G$180,"Eggs",Meal_entry_week_2!T$156:T$180)</f>
        <v>0</v>
      </c>
      <c r="K354" s="1069">
        <f>SUMIF(Meal_entry_week_2!G$156:G$180,"Dairy_products",Meal_entry_week_2!T$156:T$180)</f>
        <v>11.7</v>
      </c>
      <c r="L354" s="1069">
        <f>SUMIF(Meal_entry_week_2!G$156:G$180,"Oil_butter_margarine",Meal_entry_week_2!T$156:T$180)</f>
        <v>0.60499999999999998</v>
      </c>
      <c r="M354" s="1069">
        <f>SUMIF(Meal_entry_week_2!G$156:G$180,"Flour_pasta_seeds_cereals",Meal_entry_week_2!T$156:T$180)</f>
        <v>20.88</v>
      </c>
      <c r="N354" s="1069">
        <f>SUMIF(Meal_entry_week_2!G$156:G$180,"Sauces_purees_dressings",Meal_entry_week_2!T$156:T$180)+SUMIF(Meal_entry_week_2!G$156:G$180,"Spices_seasonings",Meal_entry_week_2!T$156:T$180)</f>
        <v>8.0640000000000003E-2</v>
      </c>
      <c r="O354" s="1069">
        <f>SUMIF(Meal_entry_week_2!G$156:G$180,"Sweet_foods_cakes",Meal_entry_week_2!T$156:T$180)</f>
        <v>0</v>
      </c>
      <c r="P354" s="1069">
        <f>SUMIF(Meal_entry_week_2!G$156:G$180,"Bread_and_pastries",Meal_entry_week_2!T$156:T$180)+SUMIF(Meal_entry_week_2!G$156:G$180,"Savoury_pastries",Meal_entry_week_2!T$156:T$180)+SUMIF(Meal_entry_week_2!G$156:G$180,"Sweet_pastries",Meal_entry_week_2!T$156:T$180)</f>
        <v>3.9319499999999996</v>
      </c>
      <c r="Q354" s="1069">
        <f>SUMIF(Meal_entry_week_2!G$156:G$180,"Other_processed_foods",Meal_entry_week_2!T$156:T$180)</f>
        <v>0</v>
      </c>
      <c r="R354" s="1069">
        <f>SUMIF(Meal_entry_week_2!G$156:G$180,"Zasladjena_piča_čajevi_kafa",Meal_entry_week_2!T$156:T$180)</f>
        <v>0</v>
      </c>
      <c r="S354" s="1069">
        <f>SUMIF(Meal_entry_week_2!G$156:G$180,"Fruit_juices_water",Meal_entry_week_2!T$156:T$180)</f>
        <v>0</v>
      </c>
      <c r="T354" s="1070">
        <f>170-SUM(D354:S354)</f>
        <v>99.551695714285714</v>
      </c>
      <c r="U354" s="965"/>
      <c r="V354" s="913"/>
      <c r="W354" s="913"/>
      <c r="X354" s="913"/>
      <c r="Y354" s="913"/>
      <c r="Z354" s="913"/>
      <c r="AA354" s="913"/>
      <c r="AB354" s="913"/>
      <c r="AC354" s="913"/>
      <c r="AD354" s="913"/>
      <c r="AE354" s="913"/>
      <c r="AF354" s="913"/>
      <c r="AG354" s="913"/>
    </row>
    <row r="355" spans="1:33">
      <c r="A355" s="911"/>
      <c r="B355" s="956" t="s">
        <v>3940</v>
      </c>
      <c r="C355" s="945"/>
      <c r="D355" s="1069">
        <f>SUMIF(Meal_entry_week_2!G$255:G$279,"Vegetables_mushrooms_fresh_frozen",Meal_entry_week_2!T$255:T$279)</f>
        <v>39.400000000000006</v>
      </c>
      <c r="E355" s="1069">
        <f>SUMIF(Meal_entry_week_2!G$255:G$279,"Vegetables_processed",Meal_entry_week_2!T$255:T$279)</f>
        <v>0</v>
      </c>
      <c r="F355" s="1069">
        <f>SUMIF(Meal_entry_week_2!G$255:G$279,"Fruits_nuts_dried_fruit",Meal_entry_week_2!T$255:T$279)</f>
        <v>2.4750000000000001</v>
      </c>
      <c r="G355" s="1069">
        <f>SUMIF(Meal_entry_week_2!G$255:G$279,"Meat_fresh_frozen",Meal_entry_week_2!T$255:T$279)</f>
        <v>0</v>
      </c>
      <c r="H355" s="1069">
        <f>SUMIF(Meal_entry_week_2!G$255:G$279,"Meat_processed",Meal_entry_week_2!T$255:T$279)</f>
        <v>11.16</v>
      </c>
      <c r="I355" s="1069">
        <f>SUMIF(Meal_entry_week_2!G$255:G$279,"Fish_fresh_frozen",Meal_entry_week_2!T$255:T$279)+SUMIF(Meal_entry_week_2!G$255:G$279,"Fish_processed_canned",Meal_entry_week_2!T$255:T$279)</f>
        <v>0</v>
      </c>
      <c r="J355" s="1069">
        <f>SUMIF(Meal_entry_week_2!G$255:G$279,"Eggs",Meal_entry_week_2!T$255:T$279)</f>
        <v>0.91666666666666674</v>
      </c>
      <c r="K355" s="1069">
        <f>SUMIF(Meal_entry_week_2!G$255:G$279,"Dairy_products",Meal_entry_week_2!T$255:T$279)</f>
        <v>0.73039999999999994</v>
      </c>
      <c r="L355" s="1069">
        <f>SUMIF(Meal_entry_week_2!G$255:G$279,"Oil_butter_margarine",Meal_entry_week_2!T$255:T$279)</f>
        <v>2.3957999999999999</v>
      </c>
      <c r="M355" s="1069">
        <f>SUMIF(Meal_entry_week_2!G$255:G$279,"Flour_pasta_seeds_cereals",Meal_entry_week_2!T$255:T$279)</f>
        <v>0.77615999999999996</v>
      </c>
      <c r="N355" s="1069">
        <f>SUMIF(Meal_entry_week_2!G$255:G$279,"Sauces_purees_dressings",Meal_entry_week_2!T$255:T$279)+SUMIF(Meal_entry_week_2!G$255:G$279,"Spices_seasonings",Meal_entry_week_2!T$255:T$279)</f>
        <v>0.37290000000000001</v>
      </c>
      <c r="O355" s="1069">
        <f>SUMIF(Meal_entry_week_2!G$255:G$279,"Sweet_foods_cakes",Meal_entry_week_2!T$255:T$279)</f>
        <v>1.1215600000000001</v>
      </c>
      <c r="P355" s="1069">
        <f>SUMIF(Meal_entry_week_2!G$255:G$279,"Bread_and_pastries",Meal_entry_week_2!T$255:T$279)+SUMIF(Meal_entry_week_2!G$255:G$279,"Savoury_pastries",Meal_entry_week_2!T$255:T$279)+SUMIF(Meal_entry_week_2!G$255:G$279,"Sweet_pastries",Meal_entry_week_2!T$255:T$279)</f>
        <v>5.6319999999999997</v>
      </c>
      <c r="Q355" s="1069">
        <f>SUMIF(Meal_entry_week_2!G$255:G$279,"Other_processed_foods",Meal_entry_week_2!T$255:T$279)</f>
        <v>0</v>
      </c>
      <c r="R355" s="1069">
        <f>SUMIF(Meal_entry_week_2!G$255:G$279,"Zasladjena_piča_čajevi_kafa",Meal_entry_week_2!T$255:T$279)</f>
        <v>0</v>
      </c>
      <c r="S355" s="1069">
        <f>SUMIF(Meal_entry_week_2!G$255:G$279,"Fruit_juices_water",Meal_entry_week_2!T$255:T$279)</f>
        <v>0</v>
      </c>
      <c r="T355" s="1070">
        <f>170-SUM(D355:S355)</f>
        <v>105.01951333333332</v>
      </c>
      <c r="U355" s="965"/>
      <c r="V355" s="913"/>
      <c r="W355" s="913"/>
      <c r="X355" s="913"/>
      <c r="Y355" s="913"/>
      <c r="Z355" s="913"/>
      <c r="AA355" s="913"/>
      <c r="AB355" s="913"/>
      <c r="AC355" s="913"/>
      <c r="AD355" s="913"/>
      <c r="AE355" s="913"/>
      <c r="AF355" s="913"/>
      <c r="AG355" s="913"/>
    </row>
    <row r="356" spans="1:33">
      <c r="A356" s="911"/>
      <c r="B356" s="956" t="s">
        <v>3067</v>
      </c>
      <c r="C356" s="945"/>
      <c r="D356" s="1069">
        <f>SUMIF(Meal_entry_week_2!G$354:G$378,"Vegetables_mushrooms_fresh_frozen",Meal_entry_week_2!T$354:T$378)</f>
        <v>34.096428571428575</v>
      </c>
      <c r="E356" s="1069">
        <f>SUMIF(Meal_entry_week_2!G$354:G$378,"Vegetables_processed",Meal_entry_week_2!T$354:T$378)</f>
        <v>0</v>
      </c>
      <c r="F356" s="1069">
        <f>SUMIF(Meal_entry_week_2!G$354:G$378,"Fruits_nuts_dried_fruit",Meal_entry_week_2!T$354:T$378)</f>
        <v>7.4249999999999998</v>
      </c>
      <c r="G356" s="1069">
        <f>SUMIF(Meal_entry_week_2!G$354:G$378,"Meat_fresh_frozen",Meal_entry_week_2!T$354:T$378)</f>
        <v>17.600000000000001</v>
      </c>
      <c r="H356" s="1069">
        <f>SUMIF(Meal_entry_week_2!G$354:G$378,"Meat_processed",Meal_entry_week_2!T$354:T$378)</f>
        <v>0</v>
      </c>
      <c r="I356" s="1069">
        <f>SUMIF(Meal_entry_week_2!G$354:G$378,"Fish_fresh_frozen",Meal_entry_week_2!T$354:T$378)+SUMIF(Meal_entry_week_2!G$354:G$378,"Fish_processed_canned",Meal_entry_week_2!T$354:T$378)</f>
        <v>0</v>
      </c>
      <c r="J356" s="1069">
        <f>SUMIF(Meal_entry_week_2!G$354:G$378,"Eggs",Meal_entry_week_2!T$354:T$378)</f>
        <v>3.666666666666667</v>
      </c>
      <c r="K356" s="1069">
        <f>SUMIF(Meal_entry_week_2!G$354:G$378,"Dairy_products",Meal_entry_week_2!T$354:T$378)</f>
        <v>1.8260000000000001</v>
      </c>
      <c r="L356" s="1069">
        <f>SUMIF(Meal_entry_week_2!G$354:G$378,"Oil_butter_margarine",Meal_entry_week_2!T$354:T$378)</f>
        <v>2.9039999999999999</v>
      </c>
      <c r="M356" s="1069">
        <f>SUMIF(Meal_entry_week_2!G$354:G$378,"Flour_pasta_seeds_cereals",Meal_entry_week_2!T$354:T$378)</f>
        <v>0.86239999999999994</v>
      </c>
      <c r="N356" s="1069">
        <f>SUMIF(Meal_entry_week_2!G$354:G$378,"Sauces_purees_dressings",Meal_entry_week_2!T$354:T$378)+SUMIF(Meal_entry_week_2!G$354:G$378,"Spices_seasonings",Meal_entry_week_2!T$354:T$378)</f>
        <v>0.18542400000000001</v>
      </c>
      <c r="O356" s="1069">
        <f>SUMIF(Meal_entry_week_2!G$354:G$378,"Sweet_foods_cakes",Meal_entry_week_2!T$354:T$378)</f>
        <v>0.33770000000000006</v>
      </c>
      <c r="P356" s="1069">
        <f>SUMIF(Meal_entry_week_2!G$354:G$378,"Bread_and_pastries",Meal_entry_week_2!T$354:T$378)+SUMIF(Meal_entry_week_2!G$354:G$378,"Savoury_pastries",Meal_entry_week_2!T$354:T$378)+SUMIF(Meal_entry_week_2!G$354:G$378,"Sweet_pastries",Meal_entry_week_2!T$354:T$378)</f>
        <v>5.28</v>
      </c>
      <c r="Q356" s="1069">
        <f>SUMIF(Meal_entry_week_2!G$354:G$378,"Other_processed_foods",Meal_entry_week_2!T$354:T$378)</f>
        <v>0</v>
      </c>
      <c r="R356" s="1069">
        <f>SUMIF(Meal_entry_week_2!G$354:G$378,"Zasladjena_piča_čajevi_kafa",Meal_entry_week_2!T$354:T$378)</f>
        <v>0</v>
      </c>
      <c r="S356" s="1069">
        <f>SUMIF(Meal_entry_week_2!G$354:G$378,"Fruit_juices_water",Meal_entry_week_2!T$354:T$378)</f>
        <v>0</v>
      </c>
      <c r="T356" s="1070">
        <f>170-SUM(D356:S356)</f>
        <v>95.816380761904782</v>
      </c>
      <c r="U356" s="965"/>
      <c r="V356" s="913"/>
      <c r="W356" s="913"/>
      <c r="X356" s="913"/>
      <c r="Y356" s="913"/>
      <c r="Z356" s="913"/>
      <c r="AA356" s="913"/>
      <c r="AB356" s="913"/>
      <c r="AC356" s="913"/>
      <c r="AD356" s="913"/>
      <c r="AE356" s="913"/>
      <c r="AF356" s="913"/>
      <c r="AG356" s="913"/>
    </row>
    <row r="357" spans="1:33">
      <c r="A357" s="911"/>
      <c r="B357" s="1074" t="s">
        <v>3068</v>
      </c>
      <c r="C357" s="945"/>
      <c r="D357" s="1075">
        <f>SUMIF(Meal_entry_week_2!G$453:G$477,"Vegetables_mushrooms_fresh_frozen",Meal_entry_week_2!T$453:T$477)</f>
        <v>8.0259999999999998</v>
      </c>
      <c r="E357" s="1075">
        <f>SUMIF(Meal_entry_week_2!G$453:G$477,"Vegetables_processed",Meal_entry_week_2!T$453:T$477)</f>
        <v>0</v>
      </c>
      <c r="F357" s="1075">
        <f>SUMIF(Meal_entry_week_2!G$453:G$477,"Fruits_nuts_dried_fruit",Meal_entry_week_2!T$453:T$477)</f>
        <v>7.4249999999999998</v>
      </c>
      <c r="G357" s="1075">
        <f>SUMIF(Meal_entry_week_2!G$453:G$477,"Meat_fresh_frozen",Meal_entry_week_2!T$453:T$477)</f>
        <v>22</v>
      </c>
      <c r="H357" s="1075">
        <f>SUMIF(Meal_entry_week_2!G$453:G$477,"Meat_processed",Meal_entry_week_2!T$453:T$477)</f>
        <v>0</v>
      </c>
      <c r="I357" s="1075">
        <f>SUMIF(Meal_entry_week_2!G$453:G$477,"Fish_fresh_frozen",Meal_entry_week_2!T$453:T$477)+SUMIF(Meal_entry_week_2!G$453:G$477,"Fish_processed_canned",Meal_entry_week_2!T$453:T$477)</f>
        <v>0</v>
      </c>
      <c r="J357" s="1075">
        <f>SUMIF(Meal_entry_week_2!G$453:G$477,"Eggs",Meal_entry_week_2!T$453:T$477)</f>
        <v>3.666666666666667</v>
      </c>
      <c r="K357" s="1075">
        <f>SUMIF(Meal_entry_week_2!G$453:G$477,"Dairy_products",Meal_entry_week_2!T$453:T$477)</f>
        <v>9.35</v>
      </c>
      <c r="L357" s="1075">
        <f>SUMIF(Meal_entry_week_2!G$453:G$477,"Oil_butter_margarine",Meal_entry_week_2!T$453:T$477)</f>
        <v>2.0569999999999999</v>
      </c>
      <c r="M357" s="1075">
        <f>SUMIF(Meal_entry_week_2!G$453:G$477,"Flour_pasta_seeds_cereals",Meal_entry_week_2!T$453:T$477)</f>
        <v>4.3911999999999995</v>
      </c>
      <c r="N357" s="1075">
        <f>SUMIF(Meal_entry_week_2!G$453:G$477,"Sauces_purees_dressings",Meal_entry_week_2!T$453:T$477)+SUMIF(Meal_entry_week_2!G$453:G$477,"Spices_seasonings",Meal_entry_week_2!T$453:T$477)</f>
        <v>3.5545599999999999</v>
      </c>
      <c r="O357" s="1075">
        <f>SUMIF(Meal_entry_week_2!G$453:G$477,"Sweet_foods_cakes",Meal_entry_week_2!T$453:T$477)</f>
        <v>0</v>
      </c>
      <c r="P357" s="1075">
        <f>SUMIF(Meal_entry_week_2!G$453:G$477,"Bread_and_pastries",Meal_entry_week_2!T$453:T$477)+SUMIF(Meal_entry_week_2!G$453:G$477,"Savoury_pastries",Meal_entry_week_2!T$453:T$477)+SUMIF(Meal_entry_week_2!G$453:G$477,"Sweet_pastries",Meal_entry_week_2!T$453:T$477)</f>
        <v>5.28</v>
      </c>
      <c r="Q357" s="1075">
        <f>SUMIF(Meal_entry_week_2!G$453:G$477,"Other_processed_foods",Meal_entry_week_2!T$453:T$477)</f>
        <v>0</v>
      </c>
      <c r="R357" s="1075">
        <f>SUMIF(Meal_entry_week_2!G$453:G$477,"Zasladjena_piča_čajevi_kafa",Meal_entry_week_2!T$453:T$477)</f>
        <v>0</v>
      </c>
      <c r="S357" s="1075">
        <f>SUMIF(Meal_entry_week_2!G$453:G$477,"Fruit_juices_water",Meal_entry_week_2!T$453:T$477)</f>
        <v>0</v>
      </c>
      <c r="T357" s="1070">
        <f>170-SUM(D357:S357)</f>
        <v>104.24957333333333</v>
      </c>
      <c r="U357" s="965"/>
      <c r="V357" s="913"/>
      <c r="W357" s="913"/>
      <c r="X357" s="913"/>
      <c r="Y357" s="913"/>
      <c r="Z357" s="913"/>
      <c r="AA357" s="913"/>
      <c r="AB357" s="913"/>
      <c r="AC357" s="913"/>
      <c r="AD357" s="913"/>
      <c r="AE357" s="913"/>
      <c r="AF357" s="913"/>
      <c r="AG357" s="913"/>
    </row>
    <row r="358" spans="1:33">
      <c r="A358" s="911"/>
      <c r="B358" s="956" t="s">
        <v>2510</v>
      </c>
      <c r="C358" s="945"/>
      <c r="D358" s="913" t="s">
        <v>3140</v>
      </c>
      <c r="E358" s="913" t="s">
        <v>3069</v>
      </c>
      <c r="F358" s="913" t="s">
        <v>3077</v>
      </c>
      <c r="G358" s="913" t="s">
        <v>3073</v>
      </c>
      <c r="H358" s="913" t="s">
        <v>3070</v>
      </c>
      <c r="I358" s="913" t="s">
        <v>3575</v>
      </c>
      <c r="J358" s="913" t="s">
        <v>3072</v>
      </c>
      <c r="K358" s="913" t="s">
        <v>3085</v>
      </c>
      <c r="L358" s="913" t="s">
        <v>3075</v>
      </c>
      <c r="M358" s="913" t="s">
        <v>3141</v>
      </c>
      <c r="N358" s="913" t="s">
        <v>3550</v>
      </c>
      <c r="O358" s="913" t="s">
        <v>3078</v>
      </c>
      <c r="P358" s="913" t="s">
        <v>3551</v>
      </c>
      <c r="Q358" s="913" t="s">
        <v>3082</v>
      </c>
      <c r="R358" s="1067" t="s">
        <v>3083</v>
      </c>
      <c r="S358" s="913" t="s">
        <v>3084</v>
      </c>
      <c r="T358" s="1068"/>
      <c r="U358" s="965"/>
      <c r="V358" s="913"/>
      <c r="W358" s="913"/>
      <c r="X358" s="913"/>
      <c r="Y358" s="913"/>
      <c r="Z358" s="913"/>
      <c r="AA358" s="913"/>
      <c r="AB358" s="913"/>
      <c r="AC358" s="913"/>
      <c r="AD358" s="913"/>
      <c r="AE358" s="913"/>
      <c r="AF358" s="913"/>
      <c r="AG358" s="913"/>
    </row>
    <row r="359" spans="1:33">
      <c r="A359" s="911"/>
      <c r="B359" s="956" t="s">
        <v>3064</v>
      </c>
      <c r="C359" s="945"/>
      <c r="D359" s="1069">
        <f>SUMIF(Meal_entry_week_2!G$89:G$100,"Vegetables_mushrooms_fresh_frozen",Meal_entry_week_2!T$89:T$100)</f>
        <v>0</v>
      </c>
      <c r="E359" s="1069">
        <f>SUMIF(Meal_entry_week_2!G$89:G$100,"Vegetables_processed",Meal_entry_week_2!T$89:T$100)</f>
        <v>0</v>
      </c>
      <c r="F359" s="1069">
        <f>SUMIF(Meal_entry_week_2!G$89:G$100,"Fruits_nuts_dried_fruit",Meal_entry_week_2!T$89:T$100)</f>
        <v>0</v>
      </c>
      <c r="G359" s="1069">
        <f>SUMIF(Meal_entry_week_2!G$89:G$100,"Meat_fresh_frozen",Meal_entry_week_2!T$89:T$100)</f>
        <v>0</v>
      </c>
      <c r="H359" s="1069">
        <f>SUMIF(Meal_entry_week_2!G$89:G$100,"Meat_processed",Meal_entry_week_2!T$89:T$100)</f>
        <v>0</v>
      </c>
      <c r="I359" s="1069">
        <f>SUMIF(Meal_entry_week_2!G$89:G$100,"Fish_fresh_frozen",Meal_entry_week_2!T$89:T$100)+SUMIF(Meal_entry_week_2!G$89:G$100,"Fish_processed_canned",Meal_entry_week_2!T$89:T$100)</f>
        <v>0</v>
      </c>
      <c r="J359" s="1069">
        <f>SUMIF(Meal_entry_week_2!G$89:G$100,"Eggs",Meal_entry_week_2!T$89:T$100)</f>
        <v>0</v>
      </c>
      <c r="K359" s="1069">
        <f>SUMIF(Meal_entry_week_2!G$89:G$100,"Dairy_products",Meal_entry_week_2!T$89:T$100)</f>
        <v>0</v>
      </c>
      <c r="L359" s="1069">
        <f>SUMIF(Meal_entry_week_2!G$89:G$100,"Oil_butter_margarine",Meal_entry_week_2!T$89:T$100)</f>
        <v>0</v>
      </c>
      <c r="M359" s="1069">
        <f>SUMIF(Meal_entry_week_2!G$89:G$100,"Flour_pasta_seeds_cereals",Meal_entry_week_2!T$89:T$100)</f>
        <v>0</v>
      </c>
      <c r="N359" s="1069">
        <f>SUMIF(Meal_entry_week_2!G$89:G$100,"Sauces_purees_dressings",Meal_entry_week_2!T$89:T$100)+SUMIF(Meal_entry_week_2!G$89:G$100,"Spices_seasonings",Meal_entry_week_2!T$89:T$100)</f>
        <v>0</v>
      </c>
      <c r="O359" s="1069">
        <f>SUMIF(Meal_entry_week_2!G$89:G$100,"Sweet_foods_cakes",Meal_entry_week_2!T$89:T$100)</f>
        <v>0</v>
      </c>
      <c r="P359" s="1069">
        <f>SUMIF(Meal_entry_week_2!G$89:G$100,"Bread_and_pastries",Meal_entry_week_2!T$89:T$100)+SUMIF(Meal_entry_week_2!G$89:G$100,"Savoury_pastries",Meal_entry_week_2!T$89:T$100)+SUMIF(Meal_entry_week_2!G$89:G$100,"Sweet_pastries",Meal_entry_week_2!T$89:T$100)</f>
        <v>0</v>
      </c>
      <c r="Q359" s="1069">
        <f>SUMIF(Meal_entry_week_2!G$89:G$100,"Other_processed_foods",Meal_entry_week_2!T$89:T$100)</f>
        <v>0</v>
      </c>
      <c r="R359" s="1069">
        <f>SUMIF(Meal_entry_week_2!G$89:G$100,"Zasladjena_piča_čajevi_kafa",Meal_entry_week_2!T$89:T$100)</f>
        <v>0</v>
      </c>
      <c r="S359" s="1069">
        <f>SUMIF(Meal_entry_week_2!G$89:G$100,"Fruit_juices_water",Meal_entry_week_2!T$89:T$100)</f>
        <v>0</v>
      </c>
      <c r="T359" s="1070">
        <f>52-SUM(D359:S359)</f>
        <v>52</v>
      </c>
      <c r="U359" s="965"/>
      <c r="V359" s="913"/>
      <c r="W359" s="913"/>
      <c r="X359" s="913"/>
      <c r="Y359" s="913"/>
      <c r="Z359" s="913"/>
      <c r="AA359" s="913"/>
      <c r="AB359" s="913"/>
      <c r="AC359" s="913"/>
      <c r="AD359" s="913"/>
      <c r="AE359" s="913"/>
      <c r="AF359" s="913"/>
      <c r="AG359" s="913"/>
    </row>
    <row r="360" spans="1:33">
      <c r="A360" s="911"/>
      <c r="B360" s="956" t="s">
        <v>3065</v>
      </c>
      <c r="C360" s="945"/>
      <c r="D360" s="1069">
        <f>SUMIF(Meal_entry_week_2!G$188:G$199,"Vegetables_mushrooms_fresh_frozen",Meal_entry_week_2!T$188:T$199)</f>
        <v>0</v>
      </c>
      <c r="E360" s="1069">
        <f>SUMIF(Meal_entry_week_2!G$188:G$199,"Vegetables_processed",Meal_entry_week_2!T$188:T$199)</f>
        <v>0</v>
      </c>
      <c r="F360" s="1069">
        <f>SUMIF(Meal_entry_week_2!G$188:G$199,"Fruits_nuts_dried_fruit",Meal_entry_week_2!T$188:T$199)</f>
        <v>0</v>
      </c>
      <c r="G360" s="1069">
        <f>SUMIF(Meal_entry_week_2!G$188:G$199,"Meat_fresh_frozen",Meal_entry_week_2!T$188:T$199)</f>
        <v>0</v>
      </c>
      <c r="H360" s="1069">
        <f>SUMIF(Meal_entry_week_2!G$188:G$199,"Meat_processed",Meal_entry_week_2!T$188:T$199)</f>
        <v>0</v>
      </c>
      <c r="I360" s="1069">
        <f>SUMIF(Meal_entry_week_2!G$188:G$199,"Fish_fresh_frozen",Meal_entry_week_2!T$188:T$199)+SUMIF(Meal_entry_week_2!G$188:G$199,"Fish_processed_canned",Meal_entry_week_2!T$188:T$199)</f>
        <v>0</v>
      </c>
      <c r="J360" s="1069">
        <f>SUMIF(Meal_entry_week_2!G$188:G$199,"Eggs",Meal_entry_week_2!T$188:T$199)</f>
        <v>0</v>
      </c>
      <c r="K360" s="1069">
        <f>SUMIF(Meal_entry_week_2!G$188:G$199,"Dairy_products",Meal_entry_week_2!T$188:T$199)</f>
        <v>0</v>
      </c>
      <c r="L360" s="1069">
        <f>SUMIF(Meal_entry_week_2!G$188:G$199,"Oil_butter_margarine",Meal_entry_week_2!T$188:T$199)</f>
        <v>0</v>
      </c>
      <c r="M360" s="1069">
        <f>SUMIF(Meal_entry_week_2!G$188:G$199,"Flour_pasta_seeds_cereals",Meal_entry_week_2!T$188:T$199)</f>
        <v>0</v>
      </c>
      <c r="N360" s="1069">
        <f>SUMIF(Meal_entry_week_2!G$188:G$199,"Sauces_purees_dressings",Meal_entry_week_2!T$188:T$199)+SUMIF(Meal_entry_week_2!G$188:G$199,"Spices_seasonings",Meal_entry_week_2!T$188:T$199)</f>
        <v>0</v>
      </c>
      <c r="O360" s="1069">
        <f>SUMIF(Meal_entry_week_2!G$188:G$199,"Sweet_foods_cakes",Meal_entry_week_2!T$188:T$199)</f>
        <v>0</v>
      </c>
      <c r="P360" s="1069">
        <f>SUMIF(Meal_entry_week_2!G$188:G$199,"Bread_and_pastries",Meal_entry_week_2!T$188:T$199)+SUMIF(Meal_entry_week_2!G$188:G$199,"Savoury_pastries",Meal_entry_week_2!T$188:T$199)+SUMIF(Meal_entry_week_2!G$188:G$199,"Sweet_pastries",Meal_entry_week_2!T$188:T$199)</f>
        <v>0</v>
      </c>
      <c r="Q360" s="1069">
        <f>SUMIF(Meal_entry_week_2!G$188:G$199,"Other_processed_foods",Meal_entry_week_2!T$188:T$199)</f>
        <v>0</v>
      </c>
      <c r="R360" s="1069">
        <f>SUMIF(Meal_entry_week_2!G$188:G$199,"Zasladjena_piča_čajevi_kafa",Meal_entry_week_2!T$188:T$199)</f>
        <v>0</v>
      </c>
      <c r="S360" s="1069">
        <f>SUMIF(Meal_entry_week_2!G$188:G$199,"Fruit_juices_water",Meal_entry_week_2!T$188:T$199)</f>
        <v>0</v>
      </c>
      <c r="T360" s="1070">
        <f>52-SUM(D360:S360)</f>
        <v>52</v>
      </c>
      <c r="U360" s="965"/>
      <c r="V360" s="913"/>
      <c r="W360" s="913"/>
      <c r="X360" s="913"/>
      <c r="Y360" s="913"/>
      <c r="Z360" s="913"/>
      <c r="AA360" s="913"/>
      <c r="AB360" s="913"/>
      <c r="AC360" s="913"/>
      <c r="AD360" s="913"/>
      <c r="AE360" s="913"/>
      <c r="AF360" s="913"/>
      <c r="AG360" s="913"/>
    </row>
    <row r="361" spans="1:33">
      <c r="A361" s="911"/>
      <c r="B361" s="956" t="s">
        <v>3940</v>
      </c>
      <c r="C361" s="945"/>
      <c r="D361" s="1069">
        <f>SUMIF(Meal_entry_week_2!G$287:G$298,"Vegetables_mushrooms_fresh_frozen",Meal_entry_week_2!T$287:T$298)</f>
        <v>0</v>
      </c>
      <c r="E361" s="1069">
        <f>SUMIF(Meal_entry_week_2!G$287:G$298,"Vegetables_processed",Meal_entry_week_2!T$287:T$298)</f>
        <v>0</v>
      </c>
      <c r="F361" s="1069">
        <f>SUMIF(Meal_entry_week_2!G$287:G$298,"Fruits_nuts_dried_fruit",Meal_entry_week_2!T$287:T$298)</f>
        <v>0</v>
      </c>
      <c r="G361" s="1069">
        <f>SUMIF(Meal_entry_week_2!G$287:G$298,"Meat_fresh_frozen",Meal_entry_week_2!T$287:T$298)</f>
        <v>0</v>
      </c>
      <c r="H361" s="1069">
        <f>SUMIF(Meal_entry_week_2!G$287:G$298,"Meat_processed",Meal_entry_week_2!T$287:T$298)</f>
        <v>0</v>
      </c>
      <c r="I361" s="1069">
        <f>SUMIF(Meal_entry_week_2!G$287:G$298,"Fish_fresh_frozen",Meal_entry_week_2!T$287:T$298)+SUMIF(Meal_entry_week_2!G$287:G$298,"Fish_processed_canned",Meal_entry_week_2!T$287:T$298)</f>
        <v>0</v>
      </c>
      <c r="J361" s="1069">
        <f>SUMIF(Meal_entry_week_2!G$287:G$298,"Eggs",Meal_entry_week_2!T$287:T$298)</f>
        <v>0</v>
      </c>
      <c r="K361" s="1069">
        <f>SUMIF(Meal_entry_week_2!G$287:G$298,"Dairy_products",Meal_entry_week_2!T$287:T$298)</f>
        <v>0</v>
      </c>
      <c r="L361" s="1069">
        <f>SUMIF(Meal_entry_week_2!G$287:G$298,"Oil_butter_margarine",Meal_entry_week_2!T$287:T$298)</f>
        <v>0</v>
      </c>
      <c r="M361" s="1069">
        <f>SUMIF(Meal_entry_week_2!G$287:G$298,"Flour_pasta_seeds_cereals",Meal_entry_week_2!T$287:T$298)</f>
        <v>0</v>
      </c>
      <c r="N361" s="1069">
        <f>SUMIF(Meal_entry_week_2!G$287:G$298,"Sauces_purees_dressings",Meal_entry_week_2!T$287:T$298)+SUMIF(Meal_entry_week_2!G$287:G$298,"Spices_seasonings",Meal_entry_week_2!T$287:T$298)</f>
        <v>0</v>
      </c>
      <c r="O361" s="1069">
        <f>SUMIF(Meal_entry_week_2!G$287:G$298,"Sweet_foods_cakes",Meal_entry_week_2!T$287:T$298)</f>
        <v>0</v>
      </c>
      <c r="P361" s="1069">
        <f>SUMIF(Meal_entry_week_2!G$287:G$298,"Bread_and_pastries",Meal_entry_week_2!T$287:T$298)+SUMIF(Meal_entry_week_2!G$287:G$298,"Savoury_pastries",Meal_entry_week_2!T$287:T$298)+SUMIF(Meal_entry_week_2!G$287:G$298,"Sweet_pastries",Meal_entry_week_2!T$287:T$298)</f>
        <v>0</v>
      </c>
      <c r="Q361" s="1069">
        <f>SUMIF(Meal_entry_week_2!G$287:G$298,"Other_processed_foods",Meal_entry_week_2!T$287:T$298)</f>
        <v>0</v>
      </c>
      <c r="R361" s="1069">
        <f>SUMIF(Meal_entry_week_2!G$287:G$298,"Zasladjena_piča_čajevi_kafa",Meal_entry_week_2!T$287:T$298)</f>
        <v>0</v>
      </c>
      <c r="S361" s="1069">
        <f>SUMIF(Meal_entry_week_2!G$287:G$298,"Fruit_juices_water",Meal_entry_week_2!T$287:T$298)</f>
        <v>0</v>
      </c>
      <c r="T361" s="1070">
        <f>52-SUM(D361:S361)</f>
        <v>52</v>
      </c>
      <c r="U361" s="965"/>
      <c r="V361" s="913"/>
      <c r="W361" s="913"/>
      <c r="X361" s="913"/>
      <c r="Y361" s="913"/>
      <c r="Z361" s="913"/>
      <c r="AA361" s="913"/>
      <c r="AB361" s="913"/>
      <c r="AC361" s="913"/>
      <c r="AD361" s="913"/>
      <c r="AE361" s="913"/>
      <c r="AF361" s="913"/>
      <c r="AG361" s="913"/>
    </row>
    <row r="362" spans="1:33">
      <c r="A362" s="911"/>
      <c r="B362" s="956" t="s">
        <v>3067</v>
      </c>
      <c r="C362" s="945"/>
      <c r="D362" s="1069">
        <f>SUMIF(Meal_entry_week_2!G$386:G$397,"Vegetables_mushrooms_fresh_frozen",Meal_entry_week_2!T$386:T$397)</f>
        <v>0</v>
      </c>
      <c r="E362" s="1069">
        <f>SUMIF(Meal_entry_week_2!G$386:G$397,"Vegetables_processed",Meal_entry_week_2!T$386:T$397)</f>
        <v>0</v>
      </c>
      <c r="F362" s="1069">
        <f>SUMIF(Meal_entry_week_2!G$386:G$397,"Fruits_nuts_dried_fruit",Meal_entry_week_2!T$386:T$397)</f>
        <v>0</v>
      </c>
      <c r="G362" s="1069">
        <f>SUMIF(Meal_entry_week_2!G$386:G$397,"Meat_fresh_frozen",Meal_entry_week_2!T$386:T$397)</f>
        <v>0</v>
      </c>
      <c r="H362" s="1069">
        <f>SUMIF(Meal_entry_week_2!G$386:G$397,"Meat_processed",Meal_entry_week_2!T$386:T$397)</f>
        <v>0</v>
      </c>
      <c r="I362" s="1069">
        <f>SUMIF(Meal_entry_week_2!G$386:G$397,"Fish_fresh_frozen",Meal_entry_week_2!T$386:T$397)+SUMIF(Meal_entry_week_2!G$386:G$397,"Fish_processed_canned",Meal_entry_week_2!T$386:T$397)</f>
        <v>0</v>
      </c>
      <c r="J362" s="1069">
        <f>SUMIF(Meal_entry_week_2!G$386:G$397,"Eggs",Meal_entry_week_2!T$386:T$397)</f>
        <v>0</v>
      </c>
      <c r="K362" s="1069">
        <f>SUMIF(Meal_entry_week_2!G$386:G$397,"Dairy_products",Meal_entry_week_2!T$386:T$397)</f>
        <v>0</v>
      </c>
      <c r="L362" s="1069">
        <f>SUMIF(Meal_entry_week_2!G$386:G$397,"Oil_butter_margarine",Meal_entry_week_2!T$386:T$397)</f>
        <v>0</v>
      </c>
      <c r="M362" s="1069">
        <f>SUMIF(Meal_entry_week_2!G$386:G$397,"Flour_pasta_seeds_cereals",Meal_entry_week_2!T$386:T$397)</f>
        <v>0</v>
      </c>
      <c r="N362" s="1069">
        <f>SUMIF(Meal_entry_week_2!G$386:G$397,"Sauces_purees_dressings",Meal_entry_week_2!T$386:T$397)+SUMIF(Meal_entry_week_2!G$386:G$397,"Spices_seasonings",Meal_entry_week_2!T$386:T$397)</f>
        <v>0</v>
      </c>
      <c r="O362" s="1069">
        <f>SUMIF(Meal_entry_week_2!G$386:G$397,"Sweet_foods_cakes",Meal_entry_week_2!T$386:T$397)</f>
        <v>0</v>
      </c>
      <c r="P362" s="1069">
        <f>SUMIF(Meal_entry_week_2!G$386:G$397,"Bread_and_pastries",Meal_entry_week_2!T$386:T$397)+SUMIF(Meal_entry_week_2!G$386:G$397,"Savoury_pastries",Meal_entry_week_2!T$386:T$397)+SUMIF(Meal_entry_week_2!G$386:G$397,"Sweet_pastries",Meal_entry_week_2!T$386:T$397)</f>
        <v>0</v>
      </c>
      <c r="Q362" s="1069">
        <f>SUMIF(Meal_entry_week_2!G$386:G$397,"Other_processed_foods",Meal_entry_week_2!T$386:T$397)</f>
        <v>0</v>
      </c>
      <c r="R362" s="1069">
        <f>SUMIF(Meal_entry_week_2!G$386:G$397,"Zasladjena_piča_čajevi_kafa",Meal_entry_week_2!T$386:T$397)</f>
        <v>0</v>
      </c>
      <c r="S362" s="1069">
        <f>SUMIF(Meal_entry_week_2!G$386:G$397,"Fruit_juices_water",Meal_entry_week_2!T$386:T$397)</f>
        <v>0</v>
      </c>
      <c r="T362" s="1070">
        <f>52-SUM(D362:S362)</f>
        <v>52</v>
      </c>
      <c r="U362" s="965"/>
      <c r="V362" s="913"/>
      <c r="W362" s="913"/>
      <c r="X362" s="913"/>
      <c r="Y362" s="913"/>
      <c r="Z362" s="913"/>
      <c r="AA362" s="913"/>
      <c r="AB362" s="913"/>
      <c r="AC362" s="913"/>
      <c r="AD362" s="913"/>
      <c r="AE362" s="913"/>
      <c r="AF362" s="913"/>
      <c r="AG362" s="913"/>
    </row>
    <row r="363" spans="1:33">
      <c r="A363" s="911"/>
      <c r="B363" s="1074" t="s">
        <v>3068</v>
      </c>
      <c r="C363" s="945"/>
      <c r="D363" s="1075">
        <f>SUMIF(Meal_entry_week_2!G$485:G$496,"Vegetables_mushrooms_fresh_frozen",Meal_entry_week_2!T$485:T$496)</f>
        <v>0</v>
      </c>
      <c r="E363" s="1075">
        <f>SUMIF(Meal_entry_week_2!G$485:G$496,"Vegetables_processed",Meal_entry_week_2!T$485:T$496)</f>
        <v>0</v>
      </c>
      <c r="F363" s="1075">
        <f>SUMIF(Meal_entry_week_2!G$485:G$496,"Fruits_nuts_dried_fruit",Meal_entry_week_2!T$485:T$496)</f>
        <v>0</v>
      </c>
      <c r="G363" s="1075">
        <f>SUMIF(Meal_entry_week_2!G$485:G$496,"Meat_fresh_frozen",Meal_entry_week_2!T$485:T$496)</f>
        <v>0</v>
      </c>
      <c r="H363" s="1075">
        <f>SUMIF(Meal_entry_week_2!G$485:G$496,"Meat_processed",Meal_entry_week_2!T$485:T$496)</f>
        <v>0</v>
      </c>
      <c r="I363" s="1075">
        <f>SUMIF(Meal_entry_week_2!G$485:G$496,"Fish_fresh_frozen",Meal_entry_week_2!T$485:T$496)+SUMIF(Meal_entry_week_2!G$485:G$496,"Fish_processed_canned",Meal_entry_week_2!T$485:T$496)</f>
        <v>0</v>
      </c>
      <c r="J363" s="1075">
        <f>SUMIF(Meal_entry_week_2!G$485:G$496,"Eggs",Meal_entry_week_2!T$485:T$496)</f>
        <v>0</v>
      </c>
      <c r="K363" s="1075">
        <f>SUMIF(Meal_entry_week_2!G$485:G$496,"Dairy_products",Meal_entry_week_2!T$485:T$496)</f>
        <v>0</v>
      </c>
      <c r="L363" s="1075">
        <f>SUMIF(Meal_entry_week_2!G$485:G$496,"Oil_butter_margarine",Meal_entry_week_2!T$485:T$496)</f>
        <v>0</v>
      </c>
      <c r="M363" s="1075">
        <f>SUMIF(Meal_entry_week_2!G$485:G$496,"Flour_pasta_seeds_cereals",Meal_entry_week_2!T$485:T$496)</f>
        <v>0</v>
      </c>
      <c r="N363" s="1075">
        <f>SUMIF(Meal_entry_week_2!G$485:G$496,"Sauces_purees_dressings",Meal_entry_week_2!T$485:T$496)+SUMIF(Meal_entry_week_2!G$485:G$496,"Spices_seasonings",Meal_entry_week_2!T$485:T$496)</f>
        <v>0</v>
      </c>
      <c r="O363" s="1075">
        <f>SUMIF(Meal_entry_week_2!G$485:G$496,"Sweet_foods_cakes",Meal_entry_week_2!T$485:T$496)</f>
        <v>0</v>
      </c>
      <c r="P363" s="1075">
        <f>SUMIF(Meal_entry_week_2!G$485:G$496,"Bread_and_pastries",Meal_entry_week_2!T$485:T$496)+SUMIF(Meal_entry_week_2!G$485:G$496,"Savoury_pastries",Meal_entry_week_2!T$485:T$496)+SUMIF(Meal_entry_week_2!G$485:G$496,"Sweet_pastries",Meal_entry_week_2!T$485:T$496)</f>
        <v>0</v>
      </c>
      <c r="Q363" s="1075">
        <f>SUMIF(Meal_entry_week_2!G$485:G$496,"Other_processed_foods",Meal_entry_week_2!T$485:T$496)</f>
        <v>0</v>
      </c>
      <c r="R363" s="1075">
        <f>SUMIF(Meal_entry_week_2!G$485:G$496,"Zasladjena_piča_čajevi_kafa",Meal_entry_week_2!T$485:T$496)</f>
        <v>0</v>
      </c>
      <c r="S363" s="1075">
        <f>SUMIF(Meal_entry_week_2!G$485:G$496,"Fruit_juices_water",Meal_entry_week_2!T$485:T$496)</f>
        <v>0</v>
      </c>
      <c r="T363" s="1070">
        <f>52-SUM(D363:S363)</f>
        <v>52</v>
      </c>
      <c r="U363" s="965"/>
      <c r="V363" s="913"/>
      <c r="W363" s="913"/>
      <c r="X363" s="913"/>
      <c r="Y363" s="913"/>
      <c r="Z363" s="913"/>
      <c r="AA363" s="913"/>
      <c r="AB363" s="913"/>
      <c r="AC363" s="913"/>
      <c r="AD363" s="913"/>
      <c r="AE363" s="913"/>
      <c r="AF363" s="913"/>
      <c r="AG363" s="913"/>
    </row>
    <row r="364" spans="1:33">
      <c r="A364" s="911"/>
      <c r="B364" s="1076"/>
      <c r="C364" s="945"/>
      <c r="D364" s="1076"/>
      <c r="E364" s="1076"/>
      <c r="F364" s="1076"/>
      <c r="G364" s="1076"/>
      <c r="H364" s="1076"/>
      <c r="I364" s="1076"/>
      <c r="J364" s="1076"/>
      <c r="K364" s="1076"/>
      <c r="L364" s="1076"/>
      <c r="M364" s="1076"/>
      <c r="N364" s="1076"/>
      <c r="O364" s="1076"/>
      <c r="P364" s="1076"/>
      <c r="Q364" s="1076"/>
      <c r="R364" s="1076"/>
      <c r="S364" s="1076"/>
      <c r="T364" s="1068"/>
      <c r="U364" s="965"/>
      <c r="V364" s="913"/>
      <c r="W364" s="913"/>
      <c r="X364" s="913"/>
      <c r="Y364" s="913"/>
      <c r="Z364" s="913"/>
      <c r="AA364" s="913"/>
      <c r="AB364" s="913"/>
      <c r="AC364" s="913"/>
      <c r="AD364" s="913"/>
      <c r="AE364" s="913"/>
      <c r="AF364" s="913"/>
      <c r="AG364" s="913"/>
    </row>
    <row r="365" spans="1:33">
      <c r="A365" s="911"/>
      <c r="B365" s="956" t="s">
        <v>2516</v>
      </c>
      <c r="C365" s="945"/>
      <c r="D365" s="913" t="s">
        <v>3140</v>
      </c>
      <c r="E365" s="913" t="s">
        <v>3069</v>
      </c>
      <c r="F365" s="913" t="s">
        <v>3077</v>
      </c>
      <c r="G365" s="913" t="s">
        <v>3073</v>
      </c>
      <c r="H365" s="913" t="s">
        <v>3070</v>
      </c>
      <c r="I365" s="913" t="s">
        <v>3575</v>
      </c>
      <c r="J365" s="913" t="s">
        <v>3072</v>
      </c>
      <c r="K365" s="913" t="s">
        <v>3085</v>
      </c>
      <c r="L365" s="913" t="s">
        <v>3075</v>
      </c>
      <c r="M365" s="913" t="s">
        <v>3141</v>
      </c>
      <c r="N365" s="913" t="s">
        <v>3550</v>
      </c>
      <c r="O365" s="913" t="s">
        <v>3078</v>
      </c>
      <c r="P365" s="913" t="s">
        <v>3551</v>
      </c>
      <c r="Q365" s="913" t="s">
        <v>3082</v>
      </c>
      <c r="R365" s="1067" t="s">
        <v>3083</v>
      </c>
      <c r="S365" s="913" t="s">
        <v>3084</v>
      </c>
      <c r="T365" s="1068"/>
      <c r="U365" s="965"/>
      <c r="V365" s="913"/>
      <c r="W365" s="913"/>
      <c r="X365" s="913"/>
      <c r="Y365" s="913"/>
      <c r="Z365" s="913"/>
      <c r="AA365" s="913"/>
      <c r="AB365" s="913"/>
      <c r="AC365" s="913"/>
      <c r="AD365" s="913"/>
      <c r="AE365" s="913"/>
      <c r="AF365" s="913"/>
      <c r="AG365" s="913"/>
    </row>
    <row r="366" spans="1:33">
      <c r="A366" s="911"/>
      <c r="B366" s="956" t="str">
        <f>IF($AB$34=1,B373,(IF($AB$34=2,B379,B379)))</f>
        <v>Monday</v>
      </c>
      <c r="C366" s="945"/>
      <c r="D366" s="1072">
        <f t="shared" ref="D366:T370" si="47">IF($AB$34=1,D373,(IF($AB$34=2,D379,IF($AB$34=3,D385,IF($AB$34=4, D391,IF($AB$34=5,D397,D403))))))</f>
        <v>0</v>
      </c>
      <c r="E366" s="1072">
        <f t="shared" si="47"/>
        <v>0</v>
      </c>
      <c r="F366" s="1072">
        <f t="shared" si="47"/>
        <v>0</v>
      </c>
      <c r="G366" s="1072">
        <f t="shared" si="47"/>
        <v>0</v>
      </c>
      <c r="H366" s="1072">
        <f t="shared" si="47"/>
        <v>0</v>
      </c>
      <c r="I366" s="1072">
        <f t="shared" si="47"/>
        <v>0</v>
      </c>
      <c r="J366" s="1072">
        <f t="shared" si="47"/>
        <v>0</v>
      </c>
      <c r="K366" s="1072">
        <f t="shared" si="47"/>
        <v>0</v>
      </c>
      <c r="L366" s="1072">
        <f t="shared" si="47"/>
        <v>0</v>
      </c>
      <c r="M366" s="1072">
        <f>IF($AB$34=1,M373,(IF($AB$34=2,M379,IF($AB$34=3,M385,IF($AB$34=4, M391,IF($AB$34=5,M397,M403))))))</f>
        <v>0</v>
      </c>
      <c r="N366" s="1072">
        <f t="shared" si="47"/>
        <v>0</v>
      </c>
      <c r="O366" s="1072">
        <f t="shared" si="47"/>
        <v>0</v>
      </c>
      <c r="P366" s="1072">
        <f t="shared" si="47"/>
        <v>0</v>
      </c>
      <c r="Q366" s="1072">
        <f t="shared" si="47"/>
        <v>0</v>
      </c>
      <c r="R366" s="1072">
        <f t="shared" si="47"/>
        <v>0</v>
      </c>
      <c r="S366" s="1072">
        <f t="shared" si="47"/>
        <v>0</v>
      </c>
      <c r="T366" s="1070">
        <f>IF($AB$34=1,T373,(IF($AB$34=2,T379,IF($AB$34=3,T385,IF($AB$34=4, T391,IF($AB$34=5,T397,T403))))))</f>
        <v>450</v>
      </c>
      <c r="U366" s="965"/>
      <c r="V366" s="913"/>
      <c r="W366" s="913"/>
      <c r="X366" s="913"/>
      <c r="Y366" s="913"/>
      <c r="Z366" s="913"/>
      <c r="AA366" s="913"/>
      <c r="AB366" s="913"/>
      <c r="AC366" s="913"/>
      <c r="AD366" s="913"/>
      <c r="AE366" s="913"/>
      <c r="AF366" s="913"/>
      <c r="AG366" s="913"/>
    </row>
    <row r="367" spans="1:33">
      <c r="A367" s="911"/>
      <c r="B367" s="956" t="str">
        <f>IF($AB$34=1,B374,(IF($AB$34=2,B380,B380)))</f>
        <v>Tuesday</v>
      </c>
      <c r="C367" s="945"/>
      <c r="D367" s="1072">
        <f t="shared" si="47"/>
        <v>0</v>
      </c>
      <c r="E367" s="1072">
        <f t="shared" si="47"/>
        <v>0</v>
      </c>
      <c r="F367" s="1072">
        <f t="shared" si="47"/>
        <v>0</v>
      </c>
      <c r="G367" s="1072">
        <f t="shared" si="47"/>
        <v>0</v>
      </c>
      <c r="H367" s="1072">
        <f t="shared" si="47"/>
        <v>0</v>
      </c>
      <c r="I367" s="1072">
        <f t="shared" si="47"/>
        <v>0</v>
      </c>
      <c r="J367" s="1072">
        <f t="shared" si="47"/>
        <v>0</v>
      </c>
      <c r="K367" s="1072">
        <f t="shared" si="47"/>
        <v>0</v>
      </c>
      <c r="L367" s="1072">
        <f t="shared" si="47"/>
        <v>0</v>
      </c>
      <c r="M367" s="1072">
        <f t="shared" si="47"/>
        <v>0</v>
      </c>
      <c r="N367" s="1072">
        <f t="shared" si="47"/>
        <v>0</v>
      </c>
      <c r="O367" s="1072">
        <f t="shared" si="47"/>
        <v>0</v>
      </c>
      <c r="P367" s="1072">
        <f t="shared" si="47"/>
        <v>0</v>
      </c>
      <c r="Q367" s="1072">
        <f t="shared" si="47"/>
        <v>0</v>
      </c>
      <c r="R367" s="1072">
        <f t="shared" si="47"/>
        <v>0</v>
      </c>
      <c r="S367" s="1072">
        <f t="shared" si="47"/>
        <v>0</v>
      </c>
      <c r="T367" s="1070">
        <f t="shared" si="47"/>
        <v>450</v>
      </c>
      <c r="U367" s="965"/>
      <c r="V367" s="913"/>
      <c r="W367" s="913"/>
      <c r="X367" s="913"/>
      <c r="Y367" s="913"/>
      <c r="Z367" s="913"/>
      <c r="AA367" s="913"/>
      <c r="AB367" s="913"/>
      <c r="AC367" s="913"/>
      <c r="AD367" s="913"/>
      <c r="AE367" s="913"/>
      <c r="AF367" s="913"/>
      <c r="AG367" s="913"/>
    </row>
    <row r="368" spans="1:33">
      <c r="A368" s="911"/>
      <c r="B368" s="956" t="str">
        <f>IF($AB$34=1,B375,(IF($AB$34=2,B381,B381)))</f>
        <v>Wedesday</v>
      </c>
      <c r="C368" s="945"/>
      <c r="D368" s="1072">
        <f t="shared" si="47"/>
        <v>0</v>
      </c>
      <c r="E368" s="1072">
        <f t="shared" si="47"/>
        <v>0</v>
      </c>
      <c r="F368" s="1072">
        <f t="shared" si="47"/>
        <v>0</v>
      </c>
      <c r="G368" s="1072">
        <f t="shared" si="47"/>
        <v>0</v>
      </c>
      <c r="H368" s="1072">
        <f t="shared" si="47"/>
        <v>0</v>
      </c>
      <c r="I368" s="1072">
        <f t="shared" si="47"/>
        <v>0</v>
      </c>
      <c r="J368" s="1072">
        <f t="shared" si="47"/>
        <v>0</v>
      </c>
      <c r="K368" s="1072">
        <f t="shared" si="47"/>
        <v>0</v>
      </c>
      <c r="L368" s="1072">
        <f t="shared" si="47"/>
        <v>0</v>
      </c>
      <c r="M368" s="1072">
        <f t="shared" si="47"/>
        <v>0</v>
      </c>
      <c r="N368" s="1072">
        <f t="shared" si="47"/>
        <v>0</v>
      </c>
      <c r="O368" s="1072">
        <f t="shared" si="47"/>
        <v>0</v>
      </c>
      <c r="P368" s="1072">
        <f t="shared" si="47"/>
        <v>0</v>
      </c>
      <c r="Q368" s="1072">
        <f t="shared" si="47"/>
        <v>0</v>
      </c>
      <c r="R368" s="1072">
        <f t="shared" si="47"/>
        <v>0</v>
      </c>
      <c r="S368" s="1072">
        <f t="shared" si="47"/>
        <v>0</v>
      </c>
      <c r="T368" s="1070">
        <f t="shared" si="47"/>
        <v>450</v>
      </c>
      <c r="U368" s="965"/>
      <c r="V368" s="913"/>
      <c r="W368" s="913"/>
      <c r="X368" s="913"/>
      <c r="Y368" s="913"/>
      <c r="Z368" s="913"/>
      <c r="AA368" s="913"/>
      <c r="AB368" s="913"/>
      <c r="AC368" s="913"/>
      <c r="AD368" s="913"/>
      <c r="AE368" s="913"/>
      <c r="AF368" s="913"/>
      <c r="AG368" s="913"/>
    </row>
    <row r="369" spans="1:33">
      <c r="A369" s="911"/>
      <c r="B369" s="956" t="str">
        <f>IF($AB$34=1,B376,(IF($AB$34=2,B382,B382)))</f>
        <v>Thursday</v>
      </c>
      <c r="C369" s="945"/>
      <c r="D369" s="1072">
        <f t="shared" si="47"/>
        <v>0</v>
      </c>
      <c r="E369" s="1072">
        <f t="shared" si="47"/>
        <v>0</v>
      </c>
      <c r="F369" s="1072">
        <f t="shared" si="47"/>
        <v>0</v>
      </c>
      <c r="G369" s="1072">
        <f t="shared" si="47"/>
        <v>0</v>
      </c>
      <c r="H369" s="1072">
        <f t="shared" si="47"/>
        <v>0</v>
      </c>
      <c r="I369" s="1072">
        <f t="shared" si="47"/>
        <v>0</v>
      </c>
      <c r="J369" s="1072">
        <f t="shared" si="47"/>
        <v>0</v>
      </c>
      <c r="K369" s="1072">
        <f t="shared" si="47"/>
        <v>0</v>
      </c>
      <c r="L369" s="1072">
        <f t="shared" si="47"/>
        <v>0</v>
      </c>
      <c r="M369" s="1072">
        <f t="shared" si="47"/>
        <v>0</v>
      </c>
      <c r="N369" s="1072">
        <f t="shared" si="47"/>
        <v>0</v>
      </c>
      <c r="O369" s="1072">
        <f t="shared" si="47"/>
        <v>0</v>
      </c>
      <c r="P369" s="1072">
        <f t="shared" si="47"/>
        <v>0</v>
      </c>
      <c r="Q369" s="1072">
        <f t="shared" si="47"/>
        <v>0</v>
      </c>
      <c r="R369" s="1072">
        <f t="shared" si="47"/>
        <v>0</v>
      </c>
      <c r="S369" s="1072">
        <f t="shared" si="47"/>
        <v>0</v>
      </c>
      <c r="T369" s="1070">
        <f t="shared" si="47"/>
        <v>450</v>
      </c>
      <c r="U369" s="965"/>
      <c r="V369" s="913"/>
      <c r="W369" s="913"/>
      <c r="X369" s="913"/>
      <c r="Y369" s="913"/>
      <c r="Z369" s="913"/>
      <c r="AA369" s="913"/>
      <c r="AB369" s="913"/>
      <c r="AC369" s="913"/>
      <c r="AD369" s="913"/>
      <c r="AE369" s="913"/>
      <c r="AF369" s="913"/>
      <c r="AG369" s="913"/>
    </row>
    <row r="370" spans="1:33">
      <c r="A370" s="911"/>
      <c r="B370" s="1074" t="str">
        <f>IF($AB$34=1,B377,(IF($AB$34=2,B383,B383)))</f>
        <v>Friday</v>
      </c>
      <c r="C370" s="945"/>
      <c r="D370" s="1075">
        <f t="shared" si="47"/>
        <v>0</v>
      </c>
      <c r="E370" s="1075">
        <f t="shared" si="47"/>
        <v>0</v>
      </c>
      <c r="F370" s="1075">
        <f t="shared" si="47"/>
        <v>0</v>
      </c>
      <c r="G370" s="1075">
        <f t="shared" si="47"/>
        <v>0</v>
      </c>
      <c r="H370" s="1075">
        <f t="shared" si="47"/>
        <v>0</v>
      </c>
      <c r="I370" s="1075">
        <f t="shared" si="47"/>
        <v>0</v>
      </c>
      <c r="J370" s="1075">
        <f t="shared" si="47"/>
        <v>0</v>
      </c>
      <c r="K370" s="1075">
        <f t="shared" si="47"/>
        <v>0</v>
      </c>
      <c r="L370" s="1075">
        <f t="shared" si="47"/>
        <v>0</v>
      </c>
      <c r="M370" s="1075">
        <f t="shared" si="47"/>
        <v>0</v>
      </c>
      <c r="N370" s="1075">
        <f t="shared" si="47"/>
        <v>0</v>
      </c>
      <c r="O370" s="1075">
        <f t="shared" si="47"/>
        <v>0</v>
      </c>
      <c r="P370" s="1075">
        <f t="shared" si="47"/>
        <v>0</v>
      </c>
      <c r="Q370" s="1075">
        <f t="shared" si="47"/>
        <v>0</v>
      </c>
      <c r="R370" s="1075">
        <f t="shared" si="47"/>
        <v>0</v>
      </c>
      <c r="S370" s="1075">
        <f t="shared" si="47"/>
        <v>0</v>
      </c>
      <c r="T370" s="1078">
        <f t="shared" si="47"/>
        <v>450</v>
      </c>
      <c r="U370" s="965"/>
      <c r="V370" s="913"/>
      <c r="W370" s="913"/>
      <c r="X370" s="913"/>
      <c r="Y370" s="913"/>
      <c r="Z370" s="913"/>
      <c r="AA370" s="913"/>
      <c r="AB370" s="913"/>
      <c r="AC370" s="913"/>
      <c r="AD370" s="913"/>
      <c r="AE370" s="913"/>
      <c r="AF370" s="913"/>
      <c r="AG370" s="913"/>
    </row>
    <row r="371" spans="1:33" s="406" customFormat="1">
      <c r="A371" s="1195"/>
      <c r="D371" s="407" t="s">
        <v>2507</v>
      </c>
      <c r="E371" s="407" t="s">
        <v>2512</v>
      </c>
      <c r="F371" s="407" t="s">
        <v>2513</v>
      </c>
      <c r="G371" s="407" t="s">
        <v>2514</v>
      </c>
      <c r="H371" s="406" t="s">
        <v>3850</v>
      </c>
      <c r="I371" s="406" t="s">
        <v>3851</v>
      </c>
      <c r="J371" s="406" t="s">
        <v>3852</v>
      </c>
      <c r="K371" s="406" t="s">
        <v>3853</v>
      </c>
      <c r="L371" s="406" t="s">
        <v>3854</v>
      </c>
      <c r="M371" s="406" t="s">
        <v>3855</v>
      </c>
      <c r="O371" s="407"/>
      <c r="P371" s="407"/>
      <c r="Q371" s="407"/>
      <c r="R371" s="407"/>
      <c r="S371" s="407"/>
      <c r="T371" s="1196"/>
      <c r="V371" s="407"/>
      <c r="W371" s="407"/>
    </row>
    <row r="372" spans="1:33">
      <c r="A372" s="911"/>
      <c r="B372" s="956" t="s">
        <v>2521</v>
      </c>
      <c r="C372" s="945"/>
      <c r="D372" s="913" t="s">
        <v>3140</v>
      </c>
      <c r="E372" s="913" t="s">
        <v>3069</v>
      </c>
      <c r="F372" s="913" t="s">
        <v>3077</v>
      </c>
      <c r="G372" s="913" t="s">
        <v>3073</v>
      </c>
      <c r="H372" s="913" t="s">
        <v>3070</v>
      </c>
      <c r="I372" s="913" t="s">
        <v>3575</v>
      </c>
      <c r="J372" s="913" t="s">
        <v>3072</v>
      </c>
      <c r="K372" s="913" t="s">
        <v>3085</v>
      </c>
      <c r="L372" s="913" t="s">
        <v>3075</v>
      </c>
      <c r="M372" s="913" t="s">
        <v>3141</v>
      </c>
      <c r="N372" s="913" t="s">
        <v>3550</v>
      </c>
      <c r="O372" s="913" t="s">
        <v>3078</v>
      </c>
      <c r="P372" s="913" t="s">
        <v>3551</v>
      </c>
      <c r="Q372" s="913" t="s">
        <v>3082</v>
      </c>
      <c r="R372" s="1067" t="s">
        <v>3083</v>
      </c>
      <c r="S372" s="913" t="s">
        <v>3084</v>
      </c>
      <c r="T372" s="1068"/>
      <c r="U372" s="965"/>
      <c r="V372" s="913"/>
      <c r="W372" s="913"/>
      <c r="X372" s="913"/>
      <c r="Y372" s="913"/>
      <c r="Z372" s="913"/>
      <c r="AA372" s="913"/>
      <c r="AB372" s="913"/>
      <c r="AC372" s="913"/>
      <c r="AD372" s="913"/>
      <c r="AE372" s="913"/>
      <c r="AF372" s="913"/>
      <c r="AG372" s="913"/>
    </row>
    <row r="373" spans="1:33">
      <c r="A373" s="911"/>
      <c r="B373" s="956" t="s">
        <v>1426</v>
      </c>
      <c r="C373" s="945"/>
      <c r="D373" s="1072">
        <f>(D403+D404+D405+D406+D407)/(IF(Meal_entry_week_2!$Q$547&gt;0,1,0)+IF(Meal_entry_week_2!$Q$548&gt;0,1,0)+IF(Meal_entry_week_2!$Q$549&gt;0,1,0)+IF(Meal_entry_week_2!$Q$550&gt;0,1,0)+IF(Meal_entry_week_2!$Q$551&gt;0,1,0)+0.00001)</f>
        <v>0</v>
      </c>
      <c r="E373" s="1072">
        <f>(E403+E404+E405+E406+E407)/(IF(Meal_entry_week_2!$Q$547&gt;0,1,0)+IF(Meal_entry_week_2!$Q$548&gt;0,1,0)+IF(Meal_entry_week_2!$Q$549&gt;0,1,0)+IF(Meal_entry_week_2!$Q$550&gt;0,1,0)+IF(Meal_entry_week_2!$Q$551&gt;0,1,0)+0.00001)</f>
        <v>0</v>
      </c>
      <c r="F373" s="1072">
        <f>(F403+F404+F405+F406+F407)/(IF(Meal_entry_week_2!$Q$547&gt;0,1,0)+IF(Meal_entry_week_2!$Q$548&gt;0,1,0)+IF(Meal_entry_week_2!$Q$549&gt;0,1,0)+IF(Meal_entry_week_2!$Q$550&gt;0,1,0)+IF(Meal_entry_week_2!$Q$551&gt;0,1,0)+0.00001)</f>
        <v>0</v>
      </c>
      <c r="G373" s="1072">
        <f>(G403+G404+G405+G406+G407)/(IF(Meal_entry_week_2!$Q$547&gt;0,1,0)+IF(Meal_entry_week_2!$Q$548&gt;0,1,0)+IF(Meal_entry_week_2!$Q$549&gt;0,1,0)+IF(Meal_entry_week_2!$Q$550&gt;0,1,0)+IF(Meal_entry_week_2!$Q$551&gt;0,1,0)+0.00001)</f>
        <v>0</v>
      </c>
      <c r="H373" s="1072">
        <f>(H403+H404+H405+H406+H407)/(IF(Meal_entry_week_2!$Q$547&gt;0,1,0)+IF(Meal_entry_week_2!$Q$548&gt;0,1,0)+IF(Meal_entry_week_2!$Q$549&gt;0,1,0)+IF(Meal_entry_week_2!$Q$550&gt;0,1,0)+IF(Meal_entry_week_2!$Q$551&gt;0,1,0)+0.00001)</f>
        <v>0</v>
      </c>
      <c r="I373" s="1072">
        <f>(I403+I404+I405+I406+I407)/(IF(Meal_entry_week_2!$Q$547&gt;0,1,0)+IF(Meal_entry_week_2!$Q$548&gt;0,1,0)+IF(Meal_entry_week_2!$Q$549&gt;0,1,0)+IF(Meal_entry_week_2!$Q$550&gt;0,1,0)+IF(Meal_entry_week_2!$Q$551&gt;0,1,0)+0.00001)</f>
        <v>0</v>
      </c>
      <c r="J373" s="1072">
        <f>(J403+J404+J405+J406+J407)/(IF(Meal_entry_week_2!$Q$547&gt;0,1,0)+IF(Meal_entry_week_2!$Q$548&gt;0,1,0)+IF(Meal_entry_week_2!$Q$549&gt;0,1,0)+IF(Meal_entry_week_2!$Q$550&gt;0,1,0)+IF(Meal_entry_week_2!$Q$551&gt;0,1,0)+0.00001)</f>
        <v>0</v>
      </c>
      <c r="K373" s="1072">
        <f>(K403+K404+K405+K406+K407)/(IF(Meal_entry_week_2!$Q$547&gt;0,1,0)+IF(Meal_entry_week_2!$Q$548&gt;0,1,0)+IF(Meal_entry_week_2!$Q$549&gt;0,1,0)+IF(Meal_entry_week_2!$Q$550&gt;0,1,0)+IF(Meal_entry_week_2!$Q$551&gt;0,1,0)+0.00001)</f>
        <v>0</v>
      </c>
      <c r="L373" s="1072">
        <f>(L403+L404+L405+L406+L407)/(IF(Meal_entry_week_2!$Q$547&gt;0,1,0)+IF(Meal_entry_week_2!$Q$548&gt;0,1,0)+IF(Meal_entry_week_2!$Q$549&gt;0,1,0)+IF(Meal_entry_week_2!$Q$550&gt;0,1,0)+IF(Meal_entry_week_2!$Q$551&gt;0,1,0)+0.00001)</f>
        <v>0</v>
      </c>
      <c r="M373" s="1072">
        <f>(M403+M404+M405+M406+M407)/(IF(Meal_entry_week_2!$Q$547&gt;0,1,0)+IF(Meal_entry_week_2!$Q$548&gt;0,1,0)+IF(Meal_entry_week_2!$Q$549&gt;0,1,0)+IF(Meal_entry_week_2!$Q$550&gt;0,1,0)+IF(Meal_entry_week_2!$Q$551&gt;0,1,0)+0.00001)</f>
        <v>0</v>
      </c>
      <c r="N373" s="1072">
        <f>(N403+N404+N405+N406+N407)/(IF(Meal_entry_week_2!$Q$547&gt;0,1,0)+IF(Meal_entry_week_2!$Q$548&gt;0,1,0)+IF(Meal_entry_week_2!$Q$549&gt;0,1,0)+IF(Meal_entry_week_2!$Q$550&gt;0,1,0)+IF(Meal_entry_week_2!$Q$551&gt;0,1,0)+0.00001)</f>
        <v>0</v>
      </c>
      <c r="O373" s="1072">
        <f>(O403+O404+O405+O406+O407)/(IF(Meal_entry_week_2!$Q$547&gt;0,1,0)+IF(Meal_entry_week_2!$Q$548&gt;0,1,0)+IF(Meal_entry_week_2!$Q$549&gt;0,1,0)+IF(Meal_entry_week_2!$Q$550&gt;0,1,0)+IF(Meal_entry_week_2!$Q$551&gt;0,1,0)+0.00001)</f>
        <v>0</v>
      </c>
      <c r="P373" s="1072">
        <f>(P403+P404+P405+P406+P407)/(IF(Meal_entry_week_2!$Q$547&gt;0,1,0)+IF(Meal_entry_week_2!$Q$548&gt;0,1,0)+IF(Meal_entry_week_2!$Q$549&gt;0,1,0)+IF(Meal_entry_week_2!$Q$550&gt;0,1,0)+IF(Meal_entry_week_2!$Q$551&gt;0,1,0)+0.00001)</f>
        <v>0</v>
      </c>
      <c r="Q373" s="1072">
        <f>(Q403+Q404+Q405+Q406+Q407)/(IF(Meal_entry_week_2!$Q$547&gt;0,1,0)+IF(Meal_entry_week_2!$Q$548&gt;0,1,0)+IF(Meal_entry_week_2!$Q$549&gt;0,1,0)+IF(Meal_entry_week_2!$Q$550&gt;0,1,0)+IF(Meal_entry_week_2!$Q$551&gt;0,1,0)+0.00001)</f>
        <v>0</v>
      </c>
      <c r="R373" s="1072">
        <f>(R403+R404+R405+R406+R407)/(IF(Meal_entry_week_2!$Q$547&gt;0,1,0)+IF(Meal_entry_week_2!$Q$548&gt;0,1,0)+IF(Meal_entry_week_2!$Q$549&gt;0,1,0)+IF(Meal_entry_week_2!$Q$550&gt;0,1,0)+IF(Meal_entry_week_2!$Q$551&gt;0,1,0)+0.00001)</f>
        <v>0</v>
      </c>
      <c r="S373" s="1072">
        <f>(S403+S404+S405+S406+S407)/(IF(Meal_entry_week_2!$Q$547&gt;0,1,0)+IF(Meal_entry_week_2!$Q$548&gt;0,1,0)+IF(Meal_entry_week_2!$Q$549&gt;0,1,0)+IF(Meal_entry_week_2!$Q$550&gt;0,1,0)+IF(Meal_entry_week_2!$Q$551&gt;0,1,0)+0.00001)</f>
        <v>0</v>
      </c>
      <c r="T373" s="1070">
        <f>1420-SUM(D373:S373)</f>
        <v>1420</v>
      </c>
      <c r="U373" s="965"/>
      <c r="V373" s="913"/>
      <c r="W373" s="913"/>
      <c r="X373" s="913"/>
      <c r="Y373" s="913"/>
      <c r="Z373" s="913"/>
      <c r="AA373" s="913"/>
      <c r="AB373" s="913"/>
      <c r="AC373" s="913"/>
      <c r="AD373" s="913"/>
      <c r="AE373" s="913"/>
      <c r="AF373" s="913"/>
      <c r="AG373" s="913"/>
    </row>
    <row r="374" spans="1:33">
      <c r="A374" s="911"/>
      <c r="B374" s="956" t="s">
        <v>69</v>
      </c>
      <c r="C374" s="945"/>
      <c r="D374" s="1072">
        <f>(D397+D398+D399+D400+D401)/(IF(Meal_entry_week_2!$Q$547&gt;0,1,0)+IF(Meal_entry_week_2!$Q$548&gt;0,1,0)+IF(Meal_entry_week_2!$Q$549&gt;0,1,0)+IF(Meal_entry_week_2!$Q$550&gt;0,1,0)+IF(Meal_entry_week_2!$Q$551&gt;0,1,0)+0.00001)</f>
        <v>180.69963860072281</v>
      </c>
      <c r="E374" s="1072">
        <f>(E397+E398+E399+E400+E401)/(IF(Meal_entry_week_2!$Q$547&gt;0,1,0)+IF(Meal_entry_week_2!$Q$548&gt;0,1,0)+IF(Meal_entry_week_2!$Q$549&gt;0,1,0)+IF(Meal_entry_week_2!$Q$550&gt;0,1,0)+IF(Meal_entry_week_2!$Q$551&gt;0,1,0)+0.00001)</f>
        <v>11.999976000048001</v>
      </c>
      <c r="F374" s="1072">
        <f>(F397+F398+F399+F400+F401)/(IF(Meal_entry_week_2!$Q$547&gt;0,1,0)+IF(Meal_entry_week_2!$Q$548&gt;0,1,0)+IF(Meal_entry_week_2!$Q$549&gt;0,1,0)+IF(Meal_entry_week_2!$Q$550&gt;0,1,0)+IF(Meal_entry_week_2!$Q$551&gt;0,1,0)+0.00001)</f>
        <v>123.999752000496</v>
      </c>
      <c r="G374" s="1072">
        <f>(G397+G398+G399+G400+G401)/(IF(Meal_entry_week_2!$Q$547&gt;0,1,0)+IF(Meal_entry_week_2!$Q$548&gt;0,1,0)+IF(Meal_entry_week_2!$Q$549&gt;0,1,0)+IF(Meal_entry_week_2!$Q$550&gt;0,1,0)+IF(Meal_entry_week_2!$Q$551&gt;0,1,0)+0.00001)</f>
        <v>29.999940000120002</v>
      </c>
      <c r="H374" s="1072">
        <f>(H397+H398+H399+H400+H401)/(IF(Meal_entry_week_2!$Q$547&gt;0,1,0)+IF(Meal_entry_week_2!$Q$548&gt;0,1,0)+IF(Meal_entry_week_2!$Q$549&gt;0,1,0)+IF(Meal_entry_week_2!$Q$550&gt;0,1,0)+IF(Meal_entry_week_2!$Q$551&gt;0,1,0)+0.00001)</f>
        <v>5.9999880000240005</v>
      </c>
      <c r="I374" s="1072">
        <f>(I397+I398+I399+I400+I401)/(IF(Meal_entry_week_2!$Q$547&gt;0,1,0)+IF(Meal_entry_week_2!$Q$548&gt;0,1,0)+IF(Meal_entry_week_2!$Q$549&gt;0,1,0)+IF(Meal_entry_week_2!$Q$550&gt;0,1,0)+IF(Meal_entry_week_2!$Q$551&gt;0,1,0)+0.00001)</f>
        <v>0</v>
      </c>
      <c r="J374" s="1072">
        <f>(J397+J398+J399+J400+J401)/(IF(Meal_entry_week_2!$Q$547&gt;0,1,0)+IF(Meal_entry_week_2!$Q$548&gt;0,1,0)+IF(Meal_entry_week_2!$Q$549&gt;0,1,0)+IF(Meal_entry_week_2!$Q$550&gt;0,1,0)+IF(Meal_entry_week_2!$Q$551&gt;0,1,0)+0.00001)</f>
        <v>12.999974000052001</v>
      </c>
      <c r="K374" s="1072">
        <f>(K397+K398+K399+K400+K401)/(IF(Meal_entry_week_2!$Q$547&gt;0,1,0)+IF(Meal_entry_week_2!$Q$548&gt;0,1,0)+IF(Meal_entry_week_2!$Q$549&gt;0,1,0)+IF(Meal_entry_week_2!$Q$550&gt;0,1,0)+IF(Meal_entry_week_2!$Q$551&gt;0,1,0)+0.00001)</f>
        <v>30.599938800122402</v>
      </c>
      <c r="L374" s="1072">
        <f>(L397+L398+L399+L400+L401)/(IF(Meal_entry_week_2!$Q$547&gt;0,1,0)+IF(Meal_entry_week_2!$Q$548&gt;0,1,0)+IF(Meal_entry_week_2!$Q$549&gt;0,1,0)+IF(Meal_entry_week_2!$Q$550&gt;0,1,0)+IF(Meal_entry_week_2!$Q$551&gt;0,1,0)+0.00001)</f>
        <v>19.959960080079842</v>
      </c>
      <c r="M374" s="1072">
        <f>(M397+M398+M399+M400+M401)/(IF(Meal_entry_week_2!$Q$547&gt;0,1,0)+IF(Meal_entry_week_2!$Q$548&gt;0,1,0)+IF(Meal_entry_week_2!$Q$549&gt;0,1,0)+IF(Meal_entry_week_2!$Q$550&gt;0,1,0)+IF(Meal_entry_week_2!$Q$551&gt;0,1,0)+0.00001)</f>
        <v>45.599908800182405</v>
      </c>
      <c r="N374" s="1072">
        <f>(N397+N398+N399+N400+N401)/(IF(Meal_entry_week_2!$Q$547&gt;0,1,0)+IF(Meal_entry_week_2!$Q$548&gt;0,1,0)+IF(Meal_entry_week_2!$Q$549&gt;0,1,0)+IF(Meal_entry_week_2!$Q$550&gt;0,1,0)+IF(Meal_entry_week_2!$Q$551&gt;0,1,0)+0.00001)</f>
        <v>9.3039813920372172</v>
      </c>
      <c r="O374" s="1072">
        <f>(O397+O398+O399+O400+O401)/(IF(Meal_entry_week_2!$Q$547&gt;0,1,0)+IF(Meal_entry_week_2!$Q$548&gt;0,1,0)+IF(Meal_entry_week_2!$Q$549&gt;0,1,0)+IF(Meal_entry_week_2!$Q$550&gt;0,1,0)+IF(Meal_entry_week_2!$Q$551&gt;0,1,0)+0.00001)</f>
        <v>4.1199917600164806</v>
      </c>
      <c r="P374" s="1072">
        <f>(P397+P398+P399+P400+P401)/(IF(Meal_entry_week_2!$Q$547&gt;0,1,0)+IF(Meal_entry_week_2!$Q$548&gt;0,1,0)+IF(Meal_entry_week_2!$Q$549&gt;0,1,0)+IF(Meal_entry_week_2!$Q$550&gt;0,1,0)+IF(Meal_entry_week_2!$Q$551&gt;0,1,0)+0.00001)</f>
        <v>70.999858000284007</v>
      </c>
      <c r="Q374" s="1072">
        <f>(Q397+Q398+Q399+Q400+Q401)/(IF(Meal_entry_week_2!$Q$547&gt;0,1,0)+IF(Meal_entry_week_2!$Q$548&gt;0,1,0)+IF(Meal_entry_week_2!$Q$549&gt;0,1,0)+IF(Meal_entry_week_2!$Q$550&gt;0,1,0)+IF(Meal_entry_week_2!$Q$551&gt;0,1,0)+0.00001)</f>
        <v>0</v>
      </c>
      <c r="R374" s="1072">
        <f>(R397+R398+R399+R400+R401)/(IF(Meal_entry_week_2!$Q$547&gt;0,1,0)+IF(Meal_entry_week_2!$Q$548&gt;0,1,0)+IF(Meal_entry_week_2!$Q$549&gt;0,1,0)+IF(Meal_entry_week_2!$Q$550&gt;0,1,0)+IF(Meal_entry_week_2!$Q$551&gt;0,1,0)+0.00001)</f>
        <v>0</v>
      </c>
      <c r="S374" s="1072">
        <f>(S397+S398+S399+S400+S401)/(IF(Meal_entry_week_2!$Q$547&gt;0,1,0)+IF(Meal_entry_week_2!$Q$548&gt;0,1,0)+IF(Meal_entry_week_2!$Q$549&gt;0,1,0)+IF(Meal_entry_week_2!$Q$550&gt;0,1,0)+IF(Meal_entry_week_2!$Q$551&gt;0,1,0)+0.00001)</f>
        <v>0</v>
      </c>
      <c r="T374" s="1070">
        <f>1420-SUM(D374:S374)</f>
        <v>873.71709256581482</v>
      </c>
      <c r="U374" s="965"/>
      <c r="V374" s="913"/>
      <c r="W374" s="913"/>
      <c r="X374" s="913"/>
      <c r="Y374" s="913"/>
      <c r="Z374" s="913"/>
      <c r="AA374" s="913"/>
      <c r="AB374" s="913"/>
      <c r="AC374" s="913"/>
      <c r="AD374" s="913"/>
      <c r="AE374" s="913"/>
      <c r="AF374" s="913"/>
      <c r="AG374" s="913"/>
    </row>
    <row r="375" spans="1:33">
      <c r="A375" s="911"/>
      <c r="B375" s="956" t="s">
        <v>1425</v>
      </c>
      <c r="C375" s="945"/>
      <c r="D375" s="1072">
        <f>(D391+D392+D393+D394+D395)/(IF(Meal_entry_week_2!$Q$547&gt;0,1,0)+IF(Meal_entry_week_2!$Q$548&gt;0,1,0)+IF(Meal_entry_week_2!$Q$549&gt;0,1,0)+IF(Meal_entry_week_2!$Q$550&gt;0,1,0)+IF(Meal_entry_week_2!$Q$551&gt;0,1,0)+0.00001)</f>
        <v>0</v>
      </c>
      <c r="E375" s="1072">
        <f>(E391+E392+E393+E394+E395)/(IF(Meal_entry_week_2!$Q$547&gt;0,1,0)+IF(Meal_entry_week_2!$Q$548&gt;0,1,0)+IF(Meal_entry_week_2!$Q$549&gt;0,1,0)+IF(Meal_entry_week_2!$Q$550&gt;0,1,0)+IF(Meal_entry_week_2!$Q$551&gt;0,1,0)+0.00001)</f>
        <v>0</v>
      </c>
      <c r="F375" s="1072">
        <f>(F391+F392+F393+F394+F395)/(IF(Meal_entry_week_2!$Q$547&gt;0,1,0)+IF(Meal_entry_week_2!$Q$548&gt;0,1,0)+IF(Meal_entry_week_2!$Q$549&gt;0,1,0)+IF(Meal_entry_week_2!$Q$550&gt;0,1,0)+IF(Meal_entry_week_2!$Q$551&gt;0,1,0)+0.00001)</f>
        <v>0</v>
      </c>
      <c r="G375" s="1072">
        <f>(G391+G392+G393+G394+G395)/(IF(Meal_entry_week_2!$Q$547&gt;0,1,0)+IF(Meal_entry_week_2!$Q$548&gt;0,1,0)+IF(Meal_entry_week_2!$Q$549&gt;0,1,0)+IF(Meal_entry_week_2!$Q$550&gt;0,1,0)+IF(Meal_entry_week_2!$Q$551&gt;0,1,0)+0.00001)</f>
        <v>0</v>
      </c>
      <c r="H375" s="1072">
        <f>(H391+H392+H393+H394+H395)/(IF(Meal_entry_week_2!$Q$547&gt;0,1,0)+IF(Meal_entry_week_2!$Q$548&gt;0,1,0)+IF(Meal_entry_week_2!$Q$549&gt;0,1,0)+IF(Meal_entry_week_2!$Q$550&gt;0,1,0)+IF(Meal_entry_week_2!$Q$551&gt;0,1,0)+0.00001)</f>
        <v>3.9999920000160003</v>
      </c>
      <c r="I375" s="1072">
        <f>(I391+I392+I393+I394+I395)/(IF(Meal_entry_week_2!$Q$547&gt;0,1,0)+IF(Meal_entry_week_2!$Q$548&gt;0,1,0)+IF(Meal_entry_week_2!$Q$549&gt;0,1,0)+IF(Meal_entry_week_2!$Q$550&gt;0,1,0)+IF(Meal_entry_week_2!$Q$551&gt;0,1,0)+0.00001)</f>
        <v>0</v>
      </c>
      <c r="J375" s="1072">
        <f>(J391+J392+J393+J394+J395)/(IF(Meal_entry_week_2!$Q$547&gt;0,1,0)+IF(Meal_entry_week_2!$Q$548&gt;0,1,0)+IF(Meal_entry_week_2!$Q$549&gt;0,1,0)+IF(Meal_entry_week_2!$Q$550&gt;0,1,0)+IF(Meal_entry_week_2!$Q$551&gt;0,1,0)+0.00001)</f>
        <v>2.0599958800082403</v>
      </c>
      <c r="K375" s="1072">
        <f>(K391+K392+K393+K394+K395)/(IF(Meal_entry_week_2!$Q$547&gt;0,1,0)+IF(Meal_entry_week_2!$Q$548&gt;0,1,0)+IF(Meal_entry_week_2!$Q$549&gt;0,1,0)+IF(Meal_entry_week_2!$Q$550&gt;0,1,0)+IF(Meal_entry_week_2!$Q$551&gt;0,1,0)+0.00001)</f>
        <v>68.3998632002736</v>
      </c>
      <c r="L375" s="1072">
        <f>(L391+L392+L393+L394+L395)/(IF(Meal_entry_week_2!$Q$547&gt;0,1,0)+IF(Meal_entry_week_2!$Q$548&gt;0,1,0)+IF(Meal_entry_week_2!$Q$549&gt;0,1,0)+IF(Meal_entry_week_2!$Q$550&gt;0,1,0)+IF(Meal_entry_week_2!$Q$551&gt;0,1,0)+0.00001)</f>
        <v>9.3999812000376011</v>
      </c>
      <c r="M375" s="1072">
        <f>(M391+M392+M393+M394+M395)/(IF(Meal_entry_week_2!$Q$547&gt;0,1,0)+IF(Meal_entry_week_2!$Q$548&gt;0,1,0)+IF(Meal_entry_week_2!$Q$549&gt;0,1,0)+IF(Meal_entry_week_2!$Q$550&gt;0,1,0)+IF(Meal_entry_week_2!$Q$551&gt;0,1,0)+0.00001)</f>
        <v>12.399975200049601</v>
      </c>
      <c r="N375" s="1072">
        <f>(N391+N392+N393+N394+N395)/(IF(Meal_entry_week_2!$Q$547&gt;0,1,0)+IF(Meal_entry_week_2!$Q$548&gt;0,1,0)+IF(Meal_entry_week_2!$Q$549&gt;0,1,0)+IF(Meal_entry_week_2!$Q$550&gt;0,1,0)+IF(Meal_entry_week_2!$Q$551&gt;0,1,0)+0.00001)</f>
        <v>4.4599910800178408</v>
      </c>
      <c r="O375" s="1072">
        <f>(O391+O392+O393+O394+O395)/(IF(Meal_entry_week_2!$Q$547&gt;0,1,0)+IF(Meal_entry_week_2!$Q$548&gt;0,1,0)+IF(Meal_entry_week_2!$Q$549&gt;0,1,0)+IF(Meal_entry_week_2!$Q$550&gt;0,1,0)+IF(Meal_entry_week_2!$Q$551&gt;0,1,0)+0.00001)</f>
        <v>7.5999848000304002</v>
      </c>
      <c r="P375" s="1072">
        <f>(P391+P392+P393+P394+P395)/(IF(Meal_entry_week_2!$Q$547&gt;0,1,0)+IF(Meal_entry_week_2!$Q$548&gt;0,1,0)+IF(Meal_entry_week_2!$Q$549&gt;0,1,0)+IF(Meal_entry_week_2!$Q$550&gt;0,1,0)+IF(Meal_entry_week_2!$Q$551&gt;0,1,0)+0.00001)</f>
        <v>35.999928000144003</v>
      </c>
      <c r="Q375" s="1072">
        <f>(Q391+Q392+Q393+Q394+Q395)/(IF(Meal_entry_week_2!$Q$547&gt;0,1,0)+IF(Meal_entry_week_2!$Q$548&gt;0,1,0)+IF(Meal_entry_week_2!$Q$549&gt;0,1,0)+IF(Meal_entry_week_2!$Q$550&gt;0,1,0)+IF(Meal_entry_week_2!$Q$551&gt;0,1,0)+0.00001)</f>
        <v>0</v>
      </c>
      <c r="R375" s="1072">
        <f>(R391+R392+R393+R394+R395)/(IF(Meal_entry_week_2!$Q$547&gt;0,1,0)+IF(Meal_entry_week_2!$Q$548&gt;0,1,0)+IF(Meal_entry_week_2!$Q$549&gt;0,1,0)+IF(Meal_entry_week_2!$Q$550&gt;0,1,0)+IF(Meal_entry_week_2!$Q$551&gt;0,1,0)+0.00001)</f>
        <v>0</v>
      </c>
      <c r="S375" s="1072">
        <f>(S391+S392+S393+S394+S395)/(IF(Meal_entry_week_2!$Q$547&gt;0,1,0)+IF(Meal_entry_week_2!$Q$548&gt;0,1,0)+IF(Meal_entry_week_2!$Q$549&gt;0,1,0)+IF(Meal_entry_week_2!$Q$550&gt;0,1,0)+IF(Meal_entry_week_2!$Q$551&gt;0,1,0)+0.00001)</f>
        <v>0</v>
      </c>
      <c r="T375" s="1070">
        <f>1420-SUM(D375:S375)</f>
        <v>1275.6802886394228</v>
      </c>
      <c r="U375" s="965"/>
      <c r="V375" s="913"/>
      <c r="W375" s="913"/>
      <c r="X375" s="913"/>
      <c r="Y375" s="913"/>
      <c r="Z375" s="913"/>
      <c r="AA375" s="913"/>
      <c r="AB375" s="913"/>
      <c r="AC375" s="913"/>
      <c r="AD375" s="913"/>
      <c r="AE375" s="913"/>
      <c r="AF375" s="913"/>
      <c r="AG375" s="913"/>
    </row>
    <row r="376" spans="1:33">
      <c r="A376" s="911"/>
      <c r="B376" s="956" t="s">
        <v>67</v>
      </c>
      <c r="C376" s="945"/>
      <c r="D376" s="1072">
        <f>(D385+D386+D387+D388+D389)/(IF(Meal_entry_week_2!$Q$547&gt;0,1,0)+IF(Meal_entry_week_2!$Q$548&gt;0,1,0)+IF(Meal_entry_week_2!$Q$549&gt;0,1,0)+IF(Meal_entry_week_2!$Q$550&gt;0,1,0)+IF(Meal_entry_week_2!$Q$551&gt;0,1,0)+0.00001)</f>
        <v>0</v>
      </c>
      <c r="E376" s="1072">
        <f>(E385+E386+E387+E388+E389)/(IF(Meal_entry_week_2!$Q$547&gt;0,1,0)+IF(Meal_entry_week_2!$Q$548&gt;0,1,0)+IF(Meal_entry_week_2!$Q$549&gt;0,1,0)+IF(Meal_entry_week_2!$Q$550&gt;0,1,0)+IF(Meal_entry_week_2!$Q$551&gt;0,1,0)+0.00001)</f>
        <v>0</v>
      </c>
      <c r="F376" s="1072">
        <f>(F385+F386+F387+F388+F389)/(IF(Meal_entry_week_2!$Q$547&gt;0,1,0)+IF(Meal_entry_week_2!$Q$548&gt;0,1,0)+IF(Meal_entry_week_2!$Q$549&gt;0,1,0)+IF(Meal_entry_week_2!$Q$550&gt;0,1,0)+IF(Meal_entry_week_2!$Q$551&gt;0,1,0)+0.00001)</f>
        <v>0</v>
      </c>
      <c r="G376" s="1072">
        <f>(G385+G386+G387+G388+G389)/(IF(Meal_entry_week_2!$Q$547&gt;0,1,0)+IF(Meal_entry_week_2!$Q$548&gt;0,1,0)+IF(Meal_entry_week_2!$Q$549&gt;0,1,0)+IF(Meal_entry_week_2!$Q$550&gt;0,1,0)+IF(Meal_entry_week_2!$Q$551&gt;0,1,0)+0.00001)</f>
        <v>0</v>
      </c>
      <c r="H376" s="1072">
        <f>(H385+H386+H387+H388+H389)/(IF(Meal_entry_week_2!$Q$547&gt;0,1,0)+IF(Meal_entry_week_2!$Q$548&gt;0,1,0)+IF(Meal_entry_week_2!$Q$549&gt;0,1,0)+IF(Meal_entry_week_2!$Q$550&gt;0,1,0)+IF(Meal_entry_week_2!$Q$551&gt;0,1,0)+0.00001)</f>
        <v>0</v>
      </c>
      <c r="I376" s="1072">
        <f>(I385+I386+I387+I388+I389)/(IF(Meal_entry_week_2!$Q$547&gt;0,1,0)+IF(Meal_entry_week_2!$Q$548&gt;0,1,0)+IF(Meal_entry_week_2!$Q$549&gt;0,1,0)+IF(Meal_entry_week_2!$Q$550&gt;0,1,0)+IF(Meal_entry_week_2!$Q$551&gt;0,1,0)+0.00001)</f>
        <v>0</v>
      </c>
      <c r="J376" s="1072">
        <f>(J385+J386+J387+J388+J389)/(IF(Meal_entry_week_2!$Q$547&gt;0,1,0)+IF(Meal_entry_week_2!$Q$548&gt;0,1,0)+IF(Meal_entry_week_2!$Q$549&gt;0,1,0)+IF(Meal_entry_week_2!$Q$550&gt;0,1,0)+IF(Meal_entry_week_2!$Q$551&gt;0,1,0)+0.00001)</f>
        <v>0</v>
      </c>
      <c r="K376" s="1072">
        <f>(K385+K386+K387+K388+K389)/(IF(Meal_entry_week_2!$Q$547&gt;0,1,0)+IF(Meal_entry_week_2!$Q$548&gt;0,1,0)+IF(Meal_entry_week_2!$Q$549&gt;0,1,0)+IF(Meal_entry_week_2!$Q$550&gt;0,1,0)+IF(Meal_entry_week_2!$Q$551&gt;0,1,0)+0.00001)</f>
        <v>0</v>
      </c>
      <c r="L376" s="1072">
        <f>(L385+L386+L387+L388+L389)/(IF(Meal_entry_week_2!$Q$547&gt;0,1,0)+IF(Meal_entry_week_2!$Q$548&gt;0,1,0)+IF(Meal_entry_week_2!$Q$549&gt;0,1,0)+IF(Meal_entry_week_2!$Q$550&gt;0,1,0)+IF(Meal_entry_week_2!$Q$551&gt;0,1,0)+0.00001)</f>
        <v>0</v>
      </c>
      <c r="M376" s="1072">
        <f>(M385+M386+M387+M388+M389)/(IF(Meal_entry_week_2!$Q$547&gt;0,1,0)+IF(Meal_entry_week_2!$Q$548&gt;0,1,0)+IF(Meal_entry_week_2!$Q$549&gt;0,1,0)+IF(Meal_entry_week_2!$Q$550&gt;0,1,0)+IF(Meal_entry_week_2!$Q$551&gt;0,1,0)+0.00001)</f>
        <v>0</v>
      </c>
      <c r="N376" s="1072">
        <f>(N385+N386+N387+N388+N389)/(IF(Meal_entry_week_2!$Q$547&gt;0,1,0)+IF(Meal_entry_week_2!$Q$548&gt;0,1,0)+IF(Meal_entry_week_2!$Q$549&gt;0,1,0)+IF(Meal_entry_week_2!$Q$550&gt;0,1,0)+IF(Meal_entry_week_2!$Q$551&gt;0,1,0)+0.00001)</f>
        <v>0</v>
      </c>
      <c r="O376" s="1072">
        <f>(O385+O386+O387+O388+O389)/(IF(Meal_entry_week_2!$Q$547&gt;0,1,0)+IF(Meal_entry_week_2!$Q$548&gt;0,1,0)+IF(Meal_entry_week_2!$Q$549&gt;0,1,0)+IF(Meal_entry_week_2!$Q$550&gt;0,1,0)+IF(Meal_entry_week_2!$Q$551&gt;0,1,0)+0.00001)</f>
        <v>0</v>
      </c>
      <c r="P376" s="1072">
        <f>(P385+P386+P387+P388+P389)/(IF(Meal_entry_week_2!$Q$547&gt;0,1,0)+IF(Meal_entry_week_2!$Q$548&gt;0,1,0)+IF(Meal_entry_week_2!$Q$549&gt;0,1,0)+IF(Meal_entry_week_2!$Q$550&gt;0,1,0)+IF(Meal_entry_week_2!$Q$551&gt;0,1,0)+0.00001)</f>
        <v>0</v>
      </c>
      <c r="Q376" s="1072">
        <f>(Q385+Q386+Q387+Q388+Q389)/(IF(Meal_entry_week_2!$Q$547&gt;0,1,0)+IF(Meal_entry_week_2!$Q$548&gt;0,1,0)+IF(Meal_entry_week_2!$Q$549&gt;0,1,0)+IF(Meal_entry_week_2!$Q$550&gt;0,1,0)+IF(Meal_entry_week_2!$Q$551&gt;0,1,0)+0.00001)</f>
        <v>0</v>
      </c>
      <c r="R376" s="1072">
        <f>(R385+R386+R387+R388+R389)/(IF(Meal_entry_week_2!$Q$547&gt;0,1,0)+IF(Meal_entry_week_2!$Q$548&gt;0,1,0)+IF(Meal_entry_week_2!$Q$549&gt;0,1,0)+IF(Meal_entry_week_2!$Q$550&gt;0,1,0)+IF(Meal_entry_week_2!$Q$551&gt;0,1,0)+0.00001)</f>
        <v>0</v>
      </c>
      <c r="S376" s="1072">
        <f>(S385+S386+S387+S388+S389)/(IF(Meal_entry_week_2!$Q$547&gt;0,1,0)+IF(Meal_entry_week_2!$Q$548&gt;0,1,0)+IF(Meal_entry_week_2!$Q$549&gt;0,1,0)+IF(Meal_entry_week_2!$Q$550&gt;0,1,0)+IF(Meal_entry_week_2!$Q$551&gt;0,1,0)+0.00001)</f>
        <v>0</v>
      </c>
      <c r="T376" s="1070">
        <f>1420-SUM(D376:S376)</f>
        <v>1420</v>
      </c>
      <c r="U376" s="965"/>
      <c r="V376" s="913"/>
      <c r="W376" s="913"/>
      <c r="X376" s="913"/>
      <c r="Y376" s="913"/>
      <c r="Z376" s="913"/>
      <c r="AA376" s="913"/>
      <c r="AB376" s="913"/>
      <c r="AC376" s="913"/>
      <c r="AD376" s="913"/>
      <c r="AE376" s="913"/>
      <c r="AF376" s="913"/>
      <c r="AG376" s="913"/>
    </row>
    <row r="377" spans="1:33">
      <c r="A377" s="911"/>
      <c r="B377" s="1074" t="s">
        <v>2506</v>
      </c>
      <c r="C377" s="945"/>
      <c r="D377" s="1075">
        <f t="shared" ref="D377:S377" si="48">SUM(D373:D376)</f>
        <v>180.69963860072281</v>
      </c>
      <c r="E377" s="1075">
        <f t="shared" si="48"/>
        <v>11.999976000048001</v>
      </c>
      <c r="F377" s="1075">
        <f t="shared" si="48"/>
        <v>123.999752000496</v>
      </c>
      <c r="G377" s="1075">
        <f t="shared" si="48"/>
        <v>29.999940000120002</v>
      </c>
      <c r="H377" s="1075">
        <f t="shared" si="48"/>
        <v>9.9999800000400008</v>
      </c>
      <c r="I377" s="1075">
        <f t="shared" si="48"/>
        <v>0</v>
      </c>
      <c r="J377" s="1075">
        <f t="shared" si="48"/>
        <v>15.05996988006024</v>
      </c>
      <c r="K377" s="1075">
        <f t="shared" si="48"/>
        <v>98.999802000396002</v>
      </c>
      <c r="L377" s="1075">
        <f t="shared" si="48"/>
        <v>29.359941280117443</v>
      </c>
      <c r="M377" s="1075">
        <f t="shared" si="48"/>
        <v>57.999884000232008</v>
      </c>
      <c r="N377" s="1075">
        <f t="shared" si="48"/>
        <v>13.763972472055059</v>
      </c>
      <c r="O377" s="1075">
        <f t="shared" si="48"/>
        <v>11.719976560046881</v>
      </c>
      <c r="P377" s="1075">
        <f t="shared" si="48"/>
        <v>106.999786000428</v>
      </c>
      <c r="Q377" s="1075">
        <f t="shared" si="48"/>
        <v>0</v>
      </c>
      <c r="R377" s="1075">
        <f t="shared" si="48"/>
        <v>0</v>
      </c>
      <c r="S377" s="1075">
        <f t="shared" si="48"/>
        <v>0</v>
      </c>
      <c r="T377" s="1070">
        <f>1420-SUM(D377:S377)</f>
        <v>729.39738120523748</v>
      </c>
      <c r="U377" s="965"/>
      <c r="V377" s="913"/>
      <c r="W377" s="913"/>
      <c r="X377" s="913"/>
      <c r="Y377" s="913"/>
      <c r="Z377" s="913"/>
      <c r="AA377" s="913"/>
      <c r="AB377" s="913"/>
      <c r="AC377" s="913"/>
      <c r="AD377" s="913"/>
      <c r="AE377" s="913"/>
      <c r="AF377" s="913"/>
      <c r="AG377" s="913"/>
    </row>
    <row r="378" spans="1:33">
      <c r="A378" s="911"/>
      <c r="B378" s="956" t="s">
        <v>2520</v>
      </c>
      <c r="C378" s="945"/>
      <c r="D378" s="913" t="s">
        <v>3140</v>
      </c>
      <c r="E378" s="913" t="s">
        <v>3069</v>
      </c>
      <c r="F378" s="913" t="s">
        <v>3077</v>
      </c>
      <c r="G378" s="913" t="s">
        <v>3073</v>
      </c>
      <c r="H378" s="913" t="s">
        <v>3070</v>
      </c>
      <c r="I378" s="913" t="s">
        <v>3575</v>
      </c>
      <c r="J378" s="913" t="s">
        <v>3072</v>
      </c>
      <c r="K378" s="913" t="s">
        <v>3085</v>
      </c>
      <c r="L378" s="913" t="s">
        <v>3075</v>
      </c>
      <c r="M378" s="913" t="s">
        <v>3141</v>
      </c>
      <c r="N378" s="913" t="s">
        <v>3550</v>
      </c>
      <c r="O378" s="913" t="s">
        <v>3078</v>
      </c>
      <c r="P378" s="913" t="s">
        <v>3551</v>
      </c>
      <c r="Q378" s="913" t="s">
        <v>3082</v>
      </c>
      <c r="R378" s="1067" t="s">
        <v>3083</v>
      </c>
      <c r="S378" s="913" t="s">
        <v>3084</v>
      </c>
      <c r="T378" s="1068"/>
      <c r="U378" s="965"/>
      <c r="V378" s="913"/>
      <c r="W378" s="913"/>
      <c r="X378" s="913"/>
      <c r="Y378" s="913"/>
      <c r="Z378" s="913"/>
      <c r="AA378" s="913"/>
      <c r="AB378" s="913"/>
      <c r="AC378" s="913"/>
      <c r="AD378" s="913"/>
      <c r="AE378" s="913"/>
      <c r="AF378" s="913"/>
      <c r="AG378" s="913"/>
    </row>
    <row r="379" spans="1:33">
      <c r="A379" s="911"/>
      <c r="B379" s="956" t="s">
        <v>3064</v>
      </c>
      <c r="C379" s="945"/>
      <c r="D379" s="1072">
        <f t="shared" ref="D379:S379" si="49">D385+D391+D397+D403</f>
        <v>260</v>
      </c>
      <c r="E379" s="1072">
        <f t="shared" si="49"/>
        <v>0</v>
      </c>
      <c r="F379" s="1072">
        <f t="shared" si="49"/>
        <v>120</v>
      </c>
      <c r="G379" s="1072">
        <f t="shared" si="49"/>
        <v>50</v>
      </c>
      <c r="H379" s="1072">
        <f t="shared" si="49"/>
        <v>0</v>
      </c>
      <c r="I379" s="1072">
        <f t="shared" si="49"/>
        <v>0</v>
      </c>
      <c r="J379" s="1072">
        <f t="shared" si="49"/>
        <v>28</v>
      </c>
      <c r="K379" s="1072">
        <f t="shared" si="49"/>
        <v>156</v>
      </c>
      <c r="L379" s="1072">
        <f t="shared" si="49"/>
        <v>50</v>
      </c>
      <c r="M379" s="1072">
        <f t="shared" si="49"/>
        <v>25</v>
      </c>
      <c r="N379" s="1072">
        <f t="shared" si="49"/>
        <v>24.6</v>
      </c>
      <c r="O379" s="1072">
        <f t="shared" si="49"/>
        <v>0</v>
      </c>
      <c r="P379" s="1072">
        <f t="shared" si="49"/>
        <v>50</v>
      </c>
      <c r="Q379" s="1072">
        <f t="shared" si="49"/>
        <v>0</v>
      </c>
      <c r="R379" s="1072">
        <f t="shared" si="49"/>
        <v>0</v>
      </c>
      <c r="S379" s="1072">
        <f t="shared" si="49"/>
        <v>0</v>
      </c>
      <c r="T379" s="1070">
        <f>1420-SUM(D379:S379)</f>
        <v>656.4</v>
      </c>
      <c r="U379" s="965"/>
      <c r="V379" s="913"/>
      <c r="W379" s="913"/>
      <c r="X379" s="913"/>
      <c r="Y379" s="913"/>
      <c r="Z379" s="913"/>
      <c r="AA379" s="913"/>
      <c r="AB379" s="913"/>
      <c r="AC379" s="913"/>
      <c r="AD379" s="913"/>
      <c r="AE379" s="913"/>
      <c r="AF379" s="913"/>
      <c r="AG379" s="913"/>
    </row>
    <row r="380" spans="1:33">
      <c r="A380" s="911"/>
      <c r="B380" s="956" t="s">
        <v>3065</v>
      </c>
      <c r="C380" s="945"/>
      <c r="D380" s="1069">
        <f t="shared" ref="D380:S380" si="50">D386+D392+D398+D404</f>
        <v>140</v>
      </c>
      <c r="E380" s="1069">
        <f t="shared" si="50"/>
        <v>60</v>
      </c>
      <c r="F380" s="1069">
        <f t="shared" si="50"/>
        <v>150</v>
      </c>
      <c r="G380" s="1069">
        <f t="shared" si="50"/>
        <v>0</v>
      </c>
      <c r="H380" s="1069">
        <f t="shared" si="50"/>
        <v>0</v>
      </c>
      <c r="I380" s="1069">
        <f t="shared" si="50"/>
        <v>0</v>
      </c>
      <c r="J380" s="1069">
        <f t="shared" si="50"/>
        <v>0</v>
      </c>
      <c r="K380" s="1069">
        <f t="shared" si="50"/>
        <v>125</v>
      </c>
      <c r="L380" s="1069">
        <f t="shared" si="50"/>
        <v>5</v>
      </c>
      <c r="M380" s="1069">
        <f t="shared" si="50"/>
        <v>120</v>
      </c>
      <c r="N380" s="1069">
        <f t="shared" si="50"/>
        <v>0.4</v>
      </c>
      <c r="O380" s="1069">
        <f t="shared" si="50"/>
        <v>25</v>
      </c>
      <c r="P380" s="1069">
        <f t="shared" si="50"/>
        <v>135</v>
      </c>
      <c r="Q380" s="1069">
        <f t="shared" si="50"/>
        <v>0</v>
      </c>
      <c r="R380" s="1069">
        <f t="shared" si="50"/>
        <v>0</v>
      </c>
      <c r="S380" s="1069">
        <f t="shared" si="50"/>
        <v>0</v>
      </c>
      <c r="T380" s="1070">
        <f>1420-SUM(D380:S380)</f>
        <v>659.6</v>
      </c>
      <c r="U380" s="965"/>
      <c r="V380" s="913"/>
      <c r="W380" s="913"/>
      <c r="X380" s="913"/>
      <c r="Y380" s="913"/>
      <c r="Z380" s="913"/>
      <c r="AA380" s="913"/>
      <c r="AB380" s="913"/>
      <c r="AC380" s="913"/>
      <c r="AD380" s="913"/>
      <c r="AE380" s="913"/>
      <c r="AF380" s="913"/>
      <c r="AG380" s="913"/>
    </row>
    <row r="381" spans="1:33">
      <c r="A381" s="911"/>
      <c r="B381" s="956" t="s">
        <v>3940</v>
      </c>
      <c r="C381" s="945"/>
      <c r="D381" s="1069">
        <f t="shared" ref="D381:S381" si="51">D387+D393+D399+D405</f>
        <v>182</v>
      </c>
      <c r="E381" s="1069">
        <f t="shared" si="51"/>
        <v>0</v>
      </c>
      <c r="F381" s="1069">
        <f t="shared" si="51"/>
        <v>50</v>
      </c>
      <c r="G381" s="1069">
        <f t="shared" si="51"/>
        <v>0</v>
      </c>
      <c r="H381" s="1069">
        <f t="shared" si="51"/>
        <v>50</v>
      </c>
      <c r="I381" s="1069">
        <f t="shared" si="51"/>
        <v>0</v>
      </c>
      <c r="J381" s="1069">
        <f t="shared" si="51"/>
        <v>5</v>
      </c>
      <c r="K381" s="1069">
        <f t="shared" si="51"/>
        <v>28</v>
      </c>
      <c r="L381" s="1069">
        <f t="shared" si="51"/>
        <v>19.8</v>
      </c>
      <c r="M381" s="1069">
        <f t="shared" si="51"/>
        <v>18</v>
      </c>
      <c r="N381" s="1069">
        <f t="shared" si="51"/>
        <v>26.83</v>
      </c>
      <c r="O381" s="1069">
        <f t="shared" si="51"/>
        <v>15.6</v>
      </c>
      <c r="P381" s="1069">
        <f t="shared" si="51"/>
        <v>130</v>
      </c>
      <c r="Q381" s="1069">
        <f t="shared" si="51"/>
        <v>0</v>
      </c>
      <c r="R381" s="1069">
        <f t="shared" si="51"/>
        <v>0</v>
      </c>
      <c r="S381" s="1069">
        <f t="shared" si="51"/>
        <v>0</v>
      </c>
      <c r="T381" s="1070">
        <f>1420-SUM(D381:S381)</f>
        <v>894.77</v>
      </c>
      <c r="U381" s="965"/>
      <c r="V381" s="913"/>
      <c r="W381" s="913"/>
      <c r="X381" s="913"/>
      <c r="Y381" s="913"/>
      <c r="Z381" s="913"/>
      <c r="AA381" s="913"/>
      <c r="AB381" s="913"/>
      <c r="AC381" s="913"/>
      <c r="AD381" s="913"/>
      <c r="AE381" s="913"/>
      <c r="AF381" s="913"/>
      <c r="AG381" s="913"/>
    </row>
    <row r="382" spans="1:33">
      <c r="A382" s="911"/>
      <c r="B382" s="956" t="s">
        <v>3067</v>
      </c>
      <c r="C382" s="945"/>
      <c r="D382" s="1069">
        <f t="shared" ref="D382:S382" si="52">D388+D394+D400+D406</f>
        <v>265.5</v>
      </c>
      <c r="E382" s="1069">
        <f t="shared" si="52"/>
        <v>0</v>
      </c>
      <c r="F382" s="1069">
        <f t="shared" si="52"/>
        <v>150</v>
      </c>
      <c r="G382" s="1069">
        <f t="shared" si="52"/>
        <v>50</v>
      </c>
      <c r="H382" s="1069">
        <f t="shared" si="52"/>
        <v>0</v>
      </c>
      <c r="I382" s="1069">
        <f t="shared" si="52"/>
        <v>0</v>
      </c>
      <c r="J382" s="1069">
        <f t="shared" si="52"/>
        <v>20</v>
      </c>
      <c r="K382" s="1069">
        <f t="shared" si="52"/>
        <v>120</v>
      </c>
      <c r="L382" s="1069">
        <f t="shared" si="52"/>
        <v>24</v>
      </c>
      <c r="M382" s="1069">
        <f t="shared" si="52"/>
        <v>20</v>
      </c>
      <c r="N382" s="1069">
        <f t="shared" si="52"/>
        <v>4.09</v>
      </c>
      <c r="O382" s="1069">
        <f t="shared" si="52"/>
        <v>5</v>
      </c>
      <c r="P382" s="1069">
        <f t="shared" si="52"/>
        <v>145</v>
      </c>
      <c r="Q382" s="1069">
        <f t="shared" si="52"/>
        <v>0</v>
      </c>
      <c r="R382" s="1069">
        <f t="shared" si="52"/>
        <v>0</v>
      </c>
      <c r="S382" s="1069">
        <f t="shared" si="52"/>
        <v>0</v>
      </c>
      <c r="T382" s="1070">
        <f>1420-SUM(D382:S382)</f>
        <v>616.41</v>
      </c>
      <c r="U382" s="965"/>
      <c r="V382" s="913"/>
      <c r="W382" s="913"/>
      <c r="X382" s="913"/>
      <c r="Y382" s="913"/>
      <c r="Z382" s="913"/>
      <c r="AA382" s="913"/>
      <c r="AB382" s="913"/>
      <c r="AC382" s="913"/>
      <c r="AD382" s="913"/>
      <c r="AE382" s="913"/>
      <c r="AF382" s="913"/>
      <c r="AG382" s="913"/>
    </row>
    <row r="383" spans="1:33">
      <c r="A383" s="911"/>
      <c r="B383" s="1074" t="s">
        <v>3068</v>
      </c>
      <c r="C383" s="945"/>
      <c r="D383" s="1075">
        <f t="shared" ref="D383:S383" si="53">D389+D395+D401+D407</f>
        <v>56</v>
      </c>
      <c r="E383" s="1075">
        <f t="shared" si="53"/>
        <v>0</v>
      </c>
      <c r="F383" s="1075">
        <f t="shared" si="53"/>
        <v>150</v>
      </c>
      <c r="G383" s="1075">
        <f t="shared" si="53"/>
        <v>50</v>
      </c>
      <c r="H383" s="1075">
        <f t="shared" si="53"/>
        <v>0</v>
      </c>
      <c r="I383" s="1075">
        <f t="shared" si="53"/>
        <v>0</v>
      </c>
      <c r="J383" s="1075">
        <f t="shared" si="53"/>
        <v>22.3</v>
      </c>
      <c r="K383" s="1075">
        <f t="shared" si="53"/>
        <v>66</v>
      </c>
      <c r="L383" s="1075">
        <f t="shared" si="53"/>
        <v>48</v>
      </c>
      <c r="M383" s="1075">
        <f t="shared" si="53"/>
        <v>107</v>
      </c>
      <c r="N383" s="1075">
        <f t="shared" si="53"/>
        <v>12.899999999999999</v>
      </c>
      <c r="O383" s="1075">
        <f t="shared" si="53"/>
        <v>13</v>
      </c>
      <c r="P383" s="1075">
        <f t="shared" si="53"/>
        <v>75</v>
      </c>
      <c r="Q383" s="1075">
        <f t="shared" si="53"/>
        <v>0</v>
      </c>
      <c r="R383" s="1075">
        <f t="shared" si="53"/>
        <v>0</v>
      </c>
      <c r="S383" s="1075">
        <f t="shared" si="53"/>
        <v>0</v>
      </c>
      <c r="T383" s="1070">
        <f>1420-SUM(D383:S383)</f>
        <v>819.8</v>
      </c>
      <c r="U383" s="965"/>
      <c r="V383" s="913"/>
      <c r="W383" s="913"/>
      <c r="X383" s="913"/>
      <c r="Y383" s="913"/>
      <c r="Z383" s="913"/>
      <c r="AA383" s="913"/>
      <c r="AB383" s="913"/>
      <c r="AC383" s="913"/>
      <c r="AD383" s="913"/>
      <c r="AE383" s="913"/>
      <c r="AF383" s="913"/>
      <c r="AG383" s="913"/>
    </row>
    <row r="384" spans="1:33">
      <c r="A384" s="911"/>
      <c r="B384" s="956" t="s">
        <v>3945</v>
      </c>
      <c r="C384" s="945"/>
      <c r="D384" s="913" t="s">
        <v>3140</v>
      </c>
      <c r="E384" s="913" t="s">
        <v>3069</v>
      </c>
      <c r="F384" s="913" t="s">
        <v>3077</v>
      </c>
      <c r="G384" s="913" t="s">
        <v>3073</v>
      </c>
      <c r="H384" s="913" t="s">
        <v>3070</v>
      </c>
      <c r="I384" s="913" t="s">
        <v>3575</v>
      </c>
      <c r="J384" s="913" t="s">
        <v>3072</v>
      </c>
      <c r="K384" s="913" t="s">
        <v>3085</v>
      </c>
      <c r="L384" s="913" t="s">
        <v>3075</v>
      </c>
      <c r="M384" s="913" t="s">
        <v>3141</v>
      </c>
      <c r="N384" s="913" t="s">
        <v>3550</v>
      </c>
      <c r="O384" s="913" t="s">
        <v>3078</v>
      </c>
      <c r="P384" s="913" t="s">
        <v>3551</v>
      </c>
      <c r="Q384" s="913" t="s">
        <v>3082</v>
      </c>
      <c r="R384" s="1067" t="s">
        <v>3083</v>
      </c>
      <c r="S384" s="913" t="s">
        <v>3084</v>
      </c>
      <c r="T384" s="1068"/>
      <c r="U384" s="965"/>
      <c r="V384" s="913"/>
      <c r="W384" s="913"/>
      <c r="X384" s="913"/>
      <c r="Y384" s="913"/>
      <c r="Z384" s="913"/>
      <c r="AA384" s="913"/>
      <c r="AB384" s="913"/>
      <c r="AC384" s="913"/>
      <c r="AD384" s="913"/>
      <c r="AE384" s="913"/>
      <c r="AF384" s="913"/>
      <c r="AG384" s="913"/>
    </row>
    <row r="385" spans="1:33">
      <c r="A385" s="911"/>
      <c r="B385" s="956" t="s">
        <v>3064</v>
      </c>
      <c r="C385" s="945"/>
      <c r="D385" s="1072">
        <f>SUMIF(Meal_entry_week_2!G$11:G$30,"Vegetables_mushrooms_fresh_frozen",Meal_entry_week_2!Q$11:Q$30)</f>
        <v>0</v>
      </c>
      <c r="E385" s="1072">
        <f>SUMIF(Meal_entry_week_2!G$11:G$30,"Vegetables_processed",Meal_entry_week_2!Q$11:Q$30)</f>
        <v>0</v>
      </c>
      <c r="F385" s="1072">
        <f>SUMIF(Meal_entry_week_2!G$11:G$30,"Fruits_nuts_dried_fruit",Meal_entry_week_2!Q$11:Q$30)</f>
        <v>0</v>
      </c>
      <c r="G385" s="1072">
        <f>SUMIF(Meal_entry_week_2!G$11:G$30,"Meat_fresh_frozen",Meal_entry_week_2!Q$11:Q$30)</f>
        <v>0</v>
      </c>
      <c r="H385" s="1072">
        <f>SUMIF(Meal_entry_week_2!G$11:G$30,"Meat_processed",Meal_entry_week_2!Q$11:Q$30)</f>
        <v>0</v>
      </c>
      <c r="I385" s="1072">
        <f>SUMIF(Meal_entry_week_2!G$11:G$30,"Fish_fresh_frozen",Meal_entry_week_2!Q$11:Q$30)+SUMIF(Meal_entry_week_2!G$11:G$30,"Fish_processed_canned",Meal_entry_week_2!Q$11:Q$30)</f>
        <v>0</v>
      </c>
      <c r="J385" s="1072">
        <f>SUMIF(Meal_entry_week_2!G$11:G$30,"Eggs",Meal_entry_week_2!Q$11:Q$30)</f>
        <v>0</v>
      </c>
      <c r="K385" s="1072">
        <f>SUMIF(Meal_entry_week_2!G$11:G$30,"Dairy_products",Meal_entry_week_2!Q$11:Q$30)</f>
        <v>0</v>
      </c>
      <c r="L385" s="1072">
        <f>SUMIF(Meal_entry_week_2!G$11:G$30,"Oil_butter_margarine",Meal_entry_week_2!Q$11:Q$30)</f>
        <v>0</v>
      </c>
      <c r="M385" s="1072">
        <f>SUMIF(Meal_entry_week_2!G$11:G$30,"Flour_pasta_seeds_cereals",Meal_entry_week_2!Q$11:Q$30)</f>
        <v>0</v>
      </c>
      <c r="N385" s="1072">
        <f>SUMIF(Meal_entry_week_2!G$11:G$30,"Sauces_purees_dressings",Meal_entry_week_2!Q$11:Q$30)+SUMIF(Meal_entry_week_2!G$11:G$30,"Spices_seasonings",Meal_entry_week_2!Q$11:Q$30)</f>
        <v>0</v>
      </c>
      <c r="O385" s="1072">
        <f>SUMIF(Meal_entry_week_2!G$11:G$30,"Sweet_foods_cakes",Meal_entry_week_2!Q$11:Q$30)</f>
        <v>0</v>
      </c>
      <c r="P385" s="1072">
        <f>SUMIF(Meal_entry_week_2!G$11:G$30,"Bread_and_pastries",Meal_entry_week_2!Q$11:Q$30)+SUMIF(Meal_entry_week_2!G$11:G$30,"Savoury_pastries",Meal_entry_week_2!Q$11:Q$30)+SUMIF(Meal_entry_week_2!G$11:G$30,"Sweet_pastries",Meal_entry_week_2!Q$11:Q$30)</f>
        <v>0</v>
      </c>
      <c r="Q385" s="1072">
        <f>SUMIF(Meal_entry_week_2!G$11:G$30,"Other_processed_foods",Meal_entry_week_2!Q$11:Q$30)</f>
        <v>0</v>
      </c>
      <c r="R385" s="1072">
        <f>SUMIF(Meal_entry_week_2!G$11:G$30,"Zasladjena_piča_čajevi_kafa",Meal_entry_week_2!Q$11:Q$30)</f>
        <v>0</v>
      </c>
      <c r="S385" s="1072">
        <f>SUMIF(Meal_entry_week_2!G$11:G$30,"Fruit_juices_water",Meal_entry_week_2!Q$11:Q$30)</f>
        <v>0</v>
      </c>
      <c r="T385" s="1070">
        <f>550-SUM(D385:S385)</f>
        <v>550</v>
      </c>
      <c r="U385" s="965"/>
      <c r="V385" s="913"/>
      <c r="W385" s="913"/>
      <c r="X385" s="913"/>
      <c r="Y385" s="913"/>
      <c r="Z385" s="913"/>
      <c r="AA385" s="913"/>
      <c r="AB385" s="913"/>
      <c r="AC385" s="913"/>
      <c r="AD385" s="913"/>
      <c r="AE385" s="913"/>
      <c r="AF385" s="913"/>
      <c r="AG385" s="913"/>
    </row>
    <row r="386" spans="1:33">
      <c r="A386" s="911"/>
      <c r="B386" s="956" t="s">
        <v>3065</v>
      </c>
      <c r="C386" s="945"/>
      <c r="D386" s="1072">
        <f>SUMIF(Meal_entry_week_2!G$110:G$129,"Vegetables_mushrooms_fresh_frozen",Meal_entry_week_2!Q$110:Q$129)</f>
        <v>0</v>
      </c>
      <c r="E386" s="1072">
        <f>SUMIF(Meal_entry_week_2!G$110:G$129,"Vegetables_processed",Meal_entry_week_2!Q$110:Q$129)</f>
        <v>0</v>
      </c>
      <c r="F386" s="1072">
        <f>SUMIF(Meal_entry_week_2!G$110:G$129,"Fruits_nuts_dried_fruit",Meal_entry_week_2!Q$110:Q$129)</f>
        <v>0</v>
      </c>
      <c r="G386" s="1072">
        <f>SUMIF(Meal_entry_week_2!G$110:G$129,"Meat_fresh_frozen",Meal_entry_week_2!Q$110:Q$129)</f>
        <v>0</v>
      </c>
      <c r="H386" s="1072">
        <f>SUMIF(Meal_entry_week_2!G$110:G$129,"Meat_processed",Meal_entry_week_2!Q$110:Q$129)</f>
        <v>0</v>
      </c>
      <c r="I386" s="1072">
        <f>SUMIF(Meal_entry_week_2!G$110:G$129,"Fish_fresh_frozen",Meal_entry_week_2!Q$110:Q$129)+SUMIF(Meal_entry_week_2!G$110:G$129,"Fish_processed_canned",Meal_entry_week_2!Q$110:Q$129)</f>
        <v>0</v>
      </c>
      <c r="J386" s="1072">
        <f>SUMIF(Meal_entry_week_2!G$110:G$129,"Eggs",Meal_entry_week_2!Q$110:Q$129)</f>
        <v>0</v>
      </c>
      <c r="K386" s="1072">
        <f>SUMIF(Meal_entry_week_2!G$110:G$129,"Dairy_products",Meal_entry_week_2!Q$110:Q$129)</f>
        <v>0</v>
      </c>
      <c r="L386" s="1072">
        <f>SUMIF(Meal_entry_week_2!G$110:G$129,"Oil_butter_margarine",Meal_entry_week_2!Q$110:Q$129)</f>
        <v>0</v>
      </c>
      <c r="M386" s="1072">
        <f>SUMIF(Meal_entry_week_2!G$110:G$129,"Flour_pasta_seeds_cereals",Meal_entry_week_2!Q$110:Q$129)</f>
        <v>0</v>
      </c>
      <c r="N386" s="1072">
        <f>SUMIF(Meal_entry_week_2!G$110:G$129,"Sauces_purees_dressings",Meal_entry_week_2!Q$110:Q$129)+SUMIF(Meal_entry_week_2!G$110:G$129,"Spices_seasonings",Meal_entry_week_2!Q$110:Q$129)</f>
        <v>0</v>
      </c>
      <c r="O386" s="1072">
        <f>SUMIF(Meal_entry_week_2!G$110:G$129,"Sweet_foods_cakes",Meal_entry_week_2!Q$110:Q$129)</f>
        <v>0</v>
      </c>
      <c r="P386" s="1072">
        <f>SUMIF(Meal_entry_week_2!G$110:G$129,"Bread_and_pastries",Meal_entry_week_2!Q$110:Q$129)+SUMIF(Meal_entry_week_2!G$110:G$129,"Savoury_pastries",Meal_entry_week_2!Q$110:Q$129)+SUMIF(Meal_entry_week_2!G$110:G$129,"Sweet_pastries",Meal_entry_week_2!Q$110:Q$129)</f>
        <v>0</v>
      </c>
      <c r="Q386" s="1072">
        <f>SUMIF(Meal_entry_week_2!G$110:G$129,"Other_processed_foods",Meal_entry_week_2!Q$110:Q$129)</f>
        <v>0</v>
      </c>
      <c r="R386" s="1072">
        <f>SUMIF(Meal_entry_week_2!G$110:G$129,"Zasladjena_piča_čajevi_kafa",Meal_entry_week_2!Q$110:Q$129)</f>
        <v>0</v>
      </c>
      <c r="S386" s="1072">
        <f>SUMIF(Meal_entry_week_2!G$110:G$129,"Fruit_juices_water",Meal_entry_week_2!Q$110:Q$129)</f>
        <v>0</v>
      </c>
      <c r="T386" s="1070">
        <f>550-SUM(D386:S386)</f>
        <v>550</v>
      </c>
      <c r="U386" s="965"/>
      <c r="V386" s="913"/>
      <c r="W386" s="913"/>
      <c r="X386" s="913"/>
      <c r="Y386" s="913"/>
      <c r="Z386" s="913"/>
      <c r="AA386" s="913"/>
      <c r="AB386" s="913"/>
      <c r="AC386" s="913"/>
      <c r="AD386" s="913"/>
      <c r="AE386" s="913"/>
      <c r="AF386" s="913"/>
      <c r="AG386" s="913"/>
    </row>
    <row r="387" spans="1:33">
      <c r="A387" s="911"/>
      <c r="B387" s="956" t="s">
        <v>3940</v>
      </c>
      <c r="C387" s="945"/>
      <c r="D387" s="1072">
        <f>SUMIF(Meal_entry_week_2!G$209:G$228,"Vegetables_mushrooms_fresh_frozen",Meal_entry_week_2!Q$209:Q$228)</f>
        <v>0</v>
      </c>
      <c r="E387" s="1072">
        <f>SUMIF(Meal_entry_week_2!G$209:G$228,"Vegetables_processed",Meal_entry_week_2!Q$209:Q$228)</f>
        <v>0</v>
      </c>
      <c r="F387" s="1072">
        <f>SUMIF(Meal_entry_week_2!G$209:G$228,"Fruits_nuts_dried_fruit",Meal_entry_week_2!Q$209:Q$228)</f>
        <v>0</v>
      </c>
      <c r="G387" s="1072">
        <f>SUMIF(Meal_entry_week_2!G$209:G$228,"Meat_fresh_frozen",Meal_entry_week_2!Q$209:Q$228)</f>
        <v>0</v>
      </c>
      <c r="H387" s="1072">
        <f>SUMIF(Meal_entry_week_2!G$209:G$228,"Meat_processed",Meal_entry_week_2!Q$209:Q$228)</f>
        <v>0</v>
      </c>
      <c r="I387" s="1072">
        <f>SUMIF(Meal_entry_week_2!G$209:G$228,"Fish_fresh_frozen",Meal_entry_week_2!Q$209:Q$228)+SUMIF(Meal_entry_week_2!G$209:G$228,"Fish_processed_canned",Meal_entry_week_2!Q$209:Q$228)</f>
        <v>0</v>
      </c>
      <c r="J387" s="1072">
        <f>SUMIF(Meal_entry_week_2!G$209:G$228,"Eggs",Meal_entry_week_2!Q$209:Q$228)</f>
        <v>0</v>
      </c>
      <c r="K387" s="1072">
        <f>SUMIF(Meal_entry_week_2!G$209:G$228,"Dairy_products",Meal_entry_week_2!Q$209:Q$228)</f>
        <v>0</v>
      </c>
      <c r="L387" s="1072">
        <f>SUMIF(Meal_entry_week_2!G$209:G$228,"Oil_butter_margarine",Meal_entry_week_2!Q$209:Q$228)</f>
        <v>0</v>
      </c>
      <c r="M387" s="1072">
        <f>SUMIF(Meal_entry_week_2!G$209:G$228,"Flour_pasta_seeds_cereals",Meal_entry_week_2!Q$209:Q$228)</f>
        <v>0</v>
      </c>
      <c r="N387" s="1072">
        <f>SUMIF(Meal_entry_week_2!G$209:G$228,"Sauces_purees_dressings",Meal_entry_week_2!Q$209:Q$228)+SUMIF(Meal_entry_week_2!G$209:G$228,"Spices_seasonings",Meal_entry_week_2!Q$209:Q$228)</f>
        <v>0</v>
      </c>
      <c r="O387" s="1072">
        <f>SUMIF(Meal_entry_week_2!G$209:G$228,"Sweet_foods_cakes",Meal_entry_week_2!Q$209:Q$228)</f>
        <v>0</v>
      </c>
      <c r="P387" s="1072">
        <f>SUMIF(Meal_entry_week_2!G$209:G$228,"Bread_and_pastries",Meal_entry_week_2!Q$209:Q$228)+SUMIF(Meal_entry_week_2!G$209:G$228,"Savoury_pastries",Meal_entry_week_2!Q$209:Q$228)+SUMIF(Meal_entry_week_2!G$209:G$228,"Sweet_pastries",Meal_entry_week_2!Q$209:Q$228)</f>
        <v>0</v>
      </c>
      <c r="Q387" s="1072">
        <f>SUMIF(Meal_entry_week_2!G$209:G$228,"Other_processed_foods",Meal_entry_week_2!Q$209:Q$228)</f>
        <v>0</v>
      </c>
      <c r="R387" s="1072">
        <f>SUMIF(Meal_entry_week_2!G$209:G$228,"Zasladjena_piča_čajevi_kafa",Meal_entry_week_2!Q$209:Q$228)</f>
        <v>0</v>
      </c>
      <c r="S387" s="1072">
        <f>SUMIF(Meal_entry_week_2!G$209:G$228,"Fruit_juices_water",Meal_entry_week_2!Q$209:Q$228)</f>
        <v>0</v>
      </c>
      <c r="T387" s="1070">
        <f>550-SUM(D387:S387)</f>
        <v>550</v>
      </c>
      <c r="U387" s="965"/>
      <c r="V387" s="913"/>
      <c r="W387" s="913"/>
      <c r="X387" s="913"/>
      <c r="Y387" s="913"/>
      <c r="Z387" s="913"/>
      <c r="AA387" s="913"/>
      <c r="AB387" s="913"/>
      <c r="AC387" s="913"/>
      <c r="AD387" s="913"/>
      <c r="AE387" s="913"/>
      <c r="AF387" s="913"/>
      <c r="AG387" s="913"/>
    </row>
    <row r="388" spans="1:33">
      <c r="A388" s="911"/>
      <c r="B388" s="956" t="s">
        <v>3067</v>
      </c>
      <c r="C388" s="945"/>
      <c r="D388" s="1072">
        <f>SUMIF(Meal_entry_week_2!G$308:G$327,"Vegetables_mushrooms_fresh_frozen",Meal_entry_week_2!Q$308:Q$327)</f>
        <v>0</v>
      </c>
      <c r="E388" s="1072">
        <f>SUMIF(Meal_entry_week_2!G$308:G$327,"Vegetables_processed",Meal_entry_week_2!Q$308:Q$327)</f>
        <v>0</v>
      </c>
      <c r="F388" s="1072">
        <f>SUMIF(Meal_entry_week_2!G$308:G$327,"Fruits_nuts_dried_fruit",Meal_entry_week_2!Q$308:Q$327)</f>
        <v>0</v>
      </c>
      <c r="G388" s="1072">
        <f>SUMIF(Meal_entry_week_2!G$308:G$327,"Meat_fresh_frozen",Meal_entry_week_2!Q$308:Q$327)</f>
        <v>0</v>
      </c>
      <c r="H388" s="1072">
        <f>SUMIF(Meal_entry_week_2!G$308:G$327,"Meat_processed",Meal_entry_week_2!Q$308:Q$327)</f>
        <v>0</v>
      </c>
      <c r="I388" s="1072">
        <f>SUMIF(Meal_entry_week_2!G$308:G$327,"Fish_fresh_frozen",Meal_entry_week_2!Q$308:Q$327)+SUMIF(Meal_entry_week_2!G$308:G$327,"Fish_processed_canned",Meal_entry_week_2!Q$308:Q$327)</f>
        <v>0</v>
      </c>
      <c r="J388" s="1072">
        <f>SUMIF(Meal_entry_week_2!G$308:G$327,"Eggs",Meal_entry_week_2!Q$308:Q$327)</f>
        <v>0</v>
      </c>
      <c r="K388" s="1072">
        <f>SUMIF(Meal_entry_week_2!G$308:G$327,"Dairy_products",Meal_entry_week_2!Q$308:Q$327)</f>
        <v>0</v>
      </c>
      <c r="L388" s="1072">
        <f>SUMIF(Meal_entry_week_2!G$308:G$327,"Oil_butter_margarine",Meal_entry_week_2!Q$308:Q$327)</f>
        <v>0</v>
      </c>
      <c r="M388" s="1072">
        <f>SUMIF(Meal_entry_week_2!G$308:G$327,"Flour_pasta_seeds_cereals",Meal_entry_week_2!Q$308:Q$327)</f>
        <v>0</v>
      </c>
      <c r="N388" s="1072">
        <f>SUMIF(Meal_entry_week_2!G$308:G$327,"Sauces_purees_dressings",Meal_entry_week_2!Q$308:Q$327)+SUMIF(Meal_entry_week_2!G$308:G$327,"Spices_seasonings",Meal_entry_week_2!Q$308:Q$327)</f>
        <v>0</v>
      </c>
      <c r="O388" s="1072">
        <f>SUMIF(Meal_entry_week_2!G$308:G$327,"Sweet_foods_cakes",Meal_entry_week_2!Q$308:Q$327)</f>
        <v>0</v>
      </c>
      <c r="P388" s="1072">
        <f>SUMIF(Meal_entry_week_2!G$308:G$327,"Bread_and_pastries",Meal_entry_week_2!Q$308:Q$327)+SUMIF(Meal_entry_week_2!G$308:G$327,"Savoury_pastries",Meal_entry_week_2!Q$308:Q$327)+SUMIF(Meal_entry_week_2!G$308:G$327,"Sweet_pastries",Meal_entry_week_2!Q$308:Q$327)</f>
        <v>0</v>
      </c>
      <c r="Q388" s="1072">
        <f>SUMIF(Meal_entry_week_2!G$308:G$327,"Other_processed_foods",Meal_entry_week_2!Q$308:Q$327)</f>
        <v>0</v>
      </c>
      <c r="R388" s="1072">
        <f>SUMIF(Meal_entry_week_2!G$308:G$327,"Zasladjena_piča_čajevi_kafa",Meal_entry_week_2!Q$308:Q$327)</f>
        <v>0</v>
      </c>
      <c r="S388" s="1072">
        <f>SUMIF(Meal_entry_week_2!G$308:G$327,"Fruit_juices_water",Meal_entry_week_2!Q$308:Q$327)</f>
        <v>0</v>
      </c>
      <c r="T388" s="1070">
        <f>550-SUM(D388:S388)</f>
        <v>550</v>
      </c>
      <c r="U388" s="965"/>
      <c r="V388" s="913"/>
      <c r="W388" s="913"/>
      <c r="X388" s="913"/>
      <c r="Y388" s="913"/>
      <c r="Z388" s="913"/>
      <c r="AA388" s="913"/>
      <c r="AB388" s="913"/>
      <c r="AC388" s="913"/>
      <c r="AD388" s="913"/>
      <c r="AE388" s="913"/>
      <c r="AF388" s="913"/>
      <c r="AG388" s="913"/>
    </row>
    <row r="389" spans="1:33">
      <c r="A389" s="911"/>
      <c r="B389" s="1074" t="s">
        <v>3068</v>
      </c>
      <c r="C389" s="945"/>
      <c r="D389" s="1075">
        <f>SUMIF(Meal_entry_week_2!G$407:G$426,"Vegetables_mushrooms_fresh_frozen",Meal_entry_week_2!Q$407:Q$426)</f>
        <v>0</v>
      </c>
      <c r="E389" s="1075">
        <f>SUMIF(Meal_entry_week_2!G$407:G$426,"Vegetables_processed",Meal_entry_week_2!Q$407:Q$426)</f>
        <v>0</v>
      </c>
      <c r="F389" s="1075">
        <f>SUMIF(Meal_entry_week_2!G$407:G$426,"Fruits_nuts_dried_fruit",Meal_entry_week_2!Q$407:Q$426)</f>
        <v>0</v>
      </c>
      <c r="G389" s="1075">
        <f>SUMIF(Meal_entry_week_2!G$407:G$426,"Meat_fresh_frozen",Meal_entry_week_2!Q$407:Q$426)</f>
        <v>0</v>
      </c>
      <c r="H389" s="1075">
        <f>SUMIF(Meal_entry_week_2!G$407:G$426,"Meat_processed",Meal_entry_week_2!Q$407:Q$426)</f>
        <v>0</v>
      </c>
      <c r="I389" s="1075">
        <f>SUMIF(Meal_entry_week_2!G$407:G$426,"Fish_fresh_frozen",Meal_entry_week_2!Q$407:Q$426)+SUMIF(Meal_entry_week_2!G$407:G$426,"Fish_processed_canned",Meal_entry_week_2!Q$407:Q$426)</f>
        <v>0</v>
      </c>
      <c r="J389" s="1075">
        <f>SUMIF(Meal_entry_week_2!G$407:G$426,"Eggs",Meal_entry_week_2!Q$407:Q$426)</f>
        <v>0</v>
      </c>
      <c r="K389" s="1075">
        <f>SUMIF(Meal_entry_week_2!G$407:G$426,"Dairy_products",Meal_entry_week_2!Q$407:Q$426)</f>
        <v>0</v>
      </c>
      <c r="L389" s="1075">
        <f>SUMIF(Meal_entry_week_2!G$407:G$426,"Oil_butter_margarine",Meal_entry_week_2!Q$407:Q$426)</f>
        <v>0</v>
      </c>
      <c r="M389" s="1075">
        <f>SUMIF(Meal_entry_week_2!G$407:G$426,"Flour_pasta_seeds_cereals",Meal_entry_week_2!Q$407:Q$426)</f>
        <v>0</v>
      </c>
      <c r="N389" s="1075">
        <f>SUMIF(Meal_entry_week_2!G$407:G$426,"Sauces_purees_dressings",Meal_entry_week_2!Q$407:Q$426)+SUMIF(Meal_entry_week_2!G$407:G$426,"Spices_seasonings",Meal_entry_week_2!Q$407:Q$426)</f>
        <v>0</v>
      </c>
      <c r="O389" s="1075">
        <f>SUMIF(Meal_entry_week_2!G$407:G$426,"Sweet_foods_cakes",Meal_entry_week_2!Q$407:Q$426)</f>
        <v>0</v>
      </c>
      <c r="P389" s="1075">
        <f>SUMIF(Meal_entry_week_2!G$407:G$426,"Bread_and_pastries",Meal_entry_week_2!Q$407:Q$426)+SUMIF(Meal_entry_week_2!G$407:G$426,"Savoury_pastries",Meal_entry_week_2!Q$407:Q$426)+SUMIF(Meal_entry_week_2!G$407:G$426,"Sweet_pastries",Meal_entry_week_2!Q$407:Q$426)</f>
        <v>0</v>
      </c>
      <c r="Q389" s="1075">
        <f>SUMIF(Meal_entry_week_2!G$407:G$426,"Other_processed_foods",Meal_entry_week_2!Q$407:Q$426)</f>
        <v>0</v>
      </c>
      <c r="R389" s="1075">
        <f>SUMIF(Meal_entry_week_2!G$407:G$426,"Zasladjena_piča_čajevi_kafa",Meal_entry_week_2!Q$407:Q$426)</f>
        <v>0</v>
      </c>
      <c r="S389" s="1075">
        <f>SUMIF(Meal_entry_week_2!G$407:G$426,"Fruit_juices_water",Meal_entry_week_2!Q$407:Q$426)</f>
        <v>0</v>
      </c>
      <c r="T389" s="1070">
        <f>550-SUM(D389:S389)</f>
        <v>550</v>
      </c>
      <c r="U389" s="965"/>
      <c r="V389" s="913"/>
      <c r="W389" s="913"/>
      <c r="X389" s="913"/>
      <c r="Y389" s="913"/>
      <c r="Z389" s="913"/>
      <c r="AA389" s="913"/>
      <c r="AB389" s="913"/>
      <c r="AC389" s="913"/>
      <c r="AD389" s="913"/>
      <c r="AE389" s="913"/>
      <c r="AF389" s="913"/>
      <c r="AG389" s="913"/>
    </row>
    <row r="390" spans="1:33">
      <c r="A390" s="911"/>
      <c r="B390" s="956" t="s">
        <v>2519</v>
      </c>
      <c r="C390" s="945"/>
      <c r="D390" s="913" t="s">
        <v>3140</v>
      </c>
      <c r="E390" s="913" t="s">
        <v>3069</v>
      </c>
      <c r="F390" s="913" t="s">
        <v>3077</v>
      </c>
      <c r="G390" s="913" t="s">
        <v>3073</v>
      </c>
      <c r="H390" s="913" t="s">
        <v>3070</v>
      </c>
      <c r="I390" s="913" t="s">
        <v>3575</v>
      </c>
      <c r="J390" s="913" t="s">
        <v>3072</v>
      </c>
      <c r="K390" s="913" t="s">
        <v>3085</v>
      </c>
      <c r="L390" s="913" t="s">
        <v>3075</v>
      </c>
      <c r="M390" s="913" t="s">
        <v>3141</v>
      </c>
      <c r="N390" s="913" t="s">
        <v>3550</v>
      </c>
      <c r="O390" s="913" t="s">
        <v>3078</v>
      </c>
      <c r="P390" s="913" t="s">
        <v>3551</v>
      </c>
      <c r="Q390" s="913" t="s">
        <v>3082</v>
      </c>
      <c r="R390" s="1067" t="s">
        <v>3083</v>
      </c>
      <c r="S390" s="913" t="s">
        <v>3084</v>
      </c>
      <c r="T390" s="1068"/>
      <c r="U390" s="965"/>
      <c r="V390" s="913"/>
      <c r="W390" s="913"/>
      <c r="X390" s="913"/>
      <c r="Y390" s="913"/>
      <c r="Z390" s="913"/>
      <c r="AA390" s="913"/>
      <c r="AB390" s="913"/>
      <c r="AC390" s="913"/>
      <c r="AD390" s="913"/>
      <c r="AE390" s="913"/>
      <c r="AF390" s="913"/>
      <c r="AG390" s="913"/>
    </row>
    <row r="391" spans="1:33">
      <c r="A391" s="911"/>
      <c r="B391" s="956" t="s">
        <v>3064</v>
      </c>
      <c r="C391" s="945"/>
      <c r="D391" s="1069">
        <f>SUMIF(Meal_entry_week_2!G$38:G$49,"Vegetables_mushrooms_fresh_frozen",Meal_entry_week_2!Q$38:Q$49)</f>
        <v>0</v>
      </c>
      <c r="E391" s="1069">
        <f>SUMIF(Meal_entry_week_2!G$38:G$49,"Vegetables_processed",Meal_entry_week_2!Q$38:Q$49)</f>
        <v>0</v>
      </c>
      <c r="F391" s="1069">
        <f>SUMIF(Meal_entry_week_2!G$38:G$49,"Fruits_nuts_dried_fruit",Meal_entry_week_2!Q$38:Q$49)</f>
        <v>0</v>
      </c>
      <c r="G391" s="1069">
        <f>SUMIF(Meal_entry_week_2!G$38:G$49,"Meat_fresh_frozen",Meal_entry_week_2!Q$38:Q$49)</f>
        <v>0</v>
      </c>
      <c r="H391" s="1069">
        <f>SUMIF(Meal_entry_week_2!G$38:G$49,"Meat_processed",Meal_entry_week_2!Q$38:Q$49)</f>
        <v>0</v>
      </c>
      <c r="I391" s="1069">
        <f>SUMIF(Meal_entry_week_2!G$38:G$49,"Fish_fresh_frozen",Meal_entry_week_2!Q$38:Q$49)+SUMIF(Meal_entry_week_2!G$38:G$49,"Fish_processed_canned",Meal_entry_week_2!Q$38:Q$49)</f>
        <v>0</v>
      </c>
      <c r="J391" s="1069">
        <f>SUMIF(Meal_entry_week_2!G$38:G$49,"Eggs",Meal_entry_week_2!Q$38:Q$49)</f>
        <v>8</v>
      </c>
      <c r="K391" s="1069">
        <f>SUMIF(Meal_entry_week_2!G$38:G$49,"Dairy_products",Meal_entry_week_2!Q$38:Q$49)</f>
        <v>106</v>
      </c>
      <c r="L391" s="1069">
        <f>SUMIF(Meal_entry_week_2!G$38:G$49,"Oil_butter_margarine",Meal_entry_week_2!Q$38:Q$49)</f>
        <v>16</v>
      </c>
      <c r="M391" s="1069">
        <f>SUMIF(Meal_entry_week_2!G$38:G$49,"Flour_pasta_seeds_cereals",Meal_entry_week_2!Q$38:Q$49)</f>
        <v>15</v>
      </c>
      <c r="N391" s="1069">
        <f>SUMIF(Meal_entry_week_2!G$38:G$49,"Sauces_purees_dressings",Meal_entry_week_2!Q$38:Q$49)+SUMIF(Meal_entry_week_2!G$38:G$49,"Spices_seasonings",Meal_entry_week_2!Q$38:Q$49)</f>
        <v>0</v>
      </c>
      <c r="O391" s="1069">
        <f>SUMIF(Meal_entry_week_2!G$38:G$49,"Sweet_foods_cakes",Meal_entry_week_2!Q$38:Q$49)</f>
        <v>0</v>
      </c>
      <c r="P391" s="1069">
        <f>SUMIF(Meal_entry_week_2!G$38:G$49,"Bread_and_pastries",Meal_entry_week_2!Q$38:Q$49)+SUMIF(Meal_entry_week_2!G$38:G$49,"Savoury_pastries",Meal_entry_week_2!Q$38:Q$49)+SUMIF(Meal_entry_week_2!G$38:G$49,"Sweet_pastries",Meal_entry_week_2!Q$38:Q$49)</f>
        <v>0</v>
      </c>
      <c r="Q391" s="1069">
        <f>SUMIF(Meal_entry_week_2!G$38:G$49,"Other_processed_foods",Meal_entry_week_2!Q$38:Q$49)</f>
        <v>0</v>
      </c>
      <c r="R391" s="1069">
        <f>SUMIF(Meal_entry_week_2!G$38:G$49,"Zasladjena_piča_čajevi_kafa",Meal_entry_week_2!Q$38:Q$49)</f>
        <v>0</v>
      </c>
      <c r="S391" s="1069">
        <f>SUMIF(Meal_entry_week_2!G$38:G$49,"Fruit_juices_water",Meal_entry_week_2!Q$38:Q$49)</f>
        <v>0</v>
      </c>
      <c r="T391" s="1070">
        <f>450-SUM(D391:S391)</f>
        <v>305</v>
      </c>
      <c r="U391" s="965"/>
      <c r="V391" s="913"/>
      <c r="W391" s="913"/>
      <c r="X391" s="913"/>
      <c r="Y391" s="913"/>
      <c r="Z391" s="913"/>
      <c r="AA391" s="913"/>
      <c r="AB391" s="913"/>
      <c r="AC391" s="913"/>
      <c r="AD391" s="913"/>
      <c r="AE391" s="913"/>
      <c r="AF391" s="913"/>
      <c r="AG391" s="913"/>
    </row>
    <row r="392" spans="1:33">
      <c r="A392" s="911"/>
      <c r="B392" s="956" t="s">
        <v>3065</v>
      </c>
      <c r="C392" s="945"/>
      <c r="D392" s="1069">
        <f>SUMIF(Meal_entry_week_2!G$137:G$148,"Vegetables_mushrooms_fresh_frozen",Meal_entry_week_2!Q$137:Q$148)</f>
        <v>0</v>
      </c>
      <c r="E392" s="1069">
        <f>SUMIF(Meal_entry_week_2!G$137:G$148,"Vegetables_processed",Meal_entry_week_2!Q$137:Q$148)</f>
        <v>0</v>
      </c>
      <c r="F392" s="1069">
        <f>SUMIF(Meal_entry_week_2!G$137:G$148,"Fruits_nuts_dried_fruit",Meal_entry_week_2!Q$137:Q$148)</f>
        <v>0</v>
      </c>
      <c r="G392" s="1069">
        <f>SUMIF(Meal_entry_week_2!G$137:G$148,"Meat_fresh_frozen",Meal_entry_week_2!Q$137:Q$148)</f>
        <v>0</v>
      </c>
      <c r="H392" s="1069">
        <f>SUMIF(Meal_entry_week_2!G$137:G$148,"Meat_processed",Meal_entry_week_2!Q$137:Q$148)</f>
        <v>0</v>
      </c>
      <c r="I392" s="1069">
        <f>SUMIF(Meal_entry_week_2!G$137:G$148,"Fish_fresh_frozen",Meal_entry_week_2!Q$137:Q$148)+SUMIF(Meal_entry_week_2!G$137:G$148,"Fish_processed_canned",Meal_entry_week_2!Q$137:Q$148)</f>
        <v>0</v>
      </c>
      <c r="J392" s="1069">
        <f>SUMIF(Meal_entry_week_2!G$137:G$148,"Eggs",Meal_entry_week_2!Q$137:Q$148)</f>
        <v>0</v>
      </c>
      <c r="K392" s="1069">
        <f>SUMIF(Meal_entry_week_2!G$137:G$148,"Dairy_products",Meal_entry_week_2!Q$137:Q$148)</f>
        <v>100</v>
      </c>
      <c r="L392" s="1069">
        <f>SUMIF(Meal_entry_week_2!G$137:G$148,"Oil_butter_margarine",Meal_entry_week_2!Q$137:Q$148)</f>
        <v>0</v>
      </c>
      <c r="M392" s="1069">
        <f>SUMIF(Meal_entry_week_2!G$137:G$148,"Flour_pasta_seeds_cereals",Meal_entry_week_2!Q$137:Q$148)</f>
        <v>0</v>
      </c>
      <c r="N392" s="1069">
        <f>SUMIF(Meal_entry_week_2!G$137:G$148,"Sauces_purees_dressings",Meal_entry_week_2!Q$137:Q$148)+SUMIF(Meal_entry_week_2!G$137:G$148,"Spices_seasonings",Meal_entry_week_2!Q$137:Q$148)</f>
        <v>0</v>
      </c>
      <c r="O392" s="1069">
        <f>SUMIF(Meal_entry_week_2!G$137:G$148,"Sweet_foods_cakes",Meal_entry_week_2!Q$137:Q$148)</f>
        <v>25</v>
      </c>
      <c r="P392" s="1069">
        <f>SUMIF(Meal_entry_week_2!G$137:G$148,"Bread_and_pastries",Meal_entry_week_2!Q$137:Q$148)+SUMIF(Meal_entry_week_2!G$137:G$148,"Savoury_pastries",Meal_entry_week_2!Q$137:Q$148)+SUMIF(Meal_entry_week_2!G$137:G$148,"Sweet_pastries",Meal_entry_week_2!Q$137:Q$148)</f>
        <v>60</v>
      </c>
      <c r="Q392" s="1069">
        <f>SUMIF(Meal_entry_week_2!G$137:G$148,"Other_processed_foods",Meal_entry_week_2!Q$137:Q$148)</f>
        <v>0</v>
      </c>
      <c r="R392" s="1069">
        <f>SUMIF(Meal_entry_week_2!G$137:G$148,"Zasladjena_piča_čajevi_kafa",Meal_entry_week_2!Q$137:Q$148)</f>
        <v>0</v>
      </c>
      <c r="S392" s="1069">
        <f>SUMIF(Meal_entry_week_2!G$137:G$148,"Fruit_juices_water",Meal_entry_week_2!Q$137:Q$148)</f>
        <v>0</v>
      </c>
      <c r="T392" s="1070">
        <f>450-SUM(D392:S392)</f>
        <v>265</v>
      </c>
      <c r="U392" s="965"/>
      <c r="V392" s="913"/>
      <c r="W392" s="913"/>
      <c r="X392" s="913"/>
      <c r="Y392" s="913"/>
      <c r="Z392" s="913"/>
      <c r="AA392" s="913"/>
      <c r="AB392" s="913"/>
      <c r="AC392" s="913"/>
      <c r="AD392" s="913"/>
      <c r="AE392" s="913"/>
      <c r="AF392" s="913"/>
      <c r="AG392" s="913"/>
    </row>
    <row r="393" spans="1:33">
      <c r="A393" s="911"/>
      <c r="B393" s="956" t="s">
        <v>3940</v>
      </c>
      <c r="C393" s="945"/>
      <c r="D393" s="1069">
        <f>SUMIF(Meal_entry_week_2!G$236:G$247,"Vegetables_mushrooms_fresh_frozen",Meal_entry_week_2!Q$236:Q$247)</f>
        <v>0</v>
      </c>
      <c r="E393" s="1069">
        <f>SUMIF(Meal_entry_week_2!G$236:G$247,"Vegetables_processed",Meal_entry_week_2!Q$236:Q$247)</f>
        <v>0</v>
      </c>
      <c r="F393" s="1069">
        <f>SUMIF(Meal_entry_week_2!G$236:G$247,"Fruits_nuts_dried_fruit",Meal_entry_week_2!Q$236:Q$247)</f>
        <v>0</v>
      </c>
      <c r="G393" s="1069">
        <f>SUMIF(Meal_entry_week_2!G$236:G$247,"Meat_fresh_frozen",Meal_entry_week_2!Q$236:Q$247)</f>
        <v>0</v>
      </c>
      <c r="H393" s="1069">
        <f>SUMIF(Meal_entry_week_2!G$236:G$247,"Meat_processed",Meal_entry_week_2!Q$236:Q$247)</f>
        <v>20</v>
      </c>
      <c r="I393" s="1069">
        <f>SUMIF(Meal_entry_week_2!G$236:G$247,"Fish_fresh_frozen",Meal_entry_week_2!Q$236:Q$247)+SUMIF(Meal_entry_week_2!G$236:G$247,"Fish_processed_canned",Meal_entry_week_2!Q$236:Q$247)</f>
        <v>0</v>
      </c>
      <c r="J393" s="1069">
        <f>SUMIF(Meal_entry_week_2!G$236:G$247,"Eggs",Meal_entry_week_2!Q$236:Q$247)</f>
        <v>0</v>
      </c>
      <c r="K393" s="1069">
        <f>SUMIF(Meal_entry_week_2!G$236:G$247,"Dairy_products",Meal_entry_week_2!Q$236:Q$247)</f>
        <v>20</v>
      </c>
      <c r="L393" s="1069">
        <f>SUMIF(Meal_entry_week_2!G$236:G$247,"Oil_butter_margarine",Meal_entry_week_2!Q$236:Q$247)</f>
        <v>0</v>
      </c>
      <c r="M393" s="1069">
        <f>SUMIF(Meal_entry_week_2!G$236:G$247,"Flour_pasta_seeds_cereals",Meal_entry_week_2!Q$236:Q$247)</f>
        <v>0</v>
      </c>
      <c r="N393" s="1069">
        <f>SUMIF(Meal_entry_week_2!G$236:G$247,"Sauces_purees_dressings",Meal_entry_week_2!Q$236:Q$247)+SUMIF(Meal_entry_week_2!G$236:G$247,"Spices_seasonings",Meal_entry_week_2!Q$236:Q$247)</f>
        <v>20</v>
      </c>
      <c r="O393" s="1069">
        <f>SUMIF(Meal_entry_week_2!G$236:G$247,"Sweet_foods_cakes",Meal_entry_week_2!Q$236:Q$247)</f>
        <v>0</v>
      </c>
      <c r="P393" s="1069">
        <f>SUMIF(Meal_entry_week_2!G$236:G$247,"Bread_and_pastries",Meal_entry_week_2!Q$236:Q$247)+SUMIF(Meal_entry_week_2!G$236:G$247,"Savoury_pastries",Meal_entry_week_2!Q$236:Q$247)+SUMIF(Meal_entry_week_2!G$236:G$247,"Sweet_pastries",Meal_entry_week_2!Q$236:Q$247)</f>
        <v>50</v>
      </c>
      <c r="Q393" s="1069">
        <f>SUMIF(Meal_entry_week_2!G$236:G$247,"Other_processed_foods",Meal_entry_week_2!Q$236:Q$247)</f>
        <v>0</v>
      </c>
      <c r="R393" s="1069">
        <f>SUMIF(Meal_entry_week_2!G$236:G$247,"Zasladjena_piča_čajevi_kafa",Meal_entry_week_2!Q$236:Q$247)</f>
        <v>0</v>
      </c>
      <c r="S393" s="1069">
        <f>SUMIF(Meal_entry_week_2!G$236:G$247,"Fruit_juices_water",Meal_entry_week_2!Q$236:Q$247)</f>
        <v>0</v>
      </c>
      <c r="T393" s="1070">
        <f>450-SUM(D393:S393)</f>
        <v>340</v>
      </c>
      <c r="U393" s="965"/>
      <c r="V393" s="913"/>
      <c r="W393" s="913"/>
      <c r="X393" s="913"/>
      <c r="Y393" s="913"/>
      <c r="Z393" s="913"/>
      <c r="AA393" s="913"/>
      <c r="AB393" s="913"/>
      <c r="AC393" s="913"/>
      <c r="AD393" s="913"/>
      <c r="AE393" s="913"/>
      <c r="AF393" s="913"/>
      <c r="AG393" s="913"/>
    </row>
    <row r="394" spans="1:33">
      <c r="A394" s="911"/>
      <c r="B394" s="956" t="s">
        <v>3067</v>
      </c>
      <c r="C394" s="945"/>
      <c r="D394" s="1069">
        <f>SUMIF(Meal_entry_week_2!G$335:G$346,"Vegetables_mushrooms_fresh_frozen",Meal_entry_week_2!Q$335:Q$346)</f>
        <v>0</v>
      </c>
      <c r="E394" s="1069">
        <f>SUMIF(Meal_entry_week_2!G$335:G$346,"Vegetables_processed",Meal_entry_week_2!Q$335:Q$346)</f>
        <v>0</v>
      </c>
      <c r="F394" s="1069">
        <f>SUMIF(Meal_entry_week_2!G$335:G$346,"Fruits_nuts_dried_fruit",Meal_entry_week_2!Q$335:Q$346)</f>
        <v>0</v>
      </c>
      <c r="G394" s="1069">
        <f>SUMIF(Meal_entry_week_2!G$335:G$346,"Meat_fresh_frozen",Meal_entry_week_2!Q$335:Q$346)</f>
        <v>0</v>
      </c>
      <c r="H394" s="1069">
        <f>SUMIF(Meal_entry_week_2!G$335:G$346,"Meat_processed",Meal_entry_week_2!Q$335:Q$346)</f>
        <v>0</v>
      </c>
      <c r="I394" s="1069">
        <f>SUMIF(Meal_entry_week_2!G$335:G$346,"Fish_fresh_frozen",Meal_entry_week_2!Q$335:Q$346)+SUMIF(Meal_entry_week_2!G$335:G$346,"Fish_processed_canned",Meal_entry_week_2!Q$335:Q$346)</f>
        <v>0</v>
      </c>
      <c r="J394" s="1069">
        <f>SUMIF(Meal_entry_week_2!G$335:G$346,"Eggs",Meal_entry_week_2!Q$335:Q$346)</f>
        <v>0</v>
      </c>
      <c r="K394" s="1069">
        <f>SUMIF(Meal_entry_week_2!G$335:G$346,"Dairy_products",Meal_entry_week_2!Q$335:Q$346)</f>
        <v>100</v>
      </c>
      <c r="L394" s="1069">
        <f>SUMIF(Meal_entry_week_2!G$335:G$346,"Oil_butter_margarine",Meal_entry_week_2!Q$335:Q$346)</f>
        <v>0</v>
      </c>
      <c r="M394" s="1069">
        <f>SUMIF(Meal_entry_week_2!G$335:G$346,"Flour_pasta_seeds_cereals",Meal_entry_week_2!Q$335:Q$346)</f>
        <v>0</v>
      </c>
      <c r="N394" s="1069">
        <f>SUMIF(Meal_entry_week_2!G$335:G$346,"Sauces_purees_dressings",Meal_entry_week_2!Q$335:Q$346)+SUMIF(Meal_entry_week_2!G$335:G$346,"Spices_seasonings",Meal_entry_week_2!Q$335:Q$346)</f>
        <v>0</v>
      </c>
      <c r="O394" s="1069">
        <f>SUMIF(Meal_entry_week_2!G$335:G$346,"Sweet_foods_cakes",Meal_entry_week_2!Q$335:Q$346)</f>
        <v>0</v>
      </c>
      <c r="P394" s="1069">
        <f>SUMIF(Meal_entry_week_2!G$335:G$346,"Bread_and_pastries",Meal_entry_week_2!Q$335:Q$346)+SUMIF(Meal_entry_week_2!G$335:G$346,"Savoury_pastries",Meal_entry_week_2!Q$335:Q$346)+SUMIF(Meal_entry_week_2!G$335:G$346,"Sweet_pastries",Meal_entry_week_2!Q$335:Q$346)</f>
        <v>70</v>
      </c>
      <c r="Q394" s="1069">
        <f>SUMIF(Meal_entry_week_2!G$335:G$346,"Other_processed_foods",Meal_entry_week_2!Q$335:Q$346)</f>
        <v>0</v>
      </c>
      <c r="R394" s="1069">
        <f>SUMIF(Meal_entry_week_2!G$335:G$346,"Zasladjena_piča_čajevi_kafa",Meal_entry_week_2!Q$335:Q$346)</f>
        <v>0</v>
      </c>
      <c r="S394" s="1069">
        <f>SUMIF(Meal_entry_week_2!G$335:G$346,"Fruit_juices_water",Meal_entry_week_2!Q$335:Q$346)</f>
        <v>0</v>
      </c>
      <c r="T394" s="1070">
        <f>450-SUM(D394:S394)</f>
        <v>280</v>
      </c>
      <c r="U394" s="965"/>
      <c r="V394" s="913"/>
      <c r="W394" s="913"/>
      <c r="X394" s="913"/>
      <c r="Y394" s="913"/>
      <c r="Z394" s="913"/>
      <c r="AA394" s="913"/>
      <c r="AB394" s="913"/>
      <c r="AC394" s="913"/>
      <c r="AD394" s="913"/>
      <c r="AE394" s="913"/>
      <c r="AF394" s="913"/>
      <c r="AG394" s="913"/>
    </row>
    <row r="395" spans="1:33">
      <c r="A395" s="911"/>
      <c r="B395" s="1074" t="s">
        <v>3068</v>
      </c>
      <c r="C395" s="945"/>
      <c r="D395" s="1075">
        <f>SUMIF(Meal_entry_week_2!G$434:G$445,"Vegetables_mushrooms_fresh_frozen",Meal_entry_week_2!Q$434:Q$445)</f>
        <v>0</v>
      </c>
      <c r="E395" s="1075">
        <f>SUMIF(Meal_entry_week_2!G$434:G$445,"Vegetables_processed",Meal_entry_week_2!Q$434:Q$445)</f>
        <v>0</v>
      </c>
      <c r="F395" s="1075">
        <f>SUMIF(Meal_entry_week_2!G$434:G$445,"Fruits_nuts_dried_fruit",Meal_entry_week_2!Q$434:Q$445)</f>
        <v>0</v>
      </c>
      <c r="G395" s="1075">
        <f>SUMIF(Meal_entry_week_2!G$434:G$445,"Meat_fresh_frozen",Meal_entry_week_2!Q$434:Q$445)</f>
        <v>0</v>
      </c>
      <c r="H395" s="1075">
        <f>SUMIF(Meal_entry_week_2!G$434:G$445,"Meat_processed",Meal_entry_week_2!Q$434:Q$445)</f>
        <v>0</v>
      </c>
      <c r="I395" s="1075">
        <f>SUMIF(Meal_entry_week_2!G$434:G$445,"Fish_fresh_frozen",Meal_entry_week_2!Q$434:Q$445)+SUMIF(Meal_entry_week_2!G$434:G$445,"Fish_processed_canned",Meal_entry_week_2!Q$434:Q$445)</f>
        <v>0</v>
      </c>
      <c r="J395" s="1075">
        <f>SUMIF(Meal_entry_week_2!G$434:G$445,"Eggs",Meal_entry_week_2!Q$434:Q$445)</f>
        <v>2.2999999999999998</v>
      </c>
      <c r="K395" s="1075">
        <f>SUMIF(Meal_entry_week_2!G$434:G$445,"Dairy_products",Meal_entry_week_2!Q$434:Q$445)</f>
        <v>16</v>
      </c>
      <c r="L395" s="1075">
        <f>SUMIF(Meal_entry_week_2!G$434:G$445,"Oil_butter_margarine",Meal_entry_week_2!Q$434:Q$445)</f>
        <v>31</v>
      </c>
      <c r="M395" s="1075">
        <f>SUMIF(Meal_entry_week_2!G$434:G$445,"Flour_pasta_seeds_cereals",Meal_entry_week_2!Q$434:Q$445)</f>
        <v>47</v>
      </c>
      <c r="N395" s="1075">
        <f>SUMIF(Meal_entry_week_2!G$434:G$445,"Sauces_purees_dressings",Meal_entry_week_2!Q$434:Q$445)+SUMIF(Meal_entry_week_2!G$434:G$445,"Spices_seasonings",Meal_entry_week_2!Q$434:Q$445)</f>
        <v>2.2999999999999998</v>
      </c>
      <c r="O395" s="1075">
        <f>SUMIF(Meal_entry_week_2!G$434:G$445,"Sweet_foods_cakes",Meal_entry_week_2!Q$434:Q$445)</f>
        <v>13</v>
      </c>
      <c r="P395" s="1075">
        <f>SUMIF(Meal_entry_week_2!G$434:G$445,"Bread_and_pastries",Meal_entry_week_2!Q$434:Q$445)+SUMIF(Meal_entry_week_2!G$434:G$445,"Savoury_pastries",Meal_entry_week_2!Q$434:Q$445)+SUMIF(Meal_entry_week_2!G$434:G$445,"Sweet_pastries",Meal_entry_week_2!Q$434:Q$445)</f>
        <v>0</v>
      </c>
      <c r="Q395" s="1075">
        <f>SUMIF(Meal_entry_week_2!G$434:G$445,"Other_processed_foods",Meal_entry_week_2!Q$434:Q$445)</f>
        <v>0</v>
      </c>
      <c r="R395" s="1075">
        <f>SUMIF(Meal_entry_week_2!G$434:G$445,"Zasladjena_piča_čajevi_kafa",Meal_entry_week_2!Q$434:Q$445)</f>
        <v>0</v>
      </c>
      <c r="S395" s="1075">
        <f>SUMIF(Meal_entry_week_2!G$434:G$445,"Fruit_juices_water",Meal_entry_week_2!Q$434:Q$445)</f>
        <v>0</v>
      </c>
      <c r="T395" s="1070">
        <f>450-SUM(D395:S395)</f>
        <v>338.4</v>
      </c>
      <c r="U395" s="965"/>
      <c r="V395" s="913"/>
      <c r="W395" s="913"/>
      <c r="X395" s="913"/>
      <c r="Y395" s="913"/>
      <c r="Z395" s="913"/>
      <c r="AA395" s="913"/>
      <c r="AB395" s="913"/>
      <c r="AC395" s="913"/>
      <c r="AD395" s="913"/>
      <c r="AE395" s="913"/>
      <c r="AF395" s="913"/>
      <c r="AG395" s="913"/>
    </row>
    <row r="396" spans="1:33">
      <c r="A396" s="911"/>
      <c r="B396" s="956" t="s">
        <v>3964</v>
      </c>
      <c r="C396" s="945"/>
      <c r="D396" s="913" t="s">
        <v>3140</v>
      </c>
      <c r="E396" s="913" t="s">
        <v>3069</v>
      </c>
      <c r="F396" s="913" t="s">
        <v>3077</v>
      </c>
      <c r="G396" s="913" t="s">
        <v>3073</v>
      </c>
      <c r="H396" s="913" t="s">
        <v>3070</v>
      </c>
      <c r="I396" s="913" t="s">
        <v>3575</v>
      </c>
      <c r="J396" s="913" t="s">
        <v>3072</v>
      </c>
      <c r="K396" s="913" t="s">
        <v>3085</v>
      </c>
      <c r="L396" s="913" t="s">
        <v>3075</v>
      </c>
      <c r="M396" s="913" t="s">
        <v>3141</v>
      </c>
      <c r="N396" s="913" t="s">
        <v>3550</v>
      </c>
      <c r="O396" s="913" t="s">
        <v>3078</v>
      </c>
      <c r="P396" s="913" t="s">
        <v>3551</v>
      </c>
      <c r="Q396" s="913" t="s">
        <v>3082</v>
      </c>
      <c r="R396" s="1067" t="s">
        <v>3083</v>
      </c>
      <c r="S396" s="913" t="s">
        <v>3084</v>
      </c>
      <c r="T396" s="1068"/>
      <c r="U396" s="965"/>
      <c r="V396" s="913"/>
      <c r="W396" s="913"/>
      <c r="X396" s="913"/>
      <c r="Y396" s="913"/>
      <c r="Z396" s="913"/>
      <c r="AA396" s="913"/>
      <c r="AB396" s="913"/>
      <c r="AC396" s="913"/>
      <c r="AD396" s="913"/>
      <c r="AE396" s="913"/>
      <c r="AF396" s="913"/>
      <c r="AG396" s="913"/>
    </row>
    <row r="397" spans="1:33">
      <c r="A397" s="911"/>
      <c r="B397" s="956" t="s">
        <v>3064</v>
      </c>
      <c r="C397" s="945"/>
      <c r="D397" s="1069">
        <f>SUMIF(Meal_entry_week_2!G$57:G$81,"Vegetables_mushrooms_fresh_frozen",Meal_entry_week_2!Q$57:Q$81)</f>
        <v>260</v>
      </c>
      <c r="E397" s="1069">
        <f>SUMIF(Meal_entry_week_2!G$57:G$81,"Vegetables_processed",Meal_entry_week_2!Q$57:Q$81)</f>
        <v>0</v>
      </c>
      <c r="F397" s="1069">
        <f>SUMIF(Meal_entry_week_2!G$57:G$81,"Fruits_nuts_dried_fruit",Meal_entry_week_2!Q$57:Q$81)</f>
        <v>120</v>
      </c>
      <c r="G397" s="1069">
        <f>SUMIF(Meal_entry_week_2!G$57:G$81,"Meat_fresh_frozen",Meal_entry_week_2!Q$57:Q$81)</f>
        <v>50</v>
      </c>
      <c r="H397" s="1069">
        <f>SUMIF(Meal_entry_week_2!G$57:G$81,"Meat_processed",Meal_entry_week_2!Q$57:Q$81)</f>
        <v>0</v>
      </c>
      <c r="I397" s="1069">
        <f>SUMIF(Meal_entry_week_2!G$57:G$81,"Fish_fresh_frozen",Meal_entry_week_2!Q$57:Q$81)+SUMIF(Meal_entry_week_2!G$57:G$81,"Fish_processed_canned",Meal_entry_week_2!Q$57:Q$81)</f>
        <v>0</v>
      </c>
      <c r="J397" s="1069">
        <f>SUMIF(Meal_entry_week_2!G$57:G$81,"Eggs",Meal_entry_week_2!Q$57:Q$81)</f>
        <v>20</v>
      </c>
      <c r="K397" s="1069">
        <f>SUMIF(Meal_entry_week_2!G$57:G$81,"Dairy_products",Meal_entry_week_2!Q$57:Q$81)</f>
        <v>50</v>
      </c>
      <c r="L397" s="1069">
        <f>SUMIF(Meal_entry_week_2!G$57:G$81,"Oil_butter_margarine",Meal_entry_week_2!Q$57:Q$81)</f>
        <v>34</v>
      </c>
      <c r="M397" s="1069">
        <f>SUMIF(Meal_entry_week_2!G$57:G$81,"Flour_pasta_seeds_cereals",Meal_entry_week_2!Q$57:Q$81)</f>
        <v>10</v>
      </c>
      <c r="N397" s="1069">
        <f>SUMIF(Meal_entry_week_2!G$57:G$81,"Sauces_purees_dressings",Meal_entry_week_2!Q$57:Q$81)+SUMIF(Meal_entry_week_2!G$57:G$81,"Spices_seasonings",Meal_entry_week_2!Q$57:Q$81)</f>
        <v>24.6</v>
      </c>
      <c r="O397" s="1069">
        <f>SUMIF(Meal_entry_week_2!G$57:G$81,"Sweet_foods_cakes",Meal_entry_week_2!Q$57:Q$81)</f>
        <v>0</v>
      </c>
      <c r="P397" s="1069">
        <f>SUMIF(Meal_entry_week_2!G$57:G$81,"Bread_and_pastries",Meal_entry_week_2!Q$57:Q$81)+SUMIF(Meal_entry_week_2!G$57:G$81,"Savoury_pastries",Meal_entry_week_2!Q$57:Q$81)+SUMIF(Meal_entry_week_2!G$57:G$81,"Sweet_pastries",Meal_entry_week_2!Q$57:Q$81)</f>
        <v>50</v>
      </c>
      <c r="Q397" s="1069">
        <f>SUMIF(Meal_entry_week_2!G$57:G$81,"Other_processed_foods",Meal_entry_week_2!Q$57:Q$81)</f>
        <v>0</v>
      </c>
      <c r="R397" s="1069">
        <f>SUMIF(Meal_entry_week_2!G$57:G$81,"Zasladjena_piča_čajevi_kafa",Meal_entry_week_2!Q$57:Q$81)</f>
        <v>0</v>
      </c>
      <c r="S397" s="1069">
        <f>SUMIF(Meal_entry_week_2!G$57:G$81,"Fruit_juices_water",Meal_entry_week_2!Q$57:Q$81)</f>
        <v>0</v>
      </c>
      <c r="T397" s="1070">
        <f>920-SUM(D397:S397)</f>
        <v>301.39999999999998</v>
      </c>
      <c r="U397" s="965"/>
      <c r="V397" s="913"/>
      <c r="W397" s="913"/>
      <c r="X397" s="913"/>
      <c r="Y397" s="913"/>
      <c r="Z397" s="913"/>
      <c r="AA397" s="913"/>
      <c r="AB397" s="913"/>
      <c r="AC397" s="913"/>
      <c r="AD397" s="913"/>
      <c r="AE397" s="913"/>
      <c r="AF397" s="913"/>
      <c r="AG397" s="913"/>
    </row>
    <row r="398" spans="1:33">
      <c r="A398" s="911"/>
      <c r="B398" s="956" t="s">
        <v>3065</v>
      </c>
      <c r="C398" s="945"/>
      <c r="D398" s="1069">
        <f>SUMIF(Meal_entry_week_2!G$156:G$180,"Vegetables_mushrooms_fresh_frozen",Meal_entry_week_2!Q$156:Q$180)</f>
        <v>140</v>
      </c>
      <c r="E398" s="1069">
        <f>SUMIF(Meal_entry_week_2!G$156:G$180,"Vegetables_processed",Meal_entry_week_2!Q$156:Q$180)</f>
        <v>60</v>
      </c>
      <c r="F398" s="1069">
        <f>SUMIF(Meal_entry_week_2!G$156:G$180,"Fruits_nuts_dried_fruit",Meal_entry_week_2!Q$156:Q$180)</f>
        <v>150</v>
      </c>
      <c r="G398" s="1069">
        <f>SUMIF(Meal_entry_week_2!G$156:G$180,"Meat_fresh_frozen",Meal_entry_week_2!Q$156:Q$180)</f>
        <v>0</v>
      </c>
      <c r="H398" s="1069">
        <f>SUMIF(Meal_entry_week_2!G$156:G$180,"Meat_processed",Meal_entry_week_2!Q$156:Q$180)</f>
        <v>0</v>
      </c>
      <c r="I398" s="1069">
        <f>SUMIF(Meal_entry_week_2!G$156:G$180,"Fish_fresh_frozen",Meal_entry_week_2!Q$156:Q$180)+SUMIF(Meal_entry_week_2!G$156:G$180,"Fish_processed_canned",Meal_entry_week_2!Q$156:Q$180)</f>
        <v>0</v>
      </c>
      <c r="J398" s="1069">
        <f>SUMIF(Meal_entry_week_2!G$156:G$180,"Eggs",Meal_entry_week_2!Q$156:Q$180)</f>
        <v>0</v>
      </c>
      <c r="K398" s="1069">
        <f>SUMIF(Meal_entry_week_2!G$156:G$180,"Dairy_products",Meal_entry_week_2!Q$156:Q$180)</f>
        <v>25</v>
      </c>
      <c r="L398" s="1069">
        <f>SUMIF(Meal_entry_week_2!G$156:G$180,"Oil_butter_margarine",Meal_entry_week_2!Q$156:Q$180)</f>
        <v>5</v>
      </c>
      <c r="M398" s="1069">
        <f>SUMIF(Meal_entry_week_2!G$156:G$180,"Flour_pasta_seeds_cereals",Meal_entry_week_2!Q$156:Q$180)</f>
        <v>120</v>
      </c>
      <c r="N398" s="1069">
        <f>SUMIF(Meal_entry_week_2!G$156:G$180,"Sauces_purees_dressings",Meal_entry_week_2!Q$156:Q$180)+SUMIF(Meal_entry_week_2!G$156:G$180,"Spices_seasonings",Meal_entry_week_2!Q$156:Q$180)</f>
        <v>0.4</v>
      </c>
      <c r="O398" s="1069">
        <f>SUMIF(Meal_entry_week_2!G$156:G$180,"Sweet_foods_cakes",Meal_entry_week_2!Q$156:Q$180)</f>
        <v>0</v>
      </c>
      <c r="P398" s="1069">
        <f>SUMIF(Meal_entry_week_2!G$156:G$180,"Bread_and_pastries",Meal_entry_week_2!Q$156:Q$180)+SUMIF(Meal_entry_week_2!G$156:G$180,"Savoury_pastries",Meal_entry_week_2!Q$156:Q$180)+SUMIF(Meal_entry_week_2!G$156:G$180,"Sweet_pastries",Meal_entry_week_2!Q$156:Q$180)</f>
        <v>75</v>
      </c>
      <c r="Q398" s="1069">
        <f>SUMIF(Meal_entry_week_2!G$156:G$180,"Other_processed_foods",Meal_entry_week_2!Q$156:Q$180)</f>
        <v>0</v>
      </c>
      <c r="R398" s="1069">
        <f>SUMIF(Meal_entry_week_2!G$156:G$180,"Zasladjena_piča_čajevi_kafa",Meal_entry_week_2!Q$156:Q$180)</f>
        <v>0</v>
      </c>
      <c r="S398" s="1069">
        <f>SUMIF(Meal_entry_week_2!G$156:G$180,"Fruit_juices_water",Meal_entry_week_2!Q$156:Q$180)</f>
        <v>0</v>
      </c>
      <c r="T398" s="1070">
        <f>920-SUM(D398:S398)</f>
        <v>344.6</v>
      </c>
      <c r="U398" s="965"/>
      <c r="V398" s="913"/>
      <c r="W398" s="913"/>
      <c r="X398" s="913"/>
      <c r="Y398" s="913"/>
      <c r="Z398" s="913"/>
      <c r="AA398" s="913"/>
      <c r="AB398" s="913"/>
      <c r="AC398" s="913"/>
      <c r="AD398" s="913"/>
      <c r="AE398" s="913"/>
      <c r="AF398" s="913"/>
      <c r="AG398" s="913"/>
    </row>
    <row r="399" spans="1:33">
      <c r="A399" s="911"/>
      <c r="B399" s="956" t="s">
        <v>3940</v>
      </c>
      <c r="C399" s="945"/>
      <c r="D399" s="1069">
        <f>SUMIF(Meal_entry_week_2!G$255:G$279,"Vegetables_mushrooms_fresh_frozen",Meal_entry_week_2!Q$255:Q$279)</f>
        <v>182</v>
      </c>
      <c r="E399" s="1069">
        <f>SUMIF(Meal_entry_week_2!G$255:G$279,"Vegetables_processed",Meal_entry_week_2!Q$255:Q$279)</f>
        <v>0</v>
      </c>
      <c r="F399" s="1069">
        <f>SUMIF(Meal_entry_week_2!G$255:G$279,"Fruits_nuts_dried_fruit",Meal_entry_week_2!Q$255:Q$279)</f>
        <v>50</v>
      </c>
      <c r="G399" s="1069">
        <f>SUMIF(Meal_entry_week_2!G$255:G$279,"Meat_fresh_frozen",Meal_entry_week_2!Q$255:Q$279)</f>
        <v>0</v>
      </c>
      <c r="H399" s="1069">
        <f>SUMIF(Meal_entry_week_2!G$255:G$279,"Meat_processed",Meal_entry_week_2!Q$255:Q$279)</f>
        <v>30</v>
      </c>
      <c r="I399" s="1069">
        <f>SUMIF(Meal_entry_week_2!G$255:G$279,"Fish_fresh_frozen",Meal_entry_week_2!Q$255:Q$279)+SUMIF(Meal_entry_week_2!G$255:G$279,"Fish_processed_canned",Meal_entry_week_2!Q$255:Q$279)</f>
        <v>0</v>
      </c>
      <c r="J399" s="1069">
        <f>SUMIF(Meal_entry_week_2!G$255:G$279,"Eggs",Meal_entry_week_2!Q$255:Q$279)</f>
        <v>5</v>
      </c>
      <c r="K399" s="1069">
        <f>SUMIF(Meal_entry_week_2!G$255:G$279,"Dairy_products",Meal_entry_week_2!Q$255:Q$279)</f>
        <v>8</v>
      </c>
      <c r="L399" s="1069">
        <f>SUMIF(Meal_entry_week_2!G$255:G$279,"Oil_butter_margarine",Meal_entry_week_2!Q$255:Q$279)</f>
        <v>19.8</v>
      </c>
      <c r="M399" s="1069">
        <f>SUMIF(Meal_entry_week_2!G$255:G$279,"Flour_pasta_seeds_cereals",Meal_entry_week_2!Q$255:Q$279)</f>
        <v>18</v>
      </c>
      <c r="N399" s="1069">
        <f>SUMIF(Meal_entry_week_2!G$255:G$279,"Sauces_purees_dressings",Meal_entry_week_2!Q$255:Q$279)+SUMIF(Meal_entry_week_2!G$255:G$279,"Spices_seasonings",Meal_entry_week_2!Q$255:Q$279)</f>
        <v>6.83</v>
      </c>
      <c r="O399" s="1069">
        <f>SUMIF(Meal_entry_week_2!G$255:G$279,"Sweet_foods_cakes",Meal_entry_week_2!Q$255:Q$279)</f>
        <v>15.6</v>
      </c>
      <c r="P399" s="1069">
        <f>SUMIF(Meal_entry_week_2!G$255:G$279,"Bread_and_pastries",Meal_entry_week_2!Q$255:Q$279)+SUMIF(Meal_entry_week_2!G$255:G$279,"Savoury_pastries",Meal_entry_week_2!Q$255:Q$279)+SUMIF(Meal_entry_week_2!G$255:G$279,"Sweet_pastries",Meal_entry_week_2!Q$255:Q$279)</f>
        <v>80</v>
      </c>
      <c r="Q399" s="1069">
        <f>SUMIF(Meal_entry_week_2!G$255:G$279,"Other_processed_foods",Meal_entry_week_2!Q$255:Q$279)</f>
        <v>0</v>
      </c>
      <c r="R399" s="1069">
        <f>SUMIF(Meal_entry_week_2!G$255:G$279,"Zasladjena_piča_čajevi_kafa",Meal_entry_week_2!Q$255:Q$279)</f>
        <v>0</v>
      </c>
      <c r="S399" s="1069">
        <f>SUMIF(Meal_entry_week_2!G$255:G$279,"Fruit_juices_water",Meal_entry_week_2!Q$255:Q$279)</f>
        <v>0</v>
      </c>
      <c r="T399" s="1070">
        <f>920-SUM(D399:S399)</f>
        <v>504.77</v>
      </c>
      <c r="U399" s="965"/>
      <c r="V399" s="913"/>
      <c r="W399" s="913"/>
      <c r="X399" s="913"/>
      <c r="Y399" s="913"/>
      <c r="Z399" s="913"/>
      <c r="AA399" s="913"/>
      <c r="AB399" s="913"/>
      <c r="AC399" s="913"/>
      <c r="AD399" s="913"/>
      <c r="AE399" s="913"/>
      <c r="AF399" s="913"/>
      <c r="AG399" s="913"/>
    </row>
    <row r="400" spans="1:33">
      <c r="A400" s="911"/>
      <c r="B400" s="956" t="s">
        <v>3067</v>
      </c>
      <c r="C400" s="945"/>
      <c r="D400" s="1069">
        <f>SUMIF(Meal_entry_week_2!G$354:G$378,"Vegetables_mushrooms_fresh_frozen",Meal_entry_week_2!Q$354:Q$378)</f>
        <v>265.5</v>
      </c>
      <c r="E400" s="1069">
        <f>SUMIF(Meal_entry_week_2!G$354:G$378,"Vegetables_processed",Meal_entry_week_2!Q$354:Q$378)</f>
        <v>0</v>
      </c>
      <c r="F400" s="1069">
        <f>SUMIF(Meal_entry_week_2!G$354:G$378,"Fruits_nuts_dried_fruit",Meal_entry_week_2!Q$354:Q$378)</f>
        <v>150</v>
      </c>
      <c r="G400" s="1069">
        <f>SUMIF(Meal_entry_week_2!G$354:G$378,"Meat_fresh_frozen",Meal_entry_week_2!Q$354:Q$378)</f>
        <v>50</v>
      </c>
      <c r="H400" s="1069">
        <f>SUMIF(Meal_entry_week_2!G$354:G$378,"Meat_processed",Meal_entry_week_2!Q$354:Q$378)</f>
        <v>0</v>
      </c>
      <c r="I400" s="1069">
        <f>SUMIF(Meal_entry_week_2!G$354:G$378,"Fish_fresh_frozen",Meal_entry_week_2!Q$354:Q$378)+SUMIF(Meal_entry_week_2!G$354:G$378,"Fish_processed_canned",Meal_entry_week_2!Q$354:Q$378)</f>
        <v>0</v>
      </c>
      <c r="J400" s="1069">
        <f>SUMIF(Meal_entry_week_2!G$354:G$378,"Eggs",Meal_entry_week_2!Q$354:Q$378)</f>
        <v>20</v>
      </c>
      <c r="K400" s="1069">
        <f>SUMIF(Meal_entry_week_2!G$354:G$378,"Dairy_products",Meal_entry_week_2!Q$354:Q$378)</f>
        <v>20</v>
      </c>
      <c r="L400" s="1069">
        <f>SUMIF(Meal_entry_week_2!G$354:G$378,"Oil_butter_margarine",Meal_entry_week_2!Q$354:Q$378)</f>
        <v>24</v>
      </c>
      <c r="M400" s="1069">
        <f>SUMIF(Meal_entry_week_2!G$354:G$378,"Flour_pasta_seeds_cereals",Meal_entry_week_2!Q$354:Q$378)</f>
        <v>20</v>
      </c>
      <c r="N400" s="1069">
        <f>SUMIF(Meal_entry_week_2!G$354:G$378,"Sauces_purees_dressings",Meal_entry_week_2!Q$354:Q$378)+SUMIF(Meal_entry_week_2!G$354:G$378,"Spices_seasonings",Meal_entry_week_2!Q$354:Q$378)</f>
        <v>4.09</v>
      </c>
      <c r="O400" s="1069">
        <f>SUMIF(Meal_entry_week_2!G$354:G$378,"Sweet_foods_cakes",Meal_entry_week_2!Q$354:Q$378)</f>
        <v>5</v>
      </c>
      <c r="P400" s="1069">
        <f>SUMIF(Meal_entry_week_2!G$354:G$378,"Bread_and_pastries",Meal_entry_week_2!Q$354:Q$378)+SUMIF(Meal_entry_week_2!G$354:G$378,"Savoury_pastries",Meal_entry_week_2!Q$354:Q$378)+SUMIF(Meal_entry_week_2!G$354:G$378,"Sweet_pastries",Meal_entry_week_2!Q$354:Q$378)</f>
        <v>75</v>
      </c>
      <c r="Q400" s="1069">
        <f>SUMIF(Meal_entry_week_2!G$354:G$378,"Other_processed_foods",Meal_entry_week_2!Q$354:Q$378)</f>
        <v>0</v>
      </c>
      <c r="R400" s="1069">
        <f>SUMIF(Meal_entry_week_2!G$354:G$378,"Zasladjena_piča_čajevi_kafa",Meal_entry_week_2!Q$354:Q$378)</f>
        <v>0</v>
      </c>
      <c r="S400" s="1069">
        <f>SUMIF(Meal_entry_week_2!G$354:G$378,"Fruit_juices_water",Meal_entry_week_2!Q$354:Q$378)</f>
        <v>0</v>
      </c>
      <c r="T400" s="1070">
        <f>920-SUM(D400:S400)</f>
        <v>286.40999999999997</v>
      </c>
      <c r="U400" s="965"/>
      <c r="V400" s="913"/>
      <c r="W400" s="913"/>
      <c r="X400" s="913"/>
      <c r="Y400" s="913"/>
      <c r="Z400" s="913"/>
      <c r="AA400" s="913"/>
      <c r="AB400" s="913"/>
      <c r="AC400" s="913"/>
      <c r="AD400" s="913"/>
      <c r="AE400" s="913"/>
      <c r="AF400" s="913"/>
      <c r="AG400" s="913"/>
    </row>
    <row r="401" spans="1:33">
      <c r="A401" s="911"/>
      <c r="B401" s="1074" t="s">
        <v>3068</v>
      </c>
      <c r="C401" s="945"/>
      <c r="D401" s="1075">
        <f>SUMIF(Meal_entry_week_2!G$453:G$477,"Vegetables_mushrooms_fresh_frozen",Meal_entry_week_2!Q$453:Q$477)</f>
        <v>56</v>
      </c>
      <c r="E401" s="1075">
        <f>SUMIF(Meal_entry_week_2!G$453:G$477,"Vegetables_processed",Meal_entry_week_2!Q$453:Q$477)</f>
        <v>0</v>
      </c>
      <c r="F401" s="1075">
        <f>SUMIF(Meal_entry_week_2!G$453:G$477,"Fruits_nuts_dried_fruit",Meal_entry_week_2!Q$453:Q$477)</f>
        <v>150</v>
      </c>
      <c r="G401" s="1075">
        <f>SUMIF(Meal_entry_week_2!G$453:G$477,"Meat_fresh_frozen",Meal_entry_week_2!Q$453:Q$477)</f>
        <v>50</v>
      </c>
      <c r="H401" s="1075">
        <f>SUMIF(Meal_entry_week_2!G$453:G$477,"Meat_processed",Meal_entry_week_2!Q$453:Q$477)</f>
        <v>0</v>
      </c>
      <c r="I401" s="1075">
        <f>SUMIF(Meal_entry_week_2!G$453:G$477,"Fish_fresh_frozen",Meal_entry_week_2!Q$453:Q$477)+SUMIF(Meal_entry_week_2!G$453:G$477,"Fish_processed_canned",Meal_entry_week_2!Q$453:Q$477)</f>
        <v>0</v>
      </c>
      <c r="J401" s="1075">
        <f>SUMIF(Meal_entry_week_2!G$453:G$477,"Eggs",Meal_entry_week_2!Q$453:Q$477)</f>
        <v>20</v>
      </c>
      <c r="K401" s="1075">
        <f>SUMIF(Meal_entry_week_2!G$453:G$477,"Dairy_products",Meal_entry_week_2!Q$453:Q$477)</f>
        <v>50</v>
      </c>
      <c r="L401" s="1075">
        <f>SUMIF(Meal_entry_week_2!G$453:G$477,"Oil_butter_margarine",Meal_entry_week_2!Q$453:Q$477)</f>
        <v>17</v>
      </c>
      <c r="M401" s="1075">
        <f>SUMIF(Meal_entry_week_2!G$453:G$477,"Flour_pasta_seeds_cereals",Meal_entry_week_2!Q$453:Q$477)</f>
        <v>60</v>
      </c>
      <c r="N401" s="1075">
        <f>SUMIF(Meal_entry_week_2!G$453:G$477,"Sauces_purees_dressings",Meal_entry_week_2!Q$453:Q$477)+SUMIF(Meal_entry_week_2!G$453:G$477,"Spices_seasonings",Meal_entry_week_2!Q$453:Q$477)</f>
        <v>10.6</v>
      </c>
      <c r="O401" s="1075">
        <f>SUMIF(Meal_entry_week_2!G$453:G$477,"Sweet_foods_cakes",Meal_entry_week_2!Q$453:Q$477)</f>
        <v>0</v>
      </c>
      <c r="P401" s="1075">
        <f>SUMIF(Meal_entry_week_2!G$453:G$477,"Bread_and_pastries",Meal_entry_week_2!Q$453:Q$477)+SUMIF(Meal_entry_week_2!G$453:G$477,"Savoury_pastries",Meal_entry_week_2!Q$453:Q$477)+SUMIF(Meal_entry_week_2!G$453:G$477,"Sweet_pastries",Meal_entry_week_2!Q$453:Q$477)</f>
        <v>75</v>
      </c>
      <c r="Q401" s="1075">
        <f>SUMIF(Meal_entry_week_2!G$453:G$477,"Other_processed_foods",Meal_entry_week_2!Q$453:Q$477)</f>
        <v>0</v>
      </c>
      <c r="R401" s="1075">
        <f>SUMIF(Meal_entry_week_2!G$453:G$477,"Zasladjena_piča_čajevi_kafa",Meal_entry_week_2!Q$453:Q$477)</f>
        <v>0</v>
      </c>
      <c r="S401" s="1075">
        <f>SUMIF(Meal_entry_week_2!G$453:G$477,"Fruit_juices_water",Meal_entry_week_2!Q$453:Q$477)</f>
        <v>0</v>
      </c>
      <c r="T401" s="1070">
        <f>920-SUM(D401:S401)</f>
        <v>431.4</v>
      </c>
      <c r="U401" s="965"/>
      <c r="V401" s="913"/>
      <c r="W401" s="913"/>
      <c r="X401" s="913"/>
      <c r="Y401" s="913"/>
      <c r="Z401" s="913"/>
      <c r="AA401" s="913"/>
      <c r="AB401" s="913"/>
      <c r="AC401" s="913"/>
      <c r="AD401" s="913"/>
      <c r="AE401" s="913"/>
      <c r="AF401" s="913"/>
      <c r="AG401" s="913"/>
    </row>
    <row r="402" spans="1:33">
      <c r="A402" s="911"/>
      <c r="B402" s="956" t="s">
        <v>2518</v>
      </c>
      <c r="C402" s="945"/>
      <c r="D402" s="913" t="s">
        <v>3140</v>
      </c>
      <c r="E402" s="913" t="s">
        <v>3069</v>
      </c>
      <c r="F402" s="913" t="s">
        <v>3077</v>
      </c>
      <c r="G402" s="913" t="s">
        <v>3073</v>
      </c>
      <c r="H402" s="913" t="s">
        <v>3070</v>
      </c>
      <c r="I402" s="913" t="s">
        <v>3575</v>
      </c>
      <c r="J402" s="913" t="s">
        <v>3072</v>
      </c>
      <c r="K402" s="913" t="s">
        <v>3085</v>
      </c>
      <c r="L402" s="913" t="s">
        <v>3075</v>
      </c>
      <c r="M402" s="913" t="s">
        <v>3141</v>
      </c>
      <c r="N402" s="913" t="s">
        <v>3550</v>
      </c>
      <c r="O402" s="913" t="s">
        <v>3078</v>
      </c>
      <c r="P402" s="913" t="s">
        <v>3551</v>
      </c>
      <c r="Q402" s="913" t="s">
        <v>3082</v>
      </c>
      <c r="R402" s="1067" t="s">
        <v>3083</v>
      </c>
      <c r="S402" s="913" t="s">
        <v>3084</v>
      </c>
      <c r="T402" s="1068"/>
      <c r="U402" s="965"/>
      <c r="V402" s="913"/>
      <c r="W402" s="913"/>
      <c r="X402" s="913"/>
      <c r="Y402" s="913"/>
      <c r="Z402" s="913"/>
      <c r="AA402" s="913"/>
      <c r="AB402" s="913"/>
      <c r="AC402" s="913"/>
      <c r="AD402" s="913"/>
      <c r="AE402" s="913"/>
      <c r="AF402" s="913"/>
      <c r="AG402" s="913"/>
    </row>
    <row r="403" spans="1:33">
      <c r="A403" s="911"/>
      <c r="B403" s="956" t="s">
        <v>3064</v>
      </c>
      <c r="C403" s="945"/>
      <c r="D403" s="1069">
        <f>SUMIF(Meal_entry_week_2!G$89:G$100,"Vegetables_mushrooms_fresh_frozen",Meal_entry_week_2!Q$89:Q$100)</f>
        <v>0</v>
      </c>
      <c r="E403" s="1069">
        <f>SUMIF(Meal_entry_week_2!AM$11:AM$30,"Vegetables_processed",Meal_entry_week_2!AS$11:AS$30)</f>
        <v>0</v>
      </c>
      <c r="F403" s="1069">
        <f>SUMIF(Meal_entry_week_2!AM$11:AM$30,"Fruits_nuts_dried_fruit",Meal_entry_week_2!AS$11:AS$30)</f>
        <v>0</v>
      </c>
      <c r="G403" s="1069">
        <f>SUMIF(Meal_entry_week_2!AM$11:AM$30,"Meat_fresh_frozen",Meal_entry_week_2!AS$11:AS$30)</f>
        <v>0</v>
      </c>
      <c r="H403" s="1069">
        <f>SUMIF(Meal_entry_week_2!AM$11:AM$30,"Meat_processed",Meal_entry_week_2!AS$11:AS$30)</f>
        <v>0</v>
      </c>
      <c r="I403" s="1069">
        <f>SUMIF(Meal_entry_week_2!AM$11:AM$30,"Fish_fresh_frozen",Meal_entry_week_2!AS$11:AS$30)+SUMIF(Meal_entry_week_2!AM$11:AM$30,"Fish_processed_canned",Meal_entry_week_2!AS$11:AS$30)</f>
        <v>0</v>
      </c>
      <c r="J403" s="1069">
        <f>SUMIF(Meal_entry_week_2!AM$11:AM$30,"Eggs",Meal_entry_week_2!AS$11:AS$30)</f>
        <v>0</v>
      </c>
      <c r="K403" s="1069">
        <f>SUMIF(Meal_entry_week_2!AM$11:AM$30,"Dairy_products",Meal_entry_week_2!AS$11:AS$30)</f>
        <v>0</v>
      </c>
      <c r="L403" s="1069">
        <f>SUMIF(Meal_entry_week_2!AM$11:AM$30,"Oil_butter_margarine",Meal_entry_week_2!AS$11:AS$30)</f>
        <v>0</v>
      </c>
      <c r="M403" s="1069">
        <f>SUMIF(Meal_entry_week_2!AM$11:AM$30,"Flour_pasta_seeds_cereals",Meal_entry_week_2!AS$11:AS$30)</f>
        <v>0</v>
      </c>
      <c r="N403" s="1069">
        <f>SUMIF(Meal_entry_week_2!AM$11:AM$30,"Sauces_purees_dressings",Meal_entry_week_2!AS$11:AS$30)+SUMIF(Meal_entry_week_2!AM$11:AM$30,"Spices_seasonings",Meal_entry_week_2!AS$11:AS$30)</f>
        <v>0</v>
      </c>
      <c r="O403" s="1069">
        <f>SUMIF(Meal_entry_week_2!AM$11:AM$30,"Sweet_foods_cakes",Meal_entry_week_2!AS$11:AS$30)</f>
        <v>0</v>
      </c>
      <c r="P403" s="1069">
        <f>SUMIF(Meal_entry_week_2!AM$11:AM$30,"Bread_and_pastries",Meal_entry_week_2!AS$11:AS$30)+SUMIF(Meal_entry_week_2!AM$11:AM$30,"Savoury_pastries",Meal_entry_week_2!AS$11:AS$30)+SUMIF(Meal_entry_week_2!AM$11:AM$30,"Sweet_pastries",Meal_entry_week_2!AS$11:AS$30)</f>
        <v>0</v>
      </c>
      <c r="Q403" s="1069">
        <f>SUMIF(Meal_entry_week_2!AM$11:AM$30,"Other_processed_foods",Meal_entry_week_2!AS$11:AS$30)</f>
        <v>0</v>
      </c>
      <c r="R403" s="1069">
        <f>SUMIF(Meal_entry_week_2!AM$11:AM$30,"Zasladjena_piča_čajevi_kafa",Meal_entry_week_2!AS$11:AS$30)</f>
        <v>0</v>
      </c>
      <c r="S403" s="1069">
        <f>SUMIF(Meal_entry_week_2!AM$11:AM$30,"Fruit_juices_water",Meal_entry_week_2!AS$11:AS$30)</f>
        <v>0</v>
      </c>
      <c r="T403" s="1070">
        <f>450-SUM(D403:S403)</f>
        <v>450</v>
      </c>
      <c r="U403" s="965"/>
      <c r="V403" s="913"/>
      <c r="W403" s="913"/>
      <c r="X403" s="913"/>
      <c r="Y403" s="913"/>
      <c r="Z403" s="913"/>
      <c r="AA403" s="913"/>
      <c r="AB403" s="913"/>
      <c r="AC403" s="913"/>
      <c r="AD403" s="913"/>
      <c r="AE403" s="913"/>
      <c r="AF403" s="913"/>
      <c r="AG403" s="913"/>
    </row>
    <row r="404" spans="1:33">
      <c r="A404" s="911"/>
      <c r="B404" s="956" t="s">
        <v>3065</v>
      </c>
      <c r="C404" s="945"/>
      <c r="D404" s="1069">
        <f>SUMIF(Meal_entry_week_2!G$188:G$199,"Vegetables_mushrooms_fresh_frozen",Meal_entry_week_2!Q$188:Q$199)</f>
        <v>0</v>
      </c>
      <c r="E404" s="1069">
        <f>SUMIF(Meal_entry_week_2!G$188:G$199,"Vegetables_processed",Meal_entry_week_2!Q$188:Q$199)</f>
        <v>0</v>
      </c>
      <c r="F404" s="1069">
        <f>SUMIF(Meal_entry_week_2!G$188:G$199,"Fruits_nuts_dried_fruit",Meal_entry_week_2!Q$188:Q$199)</f>
        <v>0</v>
      </c>
      <c r="G404" s="1069">
        <f>SUMIF(Meal_entry_week_2!G$188:G$199,"Meat_fresh_frozen",Meal_entry_week_2!Q$188:Q$199)</f>
        <v>0</v>
      </c>
      <c r="H404" s="1069">
        <f>SUMIF(Meal_entry_week_2!G$188:G$199,"Meat_processed",Meal_entry_week_2!Q$188:Q$199)</f>
        <v>0</v>
      </c>
      <c r="I404" s="1069">
        <f>SUMIF(Meal_entry_week_2!G$188:G$199,"Fish_fresh_frozen",Meal_entry_week_2!Q$188:Q$199)+SUMIF(Meal_entry_week_2!G$188:G$199,"Fish_processed_canned",Meal_entry_week_2!Q$188:Q$199)</f>
        <v>0</v>
      </c>
      <c r="J404" s="1069">
        <f>SUMIF(Meal_entry_week_2!G$188:G$199,"Eggs",Meal_entry_week_2!Q$188:Q$199)</f>
        <v>0</v>
      </c>
      <c r="K404" s="1069">
        <f>SUMIF(Meal_entry_week_2!G$188:G$199,"Dairy_products",Meal_entry_week_2!Q$188:Q$199)</f>
        <v>0</v>
      </c>
      <c r="L404" s="1069">
        <f>SUMIF(Meal_entry_week_2!G$188:G$199,"Oil_butter_margarine",Meal_entry_week_2!Q$188:Q$199)</f>
        <v>0</v>
      </c>
      <c r="M404" s="1069">
        <f>SUMIF(Meal_entry_week_2!G$188:G$199,"Flour_pasta_seeds_cereals",Meal_entry_week_2!Q$188:Q$199)</f>
        <v>0</v>
      </c>
      <c r="N404" s="1069">
        <f>SUMIF(Meal_entry_week_2!G$188:G$199,"Sauces_purees_dressings",Meal_entry_week_2!Q$188:Q$199)+SUMIF(Meal_entry_week_2!G$188:G$199,"Spices_seasonings",Meal_entry_week_2!Q$188:Q$199)</f>
        <v>0</v>
      </c>
      <c r="O404" s="1069">
        <f>SUMIF(Meal_entry_week_2!G$188:G$199,"Sweet_foods_cakes",Meal_entry_week_2!Q$188:Q$199)</f>
        <v>0</v>
      </c>
      <c r="P404" s="1069">
        <f>SUMIF(Meal_entry_week_2!G$188:G$199,"Bread_and_pastries",Meal_entry_week_2!Q$188:Q$199)+SUMIF(Meal_entry_week_2!G$188:G$199,"Savoury_pastries",Meal_entry_week_2!Q$188:Q$199)+SUMIF(Meal_entry_week_2!G$188:G$199,"Sweet_pastries",Meal_entry_week_2!Q$188:Q$199)</f>
        <v>0</v>
      </c>
      <c r="Q404" s="1069">
        <f>SUMIF(Meal_entry_week_2!G$188:G$199,"Other_processed_foods",Meal_entry_week_2!Q$188:Q$199)</f>
        <v>0</v>
      </c>
      <c r="R404" s="1069">
        <f>SUMIF(Meal_entry_week_2!G$188:G$199,"Zasladjena_piča_čajevi_kafa",Meal_entry_week_2!Q$188:Q$199)</f>
        <v>0</v>
      </c>
      <c r="S404" s="1069">
        <f>SUMIF(Meal_entry_week_2!G$188:G$199,"Fruit_juices_water",Meal_entry_week_2!Q$188:Q$199)</f>
        <v>0</v>
      </c>
      <c r="T404" s="1070">
        <f>450-SUM(D404:S404)</f>
        <v>450</v>
      </c>
      <c r="U404" s="965"/>
      <c r="V404" s="913"/>
      <c r="W404" s="913"/>
      <c r="X404" s="913"/>
      <c r="Y404" s="913"/>
      <c r="Z404" s="913"/>
      <c r="AA404" s="913"/>
      <c r="AB404" s="913"/>
      <c r="AC404" s="913"/>
      <c r="AD404" s="913"/>
      <c r="AE404" s="913"/>
      <c r="AF404" s="913"/>
      <c r="AG404" s="913"/>
    </row>
    <row r="405" spans="1:33">
      <c r="A405" s="911"/>
      <c r="B405" s="956" t="s">
        <v>3940</v>
      </c>
      <c r="C405" s="945"/>
      <c r="D405" s="1069">
        <f>SUMIF(Meal_entry_week_2!G$287:G$298,"Vegetables_mushrooms_fresh_frozen",Meal_entry_week_2!Q$287:Q$298)</f>
        <v>0</v>
      </c>
      <c r="E405" s="1069">
        <f>SUMIF(Meal_entry_week_2!G$287:G$298,"Vegetables_processed",Meal_entry_week_2!Q$287:Q$298)</f>
        <v>0</v>
      </c>
      <c r="F405" s="1069">
        <f>SUMIF(Meal_entry_week_2!G$287:G$298,"Fruits_nuts_dried_fruit",Meal_entry_week_2!Q$287:Q$298)</f>
        <v>0</v>
      </c>
      <c r="G405" s="1069">
        <f>SUMIF(Meal_entry_week_2!G$287:G$298,"Meat_fresh_frozen",Meal_entry_week_2!Q$287:Q$298)</f>
        <v>0</v>
      </c>
      <c r="H405" s="1069">
        <f>SUMIF(Meal_entry_week_2!G$287:G$298,"Meat_processed",Meal_entry_week_2!Q$287:Q$298)</f>
        <v>0</v>
      </c>
      <c r="I405" s="1069">
        <f>SUMIF(Meal_entry_week_2!G$287:G$298,"Fish_fresh_frozen",Meal_entry_week_2!Q$287:Q$298)+SUMIF(Meal_entry_week_2!G$287:G$298,"Fish_processed_canned",Meal_entry_week_2!Q$287:Q$298)</f>
        <v>0</v>
      </c>
      <c r="J405" s="1069">
        <f>SUMIF(Meal_entry_week_2!G$287:G$298,"Eggs",Meal_entry_week_2!Q$287:Q$298)</f>
        <v>0</v>
      </c>
      <c r="K405" s="1069">
        <f>SUMIF(Meal_entry_week_2!G$287:G$298,"Dairy_products",Meal_entry_week_2!Q$287:Q$298)</f>
        <v>0</v>
      </c>
      <c r="L405" s="1069">
        <f>SUMIF(Meal_entry_week_2!G$287:G$298,"Oil_butter_margarine",Meal_entry_week_2!Q$287:Q$298)</f>
        <v>0</v>
      </c>
      <c r="M405" s="1069">
        <f>SUMIF(Meal_entry_week_2!G$287:G$298,"Flour_pasta_seeds_cereals",Meal_entry_week_2!Q$287:Q$298)</f>
        <v>0</v>
      </c>
      <c r="N405" s="1069">
        <f>SUMIF(Meal_entry_week_2!G$287:G$298,"Sauces_purees_dressings",Meal_entry_week_2!Q$287:Q$298)+SUMIF(Meal_entry_week_2!G$287:G$298,"Spices_seasonings",Meal_entry_week_2!Q$287:Q$298)</f>
        <v>0</v>
      </c>
      <c r="O405" s="1069">
        <f>SUMIF(Meal_entry_week_2!G$287:G$298,"Sweet_foods_cakes",Meal_entry_week_2!Q$287:Q$298)</f>
        <v>0</v>
      </c>
      <c r="P405" s="1069">
        <f>SUMIF(Meal_entry_week_2!G$287:G$298,"Bread_and_pastries",Meal_entry_week_2!Q$287:Q$298)+SUMIF(Meal_entry_week_2!G$287:G$298,"Savoury_pastries",Meal_entry_week_2!Q$287:Q$298)+SUMIF(Meal_entry_week_2!G$287:G$298,"Sweet_pastries",Meal_entry_week_2!Q$287:Q$298)</f>
        <v>0</v>
      </c>
      <c r="Q405" s="1069">
        <f>SUMIF(Meal_entry_week_2!G$287:G$298,"Other_processed_foods",Meal_entry_week_2!Q$287:Q$298)</f>
        <v>0</v>
      </c>
      <c r="R405" s="1069">
        <f>SUMIF(Meal_entry_week_2!G$287:G$298,"Zasladjena_piča_čajevi_kafa",Meal_entry_week_2!Q$287:Q$298)</f>
        <v>0</v>
      </c>
      <c r="S405" s="1069">
        <f>SUMIF(Meal_entry_week_2!G$287:G$298,"Fruit_juices_water",Meal_entry_week_2!Q$287:Q$298)</f>
        <v>0</v>
      </c>
      <c r="T405" s="1070">
        <f>450-SUM(D405:S405)</f>
        <v>450</v>
      </c>
      <c r="U405" s="965"/>
      <c r="V405" s="913"/>
      <c r="W405" s="913"/>
      <c r="X405" s="913"/>
      <c r="Y405" s="913"/>
      <c r="Z405" s="913"/>
      <c r="AA405" s="913"/>
      <c r="AB405" s="913"/>
      <c r="AC405" s="913"/>
      <c r="AD405" s="913"/>
      <c r="AE405" s="913"/>
      <c r="AF405" s="913"/>
      <c r="AG405" s="913"/>
    </row>
    <row r="406" spans="1:33">
      <c r="A406" s="911"/>
      <c r="B406" s="956" t="s">
        <v>3067</v>
      </c>
      <c r="C406" s="945"/>
      <c r="D406" s="1069">
        <f>SUMIF(Meal_entry_week_2!G$386:G$397,"Vegetables_mushrooms_fresh_frozen",Meal_entry_week_2!Q$386:Q$397)</f>
        <v>0</v>
      </c>
      <c r="E406" s="1069">
        <f>SUMIF(Meal_entry_week_2!G$386:G$397,"Vegetables_processed",Meal_entry_week_2!Q$386:Q$397)</f>
        <v>0</v>
      </c>
      <c r="F406" s="1069">
        <f>SUMIF(Meal_entry_week_2!G$386:G$397,"Fruits_nuts_dried_fruit",Meal_entry_week_2!Q$386:Q$397)</f>
        <v>0</v>
      </c>
      <c r="G406" s="1069">
        <f>SUMIF(Meal_entry_week_2!G$386:G$397,"Meat_fresh_frozen",Meal_entry_week_2!Q$386:Q$397)</f>
        <v>0</v>
      </c>
      <c r="H406" s="1069">
        <f>SUMIF(Meal_entry_week_2!G$386:G$397,"Meat_processed",Meal_entry_week_2!Q$386:Q$397)</f>
        <v>0</v>
      </c>
      <c r="I406" s="1069">
        <f>SUMIF(Meal_entry_week_2!G$386:G$397,"Fish_fresh_frozen",Meal_entry_week_2!Q$386:Q$397)+SUMIF(Meal_entry_week_2!G$386:G$397,"Fish_processed_canned",Meal_entry_week_2!Q$386:Q$397)</f>
        <v>0</v>
      </c>
      <c r="J406" s="1069">
        <f>SUMIF(Meal_entry_week_2!G$386:G$397,"Eggs",Meal_entry_week_2!Q$386:Q$397)</f>
        <v>0</v>
      </c>
      <c r="K406" s="1069">
        <f>SUMIF(Meal_entry_week_2!G$386:G$397,"Dairy_products",Meal_entry_week_2!Q$386:Q$397)</f>
        <v>0</v>
      </c>
      <c r="L406" s="1069">
        <f>SUMIF(Meal_entry_week_2!G$386:G$397,"Oil_butter_margarine",Meal_entry_week_2!Q$386:Q$397)</f>
        <v>0</v>
      </c>
      <c r="M406" s="1069">
        <f>SUMIF(Meal_entry_week_2!G$386:G$397,"Flour_pasta_seeds_cereals",Meal_entry_week_2!Q$386:Q$397)</f>
        <v>0</v>
      </c>
      <c r="N406" s="1069">
        <f>SUMIF(Meal_entry_week_2!G$386:G$397,"Sauces_purees_dressings",Meal_entry_week_2!Q$386:Q$397)+SUMIF(Meal_entry_week_2!G$386:G$397,"Spices_seasonings",Meal_entry_week_2!Q$386:Q$397)</f>
        <v>0</v>
      </c>
      <c r="O406" s="1069">
        <f>SUMIF(Meal_entry_week_2!G$386:G$397,"Sweet_foods_cakes",Meal_entry_week_2!Q$386:Q$397)</f>
        <v>0</v>
      </c>
      <c r="P406" s="1069">
        <f>SUMIF(Meal_entry_week_2!G$386:G$397,"Bread_and_pastries",Meal_entry_week_2!Q$386:Q$397)+SUMIF(Meal_entry_week_2!G$386:G$397,"Savoury_pastries",Meal_entry_week_2!Q$386:Q$397)+SUMIF(Meal_entry_week_2!G$386:G$397,"Sweet_pastries",Meal_entry_week_2!Q$386:Q$397)</f>
        <v>0</v>
      </c>
      <c r="Q406" s="1069">
        <f>SUMIF(Meal_entry_week_2!G$386:G$397,"Other_processed_foods",Meal_entry_week_2!Q$386:Q$397)</f>
        <v>0</v>
      </c>
      <c r="R406" s="1069">
        <f>SUMIF(Meal_entry_week_2!G$386:G$397,"Zasladjena_piča_čajevi_kafa",Meal_entry_week_2!Q$386:Q$397)</f>
        <v>0</v>
      </c>
      <c r="S406" s="1069">
        <f>SUMIF(Meal_entry_week_2!G$386:G$397,"Fruit_juices_water",Meal_entry_week_2!Q$386:Q$397)</f>
        <v>0</v>
      </c>
      <c r="T406" s="1070">
        <f>450-SUM(D406:S406)</f>
        <v>450</v>
      </c>
      <c r="U406" s="965"/>
      <c r="V406" s="913"/>
      <c r="W406" s="913"/>
      <c r="X406" s="913"/>
      <c r="Y406" s="913"/>
      <c r="Z406" s="913"/>
      <c r="AA406" s="913"/>
      <c r="AB406" s="913"/>
      <c r="AC406" s="913"/>
      <c r="AD406" s="913"/>
      <c r="AE406" s="913"/>
      <c r="AF406" s="913"/>
      <c r="AG406" s="913"/>
    </row>
    <row r="407" spans="1:33">
      <c r="A407" s="911"/>
      <c r="B407" s="1074" t="s">
        <v>3068</v>
      </c>
      <c r="C407" s="945"/>
      <c r="D407" s="1075">
        <f>SUMIF(Meal_entry_week_2!G$485:G$496,"Vegetables_mushrooms_fresh_frozen",Meal_entry_week_2!Q$485:Q$496)</f>
        <v>0</v>
      </c>
      <c r="E407" s="1075">
        <f>SUMIF(Meal_entry_week_2!G$485:G$496,"Vegetables_processed",Meal_entry_week_2!Q$485:Q$496)</f>
        <v>0</v>
      </c>
      <c r="F407" s="1075">
        <f>SUMIF(Meal_entry_week_2!G$485:G$496,"Fruits_nuts_dried_fruit",Meal_entry_week_2!Q$485:Q$496)</f>
        <v>0</v>
      </c>
      <c r="G407" s="1075">
        <f>SUMIF(Meal_entry_week_2!G$485:G$496,"Meat_fresh_frozen",Meal_entry_week_2!Q$485:Q$496)</f>
        <v>0</v>
      </c>
      <c r="H407" s="1075">
        <f>SUMIF(Meal_entry_week_2!G$485:G$496,"Meat_processed",Meal_entry_week_2!Q$485:Q$496)</f>
        <v>0</v>
      </c>
      <c r="I407" s="1075">
        <f>SUMIF(Meal_entry_week_2!G$485:G$496,"Fish_fresh_frozen",Meal_entry_week_2!Q$485:Q$496)+SUMIF(Meal_entry_week_2!G$485:G$496,"Fish_processed_canned",Meal_entry_week_2!Q$485:Q$496)</f>
        <v>0</v>
      </c>
      <c r="J407" s="1075">
        <f>SUMIF(Meal_entry_week_2!G$485:G$496,"Eggs",Meal_entry_week_2!Q$485:Q$496)</f>
        <v>0</v>
      </c>
      <c r="K407" s="1075">
        <f>SUMIF(Meal_entry_week_2!G$485:G$496,"Dairy_products",Meal_entry_week_2!Q$485:Q$496)</f>
        <v>0</v>
      </c>
      <c r="L407" s="1075">
        <f>SUMIF(Meal_entry_week_2!G$485:G$496,"Oil_butter_margarine",Meal_entry_week_2!Q$485:Q$496)</f>
        <v>0</v>
      </c>
      <c r="M407" s="1075">
        <f>SUMIF(Meal_entry_week_2!G$485:G$496,"Flour_pasta_seeds_cereals",Meal_entry_week_2!Q$485:Q$496)</f>
        <v>0</v>
      </c>
      <c r="N407" s="1075">
        <f>SUMIF(Meal_entry_week_2!G$485:G$496,"Sauces_purees_dressings",Meal_entry_week_2!Q$485:Q$496)+SUMIF(Meal_entry_week_2!G$485:G$496,"Spices_seasonings",Meal_entry_week_2!Q$485:Q$496)</f>
        <v>0</v>
      </c>
      <c r="O407" s="1075">
        <f>SUMIF(Meal_entry_week_2!G$485:G$496,"Sweet_foods_cakes",Meal_entry_week_2!Q$485:Q$496)</f>
        <v>0</v>
      </c>
      <c r="P407" s="1075">
        <f>SUMIF(Meal_entry_week_2!G$485:G$496,"Bread_and_pastries",Meal_entry_week_2!Q$485:Q$496)+SUMIF(Meal_entry_week_2!G$485:G$496,"Savoury_pastries",Meal_entry_week_2!Q$485:Q$496)+SUMIF(Meal_entry_week_2!G$485:G$496,"Sweet_pastries",Meal_entry_week_2!Q$485:Q$496)</f>
        <v>0</v>
      </c>
      <c r="Q407" s="1075">
        <f>SUMIF(Meal_entry_week_2!G$485:G$496,"Other_processed_foods",Meal_entry_week_2!Q$485:Q$496)</f>
        <v>0</v>
      </c>
      <c r="R407" s="1075">
        <f>SUMIF(Meal_entry_week_2!G$485:G$496,"Zasladjena_piča_čajevi_kafa",Meal_entry_week_2!Q$485:Q$496)</f>
        <v>0</v>
      </c>
      <c r="S407" s="1075">
        <f>SUMIF(Meal_entry_week_2!G$485:G$496,"Fruit_juices_water",Meal_entry_week_2!Q$485:Q$496)</f>
        <v>0</v>
      </c>
      <c r="T407" s="1070">
        <f>450-SUM(D407:S407)</f>
        <v>450</v>
      </c>
      <c r="U407" s="965"/>
      <c r="V407" s="913"/>
      <c r="W407" s="913"/>
      <c r="X407" s="913"/>
      <c r="Y407" s="913"/>
      <c r="Z407" s="913"/>
      <c r="AA407" s="913"/>
      <c r="AB407" s="913"/>
      <c r="AC407" s="913"/>
      <c r="AD407" s="913"/>
      <c r="AE407" s="913"/>
      <c r="AF407" s="913"/>
      <c r="AG407" s="913"/>
    </row>
    <row r="408" spans="1:33">
      <c r="A408" s="911"/>
      <c r="B408" s="1076"/>
      <c r="C408" s="945"/>
      <c r="D408" s="1076"/>
      <c r="E408" s="1076"/>
      <c r="F408" s="1076"/>
      <c r="G408" s="1076"/>
      <c r="H408" s="1076"/>
      <c r="I408" s="1076"/>
      <c r="J408" s="1076"/>
      <c r="K408" s="1076"/>
      <c r="L408" s="1076"/>
      <c r="M408" s="1076"/>
      <c r="N408" s="1076"/>
      <c r="O408" s="1076"/>
      <c r="P408" s="1076"/>
      <c r="Q408" s="1076"/>
      <c r="R408" s="1076"/>
      <c r="S408" s="1076"/>
      <c r="T408" s="1068"/>
      <c r="U408" s="965"/>
      <c r="V408" s="913"/>
      <c r="W408" s="913"/>
      <c r="X408" s="913"/>
      <c r="Y408" s="913"/>
      <c r="Z408" s="913"/>
      <c r="AA408" s="913"/>
      <c r="AB408" s="913"/>
      <c r="AC408" s="913"/>
      <c r="AD408" s="913"/>
      <c r="AE408" s="913"/>
      <c r="AF408" s="913"/>
      <c r="AG408" s="913"/>
    </row>
    <row r="409" spans="1:33">
      <c r="A409" s="911"/>
      <c r="B409" s="956" t="s">
        <v>2517</v>
      </c>
      <c r="C409" s="945"/>
      <c r="D409" s="913" t="s">
        <v>3140</v>
      </c>
      <c r="E409" s="913" t="s">
        <v>3069</v>
      </c>
      <c r="F409" s="913" t="s">
        <v>3077</v>
      </c>
      <c r="G409" s="913" t="s">
        <v>3073</v>
      </c>
      <c r="H409" s="913" t="s">
        <v>3070</v>
      </c>
      <c r="I409" s="913" t="s">
        <v>3575</v>
      </c>
      <c r="J409" s="913" t="s">
        <v>3072</v>
      </c>
      <c r="K409" s="913" t="s">
        <v>3085</v>
      </c>
      <c r="L409" s="913" t="s">
        <v>3075</v>
      </c>
      <c r="M409" s="913" t="s">
        <v>3141</v>
      </c>
      <c r="N409" s="913" t="s">
        <v>3550</v>
      </c>
      <c r="O409" s="913" t="s">
        <v>3078</v>
      </c>
      <c r="P409" s="913" t="s">
        <v>3551</v>
      </c>
      <c r="Q409" s="913" t="s">
        <v>3082</v>
      </c>
      <c r="R409" s="1067" t="s">
        <v>3083</v>
      </c>
      <c r="S409" s="913" t="s">
        <v>3084</v>
      </c>
      <c r="T409" s="1068"/>
      <c r="U409" s="965"/>
      <c r="V409" s="913"/>
      <c r="W409" s="913"/>
      <c r="X409" s="913"/>
      <c r="Y409" s="913"/>
      <c r="Z409" s="913"/>
      <c r="AA409" s="913"/>
      <c r="AB409" s="913"/>
      <c r="AC409" s="913"/>
      <c r="AD409" s="913"/>
      <c r="AE409" s="913"/>
      <c r="AF409" s="913"/>
      <c r="AG409" s="913"/>
    </row>
    <row r="410" spans="1:33">
      <c r="A410" s="911"/>
      <c r="B410" s="956" t="str">
        <f>IF($AB$34=1,B417,(IF($AB$34=2,B423,B423)))</f>
        <v>Monday</v>
      </c>
      <c r="C410" s="945"/>
      <c r="D410" s="1072">
        <f t="shared" ref="D410:T414" si="54">IF($AB$34=1,D417,(IF($AB$34=2,D423,IF($AB$34=3,D429,IF($AB$34=4, D435,IF($AB$34=5,D441,D447))))))</f>
        <v>0</v>
      </c>
      <c r="E410" s="1072">
        <f t="shared" si="54"/>
        <v>0</v>
      </c>
      <c r="F410" s="1072">
        <f t="shared" si="54"/>
        <v>0</v>
      </c>
      <c r="G410" s="1072">
        <f t="shared" si="54"/>
        <v>0</v>
      </c>
      <c r="H410" s="1072">
        <f t="shared" si="54"/>
        <v>0</v>
      </c>
      <c r="I410" s="1072">
        <f t="shared" si="54"/>
        <v>0</v>
      </c>
      <c r="J410" s="1072">
        <f t="shared" si="54"/>
        <v>0</v>
      </c>
      <c r="K410" s="1072">
        <f t="shared" si="54"/>
        <v>0</v>
      </c>
      <c r="L410" s="1072">
        <f t="shared" si="54"/>
        <v>0</v>
      </c>
      <c r="M410" s="1072">
        <f t="shared" si="54"/>
        <v>0</v>
      </c>
      <c r="N410" s="1072">
        <f t="shared" si="54"/>
        <v>0</v>
      </c>
      <c r="O410" s="1072">
        <f t="shared" si="54"/>
        <v>0</v>
      </c>
      <c r="P410" s="1072">
        <f t="shared" si="54"/>
        <v>0</v>
      </c>
      <c r="Q410" s="1072">
        <f t="shared" si="54"/>
        <v>0</v>
      </c>
      <c r="R410" s="1072">
        <f t="shared" si="54"/>
        <v>0</v>
      </c>
      <c r="S410" s="1072">
        <f t="shared" si="54"/>
        <v>0</v>
      </c>
      <c r="T410" s="1070">
        <f t="shared" si="54"/>
        <v>1120</v>
      </c>
      <c r="U410" s="965"/>
      <c r="V410" s="913"/>
      <c r="W410" s="913"/>
      <c r="X410" s="913"/>
      <c r="Y410" s="913"/>
      <c r="Z410" s="913"/>
      <c r="AA410" s="913"/>
      <c r="AB410" s="913"/>
      <c r="AC410" s="913"/>
      <c r="AD410" s="913"/>
      <c r="AE410" s="913"/>
      <c r="AF410" s="913"/>
      <c r="AG410" s="913"/>
    </row>
    <row r="411" spans="1:33">
      <c r="A411" s="911"/>
      <c r="B411" s="956" t="str">
        <f>IF($AB$34=1,B418,(IF($AB$34=2,B424,B424)))</f>
        <v>Tuesday</v>
      </c>
      <c r="C411" s="945"/>
      <c r="D411" s="1072">
        <f t="shared" si="54"/>
        <v>0</v>
      </c>
      <c r="E411" s="1072">
        <f t="shared" si="54"/>
        <v>0</v>
      </c>
      <c r="F411" s="1072">
        <f t="shared" si="54"/>
        <v>0</v>
      </c>
      <c r="G411" s="1072">
        <f t="shared" si="54"/>
        <v>0</v>
      </c>
      <c r="H411" s="1072">
        <f t="shared" si="54"/>
        <v>0</v>
      </c>
      <c r="I411" s="1072">
        <f t="shared" si="54"/>
        <v>0</v>
      </c>
      <c r="J411" s="1072">
        <f t="shared" si="54"/>
        <v>0</v>
      </c>
      <c r="K411" s="1072">
        <f t="shared" si="54"/>
        <v>0</v>
      </c>
      <c r="L411" s="1072">
        <f t="shared" si="54"/>
        <v>0</v>
      </c>
      <c r="M411" s="1072">
        <f t="shared" si="54"/>
        <v>0</v>
      </c>
      <c r="N411" s="1072">
        <f t="shared" si="54"/>
        <v>0</v>
      </c>
      <c r="O411" s="1072">
        <f t="shared" si="54"/>
        <v>0</v>
      </c>
      <c r="P411" s="1072">
        <f t="shared" si="54"/>
        <v>0</v>
      </c>
      <c r="Q411" s="1072">
        <f t="shared" si="54"/>
        <v>0</v>
      </c>
      <c r="R411" s="1072">
        <f t="shared" si="54"/>
        <v>0</v>
      </c>
      <c r="S411" s="1072">
        <f t="shared" si="54"/>
        <v>0</v>
      </c>
      <c r="T411" s="1070">
        <f t="shared" si="54"/>
        <v>1120</v>
      </c>
      <c r="U411" s="965"/>
      <c r="V411" s="913"/>
      <c r="W411" s="913"/>
      <c r="X411" s="913"/>
      <c r="Y411" s="913"/>
      <c r="Z411" s="913"/>
      <c r="AA411" s="913"/>
      <c r="AB411" s="913"/>
      <c r="AC411" s="913"/>
      <c r="AD411" s="913"/>
      <c r="AE411" s="913"/>
      <c r="AF411" s="913"/>
      <c r="AG411" s="913"/>
    </row>
    <row r="412" spans="1:33">
      <c r="A412" s="911"/>
      <c r="B412" s="956" t="str">
        <f>IF($AB$34=1,B419,(IF($AB$34=2,B425,B425)))</f>
        <v>Wedesday</v>
      </c>
      <c r="C412" s="945"/>
      <c r="D412" s="1072">
        <f t="shared" si="54"/>
        <v>0</v>
      </c>
      <c r="E412" s="1072">
        <f t="shared" si="54"/>
        <v>0</v>
      </c>
      <c r="F412" s="1072">
        <f t="shared" si="54"/>
        <v>0</v>
      </c>
      <c r="G412" s="1072">
        <f t="shared" si="54"/>
        <v>0</v>
      </c>
      <c r="H412" s="1072">
        <f t="shared" si="54"/>
        <v>0</v>
      </c>
      <c r="I412" s="1072">
        <f t="shared" si="54"/>
        <v>0</v>
      </c>
      <c r="J412" s="1072">
        <f t="shared" si="54"/>
        <v>0</v>
      </c>
      <c r="K412" s="1072">
        <f t="shared" si="54"/>
        <v>0</v>
      </c>
      <c r="L412" s="1072">
        <f t="shared" si="54"/>
        <v>0</v>
      </c>
      <c r="M412" s="1072">
        <f t="shared" si="54"/>
        <v>0</v>
      </c>
      <c r="N412" s="1072">
        <f t="shared" si="54"/>
        <v>0</v>
      </c>
      <c r="O412" s="1072">
        <f t="shared" si="54"/>
        <v>0</v>
      </c>
      <c r="P412" s="1072">
        <f t="shared" si="54"/>
        <v>0</v>
      </c>
      <c r="Q412" s="1072">
        <f t="shared" si="54"/>
        <v>0</v>
      </c>
      <c r="R412" s="1072">
        <f t="shared" si="54"/>
        <v>0</v>
      </c>
      <c r="S412" s="1072">
        <f t="shared" si="54"/>
        <v>0</v>
      </c>
      <c r="T412" s="1070">
        <f t="shared" si="54"/>
        <v>1120</v>
      </c>
      <c r="U412" s="965"/>
      <c r="V412" s="913"/>
      <c r="W412" s="913"/>
      <c r="X412" s="913"/>
      <c r="Y412" s="913"/>
      <c r="Z412" s="913"/>
      <c r="AA412" s="913"/>
      <c r="AB412" s="913"/>
      <c r="AC412" s="913"/>
      <c r="AD412" s="913"/>
      <c r="AE412" s="913"/>
      <c r="AF412" s="913"/>
      <c r="AG412" s="913"/>
    </row>
    <row r="413" spans="1:33">
      <c r="A413" s="911"/>
      <c r="B413" s="956" t="str">
        <f>IF($AB$34=1,B420,(IF($AB$34=2,B426,B426)))</f>
        <v>Thursday</v>
      </c>
      <c r="C413" s="945"/>
      <c r="D413" s="1072">
        <f t="shared" si="54"/>
        <v>0</v>
      </c>
      <c r="E413" s="1072">
        <f t="shared" si="54"/>
        <v>0</v>
      </c>
      <c r="F413" s="1072">
        <f t="shared" si="54"/>
        <v>0</v>
      </c>
      <c r="G413" s="1072">
        <f t="shared" si="54"/>
        <v>0</v>
      </c>
      <c r="H413" s="1072">
        <f t="shared" si="54"/>
        <v>0</v>
      </c>
      <c r="I413" s="1072">
        <f t="shared" si="54"/>
        <v>0</v>
      </c>
      <c r="J413" s="1072">
        <f t="shared" si="54"/>
        <v>0</v>
      </c>
      <c r="K413" s="1072">
        <f t="shared" si="54"/>
        <v>0</v>
      </c>
      <c r="L413" s="1072">
        <f t="shared" si="54"/>
        <v>0</v>
      </c>
      <c r="M413" s="1072">
        <f t="shared" si="54"/>
        <v>0</v>
      </c>
      <c r="N413" s="1072">
        <f t="shared" si="54"/>
        <v>0</v>
      </c>
      <c r="O413" s="1072">
        <f t="shared" si="54"/>
        <v>0</v>
      </c>
      <c r="P413" s="1072">
        <f t="shared" si="54"/>
        <v>0</v>
      </c>
      <c r="Q413" s="1072">
        <f t="shared" si="54"/>
        <v>0</v>
      </c>
      <c r="R413" s="1072">
        <f t="shared" si="54"/>
        <v>0</v>
      </c>
      <c r="S413" s="1072">
        <f t="shared" si="54"/>
        <v>0</v>
      </c>
      <c r="T413" s="1070">
        <f t="shared" si="54"/>
        <v>1120</v>
      </c>
      <c r="U413" s="965"/>
      <c r="V413" s="913"/>
      <c r="W413" s="913"/>
      <c r="X413" s="913"/>
      <c r="Y413" s="913"/>
      <c r="Z413" s="913"/>
      <c r="AA413" s="913"/>
      <c r="AB413" s="913"/>
      <c r="AC413" s="913"/>
      <c r="AD413" s="913"/>
      <c r="AE413" s="913"/>
      <c r="AF413" s="913"/>
      <c r="AG413" s="913"/>
    </row>
    <row r="414" spans="1:33">
      <c r="A414" s="911"/>
      <c r="B414" s="1074" t="str">
        <f>IF($AB$34=1,B421,(IF($AB$34=2,B427,B427)))</f>
        <v>Friday</v>
      </c>
      <c r="C414" s="945"/>
      <c r="D414" s="1075">
        <f t="shared" si="54"/>
        <v>0</v>
      </c>
      <c r="E414" s="1075">
        <f t="shared" si="54"/>
        <v>0</v>
      </c>
      <c r="F414" s="1075">
        <f t="shared" si="54"/>
        <v>0</v>
      </c>
      <c r="G414" s="1075">
        <f t="shared" si="54"/>
        <v>0</v>
      </c>
      <c r="H414" s="1075">
        <f t="shared" si="54"/>
        <v>0</v>
      </c>
      <c r="I414" s="1075">
        <f t="shared" si="54"/>
        <v>0</v>
      </c>
      <c r="J414" s="1075">
        <f t="shared" si="54"/>
        <v>0</v>
      </c>
      <c r="K414" s="1075">
        <f t="shared" si="54"/>
        <v>0</v>
      </c>
      <c r="L414" s="1075">
        <f t="shared" si="54"/>
        <v>0</v>
      </c>
      <c r="M414" s="1075">
        <f t="shared" si="54"/>
        <v>0</v>
      </c>
      <c r="N414" s="1075">
        <f t="shared" si="54"/>
        <v>0</v>
      </c>
      <c r="O414" s="1075">
        <f t="shared" si="54"/>
        <v>0</v>
      </c>
      <c r="P414" s="1075">
        <f t="shared" si="54"/>
        <v>0</v>
      </c>
      <c r="Q414" s="1075">
        <f t="shared" si="54"/>
        <v>0</v>
      </c>
      <c r="R414" s="1075">
        <f t="shared" si="54"/>
        <v>0</v>
      </c>
      <c r="S414" s="1075">
        <f t="shared" si="54"/>
        <v>0</v>
      </c>
      <c r="T414" s="1078">
        <f t="shared" si="54"/>
        <v>1120</v>
      </c>
      <c r="U414" s="965"/>
      <c r="V414" s="913"/>
      <c r="W414" s="913"/>
      <c r="X414" s="913"/>
      <c r="Y414" s="913"/>
      <c r="Z414" s="913"/>
      <c r="AA414" s="913"/>
      <c r="AB414" s="913"/>
      <c r="AC414" s="913"/>
      <c r="AD414" s="913"/>
      <c r="AE414" s="913"/>
      <c r="AF414" s="913"/>
      <c r="AG414" s="913"/>
    </row>
    <row r="415" spans="1:33" s="406" customFormat="1">
      <c r="A415" s="1066"/>
      <c r="B415" s="913"/>
      <c r="C415" s="945"/>
      <c r="D415" s="1072" t="s">
        <v>2507</v>
      </c>
      <c r="E415" s="1072" t="s">
        <v>2512</v>
      </c>
      <c r="F415" s="1072" t="s">
        <v>2513</v>
      </c>
      <c r="G415" s="1072" t="s">
        <v>2514</v>
      </c>
      <c r="H415" s="913" t="s">
        <v>2939</v>
      </c>
      <c r="I415" s="913" t="s">
        <v>2940</v>
      </c>
      <c r="J415" s="913" t="s">
        <v>3946</v>
      </c>
      <c r="K415" s="913" t="s">
        <v>2941</v>
      </c>
      <c r="L415" s="913" t="s">
        <v>3965</v>
      </c>
      <c r="M415" s="913" t="s">
        <v>2943</v>
      </c>
      <c r="O415" s="1072"/>
      <c r="P415" s="1072"/>
      <c r="Q415" s="1072"/>
      <c r="R415" s="1072"/>
      <c r="S415" s="1072"/>
      <c r="T415" s="1068"/>
      <c r="U415" s="965"/>
      <c r="V415" s="913"/>
      <c r="W415" s="913"/>
      <c r="X415" s="913"/>
      <c r="Y415" s="913"/>
      <c r="Z415" s="913"/>
      <c r="AA415" s="913"/>
      <c r="AB415" s="913"/>
      <c r="AC415" s="913"/>
      <c r="AD415" s="913"/>
      <c r="AE415" s="913"/>
      <c r="AF415" s="913"/>
      <c r="AG415" s="913"/>
    </row>
    <row r="416" spans="1:33">
      <c r="A416" s="911"/>
      <c r="B416" s="956" t="s">
        <v>2522</v>
      </c>
      <c r="C416" s="945"/>
      <c r="D416" s="913" t="s">
        <v>3140</v>
      </c>
      <c r="E416" s="913" t="s">
        <v>3069</v>
      </c>
      <c r="F416" s="913" t="s">
        <v>3077</v>
      </c>
      <c r="G416" s="913" t="s">
        <v>3073</v>
      </c>
      <c r="H416" s="913" t="s">
        <v>3070</v>
      </c>
      <c r="I416" s="913" t="s">
        <v>3575</v>
      </c>
      <c r="J416" s="913" t="s">
        <v>3072</v>
      </c>
      <c r="K416" s="913" t="s">
        <v>3085</v>
      </c>
      <c r="L416" s="913" t="s">
        <v>3075</v>
      </c>
      <c r="M416" s="913" t="s">
        <v>3141</v>
      </c>
      <c r="N416" s="913" t="s">
        <v>3550</v>
      </c>
      <c r="O416" s="913" t="s">
        <v>3078</v>
      </c>
      <c r="P416" s="913" t="s">
        <v>3551</v>
      </c>
      <c r="Q416" s="913" t="s">
        <v>3082</v>
      </c>
      <c r="R416" s="1067" t="s">
        <v>3083</v>
      </c>
      <c r="S416" s="913" t="s">
        <v>3084</v>
      </c>
      <c r="T416" s="1068"/>
      <c r="U416" s="965"/>
      <c r="V416" s="913"/>
      <c r="W416" s="913"/>
      <c r="X416" s="913"/>
      <c r="Y416" s="913"/>
      <c r="Z416" s="913"/>
      <c r="AA416" s="913"/>
      <c r="AB416" s="913"/>
      <c r="AC416" s="913"/>
      <c r="AD416" s="913"/>
      <c r="AE416" s="913"/>
      <c r="AF416" s="913"/>
      <c r="AG416" s="913"/>
    </row>
    <row r="417" spans="1:33">
      <c r="A417" s="911"/>
      <c r="B417" s="956" t="s">
        <v>1426</v>
      </c>
      <c r="C417" s="945"/>
      <c r="D417" s="1072">
        <f>(D447+D448+D449+D450+D451)/(IF(Meal_entry_week_2!$V$547&gt;0,1,0)+IF(Meal_entry_week_2!$V$548&gt;0,1,0)+IF(Meal_entry_week_2!$V$549&gt;0,1,0)+IF(Meal_entry_week_2!$V$550&gt;0,1,0)+IF(Meal_entry_week_2!$V$551&gt;0,1,0)+0.00001)</f>
        <v>0</v>
      </c>
      <c r="E417" s="1072">
        <f>(E447+E448+E449+E450+E451)/(IF(Meal_entry_week_2!$V$547&gt;0,1,0)+IF(Meal_entry_week_2!$V$548&gt;0,1,0)+IF(Meal_entry_week_2!$V$549&gt;0,1,0)+IF(Meal_entry_week_2!$V$550&gt;0,1,0)+IF(Meal_entry_week_2!$V$551&gt;0,1,0)+0.00001)</f>
        <v>0</v>
      </c>
      <c r="F417" s="1072">
        <f>(F447+F448+F449+F450+F451)/(IF(Meal_entry_week_2!$V$547&gt;0,1,0)+IF(Meal_entry_week_2!$V$548&gt;0,1,0)+IF(Meal_entry_week_2!$V$549&gt;0,1,0)+IF(Meal_entry_week_2!$V$550&gt;0,1,0)+IF(Meal_entry_week_2!$V$551&gt;0,1,0)+0.00001)</f>
        <v>0</v>
      </c>
      <c r="G417" s="1072">
        <f>(G447+G448+G449+G450+G451)/(IF(Meal_entry_week_2!$V$547&gt;0,1,0)+IF(Meal_entry_week_2!$V$548&gt;0,1,0)+IF(Meal_entry_week_2!$V$549&gt;0,1,0)+IF(Meal_entry_week_2!$V$550&gt;0,1,0)+IF(Meal_entry_week_2!$V$551&gt;0,1,0)+0.00001)</f>
        <v>0</v>
      </c>
      <c r="H417" s="1072">
        <f>(H447+H448+H449+H450+H451)/(IF(Meal_entry_week_2!$V$547&gt;0,1,0)+IF(Meal_entry_week_2!$V$548&gt;0,1,0)+IF(Meal_entry_week_2!$V$549&gt;0,1,0)+IF(Meal_entry_week_2!$V$550&gt;0,1,0)+IF(Meal_entry_week_2!$V$551&gt;0,1,0)+0.00001)</f>
        <v>0</v>
      </c>
      <c r="I417" s="1072">
        <f>(I447+I448+I449+I450+I451)/(IF(Meal_entry_week_2!$V$547&gt;0,1,0)+IF(Meal_entry_week_2!$V$548&gt;0,1,0)+IF(Meal_entry_week_2!$V$549&gt;0,1,0)+IF(Meal_entry_week_2!$V$550&gt;0,1,0)+IF(Meal_entry_week_2!$V$551&gt;0,1,0)+0.00001)</f>
        <v>0</v>
      </c>
      <c r="J417" s="1072">
        <f>(J447+J448+J449+J450+J451)/(IF(Meal_entry_week_2!$V$547&gt;0,1,0)+IF(Meal_entry_week_2!$V$548&gt;0,1,0)+IF(Meal_entry_week_2!$V$549&gt;0,1,0)+IF(Meal_entry_week_2!$V$550&gt;0,1,0)+IF(Meal_entry_week_2!$V$551&gt;0,1,0)+0.00001)</f>
        <v>0</v>
      </c>
      <c r="K417" s="1072">
        <f>(K447+K448+K449+K450+K451)/(IF(Meal_entry_week_2!$V$547&gt;0,1,0)+IF(Meal_entry_week_2!$V$548&gt;0,1,0)+IF(Meal_entry_week_2!$V$549&gt;0,1,0)+IF(Meal_entry_week_2!$V$550&gt;0,1,0)+IF(Meal_entry_week_2!$V$551&gt;0,1,0)+0.00001)</f>
        <v>0</v>
      </c>
      <c r="L417" s="1072">
        <f>(L447+L448+L449+L450+L451)/(IF(Meal_entry_week_2!$V$547&gt;0,1,0)+IF(Meal_entry_week_2!$V$548&gt;0,1,0)+IF(Meal_entry_week_2!$V$549&gt;0,1,0)+IF(Meal_entry_week_2!$V$550&gt;0,1,0)+IF(Meal_entry_week_2!$V$551&gt;0,1,0)+0.00001)</f>
        <v>0</v>
      </c>
      <c r="M417" s="1072">
        <f>(M447+M448+M449+M450+M451)/(IF(Meal_entry_week_2!$V$547&gt;0,1,0)+IF(Meal_entry_week_2!$V$548&gt;0,1,0)+IF(Meal_entry_week_2!$V$549&gt;0,1,0)+IF(Meal_entry_week_2!$V$550&gt;0,1,0)+IF(Meal_entry_week_2!$V$551&gt;0,1,0)+0.00001)</f>
        <v>0</v>
      </c>
      <c r="N417" s="1072">
        <f>(N447+N448+N449+N450+N451)/(IF(Meal_entry_week_2!$V$547&gt;0,1,0)+IF(Meal_entry_week_2!$V$548&gt;0,1,0)+IF(Meal_entry_week_2!$V$549&gt;0,1,0)+IF(Meal_entry_week_2!$V$550&gt;0,1,0)+IF(Meal_entry_week_2!$V$551&gt;0,1,0)+0.00001)</f>
        <v>0</v>
      </c>
      <c r="O417" s="1072">
        <f>(O447+O448+O449+O450+O451)/(IF(Meal_entry_week_2!$V$547&gt;0,1,0)+IF(Meal_entry_week_2!$V$548&gt;0,1,0)+IF(Meal_entry_week_2!$V$549&gt;0,1,0)+IF(Meal_entry_week_2!$V$550&gt;0,1,0)+IF(Meal_entry_week_2!$V$551&gt;0,1,0)+0.00001)</f>
        <v>0</v>
      </c>
      <c r="P417" s="1072">
        <f>(P447+P448+P449+P450+P451)/(IF(Meal_entry_week_2!$V$547&gt;0,1,0)+IF(Meal_entry_week_2!$V$548&gt;0,1,0)+IF(Meal_entry_week_2!$V$549&gt;0,1,0)+IF(Meal_entry_week_2!$V$550&gt;0,1,0)+IF(Meal_entry_week_2!$V$551&gt;0,1,0)+0.00001)</f>
        <v>0</v>
      </c>
      <c r="Q417" s="1072">
        <f>(Q447+Q448+Q449+Q450+Q451)/(IF(Meal_entry_week_2!$V$547&gt;0,1,0)+IF(Meal_entry_week_2!$V$548&gt;0,1,0)+IF(Meal_entry_week_2!$V$549&gt;0,1,0)+IF(Meal_entry_week_2!$V$550&gt;0,1,0)+IF(Meal_entry_week_2!$V$551&gt;0,1,0)+0.00001)</f>
        <v>0</v>
      </c>
      <c r="R417" s="1072">
        <f>(R447+R448+R449+R450+R451)/(IF(Meal_entry_week_2!$V$547&gt;0,1,0)+IF(Meal_entry_week_2!$V$548&gt;0,1,0)+IF(Meal_entry_week_2!$V$549&gt;0,1,0)+IF(Meal_entry_week_2!$V$550&gt;0,1,0)+IF(Meal_entry_week_2!$V$551&gt;0,1,0)+0.00001)</f>
        <v>0</v>
      </c>
      <c r="S417" s="1072">
        <f>(S447+S448+S449+S450+S451)/(IF(Meal_entry_week_2!$V$547&gt;0,1,0)+IF(Meal_entry_week_2!$V$548&gt;0,1,0)+IF(Meal_entry_week_2!$V$549&gt;0,1,0)+IF(Meal_entry_week_2!$V$550&gt;0,1,0)+IF(Meal_entry_week_2!$V$551&gt;0,1,0)+0.00001)</f>
        <v>0</v>
      </c>
      <c r="T417" s="1070">
        <f>2800-SUM(D417:S417)</f>
        <v>2800</v>
      </c>
      <c r="U417" s="965"/>
      <c r="V417" s="913"/>
      <c r="W417" s="913"/>
      <c r="X417" s="913"/>
      <c r="Y417" s="913"/>
      <c r="Z417" s="913"/>
      <c r="AA417" s="913"/>
      <c r="AB417" s="913"/>
      <c r="AC417" s="913"/>
      <c r="AD417" s="913"/>
      <c r="AE417" s="913"/>
      <c r="AF417" s="913"/>
      <c r="AG417" s="913"/>
    </row>
    <row r="418" spans="1:33">
      <c r="A418" s="911"/>
      <c r="B418" s="956" t="s">
        <v>69</v>
      </c>
      <c r="C418" s="945"/>
      <c r="D418" s="1072">
        <f>(D441+D442+D443+D444+D445)/(IF(Meal_entry_week_2!$V$547&gt;0,1,0)+IF(Meal_entry_week_2!$V$548&gt;0,1,0)+IF(Meal_entry_week_2!$V$549&gt;0,1,0)+IF(Meal_entry_week_2!$V$550&gt;0,1,0)+IF(Meal_entry_week_2!$V$551&gt;0,1,0)+0.00001)</f>
        <v>151.34769730460539</v>
      </c>
      <c r="E418" s="1072">
        <f>(E441+E442+E443+E444+E445)/(IF(Meal_entry_week_2!$V$547&gt;0,1,0)+IF(Meal_entry_week_2!$V$548&gt;0,1,0)+IF(Meal_entry_week_2!$V$549&gt;0,1,0)+IF(Meal_entry_week_2!$V$550&gt;0,1,0)+IF(Meal_entry_week_2!$V$551&gt;0,1,0)+0.00001)</f>
        <v>19.199961600076801</v>
      </c>
      <c r="F418" s="1072">
        <f>(F441+F442+F443+F444+F445)/(IF(Meal_entry_week_2!$V$547&gt;0,1,0)+IF(Meal_entry_week_2!$V$548&gt;0,1,0)+IF(Meal_entry_week_2!$V$549&gt;0,1,0)+IF(Meal_entry_week_2!$V$550&gt;0,1,0)+IF(Meal_entry_week_2!$V$551&gt;0,1,0)+0.00001)</f>
        <v>53.319893360213285</v>
      </c>
      <c r="G418" s="1072">
        <f>(G441+G442+G443+G444+G445)/(IF(Meal_entry_week_2!$V$547&gt;0,1,0)+IF(Meal_entry_week_2!$V$548&gt;0,1,0)+IF(Meal_entry_week_2!$V$549&gt;0,1,0)+IF(Meal_entry_week_2!$V$550&gt;0,1,0)+IF(Meal_entry_week_2!$V$551&gt;0,1,0)+0.00001)</f>
        <v>213.49957300085401</v>
      </c>
      <c r="H418" s="1072">
        <f>(H441+H442+H443+H444+H445)/(IF(Meal_entry_week_2!$V$547&gt;0,1,0)+IF(Meal_entry_week_2!$V$548&gt;0,1,0)+IF(Meal_entry_week_2!$V$549&gt;0,1,0)+IF(Meal_entry_week_2!$V$550&gt;0,1,0)+IF(Meal_entry_week_2!$V$551&gt;0,1,0)+0.00001)</f>
        <v>54.239891520216965</v>
      </c>
      <c r="I418" s="1072">
        <f>(I441+I442+I443+I444+I445)/(IF(Meal_entry_week_2!$V$547&gt;0,1,0)+IF(Meal_entry_week_2!$V$548&gt;0,1,0)+IF(Meal_entry_week_2!$V$549&gt;0,1,0)+IF(Meal_entry_week_2!$V$550&gt;0,1,0)+IF(Meal_entry_week_2!$V$551&gt;0,1,0)+0.00001)</f>
        <v>0</v>
      </c>
      <c r="J418" s="1072">
        <f>(J441+J442+J443+J444+J445)/(IF(Meal_entry_week_2!$V$547&gt;0,1,0)+IF(Meal_entry_week_2!$V$548&gt;0,1,0)+IF(Meal_entry_week_2!$V$549&gt;0,1,0)+IF(Meal_entry_week_2!$V$550&gt;0,1,0)+IF(Meal_entry_week_2!$V$551&gt;0,1,0)+0.00001)</f>
        <v>39.519920960158089</v>
      </c>
      <c r="K418" s="1072">
        <f>(K441+K442+K443+K444+K445)/(IF(Meal_entry_week_2!$V$547&gt;0,1,0)+IF(Meal_entry_week_2!$V$548&gt;0,1,0)+IF(Meal_entry_week_2!$V$549&gt;0,1,0)+IF(Meal_entry_week_2!$V$550&gt;0,1,0)+IF(Meal_entry_week_2!$V$551&gt;0,1,0)+0.00001)</f>
        <v>77.875844248311509</v>
      </c>
      <c r="L418" s="1072">
        <f>(L441+L442+L443+L444+L445)/(IF(Meal_entry_week_2!$V$547&gt;0,1,0)+IF(Meal_entry_week_2!$V$548&gt;0,1,0)+IF(Meal_entry_week_2!$V$549&gt;0,1,0)+IF(Meal_entry_week_2!$V$550&gt;0,1,0)+IF(Meal_entry_week_2!$V$551&gt;0,1,0)+0.00001)</f>
        <v>94.410611178777643</v>
      </c>
      <c r="M418" s="1072">
        <f>(M441+M442+M443+M444+M445)/(IF(Meal_entry_week_2!$V$547&gt;0,1,0)+IF(Meal_entry_week_2!$V$548&gt;0,1,0)+IF(Meal_entry_week_2!$V$549&gt;0,1,0)+IF(Meal_entry_week_2!$V$550&gt;0,1,0)+IF(Meal_entry_week_2!$V$551&gt;0,1,0)+0.00001)</f>
        <v>142.29171541656919</v>
      </c>
      <c r="N418" s="1072">
        <f>(N441+N442+N443+N444+N445)/(IF(Meal_entry_week_2!$V$547&gt;0,1,0)+IF(Meal_entry_week_2!$V$548&gt;0,1,0)+IF(Meal_entry_week_2!$V$549&gt;0,1,0)+IF(Meal_entry_week_2!$V$550&gt;0,1,0)+IF(Meal_entry_week_2!$V$551&gt;0,1,0)+0.00001)</f>
        <v>19.767600464799074</v>
      </c>
      <c r="O418" s="1072">
        <f>(O441+O442+O443+O444+O445)/(IF(Meal_entry_week_2!$V$547&gt;0,1,0)+IF(Meal_entry_week_2!$V$548&gt;0,1,0)+IF(Meal_entry_week_2!$V$549&gt;0,1,0)+IF(Meal_entry_week_2!$V$550&gt;0,1,0)+IF(Meal_entry_week_2!$V$551&gt;0,1,0)+0.00001)</f>
        <v>1.5655968688062627</v>
      </c>
      <c r="P418" s="1072">
        <f>(P441+P442+P443+P444+P445)/(IF(Meal_entry_week_2!$V$547&gt;0,1,0)+IF(Meal_entry_week_2!$V$548&gt;0,1,0)+IF(Meal_entry_week_2!$V$549&gt;0,1,0)+IF(Meal_entry_week_2!$V$550&gt;0,1,0)+IF(Meal_entry_week_2!$V$551&gt;0,1,0)+0.00001)</f>
        <v>115.0197699604601</v>
      </c>
      <c r="Q418" s="1072">
        <f>(Q441+Q442+Q443+Q444+Q445)/(IF(Meal_entry_week_2!$V$547&gt;0,1,0)+IF(Meal_entry_week_2!$V$548&gt;0,1,0)+IF(Meal_entry_week_2!$V$549&gt;0,1,0)+IF(Meal_entry_week_2!$V$550&gt;0,1,0)+IF(Meal_entry_week_2!$V$551&gt;0,1,0)+0.00001)</f>
        <v>0</v>
      </c>
      <c r="R418" s="1072">
        <f>(R441+R442+R443+R444+R445)/(IF(Meal_entry_week_2!$V$547&gt;0,1,0)+IF(Meal_entry_week_2!$V$548&gt;0,1,0)+IF(Meal_entry_week_2!$V$549&gt;0,1,0)+IF(Meal_entry_week_2!$V$550&gt;0,1,0)+IF(Meal_entry_week_2!$V$551&gt;0,1,0)+0.00001)</f>
        <v>0</v>
      </c>
      <c r="S418" s="1072">
        <f>(S441+S442+S443+S444+S445)/(IF(Meal_entry_week_2!$V$547&gt;0,1,0)+IF(Meal_entry_week_2!$V$548&gt;0,1,0)+IF(Meal_entry_week_2!$V$549&gt;0,1,0)+IF(Meal_entry_week_2!$V$550&gt;0,1,0)+IF(Meal_entry_week_2!$V$551&gt;0,1,0)+0.00001)</f>
        <v>0</v>
      </c>
      <c r="T418" s="1070">
        <f>2800-SUM(D418:S418)</f>
        <v>1817.9419241161518</v>
      </c>
      <c r="U418" s="965"/>
      <c r="V418" s="913"/>
      <c r="W418" s="913"/>
      <c r="X418" s="913"/>
      <c r="Y418" s="913"/>
      <c r="Z418" s="913"/>
      <c r="AA418" s="913"/>
      <c r="AB418" s="913"/>
      <c r="AC418" s="913"/>
      <c r="AD418" s="913"/>
      <c r="AE418" s="913"/>
      <c r="AF418" s="913"/>
      <c r="AG418" s="913"/>
    </row>
    <row r="419" spans="1:33">
      <c r="A419" s="911"/>
      <c r="B419" s="956" t="s">
        <v>1425</v>
      </c>
      <c r="C419" s="945"/>
      <c r="D419" s="1072">
        <f>(D435+D436+D437+D438+D439)/(IF(Meal_entry_week_2!$V$547&gt;0,1,0)+IF(Meal_entry_week_2!$V$548&gt;0,1,0)+IF(Meal_entry_week_2!$V$549&gt;0,1,0)+IF(Meal_entry_week_2!$V$550&gt;0,1,0)+IF(Meal_entry_week_2!$V$551&gt;0,1,0)+0.00001)</f>
        <v>0</v>
      </c>
      <c r="E419" s="1072">
        <f>(E435+E436+E437+E438+E439)/(IF(Meal_entry_week_2!$V$547&gt;0,1,0)+IF(Meal_entry_week_2!$V$548&gt;0,1,0)+IF(Meal_entry_week_2!$V$549&gt;0,1,0)+IF(Meal_entry_week_2!$V$550&gt;0,1,0)+IF(Meal_entry_week_2!$V$551&gt;0,1,0)+0.00001)</f>
        <v>0</v>
      </c>
      <c r="F419" s="1072">
        <f>(F435+F436+F437+F438+F439)/(IF(Meal_entry_week_2!$V$547&gt;0,1,0)+IF(Meal_entry_week_2!$V$548&gt;0,1,0)+IF(Meal_entry_week_2!$V$549&gt;0,1,0)+IF(Meal_entry_week_2!$V$550&gt;0,1,0)+IF(Meal_entry_week_2!$V$551&gt;0,1,0)+0.00001)</f>
        <v>0</v>
      </c>
      <c r="G419" s="1072">
        <f>(G435+G436+G437+G438+G439)/(IF(Meal_entry_week_2!$V$547&gt;0,1,0)+IF(Meal_entry_week_2!$V$548&gt;0,1,0)+IF(Meal_entry_week_2!$V$549&gt;0,1,0)+IF(Meal_entry_week_2!$V$550&gt;0,1,0)+IF(Meal_entry_week_2!$V$551&gt;0,1,0)+0.00001)</f>
        <v>0</v>
      </c>
      <c r="H419" s="1072">
        <f>(H435+H436+H437+H438+H439)/(IF(Meal_entry_week_2!$V$547&gt;0,1,0)+IF(Meal_entry_week_2!$V$548&gt;0,1,0)+IF(Meal_entry_week_2!$V$549&gt;0,1,0)+IF(Meal_entry_week_2!$V$550&gt;0,1,0)+IF(Meal_entry_week_2!$V$551&gt;0,1,0)+0.00001)</f>
        <v>19.599960800078403</v>
      </c>
      <c r="I419" s="1072">
        <f>(I435+I436+I437+I438+I439)/(IF(Meal_entry_week_2!$V$547&gt;0,1,0)+IF(Meal_entry_week_2!$V$548&gt;0,1,0)+IF(Meal_entry_week_2!$V$549&gt;0,1,0)+IF(Meal_entry_week_2!$V$550&gt;0,1,0)+IF(Meal_entry_week_2!$V$551&gt;0,1,0)+0.00001)</f>
        <v>0</v>
      </c>
      <c r="J419" s="1072">
        <f>(J435+J436+J437+J438+J439)/(IF(Meal_entry_week_2!$V$547&gt;0,1,0)+IF(Meal_entry_week_2!$V$548&gt;0,1,0)+IF(Meal_entry_week_2!$V$549&gt;0,1,0)+IF(Meal_entry_week_2!$V$550&gt;0,1,0)+IF(Meal_entry_week_2!$V$551&gt;0,1,0)+0.00001)</f>
        <v>6.2623874752250499</v>
      </c>
      <c r="K419" s="1072">
        <f>(K435+K436+K437+K438+K439)/(IF(Meal_entry_week_2!$V$547&gt;0,1,0)+IF(Meal_entry_week_2!$V$548&gt;0,1,0)+IF(Meal_entry_week_2!$V$549&gt;0,1,0)+IF(Meal_entry_week_2!$V$550&gt;0,1,0)+IF(Meal_entry_week_2!$V$551&gt;0,1,0)+0.00001)</f>
        <v>147.59170481659035</v>
      </c>
      <c r="L419" s="1072">
        <f>(L435+L436+L437+L438+L439)/(IF(Meal_entry_week_2!$V$547&gt;0,1,0)+IF(Meal_entry_week_2!$V$548&gt;0,1,0)+IF(Meal_entry_week_2!$V$549&gt;0,1,0)+IF(Meal_entry_week_2!$V$550&gt;0,1,0)+IF(Meal_entry_week_2!$V$551&gt;0,1,0)+0.00001)</f>
        <v>44.461911076177856</v>
      </c>
      <c r="M419" s="1072">
        <f>(M435+M436+M437+M438+M439)/(IF(Meal_entry_week_2!$V$547&gt;0,1,0)+IF(Meal_entry_week_2!$V$548&gt;0,1,0)+IF(Meal_entry_week_2!$V$549&gt;0,1,0)+IF(Meal_entry_week_2!$V$550&gt;0,1,0)+IF(Meal_entry_week_2!$V$551&gt;0,1,0)+0.00001)</f>
        <v>24.827950344099314</v>
      </c>
      <c r="N419" s="1072">
        <f>(N435+N436+N437+N438+N439)/(IF(Meal_entry_week_2!$V$547&gt;0,1,0)+IF(Meal_entry_week_2!$V$548&gt;0,1,0)+IF(Meal_entry_week_2!$V$549&gt;0,1,0)+IF(Meal_entry_week_2!$V$550&gt;0,1,0)+IF(Meal_entry_week_2!$V$551&gt;0,1,0)+0.00001)</f>
        <v>7.0079859840280321</v>
      </c>
      <c r="O419" s="1072">
        <f>(O435+O436+O437+O438+O439)/(IF(Meal_entry_week_2!$V$547&gt;0,1,0)+IF(Meal_entry_week_2!$V$548&gt;0,1,0)+IF(Meal_entry_week_2!$V$549&gt;0,1,0)+IF(Meal_entry_week_2!$V$550&gt;0,1,0)+IF(Meal_entry_week_2!$V$551&gt;0,1,0)+0.00001)</f>
        <v>2.8879942240115519</v>
      </c>
      <c r="P419" s="1072">
        <f>(P435+P436+P437+P438+P439)/(IF(Meal_entry_week_2!$V$547&gt;0,1,0)+IF(Meal_entry_week_2!$V$548&gt;0,1,0)+IF(Meal_entry_week_2!$V$549&gt;0,1,0)+IF(Meal_entry_week_2!$V$550&gt;0,1,0)+IF(Meal_entry_week_2!$V$551&gt;0,1,0)+0.00001)</f>
        <v>58.319883360233291</v>
      </c>
      <c r="Q419" s="1072">
        <f>(Q435+Q436+Q437+Q438+Q439)/(IF(Meal_entry_week_2!$V$547&gt;0,1,0)+IF(Meal_entry_week_2!$V$548&gt;0,1,0)+IF(Meal_entry_week_2!$V$549&gt;0,1,0)+IF(Meal_entry_week_2!$V$550&gt;0,1,0)+IF(Meal_entry_week_2!$V$551&gt;0,1,0)+0.00001)</f>
        <v>0</v>
      </c>
      <c r="R419" s="1072">
        <f>(R435+R436+R437+R438+R439)/(IF(Meal_entry_week_2!$V$547&gt;0,1,0)+IF(Meal_entry_week_2!$V$548&gt;0,1,0)+IF(Meal_entry_week_2!$V$549&gt;0,1,0)+IF(Meal_entry_week_2!$V$550&gt;0,1,0)+IF(Meal_entry_week_2!$V$551&gt;0,1,0)+0.00001)</f>
        <v>0</v>
      </c>
      <c r="S419" s="1072">
        <f>(S435+S436+S437+S438+S439)/(IF(Meal_entry_week_2!$V$547&gt;0,1,0)+IF(Meal_entry_week_2!$V$548&gt;0,1,0)+IF(Meal_entry_week_2!$V$549&gt;0,1,0)+IF(Meal_entry_week_2!$V$550&gt;0,1,0)+IF(Meal_entry_week_2!$V$551&gt;0,1,0)+0.00001)</f>
        <v>0</v>
      </c>
      <c r="T419" s="1070">
        <f>2800-SUM(D419:S419)</f>
        <v>2489.0402219195562</v>
      </c>
      <c r="U419" s="965"/>
      <c r="V419" s="913"/>
      <c r="W419" s="913"/>
      <c r="X419" s="913"/>
      <c r="Y419" s="913"/>
      <c r="Z419" s="913"/>
      <c r="AA419" s="913"/>
      <c r="AB419" s="913"/>
      <c r="AC419" s="913"/>
      <c r="AD419" s="913"/>
      <c r="AE419" s="913"/>
      <c r="AF419" s="913"/>
      <c r="AG419" s="913"/>
    </row>
    <row r="420" spans="1:33">
      <c r="A420" s="911"/>
      <c r="B420" s="956" t="s">
        <v>67</v>
      </c>
      <c r="C420" s="945"/>
      <c r="D420" s="1072">
        <f>(D429+D430+D431+D432+D433)/(IF(Meal_entry_week_2!$V$547&gt;0,1,0)+IF(Meal_entry_week_2!$V$548&gt;0,1,0)+IF(Meal_entry_week_2!$V$549&gt;0,1,0)+IF(Meal_entry_week_2!$V$550&gt;0,1,0)+IF(Meal_entry_week_2!$V$551&gt;0,1,0)+0.00001)</f>
        <v>0</v>
      </c>
      <c r="E420" s="1072">
        <f>(E429+E430+E431+E432+E433)/(IF(Meal_entry_week_2!$V$547&gt;0,1,0)+IF(Meal_entry_week_2!$V$548&gt;0,1,0)+IF(Meal_entry_week_2!$V$549&gt;0,1,0)+IF(Meal_entry_week_2!$V$550&gt;0,1,0)+IF(Meal_entry_week_2!$V$551&gt;0,1,0)+0.00001)</f>
        <v>0</v>
      </c>
      <c r="F420" s="1072">
        <f>(F429+F430+F431+F432+F433)/(IF(Meal_entry_week_2!$V$547&gt;0,1,0)+IF(Meal_entry_week_2!$V$548&gt;0,1,0)+IF(Meal_entry_week_2!$V$549&gt;0,1,0)+IF(Meal_entry_week_2!$V$550&gt;0,1,0)+IF(Meal_entry_week_2!$V$551&gt;0,1,0)+0.00001)</f>
        <v>0</v>
      </c>
      <c r="G420" s="1072">
        <f>(G429+G430+G431+G432+G433)/(IF(Meal_entry_week_2!$V$547&gt;0,1,0)+IF(Meal_entry_week_2!$V$548&gt;0,1,0)+IF(Meal_entry_week_2!$V$549&gt;0,1,0)+IF(Meal_entry_week_2!$V$550&gt;0,1,0)+IF(Meal_entry_week_2!$V$551&gt;0,1,0)+0.00001)</f>
        <v>0</v>
      </c>
      <c r="H420" s="1072">
        <f>(H429+H430+H431+H432+H433)/(IF(Meal_entry_week_2!$V$547&gt;0,1,0)+IF(Meal_entry_week_2!$V$548&gt;0,1,0)+IF(Meal_entry_week_2!$V$549&gt;0,1,0)+IF(Meal_entry_week_2!$V$550&gt;0,1,0)+IF(Meal_entry_week_2!$V$551&gt;0,1,0)+0.00001)</f>
        <v>0</v>
      </c>
      <c r="I420" s="1072">
        <f>(I429+I430+I431+I432+I433)/(IF(Meal_entry_week_2!$V$547&gt;0,1,0)+IF(Meal_entry_week_2!$V$548&gt;0,1,0)+IF(Meal_entry_week_2!$V$549&gt;0,1,0)+IF(Meal_entry_week_2!$V$550&gt;0,1,0)+IF(Meal_entry_week_2!$V$551&gt;0,1,0)+0.00001)</f>
        <v>0</v>
      </c>
      <c r="J420" s="1072">
        <f>(J429+J430+J431+J432+J433)/(IF(Meal_entry_week_2!$V$547&gt;0,1,0)+IF(Meal_entry_week_2!$V$548&gt;0,1,0)+IF(Meal_entry_week_2!$V$549&gt;0,1,0)+IF(Meal_entry_week_2!$V$550&gt;0,1,0)+IF(Meal_entry_week_2!$V$551&gt;0,1,0)+0.00001)</f>
        <v>0</v>
      </c>
      <c r="K420" s="1072">
        <f>(K429+K430+K431+K432+K433)/(IF(Meal_entry_week_2!$V$547&gt;0,1,0)+IF(Meal_entry_week_2!$V$548&gt;0,1,0)+IF(Meal_entry_week_2!$V$549&gt;0,1,0)+IF(Meal_entry_week_2!$V$550&gt;0,1,0)+IF(Meal_entry_week_2!$V$551&gt;0,1,0)+0.00001)</f>
        <v>0</v>
      </c>
      <c r="L420" s="1072">
        <f>(L429+L430+L431+L432+L433)/(IF(Meal_entry_week_2!$V$547&gt;0,1,0)+IF(Meal_entry_week_2!$V$548&gt;0,1,0)+IF(Meal_entry_week_2!$V$549&gt;0,1,0)+IF(Meal_entry_week_2!$V$550&gt;0,1,0)+IF(Meal_entry_week_2!$V$551&gt;0,1,0)+0.00001)</f>
        <v>0</v>
      </c>
      <c r="M420" s="1072">
        <f>(M429+M430+M431+M432+M433)/(IF(Meal_entry_week_2!$V$547&gt;0,1,0)+IF(Meal_entry_week_2!$V$548&gt;0,1,0)+IF(Meal_entry_week_2!$V$549&gt;0,1,0)+IF(Meal_entry_week_2!$V$550&gt;0,1,0)+IF(Meal_entry_week_2!$V$551&gt;0,1,0)+0.00001)</f>
        <v>0</v>
      </c>
      <c r="N420" s="1072">
        <f>(N429+N430+N431+N432+N433)/(IF(Meal_entry_week_2!$V$547&gt;0,1,0)+IF(Meal_entry_week_2!$V$548&gt;0,1,0)+IF(Meal_entry_week_2!$V$549&gt;0,1,0)+IF(Meal_entry_week_2!$V$550&gt;0,1,0)+IF(Meal_entry_week_2!$V$551&gt;0,1,0)+0.00001)</f>
        <v>0</v>
      </c>
      <c r="O420" s="1072">
        <f>(O429+O430+O431+O432+O433)/(IF(Meal_entry_week_2!$V$547&gt;0,1,0)+IF(Meal_entry_week_2!$V$548&gt;0,1,0)+IF(Meal_entry_week_2!$V$549&gt;0,1,0)+IF(Meal_entry_week_2!$V$550&gt;0,1,0)+IF(Meal_entry_week_2!$V$551&gt;0,1,0)+0.00001)</f>
        <v>0</v>
      </c>
      <c r="P420" s="1072">
        <f>(P429+P430+P431+P432+P433)/(IF(Meal_entry_week_2!$V$547&gt;0,1,0)+IF(Meal_entry_week_2!$V$548&gt;0,1,0)+IF(Meal_entry_week_2!$V$549&gt;0,1,0)+IF(Meal_entry_week_2!$V$550&gt;0,1,0)+IF(Meal_entry_week_2!$V$551&gt;0,1,0)+0.00001)</f>
        <v>0</v>
      </c>
      <c r="Q420" s="1072">
        <f>(Q429+Q430+Q431+Q432+Q433)/(IF(Meal_entry_week_2!$V$547&gt;0,1,0)+IF(Meal_entry_week_2!$V$548&gt;0,1,0)+IF(Meal_entry_week_2!$V$549&gt;0,1,0)+IF(Meal_entry_week_2!$V$550&gt;0,1,0)+IF(Meal_entry_week_2!$V$551&gt;0,1,0)+0.00001)</f>
        <v>0</v>
      </c>
      <c r="R420" s="1072">
        <f>(R429+R430+R431+R432+R433)/(IF(Meal_entry_week_2!$V$547&gt;0,1,0)+IF(Meal_entry_week_2!$V$548&gt;0,1,0)+IF(Meal_entry_week_2!$V$549&gt;0,1,0)+IF(Meal_entry_week_2!$V$550&gt;0,1,0)+IF(Meal_entry_week_2!$V$551&gt;0,1,0)+0.00001)</f>
        <v>0</v>
      </c>
      <c r="S420" s="1072">
        <f>(S429+S430+S431+S432+S433)/(IF(Meal_entry_week_2!$V$547&gt;0,1,0)+IF(Meal_entry_week_2!$V$548&gt;0,1,0)+IF(Meal_entry_week_2!$V$549&gt;0,1,0)+IF(Meal_entry_week_2!$V$550&gt;0,1,0)+IF(Meal_entry_week_2!$V$551&gt;0,1,0)+0.00001)</f>
        <v>0</v>
      </c>
      <c r="T420" s="1070">
        <f>2800-SUM(D420:S420)</f>
        <v>2800</v>
      </c>
      <c r="U420" s="965"/>
      <c r="V420" s="913"/>
      <c r="W420" s="913"/>
      <c r="X420" s="913"/>
      <c r="Y420" s="913"/>
      <c r="Z420" s="913"/>
      <c r="AA420" s="913"/>
      <c r="AB420" s="913"/>
      <c r="AC420" s="913"/>
      <c r="AD420" s="913"/>
      <c r="AE420" s="913"/>
      <c r="AF420" s="913"/>
      <c r="AG420" s="913"/>
    </row>
    <row r="421" spans="1:33">
      <c r="A421" s="911"/>
      <c r="B421" s="1074" t="s">
        <v>2506</v>
      </c>
      <c r="C421" s="945"/>
      <c r="D421" s="1075">
        <f t="shared" ref="D421:S421" si="55">SUM(D417:D420)</f>
        <v>151.34769730460539</v>
      </c>
      <c r="E421" s="1075">
        <f t="shared" si="55"/>
        <v>19.199961600076801</v>
      </c>
      <c r="F421" s="1075">
        <f t="shared" si="55"/>
        <v>53.319893360213285</v>
      </c>
      <c r="G421" s="1075">
        <f t="shared" si="55"/>
        <v>213.49957300085401</v>
      </c>
      <c r="H421" s="1075">
        <f t="shared" si="55"/>
        <v>73.839852320295364</v>
      </c>
      <c r="I421" s="1075">
        <f t="shared" si="55"/>
        <v>0</v>
      </c>
      <c r="J421" s="1075">
        <f t="shared" si="55"/>
        <v>45.782308435383136</v>
      </c>
      <c r="K421" s="1075">
        <f t="shared" si="55"/>
        <v>225.46754906490185</v>
      </c>
      <c r="L421" s="1075">
        <f t="shared" si="55"/>
        <v>138.8725222549555</v>
      </c>
      <c r="M421" s="1075">
        <f t="shared" si="55"/>
        <v>167.11966576066851</v>
      </c>
      <c r="N421" s="1075">
        <f t="shared" si="55"/>
        <v>26.775586448827106</v>
      </c>
      <c r="O421" s="1075">
        <f t="shared" si="55"/>
        <v>4.4535910928178151</v>
      </c>
      <c r="P421" s="1075">
        <f t="shared" si="55"/>
        <v>173.3396533206934</v>
      </c>
      <c r="Q421" s="1075">
        <f t="shared" si="55"/>
        <v>0</v>
      </c>
      <c r="R421" s="1075">
        <f t="shared" si="55"/>
        <v>0</v>
      </c>
      <c r="S421" s="1075">
        <f t="shared" si="55"/>
        <v>0</v>
      </c>
      <c r="T421" s="1070">
        <f>2800-SUM(D421:S421)</f>
        <v>1506.982146035708</v>
      </c>
      <c r="U421" s="965"/>
      <c r="V421" s="913"/>
      <c r="W421" s="913"/>
      <c r="X421" s="913"/>
      <c r="Y421" s="913"/>
      <c r="Z421" s="913"/>
      <c r="AA421" s="913"/>
      <c r="AB421" s="913"/>
      <c r="AC421" s="913"/>
      <c r="AD421" s="913"/>
      <c r="AE421" s="913"/>
      <c r="AF421" s="913"/>
      <c r="AG421" s="913"/>
    </row>
    <row r="422" spans="1:33">
      <c r="A422" s="911"/>
      <c r="B422" s="956" t="s">
        <v>2523</v>
      </c>
      <c r="C422" s="945"/>
      <c r="D422" s="913" t="s">
        <v>3140</v>
      </c>
      <c r="E422" s="913" t="s">
        <v>3069</v>
      </c>
      <c r="F422" s="913" t="s">
        <v>3077</v>
      </c>
      <c r="G422" s="913" t="s">
        <v>3073</v>
      </c>
      <c r="H422" s="913" t="s">
        <v>3070</v>
      </c>
      <c r="I422" s="913" t="s">
        <v>3575</v>
      </c>
      <c r="J422" s="913" t="s">
        <v>3072</v>
      </c>
      <c r="K422" s="913" t="s">
        <v>3085</v>
      </c>
      <c r="L422" s="913" t="s">
        <v>3075</v>
      </c>
      <c r="M422" s="913" t="s">
        <v>3141</v>
      </c>
      <c r="N422" s="913" t="s">
        <v>3550</v>
      </c>
      <c r="O422" s="913" t="s">
        <v>3078</v>
      </c>
      <c r="P422" s="913" t="s">
        <v>3551</v>
      </c>
      <c r="Q422" s="913" t="s">
        <v>3082</v>
      </c>
      <c r="R422" s="1067" t="s">
        <v>3083</v>
      </c>
      <c r="S422" s="913" t="s">
        <v>3084</v>
      </c>
      <c r="T422" s="1068"/>
      <c r="Y422" s="913"/>
      <c r="Z422" s="913"/>
      <c r="AA422" s="913"/>
      <c r="AB422" s="913"/>
      <c r="AC422" s="913"/>
      <c r="AD422" s="913"/>
      <c r="AE422" s="913"/>
      <c r="AF422" s="913"/>
      <c r="AG422" s="913"/>
    </row>
    <row r="423" spans="1:33">
      <c r="A423" s="911"/>
      <c r="B423" s="956" t="s">
        <v>3064</v>
      </c>
      <c r="C423" s="945"/>
      <c r="D423" s="1072">
        <f t="shared" ref="D423:S423" si="56">D429+D435+D441+D447</f>
        <v>180.5</v>
      </c>
      <c r="E423" s="1072">
        <f t="shared" si="56"/>
        <v>0</v>
      </c>
      <c r="F423" s="1072">
        <f t="shared" si="56"/>
        <v>51.6</v>
      </c>
      <c r="G423" s="1072">
        <f t="shared" si="56"/>
        <v>451.99999999999994</v>
      </c>
      <c r="H423" s="1072">
        <f t="shared" si="56"/>
        <v>0</v>
      </c>
      <c r="I423" s="1072">
        <f t="shared" si="56"/>
        <v>0</v>
      </c>
      <c r="J423" s="1072">
        <f t="shared" si="56"/>
        <v>85.12</v>
      </c>
      <c r="K423" s="1072">
        <f t="shared" si="56"/>
        <v>324.59999999999997</v>
      </c>
      <c r="L423" s="1072">
        <f t="shared" si="56"/>
        <v>236.5</v>
      </c>
      <c r="M423" s="1072">
        <f t="shared" si="56"/>
        <v>64.2</v>
      </c>
      <c r="N423" s="1072">
        <f t="shared" si="56"/>
        <v>34.507999999999996</v>
      </c>
      <c r="O423" s="1072">
        <f t="shared" si="56"/>
        <v>0</v>
      </c>
      <c r="P423" s="1072">
        <f t="shared" si="56"/>
        <v>81</v>
      </c>
      <c r="Q423" s="1072">
        <f t="shared" si="56"/>
        <v>0</v>
      </c>
      <c r="R423" s="1072">
        <f t="shared" si="56"/>
        <v>0</v>
      </c>
      <c r="S423" s="1072">
        <f t="shared" si="56"/>
        <v>0</v>
      </c>
      <c r="T423" s="1070">
        <f>3600-SUM(D423:S423)</f>
        <v>2089.9719999999998</v>
      </c>
      <c r="Y423" s="913"/>
      <c r="Z423" s="913"/>
      <c r="AA423" s="913"/>
      <c r="AB423" s="913"/>
      <c r="AC423" s="913"/>
      <c r="AD423" s="913"/>
      <c r="AE423" s="913"/>
      <c r="AF423" s="913"/>
      <c r="AG423" s="913"/>
    </row>
    <row r="424" spans="1:33">
      <c r="A424" s="911"/>
      <c r="B424" s="956" t="s">
        <v>3065</v>
      </c>
      <c r="C424" s="945"/>
      <c r="D424" s="1072">
        <f t="shared" ref="D424:S424" si="57">D430+D436+D442+D448</f>
        <v>103.8</v>
      </c>
      <c r="E424" s="1072">
        <f t="shared" si="57"/>
        <v>96</v>
      </c>
      <c r="F424" s="1072">
        <f t="shared" si="57"/>
        <v>64.5</v>
      </c>
      <c r="G424" s="1072">
        <f t="shared" si="57"/>
        <v>0</v>
      </c>
      <c r="H424" s="1072">
        <f t="shared" si="57"/>
        <v>0</v>
      </c>
      <c r="I424" s="1072">
        <f t="shared" si="57"/>
        <v>0</v>
      </c>
      <c r="J424" s="1072">
        <f t="shared" si="57"/>
        <v>0</v>
      </c>
      <c r="K424" s="1072">
        <f t="shared" si="57"/>
        <v>348.5</v>
      </c>
      <c r="L424" s="1072">
        <f t="shared" si="57"/>
        <v>23.650000000000002</v>
      </c>
      <c r="M424" s="1072">
        <f t="shared" si="57"/>
        <v>384</v>
      </c>
      <c r="N424" s="1072">
        <f t="shared" si="57"/>
        <v>0.21000000000000002</v>
      </c>
      <c r="O424" s="1072">
        <f t="shared" si="57"/>
        <v>9.5</v>
      </c>
      <c r="P424" s="1072">
        <f t="shared" si="57"/>
        <v>218.70000000000002</v>
      </c>
      <c r="Q424" s="1072">
        <f t="shared" si="57"/>
        <v>0</v>
      </c>
      <c r="R424" s="1072">
        <f t="shared" si="57"/>
        <v>0</v>
      </c>
      <c r="S424" s="1072">
        <f t="shared" si="57"/>
        <v>0</v>
      </c>
      <c r="T424" s="1070">
        <f>3600-SUM(D424:S424)</f>
        <v>2351.1400000000003</v>
      </c>
      <c r="Y424" s="913"/>
      <c r="Z424" s="913"/>
      <c r="AA424" s="913"/>
      <c r="AB424" s="913"/>
      <c r="AC424" s="913"/>
      <c r="AD424" s="913"/>
      <c r="AE424" s="913"/>
      <c r="AF424" s="913"/>
      <c r="AG424" s="913"/>
    </row>
    <row r="425" spans="1:33">
      <c r="A425" s="911"/>
      <c r="B425" s="956" t="s">
        <v>3940</v>
      </c>
      <c r="C425" s="945"/>
      <c r="D425" s="1072">
        <f t="shared" ref="D425:S425" si="58">D431+D437+D443+D449</f>
        <v>99.06</v>
      </c>
      <c r="E425" s="1072">
        <f t="shared" si="58"/>
        <v>0</v>
      </c>
      <c r="F425" s="1072">
        <f t="shared" si="58"/>
        <v>21.5</v>
      </c>
      <c r="G425" s="1072">
        <f t="shared" si="58"/>
        <v>0</v>
      </c>
      <c r="H425" s="1072">
        <f t="shared" si="58"/>
        <v>369.2</v>
      </c>
      <c r="I425" s="1072">
        <f t="shared" si="58"/>
        <v>0</v>
      </c>
      <c r="J425" s="1072">
        <f t="shared" si="58"/>
        <v>15.2</v>
      </c>
      <c r="K425" s="1072">
        <f t="shared" si="58"/>
        <v>173.68</v>
      </c>
      <c r="L425" s="1072">
        <f t="shared" si="58"/>
        <v>93.654000000000011</v>
      </c>
      <c r="M425" s="1072">
        <f t="shared" si="58"/>
        <v>29.160000000000004</v>
      </c>
      <c r="N425" s="1072">
        <f t="shared" si="58"/>
        <v>34.020000000000003</v>
      </c>
      <c r="O425" s="1072">
        <f t="shared" si="58"/>
        <v>5.9280000000000008</v>
      </c>
      <c r="P425" s="1072">
        <f t="shared" si="58"/>
        <v>210.60000000000002</v>
      </c>
      <c r="Q425" s="1072">
        <f t="shared" si="58"/>
        <v>0</v>
      </c>
      <c r="R425" s="1072">
        <f t="shared" si="58"/>
        <v>0</v>
      </c>
      <c r="S425" s="1072">
        <f t="shared" si="58"/>
        <v>0</v>
      </c>
      <c r="T425" s="1070">
        <f>3600-SUM(D425:S425)</f>
        <v>2547.998</v>
      </c>
      <c r="Y425" s="913"/>
      <c r="Z425" s="913"/>
      <c r="AA425" s="913"/>
      <c r="AB425" s="913"/>
      <c r="AC425" s="913"/>
      <c r="AD425" s="913"/>
      <c r="AE425" s="913"/>
      <c r="AF425" s="913"/>
      <c r="AG425" s="913"/>
    </row>
    <row r="426" spans="1:33">
      <c r="A426" s="911"/>
      <c r="B426" s="956" t="s">
        <v>3067</v>
      </c>
      <c r="C426" s="945"/>
      <c r="D426" s="1072">
        <f t="shared" ref="D426:S426" si="59">D432+D438+D444+D450</f>
        <v>325.83999999999997</v>
      </c>
      <c r="E426" s="1072">
        <f t="shared" si="59"/>
        <v>0</v>
      </c>
      <c r="F426" s="1072">
        <f t="shared" si="59"/>
        <v>64.5</v>
      </c>
      <c r="G426" s="1072">
        <f t="shared" si="59"/>
        <v>451.99999999999994</v>
      </c>
      <c r="H426" s="1072">
        <f t="shared" si="59"/>
        <v>0</v>
      </c>
      <c r="I426" s="1072">
        <f t="shared" si="59"/>
        <v>0</v>
      </c>
      <c r="J426" s="1072">
        <f t="shared" si="59"/>
        <v>60.8</v>
      </c>
      <c r="K426" s="1072">
        <f t="shared" si="59"/>
        <v>184.2</v>
      </c>
      <c r="L426" s="1072">
        <f t="shared" si="59"/>
        <v>113.52000000000001</v>
      </c>
      <c r="M426" s="1072">
        <f t="shared" si="59"/>
        <v>32.400000000000006</v>
      </c>
      <c r="N426" s="1072">
        <f t="shared" si="59"/>
        <v>6.4162000000000008</v>
      </c>
      <c r="O426" s="1072">
        <f t="shared" si="59"/>
        <v>1.9</v>
      </c>
      <c r="P426" s="1072">
        <f t="shared" si="59"/>
        <v>234.90000000000003</v>
      </c>
      <c r="Q426" s="1072">
        <f t="shared" si="59"/>
        <v>0</v>
      </c>
      <c r="R426" s="1072">
        <f t="shared" si="59"/>
        <v>0</v>
      </c>
      <c r="S426" s="1072">
        <f t="shared" si="59"/>
        <v>0</v>
      </c>
      <c r="T426" s="1070">
        <f>3600-SUM(D426:S426)</f>
        <v>2123.5237999999999</v>
      </c>
      <c r="Y426" s="913"/>
      <c r="Z426" s="913"/>
      <c r="AA426" s="913"/>
      <c r="AB426" s="913"/>
      <c r="AC426" s="913"/>
      <c r="AD426" s="913"/>
      <c r="AE426" s="913"/>
      <c r="AF426" s="913"/>
      <c r="AG426" s="913"/>
    </row>
    <row r="427" spans="1:33">
      <c r="A427" s="911"/>
      <c r="B427" s="1074" t="s">
        <v>3068</v>
      </c>
      <c r="C427" s="945"/>
      <c r="D427" s="1075">
        <f t="shared" ref="D427:S427" si="60">D433+D439+D445+D451</f>
        <v>47.54</v>
      </c>
      <c r="E427" s="1075">
        <f t="shared" si="60"/>
        <v>0</v>
      </c>
      <c r="F427" s="1075">
        <f t="shared" si="60"/>
        <v>64.5</v>
      </c>
      <c r="G427" s="1075">
        <f t="shared" si="60"/>
        <v>163.5</v>
      </c>
      <c r="H427" s="1075">
        <f t="shared" si="60"/>
        <v>0</v>
      </c>
      <c r="I427" s="1075">
        <f t="shared" si="60"/>
        <v>0</v>
      </c>
      <c r="J427" s="1075">
        <f t="shared" si="60"/>
        <v>67.792000000000002</v>
      </c>
      <c r="K427" s="1075">
        <f t="shared" si="60"/>
        <v>96.36</v>
      </c>
      <c r="L427" s="1075">
        <f t="shared" si="60"/>
        <v>227.04000000000002</v>
      </c>
      <c r="M427" s="1075">
        <f t="shared" si="60"/>
        <v>325.83999999999997</v>
      </c>
      <c r="N427" s="1075">
        <f t="shared" si="60"/>
        <v>58.724000000000004</v>
      </c>
      <c r="O427" s="1075">
        <f t="shared" si="60"/>
        <v>4.9399999999999995</v>
      </c>
      <c r="P427" s="1075">
        <f t="shared" si="60"/>
        <v>121.50000000000001</v>
      </c>
      <c r="Q427" s="1075">
        <f t="shared" si="60"/>
        <v>0</v>
      </c>
      <c r="R427" s="1075">
        <f t="shared" si="60"/>
        <v>0</v>
      </c>
      <c r="S427" s="1075">
        <f t="shared" si="60"/>
        <v>0</v>
      </c>
      <c r="T427" s="1070">
        <f>3600-SUM(D427:S427)</f>
        <v>2422.2640000000001</v>
      </c>
      <c r="Y427" s="913"/>
      <c r="Z427" s="913"/>
      <c r="AA427" s="913"/>
      <c r="AB427" s="913"/>
      <c r="AC427" s="913"/>
      <c r="AD427" s="913"/>
      <c r="AE427" s="913"/>
      <c r="AF427" s="913"/>
      <c r="AG427" s="913"/>
    </row>
    <row r="428" spans="1:33">
      <c r="A428" s="911"/>
      <c r="B428" s="956" t="s">
        <v>3947</v>
      </c>
      <c r="C428" s="945"/>
      <c r="D428" s="913" t="s">
        <v>3140</v>
      </c>
      <c r="E428" s="913" t="s">
        <v>3069</v>
      </c>
      <c r="F428" s="913" t="s">
        <v>3077</v>
      </c>
      <c r="G428" s="913" t="s">
        <v>3073</v>
      </c>
      <c r="H428" s="913" t="s">
        <v>3070</v>
      </c>
      <c r="I428" s="913" t="s">
        <v>3575</v>
      </c>
      <c r="J428" s="913" t="s">
        <v>3072</v>
      </c>
      <c r="K428" s="913" t="s">
        <v>3085</v>
      </c>
      <c r="L428" s="913" t="s">
        <v>3075</v>
      </c>
      <c r="M428" s="913" t="s">
        <v>3141</v>
      </c>
      <c r="N428" s="913" t="s">
        <v>3550</v>
      </c>
      <c r="O428" s="913" t="s">
        <v>3078</v>
      </c>
      <c r="P428" s="913" t="s">
        <v>3551</v>
      </c>
      <c r="Q428" s="913" t="s">
        <v>3082</v>
      </c>
      <c r="R428" s="1067" t="s">
        <v>3083</v>
      </c>
      <c r="S428" s="913" t="s">
        <v>3084</v>
      </c>
      <c r="T428" s="1068"/>
      <c r="Y428" s="913"/>
      <c r="Z428" s="913"/>
      <c r="AA428" s="913"/>
      <c r="AB428" s="913"/>
      <c r="AC428" s="913"/>
      <c r="AD428" s="913"/>
      <c r="AE428" s="913"/>
      <c r="AF428" s="913"/>
      <c r="AG428" s="913"/>
    </row>
    <row r="429" spans="1:33">
      <c r="A429" s="911"/>
      <c r="B429" s="956" t="s">
        <v>3064</v>
      </c>
      <c r="C429" s="945"/>
      <c r="D429" s="1072">
        <f>SUMIF(Meal_entry_week_2!G$11:G$30,"Vegetables_mushrooms_fresh_frozen",Meal_entry_week_2!V$11:V$30)</f>
        <v>0</v>
      </c>
      <c r="E429" s="1072">
        <f>SUMIF(Meal_entry_week_2!G$11:G$30,"Vegetables_processed",Meal_entry_week_2!V$11:V$30)</f>
        <v>0</v>
      </c>
      <c r="F429" s="1072">
        <f>SUMIF(Meal_entry_week_2!G$11:G$30,"Fruits_nuts_dried_fruit",Meal_entry_week_2!V$11:V$30)</f>
        <v>0</v>
      </c>
      <c r="G429" s="1072">
        <f>SUMIF(Meal_entry_week_2!G$11:G$30,"Meat_fresh_frozen",Meal_entry_week_2!V$11:V$30)</f>
        <v>0</v>
      </c>
      <c r="H429" s="1072">
        <f>SUMIF(Meal_entry_week_2!G$11:G$30,"Meat_processed",Meal_entry_week_2!V$11:V$30)</f>
        <v>0</v>
      </c>
      <c r="I429" s="1072">
        <f>SUMIF(Meal_entry_week_2!G$11:G$30,"Fish_fresh_frozen",Meal_entry_week_2!V$11:V$30)+SUMIF(Meal_entry_week_2!G$11:G$30,"Fish_processed_canned",Meal_entry_week_2!V$11:V$30)</f>
        <v>0</v>
      </c>
      <c r="J429" s="1072">
        <f>SUMIF(Meal_entry_week_2!G$11:G$30,"Eggs",Meal_entry_week_2!V$11:V$30)</f>
        <v>0</v>
      </c>
      <c r="K429" s="1072">
        <f>SUMIF(Meal_entry_week_2!G$11:G$30,"Dairy_products",Meal_entry_week_2!V$11:V$30)</f>
        <v>0</v>
      </c>
      <c r="L429" s="1072">
        <f>SUMIF(Meal_entry_week_2!G$11:G$30,"Oil_butter_margarine",Meal_entry_week_2!V$11:V$30)</f>
        <v>0</v>
      </c>
      <c r="M429" s="1072">
        <f>SUMIF(Meal_entry_week_2!G$11:G$30,"Flour_pasta_seeds_cereals",Meal_entry_week_2!V$11:V$30)</f>
        <v>0</v>
      </c>
      <c r="N429" s="1072">
        <f>SUMIF(Meal_entry_week_2!G$11:G$30,"Sauces_purees_dressings",Meal_entry_week_2!V$11:V$30)+SUMIF(Meal_entry_week_2!G$11:G$30,"Spices_seasonings",Meal_entry_week_2!V$11:V$30)</f>
        <v>0</v>
      </c>
      <c r="O429" s="1072">
        <f>SUMIF(Meal_entry_week_2!G$11:G$30,"Sweet_foods_cakes",Meal_entry_week_2!V$11:V$30)</f>
        <v>0</v>
      </c>
      <c r="P429" s="1072">
        <f>SUMIF(Meal_entry_week_2!G$11:G$30,"Bread_and_pastries",Meal_entry_week_2!V$11:V$30)+SUMIF(Meal_entry_week_2!G$11:G$30,"Savoury_pastries",Meal_entry_week_2!V$11:V$30)+SUMIF(Meal_entry_week_2!G$11:G$30,"Sweet_pastries",Meal_entry_week_2!V$11:V$30)</f>
        <v>0</v>
      </c>
      <c r="Q429" s="1072">
        <f>SUMIF(Meal_entry_week_2!G$11:G$30,"Other_processed_foods",Meal_entry_week_2!V$11:V$30)</f>
        <v>0</v>
      </c>
      <c r="R429" s="1072">
        <f>SUMIF(Meal_entry_week_2!G$11:G$30,"Zasladjena_piča_čajevi_kafa",Meal_entry_week_2!V$11:V$30)</f>
        <v>0</v>
      </c>
      <c r="S429" s="1072">
        <f>SUMIF(Meal_entry_week_2!G$11:G$30,"Fruit_juices_water",Meal_entry_week_2!V$11:V$30)</f>
        <v>0</v>
      </c>
      <c r="T429" s="1070">
        <f>1520-SUM(D429:S429)</f>
        <v>1520</v>
      </c>
      <c r="Y429" s="913"/>
      <c r="Z429" s="913"/>
      <c r="AA429" s="913"/>
      <c r="AB429" s="913"/>
      <c r="AC429" s="913"/>
      <c r="AD429" s="913"/>
      <c r="AE429" s="913"/>
      <c r="AF429" s="913"/>
      <c r="AG429" s="913"/>
    </row>
    <row r="430" spans="1:33">
      <c r="A430" s="911"/>
      <c r="B430" s="956" t="s">
        <v>3065</v>
      </c>
      <c r="C430" s="945"/>
      <c r="D430" s="1072">
        <f>SUMIF(Meal_entry_week_2!G$110:G$129,"Vegetables_mushrooms_fresh_frozen",Meal_entry_week_2!V$110:V$129)</f>
        <v>0</v>
      </c>
      <c r="E430" s="1072">
        <f>SUMIF(Meal_entry_week_2!G$110:G$129,"Vegetables_processed",Meal_entry_week_2!V$110:V$129)</f>
        <v>0</v>
      </c>
      <c r="F430" s="1072">
        <f>SUMIF(Meal_entry_week_2!G$110:G$129,"Fruits_nuts_dried_fruit",Meal_entry_week_2!V$110:V$129)</f>
        <v>0</v>
      </c>
      <c r="G430" s="1072">
        <f>SUMIF(Meal_entry_week_2!G$110:G$129,"Meat_fresh_frozen",Meal_entry_week_2!V$110:V$129)</f>
        <v>0</v>
      </c>
      <c r="H430" s="1072">
        <f>SUMIF(Meal_entry_week_2!G$110:G$129,"Meat_processed",Meal_entry_week_2!V$110:V$129)</f>
        <v>0</v>
      </c>
      <c r="I430" s="1072">
        <f>SUMIF(Meal_entry_week_2!G$110:G$129,"Fish_fresh_frozen",Meal_entry_week_2!V$110:V$129)+SUMIF(Meal_entry_week_2!G$110:G$129,"Fish_processed_canned",Meal_entry_week_2!V$110:V$129)</f>
        <v>0</v>
      </c>
      <c r="J430" s="1072">
        <f>SUMIF(Meal_entry_week_2!G$110:G$129,"Eggs",Meal_entry_week_2!V$110:V$129)</f>
        <v>0</v>
      </c>
      <c r="K430" s="1072">
        <f>SUMIF(Meal_entry_week_2!G$110:G$129,"Dairy_products",Meal_entry_week_2!V$110:V$129)</f>
        <v>0</v>
      </c>
      <c r="L430" s="1072">
        <f>SUMIF(Meal_entry_week_2!G$110:G$129,"Oil_butter_margarine",Meal_entry_week_2!V$110:V$129)</f>
        <v>0</v>
      </c>
      <c r="M430" s="1072">
        <f>SUMIF(Meal_entry_week_2!G$110:G$129,"Flour_pasta_seeds_cereals",Meal_entry_week_2!V$110:V$129)</f>
        <v>0</v>
      </c>
      <c r="N430" s="1072">
        <f>SUMIF(Meal_entry_week_2!G$110:G$129,"Sauces_purees_dressings",Meal_entry_week_2!V$110:V$129)+SUMIF(Meal_entry_week_2!G$110:G$129,"Spices_seasonings",Meal_entry_week_2!V$110:V$129)</f>
        <v>0</v>
      </c>
      <c r="O430" s="1072">
        <f>SUMIF(Meal_entry_week_2!G$110:G$129,"Sweet_foods_cakes",Meal_entry_week_2!V$110:V$129)</f>
        <v>0</v>
      </c>
      <c r="P430" s="1072">
        <f>SUMIF(Meal_entry_week_2!G$110:G$129,"Bread_and_pastries",Meal_entry_week_2!V$110:V$129)+SUMIF(Meal_entry_week_2!G$110:G$129,"Savoury_pastries",Meal_entry_week_2!V$110:V$129)+SUMIF(Meal_entry_week_2!G$110:G$129,"Sweet_pastries",Meal_entry_week_2!V$110:V$129)</f>
        <v>0</v>
      </c>
      <c r="Q430" s="1072">
        <f>SUMIF(Meal_entry_week_2!G$110:G$129,"Other_processed_foods",Meal_entry_week_2!V$110:V$129)</f>
        <v>0</v>
      </c>
      <c r="R430" s="1072">
        <f>SUMIF(Meal_entry_week_2!G$110:G$129,"Zasladjena_piča_čajevi_kafa",Meal_entry_week_2!V$110:V$129)</f>
        <v>0</v>
      </c>
      <c r="S430" s="1072">
        <f>SUMIF(Meal_entry_week_2!G$110:G$129,"Fruit_juices_water",Meal_entry_week_2!V$110:V$129)</f>
        <v>0</v>
      </c>
      <c r="T430" s="1070">
        <f>1520-SUM(D430:S430)</f>
        <v>1520</v>
      </c>
      <c r="Y430" s="913"/>
      <c r="Z430" s="913"/>
      <c r="AA430" s="913"/>
      <c r="AB430" s="913"/>
      <c r="AC430" s="913"/>
      <c r="AD430" s="913"/>
      <c r="AE430" s="913"/>
      <c r="AF430" s="913"/>
      <c r="AG430" s="913"/>
    </row>
    <row r="431" spans="1:33">
      <c r="A431" s="911"/>
      <c r="B431" s="956" t="s">
        <v>3940</v>
      </c>
      <c r="C431" s="945"/>
      <c r="D431" s="1072">
        <f>SUMIF(Meal_entry_week_2!G$209:G$228,"Vegetables_mushrooms_fresh_frozen",Meal_entry_week_2!V$209:V$228)</f>
        <v>0</v>
      </c>
      <c r="E431" s="1072">
        <f>SUMIF(Meal_entry_week_2!G$209:G$228,"Vegetables_processed",Meal_entry_week_2!V$209:V$228)</f>
        <v>0</v>
      </c>
      <c r="F431" s="1072">
        <f>SUMIF(Meal_entry_week_2!G$209:G$228,"Fruits_nuts_dried_fruit",Meal_entry_week_2!V$209:V$228)</f>
        <v>0</v>
      </c>
      <c r="G431" s="1072">
        <f>SUMIF(Meal_entry_week_2!G$209:G$228,"Meat_fresh_frozen",Meal_entry_week_2!V$209:V$228)</f>
        <v>0</v>
      </c>
      <c r="H431" s="1072">
        <f>SUMIF(Meal_entry_week_2!G$209:G$228,"Meat_processed",Meal_entry_week_2!V$209:V$228)</f>
        <v>0</v>
      </c>
      <c r="I431" s="1072">
        <f>SUMIF(Meal_entry_week_2!G$209:G$228,"Fish_fresh_frozen",Meal_entry_week_2!V$209:V$228)+SUMIF(Meal_entry_week_2!G$209:G$228,"Fish_processed_canned",Meal_entry_week_2!V$209:V$228)</f>
        <v>0</v>
      </c>
      <c r="J431" s="1072">
        <f>SUMIF(Meal_entry_week_2!G$209:G$228,"Eggs",Meal_entry_week_2!V$209:V$228)</f>
        <v>0</v>
      </c>
      <c r="K431" s="1072">
        <f>SUMIF(Meal_entry_week_2!G$209:G$228,"Dairy_products",Meal_entry_week_2!V$209:V$228)</f>
        <v>0</v>
      </c>
      <c r="L431" s="1072">
        <f>SUMIF(Meal_entry_week_2!G$209:G$228,"Oil_butter_margarine",Meal_entry_week_2!V$209:V$228)</f>
        <v>0</v>
      </c>
      <c r="M431" s="1072">
        <f>SUMIF(Meal_entry_week_2!G$209:G$228,"Flour_pasta_seeds_cereals",Meal_entry_week_2!V$209:V$228)</f>
        <v>0</v>
      </c>
      <c r="N431" s="1072">
        <f>SUMIF(Meal_entry_week_2!G$209:G$228,"Sauces_purees_dressings",Meal_entry_week_2!V$209:V$228)+SUMIF(Meal_entry_week_2!G$209:G$228,"Spices_seasonings",Meal_entry_week_2!V$209:V$228)</f>
        <v>0</v>
      </c>
      <c r="O431" s="1072">
        <f>SUMIF(Meal_entry_week_2!G$209:G$228,"Sweet_foods_cakes",Meal_entry_week_2!V$209:V$228)</f>
        <v>0</v>
      </c>
      <c r="P431" s="1072">
        <f>SUMIF(Meal_entry_week_2!G$209:G$228,"Bread_and_pastries",Meal_entry_week_2!V$209:V$228)+SUMIF(Meal_entry_week_2!G$209:G$228,"Savoury_pastries",Meal_entry_week_2!V$209:V$228)+SUMIF(Meal_entry_week_2!G$209:G$228,"Sweet_pastries",Meal_entry_week_2!V$209:V$228)</f>
        <v>0</v>
      </c>
      <c r="Q431" s="1072">
        <f>SUMIF(Meal_entry_week_2!G$209:G$228,"Other_processed_foods",Meal_entry_week_2!V$209:V$228)</f>
        <v>0</v>
      </c>
      <c r="R431" s="1072">
        <f>SUMIF(Meal_entry_week_2!G$209:G$228,"Zasladjena_piča_čajevi_kafa",Meal_entry_week_2!V$209:V$228)</f>
        <v>0</v>
      </c>
      <c r="S431" s="1072">
        <f>SUMIF(Meal_entry_week_2!G$209:G$228,"Fruit_juices_water",Meal_entry_week_2!V$209:V$228)</f>
        <v>0</v>
      </c>
      <c r="T431" s="1070">
        <f>1520-SUM(D431:S431)</f>
        <v>1520</v>
      </c>
      <c r="Y431" s="913"/>
      <c r="Z431" s="913"/>
      <c r="AA431" s="913"/>
      <c r="AB431" s="913"/>
      <c r="AC431" s="913"/>
      <c r="AD431" s="913"/>
      <c r="AE431" s="913"/>
      <c r="AF431" s="913"/>
      <c r="AG431" s="913"/>
    </row>
    <row r="432" spans="1:33">
      <c r="A432" s="911"/>
      <c r="B432" s="956" t="s">
        <v>3067</v>
      </c>
      <c r="C432" s="945"/>
      <c r="D432" s="1072">
        <f>SUMIF(Meal_entry_week_2!G$308:G$327,"Vegetables_mushrooms_fresh_frozen",Meal_entry_week_2!V$308:V$327)</f>
        <v>0</v>
      </c>
      <c r="E432" s="1072">
        <f>SUMIF(Meal_entry_week_2!G$308:G$327,"Vegetables_processed",Meal_entry_week_2!V$308:V$327)</f>
        <v>0</v>
      </c>
      <c r="F432" s="1072">
        <f>SUMIF(Meal_entry_week_2!G$308:G$327,"Fruits_nuts_dried_fruit",Meal_entry_week_2!V$308:V$327)</f>
        <v>0</v>
      </c>
      <c r="G432" s="1072">
        <f>SUMIF(Meal_entry_week_2!G$308:G$327,"Meat_fresh_frozen",Meal_entry_week_2!V$308:V$327)</f>
        <v>0</v>
      </c>
      <c r="H432" s="1072">
        <f>SUMIF(Meal_entry_week_2!G$308:G$327,"Meat_processed",Meal_entry_week_2!V$308:V$327)</f>
        <v>0</v>
      </c>
      <c r="I432" s="1072">
        <f>SUMIF(Meal_entry_week_2!G$308:G$327,"Fish_fresh_frozen",Meal_entry_week_2!V$308:V$327)+SUMIF(Meal_entry_week_2!G$308:G$327,"Fish_processed_canned",Meal_entry_week_2!V$308:V$327)</f>
        <v>0</v>
      </c>
      <c r="J432" s="1072">
        <f>SUMIF(Meal_entry_week_2!G$308:G$327,"Eggs",Meal_entry_week_2!V$308:V$327)</f>
        <v>0</v>
      </c>
      <c r="K432" s="1072">
        <f>SUMIF(Meal_entry_week_2!G$308:G$327,"Dairy_products",Meal_entry_week_2!V$308:V$327)</f>
        <v>0</v>
      </c>
      <c r="L432" s="1072">
        <f>SUMIF(Meal_entry_week_2!G$308:G$327,"Oil_butter_margarine",Meal_entry_week_2!V$308:V$327)</f>
        <v>0</v>
      </c>
      <c r="M432" s="1072">
        <f>SUMIF(Meal_entry_week_2!G$308:G$327,"Flour_pasta_seeds_cereals",Meal_entry_week_2!V$308:V$327)</f>
        <v>0</v>
      </c>
      <c r="N432" s="1072">
        <f>SUMIF(Meal_entry_week_2!G$308:G$327,"Sauces_purees_dressings",Meal_entry_week_2!V$308:V$327)+SUMIF(Meal_entry_week_2!G$308:G$327,"Spices_seasonings",Meal_entry_week_2!V$308:V$327)</f>
        <v>0</v>
      </c>
      <c r="O432" s="1072">
        <f>SUMIF(Meal_entry_week_2!G$308:G$327,"Sweet_foods_cakes",Meal_entry_week_2!V$308:V$327)</f>
        <v>0</v>
      </c>
      <c r="P432" s="1072">
        <f>SUMIF(Meal_entry_week_2!G$308:G$327,"Bread_and_pastries",Meal_entry_week_2!V$308:V$327)+SUMIF(Meal_entry_week_2!G$308:G$327,"Savoury_pastries",Meal_entry_week_2!V$308:V$327)+SUMIF(Meal_entry_week_2!G$308:G$327,"Sweet_pastries",Meal_entry_week_2!V$308:V$327)</f>
        <v>0</v>
      </c>
      <c r="Q432" s="1072">
        <f>SUMIF(Meal_entry_week_2!G$308:G$327,"Other_processed_foods",Meal_entry_week_2!V$308:V$327)</f>
        <v>0</v>
      </c>
      <c r="R432" s="1072">
        <f>SUMIF(Meal_entry_week_2!G$308:G$327,"Zasladjena_piča_čajevi_kafa",Meal_entry_week_2!V$308:V$327)</f>
        <v>0</v>
      </c>
      <c r="S432" s="1072">
        <f>SUMIF(Meal_entry_week_2!G$308:G$327,"Fruit_juices_water",Meal_entry_week_2!V$308:V$327)</f>
        <v>0</v>
      </c>
      <c r="T432" s="1070">
        <f>1520-SUM(D432:S432)</f>
        <v>1520</v>
      </c>
      <c r="Y432" s="913"/>
      <c r="Z432" s="913"/>
      <c r="AA432" s="913"/>
      <c r="AB432" s="913"/>
      <c r="AC432" s="913"/>
      <c r="AD432" s="913"/>
      <c r="AE432" s="913"/>
      <c r="AF432" s="913"/>
      <c r="AG432" s="913"/>
    </row>
    <row r="433" spans="1:33">
      <c r="A433" s="911"/>
      <c r="B433" s="1074" t="s">
        <v>3068</v>
      </c>
      <c r="C433" s="945"/>
      <c r="D433" s="1075">
        <f>SUMIF(Meal_entry_week_2!G$407:G$426,"Vegetables_mushrooms_fresh_frozen",Meal_entry_week_2!V$407:V$426)</f>
        <v>0</v>
      </c>
      <c r="E433" s="1075">
        <f>SUMIF(Meal_entry_week_2!G$407:G$426,"Vegetables_processed",Meal_entry_week_2!V$407:V$426)</f>
        <v>0</v>
      </c>
      <c r="F433" s="1075">
        <f>SUMIF(Meal_entry_week_2!G$407:G$426,"Fruits_nuts_dried_fruit",Meal_entry_week_2!V$407:V$426)</f>
        <v>0</v>
      </c>
      <c r="G433" s="1075">
        <f>SUMIF(Meal_entry_week_2!G$407:G$426,"Meat_fresh_frozen",Meal_entry_week_2!V$407:V$426)</f>
        <v>0</v>
      </c>
      <c r="H433" s="1075">
        <f>SUMIF(Meal_entry_week_2!G$407:G$426,"Meat_processed",Meal_entry_week_2!V$407:V$426)</f>
        <v>0</v>
      </c>
      <c r="I433" s="1075">
        <f>SUMIF(Meal_entry_week_2!G$407:G$426,"Fish_fresh_frozen",Meal_entry_week_2!V$407:V$426)+SUMIF(Meal_entry_week_2!G$407:G$426,"Fish_processed_canned",Meal_entry_week_2!V$407:V$426)</f>
        <v>0</v>
      </c>
      <c r="J433" s="1075">
        <f>SUMIF(Meal_entry_week_2!G$407:G$426,"Eggs",Meal_entry_week_2!V$407:V$426)</f>
        <v>0</v>
      </c>
      <c r="K433" s="1075">
        <f>SUMIF(Meal_entry_week_2!G$407:G$426,"Dairy_products",Meal_entry_week_2!V$407:V$426)</f>
        <v>0</v>
      </c>
      <c r="L433" s="1075">
        <f>SUMIF(Meal_entry_week_2!G$407:G$426,"Oil_butter_margarine",Meal_entry_week_2!V$407:V$426)</f>
        <v>0</v>
      </c>
      <c r="M433" s="1075">
        <f>SUMIF(Meal_entry_week_2!G$407:G$426,"Flour_pasta_seeds_cereals",Meal_entry_week_2!V$407:V$426)</f>
        <v>0</v>
      </c>
      <c r="N433" s="1075">
        <f>SUMIF(Meal_entry_week_2!G$407:G$426,"Sauces_purees_dressings",Meal_entry_week_2!V$407:V$426)+SUMIF(Meal_entry_week_2!G$407:G$426,"Spices_seasonings",Meal_entry_week_2!V$407:V$426)</f>
        <v>0</v>
      </c>
      <c r="O433" s="1075">
        <f>SUMIF(Meal_entry_week_2!G$407:G$426,"Sweet_foods_cakes",Meal_entry_week_2!V$407:V$426)</f>
        <v>0</v>
      </c>
      <c r="P433" s="1075">
        <f>SUMIF(Meal_entry_week_2!G$407:G$426,"Bread_and_pastries",Meal_entry_week_2!V$407:V$426)+SUMIF(Meal_entry_week_2!G$407:G$426,"Savoury_pastries",Meal_entry_week_2!V$407:V$426)+SUMIF(Meal_entry_week_2!G$407:G$426,"Sweet_pastries",Meal_entry_week_2!V$407:V$426)</f>
        <v>0</v>
      </c>
      <c r="Q433" s="1075">
        <f>SUMIF(Meal_entry_week_2!G$407:G$426,"Other_processed_foods",Meal_entry_week_2!V$407:V$426)</f>
        <v>0</v>
      </c>
      <c r="R433" s="1075">
        <f>SUMIF(Meal_entry_week_2!G$407:G$426,"Zasladjena_piča_čajevi_kafa",Meal_entry_week_2!V$407:V$426)</f>
        <v>0</v>
      </c>
      <c r="S433" s="1075">
        <f>SUMIF(Meal_entry_week_2!G$407:G$426,"Fruit_juices_water",Meal_entry_week_2!V$407:V$426)</f>
        <v>0</v>
      </c>
      <c r="T433" s="1070">
        <f>1520-SUM(D433:S433)</f>
        <v>1520</v>
      </c>
      <c r="Y433" s="913"/>
      <c r="Z433" s="913"/>
      <c r="AA433" s="913"/>
      <c r="AB433" s="913"/>
      <c r="AC433" s="913"/>
      <c r="AD433" s="913"/>
      <c r="AE433" s="913"/>
      <c r="AF433" s="913"/>
      <c r="AG433" s="913"/>
    </row>
    <row r="434" spans="1:33">
      <c r="A434" s="911"/>
      <c r="B434" s="956" t="s">
        <v>2524</v>
      </c>
      <c r="C434" s="945"/>
      <c r="D434" s="913" t="s">
        <v>3140</v>
      </c>
      <c r="E434" s="913" t="s">
        <v>3069</v>
      </c>
      <c r="F434" s="913" t="s">
        <v>3077</v>
      </c>
      <c r="G434" s="913" t="s">
        <v>3073</v>
      </c>
      <c r="H434" s="913" t="s">
        <v>3070</v>
      </c>
      <c r="I434" s="913" t="s">
        <v>3575</v>
      </c>
      <c r="J434" s="913" t="s">
        <v>3072</v>
      </c>
      <c r="K434" s="913" t="s">
        <v>3085</v>
      </c>
      <c r="L434" s="913" t="s">
        <v>3075</v>
      </c>
      <c r="M434" s="913" t="s">
        <v>3141</v>
      </c>
      <c r="N434" s="913" t="s">
        <v>3550</v>
      </c>
      <c r="O434" s="913" t="s">
        <v>3078</v>
      </c>
      <c r="P434" s="913" t="s">
        <v>3551</v>
      </c>
      <c r="Q434" s="913" t="s">
        <v>3082</v>
      </c>
      <c r="R434" s="1067" t="s">
        <v>3083</v>
      </c>
      <c r="S434" s="913" t="s">
        <v>3084</v>
      </c>
      <c r="T434" s="1068"/>
      <c r="Y434" s="913"/>
      <c r="Z434" s="913"/>
      <c r="AA434" s="913"/>
      <c r="AB434" s="913"/>
      <c r="AC434" s="913"/>
      <c r="AD434" s="913"/>
      <c r="AE434" s="913"/>
      <c r="AF434" s="913"/>
      <c r="AG434" s="913"/>
    </row>
    <row r="435" spans="1:33">
      <c r="A435" s="911"/>
      <c r="B435" s="956" t="s">
        <v>3064</v>
      </c>
      <c r="C435" s="945"/>
      <c r="D435" s="1072">
        <f>SUMIF(Meal_entry_week_2!G$38:G$49,"Vegetables_mushrooms_fresh_frozen",Meal_entry_week_2!V$38:V$49)</f>
        <v>0</v>
      </c>
      <c r="E435" s="1072">
        <f>SUMIF(Meal_entry_week_2!G$38:G$49,"Vegetables_processed",Meal_entry_week_2!V$38:V$49)</f>
        <v>0</v>
      </c>
      <c r="F435" s="1072">
        <f>SUMIF(Meal_entry_week_2!G$38:G$49,"Fruits_nuts_dried_fruit",Meal_entry_week_2!V$38:V$49)</f>
        <v>0</v>
      </c>
      <c r="G435" s="1072">
        <f>SUMIF(Meal_entry_week_2!G$38:G$49,"Meat_fresh_frozen",Meal_entry_week_2!V$38:V$49)</f>
        <v>0</v>
      </c>
      <c r="H435" s="1072">
        <f>SUMIF(Meal_entry_week_2!G$38:G$49,"Meat_processed",Meal_entry_week_2!V$38:V$49)</f>
        <v>0</v>
      </c>
      <c r="I435" s="1072">
        <f>SUMIF(Meal_entry_week_2!G$38:G$49,"Fish_fresh_frozen",Meal_entry_week_2!V$38:V$49)+SUMIF(Meal_entry_week_2!G$38:G$49,"Fish_processed_canned",Meal_entry_week_2!V$38:V$49)</f>
        <v>0</v>
      </c>
      <c r="J435" s="1072">
        <f>SUMIF(Meal_entry_week_2!G$38:G$49,"Eggs",Meal_entry_week_2!V$38:V$49)</f>
        <v>24.32</v>
      </c>
      <c r="K435" s="1072">
        <f>SUMIF(Meal_entry_week_2!G$38:G$49,"Dairy_products",Meal_entry_week_2!V$38:V$49)</f>
        <v>251.59999999999997</v>
      </c>
      <c r="L435" s="1072">
        <f>SUMIF(Meal_entry_week_2!G$38:G$49,"Oil_butter_margarine",Meal_entry_week_2!V$38:V$49)</f>
        <v>75.680000000000007</v>
      </c>
      <c r="M435" s="1072">
        <f>SUMIF(Meal_entry_week_2!G$38:G$49,"Flour_pasta_seeds_cereals",Meal_entry_week_2!V$38:V$49)</f>
        <v>48</v>
      </c>
      <c r="N435" s="1072">
        <f>SUMIF(Meal_entry_week_2!G$38:G$49,"Sauces_purees_dressings",Meal_entry_week_2!V$38:V$49)+SUMIF(Meal_entry_week_2!G$38:G$49,"Spices_seasonings",Meal_entry_week_2!V$38:V$49)</f>
        <v>0</v>
      </c>
      <c r="O435" s="1072">
        <f>SUMIF(Meal_entry_week_2!G$38:G$49,"Sweet_foods_cakes",Meal_entry_week_2!V$38:V$49)</f>
        <v>0</v>
      </c>
      <c r="P435" s="1072">
        <f>SUMIF(Meal_entry_week_2!G$38:G$49,"Bread_and_pastries",Meal_entry_week_2!V$38:V$49)+SUMIF(Meal_entry_week_2!G$38:G$49,"Savoury_pastries",Meal_entry_week_2!V$38:V$49)+SUMIF(Meal_entry_week_2!G$38:G$49,"Sweet_pastries",Meal_entry_week_2!V$38:V$49)</f>
        <v>0</v>
      </c>
      <c r="Q435" s="1072">
        <f>SUMIF(Meal_entry_week_2!G$38:G$49,"Other_processed_foods",Meal_entry_week_2!V$38:V$49)</f>
        <v>0</v>
      </c>
      <c r="R435" s="1072">
        <f>SUMIF(Meal_entry_week_2!G$38:G$49,"Zasladjena_piča_čajevi_kafa",Meal_entry_week_2!V$38:V$49)</f>
        <v>0</v>
      </c>
      <c r="S435" s="1072">
        <f>SUMIF(Meal_entry_week_2!G$38:G$49,"Fruit_juices_water",Meal_entry_week_2!V$38:V$49)</f>
        <v>0</v>
      </c>
      <c r="T435" s="1070">
        <f>1120-SUM(D435:S435)</f>
        <v>720.40000000000009</v>
      </c>
      <c r="Y435" s="913"/>
      <c r="Z435" s="913"/>
      <c r="AA435" s="913"/>
      <c r="AB435" s="913"/>
      <c r="AC435" s="913"/>
      <c r="AD435" s="913"/>
      <c r="AE435" s="913"/>
      <c r="AF435" s="913"/>
      <c r="AG435" s="913"/>
    </row>
    <row r="436" spans="1:33">
      <c r="A436" s="911"/>
      <c r="B436" s="956" t="s">
        <v>3065</v>
      </c>
      <c r="C436" s="945"/>
      <c r="D436" s="1072">
        <f>SUMIF(Meal_entry_week_2!G$137:G$148,"Vegetables_mushrooms_fresh_frozen",Meal_entry_week_2!V$137:V$148)</f>
        <v>0</v>
      </c>
      <c r="E436" s="1072">
        <f>SUMIF(Meal_entry_week_2!G$137:G$148,"Vegetables_processed",Meal_entry_week_2!V$137:V$148)</f>
        <v>0</v>
      </c>
      <c r="F436" s="1072">
        <f>SUMIF(Meal_entry_week_2!G$137:G$148,"Fruits_nuts_dried_fruit",Meal_entry_week_2!V$137:V$148)</f>
        <v>0</v>
      </c>
      <c r="G436" s="1072">
        <f>SUMIF(Meal_entry_week_2!G$137:G$148,"Meat_fresh_frozen",Meal_entry_week_2!V$137:V$148)</f>
        <v>0</v>
      </c>
      <c r="H436" s="1072">
        <f>SUMIF(Meal_entry_week_2!G$137:G$148,"Meat_processed",Meal_entry_week_2!V$137:V$148)</f>
        <v>0</v>
      </c>
      <c r="I436" s="1072">
        <f>SUMIF(Meal_entry_week_2!G$137:G$148,"Fish_fresh_frozen",Meal_entry_week_2!V$137:V$148)+SUMIF(Meal_entry_week_2!G$137:G$148,"Fish_processed_canned",Meal_entry_week_2!V$137:V$148)</f>
        <v>0</v>
      </c>
      <c r="J436" s="1072">
        <f>SUMIF(Meal_entry_week_2!G$137:G$148,"Eggs",Meal_entry_week_2!V$137:V$148)</f>
        <v>0</v>
      </c>
      <c r="K436" s="1072">
        <f>SUMIF(Meal_entry_week_2!G$137:G$148,"Dairy_products",Meal_entry_week_2!V$137:V$148)</f>
        <v>146</v>
      </c>
      <c r="L436" s="1072">
        <f>SUMIF(Meal_entry_week_2!G$137:G$148,"Oil_butter_margarine",Meal_entry_week_2!V$137:V$148)</f>
        <v>0</v>
      </c>
      <c r="M436" s="1072">
        <f>SUMIF(Meal_entry_week_2!G$137:G$148,"Flour_pasta_seeds_cereals",Meal_entry_week_2!V$137:V$148)</f>
        <v>0</v>
      </c>
      <c r="N436" s="1072">
        <f>SUMIF(Meal_entry_week_2!G$137:G$148,"Sauces_purees_dressings",Meal_entry_week_2!V$137:V$148)+SUMIF(Meal_entry_week_2!G$137:G$148,"Spices_seasonings",Meal_entry_week_2!V$137:V$148)</f>
        <v>0</v>
      </c>
      <c r="O436" s="1072">
        <f>SUMIF(Meal_entry_week_2!G$137:G$148,"Sweet_foods_cakes",Meal_entry_week_2!V$137:V$148)</f>
        <v>9.5</v>
      </c>
      <c r="P436" s="1072">
        <f>SUMIF(Meal_entry_week_2!G$137:G$148,"Bread_and_pastries",Meal_entry_week_2!V$137:V$148)+SUMIF(Meal_entry_week_2!G$137:G$148,"Savoury_pastries",Meal_entry_week_2!V$137:V$148)+SUMIF(Meal_entry_week_2!G$137:G$148,"Sweet_pastries",Meal_entry_week_2!V$137:V$148)</f>
        <v>97.2</v>
      </c>
      <c r="Q436" s="1072">
        <f>SUMIF(Meal_entry_week_2!G$137:G$148,"Other_processed_foods",Meal_entry_week_2!V$137:V$148)</f>
        <v>0</v>
      </c>
      <c r="R436" s="1072">
        <f>SUMIF(Meal_entry_week_2!G$137:G$148,"Zasladjena_piča_čajevi_kafa",Meal_entry_week_2!V$137:V$148)</f>
        <v>0</v>
      </c>
      <c r="S436" s="1072">
        <f>SUMIF(Meal_entry_week_2!G$137:G$148,"Fruit_juices_water",Meal_entry_week_2!V$137:V$148)</f>
        <v>0</v>
      </c>
      <c r="T436" s="1070">
        <f>1120-SUM(D436:S436)</f>
        <v>867.3</v>
      </c>
      <c r="Y436" s="913"/>
      <c r="Z436" s="913"/>
      <c r="AA436" s="913"/>
      <c r="AB436" s="913"/>
      <c r="AC436" s="913"/>
      <c r="AD436" s="913"/>
      <c r="AE436" s="913"/>
      <c r="AF436" s="913"/>
      <c r="AG436" s="913"/>
    </row>
    <row r="437" spans="1:33">
      <c r="A437" s="911"/>
      <c r="B437" s="956" t="s">
        <v>3940</v>
      </c>
      <c r="C437" s="945"/>
      <c r="D437" s="1072">
        <f>SUMIF(Meal_entry_week_2!G$236:G$247,"Vegetables_mushrooms_fresh_frozen",Meal_entry_week_2!V$236:V$247)</f>
        <v>0</v>
      </c>
      <c r="E437" s="1072">
        <f>SUMIF(Meal_entry_week_2!G$236:G$247,"Vegetables_processed",Meal_entry_week_2!V$236:V$247)</f>
        <v>0</v>
      </c>
      <c r="F437" s="1072">
        <f>SUMIF(Meal_entry_week_2!G$236:G$247,"Fruits_nuts_dried_fruit",Meal_entry_week_2!V$236:V$247)</f>
        <v>0</v>
      </c>
      <c r="G437" s="1072">
        <f>SUMIF(Meal_entry_week_2!G$236:G$247,"Meat_fresh_frozen",Meal_entry_week_2!V$236:V$247)</f>
        <v>0</v>
      </c>
      <c r="H437" s="1072">
        <f>SUMIF(Meal_entry_week_2!G$236:G$247,"Meat_processed",Meal_entry_week_2!V$236:V$247)</f>
        <v>98</v>
      </c>
      <c r="I437" s="1072">
        <f>SUMIF(Meal_entry_week_2!G$236:G$247,"Fish_fresh_frozen",Meal_entry_week_2!V$236:V$247)+SUMIF(Meal_entry_week_2!G$236:G$247,"Fish_processed_canned",Meal_entry_week_2!V$236:V$247)</f>
        <v>0</v>
      </c>
      <c r="J437" s="1072">
        <f>SUMIF(Meal_entry_week_2!G$236:G$247,"Eggs",Meal_entry_week_2!V$236:V$247)</f>
        <v>0</v>
      </c>
      <c r="K437" s="1072">
        <f>SUMIF(Meal_entry_week_2!G$236:G$247,"Dairy_products",Meal_entry_week_2!V$236:V$247)</f>
        <v>162</v>
      </c>
      <c r="L437" s="1072">
        <f>SUMIF(Meal_entry_week_2!G$236:G$247,"Oil_butter_margarine",Meal_entry_week_2!V$236:V$247)</f>
        <v>0</v>
      </c>
      <c r="M437" s="1072">
        <f>SUMIF(Meal_entry_week_2!G$236:G$247,"Flour_pasta_seeds_cereals",Meal_entry_week_2!V$236:V$247)</f>
        <v>0</v>
      </c>
      <c r="N437" s="1072">
        <f>SUMIF(Meal_entry_week_2!G$236:G$247,"Sauces_purees_dressings",Meal_entry_week_2!V$236:V$247)+SUMIF(Meal_entry_week_2!G$236:G$247,"Spices_seasonings",Meal_entry_week_2!V$236:V$247)</f>
        <v>24</v>
      </c>
      <c r="O437" s="1072">
        <f>SUMIF(Meal_entry_week_2!G$236:G$247,"Sweet_foods_cakes",Meal_entry_week_2!V$236:V$247)</f>
        <v>0</v>
      </c>
      <c r="P437" s="1072">
        <f>SUMIF(Meal_entry_week_2!G$236:G$247,"Bread_and_pastries",Meal_entry_week_2!V$236:V$247)+SUMIF(Meal_entry_week_2!G$236:G$247,"Savoury_pastries",Meal_entry_week_2!V$236:V$247)+SUMIF(Meal_entry_week_2!G$236:G$247,"Sweet_pastries",Meal_entry_week_2!V$236:V$247)</f>
        <v>81</v>
      </c>
      <c r="Q437" s="1072">
        <f>SUMIF(Meal_entry_week_2!G$236:G$247,"Other_processed_foods",Meal_entry_week_2!V$236:V$247)</f>
        <v>0</v>
      </c>
      <c r="R437" s="1072">
        <f>SUMIF(Meal_entry_week_2!G$236:G$247,"Zasladjena_piča_čajevi_kafa",Meal_entry_week_2!V$236:V$247)</f>
        <v>0</v>
      </c>
      <c r="S437" s="1072">
        <f>SUMIF(Meal_entry_week_2!G$236:G$247,"Fruit_juices_water",Meal_entry_week_2!V$236:V$247)</f>
        <v>0</v>
      </c>
      <c r="T437" s="1070">
        <f>1120-SUM(D437:S437)</f>
        <v>755</v>
      </c>
      <c r="Y437" s="913"/>
      <c r="Z437" s="913"/>
      <c r="AA437" s="913"/>
      <c r="AB437" s="913"/>
      <c r="AC437" s="913"/>
      <c r="AD437" s="913"/>
      <c r="AE437" s="913"/>
      <c r="AF437" s="913"/>
      <c r="AG437" s="913"/>
    </row>
    <row r="438" spans="1:33">
      <c r="A438" s="911"/>
      <c r="B438" s="956" t="s">
        <v>3067</v>
      </c>
      <c r="C438" s="945"/>
      <c r="D438" s="1072">
        <f>SUMIF(Meal_entry_week_2!G$335:G$346,"Vegetables_mushrooms_fresh_frozen",Meal_entry_week_2!V$335:V$346)</f>
        <v>0</v>
      </c>
      <c r="E438" s="1072">
        <f>SUMIF(Meal_entry_week_2!G$335:G$346,"Vegetables_processed",Meal_entry_week_2!V$335:V$346)</f>
        <v>0</v>
      </c>
      <c r="F438" s="1072">
        <f>SUMIF(Meal_entry_week_2!G$335:G$346,"Fruits_nuts_dried_fruit",Meal_entry_week_2!V$335:V$346)</f>
        <v>0</v>
      </c>
      <c r="G438" s="1072">
        <f>SUMIF(Meal_entry_week_2!G$335:G$346,"Meat_fresh_frozen",Meal_entry_week_2!V$335:V$346)</f>
        <v>0</v>
      </c>
      <c r="H438" s="1072">
        <f>SUMIF(Meal_entry_week_2!G$335:G$346,"Meat_processed",Meal_entry_week_2!V$335:V$346)</f>
        <v>0</v>
      </c>
      <c r="I438" s="1072">
        <f>SUMIF(Meal_entry_week_2!G$335:G$346,"Fish_fresh_frozen",Meal_entry_week_2!V$335:V$346)+SUMIF(Meal_entry_week_2!G$335:G$346,"Fish_processed_canned",Meal_entry_week_2!V$335:V$346)</f>
        <v>0</v>
      </c>
      <c r="J438" s="1072">
        <f>SUMIF(Meal_entry_week_2!G$335:G$346,"Eggs",Meal_entry_week_2!V$335:V$346)</f>
        <v>0</v>
      </c>
      <c r="K438" s="1072">
        <f>SUMIF(Meal_entry_week_2!G$335:G$346,"Dairy_products",Meal_entry_week_2!V$335:V$346)</f>
        <v>155</v>
      </c>
      <c r="L438" s="1072">
        <f>SUMIF(Meal_entry_week_2!G$335:G$346,"Oil_butter_margarine",Meal_entry_week_2!V$335:V$346)</f>
        <v>0</v>
      </c>
      <c r="M438" s="1072">
        <f>SUMIF(Meal_entry_week_2!G$335:G$346,"Flour_pasta_seeds_cereals",Meal_entry_week_2!V$335:V$346)</f>
        <v>0</v>
      </c>
      <c r="N438" s="1072">
        <f>SUMIF(Meal_entry_week_2!G$335:G$346,"Sauces_purees_dressings",Meal_entry_week_2!V$335:V$346)+SUMIF(Meal_entry_week_2!G$335:G$346,"Spices_seasonings",Meal_entry_week_2!V$335:V$346)</f>
        <v>0</v>
      </c>
      <c r="O438" s="1072">
        <f>SUMIF(Meal_entry_week_2!G$335:G$346,"Sweet_foods_cakes",Meal_entry_week_2!V$335:V$346)</f>
        <v>0</v>
      </c>
      <c r="P438" s="1072">
        <f>SUMIF(Meal_entry_week_2!G$335:G$346,"Bread_and_pastries",Meal_entry_week_2!V$335:V$346)+SUMIF(Meal_entry_week_2!G$335:G$346,"Savoury_pastries",Meal_entry_week_2!V$335:V$346)+SUMIF(Meal_entry_week_2!G$335:G$346,"Sweet_pastries",Meal_entry_week_2!V$335:V$346)</f>
        <v>113.4</v>
      </c>
      <c r="Q438" s="1072">
        <f>SUMIF(Meal_entry_week_2!G$335:G$346,"Other_processed_foods",Meal_entry_week_2!V$335:V$346)</f>
        <v>0</v>
      </c>
      <c r="R438" s="1072">
        <f>SUMIF(Meal_entry_week_2!G$335:G$346,"Zasladjena_piča_čajevi_kafa",Meal_entry_week_2!V$335:V$346)</f>
        <v>0</v>
      </c>
      <c r="S438" s="1072">
        <f>SUMIF(Meal_entry_week_2!G$335:G$346,"Fruit_juices_water",Meal_entry_week_2!V$335:V$346)</f>
        <v>0</v>
      </c>
      <c r="T438" s="1070">
        <f>1120-SUM(D438:S438)</f>
        <v>851.6</v>
      </c>
      <c r="Y438" s="913"/>
      <c r="Z438" s="913"/>
      <c r="AA438" s="913"/>
      <c r="AB438" s="913"/>
      <c r="AC438" s="913"/>
      <c r="AD438" s="913"/>
      <c r="AE438" s="913"/>
      <c r="AF438" s="913"/>
      <c r="AG438" s="913"/>
    </row>
    <row r="439" spans="1:33">
      <c r="A439" s="911"/>
      <c r="B439" s="1074" t="s">
        <v>3068</v>
      </c>
      <c r="C439" s="945"/>
      <c r="D439" s="1075">
        <f>SUMIF(Meal_entry_week_2!G$434:G$445,"Vegetables_mushrooms_fresh_frozen",Meal_entry_week_2!V$434:V$445)</f>
        <v>0</v>
      </c>
      <c r="E439" s="1075">
        <f>SUMIF(Meal_entry_week_2!G$434:G$445,"Vegetables_processed",Meal_entry_week_2!V$434:V$445)</f>
        <v>0</v>
      </c>
      <c r="F439" s="1075">
        <f>SUMIF(Meal_entry_week_2!G$434:G$445,"Fruits_nuts_dried_fruit",Meal_entry_week_2!V$434:V$445)</f>
        <v>0</v>
      </c>
      <c r="G439" s="1075">
        <f>SUMIF(Meal_entry_week_2!G$434:G$445,"Meat_fresh_frozen",Meal_entry_week_2!V$434:V$445)</f>
        <v>0</v>
      </c>
      <c r="H439" s="1075">
        <f>SUMIF(Meal_entry_week_2!G$434:G$445,"Meat_processed",Meal_entry_week_2!V$434:V$445)</f>
        <v>0</v>
      </c>
      <c r="I439" s="1075">
        <f>SUMIF(Meal_entry_week_2!G$434:G$445,"Fish_fresh_frozen",Meal_entry_week_2!V$434:V$445)+SUMIF(Meal_entry_week_2!G$434:G$445,"Fish_processed_canned",Meal_entry_week_2!V$434:V$445)</f>
        <v>0</v>
      </c>
      <c r="J439" s="1075">
        <f>SUMIF(Meal_entry_week_2!G$434:G$445,"Eggs",Meal_entry_week_2!V$434:V$445)</f>
        <v>6.9919999999999991</v>
      </c>
      <c r="K439" s="1075">
        <f>SUMIF(Meal_entry_week_2!G$434:G$445,"Dairy_products",Meal_entry_week_2!V$434:V$445)</f>
        <v>23.36</v>
      </c>
      <c r="L439" s="1075">
        <f>SUMIF(Meal_entry_week_2!G$434:G$445,"Oil_butter_margarine",Meal_entry_week_2!V$434:V$445)</f>
        <v>146.63000000000002</v>
      </c>
      <c r="M439" s="1075">
        <f>SUMIF(Meal_entry_week_2!G$434:G$445,"Flour_pasta_seeds_cereals",Meal_entry_week_2!V$434:V$445)</f>
        <v>76.14</v>
      </c>
      <c r="N439" s="1075">
        <f>SUMIF(Meal_entry_week_2!G$434:G$445,"Sauces_purees_dressings",Meal_entry_week_2!V$434:V$445)+SUMIF(Meal_entry_week_2!G$434:G$445,"Spices_seasonings",Meal_entry_week_2!V$434:V$445)</f>
        <v>11.04</v>
      </c>
      <c r="O439" s="1075">
        <f>SUMIF(Meal_entry_week_2!G$434:G$445,"Sweet_foods_cakes",Meal_entry_week_2!V$434:V$445)</f>
        <v>4.9399999999999995</v>
      </c>
      <c r="P439" s="1075">
        <f>SUMIF(Meal_entry_week_2!G$434:G$445,"Bread_and_pastries",Meal_entry_week_2!V$434:V$445)+SUMIF(Meal_entry_week_2!G$434:G$445,"Savoury_pastries",Meal_entry_week_2!V$434:V$445)+SUMIF(Meal_entry_week_2!G$434:G$445,"Sweet_pastries",Meal_entry_week_2!V$434:V$445)</f>
        <v>0</v>
      </c>
      <c r="Q439" s="1075">
        <f>SUMIF(Meal_entry_week_2!G$434:G$445,"Other_processed_foods",Meal_entry_week_2!V$434:V$445)</f>
        <v>0</v>
      </c>
      <c r="R439" s="1075">
        <f>SUMIF(Meal_entry_week_2!G$434:G$445,"Zasladjena_piča_čajevi_kafa",Meal_entry_week_2!V$434:V$445)</f>
        <v>0</v>
      </c>
      <c r="S439" s="1075">
        <f>SUMIF(Meal_entry_week_2!G$434:G$445,"Fruit_juices_water",Meal_entry_week_2!V$434:V$445)</f>
        <v>0</v>
      </c>
      <c r="T439" s="1070">
        <f>1120-SUM(D439:S439)</f>
        <v>850.89799999999991</v>
      </c>
      <c r="Y439" s="913"/>
      <c r="Z439" s="913"/>
      <c r="AA439" s="913"/>
      <c r="AB439" s="913"/>
      <c r="AC439" s="913"/>
      <c r="AD439" s="913"/>
      <c r="AE439" s="913"/>
      <c r="AF439" s="913"/>
      <c r="AG439" s="913"/>
    </row>
    <row r="440" spans="1:33">
      <c r="A440" s="911"/>
      <c r="B440" s="956" t="s">
        <v>3966</v>
      </c>
      <c r="C440" s="945"/>
      <c r="D440" s="913" t="s">
        <v>3140</v>
      </c>
      <c r="E440" s="913" t="s">
        <v>3069</v>
      </c>
      <c r="F440" s="913" t="s">
        <v>3077</v>
      </c>
      <c r="G440" s="913" t="s">
        <v>3073</v>
      </c>
      <c r="H440" s="913" t="s">
        <v>3070</v>
      </c>
      <c r="I440" s="913" t="s">
        <v>3575</v>
      </c>
      <c r="J440" s="913" t="s">
        <v>3072</v>
      </c>
      <c r="K440" s="913" t="s">
        <v>3085</v>
      </c>
      <c r="L440" s="913" t="s">
        <v>3075</v>
      </c>
      <c r="M440" s="913" t="s">
        <v>3141</v>
      </c>
      <c r="N440" s="913" t="s">
        <v>3550</v>
      </c>
      <c r="O440" s="913" t="s">
        <v>3078</v>
      </c>
      <c r="P440" s="913" t="s">
        <v>3551</v>
      </c>
      <c r="Q440" s="913" t="s">
        <v>3082</v>
      </c>
      <c r="R440" s="1067" t="s">
        <v>3083</v>
      </c>
      <c r="S440" s="913" t="s">
        <v>3084</v>
      </c>
      <c r="T440" s="1068"/>
      <c r="Y440" s="913"/>
      <c r="Z440" s="913"/>
      <c r="AA440" s="913"/>
      <c r="AB440" s="913"/>
      <c r="AC440" s="913"/>
      <c r="AD440" s="913"/>
      <c r="AE440" s="913"/>
      <c r="AF440" s="913"/>
      <c r="AG440" s="913"/>
    </row>
    <row r="441" spans="1:33">
      <c r="A441" s="911"/>
      <c r="B441" s="956" t="s">
        <v>3064</v>
      </c>
      <c r="C441" s="945"/>
      <c r="D441" s="1072">
        <f>SUMIF(Meal_entry_week_2!G$57:G$81,"Vegetables_mushrooms_fresh_frozen",Meal_entry_week_2!V$57:V$81)</f>
        <v>180.5</v>
      </c>
      <c r="E441" s="1072">
        <f>SUMIF(Meal_entry_week_2!G$57:G$81,"Vegetables_processed",Meal_entry_week_2!V$57:V$81)</f>
        <v>0</v>
      </c>
      <c r="F441" s="1072">
        <f>SUMIF(Meal_entry_week_2!G$57:G$81,"Fruits_nuts_dried_fruit",Meal_entry_week_2!V$57:V$81)</f>
        <v>51.6</v>
      </c>
      <c r="G441" s="1072">
        <f>SUMIF(Meal_entry_week_2!G$57:G$81,"Meat_fresh_frozen",Meal_entry_week_2!V$57:V$81)</f>
        <v>451.99999999999994</v>
      </c>
      <c r="H441" s="1072">
        <f>SUMIF(Meal_entry_week_2!G$57:G$81,"Meat_processed",Meal_entry_week_2!V$57:V$81)</f>
        <v>0</v>
      </c>
      <c r="I441" s="1072">
        <f>SUMIF(Meal_entry_week_2!G$57:G$81,"Fish_fresh_frozen",Meal_entry_week_2!V$57:V$81)+SUMIF(Meal_entry_week_2!G$57:G$81,"Fish_processed_canned",Meal_entry_week_2!V$57:V$81)</f>
        <v>0</v>
      </c>
      <c r="J441" s="1072">
        <f>SUMIF(Meal_entry_week_2!G$57:G$81,"Eggs",Meal_entry_week_2!V$57:V$81)</f>
        <v>60.8</v>
      </c>
      <c r="K441" s="1072">
        <f>SUMIF(Meal_entry_week_2!G$57:G$81,"Dairy_products",Meal_entry_week_2!V$57:V$81)</f>
        <v>73</v>
      </c>
      <c r="L441" s="1072">
        <f>SUMIF(Meal_entry_week_2!G$57:G$81,"Oil_butter_margarine",Meal_entry_week_2!V$57:V$81)</f>
        <v>160.82</v>
      </c>
      <c r="M441" s="1072">
        <f>SUMIF(Meal_entry_week_2!G$57:G$81,"Flour_pasta_seeds_cereals",Meal_entry_week_2!V$57:V$81)</f>
        <v>16.200000000000003</v>
      </c>
      <c r="N441" s="1072">
        <f>SUMIF(Meal_entry_week_2!G$57:G$81,"Sauces_purees_dressings",Meal_entry_week_2!V$57:V$81)+SUMIF(Meal_entry_week_2!G$57:G$81,"Spices_seasonings",Meal_entry_week_2!V$57:V$81)</f>
        <v>34.507999999999996</v>
      </c>
      <c r="O441" s="1072">
        <f>SUMIF(Meal_entry_week_2!G$57:G$81,"Sweet_foods_cakes",Meal_entry_week_2!V$57:V$81)</f>
        <v>0</v>
      </c>
      <c r="P441" s="1072">
        <f>SUMIF(Meal_entry_week_2!G$57:G$81,"Bread_and_pastries",Meal_entry_week_2!V$57:V$81)+SUMIF(Meal_entry_week_2!G$57:G$81,"Savoury_pastries",Meal_entry_week_2!V$57:V$81)+SUMIF(Meal_entry_week_2!G$57:G$81,"Sweet_pastries",Meal_entry_week_2!V$57:V$81)</f>
        <v>81</v>
      </c>
      <c r="Q441" s="1072">
        <f>SUMIF(Meal_entry_week_2!G$57:G$81,"Other_processed_foods",Meal_entry_week_2!V$57:V$81)</f>
        <v>0</v>
      </c>
      <c r="R441" s="1072">
        <f>SUMIF(Meal_entry_week_2!G$57:G$81,"Zasladjena_piča_čajevi_kafa",Meal_entry_week_2!V$57:V$81)</f>
        <v>0</v>
      </c>
      <c r="S441" s="1072">
        <f>SUMIF(Meal_entry_week_2!G$57:G$81,"Fruit_juices_water",Meal_entry_week_2!V$57:V$81)</f>
        <v>0</v>
      </c>
      <c r="T441" s="1070">
        <f>2360-SUM(D441:S441)</f>
        <v>1249.5720000000001</v>
      </c>
      <c r="Y441" s="913"/>
      <c r="Z441" s="913"/>
      <c r="AA441" s="913"/>
      <c r="AB441" s="913"/>
      <c r="AC441" s="913"/>
      <c r="AD441" s="913"/>
      <c r="AE441" s="913"/>
      <c r="AF441" s="913"/>
      <c r="AG441" s="913"/>
    </row>
    <row r="442" spans="1:33">
      <c r="A442" s="911"/>
      <c r="B442" s="956" t="s">
        <v>3065</v>
      </c>
      <c r="C442" s="945"/>
      <c r="D442" s="1072">
        <f>SUMIF(Meal_entry_week_2!G$156:G$180,"Vegetables_mushrooms_fresh_frozen",Meal_entry_week_2!V$156:V$180)</f>
        <v>103.8</v>
      </c>
      <c r="E442" s="1072">
        <f>SUMIF(Meal_entry_week_2!G$156:G$180,"Vegetables_processed",Meal_entry_week_2!V$156:V$180)</f>
        <v>96</v>
      </c>
      <c r="F442" s="1072">
        <f>SUMIF(Meal_entry_week_2!G$156:G$180,"Fruits_nuts_dried_fruit",Meal_entry_week_2!V$156:V$180)</f>
        <v>64.5</v>
      </c>
      <c r="G442" s="1072">
        <f>SUMIF(Meal_entry_week_2!G$156:G$180,"Meat_fresh_frozen",Meal_entry_week_2!V$156:V$180)</f>
        <v>0</v>
      </c>
      <c r="H442" s="1072">
        <f>SUMIF(Meal_entry_week_2!G$156:G$180,"Meat_processed",Meal_entry_week_2!V$156:V$180)</f>
        <v>0</v>
      </c>
      <c r="I442" s="1072">
        <f>SUMIF(Meal_entry_week_2!G$156:G$180,"Fish_fresh_frozen",Meal_entry_week_2!V$156:V$180)+SUMIF(Meal_entry_week_2!G$156:G$180,"Fish_processed_canned",Meal_entry_week_2!V$156:V$180)</f>
        <v>0</v>
      </c>
      <c r="J442" s="1072">
        <f>SUMIF(Meal_entry_week_2!G$156:G$180,"Eggs",Meal_entry_week_2!V$156:V$180)</f>
        <v>0</v>
      </c>
      <c r="K442" s="1072">
        <f>SUMIF(Meal_entry_week_2!G$156:G$180,"Dairy_products",Meal_entry_week_2!V$156:V$180)</f>
        <v>202.5</v>
      </c>
      <c r="L442" s="1072">
        <f>SUMIF(Meal_entry_week_2!G$156:G$180,"Oil_butter_margarine",Meal_entry_week_2!V$156:V$180)</f>
        <v>23.650000000000002</v>
      </c>
      <c r="M442" s="1072">
        <f>SUMIF(Meal_entry_week_2!G$156:G$180,"Flour_pasta_seeds_cereals",Meal_entry_week_2!V$156:V$180)</f>
        <v>384</v>
      </c>
      <c r="N442" s="1072">
        <f>SUMIF(Meal_entry_week_2!G$156:G$180,"Sauces_purees_dressings",Meal_entry_week_2!V$156:V$180)+SUMIF(Meal_entry_week_2!G$156:G$180,"Spices_seasonings",Meal_entry_week_2!V$156:V$180)</f>
        <v>0.21000000000000002</v>
      </c>
      <c r="O442" s="1072">
        <f>SUMIF(Meal_entry_week_2!G$156:G$180,"Sweet_foods_cakes",Meal_entry_week_2!V$156:V$180)</f>
        <v>0</v>
      </c>
      <c r="P442" s="1072">
        <f>SUMIF(Meal_entry_week_2!G$156:G$180,"Bread_and_pastries",Meal_entry_week_2!V$156:V$180)+SUMIF(Meal_entry_week_2!G$156:G$180,"Savoury_pastries",Meal_entry_week_2!V$156:V$180)+SUMIF(Meal_entry_week_2!G$156:G$180,"Sweet_pastries",Meal_entry_week_2!V$156:V$180)</f>
        <v>121.50000000000001</v>
      </c>
      <c r="Q442" s="1072">
        <f>SUMIF(Meal_entry_week_2!G$156:G$180,"Other_processed_foods",Meal_entry_week_2!V$156:V$180)</f>
        <v>0</v>
      </c>
      <c r="R442" s="1072">
        <f>SUMIF(Meal_entry_week_2!G$156:G$180,"Zasladjena_piča_čajevi_kafa",Meal_entry_week_2!V$156:V$180)</f>
        <v>0</v>
      </c>
      <c r="S442" s="1072">
        <f>SUMIF(Meal_entry_week_2!G$156:G$180,"Fruit_juices_water",Meal_entry_week_2!V$156:V$180)</f>
        <v>0</v>
      </c>
      <c r="T442" s="1070">
        <f>2360-SUM(D442:S442)</f>
        <v>1363.84</v>
      </c>
      <c r="Y442" s="913"/>
      <c r="Z442" s="913"/>
      <c r="AA442" s="913"/>
      <c r="AB442" s="913"/>
      <c r="AC442" s="913"/>
      <c r="AD442" s="913"/>
      <c r="AE442" s="913"/>
      <c r="AF442" s="913"/>
      <c r="AG442" s="913"/>
    </row>
    <row r="443" spans="1:33">
      <c r="A443" s="911"/>
      <c r="B443" s="956" t="s">
        <v>3940</v>
      </c>
      <c r="C443" s="945"/>
      <c r="D443" s="1072">
        <f>SUMIF(Meal_entry_week_2!G$255:G$279,"Vegetables_mushrooms_fresh_frozen",Meal_entry_week_2!V$255:V$279)</f>
        <v>99.06</v>
      </c>
      <c r="E443" s="1072">
        <f>SUMIF(Meal_entry_week_2!G$255:G$279,"Vegetables_processed",Meal_entry_week_2!V$255:V$279)</f>
        <v>0</v>
      </c>
      <c r="F443" s="1072">
        <f>SUMIF(Meal_entry_week_2!G$255:G$279,"Fruits_nuts_dried_fruit",Meal_entry_week_2!V$255:V$279)</f>
        <v>21.5</v>
      </c>
      <c r="G443" s="1072">
        <f>SUMIF(Meal_entry_week_2!G$255:G$279,"Meat_fresh_frozen",Meal_entry_week_2!V$255:V$279)</f>
        <v>0</v>
      </c>
      <c r="H443" s="1072">
        <f>SUMIF(Meal_entry_week_2!G$255:G$279,"Meat_processed",Meal_entry_week_2!V$255:V$279)</f>
        <v>271.2</v>
      </c>
      <c r="I443" s="1072">
        <f>SUMIF(Meal_entry_week_2!G$255:G$279,"Fish_fresh_frozen",Meal_entry_week_2!V$255:V$279)+SUMIF(Meal_entry_week_2!G$255:G$279,"Fish_processed_canned",Meal_entry_week_2!V$255:V$279)</f>
        <v>0</v>
      </c>
      <c r="J443" s="1072">
        <f>SUMIF(Meal_entry_week_2!G$255:G$279,"Eggs",Meal_entry_week_2!V$255:V$279)</f>
        <v>15.2</v>
      </c>
      <c r="K443" s="1072">
        <f>SUMIF(Meal_entry_week_2!G$255:G$279,"Dairy_products",Meal_entry_week_2!V$255:V$279)</f>
        <v>11.68</v>
      </c>
      <c r="L443" s="1072">
        <f>SUMIF(Meal_entry_week_2!G$255:G$279,"Oil_butter_margarine",Meal_entry_week_2!V$255:V$279)</f>
        <v>93.654000000000011</v>
      </c>
      <c r="M443" s="1072">
        <f>SUMIF(Meal_entry_week_2!G$255:G$279,"Flour_pasta_seeds_cereals",Meal_entry_week_2!V$255:V$279)</f>
        <v>29.160000000000004</v>
      </c>
      <c r="N443" s="1072">
        <f>SUMIF(Meal_entry_week_2!G$255:G$279,"Sauces_purees_dressings",Meal_entry_week_2!V$255:V$279)+SUMIF(Meal_entry_week_2!G$255:G$279,"Spices_seasonings",Meal_entry_week_2!V$255:V$279)</f>
        <v>10.020000000000001</v>
      </c>
      <c r="O443" s="1072">
        <f>SUMIF(Meal_entry_week_2!G$255:G$279,"Sweet_foods_cakes",Meal_entry_week_2!V$255:V$279)</f>
        <v>5.9280000000000008</v>
      </c>
      <c r="P443" s="1072">
        <f>SUMIF(Meal_entry_week_2!G$255:G$279,"Bread_and_pastries",Meal_entry_week_2!V$255:V$279)+SUMIF(Meal_entry_week_2!G$255:G$279,"Savoury_pastries",Meal_entry_week_2!V$255:V$279)+SUMIF(Meal_entry_week_2!G$255:G$279,"Sweet_pastries",Meal_entry_week_2!V$255:V$279)</f>
        <v>129.60000000000002</v>
      </c>
      <c r="Q443" s="1072">
        <f>SUMIF(Meal_entry_week_2!G$255:G$279,"Other_processed_foods",Meal_entry_week_2!V$255:V$279)</f>
        <v>0</v>
      </c>
      <c r="R443" s="1072">
        <f>SUMIF(Meal_entry_week_2!G$255:G$279,"Zasladjena_piča_čajevi_kafa",Meal_entry_week_2!V$255:V$279)</f>
        <v>0</v>
      </c>
      <c r="S443" s="1072">
        <f>SUMIF(Meal_entry_week_2!G$255:G$279,"Fruit_juices_water",Meal_entry_week_2!V$255:V$279)</f>
        <v>0</v>
      </c>
      <c r="T443" s="1070">
        <f>2360-SUM(D443:S443)</f>
        <v>1672.998</v>
      </c>
      <c r="Y443" s="913"/>
      <c r="Z443" s="913"/>
      <c r="AA443" s="913"/>
      <c r="AB443" s="913"/>
      <c r="AC443" s="913"/>
      <c r="AD443" s="913"/>
      <c r="AE443" s="913"/>
      <c r="AF443" s="913"/>
      <c r="AG443" s="913"/>
    </row>
    <row r="444" spans="1:33">
      <c r="A444" s="911"/>
      <c r="B444" s="956" t="s">
        <v>3067</v>
      </c>
      <c r="C444" s="945"/>
      <c r="D444" s="1072">
        <f>SUMIF(Meal_entry_week_2!G$354:G$378,"Vegetables_mushrooms_fresh_frozen",Meal_entry_week_2!V$354:V$378)</f>
        <v>325.83999999999997</v>
      </c>
      <c r="E444" s="1072">
        <f>SUMIF(Meal_entry_week_2!G$354:G$378,"Vegetables_processed",Meal_entry_week_2!V$354:V$378)</f>
        <v>0</v>
      </c>
      <c r="F444" s="1072">
        <f>SUMIF(Meal_entry_week_2!G$354:G$378,"Fruits_nuts_dried_fruit",Meal_entry_week_2!V$354:V$378)</f>
        <v>64.5</v>
      </c>
      <c r="G444" s="1072">
        <f>SUMIF(Meal_entry_week_2!G$354:G$378,"Meat_fresh_frozen",Meal_entry_week_2!V$354:V$378)</f>
        <v>451.99999999999994</v>
      </c>
      <c r="H444" s="1072">
        <f>SUMIF(Meal_entry_week_2!G$354:G$378,"Meat_processed",Meal_entry_week_2!V$354:V$378)</f>
        <v>0</v>
      </c>
      <c r="I444" s="1072">
        <f>SUMIF(Meal_entry_week_2!G$354:G$378,"Fish_fresh_frozen",Meal_entry_week_2!V$354:V$378)+SUMIF(Meal_entry_week_2!G$354:G$378,"Fish_processed_canned",Meal_entry_week_2!V$354:V$378)</f>
        <v>0</v>
      </c>
      <c r="J444" s="1072">
        <f>SUMIF(Meal_entry_week_2!G$354:G$378,"Eggs",Meal_entry_week_2!V$354:V$378)</f>
        <v>60.8</v>
      </c>
      <c r="K444" s="1072">
        <f>SUMIF(Meal_entry_week_2!G$354:G$378,"Dairy_products",Meal_entry_week_2!V$354:V$378)</f>
        <v>29.2</v>
      </c>
      <c r="L444" s="1072">
        <f>SUMIF(Meal_entry_week_2!G$354:G$378,"Oil_butter_margarine",Meal_entry_week_2!V$354:V$378)</f>
        <v>113.52000000000001</v>
      </c>
      <c r="M444" s="1072">
        <f>SUMIF(Meal_entry_week_2!G$354:G$378,"Flour_pasta_seeds_cereals",Meal_entry_week_2!V$354:V$378)</f>
        <v>32.400000000000006</v>
      </c>
      <c r="N444" s="1072">
        <f>SUMIF(Meal_entry_week_2!G$354:G$378,"Sauces_purees_dressings",Meal_entry_week_2!V$354:V$378)+SUMIF(Meal_entry_week_2!G$354:G$378,"Spices_seasonings",Meal_entry_week_2!V$354:V$378)</f>
        <v>6.4162000000000008</v>
      </c>
      <c r="O444" s="1072">
        <f>SUMIF(Meal_entry_week_2!G$354:G$378,"Sweet_foods_cakes",Meal_entry_week_2!V$354:V$378)</f>
        <v>1.9</v>
      </c>
      <c r="P444" s="1072">
        <f>SUMIF(Meal_entry_week_2!G$354:G$378,"Bread_and_pastries",Meal_entry_week_2!V$354:V$378)+SUMIF(Meal_entry_week_2!G$354:G$378,"Savoury_pastries",Meal_entry_week_2!V$354:V$378)+SUMIF(Meal_entry_week_2!G$354:G$378,"Sweet_pastries",Meal_entry_week_2!V$354:V$378)</f>
        <v>121.50000000000001</v>
      </c>
      <c r="Q444" s="1072">
        <f>SUMIF(Meal_entry_week_2!G$354:G$378,"Other_processed_foods",Meal_entry_week_2!V$354:V$378)</f>
        <v>0</v>
      </c>
      <c r="R444" s="1072">
        <f>SUMIF(Meal_entry_week_2!G$354:G$378,"Zasladjena_piča_čajevi_kafa",Meal_entry_week_2!V$354:V$378)</f>
        <v>0</v>
      </c>
      <c r="S444" s="1072">
        <f>SUMIF(Meal_entry_week_2!G$354:G$378,"Fruit_juices_water",Meal_entry_week_2!V$354:V$378)</f>
        <v>0</v>
      </c>
      <c r="T444" s="1070">
        <f>2360-SUM(D444:S444)</f>
        <v>1151.9238</v>
      </c>
      <c r="Y444" s="913"/>
      <c r="Z444" s="913"/>
      <c r="AA444" s="913"/>
      <c r="AB444" s="913"/>
      <c r="AC444" s="913"/>
      <c r="AD444" s="913"/>
      <c r="AE444" s="913"/>
      <c r="AF444" s="913"/>
      <c r="AG444" s="913"/>
    </row>
    <row r="445" spans="1:33">
      <c r="A445" s="911"/>
      <c r="B445" s="1074" t="s">
        <v>3068</v>
      </c>
      <c r="C445" s="945"/>
      <c r="D445" s="1075">
        <f>SUMIF(Meal_entry_week_2!G$453:G$477,"Vegetables_mushrooms_fresh_frozen",Meal_entry_week_2!V$453:V$477)</f>
        <v>47.54</v>
      </c>
      <c r="E445" s="1075">
        <f>SUMIF(Meal_entry_week_2!G$453:G$477,"Vegetables_processed",Meal_entry_week_2!V$453:V$477)</f>
        <v>0</v>
      </c>
      <c r="F445" s="1075">
        <f>SUMIF(Meal_entry_week_2!G$453:G$477,"Fruits_nuts_dried_fruit",Meal_entry_week_2!V$453:V$477)</f>
        <v>64.5</v>
      </c>
      <c r="G445" s="1075">
        <f>SUMIF(Meal_entry_week_2!G$453:G$477,"Meat_fresh_frozen",Meal_entry_week_2!V$453:V$477)</f>
        <v>163.5</v>
      </c>
      <c r="H445" s="1075">
        <f>SUMIF(Meal_entry_week_2!G$453:G$477,"Meat_processed",Meal_entry_week_2!V$453:V$477)</f>
        <v>0</v>
      </c>
      <c r="I445" s="1075">
        <f>SUMIF(Meal_entry_week_2!G$453:G$477,"Fish_fresh_frozen",Meal_entry_week_2!V$453:V$477)+SUMIF(Meal_entry_week_2!G$453:G$477,"Fish_processed_canned",Meal_entry_week_2!V$453:V$477)</f>
        <v>0</v>
      </c>
      <c r="J445" s="1075">
        <f>SUMIF(Meal_entry_week_2!G$453:G$477,"Eggs",Meal_entry_week_2!V$453:V$477)</f>
        <v>60.8</v>
      </c>
      <c r="K445" s="1075">
        <f>SUMIF(Meal_entry_week_2!G$453:G$477,"Dairy_products",Meal_entry_week_2!V$453:V$477)</f>
        <v>73</v>
      </c>
      <c r="L445" s="1075">
        <f>SUMIF(Meal_entry_week_2!G$453:G$477,"Oil_butter_margarine",Meal_entry_week_2!V$453:V$477)</f>
        <v>80.41</v>
      </c>
      <c r="M445" s="1075">
        <f>SUMIF(Meal_entry_week_2!G$453:G$477,"Flour_pasta_seeds_cereals",Meal_entry_week_2!V$453:V$477)</f>
        <v>249.7</v>
      </c>
      <c r="N445" s="1075">
        <f>SUMIF(Meal_entry_week_2!G$453:G$477,"Sauces_purees_dressings",Meal_entry_week_2!V$453:V$477)+SUMIF(Meal_entry_week_2!G$453:G$477,"Spices_seasonings",Meal_entry_week_2!V$453:V$477)</f>
        <v>47.684000000000005</v>
      </c>
      <c r="O445" s="1075">
        <f>SUMIF(Meal_entry_week_2!G$453:G$477,"Sweet_foods_cakes",Meal_entry_week_2!V$453:V$477)</f>
        <v>0</v>
      </c>
      <c r="P445" s="1075">
        <f>SUMIF(Meal_entry_week_2!G$453:G$477,"Bread_and_pastries",Meal_entry_week_2!V$453:V$477)+SUMIF(Meal_entry_week_2!G$453:G$477,"Savoury_pastries",Meal_entry_week_2!V$453:V$477)+SUMIF(Meal_entry_week_2!G$453:G$477,"Sweet_pastries",Meal_entry_week_2!V$453:V$477)</f>
        <v>121.50000000000001</v>
      </c>
      <c r="Q445" s="1075">
        <f>SUMIF(Meal_entry_week_2!G$453:G$477,"Other_processed_foods",Meal_entry_week_2!V$453:V$477)</f>
        <v>0</v>
      </c>
      <c r="R445" s="1075">
        <f>SUMIF(Meal_entry_week_2!G$453:G$477,"Zasladjena_piča_čajevi_kafa",Meal_entry_week_2!V$453:V$477)</f>
        <v>0</v>
      </c>
      <c r="S445" s="1075">
        <f>SUMIF(Meal_entry_week_2!G$453:G$477,"Fruit_juices_water",Meal_entry_week_2!V$453:V$477)</f>
        <v>0</v>
      </c>
      <c r="T445" s="1070">
        <f>2360-SUM(D445:S445)</f>
        <v>1451.366</v>
      </c>
      <c r="Y445" s="913"/>
      <c r="Z445" s="913"/>
      <c r="AA445" s="913"/>
      <c r="AB445" s="913"/>
      <c r="AC445" s="913"/>
      <c r="AD445" s="913"/>
      <c r="AE445" s="913"/>
      <c r="AF445" s="913"/>
      <c r="AG445" s="913"/>
    </row>
    <row r="446" spans="1:33">
      <c r="A446" s="911"/>
      <c r="B446" s="956" t="s">
        <v>2525</v>
      </c>
      <c r="C446" s="945"/>
      <c r="D446" s="913" t="s">
        <v>3140</v>
      </c>
      <c r="E446" s="913" t="s">
        <v>3069</v>
      </c>
      <c r="F446" s="913" t="s">
        <v>3077</v>
      </c>
      <c r="G446" s="913" t="s">
        <v>3073</v>
      </c>
      <c r="H446" s="913" t="s">
        <v>3070</v>
      </c>
      <c r="I446" s="913" t="s">
        <v>3575</v>
      </c>
      <c r="J446" s="913" t="s">
        <v>3072</v>
      </c>
      <c r="K446" s="913" t="s">
        <v>3085</v>
      </c>
      <c r="L446" s="913" t="s">
        <v>3075</v>
      </c>
      <c r="M446" s="913" t="s">
        <v>3141</v>
      </c>
      <c r="N446" s="913" t="s">
        <v>3550</v>
      </c>
      <c r="O446" s="913" t="s">
        <v>3078</v>
      </c>
      <c r="P446" s="913" t="s">
        <v>3551</v>
      </c>
      <c r="Q446" s="913" t="s">
        <v>3082</v>
      </c>
      <c r="R446" s="1067" t="s">
        <v>3083</v>
      </c>
      <c r="S446" s="913" t="s">
        <v>3084</v>
      </c>
      <c r="T446" s="1068"/>
      <c r="U446" s="965"/>
      <c r="V446" s="913"/>
      <c r="W446" s="913"/>
      <c r="X446" s="913"/>
      <c r="Y446" s="913"/>
      <c r="Z446" s="913"/>
      <c r="AA446" s="913"/>
      <c r="AB446" s="913"/>
      <c r="AC446" s="913"/>
      <c r="AD446" s="913"/>
      <c r="AE446" s="913"/>
      <c r="AF446" s="913"/>
      <c r="AG446" s="913"/>
    </row>
    <row r="447" spans="1:33">
      <c r="A447" s="911"/>
      <c r="B447" s="956" t="s">
        <v>3064</v>
      </c>
      <c r="C447" s="945"/>
      <c r="D447" s="1072">
        <f>SUMIF(Meal_entry_week_2!G$89:G$100,"Vegetables_mushrooms_fresh_frozen",Meal_entry_week_2!V$89:V$100)</f>
        <v>0</v>
      </c>
      <c r="E447" s="1072">
        <f>SUMIF(Meal_entry_week_2!BA$11:BA$30,"Vegetables_processed",Meal_entry_week_2!BG$11:BG$30)</f>
        <v>0</v>
      </c>
      <c r="F447" s="1072">
        <f>SUMIF(Meal_entry_week_2!BA$11:BA$30,"Fruits_nuts_dried_fruit",Meal_entry_week_2!BG$11:BG$30)</f>
        <v>0</v>
      </c>
      <c r="G447" s="1072">
        <f>SUMIF(Meal_entry_week_2!BA$11:BA$30,"Meat_fresh_frozen",Meal_entry_week_2!BG$11:BG$30)</f>
        <v>0</v>
      </c>
      <c r="H447" s="1072">
        <f>SUMIF(Meal_entry_week_2!BA$11:BA$30,"Meat_processed",Meal_entry_week_2!BG$11:BG$30)</f>
        <v>0</v>
      </c>
      <c r="I447" s="1072">
        <f>SUMIF(Meal_entry_week_2!BA$11:BA$30,"Fish_fresh_frozen",Meal_entry_week_2!BG$11:BG$30)+SUMIF(Meal_entry_week_2!BA$11:BA$30,"Fish_processed_canned",Meal_entry_week_2!BG$11:BG$30)</f>
        <v>0</v>
      </c>
      <c r="J447" s="1072">
        <f>SUMIF(Meal_entry_week_2!BA$11:BA$30,"Eggs",Meal_entry_week_2!BG$11:BG$30)</f>
        <v>0</v>
      </c>
      <c r="K447" s="1072">
        <f>SUMIF(Meal_entry_week_2!BA$11:BA$30,"Dairy_products",Meal_entry_week_2!BG$11:BG$30)</f>
        <v>0</v>
      </c>
      <c r="L447" s="1072">
        <f>SUMIF(Meal_entry_week_2!BA$11:BA$30,"Oil_butter_margarine",Meal_entry_week_2!BG$11:BG$30)</f>
        <v>0</v>
      </c>
      <c r="M447" s="1072">
        <f>SUMIF(Meal_entry_week_2!BA$11:BA$30,"Flour_pasta_seeds_cereals",Meal_entry_week_2!BG$11:BG$30)</f>
        <v>0</v>
      </c>
      <c r="N447" s="1072">
        <f>SUMIF(Meal_entry_week_2!BA$11:BA$30,"Sauces_purees_dressings",Meal_entry_week_2!BG$11:BG$30)+SUMIF(Meal_entry_week_2!BA$11:BA$30,"Spices_seasonings",Meal_entry_week_2!BG$11:BG$30)</f>
        <v>0</v>
      </c>
      <c r="O447" s="1072">
        <f>SUMIF(Meal_entry_week_2!BA$11:BA$30,"Sweet_foods_cakes",Meal_entry_week_2!BG$11:BG$30)</f>
        <v>0</v>
      </c>
      <c r="P447" s="1072">
        <f>SUMIF(Meal_entry_week_2!BA$11:BA$30,"Bread_and_pastries",Meal_entry_week_2!BG$11:BG$30)+SUMIF(Meal_entry_week_2!BA$11:BA$30,"Savoury_pastries",Meal_entry_week_2!BG$11:BG$30)+SUMIF(Meal_entry_week_2!BA$11:BA$30,"Sweet_pastries",Meal_entry_week_2!BG$11:BG$30)</f>
        <v>0</v>
      </c>
      <c r="Q447" s="1072">
        <f>SUMIF(Meal_entry_week_2!BA$11:BA$30,"Other_processed_foods",Meal_entry_week_2!BG$11:BG$30)</f>
        <v>0</v>
      </c>
      <c r="R447" s="1072">
        <f>SUMIF(Meal_entry_week_2!BA$11:BA$30,"Zasladjena_piča_čajevi_kafa",Meal_entry_week_2!BG$11:BG$30)</f>
        <v>0</v>
      </c>
      <c r="S447" s="1072">
        <f>SUMIF(Meal_entry_week_2!BA$11:BA$30,"Fruit_juices_water",Meal_entry_week_2!BG$11:BG$30)</f>
        <v>0</v>
      </c>
      <c r="T447" s="1070">
        <f>1120-SUM(D447:S447)</f>
        <v>1120</v>
      </c>
      <c r="U447" s="965"/>
      <c r="V447" s="913"/>
      <c r="W447" s="913"/>
      <c r="X447" s="913"/>
      <c r="Y447" s="913"/>
      <c r="Z447" s="913"/>
      <c r="AA447" s="913"/>
      <c r="AB447" s="913"/>
      <c r="AC447" s="913"/>
      <c r="AD447" s="913"/>
      <c r="AE447" s="913"/>
      <c r="AF447" s="913"/>
      <c r="AG447" s="913"/>
    </row>
    <row r="448" spans="1:33">
      <c r="A448" s="911"/>
      <c r="B448" s="956" t="s">
        <v>3065</v>
      </c>
      <c r="C448" s="945"/>
      <c r="D448" s="1072">
        <f>SUMIF(Meal_entry_week_2!G$188:G$199,"Vegetables_mushrooms_fresh_frozen",Meal_entry_week_2!V$188:V$199)</f>
        <v>0</v>
      </c>
      <c r="E448" s="1072">
        <f>SUMIF(Meal_entry_week_2!G$188:G$199,"Vegetables_processed",Meal_entry_week_2!V$188:V$199)</f>
        <v>0</v>
      </c>
      <c r="F448" s="1072">
        <f>SUMIF(Meal_entry_week_2!G$188:G$199,"Fruits_nuts_dried_fruit",Meal_entry_week_2!V$188:V$199)</f>
        <v>0</v>
      </c>
      <c r="G448" s="1072">
        <f>SUMIF(Meal_entry_week_2!G$188:G$199,"Meat_fresh_frozen",Meal_entry_week_2!V$188:V$199)</f>
        <v>0</v>
      </c>
      <c r="H448" s="1072">
        <f>SUMIF(Meal_entry_week_2!G$188:G$199,"Meat_processed",Meal_entry_week_2!V$188:V$199)</f>
        <v>0</v>
      </c>
      <c r="I448" s="1072">
        <f>SUMIF(Meal_entry_week_2!G$188:G$199,"Fish_fresh_frozen",Meal_entry_week_2!V$188:V$199)+SUMIF(Meal_entry_week_2!G$188:G$199,"Fish_processed_canned",Meal_entry_week_2!V$188:V$199)</f>
        <v>0</v>
      </c>
      <c r="J448" s="1072">
        <f>SUMIF(Meal_entry_week_2!G$188:G$199,"Eggs",Meal_entry_week_2!V$188:V$199)</f>
        <v>0</v>
      </c>
      <c r="K448" s="1072">
        <f>SUMIF(Meal_entry_week_2!G$188:G$199,"Dairy_products",Meal_entry_week_2!V$188:V$199)</f>
        <v>0</v>
      </c>
      <c r="L448" s="1072">
        <f>SUMIF(Meal_entry_week_2!G$188:G$199,"Oil_butter_margarine",Meal_entry_week_2!V$188:V$199)</f>
        <v>0</v>
      </c>
      <c r="M448" s="1072">
        <f>SUMIF(Meal_entry_week_2!G$188:G$199,"Flour_pasta_seeds_cereals",Meal_entry_week_2!V$188:V$199)</f>
        <v>0</v>
      </c>
      <c r="N448" s="1072">
        <f>SUMIF(Meal_entry_week_2!G$188:G$199,"Sauces_purees_dressings",Meal_entry_week_2!V$188:V$199)+SUMIF(Meal_entry_week_2!G$188:G$199,"Spices_seasonings",Meal_entry_week_2!V$188:V$199)</f>
        <v>0</v>
      </c>
      <c r="O448" s="1072">
        <f>SUMIF(Meal_entry_week_2!G$188:G$199,"Sweet_foods_cakes",Meal_entry_week_2!V$188:V$199)</f>
        <v>0</v>
      </c>
      <c r="P448" s="1072">
        <f>SUMIF(Meal_entry_week_2!G$188:G$199,"Bread_and_pastries",Meal_entry_week_2!V$188:V$199)+SUMIF(Meal_entry_week_2!G$188:G$199,"Savoury_pastries",Meal_entry_week_2!V$188:V$199)+SUMIF(Meal_entry_week_2!G$188:G$199,"Sweet_pastries",Meal_entry_week_2!V$188:V$199)</f>
        <v>0</v>
      </c>
      <c r="Q448" s="1072">
        <f>SUMIF(Meal_entry_week_2!G$188:G$199,"Other_processed_foods",Meal_entry_week_2!V$188:V$199)</f>
        <v>0</v>
      </c>
      <c r="R448" s="1072">
        <f>SUMIF(Meal_entry_week_2!G$188:G$199,"Zasladjena_piča_čajevi_kafa",Meal_entry_week_2!V$188:V$199)</f>
        <v>0</v>
      </c>
      <c r="S448" s="1072">
        <f>SUMIF(Meal_entry_week_2!G$188:G$199,"Fruit_juices_water",Meal_entry_week_2!V$188:V$199)</f>
        <v>0</v>
      </c>
      <c r="T448" s="1070">
        <f>1120-SUM(D448:S448)</f>
        <v>1120</v>
      </c>
      <c r="U448" s="965"/>
      <c r="V448" s="913"/>
      <c r="W448" s="913"/>
      <c r="X448" s="913"/>
      <c r="Y448" s="913"/>
      <c r="Z448" s="913"/>
      <c r="AA448" s="913"/>
      <c r="AB448" s="913"/>
      <c r="AC448" s="913"/>
      <c r="AD448" s="913"/>
      <c r="AE448" s="913"/>
      <c r="AF448" s="913"/>
      <c r="AG448" s="913"/>
    </row>
    <row r="449" spans="1:33">
      <c r="A449" s="911"/>
      <c r="B449" s="956" t="s">
        <v>3940</v>
      </c>
      <c r="C449" s="945"/>
      <c r="D449" s="1072">
        <f>SUMIF(Meal_entry_week_2!G$287:G$298,"Vegetables_mushrooms_fresh_frozen",Meal_entry_week_2!V$287:V$298)</f>
        <v>0</v>
      </c>
      <c r="E449" s="1072">
        <f>SUMIF(Meal_entry_week_2!G$287:G$298,"Vegetables_processed",Meal_entry_week_2!V$287:V$298)</f>
        <v>0</v>
      </c>
      <c r="F449" s="1072">
        <f>SUMIF(Meal_entry_week_2!G$287:G$298,"Fruits_nuts_dried_fruit",Meal_entry_week_2!V$287:V$298)</f>
        <v>0</v>
      </c>
      <c r="G449" s="1072">
        <f>SUMIF(Meal_entry_week_2!G$287:G$298,"Meat_fresh_frozen",Meal_entry_week_2!V$287:V$298)</f>
        <v>0</v>
      </c>
      <c r="H449" s="1072">
        <f>SUMIF(Meal_entry_week_2!G$287:G$298,"Meat_processed",Meal_entry_week_2!V$287:V$298)</f>
        <v>0</v>
      </c>
      <c r="I449" s="1072">
        <f>SUMIF(Meal_entry_week_2!G$287:G$298,"Fish_fresh_frozen",Meal_entry_week_2!V$287:V$298)+SUMIF(Meal_entry_week_2!G$287:G$298,"Fish_processed_canned",Meal_entry_week_2!V$287:V$298)</f>
        <v>0</v>
      </c>
      <c r="J449" s="1072">
        <f>SUMIF(Meal_entry_week_2!G$287:G$298,"Eggs",Meal_entry_week_2!V$287:V$298)</f>
        <v>0</v>
      </c>
      <c r="K449" s="1072">
        <f>SUMIF(Meal_entry_week_2!G$287:G$298,"Dairy_products",Meal_entry_week_2!V$287:V$298)</f>
        <v>0</v>
      </c>
      <c r="L449" s="1072">
        <f>SUMIF(Meal_entry_week_2!G$287:G$298,"Oil_butter_margarine",Meal_entry_week_2!V$287:V$298)</f>
        <v>0</v>
      </c>
      <c r="M449" s="1072">
        <f>SUMIF(Meal_entry_week_2!G$287:G$298,"Flour_pasta_seeds_cereals",Meal_entry_week_2!V$287:V$298)</f>
        <v>0</v>
      </c>
      <c r="N449" s="1072">
        <f>SUMIF(Meal_entry_week_2!G$287:G$298,"Sauces_purees_dressings",Meal_entry_week_2!V$287:V$298)+SUMIF(Meal_entry_week_2!G$287:G$298,"Spices_seasonings",Meal_entry_week_2!V$287:V$298)</f>
        <v>0</v>
      </c>
      <c r="O449" s="1072">
        <f>SUMIF(Meal_entry_week_2!G$287:G$298,"Sweet_foods_cakes",Meal_entry_week_2!V$287:V$298)</f>
        <v>0</v>
      </c>
      <c r="P449" s="1072">
        <f>SUMIF(Meal_entry_week_2!G$287:G$298,"Bread_and_pastries",Meal_entry_week_2!V$287:V$298)+SUMIF(Meal_entry_week_2!G$287:G$298,"Savoury_pastries",Meal_entry_week_2!V$287:V$298)+SUMIF(Meal_entry_week_2!G$287:G$298,"Sweet_pastries",Meal_entry_week_2!V$287:V$298)</f>
        <v>0</v>
      </c>
      <c r="Q449" s="1072">
        <f>SUMIF(Meal_entry_week_2!G$287:G$298,"Other_processed_foods",Meal_entry_week_2!V$287:V$298)</f>
        <v>0</v>
      </c>
      <c r="R449" s="1072">
        <f>SUMIF(Meal_entry_week_2!G$287:G$298,"Zasladjena_piča_čajevi_kafa",Meal_entry_week_2!V$287:V$298)</f>
        <v>0</v>
      </c>
      <c r="S449" s="1072">
        <f>SUMIF(Meal_entry_week_2!G$287:G$298,"Fruit_juices_water",Meal_entry_week_2!V$287:V$298)</f>
        <v>0</v>
      </c>
      <c r="T449" s="1070">
        <f>1120-SUM(D449:S449)</f>
        <v>1120</v>
      </c>
      <c r="U449" s="965"/>
      <c r="V449" s="913"/>
      <c r="W449" s="913"/>
      <c r="X449" s="913"/>
      <c r="Y449" s="913"/>
      <c r="Z449" s="913"/>
      <c r="AA449" s="913"/>
      <c r="AB449" s="913"/>
      <c r="AC449" s="913"/>
      <c r="AD449" s="913"/>
      <c r="AE449" s="913"/>
      <c r="AF449" s="913"/>
      <c r="AG449" s="913"/>
    </row>
    <row r="450" spans="1:33">
      <c r="A450" s="911"/>
      <c r="B450" s="956" t="s">
        <v>3067</v>
      </c>
      <c r="C450" s="945"/>
      <c r="D450" s="1072">
        <f>SUMIF(Meal_entry_week_2!G$386:G$397,"Vegetables_mushrooms_fresh_frozen",Meal_entry_week_2!V$386:V$397)</f>
        <v>0</v>
      </c>
      <c r="E450" s="1072">
        <f>SUMIF(Meal_entry_week_2!G$386:G$397,"Vegetables_processed",Meal_entry_week_2!V$386:V$397)</f>
        <v>0</v>
      </c>
      <c r="F450" s="1072">
        <f>SUMIF(Meal_entry_week_2!G$386:G$397,"Fruits_nuts_dried_fruit",Meal_entry_week_2!V$386:V$397)</f>
        <v>0</v>
      </c>
      <c r="G450" s="1072">
        <f>SUMIF(Meal_entry_week_2!G$386:G$397,"Meat_fresh_frozen",Meal_entry_week_2!V$386:V$397)</f>
        <v>0</v>
      </c>
      <c r="H450" s="1072">
        <f>SUMIF(Meal_entry_week_2!G$386:G$397,"Meat_processed",Meal_entry_week_2!V$386:V$397)</f>
        <v>0</v>
      </c>
      <c r="I450" s="1072">
        <f>SUMIF(Meal_entry_week_2!G$386:G$397,"Fish_fresh_frozen",Meal_entry_week_2!V$386:V$397)+SUMIF(Meal_entry_week_2!G$386:G$397,"Fish_processed_canned",Meal_entry_week_2!V$386:V$397)</f>
        <v>0</v>
      </c>
      <c r="J450" s="1072">
        <f>SUMIF(Meal_entry_week_2!G$386:G$397,"Eggs",Meal_entry_week_2!V$386:V$397)</f>
        <v>0</v>
      </c>
      <c r="K450" s="1072">
        <f>SUMIF(Meal_entry_week_2!G$386:G$397,"Dairy_products",Meal_entry_week_2!V$386:V$397)</f>
        <v>0</v>
      </c>
      <c r="L450" s="1072">
        <f>SUMIF(Meal_entry_week_2!G$386:G$397,"Oil_butter_margarine",Meal_entry_week_2!V$386:V$397)</f>
        <v>0</v>
      </c>
      <c r="M450" s="1072">
        <f>SUMIF(Meal_entry_week_2!G$386:G$397,"Flour_pasta_seeds_cereals",Meal_entry_week_2!V$386:V$397)</f>
        <v>0</v>
      </c>
      <c r="N450" s="1072">
        <f>SUMIF(Meal_entry_week_2!G$386:G$397,"Sauces_purees_dressings",Meal_entry_week_2!V$386:V$397)+SUMIF(Meal_entry_week_2!G$386:G$397,"Spices_seasonings",Meal_entry_week_2!V$386:V$397)</f>
        <v>0</v>
      </c>
      <c r="O450" s="1072">
        <f>SUMIF(Meal_entry_week_2!G$386:G$397,"Sweet_foods_cakes",Meal_entry_week_2!V$386:V$397)</f>
        <v>0</v>
      </c>
      <c r="P450" s="1072">
        <f>SUMIF(Meal_entry_week_2!G$386:G$397,"Bread_and_pastries",Meal_entry_week_2!V$386:V$397)+SUMIF(Meal_entry_week_2!G$386:G$397,"Savoury_pastries",Meal_entry_week_2!V$386:V$397)+SUMIF(Meal_entry_week_2!G$386:G$397,"Sweet_pastries",Meal_entry_week_2!V$386:V$397)</f>
        <v>0</v>
      </c>
      <c r="Q450" s="1072">
        <f>SUMIF(Meal_entry_week_2!G$386:G$397,"Other_processed_foods",Meal_entry_week_2!V$386:V$397)</f>
        <v>0</v>
      </c>
      <c r="R450" s="1072">
        <f>SUMIF(Meal_entry_week_2!G$386:G$397,"Zasladjena_piča_čajevi_kafa",Meal_entry_week_2!V$386:V$397)</f>
        <v>0</v>
      </c>
      <c r="S450" s="1072">
        <f>SUMIF(Meal_entry_week_2!G$386:G$397,"Fruit_juices_water",Meal_entry_week_2!V$386:V$397)</f>
        <v>0</v>
      </c>
      <c r="T450" s="1070">
        <f>1120-SUM(D450:S450)</f>
        <v>1120</v>
      </c>
      <c r="U450" s="965"/>
      <c r="V450" s="913"/>
      <c r="W450" s="913"/>
      <c r="X450" s="913"/>
      <c r="Y450" s="913"/>
      <c r="Z450" s="913"/>
      <c r="AA450" s="913"/>
      <c r="AB450" s="913"/>
      <c r="AC450" s="913"/>
      <c r="AD450" s="913"/>
      <c r="AE450" s="913"/>
      <c r="AF450" s="913"/>
      <c r="AG450" s="913"/>
    </row>
    <row r="451" spans="1:33">
      <c r="A451" s="911"/>
      <c r="B451" s="1074" t="s">
        <v>3068</v>
      </c>
      <c r="C451" s="945"/>
      <c r="D451" s="1075">
        <f>SUMIF(Meal_entry_week_2!G$485:G$496,"Vegetables_mushrooms_fresh_frozen",Meal_entry_week_2!V$485:V$496)</f>
        <v>0</v>
      </c>
      <c r="E451" s="1075">
        <f>SUMIF(Meal_entry_week_2!G$485:G$496,"Vegetables_processed",Meal_entry_week_2!V$485:V$496)</f>
        <v>0</v>
      </c>
      <c r="F451" s="1075">
        <f>SUMIF(Meal_entry_week_2!G$485:G$496,"Fruits_nuts_dried_fruit",Meal_entry_week_2!V$485:V$496)</f>
        <v>0</v>
      </c>
      <c r="G451" s="1075">
        <f>SUMIF(Meal_entry_week_2!G$485:G$496,"Meat_fresh_frozen",Meal_entry_week_2!V$485:V$496)</f>
        <v>0</v>
      </c>
      <c r="H451" s="1075">
        <f>SUMIF(Meal_entry_week_2!G$485:G$496,"Meat_processed",Meal_entry_week_2!V$485:V$496)</f>
        <v>0</v>
      </c>
      <c r="I451" s="1075">
        <f>SUMIF(Meal_entry_week_2!G$485:G$496,"Fish_fresh_frozen",Meal_entry_week_2!V$485:V$496)+SUMIF(Meal_entry_week_2!G$485:G$496,"Fish_processed_canned",Meal_entry_week_2!V$485:V$496)</f>
        <v>0</v>
      </c>
      <c r="J451" s="1075">
        <f>SUMIF(Meal_entry_week_2!G$485:G$496,"Eggs",Meal_entry_week_2!V$485:V$496)</f>
        <v>0</v>
      </c>
      <c r="K451" s="1075">
        <f>SUMIF(Meal_entry_week_2!G$485:G$496,"Dairy_products",Meal_entry_week_2!V$485:V$496)</f>
        <v>0</v>
      </c>
      <c r="L451" s="1075">
        <f>SUMIF(Meal_entry_week_2!G$485:G$496,"Oil_butter_margarine",Meal_entry_week_2!V$485:V$496)</f>
        <v>0</v>
      </c>
      <c r="M451" s="1075">
        <f>SUMIF(Meal_entry_week_2!G$485:G$496,"Flour_pasta_seeds_cereals",Meal_entry_week_2!V$485:V$496)</f>
        <v>0</v>
      </c>
      <c r="N451" s="1075">
        <f>SUMIF(Meal_entry_week_2!G$485:G$496,"Sauces_purees_dressings",Meal_entry_week_2!V$485:V$496)+SUMIF(Meal_entry_week_2!G$485:G$496,"Spices_seasonings",Meal_entry_week_2!V$485:V$496)</f>
        <v>0</v>
      </c>
      <c r="O451" s="1075">
        <f>SUMIF(Meal_entry_week_2!G$485:G$496,"Sweet_foods_cakes",Meal_entry_week_2!V$485:V$496)</f>
        <v>0</v>
      </c>
      <c r="P451" s="1075">
        <f>SUMIF(Meal_entry_week_2!G$485:G$496,"Bread_and_pastries",Meal_entry_week_2!V$485:V$496)+SUMIF(Meal_entry_week_2!G$485:G$496,"Savoury_pastries",Meal_entry_week_2!V$485:V$496)+SUMIF(Meal_entry_week_2!G$485:G$496,"Sweet_pastries",Meal_entry_week_2!V$485:V$496)</f>
        <v>0</v>
      </c>
      <c r="Q451" s="1075">
        <f>SUMIF(Meal_entry_week_2!G$485:G$496,"Other_processed_foods",Meal_entry_week_2!V$485:V$496)</f>
        <v>0</v>
      </c>
      <c r="R451" s="1075">
        <f>SUMIF(Meal_entry_week_2!G$485:G$496,"Zasladjena_piča_čajevi_kafa",Meal_entry_week_2!V$485:V$496)</f>
        <v>0</v>
      </c>
      <c r="S451" s="1075">
        <f>SUMIF(Meal_entry_week_2!G$485:G$496,"Fruit_juices_water",Meal_entry_week_2!V$485:V$496)</f>
        <v>0</v>
      </c>
      <c r="T451" s="1070">
        <f>1120-SUM(D451:S451)</f>
        <v>1120</v>
      </c>
      <c r="U451" s="965"/>
      <c r="V451" s="913"/>
      <c r="W451" s="913"/>
      <c r="X451" s="913"/>
      <c r="Y451" s="913"/>
      <c r="Z451" s="913"/>
      <c r="AA451" s="913"/>
      <c r="AB451" s="913"/>
      <c r="AC451" s="913"/>
      <c r="AD451" s="913"/>
      <c r="AE451" s="913"/>
      <c r="AF451" s="913"/>
      <c r="AG451" s="913"/>
    </row>
    <row r="452" spans="1:33" ht="15" thickBot="1">
      <c r="A452" s="911"/>
      <c r="B452" s="913"/>
      <c r="C452" s="945"/>
      <c r="D452" s="965"/>
      <c r="E452" s="965"/>
      <c r="F452" s="965"/>
      <c r="G452" s="965"/>
      <c r="H452" s="965"/>
      <c r="I452" s="965"/>
      <c r="J452" s="965"/>
      <c r="K452" s="965"/>
      <c r="L452" s="965"/>
      <c r="M452" s="965"/>
      <c r="N452" s="965"/>
      <c r="O452" s="965"/>
      <c r="P452" s="965"/>
      <c r="Q452" s="965"/>
      <c r="R452" s="965"/>
      <c r="S452" s="965"/>
      <c r="T452" s="965"/>
      <c r="U452" s="965"/>
      <c r="V452" s="913"/>
      <c r="W452" s="913"/>
      <c r="X452" s="913"/>
      <c r="Y452" s="913"/>
      <c r="Z452" s="913"/>
      <c r="AA452" s="913"/>
      <c r="AB452" s="913"/>
      <c r="AC452" s="913"/>
      <c r="AD452" s="913"/>
      <c r="AE452" s="913"/>
      <c r="AF452" s="913"/>
      <c r="AG452" s="913"/>
    </row>
    <row r="453" spans="1:33" ht="15" thickBot="1">
      <c r="A453" s="911"/>
      <c r="B453" s="913"/>
      <c r="C453" s="945"/>
      <c r="D453" s="914" t="s">
        <v>2490</v>
      </c>
      <c r="E453" s="915" t="s">
        <v>2491</v>
      </c>
      <c r="F453" s="915" t="s">
        <v>2492</v>
      </c>
      <c r="G453" s="915" t="s">
        <v>2493</v>
      </c>
      <c r="H453" s="916" t="s">
        <v>2494</v>
      </c>
      <c r="I453" s="1080" t="s">
        <v>2490</v>
      </c>
      <c r="J453" s="1080" t="s">
        <v>2490</v>
      </c>
      <c r="K453" s="1080" t="s">
        <v>2490</v>
      </c>
      <c r="L453" s="1080" t="s">
        <v>2490</v>
      </c>
      <c r="M453" s="1081" t="s">
        <v>2490</v>
      </c>
      <c r="N453" s="1080" t="s">
        <v>67</v>
      </c>
      <c r="O453" s="1080" t="s">
        <v>67</v>
      </c>
      <c r="P453" s="1080" t="s">
        <v>67</v>
      </c>
      <c r="Q453" s="1080" t="s">
        <v>67</v>
      </c>
      <c r="R453" s="1081" t="s">
        <v>67</v>
      </c>
      <c r="S453" s="1080" t="s">
        <v>1362</v>
      </c>
      <c r="T453" s="1080" t="s">
        <v>1362</v>
      </c>
      <c r="U453" s="1080" t="s">
        <v>1362</v>
      </c>
      <c r="V453" s="1080" t="s">
        <v>1362</v>
      </c>
      <c r="W453" s="1081" t="s">
        <v>1362</v>
      </c>
      <c r="X453" s="1080" t="s">
        <v>69</v>
      </c>
      <c r="Y453" s="1080" t="s">
        <v>69</v>
      </c>
      <c r="Z453" s="1080" t="s">
        <v>69</v>
      </c>
      <c r="AA453" s="1080" t="s">
        <v>69</v>
      </c>
      <c r="AB453" s="1081" t="s">
        <v>69</v>
      </c>
      <c r="AC453" s="914" t="s">
        <v>1364</v>
      </c>
      <c r="AD453" s="914" t="s">
        <v>1364</v>
      </c>
      <c r="AE453" s="914" t="s">
        <v>1364</v>
      </c>
      <c r="AF453" s="914" t="s">
        <v>1364</v>
      </c>
      <c r="AG453" s="1081" t="s">
        <v>1364</v>
      </c>
    </row>
    <row r="454" spans="1:33" ht="30">
      <c r="A454" s="912"/>
      <c r="B454" s="913"/>
      <c r="C454" s="1083"/>
      <c r="D454" s="1084" t="s">
        <v>2570</v>
      </c>
      <c r="E454" s="1085" t="s">
        <v>67</v>
      </c>
      <c r="F454" s="1086" t="s">
        <v>1362</v>
      </c>
      <c r="G454" s="1087" t="s">
        <v>69</v>
      </c>
      <c r="H454" s="1088" t="s">
        <v>1364</v>
      </c>
      <c r="I454" s="1084" t="s">
        <v>3938</v>
      </c>
      <c r="J454" s="1084" t="s">
        <v>3939</v>
      </c>
      <c r="K454" s="1084" t="s">
        <v>3941</v>
      </c>
      <c r="L454" s="1084" t="s">
        <v>3942</v>
      </c>
      <c r="M454" s="1089" t="s">
        <v>3943</v>
      </c>
      <c r="N454" s="1090" t="s">
        <v>3948</v>
      </c>
      <c r="O454" s="1085" t="s">
        <v>3949</v>
      </c>
      <c r="P454" s="1085" t="s">
        <v>3950</v>
      </c>
      <c r="Q454" s="1085" t="s">
        <v>3951</v>
      </c>
      <c r="R454" s="1091" t="s">
        <v>3952</v>
      </c>
      <c r="S454" s="1092" t="s">
        <v>3953</v>
      </c>
      <c r="T454" s="1086" t="s">
        <v>3954</v>
      </c>
      <c r="U454" s="1086" t="s">
        <v>3955</v>
      </c>
      <c r="V454" s="1086" t="s">
        <v>3956</v>
      </c>
      <c r="W454" s="1093" t="s">
        <v>3957</v>
      </c>
      <c r="X454" s="1094" t="s">
        <v>3967</v>
      </c>
      <c r="Y454" s="1087" t="s">
        <v>3968</v>
      </c>
      <c r="Z454" s="1087" t="s">
        <v>3969</v>
      </c>
      <c r="AA454" s="1087" t="s">
        <v>3970</v>
      </c>
      <c r="AB454" s="1095" t="s">
        <v>3971</v>
      </c>
      <c r="AC454" s="1096" t="s">
        <v>3958</v>
      </c>
      <c r="AD454" s="1088" t="s">
        <v>3959</v>
      </c>
      <c r="AE454" s="1088" t="s">
        <v>3960</v>
      </c>
      <c r="AF454" s="1088" t="s">
        <v>3961</v>
      </c>
      <c r="AG454" s="1088" t="s">
        <v>3962</v>
      </c>
    </row>
    <row r="455" spans="1:33">
      <c r="A455" s="912"/>
      <c r="B455" s="925" t="s">
        <v>1370</v>
      </c>
      <c r="C455" s="1083"/>
      <c r="D455" s="406"/>
      <c r="E455" s="406"/>
      <c r="F455" s="406"/>
      <c r="G455" s="406"/>
      <c r="H455" s="406"/>
      <c r="I455" s="406"/>
      <c r="J455" s="406"/>
      <c r="K455" s="406"/>
      <c r="L455" s="406"/>
      <c r="M455" s="406"/>
      <c r="N455" s="406"/>
      <c r="O455" s="406"/>
      <c r="P455" s="406"/>
      <c r="Q455" s="406"/>
      <c r="R455" s="406"/>
      <c r="S455" s="406"/>
      <c r="T455" s="406"/>
      <c r="U455" s="406"/>
      <c r="V455" s="1097"/>
      <c r="W455" s="1097"/>
      <c r="X455" s="1097"/>
      <c r="Y455" s="1097"/>
      <c r="Z455" s="1097"/>
      <c r="AA455" s="1097"/>
      <c r="AB455" s="1097"/>
      <c r="AC455" s="1097"/>
      <c r="AD455" s="1097"/>
      <c r="AE455" s="1097"/>
      <c r="AF455" s="1097"/>
      <c r="AG455" s="406"/>
    </row>
    <row r="456" spans="1:33">
      <c r="A456" s="912"/>
      <c r="B456" s="925" t="s">
        <v>1403</v>
      </c>
      <c r="C456" s="1083"/>
      <c r="D456" s="406"/>
      <c r="E456" s="406"/>
      <c r="F456" s="406"/>
      <c r="G456" s="406"/>
      <c r="H456" s="406"/>
      <c r="I456" s="406"/>
      <c r="J456" s="406"/>
      <c r="K456" s="406"/>
      <c r="L456" s="406"/>
      <c r="M456" s="406"/>
      <c r="N456" s="406"/>
      <c r="O456" s="406"/>
      <c r="P456" s="406"/>
      <c r="Q456" s="406"/>
      <c r="R456" s="406"/>
      <c r="S456" s="406"/>
      <c r="T456" s="406"/>
      <c r="U456" s="406"/>
      <c r="V456" s="1097"/>
      <c r="W456" s="1097"/>
      <c r="X456" s="1097"/>
      <c r="Y456" s="1097"/>
      <c r="Z456" s="1097"/>
      <c r="AA456" s="1097"/>
      <c r="AB456" s="1097"/>
      <c r="AC456" s="1097"/>
      <c r="AD456" s="1097"/>
      <c r="AE456" s="1097"/>
      <c r="AF456" s="1097"/>
      <c r="AG456" s="406"/>
    </row>
    <row r="457" spans="1:33">
      <c r="A457" s="912"/>
      <c r="B457" s="925" t="s">
        <v>1404</v>
      </c>
      <c r="C457" s="1083"/>
      <c r="D457" s="406"/>
      <c r="E457" s="406"/>
      <c r="F457" s="406"/>
      <c r="G457" s="406"/>
      <c r="H457" s="406"/>
      <c r="I457" s="406"/>
      <c r="J457" s="406"/>
      <c r="K457" s="406"/>
      <c r="L457" s="406"/>
      <c r="M457" s="406"/>
      <c r="N457" s="406"/>
      <c r="O457" s="406"/>
      <c r="P457" s="406"/>
      <c r="Q457" s="406"/>
      <c r="R457" s="406"/>
      <c r="S457" s="406"/>
      <c r="T457" s="406"/>
      <c r="U457" s="406"/>
      <c r="V457" s="1097"/>
      <c r="W457" s="1097"/>
      <c r="X457" s="1097"/>
      <c r="Y457" s="1097"/>
      <c r="Z457" s="1097"/>
      <c r="AA457" s="1097"/>
      <c r="AB457" s="1097"/>
      <c r="AC457" s="1097"/>
      <c r="AD457" s="1097"/>
      <c r="AE457" s="1097"/>
      <c r="AF457" s="1097"/>
      <c r="AG457" s="406"/>
    </row>
    <row r="458" spans="1:33">
      <c r="A458" s="912"/>
      <c r="B458" s="925" t="s">
        <v>1405</v>
      </c>
      <c r="C458" s="1083"/>
      <c r="D458" s="406"/>
      <c r="E458" s="406"/>
      <c r="F458" s="406"/>
      <c r="G458" s="406"/>
      <c r="H458" s="406"/>
      <c r="I458" s="406"/>
      <c r="J458" s="406"/>
      <c r="K458" s="406"/>
      <c r="L458" s="406"/>
      <c r="M458" s="406"/>
      <c r="N458" s="406"/>
      <c r="O458" s="406"/>
      <c r="P458" s="406"/>
      <c r="Q458" s="406"/>
      <c r="R458" s="406"/>
      <c r="S458" s="406"/>
      <c r="T458" s="406"/>
      <c r="U458" s="406"/>
      <c r="V458" s="1097"/>
      <c r="W458" s="1097"/>
      <c r="X458" s="1097"/>
      <c r="Y458" s="1097"/>
      <c r="Z458" s="1097"/>
      <c r="AA458" s="1097"/>
      <c r="AB458" s="1097"/>
      <c r="AC458" s="1097"/>
      <c r="AD458" s="1097"/>
      <c r="AE458" s="1097"/>
      <c r="AF458" s="1097"/>
      <c r="AG458" s="406"/>
    </row>
    <row r="459" spans="1:33" ht="15">
      <c r="A459" s="912"/>
      <c r="B459" s="950" t="s">
        <v>1406</v>
      </c>
      <c r="C459" s="1083"/>
      <c r="D459" s="408">
        <f>SUM(E459:H459)</f>
        <v>2.2000000000000002</v>
      </c>
      <c r="E459" s="408">
        <f>(N459+O459+P459+Q459+R459)/5</f>
        <v>0</v>
      </c>
      <c r="F459" s="408">
        <f>(S459+T459+U459+V459+W459)/5</f>
        <v>1.6</v>
      </c>
      <c r="G459" s="408">
        <f>(X459+Y459+Z459+AA459+AB459)/5</f>
        <v>0.6</v>
      </c>
      <c r="H459" s="408">
        <f>(AC459+AD459+AE459+AF459+AG459)/5</f>
        <v>0</v>
      </c>
      <c r="I459" s="408">
        <f>Meal_entry_week_2!$AA$559</f>
        <v>0</v>
      </c>
      <c r="J459" s="408">
        <f>Meal_entry_week_2!$AA$560</f>
        <v>2</v>
      </c>
      <c r="K459" s="408">
        <f>Meal_entry_week_2!$AA$561</f>
        <v>3</v>
      </c>
      <c r="L459" s="408">
        <f>Meal_entry_week_2!$AA$562</f>
        <v>5</v>
      </c>
      <c r="M459" s="408">
        <f>Meal_entry_week_2!$AA$563</f>
        <v>5</v>
      </c>
      <c r="N459" s="406">
        <f>Meal_entry_week_2!$AA$10</f>
        <v>0</v>
      </c>
      <c r="O459" s="408">
        <f>Meal_entry_week_2!$AA$109</f>
        <v>0</v>
      </c>
      <c r="P459" s="408">
        <f>Meal_entry_week_2!$AA$208</f>
        <v>0</v>
      </c>
      <c r="Q459" s="408">
        <f>Meal_entry_week_2!$AA$307</f>
        <v>0</v>
      </c>
      <c r="R459" s="408">
        <f>Meal_entry_week_2!$AA$406</f>
        <v>0</v>
      </c>
      <c r="S459" s="408">
        <f>Meal_entry_week_2!$AA$37</f>
        <v>0</v>
      </c>
      <c r="T459" s="408">
        <f>Meal_entry_week_2!$AA$136</f>
        <v>1</v>
      </c>
      <c r="U459" s="408">
        <f>Meal_entry_week_2!$AA$235</f>
        <v>3</v>
      </c>
      <c r="V459" s="408">
        <f>Meal_entry_week_2!$AA$334</f>
        <v>1</v>
      </c>
      <c r="W459" s="408">
        <f>Meal_entry_week_2!$AA$433</f>
        <v>3</v>
      </c>
      <c r="X459" s="408">
        <f>Meal_entry_week_2!$AA$56</f>
        <v>0</v>
      </c>
      <c r="Y459" s="408">
        <f>Meal_entry_week_2!$AA$155</f>
        <v>1</v>
      </c>
      <c r="Z459" s="408">
        <f>Meal_entry_week_2!$AA$254</f>
        <v>0</v>
      </c>
      <c r="AA459" s="408">
        <f>Meal_entry_week_2!$AA$353</f>
        <v>0</v>
      </c>
      <c r="AB459" s="408">
        <f>Meal_entry_week_2!$AA$452</f>
        <v>2</v>
      </c>
      <c r="AC459" s="408">
        <f>Meal_entry_week_2!$AA$88</f>
        <v>0</v>
      </c>
      <c r="AD459" s="408">
        <f>Meal_entry_week_2!$AA$187</f>
        <v>0</v>
      </c>
      <c r="AE459" s="408">
        <f>Meal_entry_week_2!$AA$286</f>
        <v>0</v>
      </c>
      <c r="AF459" s="408">
        <f>Meal_entry_week_2!$AA$385</f>
        <v>0</v>
      </c>
      <c r="AG459" s="408">
        <f>Meal_entry_week_2!$AA$484</f>
        <v>0</v>
      </c>
    </row>
    <row r="460" spans="1:33">
      <c r="A460" s="912"/>
      <c r="B460" s="925" t="s">
        <v>1407</v>
      </c>
      <c r="C460" s="1083"/>
      <c r="D460" s="408">
        <f t="shared" ref="D460:D477" si="61">SUM(E460:H460)</f>
        <v>1.7999999999999998</v>
      </c>
      <c r="E460" s="408">
        <f t="shared" ref="E460:E477" si="62">(N460+O460+P460+Q460+R460)/5</f>
        <v>0</v>
      </c>
      <c r="F460" s="408">
        <f t="shared" ref="F460:F477" si="63">(S460+T460+U460+V460+W460)/5</f>
        <v>1.4</v>
      </c>
      <c r="G460" s="408">
        <f t="shared" ref="G460:G477" si="64">(X460+Y460+Z460+AA460+AB460)/5</f>
        <v>0.4</v>
      </c>
      <c r="H460" s="408">
        <f t="shared" ref="H460:H477" si="65">(AC460+AD460+AE460+AF460+AG460)/5</f>
        <v>0</v>
      </c>
      <c r="I460" s="408">
        <f>Meal_entry_week_2!$AB$559</f>
        <v>0</v>
      </c>
      <c r="J460" s="408">
        <f>Meal_entry_week_2!$AB$560</f>
        <v>2</v>
      </c>
      <c r="K460" s="408">
        <f>Meal_entry_week_2!$AB$561</f>
        <v>3</v>
      </c>
      <c r="L460" s="408">
        <f>Meal_entry_week_2!$AB$562</f>
        <v>1</v>
      </c>
      <c r="M460" s="408">
        <f>Meal_entry_week_2!$AB$563</f>
        <v>3</v>
      </c>
      <c r="N460" s="406">
        <f>Meal_entry_week_2!$AB$10</f>
        <v>0</v>
      </c>
      <c r="O460" s="408">
        <f>Meal_entry_week_2!$AB$109</f>
        <v>0</v>
      </c>
      <c r="P460" s="408">
        <f>Meal_entry_week_2!$AB$208</f>
        <v>0</v>
      </c>
      <c r="Q460" s="408">
        <f>Meal_entry_week_2!$AB$307</f>
        <v>0</v>
      </c>
      <c r="R460" s="408">
        <f>Meal_entry_week_2!$AB$406</f>
        <v>0</v>
      </c>
      <c r="S460" s="408">
        <f>Meal_entry_week_2!$AB$37</f>
        <v>0</v>
      </c>
      <c r="T460" s="408">
        <f>Meal_entry_week_2!$AB$136</f>
        <v>1</v>
      </c>
      <c r="U460" s="408">
        <f>Meal_entry_week_2!$AB$235</f>
        <v>3</v>
      </c>
      <c r="V460" s="408">
        <f>Meal_entry_week_2!$AB$334</f>
        <v>1</v>
      </c>
      <c r="W460" s="408">
        <f>Meal_entry_week_2!$AB$433</f>
        <v>2</v>
      </c>
      <c r="X460" s="408">
        <f>Meal_entry_week_2!$AB$56</f>
        <v>0</v>
      </c>
      <c r="Y460" s="408">
        <f>Meal_entry_week_2!$AB$155</f>
        <v>1</v>
      </c>
      <c r="Z460" s="408">
        <f>Meal_entry_week_2!$AB$254</f>
        <v>0</v>
      </c>
      <c r="AA460" s="408">
        <f>Meal_entry_week_2!$AB$353</f>
        <v>0</v>
      </c>
      <c r="AB460" s="408">
        <f>Meal_entry_week_2!$AB$452</f>
        <v>1</v>
      </c>
      <c r="AC460" s="408">
        <f>Meal_entry_week_2!$AB$88</f>
        <v>0</v>
      </c>
      <c r="AD460" s="408">
        <f>Meal_entry_week_2!$AB$187</f>
        <v>0</v>
      </c>
      <c r="AE460" s="408">
        <f>Meal_entry_week_2!$AB$286</f>
        <v>0</v>
      </c>
      <c r="AF460" s="408">
        <f>Meal_entry_week_2!$AB$385</f>
        <v>0</v>
      </c>
      <c r="AG460" s="408">
        <f>Meal_entry_week_2!$AB$484</f>
        <v>0</v>
      </c>
    </row>
    <row r="461" spans="1:33" ht="15">
      <c r="A461" s="912"/>
      <c r="B461" s="950" t="s">
        <v>1408</v>
      </c>
      <c r="C461" s="1083"/>
      <c r="D461" s="408">
        <f t="shared" si="61"/>
        <v>1.6</v>
      </c>
      <c r="E461" s="408">
        <f t="shared" si="62"/>
        <v>0</v>
      </c>
      <c r="F461" s="408">
        <f t="shared" si="63"/>
        <v>1.6</v>
      </c>
      <c r="G461" s="408">
        <f t="shared" si="64"/>
        <v>0</v>
      </c>
      <c r="H461" s="408">
        <f t="shared" si="65"/>
        <v>0</v>
      </c>
      <c r="I461" s="408">
        <f>Meal_entry_week_2!$AC$559</f>
        <v>0</v>
      </c>
      <c r="J461" s="408">
        <f>Meal_entry_week_2!$AC$560</f>
        <v>1</v>
      </c>
      <c r="K461" s="408">
        <f>Meal_entry_week_2!$AC$561</f>
        <v>3</v>
      </c>
      <c r="L461" s="408">
        <f>Meal_entry_week_2!$AC$562</f>
        <v>1</v>
      </c>
      <c r="M461" s="408">
        <f>Meal_entry_week_2!$AC$563</f>
        <v>3</v>
      </c>
      <c r="N461" s="406">
        <f>Meal_entry_week_2!$AC$10</f>
        <v>0</v>
      </c>
      <c r="O461" s="408">
        <f>Meal_entry_week_2!$AC$109</f>
        <v>0</v>
      </c>
      <c r="P461" s="408">
        <f>Meal_entry_week_2!$AC$208</f>
        <v>0</v>
      </c>
      <c r="Q461" s="408">
        <f>Meal_entry_week_2!$AC$307</f>
        <v>0</v>
      </c>
      <c r="R461" s="408">
        <f>Meal_entry_week_2!$AC$406</f>
        <v>0</v>
      </c>
      <c r="S461" s="408">
        <f>Meal_entry_week_2!$AC$37</f>
        <v>0</v>
      </c>
      <c r="T461" s="408">
        <f>Meal_entry_week_2!$AC$136</f>
        <v>1</v>
      </c>
      <c r="U461" s="408">
        <f>Meal_entry_week_2!$AC$235</f>
        <v>3</v>
      </c>
      <c r="V461" s="408">
        <f>Meal_entry_week_2!$AC$334</f>
        <v>1</v>
      </c>
      <c r="W461" s="408">
        <f>Meal_entry_week_2!$AC$433</f>
        <v>3</v>
      </c>
      <c r="X461" s="408">
        <f>Meal_entry_week_2!$AC$56</f>
        <v>0</v>
      </c>
      <c r="Y461" s="408">
        <f>Meal_entry_week_2!$AC$155</f>
        <v>0</v>
      </c>
      <c r="Z461" s="408">
        <f>Meal_entry_week_2!$AC$254</f>
        <v>0</v>
      </c>
      <c r="AA461" s="408">
        <f>Meal_entry_week_2!$AC$353</f>
        <v>0</v>
      </c>
      <c r="AB461" s="408">
        <f>Meal_entry_week_2!$AC$452</f>
        <v>0</v>
      </c>
      <c r="AC461" s="408">
        <f>Meal_entry_week_2!$AC$88</f>
        <v>0</v>
      </c>
      <c r="AD461" s="408">
        <f>Meal_entry_week_2!$AC$187</f>
        <v>0</v>
      </c>
      <c r="AE461" s="408">
        <f>Meal_entry_week_2!$AC$286</f>
        <v>0</v>
      </c>
      <c r="AF461" s="408">
        <f>Meal_entry_week_2!$AC$385</f>
        <v>0</v>
      </c>
      <c r="AG461" s="408">
        <f>Meal_entry_week_2!$AC$484</f>
        <v>0</v>
      </c>
    </row>
    <row r="462" spans="1:33" ht="15">
      <c r="A462" s="912"/>
      <c r="B462" s="950" t="s">
        <v>1409</v>
      </c>
      <c r="C462" s="1083"/>
      <c r="D462" s="408">
        <f t="shared" si="61"/>
        <v>1.6</v>
      </c>
      <c r="E462" s="408">
        <f t="shared" si="62"/>
        <v>0</v>
      </c>
      <c r="F462" s="408">
        <f t="shared" si="63"/>
        <v>1.6</v>
      </c>
      <c r="G462" s="408">
        <f t="shared" si="64"/>
        <v>0</v>
      </c>
      <c r="H462" s="408">
        <f t="shared" si="65"/>
        <v>0</v>
      </c>
      <c r="I462" s="408">
        <f>Meal_entry_week_2!$AD$559</f>
        <v>0</v>
      </c>
      <c r="J462" s="408">
        <f>Meal_entry_week_2!$AD$560</f>
        <v>1</v>
      </c>
      <c r="K462" s="408">
        <f>Meal_entry_week_2!$AD$561</f>
        <v>3</v>
      </c>
      <c r="L462" s="408">
        <f>Meal_entry_week_2!$AD$562</f>
        <v>1</v>
      </c>
      <c r="M462" s="408">
        <f>Meal_entry_week_2!$AD$563</f>
        <v>3</v>
      </c>
      <c r="N462" s="406">
        <f>Meal_entry_week_2!$AD$10</f>
        <v>0</v>
      </c>
      <c r="O462" s="408">
        <f>Meal_entry_week_2!$AD$109</f>
        <v>0</v>
      </c>
      <c r="P462" s="408">
        <f>Meal_entry_week_2!$AD$208</f>
        <v>0</v>
      </c>
      <c r="Q462" s="408">
        <f>Meal_entry_week_2!$AD$307</f>
        <v>0</v>
      </c>
      <c r="R462" s="408">
        <f>Meal_entry_week_2!$AD$406</f>
        <v>0</v>
      </c>
      <c r="S462" s="408">
        <f>Meal_entry_week_2!$AD$37</f>
        <v>0</v>
      </c>
      <c r="T462" s="408">
        <f>Meal_entry_week_2!$AD$136</f>
        <v>1</v>
      </c>
      <c r="U462" s="408">
        <f>Meal_entry_week_2!$AD$235</f>
        <v>3</v>
      </c>
      <c r="V462" s="408">
        <f>Meal_entry_week_2!$AD$334</f>
        <v>1</v>
      </c>
      <c r="W462" s="408">
        <f>Meal_entry_week_2!$AD$433</f>
        <v>3</v>
      </c>
      <c r="X462" s="408">
        <f>Meal_entry_week_2!$AD$56</f>
        <v>0</v>
      </c>
      <c r="Y462" s="408">
        <f>Meal_entry_week_2!$AD$155</f>
        <v>0</v>
      </c>
      <c r="Z462" s="408">
        <f>Meal_entry_week_2!$AD$254</f>
        <v>0</v>
      </c>
      <c r="AA462" s="408">
        <f>Meal_entry_week_2!$AD$353</f>
        <v>0</v>
      </c>
      <c r="AB462" s="408">
        <f>Meal_entry_week_2!$AD$452</f>
        <v>0</v>
      </c>
      <c r="AC462" s="408">
        <f>Meal_entry_week_2!$AD$88</f>
        <v>0</v>
      </c>
      <c r="AD462" s="408">
        <f>Meal_entry_week_2!$AD$187</f>
        <v>0</v>
      </c>
      <c r="AE462" s="408">
        <f>Meal_entry_week_2!$AD$286</f>
        <v>0</v>
      </c>
      <c r="AF462" s="408">
        <f>Meal_entry_week_2!$AD$385</f>
        <v>0</v>
      </c>
      <c r="AG462" s="408">
        <f>Meal_entry_week_2!$AD$484</f>
        <v>0</v>
      </c>
    </row>
    <row r="463" spans="1:33" ht="15">
      <c r="A463" s="912"/>
      <c r="B463" s="950" t="s">
        <v>1410</v>
      </c>
      <c r="C463" s="1083"/>
      <c r="D463" s="408">
        <f t="shared" si="61"/>
        <v>1.6</v>
      </c>
      <c r="E463" s="408">
        <f t="shared" si="62"/>
        <v>0</v>
      </c>
      <c r="F463" s="408">
        <f t="shared" si="63"/>
        <v>1.6</v>
      </c>
      <c r="G463" s="408">
        <f t="shared" si="64"/>
        <v>0</v>
      </c>
      <c r="H463" s="408">
        <f t="shared" si="65"/>
        <v>0</v>
      </c>
      <c r="I463" s="408">
        <f>Meal_entry_week_2!$AE$559</f>
        <v>0</v>
      </c>
      <c r="J463" s="408">
        <f>Meal_entry_week_2!$AE$560</f>
        <v>1</v>
      </c>
      <c r="K463" s="408">
        <f>Meal_entry_week_2!$AE$561</f>
        <v>3</v>
      </c>
      <c r="L463" s="408">
        <f>Meal_entry_week_2!$AE$562</f>
        <v>1</v>
      </c>
      <c r="M463" s="408">
        <f>Meal_entry_week_2!$AE$563</f>
        <v>3</v>
      </c>
      <c r="N463" s="406">
        <f>Meal_entry_week_2!$AE$10</f>
        <v>0</v>
      </c>
      <c r="O463" s="408">
        <f>Meal_entry_week_2!$AE$109</f>
        <v>0</v>
      </c>
      <c r="P463" s="408">
        <f>Meal_entry_week_2!$AE$208</f>
        <v>0</v>
      </c>
      <c r="Q463" s="408">
        <f>Meal_entry_week_2!$AE$307</f>
        <v>0</v>
      </c>
      <c r="R463" s="408">
        <f>Meal_entry_week_2!$AE$406</f>
        <v>0</v>
      </c>
      <c r="S463" s="408">
        <f>Meal_entry_week_2!$AE$37</f>
        <v>0</v>
      </c>
      <c r="T463" s="408">
        <f>Meal_entry_week_2!$AE$136</f>
        <v>1</v>
      </c>
      <c r="U463" s="408">
        <f>Meal_entry_week_2!$AE$235</f>
        <v>3</v>
      </c>
      <c r="V463" s="408">
        <f>Meal_entry_week_2!$AE$334</f>
        <v>1</v>
      </c>
      <c r="W463" s="408">
        <f>Meal_entry_week_2!$AE$433</f>
        <v>3</v>
      </c>
      <c r="X463" s="408">
        <f>Meal_entry_week_2!$AE$56</f>
        <v>0</v>
      </c>
      <c r="Y463" s="408">
        <f>Meal_entry_week_2!$AE$155</f>
        <v>0</v>
      </c>
      <c r="Z463" s="408">
        <f>Meal_entry_week_2!$AE$254</f>
        <v>0</v>
      </c>
      <c r="AA463" s="408">
        <f>Meal_entry_week_2!$AE$353</f>
        <v>0</v>
      </c>
      <c r="AB463" s="408">
        <f>Meal_entry_week_2!$AE$452</f>
        <v>0</v>
      </c>
      <c r="AC463" s="408">
        <f>Meal_entry_week_2!$AE$88</f>
        <v>0</v>
      </c>
      <c r="AD463" s="408">
        <f>Meal_entry_week_2!$AE$187</f>
        <v>0</v>
      </c>
      <c r="AE463" s="408">
        <f>Meal_entry_week_2!$AE$286</f>
        <v>0</v>
      </c>
      <c r="AF463" s="408">
        <f>Meal_entry_week_2!$AE$385</f>
        <v>0</v>
      </c>
      <c r="AG463" s="408">
        <f>Meal_entry_week_2!$AE$484</f>
        <v>0</v>
      </c>
    </row>
    <row r="464" spans="1:33" ht="15">
      <c r="A464" s="912"/>
      <c r="B464" s="950" t="s">
        <v>1411</v>
      </c>
      <c r="C464" s="1083"/>
      <c r="D464" s="408">
        <f t="shared" si="61"/>
        <v>2</v>
      </c>
      <c r="E464" s="408">
        <f t="shared" si="62"/>
        <v>0</v>
      </c>
      <c r="F464" s="408">
        <f t="shared" si="63"/>
        <v>1.6</v>
      </c>
      <c r="G464" s="408">
        <f t="shared" si="64"/>
        <v>0.4</v>
      </c>
      <c r="H464" s="408">
        <f t="shared" si="65"/>
        <v>0</v>
      </c>
      <c r="I464" s="408">
        <f>Meal_entry_week_2!$AF$559</f>
        <v>0</v>
      </c>
      <c r="J464" s="408">
        <f>Meal_entry_week_2!$AF$560</f>
        <v>2</v>
      </c>
      <c r="K464" s="408">
        <f>Meal_entry_week_2!$AF$561</f>
        <v>3</v>
      </c>
      <c r="L464" s="408">
        <f>Meal_entry_week_2!$AF$562</f>
        <v>1</v>
      </c>
      <c r="M464" s="408">
        <f>Meal_entry_week_2!$AF$563</f>
        <v>4</v>
      </c>
      <c r="N464" s="406">
        <f>Meal_entry_week_2!$AF$10</f>
        <v>0</v>
      </c>
      <c r="O464" s="408">
        <f>Meal_entry_week_2!$AF$109</f>
        <v>0</v>
      </c>
      <c r="P464" s="408">
        <f>Meal_entry_week_2!$AF$208</f>
        <v>0</v>
      </c>
      <c r="Q464" s="408">
        <f>Meal_entry_week_2!$AF$307</f>
        <v>0</v>
      </c>
      <c r="R464" s="408">
        <f>Meal_entry_week_2!$AF$406</f>
        <v>0</v>
      </c>
      <c r="S464" s="408">
        <f>Meal_entry_week_2!$AF$37</f>
        <v>0</v>
      </c>
      <c r="T464" s="408">
        <f>Meal_entry_week_2!$AF$136</f>
        <v>1</v>
      </c>
      <c r="U464" s="408">
        <f>Meal_entry_week_2!$AF$235</f>
        <v>3</v>
      </c>
      <c r="V464" s="408">
        <f>Meal_entry_week_2!$AF$334</f>
        <v>1</v>
      </c>
      <c r="W464" s="408">
        <f>Meal_entry_week_2!$AF$433</f>
        <v>3</v>
      </c>
      <c r="X464" s="408">
        <f>Meal_entry_week_2!$AF$56</f>
        <v>0</v>
      </c>
      <c r="Y464" s="408">
        <f>Meal_entry_week_2!$AF$155</f>
        <v>1</v>
      </c>
      <c r="Z464" s="408">
        <f>Meal_entry_week_2!$AF$254</f>
        <v>0</v>
      </c>
      <c r="AA464" s="408">
        <f>Meal_entry_week_2!$AF$353</f>
        <v>0</v>
      </c>
      <c r="AB464" s="408">
        <f>Meal_entry_week_2!$AF$452</f>
        <v>1</v>
      </c>
      <c r="AC464" s="408">
        <f>Meal_entry_week_2!$AF$88</f>
        <v>0</v>
      </c>
      <c r="AD464" s="408">
        <f>Meal_entry_week_2!$AF$187</f>
        <v>0</v>
      </c>
      <c r="AE464" s="408">
        <f>Meal_entry_week_2!$AF$286</f>
        <v>0</v>
      </c>
      <c r="AF464" s="408">
        <f>Meal_entry_week_2!$AF$385</f>
        <v>0</v>
      </c>
      <c r="AG464" s="408">
        <f>Meal_entry_week_2!$AF$484</f>
        <v>0</v>
      </c>
    </row>
    <row r="465" spans="1:33" ht="15">
      <c r="A465" s="912"/>
      <c r="B465" s="950" t="s">
        <v>1412</v>
      </c>
      <c r="C465" s="1083"/>
      <c r="D465" s="408">
        <f t="shared" si="61"/>
        <v>2</v>
      </c>
      <c r="E465" s="408">
        <f t="shared" si="62"/>
        <v>0</v>
      </c>
      <c r="F465" s="408">
        <f t="shared" si="63"/>
        <v>1.6</v>
      </c>
      <c r="G465" s="408">
        <f t="shared" si="64"/>
        <v>0.4</v>
      </c>
      <c r="H465" s="408">
        <f t="shared" si="65"/>
        <v>0</v>
      </c>
      <c r="I465" s="408">
        <f>Meal_entry_week_2!$AG$559</f>
        <v>0</v>
      </c>
      <c r="J465" s="408">
        <f>Meal_entry_week_2!$AG$560</f>
        <v>2</v>
      </c>
      <c r="K465" s="408">
        <f>Meal_entry_week_2!$AG$561</f>
        <v>3</v>
      </c>
      <c r="L465" s="408">
        <f>Meal_entry_week_2!$AG$562</f>
        <v>1</v>
      </c>
      <c r="M465" s="408">
        <f>Meal_entry_week_2!$AG$563</f>
        <v>4</v>
      </c>
      <c r="N465" s="406">
        <f>Meal_entry_week_2!$AG$10</f>
        <v>0</v>
      </c>
      <c r="O465" s="408">
        <f>Meal_entry_week_2!$AG$109</f>
        <v>0</v>
      </c>
      <c r="P465" s="408">
        <f>Meal_entry_week_2!$AG$208</f>
        <v>0</v>
      </c>
      <c r="Q465" s="408">
        <f>Meal_entry_week_2!$AG$307</f>
        <v>0</v>
      </c>
      <c r="R465" s="408">
        <f>Meal_entry_week_2!$AG$406</f>
        <v>0</v>
      </c>
      <c r="S465" s="408">
        <f>Meal_entry_week_2!$AG$37</f>
        <v>0</v>
      </c>
      <c r="T465" s="408">
        <f>Meal_entry_week_2!$AG$136</f>
        <v>1</v>
      </c>
      <c r="U465" s="408">
        <f>Meal_entry_week_2!$AG$235</f>
        <v>3</v>
      </c>
      <c r="V465" s="408">
        <f>Meal_entry_week_2!$AG$334</f>
        <v>1</v>
      </c>
      <c r="W465" s="408">
        <f>Meal_entry_week_2!$AG$433</f>
        <v>3</v>
      </c>
      <c r="X465" s="408">
        <f>Meal_entry_week_2!$AG$56</f>
        <v>0</v>
      </c>
      <c r="Y465" s="408">
        <f>Meal_entry_week_2!$AG$155</f>
        <v>1</v>
      </c>
      <c r="Z465" s="408">
        <f>Meal_entry_week_2!$AG$254</f>
        <v>0</v>
      </c>
      <c r="AA465" s="408">
        <f>Meal_entry_week_2!$AG$353</f>
        <v>0</v>
      </c>
      <c r="AB465" s="408">
        <f>Meal_entry_week_2!$AG$452</f>
        <v>1</v>
      </c>
      <c r="AC465" s="408">
        <f>Meal_entry_week_2!$AG$88</f>
        <v>0</v>
      </c>
      <c r="AD465" s="408">
        <f>Meal_entry_week_2!$AG$187</f>
        <v>0</v>
      </c>
      <c r="AE465" s="408">
        <f>Meal_entry_week_2!$AG$286</f>
        <v>0</v>
      </c>
      <c r="AF465" s="408">
        <f>Meal_entry_week_2!$AG$385</f>
        <v>0</v>
      </c>
      <c r="AG465" s="408">
        <f>Meal_entry_week_2!$AG$484</f>
        <v>0</v>
      </c>
    </row>
    <row r="466" spans="1:33" ht="15">
      <c r="A466" s="912"/>
      <c r="B466" s="950" t="s">
        <v>1413</v>
      </c>
      <c r="C466" s="1083"/>
      <c r="D466" s="408">
        <f t="shared" si="61"/>
        <v>1.6</v>
      </c>
      <c r="E466" s="408">
        <f t="shared" si="62"/>
        <v>0</v>
      </c>
      <c r="F466" s="408">
        <f t="shared" si="63"/>
        <v>1.6</v>
      </c>
      <c r="G466" s="408">
        <f t="shared" si="64"/>
        <v>0</v>
      </c>
      <c r="H466" s="408">
        <f t="shared" si="65"/>
        <v>0</v>
      </c>
      <c r="I466" s="408">
        <f>Meal_entry_week_2!$AH$559</f>
        <v>0</v>
      </c>
      <c r="J466" s="408">
        <f>Meal_entry_week_2!$AH$560</f>
        <v>1</v>
      </c>
      <c r="K466" s="408">
        <f>Meal_entry_week_2!$AH$561</f>
        <v>3</v>
      </c>
      <c r="L466" s="408">
        <f>Meal_entry_week_2!$AH$562</f>
        <v>1</v>
      </c>
      <c r="M466" s="408">
        <f>Meal_entry_week_2!$AH$563</f>
        <v>3</v>
      </c>
      <c r="N466" s="406">
        <f>Meal_entry_week_2!$AH$10</f>
        <v>0</v>
      </c>
      <c r="O466" s="408">
        <f>Meal_entry_week_2!$AH$109</f>
        <v>0</v>
      </c>
      <c r="P466" s="408">
        <f>Meal_entry_week_2!$AH$208</f>
        <v>0</v>
      </c>
      <c r="Q466" s="408">
        <f>Meal_entry_week_2!$AH$307</f>
        <v>0</v>
      </c>
      <c r="R466" s="408">
        <f>Meal_entry_week_2!$AH$406</f>
        <v>0</v>
      </c>
      <c r="S466" s="408">
        <f>Meal_entry_week_2!$AH$37</f>
        <v>0</v>
      </c>
      <c r="T466" s="408">
        <f>Meal_entry_week_2!$AH$136</f>
        <v>1</v>
      </c>
      <c r="U466" s="408">
        <f>Meal_entry_week_2!$AH$235</f>
        <v>3</v>
      </c>
      <c r="V466" s="408">
        <f>Meal_entry_week_2!$AH$334</f>
        <v>1</v>
      </c>
      <c r="W466" s="408">
        <f>Meal_entry_week_2!$AH$433</f>
        <v>3</v>
      </c>
      <c r="X466" s="408">
        <f>Meal_entry_week_2!$AH$56</f>
        <v>0</v>
      </c>
      <c r="Y466" s="408">
        <f>Meal_entry_week_2!$AH$155</f>
        <v>0</v>
      </c>
      <c r="Z466" s="408">
        <f>Meal_entry_week_2!$AH$254</f>
        <v>0</v>
      </c>
      <c r="AA466" s="408">
        <f>Meal_entry_week_2!$AH$353</f>
        <v>0</v>
      </c>
      <c r="AB466" s="408">
        <f>Meal_entry_week_2!$AH$452</f>
        <v>0</v>
      </c>
      <c r="AC466" s="408">
        <f>Meal_entry_week_2!$AH$88</f>
        <v>0</v>
      </c>
      <c r="AD466" s="408">
        <f>Meal_entry_week_2!$AH$187</f>
        <v>0</v>
      </c>
      <c r="AE466" s="408">
        <f>Meal_entry_week_2!$AH$286</f>
        <v>0</v>
      </c>
      <c r="AF466" s="408">
        <f>Meal_entry_week_2!$AH$385</f>
        <v>0</v>
      </c>
      <c r="AG466" s="408">
        <f>Meal_entry_week_2!$AH$484</f>
        <v>0</v>
      </c>
    </row>
    <row r="467" spans="1:33" ht="15">
      <c r="A467" s="912"/>
      <c r="B467" s="950" t="s">
        <v>1414</v>
      </c>
      <c r="C467" s="1083"/>
      <c r="D467" s="408">
        <f t="shared" si="61"/>
        <v>2</v>
      </c>
      <c r="E467" s="408">
        <f t="shared" si="62"/>
        <v>0</v>
      </c>
      <c r="F467" s="408">
        <f t="shared" si="63"/>
        <v>1.6</v>
      </c>
      <c r="G467" s="408">
        <f t="shared" si="64"/>
        <v>0.4</v>
      </c>
      <c r="H467" s="408">
        <f t="shared" si="65"/>
        <v>0</v>
      </c>
      <c r="I467" s="408">
        <f>Meal_entry_week_2!$AI$559</f>
        <v>0</v>
      </c>
      <c r="J467" s="408">
        <f>Meal_entry_week_2!$AI$560</f>
        <v>2</v>
      </c>
      <c r="K467" s="408">
        <f>Meal_entry_week_2!$AI$561</f>
        <v>3</v>
      </c>
      <c r="L467" s="408">
        <f>Meal_entry_week_2!$AI$562</f>
        <v>1</v>
      </c>
      <c r="M467" s="408">
        <f>Meal_entry_week_2!$AI$563</f>
        <v>4</v>
      </c>
      <c r="N467" s="406">
        <f>Meal_entry_week_2!$AI$10</f>
        <v>0</v>
      </c>
      <c r="O467" s="408">
        <f>Meal_entry_week_2!$AI$109</f>
        <v>0</v>
      </c>
      <c r="P467" s="408">
        <f>Meal_entry_week_2!$AI$208</f>
        <v>0</v>
      </c>
      <c r="Q467" s="408">
        <f>Meal_entry_week_2!$AI$307</f>
        <v>0</v>
      </c>
      <c r="R467" s="408">
        <f>Meal_entry_week_2!$AI$406</f>
        <v>0</v>
      </c>
      <c r="S467" s="408">
        <f>Meal_entry_week_2!$AI$37</f>
        <v>0</v>
      </c>
      <c r="T467" s="408">
        <f>Meal_entry_week_2!$AI$136</f>
        <v>1</v>
      </c>
      <c r="U467" s="408">
        <f>Meal_entry_week_2!$AI$235</f>
        <v>3</v>
      </c>
      <c r="V467" s="408">
        <f>Meal_entry_week_2!$AI$334</f>
        <v>1</v>
      </c>
      <c r="W467" s="408">
        <f>Meal_entry_week_2!$AI$433</f>
        <v>3</v>
      </c>
      <c r="X467" s="408">
        <f>Meal_entry_week_2!$AI$56</f>
        <v>0</v>
      </c>
      <c r="Y467" s="408">
        <f>Meal_entry_week_2!$AI$155</f>
        <v>1</v>
      </c>
      <c r="Z467" s="408">
        <f>Meal_entry_week_2!$AI$254</f>
        <v>0</v>
      </c>
      <c r="AA467" s="408">
        <f>Meal_entry_week_2!$AI$353</f>
        <v>0</v>
      </c>
      <c r="AB467" s="408">
        <f>Meal_entry_week_2!$AI$452</f>
        <v>1</v>
      </c>
      <c r="AC467" s="408">
        <f>Meal_entry_week_2!$AI$88</f>
        <v>0</v>
      </c>
      <c r="AD467" s="408">
        <f>Meal_entry_week_2!$AI$187</f>
        <v>0</v>
      </c>
      <c r="AE467" s="408">
        <f>Meal_entry_week_2!$AI$286</f>
        <v>0</v>
      </c>
      <c r="AF467" s="408">
        <f>Meal_entry_week_2!$AI$385</f>
        <v>0</v>
      </c>
      <c r="AG467" s="408">
        <f>Meal_entry_week_2!$AI$484</f>
        <v>0</v>
      </c>
    </row>
    <row r="468" spans="1:33" ht="15">
      <c r="A468" s="912"/>
      <c r="B468" s="950" t="s">
        <v>1415</v>
      </c>
      <c r="C468" s="1083"/>
      <c r="D468" s="408">
        <f t="shared" si="61"/>
        <v>2.2000000000000002</v>
      </c>
      <c r="E468" s="408">
        <f t="shared" si="62"/>
        <v>0</v>
      </c>
      <c r="F468" s="408">
        <f t="shared" si="63"/>
        <v>1.8</v>
      </c>
      <c r="G468" s="408">
        <f t="shared" si="64"/>
        <v>0.4</v>
      </c>
      <c r="H468" s="408">
        <f t="shared" si="65"/>
        <v>0</v>
      </c>
      <c r="I468" s="408">
        <f>Meal_entry_week_2!$AJ$559</f>
        <v>0</v>
      </c>
      <c r="J468" s="408">
        <f>Meal_entry_week_2!$AJ$560</f>
        <v>3</v>
      </c>
      <c r="K468" s="408">
        <f>Meal_entry_week_2!$AJ$561</f>
        <v>3</v>
      </c>
      <c r="L468" s="408">
        <f>Meal_entry_week_2!$AJ$562</f>
        <v>1</v>
      </c>
      <c r="M468" s="408">
        <f>Meal_entry_week_2!$AJ$563</f>
        <v>4</v>
      </c>
      <c r="N468" s="406">
        <f>Meal_entry_week_2!$AJ$10</f>
        <v>0</v>
      </c>
      <c r="O468" s="408">
        <f>Meal_entry_week_2!$AJ$109</f>
        <v>0</v>
      </c>
      <c r="P468" s="408">
        <f>Meal_entry_week_2!$AJ$208</f>
        <v>0</v>
      </c>
      <c r="Q468" s="408">
        <f>Meal_entry_week_2!$AJ$307</f>
        <v>0</v>
      </c>
      <c r="R468" s="408">
        <f>Meal_entry_week_2!$AJ$406</f>
        <v>0</v>
      </c>
      <c r="S468" s="408">
        <f>Meal_entry_week_2!$AJ$37</f>
        <v>0</v>
      </c>
      <c r="T468" s="408">
        <f>Meal_entry_week_2!$AJ$136</f>
        <v>2</v>
      </c>
      <c r="U468" s="408">
        <f>Meal_entry_week_2!$AJ$235</f>
        <v>3</v>
      </c>
      <c r="V468" s="408">
        <f>Meal_entry_week_2!$AJ$334</f>
        <v>1</v>
      </c>
      <c r="W468" s="408">
        <f>Meal_entry_week_2!$AJ$433</f>
        <v>3</v>
      </c>
      <c r="X468" s="408">
        <f>Meal_entry_week_2!$AJ$56</f>
        <v>0</v>
      </c>
      <c r="Y468" s="408">
        <f>Meal_entry_week_2!$AJ$155</f>
        <v>1</v>
      </c>
      <c r="Z468" s="408">
        <f>Meal_entry_week_2!$AJ$254</f>
        <v>0</v>
      </c>
      <c r="AA468" s="408">
        <f>Meal_entry_week_2!$AJ$353</f>
        <v>0</v>
      </c>
      <c r="AB468" s="408">
        <f>Meal_entry_week_2!$AJ$452</f>
        <v>1</v>
      </c>
      <c r="AC468" s="408">
        <f>Meal_entry_week_2!$AJ$88</f>
        <v>0</v>
      </c>
      <c r="AD468" s="408">
        <f>Meal_entry_week_2!$AJ$187</f>
        <v>0</v>
      </c>
      <c r="AE468" s="408">
        <f>Meal_entry_week_2!$AJ$286</f>
        <v>0</v>
      </c>
      <c r="AF468" s="408">
        <f>Meal_entry_week_2!$AJ$385</f>
        <v>0</v>
      </c>
      <c r="AG468" s="408">
        <f>Meal_entry_week_2!$AJ$484</f>
        <v>0</v>
      </c>
    </row>
    <row r="469" spans="1:33" ht="15">
      <c r="A469" s="912"/>
      <c r="B469" s="950" t="s">
        <v>1416</v>
      </c>
      <c r="C469" s="1083"/>
      <c r="D469" s="408">
        <f t="shared" si="61"/>
        <v>2.2000000000000002</v>
      </c>
      <c r="E469" s="408">
        <f t="shared" si="62"/>
        <v>0</v>
      </c>
      <c r="F469" s="408">
        <f t="shared" si="63"/>
        <v>1.6</v>
      </c>
      <c r="G469" s="408">
        <f t="shared" si="64"/>
        <v>0.6</v>
      </c>
      <c r="H469" s="408">
        <f t="shared" si="65"/>
        <v>0</v>
      </c>
      <c r="I469" s="408">
        <f>Meal_entry_week_2!$AK$559</f>
        <v>0</v>
      </c>
      <c r="J469" s="408">
        <f>Meal_entry_week_2!$AK$560</f>
        <v>2</v>
      </c>
      <c r="K469" s="408">
        <f>Meal_entry_week_2!$AK$561</f>
        <v>3</v>
      </c>
      <c r="L469" s="408">
        <f>Meal_entry_week_2!$AK$562</f>
        <v>2</v>
      </c>
      <c r="M469" s="408">
        <f>Meal_entry_week_2!$AK$563</f>
        <v>4</v>
      </c>
      <c r="N469" s="406">
        <f>Meal_entry_week_2!$AK$10</f>
        <v>0</v>
      </c>
      <c r="O469" s="408">
        <f>Meal_entry_week_2!$AK$109</f>
        <v>0</v>
      </c>
      <c r="P469" s="408">
        <f>Meal_entry_week_2!$AK$208</f>
        <v>0</v>
      </c>
      <c r="Q469" s="408">
        <f>Meal_entry_week_2!$AK$307</f>
        <v>0</v>
      </c>
      <c r="R469" s="408">
        <f>Meal_entry_week_2!$AK$406</f>
        <v>0</v>
      </c>
      <c r="S469" s="408">
        <f>Meal_entry_week_2!$AK$37</f>
        <v>0</v>
      </c>
      <c r="T469" s="408">
        <f>Meal_entry_week_2!$AK$136</f>
        <v>1</v>
      </c>
      <c r="U469" s="408">
        <f>Meal_entry_week_2!$AK$235</f>
        <v>3</v>
      </c>
      <c r="V469" s="408">
        <f>Meal_entry_week_2!$AK$334</f>
        <v>1</v>
      </c>
      <c r="W469" s="408">
        <f>Meal_entry_week_2!$AK$433</f>
        <v>3</v>
      </c>
      <c r="X469" s="408">
        <f>Meal_entry_week_2!$AK$56</f>
        <v>0</v>
      </c>
      <c r="Y469" s="408">
        <f>Meal_entry_week_2!$AK$155</f>
        <v>1</v>
      </c>
      <c r="Z469" s="408">
        <f>Meal_entry_week_2!$AK$254</f>
        <v>0</v>
      </c>
      <c r="AA469" s="408">
        <f>Meal_entry_week_2!$AK$353</f>
        <v>1</v>
      </c>
      <c r="AB469" s="408">
        <f>Meal_entry_week_2!$AK$452</f>
        <v>1</v>
      </c>
      <c r="AC469" s="408">
        <f>Meal_entry_week_2!$AK$88</f>
        <v>0</v>
      </c>
      <c r="AD469" s="408">
        <f>Meal_entry_week_2!$AK$187</f>
        <v>0</v>
      </c>
      <c r="AE469" s="408">
        <f>Meal_entry_week_2!$AK$286</f>
        <v>0</v>
      </c>
      <c r="AF469" s="408">
        <f>Meal_entry_week_2!$AK$385</f>
        <v>0</v>
      </c>
      <c r="AG469" s="408">
        <f>Meal_entry_week_2!$AK$484</f>
        <v>0</v>
      </c>
    </row>
    <row r="470" spans="1:33" ht="15">
      <c r="A470" s="912"/>
      <c r="B470" s="950" t="s">
        <v>1417</v>
      </c>
      <c r="C470" s="1083"/>
      <c r="D470" s="408">
        <f t="shared" si="61"/>
        <v>2</v>
      </c>
      <c r="E470" s="408">
        <f t="shared" si="62"/>
        <v>0</v>
      </c>
      <c r="F470" s="408">
        <f t="shared" si="63"/>
        <v>1.6</v>
      </c>
      <c r="G470" s="408">
        <f t="shared" si="64"/>
        <v>0.4</v>
      </c>
      <c r="H470" s="408">
        <f t="shared" si="65"/>
        <v>0</v>
      </c>
      <c r="I470" s="408">
        <f>Meal_entry_week_2!$AL$559</f>
        <v>0</v>
      </c>
      <c r="J470" s="408">
        <f>Meal_entry_week_2!$AL$560</f>
        <v>2</v>
      </c>
      <c r="K470" s="408">
        <f>Meal_entry_week_2!$AL$561</f>
        <v>3</v>
      </c>
      <c r="L470" s="408">
        <f>Meal_entry_week_2!$AL$562</f>
        <v>1</v>
      </c>
      <c r="M470" s="408">
        <f>Meal_entry_week_2!$AL$563</f>
        <v>4</v>
      </c>
      <c r="N470" s="406">
        <f>Meal_entry_week_2!$AL$10</f>
        <v>0</v>
      </c>
      <c r="O470" s="408">
        <f>Meal_entry_week_2!$AL$109</f>
        <v>0</v>
      </c>
      <c r="P470" s="408">
        <f>Meal_entry_week_2!$AL$208</f>
        <v>0</v>
      </c>
      <c r="Q470" s="408">
        <f>Meal_entry_week_2!$AL$307</f>
        <v>0</v>
      </c>
      <c r="R470" s="408">
        <f>Meal_entry_week_2!$AL$406</f>
        <v>0</v>
      </c>
      <c r="S470" s="408">
        <f>Meal_entry_week_2!$AL$37</f>
        <v>0</v>
      </c>
      <c r="T470" s="408">
        <f>Meal_entry_week_2!$AL$136</f>
        <v>1</v>
      </c>
      <c r="U470" s="408">
        <f>Meal_entry_week_2!$AL$235</f>
        <v>3</v>
      </c>
      <c r="V470" s="408">
        <f>Meal_entry_week_2!$AL$334</f>
        <v>1</v>
      </c>
      <c r="W470" s="408">
        <f>Meal_entry_week_2!$AL$433</f>
        <v>3</v>
      </c>
      <c r="X470" s="408">
        <f>Meal_entry_week_2!$AL$56</f>
        <v>0</v>
      </c>
      <c r="Y470" s="408">
        <f>Meal_entry_week_2!$AL$155</f>
        <v>1</v>
      </c>
      <c r="Z470" s="408">
        <f>Meal_entry_week_2!$AL$254</f>
        <v>0</v>
      </c>
      <c r="AA470" s="408">
        <f>Meal_entry_week_2!$AL$353</f>
        <v>0</v>
      </c>
      <c r="AB470" s="408">
        <f>Meal_entry_week_2!$AL$452</f>
        <v>1</v>
      </c>
      <c r="AC470" s="408">
        <f>Meal_entry_week_2!$AL$88</f>
        <v>0</v>
      </c>
      <c r="AD470" s="408">
        <f>Meal_entry_week_2!$AL$187</f>
        <v>0</v>
      </c>
      <c r="AE470" s="408">
        <f>Meal_entry_week_2!$AL$286</f>
        <v>0</v>
      </c>
      <c r="AF470" s="408">
        <f>Meal_entry_week_2!$AL$385</f>
        <v>0</v>
      </c>
      <c r="AG470" s="408">
        <f>Meal_entry_week_2!$AL$484</f>
        <v>0</v>
      </c>
    </row>
    <row r="471" spans="1:33" ht="15">
      <c r="A471" s="912"/>
      <c r="B471" s="950" t="s">
        <v>1418</v>
      </c>
      <c r="C471" s="1083"/>
      <c r="D471" s="408">
        <f t="shared" si="61"/>
        <v>2</v>
      </c>
      <c r="E471" s="408">
        <f t="shared" si="62"/>
        <v>0</v>
      </c>
      <c r="F471" s="408">
        <f t="shared" si="63"/>
        <v>1.6</v>
      </c>
      <c r="G471" s="408">
        <f t="shared" si="64"/>
        <v>0.4</v>
      </c>
      <c r="H471" s="408">
        <f t="shared" si="65"/>
        <v>0</v>
      </c>
      <c r="I471" s="408">
        <f>Meal_entry_week_2!$AM$559</f>
        <v>0</v>
      </c>
      <c r="J471" s="408">
        <f>Meal_entry_week_2!$AM$560</f>
        <v>2</v>
      </c>
      <c r="K471" s="408">
        <f>Meal_entry_week_2!$AM$561</f>
        <v>3</v>
      </c>
      <c r="L471" s="408">
        <f>Meal_entry_week_2!$AM$562</f>
        <v>1</v>
      </c>
      <c r="M471" s="408">
        <f>Meal_entry_week_2!$AM$563</f>
        <v>4</v>
      </c>
      <c r="N471" s="406">
        <f>Meal_entry_week_2!$AM$10</f>
        <v>0</v>
      </c>
      <c r="O471" s="408">
        <f>Meal_entry_week_2!$AM$109</f>
        <v>0</v>
      </c>
      <c r="P471" s="408">
        <f>Meal_entry_week_2!$AM$208</f>
        <v>0</v>
      </c>
      <c r="Q471" s="408">
        <f>Meal_entry_week_2!$AM$307</f>
        <v>0</v>
      </c>
      <c r="R471" s="408">
        <f>Meal_entry_week_2!$AM$406</f>
        <v>0</v>
      </c>
      <c r="S471" s="408">
        <f>Meal_entry_week_2!$AM$37</f>
        <v>0</v>
      </c>
      <c r="T471" s="408">
        <f>Meal_entry_week_2!$AM$136</f>
        <v>1</v>
      </c>
      <c r="U471" s="408">
        <f>Meal_entry_week_2!$AM$235</f>
        <v>3</v>
      </c>
      <c r="V471" s="408">
        <f>Meal_entry_week_2!$AM$334</f>
        <v>1</v>
      </c>
      <c r="W471" s="408">
        <f>Meal_entry_week_2!$AM$433</f>
        <v>3</v>
      </c>
      <c r="X471" s="408">
        <f>Meal_entry_week_2!$AM$56</f>
        <v>0</v>
      </c>
      <c r="Y471" s="408">
        <f>Meal_entry_week_2!$AM$155</f>
        <v>1</v>
      </c>
      <c r="Z471" s="408">
        <f>Meal_entry_week_2!$AM$254</f>
        <v>0</v>
      </c>
      <c r="AA471" s="408">
        <f>Meal_entry_week_2!$AM$353</f>
        <v>0</v>
      </c>
      <c r="AB471" s="408">
        <f>Meal_entry_week_2!$AM$452</f>
        <v>1</v>
      </c>
      <c r="AC471" s="408">
        <f>Meal_entry_week_2!$AM$88</f>
        <v>0</v>
      </c>
      <c r="AD471" s="408">
        <f>Meal_entry_week_2!$AM$187</f>
        <v>0</v>
      </c>
      <c r="AE471" s="408">
        <f>Meal_entry_week_2!$AM$286</f>
        <v>0</v>
      </c>
      <c r="AF471" s="408">
        <f>Meal_entry_week_2!$AM$385</f>
        <v>0</v>
      </c>
      <c r="AG471" s="408">
        <f>Meal_entry_week_2!$AM$484</f>
        <v>0</v>
      </c>
    </row>
    <row r="472" spans="1:33" ht="15">
      <c r="A472" s="912"/>
      <c r="B472" s="950" t="s">
        <v>1419</v>
      </c>
      <c r="C472" s="1083"/>
      <c r="D472" s="408">
        <f t="shared" si="61"/>
        <v>2</v>
      </c>
      <c r="E472" s="408">
        <f t="shared" si="62"/>
        <v>0</v>
      </c>
      <c r="F472" s="408">
        <f t="shared" si="63"/>
        <v>1.6</v>
      </c>
      <c r="G472" s="408">
        <f t="shared" si="64"/>
        <v>0.4</v>
      </c>
      <c r="H472" s="408">
        <f t="shared" si="65"/>
        <v>0</v>
      </c>
      <c r="I472" s="408">
        <f>Meal_entry_week_2!$AN$559</f>
        <v>0</v>
      </c>
      <c r="J472" s="408">
        <f>Meal_entry_week_2!$AN$560</f>
        <v>2</v>
      </c>
      <c r="K472" s="408">
        <f>Meal_entry_week_2!$AN$561</f>
        <v>3</v>
      </c>
      <c r="L472" s="408">
        <f>Meal_entry_week_2!$AN$562</f>
        <v>1</v>
      </c>
      <c r="M472" s="408">
        <f>Meal_entry_week_2!$AN$563</f>
        <v>4</v>
      </c>
      <c r="N472" s="406">
        <f>Meal_entry_week_2!$AN$10</f>
        <v>0</v>
      </c>
      <c r="O472" s="408">
        <f>Meal_entry_week_2!$AN$109</f>
        <v>0</v>
      </c>
      <c r="P472" s="408">
        <f>Meal_entry_week_2!$AN$208</f>
        <v>0</v>
      </c>
      <c r="Q472" s="408">
        <f>Meal_entry_week_2!$AN$307</f>
        <v>0</v>
      </c>
      <c r="R472" s="408">
        <f>Meal_entry_week_2!$AN$406</f>
        <v>0</v>
      </c>
      <c r="S472" s="408">
        <f>Meal_entry_week_2!$AN$37</f>
        <v>0</v>
      </c>
      <c r="T472" s="408">
        <f>Meal_entry_week_2!$AN$136</f>
        <v>1</v>
      </c>
      <c r="U472" s="408">
        <f>Meal_entry_week_2!$AN$235</f>
        <v>3</v>
      </c>
      <c r="V472" s="408">
        <f>Meal_entry_week_2!$AN$334</f>
        <v>1</v>
      </c>
      <c r="W472" s="408">
        <f>Meal_entry_week_2!$AN$433</f>
        <v>3</v>
      </c>
      <c r="X472" s="408">
        <f>Meal_entry_week_2!$AN$56</f>
        <v>0</v>
      </c>
      <c r="Y472" s="408">
        <f>Meal_entry_week_2!$AN$155</f>
        <v>1</v>
      </c>
      <c r="Z472" s="408">
        <f>Meal_entry_week_2!$AN$254</f>
        <v>0</v>
      </c>
      <c r="AA472" s="408">
        <f>Meal_entry_week_2!$AN$353</f>
        <v>0</v>
      </c>
      <c r="AB472" s="408">
        <f>Meal_entry_week_2!$AN$452</f>
        <v>1</v>
      </c>
      <c r="AC472" s="408">
        <f>Meal_entry_week_2!$AN$88</f>
        <v>0</v>
      </c>
      <c r="AD472" s="408">
        <f>Meal_entry_week_2!$AN$187</f>
        <v>0</v>
      </c>
      <c r="AE472" s="408">
        <f>Meal_entry_week_2!$AN$286</f>
        <v>0</v>
      </c>
      <c r="AF472" s="408">
        <f>Meal_entry_week_2!$AN$385</f>
        <v>0</v>
      </c>
      <c r="AG472" s="408">
        <f>Meal_entry_week_2!$AN$484</f>
        <v>0</v>
      </c>
    </row>
    <row r="473" spans="1:33" ht="15">
      <c r="A473" s="912"/>
      <c r="B473" s="950" t="s">
        <v>1420</v>
      </c>
      <c r="C473" s="1083"/>
      <c r="D473" s="408">
        <f t="shared" si="61"/>
        <v>2</v>
      </c>
      <c r="E473" s="408">
        <f t="shared" si="62"/>
        <v>0</v>
      </c>
      <c r="F473" s="408">
        <f t="shared" si="63"/>
        <v>1.6</v>
      </c>
      <c r="G473" s="408">
        <f t="shared" si="64"/>
        <v>0.4</v>
      </c>
      <c r="H473" s="408">
        <f t="shared" si="65"/>
        <v>0</v>
      </c>
      <c r="I473" s="408">
        <f>Meal_entry_week_2!$AO$559</f>
        <v>0</v>
      </c>
      <c r="J473" s="408">
        <f>Meal_entry_week_2!$AO$560</f>
        <v>2</v>
      </c>
      <c r="K473" s="408">
        <f>Meal_entry_week_2!$AO$561</f>
        <v>3</v>
      </c>
      <c r="L473" s="408">
        <f>Meal_entry_week_2!$AO$562</f>
        <v>1</v>
      </c>
      <c r="M473" s="408">
        <f>Meal_entry_week_2!$AO$563</f>
        <v>4</v>
      </c>
      <c r="N473" s="406">
        <f>Meal_entry_week_2!$AO$10</f>
        <v>0</v>
      </c>
      <c r="O473" s="408">
        <f>Meal_entry_week_2!$AO$109</f>
        <v>0</v>
      </c>
      <c r="P473" s="408">
        <f>Meal_entry_week_2!$AO$208</f>
        <v>0</v>
      </c>
      <c r="Q473" s="408">
        <f>Meal_entry_week_2!$AO$307</f>
        <v>0</v>
      </c>
      <c r="R473" s="408">
        <f>Meal_entry_week_2!$AO$406</f>
        <v>0</v>
      </c>
      <c r="S473" s="408">
        <f>Meal_entry_week_2!$AO$37</f>
        <v>0</v>
      </c>
      <c r="T473" s="408">
        <f>Meal_entry_week_2!$AO$136</f>
        <v>1</v>
      </c>
      <c r="U473" s="408">
        <f>Meal_entry_week_2!$AO$235</f>
        <v>3</v>
      </c>
      <c r="V473" s="408">
        <f>Meal_entry_week_2!$AO$334</f>
        <v>1</v>
      </c>
      <c r="W473" s="408">
        <f>Meal_entry_week_2!$AO$433</f>
        <v>3</v>
      </c>
      <c r="X473" s="408">
        <f>Meal_entry_week_2!$AO$56</f>
        <v>0</v>
      </c>
      <c r="Y473" s="408">
        <f>Meal_entry_week_2!$AO$155</f>
        <v>1</v>
      </c>
      <c r="Z473" s="408">
        <f>Meal_entry_week_2!$AO$254</f>
        <v>0</v>
      </c>
      <c r="AA473" s="408">
        <f>Meal_entry_week_2!$AO$353</f>
        <v>0</v>
      </c>
      <c r="AB473" s="408">
        <f>Meal_entry_week_2!$AO$452</f>
        <v>1</v>
      </c>
      <c r="AC473" s="408">
        <f>Meal_entry_week_2!$AO$88</f>
        <v>0</v>
      </c>
      <c r="AD473" s="408">
        <f>Meal_entry_week_2!$AO$187</f>
        <v>0</v>
      </c>
      <c r="AE473" s="408">
        <f>Meal_entry_week_2!$AO$286</f>
        <v>0</v>
      </c>
      <c r="AF473" s="408">
        <f>Meal_entry_week_2!$AO$385</f>
        <v>0</v>
      </c>
      <c r="AG473" s="408">
        <f>Meal_entry_week_2!$AO$484</f>
        <v>0</v>
      </c>
    </row>
    <row r="474" spans="1:33" ht="15">
      <c r="A474" s="912"/>
      <c r="B474" s="950" t="s">
        <v>1421</v>
      </c>
      <c r="C474" s="1083"/>
      <c r="D474" s="408">
        <f t="shared" si="61"/>
        <v>2</v>
      </c>
      <c r="E474" s="408">
        <f t="shared" si="62"/>
        <v>0</v>
      </c>
      <c r="F474" s="408">
        <f t="shared" si="63"/>
        <v>1.6</v>
      </c>
      <c r="G474" s="408">
        <f t="shared" si="64"/>
        <v>0.4</v>
      </c>
      <c r="H474" s="408">
        <f t="shared" si="65"/>
        <v>0</v>
      </c>
      <c r="I474" s="408">
        <f>Meal_entry_week_2!$AP$559</f>
        <v>0</v>
      </c>
      <c r="J474" s="408">
        <f>Meal_entry_week_2!$AP$560</f>
        <v>2</v>
      </c>
      <c r="K474" s="408">
        <f>Meal_entry_week_2!$AP$561</f>
        <v>3</v>
      </c>
      <c r="L474" s="408">
        <f>Meal_entry_week_2!$AP$562</f>
        <v>1</v>
      </c>
      <c r="M474" s="408">
        <f>Meal_entry_week_2!$AP$563</f>
        <v>4</v>
      </c>
      <c r="N474" s="406">
        <f>Meal_entry_week_2!$AP$10</f>
        <v>0</v>
      </c>
      <c r="O474" s="408">
        <f>Meal_entry_week_2!$AP$109</f>
        <v>0</v>
      </c>
      <c r="P474" s="408">
        <f>Meal_entry_week_2!$AP$208</f>
        <v>0</v>
      </c>
      <c r="Q474" s="408">
        <f>Meal_entry_week_2!$AP$307</f>
        <v>0</v>
      </c>
      <c r="R474" s="408">
        <f>Meal_entry_week_2!$AP$406</f>
        <v>0</v>
      </c>
      <c r="S474" s="408">
        <f>Meal_entry_week_2!$AP$37</f>
        <v>0</v>
      </c>
      <c r="T474" s="408">
        <f>Meal_entry_week_2!$AP$136</f>
        <v>1</v>
      </c>
      <c r="U474" s="408">
        <f>Meal_entry_week_2!$AP$235</f>
        <v>3</v>
      </c>
      <c r="V474" s="408">
        <f>Meal_entry_week_2!$AP$334</f>
        <v>1</v>
      </c>
      <c r="W474" s="408">
        <f>Meal_entry_week_2!$AP$433</f>
        <v>3</v>
      </c>
      <c r="X474" s="408">
        <f>Meal_entry_week_2!$AP$56</f>
        <v>0</v>
      </c>
      <c r="Y474" s="408">
        <f>Meal_entry_week_2!$AP$155</f>
        <v>1</v>
      </c>
      <c r="Z474" s="408">
        <f>Meal_entry_week_2!$AP$254</f>
        <v>0</v>
      </c>
      <c r="AA474" s="408">
        <f>Meal_entry_week_2!$AP$353</f>
        <v>0</v>
      </c>
      <c r="AB474" s="408">
        <f>Meal_entry_week_2!$AP$452</f>
        <v>1</v>
      </c>
      <c r="AC474" s="408">
        <f>Meal_entry_week_2!$AP$88</f>
        <v>0</v>
      </c>
      <c r="AD474" s="408">
        <f>Meal_entry_week_2!$AP$187</f>
        <v>0</v>
      </c>
      <c r="AE474" s="408">
        <f>Meal_entry_week_2!$AP$286</f>
        <v>0</v>
      </c>
      <c r="AF474" s="408">
        <f>Meal_entry_week_2!$AP$385</f>
        <v>0</v>
      </c>
      <c r="AG474" s="408">
        <f>Meal_entry_week_2!$AP$484</f>
        <v>0</v>
      </c>
    </row>
    <row r="475" spans="1:33" ht="15">
      <c r="A475" s="912"/>
      <c r="B475" s="950" t="s">
        <v>1422</v>
      </c>
      <c r="C475" s="1083"/>
      <c r="D475" s="408">
        <f t="shared" si="61"/>
        <v>3.2</v>
      </c>
      <c r="E475" s="408">
        <f t="shared" si="62"/>
        <v>0</v>
      </c>
      <c r="F475" s="408">
        <f t="shared" si="63"/>
        <v>1.6</v>
      </c>
      <c r="G475" s="408">
        <f t="shared" si="64"/>
        <v>1.6</v>
      </c>
      <c r="H475" s="408">
        <f t="shared" si="65"/>
        <v>0</v>
      </c>
      <c r="I475" s="408">
        <f>Meal_entry_week_2!$AQ$559</f>
        <v>1</v>
      </c>
      <c r="J475" s="408">
        <f>Meal_entry_week_2!$AQ$560</f>
        <v>4</v>
      </c>
      <c r="K475" s="408">
        <f>Meal_entry_week_2!$AQ$561</f>
        <v>3</v>
      </c>
      <c r="L475" s="408">
        <f>Meal_entry_week_2!$AQ$562</f>
        <v>2</v>
      </c>
      <c r="M475" s="408">
        <f>Meal_entry_week_2!$AQ$563</f>
        <v>6</v>
      </c>
      <c r="N475" s="406">
        <f>Meal_entry_week_2!$AQ$10</f>
        <v>0</v>
      </c>
      <c r="O475" s="408">
        <f>Meal_entry_week_2!$AQ$109</f>
        <v>0</v>
      </c>
      <c r="P475" s="408">
        <f>Meal_entry_week_2!$AQ$208</f>
        <v>0</v>
      </c>
      <c r="Q475" s="408">
        <f>Meal_entry_week_2!$AQ$307</f>
        <v>0</v>
      </c>
      <c r="R475" s="408">
        <f>Meal_entry_week_2!$AQ$406</f>
        <v>0</v>
      </c>
      <c r="S475" s="408">
        <f>Meal_entry_week_2!$AQ$37</f>
        <v>0</v>
      </c>
      <c r="T475" s="408">
        <f>Meal_entry_week_2!$AQ$136</f>
        <v>1</v>
      </c>
      <c r="U475" s="408">
        <f>Meal_entry_week_2!$AQ$235</f>
        <v>3</v>
      </c>
      <c r="V475" s="408">
        <f>Meal_entry_week_2!$AQ$334</f>
        <v>1</v>
      </c>
      <c r="W475" s="408">
        <f>Meal_entry_week_2!$AQ$433</f>
        <v>3</v>
      </c>
      <c r="X475" s="408">
        <f>Meal_entry_week_2!$AQ$56</f>
        <v>1</v>
      </c>
      <c r="Y475" s="408">
        <f>Meal_entry_week_2!$AQ$155</f>
        <v>3</v>
      </c>
      <c r="Z475" s="408">
        <f>Meal_entry_week_2!$AQ$254</f>
        <v>0</v>
      </c>
      <c r="AA475" s="408">
        <f>Meal_entry_week_2!$AQ$353</f>
        <v>1</v>
      </c>
      <c r="AB475" s="408">
        <f>Meal_entry_week_2!$AQ$452</f>
        <v>3</v>
      </c>
      <c r="AC475" s="408">
        <f>Meal_entry_week_2!$AQ$88</f>
        <v>0</v>
      </c>
      <c r="AD475" s="408">
        <f>Meal_entry_week_2!$AQ$187</f>
        <v>0</v>
      </c>
      <c r="AE475" s="408">
        <f>Meal_entry_week_2!$AQ$286</f>
        <v>0</v>
      </c>
      <c r="AF475" s="408">
        <f>Meal_entry_week_2!$AQ$385</f>
        <v>0</v>
      </c>
      <c r="AG475" s="408">
        <f>Meal_entry_week_2!$AQ$484</f>
        <v>0</v>
      </c>
    </row>
    <row r="476" spans="1:33" ht="15">
      <c r="A476" s="912"/>
      <c r="B476" s="950" t="s">
        <v>1423</v>
      </c>
      <c r="C476" s="1083"/>
      <c r="D476" s="408">
        <f t="shared" si="61"/>
        <v>1.6</v>
      </c>
      <c r="E476" s="408">
        <f t="shared" si="62"/>
        <v>0</v>
      </c>
      <c r="F476" s="408">
        <f t="shared" si="63"/>
        <v>1.6</v>
      </c>
      <c r="G476" s="408">
        <f t="shared" si="64"/>
        <v>0</v>
      </c>
      <c r="H476" s="408">
        <f t="shared" si="65"/>
        <v>0</v>
      </c>
      <c r="I476" s="408">
        <f>Meal_entry_week_2!$AR$559</f>
        <v>0</v>
      </c>
      <c r="J476" s="408">
        <f>Meal_entry_week_2!$AR$560</f>
        <v>1</v>
      </c>
      <c r="K476" s="408">
        <f>Meal_entry_week_2!$AR$561</f>
        <v>3</v>
      </c>
      <c r="L476" s="408">
        <f>Meal_entry_week_2!$AR$562</f>
        <v>1</v>
      </c>
      <c r="M476" s="408">
        <f>Meal_entry_week_2!$AR$563</f>
        <v>3</v>
      </c>
      <c r="N476" s="406">
        <f>Meal_entry_week_2!$AR$10</f>
        <v>0</v>
      </c>
      <c r="O476" s="408">
        <f>Meal_entry_week_2!$AR$109</f>
        <v>0</v>
      </c>
      <c r="P476" s="408">
        <f>Meal_entry_week_2!$AR$208</f>
        <v>0</v>
      </c>
      <c r="Q476" s="408">
        <f>Meal_entry_week_2!$AR$307</f>
        <v>0</v>
      </c>
      <c r="R476" s="408">
        <f>Meal_entry_week_2!$AR$406</f>
        <v>0</v>
      </c>
      <c r="S476" s="408">
        <f>Meal_entry_week_2!$AR$37</f>
        <v>0</v>
      </c>
      <c r="T476" s="408">
        <f>Meal_entry_week_2!$AR$136</f>
        <v>1</v>
      </c>
      <c r="U476" s="408">
        <f>Meal_entry_week_2!$AR$235</f>
        <v>3</v>
      </c>
      <c r="V476" s="408">
        <f>Meal_entry_week_2!$AR$334</f>
        <v>1</v>
      </c>
      <c r="W476" s="408">
        <f>Meal_entry_week_2!$AR$433</f>
        <v>3</v>
      </c>
      <c r="X476" s="408">
        <f>Meal_entry_week_2!$AR$56</f>
        <v>0</v>
      </c>
      <c r="Y476" s="408">
        <f>Meal_entry_week_2!$AR$155</f>
        <v>0</v>
      </c>
      <c r="Z476" s="408">
        <f>Meal_entry_week_2!$AR$254</f>
        <v>0</v>
      </c>
      <c r="AA476" s="408">
        <f>Meal_entry_week_2!$AR$353</f>
        <v>0</v>
      </c>
      <c r="AB476" s="408">
        <f>Meal_entry_week_2!$AR$452</f>
        <v>0</v>
      </c>
      <c r="AC476" s="408">
        <f>Meal_entry_week_2!$AR$88</f>
        <v>0</v>
      </c>
      <c r="AD476" s="408">
        <f>Meal_entry_week_2!$AR$187</f>
        <v>0</v>
      </c>
      <c r="AE476" s="408">
        <f>Meal_entry_week_2!$AR$286</f>
        <v>0</v>
      </c>
      <c r="AF476" s="408">
        <f>Meal_entry_week_2!$AR$385</f>
        <v>0</v>
      </c>
      <c r="AG476" s="408">
        <f>Meal_entry_week_2!$AR$484</f>
        <v>0</v>
      </c>
    </row>
    <row r="477" spans="1:33" ht="16" thickBot="1">
      <c r="A477" s="912"/>
      <c r="B477" s="1098" t="s">
        <v>1424</v>
      </c>
      <c r="C477" s="1083"/>
      <c r="D477" s="408">
        <f t="shared" si="61"/>
        <v>3.2</v>
      </c>
      <c r="E477" s="408">
        <f t="shared" si="62"/>
        <v>0</v>
      </c>
      <c r="F477" s="408">
        <f t="shared" si="63"/>
        <v>1.6</v>
      </c>
      <c r="G477" s="408">
        <f t="shared" si="64"/>
        <v>1.6</v>
      </c>
      <c r="H477" s="408">
        <f t="shared" si="65"/>
        <v>0</v>
      </c>
      <c r="I477" s="408">
        <f>Meal_entry_week_2!$AS$559</f>
        <v>1</v>
      </c>
      <c r="J477" s="408">
        <f>Meal_entry_week_2!$AS$560</f>
        <v>4</v>
      </c>
      <c r="K477" s="408">
        <f>Meal_entry_week_2!$AS$561</f>
        <v>3</v>
      </c>
      <c r="L477" s="408">
        <f>Meal_entry_week_2!$AS$562</f>
        <v>2</v>
      </c>
      <c r="M477" s="408">
        <f>Meal_entry_week_2!$AS$563</f>
        <v>6</v>
      </c>
      <c r="N477" s="406">
        <f>Meal_entry_week_2!$AS$10</f>
        <v>0</v>
      </c>
      <c r="O477" s="408">
        <f>Meal_entry_week_2!$AS$109</f>
        <v>0</v>
      </c>
      <c r="P477" s="408">
        <f>Meal_entry_week_2!$AS$208</f>
        <v>0</v>
      </c>
      <c r="Q477" s="408">
        <f>Meal_entry_week_2!$AS$307</f>
        <v>0</v>
      </c>
      <c r="R477" s="408">
        <f>Meal_entry_week_2!$AS$406</f>
        <v>0</v>
      </c>
      <c r="S477" s="408">
        <f>Meal_entry_week_2!$AS$37</f>
        <v>0</v>
      </c>
      <c r="T477" s="408">
        <f>Meal_entry_week_2!$AS$136</f>
        <v>1</v>
      </c>
      <c r="U477" s="408">
        <f>Meal_entry_week_2!$AS$235</f>
        <v>3</v>
      </c>
      <c r="V477" s="408">
        <f>Meal_entry_week_2!$AS$334</f>
        <v>1</v>
      </c>
      <c r="W477" s="408">
        <f>Meal_entry_week_2!$AS$433</f>
        <v>3</v>
      </c>
      <c r="X477" s="408">
        <f>Meal_entry_week_2!$AS$56</f>
        <v>1</v>
      </c>
      <c r="Y477" s="408">
        <f>Meal_entry_week_2!$AS$155</f>
        <v>3</v>
      </c>
      <c r="Z477" s="408">
        <f>Meal_entry_week_2!$AS$254</f>
        <v>0</v>
      </c>
      <c r="AA477" s="408">
        <f>Meal_entry_week_2!$AS$353</f>
        <v>1</v>
      </c>
      <c r="AB477" s="408">
        <f>Meal_entry_week_2!$AS$452</f>
        <v>3</v>
      </c>
      <c r="AC477" s="408">
        <f>Meal_entry_week_2!$AS$88</f>
        <v>0</v>
      </c>
      <c r="AD477" s="408">
        <f>Meal_entry_week_2!$AS$187</f>
        <v>0</v>
      </c>
      <c r="AE477" s="408">
        <f>Meal_entry_week_2!$AS$286</f>
        <v>0</v>
      </c>
      <c r="AF477" s="408">
        <f>Meal_entry_week_2!$AS$385</f>
        <v>0</v>
      </c>
      <c r="AG477" s="408">
        <f>Meal_entry_week_2!$AS$484</f>
        <v>0</v>
      </c>
    </row>
    <row r="479" spans="1:33" ht="15">
      <c r="B479" s="887"/>
      <c r="D479" s="887" t="s">
        <v>2580</v>
      </c>
      <c r="E479" s="887" t="s">
        <v>2532</v>
      </c>
    </row>
    <row r="480" spans="1:33">
      <c r="B480" s="1099" t="s">
        <v>75</v>
      </c>
      <c r="D480" s="1101">
        <v>649.25</v>
      </c>
      <c r="E480" s="1102">
        <f t="shared" ref="E480:E502" si="66">(D480/0.35)*(2000/1855)</f>
        <v>2000</v>
      </c>
    </row>
    <row r="481" spans="2:5">
      <c r="B481" s="1099" t="s">
        <v>385</v>
      </c>
      <c r="D481" s="1103">
        <v>81.199999999999989</v>
      </c>
      <c r="E481" s="1102">
        <f t="shared" si="66"/>
        <v>250.13477088948781</v>
      </c>
    </row>
    <row r="482" spans="2:5">
      <c r="B482" s="1099" t="s">
        <v>386</v>
      </c>
      <c r="D482" s="1103">
        <v>20.299999999999997</v>
      </c>
      <c r="E482" s="1102">
        <f t="shared" si="66"/>
        <v>62.533692722371953</v>
      </c>
    </row>
    <row r="483" spans="2:5">
      <c r="B483" s="1099" t="s">
        <v>387</v>
      </c>
      <c r="D483" s="1103">
        <v>21.7</v>
      </c>
      <c r="E483" s="1102">
        <f t="shared" si="66"/>
        <v>66.846361185983824</v>
      </c>
    </row>
    <row r="484" spans="2:5">
      <c r="B484" s="1099" t="s">
        <v>388</v>
      </c>
      <c r="D484" s="1103">
        <v>6.6499999999999995</v>
      </c>
      <c r="E484" s="1102">
        <f t="shared" si="66"/>
        <v>20.485175202156334</v>
      </c>
    </row>
    <row r="485" spans="2:5">
      <c r="B485" s="1104" t="s">
        <v>389</v>
      </c>
      <c r="D485" s="1106">
        <v>7</v>
      </c>
      <c r="E485" s="1102">
        <f t="shared" si="66"/>
        <v>21.563342318059298</v>
      </c>
    </row>
    <row r="486" spans="2:5">
      <c r="B486" s="1104" t="s">
        <v>390</v>
      </c>
      <c r="D486" s="1106">
        <v>482.99999999999994</v>
      </c>
      <c r="E486" s="1102">
        <f t="shared" si="66"/>
        <v>1487.8706199460914</v>
      </c>
    </row>
    <row r="487" spans="2:5">
      <c r="B487" s="1099" t="s">
        <v>391</v>
      </c>
      <c r="D487" s="1106">
        <v>630</v>
      </c>
      <c r="E487" s="1102">
        <f t="shared" si="66"/>
        <v>1940.700808625337</v>
      </c>
    </row>
    <row r="488" spans="2:5">
      <c r="B488" s="1099" t="s">
        <v>392</v>
      </c>
      <c r="D488" s="1106">
        <v>315</v>
      </c>
      <c r="E488" s="1102">
        <f t="shared" si="66"/>
        <v>970.3504043126685</v>
      </c>
    </row>
    <row r="489" spans="2:5">
      <c r="B489" s="1099" t="s">
        <v>393</v>
      </c>
      <c r="D489" s="1106">
        <v>59.499999999999993</v>
      </c>
      <c r="E489" s="1102">
        <f t="shared" si="66"/>
        <v>183.28840970350402</v>
      </c>
    </row>
    <row r="490" spans="2:5">
      <c r="B490" s="1099" t="s">
        <v>394</v>
      </c>
      <c r="D490" s="1106">
        <v>280</v>
      </c>
      <c r="E490" s="1102">
        <f t="shared" si="66"/>
        <v>862.53369272237194</v>
      </c>
    </row>
    <row r="491" spans="2:5">
      <c r="B491" s="1099" t="s">
        <v>395</v>
      </c>
      <c r="D491" s="1106">
        <v>3.5</v>
      </c>
      <c r="E491" s="1102">
        <f t="shared" si="66"/>
        <v>10.781671159029649</v>
      </c>
    </row>
    <row r="492" spans="2:5">
      <c r="B492" s="1099" t="s">
        <v>396</v>
      </c>
      <c r="D492" s="1106">
        <v>2.4499999999999997</v>
      </c>
      <c r="E492" s="1102">
        <f t="shared" si="66"/>
        <v>7.5471698113207539</v>
      </c>
    </row>
    <row r="493" spans="2:5">
      <c r="B493" s="1104" t="s">
        <v>397</v>
      </c>
      <c r="D493" s="1106">
        <v>0.4375</v>
      </c>
      <c r="E493" s="1102">
        <f t="shared" si="66"/>
        <v>1.3477088948787062</v>
      </c>
    </row>
    <row r="494" spans="2:5">
      <c r="B494" s="1104" t="s">
        <v>398</v>
      </c>
      <c r="D494" s="1106">
        <v>280</v>
      </c>
      <c r="E494" s="1102">
        <f t="shared" si="66"/>
        <v>862.53369272237194</v>
      </c>
    </row>
    <row r="495" spans="2:5">
      <c r="B495" s="1099" t="s">
        <v>399</v>
      </c>
      <c r="D495" s="1106">
        <v>0.35</v>
      </c>
      <c r="E495" s="1102">
        <f t="shared" si="66"/>
        <v>1.0781671159029649</v>
      </c>
    </row>
    <row r="496" spans="2:5">
      <c r="B496" s="1099" t="s">
        <v>400</v>
      </c>
      <c r="D496" s="1106">
        <v>0.38500000000000001</v>
      </c>
      <c r="E496" s="1102">
        <f t="shared" si="66"/>
        <v>1.1859838274932615</v>
      </c>
    </row>
    <row r="497" spans="2:5">
      <c r="B497" s="1099" t="s">
        <v>401</v>
      </c>
      <c r="D497" s="1106">
        <v>4.1999999999999993</v>
      </c>
      <c r="E497" s="1102">
        <f t="shared" si="66"/>
        <v>12.938005390835576</v>
      </c>
    </row>
    <row r="498" spans="2:5">
      <c r="B498" s="1099" t="s">
        <v>402</v>
      </c>
      <c r="D498" s="1106">
        <v>0.24499999999999997</v>
      </c>
      <c r="E498" s="1102">
        <f t="shared" si="66"/>
        <v>0.75471698113207542</v>
      </c>
    </row>
    <row r="499" spans="2:5">
      <c r="B499" s="1099" t="s">
        <v>406</v>
      </c>
      <c r="D499" s="1106">
        <v>105</v>
      </c>
      <c r="E499" s="1102">
        <f t="shared" si="66"/>
        <v>323.45013477088946</v>
      </c>
    </row>
    <row r="500" spans="2:5">
      <c r="B500" s="1099" t="s">
        <v>405</v>
      </c>
      <c r="D500" s="1106">
        <v>0.63</v>
      </c>
      <c r="E500" s="1102">
        <f t="shared" si="66"/>
        <v>1.9407008086253368</v>
      </c>
    </row>
    <row r="501" spans="2:5">
      <c r="B501" s="1099" t="s">
        <v>403</v>
      </c>
      <c r="D501" s="1106">
        <v>28</v>
      </c>
      <c r="E501" s="1102">
        <f t="shared" si="66"/>
        <v>86.253369272237194</v>
      </c>
    </row>
    <row r="502" spans="2:5">
      <c r="B502" s="1104" t="s">
        <v>404</v>
      </c>
      <c r="D502" s="1106">
        <v>1.75</v>
      </c>
      <c r="E502" s="1102">
        <f t="shared" si="66"/>
        <v>5.3908355795148246</v>
      </c>
    </row>
  </sheetData>
  <conditionalFormatting sqref="A147:A148">
    <cfRule type="colorScale" priority="59">
      <colorScale>
        <cfvo type="num" val="0"/>
        <cfvo type="num" val="80"/>
        <color rgb="FFFF0000"/>
        <color theme="0"/>
      </colorScale>
    </cfRule>
  </conditionalFormatting>
  <conditionalFormatting sqref="A149">
    <cfRule type="colorScale" priority="61">
      <colorScale>
        <cfvo type="num" val="0"/>
        <cfvo type="num" val="80"/>
        <color rgb="FFFF0000"/>
        <color theme="0"/>
      </colorScale>
    </cfRule>
  </conditionalFormatting>
  <conditionalFormatting sqref="A156:A173">
    <cfRule type="colorScale" priority="60">
      <colorScale>
        <cfvo type="num" val="0"/>
        <cfvo type="num" val="80"/>
        <color rgb="FFFF0000"/>
        <color theme="0"/>
      </colorScale>
    </cfRule>
  </conditionalFormatting>
  <conditionalFormatting sqref="A241">
    <cfRule type="colorScale" priority="43">
      <colorScale>
        <cfvo type="num" val="0"/>
        <cfvo type="num" val="80"/>
        <color rgb="FFFF0000"/>
        <color theme="0"/>
      </colorScale>
    </cfRule>
  </conditionalFormatting>
  <conditionalFormatting sqref="A121:A146">
    <cfRule type="colorScale" priority="45">
      <colorScale>
        <cfvo type="num" val="0"/>
        <cfvo type="num" val="80"/>
        <color rgb="FFFF0000"/>
        <color theme="0"/>
      </colorScale>
    </cfRule>
  </conditionalFormatting>
  <conditionalFormatting sqref="A179:A180">
    <cfRule type="colorScale" priority="55">
      <colorScale>
        <cfvo type="num" val="0"/>
        <cfvo type="num" val="80"/>
        <color rgb="FFFF0000"/>
        <color theme="0"/>
      </colorScale>
    </cfRule>
  </conditionalFormatting>
  <conditionalFormatting sqref="A174:A178">
    <cfRule type="colorScale" priority="54">
      <colorScale>
        <cfvo type="num" val="0"/>
        <cfvo type="num" val="80"/>
        <color rgb="FFFF0000"/>
        <color theme="0"/>
      </colorScale>
    </cfRule>
  </conditionalFormatting>
  <conditionalFormatting sqref="A210:A211">
    <cfRule type="colorScale" priority="53">
      <colorScale>
        <cfvo type="num" val="0"/>
        <cfvo type="num" val="80"/>
        <color rgb="FFFF0000"/>
        <color theme="0"/>
      </colorScale>
    </cfRule>
  </conditionalFormatting>
  <conditionalFormatting sqref="A187:A209">
    <cfRule type="colorScale" priority="52">
      <colorScale>
        <cfvo type="num" val="0"/>
        <cfvo type="num" val="80"/>
        <color rgb="FFFF0000"/>
        <color theme="0"/>
      </colorScale>
    </cfRule>
  </conditionalFormatting>
  <conditionalFormatting sqref="A218:A234">
    <cfRule type="colorScale" priority="51">
      <colorScale>
        <cfvo type="num" val="0"/>
        <cfvo type="num" val="80"/>
        <color rgb="FFFF0000"/>
        <color theme="0"/>
      </colorScale>
    </cfRule>
  </conditionalFormatting>
  <conditionalFormatting sqref="A261:A265">
    <cfRule type="colorScale" priority="34">
      <colorScale>
        <cfvo type="num" val="0"/>
        <cfvo type="num" val="80"/>
        <color rgb="FFFF0000"/>
        <color theme="0"/>
      </colorScale>
    </cfRule>
  </conditionalFormatting>
  <conditionalFormatting sqref="C87">
    <cfRule type="colorScale" priority="27">
      <colorScale>
        <cfvo type="num" val="0"/>
        <cfvo type="num" val="80"/>
        <color rgb="FFFF0000"/>
        <color theme="0"/>
      </colorScale>
    </cfRule>
  </conditionalFormatting>
  <conditionalFormatting sqref="A249:A254 A256:A258">
    <cfRule type="colorScale" priority="40">
      <colorScale>
        <cfvo type="num" val="0"/>
        <cfvo type="num" val="80"/>
        <color rgb="FFFF0000"/>
        <color theme="0"/>
      </colorScale>
    </cfRule>
  </conditionalFormatting>
  <conditionalFormatting sqref="A235:A240">
    <cfRule type="colorScale" priority="42">
      <colorScale>
        <cfvo type="num" val="0"/>
        <cfvo type="num" val="80"/>
        <color rgb="FFFF0000"/>
        <color theme="0"/>
      </colorScale>
    </cfRule>
  </conditionalFormatting>
  <conditionalFormatting sqref="A242">
    <cfRule type="colorScale" priority="41">
      <colorScale>
        <cfvo type="num" val="0"/>
        <cfvo type="num" val="80"/>
        <color rgb="FFFF0000"/>
        <color theme="0"/>
      </colorScale>
    </cfRule>
  </conditionalFormatting>
  <conditionalFormatting sqref="A87">
    <cfRule type="colorScale" priority="28">
      <colorScale>
        <cfvo type="num" val="0"/>
        <cfvo type="num" val="80"/>
        <color rgb="FFFF0000"/>
        <color theme="0"/>
      </colorScale>
    </cfRule>
  </conditionalFormatting>
  <conditionalFormatting sqref="A284:A301">
    <cfRule type="colorScale" priority="35">
      <colorScale>
        <cfvo type="num" val="0"/>
        <cfvo type="num" val="80"/>
        <color rgb="FFFF0000"/>
        <color theme="0"/>
      </colorScale>
    </cfRule>
  </conditionalFormatting>
  <conditionalFormatting sqref="A259:A260">
    <cfRule type="colorScale" priority="33">
      <colorScale>
        <cfvo type="num" val="0"/>
        <cfvo type="num" val="80"/>
        <color rgb="FFFF0000"/>
        <color theme="0"/>
      </colorScale>
    </cfRule>
  </conditionalFormatting>
  <conditionalFormatting sqref="C210:C211">
    <cfRule type="colorScale" priority="22">
      <colorScale>
        <cfvo type="num" val="0"/>
        <cfvo type="num" val="80"/>
        <color rgb="FFFF0000"/>
        <color theme="0"/>
      </colorScale>
    </cfRule>
  </conditionalFormatting>
  <conditionalFormatting sqref="C121:C146">
    <cfRule type="colorScale" priority="26">
      <colorScale>
        <cfvo type="num" val="0"/>
        <cfvo type="num" val="80"/>
        <color rgb="FFFF0000"/>
        <color theme="0"/>
      </colorScale>
    </cfRule>
  </conditionalFormatting>
  <conditionalFormatting sqref="C261:C265">
    <cfRule type="colorScale" priority="9">
      <colorScale>
        <cfvo type="num" val="0"/>
        <cfvo type="num" val="80"/>
        <color rgb="FFFF0000"/>
        <color theme="0"/>
      </colorScale>
    </cfRule>
  </conditionalFormatting>
  <conditionalFormatting sqref="C259">
    <cfRule type="colorScale" priority="8">
      <colorScale>
        <cfvo type="num" val="0"/>
        <cfvo type="num" val="80"/>
        <color rgb="FFFF0000"/>
        <color theme="0"/>
      </colorScale>
    </cfRule>
  </conditionalFormatting>
  <conditionalFormatting sqref="C203:C209 C201">
    <cfRule type="colorScale" priority="21">
      <colorScale>
        <cfvo type="num" val="0"/>
        <cfvo type="num" val="80"/>
        <color rgb="FFFF0000"/>
        <color theme="0"/>
      </colorScale>
    </cfRule>
  </conditionalFormatting>
  <conditionalFormatting sqref="C218:C234">
    <cfRule type="colorScale" priority="20">
      <colorScale>
        <cfvo type="num" val="0"/>
        <cfvo type="num" val="80"/>
        <color rgb="FFFF0000"/>
        <color theme="0"/>
      </colorScale>
    </cfRule>
  </conditionalFormatting>
  <conditionalFormatting sqref="C147:C148">
    <cfRule type="colorScale" priority="15">
      <colorScale>
        <cfvo type="num" val="0"/>
        <cfvo type="num" val="80"/>
        <color rgb="FFFF0000"/>
        <color theme="0"/>
      </colorScale>
    </cfRule>
  </conditionalFormatting>
  <conditionalFormatting sqref="C149">
    <cfRule type="colorScale" priority="19">
      <colorScale>
        <cfvo type="num" val="0"/>
        <cfvo type="num" val="80"/>
        <color rgb="FFFF0000"/>
        <color theme="0"/>
      </colorScale>
    </cfRule>
  </conditionalFormatting>
  <conditionalFormatting sqref="C179:C180">
    <cfRule type="colorScale" priority="18">
      <colorScale>
        <cfvo type="num" val="0"/>
        <cfvo type="num" val="80"/>
        <color rgb="FFFF0000"/>
        <color theme="0"/>
      </colorScale>
    </cfRule>
  </conditionalFormatting>
  <conditionalFormatting sqref="C156:C174 C176:C178">
    <cfRule type="colorScale" priority="17">
      <colorScale>
        <cfvo type="num" val="0"/>
        <cfvo type="num" val="80"/>
        <color rgb="FFFF0000"/>
        <color theme="0"/>
      </colorScale>
    </cfRule>
  </conditionalFormatting>
  <conditionalFormatting sqref="C187:C200">
    <cfRule type="colorScale" priority="16">
      <colorScale>
        <cfvo type="num" val="0"/>
        <cfvo type="num" val="80"/>
        <color rgb="FFFF0000"/>
        <color theme="0"/>
      </colorScale>
    </cfRule>
  </conditionalFormatting>
  <conditionalFormatting sqref="C249:C254 C256:C258">
    <cfRule type="colorScale" priority="10">
      <colorScale>
        <cfvo type="num" val="0"/>
        <cfvo type="num" val="80"/>
        <color rgb="FFFF0000"/>
        <color theme="0"/>
      </colorScale>
    </cfRule>
  </conditionalFormatting>
  <conditionalFormatting sqref="C284:C301">
    <cfRule type="colorScale" priority="14">
      <colorScale>
        <cfvo type="num" val="0"/>
        <cfvo type="num" val="80"/>
        <color rgb="FFFF0000"/>
        <color theme="0"/>
      </colorScale>
    </cfRule>
  </conditionalFormatting>
  <conditionalFormatting sqref="C241">
    <cfRule type="colorScale" priority="13">
      <colorScale>
        <cfvo type="num" val="0"/>
        <cfvo type="num" val="80"/>
        <color rgb="FFFF0000"/>
        <color theme="0"/>
      </colorScale>
    </cfRule>
  </conditionalFormatting>
  <conditionalFormatting sqref="C235:C236 C238:C240">
    <cfRule type="colorScale" priority="12">
      <colorScale>
        <cfvo type="num" val="0"/>
        <cfvo type="num" val="80"/>
        <color rgb="FFFF0000"/>
        <color theme="0"/>
      </colorScale>
    </cfRule>
  </conditionalFormatting>
  <conditionalFormatting sqref="C242">
    <cfRule type="colorScale" priority="11">
      <colorScale>
        <cfvo type="num" val="0"/>
        <cfvo type="num" val="80"/>
        <color rgb="FFFF0000"/>
        <color theme="0"/>
      </colorScale>
    </cfRule>
  </conditionalFormatting>
  <conditionalFormatting sqref="F300 F298">
    <cfRule type="colorScale" priority="7">
      <colorScale>
        <cfvo type="num" val="-1E-4"/>
        <cfvo type="num" val="0"/>
        <cfvo type="num" val="80"/>
        <color theme="0"/>
        <color rgb="FFFF0000"/>
        <color theme="0"/>
      </colorScale>
    </cfRule>
  </conditionalFormatting>
  <conditionalFormatting sqref="A255">
    <cfRule type="colorScale" priority="6">
      <colorScale>
        <cfvo type="num" val="0"/>
        <cfvo type="num" val="80"/>
        <color rgb="FFFF0000"/>
        <color theme="0"/>
      </colorScale>
    </cfRule>
  </conditionalFormatting>
  <conditionalFormatting sqref="C255">
    <cfRule type="colorScale" priority="5">
      <colorScale>
        <cfvo type="num" val="0"/>
        <cfvo type="num" val="80"/>
        <color rgb="FFFF0000"/>
        <color theme="0"/>
      </colorScale>
    </cfRule>
  </conditionalFormatting>
  <conditionalFormatting sqref="C175">
    <cfRule type="colorScale" priority="4">
      <colorScale>
        <cfvo type="num" val="0"/>
        <cfvo type="num" val="80"/>
        <color rgb="FFFF0000"/>
        <color theme="0"/>
      </colorScale>
    </cfRule>
  </conditionalFormatting>
  <conditionalFormatting sqref="C202">
    <cfRule type="colorScale" priority="3">
      <colorScale>
        <cfvo type="num" val="0"/>
        <cfvo type="num" val="80"/>
        <color rgb="FFFF0000"/>
        <color theme="0"/>
      </colorScale>
    </cfRule>
  </conditionalFormatting>
  <conditionalFormatting sqref="C237">
    <cfRule type="colorScale" priority="2">
      <colorScale>
        <cfvo type="num" val="0"/>
        <cfvo type="num" val="80"/>
        <color rgb="FFFF0000"/>
        <color theme="0"/>
      </colorScale>
    </cfRule>
  </conditionalFormatting>
  <conditionalFormatting sqref="C260">
    <cfRule type="colorScale" priority="1">
      <colorScale>
        <cfvo type="num" val="0"/>
        <cfvo type="num" val="80"/>
        <color rgb="FFFF0000"/>
        <color theme="0"/>
      </colorScale>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6A575-0C15-A049-8554-4D113809798F}">
  <sheetPr codeName="Sheet4"/>
  <dimension ref="A1:AB379"/>
  <sheetViews>
    <sheetView workbookViewId="0">
      <pane ySplit="7" topLeftCell="A42" activePane="bottomLeft" state="frozen"/>
      <selection pane="bottomLeft" activeCell="E46" sqref="E46"/>
    </sheetView>
  </sheetViews>
  <sheetFormatPr baseColWidth="10" defaultRowHeight="14"/>
  <cols>
    <col min="1" max="1" width="2" style="52" customWidth="1"/>
    <col min="2" max="2" width="39.1640625" style="215" customWidth="1"/>
    <col min="3" max="3" width="13.83203125" customWidth="1"/>
    <col min="4" max="4" width="16.5" customWidth="1"/>
    <col min="5" max="5" width="17.83203125" customWidth="1"/>
    <col min="6" max="6" width="94.1640625" style="476" customWidth="1"/>
    <col min="7" max="7" width="66.6640625" style="476" customWidth="1"/>
    <col min="8" max="8" width="255.6640625" style="476" customWidth="1"/>
  </cols>
  <sheetData>
    <row r="1" spans="1:28" s="391" customFormat="1" ht="23" customHeight="1">
      <c r="A1" s="390"/>
      <c r="B1" s="1361" t="s">
        <v>3979</v>
      </c>
      <c r="C1" s="389"/>
      <c r="D1" s="390"/>
      <c r="E1" s="390"/>
      <c r="F1" s="1494"/>
      <c r="G1" s="1495"/>
      <c r="H1" s="495"/>
    </row>
    <row r="2" spans="1:28" s="391" customFormat="1" ht="15" customHeight="1">
      <c r="A2" s="468"/>
      <c r="B2" s="1250"/>
      <c r="C2" s="1485"/>
      <c r="D2" s="1485"/>
      <c r="E2" s="1485"/>
      <c r="F2" s="1494"/>
      <c r="G2" s="1495"/>
      <c r="H2" s="495"/>
    </row>
    <row r="3" spans="1:28" s="391" customFormat="1" ht="22" customHeight="1">
      <c r="A3" s="468"/>
      <c r="B3" s="1245" t="s">
        <v>3721</v>
      </c>
      <c r="C3" s="1485"/>
      <c r="D3" s="1485"/>
      <c r="E3" s="1485"/>
      <c r="F3" s="1494"/>
      <c r="G3" s="1495"/>
      <c r="H3" s="495"/>
    </row>
    <row r="4" spans="1:28" s="391" customFormat="1" ht="9" customHeight="1">
      <c r="A4" s="468"/>
      <c r="B4" s="1250"/>
      <c r="C4" s="1485"/>
      <c r="D4" s="1485"/>
      <c r="E4" s="1485"/>
      <c r="F4" s="1494"/>
      <c r="G4" s="1495"/>
      <c r="H4" s="495"/>
    </row>
    <row r="5" spans="1:28" s="391" customFormat="1" ht="22" customHeight="1">
      <c r="A5" s="468"/>
      <c r="B5" s="1249" t="s">
        <v>3722</v>
      </c>
      <c r="C5" s="1485"/>
      <c r="D5" s="1485"/>
      <c r="E5" s="1485"/>
      <c r="F5" s="1494"/>
      <c r="G5" s="1495"/>
      <c r="H5" s="495"/>
    </row>
    <row r="6" spans="1:28" s="391" customFormat="1" ht="20" customHeight="1">
      <c r="A6" s="468"/>
      <c r="B6" s="1250"/>
      <c r="C6" s="1485"/>
      <c r="D6" s="1485"/>
      <c r="E6" s="1485"/>
      <c r="F6" s="1494"/>
      <c r="G6" s="1495"/>
      <c r="H6" s="495"/>
    </row>
    <row r="7" spans="1:28" s="2" customFormat="1" ht="66" customHeight="1" thickBot="1">
      <c r="A7" s="484"/>
      <c r="B7" s="1251">
        <v>1</v>
      </c>
      <c r="C7" s="1305" t="s">
        <v>3985</v>
      </c>
      <c r="D7" s="1305" t="s">
        <v>3992</v>
      </c>
      <c r="E7" s="485" t="s">
        <v>3984</v>
      </c>
      <c r="F7" s="1503" t="s">
        <v>3993</v>
      </c>
      <c r="G7" s="1503"/>
      <c r="H7" s="1297"/>
      <c r="I7" s="366"/>
      <c r="J7" s="366"/>
      <c r="K7" s="366"/>
      <c r="L7" s="366"/>
      <c r="M7" s="366"/>
      <c r="N7" s="366"/>
      <c r="O7" s="366"/>
      <c r="P7" s="366"/>
      <c r="Q7" s="366"/>
      <c r="R7" s="366"/>
      <c r="S7" s="366"/>
      <c r="T7" s="366"/>
      <c r="U7" s="366"/>
      <c r="V7" s="366"/>
      <c r="W7" s="366"/>
      <c r="X7" s="366"/>
      <c r="Y7" s="366"/>
      <c r="Z7" s="366"/>
      <c r="AA7" s="366"/>
    </row>
    <row r="8" spans="1:28" ht="47" customHeight="1">
      <c r="A8" s="271"/>
      <c r="B8" s="1308" t="s">
        <v>3601</v>
      </c>
      <c r="C8" s="1309" t="s">
        <v>3743</v>
      </c>
      <c r="D8" s="1303" t="s">
        <v>3981</v>
      </c>
      <c r="E8" s="1304" t="s">
        <v>3982</v>
      </c>
      <c r="F8" s="1496" t="s">
        <v>3983</v>
      </c>
      <c r="G8" s="1479"/>
      <c r="H8" s="365"/>
      <c r="I8" s="275"/>
      <c r="J8" s="275"/>
      <c r="K8" s="275"/>
      <c r="L8" s="275"/>
      <c r="M8" s="275"/>
      <c r="N8" s="275"/>
      <c r="O8" s="275"/>
      <c r="P8" s="275"/>
      <c r="Q8" s="275"/>
      <c r="R8" s="275"/>
      <c r="S8" s="275"/>
      <c r="T8" s="275"/>
      <c r="U8" s="275"/>
      <c r="V8" s="275"/>
      <c r="W8" s="275"/>
      <c r="X8" s="275"/>
      <c r="Y8" s="275"/>
      <c r="Z8" s="275"/>
      <c r="AA8" s="275"/>
      <c r="AB8" s="308"/>
    </row>
    <row r="9" spans="1:28" ht="16" customHeight="1">
      <c r="A9" s="272"/>
      <c r="B9" s="373" t="s">
        <v>3587</v>
      </c>
      <c r="C9" s="119">
        <f>IF($B$7=1,Sheet1!D228,Sheet2!D228)</f>
        <v>759.54848090303824</v>
      </c>
      <c r="D9" s="296"/>
      <c r="E9" s="297"/>
      <c r="F9" s="1501" t="str">
        <f>IF(C9=0,"",CONCATENATE('Recommendation texts'!C$88,IF(A9&gt;0,'Recommendation texts'!D$89,'Recommendation texts'!D$88),IF(A37=0,'Recommendation texts'!E$88,'Recommendation texts'!E$89),IF(A9&gt;0,'Recommendation texts'!F$89,'Recommendation texts'!F$88),IF(B37=0,'Recommendation texts'!G$88,'Recommendation texts'!G$89),'Recommendation texts'!H$88,IF(C37=0,(IF(B37=1,'Recommendation texts'!I$84,'Recommendation texts'!I$88)),'Recommendation texts'!I$89),'Recommendation texts'!J$88,IF(D37=0,(IF(C37=1,'Recommendation texts'!K$84,'Recommendation texts'!K$88)),'Recommendation texts'!K$89),'Recommendation texts'!L$88,IF(E37=0,'Recommendation texts'!M$88,'Recommendation texts'!M$89),'Recommendation texts'!N$88))</f>
        <v>Overall, after subtracting plate waste, the menus for this week have INSUFFICIENT calories each day, they have INSUFFICIENT carbohydrates, INSUFFICIENT protein, INSUFFICIENT fat, and sufficient fibre in meals.</v>
      </c>
      <c r="G9" s="1502"/>
      <c r="H9" s="493"/>
      <c r="AB9" s="308"/>
    </row>
    <row r="10" spans="1:28" ht="17" customHeight="1">
      <c r="A10" s="272"/>
      <c r="B10" s="871" t="s">
        <v>3990</v>
      </c>
      <c r="C10" s="298">
        <f>IF($B$7=1,Sheet1!D229,Sheet2!D229)</f>
        <v>176.85408129183747</v>
      </c>
      <c r="D10" s="320">
        <f>IF($B$7=1,Sheet1!D231,Sheet2!D231)</f>
        <v>0.23148910195792444</v>
      </c>
      <c r="E10" s="66"/>
      <c r="F10" s="1501"/>
      <c r="G10" s="1502"/>
      <c r="H10" s="493"/>
      <c r="AB10" s="308"/>
    </row>
    <row r="11" spans="1:28" ht="15" customHeight="1" thickBot="1">
      <c r="A11" s="272"/>
      <c r="B11" s="1257" t="s">
        <v>3987</v>
      </c>
      <c r="C11" s="1259">
        <f>IF($B$7=1,Sheet1!D232,Sheet2!D232)</f>
        <v>112.70196462204477</v>
      </c>
      <c r="D11" s="479"/>
      <c r="E11" s="480" t="s">
        <v>3980</v>
      </c>
      <c r="F11" s="1501"/>
      <c r="G11" s="1502"/>
      <c r="H11" s="493"/>
      <c r="AB11" s="308"/>
    </row>
    <row r="12" spans="1:28" ht="15" customHeight="1">
      <c r="A12" s="272"/>
      <c r="B12" s="401" t="s">
        <v>3988</v>
      </c>
      <c r="C12" s="1201">
        <f>IF($B$7=1,Sheet1!D233,Sheet2!D233)</f>
        <v>23.806289562620837</v>
      </c>
      <c r="D12" s="481">
        <f>IF($B$7=1,Sheet1!D234,Sheet2!D234)</f>
        <v>0.21042341029412825</v>
      </c>
      <c r="E12" s="492"/>
      <c r="F12" s="1497" t="s">
        <v>3986</v>
      </c>
      <c r="G12" s="1498"/>
      <c r="H12" s="493"/>
      <c r="AB12" s="308"/>
    </row>
    <row r="13" spans="1:28" ht="16" customHeight="1" thickBot="1">
      <c r="A13" s="272"/>
      <c r="B13" s="1256" t="s">
        <v>3989</v>
      </c>
      <c r="C13" s="1255">
        <f>IF($B$7=1,Sheet1!D230,Sheet2!D230)</f>
        <v>1339.259421481157</v>
      </c>
      <c r="D13" s="285"/>
      <c r="E13" s="492"/>
      <c r="F13" s="1499"/>
      <c r="G13" s="1500"/>
      <c r="H13" s="489"/>
      <c r="AB13" s="308"/>
    </row>
    <row r="14" spans="1:28" s="229" customFormat="1">
      <c r="A14" s="516"/>
      <c r="B14" s="1306" t="s">
        <v>3878</v>
      </c>
      <c r="C14" s="505">
        <f>IF($B$7=1,Sheet1!D149,Sheet2!D149)</f>
        <v>1191.9205425142479</v>
      </c>
      <c r="D14" s="505">
        <f>IF($B$7=1,Meal_entry_week_1!$W$554,Meal_entry_week_2!$W$554)</f>
        <v>924.32887394336547</v>
      </c>
      <c r="E14" s="506">
        <f>IF($B$7=1,Sheet1!D203,Sheet2!D203)</f>
        <v>65.043061518037618</v>
      </c>
      <c r="F14" s="1487" t="str">
        <f>IF(E14&lt;80,VLOOKUP(B14,'Recommendation texts'!$A:$AV,2,FALSE),"")</f>
        <v>After allowing for plate waste, the menus for this day are lower than recommeded in energy (kcal) overall.</v>
      </c>
      <c r="G14" s="1488"/>
      <c r="H14" s="1488"/>
      <c r="AB14" s="517"/>
    </row>
    <row r="15" spans="1:28" s="229" customFormat="1">
      <c r="A15" s="516"/>
      <c r="B15" s="768" t="s">
        <v>3879</v>
      </c>
      <c r="C15" s="505">
        <f>IF($B$7=1,Sheet1!D150,Sheet2!D150)</f>
        <v>151.46580362724998</v>
      </c>
      <c r="D15" s="505">
        <f>IF($B$7=1,Meal_entry_week_1!$X$554,Meal_entry_week_2!$X$554)</f>
        <v>115.27014847918213</v>
      </c>
      <c r="E15" s="506">
        <f>IF($B$7=1,Sheet1!D204,Sheet2!D204)</f>
        <v>58.662442964032309</v>
      </c>
      <c r="F15" s="1487" t="str">
        <f>IF(E15&lt;80,VLOOKUP(B15,'Recommendation texts'!$A:$AV,2,FALSE),"")</f>
        <v>After allowing for plate waste, the menus for this day are lower than recommended in carbohydrates overall.</v>
      </c>
      <c r="G15" s="1488"/>
      <c r="H15" s="1488"/>
      <c r="AB15" s="517"/>
    </row>
    <row r="16" spans="1:28" s="229" customFormat="1">
      <c r="A16" s="516"/>
      <c r="B16" s="768" t="s">
        <v>3880</v>
      </c>
      <c r="C16" s="505">
        <f>IF($B$7=1,Sheet1!D151,Sheet2!D151)</f>
        <v>38.536101320764558</v>
      </c>
      <c r="D16" s="505">
        <f>IF($B$7=1,Meal_entry_week_1!$Y$554,Meal_entry_week_2!$Y$554)</f>
        <v>29.885885273054306</v>
      </c>
      <c r="E16" s="506">
        <f>IF($B$7=1,Sheet1!D205,Sheet2!D205)</f>
        <v>59.93339896838161</v>
      </c>
      <c r="F16" s="1487" t="str">
        <f>IF(E16&lt;80,VLOOKUP(B16,'Recommendation texts'!$A:$AV,2,FALSE),"")</f>
        <v>After allowing for plate waste, the menus for this day are lower than recommended in protein overall.</v>
      </c>
      <c r="G16" s="1488"/>
      <c r="H16" s="1488"/>
      <c r="AB16" s="517"/>
    </row>
    <row r="17" spans="1:28" s="229" customFormat="1">
      <c r="A17" s="516"/>
      <c r="B17" s="768" t="s">
        <v>3881</v>
      </c>
      <c r="C17" s="505">
        <f>IF($B$7=1,Sheet1!D152,Sheet2!D152)</f>
        <v>45.506815166489176</v>
      </c>
      <c r="D17" s="505">
        <f>IF($B$7=1,Meal_entry_week_1!$Z$554,Meal_entry_week_2!$Z$554)</f>
        <v>36.385401453734687</v>
      </c>
      <c r="E17" s="506">
        <f>IF($B$7=1,Sheet1!D206,Sheet2!D206)</f>
        <v>77.72374072944416</v>
      </c>
      <c r="F17" s="1487" t="str">
        <f>IF(E17&lt;80,VLOOKUP(B17,'Recommendation texts'!$A:$AV,2,FALSE),"")</f>
        <v>After allowing for plate waste, the menus for this day are lower than recommended in fat overall.</v>
      </c>
      <c r="G17" s="1488"/>
      <c r="H17" s="1488"/>
      <c r="AB17" s="517"/>
    </row>
    <row r="18" spans="1:28" s="229" customFormat="1" ht="15">
      <c r="A18" s="516"/>
      <c r="B18" s="770" t="s">
        <v>3882</v>
      </c>
      <c r="C18" s="505">
        <f>IF($B$7=1,Sheet1!D153,Sheet2!D153)</f>
        <v>17.692886207744035</v>
      </c>
      <c r="D18" s="505">
        <f>IF($B$7=1,Meal_entry_week_1!$AA$554,Meal_entry_week_2!$AA$554)</f>
        <v>13.82362342076585</v>
      </c>
      <c r="E18" s="506">
        <f>IF($B$7=1,Sheet1!D207,Sheet2!D207)</f>
        <v>88.526182220487499</v>
      </c>
      <c r="F18" s="1487" t="str">
        <f>IF(E18&lt;80,VLOOKUP(B18,'Recommendation texts'!$A:$AV,2,FALSE),"")</f>
        <v/>
      </c>
      <c r="G18" s="1488"/>
      <c r="H18" s="1488"/>
      <c r="AB18" s="517"/>
    </row>
    <row r="19" spans="1:28" s="229" customFormat="1" ht="15">
      <c r="A19" s="516"/>
      <c r="B19" s="771" t="s">
        <v>3883</v>
      </c>
      <c r="C19" s="505">
        <f>IF($B$7=1,Sheet1!D154,Sheet2!D154)</f>
        <v>9.5302724104377177</v>
      </c>
      <c r="D19" s="505">
        <f>IF($B$7=1,Meal_entry_week_1!$AB$554,Meal_entry_week_2!$AB$554)</f>
        <v>7.6140989300714752</v>
      </c>
      <c r="E19" s="506">
        <f>IF($B$7=1,Sheet1!D208,Sheet2!D208)</f>
        <v>49.070874908984145</v>
      </c>
      <c r="F19" s="1487" t="str">
        <f>IF(E19&gt;120,"Previše zasićenih masti u menijima za ovu nedelju","")</f>
        <v/>
      </c>
      <c r="G19" s="1489"/>
      <c r="H19" s="1489"/>
      <c r="AB19" s="517"/>
    </row>
    <row r="20" spans="1:28" s="229" customFormat="1" ht="15">
      <c r="A20" s="516"/>
      <c r="B20" s="770" t="s">
        <v>3884</v>
      </c>
      <c r="C20" s="505">
        <f>IF($B$7=1,Sheet1!D155,Sheet2!D155)</f>
        <v>958.67291533593084</v>
      </c>
      <c r="D20" s="505">
        <f>IF($B$7=1,Meal_entry_week_1!$AC$554,Meal_entry_week_2!$AC$554)</f>
        <v>648.16557881004678</v>
      </c>
      <c r="E20" s="506">
        <f>IF($B$7=1,Sheet1!D209,Sheet2!D209)</f>
        <v>61.958815060555288</v>
      </c>
      <c r="F20" s="1487" t="str">
        <f>IF(E20&gt;120,"Previše soli u menijima za ovu nedelju","")</f>
        <v/>
      </c>
      <c r="G20" s="1488"/>
      <c r="H20" s="1488"/>
      <c r="AB20" s="517"/>
    </row>
    <row r="21" spans="1:28" s="229" customFormat="1" ht="15">
      <c r="A21" s="516"/>
      <c r="B21" s="770" t="s">
        <v>3885</v>
      </c>
      <c r="C21" s="505">
        <f>IF($B$7=1,Sheet1!D156,Sheet2!D156)</f>
        <v>1618.7194025612948</v>
      </c>
      <c r="D21" s="505">
        <f>IF($B$7=1,Meal_entry_week_1!$AD$554,Meal_entry_week_2!$AD$554)</f>
        <v>1369.9667959334502</v>
      </c>
      <c r="E21" s="506">
        <f>IF($B$7=1,Sheet1!D210,Sheet2!D210)</f>
        <v>94.200903535916922</v>
      </c>
      <c r="F21" s="1487" t="str">
        <f>IF($E21&lt;80,VLOOKUP($B21,'Recommendation texts'!$A:$AV,2,FALSE),"")</f>
        <v/>
      </c>
      <c r="G21" s="1488"/>
      <c r="H21" s="1488"/>
      <c r="AB21" s="517"/>
    </row>
    <row r="22" spans="1:28" s="229" customFormat="1" ht="15">
      <c r="A22" s="516"/>
      <c r="B22" s="770" t="s">
        <v>3886</v>
      </c>
      <c r="C22" s="505">
        <f>IF($B$7=1,Sheet1!D157,Sheet2!D157)</f>
        <v>294.06066662867988</v>
      </c>
      <c r="D22" s="505">
        <f>IF($B$7=1,Meal_entry_week_1!$AE$554,Meal_entry_week_2!$AE$554)</f>
        <v>248.38987256494221</v>
      </c>
      <c r="E22" s="506">
        <f>IF($B$7=1,Sheet1!D211,Sheet2!D211)</f>
        <v>40.572624228690913</v>
      </c>
      <c r="F22" s="1487" t="str">
        <f>IF($E22&lt;80,VLOOKUP($B22,'Recommendation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22" s="1488"/>
      <c r="H22" s="1488"/>
      <c r="AB22" s="517"/>
    </row>
    <row r="23" spans="1:28" s="229" customFormat="1" ht="15">
      <c r="A23" s="516"/>
      <c r="B23" s="770" t="s">
        <v>3887</v>
      </c>
      <c r="C23" s="505">
        <f>IF($B$7=1,Sheet1!D158,Sheet2!D158)</f>
        <v>147.18584389183641</v>
      </c>
      <c r="D23" s="505">
        <f>IF($B$7=1,Meal_entry_week_1!$AF$554,Meal_entry_week_2!$AF$554)</f>
        <v>114.8058596598099</v>
      </c>
      <c r="E23" s="506">
        <f>IF($B$7=1,Sheet1!D212,Sheet2!D212)</f>
        <v>76.284407251085938</v>
      </c>
      <c r="F23" s="1487" t="str">
        <f>IF($E23&lt;80,VLOOKUP($B23,'Recommendation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23" s="1488"/>
      <c r="H23" s="1488"/>
      <c r="AB23" s="517"/>
    </row>
    <row r="24" spans="1:28" s="229" customFormat="1" ht="15">
      <c r="A24" s="516"/>
      <c r="B24" s="770" t="s">
        <v>3888</v>
      </c>
      <c r="C24" s="505">
        <f>IF($B$7=1,Sheet1!D159,Sheet2!D159)</f>
        <v>488.49923320154608</v>
      </c>
      <c r="D24" s="505">
        <f>IF($B$7=1,Meal_entry_week_1!$AG$554,Meal_entry_week_2!$AG$554)</f>
        <v>398.05937413974266</v>
      </c>
      <c r="E24" s="506">
        <f>IF($B$7=1,Sheet1!D213,Sheet2!D213)</f>
        <v>86.447097083912396</v>
      </c>
      <c r="F24" s="1487" t="str">
        <f>IF($E24&lt;80,VLOOKUP($B24,'Recommendation texts'!$A:$AV,2,FALSE),"")</f>
        <v/>
      </c>
      <c r="G24" s="1488"/>
      <c r="H24" s="1488"/>
      <c r="AB24" s="517"/>
    </row>
    <row r="25" spans="1:28" s="229" customFormat="1" ht="15">
      <c r="A25" s="516"/>
      <c r="B25" s="770" t="s">
        <v>3889</v>
      </c>
      <c r="C25" s="505">
        <f>IF($B$7=1,Sheet1!D160,Sheet2!D160)</f>
        <v>7.4375135581846932</v>
      </c>
      <c r="D25" s="505">
        <f>IF($B$7=1,Meal_entry_week_1!$AH$554,Meal_entry_week_2!$AH$554)</f>
        <v>5.5107167150552385</v>
      </c>
      <c r="E25" s="506">
        <f>IF($B$7=1,Sheet1!D214,Sheet2!D214)</f>
        <v>68.596494121370853</v>
      </c>
      <c r="F25" s="1487" t="str">
        <f>IF($E25&lt;80,VLOOKUP($B25,'Recommendation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25" s="1488"/>
      <c r="H25" s="1488"/>
      <c r="AB25" s="517"/>
    </row>
    <row r="26" spans="1:28" s="229" customFormat="1" ht="15">
      <c r="A26" s="516"/>
      <c r="B26" s="770" t="s">
        <v>3890</v>
      </c>
      <c r="C26" s="505">
        <f>IF($B$7=1,Sheet1!D161,Sheet2!D161)</f>
        <v>7.1664465831825401</v>
      </c>
      <c r="D26" s="505">
        <f>IF($B$7=1,Meal_entry_week_1!$AI$554,Meal_entry_week_2!$AI$554)</f>
        <v>5.0081438960426823</v>
      </c>
      <c r="E26" s="506">
        <f>IF($B$7=1,Sheet1!D215,Sheet2!D215)</f>
        <v>99.872552403243219</v>
      </c>
      <c r="F26" s="1487" t="str">
        <f>IF($E26&lt;80,VLOOKUP($B26,'Recommendation texts'!$A:$AV,2,FALSE),"")</f>
        <v/>
      </c>
      <c r="G26" s="1488"/>
      <c r="H26" s="1488"/>
      <c r="AB26" s="517"/>
    </row>
    <row r="27" spans="1:28" s="229" customFormat="1" ht="15">
      <c r="A27" s="516"/>
      <c r="B27" s="770" t="s">
        <v>3891</v>
      </c>
      <c r="C27" s="505">
        <f>IF($B$7=1,Sheet1!D162,Sheet2!D162)</f>
        <v>1.0640551883465914</v>
      </c>
      <c r="D27" s="505">
        <f>IF($B$7=1,Meal_entry_week_1!$AJ$554,Meal_entry_week_2!$AJ$554)</f>
        <v>0.76642673496874247</v>
      </c>
      <c r="E27" s="506">
        <f>IF($B$7=1,Sheet1!D216,Sheet2!D216)</f>
        <v>106.3574032303806</v>
      </c>
      <c r="F27" s="1487" t="str">
        <f>IF($E27&lt;80,VLOOKUP($B27,'Recommendation texts'!$A:$AV,2,FALSE),"")</f>
        <v/>
      </c>
      <c r="G27" s="1488"/>
      <c r="H27" s="1488"/>
      <c r="AB27" s="517"/>
    </row>
    <row r="28" spans="1:28" s="229" customFormat="1" ht="15">
      <c r="A28" s="516"/>
      <c r="B28" s="770" t="s">
        <v>2990</v>
      </c>
      <c r="C28" s="505">
        <f>IF($B$7=1,Sheet1!D163,Sheet2!D163)</f>
        <v>415.15650419949338</v>
      </c>
      <c r="D28" s="505">
        <f>IF($B$7=1,Meal_entry_week_1!$AK$554,Meal_entry_week_2!$AK$554)</f>
        <v>328.69075858049445</v>
      </c>
      <c r="E28" s="506">
        <f>IF($B$7=1,Sheet1!D217,Sheet2!D217)</f>
        <v>58.13311566719532</v>
      </c>
      <c r="F28" s="1487" t="str">
        <f>IF($E28&lt;80,VLOOKUP($B28,'Recommendation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28" s="1488"/>
      <c r="H28" s="1488"/>
      <c r="AB28" s="517"/>
    </row>
    <row r="29" spans="1:28" s="229" customFormat="1" ht="15">
      <c r="A29" s="516"/>
      <c r="B29" s="770" t="s">
        <v>3892</v>
      </c>
      <c r="C29" s="505">
        <f>IF($B$7=1,Sheet1!D164,Sheet2!D164)</f>
        <v>0.82061763339544858</v>
      </c>
      <c r="D29" s="505">
        <f>IF($B$7=1,Meal_entry_week_1!$AL$554,Meal_entry_week_2!$AL$554)</f>
        <v>0.617220328262714</v>
      </c>
      <c r="E29" s="506">
        <f>IF($B$7=1,Sheet1!D218,Sheet2!D218)</f>
        <v>82.45456672904659</v>
      </c>
      <c r="F29" s="1487" t="str">
        <f>IF($E29&lt;80,VLOOKUP($B29,'Recommendation texts'!$A:$AV,2,FALSE),"")</f>
        <v/>
      </c>
      <c r="G29" s="1488"/>
      <c r="H29" s="1488"/>
      <c r="AB29" s="517"/>
    </row>
    <row r="30" spans="1:28" s="229" customFormat="1">
      <c r="A30" s="516"/>
      <c r="B30" s="1295" t="s">
        <v>2985</v>
      </c>
      <c r="C30" s="505">
        <f>IF($B$7=1,Sheet1!D165,Sheet2!D165)</f>
        <v>0.6698780971145355</v>
      </c>
      <c r="D30" s="505">
        <f>IF($B$7=1,Meal_entry_week_1!$AM$554,Meal_entry_week_2!$AM$554)</f>
        <v>0.54343187191833997</v>
      </c>
      <c r="E30" s="506">
        <f>IF($B$7=1,Sheet1!D219,Sheet2!D219)</f>
        <v>70.045339814856462</v>
      </c>
      <c r="F30" s="1487" t="str">
        <f>IF($E30&lt;80,VLOOKUP($B30,'Recommendation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30" s="1488"/>
      <c r="H30" s="1488"/>
      <c r="AB30" s="517"/>
    </row>
    <row r="31" spans="1:28" s="229" customFormat="1" ht="15">
      <c r="A31" s="516"/>
      <c r="B31" s="770" t="s">
        <v>3893</v>
      </c>
      <c r="C31" s="505">
        <f>IF($B$7=1,Sheet1!D166,Sheet2!D166)</f>
        <v>10.874156685737415</v>
      </c>
      <c r="D31" s="505">
        <f>IF($B$7=1,Meal_entry_week_1!$AN$554,Meal_entry_week_2!$AN$554)</f>
        <v>8.1973141311754603</v>
      </c>
      <c r="E31" s="506">
        <f>IF($B$7=1,Sheet1!D220,Sheet2!D220)</f>
        <v>85.052034588104405</v>
      </c>
      <c r="F31" s="1487" t="str">
        <f>IF($E31&lt;80,VLOOKUP($B31,'Recommendation texts'!$A:$AV,2,FALSE),"")</f>
        <v/>
      </c>
      <c r="G31" s="1488"/>
      <c r="H31" s="1488"/>
      <c r="AB31" s="517"/>
    </row>
    <row r="32" spans="1:28" s="229" customFormat="1" ht="15">
      <c r="A32" s="516"/>
      <c r="B32" s="770" t="s">
        <v>2986</v>
      </c>
      <c r="C32" s="505">
        <f>IF($B$7=1,Sheet1!D167,Sheet2!D167)</f>
        <v>1.0647204947417626</v>
      </c>
      <c r="D32" s="505">
        <f>IF($B$7=1,Meal_entry_week_1!$AO$554,Meal_entry_week_2!$AO$554)</f>
        <v>0.80438213042723428</v>
      </c>
      <c r="E32" s="506">
        <f>IF($B$7=1,Sheet1!D221,Sheet2!D221)</f>
        <v>131.53747205426879</v>
      </c>
      <c r="F32" s="1487" t="str">
        <f>IF($E32&lt;80,VLOOKUP($B32,'Recommendation texts'!$A:$AV,2,FALSE),"")</f>
        <v/>
      </c>
      <c r="G32" s="1488"/>
      <c r="H32" s="1488"/>
      <c r="AB32" s="517"/>
    </row>
    <row r="33" spans="1:28" s="229" customFormat="1" ht="15">
      <c r="A33" s="516"/>
      <c r="B33" s="770" t="s">
        <v>3894</v>
      </c>
      <c r="C33" s="505">
        <f>IF($B$7=1,Sheet1!D168,Sheet2!D168)</f>
        <v>144.7879522595652</v>
      </c>
      <c r="D33" s="505">
        <f>IF($B$7=1,Meal_entry_week_1!$AP$554,Meal_entry_week_2!$AP$554)</f>
        <v>119.60676040202597</v>
      </c>
      <c r="E33" s="506">
        <f>IF($B$7=1,Sheet1!D222,Sheet2!D222)</f>
        <v>58.57392705834242</v>
      </c>
      <c r="F33" s="1487" t="str">
        <f>IF($E33&lt;80,VLOOKUP($B33,'Recommendation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33" s="1488"/>
      <c r="H33" s="1488"/>
      <c r="AB33" s="517"/>
    </row>
    <row r="34" spans="1:28" s="229" customFormat="1" ht="15">
      <c r="A34" s="516"/>
      <c r="B34" s="770" t="s">
        <v>2987</v>
      </c>
      <c r="C34" s="505">
        <f>IF($B$7=1,Sheet1!D169,Sheet2!D169)</f>
        <v>1.0048153970286626</v>
      </c>
      <c r="D34" s="505">
        <f>IF($B$7=1,Meal_entry_week_1!$AQ$554,Meal_entry_week_2!$AQ$554)</f>
        <v>0.85843125078916249</v>
      </c>
      <c r="E34" s="506">
        <f>IF($B$7=1,Sheet1!D223,Sheet2!D223)</f>
        <v>49.053312437237949</v>
      </c>
      <c r="F34" s="1487" t="str">
        <f>IF($E34&lt;80,VLOOKUP($B34,'Recommendation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34" s="1488"/>
      <c r="H34" s="1488"/>
      <c r="AB34" s="517"/>
    </row>
    <row r="35" spans="1:28" s="229" customFormat="1" ht="15">
      <c r="A35" s="516"/>
      <c r="B35" s="770" t="s">
        <v>2988</v>
      </c>
      <c r="C35" s="505">
        <f>IF($B$7=1,Sheet1!D170,Sheet2!D170)</f>
        <v>57.32586067329035</v>
      </c>
      <c r="D35" s="505">
        <f>IF($B$7=1,Meal_entry_week_1!$AS$554,Meal_entry_week_2!$AS$554)</f>
        <v>1.2392890867638107</v>
      </c>
      <c r="E35" s="506">
        <f>IF($B$7=1,Sheet1!D224,Sheet2!D224)</f>
        <v>63.946709180950336</v>
      </c>
      <c r="F35" s="1487" t="str">
        <f>IF($E35&lt;80,VLOOKUP($B35,'Recommendation texts'!$A:$AV,2,FALSE),"")</f>
        <v>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v>
      </c>
      <c r="G35" s="1488"/>
      <c r="H35" s="1488"/>
      <c r="AB35" s="517"/>
    </row>
    <row r="36" spans="1:28" s="229" customFormat="1" ht="16" thickBot="1">
      <c r="A36" s="516"/>
      <c r="B36" s="1307" t="s">
        <v>2989</v>
      </c>
      <c r="C36" s="501">
        <f>IF($B$7=1,Sheet1!D171,Sheet2!D171)</f>
        <v>1.5437538572964782</v>
      </c>
      <c r="D36" s="502">
        <f>IF($B$7=1,Meal_entry_week_1!$AR$554,Meal_entry_week_2!$AR$554)</f>
        <v>61.706584517055347</v>
      </c>
      <c r="E36" s="503">
        <f>IF($B$7=1,Sheet1!D225,Sheet2!D225)</f>
        <v>35.408330438342404</v>
      </c>
      <c r="F36" s="1490" t="str">
        <f>IF($E36&lt;80,VLOOKUP($B36,'Recommendation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36" s="1491"/>
      <c r="H36" s="1491"/>
      <c r="AB36" s="517"/>
    </row>
    <row r="37" spans="1:28">
      <c r="A37" s="551">
        <f>IF(C9=0,"",IF(E14&gt;85,0,1))</f>
        <v>1</v>
      </c>
      <c r="B37" s="552">
        <f>IF(C9=0,"",IF(E15&gt;85,0,1))</f>
        <v>1</v>
      </c>
      <c r="C37" s="552">
        <f>IF(C9=0,"",IF(E16&gt;85,0,1))</f>
        <v>1</v>
      </c>
      <c r="D37" s="552">
        <f>IF(C9=0,"",IF(E17&gt;85,0,1))</f>
        <v>1</v>
      </c>
      <c r="E37" s="552">
        <f>IF(C9=0,"",IF(E18&gt;85,0,1))</f>
        <v>0</v>
      </c>
      <c r="F37" s="308"/>
      <c r="G37" s="308"/>
      <c r="H37" s="308"/>
      <c r="I37" s="308"/>
      <c r="J37" s="308"/>
      <c r="K37" s="308"/>
      <c r="L37" s="308"/>
      <c r="M37" s="308"/>
      <c r="N37" s="308"/>
      <c r="O37" s="308"/>
      <c r="P37" s="308"/>
      <c r="Q37" s="308"/>
      <c r="R37" s="308"/>
      <c r="S37" s="308"/>
      <c r="T37" s="308"/>
      <c r="U37" s="308"/>
      <c r="V37" s="308"/>
      <c r="W37" s="308"/>
      <c r="X37" s="308"/>
      <c r="Y37" s="308"/>
      <c r="Z37" s="308"/>
      <c r="AA37" s="308"/>
      <c r="AB37" s="308"/>
    </row>
    <row r="38" spans="1:28" s="100" customFormat="1" ht="9" customHeight="1">
      <c r="A38" s="104"/>
      <c r="B38" s="120"/>
      <c r="C38" s="104"/>
      <c r="D38" s="104"/>
      <c r="F38" s="476"/>
      <c r="G38" s="476"/>
      <c r="H38" s="476"/>
      <c r="I38"/>
      <c r="J38"/>
      <c r="K38"/>
      <c r="L38"/>
      <c r="M38"/>
      <c r="N38"/>
      <c r="O38"/>
      <c r="P38"/>
      <c r="Q38"/>
      <c r="R38"/>
      <c r="S38"/>
      <c r="T38"/>
      <c r="U38"/>
      <c r="V38"/>
      <c r="W38"/>
      <c r="X38"/>
      <c r="Y38"/>
      <c r="Z38"/>
      <c r="AA38"/>
      <c r="AB38"/>
    </row>
    <row r="39" spans="1:28" s="311" customFormat="1" ht="29" customHeight="1">
      <c r="A39" s="310"/>
      <c r="B39" s="1479" t="s">
        <v>3994</v>
      </c>
      <c r="C39" s="1479"/>
      <c r="D39" s="1479"/>
      <c r="E39" s="314"/>
      <c r="F39" s="372" t="s">
        <v>3995</v>
      </c>
      <c r="G39" s="313"/>
      <c r="H39" s="313"/>
      <c r="I39" s="313"/>
      <c r="J39" s="313"/>
      <c r="K39" s="313"/>
      <c r="L39" s="313"/>
      <c r="M39" s="313"/>
      <c r="N39" s="313"/>
      <c r="O39" s="313"/>
      <c r="P39" s="313"/>
      <c r="Q39" s="313"/>
      <c r="R39" s="313"/>
      <c r="S39" s="313"/>
      <c r="T39" s="313"/>
      <c r="U39" s="313"/>
      <c r="V39" s="313"/>
      <c r="W39" s="313"/>
      <c r="X39" s="313"/>
      <c r="Y39" s="313"/>
      <c r="Z39" s="313"/>
      <c r="AA39" s="313"/>
      <c r="AB39" s="322"/>
    </row>
    <row r="40" spans="1:28" s="521" customFormat="1">
      <c r="A40" s="525"/>
      <c r="B40" s="1480" t="s">
        <v>786</v>
      </c>
      <c r="C40" s="1480"/>
      <c r="D40" s="1480"/>
      <c r="E40" s="506">
        <f>IF($B$7=1,Meal_entry_week_1!J560,Meal_entry_week_2!J560)</f>
        <v>750.37360000000012</v>
      </c>
      <c r="F40" s="1492"/>
      <c r="G40" s="1493"/>
      <c r="H40" s="1493"/>
      <c r="I40" s="229"/>
      <c r="J40" s="229"/>
      <c r="K40" s="229"/>
      <c r="L40" s="229"/>
      <c r="M40" s="229"/>
      <c r="N40" s="229"/>
      <c r="O40" s="229"/>
      <c r="P40" s="229"/>
      <c r="Q40" s="229"/>
      <c r="R40" s="229"/>
      <c r="S40" s="229"/>
      <c r="T40" s="229"/>
      <c r="U40" s="229"/>
      <c r="V40" s="229"/>
      <c r="W40" s="229"/>
      <c r="X40" s="229"/>
      <c r="Y40" s="229"/>
      <c r="Z40" s="229"/>
      <c r="AA40" s="229"/>
      <c r="AB40" s="517"/>
    </row>
    <row r="41" spans="1:28" s="521" customFormat="1">
      <c r="A41" s="525"/>
      <c r="B41" s="1480" t="s">
        <v>787</v>
      </c>
      <c r="C41" s="1480"/>
      <c r="D41" s="1480"/>
      <c r="E41" s="506">
        <f>IF($B$7=1,Meal_entry_week_1!J561,Meal_entry_week_2!J561)</f>
        <v>47.34</v>
      </c>
      <c r="F41" s="1481"/>
      <c r="G41" s="1482"/>
      <c r="H41" s="1482"/>
      <c r="I41" s="229"/>
      <c r="J41" s="229"/>
      <c r="K41" s="229"/>
      <c r="L41" s="229"/>
      <c r="M41" s="229"/>
      <c r="N41" s="229"/>
      <c r="O41" s="229"/>
      <c r="P41" s="229"/>
      <c r="Q41" s="229"/>
      <c r="R41" s="229"/>
      <c r="S41" s="229"/>
      <c r="T41" s="229"/>
      <c r="U41" s="229"/>
      <c r="V41" s="229"/>
      <c r="W41" s="229"/>
      <c r="X41" s="229"/>
      <c r="Y41" s="229"/>
      <c r="Z41" s="229"/>
      <c r="AA41" s="229"/>
      <c r="AB41" s="517"/>
    </row>
    <row r="42" spans="1:28" s="521" customFormat="1">
      <c r="A42" s="525"/>
      <c r="B42" s="1480" t="s">
        <v>788</v>
      </c>
      <c r="C42" s="1480"/>
      <c r="D42" s="1480"/>
      <c r="E42" s="506">
        <f>IF($B$7=1,Meal_entry_week_1!J562,Meal_entry_week_2!J562)</f>
        <v>159.54272000000003</v>
      </c>
      <c r="F42" s="1487" t="str">
        <f>VLOOKUP($D187,'Recommendation texts'!$A:$AV,2,FALSE)</f>
        <v>The child is getting enough vegetables this week from eating all his/her school meals.</v>
      </c>
      <c r="G42" s="1489"/>
      <c r="H42" s="1489"/>
      <c r="I42" s="229"/>
      <c r="J42" s="229"/>
      <c r="K42" s="229"/>
      <c r="L42" s="229"/>
      <c r="M42" s="229"/>
      <c r="N42" s="229"/>
      <c r="O42" s="229"/>
      <c r="P42" s="229"/>
      <c r="Q42" s="229"/>
      <c r="R42" s="229"/>
      <c r="S42" s="229"/>
      <c r="T42" s="229"/>
      <c r="U42" s="229"/>
      <c r="V42" s="229"/>
      <c r="W42" s="229"/>
      <c r="X42" s="229"/>
      <c r="Y42" s="229"/>
      <c r="Z42" s="229"/>
      <c r="AA42" s="229"/>
      <c r="AB42" s="517"/>
    </row>
    <row r="43" spans="1:28" s="521" customFormat="1">
      <c r="A43" s="525"/>
      <c r="B43" s="1480" t="s">
        <v>2085</v>
      </c>
      <c r="C43" s="1480"/>
      <c r="D43" s="1480"/>
      <c r="E43" s="506">
        <f>IF($B$7=1,Meal_entry_week_1!J563,Meal_entry_week_2!J563)</f>
        <v>587.048</v>
      </c>
      <c r="F43" s="1481"/>
      <c r="G43" s="1482"/>
      <c r="H43" s="1482"/>
      <c r="I43" s="229"/>
      <c r="J43" s="229"/>
      <c r="K43" s="229"/>
      <c r="L43" s="229"/>
      <c r="M43" s="229"/>
      <c r="N43" s="229"/>
      <c r="O43" s="229"/>
      <c r="P43" s="229"/>
      <c r="Q43" s="229"/>
      <c r="R43" s="229"/>
      <c r="S43" s="229"/>
      <c r="T43" s="229"/>
      <c r="U43" s="229"/>
      <c r="V43" s="229"/>
      <c r="W43" s="229"/>
      <c r="X43" s="229"/>
      <c r="Y43" s="229"/>
      <c r="Z43" s="229"/>
      <c r="AA43" s="229"/>
      <c r="AB43" s="517"/>
    </row>
    <row r="44" spans="1:28" s="521" customFormat="1">
      <c r="A44" s="525"/>
      <c r="B44" s="1480" t="s">
        <v>789</v>
      </c>
      <c r="C44" s="1480"/>
      <c r="D44" s="1480"/>
      <c r="E44" s="506">
        <f>IF($B$7=1,Meal_entry_week_1!J564,Meal_entry_week_2!J564)</f>
        <v>117.4096</v>
      </c>
      <c r="F44" s="1487" t="str">
        <f>VLOOKUP($H187,'Recommendation texts'!$A:$AV,2,FALSE)</f>
        <v>The child is getting enough vegetables this week from eating all his/her school meals.</v>
      </c>
      <c r="G44" s="1489"/>
      <c r="H44" s="1489"/>
      <c r="I44" s="229"/>
      <c r="J44" s="229"/>
      <c r="K44" s="229"/>
      <c r="L44" s="229"/>
      <c r="M44" s="229"/>
      <c r="N44" s="229"/>
      <c r="O44" s="229"/>
      <c r="P44" s="229"/>
      <c r="Q44" s="229"/>
      <c r="R44" s="229"/>
      <c r="S44" s="229"/>
      <c r="T44" s="229"/>
      <c r="U44" s="229"/>
      <c r="V44" s="229"/>
      <c r="W44" s="229"/>
      <c r="X44" s="229"/>
      <c r="Y44" s="229"/>
      <c r="Z44" s="229"/>
      <c r="AA44" s="229"/>
      <c r="AB44" s="517"/>
    </row>
    <row r="45" spans="1:28" s="521" customFormat="1">
      <c r="A45" s="525"/>
      <c r="B45" s="1480" t="s">
        <v>790</v>
      </c>
      <c r="C45" s="1480"/>
      <c r="D45" s="1480"/>
      <c r="E45" s="527" t="str">
        <f>IF($B$7=1,Meal_entry_week_1!I565,Meal_entry_week_1!I565)</f>
        <v>No</v>
      </c>
      <c r="F45" s="1481" t="str">
        <f>IF(E45="Ne",'Recommendation texts'!B83,"Ovo zadovoljava preporuke")</f>
        <v>Ovo zadovoljava preporuke</v>
      </c>
      <c r="G45" s="1482"/>
      <c r="H45" s="1482"/>
      <c r="I45" s="229"/>
      <c r="J45" s="229"/>
      <c r="K45" s="229"/>
      <c r="L45" s="229"/>
      <c r="M45" s="229"/>
      <c r="N45" s="229"/>
      <c r="O45" s="229"/>
      <c r="P45" s="229"/>
      <c r="Q45" s="229"/>
      <c r="R45" s="229"/>
      <c r="S45" s="229"/>
      <c r="T45" s="229"/>
      <c r="U45" s="229"/>
      <c r="V45" s="229"/>
      <c r="W45" s="229"/>
      <c r="X45" s="229"/>
      <c r="Y45" s="229"/>
      <c r="Z45" s="229"/>
      <c r="AA45" s="229"/>
      <c r="AB45" s="517"/>
    </row>
    <row r="46" spans="1:28" s="521" customFormat="1">
      <c r="A46" s="525"/>
      <c r="B46" s="1480" t="s">
        <v>3996</v>
      </c>
      <c r="C46" s="1480"/>
      <c r="D46" s="1480"/>
      <c r="E46" s="526">
        <f>IF($B$7=1,Meal_entry_week_1!I566,Meal_entry_week_2!I566)</f>
        <v>5</v>
      </c>
      <c r="F46" s="1481" t="s">
        <v>3997</v>
      </c>
      <c r="G46" s="1482"/>
      <c r="H46" s="1482"/>
      <c r="I46" s="229"/>
      <c r="J46" s="229"/>
      <c r="K46" s="229"/>
      <c r="L46" s="229"/>
      <c r="M46" s="229"/>
      <c r="N46" s="229"/>
      <c r="O46" s="229"/>
      <c r="P46" s="229"/>
      <c r="Q46" s="229"/>
      <c r="R46" s="229"/>
      <c r="S46" s="229"/>
      <c r="T46" s="229"/>
      <c r="U46" s="229"/>
      <c r="V46" s="229"/>
      <c r="W46" s="229"/>
      <c r="X46" s="229"/>
      <c r="Y46" s="229"/>
      <c r="Z46" s="229"/>
      <c r="AA46" s="229"/>
      <c r="AB46" s="517"/>
    </row>
    <row r="47" spans="1:28" s="521" customFormat="1">
      <c r="A47" s="525"/>
      <c r="B47" s="1480" t="s">
        <v>779</v>
      </c>
      <c r="C47" s="1480"/>
      <c r="D47" s="1480"/>
      <c r="E47" s="526">
        <f>IF($B$7=1,Meal_entry_week_1!I567,Meal_entry_week_2!I567)</f>
        <v>5</v>
      </c>
      <c r="F47" s="1481" t="s">
        <v>3997</v>
      </c>
      <c r="G47" s="1482"/>
      <c r="H47" s="1482"/>
      <c r="I47" s="229"/>
      <c r="J47" s="229"/>
      <c r="K47" s="229"/>
      <c r="L47" s="229"/>
      <c r="M47" s="229"/>
      <c r="N47" s="229"/>
      <c r="O47" s="229"/>
      <c r="P47" s="229"/>
      <c r="Q47" s="229"/>
      <c r="R47" s="229"/>
      <c r="S47" s="229"/>
      <c r="T47" s="229"/>
      <c r="U47" s="229"/>
      <c r="V47" s="229"/>
      <c r="W47" s="229"/>
      <c r="X47" s="229"/>
      <c r="Y47" s="229"/>
      <c r="Z47" s="229"/>
      <c r="AA47" s="229"/>
      <c r="AB47" s="517"/>
    </row>
    <row r="48" spans="1:28" s="521" customFormat="1">
      <c r="A48" s="525"/>
      <c r="B48" s="1480" t="s">
        <v>776</v>
      </c>
      <c r="C48" s="1480"/>
      <c r="D48" s="1480"/>
      <c r="E48" s="526">
        <f>IF($B$7=1,Meal_entry_week_1!I568,Meal_entry_week_2!I568)</f>
        <v>5</v>
      </c>
      <c r="F48" s="1481" t="s">
        <v>3997</v>
      </c>
      <c r="G48" s="1482"/>
      <c r="H48" s="1482"/>
      <c r="I48" s="229"/>
      <c r="J48" s="229"/>
      <c r="K48" s="229"/>
      <c r="L48" s="229"/>
      <c r="M48" s="229"/>
      <c r="N48" s="229"/>
      <c r="O48" s="229"/>
      <c r="P48" s="229"/>
      <c r="Q48" s="229"/>
      <c r="R48" s="229"/>
      <c r="S48" s="229"/>
      <c r="T48" s="229"/>
      <c r="U48" s="229"/>
      <c r="V48" s="229"/>
      <c r="W48" s="229"/>
      <c r="X48" s="229"/>
      <c r="Y48" s="229"/>
      <c r="Z48" s="229"/>
      <c r="AA48" s="229"/>
      <c r="AB48" s="517"/>
    </row>
    <row r="49" spans="1:28" s="521" customFormat="1">
      <c r="A49" s="525"/>
      <c r="B49" s="1480" t="s">
        <v>2394</v>
      </c>
      <c r="C49" s="1480"/>
      <c r="D49" s="1480"/>
      <c r="E49" s="526">
        <f>IF($B$7=1,Meal_entry_week_1!I569,Meal_entry_week_2!I569)</f>
        <v>5</v>
      </c>
      <c r="F49" s="1481" t="s">
        <v>3997</v>
      </c>
      <c r="G49" s="1482"/>
      <c r="H49" s="1482"/>
      <c r="I49" s="229"/>
      <c r="J49" s="229"/>
      <c r="K49" s="229"/>
      <c r="L49" s="229"/>
      <c r="M49" s="229"/>
      <c r="N49" s="229"/>
      <c r="O49" s="229"/>
      <c r="P49" s="229"/>
      <c r="Q49" s="229"/>
      <c r="R49" s="229"/>
      <c r="S49" s="229"/>
      <c r="T49" s="229"/>
      <c r="U49" s="229"/>
      <c r="V49" s="229"/>
      <c r="W49" s="229"/>
      <c r="X49" s="229"/>
      <c r="Y49" s="229"/>
      <c r="Z49" s="229"/>
      <c r="AA49" s="229"/>
      <c r="AB49" s="517"/>
    </row>
    <row r="50" spans="1:28" s="521" customFormat="1">
      <c r="A50" s="525"/>
      <c r="B50" s="1480" t="s">
        <v>777</v>
      </c>
      <c r="C50" s="1480"/>
      <c r="D50" s="1480"/>
      <c r="E50" s="526">
        <f>IF($B$7=1,Meal_entry_week_1!I570,Meal_entry_week_2!I570)</f>
        <v>1</v>
      </c>
      <c r="F50" s="1481" t="s">
        <v>3998</v>
      </c>
      <c r="G50" s="1482"/>
      <c r="H50" s="1482"/>
      <c r="I50" s="229"/>
      <c r="J50" s="229"/>
      <c r="K50" s="229"/>
      <c r="L50" s="229"/>
      <c r="M50" s="229"/>
      <c r="N50" s="229"/>
      <c r="O50" s="229"/>
      <c r="P50" s="229"/>
      <c r="Q50" s="229"/>
      <c r="R50" s="229"/>
      <c r="S50" s="229"/>
      <c r="T50" s="229"/>
      <c r="U50" s="229"/>
      <c r="V50" s="229"/>
      <c r="W50" s="229"/>
      <c r="X50" s="229"/>
      <c r="Y50" s="229"/>
      <c r="Z50" s="229"/>
      <c r="AA50" s="229"/>
      <c r="AB50" s="517"/>
    </row>
    <row r="51" spans="1:28" s="521" customFormat="1">
      <c r="A51" s="525"/>
      <c r="B51" s="1480" t="s">
        <v>784</v>
      </c>
      <c r="C51" s="1480"/>
      <c r="D51" s="1480"/>
      <c r="E51" s="528">
        <f>IF($B$7=1,Meal_entry_week_1!I571,Meal_entry_week_2!I571)</f>
        <v>1.9166666666666667</v>
      </c>
      <c r="F51" s="1481" t="s">
        <v>3999</v>
      </c>
      <c r="G51" s="1482"/>
      <c r="H51" s="1482"/>
      <c r="I51" s="229"/>
      <c r="J51" s="229"/>
      <c r="K51" s="229"/>
      <c r="L51" s="229"/>
      <c r="M51" s="229"/>
      <c r="N51" s="229"/>
      <c r="O51" s="229"/>
      <c r="P51" s="229"/>
      <c r="Q51" s="229"/>
      <c r="R51" s="229"/>
      <c r="S51" s="229"/>
      <c r="T51" s="229"/>
      <c r="U51" s="229"/>
      <c r="V51" s="229"/>
      <c r="W51" s="229"/>
      <c r="X51" s="229"/>
      <c r="Y51" s="229"/>
      <c r="Z51" s="229"/>
      <c r="AA51" s="229"/>
      <c r="AB51" s="517"/>
    </row>
    <row r="52" spans="1:28" s="521" customFormat="1">
      <c r="A52" s="525"/>
      <c r="B52" s="1480" t="s">
        <v>782</v>
      </c>
      <c r="C52" s="1480"/>
      <c r="D52" s="1480"/>
      <c r="E52" s="528">
        <f>IF($B$7=1,Meal_entry_week_1!I572,Meal_entry_week_2!I572)</f>
        <v>0</v>
      </c>
      <c r="F52" s="1481" t="s">
        <v>4000</v>
      </c>
      <c r="G52" s="1482"/>
      <c r="H52" s="1482"/>
      <c r="I52" s="229"/>
      <c r="J52" s="229"/>
      <c r="K52" s="229"/>
      <c r="L52" s="229"/>
      <c r="M52" s="229"/>
      <c r="N52" s="229"/>
      <c r="O52" s="229"/>
      <c r="P52" s="229"/>
      <c r="Q52" s="229"/>
      <c r="R52" s="229"/>
      <c r="S52" s="229"/>
      <c r="T52" s="229"/>
      <c r="U52" s="229"/>
      <c r="V52" s="229"/>
      <c r="W52" s="229"/>
      <c r="X52" s="229"/>
      <c r="Y52" s="229"/>
      <c r="Z52" s="229"/>
      <c r="AA52" s="229"/>
      <c r="AB52" s="517"/>
    </row>
    <row r="53" spans="1:28" s="521" customFormat="1" ht="15" thickBot="1">
      <c r="A53" s="525"/>
      <c r="B53" s="1486" t="s">
        <v>781</v>
      </c>
      <c r="C53" s="1486"/>
      <c r="D53" s="1486"/>
      <c r="E53" s="529">
        <f>IF($B$7=1,Meal_entry_week_2!I573,Meal_entry_week_2!I573)</f>
        <v>5</v>
      </c>
      <c r="F53" s="1483" t="s">
        <v>3997</v>
      </c>
      <c r="G53" s="1484"/>
      <c r="H53" s="1484"/>
      <c r="I53" s="229"/>
      <c r="J53" s="229"/>
      <c r="K53" s="229"/>
      <c r="L53" s="229"/>
      <c r="M53" s="229"/>
      <c r="N53" s="229"/>
      <c r="O53" s="229"/>
      <c r="P53" s="229"/>
      <c r="Q53" s="229"/>
      <c r="R53" s="229"/>
      <c r="S53" s="229"/>
      <c r="T53" s="229"/>
      <c r="U53" s="229"/>
      <c r="V53" s="229"/>
      <c r="W53" s="229"/>
      <c r="X53" s="229"/>
      <c r="Y53" s="229"/>
      <c r="Z53" s="229"/>
      <c r="AA53" s="229"/>
      <c r="AB53" s="517"/>
    </row>
    <row r="54" spans="1:28" s="100" customFormat="1">
      <c r="A54" s="276"/>
      <c r="B54" s="309"/>
      <c r="C54" s="276"/>
      <c r="D54" s="276"/>
      <c r="E54" s="274"/>
      <c r="F54" s="308"/>
      <c r="G54" s="308"/>
      <c r="H54" s="308"/>
      <c r="I54" s="308"/>
      <c r="J54" s="308"/>
      <c r="K54" s="308"/>
      <c r="L54" s="308"/>
      <c r="M54" s="308"/>
      <c r="N54" s="308"/>
      <c r="O54" s="308"/>
      <c r="P54" s="308"/>
      <c r="Q54" s="308"/>
      <c r="R54" s="308"/>
      <c r="S54" s="308"/>
      <c r="T54" s="308"/>
      <c r="U54" s="308"/>
      <c r="V54" s="308"/>
      <c r="W54" s="308"/>
      <c r="X54" s="308"/>
      <c r="Y54" s="308"/>
      <c r="Z54" s="308"/>
      <c r="AA54" s="308"/>
      <c r="AB54" s="308"/>
    </row>
    <row r="55" spans="1:28" s="100" customFormat="1" ht="9" customHeight="1">
      <c r="A55" s="104"/>
      <c r="B55" s="120"/>
      <c r="C55" s="104"/>
      <c r="D55" s="104"/>
      <c r="F55" s="476"/>
      <c r="G55" s="476"/>
      <c r="H55" s="476"/>
      <c r="I55"/>
      <c r="J55"/>
      <c r="K55"/>
      <c r="L55"/>
      <c r="M55"/>
      <c r="N55"/>
      <c r="O55"/>
      <c r="P55"/>
      <c r="Q55"/>
      <c r="R55"/>
      <c r="S55"/>
      <c r="T55"/>
      <c r="U55"/>
      <c r="V55"/>
      <c r="W55"/>
      <c r="X55"/>
      <c r="Y55"/>
      <c r="Z55"/>
      <c r="AA55"/>
      <c r="AB55"/>
    </row>
    <row r="56" spans="1:28" s="2" customFormat="1" ht="59" customHeight="1">
      <c r="A56" s="316"/>
      <c r="B56" s="370" t="s">
        <v>4001</v>
      </c>
      <c r="C56" s="315" t="s">
        <v>4002</v>
      </c>
      <c r="D56" s="371" t="s">
        <v>4003</v>
      </c>
      <c r="E56" s="317"/>
      <c r="F56" s="370" t="s">
        <v>4004</v>
      </c>
      <c r="G56" s="318"/>
      <c r="H56" s="318"/>
      <c r="I56" s="318"/>
      <c r="J56" s="318"/>
      <c r="K56" s="318"/>
      <c r="L56" s="318"/>
      <c r="M56" s="318"/>
      <c r="N56" s="318"/>
      <c r="O56" s="318"/>
      <c r="P56" s="318"/>
      <c r="Q56" s="318"/>
      <c r="R56" s="318"/>
      <c r="S56" s="318"/>
      <c r="T56" s="318"/>
      <c r="U56" s="318"/>
      <c r="V56" s="318"/>
      <c r="W56" s="318"/>
      <c r="X56" s="318"/>
      <c r="Y56" s="318"/>
      <c r="Z56" s="318"/>
      <c r="AA56" s="318"/>
      <c r="AB56" s="319"/>
    </row>
    <row r="57" spans="1:28" s="229" customFormat="1" ht="15" customHeight="1">
      <c r="A57" s="530"/>
      <c r="B57" s="531" t="s">
        <v>767</v>
      </c>
      <c r="C57" s="1252">
        <f>IF($B$7=1,Meal_entry_week_1!I560,Meal_entry_week_2!I560)</f>
        <v>1061</v>
      </c>
      <c r="D57" s="1253">
        <f>IF($B$7=1,Meal_entry_week_1!J560,Meal_entry_week_2!J560)</f>
        <v>750.37360000000012</v>
      </c>
      <c r="E57" s="526"/>
      <c r="F57" s="1492"/>
      <c r="G57" s="1493"/>
      <c r="H57" s="1493"/>
      <c r="AB57" s="532"/>
    </row>
    <row r="58" spans="1:28" s="229" customFormat="1" ht="15" customHeight="1">
      <c r="A58" s="530"/>
      <c r="B58" s="531" t="s">
        <v>768</v>
      </c>
      <c r="C58" s="1112">
        <f>IF($B$7=1,Meal_entry_week_1!I561,Meal_entry_week_2!I561)</f>
        <v>90</v>
      </c>
      <c r="D58" s="505">
        <f>IF($B$7=1,Meal_entry_week_1!J561,Meal_entry_week_2!J561)</f>
        <v>47.34</v>
      </c>
      <c r="E58" s="526"/>
      <c r="F58" s="1481"/>
      <c r="G58" s="1482"/>
      <c r="H58" s="1482"/>
      <c r="AB58" s="532"/>
    </row>
    <row r="59" spans="1:28" s="229" customFormat="1" ht="15" customHeight="1">
      <c r="A59" s="530"/>
      <c r="B59" s="533" t="s">
        <v>769</v>
      </c>
      <c r="C59" s="1254">
        <f>IF($B$7=1,Meal_entry_week_1!I562,Meal_entry_week_2!I562)</f>
        <v>230.2</v>
      </c>
      <c r="D59" s="534">
        <f>IF($B$7=1,Meal_entry_week_1!J562,Meal_entry_week_2!J562)</f>
        <v>159.54272000000003</v>
      </c>
      <c r="E59" s="526"/>
      <c r="F59" s="1487" t="str">
        <f>VLOOKUP($D187,'Recommendation texts'!$A:$AV,2,FALSE)</f>
        <v>The child is getting enough vegetables this week from eating all his/her school meals.</v>
      </c>
      <c r="G59" s="1489"/>
      <c r="H59" s="1489"/>
      <c r="AB59" s="532"/>
    </row>
    <row r="60" spans="1:28" s="229" customFormat="1" ht="15" customHeight="1">
      <c r="A60" s="530"/>
      <c r="B60" s="531" t="s">
        <v>772</v>
      </c>
      <c r="C60" s="1112">
        <f>IF($B$7=1,Meal_entry_week_1!I563,Meal_entry_week_2!I563)</f>
        <v>743</v>
      </c>
      <c r="D60" s="505">
        <f>IF($B$7=1,Meal_entry_week_1!J563,Meal_entry_week_2!J563)</f>
        <v>587.048</v>
      </c>
      <c r="E60" s="526"/>
      <c r="F60" s="1481"/>
      <c r="G60" s="1482"/>
      <c r="H60" s="1482"/>
      <c r="AB60" s="532"/>
    </row>
    <row r="61" spans="1:28" s="229" customFormat="1" ht="15" customHeight="1">
      <c r="A61" s="530"/>
      <c r="B61" s="535" t="s">
        <v>771</v>
      </c>
      <c r="C61" s="550">
        <f>IF($B$7=1,Meal_entry_week_1!I564,Meal_entry_week_2!I564)</f>
        <v>148.6</v>
      </c>
      <c r="D61" s="983">
        <f>IF($B$7=1,Meal_entry_week_1!J564,Meal_entry_week_2!J564)</f>
        <v>117.4096</v>
      </c>
      <c r="E61" s="536"/>
      <c r="F61" s="1504" t="str">
        <f>VLOOKUP($H187,'Recommendation texts'!$A:$AV,2,FALSE)</f>
        <v>The child is getting enough vegetables this week from eating all his/her school meals.</v>
      </c>
      <c r="G61" s="1505"/>
      <c r="H61" s="1505"/>
      <c r="AB61" s="532"/>
    </row>
    <row r="62" spans="1:28">
      <c r="A62" s="1111"/>
      <c r="B62" s="1107"/>
      <c r="C62" s="1108"/>
      <c r="D62" s="1108"/>
      <c r="E62" s="1109"/>
      <c r="F62" s="312"/>
      <c r="G62" s="312"/>
      <c r="H62" s="312"/>
      <c r="I62" s="312"/>
      <c r="J62" s="312"/>
      <c r="K62" s="312"/>
      <c r="L62" s="312"/>
      <c r="M62" s="312"/>
      <c r="N62" s="312"/>
      <c r="O62" s="312"/>
      <c r="P62" s="312"/>
      <c r="Q62" s="312"/>
      <c r="R62" s="312"/>
      <c r="S62" s="312"/>
      <c r="T62" s="312"/>
      <c r="U62" s="312"/>
      <c r="V62" s="312"/>
      <c r="W62" s="312"/>
      <c r="X62" s="312"/>
      <c r="Y62" s="312"/>
      <c r="Z62" s="312"/>
      <c r="AA62" s="312"/>
      <c r="AB62" s="312"/>
    </row>
    <row r="63" spans="1:28" ht="8" customHeight="1">
      <c r="A63" s="1110">
        <f>IF(D59&gt;100,0,0)</f>
        <v>0</v>
      </c>
      <c r="B63" s="1110">
        <f>IF(AND(D59&lt;=100,D59&gt;=50),1,0)</f>
        <v>0</v>
      </c>
      <c r="C63" s="1110">
        <f>IF(D59&lt;49.99999,2,0)</f>
        <v>0</v>
      </c>
      <c r="D63" s="1110">
        <f>SUM(A63:C63)</f>
        <v>0</v>
      </c>
      <c r="E63" s="1110">
        <f>IF(D61&gt;100,3,0)</f>
        <v>3</v>
      </c>
      <c r="F63" s="288">
        <f>IF(AND(D61&lt;=100,D61&gt;=50),4,0)</f>
        <v>0</v>
      </c>
      <c r="G63" s="288">
        <f>IF(D61&lt;50,5,0)</f>
        <v>0</v>
      </c>
      <c r="H63" s="288">
        <f>SUM(E63:G63)</f>
        <v>3</v>
      </c>
    </row>
    <row r="64" spans="1:28" ht="48" customHeight="1">
      <c r="A64" s="348"/>
      <c r="B64" s="352" t="s">
        <v>4005</v>
      </c>
      <c r="C64" s="1312" t="s">
        <v>4006</v>
      </c>
      <c r="D64" s="1313" t="s">
        <v>4007</v>
      </c>
      <c r="E64" s="1314" t="s">
        <v>4008</v>
      </c>
      <c r="F64" s="367" t="s">
        <v>4027</v>
      </c>
      <c r="G64" s="349"/>
      <c r="H64" s="349"/>
      <c r="I64" s="349"/>
      <c r="J64" s="349"/>
      <c r="K64" s="349"/>
      <c r="L64" s="349"/>
      <c r="M64" s="349"/>
      <c r="N64" s="349"/>
      <c r="O64" s="349"/>
      <c r="P64" s="349"/>
      <c r="Q64" s="349"/>
      <c r="R64" s="349"/>
      <c r="S64" s="349"/>
      <c r="T64" s="349"/>
      <c r="U64" s="349"/>
      <c r="V64" s="349"/>
      <c r="W64" s="349"/>
      <c r="X64" s="349"/>
      <c r="Y64" s="349"/>
      <c r="Z64" s="349"/>
      <c r="AA64" s="349"/>
      <c r="AB64" s="350"/>
    </row>
    <row r="65" spans="1:28" ht="15" customHeight="1">
      <c r="A65" s="351"/>
      <c r="B65" s="373" t="s">
        <v>3991</v>
      </c>
      <c r="C65" s="307">
        <f>IF($B$7=1,(Meal_entry_week_1!Q$32+Meal_entry_week_1!Q$131+Meal_entry_week_1!Q$230+Meal_entry_week_1!Q$329+Meal_entry_week_1!Q$428)/(IF($C$189=0,0,1)+IF($C$220=0,0,1)+IF($C$251=0,0,1)+IF($C$282=0,0,1)+IF($C$313=0,0,1)+0.000001),(Meal_entry_week_2!Q$32+Meal_entry_week_2!Q$131+Meal_entry_week_2!Q$230+Meal_entry_week_2!Q$329+Meal_entry_week_2!Q$428)/(IF($C$189=0,0,1)+IF($C$220=0,0,1)+IF($C$251=0,0,1)+IF($C$282=0,0,1)+IF($C$313=0,0,1)+0.000001))</f>
        <v>19.999996000000799</v>
      </c>
      <c r="D65" s="296"/>
      <c r="E65" s="297"/>
      <c r="F65" s="1501" t="str">
        <f>IF(C65=0,"",CONCATENATE('Recommendation texts'!C$88,IF(A65&gt;0,'Recommendation texts'!D$89,'Recommendation texts'!D$88),IF(A93=0,'Recommendation texts'!E$88,'Recommendation texts'!E$89),IF(A65&gt;0,'Recommendation texts'!F$89,'Recommendation texts'!F$88),IF(B93=0,'Recommendation texts'!G$88,'Recommendation texts'!G$89),'Recommendation texts'!H$88,IF(C93=0,(IF(B93=1,'Recommendation texts'!I$84,'Recommendation texts'!I$88)),'Recommendation texts'!I$89),'Recommendation texts'!J$88,IF(D93=0,(IF(C93=1,'Recommendation texts'!K$84,'Recommendation texts'!K$88)),'Recommendation texts'!K$89),'Recommendation texts'!L$88,IF(E93=0,'Recommendation texts'!M$88,'Recommendation texts'!M$89),'Recommendation texts'!N$88))</f>
        <v>Overall, after subtracting plate waste, the menus for this week have INSUFFICIENT calories each day, they have INSUFFICIENT carbohydrates, INSUFFICIENT protein, INSUFFICIENT fat, but INSUFFICIENT fibre in meals.</v>
      </c>
      <c r="G65" s="1502"/>
      <c r="H65" s="493"/>
      <c r="AB65" s="350"/>
    </row>
    <row r="66" spans="1:28" ht="15" customHeight="1">
      <c r="A66" s="351"/>
      <c r="B66" s="871" t="s">
        <v>3990</v>
      </c>
      <c r="C66" s="298">
        <f>IF($B$7,(Meal_entry_week_1!R$32+Meal_entry_week_1!R$131+Meal_entry_week_1!R$230+Meal_entry_week_1!R$329+Meal_entry_week_1!R$428)/(IF(C190=0,0,1)+IF(C221=0,0,1)+IF(C252=0,0,1)+IF(C283=0,0,1)+IF(C314=0,0,1)+0.000001),(Meal_entry_week_2!R$32+Meal_entry_week_2!R$131+Meal_entry_week_2!R$230+Meal_entry_week_2!R$329+Meal_entry_week_2!R$428)/(IF(C190=0,0,1)+IF(C221=0,0,1)+IF(C252=0,0,1)+IF(C283=0,0,1)+IF(C314=0,0,1)+0.000001))</f>
        <v>5.6999988600002283</v>
      </c>
      <c r="D66" s="320">
        <f>IF($B$7=1,Meal_entry_week_1!I512/100,Meal_entry_week_2!I512/100)</f>
        <v>0.28499712152878753</v>
      </c>
      <c r="E66" s="66"/>
      <c r="F66" s="1501"/>
      <c r="G66" s="1502"/>
      <c r="H66" s="493"/>
      <c r="AB66" s="350"/>
    </row>
    <row r="67" spans="1:28" ht="15" customHeight="1" thickBot="1">
      <c r="A67" s="351"/>
      <c r="B67" s="1257" t="s">
        <v>3987</v>
      </c>
      <c r="C67" s="1258">
        <f>IF($B$7=1,(Meal_entry_week_1!T$32+Meal_entry_week_1!T$131+Meal_entry_week_1!T$230+Meal_entry_week_1!T$329+Meal_entry_week_1!T$428)/(IF(C190=0,0,1)+IF(C221=0,0,1)+IF(C252=0,0,1)+IF(C283=0,0,1)+IF(C314=0,0,1)+0.000001),(Meal_entry_week_2!T$32+Meal_entry_week_2!T$131+Meal_entry_week_2!T$230+Meal_entry_week_2!T$329+Meal_entry_week_2!T$428)/(IF(C190=0,0,1)+IF(C221=0,0,1)+IF(C252=0,0,1)+IF(C283=0,0,1)+IF(C314=0,0,1)+0.000001))</f>
        <v>1.799999640000072</v>
      </c>
      <c r="D67" s="482"/>
      <c r="E67" s="480" t="s">
        <v>3980</v>
      </c>
      <c r="F67" s="1501"/>
      <c r="G67" s="1502"/>
      <c r="H67" s="493"/>
      <c r="AB67" s="350"/>
    </row>
    <row r="68" spans="1:28" ht="15" customHeight="1">
      <c r="A68" s="351"/>
      <c r="B68" s="401" t="s">
        <v>3988</v>
      </c>
      <c r="C68" s="403">
        <f>IF($B$7=1,(Meal_entry_week_1!U$32+Meal_entry_week_1!U$131+Meal_entry_week_1!U$230+Meal_entry_week_1!U$329+Meal_entry_week_1!U$428)/(IF(C190=0,0,1)+IF(C221=0,0,1)+IF(C252=0,0,1)+IF(C283=0,0,1)+IF(C314=0,0,1)+0.000001),(Meal_entry_week_2!U$32+Meal_entry_week_2!U$131+Meal_entry_week_2!U$230+Meal_entry_week_2!U$329+Meal_entry_week_2!U$428)/(IF(C190=0,0,1)+IF(C221=0,0,1)+IF(C252=0,0,1)+IF(C283=0,0,1)+IF(C314=0,0,1)+0.000001))</f>
        <v>0.5129998974000205</v>
      </c>
      <c r="D68" s="481">
        <f>IF($B$7=1,Meal_entry_week_1!J512/100,Meal_entry_week_2!J512/100)</f>
        <v>0.28499683336535153</v>
      </c>
      <c r="E68" s="492"/>
      <c r="F68" s="1497" t="s">
        <v>3986</v>
      </c>
      <c r="G68" s="1498"/>
      <c r="H68" s="493"/>
      <c r="AB68" s="350"/>
    </row>
    <row r="69" spans="1:28" ht="15" customHeight="1" thickBot="1">
      <c r="A69" s="351"/>
      <c r="B69" s="1256" t="s">
        <v>3989</v>
      </c>
      <c r="C69" s="1255">
        <f>IF($B$7=1,(Meal_entry_week_1!V$32+Meal_entry_week_1!V$131+Meal_entry_week_1!V$230+Meal_entry_week_1!V$329+Meal_entry_week_1!V$428)/(IF(C190=0,0,1)+IF(C221=0,0,1)+IF(C252=0,0,1)+IF(C283=0,0,1)+IF(C314=0,0,1)+0.000001),(Meal_entry_week_1!V$32+Meal_entry_week_1!V$131+Meal_entry_week_1!V$230+Meal_entry_week_1!V$329+Meal_entry_week_1!V$428)/(IF(C190=0,0,1)+IF(C221=0,0,1)+IF(C252=0,0,1)+IF(C283=0,0,1)+IF(C314=0,0,1)+0.000001))</f>
        <v>9.5999980800003843</v>
      </c>
      <c r="D69" s="285"/>
      <c r="E69" s="492"/>
      <c r="F69" s="1499"/>
      <c r="G69" s="1500"/>
      <c r="H69" s="489"/>
      <c r="AB69" s="350"/>
    </row>
    <row r="70" spans="1:28" s="229" customFormat="1">
      <c r="A70" s="523"/>
      <c r="B70" s="1306" t="s">
        <v>3878</v>
      </c>
      <c r="C70" s="514">
        <f>IF($B$7=1,Meal_entry_week_1!$W$512,Meal_entry_week_2!$W$512)</f>
        <v>5.9999850000375003</v>
      </c>
      <c r="D70" s="984">
        <f>IF($B$7=1,Meal_entry_week_1!W$513,Meal_entry_week_2!W$513)</f>
        <v>17.159826685733311</v>
      </c>
      <c r="E70" s="506">
        <f>IF($B$7=1,IF($C$65=0,-0.0001,100*D70/Sheet1!N123),IF($C$65=0,-0.0001,100*D70/Sheet2!N123))</f>
        <v>2.8599711142888848</v>
      </c>
      <c r="F70" s="1487" t="str">
        <f>IF($C$65=0,"",IF(E70&lt;80,VLOOKUP(B70,'Recommendation texts'!$A:$AV,6,FALSE),""))</f>
        <v>After allowing for plate waste, the menus for this meal are lower than recommeded in energy (kcal) overall.</v>
      </c>
      <c r="G70" s="1489"/>
      <c r="H70" s="1489"/>
      <c r="AB70" s="524"/>
    </row>
    <row r="71" spans="1:28" s="229" customFormat="1">
      <c r="A71" s="523"/>
      <c r="B71" s="768" t="s">
        <v>3879</v>
      </c>
      <c r="C71" s="514">
        <f>IF($B$7=1,Meal_entry_week_1!$X$512,Meal_entry_week_2!$X$512)</f>
        <v>1.0249974375064062</v>
      </c>
      <c r="D71" s="97">
        <f>IF($B$7=1,Meal_entry_week_1!X$513,Meal_entry_week_2!X$513)</f>
        <v>2.9314703921461072</v>
      </c>
      <c r="E71" s="506">
        <f>IF($B$7=1,IF($C$65=0,-0.0001,100*D71/Sheet1!N124),IF($C$65=0,-0.0001,100*D71/Sheet2!N124))</f>
        <v>3.553297445025585</v>
      </c>
      <c r="F71" s="1487" t="str">
        <f>IF($C$65=0,"",IF(E71&lt;80,VLOOKUP(B71,'Recommendation texts'!$A:$AV,6,FALSE),""))</f>
        <v>After allowing for plate waste, the menus for this meal are lower than recommeded in carbohydrates overall.</v>
      </c>
      <c r="G71" s="1489"/>
      <c r="H71" s="1489"/>
      <c r="AB71" s="524"/>
    </row>
    <row r="72" spans="1:28" s="229" customFormat="1">
      <c r="A72" s="523"/>
      <c r="B72" s="768" t="s">
        <v>3880</v>
      </c>
      <c r="C72" s="514">
        <f>IF($B$7=1,Meal_entry_week_1!$Y$512,Meal_entry_week_2!$Y$512)</f>
        <v>0.299999250001875</v>
      </c>
      <c r="D72" s="97">
        <f>IF($B$7=1,Meal_entry_week_1!Y$513,Meal_entry_week_2!Y$513)</f>
        <v>0.85799133428666563</v>
      </c>
      <c r="E72" s="506">
        <f>IF($B$7=1,IF($C$65=0,-0.0001,100*D72/Sheet1!N125),IF($C$65=0,-0.0001,100*D72/Sheet2!N125))</f>
        <v>4.1091538998403525</v>
      </c>
      <c r="F72" s="1487" t="str">
        <f>IF($C$65=0,"",IF(E72&lt;80,VLOOKUP(B72,'Recommendation texts'!$A:$AV,6,FALSE),""))</f>
        <v>After allowing for plate waste, the menus for this meal are lower than recommeded in protein overall.</v>
      </c>
      <c r="G72" s="1489"/>
      <c r="H72" s="1489"/>
      <c r="AB72" s="524"/>
    </row>
    <row r="73" spans="1:28" s="229" customFormat="1">
      <c r="A73" s="523"/>
      <c r="B73" s="768" t="s">
        <v>3881</v>
      </c>
      <c r="C73" s="514">
        <f>IF($B$7=1,Meal_entry_week_1!$Z$512,Meal_entry_week_2!$Z$512)</f>
        <v>4.9999875000312506E-2</v>
      </c>
      <c r="D73" s="97">
        <f>IF($B$7=1,Meal_entry_week_1!Z$513,Meal_entry_week_2!Z$513)</f>
        <v>0.14299855571444428</v>
      </c>
      <c r="E73" s="506">
        <f>IF($B$7=1,IF($C$65=0,-0.0001,100*D73/Sheet1!N126),IF($C$65=0,-0.0001,100*D73/Sheet2!N126))</f>
        <v>0.71499285007150648</v>
      </c>
      <c r="F73" s="1487" t="str">
        <f>IF($C$65=0,"",IF(E73&lt;80,VLOOKUP(B73,'Recommendation texts'!$A:$AV,6,FALSE),""))</f>
        <v>After allowing for plate waste, the menus for this meal are lower than recommeded in fat overall.</v>
      </c>
      <c r="G73" s="1489"/>
      <c r="H73" s="1489"/>
      <c r="AB73" s="524"/>
    </row>
    <row r="74" spans="1:28" s="229" customFormat="1" ht="15">
      <c r="A74" s="523"/>
      <c r="B74" s="770" t="s">
        <v>3882</v>
      </c>
      <c r="C74" s="514">
        <f>IF($B$7=1,Meal_entry_week_1!$AA$512,Meal_entry_week_2!$AA$512)</f>
        <v>0.62499843750390627</v>
      </c>
      <c r="D74" s="97">
        <f>IF($B$7=1,Meal_entry_week_1!AA$513,Meal_entry_week_2!AA$513)</f>
        <v>1.7874819464305534</v>
      </c>
      <c r="E74" s="506">
        <f>IF($B$7=1,IF($C$65=0,-0.0001,100*D74/Sheet1!N127),IF($C$65=0,-0.0001,100*D74/Sheet2!N127))</f>
        <v>29.791365773842557</v>
      </c>
      <c r="F74" s="1487" t="str">
        <f>IF($C$65=0,"",IF(E74&lt;80,VLOOKUP(B74,'Recommendation texts'!$A:$AV,2,FALSE),""))</f>
        <v>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v>
      </c>
      <c r="G74" s="1489"/>
      <c r="H74" s="1489"/>
      <c r="AB74" s="524"/>
    </row>
    <row r="75" spans="1:28" s="229" customFormat="1" ht="15">
      <c r="A75" s="523"/>
      <c r="B75" s="771" t="s">
        <v>3883</v>
      </c>
      <c r="C75" s="514">
        <f>IF($B$7=1,Meal_entry_week_1!$AB$512,Meal_entry_week_2!$AB$512)</f>
        <v>2.4999937500156253E-2</v>
      </c>
      <c r="D75" s="97">
        <f>IF($B$7=1,Meal_entry_week_1!AB$513,Meal_entry_week_2!AB$513)</f>
        <v>7.149927785722214E-2</v>
      </c>
      <c r="E75" s="506">
        <f>IF($B$7=1,IF($C$65=0,-0.0001,100*D75/Sheet1!N128),IF($C$65=0,-0.0001,100*D75/Sheet2!N128))</f>
        <v>1.0833223917760932</v>
      </c>
      <c r="F75" s="1487" t="str">
        <f>IF($C$65=0,"",IF(E75&gt;120,"Previše zasićenih masti u menijima za ovu nedelju",""))</f>
        <v/>
      </c>
      <c r="G75" s="1489"/>
      <c r="H75" s="1489"/>
      <c r="AB75" s="524"/>
    </row>
    <row r="76" spans="1:28" s="229" customFormat="1" ht="15">
      <c r="A76" s="523"/>
      <c r="B76" s="770" t="s">
        <v>3884</v>
      </c>
      <c r="C76" s="514">
        <f>IF($B$7=1,Meal_entry_week_1!$AC$512,Meal_entry_week_2!$AC$512)</f>
        <v>1.2499968750078125</v>
      </c>
      <c r="D76" s="97">
        <f>IF($B$7=1,Meal_entry_week_1!AC$513,Meal_entry_week_2!AC$513)</f>
        <v>3.5749638928611067</v>
      </c>
      <c r="E76" s="506">
        <f>IF($B$7=1,IF($C$65=0,-0.0001,100*D76/Sheet1!N129),IF($C$65=0,-0.0001,100*D76/Sheet2!N129))</f>
        <v>0.80091280449968039</v>
      </c>
      <c r="F76" s="1487" t="str">
        <f>IF(E76&gt;120,"Previše soli u menijima za ovu nedelju","")</f>
        <v/>
      </c>
      <c r="G76" s="1488"/>
      <c r="H76" s="1488"/>
      <c r="AB76" s="524"/>
    </row>
    <row r="77" spans="1:28" s="229" customFormat="1" ht="15">
      <c r="A77" s="523"/>
      <c r="B77" s="770" t="s">
        <v>3885</v>
      </c>
      <c r="C77" s="514">
        <f>IF($B$7=1,Meal_entry_week_1!$AD$512,Meal_entry_week_2!$AD$512)</f>
        <v>79.999800000500002</v>
      </c>
      <c r="D77" s="97">
        <f>IF($B$7=1,Meal_entry_week_1!AD$513,Meal_entry_week_2!AD$513)</f>
        <v>228.79768914311083</v>
      </c>
      <c r="E77" s="506">
        <f>IF($B$7=1,IF($C$65=0,-0.0001,100*D77/Sheet1!N130),IF($C$65=0,-0.0001,100*D77/Sheet2!N130))</f>
        <v>42.369942433909415</v>
      </c>
      <c r="F77" s="1487" t="str">
        <f>IF($C$65=0,"",IF(E77&lt;80,VLOOKUP(B77,'Recommendation texts'!$A:$AV,2,FALSE),""))</f>
        <v>Beans haricot (yellow) 1530.0 mg, Beans (white) 1530.0 mg, Beans (coloured) 1530.0 mg, Cocoa powder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v>
      </c>
      <c r="G77" s="1489"/>
      <c r="H77" s="1489"/>
      <c r="AB77" s="524"/>
    </row>
    <row r="78" spans="1:28" s="229" customFormat="1" ht="15">
      <c r="A78" s="523"/>
      <c r="B78" s="770" t="s">
        <v>3886</v>
      </c>
      <c r="C78" s="514">
        <f>IF($B$7=1,Meal_entry_week_1!$AE$512,Meal_entry_week_2!$AE$512)</f>
        <v>10.499973750065626</v>
      </c>
      <c r="D78" s="97">
        <f>IF($B$7=1,Meal_entry_week_1!AE$513,Meal_entry_week_2!AE$513)</f>
        <v>30.029696700033298</v>
      </c>
      <c r="E78" s="506">
        <f>IF($B$7=1,IF($C$65=0,-0.0001,100*D78/Sheet1!N131),IF($C$65=0,-0.0001,100*D78/Sheet2!N131))</f>
        <v>12.670758101279874</v>
      </c>
      <c r="F78" s="1487" t="str">
        <f>IF($C$65=0,"",IF(E78&lt;80,VLOOKUP(B78,'Recommendation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78" s="1489"/>
      <c r="H78" s="1489"/>
      <c r="AB78" s="524"/>
    </row>
    <row r="79" spans="1:28" s="229" customFormat="1" ht="15">
      <c r="A79" s="523"/>
      <c r="B79" s="770" t="s">
        <v>3887</v>
      </c>
      <c r="C79" s="514">
        <f>IF($B$7=1,Meal_entry_week_1!$AF$512,Meal_entry_week_2!$AF$512)</f>
        <v>3.4999912500218753</v>
      </c>
      <c r="D79" s="97">
        <f>IF($B$7=1,Meal_entry_week_1!AF$513,Meal_entry_week_2!AF$513)</f>
        <v>10.009898900011098</v>
      </c>
      <c r="E79" s="506">
        <f>IF($B$7=1,IF($C$65=0,-0.0001,100*D79/Sheet1!N132),IF($C$65=0,-0.0001,100*D79/Sheet2!N132))</f>
        <v>16.683164833351832</v>
      </c>
      <c r="F79" s="1487" t="str">
        <f>IF($C$65=0,"",IF(E79&lt;80,VLOOKUP(B79,'Recommendation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79" s="1489"/>
      <c r="H79" s="1489"/>
      <c r="AB79" s="524"/>
    </row>
    <row r="80" spans="1:28" s="229" customFormat="1" ht="15">
      <c r="A80" s="523"/>
      <c r="B80" s="770" t="s">
        <v>3888</v>
      </c>
      <c r="C80" s="514">
        <f>IF($B$7=1,Meal_entry_week_1!$AG$512,Meal_entry_week_2!$AG$512)</f>
        <v>9.9999750000625003</v>
      </c>
      <c r="D80" s="97">
        <f>IF($B$7=1,Meal_entry_week_1!AG$513,Meal_entry_week_2!AG$513)</f>
        <v>28.599711142888854</v>
      </c>
      <c r="E80" s="506">
        <f>IF($B$7=1,IF($C$65=0,-0.0001,100*D80/Sheet1!N133),IF($C$65=0,-0.0001,100*D80/Sheet2!N133))</f>
        <v>15.376188786499384</v>
      </c>
      <c r="F80" s="1487" t="str">
        <f>IF($C$65=0,"",IF(E80&lt;80,VLOOKUP(B80,'Recommendation texts'!$A:$AV,2,FALSE),""))</f>
        <v>Cheese, processed, slices 1200.0 mg, Poppy seeds 936.0 mg, Parmesan cheese 855.0 mg, Cheese spread triangles 35% fat 825.0 mg, Cheese spread 70% fat 750.0 mg, Cocoa powder 734.0 mg, Chicken egg yolks 619.0 mg, Cheese, hard 45% fat 610.0 mg, Cheese, hard 35% fat 530.0 mg, Oats 523.0 mg, Cheese, Gouda, 48% fat 520.0 mg, Almond (dry, roasted, salt free) 480.0 mg, Cheese, Trapist 475.0 mg, Cheese, Edam, 30% fat 430.0 mg, Cheese, for pizza, 45% fat 430.0 mg, Pork liver 430.0 mg, Beans haricot (yellow) 425.0 mg, Beans (white) 425.0 mg, Beans (coloured) 425.0 mg, Peanuts, roasted, salt-free 389.0 g</v>
      </c>
      <c r="G80" s="1489"/>
      <c r="H80" s="1489"/>
      <c r="AB80" s="524"/>
    </row>
    <row r="81" spans="1:28" s="229" customFormat="1" ht="15">
      <c r="A81" s="523"/>
      <c r="B81" s="770" t="s">
        <v>3889</v>
      </c>
      <c r="C81" s="514">
        <f>IF($B$7=1,Meal_entry_week_1!$AH$512,Meal_entry_week_2!$AH$512)</f>
        <v>9.9999750000625012E-2</v>
      </c>
      <c r="D81" s="97">
        <f>IF($B$7=1,Meal_entry_week_1!AH$513,Meal_entry_week_2!AH$513)</f>
        <v>0.28599711142888856</v>
      </c>
      <c r="E81" s="506">
        <f>IF($B$7=1,IF($C$65=0,-0.0001,100*D81/Sheet1!N134),IF($C$65=0,-0.0001,100*D81/Sheet2!N134))</f>
        <v>8.6665791342087459</v>
      </c>
      <c r="F81" s="1487" t="str">
        <f>IF($C$65=0,"",IF(E81&lt;80,VLOOKUP(B81,'Recommendation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81" s="1489"/>
      <c r="H81" s="1489"/>
      <c r="AB81" s="524"/>
    </row>
    <row r="82" spans="1:28" s="229" customFormat="1" ht="15">
      <c r="A82" s="523"/>
      <c r="B82" s="770" t="s">
        <v>3890</v>
      </c>
      <c r="C82" s="514">
        <f>IF($B$7=1,Meal_entry_week_1!$AI$512,Meal_entry_week_2!$AI$512)</f>
        <v>4.9999875000312506E-2</v>
      </c>
      <c r="D82" s="97">
        <f>IF($B$7=1,Meal_entry_week_1!AI$513,Meal_entry_week_2!AI$513)</f>
        <v>0.14299855571444428</v>
      </c>
      <c r="E82" s="506">
        <f>IF($B$7=1,IF($C$65=0,-0.0001,100*D82/Sheet1!N135),IF($C$65=0,-0.0001,100*D82/Sheet2!N135))</f>
        <v>6.8094550340211564</v>
      </c>
      <c r="F82" s="1487" t="str">
        <f>IF($C$65=0,"",IF(E82&lt;80,VLOOKUP(B82,'Recommendation texts'!$A:$AV,2,FALSE),""))</f>
        <v>Nesquik 7.6 mg, Bones of young beef (neck) 6.9 mg, Cocoa powder 6.8 mg, Poppy seeds 6.8 mg, Pork liver 5.3 mg, Beef minced 5.1 mg, Beef, dried 4.9 mg, Beef rump/silverside 4.8 mg, Beef, fat free 4.8 mg, Pork shoulder 4.6 mg, Pork fillet 4.6 mg, Sausage pork, smoked (dried) 4.2 mg, Cheese, hard 35% fat 4.1 mg, Cheese, Gouda, 48% fat 4.0 mg, Cheese, hard 45% fat 4.0 mg, Cheese, low fat, mozzarella 4.0 mg, Cheese, processed, slices 4.0 mg, Oats 4.0 mg, Lentils 3.9 mg, Bread, white 3.8 g</v>
      </c>
      <c r="G82" s="1489"/>
      <c r="H82" s="1489"/>
      <c r="AB82" s="524"/>
    </row>
    <row r="83" spans="1:28" s="229" customFormat="1" ht="15">
      <c r="A83" s="523"/>
      <c r="B83" s="770" t="s">
        <v>3891</v>
      </c>
      <c r="C83" s="514">
        <f>IF($B$7=1,Meal_entry_week_1!$AJ$512,Meal_entry_week_2!$AJ$512)</f>
        <v>9.5833093750598963E-3</v>
      </c>
      <c r="D83" s="97">
        <f>IF($B$7=1,Meal_entry_week_1!AJ$513,Meal_entry_week_2!AJ$513)</f>
        <v>2.7408056511935151E-2</v>
      </c>
      <c r="E83" s="506">
        <f>IF($B$7=1,IF($C$65=0,-0.0001,100*D83/Sheet1!N136),IF($C$65=0,-0.0001,100*D83/Sheet2!N136))</f>
        <v>9.1360188373117168</v>
      </c>
      <c r="F83" s="1487" t="str">
        <f>IF($C$65=0,"",IF(E83&lt;80,VLOOKUP(B83,'Recommendation texts'!$A:$AV,2,FALSE),""))</f>
        <v xml:space="preserve">Pork liver 6.6 mg, Cocoa powder 3.8 mg, Hazelnuts 1.4 mg, Walnuts 1.380 mg, Almond (dry) 1.170 mg, Poppy seeds 1.0 mg, Lentils 1.0 mg, Chocolate for cooking 0.95 mg, Cheese, hard 35% fat 0.86 mg, Chickpeas 0.85 mg, Peanuts, roasted 0.65 mg, Oats 0.63 mg, Millet seeds/flour 0.60 mg, Wheat flour white 0.50 mg, Barley 0.50 mg, Beans haricot (yellow) 0.47 mg, Beans (white) 0.47 mg, Beans (coloured) 0.47 mg, Dried grapes 0.44 mg, Mushrooms 0.42 g </v>
      </c>
      <c r="G83" s="1489"/>
      <c r="H83" s="1489"/>
      <c r="AB83" s="524"/>
    </row>
    <row r="84" spans="1:28" s="229" customFormat="1" ht="15">
      <c r="A84" s="523"/>
      <c r="B84" s="770" t="s">
        <v>2990</v>
      </c>
      <c r="C84" s="514">
        <f>IF($B$7=1,Meal_entry_week_1!$AK$512,Meal_entry_week_2!$AK$512)</f>
        <v>1.3749965625085938</v>
      </c>
      <c r="D84" s="97">
        <f>IF($B$7=1,Meal_entry_week_1!AK$513,Meal_entry_week_2!AK$513)</f>
        <v>3.9324602821472174</v>
      </c>
      <c r="E84" s="506">
        <f>IF($B$7=1,IF($C$65=0,-0.0001,100*D84/Sheet1!N137),IF($C$65=0,-0.0001,100*D84/Sheet2!N137))</f>
        <v>1.6385251175613404</v>
      </c>
      <c r="F84" s="1487" t="str">
        <f>IF($C$65=0,"",IF(E84&lt;80,VLOOKUP(B84,'Recommendation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84" s="1489"/>
      <c r="H84" s="1489"/>
      <c r="AB84" s="524"/>
    </row>
    <row r="85" spans="1:28" s="229" customFormat="1" ht="15">
      <c r="A85" s="523"/>
      <c r="B85" s="770" t="s">
        <v>3892</v>
      </c>
      <c r="C85" s="514">
        <f>IF($B$7=1,Meal_entry_week_1!$AL$512,Meal_entry_week_2!$AL$512)</f>
        <v>1.7499956250109378E-2</v>
      </c>
      <c r="D85" s="97">
        <f>IF($B$7=1,Meal_entry_week_1!AL$513,Meal_entry_week_2!AL$513)</f>
        <v>5.0049494500055504E-2</v>
      </c>
      <c r="E85" s="506">
        <f>IF($B$7=1,IF($C$65=0,-0.0001,100*D85/Sheet1!N138),IF($C$65=0,-0.0001,100*D85/Sheet2!N138))</f>
        <v>16.683164833351835</v>
      </c>
      <c r="F85" s="1487" t="str">
        <f>IF($C$65=0,"",IF(E85&lt;80,VLOOKUP(B85,'Recommendation texts'!$A:$AV,2,FALSE),""))</f>
        <v xml:space="preserve">Pork liver 310 mg, Cornflakes 1.30 mg, Macaroni with egg 1.13 mg, Pork smoked ham 1.04 mg, Pasta fusilli 1.00 mg, Pork medium fat 0.97 mg, Pork shoulder 0.95 mg, Pork fillet 0.95 mg, Sausage pork, smoked (dried) 0.93 mg, Biscuit Petit beurre 0.90 mg, Plazma biscuit 0.90 mg, Oats 0.76 mg, Mortadela 0.70 mg, Nesquik 0.70 mg, Barley 0.65 mg, Liver pate (average) 0.60 mg, Millet seeds/flour 0.58 mg, Pork leg (steak) 0.51 mg, Chickpeas 0.480 mg </v>
      </c>
      <c r="G85" s="1489"/>
      <c r="H85" s="1489"/>
      <c r="AB85" s="524"/>
    </row>
    <row r="86" spans="1:28" s="229" customFormat="1">
      <c r="A86" s="523"/>
      <c r="B86" s="1295" t="s">
        <v>2985</v>
      </c>
      <c r="C86" s="514">
        <f>IF($B$7=1,Meal_entry_week_1!$AM$512,Meal_entry_week_2!$AM$512)</f>
        <v>1.2499968750078127E-2</v>
      </c>
      <c r="D86" s="97">
        <f>IF($B$7=1,Meal_entry_week_1!AM$513,Meal_entry_week_2!AM$513)</f>
        <v>3.574963892861107E-2</v>
      </c>
      <c r="E86" s="506">
        <f>IF($B$7=1,IF($C$65=0,-0.0001,100*D86/Sheet1!N139),IF($C$65=0,-0.0001,100*D86/Sheet2!N139))</f>
        <v>11.349091723368595</v>
      </c>
      <c r="F86" s="1487" t="str">
        <f>IF($C$65=0,"",IF(E86&lt;80,VLOOKUP(B86,'Recommendation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86" s="1489"/>
      <c r="H86" s="1489"/>
      <c r="AB86" s="524"/>
    </row>
    <row r="87" spans="1:28" s="229" customFormat="1" ht="15">
      <c r="A87" s="523"/>
      <c r="B87" s="770" t="s">
        <v>3893</v>
      </c>
      <c r="C87" s="514">
        <f>IF($B$7=1,Meal_entry_week_1!$AN$512,Meal_entry_week_2!$AN$512)</f>
        <v>0.19999950000125002</v>
      </c>
      <c r="D87" s="97">
        <f>IF($B$7=1,Meal_entry_week_1!AN$513,Meal_entry_week_2!AN$513)</f>
        <v>0.57199422285777712</v>
      </c>
      <c r="E87" s="506">
        <f>IF($B$7=1,IF($C$65=0,-0.0001,100*D87/Sheet1!N140),IF($C$65=0,-0.0001,100*D87/Sheet2!N140))</f>
        <v>14.666518534814799</v>
      </c>
      <c r="F87" s="1487" t="str">
        <f>IF($C$65=0,"",IF(E87&lt;80,VLOOKUP(B87,'Recommendation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87" s="1489"/>
      <c r="H87" s="1489"/>
      <c r="AB87" s="524"/>
    </row>
    <row r="88" spans="1:28" s="229" customFormat="1" ht="15">
      <c r="A88" s="523"/>
      <c r="B88" s="770" t="s">
        <v>2986</v>
      </c>
      <c r="C88" s="514">
        <f>IF($B$7=1,Meal_entry_week_1!$AO$512,Meal_entry_week_2!$AO$512)</f>
        <v>9.4999762500593762E-3</v>
      </c>
      <c r="D88" s="97">
        <f>IF($B$7=1,Meal_entry_week_1!AO$513,Meal_entry_week_2!AO$513)</f>
        <v>2.716972558574441E-2</v>
      </c>
      <c r="E88" s="506">
        <f>IF($B$7=1,IF($C$65=0,-0.0001,100*D88/Sheet1!N141),IF($C$65=0,-0.0001,100*D88/Sheet2!N141))</f>
        <v>10.65479434735075</v>
      </c>
      <c r="F88" s="1487" t="str">
        <f>IF($C$65=0,"",IF(E88&lt;80,VLOOKUP(B88,'Recommendation texts'!$A:$AV,2,FALSE),""))</f>
        <v>Margarine from milk 3.7 mg, Cornflakes 2.1 mg, Biscuit Petit beurre 2.0 mg, Plazma biscuit 2.0 mg, Garlic 1.2 mg, Chicken breast 0.82 mg, Chicken liver 0.80 mg, Walnuts 0.70 mg, Corn flour 0.60 mg, Pork liver 0.59 mg, Pork ribs dry (smoked) 0.59 mg, Pork neck, dried meat 0.59 mg, Hazelnuts 0.54 mg, Chickpeas 0.54 mg, Millet seeds/flour 0.52 mg, Beans haricot (yellow) 0.51 mg, Beans (white) 0.51 mg, Beans (coloured) 0.51 mg</v>
      </c>
      <c r="G88" s="1489"/>
      <c r="H88" s="1489"/>
      <c r="AB88" s="524"/>
    </row>
    <row r="89" spans="1:28" s="229" customFormat="1" ht="15">
      <c r="A89" s="523"/>
      <c r="B89" s="770" t="s">
        <v>3894</v>
      </c>
      <c r="C89" s="514">
        <f>IF($B$7=1,Meal_entry_week_1!$AP$512,Meal_entry_week_2!$AP$512)</f>
        <v>7.4749813125467188</v>
      </c>
      <c r="D89" s="97">
        <f>IF($B$7=1,Meal_entry_week_1!AP$513,Meal_entry_week_2!AP$513)</f>
        <v>21.378284079309417</v>
      </c>
      <c r="E89" s="506">
        <f>IF($B$7=1,IF($C$65=0,-0.0001,100*D89/Sheet1!N142),IF($C$65=0,-0.0001,100*D89/Sheet2!N142))</f>
        <v>28.504378772412554</v>
      </c>
      <c r="F89" s="1487" t="str">
        <f>IF($C$65=0,"",IF(E89&lt;80,VLOOKUP(B89,'Recommendation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89" s="1489"/>
      <c r="H89" s="1489"/>
      <c r="AB89" s="524"/>
    </row>
    <row r="90" spans="1:28" s="229" customFormat="1" ht="15">
      <c r="A90" s="523"/>
      <c r="B90" s="770" t="s">
        <v>2987</v>
      </c>
      <c r="C90" s="514">
        <f>IF($B$7=1,Meal_entry_week_1!$AQ$512,Meal_entry_week_2!$AQ$512)</f>
        <v>0</v>
      </c>
      <c r="D90" s="97">
        <f>IF($B$7=1,Meal_entry_week_1!AQ$513,Meal_entry_week_2!AQ$513)</f>
        <v>0</v>
      </c>
      <c r="E90" s="506">
        <f>IF($B$7=1,IF($C$65=0,-0.0001,100*D90/Sheet1!N143),IF($C$65=0,-0.0001,100*D90/Sheet2!N143))</f>
        <v>0</v>
      </c>
      <c r="F90" s="1487" t="str">
        <f>IF($C$65=0,"",IF(E90&lt;80,VLOOKUP(B90,'Recommendation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90" s="1489"/>
      <c r="H90" s="1489"/>
      <c r="AB90" s="524"/>
    </row>
    <row r="91" spans="1:28" s="229" customFormat="1" ht="15">
      <c r="A91" s="523"/>
      <c r="B91" s="770" t="s">
        <v>2988</v>
      </c>
      <c r="C91" s="514">
        <f>IF($B$7=1,Meal_entry_week_1!$AR$512,Meal_entry_week_2!$AR$512)</f>
        <v>9.3499766250584386</v>
      </c>
      <c r="D91" s="97">
        <f>IF($B$7=1,Meal_entry_week_1!AR$513,Meal_entry_week_2!AR$513)</f>
        <v>26.74072991860108</v>
      </c>
      <c r="E91" s="506">
        <f>IF($B$7=1,IF($C$65=0,-0.0001,100*D91/Sheet1!N144),IF($C$65=0,-0.0001,100*D91/Sheet2!N144))</f>
        <v>111.41970799417116</v>
      </c>
      <c r="F91" s="1487" t="str">
        <f>IF($C$65=0,"",IF(E91&lt;80,VLOOKUP(B91,'Recommendation texts'!$A:$AV,2,FALSE),""))</f>
        <v/>
      </c>
      <c r="G91" s="1489"/>
      <c r="H91" s="1489"/>
      <c r="AB91" s="524"/>
    </row>
    <row r="92" spans="1:28" s="229" customFormat="1" ht="16" thickBot="1">
      <c r="A92" s="523"/>
      <c r="B92" s="1307" t="s">
        <v>2989</v>
      </c>
      <c r="C92" s="501">
        <f>IF($B$7=1,Meal_entry_week_1!$AS$512,Meal_entry_week_2!$AS$512)</f>
        <v>0</v>
      </c>
      <c r="D92" s="985">
        <f>IF($B$7=1,Meal_entry_week_1!AS$513,Meal_entry_week_2!AS$513)</f>
        <v>0</v>
      </c>
      <c r="E92" s="503">
        <f>IF($B$7=1,IF($C$65=0,-0.0001,100*D92/Sheet1!N145),IF($C$65=0,-0.0001,100*D92/Sheet2!N145))</f>
        <v>0</v>
      </c>
      <c r="F92" s="1490" t="str">
        <f>IF($C$65=0,"",IF(E92&lt;80,VLOOKUP(B92,'Recommendation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92" s="1491"/>
      <c r="H92" s="1491"/>
      <c r="AB92" s="524"/>
    </row>
    <row r="93" spans="1:28">
      <c r="A93" s="553">
        <f>IF(C65=0,"",IF(E70&gt;85,0,1))</f>
        <v>1</v>
      </c>
      <c r="B93" s="554">
        <f>IF(C65=0,"",IF(E71&gt;85,0,1))</f>
        <v>1</v>
      </c>
      <c r="C93" s="554">
        <f>IF(C65=0,"",IF(E72&gt;85,0,1))</f>
        <v>1</v>
      </c>
      <c r="D93" s="554">
        <f>IF(C65=0,"",IF(E73&gt;85,0,1))</f>
        <v>1</v>
      </c>
      <c r="E93" s="554">
        <f>IF(C65=0,"",IF(E74&gt;85,0,1))</f>
        <v>1</v>
      </c>
      <c r="F93" s="350"/>
      <c r="G93" s="350"/>
      <c r="H93" s="350"/>
      <c r="I93" s="350"/>
      <c r="J93" s="350"/>
      <c r="K93" s="350"/>
      <c r="L93" s="350"/>
      <c r="M93" s="350"/>
      <c r="N93" s="350"/>
      <c r="O93" s="350"/>
      <c r="P93" s="350"/>
      <c r="Q93" s="350"/>
      <c r="R93" s="350"/>
      <c r="S93" s="350"/>
      <c r="T93" s="350"/>
      <c r="U93" s="350"/>
      <c r="V93" s="350"/>
      <c r="W93" s="350"/>
      <c r="X93" s="350"/>
      <c r="Y93" s="350"/>
      <c r="Z93" s="350"/>
      <c r="AA93" s="350"/>
      <c r="AB93" s="350"/>
    </row>
    <row r="94" spans="1:28" s="100" customFormat="1" ht="8" customHeight="1">
      <c r="A94" s="104"/>
      <c r="B94" s="120"/>
      <c r="C94" s="104"/>
      <c r="D94" s="104"/>
      <c r="F94" s="476"/>
      <c r="G94" s="476"/>
      <c r="H94" s="476"/>
      <c r="I94"/>
      <c r="J94"/>
      <c r="K94"/>
      <c r="L94"/>
      <c r="M94"/>
      <c r="N94"/>
      <c r="O94"/>
      <c r="P94"/>
      <c r="Q94"/>
      <c r="R94"/>
      <c r="S94"/>
      <c r="T94"/>
      <c r="U94"/>
      <c r="V94"/>
      <c r="W94"/>
      <c r="X94"/>
      <c r="Y94"/>
      <c r="Z94"/>
      <c r="AA94"/>
      <c r="AB94"/>
    </row>
    <row r="95" spans="1:28" ht="48" customHeight="1">
      <c r="A95" s="353"/>
      <c r="B95" s="356" t="s">
        <v>4009</v>
      </c>
      <c r="C95" s="1315" t="s">
        <v>4006</v>
      </c>
      <c r="D95" s="1316" t="s">
        <v>4007</v>
      </c>
      <c r="E95" s="1317" t="s">
        <v>4008</v>
      </c>
      <c r="F95" s="368" t="s">
        <v>4026</v>
      </c>
      <c r="G95" s="354"/>
      <c r="H95" s="354"/>
      <c r="I95" s="354"/>
      <c r="J95" s="354"/>
      <c r="K95" s="354"/>
      <c r="L95" s="354"/>
      <c r="M95" s="354"/>
      <c r="N95" s="354"/>
      <c r="O95" s="354"/>
      <c r="P95" s="354"/>
      <c r="Q95" s="354"/>
      <c r="R95" s="354"/>
      <c r="S95" s="354"/>
      <c r="T95" s="354"/>
      <c r="U95" s="354"/>
      <c r="V95" s="354"/>
      <c r="W95" s="354"/>
      <c r="X95" s="354"/>
      <c r="Y95" s="354"/>
      <c r="Z95" s="354"/>
      <c r="AA95" s="354"/>
      <c r="AB95" s="92"/>
    </row>
    <row r="96" spans="1:28" ht="15" customHeight="1">
      <c r="A96" s="355"/>
      <c r="B96" s="373" t="s">
        <v>3991</v>
      </c>
      <c r="C96" s="307">
        <f>IF($B$7=1,(Meal_entry_week_1!Q$51+Meal_entry_week_1!Q$150+Meal_entry_week_1!Q$249+Meal_entry_week_1!Q$348+Meal_entry_week_1!Q$447)/(IF($C$189=0,0,1)+IF($C$220=0,0,1)+IF($C$251=0,0,1)+IF($C$282=0,0,1)+IF($C$313=0,0,1)+0.000001),(Meal_entry_week_2!Q$51+Meal_entry_week_2!Q$150+Meal_entry_week_2!Q$249+Meal_entry_week_2!Q$348+Meal_entry_week_2!Q$447)/(IF($C$189=0,0,1)+IF($C$220=0,0,1)+IF($C$251=0,0,1)+IF($C$282=0,0,1)+IF($C$313=0,0,1)+0.000001))</f>
        <v>169.79996604000678</v>
      </c>
      <c r="D96" s="296"/>
      <c r="E96" s="297"/>
      <c r="F96" s="1501" t="str">
        <f>IF(C96=0,"",CONCATENATE('Recommendation texts'!C$88,IF(A96&gt;0,'Recommendation texts'!D$89,'Recommendation texts'!D$88),IF(A124=0,'Recommendation texts'!E$88,'Recommendation texts'!E$89),IF(A96&gt;0,'Recommendation texts'!F$89,'Recommendation texts'!F$88),IF(B124=0,'Recommendation texts'!G$88,'Recommendation texts'!G$89),'Recommendation texts'!H$88,IF(C124=0,(IF(B124=1,'Recommendation texts'!I$84,'Recommendation texts'!I$88)),'Recommendation texts'!I$89),'Recommendation texts'!J$88,IF(D124=0,(IF(C124=1,'Recommendation texts'!K$84,'Recommendation texts'!K$88)),'Recommendation texts'!K$89),'Recommendation texts'!L$88,IF(E124=0,'Recommendation texts'!M$88,'Recommendation texts'!M$89),'Recommendation texts'!N$88))</f>
        <v>Overall, after subtracting plate waste, the menus for this week have sufficient calories each day, they have sufficient carbohydrates, sufficient protein, sufficient fat, but INSUFFICIENT fibre in meals.</v>
      </c>
      <c r="G96" s="1502"/>
      <c r="H96" s="493"/>
      <c r="AB96" s="92"/>
    </row>
    <row r="97" spans="1:28" ht="15" customHeight="1">
      <c r="A97" s="355"/>
      <c r="B97" s="871" t="s">
        <v>3990</v>
      </c>
      <c r="C97" s="298">
        <f>IF($B$7=1,(Meal_entry_week_1!R$51+Meal_entry_week_1!R$150+Meal_entry_week_1!R$249+Meal_entry_week_1!R$348+Meal_entry_week_1!R$447)/(IF($C$189=0,0,1)+IF($C$220=0,0,1)+IF($C$251=0,0,1)+IF($C$282=0,0,1)+IF($C$313=0,0,1)+0.000001),(Meal_entry_week_2!R$51+Meal_entry_week_2!R$150+Meal_entry_week_2!R$249+Meal_entry_week_2!R$348+Meal_entry_week_2!R$447)/(IF($C$189=0,0,1)+IF($C$220=0,0,1)+IF($C$251=0,0,1)+IF($C$282=0,0,1)+IF($C$313=0,0,1)+0.000001))</f>
        <v>16.500541699891659</v>
      </c>
      <c r="D97" s="320">
        <f>IF($B$7=1,Meal_entry_week_1!I522/100,Meal_entry_week_2!I522/100)</f>
        <v>9.2139903639022372E-2</v>
      </c>
      <c r="E97" s="66"/>
      <c r="F97" s="1501"/>
      <c r="G97" s="1502"/>
      <c r="H97" s="493"/>
      <c r="AB97" s="92"/>
    </row>
    <row r="98" spans="1:28" ht="15" customHeight="1" thickBot="1">
      <c r="A98" s="355"/>
      <c r="B98" s="1257" t="s">
        <v>3987</v>
      </c>
      <c r="C98" s="1258">
        <f>IF($B$7=1,(Meal_entry_week_1!T$51+Meal_entry_week_1!T$150+Meal_entry_week_1!T$249+Meal_entry_week_1!T$348+Meal_entry_week_1!T$447)/(IF($C$189=0,0,1)+IF($C$220=0,0,1)+IF($C$251=0,0,1)+IF($C$282=0,0,1)+IF($C$313=0,0,1)+0.000001),(Meal_entry_week_2!T$51+Meal_entry_week_2!T$150+Meal_entry_week_2!T$249+Meal_entry_week_2!T$348+Meal_entry_week_2!T$447)/(IF($C$189=0,0,1)+IF($C$220=0,0,1)+IF($C$251=0,0,1)+IF($C$282=0,0,1)+IF($C$313=0,0,1)+0.000001))</f>
        <v>36.460972136376995</v>
      </c>
      <c r="D98" s="482"/>
      <c r="E98" s="480" t="s">
        <v>3980</v>
      </c>
      <c r="F98" s="1501"/>
      <c r="G98" s="1502"/>
      <c r="H98" s="493"/>
      <c r="AB98" s="92"/>
    </row>
    <row r="99" spans="1:28" ht="15" customHeight="1">
      <c r="A99" s="355"/>
      <c r="B99" s="401" t="s">
        <v>3988</v>
      </c>
      <c r="C99" s="403">
        <f>IF($B$7=1,(Meal_entry_week_1!U$51+Meal_entry_week_1!U$150+Meal_entry_week_1!U$249+Meal_entry_week_1!U$348+Meal_entry_week_1!U$447)/(IF($C$189=0,0,1)+IF($C$220=0,0,1)+IF($C$251=0,0,1)+IF($C$282=0,0,1)+IF($C$313=0,0,1)+0.000001),(Meal_entry_week_2!U$51+Meal_entry_week_2!U$150+Meal_entry_week_2!U$249+Meal_entry_week_2!U$348+Meal_entry_week_2!U$447)/(IF($C$189=0,0,1)+IF($C$220=0,0,1)+IF($C$251=0,0,1)+IF($C$282=0,0,1)+IF($C$313=0,0,1)+0.000001))</f>
        <v>3.2740761918652375</v>
      </c>
      <c r="D99" s="481">
        <f>IF($B$7=1,Meal_entry_week_1!J522/100,Meal_entry_week_2!J522/100)</f>
        <v>7.5622015731591288E-2</v>
      </c>
      <c r="E99" s="492"/>
      <c r="F99" s="1497" t="s">
        <v>3986</v>
      </c>
      <c r="G99" s="1498"/>
      <c r="H99" s="493"/>
      <c r="AB99" s="92"/>
    </row>
    <row r="100" spans="1:28" ht="15" customHeight="1" thickBot="1">
      <c r="A100" s="355"/>
      <c r="B100" s="1256" t="s">
        <v>3989</v>
      </c>
      <c r="C100" s="1255">
        <f>IF($B$7=1,(Meal_entry_week_1!V$51+Meal_entry_week_1!V$150+Meal_entry_week_1!V$249+Meal_entry_week_1!V$348+Meal_entry_week_1!V$447)/(IF($C$189=0,0,1)+IF($C$220=0,0,1)+IF($C$251=0,0,1)+IF($C$282=0,0,1)+IF($C$313=0,0,1)+0.000001),(Meal_entry_week_2!V$51+Meal_entry_week_2!V$150+Meal_entry_week_2!V$249+Meal_entry_week_2!V$348+Meal_entry_week_2!V$447)/(IF($C$189=0,0,1)+IF($C$220=0,0,1)+IF($C$251=0,0,1)+IF($C$282=0,0,1)+IF($C$313=0,0,1)+0.000001))</f>
        <v>325.00393499921302</v>
      </c>
      <c r="D100" s="285"/>
      <c r="E100" s="492"/>
      <c r="F100" s="1499"/>
      <c r="G100" s="1500"/>
      <c r="H100" s="489"/>
      <c r="AB100" s="92"/>
    </row>
    <row r="101" spans="1:28" s="229" customFormat="1">
      <c r="A101" s="520"/>
      <c r="B101" s="1306" t="s">
        <v>3878</v>
      </c>
      <c r="C101" s="1252">
        <f>IF($B$7=1,Meal_entry_week_1!$W$522,Meal_entry_week_2!$W$522)</f>
        <v>352.63002373630354</v>
      </c>
      <c r="D101" s="984">
        <f>IF($B$7=1,Meal_entry_week_1!W$523,Meal_entry_week_2!W$523)</f>
        <v>313.82092752926286</v>
      </c>
      <c r="E101" s="506">
        <f>IF($B$7=1,IF($C$96=0,-0.0001,100*D101/Sheet1!S123),IF($C$96=0,-0.0001,100*D101/Sheet2!S123))</f>
        <v>156.91046376463143</v>
      </c>
      <c r="F101" s="1487" t="str">
        <f>IF(E101&lt;80,VLOOKUP(B101,'Recommendation texts'!$B:$AV,2,FALSE),"")</f>
        <v/>
      </c>
      <c r="G101" s="1489"/>
      <c r="H101" s="1506"/>
      <c r="AB101" s="522"/>
    </row>
    <row r="102" spans="1:28" s="229" customFormat="1">
      <c r="A102" s="520"/>
      <c r="B102" s="768" t="s">
        <v>3879</v>
      </c>
      <c r="C102" s="1112">
        <f>IF($B$7=1,Meal_entry_week_1!$X$522,Meal_entry_week_2!$X$522)</f>
        <v>37.464850619531589</v>
      </c>
      <c r="D102" s="97">
        <f>IF($B$7=1,Meal_entry_week_1!X$523,Meal_entry_week_2!X$523)</f>
        <v>33.185369670653216</v>
      </c>
      <c r="E102" s="506">
        <f>IF($B$7=1,IF($C$96=0,-0.0001,100*D102/Sheet1!S124),IF($C$96=0,-0.0001,100*D102/Sheet2!S124))</f>
        <v>120.67407152964806</v>
      </c>
      <c r="F102" s="1487" t="str">
        <f>IF(E102&lt;80,VLOOKUP(B102,'Recommendation texts'!$B:$AV,2,FALSE),"")</f>
        <v/>
      </c>
      <c r="G102" s="1489"/>
      <c r="H102" s="1489"/>
      <c r="AB102" s="522"/>
    </row>
    <row r="103" spans="1:28" s="229" customFormat="1">
      <c r="A103" s="520"/>
      <c r="B103" s="768" t="s">
        <v>3880</v>
      </c>
      <c r="C103" s="1112">
        <f>IF($B$7=1,Meal_entry_week_1!$Y$522,Meal_entry_week_2!$Y$522)</f>
        <v>9.9439685817173658</v>
      </c>
      <c r="D103" s="97">
        <f>IF($B$7=1,Meal_entry_week_1!Y$523,Meal_entry_week_2!Y$523)</f>
        <v>8.8679599521146528</v>
      </c>
      <c r="E103" s="506">
        <f>IF($B$7=1,IF($C$96=0,-0.0001,100*D103/Sheet1!S125),IF($C$96=0,-0.0001,100*D103/Sheet2!S125))</f>
        <v>127.41321770279674</v>
      </c>
      <c r="F103" s="1487" t="str">
        <f>IF(E103&lt;80,VLOOKUP(B103,'Recommendation texts'!$B:$AV,2,FALSE),"")</f>
        <v/>
      </c>
      <c r="G103" s="1489"/>
      <c r="H103" s="1489"/>
      <c r="AB103" s="522"/>
    </row>
    <row r="104" spans="1:28" s="229" customFormat="1">
      <c r="A104" s="520"/>
      <c r="B104" s="768" t="s">
        <v>3881</v>
      </c>
      <c r="C104" s="1112">
        <f>IF($B$7=1,Meal_entry_week_1!$Z$522,Meal_entry_week_2!$Z$522)</f>
        <v>17.556822872649008</v>
      </c>
      <c r="D104" s="97">
        <f>IF($B$7=1,Meal_entry_week_1!Z$523,Meal_entry_week_2!Z$523)</f>
        <v>15.609523669308345</v>
      </c>
      <c r="E104" s="506">
        <f>IF($B$7=1,IF($C$96=0,-0.0001,100*D104/Sheet1!S126),IF($C$96=0,-0.0001,100*D104/Sheet2!S126))</f>
        <v>234.14287845391306</v>
      </c>
      <c r="F104" s="1487" t="str">
        <f>IF(E104&lt;80,VLOOKUP(B104,'Recommendation texts'!$B:$AV,2,FALSE),"")</f>
        <v/>
      </c>
      <c r="G104" s="1489"/>
      <c r="H104" s="1489"/>
      <c r="AB104" s="522"/>
    </row>
    <row r="105" spans="1:28" s="229" customFormat="1" ht="15">
      <c r="A105" s="520"/>
      <c r="B105" s="770" t="s">
        <v>3882</v>
      </c>
      <c r="C105" s="1112">
        <f>IF($B$7=1,Meal_entry_week_1!$AA$522,Meal_entry_week_2!$AA$522)</f>
        <v>1.205774849522562</v>
      </c>
      <c r="D105" s="97">
        <f>IF($B$7=1,Meal_entry_week_1!AA$523,Meal_entry_week_2!AA$523)</f>
        <v>0.81230554111658992</v>
      </c>
      <c r="E105" s="506">
        <f>IF($B$7=1,IF($C$96=0,-0.0001,100*D105/Sheet1!S127),IF($C$96=0,-0.0001,100*D105/Sheet2!S127))</f>
        <v>40.615277055829495</v>
      </c>
      <c r="F105" s="1487" t="str">
        <f>IF(E105&lt;80,VLOOKUP(B105,'Recommendation texts'!$A:$AV,2,FALSE),"")</f>
        <v>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v>
      </c>
      <c r="G105" s="1489"/>
      <c r="H105" s="1489"/>
      <c r="AB105" s="522"/>
    </row>
    <row r="106" spans="1:28" s="229" customFormat="1" ht="15">
      <c r="A106" s="520"/>
      <c r="B106" s="771" t="s">
        <v>3883</v>
      </c>
      <c r="C106" s="1112">
        <f>IF($B$7=1,Meal_entry_week_1!$AB$522,Meal_entry_week_2!$AB$522)</f>
        <v>2.7817259341746881</v>
      </c>
      <c r="D106" s="97">
        <f>IF($B$7=1,Meal_entry_week_1!AB$523,Meal_entry_week_2!AB$523)</f>
        <v>2.324169989585283</v>
      </c>
      <c r="E106" s="506">
        <f>IF($B$7=1,IF($C$96=0,-0.0001,100*D106/Sheet1!S128),IF($C$96=0,-0.0001,100*D106/Sheet2!S128))</f>
        <v>105.64409043569466</v>
      </c>
      <c r="F106" s="1487" t="str">
        <f>IF(E106&gt;120,"Previše zasićenih masti u menijima za ovu nedelju","")</f>
        <v/>
      </c>
      <c r="G106" s="1489"/>
      <c r="H106" s="1489"/>
      <c r="AB106" s="522"/>
    </row>
    <row r="107" spans="1:28" s="229" customFormat="1" ht="15">
      <c r="A107" s="520"/>
      <c r="B107" s="770" t="s">
        <v>3884</v>
      </c>
      <c r="C107" s="1112">
        <f>IF($B$7=1,Meal_entry_week_1!$AC$522,Meal_entry_week_2!$AC$522)</f>
        <v>199.41814011150535</v>
      </c>
      <c r="D107" s="97">
        <f>IF($B$7=1,Meal_entry_week_1!AC$523,Meal_entry_week_2!AC$523)</f>
        <v>139.14877612367329</v>
      </c>
      <c r="E107" s="506">
        <f>IF($B$7=1,IF($C$96=0,-0.0001,100*D107/Sheet1!S129),IF($C$96=0,-0.0001,100*D107/Sheet2!S129))</f>
        <v>93.522094097613774</v>
      </c>
      <c r="F107" s="1487" t="str">
        <f>IF(E107&gt;120,"Previše soli u menijima za ovu nedelju","")</f>
        <v/>
      </c>
      <c r="G107" s="1488"/>
      <c r="H107" s="1488"/>
      <c r="AB107" s="522"/>
    </row>
    <row r="108" spans="1:28" s="229" customFormat="1" ht="15">
      <c r="A108" s="520"/>
      <c r="B108" s="770" t="s">
        <v>3885</v>
      </c>
      <c r="C108" s="1112">
        <f>IF($B$7=1,Meal_entry_week_1!$AD$522,Meal_entry_week_2!$AD$522)</f>
        <v>153.99567200865599</v>
      </c>
      <c r="D108" s="97">
        <f>IF($B$7=1,Meal_entry_week_1!AD$523,Meal_entry_week_2!AD$523)</f>
        <v>133.92500308489991</v>
      </c>
      <c r="E108" s="506">
        <f>IF($B$7=1,IF($C$96=0,-0.0001,100*D108/Sheet1!S130),IF($C$96=0,-0.0001,100*D108/Sheet2!S130))</f>
        <v>74.402779491611057</v>
      </c>
      <c r="F108" s="1487" t="str">
        <f>IF($E108&lt;80,VLOOKUP($B108,'Recommendation texts'!$A:$AV,2,FALSE),"")</f>
        <v>Beans haricot (yellow) 1530.0 mg, Beans (white) 1530.0 mg, Beans (coloured) 1530.0 mg, Cocoa powder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v>
      </c>
      <c r="G108" s="1489"/>
      <c r="H108" s="1489"/>
      <c r="AB108" s="522"/>
    </row>
    <row r="109" spans="1:28" s="229" customFormat="1" ht="15">
      <c r="A109" s="520"/>
      <c r="B109" s="770" t="s">
        <v>3886</v>
      </c>
      <c r="C109" s="1112">
        <f>IF($B$7=1,Meal_entry_week_1!$AE$522,Meal_entry_week_2!$AE$522)</f>
        <v>95.506188987622039</v>
      </c>
      <c r="D109" s="97">
        <f>IF($B$7=1,Meal_entry_week_1!AE$523,Meal_entry_week_2!AE$523)</f>
        <v>86.181152581678006</v>
      </c>
      <c r="E109" s="506">
        <f>IF($B$7=1,IF($C$96=0,-0.0001,100*D109/Sheet1!S131),IF($C$96=0,-0.0001,100*D109/Sheet2!S131))</f>
        <v>109.09006655908607</v>
      </c>
      <c r="F109" s="1487" t="str">
        <f>IF($E109&lt;80,VLOOKUP($B109,'Recommendation texts'!$A:$AV,2,FALSE),"")</f>
        <v/>
      </c>
      <c r="G109" s="1489"/>
      <c r="H109" s="1489"/>
      <c r="AB109" s="522"/>
    </row>
    <row r="110" spans="1:28" s="229" customFormat="1" ht="15">
      <c r="A110" s="520"/>
      <c r="B110" s="770" t="s">
        <v>3887</v>
      </c>
      <c r="C110" s="1112">
        <f>IF($B$7=1,Meal_entry_week_1!$AF$522,Meal_entry_week_2!$AF$522)</f>
        <v>13.48324912907284</v>
      </c>
      <c r="D110" s="97">
        <f>IF($B$7=1,Meal_entry_week_1!AF$523,Meal_entry_week_2!AF$523)</f>
        <v>11.328629738256586</v>
      </c>
      <c r="E110" s="506">
        <f>IF($B$7=1,IF($C$96=0,-0.0001,100*D110/Sheet1!S132),IF($C$96=0,-0.0001,100*D110/Sheet2!S132))</f>
        <v>56.643148691282931</v>
      </c>
      <c r="F110" s="1487" t="str">
        <f>IF($E110&lt;80,VLOOKUP($B110,'Recommendation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110" s="1489"/>
      <c r="H110" s="1489"/>
      <c r="AB110" s="522"/>
    </row>
    <row r="111" spans="1:28" s="229" customFormat="1" ht="15">
      <c r="A111" s="520"/>
      <c r="B111" s="770" t="s">
        <v>3888</v>
      </c>
      <c r="C111" s="1112">
        <f>IF($B$7=1,Meal_entry_week_1!$AG$522,Meal_entry_week_2!$AG$522)</f>
        <v>105.12476975046049</v>
      </c>
      <c r="D111" s="97">
        <f>IF($B$7=1,Meal_entry_week_1!AG$523,Meal_entry_week_2!AG$523)</f>
        <v>89.327029217677847</v>
      </c>
      <c r="E111" s="506">
        <f>IF($B$7=1,IF($C$96=0,-0.0001,100*D111/Sheet1!S133),IF($C$96=0,-0.0001,100*D111/Sheet2!S133))</f>
        <v>144.07585357689976</v>
      </c>
      <c r="F111" s="1487" t="str">
        <f>IF($E111&lt;80,VLOOKUP($B111,'Recommendation texts'!$A:$AV,2,FALSE),"")</f>
        <v/>
      </c>
      <c r="G111" s="1489"/>
      <c r="H111" s="1489"/>
      <c r="AB111" s="522"/>
    </row>
    <row r="112" spans="1:28" s="229" customFormat="1" ht="15">
      <c r="A112" s="520"/>
      <c r="B112" s="770" t="s">
        <v>3889</v>
      </c>
      <c r="C112" s="1112">
        <f>IF($B$7=1,Meal_entry_week_1!$AH$522,Meal_entry_week_2!$AH$522)</f>
        <v>0.63653698809289527</v>
      </c>
      <c r="D112" s="97">
        <f>IF($B$7=1,Meal_entry_week_1!AH$523,Meal_entry_week_2!AH$523)</f>
        <v>0.46227060687009985</v>
      </c>
      <c r="E112" s="506">
        <f>IF($B$7=1,IF($C$96=0,-0.0001,100*D112/Sheet1!S134),IF($C$96=0,-0.0001,100*D112/Sheet2!S134))</f>
        <v>42.02460062455453</v>
      </c>
      <c r="F112" s="1487" t="str">
        <f>IF($E112&lt;80,VLOOKUP($B112,'Recommendation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112" s="1489"/>
      <c r="H112" s="1489"/>
      <c r="AB112" s="522"/>
    </row>
    <row r="113" spans="1:28" s="229" customFormat="1" ht="15">
      <c r="A113" s="520"/>
      <c r="B113" s="770" t="s">
        <v>3890</v>
      </c>
      <c r="C113" s="1112">
        <f>IF($B$7=1,Meal_entry_week_1!$AI$522,Meal_entry_week_2!$AI$522)</f>
        <v>0.9714647507166303</v>
      </c>
      <c r="D113" s="97">
        <f>IF($B$7=1,Meal_entry_week_1!AI$523,Meal_entry_week_2!AI$523)</f>
        <v>0.75767139315398024</v>
      </c>
      <c r="E113" s="506">
        <f>IF($B$7=1,IF($C$96=0,-0.0001,100*D113/Sheet1!S135),IF($C$96=0,-0.0001,100*D113/Sheet2!S135))</f>
        <v>108.23877045056861</v>
      </c>
      <c r="F113" s="1487" t="str">
        <f>IF($E113&lt;80,VLOOKUP($B113,'Recommendation texts'!$A:$AV,2,FALSE),"")</f>
        <v/>
      </c>
      <c r="G113" s="1489"/>
      <c r="H113" s="1489"/>
      <c r="AB113" s="522"/>
    </row>
    <row r="114" spans="1:28" s="229" customFormat="1" ht="15">
      <c r="A114" s="520"/>
      <c r="B114" s="770" t="s">
        <v>3891</v>
      </c>
      <c r="C114" s="1112">
        <f>IF($B$7=1,Meal_entry_week_1!$AJ$522,Meal_entry_week_2!$AJ$522)</f>
        <v>9.4417296329264488E-2</v>
      </c>
      <c r="D114" s="97">
        <f>IF($B$7=1,Meal_entry_week_1!AJ$523,Meal_entry_week_2!AJ$523)</f>
        <v>6.8967927128608095E-2</v>
      </c>
      <c r="E114" s="506">
        <f>IF($B$7=1,IF($C$96=0,-0.0001,100*D114/Sheet1!S136),IF($C$96=0,-0.0001,100*D114/Sheet2!S136))</f>
        <v>68.967927128608082</v>
      </c>
      <c r="F114" s="1487" t="str">
        <f>IF($E114&lt;80,VLOOKUP($B114,'Recommendation texts'!$A:$AV,2,FALSE),"")</f>
        <v xml:space="preserve">Pork liver 6.6 mg, Cocoa powder 3.8 mg, Hazelnuts 1.4 mg, Walnuts 1.380 mg, Almond (dry) 1.170 mg, Poppy seeds 1.0 mg, Lentils 1.0 mg, Chocolate for cooking 0.95 mg, Cheese, hard 35% fat 0.86 mg, Chickpeas 0.85 mg, Peanuts, roasted 0.65 mg, Oats 0.63 mg, Millet seeds/flour 0.60 mg, Wheat flour white 0.50 mg, Barley 0.50 mg, Beans haricot (yellow) 0.47 mg, Beans (white) 0.47 mg, Beans (coloured) 0.47 mg, Dried grapes 0.44 mg, Mushrooms 0.42 g </v>
      </c>
      <c r="G114" s="1489"/>
      <c r="H114" s="1489"/>
      <c r="AB114" s="522"/>
    </row>
    <row r="115" spans="1:28" s="229" customFormat="1" ht="15">
      <c r="A115" s="520"/>
      <c r="B115" s="770" t="s">
        <v>2990</v>
      </c>
      <c r="C115" s="1112">
        <f>IF($B$7=1,Meal_entry_week_1!$AK$522,Meal_entry_week_2!$AK$522)</f>
        <v>31.074917850164297</v>
      </c>
      <c r="D115" s="97">
        <f>IF($B$7=1,Meal_entry_week_1!AK$523,Meal_entry_week_2!AK$523)</f>
        <v>28.835280884255226</v>
      </c>
      <c r="E115" s="506">
        <f>IF($B$7=1,IF($C$96=0,-0.0001,100*D115/Sheet1!S137),IF($C$96=0,-0.0001,100*D115/Sheet2!S137))</f>
        <v>36.044101105319029</v>
      </c>
      <c r="F115" s="1487" t="str">
        <f>IF($E115&lt;80,VLOOKUP($B115,'Recommendation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115" s="1489"/>
      <c r="H115" s="1489"/>
      <c r="AB115" s="522"/>
    </row>
    <row r="116" spans="1:28" s="229" customFormat="1" ht="15">
      <c r="A116" s="520"/>
      <c r="B116" s="770" t="s">
        <v>3892</v>
      </c>
      <c r="C116" s="1112">
        <f>IF($B$7=1,Meal_entry_week_1!$AL$522,Meal_entry_week_2!$AL$522)</f>
        <v>6.4493848485809913E-2</v>
      </c>
      <c r="D116" s="97">
        <f>IF($B$7=1,Meal_entry_week_1!AL$523,Meal_entry_week_2!AL$523)</f>
        <v>4.8705629230178904E-2</v>
      </c>
      <c r="E116" s="506">
        <f>IF($B$7=1,IF($C$96=0,-0.0001,100*D116/Sheet1!S138),IF($C$96=0,-0.0001,100*D116/Sheet2!S138))</f>
        <v>48.7056292301789</v>
      </c>
      <c r="F116" s="1487" t="str">
        <f>IF($E116&lt;80,VLOOKUP($B116,'Recommendation texts'!$A:$AV,2,FALSE),"")</f>
        <v xml:space="preserve">Pork liver 310 mg, Cornflakes 1.30 mg, Macaroni with egg 1.13 mg, Pork smoked ham 1.04 mg, Pasta fusilli 1.00 mg, Pork medium fat 0.97 mg, Pork shoulder 0.95 mg, Pork fillet 0.95 mg, Sausage pork, smoked (dried) 0.93 mg, Biscuit Petit beurre 0.90 mg, Plazma biscuit 0.90 mg, Oats 0.76 mg, Mortadela 0.70 mg, Nesquik 0.70 mg, Barley 0.65 mg, Liver pate (average) 0.60 mg, Millet seeds/flour 0.58 mg, Pork leg (steak) 0.51 mg, Chickpeas 0.480 mg </v>
      </c>
      <c r="G116" s="1489"/>
      <c r="H116" s="1489"/>
      <c r="AB116" s="522"/>
    </row>
    <row r="117" spans="1:28" s="229" customFormat="1">
      <c r="A117" s="520"/>
      <c r="B117" s="1295" t="s">
        <v>2985</v>
      </c>
      <c r="C117" s="1112">
        <f>IF($B$7=1,Meal_entry_week_1!$AM$522,Meal_entry_week_2!$AM$522)</f>
        <v>0.13063244349880551</v>
      </c>
      <c r="D117" s="97">
        <f>IF($B$7=1,Meal_entry_week_1!AM$523,Meal_entry_week_2!AM$523)</f>
        <v>0.11474924566808506</v>
      </c>
      <c r="E117" s="506">
        <f>IF($B$7=1,IF($C$96=0,-0.0001,100*D117/Sheet1!S139),IF($C$96=0,-0.0001,100*D117/Sheet2!S139))</f>
        <v>109.28499587436673</v>
      </c>
      <c r="F117" s="1487" t="str">
        <f>IF($E117&lt;80,VLOOKUP($B117,'Recommendation texts'!$A:$AV,2,FALSE),"")</f>
        <v/>
      </c>
      <c r="G117" s="1489"/>
      <c r="H117" s="1489"/>
      <c r="AB117" s="522"/>
    </row>
    <row r="118" spans="1:28" s="229" customFormat="1" ht="15">
      <c r="A118" s="520"/>
      <c r="B118" s="770" t="s">
        <v>3893</v>
      </c>
      <c r="C118" s="1112">
        <f>IF($B$7=1,Meal_entry_week_1!$AN$522,Meal_entry_week_2!$AN$522)</f>
        <v>0.792065264452261</v>
      </c>
      <c r="D118" s="97">
        <f>IF($B$7=1,Meal_entry_week_1!AN$523,Meal_entry_week_2!AN$523)</f>
        <v>0.5503272402693703</v>
      </c>
      <c r="E118" s="506">
        <f>IF($B$7=1,IF($C$96=0,-0.0001,100*D118/Sheet1!S140),IF($C$96=0,-0.0001,100*D118/Sheet2!S140))</f>
        <v>42.332864636105406</v>
      </c>
      <c r="F118" s="1487" t="str">
        <f>IF($E118&lt;80,VLOOKUP($B118,'Recommendation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118" s="1489"/>
      <c r="H118" s="1489"/>
      <c r="AB118" s="522"/>
    </row>
    <row r="119" spans="1:28" s="229" customFormat="1" ht="15">
      <c r="A119" s="520"/>
      <c r="B119" s="770" t="s">
        <v>2986</v>
      </c>
      <c r="C119" s="1112">
        <f>IF($B$7=1,Meal_entry_week_1!$AO$522,Meal_entry_week_2!$AO$522)</f>
        <v>5.5444517032064454E-2</v>
      </c>
      <c r="D119" s="97">
        <f>IF($B$7=1,Meal_entry_week_1!AO$523,Meal_entry_week_2!AO$523)</f>
        <v>4.4199428168227681E-2</v>
      </c>
      <c r="E119" s="506">
        <f>IF($B$7=1,IF($C$96=0,-0.0001,100*D119/Sheet1!S141),IF($C$96=0,-0.0001,100*D119/Sheet2!S141))</f>
        <v>51.999327256738447</v>
      </c>
      <c r="F119" s="1487" t="str">
        <f>IF($E119&lt;80,VLOOKUP($B119,'Recommendation texts'!$A:$AV,2,FALSE),"")</f>
        <v>Margarine from milk 3.7 mg, Cornflakes 2.1 mg, Biscuit Petit beurre 2.0 mg, Plazma biscuit 2.0 mg, Garlic 1.2 mg, Chicken breast 0.82 mg, Chicken liver 0.80 mg, Walnuts 0.70 mg, Corn flour 0.60 mg, Pork liver 0.59 mg, Pork ribs dry (smoked) 0.59 mg, Pork neck, dried meat 0.59 mg, Hazelnuts 0.54 mg, Chickpeas 0.54 mg, Millet seeds/flour 0.52 mg, Beans haricot (yellow) 0.51 mg, Beans (white) 0.51 mg, Beans (coloured) 0.51 mg</v>
      </c>
      <c r="G119" s="1489"/>
      <c r="H119" s="1489"/>
      <c r="AB119" s="522"/>
    </row>
    <row r="120" spans="1:28" s="229" customFormat="1" ht="15">
      <c r="A120" s="520"/>
      <c r="B120" s="770" t="s">
        <v>3894</v>
      </c>
      <c r="C120" s="1112">
        <f>IF($B$7=1,Meal_entry_week_1!$AP$522,Meal_entry_week_2!$AP$522)</f>
        <v>11.89181402522976</v>
      </c>
      <c r="D120" s="97">
        <f>IF($B$7=1,Meal_entry_week_1!AP$523,Meal_entry_week_2!AP$523)</f>
        <v>9.5065587008345585</v>
      </c>
      <c r="E120" s="506">
        <f>IF($B$7=1,IF($C$96=0,-0.0001,100*D120/Sheet1!S142),IF($C$96=0,-0.0001,100*D120/Sheet2!S142))</f>
        <v>38.026234803338234</v>
      </c>
      <c r="F120" s="1487" t="str">
        <f>IF($E120&lt;80,VLOOKUP($B120,'Recommendation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120" s="1489"/>
      <c r="H120" s="1489"/>
      <c r="AB120" s="522"/>
    </row>
    <row r="121" spans="1:28" s="229" customFormat="1" ht="15">
      <c r="A121" s="520"/>
      <c r="B121" s="770" t="s">
        <v>2987</v>
      </c>
      <c r="C121" s="1112">
        <f>IF($B$7=1,Meal_entry_week_1!$AQ$522,Meal_entry_week_2!$AQ$522)</f>
        <v>0.25794744774146816</v>
      </c>
      <c r="D121" s="97">
        <f>IF($B$7=1,Meal_entry_week_1!AQ$523,Meal_entry_week_2!AQ$523)</f>
        <v>0.23781222907634572</v>
      </c>
      <c r="E121" s="506">
        <f>IF($B$7=1,IF($C$96=0,-0.0001,100*D121/Sheet1!S143),IF($C$96=0,-0.0001,100*D121/Sheet2!S143))</f>
        <v>95.124891630538286</v>
      </c>
      <c r="F121" s="1487" t="str">
        <f>IF($E121&lt;80,VLOOKUP($B121,'Recommendation texts'!$A:$AV,2,FALSE),"")</f>
        <v/>
      </c>
      <c r="G121" s="1489"/>
      <c r="H121" s="1489"/>
      <c r="AB121" s="522"/>
    </row>
    <row r="122" spans="1:28" s="229" customFormat="1" ht="15">
      <c r="A122" s="520"/>
      <c r="B122" s="770" t="s">
        <v>2988</v>
      </c>
      <c r="C122" s="1112">
        <f>IF($B$7=1,Meal_entry_week_1!$AR$522,Meal_entry_week_2!$AR$522)</f>
        <v>0.75977848044303919</v>
      </c>
      <c r="D122" s="97">
        <f>IF($B$7=1,Meal_entry_week_1!AR$523,Meal_entry_week_2!AR$523)</f>
        <v>0.68337481504926856</v>
      </c>
      <c r="E122" s="506">
        <f>IF($B$7=1,IF($C$96=0,-0.0001,100*D122/Sheet1!S144),IF($C$96=0,-0.0001,100*D122/Sheet2!S144))</f>
        <v>8.542185188115857</v>
      </c>
      <c r="F122" s="1487" t="str">
        <f>IF($E122&lt;80,VLOOKUP($B122,'Recommendation texts'!$A:$AV,2,FALSE),"")</f>
        <v>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v>
      </c>
      <c r="G122" s="1489"/>
      <c r="H122" s="1489"/>
      <c r="AB122" s="522"/>
    </row>
    <row r="123" spans="1:28" s="229" customFormat="1" ht="16" thickBot="1">
      <c r="A123" s="520"/>
      <c r="B123" s="1307" t="s">
        <v>2989</v>
      </c>
      <c r="C123" s="501">
        <f>IF($B$7=1,Meal_entry_week_1!$AS$522,Meal_entry_week_2!$AS$522)</f>
        <v>0.34894223358145254</v>
      </c>
      <c r="D123" s="985">
        <f>IF($B$7=1,Meal_entry_week_1!AS$523,Meal_entry_week_2!AS$523)</f>
        <v>0.33167668407066908</v>
      </c>
      <c r="E123" s="503">
        <f>IF($B$7=1,IF($C$96=0,-0.0001,100*D123/Sheet1!S145),IF($C$96=0,-0.0001,100*D123/Sheet2!S145))</f>
        <v>66.335336814133811</v>
      </c>
      <c r="F123" s="1490" t="str">
        <f>IF($E123&lt;80,VLOOKUP($B123,'Recommendation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123" s="1491"/>
      <c r="H123" s="1491"/>
      <c r="AB123" s="522"/>
    </row>
    <row r="124" spans="1:28">
      <c r="A124" s="555">
        <f>IF(C96=0,"",IF(E101&gt;85,0,1))</f>
        <v>0</v>
      </c>
      <c r="B124" s="556">
        <f>IF(C96=0,"",IF(E102&gt;85,0,1))</f>
        <v>0</v>
      </c>
      <c r="C124" s="556">
        <f>IF(C96=0,"",IF(E103&gt;85,0,1))</f>
        <v>0</v>
      </c>
      <c r="D124" s="556">
        <f>IF(C96=0,"",IF(E104&gt;85,0,1))</f>
        <v>0</v>
      </c>
      <c r="E124" s="556">
        <f>IF(C96=0,"",IF(E105&gt;85,0,1))</f>
        <v>1</v>
      </c>
      <c r="F124" s="92"/>
      <c r="G124" s="92"/>
      <c r="H124" s="92"/>
      <c r="I124" s="92"/>
      <c r="J124" s="92"/>
      <c r="K124" s="92"/>
      <c r="L124" s="92"/>
      <c r="M124" s="92"/>
      <c r="N124" s="92"/>
      <c r="O124" s="92"/>
      <c r="P124" s="92"/>
      <c r="Q124" s="92"/>
      <c r="R124" s="92"/>
      <c r="S124" s="92"/>
      <c r="T124" s="92"/>
      <c r="U124" s="92"/>
      <c r="V124" s="92"/>
      <c r="W124" s="92"/>
      <c r="X124" s="92"/>
      <c r="Y124" s="92"/>
      <c r="Z124" s="92"/>
      <c r="AA124" s="92"/>
      <c r="AB124" s="92"/>
    </row>
    <row r="125" spans="1:28" s="100" customFormat="1" ht="8" customHeight="1">
      <c r="A125" s="104"/>
      <c r="B125" s="120"/>
      <c r="C125" s="104"/>
      <c r="D125" s="104"/>
      <c r="F125" s="476"/>
      <c r="G125" s="476"/>
      <c r="H125" s="476"/>
      <c r="I125"/>
      <c r="J125"/>
      <c r="K125"/>
      <c r="L125"/>
      <c r="M125"/>
      <c r="N125"/>
      <c r="O125"/>
      <c r="P125"/>
      <c r="Q125"/>
      <c r="R125"/>
      <c r="S125"/>
      <c r="T125"/>
      <c r="U125"/>
      <c r="V125"/>
      <c r="W125"/>
      <c r="X125"/>
      <c r="Y125"/>
      <c r="Z125"/>
      <c r="AA125"/>
      <c r="AB125"/>
    </row>
    <row r="126" spans="1:28" ht="48" customHeight="1">
      <c r="A126" s="357"/>
      <c r="B126" s="361" t="s">
        <v>4010</v>
      </c>
      <c r="C126" s="1318" t="s">
        <v>4006</v>
      </c>
      <c r="D126" s="1319" t="s">
        <v>4007</v>
      </c>
      <c r="E126" s="1320" t="s">
        <v>4008</v>
      </c>
      <c r="F126" s="369" t="s">
        <v>4025</v>
      </c>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9"/>
    </row>
    <row r="127" spans="1:28" ht="15" customHeight="1">
      <c r="A127" s="360"/>
      <c r="B127" s="373" t="s">
        <v>3991</v>
      </c>
      <c r="C127" s="307">
        <f>IF($B$7=1,(Meal_entry_week_1!Q$83+Meal_entry_week_1!Q$182+Meal_entry_week_1!Q$281+Meal_entry_week_1!Q$380+Meal_entry_week_1!Q$479)/(IF($C$189=0,0,1)+IF($C$220=0,0,1)+IF($C$251=0,0,1)+IF($C$282=0,0,1)+IF($C$313=0,0,1)+0.000001),(Meal_entry_week_2!Q$83+Meal_entry_week_2!Q$182+Meal_entry_week_2!Q$281+Meal_entry_week_2!Q$380+Meal_entry_week_2!Q$479)/(IF($C$189=0,0,1)+IF($C$220=0,0,1)+IF($C$251=0,0,1)+IF($C$282=0,0,1)+IF($C$313=0,0,1)+0.000001))</f>
        <v>569.74988605002272</v>
      </c>
      <c r="D127" s="296"/>
      <c r="E127" s="297"/>
      <c r="F127" s="1501" t="str">
        <f>IF(C127=0,"",CONCATENATE('Recommendation texts'!C$88,IF(A127&gt;0,'Recommendation texts'!D$89,'Recommendation texts'!D$88),IF(A155=0,'Recommendation texts'!E$88,'Recommendation texts'!E$89),IF(A127&gt;0,'Recommendation texts'!F$89,'Recommendation texts'!F$88),IF(B155=0,'Recommendation texts'!G$88,'Recommendation texts'!G$89),'Recommendation texts'!H$88,IF(C155=0,(IF(B155=1,'Recommendation texts'!I$84,'Recommendation texts'!I$88)),'Recommendation texts'!I$89),'Recommendation texts'!J$88,IF(D155=0,(IF(C155=1,'Recommendation texts'!K$84,'Recommendation texts'!K$88)),'Recommendation texts'!K$89),'Recommendation texts'!L$88,IF(E155=0,'Recommendation texts'!M$88,'Recommendation texts'!M$89),'Recommendation texts'!N$88))</f>
        <v>Overall, after subtracting plate waste, the menus for this week have sufficient calories each day, they have sufficient carbohydrates, sufficient protein, sufficient fat, and sufficient fibre in meals.</v>
      </c>
      <c r="G127" s="1502"/>
      <c r="H127" s="493"/>
      <c r="AB127" s="359"/>
    </row>
    <row r="128" spans="1:28" ht="15" customHeight="1">
      <c r="A128" s="360"/>
      <c r="B128" s="871" t="s">
        <v>3990</v>
      </c>
      <c r="C128" s="298">
        <f>IF($B$7=1,(Meal_entry_week_1!R$83+Meal_entry_week_1!R$182+Meal_entry_week_1!R$281+Meal_entry_week_1!R$380+Meal_entry_week_1!R$479)/(IF($C$189=0,0,1)+IF($C$220=0,0,1)+IF($C$251=0,0,1)+IF($C$282=0,0,1)+IF($C$313=0,0,1)+0.000001),(Meal_entry_week_2!R$83+Meal_entry_week_2!R$182+Meal_entry_week_2!R$281+Meal_entry_week_2!R$380+Meal_entry_week_2!R$479)/(IF($C$189=0,0,1)+IF($C$220=0,0,1)+IF($C$251=0,0,1)+IF($C$282=0,0,1)+IF($C$313=0,0,1)+0.000001))</f>
        <v>154.65385906922819</v>
      </c>
      <c r="D128" s="320">
        <f>IF($B$7=1,Meal_entry_week_1!I532/100,Meal_entry_week_2!I532/100)</f>
        <v>0.27164063991553589</v>
      </c>
      <c r="E128" s="66"/>
      <c r="F128" s="1501"/>
      <c r="G128" s="1502"/>
      <c r="H128" s="493"/>
      <c r="AB128" s="359"/>
    </row>
    <row r="129" spans="1:28" ht="15" customHeight="1" thickBot="1">
      <c r="A129" s="360"/>
      <c r="B129" s="1257" t="s">
        <v>3987</v>
      </c>
      <c r="C129" s="1258">
        <f>IF($B$7=1,(Meal_entry_week_1!T$83+Meal_entry_week_1!T$182+Meal_entry_week_1!T$281+Meal_entry_week_1!T$380+Meal_entry_week_1!T$479)/(IF($C$189=0,0,1)+IF($C$220=0,0,1)+IF($C$251=0,0,1)+IF($C$282=0,0,1)+IF($C$313=0,0,1)+0.000001),(Meal_entry_week_2!T$83+Meal_entry_week_2!T$182+Meal_entry_week_2!T$281+Meal_entry_week_2!T$380+Meal_entry_week_2!T$479)/(IF($C$189=0,0,1)+IF($C$220=0,0,1)+IF($C$251=0,0,1)+IF($C$282=0,0,1)+IF($C$313=0,0,1)+0.000001))</f>
        <v>74.441195709163452</v>
      </c>
      <c r="D129" s="482"/>
      <c r="E129" s="480" t="s">
        <v>3980</v>
      </c>
      <c r="F129" s="1501"/>
      <c r="G129" s="1502"/>
      <c r="H129" s="493"/>
      <c r="AB129" s="359"/>
    </row>
    <row r="130" spans="1:28" ht="15" customHeight="1">
      <c r="A130" s="360"/>
      <c r="B130" s="401" t="s">
        <v>3988</v>
      </c>
      <c r="C130" s="403">
        <f>IF($B$7=1,(Meal_entry_week_1!U$83+Meal_entry_week_1!U$182+Meal_entry_week_1!U$281+Meal_entry_week_1!U$380+Meal_entry_week_1!U$479)/(IF($C$189=0,0,1)+IF($C$220=0,0,1)+IF($C$251=0,0,1)+IF($C$282=0,0,1)+IF($C$313=0,0,1)+0.000001),(Meal_entry_week_2!U$83+Meal_entry_week_2!U$182+Meal_entry_week_2!U$281+Meal_entry_week_2!U$380+Meal_entry_week_2!U$479)/(IF($C$189=0,0,1)+IF($C$220=0,0,1)+IF($C$251=0,0,1)+IF($C$282=0,0,1)+IF($C$313=0,0,1)+0.000001))</f>
        <v>20.019256324668209</v>
      </c>
      <c r="D130" s="481">
        <f>IF($B$7=1,Meal_entry_week_1!J532/100,Meal_entry_week_2!J532/100)</f>
        <v>0.26928238255388459</v>
      </c>
      <c r="E130" s="492"/>
      <c r="F130" s="1497" t="s">
        <v>3986</v>
      </c>
      <c r="G130" s="1498"/>
      <c r="H130" s="493"/>
      <c r="AB130" s="359"/>
    </row>
    <row r="131" spans="1:28" ht="15" customHeight="1" thickBot="1">
      <c r="A131" s="360"/>
      <c r="B131" s="1256" t="s">
        <v>3989</v>
      </c>
      <c r="C131" s="1255">
        <f>IF($B$7=1,(Meal_entry_week_1!V$83+Meal_entry_week_1!V$182+Meal_entry_week_1!V$281+Meal_entry_week_1!V$380+Meal_entry_week_1!V$479)/(IF($C$189=0,0,1)+IF($C$220=0,0,1)+IF($C$251=0,0,1)+IF($C$282=0,0,1)+IF($C$313=0,0,1)+0.000001),(Meal_entry_week_2!V$83+Meal_entry_week_2!V$182+Meal_entry_week_2!V$281+Meal_entry_week_2!V$380+Meal_entry_week_2!V$479)/(IF($C$189=0,0,1)+IF($C$220=0,0,1)+IF($C$251=0,0,1)+IF($C$282=0,0,1)+IF($C$313=0,0,1)+0.000001))</f>
        <v>1004.6578990684202</v>
      </c>
      <c r="D131" s="285"/>
      <c r="E131" s="492"/>
      <c r="F131" s="1499"/>
      <c r="G131" s="1500"/>
      <c r="H131" s="489"/>
      <c r="AB131" s="359"/>
    </row>
    <row r="132" spans="1:28" s="229" customFormat="1">
      <c r="A132" s="518"/>
      <c r="B132" s="1306" t="s">
        <v>3878</v>
      </c>
      <c r="C132" s="1252">
        <f>IF($B$7=1,Meal_entry_week_1!$W$532,Meal_entry_week_2!$W$532)</f>
        <v>833.29053377790683</v>
      </c>
      <c r="D132" s="984">
        <f>IF($B$7=1,Meal_entry_week_1!W$533,Meal_entry_week_2!W$533)</f>
        <v>593.34811972836928</v>
      </c>
      <c r="E132" s="506">
        <f>IF($B$7=1,IF($C$127=0,-0.0001,100*D132/Sheet1!X123),IF($C$127=0,-0.0001,100*D132/Sheet2!X123))</f>
        <v>98.891353288061552</v>
      </c>
      <c r="F132" s="1487" t="str">
        <f>IF(E132&lt;80,VLOOKUP(B132,'Recommendation texts'!$B:$AV,2,FALSE),"")</f>
        <v/>
      </c>
      <c r="G132" s="1489"/>
      <c r="H132" s="1506"/>
      <c r="AB132" s="519"/>
    </row>
    <row r="133" spans="1:28" s="229" customFormat="1">
      <c r="A133" s="518"/>
      <c r="B133" s="768" t="s">
        <v>3879</v>
      </c>
      <c r="C133" s="1112">
        <f>IF($B$7=1,Meal_entry_week_1!$X$532,Meal_entry_week_2!$X$532)</f>
        <v>112.97595557021199</v>
      </c>
      <c r="D133" s="97">
        <f>IF($B$7=1,Meal_entry_week_1!X$533,Meal_entry_week_2!X$533)</f>
        <v>79.153308416382799</v>
      </c>
      <c r="E133" s="506">
        <f>IF($B$7=1,IF($C$127=0,-0.0001,100*D133/Sheet1!X124),IF($C$127=0,-0.0001,100*D133/Sheet2!X124))</f>
        <v>95.943404141070062</v>
      </c>
      <c r="F133" s="1487" t="str">
        <f>IF(E133&lt;80,VLOOKUP(B133,'Recommendation texts'!$B:$AV,2,FALSE),"")</f>
        <v/>
      </c>
      <c r="G133" s="1489"/>
      <c r="H133" s="1489"/>
      <c r="AB133" s="519"/>
    </row>
    <row r="134" spans="1:28" s="229" customFormat="1">
      <c r="A134" s="518"/>
      <c r="B134" s="768" t="s">
        <v>3880</v>
      </c>
      <c r="C134" s="1112">
        <f>IF($B$7=1,Meal_entry_week_1!$Y$532,Meal_entry_week_2!$Y$532)</f>
        <v>28.292133489045316</v>
      </c>
      <c r="D134" s="97">
        <f>IF($B$7=1,Meal_entry_week_1!Y$533,Meal_entry_week_2!Y$533)</f>
        <v>20.159933986652987</v>
      </c>
      <c r="E134" s="506">
        <f>IF($B$7=1,IF($C$127=0,-0.0001,100*D134/Sheet1!X125),IF($C$127=0,-0.0001,100*D134/Sheet2!X125))</f>
        <v>96.551407982054542</v>
      </c>
      <c r="F134" s="1487" t="str">
        <f>IF(E134&lt;80,VLOOKUP(B134,'Recommendation texts'!$B:$AV,2,FALSE),"")</f>
        <v/>
      </c>
      <c r="G134" s="1489"/>
      <c r="H134" s="1489"/>
      <c r="AB134" s="519"/>
    </row>
    <row r="135" spans="1:28" s="229" customFormat="1">
      <c r="A135" s="518"/>
      <c r="B135" s="768" t="s">
        <v>3881</v>
      </c>
      <c r="C135" s="1112">
        <f>IF($B$7=1,Meal_entry_week_1!$Z$532,Meal_entry_week_2!$Z$532)</f>
        <v>27.899992418839854</v>
      </c>
      <c r="D135" s="97">
        <f>IF($B$7=1,Meal_entry_week_1!Z$533,Meal_entry_week_2!Z$533)</f>
        <v>20.632879228711897</v>
      </c>
      <c r="E135" s="506">
        <f>IF($B$7=1,IF($C$127=0,-0.0001,100*D135/Sheet1!X126),IF($C$127=0,-0.0001,100*D135/Sheet2!X126))</f>
        <v>103.16440646000014</v>
      </c>
      <c r="F135" s="1487" t="str">
        <f>IF(E135&lt;80,VLOOKUP(B135,'Recommendation texts'!$B:$AV,2,FALSE),"")</f>
        <v/>
      </c>
      <c r="G135" s="1489"/>
      <c r="H135" s="1489"/>
      <c r="AB135" s="519"/>
    </row>
    <row r="136" spans="1:28" s="229" customFormat="1" ht="15">
      <c r="A136" s="518"/>
      <c r="B136" s="770" t="s">
        <v>3882</v>
      </c>
      <c r="C136" s="1112">
        <f>IF($B$7=1,Meal_entry_week_1!$AA$532,Meal_entry_week_2!$AA$532)</f>
        <v>15.862112920717568</v>
      </c>
      <c r="D136" s="97">
        <f>IF($B$7=1,Meal_entry_week_1!AA$533,Meal_entry_week_2!AA$533)</f>
        <v>11.223835933218707</v>
      </c>
      <c r="E136" s="506">
        <f>IF($B$7=1,IF($C$127=0,-0.0001,100*D136/Sheet1!X127),IF($C$127=0,-0.0001,100*D136/Sheet2!X127))</f>
        <v>187.06393222031178</v>
      </c>
      <c r="F136" s="1487" t="str">
        <f>IF(E136&lt;80,VLOOKUP(B136,'Recommendation texts'!$A:$AV,2,FALSE),"")</f>
        <v/>
      </c>
      <c r="G136" s="1489"/>
      <c r="H136" s="1489"/>
      <c r="AB136" s="519"/>
    </row>
    <row r="137" spans="1:28" s="229" customFormat="1" ht="15">
      <c r="A137" s="518"/>
      <c r="B137" s="771" t="s">
        <v>3883</v>
      </c>
      <c r="C137" s="1112">
        <f>IF($B$7=1,Meal_entry_week_1!$AB$532,Meal_entry_week_2!$AB$532)</f>
        <v>6.7235465387628741</v>
      </c>
      <c r="D137" s="97">
        <f>IF($B$7=1,Meal_entry_week_1!AB$533,Meal_entry_week_2!AB$533)</f>
        <v>5.2184296626289699</v>
      </c>
      <c r="E137" s="506">
        <f>IF($B$7=1,IF($C$127=0,-0.0001,100*D137/Sheet1!X128),IF($C$127=0,-0.0001,100*D137/Sheet1!X128))</f>
        <v>79.067116100438938</v>
      </c>
      <c r="F137" s="1487" t="str">
        <f>IF(E137&gt;120,"Previše zasićenih masti u menijima za ovu nedelju","")</f>
        <v/>
      </c>
      <c r="G137" s="1489"/>
      <c r="H137" s="1489"/>
      <c r="AB137" s="519"/>
    </row>
    <row r="138" spans="1:28" s="229" customFormat="1" ht="15">
      <c r="A138" s="518"/>
      <c r="B138" s="770" t="s">
        <v>3884</v>
      </c>
      <c r="C138" s="1112">
        <f>IF($B$7=1,Meal_entry_week_1!$AC$532,Meal_entry_week_2!$AC$532)</f>
        <v>758.00477834941762</v>
      </c>
      <c r="D138" s="97">
        <f>IF($B$7=1,Meal_entry_week_1!AC$533,Meal_entry_week_2!AC$533)</f>
        <v>505.44183879351232</v>
      </c>
      <c r="E138" s="506">
        <f>IF($B$7=1,IF($C$127=0,-0.0001,100*D138/Sheet1!X129),IF($C$127=0,-0.0001,100*D138/Sheet1!X129))</f>
        <v>113.23606412584122</v>
      </c>
      <c r="F138" s="1487" t="str">
        <f>IF(E138&gt;120,"Previše soli u menijima za ovu nedelju","")</f>
        <v/>
      </c>
      <c r="G138" s="1488"/>
      <c r="H138" s="1488"/>
      <c r="AB138" s="519"/>
    </row>
    <row r="139" spans="1:28" s="229" customFormat="1" ht="15">
      <c r="A139" s="518"/>
      <c r="B139" s="770" t="s">
        <v>3885</v>
      </c>
      <c r="C139" s="1112">
        <f>IF($B$7=1,Meal_entry_week_1!$AD$532,Meal_entry_week_2!$AD$532)</f>
        <v>1384.7239305521389</v>
      </c>
      <c r="D139" s="97">
        <f>IF($B$7=1,Meal_entry_week_1!AD$533,Meal_entry_week_2!AD$533)</f>
        <v>1007.2441037054396</v>
      </c>
      <c r="E139" s="506">
        <f>IF($B$7=1,IF($C$127=0,-0.0001,100*D139/Sheet1!X130),IF($C$127=0,-0.0001,100*D139/Sheet2!X130))</f>
        <v>186.52668587137768</v>
      </c>
      <c r="F139" s="1487" t="str">
        <f>IF($E139&lt;80,VLOOKUP($B139,'Recommendation texts'!$A:$AV,2,FALSE),"")</f>
        <v/>
      </c>
      <c r="G139" s="1489"/>
      <c r="H139" s="1489"/>
      <c r="AB139" s="519"/>
    </row>
    <row r="140" spans="1:28" s="229" customFormat="1" ht="15">
      <c r="A140" s="518"/>
      <c r="B140" s="770" t="s">
        <v>3886</v>
      </c>
      <c r="C140" s="1112">
        <f>IF($B$7=1,Meal_entry_week_1!$AE$532,Meal_entry_week_2!$AE$532)</f>
        <v>188.05450389099224</v>
      </c>
      <c r="D140" s="97">
        <f>IF($B$7=1,Meal_entry_week_1!AE$533,Meal_entry_week_2!AE$533)</f>
        <v>132.17902328323089</v>
      </c>
      <c r="E140" s="506">
        <f>IF($B$7=1,IF($C$127=0,-0.0001,100*D140/Sheet1!X131),IF($C$127=0,-0.0001,100*D140/Sheet2!X131))</f>
        <v>55.771739781953961</v>
      </c>
      <c r="F140" s="1487" t="str">
        <f>IF($E140&lt;80,VLOOKUP($B140,'Recommendation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140" s="1489"/>
      <c r="H140" s="1489"/>
      <c r="AB140" s="519"/>
    </row>
    <row r="141" spans="1:28" s="229" customFormat="1" ht="15">
      <c r="A141" s="518"/>
      <c r="B141" s="770" t="s">
        <v>3887</v>
      </c>
      <c r="C141" s="1112">
        <f>IF($B$7=1,Meal_entry_week_1!$AF$532,Meal_entry_week_2!$AF$532)</f>
        <v>130.20260351274169</v>
      </c>
      <c r="D141" s="97">
        <f>IF($B$7=1,Meal_entry_week_1!AF$533,Meal_entry_week_2!AF$533)</f>
        <v>93.467331021542208</v>
      </c>
      <c r="E141" s="506">
        <f>IF($B$7=1,IF($C$127=0,-0.0001,100*D141/Sheet1!X132),IF($C$127=0,-0.0001,100*D141/Sheet2!X132))</f>
        <v>155.7788850359037</v>
      </c>
      <c r="F141" s="1487" t="str">
        <f>IF($E141&lt;80,VLOOKUP($B141,'Recommendation texts'!$A:$AV,2,FALSE),"")</f>
        <v/>
      </c>
      <c r="G141" s="1489"/>
      <c r="H141" s="1489"/>
      <c r="AB141" s="519"/>
    </row>
    <row r="142" spans="1:28" s="229" customFormat="1" ht="15">
      <c r="A142" s="518"/>
      <c r="B142" s="770" t="s">
        <v>3888</v>
      </c>
      <c r="C142" s="1112">
        <f>IF($B$7=1,Meal_entry_week_1!$AG$532,Meal_entry_week_2!$AG$532)</f>
        <v>373.37448845102307</v>
      </c>
      <c r="D142" s="97">
        <f>IF($B$7=1,Meal_entry_week_1!AG$533,Meal_entry_week_2!AG$533)</f>
        <v>280.13263377917593</v>
      </c>
      <c r="E142" s="506">
        <f>IF($B$7=1,IF($C$127=0,-0.0001,100*D142/Sheet1!X133),IF($C$127=0,-0.0001,100*D142/Sheet2!X133))</f>
        <v>150.60894289203006</v>
      </c>
      <c r="F142" s="1487" t="str">
        <f>IF($E142&lt;80,VLOOKUP($B142,'Recommendation texts'!$A:$AV,2,FALSE),"")</f>
        <v/>
      </c>
      <c r="G142" s="1489"/>
      <c r="H142" s="1489"/>
      <c r="AB142" s="519"/>
    </row>
    <row r="143" spans="1:28" s="229" customFormat="1" ht="15">
      <c r="A143" s="518"/>
      <c r="B143" s="770" t="s">
        <v>3889</v>
      </c>
      <c r="C143" s="1112">
        <f>IF($B$7=1,Meal_entry_week_1!$AH$532,Meal_entry_week_2!$AH$532)</f>
        <v>6.7009768200911726</v>
      </c>
      <c r="D143" s="97">
        <f>IF($B$7=1,Meal_entry_week_1!AH$533,Meal_entry_week_2!AH$533)</f>
        <v>4.76244899675625</v>
      </c>
      <c r="E143" s="506">
        <f>IF($B$7=1,IF($C$127=0,-0.0001,100*D143/Sheet1!X134),IF($C$127=0,-0.0001,100*D143/Sheet2!X134))</f>
        <v>144.31663626534092</v>
      </c>
      <c r="F143" s="1487" t="str">
        <f>IF($E143&lt;80,VLOOKUP($B143,'Recommendation texts'!$A:$AV,2,FALSE),"")</f>
        <v/>
      </c>
      <c r="G143" s="1489"/>
      <c r="H143" s="1489"/>
      <c r="AB143" s="519"/>
    </row>
    <row r="144" spans="1:28" s="229" customFormat="1" ht="15">
      <c r="A144" s="518"/>
      <c r="B144" s="770" t="s">
        <v>3890</v>
      </c>
      <c r="C144" s="1112">
        <f>IF($B$7=1,Meal_entry_week_1!$AI$532,Meal_entry_week_2!$AI$532)</f>
        <v>6.1449819574655971</v>
      </c>
      <c r="D144" s="97">
        <f>IF($B$7=1,Meal_entry_week_1!AI$533,Meal_entry_week_2!AI$533)</f>
        <v>4.1074739471742578</v>
      </c>
      <c r="E144" s="506">
        <f>IF($B$7=1,IF($C$127=0,-0.0001,100*D144/Sheet1!X135),IF($C$127=0,-0.0001,100*D144/Sheet2!X135))</f>
        <v>195.59399748448845</v>
      </c>
      <c r="F144" s="1487" t="str">
        <f>IF($E144&lt;80,VLOOKUP($B144,'Recommendation texts'!$A:$AV,2,FALSE),"")</f>
        <v/>
      </c>
      <c r="G144" s="1489"/>
      <c r="H144" s="1489"/>
      <c r="AB144" s="519"/>
    </row>
    <row r="145" spans="1:28" s="229" customFormat="1" ht="15">
      <c r="A145" s="518"/>
      <c r="B145" s="770" t="s">
        <v>3891</v>
      </c>
      <c r="C145" s="1112">
        <f>IF($B$7=1,Meal_entry_week_1!$AJ$532,Meal_entry_week_2!$AJ$532)</f>
        <v>0.96005458264226706</v>
      </c>
      <c r="D145" s="97">
        <f>IF($B$7=1,Meal_entry_week_1!AJ$533,Meal_entry_week_2!AJ$533)</f>
        <v>0.67005075132819925</v>
      </c>
      <c r="E145" s="506">
        <f>IF($B$7=1,IF($C$127=0,-0.0001,100*D145/Sheet1!X136),IF($C$127=0,-0.0001,100*D145/Sheet2!X136))</f>
        <v>223.35025044273308</v>
      </c>
      <c r="F145" s="1487" t="str">
        <f>IF($E145&lt;80,VLOOKUP($B145,'Recommendation texts'!$A:$AV,2,FALSE),"")</f>
        <v/>
      </c>
      <c r="G145" s="1489"/>
      <c r="H145" s="1489"/>
      <c r="AB145" s="519"/>
    </row>
    <row r="146" spans="1:28" s="229" customFormat="1" ht="15">
      <c r="A146" s="518"/>
      <c r="B146" s="770" t="s">
        <v>2990</v>
      </c>
      <c r="C146" s="1112">
        <f>IF($B$7=1,Meal_entry_week_1!$AK$532,Meal_entry_week_2!$AK$532)</f>
        <v>382.70658978682047</v>
      </c>
      <c r="D146" s="97">
        <f>IF($B$7=1,Meal_entry_week_1!AK$533,Meal_entry_week_2!AK$533)</f>
        <v>295.92301741409199</v>
      </c>
      <c r="E146" s="506">
        <f>IF($B$7=1,IF($C$127=0,-0.0001,100*D146/Sheet1!X137),IF($C$127=0,-0.0001,100*D146/Sheet2!X137))</f>
        <v>123.30125725587166</v>
      </c>
      <c r="F146" s="1487" t="str">
        <f>IF($E146&lt;80,VLOOKUP($B146,'Recommendation texts'!$A:$AV,2,FALSE),"")</f>
        <v/>
      </c>
      <c r="G146" s="1489"/>
      <c r="H146" s="1489"/>
      <c r="AB146" s="519"/>
    </row>
    <row r="147" spans="1:28" s="229" customFormat="1" ht="15">
      <c r="A147" s="518"/>
      <c r="B147" s="770" t="s">
        <v>3892</v>
      </c>
      <c r="C147" s="1112">
        <f>IF($B$7=1,Meal_entry_week_1!$AL$532,Meal_entry_week_2!$AL$532)</f>
        <v>0.73862382865952925</v>
      </c>
      <c r="D147" s="97">
        <f>IF($B$7=1,Meal_entry_week_1!AL$533,Meal_entry_week_2!AL$533)</f>
        <v>0.51846520453247957</v>
      </c>
      <c r="E147" s="506">
        <f>IF($B$7=1,IF($C$127=0,-0.0001,100*D147/Sheet1!X138),IF($C$127=0,-0.0001,100*D147/Sheet2!X138))</f>
        <v>172.82173484415986</v>
      </c>
      <c r="F147" s="1487" t="str">
        <f>IF($E147&lt;80,VLOOKUP($B147,'Recommendation texts'!$A:$AV,2,FALSE),"")</f>
        <v/>
      </c>
      <c r="G147" s="1489"/>
      <c r="H147" s="1489"/>
      <c r="AB147" s="519"/>
    </row>
    <row r="148" spans="1:28" s="229" customFormat="1">
      <c r="A148" s="518"/>
      <c r="B148" s="1295" t="s">
        <v>2985</v>
      </c>
      <c r="C148" s="1112">
        <f>IF($B$7=1,Meal_entry_week_1!$AM$532,Meal_entry_week_2!$AM$532)</f>
        <v>0.52674568486565188</v>
      </c>
      <c r="D148" s="97">
        <f>IF($B$7=1,Meal_entry_week_1!AM$533,Meal_entry_week_2!AM$533)</f>
        <v>0.39293298732164378</v>
      </c>
      <c r="E148" s="506">
        <f>IF($B$7=1,IF($C$127=0,-0.0001,100*D148/Sheet1!X139),IF($C$127=0,-0.0001,100*D148/Sheet2!X139))</f>
        <v>124.74063089575994</v>
      </c>
      <c r="F148" s="1487" t="str">
        <f>IF($E148&lt;80,VLOOKUP($B148,'Recommendation texts'!$A:$AV,2,FALSE),"")</f>
        <v/>
      </c>
      <c r="G148" s="1489"/>
      <c r="H148" s="1489"/>
      <c r="AB148" s="519"/>
    </row>
    <row r="149" spans="1:28" s="229" customFormat="1" ht="15">
      <c r="A149" s="518"/>
      <c r="B149" s="770" t="s">
        <v>3893</v>
      </c>
      <c r="C149" s="1112">
        <f>IF($B$7=1,Meal_entry_week_1!$AN$532,Meal_entry_week_2!$AN$532)</f>
        <v>9.8820919212839033</v>
      </c>
      <c r="D149" s="97">
        <f>IF($B$7=1,Meal_entry_week_1!AN$533,Meal_entry_week_2!AN$533)</f>
        <v>7.0749926680483126</v>
      </c>
      <c r="E149" s="506">
        <f>IF($B$7=1,IF($C$127=0,-0.0001,100*D149/Sheet1!X140),IF($C$127=0,-0.0001,100*D149/Sheet2!X140))</f>
        <v>181.41006841149519</v>
      </c>
      <c r="F149" s="1487" t="str">
        <f>IF($E149&lt;80,VLOOKUP($B149,'Recommendation texts'!$A:$AV,2,FALSE),"")</f>
        <v/>
      </c>
      <c r="G149" s="1489"/>
      <c r="H149" s="1489"/>
      <c r="AB149" s="519"/>
    </row>
    <row r="150" spans="1:28" s="229" customFormat="1" ht="15">
      <c r="A150" s="518"/>
      <c r="B150" s="770" t="s">
        <v>2986</v>
      </c>
      <c r="C150" s="1112">
        <f>IF($B$7=1,Meal_entry_week_1!$AO$532,Meal_entry_week_2!$AO$532)</f>
        <v>0.99977600145963863</v>
      </c>
      <c r="D150" s="97">
        <f>IF($B$7=1,Meal_entry_week_1!AO$533,Meal_entry_week_2!AO$533)</f>
        <v>0.73301297667326215</v>
      </c>
      <c r="E150" s="506">
        <f>IF($B$7=1,IF($C$127=0,-0.0001,100*D150/Sheet1!X141),IF($C$127=0,-0.0001,100*D150/Sheet2!X141))</f>
        <v>287.45606928363219</v>
      </c>
      <c r="F150" s="1487" t="str">
        <f>IF($E150&lt;80,VLOOKUP($B150,'Recommendation texts'!$A:$AV,2,FALSE),"")</f>
        <v/>
      </c>
      <c r="G150" s="1489"/>
      <c r="H150" s="1489"/>
      <c r="AB150" s="519"/>
    </row>
    <row r="151" spans="1:28" s="229" customFormat="1" ht="15">
      <c r="A151" s="518"/>
      <c r="B151" s="770" t="s">
        <v>3894</v>
      </c>
      <c r="C151" s="1112">
        <f>IF($B$7=1,Meal_entry_week_1!$AP$532,Meal_entry_week_2!$AP$532)</f>
        <v>125.42115692178872</v>
      </c>
      <c r="D151" s="97">
        <f>IF($B$7=1,Meal_entry_week_1!AP$533,Meal_entry_week_2!AP$533)</f>
        <v>88.721917621882</v>
      </c>
      <c r="E151" s="506">
        <f>IF($B$7=1,IF($C$127=0,-0.0001,100*D151/Sheet1!X142),IF($C$127=0,-0.0001,100*D151/Sheet2!X142))</f>
        <v>118.29589016250934</v>
      </c>
      <c r="F151" s="1487" t="str">
        <f>IF($E151&lt;80,VLOOKUP($B151,'Recommendation texts'!$A:$AV,2,FALSE),"")</f>
        <v/>
      </c>
      <c r="G151" s="1489"/>
      <c r="H151" s="1489"/>
      <c r="AB151" s="519"/>
    </row>
    <row r="152" spans="1:28" s="229" customFormat="1" ht="15">
      <c r="A152" s="518"/>
      <c r="B152" s="770" t="s">
        <v>2987</v>
      </c>
      <c r="C152" s="1112">
        <f>IF($B$7=1,Meal_entry_week_1!$AQ$532,Meal_entry_week_2!$AQ$532)</f>
        <v>0.74686794928719458</v>
      </c>
      <c r="D152" s="97">
        <f>IF($B$7=1,Meal_entry_week_1!AQ$533,Meal_entry_week_2!AQ$533)</f>
        <v>0.6206190217128168</v>
      </c>
      <c r="E152" s="506">
        <f>IF($B$7=1,IF($C$127=0,-0.0001,100*D152/Sheet1!X143),IF($C$127=0,-0.0001,100*D152/Sheet2!X143))</f>
        <v>82.749202895042245</v>
      </c>
      <c r="F152" s="1487" t="str">
        <f>IF($E152&lt;80,VLOOKUP($B152,'Recommendation texts'!$A:$AV,2,FALSE),"")</f>
        <v/>
      </c>
      <c r="G152" s="1489"/>
      <c r="H152" s="1489"/>
      <c r="AB152" s="519"/>
    </row>
    <row r="153" spans="1:28" s="229" customFormat="1" ht="15">
      <c r="A153" s="518"/>
      <c r="B153" s="770" t="s">
        <v>2988</v>
      </c>
      <c r="C153" s="1112">
        <f>IF($B$7=1,Meal_entry_week_1!$AR$532,Meal_entry_week_2!$AR$532)</f>
        <v>47.216105567788873</v>
      </c>
      <c r="D153" s="97">
        <f>IF($B$7=1,Meal_entry_week_1!AR$533,Meal_entry_week_2!AR$533)</f>
        <v>34.282479783404995</v>
      </c>
      <c r="E153" s="506">
        <f>IF($B$7=1,IF($C$127=0,-0.0001,100*D153/Sheet1!X144),IF($C$127=0,-0.0001,100*D153/Sheet2!X144))</f>
        <v>142.84366576418748</v>
      </c>
      <c r="F153" s="1487" t="str">
        <f>IF($E153&lt;80,VLOOKUP($B153,'Recommendation texts'!$A:$AV,2,FALSE),"")</f>
        <v/>
      </c>
      <c r="G153" s="1489"/>
      <c r="H153" s="1489"/>
      <c r="AB153" s="519"/>
    </row>
    <row r="154" spans="1:28" s="229" customFormat="1" ht="16" thickBot="1">
      <c r="A154" s="518"/>
      <c r="B154" s="1307" t="s">
        <v>2989</v>
      </c>
      <c r="C154" s="501">
        <f>IF($B$7=1,Meal_entry_week_1!$AS$532,Meal_entry_week_2!$AS$532)</f>
        <v>1.1948116237150257</v>
      </c>
      <c r="D154" s="985">
        <f>IF($B$7=1,Meal_entry_week_1!AS$533,Meal_entry_week_2!AS$533)</f>
        <v>0.9076124026931417</v>
      </c>
      <c r="E154" s="503">
        <f>IF($B$7=1,IF($C$127=0,-0.0001,100*D154/Sheet1!X145),IF($C$127=0,-0.0001,100*D154/Sheet2!X145))</f>
        <v>60.507493512876117</v>
      </c>
      <c r="F154" s="1490" t="str">
        <f>IF($E154&lt;80,VLOOKUP($B154,'Recommendation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154" s="1491"/>
      <c r="H154" s="1491"/>
      <c r="AB154" s="519"/>
    </row>
    <row r="155" spans="1:28">
      <c r="A155" s="557">
        <f>IF(C127=0,"",IF(E132&gt;85,0,1))</f>
        <v>0</v>
      </c>
      <c r="B155" s="558">
        <f>IF(C127=0,"",IF(E133&gt;85,0,1))</f>
        <v>0</v>
      </c>
      <c r="C155" s="558">
        <f>IF(C127=0,"",IF(E134&gt;85,0,1))</f>
        <v>0</v>
      </c>
      <c r="D155" s="558">
        <f>IF(C127=0,"",IF(E135&gt;85,0,1))</f>
        <v>0</v>
      </c>
      <c r="E155" s="558">
        <f>IF(C127=0,"",IF(E136&gt;85,0,1))</f>
        <v>0</v>
      </c>
      <c r="F155" s="359"/>
      <c r="G155" s="359"/>
      <c r="H155" s="359"/>
      <c r="I155" s="359"/>
      <c r="J155" s="359"/>
      <c r="K155" s="359"/>
      <c r="L155" s="359"/>
      <c r="M155" s="359"/>
      <c r="N155" s="359"/>
      <c r="O155" s="359"/>
      <c r="P155" s="359"/>
      <c r="Q155" s="359"/>
      <c r="R155" s="359"/>
      <c r="S155" s="359"/>
      <c r="T155" s="359"/>
      <c r="U155" s="359"/>
      <c r="V155" s="359"/>
      <c r="W155" s="359"/>
      <c r="X155" s="359"/>
      <c r="Y155" s="359"/>
      <c r="Z155" s="359"/>
      <c r="AA155" s="359"/>
      <c r="AB155" s="359"/>
    </row>
    <row r="156" spans="1:28" s="100" customFormat="1" ht="8" customHeight="1">
      <c r="A156" s="104"/>
      <c r="B156" s="120"/>
      <c r="C156" s="104"/>
      <c r="D156" s="104"/>
      <c r="F156" s="476"/>
      <c r="G156" s="476"/>
      <c r="H156" s="476"/>
      <c r="I156"/>
      <c r="J156"/>
      <c r="K156"/>
      <c r="L156"/>
      <c r="M156"/>
      <c r="N156"/>
      <c r="O156"/>
      <c r="P156"/>
      <c r="Q156"/>
      <c r="R156"/>
      <c r="S156"/>
      <c r="T156"/>
      <c r="U156"/>
      <c r="V156"/>
      <c r="W156"/>
      <c r="X156"/>
      <c r="Y156"/>
      <c r="Z156"/>
      <c r="AA156"/>
      <c r="AB156"/>
    </row>
    <row r="157" spans="1:28" s="2" customFormat="1" ht="48" customHeight="1">
      <c r="A157" s="364"/>
      <c r="B157" s="347" t="s">
        <v>4011</v>
      </c>
      <c r="C157" s="1321" t="s">
        <v>4006</v>
      </c>
      <c r="D157" s="1322" t="s">
        <v>4007</v>
      </c>
      <c r="E157" s="1323" t="s">
        <v>4008</v>
      </c>
      <c r="F157" s="499" t="s">
        <v>4024</v>
      </c>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6"/>
    </row>
    <row r="158" spans="1:28" ht="15" customHeight="1">
      <c r="A158" s="272"/>
      <c r="B158" s="373" t="s">
        <v>3991</v>
      </c>
      <c r="C158" s="307">
        <f>IF($B$7=1,(Meal_entry_week_1!Q$102+Meal_entry_week_1!Q$201+Meal_entry_week_1!Q$300+Meal_entry_week_1!Q$399+Meal_entry_week_1!Q$498)/(IF($C$189=0,0,1)+IF($C$220=0,0,1)+IF($C$251=0,0,1)+IF($C$282=0,0,1)+IF($C$313=0,0,1)+0.000001),(Meal_entry_week_2!Q$102+Meal_entry_week_2!Q$201+Meal_entry_week_2!Q$300+Meal_entry_week_2!Q$399+Meal_entry_week_2!Q$498)/(IF($C$189=0,0,1)+IF($C$220=0,0,1)+IF($C$251=0,0,1)+IF($C$282=0,0,1)+IF($C$313=0,0,1)+0.000001))</f>
        <v>0</v>
      </c>
      <c r="D158" s="296"/>
      <c r="E158" s="986"/>
      <c r="F158" s="1501" t="str">
        <f>IF(C158=0,"",CONCATENATE('Recommendation texts'!C$88,IF(A158&gt;0,'Recommendation texts'!D$89,'Recommendation texts'!D$88),IF(A186=0,'Recommendation texts'!E$88,'Recommendation texts'!E$89),IF(A158&gt;0,'Recommendation texts'!F$89,'Recommendation texts'!F$88),IF(B186=0,'Recommendation texts'!G$88,'Recommendation texts'!G$89),'Recommendation texts'!H$88,IF(C186=0,(IF(B186=1,'Recommendation texts'!I$84,'Recommendation texts'!I$88)),'Recommendation texts'!I$89),'Recommendation texts'!J$88,IF(D186=0,(IF(C186=1,'Recommendation texts'!K$84,'Recommendation texts'!K$88)),'Recommendation texts'!K$89),'Recommendation texts'!L$88,IF(E186=0,'Recommendation texts'!M$88,'Recommendation texts'!M$89),'Recommendation texts'!N$88))</f>
        <v/>
      </c>
      <c r="G158" s="1502"/>
      <c r="H158" s="493"/>
      <c r="AB158" s="308"/>
    </row>
    <row r="159" spans="1:28" ht="15" customHeight="1">
      <c r="A159" s="272"/>
      <c r="B159" s="871" t="s">
        <v>3990</v>
      </c>
      <c r="C159" s="298">
        <f>IF($B$7=1,(Meal_entry_week_1!R$102+Meal_entry_week_1!R$201+Meal_entry_week_1!R$300+Meal_entry_week_1!R$399+Meal_entry_week_1!R$498)/(IF($C$189=0,0,1)+IF($C$220=0,0,1)+IF($C$251=0,0,1)+IF($C$282=0,0,1)+IF($C$313=0,0,1)+0.000001),(Meal_entry_week_2!R$102+Meal_entry_week_2!R$201+Meal_entry_week_2!R$300+Meal_entry_week_2!R$399+Meal_entry_week_2!R$498)/(IF($C$189=0,0,1)+IF($C$220=0,0,1)+IF($C$251=0,0,1)+IF($C$282=0,0,1)+IF($C$313=0,0,1)+0.000001))</f>
        <v>0</v>
      </c>
      <c r="D159" s="320">
        <f>IF($B$7=1,Meal_entry_week_1!I542/100,Meal_entry_week_2!I542/100)</f>
        <v>0</v>
      </c>
      <c r="E159" s="987"/>
      <c r="F159" s="1501"/>
      <c r="G159" s="1502"/>
      <c r="H159" s="493"/>
      <c r="AB159" s="308"/>
    </row>
    <row r="160" spans="1:28" ht="15" customHeight="1" thickBot="1">
      <c r="A160" s="272"/>
      <c r="B160" s="1257" t="s">
        <v>3987</v>
      </c>
      <c r="C160" s="1258">
        <f>IF($B$7=1,(Meal_entry_week_1!T$102+Meal_entry_week_1!T$201+Meal_entry_week_1!T$300+Meal_entry_week_1!T$399+Meal_entry_week_1!T$498)/(IF($C$189=0,0,1)+IF($C$220=0,0,1)+IF($C$251=0,0,1)+IF($C$282=0,0,1)+IF($C$313=0,0,1)+0.000001),(Meal_entry_week_2!T$102+Meal_entry_week_2!T$201+Meal_entry_week_2!T$300+Meal_entry_week_2!T$399+Meal_entry_week_2!T$498)/(IF($C$189=0,0,1)+IF($C$220=0,0,1)+IF($C$251=0,0,1)+IF($C$282=0,0,1)+IF($C$313=0,0,1)+0.000001))</f>
        <v>0</v>
      </c>
      <c r="D160" s="482"/>
      <c r="E160" s="480" t="s">
        <v>3980</v>
      </c>
      <c r="F160" s="1501"/>
      <c r="G160" s="1502"/>
      <c r="H160" s="493"/>
      <c r="AB160" s="308"/>
    </row>
    <row r="161" spans="1:28" ht="15" customHeight="1">
      <c r="A161" s="272"/>
      <c r="B161" s="401" t="s">
        <v>3988</v>
      </c>
      <c r="C161" s="1260">
        <f>IF($B$7=1,(Meal_entry_week_1!U$102+Meal_entry_week_1!U$201+Meal_entry_week_1!U$300+Meal_entry_week_1!U$399+Meal_entry_week_1!U$498)/(IF($C$189=0,0,1)+IF($C$220=0,0,1)+IF($C$251=0,0,1)+IF($C$282=0,0,1)+IF($C$313=0,0,1)+0.000001),(Meal_entry_week_2!U$102+Meal_entry_week_2!U$201+Meal_entry_week_2!U$300+Meal_entry_week_2!U$399+Meal_entry_week_2!U$498)/(IF($C$189=0,0,1)+IF($C$220=0,0,1)+IF($C$251=0,0,1)+IF($C$282=0,0,1)+IF($C$313=0,0,1)+0.000001))</f>
        <v>0</v>
      </c>
      <c r="D161" s="1261">
        <f>IF($B$7=1,Meal_entry_week_1!J542/100,Meal_entry_week_2!J542/100)</f>
        <v>0</v>
      </c>
      <c r="E161" s="492"/>
      <c r="F161" s="1497" t="s">
        <v>3986</v>
      </c>
      <c r="G161" s="1498"/>
      <c r="H161" s="493"/>
      <c r="AB161" s="308"/>
    </row>
    <row r="162" spans="1:28" ht="15" customHeight="1" thickBot="1">
      <c r="A162" s="272"/>
      <c r="B162" s="1256" t="s">
        <v>3989</v>
      </c>
      <c r="C162" s="1255">
        <f>IF($B$7=1,(Meal_entry_week_1!V$102+Meal_entry_week_1!V$201+Meal_entry_week_1!V$300+Meal_entry_week_1!V$399+Meal_entry_week_1!V$498)/(IF($C$189=0,0,1)+IF($C$220=0,0,1)+IF($C$251=0,0,1)+IF($C$282=0,0,1)+IF($C$313=0,0,1)+0.000001),(Meal_entry_week_2!V$102+Meal_entry_week_2!V$201+Meal_entry_week_2!V$300+Meal_entry_week_2!V$399+Meal_entry_week_2!V$498)/(IF($C$189=0,0,1)+IF($C$220=0,0,1)+IF($C$251=0,0,1)+IF($C$282=0,0,1)+IF($C$313=0,0,1)+0.000001))</f>
        <v>0</v>
      </c>
      <c r="D162" s="537"/>
      <c r="E162" s="492"/>
      <c r="F162" s="1499"/>
      <c r="G162" s="1500"/>
      <c r="H162" s="489"/>
      <c r="AB162" s="308"/>
    </row>
    <row r="163" spans="1:28" s="229" customFormat="1">
      <c r="A163" s="516"/>
      <c r="B163" s="1306" t="s">
        <v>3878</v>
      </c>
      <c r="C163" s="1252">
        <f>IF($B$7=1,Meal_entry_week_1!$W$542,Meal_entry_week_2!$W$542)</f>
        <v>0</v>
      </c>
      <c r="D163" s="1253">
        <f>IF($B$7=1,Meal_entry_week_1!$W$543,Meal_entry_week_2!$W$543)</f>
        <v>0</v>
      </c>
      <c r="E163" s="506">
        <f>IF($B$7=1,IF($C$158=0,-0.0001,100*D163/Sheet1!AC123),IF($C$158=0,-0.0001,100*D163/Sheet2!AC123))</f>
        <v>-1E-4</v>
      </c>
      <c r="F163" s="1487" t="str">
        <f>IF($C$158=0,"",IF(E163&lt;80,VLOOKUP(B163,'Recommendation texts'!$B:$AV,2,FALSE),""))</f>
        <v/>
      </c>
      <c r="G163" s="1489"/>
      <c r="H163" s="1506"/>
      <c r="AB163" s="517"/>
    </row>
    <row r="164" spans="1:28" s="229" customFormat="1">
      <c r="A164" s="516"/>
      <c r="B164" s="768" t="s">
        <v>3879</v>
      </c>
      <c r="C164" s="1112">
        <f>IF($B$7=1,Meal_entry_week_1!$X$542,Meal_entry_week_2!$X$542)</f>
        <v>0</v>
      </c>
      <c r="D164" s="505">
        <f>IF($B$7=1,Meal_entry_week_1!$X$543,Meal_entry_week_2!$X$543)</f>
        <v>0</v>
      </c>
      <c r="E164" s="506">
        <f>IF($B$7=1,IF($C$158=0,-0.0001,100*D164/Sheet1!AC124),IF($C$158=0,-0.0001,100*D164/Sheet2!AC124))</f>
        <v>-1E-4</v>
      </c>
      <c r="F164" s="1487" t="str">
        <f>IF($C$158=0,"",IF(E164&lt;80,VLOOKUP(B164,'Recommendation texts'!$B:$AV,2,FALSE),""))</f>
        <v/>
      </c>
      <c r="G164" s="1489"/>
      <c r="H164" s="1489"/>
      <c r="AB164" s="517"/>
    </row>
    <row r="165" spans="1:28" s="229" customFormat="1">
      <c r="A165" s="516"/>
      <c r="B165" s="768" t="s">
        <v>3880</v>
      </c>
      <c r="C165" s="1112">
        <f>IF($B$7=1,Meal_entry_week_1!$Y$542,Meal_entry_week_2!$Y$542)</f>
        <v>0</v>
      </c>
      <c r="D165" s="505">
        <f>IF($B$7=1,Meal_entry_week_1!$Y$543,Meal_entry_week_2!$Y$543)</f>
        <v>0</v>
      </c>
      <c r="E165" s="506">
        <f>IF($B$7=1,IF($C$158=0,-0.0001,100*D165/Sheet1!AC125),IF($C$158=0,-0.0001,100*D165/Sheet2!AC125))</f>
        <v>-1E-4</v>
      </c>
      <c r="F165" s="1487" t="str">
        <f>IF($C$158=0,"",IF(E165&lt;80,VLOOKUP(B165,'Recommendation texts'!$B:$AV,2,FALSE),""))</f>
        <v/>
      </c>
      <c r="G165" s="1489"/>
      <c r="H165" s="1489"/>
      <c r="AB165" s="517"/>
    </row>
    <row r="166" spans="1:28" s="229" customFormat="1">
      <c r="A166" s="516"/>
      <c r="B166" s="768" t="s">
        <v>3881</v>
      </c>
      <c r="C166" s="1112">
        <f>IF($B$7=1,Meal_entry_week_1!$Z$542,Meal_entry_week_2!$Z$542)</f>
        <v>0</v>
      </c>
      <c r="D166" s="505">
        <f>IF($B$7=1,Meal_entry_week_1!$Z$543,Meal_entry_week_2!$Z$543)</f>
        <v>0</v>
      </c>
      <c r="E166" s="506">
        <f>IF($B$7=1,IF($C$158=0,-0.0001,100*D166/Sheet1!AC126),IF($C$158=0,-0.0001,100*D166/Sheet2!AC126))</f>
        <v>-1E-4</v>
      </c>
      <c r="F166" s="1487" t="str">
        <f>IF($C$158=0,"",IF(E166&lt;80,VLOOKUP(B166,'Recommendation texts'!$B:$AV,2,FALSE),""))</f>
        <v/>
      </c>
      <c r="G166" s="1489"/>
      <c r="H166" s="1489"/>
      <c r="AB166" s="517"/>
    </row>
    <row r="167" spans="1:28" s="229" customFormat="1" ht="15">
      <c r="A167" s="516"/>
      <c r="B167" s="770" t="s">
        <v>3882</v>
      </c>
      <c r="C167" s="1112">
        <f>IF($B$7=1,Meal_entry_week_1!$AA$542,Meal_entry_week_2!$AA$542)</f>
        <v>0</v>
      </c>
      <c r="D167" s="505">
        <f>IF($B$7=1,Meal_entry_week_1!$AA$543,Meal_entry_week_2!$AA$543)</f>
        <v>0</v>
      </c>
      <c r="E167" s="506">
        <f>IF($B$7=1,IF($C$158=0,-0.0001,100*D167/Sheet1!AC127),IF($C$158=0,-0.0001,100*D167/Sheet2!AC127))</f>
        <v>-1E-4</v>
      </c>
      <c r="F167" s="1487" t="str">
        <f>IF($C$158=0,"",IF(E167&lt;80,VLOOKUP(B167,'Recommendation texts'!$A:$AV,2,FALSE),""))</f>
        <v/>
      </c>
      <c r="G167" s="1489"/>
      <c r="H167" s="1489"/>
      <c r="AB167" s="517"/>
    </row>
    <row r="168" spans="1:28" s="229" customFormat="1" ht="15">
      <c r="A168" s="516"/>
      <c r="B168" s="771" t="s">
        <v>3883</v>
      </c>
      <c r="C168" s="1112">
        <f>IF($B$7=1,Meal_entry_week_1!$AB$542,Meal_entry_week_2!$AB$542)</f>
        <v>0</v>
      </c>
      <c r="D168" s="505">
        <f>IF($B$7=1,Meal_entry_week_1!$AB$543,Meal_entry_week_2!$AB$543)</f>
        <v>0</v>
      </c>
      <c r="E168" s="506">
        <f>IF($B$7=1,IF($C$158=0,-0.0001,100*D168/Sheet1!AC128),IF($C$158=0,-0.0001,100*D168/Sheet2!AC128))</f>
        <v>-1E-4</v>
      </c>
      <c r="F168" s="1487" t="str">
        <f>IF(E168&gt;120,"Previše zasićenih masti u menijima za ovu nedelju","")</f>
        <v/>
      </c>
      <c r="G168" s="1489"/>
      <c r="H168" s="1489"/>
      <c r="AB168" s="517"/>
    </row>
    <row r="169" spans="1:28" s="229" customFormat="1" ht="15">
      <c r="A169" s="516"/>
      <c r="B169" s="770" t="s">
        <v>3884</v>
      </c>
      <c r="C169" s="1112">
        <f>IF($B$7=1,Meal_entry_week_1!$AC$542,Meal_entry_week_2!$AC$542)</f>
        <v>0</v>
      </c>
      <c r="D169" s="505">
        <f>IF($B$7=1,Meal_entry_week_1!$AC$543,Meal_entry_week_2!$AC$543)</f>
        <v>0</v>
      </c>
      <c r="E169" s="506">
        <f>IF($B$7=1,IF($C$158=0,-0.0001,100*D169/Sheet1!AC129),IF($C$158=0,-0.0001,100*D169/Sheet2!AC129))</f>
        <v>-1E-4</v>
      </c>
      <c r="F169" s="1487" t="str">
        <f>IF(E169&gt;120,"Previše soli u menijima za ovu nedelju","")</f>
        <v/>
      </c>
      <c r="G169" s="1488"/>
      <c r="H169" s="1488"/>
      <c r="AB169" s="517"/>
    </row>
    <row r="170" spans="1:28" s="229" customFormat="1" ht="15">
      <c r="A170" s="516"/>
      <c r="B170" s="770" t="s">
        <v>3885</v>
      </c>
      <c r="C170" s="1112">
        <f>IF($B$7=1,Meal_entry_week_1!$AD$542,Meal_entry_week_2!$AD$542)</f>
        <v>0</v>
      </c>
      <c r="D170" s="505">
        <f>IF($B$7=1,Meal_entry_week_1!$AD$543,Meal_entry_week_2!$AD$543)</f>
        <v>0</v>
      </c>
      <c r="E170" s="506">
        <f>IF($B$7=1,IF($C$158=0,-0.0001,100*D170/Sheet1!AC130),IF($C$158=0,-0.0001,100*D170/Sheet2!AC130))</f>
        <v>-1E-4</v>
      </c>
      <c r="F170" s="1487" t="str">
        <f>IF($C$158=0,"",IF($E170&lt;80,VLOOKUP($B170,'Recommendation texts'!$A:$AV,2,FALSE),""))</f>
        <v/>
      </c>
      <c r="G170" s="1489"/>
      <c r="H170" s="1489"/>
      <c r="AB170" s="517"/>
    </row>
    <row r="171" spans="1:28" s="229" customFormat="1" ht="15">
      <c r="A171" s="516"/>
      <c r="B171" s="770" t="s">
        <v>3886</v>
      </c>
      <c r="C171" s="1112">
        <f>IF($B$7=1,Meal_entry_week_1!$AE$542,Meal_entry_week_2!$AE$542)</f>
        <v>0</v>
      </c>
      <c r="D171" s="505">
        <f>IF($B$7=1,Meal_entry_week_1!$AE$543,Meal_entry_week_2!$AE$543)</f>
        <v>0</v>
      </c>
      <c r="E171" s="506">
        <f>IF($B$7=1,IF($C$158=0,-0.0001,100*D171/Sheet1!AC131),IF($C$158=0,-0.0001,100*D171/Sheet2!AC131))</f>
        <v>-1E-4</v>
      </c>
      <c r="F171" s="1487" t="str">
        <f>IF($C$158=0,"",IF($E171&lt;80,VLOOKUP($B171,'Recommendation texts'!$A:$AV,2,FALSE),""))</f>
        <v/>
      </c>
      <c r="G171" s="1489"/>
      <c r="H171" s="1489"/>
      <c r="AB171" s="517"/>
    </row>
    <row r="172" spans="1:28" s="229" customFormat="1" ht="15">
      <c r="A172" s="516"/>
      <c r="B172" s="770" t="s">
        <v>3887</v>
      </c>
      <c r="C172" s="1112">
        <f>IF($B$7=1,Meal_entry_week_1!$AF$542,Meal_entry_week_2!$AF$542)</f>
        <v>0</v>
      </c>
      <c r="D172" s="505">
        <f>IF($B$7=1,Meal_entry_week_1!$AF$543,Meal_entry_week_2!$AF$543)</f>
        <v>0</v>
      </c>
      <c r="E172" s="506">
        <f>IF($B$7=1,IF($C$158=0,-0.0001,100*D172/Sheet1!AC132),IF($C$158=0,-0.0001,100*D172/Sheet2!AC132))</f>
        <v>-1E-4</v>
      </c>
      <c r="F172" s="1487" t="str">
        <f>IF($C$158=0,"",IF($E172&lt;80,VLOOKUP($B172,'Recommendation texts'!$A:$AV,2,FALSE),""))</f>
        <v/>
      </c>
      <c r="G172" s="1489"/>
      <c r="H172" s="1489"/>
      <c r="AB172" s="517"/>
    </row>
    <row r="173" spans="1:28" s="229" customFormat="1" ht="15">
      <c r="A173" s="516"/>
      <c r="B173" s="770" t="s">
        <v>3888</v>
      </c>
      <c r="C173" s="1112">
        <f>IF($B$7=1,Meal_entry_week_1!$AG$542,Meal_entry_week_2!$AG$542)</f>
        <v>0</v>
      </c>
      <c r="D173" s="505">
        <f>IF($B$7=1,Meal_entry_week_1!$AG$543,Meal_entry_week_2!$AG$543)</f>
        <v>0</v>
      </c>
      <c r="E173" s="506">
        <f>IF($B$7=1,IF($C$158=0,-0.0001,100*D173/Sheet1!AC133),IF($C$158=0,-0.0001,100*D173/Sheet2!AC133))</f>
        <v>-1E-4</v>
      </c>
      <c r="F173" s="1487" t="str">
        <f>IF($C$158=0,"",IF($E173&lt;80,VLOOKUP($B173,'Recommendation texts'!$A:$AV,2,FALSE),""))</f>
        <v/>
      </c>
      <c r="G173" s="1489"/>
      <c r="H173" s="1489"/>
      <c r="AB173" s="517"/>
    </row>
    <row r="174" spans="1:28" s="229" customFormat="1" ht="15">
      <c r="A174" s="516"/>
      <c r="B174" s="770" t="s">
        <v>3889</v>
      </c>
      <c r="C174" s="1112">
        <f>IF($B$7=1,Meal_entry_week_1!$AH$542,Meal_entry_week_2!$AH$542)</f>
        <v>0</v>
      </c>
      <c r="D174" s="505">
        <f>IF($B$7=1,Meal_entry_week_1!$AH$543,Meal_entry_week_2!$AH$543)</f>
        <v>0</v>
      </c>
      <c r="E174" s="506">
        <f>IF($B$7=1,IF($C$158=0,-0.0001,100*D174/Sheet1!AC134),IF($C$158=0,-0.0001,100*D174/Sheet2!AC134))</f>
        <v>-1E-4</v>
      </c>
      <c r="F174" s="1487" t="str">
        <f>IF($C$158=0,"",IF($E174&lt;80,VLOOKUP($B174,'Recommendation texts'!$A:$AV,2,FALSE),""))</f>
        <v/>
      </c>
      <c r="G174" s="1489"/>
      <c r="H174" s="1489"/>
      <c r="AB174" s="517"/>
    </row>
    <row r="175" spans="1:28" s="229" customFormat="1" ht="15">
      <c r="A175" s="516"/>
      <c r="B175" s="770" t="s">
        <v>3890</v>
      </c>
      <c r="C175" s="1112">
        <f>IF($B$7=1,Meal_entry_week_1!$AI$542,Meal_entry_week_2!$AI$542)</f>
        <v>0</v>
      </c>
      <c r="D175" s="505">
        <f>IF($B$7=1,Meal_entry_week_1!$AI$543,Meal_entry_week_2!$AI$543)</f>
        <v>0</v>
      </c>
      <c r="E175" s="506">
        <f>IF($B$7=1,IF($C$158=0,-0.0001,100*D175/Sheet1!AC135),IF($C$158=0,-0.0001,100*D175/Sheet2!AC135))</f>
        <v>-1E-4</v>
      </c>
      <c r="F175" s="1487" t="str">
        <f>IF($C$158=0,"",IF($E175&lt;80,VLOOKUP($B175,'Recommendation texts'!$A:$AV,2,FALSE),""))</f>
        <v/>
      </c>
      <c r="G175" s="1489"/>
      <c r="H175" s="1489"/>
      <c r="AB175" s="517"/>
    </row>
    <row r="176" spans="1:28" s="229" customFormat="1" ht="15">
      <c r="A176" s="516"/>
      <c r="B176" s="770" t="s">
        <v>3891</v>
      </c>
      <c r="C176" s="1112">
        <f>IF($B$7=1,Meal_entry_week_1!$AJ$542,Meal_entry_week_2!$AJ$542)</f>
        <v>0</v>
      </c>
      <c r="D176" s="505">
        <f>IF($B$7=1,Meal_entry_week_1!$AJ$543,Meal_entry_week_2!$AJ$543)</f>
        <v>0</v>
      </c>
      <c r="E176" s="506">
        <f>IF($B$7=1,IF($C$158=0,-0.0001,100*D176/Sheet1!AC136),IF($C$158=0,-0.0001,100*D176/Sheet2!AC136))</f>
        <v>-1E-4</v>
      </c>
      <c r="F176" s="1487" t="str">
        <f>IF($C$158=0,"",IF($E176&lt;80,VLOOKUP($B176,'Recommendation texts'!$A:$AV,2,FALSE),""))</f>
        <v/>
      </c>
      <c r="G176" s="1489"/>
      <c r="H176" s="1489"/>
      <c r="AB176" s="517"/>
    </row>
    <row r="177" spans="1:28" s="229" customFormat="1" ht="15">
      <c r="A177" s="516"/>
      <c r="B177" s="770" t="s">
        <v>2990</v>
      </c>
      <c r="C177" s="1112">
        <f>IF($B$7=1,Meal_entry_week_1!$AK$542,Meal_entry_week_2!$AK$542)</f>
        <v>0</v>
      </c>
      <c r="D177" s="505">
        <f>IF($B$7=1,Meal_entry_week_1!$AK$543,Meal_entry_week_2!$AK$543)</f>
        <v>0</v>
      </c>
      <c r="E177" s="506">
        <f>IF($B$7=1,IF($C$158=0,-0.0001,100*D177/Sheet1!AC137),IF($C$158=0,-0.0001,100*D177/Sheet2!AC137))</f>
        <v>-1E-4</v>
      </c>
      <c r="F177" s="1487" t="str">
        <f>IF($C$158=0,"",IF($E177&lt;80,VLOOKUP($B177,'Recommendation texts'!$A:$AV,2,FALSE),""))</f>
        <v/>
      </c>
      <c r="G177" s="1489"/>
      <c r="H177" s="1489"/>
      <c r="AB177" s="517"/>
    </row>
    <row r="178" spans="1:28" s="229" customFormat="1" ht="15">
      <c r="A178" s="516"/>
      <c r="B178" s="770" t="s">
        <v>3892</v>
      </c>
      <c r="C178" s="1112">
        <f>IF($B$7=1,Meal_entry_week_1!$AL$542,Meal_entry_week_2!$AL$542)</f>
        <v>0</v>
      </c>
      <c r="D178" s="505">
        <f>IF($B$7=1,Meal_entry_week_1!$AL$543,Meal_entry_week_2!$AL$543)</f>
        <v>0</v>
      </c>
      <c r="E178" s="506">
        <f>IF($B$7=1,IF($C$158=0,-0.0001,100*D178/Sheet1!AC138),IF($C$158=0,-0.0001,100*D178/Sheet2!AC138))</f>
        <v>-1E-4</v>
      </c>
      <c r="F178" s="1487" t="str">
        <f>IF($C$158=0,"",IF($E178&lt;80,VLOOKUP($B178,'Recommendation texts'!$A:$AV,2,FALSE),""))</f>
        <v/>
      </c>
      <c r="G178" s="1489"/>
      <c r="H178" s="1489"/>
      <c r="AB178" s="517"/>
    </row>
    <row r="179" spans="1:28" s="229" customFormat="1">
      <c r="A179" s="516"/>
      <c r="B179" s="1295" t="s">
        <v>2985</v>
      </c>
      <c r="C179" s="1112">
        <f>IF($B$7=1,Meal_entry_week_1!$AM$542,Meal_entry_week_2!$AM$542)</f>
        <v>0</v>
      </c>
      <c r="D179" s="505">
        <f>IF($B$7=1,Meal_entry_week_1!$AM$543,Meal_entry_week_2!$AM$543)</f>
        <v>0</v>
      </c>
      <c r="E179" s="506">
        <f>IF($B$7=1,IF($C$158=0,-0.0001,100*D179/Sheet1!AC139),IF($C$158=0,-0.0001,100*D179/Sheet2!AC139))</f>
        <v>-1E-4</v>
      </c>
      <c r="F179" s="1487" t="str">
        <f>IF($C$158=0,"",IF($E179&lt;80,VLOOKUP($B179,'Recommendation texts'!$A:$AV,2,FALSE),""))</f>
        <v/>
      </c>
      <c r="G179" s="1489"/>
      <c r="H179" s="1489"/>
      <c r="AB179" s="517"/>
    </row>
    <row r="180" spans="1:28" s="229" customFormat="1" ht="15">
      <c r="A180" s="516"/>
      <c r="B180" s="770" t="s">
        <v>3893</v>
      </c>
      <c r="C180" s="1112">
        <f>IF($B$7=1,Meal_entry_week_1!$AN$542,Meal_entry_week_2!$AN$542)</f>
        <v>0</v>
      </c>
      <c r="D180" s="505">
        <f>IF($B$7=1,Meal_entry_week_1!$AN$543,Meal_entry_week_2!$AN$543)</f>
        <v>0</v>
      </c>
      <c r="E180" s="506">
        <f>IF($B$7=1,IF($C$158=0,-0.0001,100*D180/Sheet1!AC140),IF($C$158=0,-0.0001,100*D180/Sheet2!AC140))</f>
        <v>-1E-4</v>
      </c>
      <c r="F180" s="1487" t="str">
        <f>IF($C$158=0,"",IF($E180&lt;80,VLOOKUP($B180,'Recommendation texts'!$A:$AV,2,FALSE),""))</f>
        <v/>
      </c>
      <c r="G180" s="1489"/>
      <c r="H180" s="1489"/>
      <c r="AB180" s="517"/>
    </row>
    <row r="181" spans="1:28" s="229" customFormat="1" ht="15">
      <c r="A181" s="516"/>
      <c r="B181" s="770" t="s">
        <v>2986</v>
      </c>
      <c r="C181" s="1112">
        <f>IF($B$7=1,Meal_entry_week_1!$AO$542,Meal_entry_week_2!$AO$542)</f>
        <v>0</v>
      </c>
      <c r="D181" s="505">
        <f>IF($B$7=1,Meal_entry_week_1!$AO$543,Meal_entry_week_2!$AO$543)</f>
        <v>0</v>
      </c>
      <c r="E181" s="506">
        <f>IF($B$7=1,IF($C$158=0,-0.0001,100*D181/Sheet1!AC141),IF($C$158=0,-0.0001,100*D181/Sheet2!AC141))</f>
        <v>-1E-4</v>
      </c>
      <c r="F181" s="1487" t="str">
        <f>IF($C$158=0,"",IF($E181&lt;80,VLOOKUP($B181,'Recommendation texts'!$A:$AV,2,FALSE),""))</f>
        <v/>
      </c>
      <c r="G181" s="1489"/>
      <c r="H181" s="1489"/>
      <c r="AB181" s="517"/>
    </row>
    <row r="182" spans="1:28" s="229" customFormat="1" ht="15">
      <c r="A182" s="516"/>
      <c r="B182" s="770" t="s">
        <v>3894</v>
      </c>
      <c r="C182" s="1112">
        <f>IF($B$7=1,Meal_entry_week_1!$AP$542,Meal_entry_week_2!$AP$542)</f>
        <v>0</v>
      </c>
      <c r="D182" s="505">
        <f>IF($B$7=1,Meal_entry_week_1!$AP$543,Meal_entry_week_2!$AP$543)</f>
        <v>0</v>
      </c>
      <c r="E182" s="506">
        <f>IF($B$7=1,IF($C$158=0,-0.0001,100*D182/Sheet1!AC142),IF($C$158=0,-0.0001,100*D182/Sheet2!AC142))</f>
        <v>-1E-4</v>
      </c>
      <c r="F182" s="1487" t="str">
        <f>IF($C$158=0,"",IF($E182&lt;80,VLOOKUP($B182,'Recommendation texts'!$A:$AV,2,FALSE),""))</f>
        <v/>
      </c>
      <c r="G182" s="1489"/>
      <c r="H182" s="1489"/>
      <c r="AB182" s="517"/>
    </row>
    <row r="183" spans="1:28" s="229" customFormat="1" ht="15">
      <c r="A183" s="516"/>
      <c r="B183" s="770" t="s">
        <v>2987</v>
      </c>
      <c r="C183" s="1112">
        <f>IF($B$7=1,Meal_entry_week_1!$AQ$542,Meal_entry_week_2!$AQ$542)</f>
        <v>0</v>
      </c>
      <c r="D183" s="505">
        <f>IF($B$7=1,Meal_entry_week_1!$AQ$543,Meal_entry_week_2!$AQ$543)</f>
        <v>0</v>
      </c>
      <c r="E183" s="506">
        <f>IF($B$7=1,IF($C$158=0,-0.0001,100*D183/Sheet1!AC143),IF($C$158=0,-0.0001,100*D183/Sheet2!AC143))</f>
        <v>-1E-4</v>
      </c>
      <c r="F183" s="1487" t="str">
        <f>IF($C$158=0,"",IF($E183&lt;80,VLOOKUP($B183,'Recommendation texts'!$A:$AV,2,FALSE),""))</f>
        <v/>
      </c>
      <c r="G183" s="1489"/>
      <c r="H183" s="1489"/>
      <c r="AB183" s="517"/>
    </row>
    <row r="184" spans="1:28" s="229" customFormat="1" ht="15">
      <c r="A184" s="516"/>
      <c r="B184" s="770" t="s">
        <v>2988</v>
      </c>
      <c r="C184" s="1112">
        <f>IF($B$7=1,Meal_entry_week_1!$AR$542,Meal_entry_week_2!$AR$542)</f>
        <v>0</v>
      </c>
      <c r="D184" s="505">
        <f>IF($B$7=1,Meal_entry_week_1!$AR$543,Meal_entry_week_2!$AR$543)</f>
        <v>0</v>
      </c>
      <c r="E184" s="506">
        <f>IF($B$7=1,IF($C$158=0,-0.0001,100*D184/Sheet1!AC144),IF($C$158=0,-0.0001,100*D184/Sheet2!AC144))</f>
        <v>-1E-4</v>
      </c>
      <c r="F184" s="1487" t="str">
        <f>IF($C$158=0,"",IF($E184&lt;80,VLOOKUP($B184,'Recommendation texts'!$A:$AV,2,FALSE),""))</f>
        <v/>
      </c>
      <c r="G184" s="1489"/>
      <c r="H184" s="1489"/>
      <c r="AB184" s="517"/>
    </row>
    <row r="185" spans="1:28" s="229" customFormat="1" ht="16" thickBot="1">
      <c r="A185" s="516"/>
      <c r="B185" s="1307" t="s">
        <v>2989</v>
      </c>
      <c r="C185" s="501">
        <f>IF($B$7=1,Meal_entry_week_1!$AS$542,Meal_entry_week_2!$AS$542)</f>
        <v>0</v>
      </c>
      <c r="D185" s="502">
        <f>IF($B$7=1,Meal_entry_week_1!$AS$543,Meal_entry_week_2!$AS$543)</f>
        <v>0</v>
      </c>
      <c r="E185" s="503">
        <f>IF($B$7=1,IF($C$158=0,-0.0001,100*D185/Sheet1!AC145),IF($C$158=0,-0.0001,100*D185/Sheet2!AC145))</f>
        <v>-1E-4</v>
      </c>
      <c r="F185" s="1490" t="str">
        <f>IF($C$158=0,"",IF($E185&lt;80,VLOOKUP($B185,'Recommendation texts'!$A:$AV,2,FALSE),""))</f>
        <v/>
      </c>
      <c r="G185" s="1491"/>
      <c r="H185" s="1491"/>
      <c r="AB185" s="517"/>
    </row>
    <row r="186" spans="1:28">
      <c r="A186" s="551" t="str">
        <f>IF(C158=0,"",IF(E163&gt;85,0,1))</f>
        <v/>
      </c>
      <c r="B186" s="552" t="str">
        <f>IF(C158=0,"",IF(E164&gt;85,0,1))</f>
        <v/>
      </c>
      <c r="C186" s="552" t="str">
        <f>IF(C158=0,"",IF(E165&gt;85,0,1))</f>
        <v/>
      </c>
      <c r="D186" s="552" t="str">
        <f>IF(C158=0,"",IF(E166&gt;85,0,1))</f>
        <v/>
      </c>
      <c r="E186" s="552" t="str">
        <f>IF(C158=0,"",IF(E167&gt;85,0,1))</f>
        <v/>
      </c>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row>
    <row r="187" spans="1:28" s="100" customFormat="1" ht="8" customHeight="1">
      <c r="A187" s="104"/>
      <c r="B187" s="120"/>
      <c r="C187" s="104"/>
      <c r="D187" s="104"/>
      <c r="F187" s="288">
        <f>IF(AND(D61&lt;=100,D61&gt;=50),4,0)</f>
        <v>0</v>
      </c>
      <c r="G187" s="288">
        <f>IF(D61&lt;50,5,0)</f>
        <v>0</v>
      </c>
      <c r="H187" s="288">
        <f>SUM(E187:G187)</f>
        <v>0</v>
      </c>
      <c r="I187"/>
      <c r="J187"/>
      <c r="K187"/>
      <c r="L187"/>
      <c r="M187"/>
      <c r="N187"/>
      <c r="O187"/>
      <c r="P187"/>
      <c r="Q187"/>
      <c r="R187"/>
      <c r="S187"/>
      <c r="T187"/>
      <c r="U187"/>
      <c r="V187"/>
      <c r="W187"/>
      <c r="X187"/>
      <c r="Y187"/>
      <c r="Z187"/>
      <c r="AA187"/>
      <c r="AB187"/>
    </row>
    <row r="188" spans="1:28" s="2" customFormat="1" ht="48" customHeight="1">
      <c r="A188" s="292"/>
      <c r="B188" s="1002" t="s">
        <v>4012</v>
      </c>
      <c r="C188" s="996" t="s">
        <v>4017</v>
      </c>
      <c r="D188" s="1328" t="s">
        <v>4018</v>
      </c>
      <c r="E188" s="1329" t="s">
        <v>4008</v>
      </c>
      <c r="F188" s="992" t="s">
        <v>4023</v>
      </c>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row>
    <row r="189" spans="1:28" ht="15" customHeight="1">
      <c r="A189" s="573">
        <v>1</v>
      </c>
      <c r="B189" s="373" t="s">
        <v>3587</v>
      </c>
      <c r="C189" s="301">
        <f>IF($B$7=1,Meal_entry_week_1!Q$32+Meal_entry_week_1!Q$51+Meal_entry_week_1!Q$83+Meal_entry_week_1!Q$102,Meal_entry_week_2!Q$32+Meal_entry_week_2!Q$51+Meal_entry_week_2!Q$83+Meal_entry_week_2!Q$102)</f>
        <v>884.7</v>
      </c>
      <c r="D189" s="494"/>
      <c r="E189" s="297"/>
      <c r="F189" s="1501" t="str">
        <f>IF(C189=0,"",CONCATENATE('Recommendation texts'!C$88,IF(A189&gt;0,'Recommendation texts'!D$89,'Recommendation texts'!D$88),IF(A217=0,'Recommendation texts'!E$88,'Recommendation texts'!E$89),IF(A189&gt;0,'Recommendation texts'!F$89,'Recommendation texts'!F$88),IF(B217=0,'Recommendation texts'!G$88,'Recommendation texts'!G$89),'Recommendation texts'!H$88,IF(C217=0,(IF(B217=1,'Recommendation texts'!I$84,'Recommendation texts'!I$88)),'Recommendation texts'!I$89),'Recommendation texts'!J$88,IF(D217=0,(IF(C217=1,'Recommendation texts'!K$84,'Recommendation texts'!K$88)),'Recommendation texts'!K$89),'Recommendation texts'!L$88,IF(E217=0,'Recommendation texts'!M$88,'Recommendation texts'!M$89),'Recommendation texts'!N$88))</f>
        <v>Overall, after subtracting plate waste, the menus for this day have INSUFFICIENT calories for the day, they have INSUFFICIENT carbohydrates, INSUFFICIENT protein, INSUFFICIENT fat, and sufficient fibre in meals.</v>
      </c>
      <c r="G189" s="1502"/>
      <c r="H189" s="493"/>
      <c r="AB189" s="295"/>
    </row>
    <row r="190" spans="1:28" ht="15" customHeight="1">
      <c r="A190" s="293"/>
      <c r="B190" s="871" t="s">
        <v>3990</v>
      </c>
      <c r="C190" s="982">
        <f>IF($B$7=1,Meal_entry_week_1!R$32+Meal_entry_week_1!R$51+Meal_entry_week_1!R$83+Meal_entry_week_1!R$102,Meal_entry_week_2!R$32+Meal_entry_week_2!R$51+Meal_entry_week_2!R$83+Meal_entry_week_2!R$102)</f>
        <v>217.69600000000003</v>
      </c>
      <c r="D190" s="320">
        <f>IF($B$7=1,Meal_entry_week_1!I547/100,Meal_entry_week_2!I547/100)</f>
        <v>0.2460675907531639</v>
      </c>
      <c r="E190" s="66"/>
      <c r="F190" s="1501"/>
      <c r="G190" s="1502"/>
      <c r="H190" s="493"/>
      <c r="AB190" s="295"/>
    </row>
    <row r="191" spans="1:28" ht="15" customHeight="1" thickBot="1">
      <c r="A191" s="293"/>
      <c r="B191" s="1257" t="s">
        <v>3987</v>
      </c>
      <c r="C191" s="1258">
        <f>IF($B$7=1,Meal_entry_week_1!T$32+Meal_entry_week_1!T$51+Meal_entry_week_1!T$83+Meal_entry_week_1!T$102,Meal_entry_week_2!T$32+Meal_entry_week_2!T$51+Meal_entry_week_2!T$83+Meal_entry_week_2!T$102)</f>
        <v>126.89335</v>
      </c>
      <c r="D191" s="482"/>
      <c r="E191" s="480" t="s">
        <v>3980</v>
      </c>
      <c r="F191" s="1501"/>
      <c r="G191" s="1502"/>
      <c r="H191" s="493"/>
      <c r="AB191" s="295"/>
    </row>
    <row r="192" spans="1:28" ht="15" customHeight="1">
      <c r="A192" s="293"/>
      <c r="B192" s="401" t="s">
        <v>3988</v>
      </c>
      <c r="C192" s="403">
        <f>IF($B$7=1,Meal_entry_week_1!U$32+Meal_entry_week_1!U$51+Meal_entry_week_1!U$83+Meal_entry_week_1!U$102,Meal_entry_week_2!U$32+Meal_entry_week_2!U$51+Meal_entry_week_2!U$83+Meal_entry_week_2!U$102)</f>
        <v>33.419936900000003</v>
      </c>
      <c r="D192" s="481">
        <f>IF($B$7=1,Meal_entry_week_1!J547/100,Meal_entry_week_2!J547/100)</f>
        <v>0.26337025751386833</v>
      </c>
      <c r="E192" s="492"/>
      <c r="F192" s="1497" t="s">
        <v>3986</v>
      </c>
      <c r="G192" s="1498"/>
      <c r="H192" s="493"/>
      <c r="AB192" s="295"/>
    </row>
    <row r="193" spans="1:28" ht="15" customHeight="1" thickBot="1">
      <c r="A193" s="294"/>
      <c r="B193" s="1256" t="s">
        <v>3989</v>
      </c>
      <c r="C193" s="1255">
        <f>IF($B$7=1,Meal_entry_week_1!V$32+Meal_entry_week_1!V$51+Meal_entry_week_1!V$83+Meal_entry_week_1!V$102,Meal_entry_week_2!V$32+Meal_entry_week_2!V$51+Meal_entry_week_2!V$83+Meal_entry_week_2!V$102)</f>
        <v>1262.944</v>
      </c>
      <c r="D193" s="285"/>
      <c r="E193" s="492"/>
      <c r="F193" s="1499"/>
      <c r="G193" s="1500"/>
      <c r="H193" s="489"/>
      <c r="AB193" s="295"/>
    </row>
    <row r="194" spans="1:28" s="229" customFormat="1">
      <c r="A194" s="513"/>
      <c r="B194" s="1306" t="s">
        <v>3878</v>
      </c>
      <c r="C194" s="1252">
        <f>IF($B$7=1,Meal_entry_week_1!$W$107,Meal_entry_week_2!$W$107)</f>
        <v>1168.7228250349649</v>
      </c>
      <c r="D194" s="1253">
        <f>IF($B$7=1,Meal_entry_week_1!$W$108,Meal_entry_week_2!$W$108)</f>
        <v>831.86266530068963</v>
      </c>
      <c r="E194" s="506">
        <f>IF($B$7=1,100*Meal_entry_week_1!$W$108/Sheet1!$I123,100*Meal_entry_week_2!$W$108/Sheet2!$I123)</f>
        <v>59.418761807192119</v>
      </c>
      <c r="F194" s="1487" t="str">
        <f>IF(E194&lt;80,VLOOKUP(B194,'Recommendation texts'!$A:$AV,2,FALSE),"")</f>
        <v>After allowing for plate waste, the menus for this day are lower than recommeded in energy (kcal) overall.</v>
      </c>
      <c r="G194" s="1489"/>
      <c r="H194" s="1489"/>
      <c r="AB194" s="515"/>
    </row>
    <row r="195" spans="1:28" s="229" customFormat="1">
      <c r="A195" s="513"/>
      <c r="B195" s="768" t="s">
        <v>3879</v>
      </c>
      <c r="C195" s="1112">
        <f>IF($B$7=1,Meal_entry_week_1!$X$107,Meal_entry_week_2!$X$107)</f>
        <v>156.18715893711638</v>
      </c>
      <c r="D195" s="505">
        <f>IF($B$7=1,Meal_entry_week_1!$X$108,Meal_entry_week_2!$X$108)</f>
        <v>108.11288717742993</v>
      </c>
      <c r="E195" s="506">
        <f>IF($B$7=1,100*Meal_entry_week_1!$X$108/Sheet1!$I124,100*Meal_entry_week_2!$X$108/Sheet2!$I124)</f>
        <v>56.162538793470091</v>
      </c>
      <c r="F195" s="1487" t="str">
        <f>IF(E195&lt;80,VLOOKUP(B195,'Recommendation texts'!$A:$AV,2,FALSE),"")</f>
        <v>After allowing for plate waste, the menus for this day are lower than recommended in carbohydrates overall.</v>
      </c>
      <c r="G195" s="1489"/>
      <c r="H195" s="1489"/>
      <c r="AB195" s="515"/>
    </row>
    <row r="196" spans="1:28" s="229" customFormat="1">
      <c r="A196" s="513"/>
      <c r="B196" s="768" t="s">
        <v>3880</v>
      </c>
      <c r="C196" s="1112">
        <f>IF($B$7=1,Meal_entry_week_1!$Y$107,Meal_entry_week_2!$Y$107)</f>
        <v>45.009290831742192</v>
      </c>
      <c r="D196" s="505">
        <f>IF($B$7=1,Meal_entry_week_1!$Y$108,Meal_entry_week_2!$Y$108)</f>
        <v>33.187830656769364</v>
      </c>
      <c r="E196" s="506">
        <f>IF($B$7=1,100*Meal_entry_week_1!$Y$108/Sheet1!$I125,100*Meal_entry_week_2!$Y$108/Sheet2!$I125)</f>
        <v>68.119521052482284</v>
      </c>
      <c r="F196" s="1487" t="str">
        <f>IF(E196&lt;80,VLOOKUP(B196,'Recommendation texts'!$A:$AV,2,FALSE),"")</f>
        <v>After allowing for plate waste, the menus for this day are lower than recommended in protein overall.</v>
      </c>
      <c r="G196" s="1489"/>
      <c r="H196" s="1489"/>
      <c r="AB196" s="515"/>
    </row>
    <row r="197" spans="1:28" s="229" customFormat="1">
      <c r="A197" s="513"/>
      <c r="B197" s="768" t="s">
        <v>3881</v>
      </c>
      <c r="C197" s="1112">
        <f>IF($B$7=1,Meal_entry_week_1!$Z$107,Meal_entry_week_2!$Z$107)</f>
        <v>38.274943576127448</v>
      </c>
      <c r="D197" s="505">
        <f>IF($B$7=1,Meal_entry_week_1!$Z$108,Meal_entry_week_2!$Z$108)</f>
        <v>28.174283042653414</v>
      </c>
      <c r="E197" s="506">
        <f>IF($B$7=1,100*Meal_entry_week_1!$Z$108/Sheet1!$I126,100*Meal_entry_week_2!$Z$108/Sheet2!$I126)</f>
        <v>60.373469700175725</v>
      </c>
      <c r="F197" s="1487" t="str">
        <f>IF(E197&lt;80,VLOOKUP(B197,'Recommendation texts'!$A:$AV,2,FALSE),"")</f>
        <v>After allowing for plate waste, the menus for this day are lower than recommended in fat overall.</v>
      </c>
      <c r="G197" s="1489"/>
      <c r="H197" s="1489"/>
      <c r="AB197" s="515"/>
    </row>
    <row r="198" spans="1:28" s="229" customFormat="1" ht="15">
      <c r="A198" s="513"/>
      <c r="B198" s="770" t="s">
        <v>3882</v>
      </c>
      <c r="C198" s="1112">
        <f>IF($B$7=1,Meal_entry_week_1!$AA$107,Meal_entry_week_2!$AA$107)</f>
        <v>21.540816624838833</v>
      </c>
      <c r="D198" s="505">
        <f>IF($B$7=1,Meal_entry_week_1!$AA$108,Meal_entry_week_2!$AA$108)</f>
        <v>15.145241926247827</v>
      </c>
      <c r="E198" s="506">
        <f>IF($B$7=1,100*Meal_entry_week_1!$AA$108/Sheet1!$I127,100*Meal_entry_week_2!$AA$108/Sheet2!$I127)</f>
        <v>108.18029947319876</v>
      </c>
      <c r="F198" s="1487" t="str">
        <f>IF(E198&lt;80,VLOOKUP(B198,'Recommendation texts'!$A:$AV,2,FALSE),"")</f>
        <v/>
      </c>
      <c r="G198" s="1489"/>
      <c r="H198" s="1489"/>
      <c r="AB198" s="515"/>
    </row>
    <row r="199" spans="1:28" s="229" customFormat="1" ht="15">
      <c r="A199" s="513"/>
      <c r="B199" s="771" t="s">
        <v>3883</v>
      </c>
      <c r="C199" s="1112">
        <f>IF($B$7=1,Meal_entry_week_1!$AB$107,Meal_entry_week_2!$AB$107)</f>
        <v>9.3154851987982035</v>
      </c>
      <c r="D199" s="505">
        <f>IF($B$7=1,Meal_entry_week_1!$AB$108,Meal_entry_week_2!$AB$108)</f>
        <v>7.1031456679742657</v>
      </c>
      <c r="E199" s="506">
        <f>IF($B$7=1,100*Meal_entry_week_1!$AB$108/Sheet1!$I128,100*Meal_entry_week_2!$AB$108/Sheet2!$I128)</f>
        <v>46.124322519313409</v>
      </c>
      <c r="F199" s="1487" t="str">
        <f>IF(E199&gt;120,"Previše zasićenih masti u menijima za ovaj dan","")</f>
        <v/>
      </c>
      <c r="G199" s="1488"/>
      <c r="H199" s="1488"/>
      <c r="AB199" s="515"/>
    </row>
    <row r="200" spans="1:28" s="229" customFormat="1" ht="15">
      <c r="A200" s="513"/>
      <c r="B200" s="770" t="s">
        <v>3884</v>
      </c>
      <c r="C200" s="1112">
        <f>IF($B$7=1,Meal_entry_week_1!$AC$107,Meal_entry_week_2!$AC$107)</f>
        <v>1554.279965034965</v>
      </c>
      <c r="D200" s="505">
        <f>IF($B$7=1,Meal_entry_week_1!$AC$108,Meal_entry_week_2!$AC$108)</f>
        <v>1038.5103216253715</v>
      </c>
      <c r="E200" s="506">
        <f>IF($B$7=1,100*Meal_entry_week_1!$AC$108/Sheet1!$I129,100*Meal_entry_week_2!$AC$108/Sheet2!$I129)</f>
        <v>99.712041750262131</v>
      </c>
      <c r="F200" s="1487" t="str">
        <f>IF(E200&gt;120,"Previše soli u menijima za ovaj dan","")</f>
        <v/>
      </c>
      <c r="G200" s="1488"/>
      <c r="H200" s="1488"/>
      <c r="AB200" s="515"/>
    </row>
    <row r="201" spans="1:28" s="229" customFormat="1" ht="15">
      <c r="A201" s="513"/>
      <c r="B201" s="770" t="s">
        <v>3885</v>
      </c>
      <c r="C201" s="1112">
        <f>IF($B$7=1,Meal_entry_week_1!$AD$107,Meal_entry_week_2!$AD$107)</f>
        <v>1984.8160000000003</v>
      </c>
      <c r="D201" s="505">
        <f>IF($B$7=1,Meal_entry_week_1!$AD$108,Meal_entry_week_2!$AD$108)</f>
        <v>1479.2022129972029</v>
      </c>
      <c r="E201" s="506">
        <f>IF($B$7=1,100*Meal_entry_week_1!$AD$108/Sheet1!$I130,100*Meal_entry_week_2!$AD$108/Sheet2!$I130)</f>
        <v>117.39700103152404</v>
      </c>
      <c r="F201" s="1487" t="str">
        <f>IF($E201&lt;80,VLOOKUP($B201,'Recommendation texts'!$A:$AV,2,FALSE),"")</f>
        <v/>
      </c>
      <c r="G201" s="1489"/>
      <c r="H201" s="1489"/>
      <c r="AB201" s="515"/>
    </row>
    <row r="202" spans="1:28" s="229" customFormat="1" ht="15">
      <c r="A202" s="513"/>
      <c r="B202" s="770" t="s">
        <v>3886</v>
      </c>
      <c r="C202" s="1112">
        <f>IF($B$7=1,Meal_entry_week_1!$AE$107,Meal_entry_week_2!$AE$107)</f>
        <v>374.47699999999998</v>
      </c>
      <c r="D202" s="505">
        <f>IF($B$7=1,Meal_entry_week_1!$AE$108,Meal_entry_week_2!$AE$108)</f>
        <v>288.89471371017163</v>
      </c>
      <c r="E202" s="506">
        <f>IF($B$7=1,100*Meal_entry_week_1!$AE$108/Sheet1!$I131,100*Meal_entry_week_2!$AE$108/Sheet2!$I131)</f>
        <v>52.241358717933387</v>
      </c>
      <c r="F202" s="1487" t="str">
        <f>IF($E202&lt;80,VLOOKUP($B202,'Recommendation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202" s="1489"/>
      <c r="H202" s="1489"/>
      <c r="AB202" s="515"/>
    </row>
    <row r="203" spans="1:28" s="229" customFormat="1" ht="15">
      <c r="A203" s="513"/>
      <c r="B203" s="770" t="s">
        <v>3887</v>
      </c>
      <c r="C203" s="1112">
        <f>IF($B$7=1,Meal_entry_week_1!$AF$107,Meal_entry_week_2!$AF$107)</f>
        <v>185.69855506993005</v>
      </c>
      <c r="D203" s="505">
        <f>IF($B$7=1,Meal_entry_week_1!$AF$108,Meal_entry_week_2!$AF$108)</f>
        <v>136.77670946178813</v>
      </c>
      <c r="E203" s="506">
        <f>IF($B$7=1,100*Meal_entry_week_1!$AF$108/Sheet1!$I132,100*Meal_entry_week_2!$AF$108/Sheet2!$I132)</f>
        <v>97.697649615562952</v>
      </c>
      <c r="F203" s="1487" t="str">
        <f>IF($E203&lt;80,VLOOKUP($B203,'Recommendation texts'!$A:$AV,2,FALSE),"")</f>
        <v/>
      </c>
      <c r="G203" s="1489"/>
      <c r="H203" s="1489"/>
      <c r="AB203" s="515"/>
    </row>
    <row r="204" spans="1:28" s="229" customFormat="1" ht="15">
      <c r="A204" s="513"/>
      <c r="B204" s="770" t="s">
        <v>3888</v>
      </c>
      <c r="C204" s="1112">
        <f>IF($B$7=1,Meal_entry_week_1!$AG$107,Meal_entry_week_2!$AG$107)</f>
        <v>681.46699999999998</v>
      </c>
      <c r="D204" s="505">
        <f>IF($B$7=1,Meal_entry_week_1!$AG$108,Meal_entry_week_2!$AG$108)</f>
        <v>524.73802863326387</v>
      </c>
      <c r="E204" s="506">
        <f>IF($B$7=1,100*Meal_entry_week_1!$AG$108/Sheet1!$I133,100*Meal_entry_week_2!$AG$108/Sheet2!$I133)</f>
        <v>120.90737986941565</v>
      </c>
      <c r="F204" s="1487" t="str">
        <f>IF($E204&lt;80,VLOOKUP($B204,'Recommendation texts'!$A:$AV,2,FALSE),"")</f>
        <v/>
      </c>
      <c r="G204" s="1489"/>
      <c r="H204" s="1489"/>
      <c r="AB204" s="515"/>
    </row>
    <row r="205" spans="1:28" s="229" customFormat="1" ht="15">
      <c r="A205" s="513"/>
      <c r="B205" s="770" t="s">
        <v>3889</v>
      </c>
      <c r="C205" s="1112">
        <f>IF($B$7=1,Meal_entry_week_1!$AH$107,Meal_entry_week_2!$AH$107)</f>
        <v>8.8756669935552353</v>
      </c>
      <c r="D205" s="505">
        <f>IF($B$7=1,Meal_entry_week_1!$AH$108,Meal_entry_week_2!$AH$108)</f>
        <v>6.3425294669153249</v>
      </c>
      <c r="E205" s="506">
        <f>IF($B$7=1,100*Meal_entry_week_1!$AH$108/Sheet1!$I134,100*Meal_entry_week_2!$AH$108/Sheet2!$I134)</f>
        <v>82.370512557341883</v>
      </c>
      <c r="F205" s="1487" t="str">
        <f>IF($E205&lt;80,VLOOKUP($B205,'Recommendation texts'!$A:$AV,2,FALSE),"")</f>
        <v/>
      </c>
      <c r="G205" s="1489"/>
      <c r="H205" s="1489"/>
      <c r="AB205" s="515"/>
    </row>
    <row r="206" spans="1:28" s="229" customFormat="1" ht="15">
      <c r="A206" s="513"/>
      <c r="B206" s="770" t="s">
        <v>3890</v>
      </c>
      <c r="C206" s="1112">
        <f>IF($B$7=1,Meal_entry_week_1!$AI$107,Meal_entry_week_2!$AI$107)</f>
        <v>9.1307888597411839</v>
      </c>
      <c r="D206" s="505">
        <f>IF($B$7=1,Meal_entry_week_1!$AI$108,Meal_entry_week_2!$AI$108)</f>
        <v>6.3319628223471369</v>
      </c>
      <c r="E206" s="506">
        <f>IF($B$7=1,100*Meal_entry_week_1!$AI$108/Sheet1!$I135,100*Meal_entry_week_2!$AI$108/Sheet2!$I135)</f>
        <v>129.22373106830889</v>
      </c>
      <c r="F206" s="1487" t="str">
        <f>IF($E206&lt;80,VLOOKUP($B206,'Recommendation texts'!$A:$AV,2,FALSE),"")</f>
        <v/>
      </c>
      <c r="G206" s="1489"/>
      <c r="H206" s="1489"/>
      <c r="AB206" s="515"/>
    </row>
    <row r="207" spans="1:28" s="229" customFormat="1" ht="15">
      <c r="A207" s="513"/>
      <c r="B207" s="770" t="s">
        <v>3891</v>
      </c>
      <c r="C207" s="1112">
        <f>IF($B$7=1,Meal_entry_week_1!$AJ$107,Meal_entry_week_2!$AJ$107)</f>
        <v>1.3645106152028363</v>
      </c>
      <c r="D207" s="505">
        <f>IF($B$7=1,Meal_entry_week_1!$AJ$108,Meal_entry_week_2!$AJ$108)</f>
        <v>0.95446609483624389</v>
      </c>
      <c r="E207" s="506">
        <f>IF($B$7=1,100*Meal_entry_week_1!$AJ$108/Sheet1!$I136,100*Meal_entry_week_2!$AJ$108/Sheet2!$I136)</f>
        <v>136.35229926232057</v>
      </c>
      <c r="F207" s="1487" t="str">
        <f>IF($E207&lt;80,VLOOKUP($B207,'Recommendation texts'!$A:$AV,2,FALSE),"")</f>
        <v/>
      </c>
      <c r="G207" s="1489"/>
      <c r="H207" s="1489"/>
      <c r="AB207" s="515"/>
    </row>
    <row r="208" spans="1:28" s="229" customFormat="1" ht="15">
      <c r="A208" s="513"/>
      <c r="B208" s="770" t="s">
        <v>2990</v>
      </c>
      <c r="C208" s="1112">
        <f>IF($B$7=1,Meal_entry_week_1!$AK$107,Meal_entry_week_2!$AK$107)</f>
        <v>492.46899999999999</v>
      </c>
      <c r="D208" s="505">
        <f>IF($B$7=1,Meal_entry_week_1!$AK$108,Meal_entry_week_2!$AK$108)</f>
        <v>387.85590598179783</v>
      </c>
      <c r="E208" s="506">
        <f>IF($B$7=1,100*Meal_entry_week_1!$AK$108/Sheet1!$I137,100*Meal_entry_week_2!$AK$108/Sheet2!$I137)</f>
        <v>69.259983211035333</v>
      </c>
      <c r="F208" s="1487" t="str">
        <f>IF($E208&lt;80,VLOOKUP($B208,'Recommendation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208" s="1489"/>
      <c r="H208" s="1489"/>
      <c r="AB208" s="515"/>
    </row>
    <row r="209" spans="1:28" s="229" customFormat="1" ht="15">
      <c r="A209" s="513"/>
      <c r="B209" s="770" t="s">
        <v>3892</v>
      </c>
      <c r="C209" s="1112">
        <f>IF($B$7=1,Meal_entry_week_1!$AL$107,Meal_entry_week_2!$AL$107)</f>
        <v>0.94729914627655631</v>
      </c>
      <c r="D209" s="505">
        <f>IF($B$7=1,Meal_entry_week_1!$AL$108,Meal_entry_week_2!$AL$108)</f>
        <v>0.67724042338288604</v>
      </c>
      <c r="E209" s="506">
        <f>IF($B$7=1,100*Meal_entry_week_1!$AL$108/Sheet1!$I138,100*Meal_entry_week_2!$AL$108/Sheet2!$I138)</f>
        <v>96.74863191184086</v>
      </c>
      <c r="F209" s="1487" t="str">
        <f>IF($E209&lt;80,VLOOKUP($B209,'Recommendation texts'!$A:$AV,2,FALSE),"")</f>
        <v/>
      </c>
      <c r="G209" s="1489"/>
      <c r="H209" s="1489"/>
      <c r="AB209" s="515"/>
    </row>
    <row r="210" spans="1:28" s="229" customFormat="1">
      <c r="A210" s="513"/>
      <c r="B210" s="1295" t="s">
        <v>2985</v>
      </c>
      <c r="C210" s="1112">
        <f>IF($B$7=1,Meal_entry_week_1!$AM$107,Meal_entry_week_2!$AM$107)</f>
        <v>0.78877158107590617</v>
      </c>
      <c r="D210" s="505">
        <f>IF($B$7=1,Meal_entry_week_1!$AM$108,Meal_entry_week_2!$AM$108)</f>
        <v>0.61918522625009609</v>
      </c>
      <c r="E210" s="506">
        <f>IF($B$7=1,100*Meal_entry_week_1!$AM$108/Sheet1!$I139,100*Meal_entry_week_2!$AM$108/Sheet2!$I139)</f>
        <v>84.24288792518314</v>
      </c>
      <c r="F210" s="1487" t="str">
        <f>IF($E210&lt;80,VLOOKUP($B210,'Recommendation texts'!$A:$AV,2,FALSE),"")</f>
        <v/>
      </c>
      <c r="G210" s="1489"/>
      <c r="H210" s="1489"/>
      <c r="AB210" s="515"/>
    </row>
    <row r="211" spans="1:28" s="229" customFormat="1" ht="15">
      <c r="A211" s="513"/>
      <c r="B211" s="770" t="s">
        <v>3893</v>
      </c>
      <c r="C211" s="1112">
        <f>IF($B$7=1,Meal_entry_week_1!$AN$107,Meal_entry_week_2!$AN$107)</f>
        <v>17.822007986654871</v>
      </c>
      <c r="D211" s="505">
        <f>IF($B$7=1,Meal_entry_week_1!$AN$108,Meal_entry_week_2!$AN$108)</f>
        <v>12.92708585660376</v>
      </c>
      <c r="E211" s="506">
        <f>IF($B$7=1,100*Meal_entry_week_1!$AN$108/Sheet1!$I140,100*Meal_entry_week_2!$AN$108/Sheet2!$I140)</f>
        <v>142.05588853410725</v>
      </c>
      <c r="F211" s="1487" t="str">
        <f>IF($E211&lt;80,VLOOKUP($B211,'Recommendation texts'!$A:$AV,2,FALSE),"")</f>
        <v/>
      </c>
      <c r="G211" s="1489"/>
      <c r="H211" s="1489"/>
      <c r="AB211" s="515"/>
    </row>
    <row r="212" spans="1:28" s="229" customFormat="1" ht="15">
      <c r="A212" s="513"/>
      <c r="B212" s="770" t="s">
        <v>2986</v>
      </c>
      <c r="C212" s="1112">
        <f>IF($B$7=1,Meal_entry_week_1!$AO$107,Meal_entry_week_2!$AO$107)</f>
        <v>1.32126076393503</v>
      </c>
      <c r="D212" s="505">
        <f>IF($B$7=1,Meal_entry_week_1!$AO$108,Meal_entry_week_2!$AO$108)</f>
        <v>0.98482019337296478</v>
      </c>
      <c r="E212" s="506">
        <f>IF($B$7=1,100*Meal_entry_week_1!$AO$108/Sheet1!$I141,100*Meal_entry_week_2!$AO$108/Sheet2!$I141)</f>
        <v>165.51599888621257</v>
      </c>
      <c r="F212" s="1487" t="str">
        <f>IF($E212&lt;80,VLOOKUP($B212,'Recommendation texts'!$A:$AV,2,FALSE),"")</f>
        <v/>
      </c>
      <c r="G212" s="1489"/>
      <c r="H212" s="1489"/>
      <c r="AB212" s="515"/>
    </row>
    <row r="213" spans="1:28" s="229" customFormat="1" ht="15">
      <c r="A213" s="513"/>
      <c r="B213" s="770" t="s">
        <v>3894</v>
      </c>
      <c r="C213" s="1112">
        <f>IF($B$7=1,Meal_entry_week_1!$AP$107,Meal_entry_week_2!$AP$107)</f>
        <v>166.48513986013984</v>
      </c>
      <c r="D213" s="505">
        <f>IF($B$7=1,Meal_entry_week_1!$AP$108,Meal_entry_week_2!$AP$108)</f>
        <v>121.03306950133765</v>
      </c>
      <c r="E213" s="506">
        <f>IF($B$7=1,100*Meal_entry_week_1!$AP$108/Sheet1!$I142,100*Meal_entry_week_2!$AP$108/Sheet2!$I142)</f>
        <v>69.161754000764375</v>
      </c>
      <c r="F213" s="1487" t="str">
        <f>IF($E213&lt;80,VLOOKUP($B213,'Recommendation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213" s="1489"/>
      <c r="H213" s="1489"/>
      <c r="AB213" s="515"/>
    </row>
    <row r="214" spans="1:28" s="229" customFormat="1" ht="15">
      <c r="A214" s="513"/>
      <c r="B214" s="770" t="s">
        <v>2987</v>
      </c>
      <c r="C214" s="1112">
        <f>IF($B$7=1,Meal_entry_week_1!$AQ$107,Meal_entry_week_2!$AQ$107)</f>
        <v>1.1101063636363637</v>
      </c>
      <c r="D214" s="505">
        <f>IF($B$7=1,Meal_entry_week_1!$AQ$108,Meal_entry_week_2!$AQ$108)</f>
        <v>0.97689760531512571</v>
      </c>
      <c r="E214" s="506">
        <f>IF($B$7=1,100*Meal_entry_week_1!$AQ$108/Sheet1!$I143,100*Meal_entry_week_2!$AQ$108/Sheet2!$I143)</f>
        <v>55.822720303721475</v>
      </c>
      <c r="F214" s="1487" t="str">
        <f>IF($E214&lt;80,VLOOKUP($B214,'Recommendation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214" s="1489"/>
      <c r="H214" s="1489"/>
      <c r="AB214" s="515"/>
    </row>
    <row r="215" spans="1:28" s="229" customFormat="1" ht="15">
      <c r="A215" s="513"/>
      <c r="B215" s="770" t="s">
        <v>2988</v>
      </c>
      <c r="C215" s="1112">
        <f>IF($B$7=1,Meal_entry_week_1!$AR$107,Meal_entry_week_2!$AR$107)</f>
        <v>70.512</v>
      </c>
      <c r="D215" s="505">
        <f>IF($B$7=1,Meal_entry_week_1!$AR$108,Meal_entry_week_2!$AR$108)</f>
        <v>52.343523885169141</v>
      </c>
      <c r="E215" s="506">
        <f>IF($B$7=1,100*Meal_entry_week_1!$AR$108/Sheet1!$I144,100*Meal_entry_week_2!$AR$108/Sheet2!$I144)</f>
        <v>93.470578366373474</v>
      </c>
      <c r="F215" s="1487" t="str">
        <f>IF($E215&lt;80,VLOOKUP($B215,'Recommendation texts'!$A:$AV,2,FALSE),"")</f>
        <v/>
      </c>
      <c r="G215" s="1489"/>
      <c r="H215" s="1489"/>
      <c r="AB215" s="515"/>
    </row>
    <row r="216" spans="1:28" s="229" customFormat="1" ht="16" thickBot="1">
      <c r="A216" s="513"/>
      <c r="B216" s="1307" t="s">
        <v>2989</v>
      </c>
      <c r="C216" s="501">
        <f>IF($B$7=1,Meal_entry_week_1!$AS$107,Meal_entry_week_2!$AS$107)</f>
        <v>1.4283999719887954</v>
      </c>
      <c r="D216" s="502">
        <f>IF($B$7=1,Meal_entry_week_1!$AS$108,Meal_entry_week_2!$AS$108)</f>
        <v>1.1483084219740474</v>
      </c>
      <c r="E216" s="503">
        <f>IF($B$7=1,100*Meal_entry_week_1!$AS$108/Sheet1!$I145,100*Meal_entry_week_2!$AS$108/Sheet2!$I145)</f>
        <v>32.808812056401351</v>
      </c>
      <c r="F216" s="1490" t="str">
        <f>IF($E216&lt;80,VLOOKUP($B216,'Recommendation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216" s="1491"/>
      <c r="H216" s="1491"/>
      <c r="AB216" s="515"/>
    </row>
    <row r="217" spans="1:28">
      <c r="A217" s="559">
        <f>IF(C189=0,"",IF(E194&gt;85,0,1))</f>
        <v>1</v>
      </c>
      <c r="B217" s="560">
        <f>IF(C189=0,"",IF(E195&gt;85,0,1))</f>
        <v>1</v>
      </c>
      <c r="C217" s="560">
        <f>IF(C189=0,"",IF(E196&gt;85,0,1))</f>
        <v>1</v>
      </c>
      <c r="D217" s="560">
        <f>IF(C189=0,"",IF(E197&gt;85,0,1))</f>
        <v>1</v>
      </c>
      <c r="E217" s="560">
        <f>IF(C189=0,"",IF(E198&gt;85,0,1))</f>
        <v>0</v>
      </c>
      <c r="F217" s="295"/>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row>
    <row r="218" spans="1:28" s="378" customFormat="1" ht="8" customHeight="1">
      <c r="A218" s="104"/>
      <c r="B218" s="121"/>
      <c r="E218" s="100"/>
      <c r="F218" s="475"/>
      <c r="G218" s="475"/>
      <c r="H218" s="475"/>
    </row>
    <row r="219" spans="1:28" s="749" customFormat="1" ht="48" customHeight="1">
      <c r="A219" s="269"/>
      <c r="B219" s="1003" t="s">
        <v>4013</v>
      </c>
      <c r="C219" s="997" t="s">
        <v>4017</v>
      </c>
      <c r="D219" s="1327" t="s">
        <v>4018</v>
      </c>
      <c r="E219" s="1330" t="s">
        <v>4008</v>
      </c>
      <c r="F219" s="991" t="s">
        <v>4022</v>
      </c>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row>
    <row r="220" spans="1:28" ht="15" customHeight="1">
      <c r="A220" s="572">
        <v>1</v>
      </c>
      <c r="B220" s="373" t="s">
        <v>3587</v>
      </c>
      <c r="C220" s="301">
        <f>IF($B$7=1,Meal_entry_week_1!Q$131+Meal_entry_week_1!Q$150+Meal_entry_week_1!Q$182+Meal_entry_week_1!Q$201,Meal_entry_week_2!Q$131+Meal_entry_week_2!Q$150+Meal_entry_week_2!Q$182+Meal_entry_week_2!Q$201)</f>
        <v>594.4</v>
      </c>
      <c r="E220" s="297"/>
      <c r="F220" s="1501" t="str">
        <f>IF(C220=0,"",CONCATENATE('Recommendation texts'!C$88,IF(A220&gt;0,'Recommendation texts'!D$89,'Recommendation texts'!D$88),IF(A248=0,'Recommendation texts'!E$88,'Recommendation texts'!E$89),IF(A220&gt;0,'Recommendation texts'!F$89,'Recommendation texts'!F$88),IF(B248=0,'Recommendation texts'!G$88,'Recommendation texts'!G$89),'Recommendation texts'!H$88,IF(C248=0,(IF(B248=1,'Recommendation texts'!I$84,'Recommendation texts'!I$88)),'Recommendation texts'!I$89),'Recommendation texts'!J$88,IF(D248=0,(IF(C248=1,'Recommendation texts'!K$84,'Recommendation texts'!K$88)),'Recommendation texts'!K$89),'Recommendation texts'!L$88,IF(E248=0,'Recommendation texts'!M$88,'Recommendation texts'!M$89),'Recommendation texts'!N$88))</f>
        <v>Overall, after subtracting plate waste, the menus for this day have INSUFFICIENT calories for the day, they have INSUFFICIENT carbohydrates, INSUFFICIENT protein, INSUFFICIENT fat, but INSUFFICIENT fibre in meals.</v>
      </c>
      <c r="G220" s="1502"/>
      <c r="H220" s="493"/>
      <c r="AB220" s="299"/>
    </row>
    <row r="221" spans="1:28" ht="15" customHeight="1">
      <c r="A221" s="269"/>
      <c r="B221" s="871" t="s">
        <v>3990</v>
      </c>
      <c r="C221" s="982">
        <f>IF($B$7=1,Meal_entry_week_1!R$131+Meal_entry_week_1!R$150+Meal_entry_week_1!R$182+Meal_entry_week_1!R$201,Meal_entry_week_2!R$131+Meal_entry_week_2!R$150+Meal_entry_week_2!R$182+Meal_entry_week_2!R$201)</f>
        <v>129.24072000000001</v>
      </c>
      <c r="D221" s="320">
        <f>IF($B$7=1,Meal_entry_week_1!I548/100,Meal_entry_week_2!I548/100)</f>
        <v>0.21743054815897467</v>
      </c>
      <c r="E221" s="66"/>
      <c r="F221" s="1501"/>
      <c r="G221" s="1502"/>
      <c r="H221" s="493"/>
      <c r="AB221" s="299"/>
    </row>
    <row r="222" spans="1:28" ht="15" customHeight="1" thickBot="1">
      <c r="A222" s="269"/>
      <c r="B222" s="1257" t="s">
        <v>3987</v>
      </c>
      <c r="C222" s="496">
        <f>IF($B$7=1,Meal_entry_week_1!T$131+Meal_entry_week_1!T$150+Meal_entry_week_1!T$182+Meal_entry_week_1!T$201,Meal_entry_week_2!T$131+Meal_entry_week_2!T$150+Meal_entry_week_2!T$182+Meal_entry_week_2!T$201)</f>
        <v>125.24864259740259</v>
      </c>
      <c r="D222" s="482"/>
      <c r="E222" s="480" t="s">
        <v>3980</v>
      </c>
      <c r="F222" s="1501"/>
      <c r="G222" s="1502"/>
      <c r="H222" s="493"/>
      <c r="AB222" s="299"/>
    </row>
    <row r="223" spans="1:28" ht="15" customHeight="1">
      <c r="A223" s="269"/>
      <c r="B223" s="401" t="s">
        <v>3988</v>
      </c>
      <c r="C223" s="403">
        <f>IF($B$7=1,Meal_entry_week_1!U$131+Meal_entry_week_1!U$150+Meal_entry_week_1!U$182+Meal_entry_week_1!U$201,Meal_entry_week_2!U$131+Meal_entry_week_2!U$150+Meal_entry_week_2!U$182+Meal_entry_week_2!U$201)</f>
        <v>17.980339964576622</v>
      </c>
      <c r="D223" s="481">
        <f>IF($B$7=1,Meal_entry_week_1!J548/100,Meal_entry_week_2!J548/100)</f>
        <v>0.1435571528451676</v>
      </c>
      <c r="E223" s="492"/>
      <c r="F223" s="1497" t="s">
        <v>3986</v>
      </c>
      <c r="G223" s="1498"/>
      <c r="H223" s="493"/>
      <c r="AB223" s="299"/>
    </row>
    <row r="224" spans="1:28" ht="15" customHeight="1" thickBot="1">
      <c r="A224" s="300"/>
      <c r="B224" s="1256" t="s">
        <v>3989</v>
      </c>
      <c r="C224" s="1255">
        <f>IF($B$7=1,Meal_entry_week_1!V$131+Meal_entry_week_1!V$150+Meal_entry_week_1!V$182+Meal_entry_week_1!V$201,Meal_entry_week_2!V$131+Meal_entry_week_2!V$150+Meal_entry_week_2!V$182+Meal_entry_week_2!V$201)</f>
        <v>1254.23</v>
      </c>
      <c r="D224" s="497"/>
      <c r="E224" s="492"/>
      <c r="F224" s="1499"/>
      <c r="G224" s="1500"/>
      <c r="H224" s="489"/>
      <c r="AB224" s="299"/>
    </row>
    <row r="225" spans="1:28" s="229" customFormat="1">
      <c r="A225" s="511"/>
      <c r="B225" s="1306" t="s">
        <v>3878</v>
      </c>
      <c r="C225" s="1252">
        <f>IF($B$7=1,Meal_entry_week_1!$W$206,Meal_entry_week_2!$W$206)</f>
        <v>1039.551305034965</v>
      </c>
      <c r="D225" s="1253">
        <f>IF($B$7=1,Meal_entry_week_1!$W$207,Meal_entry_week_2!$W$207)</f>
        <v>821.8050004211542</v>
      </c>
      <c r="E225" s="506">
        <f>IF($B$7=1,100*Meal_entry_week_1!$W$207/Sheet1!$J$123,100*Meal_entry_week_2!$W$207/Sheet2!$J$123)</f>
        <v>58.70035717293959</v>
      </c>
      <c r="F225" s="1487" t="str">
        <f>IF(E225&lt;80,VLOOKUP(B225,'Recommendation texts'!$A:$AV,2,FALSE),"")</f>
        <v>After allowing for plate waste, the menus for this day are lower than recommeded in energy (kcal) overall.</v>
      </c>
      <c r="G225" s="1489"/>
      <c r="H225" s="1506"/>
      <c r="AB225" s="512"/>
    </row>
    <row r="226" spans="1:28" s="229" customFormat="1">
      <c r="A226" s="511"/>
      <c r="B226" s="768" t="s">
        <v>3879</v>
      </c>
      <c r="C226" s="1112">
        <f>IF($B$7=1,Meal_entry_week_1!$X$206,Meal_entry_week_2!$X$206)</f>
        <v>157.52708935859991</v>
      </c>
      <c r="D226" s="505">
        <f>IF($B$7=1,Meal_entry_week_1!$X$207,Meal_entry_week_2!$X$207)</f>
        <v>124.19021269466867</v>
      </c>
      <c r="E226" s="506">
        <f>IF($B$7=1,100*Meal_entry_week_1!$X$207/Sheet1!$J$124,100*Meal_entry_week_2!$X$207/Sheet2!$J$124)</f>
        <v>64.514396205022692</v>
      </c>
      <c r="F226" s="1487" t="str">
        <f>IF(E226&lt;80,VLOOKUP(B226,'Recommendation texts'!$A:$AV,2,FALSE),"")</f>
        <v>After allowing for plate waste, the menus for this day are lower than recommended in carbohydrates overall.</v>
      </c>
      <c r="G226" s="1489"/>
      <c r="H226" s="1489"/>
      <c r="AB226" s="512"/>
    </row>
    <row r="227" spans="1:28" s="229" customFormat="1">
      <c r="A227" s="511"/>
      <c r="B227" s="768" t="s">
        <v>3880</v>
      </c>
      <c r="C227" s="1112">
        <f>IF($B$7=1,Meal_entry_week_1!$Y$206,Meal_entry_week_2!$Y$206)</f>
        <v>35.441551040731525</v>
      </c>
      <c r="D227" s="505">
        <f>IF($B$7=1,Meal_entry_week_1!$Y$207,Meal_entry_week_2!$Y$207)</f>
        <v>29.460065111607172</v>
      </c>
      <c r="E227" s="506">
        <f>IF($B$7=1,100*Meal_entry_week_1!$Y$207/Sheet1!$J$125,100*Meal_entry_week_2!$Y$207/Sheet2!$J$125)</f>
        <v>60.468113940080407</v>
      </c>
      <c r="F227" s="1487" t="str">
        <f>IF(E227&lt;80,VLOOKUP(B227,'Recommendation texts'!$A:$AV,2,FALSE),"")</f>
        <v>After allowing for plate waste, the menus for this day are lower than recommended in protein overall.</v>
      </c>
      <c r="G227" s="1489"/>
      <c r="H227" s="1489"/>
      <c r="AB227" s="512"/>
    </row>
    <row r="228" spans="1:28" s="229" customFormat="1">
      <c r="A228" s="511"/>
      <c r="B228" s="768" t="s">
        <v>3881</v>
      </c>
      <c r="C228" s="1112">
        <f>IF($B$7=1,Meal_entry_week_1!$Z$206,Meal_entry_week_2!$Z$206)</f>
        <v>27.421929759660344</v>
      </c>
      <c r="D228" s="505">
        <f>IF($B$7=1,Meal_entry_week_1!$Z$207,Meal_entry_week_2!$Z$207)</f>
        <v>21.567522207651312</v>
      </c>
      <c r="E228" s="506">
        <f>IF($B$7=1,100*Meal_entry_week_1!$Z$207/Sheet1!$J$126,100*Meal_entry_week_2!$Z$207/Sheet2!$J$126)</f>
        <v>46.216123638008042</v>
      </c>
      <c r="F228" s="1487" t="str">
        <f>IF(E228&lt;80,VLOOKUP(B228,'Recommendation texts'!$A:$AV,2,FALSE),"")</f>
        <v>After allowing for plate waste, the menus for this day are lower than recommended in fat overall.</v>
      </c>
      <c r="G228" s="1489"/>
      <c r="H228" s="1489"/>
      <c r="AB228" s="512"/>
    </row>
    <row r="229" spans="1:28" s="229" customFormat="1" ht="15">
      <c r="A229" s="511"/>
      <c r="B229" s="770" t="s">
        <v>3882</v>
      </c>
      <c r="C229" s="1112">
        <f>IF($B$7=1,Meal_entry_week_1!$AA$206,Meal_entry_week_2!$AA$206)</f>
        <v>13.027966825174826</v>
      </c>
      <c r="D229" s="505">
        <f>IF($B$7=1,Meal_entry_week_1!$AA$207,Meal_entry_week_2!$AA$207)</f>
        <v>9.5428084703606846</v>
      </c>
      <c r="E229" s="506">
        <f>IF($B$7=1,100*Meal_entry_week_1!$AA$207/Sheet1!$J$127,100*Meal_entry_week_2!$AA$207/Sheet2!$J$127)</f>
        <v>68.162917645433467</v>
      </c>
      <c r="F229" s="1487" t="str">
        <f>IF(E229&lt;80,VLOOKUP(B229,'Recommendation texts'!$A:$AV,2,FALSE),"")</f>
        <v>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v>
      </c>
      <c r="G229" s="1489"/>
      <c r="H229" s="1489"/>
      <c r="AB229" s="512"/>
    </row>
    <row r="230" spans="1:28" s="229" customFormat="1" ht="15">
      <c r="A230" s="511"/>
      <c r="B230" s="771" t="s">
        <v>3883</v>
      </c>
      <c r="C230" s="1112">
        <f>IF($B$7=1,Meal_entry_week_1!$AB$206,Meal_entry_week_2!$AB$206)</f>
        <v>4.5290797332996684</v>
      </c>
      <c r="D230" s="505">
        <f>IF($B$7=1,Meal_entry_week_1!$AB$207,Meal_entry_week_2!$AB$207)</f>
        <v>3.7028937810693257</v>
      </c>
      <c r="E230" s="506">
        <f>IF($B$7=1,100*Meal_entry_week_1!$AB$207/Sheet1!$J$128,100*Meal_entry_week_2!$AB$207/Sheet2!$J$128)</f>
        <v>24.044764812138478</v>
      </c>
      <c r="F230" s="1487" t="str">
        <f>IF(E230&gt;120,"Previše zasićenih masti u menijima za ovaj dan","")</f>
        <v/>
      </c>
      <c r="G230" s="1488"/>
      <c r="H230" s="1488"/>
      <c r="AB230" s="512"/>
    </row>
    <row r="231" spans="1:28" s="229" customFormat="1" ht="15">
      <c r="A231" s="511"/>
      <c r="B231" s="770" t="s">
        <v>3884</v>
      </c>
      <c r="C231" s="1112">
        <f>IF($B$7=1,Meal_entry_week_1!$AC$206,Meal_entry_week_2!$AC$206)</f>
        <v>859.16576503496492</v>
      </c>
      <c r="D231" s="505">
        <f>IF($B$7=1,Meal_entry_week_1!$AC$207,Meal_entry_week_2!$AC$207)</f>
        <v>593.48578835848298</v>
      </c>
      <c r="E231" s="506">
        <f>IF($B$7=1,100*Meal_entry_week_1!$AC$207/Sheet1!$J$129,100*Meal_entry_week_2!$AC$207/Sheet2!$J$129)</f>
        <v>56.983236925723915</v>
      </c>
      <c r="F231" s="1487" t="str">
        <f>IF(E231&gt;120,"Previše soli u menijima za ovaj dan","")</f>
        <v/>
      </c>
      <c r="G231" s="1488"/>
      <c r="H231" s="1488"/>
      <c r="AB231" s="512"/>
    </row>
    <row r="232" spans="1:28" s="229" customFormat="1" ht="15">
      <c r="A232" s="511"/>
      <c r="B232" s="770" t="s">
        <v>3885</v>
      </c>
      <c r="C232" s="1112">
        <f>IF($B$7=1,Meal_entry_week_1!$AD$206,Meal_entry_week_2!$AD$206)</f>
        <v>1179.5387999999998</v>
      </c>
      <c r="D232" s="505">
        <f>IF($B$7=1,Meal_entry_week_1!$AD$207,Meal_entry_week_2!$AD$207)</f>
        <v>904.71021887194138</v>
      </c>
      <c r="E232" s="506">
        <f>IF($B$7=1,100*Meal_entry_week_1!$AD$207/Sheet1!$J$130,100*Meal_entry_week_2!$AD$207/Sheet2!$J$130)</f>
        <v>71.802398323169953</v>
      </c>
      <c r="F232" s="1487" t="str">
        <f>IF($E232&lt;80,VLOOKUP($B232,'Recommendation texts'!$A:$AV,2,FALSE),"")</f>
        <v>Beans haricot (yellow) 1530.0 mg, Beans (white) 1530.0 mg, Beans (coloured) 1530.0 mg, Cocoa powder 1524.0 mg, Whole milk powder 1260.0 mg, Lentils 940.0 mg, Chickpeas 875.0 mg, Nesquik 850.0 mg, Hazelnuts 838.0 mg, Poppy seeds 832.0 g
Parsley leaf, fresh 811.0 mg, Tomato puree 798.0 mg, Raisins (dried grapes) 773.0 mg, Peanuts, roasted, salt-free 746.0 mg, Almond (dry, roasted, salt free) 687.0 mg, Parsnip 590.0 mg, Walnuts 575.0 mg, Parsley root 562.0 g</v>
      </c>
      <c r="G232" s="1489"/>
      <c r="H232" s="1489"/>
      <c r="AB232" s="512"/>
    </row>
    <row r="233" spans="1:28" s="229" customFormat="1" ht="15">
      <c r="A233" s="511"/>
      <c r="B233" s="770" t="s">
        <v>3886</v>
      </c>
      <c r="C233" s="1112">
        <f>IF($B$7=1,Meal_entry_week_1!$AE$206,Meal_entry_week_2!$AE$206)</f>
        <v>141.9228</v>
      </c>
      <c r="D233" s="505">
        <f>IF($B$7=1,Meal_entry_week_1!$AE$207,Meal_entry_week_2!$AE$207)</f>
        <v>99.370548217642451</v>
      </c>
      <c r="E233" s="506">
        <f>IF($B$7=1,100*Meal_entry_week_1!$AE$207/Sheet1!$J$131,100*Meal_entry_week_2!$AE$207/Sheet2!$J$131)</f>
        <v>17.969357724709305</v>
      </c>
      <c r="F233" s="1487" t="str">
        <f>IF($E233&lt;80,VLOOKUP($B233,'Recommendation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233" s="1489"/>
      <c r="H233" s="1489"/>
      <c r="AB233" s="512"/>
    </row>
    <row r="234" spans="1:28" s="229" customFormat="1" ht="15">
      <c r="A234" s="511"/>
      <c r="B234" s="770" t="s">
        <v>3887</v>
      </c>
      <c r="C234" s="1112">
        <f>IF($B$7=1,Meal_entry_week_1!$AF$206,Meal_entry_week_2!$AF$206)</f>
        <v>103.44172206993008</v>
      </c>
      <c r="D234" s="505">
        <f>IF($B$7=1,Meal_entry_week_1!$AF$207,Meal_entry_week_2!$AF$207)</f>
        <v>78.064310479180108</v>
      </c>
      <c r="E234" s="506">
        <f>IF($B$7=1,100*Meal_entry_week_1!$AF$207/Sheet1!$J$132,100*Meal_entry_week_2!$AF$207/Sheet2!$J$132)</f>
        <v>55.760221770842939</v>
      </c>
      <c r="F234" s="1487" t="str">
        <f>IF($E234&lt;80,VLOOKUP($B234,'Recommendation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234" s="1489"/>
      <c r="H234" s="1489"/>
      <c r="AB234" s="512"/>
    </row>
    <row r="235" spans="1:28" s="229" customFormat="1" ht="15">
      <c r="A235" s="511"/>
      <c r="B235" s="770" t="s">
        <v>3888</v>
      </c>
      <c r="C235" s="1112">
        <f>IF($B$7=1,Meal_entry_week_1!$AG$206,Meal_entry_week_2!$AG$206)</f>
        <v>306.41279199999991</v>
      </c>
      <c r="D235" s="505">
        <f>IF($B$7=1,Meal_entry_week_1!$AG$207,Meal_entry_week_2!$AG$207)</f>
        <v>247.10720811837447</v>
      </c>
      <c r="E235" s="506">
        <f>IF($B$7=1,100*Meal_entry_week_1!$AG$207/Sheet1!$J$133,100*Meal_entry_week_2!$AG$207/Sheet2!$J$133)</f>
        <v>56.937144727736055</v>
      </c>
      <c r="F235" s="1487" t="str">
        <f>IF($E235&lt;80,VLOOKUP($B235,'Recommendation texts'!$A:$AV,2,FALSE),"")</f>
        <v>Cheese, processed, slices 1200.0 mg, Poppy seeds 936.0 mg, Parmesan cheese 855.0 mg, Cheese spread triangles 35% fat 825.0 mg, Cheese spread 70% fat 750.0 mg, Cocoa powder 734.0 mg, Chicken egg yolks 619.0 mg, Cheese, hard 45% fat 610.0 mg, Cheese, hard 35% fat 530.0 mg, Oats 523.0 mg, Cheese, Gouda, 48% fat 520.0 mg, Almond (dry, roasted, salt free) 480.0 mg, Cheese, Trapist 475.0 mg, Cheese, Edam, 30% fat 430.0 mg, Cheese, for pizza, 45% fat 430.0 mg, Pork liver 430.0 mg, Beans haricot (yellow) 425.0 mg, Beans (white) 425.0 mg, Beans (coloured) 425.0 mg, Peanuts, roasted, salt-free 389.0 g</v>
      </c>
      <c r="G235" s="1489"/>
      <c r="H235" s="1489"/>
      <c r="AB235" s="512"/>
    </row>
    <row r="236" spans="1:28" s="229" customFormat="1" ht="15">
      <c r="A236" s="511"/>
      <c r="B236" s="770" t="s">
        <v>3889</v>
      </c>
      <c r="C236" s="1112">
        <f>IF($B$7=1,Meal_entry_week_1!$AH$206,Meal_entry_week_2!$AH$206)</f>
        <v>5.0026292006417403</v>
      </c>
      <c r="D236" s="505">
        <f>IF($B$7=1,Meal_entry_week_1!$AH$207,Meal_entry_week_2!$AH$207)</f>
        <v>3.7809806781484459</v>
      </c>
      <c r="E236" s="506">
        <f>IF($B$7=1,100*Meal_entry_week_1!$AH$207/Sheet1!$J$134,100*Meal_entry_week_2!$AH$207/Sheet2!$J$134)</f>
        <v>49.103645170759037</v>
      </c>
      <c r="F236" s="1487" t="str">
        <f>IF($E236&lt;80,VLOOKUP($B236,'Recommendation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236" s="1489"/>
      <c r="H236" s="1489"/>
      <c r="AB236" s="512"/>
    </row>
    <row r="237" spans="1:28" s="229" customFormat="1" ht="15">
      <c r="A237" s="511"/>
      <c r="B237" s="770" t="s">
        <v>3890</v>
      </c>
      <c r="C237" s="1112">
        <f>IF($B$7=1,Meal_entry_week_1!$AI$206,Meal_entry_week_2!$AI$206)</f>
        <v>5.2172156905500318</v>
      </c>
      <c r="D237" s="505">
        <f>IF($B$7=1,Meal_entry_week_1!$AI$207,Meal_entry_week_2!$AI$207)</f>
        <v>3.6172644814864769</v>
      </c>
      <c r="E237" s="506">
        <f>IF($B$7=1,100*Meal_entry_week_1!$AI$207/Sheet1!$J$135,100*Meal_entry_week_2!$AI$207/Sheet2!$J$135)</f>
        <v>73.821724111968919</v>
      </c>
      <c r="F237" s="1487" t="str">
        <f>IF($E237&lt;80,VLOOKUP($B237,'Recommendation texts'!$A:$AV,2,FALSE),"")</f>
        <v>Nesquik 7.6 mg, Bones of young beef (neck) 6.9 mg, Cocoa powder 6.8 mg, Poppy seeds 6.8 mg, Pork liver 5.3 mg, Beef minced 5.1 mg, Beef, dried 4.9 mg, Beef rump/silverside 4.8 mg, Beef, fat free 4.8 mg, Pork shoulder 4.6 mg, Pork fillet 4.6 mg, Sausage pork, smoked (dried) 4.2 mg, Cheese, hard 35% fat 4.1 mg, Cheese, Gouda, 48% fat 4.0 mg, Cheese, hard 45% fat 4.0 mg, Cheese, low fat, mozzarella 4.0 mg, Cheese, processed, slices 4.0 mg, Oats 4.0 mg, Lentils 3.9 mg, Bread, white 3.8 g</v>
      </c>
      <c r="G237" s="1489"/>
      <c r="H237" s="1489"/>
      <c r="AB237" s="512"/>
    </row>
    <row r="238" spans="1:28" s="229" customFormat="1" ht="15">
      <c r="A238" s="511"/>
      <c r="B238" s="770" t="s">
        <v>3891</v>
      </c>
      <c r="C238" s="1112">
        <f>IF($B$7=1,Meal_entry_week_1!$AJ$206,Meal_entry_week_2!$AJ$206)</f>
        <v>0.65472034155426662</v>
      </c>
      <c r="D238" s="505">
        <f>IF($B$7=1,Meal_entry_week_1!$AJ$207,Meal_entry_week_2!$AJ$207)</f>
        <v>0.47263086305497037</v>
      </c>
      <c r="E238" s="506">
        <f>IF($B$7=1,100*Meal_entry_week_1!$AJ$207/Sheet1!$J$136,100*Meal_entry_week_2!$AJ$207/Sheet2!$J$136)</f>
        <v>67.518694722138633</v>
      </c>
      <c r="F238" s="1487" t="str">
        <f>IF($E238&lt;80,VLOOKUP($B238,'Recommendation texts'!$A:$AV,2,FALSE),"")</f>
        <v xml:space="preserve">Pork liver 6.6 mg, Cocoa powder 3.8 mg, Hazelnuts 1.4 mg, Walnuts 1.380 mg, Almond (dry) 1.170 mg, Poppy seeds 1.0 mg, Lentils 1.0 mg, Chocolate for cooking 0.95 mg, Cheese, hard 35% fat 0.86 mg, Chickpeas 0.85 mg, Peanuts, roasted 0.65 mg, Oats 0.63 mg, Millet seeds/flour 0.60 mg, Wheat flour white 0.50 mg, Barley 0.50 mg, Beans haricot (yellow) 0.47 mg, Beans (white) 0.47 mg, Beans (coloured) 0.47 mg, Dried grapes 0.44 mg, Mushrooms 0.42 g </v>
      </c>
      <c r="G238" s="1489"/>
      <c r="H238" s="1489"/>
      <c r="AB238" s="512"/>
    </row>
    <row r="239" spans="1:28" s="229" customFormat="1" ht="15">
      <c r="A239" s="511"/>
      <c r="B239" s="770" t="s">
        <v>2990</v>
      </c>
      <c r="C239" s="1112">
        <f>IF($B$7=1,Meal_entry_week_1!$AK$206,Meal_entry_week_2!$AK$206)</f>
        <v>386.80679199999997</v>
      </c>
      <c r="D239" s="505">
        <f>IF($B$7=1,Meal_entry_week_1!$AK$207,Meal_entry_week_2!$AK$207)</f>
        <v>290.21921286996758</v>
      </c>
      <c r="E239" s="506">
        <f>IF($B$7=1,100*Meal_entry_week_1!$AK$207/Sheet1!$J$137,100*Meal_entry_week_2!$AK$207/Sheet2!$J$137)</f>
        <v>51.824859441065641</v>
      </c>
      <c r="F239" s="1487" t="str">
        <f>IF($E239&lt;80,VLOOKUP($B239,'Recommendation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239" s="1489"/>
      <c r="H239" s="1489"/>
      <c r="AB239" s="512"/>
    </row>
    <row r="240" spans="1:28" s="229" customFormat="1" ht="15">
      <c r="A240" s="511"/>
      <c r="B240" s="770" t="s">
        <v>3892</v>
      </c>
      <c r="C240" s="1112">
        <f>IF($B$7=1,Meal_entry_week_1!$AL$206,Meal_entry_week_2!$AL$206)</f>
        <v>0.91156576654457111</v>
      </c>
      <c r="D240" s="505">
        <f>IF($B$7=1,Meal_entry_week_1!$AL$207,Meal_entry_week_2!$AL$207)</f>
        <v>0.68999262415222284</v>
      </c>
      <c r="E240" s="506">
        <f>IF($B$7=1,100*Meal_entry_week_1!$AL$207/Sheet1!$J$138,100*Meal_entry_week_2!$AL$207/Sheet2!$J$138)</f>
        <v>98.570374878888998</v>
      </c>
      <c r="F240" s="1487" t="str">
        <f>IF($E240&lt;80,VLOOKUP($B240,'Recommendation texts'!$A:$AV,2,FALSE),"")</f>
        <v/>
      </c>
      <c r="G240" s="1489"/>
      <c r="H240" s="1489"/>
      <c r="AB240" s="512"/>
    </row>
    <row r="241" spans="1:28" s="229" customFormat="1">
      <c r="A241" s="511"/>
      <c r="B241" s="1295" t="s">
        <v>2985</v>
      </c>
      <c r="C241" s="1112">
        <f>IF($B$7=1,Meal_entry_week_1!$AM$206,Meal_entry_week_2!$AM$206)</f>
        <v>0.61412557818377489</v>
      </c>
      <c r="D241" s="505">
        <f>IF($B$7=1,Meal_entry_week_1!$AM$207,Meal_entry_week_2!$AM$207)</f>
        <v>0.48517011762091367</v>
      </c>
      <c r="E241" s="506">
        <f>IF($B$7=1,100*Meal_entry_week_1!$AM$207/Sheet1!$J$139,100*Meal_entry_week_2!$AM$207/Sheet2!$J$139)</f>
        <v>66.009539812369198</v>
      </c>
      <c r="F241" s="1487" t="str">
        <f>IF($E241&lt;80,VLOOKUP($B241,'Recommendation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241" s="1489"/>
      <c r="H241" s="1489"/>
      <c r="AB241" s="512"/>
    </row>
    <row r="242" spans="1:28" s="229" customFormat="1" ht="15">
      <c r="A242" s="511"/>
      <c r="B242" s="770" t="s">
        <v>3893</v>
      </c>
      <c r="C242" s="1112">
        <f>IF($B$7=1,Meal_entry_week_1!$AN$206,Meal_entry_week_2!$AN$206)</f>
        <v>8.5621118096206885</v>
      </c>
      <c r="D242" s="505">
        <f>IF($B$7=1,Meal_entry_week_1!$AN$207,Meal_entry_week_2!$AN$207)</f>
        <v>6.3067568728042724</v>
      </c>
      <c r="E242" s="506">
        <f>IF($B$7=1,100*Meal_entry_week_1!$AN$207/Sheet1!$J$140,100*Meal_entry_week_2!$AN$207/Sheet2!$J$140)</f>
        <v>69.305020580266742</v>
      </c>
      <c r="F242" s="1487" t="str">
        <f>IF($E242&lt;80,VLOOKUP($B242,'Recommendation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242" s="1489"/>
      <c r="H242" s="1489"/>
      <c r="AB242" s="512"/>
    </row>
    <row r="243" spans="1:28" s="229" customFormat="1" ht="15">
      <c r="A243" s="511"/>
      <c r="B243" s="770" t="s">
        <v>2986</v>
      </c>
      <c r="C243" s="1112">
        <f>IF($B$7=1,Meal_entry_week_1!$AO$206,Meal_entry_week_2!$AO$206)</f>
        <v>0.70843043012041018</v>
      </c>
      <c r="D243" s="505">
        <f>IF($B$7=1,Meal_entry_week_1!$AO$207,Meal_entry_week_2!$AO$207)</f>
        <v>0.54640388066036616</v>
      </c>
      <c r="E243" s="506">
        <f>IF($B$7=1,100*Meal_entry_week_1!$AO$207/Sheet1!$J$141,100*Meal_entry_week_2!$AO$207/Sheet2!$J$141)</f>
        <v>91.832584984935494</v>
      </c>
      <c r="F243" s="1487" t="str">
        <f>IF($E243&lt;80,VLOOKUP($B243,'Recommendation texts'!$A:$AV,2,FALSE),"")</f>
        <v/>
      </c>
      <c r="G243" s="1489"/>
      <c r="H243" s="1489"/>
      <c r="AB243" s="512"/>
    </row>
    <row r="244" spans="1:28" s="229" customFormat="1" ht="15">
      <c r="A244" s="511"/>
      <c r="B244" s="770" t="s">
        <v>3894</v>
      </c>
      <c r="C244" s="1112">
        <f>IF($B$7=1,Meal_entry_week_1!$AP$206,Meal_entry_week_2!$AP$206)</f>
        <v>119.09693186013988</v>
      </c>
      <c r="D244" s="505">
        <f>IF($B$7=1,Meal_entry_week_1!$AP$207,Meal_entry_week_2!$AP$207)</f>
        <v>88.882321019947895</v>
      </c>
      <c r="E244" s="506">
        <f>IF($B$7=1,100*Meal_entry_week_1!$AP$207/Sheet1!$J$142,100*Meal_entry_week_2!$AP$207/Sheet2!$J$142)</f>
        <v>50.789897725684519</v>
      </c>
      <c r="F244" s="1487" t="str">
        <f>IF($E244&lt;80,VLOOKUP($B244,'Recommendation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244" s="1489"/>
      <c r="H244" s="1489"/>
      <c r="AB244" s="512"/>
    </row>
    <row r="245" spans="1:28" s="229" customFormat="1" ht="15">
      <c r="A245" s="511"/>
      <c r="B245" s="770" t="s">
        <v>2987</v>
      </c>
      <c r="C245" s="1112">
        <f>IF($B$7=1,Meal_entry_week_1!$AQ$206,Meal_entry_week_2!$AQ$206)</f>
        <v>1.0474755636363635</v>
      </c>
      <c r="D245" s="505">
        <f>IF($B$7=1,Meal_entry_week_1!$AQ$207,Meal_entry_week_2!$AQ$207)</f>
        <v>0.88958365048782617</v>
      </c>
      <c r="E245" s="506">
        <f>IF($B$7=1,100*Meal_entry_week_1!$AQ$207/Sheet1!$J$143,100*Meal_entry_week_2!$AQ$207/Sheet2!$J$143)</f>
        <v>50.833351456447204</v>
      </c>
      <c r="F245" s="1487" t="str">
        <f>IF($E245&lt;80,VLOOKUP($B245,'Recommendation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245" s="1489"/>
      <c r="H245" s="1489"/>
      <c r="AB245" s="512"/>
    </row>
    <row r="246" spans="1:28" s="229" customFormat="1" ht="15">
      <c r="A246" s="511"/>
      <c r="B246" s="770" t="s">
        <v>2988</v>
      </c>
      <c r="C246" s="1112">
        <f>IF($B$7=1,Meal_entry_week_1!$AR$206,Meal_entry_week_2!$AR$206)</f>
        <v>29.675799999999999</v>
      </c>
      <c r="D246" s="505">
        <f>IF($B$7=1,Meal_entry_week_1!$AR$207,Meal_entry_week_2!$AR$207)</f>
        <v>22.519834270056631</v>
      </c>
      <c r="E246" s="506">
        <f>IF($B$7=1,100*Meal_entry_week_1!$AR$207/Sheet1!$J$144,100*Meal_entry_week_2!$AR$207/Sheet2!$J$144)</f>
        <v>40.213989767958267</v>
      </c>
      <c r="F246" s="1487" t="str">
        <f>IF($E246&lt;80,VLOOKUP($B246,'Recommendation texts'!$A:$AV,2,FALSE),"")</f>
        <v>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v>
      </c>
      <c r="G246" s="1489"/>
      <c r="H246" s="1489"/>
      <c r="AB246" s="512"/>
    </row>
    <row r="247" spans="1:28" s="229" customFormat="1" ht="16" thickBot="1">
      <c r="A247" s="511"/>
      <c r="B247" s="1307" t="s">
        <v>2989</v>
      </c>
      <c r="C247" s="501">
        <f>IF($B$7=1,Meal_entry_week_1!$AS$206,Meal_entry_week_2!$AS$206)</f>
        <v>2.1091491719887956</v>
      </c>
      <c r="D247" s="502">
        <f>IF($B$7=1,Meal_entry_week_1!$AS$207,Meal_entry_week_2!$AS$207)</f>
        <v>1.9565398020764826</v>
      </c>
      <c r="E247" s="503">
        <f>IF($B$7=1,100*Meal_entry_week_1!$AS$207/Sheet1!$J$145,100*Meal_entry_week_2!$AS$207/Sheet2!$J$145)</f>
        <v>55.901137202185218</v>
      </c>
      <c r="F247" s="1490" t="str">
        <f>IF($E247&lt;80,VLOOKUP($B247,'Recommendation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247" s="1491"/>
      <c r="H247" s="1491"/>
      <c r="AB247" s="512"/>
    </row>
    <row r="248" spans="1:28">
      <c r="A248" s="561">
        <f>IF(C220=0,"",IF(E225&gt;85,0,1))</f>
        <v>1</v>
      </c>
      <c r="B248" s="562">
        <f>IF(C220=0,"",IF(E226&gt;85,0,1))</f>
        <v>1</v>
      </c>
      <c r="C248" s="562">
        <f>IF(C220=0,"",IF(E227&gt;85,0,1))</f>
        <v>1</v>
      </c>
      <c r="D248" s="562">
        <f>IF(C220=0,"",IF(E228&gt;85,0,1))</f>
        <v>1</v>
      </c>
      <c r="E248" s="562">
        <f>IF(C220=0,"",IF(E229&gt;85,0,1))</f>
        <v>1</v>
      </c>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row>
    <row r="249" spans="1:28" s="378" customFormat="1" ht="8" customHeight="1">
      <c r="A249" s="104"/>
      <c r="B249" s="121"/>
      <c r="E249" s="100"/>
      <c r="F249" s="475"/>
      <c r="G249" s="475"/>
      <c r="H249" s="475"/>
    </row>
    <row r="250" spans="1:28" s="749" customFormat="1" ht="48" customHeight="1">
      <c r="A250" s="268"/>
      <c r="B250" s="1000" t="s">
        <v>4014</v>
      </c>
      <c r="C250" s="1325" t="s">
        <v>4017</v>
      </c>
      <c r="D250" s="1326" t="s">
        <v>4018</v>
      </c>
      <c r="E250" s="1331" t="s">
        <v>4008</v>
      </c>
      <c r="F250" s="990" t="s">
        <v>4021</v>
      </c>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row>
    <row r="251" spans="1:28" ht="15" customHeight="1">
      <c r="A251" s="571">
        <v>1</v>
      </c>
      <c r="B251" s="373" t="s">
        <v>3587</v>
      </c>
      <c r="C251" s="301">
        <f>IF($B$7=1,Meal_entry_week_1!Q$230+Meal_entry_week_1!Q$249+Meal_entry_week_1!Q$281+Meal_entry_week_1!Q$300,Meal_entry_week_2!Q$230+Meal_entry_week_2!Q$249+Meal_entry_week_2!Q$281+Meal_entry_week_2!Q$300)</f>
        <v>768.5</v>
      </c>
      <c r="E251" s="66"/>
      <c r="F251" s="1501" t="str">
        <f>IF(C251=0,"",CONCATENATE('Recommendation texts'!C$88,IF(A251&gt;0,'Recommendation texts'!D$89,'Recommendation texts'!D$88),IF(A279=0,'Recommendation texts'!E$88,'Recommendation texts'!E$89),IF(A251&gt;0,'Recommendation texts'!F$89,'Recommendation texts'!F$88),IF(B279=0,'Recommendation texts'!G$88,'Recommendation texts'!G$89),'Recommendation texts'!H$88,IF(C279=0,(IF(B279=1,'Recommendation texts'!I$84,'Recommendation texts'!I$88)),'Recommendation texts'!I$89),'Recommendation texts'!J$88,IF(D279=0,(IF(C279=1,'Recommendation texts'!K$84,'Recommendation texts'!K$88)),'Recommendation texts'!K$89),'Recommendation texts'!L$88,IF(E279=0,'Recommendation texts'!M$88,'Recommendation texts'!M$89),'Recommendation texts'!N$88))</f>
        <v>Overall, after subtracting plate waste, the menus for this day have INSUFFICIENT calories for the day, they have INSUFFICIENT carbohydrates, INSUFFICIENT protein, have sufficient fat, and sufficient fibre in meals.</v>
      </c>
      <c r="G251" s="1502"/>
      <c r="H251" s="493"/>
      <c r="AB251" s="302"/>
    </row>
    <row r="252" spans="1:28" ht="15" customHeight="1">
      <c r="A252" s="268"/>
      <c r="B252" s="871" t="s">
        <v>3990</v>
      </c>
      <c r="C252" s="982">
        <f>IF($B$7=1,Meal_entry_week_1!R$230+Meal_entry_week_1!R$249+Meal_entry_week_1!R$281+Meal_entry_week_1!R$300,Meal_entry_week_2!R$230+Meal_entry_week_2!R$249+Meal_entry_week_2!R$281+Meal_entry_week_2!R$300)</f>
        <v>173.48390000000001</v>
      </c>
      <c r="D252" s="320">
        <f>IF($B$7=1,Meal_entry_week_1!I549/100,Meal_entry_week_2!I549/100)</f>
        <v>0.22574352341257614</v>
      </c>
      <c r="E252" s="66"/>
      <c r="F252" s="1501"/>
      <c r="G252" s="1502"/>
      <c r="H252" s="493"/>
      <c r="AB252" s="302"/>
    </row>
    <row r="253" spans="1:28" ht="15" customHeight="1" thickBot="1">
      <c r="A253" s="268"/>
      <c r="B253" s="1257" t="s">
        <v>3987</v>
      </c>
      <c r="C253" s="496">
        <f>IF($B$7=1,Meal_entry_week_1!T$230+Meal_entry_week_1!T$249+Meal_entry_week_1!T$281+Meal_entry_week_1!T$300,Meal_entry_week_2!T$230+Meal_entry_week_2!T$249+Meal_entry_week_2!T$281+Meal_entry_week_2!T$300)</f>
        <v>120.0372857142857</v>
      </c>
      <c r="D253" s="482"/>
      <c r="E253" s="480" t="s">
        <v>3980</v>
      </c>
      <c r="F253" s="1501"/>
      <c r="G253" s="1502"/>
      <c r="H253" s="493"/>
      <c r="AB253" s="302"/>
    </row>
    <row r="254" spans="1:28" ht="15" customHeight="1">
      <c r="A254" s="268"/>
      <c r="B254" s="401" t="s">
        <v>3988</v>
      </c>
      <c r="C254" s="403">
        <f>IF($B$7=1,Meal_entry_week_1!U$230+Meal_entry_week_1!U$249+Meal_entry_week_1!U$281+Meal_entry_week_1!U$300,Meal_entry_week_2!U$230+Meal_entry_week_2!U$249+Meal_entry_week_2!U$281+Meal_entry_week_2!U$300)</f>
        <v>28.038215177142856</v>
      </c>
      <c r="D254" s="481">
        <f>IF($B$7=1,Meal_entry_week_1!J549/100,Meal_entry_week_2!J549/100)</f>
        <v>0.23357919728448209</v>
      </c>
      <c r="E254" s="492"/>
      <c r="F254" s="1497" t="s">
        <v>3986</v>
      </c>
      <c r="G254" s="1498"/>
      <c r="H254" s="493"/>
      <c r="AB254" s="302"/>
    </row>
    <row r="255" spans="1:28" ht="15" customHeight="1" thickBot="1">
      <c r="A255" s="303"/>
      <c r="B255" s="1256" t="s">
        <v>3989</v>
      </c>
      <c r="C255" s="402">
        <f>IF($B$7=1,Meal_entry_week_1!V$230+Meal_entry_week_1!V$249+Meal_entry_week_1!V$281+Meal_entry_week_1!V$300,Meal_entry_week_2!V$230+Meal_entry_week_2!V$249+Meal_entry_week_2!V$281+Meal_entry_week_2!V$300)</f>
        <v>1337.23</v>
      </c>
      <c r="D255" s="537"/>
      <c r="E255" s="492"/>
      <c r="F255" s="1499"/>
      <c r="G255" s="1500"/>
      <c r="H255" s="489"/>
      <c r="AB255" s="302"/>
    </row>
    <row r="256" spans="1:28" s="229" customFormat="1">
      <c r="A256" s="509"/>
      <c r="B256" s="1306" t="s">
        <v>3878</v>
      </c>
      <c r="C256" s="1252">
        <f>IF($B$7=1,Meal_entry_week_1!$W$305,Meal_entry_week_2!$W$305)</f>
        <v>1353.9482766899766</v>
      </c>
      <c r="D256" s="1253">
        <f>IF($B$7=1,Meal_entry_week_1!$W$306,Meal_entry_week_2!$W$306)</f>
        <v>1032.1205207787013</v>
      </c>
      <c r="E256" s="506">
        <f>IF($B$7=1,100*Meal_entry_week_1!$W$306/Sheet1!$K$123,100*Meal_entry_week_2!$W$306/Sheet2!$K$123)</f>
        <v>73.722894341335802</v>
      </c>
      <c r="F256" s="1487" t="str">
        <f>IF(E256&lt;80,VLOOKUP(B256,'Recommendation texts'!$A:$AV,2,FALSE),"")</f>
        <v>After allowing for plate waste, the menus for this day are lower than recommeded in energy (kcal) overall.</v>
      </c>
      <c r="G256" s="1489"/>
      <c r="H256" s="1506"/>
      <c r="AB256" s="510"/>
    </row>
    <row r="257" spans="1:28" s="229" customFormat="1">
      <c r="A257" s="509"/>
      <c r="B257" s="768" t="s">
        <v>3879</v>
      </c>
      <c r="C257" s="1112">
        <f>IF($B$7=1,Meal_entry_week_1!$X$305,Meal_entry_week_2!$X$305)</f>
        <v>148.07297668997668</v>
      </c>
      <c r="D257" s="505">
        <f>IF($B$7=1,Meal_entry_week_1!$X$306,Meal_entry_week_2!$X$306)</f>
        <v>111.01382123609991</v>
      </c>
      <c r="E257" s="506">
        <f>IF($B$7=1,100*Meal_entry_week_1!$X$306/Sheet1!$K$124,100*Meal_entry_week_2!$X$306/Sheet2!$K$124)</f>
        <v>57.669517525246711</v>
      </c>
      <c r="F257" s="1487" t="str">
        <f>IF(E257&lt;80,VLOOKUP(B257,'Recommendation texts'!$A:$AV,2,FALSE),"")</f>
        <v>After allowing for plate waste, the menus for this day are lower than recommended in carbohydrates overall.</v>
      </c>
      <c r="G257" s="1489"/>
      <c r="H257" s="1489"/>
      <c r="AB257" s="510"/>
    </row>
    <row r="258" spans="1:28" s="229" customFormat="1">
      <c r="A258" s="509"/>
      <c r="B258" s="768" t="s">
        <v>3880</v>
      </c>
      <c r="C258" s="1112">
        <f>IF($B$7=1,Meal_entry_week_1!$Y$305,Meal_entry_week_2!$Y$305)</f>
        <v>51.694333333333333</v>
      </c>
      <c r="D258" s="505">
        <f>IF($B$7=1,Meal_entry_week_1!$Y$306,Meal_entry_week_2!$Y$306)</f>
        <v>37.226620683977458</v>
      </c>
      <c r="E258" s="506">
        <f>IF($B$7=1,100*Meal_entry_week_1!$Y$306/Sheet1!$K$125,100*Meal_entry_week_2!$Y$306/Sheet2!$K$125)</f>
        <v>76.409319958902827</v>
      </c>
      <c r="F258" s="1487" t="str">
        <f>IF(E258&lt;80,VLOOKUP(B258,'Recommendation texts'!$A:$AV,2,FALSE),"")</f>
        <v>After allowing for plate waste, the menus for this day are lower than recommended in protein overall.</v>
      </c>
      <c r="G258" s="1489"/>
      <c r="H258" s="1489"/>
      <c r="AB258" s="510"/>
    </row>
    <row r="259" spans="1:28" s="229" customFormat="1">
      <c r="A259" s="509"/>
      <c r="B259" s="768" t="s">
        <v>3881</v>
      </c>
      <c r="C259" s="1112">
        <f>IF($B$7=1,Meal_entry_week_1!$Z$305,Meal_entry_week_2!$Z$305)</f>
        <v>60.221289976689974</v>
      </c>
      <c r="D259" s="505">
        <f>IF($B$7=1,Meal_entry_week_1!$Z$306,Meal_entry_week_2!$Z$306)</f>
        <v>47.916793045286283</v>
      </c>
      <c r="E259" s="506">
        <f>IF($B$7=1,100*Meal_entry_week_1!$Z$306/Sheet1!$K$126,100*Meal_entry_week_2!$Z$306/Sheet2!$K$126)</f>
        <v>102.67885250778444</v>
      </c>
      <c r="F259" s="1487" t="str">
        <f>IF(E259&lt;80,VLOOKUP(B259,'Recommendation texts'!$A:$AV,2,FALSE),"")</f>
        <v/>
      </c>
      <c r="G259" s="1489"/>
      <c r="H259" s="1489"/>
      <c r="AB259" s="510"/>
    </row>
    <row r="260" spans="1:28" s="229" customFormat="1" ht="15">
      <c r="A260" s="509"/>
      <c r="B260" s="770" t="s">
        <v>3882</v>
      </c>
      <c r="C260" s="1112">
        <f>IF($B$7=1,Meal_entry_week_1!$AA$305,Meal_entry_week_2!$AA$305)</f>
        <v>25.445116550116552</v>
      </c>
      <c r="D260" s="505">
        <f>IF($B$7=1,Meal_entry_week_1!$AA$306,Meal_entry_week_2!$AA$306)</f>
        <v>18.001993312480099</v>
      </c>
      <c r="E260" s="506">
        <f>IF($B$7=1,100*Meal_entry_week_1!$AA$306/Sheet1!$K$127,100*Meal_entry_week_2!$AA$306/Sheet2!$K$127)</f>
        <v>128.585666517715</v>
      </c>
      <c r="F260" s="1487" t="str">
        <f>IF(E260&lt;80,VLOOKUP(B260,'Recommendation texts'!$A:$AV,2,FALSE),"")</f>
        <v/>
      </c>
      <c r="G260" s="1489"/>
      <c r="H260" s="1489"/>
      <c r="AB260" s="510"/>
    </row>
    <row r="261" spans="1:28" s="229" customFormat="1" ht="15">
      <c r="A261" s="509"/>
      <c r="B261" s="771" t="s">
        <v>3883</v>
      </c>
      <c r="C261" s="1112">
        <f>IF($B$7=1,Meal_entry_week_1!$AB$305,Meal_entry_week_2!$AB$305)</f>
        <v>10.412583916083914</v>
      </c>
      <c r="D261" s="505">
        <f>IF($B$7=1,Meal_entry_week_1!$AB$306,Meal_entry_week_2!$AB$306)</f>
        <v>7.2697199953192166</v>
      </c>
      <c r="E261" s="506">
        <f>IF($B$7=1,100*Meal_entry_week_1!$AB$306/Sheet1!$K$128,100*Meal_entry_week_2!$AB$306/Sheet2!$K$128)</f>
        <v>47.205973995579328</v>
      </c>
      <c r="F261" s="1487" t="str">
        <f>IF(E261&gt;120,"Previše zasićenih masti u menijima za ovaj dan","")</f>
        <v/>
      </c>
      <c r="G261" s="1488"/>
      <c r="H261" s="1488"/>
      <c r="AB261" s="510"/>
    </row>
    <row r="262" spans="1:28" s="229" customFormat="1" ht="15">
      <c r="A262" s="509"/>
      <c r="B262" s="770" t="s">
        <v>3884</v>
      </c>
      <c r="C262" s="1112">
        <f>IF($B$7=1,Meal_entry_week_1!$AC$305,Meal_entry_week_2!$AC$305)</f>
        <v>782.93597668997666</v>
      </c>
      <c r="D262" s="505">
        <f>IF($B$7=1,Meal_entry_week_1!$AC$306,Meal_entry_week_2!$AC$306)</f>
        <v>513.77935042601337</v>
      </c>
      <c r="E262" s="506">
        <f>IF($B$7=1,100*Meal_entry_week_1!$AC$306/Sheet1!$K$129,100*Meal_entry_week_2!$AC$306/Sheet2!$K$129)</f>
        <v>49.330263718439696</v>
      </c>
      <c r="F262" s="1487" t="str">
        <f>IF(E262&gt;120,"Previše soli u menijima za ovaj dan","")</f>
        <v/>
      </c>
      <c r="G262" s="1488"/>
      <c r="H262" s="1488"/>
      <c r="AB262" s="510"/>
    </row>
    <row r="263" spans="1:28" s="229" customFormat="1" ht="15">
      <c r="A263" s="509"/>
      <c r="B263" s="770" t="s">
        <v>3885</v>
      </c>
      <c r="C263" s="1112">
        <f>IF($B$7=1,Meal_entry_week_1!$AD$305,Meal_entry_week_2!$AD$305)</f>
        <v>1877.8560000000002</v>
      </c>
      <c r="D263" s="505">
        <f>IF($B$7=1,Meal_entry_week_1!$AD$306,Meal_entry_week_2!$AD$306)</f>
        <v>1347.6428033153452</v>
      </c>
      <c r="E263" s="506">
        <f>IF($B$7=1,100*Meal_entry_week_1!$AD$306/Sheet1!$K$130,100*Meal_entry_week_2!$AD$306/Sheet2!$K$130)</f>
        <v>106.9557780409004</v>
      </c>
      <c r="F263" s="1487" t="str">
        <f>IF($E263&lt;80,VLOOKUP($B263,'Recommendation texts'!$A:$AV,2,FALSE),"")</f>
        <v/>
      </c>
      <c r="G263" s="1489"/>
      <c r="H263" s="1489"/>
      <c r="AB263" s="510"/>
    </row>
    <row r="264" spans="1:28" s="229" customFormat="1" ht="15">
      <c r="A264" s="509"/>
      <c r="B264" s="770" t="s">
        <v>3886</v>
      </c>
      <c r="C264" s="1112">
        <f>IF($B$7=1,Meal_entry_week_1!$AE$305,Meal_entry_week_2!$AE$305)</f>
        <v>351.42899999999997</v>
      </c>
      <c r="D264" s="505">
        <f>IF($B$7=1,Meal_entry_week_1!$AE$306,Meal_entry_week_2!$AE$306)</f>
        <v>274.09367314986912</v>
      </c>
      <c r="E264" s="506">
        <f>IF($B$7=1,100*Meal_entry_week_1!$AE$306/Sheet1!$K$131,100*Meal_entry_week_2!$AE$306/Sheet2!$K$131)</f>
        <v>49.564859520771996</v>
      </c>
      <c r="F264" s="1487" t="str">
        <f>IF($E264&lt;80,VLOOKUP($B264,'Recommendation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264" s="1489"/>
      <c r="H264" s="1489"/>
      <c r="AB264" s="510"/>
    </row>
    <row r="265" spans="1:28" s="229" customFormat="1" ht="15">
      <c r="A265" s="509"/>
      <c r="B265" s="770" t="s">
        <v>3887</v>
      </c>
      <c r="C265" s="1112">
        <f>IF($B$7=1,Meal_entry_week_1!$AF$305,Meal_entry_week_2!$AF$305)</f>
        <v>168.3659533799534</v>
      </c>
      <c r="D265" s="505">
        <f>IF($B$7=1,Meal_entry_week_1!$AF$306,Meal_entry_week_2!$AF$306)</f>
        <v>119.55856834756861</v>
      </c>
      <c r="E265" s="506">
        <f>IF($B$7=1,100*Meal_entry_week_1!$AF$306/Sheet1!$K$132,100*Meal_entry_week_2!$AF$306/Sheet2!$K$132)</f>
        <v>85.39897739112044</v>
      </c>
      <c r="F265" s="1487" t="str">
        <f>IF($E265&lt;80,VLOOKUP($B265,'Recommendation texts'!$A:$AV,2,FALSE),"")</f>
        <v/>
      </c>
      <c r="G265" s="1489"/>
      <c r="H265" s="1489"/>
      <c r="AB265" s="510"/>
    </row>
    <row r="266" spans="1:28" s="229" customFormat="1" ht="15">
      <c r="A266" s="509"/>
      <c r="B266" s="770" t="s">
        <v>3888</v>
      </c>
      <c r="C266" s="1112">
        <f>IF($B$7=1,Meal_entry_week_1!$AG$305,Meal_entry_week_2!$AG$305)</f>
        <v>566.15600000000006</v>
      </c>
      <c r="D266" s="505">
        <f>IF($B$7=1,Meal_entry_week_1!$AG$306,Meal_entry_week_2!$AG$306)</f>
        <v>409.70044686279391</v>
      </c>
      <c r="E266" s="506">
        <f>IF($B$7=1,100*Meal_entry_week_1!$AG$306/Sheet1!$K$133,100*Meal_entry_week_2!$AG$306/Sheet2!$K$133)</f>
        <v>94.401024622763572</v>
      </c>
      <c r="F266" s="1487" t="str">
        <f>IF($E266&lt;80,VLOOKUP($B266,'Recommendation texts'!$A:$AV,2,FALSE),"")</f>
        <v/>
      </c>
      <c r="G266" s="1489"/>
      <c r="H266" s="1489"/>
      <c r="AB266" s="510"/>
    </row>
    <row r="267" spans="1:28" s="229" customFormat="1" ht="15">
      <c r="A267" s="509"/>
      <c r="B267" s="770" t="s">
        <v>3889</v>
      </c>
      <c r="C267" s="1112">
        <f>IF($B$7=1,Meal_entry_week_1!$AH$305,Meal_entry_week_2!$AH$305)</f>
        <v>12.061144289044288</v>
      </c>
      <c r="D267" s="505">
        <f>IF($B$7=1,Meal_entry_week_1!$AH$306,Meal_entry_week_2!$AH$306)</f>
        <v>8.3201915140856872</v>
      </c>
      <c r="E267" s="506">
        <f>IF($B$7=1,100*Meal_entry_week_1!$AH$306/Sheet1!$K$134,100*Meal_entry_week_2!$AH$306/Sheet2!$K$134)</f>
        <v>108.05443524786607</v>
      </c>
      <c r="F267" s="1487" t="str">
        <f>IF($E267&lt;80,VLOOKUP($B267,'Recommendation texts'!$A:$AV,2,FALSE),"")</f>
        <v/>
      </c>
      <c r="G267" s="1489"/>
      <c r="H267" s="1489"/>
      <c r="AB267" s="510"/>
    </row>
    <row r="268" spans="1:28" s="229" customFormat="1" ht="15">
      <c r="A268" s="509"/>
      <c r="B268" s="770" t="s">
        <v>3890</v>
      </c>
      <c r="C268" s="1112">
        <f>IF($B$7=1,Meal_entry_week_1!$AI$305,Meal_entry_week_2!$AI$305)</f>
        <v>8.9212300699300684</v>
      </c>
      <c r="D268" s="505">
        <f>IF($B$7=1,Meal_entry_week_1!$AI$306,Meal_entry_week_2!$AI$306)</f>
        <v>5.798299479328759</v>
      </c>
      <c r="E268" s="506">
        <f>IF($B$7=1,100*Meal_entry_week_1!$AI$306/Sheet1!$K$135,100*Meal_entry_week_2!$AI$306/Sheet2!$K$135)</f>
        <v>118.33264243528079</v>
      </c>
      <c r="F268" s="1487" t="str">
        <f>IF($E268&lt;80,VLOOKUP($B268,'Recommendation texts'!$A:$AV,2,FALSE),"")</f>
        <v/>
      </c>
      <c r="G268" s="1489"/>
      <c r="H268" s="1489"/>
      <c r="AB268" s="510"/>
    </row>
    <row r="269" spans="1:28" s="229" customFormat="1" ht="15">
      <c r="A269" s="509"/>
      <c r="B269" s="770" t="s">
        <v>3891</v>
      </c>
      <c r="C269" s="1112">
        <f>IF($B$7=1,Meal_entry_week_1!$AJ$305,Meal_entry_week_2!$AJ$305)</f>
        <v>1.3061815501165501</v>
      </c>
      <c r="D269" s="505">
        <f>IF($B$7=1,Meal_entry_week_1!$AJ$306,Meal_entry_week_2!$AJ$306)</f>
        <v>0.89722589589323831</v>
      </c>
      <c r="E269" s="506">
        <f>IF($B$7=1,100*Meal_entry_week_1!$AJ$306/Sheet1!$K$136,100*Meal_entry_week_2!$AJ$306/Sheet2!$K$136)</f>
        <v>128.17512798474834</v>
      </c>
      <c r="F269" s="1487" t="str">
        <f>IF($E269&lt;80,VLOOKUP($B269,'Recommendation texts'!$A:$AV,2,FALSE),"")</f>
        <v/>
      </c>
      <c r="G269" s="1489"/>
      <c r="H269" s="1489"/>
      <c r="AB269" s="510"/>
    </row>
    <row r="270" spans="1:28" s="229" customFormat="1" ht="15">
      <c r="A270" s="509"/>
      <c r="B270" s="770" t="s">
        <v>2990</v>
      </c>
      <c r="C270" s="1112">
        <f>IF($B$7=1,Meal_entry_week_1!$AK$305,Meal_entry_week_2!$AK$305)</f>
        <v>368.02569999999997</v>
      </c>
      <c r="D270" s="505">
        <f>IF($B$7=1,Meal_entry_week_1!$AK$306,Meal_entry_week_2!$AK$306)</f>
        <v>276.41333457150154</v>
      </c>
      <c r="E270" s="506">
        <f>IF($B$7=1,100*Meal_entry_week_1!$AK$306/Sheet1!$K$137,100*Meal_entry_week_2!$AK$306/Sheet2!$K$137)</f>
        <v>49.359524030625273</v>
      </c>
      <c r="F270" s="1487" t="str">
        <f>IF($E270&lt;80,VLOOKUP($B270,'Recommendation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270" s="1489"/>
      <c r="H270" s="1489"/>
      <c r="AB270" s="510"/>
    </row>
    <row r="271" spans="1:28" s="229" customFormat="1" ht="15">
      <c r="A271" s="509"/>
      <c r="B271" s="770" t="s">
        <v>3892</v>
      </c>
      <c r="C271" s="1112">
        <f>IF($B$7=1,Meal_entry_week_1!$AL$305,Meal_entry_week_2!$AL$305)</f>
        <v>0.88691841491841494</v>
      </c>
      <c r="D271" s="505">
        <f>IF($B$7=1,Meal_entry_week_1!$AL$306,Meal_entry_week_2!$AL$306)</f>
        <v>0.57210310462384761</v>
      </c>
      <c r="E271" s="506">
        <f>IF($B$7=1,100*Meal_entry_week_1!$AL$306/Sheet1!$K$138,100*Meal_entry_week_2!$AL$306/Sheet2!$K$138)</f>
        <v>81.729014946263945</v>
      </c>
      <c r="F271" s="1487" t="str">
        <f>IF($E271&lt;80,VLOOKUP($B271,'Recommendation texts'!$A:$AV,2,FALSE),"")</f>
        <v/>
      </c>
      <c r="G271" s="1489"/>
      <c r="H271" s="1489"/>
      <c r="AB271" s="510"/>
    </row>
    <row r="272" spans="1:28" s="229" customFormat="1">
      <c r="A272" s="509"/>
      <c r="B272" s="1295" t="s">
        <v>2985</v>
      </c>
      <c r="C272" s="1112">
        <f>IF($B$7=1,Meal_entry_week_1!$AM$305,Meal_entry_week_2!$AM$305)</f>
        <v>0.72726270396270398</v>
      </c>
      <c r="D272" s="505">
        <f>IF($B$7=1,Meal_entry_week_1!$AM$306,Meal_entry_week_2!$AM$306)</f>
        <v>0.51137670185412387</v>
      </c>
      <c r="E272" s="506">
        <f>IF($B$7=1,100*Meal_entry_week_1!$AM$306/Sheet1!$K$139,100*Meal_entry_week_2!$AM$306/Sheet2!$K$139)</f>
        <v>69.575061476751557</v>
      </c>
      <c r="F272" s="1487" t="str">
        <f>IF($E272&lt;80,VLOOKUP($B272,'Recommendation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272" s="1489"/>
      <c r="H272" s="1489"/>
      <c r="AB272" s="510"/>
    </row>
    <row r="273" spans="1:28" s="229" customFormat="1" ht="15">
      <c r="A273" s="509"/>
      <c r="B273" s="770" t="s">
        <v>3893</v>
      </c>
      <c r="C273" s="1112">
        <f>IF($B$7=1,Meal_entry_week_1!$AN$305,Meal_entry_week_2!$AN$305)</f>
        <v>9.5284773310023319</v>
      </c>
      <c r="D273" s="505">
        <f>IF($B$7=1,Meal_entry_week_1!$AN$306,Meal_entry_week_2!$AN$306)</f>
        <v>6.4319341419405038</v>
      </c>
      <c r="E273" s="506">
        <f>IF($B$7=1,100*Meal_entry_week_1!$AN$306/Sheet1!$K$140,100*Meal_entry_week_2!$AN$306/Sheet2!$K$140)</f>
        <v>70.680594966379175</v>
      </c>
      <c r="F273" s="1487" t="str">
        <f>IF($E273&lt;80,VLOOKUP($B273,'Recommendation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273" s="1489"/>
      <c r="H273" s="1489"/>
      <c r="AB273" s="510"/>
    </row>
    <row r="274" spans="1:28" s="229" customFormat="1" ht="15">
      <c r="A274" s="509"/>
      <c r="B274" s="770" t="s">
        <v>2986</v>
      </c>
      <c r="C274" s="1112">
        <f>IF($B$7=1,Meal_entry_week_1!$AO$305,Meal_entry_week_2!$AO$305)</f>
        <v>0.97508300699300698</v>
      </c>
      <c r="D274" s="505">
        <f>IF($B$7=1,Meal_entry_week_1!$AO$306,Meal_entry_week_2!$AO$306)</f>
        <v>0.62972135137485752</v>
      </c>
      <c r="E274" s="506">
        <f>IF($B$7=1,100*Meal_entry_week_1!$AO$306/Sheet1!$K$141,100*Meal_entry_week_2!$AO$306/Sheet2!$K$141)</f>
        <v>105.83552123947186</v>
      </c>
      <c r="F274" s="1487" t="str">
        <f>IF($E274&lt;80,VLOOKUP($B274,'Recommendation texts'!$A:$AV,2,FALSE),"")</f>
        <v/>
      </c>
      <c r="G274" s="1489"/>
      <c r="H274" s="1489"/>
      <c r="AB274" s="510"/>
    </row>
    <row r="275" spans="1:28" s="229" customFormat="1" ht="15">
      <c r="A275" s="509"/>
      <c r="B275" s="770" t="s">
        <v>3894</v>
      </c>
      <c r="C275" s="1112">
        <f>IF($B$7=1,Meal_entry_week_1!$AP$305,Meal_entry_week_2!$AP$305)</f>
        <v>189.87609324009321</v>
      </c>
      <c r="D275" s="505">
        <f>IF($B$7=1,Meal_entry_week_1!$AP$306,Meal_entry_week_2!$AP$306)</f>
        <v>135.42631013980127</v>
      </c>
      <c r="E275" s="506">
        <f>IF($B$7=1,100*Meal_entry_week_1!$AP$306/Sheet1!$K$142,100*Meal_entry_week_2!$AP$306/Sheet2!$K$142)</f>
        <v>77.386462937029307</v>
      </c>
      <c r="F275" s="1487" t="str">
        <f>IF($E275&lt;80,VLOOKUP($B275,'Recommendation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275" s="1489"/>
      <c r="H275" s="1489"/>
      <c r="AB275" s="510"/>
    </row>
    <row r="276" spans="1:28" s="229" customFormat="1" ht="15">
      <c r="A276" s="509"/>
      <c r="B276" s="770" t="s">
        <v>2987</v>
      </c>
      <c r="C276" s="1112">
        <f>IF($B$7=1,Meal_entry_week_1!$AQ$305,Meal_entry_week_2!$AQ$305)</f>
        <v>0.59361090909090908</v>
      </c>
      <c r="D276" s="505">
        <f>IF($B$7=1,Meal_entry_week_1!$AQ$306,Meal_entry_week_2!$AQ$306)</f>
        <v>0.45178637741538785</v>
      </c>
      <c r="E276" s="506">
        <f>IF($B$7=1,100*Meal_entry_week_1!$AQ$306/Sheet1!$K$143,100*Meal_entry_week_2!$AQ$306/Sheet2!$K$143)</f>
        <v>25.816364423736449</v>
      </c>
      <c r="F276" s="1487" t="str">
        <f>IF($E276&lt;80,VLOOKUP($B276,'Recommendation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276" s="1489"/>
      <c r="H276" s="1489"/>
      <c r="AB276" s="510"/>
    </row>
    <row r="277" spans="1:28" s="229" customFormat="1" ht="15">
      <c r="A277" s="509"/>
      <c r="B277" s="770" t="s">
        <v>2988</v>
      </c>
      <c r="C277" s="1112">
        <f>IF($B$7=1,Meal_entry_week_1!$AR$305,Meal_entry_week_2!$AR$305)</f>
        <v>72.429299999999998</v>
      </c>
      <c r="D277" s="505">
        <f>IF($B$7=1,Meal_entry_week_1!$AR$306,Meal_entry_week_2!$AR$306)</f>
        <v>52.835878729297718</v>
      </c>
      <c r="E277" s="506">
        <f>IF($B$7=1,100*Meal_entry_week_1!$AR$306/Sheet1!$K$144,100*Meal_entry_week_2!$AR$306/Sheet2!$K$144)</f>
        <v>94.349783445174495</v>
      </c>
      <c r="F277" s="1487" t="str">
        <f>IF($E277&lt;80,VLOOKUP($B277,'Recommendation texts'!$A:$AV,2,FALSE),"")</f>
        <v/>
      </c>
      <c r="G277" s="1489"/>
      <c r="H277" s="1489"/>
      <c r="AB277" s="510"/>
    </row>
    <row r="278" spans="1:28" s="229" customFormat="1" ht="16" thickBot="1">
      <c r="A278" s="509"/>
      <c r="B278" s="1307" t="s">
        <v>2989</v>
      </c>
      <c r="C278" s="501">
        <f>IF($B$7=1,Meal_entry_week_1!$AS$305,Meal_entry_week_2!$AS$305)</f>
        <v>1.3220200000000002</v>
      </c>
      <c r="D278" s="502">
        <f>IF($B$7=1,Meal_entry_week_1!$AS$306,Meal_entry_week_2!$AS$306)</f>
        <v>0.68585812936440005</v>
      </c>
      <c r="E278" s="503">
        <f>IF($B$7=1,100*Meal_entry_week_1!$AS$306/Sheet1!$K$145,100*Meal_entry_week_2!$AS$306/Sheet2!$K$145)</f>
        <v>19.595946553268572</v>
      </c>
      <c r="F278" s="1490" t="str">
        <f>IF($E278&lt;80,VLOOKUP($B278,'Recommendation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278" s="1491"/>
      <c r="H278" s="1491"/>
      <c r="AB278" s="510"/>
    </row>
    <row r="279" spans="1:28" ht="14" customHeight="1">
      <c r="A279" s="563">
        <f>IF(C251=0,"",IF(E256&gt;85,0,1))</f>
        <v>1</v>
      </c>
      <c r="B279" s="564">
        <f>IF(C251=0,"",IF(E257&gt;85,0,1))</f>
        <v>1</v>
      </c>
      <c r="C279" s="564">
        <f>IF(C251=0,"",IF(E258&gt;85,0,1))</f>
        <v>1</v>
      </c>
      <c r="D279" s="564">
        <f>IF(C251=0,"",IF(E259&gt;85,0,1))</f>
        <v>0</v>
      </c>
      <c r="E279" s="564">
        <f>IF(C251=0,"",IF(E260&gt;85,0,1))</f>
        <v>0</v>
      </c>
      <c r="F279" s="302"/>
      <c r="G279" s="302"/>
      <c r="H279" s="302"/>
      <c r="I279" s="302"/>
      <c r="J279" s="302"/>
      <c r="K279" s="302"/>
      <c r="L279" s="302"/>
      <c r="M279" s="302"/>
      <c r="N279" s="302"/>
      <c r="O279" s="302"/>
      <c r="P279" s="302"/>
      <c r="Q279" s="302"/>
      <c r="R279" s="302"/>
      <c r="S279" s="302"/>
      <c r="T279" s="302"/>
      <c r="U279" s="302"/>
      <c r="V279" s="302"/>
      <c r="W279" s="302"/>
      <c r="X279" s="302"/>
      <c r="Y279" s="302"/>
      <c r="Z279" s="302"/>
      <c r="AA279" s="302"/>
      <c r="AB279" s="302"/>
    </row>
    <row r="280" spans="1:28" s="378" customFormat="1" ht="8" customHeight="1">
      <c r="A280" s="104"/>
      <c r="B280" s="121"/>
      <c r="E280" s="100"/>
      <c r="F280" s="475"/>
      <c r="G280" s="475"/>
      <c r="H280" s="475"/>
    </row>
    <row r="281" spans="1:28" s="749" customFormat="1" ht="48" customHeight="1">
      <c r="A281" s="266"/>
      <c r="B281" s="1001" t="s">
        <v>4015</v>
      </c>
      <c r="C281" s="998" t="s">
        <v>4017</v>
      </c>
      <c r="D281" s="1324" t="s">
        <v>4018</v>
      </c>
      <c r="E281" s="1332" t="s">
        <v>4008</v>
      </c>
      <c r="F281" s="994" t="s">
        <v>4020</v>
      </c>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row>
    <row r="282" spans="1:28" ht="15" customHeight="1">
      <c r="A282" s="570">
        <v>1</v>
      </c>
      <c r="B282" s="373" t="s">
        <v>3587</v>
      </c>
      <c r="C282" s="301">
        <f>IF($B$7=1,Meal_entry_week_1!Q$329+Meal_entry_week_1!Q$348+Meal_entry_week_1!Q$380+Meal_entry_week_1!Q$399,Meal_entry_week_2!Q$329+Meal_entry_week_2!Q$348+Meal_entry_week_2!Q$380+Meal_entry_week_2!Q$399)</f>
        <v>797.2</v>
      </c>
      <c r="D282" s="296"/>
      <c r="E282" s="297"/>
      <c r="F282" s="1501" t="str">
        <f>IF(C282=0,"",CONCATENATE('Recommendation texts'!C$88,IF(A282&gt;0,'Recommendation texts'!D$89,'Recommendation texts'!D$88),IF(A310=0,'Recommendation texts'!E$88,'Recommendation texts'!E$89),IF(A282&gt;0,'Recommendation texts'!F$89,'Recommendation texts'!F$88),IF(B310=0,'Recommendation texts'!G$88,'Recommendation texts'!G$89),'Recommendation texts'!H$88,IF(C310=0,(IF(B310=1,'Recommendation texts'!I$84,'Recommendation texts'!I$88)),'Recommendation texts'!I$89),'Recommendation texts'!J$88,IF(D310=0,(IF(C310=1,'Recommendation texts'!K$84,'Recommendation texts'!K$88)),'Recommendation texts'!K$89),'Recommendation texts'!L$88,IF(E310=0,'Recommendation texts'!M$88,'Recommendation texts'!M$89),'Recommendation texts'!N$88))</f>
        <v>Overall, after subtracting plate waste, the menus for this day have INSUFFICIENT calories for the day, they have INSUFFICIENT carbohydrates, INSUFFICIENT protein, INSUFFICIENT fat, but INSUFFICIENT fibre in meals.</v>
      </c>
      <c r="G282" s="1502"/>
      <c r="H282" s="493"/>
      <c r="AB282" s="304"/>
    </row>
    <row r="283" spans="1:28" ht="15" customHeight="1">
      <c r="A283" s="266"/>
      <c r="B283" s="871" t="s">
        <v>3990</v>
      </c>
      <c r="C283" s="982">
        <f>IF($B$7=1,Meal_entry_week_1!R$329+Meal_entry_week_1!R$348+Meal_entry_week_1!R$380+Meal_entry_week_1!R$399,Meal_entry_week_2!R$329+Meal_entry_week_2!R$348+Meal_entry_week_2!R$380+Meal_entry_week_2!R$399)</f>
        <v>203.861975</v>
      </c>
      <c r="D283" s="320">
        <f>IF($B$7=1,Meal_entry_week_1!I550/100,Meal_entry_week_2!I550/100)</f>
        <v>0.25572249428346089</v>
      </c>
      <c r="E283" s="66"/>
      <c r="F283" s="1501"/>
      <c r="G283" s="1502"/>
      <c r="H283" s="493"/>
      <c r="AB283" s="304"/>
    </row>
    <row r="284" spans="1:28" ht="15" customHeight="1" thickBot="1">
      <c r="A284" s="266"/>
      <c r="B284" s="1257" t="s">
        <v>3987</v>
      </c>
      <c r="C284" s="1258">
        <f>IF($B$7=1,Meal_entry_week_1!T$329+Meal_entry_week_1!T$348+Meal_entry_week_1!T$380+Meal_entry_week_1!T$399,Meal_entry_week_2!T$329+Meal_entry_week_2!T$348+Meal_entry_week_2!T$380+Meal_entry_week_2!T$399)</f>
        <v>102.76217515151515</v>
      </c>
      <c r="D284" s="482"/>
      <c r="E284" s="480" t="s">
        <v>3980</v>
      </c>
      <c r="F284" s="1501"/>
      <c r="G284" s="1502"/>
      <c r="H284" s="493"/>
      <c r="AB284" s="304"/>
    </row>
    <row r="285" spans="1:28" ht="15" customHeight="1">
      <c r="A285" s="266"/>
      <c r="B285" s="401" t="s">
        <v>3988</v>
      </c>
      <c r="C285" s="403">
        <f>IF($B$7=1,Meal_entry_week_1!U$329+Meal_entry_week_1!U$348+Meal_entry_week_1!U$380+Meal_entry_week_1!U$399,Meal_entry_week_2!U$329+Meal_entry_week_2!U$348+Meal_entry_week_2!U$380+Meal_entry_week_2!U$399)</f>
        <v>22.712554029696967</v>
      </c>
      <c r="D285" s="481">
        <f>IF($B$7=1,Meal_entry_week_1!J550/100,Meal_entry_week_2!J550/100)</f>
        <v>0.22102054365824358</v>
      </c>
      <c r="E285" s="492"/>
      <c r="F285" s="1497" t="s">
        <v>3986</v>
      </c>
      <c r="G285" s="1498"/>
      <c r="H285" s="493"/>
      <c r="AB285" s="304"/>
    </row>
    <row r="286" spans="1:28" ht="15" customHeight="1" thickBot="1">
      <c r="A286" s="305"/>
      <c r="B286" s="1256" t="s">
        <v>3989</v>
      </c>
      <c r="C286" s="402">
        <f>IF($B$7=1,Meal_entry_week_1!V$329+Meal_entry_week_1!V$348+Meal_entry_week_1!V$380+Meal_entry_week_1!V$399,Meal_entry_week_2!V$329+Meal_entry_week_2!V$348+Meal_entry_week_2!V$380+Meal_entry_week_2!V$399)</f>
        <v>1481.4959999999996</v>
      </c>
      <c r="D286" s="497"/>
      <c r="E286" s="492"/>
      <c r="F286" s="1499"/>
      <c r="G286" s="1500"/>
      <c r="H286" s="489"/>
      <c r="AB286" s="304"/>
    </row>
    <row r="287" spans="1:28" s="229" customFormat="1">
      <c r="A287" s="507"/>
      <c r="B287" s="1306" t="s">
        <v>3878</v>
      </c>
      <c r="C287" s="1252">
        <f>IF($B$7=1,Meal_entry_week_1!$W$404,Meal_entry_week_2!$W$404)</f>
        <v>1250.7879333267433</v>
      </c>
      <c r="D287" s="1253">
        <f>IF($B$7=1,Meal_entry_week_1!$W$405,Meal_entry_week_2!$W$405)</f>
        <v>933.15150802055496</v>
      </c>
      <c r="E287" s="506">
        <f>IF($B$7=1,100*Meal_entry_week_1!$W$405/Sheet1!$L$123,100*Meal_entry_week_2!$W$405/Sheet2!$L$123)</f>
        <v>66.653679144325352</v>
      </c>
      <c r="F287" s="1487" t="str">
        <f>IF(E287&lt;80,VLOOKUP(B287,'Recommendation texts'!$A:$AV,2,FALSE),"")</f>
        <v>After allowing for plate waste, the menus for this day are lower than recommeded in energy (kcal) overall.</v>
      </c>
      <c r="G287" s="1489"/>
      <c r="H287" s="1506"/>
      <c r="AB287" s="508"/>
    </row>
    <row r="288" spans="1:28" s="229" customFormat="1">
      <c r="A288" s="507"/>
      <c r="B288" s="768" t="s">
        <v>3879</v>
      </c>
      <c r="C288" s="1112">
        <f>IF($B$7=1,Meal_entry_week_1!$X$404,Meal_entry_week_2!$X$404)</f>
        <v>171.33068029214178</v>
      </c>
      <c r="D288" s="505">
        <f>IF($B$7=1,Meal_entry_week_1!$X$405,Meal_entry_week_2!$X$405)</f>
        <v>128.32685156759646</v>
      </c>
      <c r="E288" s="506">
        <f>IF($B$7=1,100*Meal_entry_week_1!$X$405/Sheet1!$L$124,100*Meal_entry_week_2!$X$405/Sheet2!$L$124)</f>
        <v>66.66329951563452</v>
      </c>
      <c r="F288" s="1487" t="str">
        <f>IF(E288&lt;80,VLOOKUP(B288,'Recommendation texts'!$A:$AV,2,FALSE),"")</f>
        <v>After allowing for plate waste, the menus for this day are lower than recommended in carbohydrates overall.</v>
      </c>
      <c r="G288" s="1489"/>
      <c r="H288" s="1489"/>
      <c r="AB288" s="508"/>
    </row>
    <row r="289" spans="1:28" s="229" customFormat="1">
      <c r="A289" s="507"/>
      <c r="B289" s="768" t="s">
        <v>3880</v>
      </c>
      <c r="C289" s="1112">
        <f>IF($B$7=1,Meal_entry_week_1!$Y$404,Meal_entry_week_2!$Y$404)</f>
        <v>28.713934830768473</v>
      </c>
      <c r="D289" s="505">
        <f>IF($B$7=1,Meal_entry_week_1!$Y$405,Meal_entry_week_2!$Y$405)</f>
        <v>21.229378577007644</v>
      </c>
      <c r="E289" s="506">
        <f>IF($B$7=1,100*Meal_entry_week_1!$Y$405/Sheet1!$L$125,100*Meal_entry_week_2!$Y$405/Sheet2!$L$125)</f>
        <v>43.574258162987775</v>
      </c>
      <c r="F289" s="1487" t="str">
        <f>IF(E289&lt;80,VLOOKUP(B289,'Recommendation texts'!$A:$AV,2,FALSE),"")</f>
        <v>After allowing for plate waste, the menus for this day are lower than recommended in protein overall.</v>
      </c>
      <c r="G289" s="1489"/>
      <c r="H289" s="1489"/>
      <c r="AB289" s="508"/>
    </row>
    <row r="290" spans="1:28" s="229" customFormat="1">
      <c r="A290" s="507"/>
      <c r="B290" s="768" t="s">
        <v>3881</v>
      </c>
      <c r="C290" s="1112">
        <f>IF($B$7=1,Meal_entry_week_1!$Z$404,Meal_entry_week_2!$Z$404)</f>
        <v>47.213814725271646</v>
      </c>
      <c r="D290" s="505">
        <f>IF($B$7=1,Meal_entry_week_1!$Z$405,Meal_entry_week_2!$Z$405)</f>
        <v>35.351161456528054</v>
      </c>
      <c r="E290" s="506">
        <f>IF($B$7=1,100*Meal_entry_week_1!$Z$405/Sheet1!$L$126,100*Meal_entry_week_2!$Z$405/Sheet2!$L$126)</f>
        <v>75.752496410666907</v>
      </c>
      <c r="F290" s="1487" t="str">
        <f>IF(E290&lt;80,VLOOKUP(B290,'Recommendation texts'!$A:$AV,2,FALSE),"")</f>
        <v>After allowing for plate waste, the menus for this day are lower than recommended in fat overall.</v>
      </c>
      <c r="G290" s="1489"/>
      <c r="H290" s="1489"/>
      <c r="AB290" s="508"/>
    </row>
    <row r="291" spans="1:28" s="229" customFormat="1" ht="15">
      <c r="A291" s="507"/>
      <c r="B291" s="770" t="s">
        <v>3882</v>
      </c>
      <c r="C291" s="1112">
        <f>IF($B$7=1,Meal_entry_week_1!$AA$404,Meal_entry_week_2!$AA$404)</f>
        <v>12.557341979971588</v>
      </c>
      <c r="D291" s="505">
        <f>IF($B$7=1,Meal_entry_week_1!$AA$405,Meal_entry_week_2!$AA$405)</f>
        <v>8.8941242200075425</v>
      </c>
      <c r="E291" s="506">
        <f>IF($B$7=1,100*Meal_entry_week_1!$AA$405/Sheet1!$L$127,100*Meal_entry_week_2!$AA$405/Sheet2!$L$127)</f>
        <v>63.52945871433959</v>
      </c>
      <c r="F291" s="1487" t="str">
        <f>IF(E291&lt;80,VLOOKUP(B291,'Recommendation texts'!$A:$AV,2,FALSE),"")</f>
        <v>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v>
      </c>
      <c r="G291" s="1489"/>
      <c r="H291" s="1489"/>
      <c r="AB291" s="508"/>
    </row>
    <row r="292" spans="1:28" s="229" customFormat="1" ht="15">
      <c r="A292" s="507"/>
      <c r="B292" s="771" t="s">
        <v>3883</v>
      </c>
      <c r="C292" s="1112">
        <f>IF($B$7=1,Meal_entry_week_1!$AB$404,Meal_entry_week_2!$AB$404)</f>
        <v>10.06272517505624</v>
      </c>
      <c r="D292" s="505">
        <f>IF($B$7=1,Meal_entry_week_1!$AB$405,Meal_entry_week_2!$AB$405)</f>
        <v>7.7223597721843964</v>
      </c>
      <c r="E292" s="506">
        <f>IF($B$7=1,100*Meal_entry_week_1!$AB$405/Sheet1!$L$128,100*Meal_entry_week_2!$AB$405/Sheet2!$L$128)</f>
        <v>50.145193325872704</v>
      </c>
      <c r="F292" s="1487" t="str">
        <f>IF(E292&gt;120,"Previše zasićenih masti u menijima za ovaj dan","")</f>
        <v/>
      </c>
      <c r="G292" s="1488"/>
      <c r="H292" s="1488"/>
      <c r="AB292" s="508"/>
    </row>
    <row r="293" spans="1:28" s="229" customFormat="1" ht="15">
      <c r="A293" s="507"/>
      <c r="B293" s="770" t="s">
        <v>3884</v>
      </c>
      <c r="C293" s="1112">
        <f>IF($B$7=1,Meal_entry_week_1!$AC$404,Meal_entry_week_2!$AC$404)</f>
        <v>829.08268308391609</v>
      </c>
      <c r="D293" s="505">
        <f>IF($B$7=1,Meal_entry_week_1!$AC$405,Meal_entry_week_2!$AC$405)</f>
        <v>552.46938739393829</v>
      </c>
      <c r="E293" s="506">
        <f>IF($B$7=1,100*Meal_entry_week_1!$AC$405/Sheet1!$L$129,100*Meal_entry_week_2!$AC$405/Sheet2!$L$129)</f>
        <v>53.045067992533937</v>
      </c>
      <c r="F293" s="1487" t="str">
        <f>IF(E293&gt;120,"Previše soli u menijima za ovaj dan","")</f>
        <v/>
      </c>
      <c r="G293" s="1488"/>
      <c r="H293" s="1488"/>
      <c r="AB293" s="508"/>
    </row>
    <row r="294" spans="1:28" s="229" customFormat="1" ht="15">
      <c r="A294" s="507"/>
      <c r="B294" s="770" t="s">
        <v>3885</v>
      </c>
      <c r="C294" s="1112">
        <f>IF($B$7=1,Meal_entry_week_1!$AD$404,Meal_entry_week_2!$AD$404)</f>
        <v>1588.6218999999999</v>
      </c>
      <c r="D294" s="505">
        <f>IF($B$7=1,Meal_entry_week_1!$AD$405,Meal_entry_week_2!$AD$405)</f>
        <v>1169.3020655838336</v>
      </c>
      <c r="E294" s="506">
        <f>IF($B$7=1,100*Meal_entry_week_1!$AD$405/Sheet1!$L$130,100*Meal_entry_week_2!$AD$405/Sheet2!$L$130)</f>
        <v>92.801751236812194</v>
      </c>
      <c r="F294" s="1487" t="str">
        <f>IF($E294&lt;80,VLOOKUP($B294,'Recommendation texts'!$A:$AV,2,FALSE),"")</f>
        <v/>
      </c>
      <c r="G294" s="1489"/>
      <c r="H294" s="1489"/>
      <c r="AB294" s="508"/>
    </row>
    <row r="295" spans="1:28" s="229" customFormat="1" ht="15">
      <c r="A295" s="507"/>
      <c r="B295" s="770" t="s">
        <v>3886</v>
      </c>
      <c r="C295" s="1112">
        <f>IF($B$7=1,Meal_entry_week_1!$AE$404,Meal_entry_week_2!$AE$404)</f>
        <v>220.28989999999999</v>
      </c>
      <c r="D295" s="505">
        <f>IF($B$7=1,Meal_entry_week_1!$AE$405,Meal_entry_week_2!$AE$405)</f>
        <v>162.2241151186021</v>
      </c>
      <c r="E295" s="506">
        <f>IF($B$7=1,100*Meal_entry_week_1!$AE$405/Sheet1!$L$131,100*Meal_entry_week_2!$AE$405/Sheet2!$L$131)</f>
        <v>29.33528302325535</v>
      </c>
      <c r="F295" s="1487" t="str">
        <f>IF($E295&lt;80,VLOOKUP($B295,'Recommendation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295" s="1489"/>
      <c r="H295" s="1489"/>
      <c r="AB295" s="508"/>
    </row>
    <row r="296" spans="1:28" s="229" customFormat="1" ht="15">
      <c r="A296" s="507"/>
      <c r="B296" s="770" t="s">
        <v>3887</v>
      </c>
      <c r="C296" s="1112">
        <f>IF($B$7=1,Meal_entry_week_1!$AF$404,Meal_entry_week_2!$AF$404)</f>
        <v>152.56773216783216</v>
      </c>
      <c r="D296" s="505">
        <f>IF($B$7=1,Meal_entry_week_1!$AF$405,Meal_entry_week_2!$AF$405)</f>
        <v>110.78966781228824</v>
      </c>
      <c r="E296" s="506">
        <f>IF($B$7=1,100*Meal_entry_week_1!$AF$405/Sheet1!$L$132,100*Meal_entry_week_2!$AF$405/Sheet2!$L$132)</f>
        <v>79.135477008777315</v>
      </c>
      <c r="F296" s="1487" t="str">
        <f>IF($E296&lt;80,VLOOKUP($B296,'Recommendation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296" s="1489"/>
      <c r="H296" s="1489"/>
      <c r="AB296" s="508"/>
    </row>
    <row r="297" spans="1:28" s="229" customFormat="1" ht="15">
      <c r="A297" s="507"/>
      <c r="B297" s="770" t="s">
        <v>3888</v>
      </c>
      <c r="C297" s="1112">
        <f>IF($B$7=1,Meal_entry_week_1!$AG$404,Meal_entry_week_2!$AG$404)</f>
        <v>433.11589999999995</v>
      </c>
      <c r="D297" s="505">
        <f>IF($B$7=1,Meal_entry_week_1!$AG$405,Meal_entry_week_2!$AG$405)</f>
        <v>332.25197233238754</v>
      </c>
      <c r="E297" s="506">
        <f>IF($B$7=1,100*Meal_entry_week_1!$AG$405/Sheet1!$L$133,100*Meal_entry_week_2!$AG$405/Sheet2!$L$133)</f>
        <v>76.55575399363768</v>
      </c>
      <c r="F297" s="1487" t="str">
        <f>IF($E297&lt;80,VLOOKUP($B297,'Recommendation texts'!$A:$AV,2,FALSE),"")</f>
        <v>Cheese, processed, slices 1200.0 mg, Poppy seeds 936.0 mg, Parmesan cheese 855.0 mg, Cheese spread triangles 35% fat 825.0 mg, Cheese spread 70% fat 750.0 mg, Cocoa powder 734.0 mg, Chicken egg yolks 619.0 mg, Cheese, hard 45% fat 610.0 mg, Cheese, hard 35% fat 530.0 mg, Oats 523.0 mg, Cheese, Gouda, 48% fat 520.0 mg, Almond (dry, roasted, salt free) 480.0 mg, Cheese, Trapist 475.0 mg, Cheese, Edam, 30% fat 430.0 mg, Cheese, for pizza, 45% fat 430.0 mg, Pork liver 430.0 mg, Beans haricot (yellow) 425.0 mg, Beans (white) 425.0 mg, Beans (coloured) 425.0 mg, Peanuts, roasted, salt-free 389.0 g</v>
      </c>
      <c r="G297" s="1489"/>
      <c r="H297" s="1489"/>
      <c r="AB297" s="508"/>
    </row>
    <row r="298" spans="1:28" s="229" customFormat="1" ht="15">
      <c r="A298" s="507"/>
      <c r="B298" s="770" t="s">
        <v>3889</v>
      </c>
      <c r="C298" s="1112">
        <f>IF($B$7=1,Meal_entry_week_1!$AH$404,Meal_entry_week_2!$AH$404)</f>
        <v>5.1512094104442046</v>
      </c>
      <c r="D298" s="505">
        <f>IF($B$7=1,Meal_entry_week_1!$AH$405,Meal_entry_week_2!$AH$405)</f>
        <v>3.7543133900145564</v>
      </c>
      <c r="E298" s="506">
        <f>IF($B$7=1,100*Meal_entry_week_1!$AH$405/Sheet1!$L$134,100*Meal_entry_week_2!$AH$405/Sheet2!$L$134)</f>
        <v>48.757316753435795</v>
      </c>
      <c r="F298" s="1487" t="str">
        <f>IF($E298&lt;80,VLOOKUP($B298,'Recommendation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298" s="1489"/>
      <c r="H298" s="1489"/>
      <c r="AB298" s="508"/>
    </row>
    <row r="299" spans="1:28" s="229" customFormat="1" ht="15">
      <c r="A299" s="507"/>
      <c r="B299" s="770" t="s">
        <v>3890</v>
      </c>
      <c r="C299" s="1112">
        <f>IF($B$7=1,Meal_entry_week_1!$AI$404,Meal_entry_week_2!$AI$404)</f>
        <v>6.6360320601847853</v>
      </c>
      <c r="D299" s="505">
        <f>IF($B$7=1,Meal_entry_week_1!$AI$405,Meal_entry_week_2!$AI$405)</f>
        <v>4.5796868045752213</v>
      </c>
      <c r="E299" s="506">
        <f>IF($B$7=1,100*Meal_entry_week_1!$AI$405/Sheet1!$L$135,100*Meal_entry_week_2!$AI$405/Sheet2!$L$135)</f>
        <v>93.462996011739193</v>
      </c>
      <c r="F299" s="1487" t="str">
        <f>IF($E299&lt;80,VLOOKUP($B299,'Recommendation texts'!$A:$AV,2,FALSE),"")</f>
        <v/>
      </c>
      <c r="G299" s="1489"/>
      <c r="H299" s="1489"/>
      <c r="AB299" s="508"/>
    </row>
    <row r="300" spans="1:28" s="229" customFormat="1" ht="15">
      <c r="A300" s="507"/>
      <c r="B300" s="770" t="s">
        <v>3891</v>
      </c>
      <c r="C300" s="1112">
        <f>IF($B$7=1,Meal_entry_week_1!$AJ$404,Meal_entry_week_2!$AJ$404)</f>
        <v>1.1575435292248999</v>
      </c>
      <c r="D300" s="505">
        <f>IF($B$7=1,Meal_entry_week_1!$AJ$405,Meal_entry_week_2!$AJ$405)</f>
        <v>0.82665149237044599</v>
      </c>
      <c r="E300" s="506">
        <f>IF($B$7=1,100*Meal_entry_week_1!$AJ$405/Sheet1!$L$136,100*Meal_entry_week_2!$AJ$405/Sheet2!$L$136)</f>
        <v>118.09307033863516</v>
      </c>
      <c r="F300" s="1487" t="str">
        <f>IF($E300&lt;80,VLOOKUP($B300,'Recommendation texts'!$A:$AV,2,FALSE),"")</f>
        <v/>
      </c>
      <c r="G300" s="1489"/>
      <c r="H300" s="1489"/>
      <c r="AB300" s="508"/>
    </row>
    <row r="301" spans="1:28" s="229" customFormat="1" ht="15">
      <c r="A301" s="507"/>
      <c r="B301" s="770" t="s">
        <v>2990</v>
      </c>
      <c r="C301" s="1112">
        <f>IF($B$7=1,Meal_entry_week_1!$AK$404,Meal_entry_week_2!$AK$404)</f>
        <v>419.64990000000006</v>
      </c>
      <c r="D301" s="505">
        <f>IF($B$7=1,Meal_entry_week_1!$AK$405,Meal_entry_week_2!$AK$405)</f>
        <v>326.85748772686179</v>
      </c>
      <c r="E301" s="506">
        <f>IF($B$7=1,100*Meal_entry_week_1!$AK$405/Sheet1!$L$137,100*Meal_entry_week_2!$AK$405/Sheet2!$L$137)</f>
        <v>58.367408522653896</v>
      </c>
      <c r="F301" s="1487" t="str">
        <f>IF($E301&lt;80,VLOOKUP($B301,'Recommendation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301" s="1489"/>
      <c r="H301" s="1489"/>
      <c r="AB301" s="508"/>
    </row>
    <row r="302" spans="1:28" s="229" customFormat="1" ht="15">
      <c r="A302" s="507"/>
      <c r="B302" s="770" t="s">
        <v>3892</v>
      </c>
      <c r="C302" s="1112">
        <f>IF($B$7=1,Meal_entry_week_1!$AL$404,Meal_entry_week_2!$AL$404)</f>
        <v>0.77277267066016908</v>
      </c>
      <c r="D302" s="505">
        <f>IF($B$7=1,Meal_entry_week_1!$AL$405,Meal_entry_week_2!$AL$405)</f>
        <v>0.54987138476810804</v>
      </c>
      <c r="E302" s="506">
        <f>IF($B$7=1,100*Meal_entry_week_1!$AL$405/Sheet1!$L$138,100*Meal_entry_week_2!$AL$405/Sheet2!$L$138)</f>
        <v>78.55305496687258</v>
      </c>
      <c r="F302" s="1487" t="str">
        <f>IF($E302&lt;80,VLOOKUP($B302,'Recommendation texts'!$A:$AV,2,FALSE),"")</f>
        <v xml:space="preserve">Pork liver 310 mg, Cornflakes 1.30 mg, Macaroni with egg 1.13 mg, Pork smoked ham 1.04 mg, Pasta fusilli 1.00 mg, Pork medium fat 0.97 mg, Pork shoulder 0.95 mg, Pork fillet 0.95 mg, Sausage pork, smoked (dried) 0.93 mg, Biscuit Petit beurre 0.90 mg, Plazma biscuit 0.90 mg, Oats 0.76 mg, Mortadela 0.70 mg, Nesquik 0.70 mg, Barley 0.65 mg, Liver pate (average) 0.60 mg, Millet seeds/flour 0.58 mg, Pork leg (steak) 0.51 mg, Chickpeas 0.480 mg </v>
      </c>
      <c r="G302" s="1489"/>
      <c r="H302" s="1489"/>
      <c r="AB302" s="508"/>
    </row>
    <row r="303" spans="1:28" s="229" customFormat="1">
      <c r="A303" s="507"/>
      <c r="B303" s="1295" t="s">
        <v>2985</v>
      </c>
      <c r="C303" s="1112">
        <f>IF($B$7=1,Meal_entry_week_1!$AM$404,Meal_entry_week_2!$AM$404)</f>
        <v>0.52885644301223611</v>
      </c>
      <c r="D303" s="505">
        <f>IF($B$7=1,Meal_entry_week_1!$AM$405,Meal_entry_week_2!$AM$405)</f>
        <v>0.40690685157009909</v>
      </c>
      <c r="E303" s="506">
        <f>IF($B$7=1,100*Meal_entry_week_1!$AM$405/Sheet1!$L$139,100*Meal_entry_week_2!$AM$405/Sheet2!$L$139)</f>
        <v>55.361476404095114</v>
      </c>
      <c r="F303" s="1487" t="str">
        <f>IF($E303&lt;80,VLOOKUP($B303,'Recommendation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303" s="1489"/>
      <c r="H303" s="1489"/>
      <c r="AB303" s="508"/>
    </row>
    <row r="304" spans="1:28" s="229" customFormat="1" ht="15">
      <c r="A304" s="507"/>
      <c r="B304" s="770" t="s">
        <v>3893</v>
      </c>
      <c r="C304" s="1112">
        <f>IF($B$7=1,Meal_entry_week_1!$AN$404,Meal_entry_week_2!$AN$404)</f>
        <v>9.0487033616642876</v>
      </c>
      <c r="D304" s="505">
        <f>IF($B$7=1,Meal_entry_week_1!$AN$405,Meal_entry_week_2!$AN$405)</f>
        <v>6.3874010057267707</v>
      </c>
      <c r="E304" s="506">
        <f>IF($B$7=1,100*Meal_entry_week_1!$AN$405/Sheet1!$L$140,100*Meal_entry_week_2!$AN$405/Sheet2!$L$140)</f>
        <v>70.19121984315133</v>
      </c>
      <c r="F304" s="1487" t="str">
        <f>IF($E304&lt;80,VLOOKUP($B304,'Recommendation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304" s="1489"/>
      <c r="H304" s="1489"/>
      <c r="AB304" s="508"/>
    </row>
    <row r="305" spans="1:28" s="229" customFormat="1" ht="15">
      <c r="A305" s="507"/>
      <c r="B305" s="770" t="s">
        <v>2986</v>
      </c>
      <c r="C305" s="1112">
        <f>IF($B$7=1,Meal_entry_week_1!$AO$404,Meal_entry_week_2!$AO$404)</f>
        <v>1.4045844829807304</v>
      </c>
      <c r="D305" s="505">
        <f>IF($B$7=1,Meal_entry_week_1!$AO$405,Meal_entry_week_2!$AO$405)</f>
        <v>1.0658685175420892</v>
      </c>
      <c r="E305" s="506">
        <f>IF($B$7=1,100*Meal_entry_week_1!$AO$405/Sheet1!$L$141,100*Meal_entry_week_2!$AO$405/Sheet2!$L$141)</f>
        <v>179.13756597346037</v>
      </c>
      <c r="F305" s="1487" t="str">
        <f>IF($E305&lt;80,VLOOKUP($B305,'Recommendation texts'!$A:$AV,2,FALSE),"")</f>
        <v/>
      </c>
      <c r="G305" s="1489"/>
      <c r="H305" s="1489"/>
      <c r="AB305" s="508"/>
    </row>
    <row r="306" spans="1:28" s="229" customFormat="1" ht="15">
      <c r="A306" s="507"/>
      <c r="B306" s="770" t="s">
        <v>3894</v>
      </c>
      <c r="C306" s="1112">
        <f>IF($B$7=1,Meal_entry_week_1!$AP$404,Meal_entry_week_2!$AP$404)</f>
        <v>97.374235664335671</v>
      </c>
      <c r="D306" s="505">
        <f>IF($B$7=1,Meal_entry_week_1!$AP$405,Meal_entry_week_2!$AP$405)</f>
        <v>70.103324745896799</v>
      </c>
      <c r="E306" s="506">
        <f>IF($B$7=1,100*Meal_entry_week_1!$AP$405/Sheet1!$L$142,100*Meal_entry_week_2!$AP$405/Sheet2!$L$142)</f>
        <v>40.059042711941025</v>
      </c>
      <c r="F306" s="1487" t="str">
        <f>IF($E306&lt;80,VLOOKUP($B306,'Recommendation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306" s="1489"/>
      <c r="H306" s="1489"/>
      <c r="AB306" s="508"/>
    </row>
    <row r="307" spans="1:28" s="229" customFormat="1" ht="15">
      <c r="A307" s="507"/>
      <c r="B307" s="770" t="s">
        <v>2987</v>
      </c>
      <c r="C307" s="1112">
        <f>IF($B$7=1,Meal_entry_week_1!$AQ$404,Meal_entry_week_2!$AQ$404)</f>
        <v>1.0983648878427381</v>
      </c>
      <c r="D307" s="505">
        <f>IF($B$7=1,Meal_entry_week_1!$AQ$405,Meal_entry_week_2!$AQ$405)</f>
        <v>0.90733042099530903</v>
      </c>
      <c r="E307" s="506">
        <f>IF($B$7=1,100*Meal_entry_week_1!$AQ$405/Sheet1!$L$143,100*Meal_entry_week_2!$AQ$405/Sheet2!$L$143)</f>
        <v>51.847452628303373</v>
      </c>
      <c r="F307" s="1487" t="str">
        <f>IF($E307&lt;80,VLOOKUP($B307,'Recommendation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307" s="1489"/>
      <c r="H307" s="1489"/>
      <c r="AB307" s="508"/>
    </row>
    <row r="308" spans="1:28" s="229" customFormat="1" ht="15">
      <c r="A308" s="507"/>
      <c r="B308" s="770" t="s">
        <v>2988</v>
      </c>
      <c r="C308" s="1112">
        <f>IF($B$7=1,Meal_entry_week_1!$AR$404,Meal_entry_week_2!$AR$404)</f>
        <v>41.379900000000006</v>
      </c>
      <c r="D308" s="505">
        <f>IF($B$7=1,Meal_entry_week_1!$AR$405,Meal_entry_week_2!$AR$405)</f>
        <v>30.476167126718842</v>
      </c>
      <c r="E308" s="506">
        <f>IF($B$7=1,100*Meal_entry_week_1!$AR$405/Sheet1!$L$144,100*Meal_entry_week_2!$AR$405/Sheet2!$L$144)</f>
        <v>54.42172701199793</v>
      </c>
      <c r="F308" s="1487" t="str">
        <f>IF($E308&lt;80,VLOOKUP($B308,'Recommendation texts'!$A:$AV,2,FALSE),"")</f>
        <v>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v>
      </c>
      <c r="G308" s="1489"/>
      <c r="H308" s="1489"/>
      <c r="AB308" s="508"/>
    </row>
    <row r="309" spans="1:28" s="229" customFormat="1" ht="16" thickBot="1">
      <c r="A309" s="507"/>
      <c r="B309" s="1307" t="s">
        <v>2989</v>
      </c>
      <c r="C309" s="501">
        <f>IF($B$7=1,Meal_entry_week_1!$AS$404,Meal_entry_week_2!$AS$404)</f>
        <v>1.3873472080545772</v>
      </c>
      <c r="D309" s="502">
        <f>IF($B$7=1,Meal_entry_week_1!$AS$405,Meal_entry_week_2!$AS$405)</f>
        <v>1.1466191734913049</v>
      </c>
      <c r="E309" s="503">
        <f>IF($B$7=1,100*Meal_entry_week_1!$AS$405/Sheet1!$L$145,100*Meal_entry_week_2!$AS$405/Sheet2!$L$145)</f>
        <v>32.760547814037281</v>
      </c>
      <c r="F309" s="1490" t="str">
        <f>IF($E309&lt;80,VLOOKUP($B309,'Recommendation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309" s="1491"/>
      <c r="H309" s="1491"/>
      <c r="AB309" s="508"/>
    </row>
    <row r="310" spans="1:28">
      <c r="A310" s="565">
        <f>IF(C282=0,"",IF(E287&gt;85,0,1))</f>
        <v>1</v>
      </c>
      <c r="B310" s="566">
        <f>IF(C282=0,"",IF(E288&gt;85,0,1))</f>
        <v>1</v>
      </c>
      <c r="C310" s="566">
        <f>IF(C282=0,"",IF(E289&gt;85,0,1))</f>
        <v>1</v>
      </c>
      <c r="D310" s="566">
        <f>IF(C282=0,"",IF(E290&gt;85,0,1))</f>
        <v>1</v>
      </c>
      <c r="E310" s="566">
        <f>IF(C282=0,"",IF(E291&gt;85,0,1))</f>
        <v>1</v>
      </c>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row>
    <row r="311" spans="1:28" s="378" customFormat="1" ht="8" customHeight="1">
      <c r="A311" s="104"/>
      <c r="B311" s="121"/>
      <c r="E311" s="100"/>
      <c r="F311" s="475"/>
      <c r="G311" s="475"/>
      <c r="H311" s="475"/>
    </row>
    <row r="312" spans="1:28" s="749" customFormat="1" ht="48" customHeight="1">
      <c r="A312" s="267"/>
      <c r="B312" s="995" t="s">
        <v>4016</v>
      </c>
      <c r="C312" s="999" t="s">
        <v>4017</v>
      </c>
      <c r="D312" s="999" t="s">
        <v>4018</v>
      </c>
      <c r="E312" s="1333" t="s">
        <v>4008</v>
      </c>
      <c r="F312" s="993" t="s">
        <v>4019</v>
      </c>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row>
    <row r="313" spans="1:28" ht="15" customHeight="1">
      <c r="A313" s="569">
        <v>1</v>
      </c>
      <c r="B313" s="373" t="s">
        <v>3587</v>
      </c>
      <c r="C313" s="301">
        <f>IF($B$7=1,Meal_entry_week_1!Q$428+Meal_entry_week_1!Q$447+Meal_entry_week_1!Q$479+Meal_entry_week_1!Q$498,Meal_entry_week_2!Q$428+Meal_entry_week_2!Q$447+Meal_entry_week_2!Q$479+Meal_entry_week_2!Q$498)</f>
        <v>752.95</v>
      </c>
      <c r="D313" s="296"/>
      <c r="E313" s="297"/>
      <c r="F313" s="1501" t="str">
        <f>IF(C313=0,"",CONCATENATE('Recommendation texts'!C$88,IF(A313&gt;0,'Recommendation texts'!D$89,'Recommendation texts'!D$88),IF(A341=0,'Recommendation texts'!E$88,'Recommendation texts'!E$89),IF(A313&gt;0,'Recommendation texts'!F$89,'Recommendation texts'!F$88),IF(B341=0,'Recommendation texts'!G$88,'Recommendation texts'!G$89),'Recommendation texts'!H$88,IF(C341=0,(IF(B341=1,'Recommendation texts'!I$84,'Recommendation texts'!I$88)),'Recommendation texts'!I$89),'Recommendation texts'!J$88,IF(D341=0,(IF(C341=1,'Recommendation texts'!K$84,'Recommendation texts'!K$88)),'Recommendation texts'!K$89),'Recommendation texts'!L$88,IF(E341=0,'Recommendation texts'!M$88,'Recommendation texts'!M$89),'Recommendation texts'!N$88))</f>
        <v>Overall, after subtracting plate waste, the menus for this day have INSUFFICIENT calories for the day, they have INSUFFICIENT carbohydrates, INSUFFICIENT protein, have sufficient fat, but INSUFFICIENT fibre in meals.</v>
      </c>
      <c r="G313" s="1502"/>
      <c r="H313" s="493"/>
      <c r="AB313" s="105"/>
    </row>
    <row r="314" spans="1:28" ht="15" customHeight="1">
      <c r="A314" s="267"/>
      <c r="B314" s="871" t="s">
        <v>3990</v>
      </c>
      <c r="C314" s="982">
        <f>IF($B$7=1,Meal_entry_week_1!R$428+Meal_entry_week_1!R$447+Meal_entry_week_1!R$479+Meal_entry_week_1!R$498,Meal_entry_week_2!R$428+Meal_entry_week_2!R$447+Meal_entry_week_2!R$479+Meal_entry_week_2!R$498)</f>
        <v>159.98958000000002</v>
      </c>
      <c r="D314" s="320">
        <f>IF($B$7=1,Meal_entry_week_1!I551/100,Meal_entry_week_2!I551/100)</f>
        <v>0.21248366807246608</v>
      </c>
      <c r="E314" s="66"/>
      <c r="F314" s="1501"/>
      <c r="G314" s="1502"/>
      <c r="H314" s="493"/>
      <c r="AB314" s="105"/>
    </row>
    <row r="315" spans="1:28" ht="15" customHeight="1" thickBot="1">
      <c r="A315" s="267"/>
      <c r="B315" s="1257" t="s">
        <v>3987</v>
      </c>
      <c r="C315" s="496">
        <f>IF($B$7=1,Meal_entry_week_1!T$428+Meal_entry_week_1!T$447+Meal_entry_week_1!T$479+Meal_entry_week_1!T$498,Meal_entry_week_2!T$428+Meal_entry_week_2!T$447+Meal_entry_week_2!T$479+Meal_entry_week_2!T$498)</f>
        <v>88.56949666666668</v>
      </c>
      <c r="D315" s="482"/>
      <c r="E315" s="480" t="s">
        <v>3980</v>
      </c>
      <c r="F315" s="1501"/>
      <c r="G315" s="1502"/>
      <c r="H315" s="493"/>
      <c r="AB315" s="105"/>
    </row>
    <row r="316" spans="1:28" ht="15" customHeight="1">
      <c r="A316" s="267"/>
      <c r="B316" s="401" t="s">
        <v>3988</v>
      </c>
      <c r="C316" s="403">
        <f>IF($B$7=1,Meal_entry_week_1!U$428+Meal_entry_week_1!U$447+Meal_entry_week_1!U$479+Meal_entry_week_1!U$498,Meal_entry_week_2!U$428+Meal_entry_week_2!U$447+Meal_entry_week_2!U$479+Meal_entry_week_2!U$498)</f>
        <v>16.880639804583335</v>
      </c>
      <c r="D316" s="481">
        <f>IF($B$7=1,Meal_entry_week_1!J551/100,Meal_entry_week_2!J551/100)</f>
        <v>0.19059200440298263</v>
      </c>
      <c r="E316" s="492"/>
      <c r="F316" s="1497" t="s">
        <v>3986</v>
      </c>
      <c r="G316" s="1498"/>
      <c r="H316" s="493"/>
      <c r="AB316" s="105"/>
    </row>
    <row r="317" spans="1:28" ht="15" customHeight="1" thickBot="1">
      <c r="A317" s="306"/>
      <c r="B317" s="1256" t="s">
        <v>3989</v>
      </c>
      <c r="C317" s="402">
        <f>IF($B$7=1,Meal_entry_week_1!V$428+Meal_entry_week_1!V$447+Meal_entry_week_1!V$479+Meal_entry_week_1!V$498,Meal_entry_week_2!V$428+Meal_entry_week_2!V$447+Meal_entry_week_2!V$479+Meal_entry_week_2!V$498)</f>
        <v>1360.4105</v>
      </c>
      <c r="D317" s="537"/>
      <c r="E317" s="492"/>
      <c r="F317" s="1499"/>
      <c r="G317" s="1500"/>
      <c r="H317" s="489"/>
      <c r="AB317" s="105"/>
    </row>
    <row r="318" spans="1:28" s="229" customFormat="1">
      <c r="A318" s="500"/>
      <c r="B318" s="1306" t="s">
        <v>3878</v>
      </c>
      <c r="C318" s="1252">
        <f>IF($B$7=1,Meal_entry_week_1!$W$503,Meal_entry_week_2!$W$503)</f>
        <v>1140.6043066899767</v>
      </c>
      <c r="D318" s="1253">
        <f>IF($B$7=1,Meal_entry_week_1!$W$504,Meal_entry_week_2!$W$504)</f>
        <v>934.07461174153332</v>
      </c>
      <c r="E318" s="506">
        <f>IF($B$7=1,100*Meal_entry_week_1!$W$504/Sheet1!$M$123,100*Meal_entry_week_2!$W$504/Sheet2!$M$123)</f>
        <v>66.719615124395233</v>
      </c>
      <c r="F318" s="1487" t="str">
        <f>IF(E318&lt;80,VLOOKUP(B318,'Recommendation texts'!$A:$AV,2,FALSE),"")</f>
        <v>After allowing for plate waste, the menus for this day are lower than recommeded in energy (kcal) overall.</v>
      </c>
      <c r="G318" s="1489"/>
      <c r="H318" s="1506"/>
      <c r="AB318" s="504"/>
    </row>
    <row r="319" spans="1:28" s="229" customFormat="1">
      <c r="A319" s="500"/>
      <c r="B319" s="768" t="s">
        <v>3879</v>
      </c>
      <c r="C319" s="1112">
        <f>IF($B$7=1,Meal_entry_week_1!$X$503,Meal_entry_week_2!$X$503)</f>
        <v>123.18763007894499</v>
      </c>
      <c r="D319" s="505">
        <f>IF($B$7=1,Meal_entry_week_1!$X$504,Meal_entry_week_2!$X$504)</f>
        <v>92.982240853015981</v>
      </c>
      <c r="E319" s="506">
        <f>IF($B$7=1,100*Meal_entry_week_1!$X$504/Sheet1!$M$124,100*Meal_entry_week_2!$X$504/Sheet2!$M$124)</f>
        <v>48.302462780787522</v>
      </c>
      <c r="F319" s="1487" t="str">
        <f>IF(E319&lt;80,VLOOKUP(B319,'Recommendation texts'!$A:$AV,2,FALSE),"")</f>
        <v>After allowing for plate waste, the menus for this day are lower than recommended in carbohydrates overall.</v>
      </c>
      <c r="G319" s="1489"/>
      <c r="H319" s="1489"/>
      <c r="AB319" s="504"/>
    </row>
    <row r="320" spans="1:28" s="229" customFormat="1">
      <c r="A320" s="500"/>
      <c r="B320" s="768" t="s">
        <v>3880</v>
      </c>
      <c r="C320" s="1112">
        <f>IF($B$7=1,Meal_entry_week_1!$Y$503,Meal_entry_week_2!$Y$503)</f>
        <v>31.521782678258589</v>
      </c>
      <c r="D320" s="505">
        <f>IF($B$7=1,Meal_entry_week_1!$Y$504,Meal_entry_week_2!$Y$504)</f>
        <v>24.893864857615945</v>
      </c>
      <c r="E320" s="506">
        <f>IF($B$7=1,100*Meal_entry_week_1!$Y$504/Sheet1!$M$125,100*Meal_entry_week_2!$Y$504/Sheet2!$M$125)</f>
        <v>51.095781727454735</v>
      </c>
      <c r="F320" s="1487" t="str">
        <f>IF(E320&lt;80,VLOOKUP(B320,'Recommendation texts'!$A:$AV,2,FALSE),"")</f>
        <v>After allowing for plate waste, the menus for this day are lower than recommended in protein overall.</v>
      </c>
      <c r="G320" s="1489"/>
      <c r="H320" s="1489"/>
      <c r="AB320" s="504"/>
    </row>
    <row r="321" spans="1:28" s="229" customFormat="1">
      <c r="A321" s="500"/>
      <c r="B321" s="768" t="s">
        <v>3881</v>
      </c>
      <c r="C321" s="1112">
        <f>IF($B$7=1,Meal_entry_week_1!$Z$503,Meal_entry_week_2!$Z$503)</f>
        <v>54.352552987847801</v>
      </c>
      <c r="D321" s="505">
        <f>IF($B$7=1,Meal_entry_week_1!$Z$504,Meal_entry_week_2!$Z$504)</f>
        <v>48.345617147711124</v>
      </c>
      <c r="E321" s="506">
        <f>IF($B$7=1,100*Meal_entry_week_1!$Z$504/Sheet1!$M$126,100*Meal_entry_week_2!$Z$504/Sheet2!$M$126)</f>
        <v>103.5977613905857</v>
      </c>
      <c r="F321" s="1487" t="str">
        <f>IF(E321&lt;80,VLOOKUP(B321,'Recommendation texts'!$A:$AV,2,FALSE),"")</f>
        <v/>
      </c>
      <c r="G321" s="1489"/>
      <c r="H321" s="1489"/>
      <c r="AB321" s="504"/>
    </row>
    <row r="322" spans="1:28" s="229" customFormat="1" ht="15">
      <c r="A322" s="500"/>
      <c r="B322" s="770" t="s">
        <v>3882</v>
      </c>
      <c r="C322" s="1112">
        <f>IF($B$7=1,Meal_entry_week_1!$AA$503,Meal_entry_week_2!$AA$503)</f>
        <v>15.268367549976553</v>
      </c>
      <c r="D322" s="505">
        <f>IF($B$7=1,Meal_entry_week_1!$AA$504,Meal_entry_week_2!$AA$504)</f>
        <v>10.384159625245099</v>
      </c>
      <c r="E322" s="506">
        <f>IF($B$7=1,100*Meal_entry_week_1!$AA$504/Sheet1!$M$127,100*Meal_entry_week_2!$AA$504/Sheet2!$M$127)</f>
        <v>74.172568751750717</v>
      </c>
      <c r="F322" s="1487" t="str">
        <f>IF(E322&lt;80,VLOOKUP(B322,'Recommendation texts'!$A:$AV,2,FALSE),"")</f>
        <v>Cocoa powder, unsweetened 24.0 g, Poppy seeds 20.5 g, Beans haricot (yellow) 18.4 g, Beans (white) 18.4 g, Beans (coloured) 18.4 g
Lentils 18.0 g, Rye grain/flour 18.0 g, Chickpeas 17.4 g, Barley 17.3 g, Popcorn 14.5 g
Oats 10.6 g, Musli (average) 9.3 g
Hazelnuts 8.2 g, Bread, wholemeal 8.1 g
Prunes 7.6 g, Corn flour, whole 7.3 g, Peanuts, roasted 6.8 g</v>
      </c>
      <c r="G322" s="1489"/>
      <c r="H322" s="1489"/>
      <c r="AB322" s="504"/>
    </row>
    <row r="323" spans="1:28" s="229" customFormat="1" ht="15">
      <c r="A323" s="500"/>
      <c r="B323" s="771" t="s">
        <v>3883</v>
      </c>
      <c r="C323" s="1112">
        <f>IF($B$7=1,Meal_entry_week_1!$AB$503,Meal_entry_week_2!$AB$503)</f>
        <v>13.30658339417451</v>
      </c>
      <c r="D323" s="505">
        <f>IF($B$7=1,Meal_entry_week_1!$AB$504,Meal_entry_week_2!$AB$504)</f>
        <v>11.986454463370583</v>
      </c>
      <c r="E323" s="506">
        <f>IF($B$7=1,100*Meal_entry_week_1!$AB$504/Sheet1!$M$128,100*Meal_entry_week_2!$AB$504/Sheet2!$M$128)</f>
        <v>77.834119892016773</v>
      </c>
      <c r="F323" s="1487" t="str">
        <f>IF(E323&gt;120,"Previše zasićenih masti u menijima za ovaj dan","")</f>
        <v/>
      </c>
      <c r="G323" s="1488"/>
      <c r="H323" s="1488"/>
      <c r="AB323" s="504"/>
    </row>
    <row r="324" spans="1:28" s="229" customFormat="1" ht="15">
      <c r="A324" s="500"/>
      <c r="B324" s="770" t="s">
        <v>3884</v>
      </c>
      <c r="C324" s="1112">
        <f>IF($B$7=1,Meal_entry_week_1!$AC$503,Meal_entry_week_2!$AC$503)</f>
        <v>766.65977668997675</v>
      </c>
      <c r="D324" s="505">
        <f>IF($B$7=1,Meal_entry_week_1!$AC$504,Meal_entry_week_2!$AC$504)</f>
        <v>528.28967233077094</v>
      </c>
      <c r="E324" s="506">
        <f>IF($B$7=1,100*Meal_entry_week_1!$AC$504/Sheet1!$M$129,100*Meal_entry_week_2!$AC$504/Sheet2!$M$129)</f>
        <v>50.723464915816784</v>
      </c>
      <c r="F324" s="1487" t="str">
        <f>IF(E324&gt;120,"Previše soli u menijima za ovaj dan","")</f>
        <v/>
      </c>
      <c r="G324" s="1488"/>
      <c r="H324" s="1488"/>
      <c r="AB324" s="504"/>
    </row>
    <row r="325" spans="1:28" s="229" customFormat="1" ht="15">
      <c r="A325" s="500"/>
      <c r="B325" s="770" t="s">
        <v>3885</v>
      </c>
      <c r="C325" s="1112">
        <f>IF($B$7=1,Meal_entry_week_1!$AD$503,Meal_entry_week_2!$AD$503)</f>
        <v>1382.7807</v>
      </c>
      <c r="D325" s="505">
        <f>IF($B$7=1,Meal_entry_week_1!$AD$504,Meal_entry_week_2!$AD$504)</f>
        <v>1033.7996219944444</v>
      </c>
      <c r="E325" s="506">
        <f>IF($B$7=1,100*Meal_entry_week_1!$AD$504/Sheet1!$M$130,100*Meal_entry_week_2!$AD$504/Sheet2!$M$130)</f>
        <v>82.047589047178121</v>
      </c>
      <c r="F325" s="1487" t="str">
        <f>IF($E325&lt;80,VLOOKUP($B325,'Recommendation texts'!$A:$AV,2,FALSE),"")</f>
        <v/>
      </c>
      <c r="G325" s="1489"/>
      <c r="H325" s="1489"/>
      <c r="AB325" s="504"/>
    </row>
    <row r="326" spans="1:28" s="229" customFormat="1" ht="15">
      <c r="A326" s="500"/>
      <c r="B326" s="770" t="s">
        <v>3886</v>
      </c>
      <c r="C326" s="1112">
        <f>IF($B$7=1,Meal_entry_week_1!$AE$503,Meal_entry_week_2!$AE$503)</f>
        <v>371.68760000000003</v>
      </c>
      <c r="D326" s="505">
        <f>IF($B$7=1,Meal_entry_week_1!$AE$504,Meal_entry_week_2!$AE$504)</f>
        <v>297.25000972701821</v>
      </c>
      <c r="E326" s="506">
        <f>IF($B$7=1,100*Meal_entry_week_1!$AE$504/Sheet1!$M$131,100*Meal_entry_week_2!$AE$504/Sheet2!$M$131)</f>
        <v>53.752262156784489</v>
      </c>
      <c r="F326" s="1487" t="str">
        <f>IF($E326&lt;80,VLOOKUP($B326,'Recommendation texts'!$A:$AV,2,FALSE),"")</f>
        <v>Poppy seeds 1357.0 mg, Parmesan cheese 1190.0 mg, Cheese, processed, slices 1000.0 mg, Cheese, hard 45% fat 990.0 mg, Whole milk powder 947.6 mg, Cheese, Gouda, 48% fat 885.0 mg, Cheese, Trapist 817.0 mg, Hard cheese 766.0 mg, Cheese, Edam, 30% fat 750.0 mg, Cheese, for pizza, 45% fat 750.0 mg, Cheese, cow, low fat, mozzarella 720.0 mg, Cheese, hard 35% fat 700.0 mg, Cheese spread triangles 35% fat 575.0 mg, Cheese spread 70% fat 500.0 mg, Whey powder 446.0 mg, Fresh cheese 330.0 mg, Cheese, feta, soft (in brine) 248.0 g
Spinach frozen 219.0 mg, Almond (dry, roasted, salt free) 216.0 g</v>
      </c>
      <c r="G326" s="1489"/>
      <c r="H326" s="1489"/>
      <c r="AB326" s="504"/>
    </row>
    <row r="327" spans="1:28" s="229" customFormat="1" ht="15">
      <c r="A327" s="500"/>
      <c r="B327" s="770" t="s">
        <v>3887</v>
      </c>
      <c r="C327" s="1112">
        <f>IF($B$7=1,Meal_entry_week_1!$AF$503,Meal_entry_week_2!$AF$503)</f>
        <v>122.35673737995339</v>
      </c>
      <c r="D327" s="505">
        <f>IF($B$7=1,Meal_entry_week_1!$AF$504,Meal_entry_week_2!$AF$504)</f>
        <v>88.801594656776473</v>
      </c>
      <c r="E327" s="506">
        <f>IF($B$7=1,100*Meal_entry_week_1!$AF$504/Sheet1!$M$132,100*Meal_entry_week_2!$AF$504/Sheet2!$M$132)</f>
        <v>63.42971046912605</v>
      </c>
      <c r="F327" s="1487" t="str">
        <f>IF($E327&lt;80,VLOOKUP($B327,'Recommendation texts'!$A:$AV,2,FALSE),"")</f>
        <v>Cocoa powder 499.0 mg, Poppy seeds 395.0 mg, Almond (dry, roasted, salt free) 275.0 mg, Hard cheese 202.0 mg, Beans haricot (yellow) 184.0 mg, Beans (white) 184.0 mg, Beans (coloured) 184.0 mg, Oats 177.0 mg, Peanuts, roasted, salt-free 173.0 mg, Walnuts 159.0 mg, Popcorn 144.0 mg, Barley 133.0 mg, Chocolate spread 130.0 mg, Rye grain/flour 128.0 mg, Sweetcorn frozen 127.0 mg, Corn flour, whole 127.0 mg, Chocolate for cooking 121.0 mg, Chickpeas 115.0 mg, Lentils 110.0 mg, Dock leaves 103.0 g</v>
      </c>
      <c r="G327" s="1489"/>
      <c r="H327" s="1489"/>
      <c r="AB327" s="504"/>
    </row>
    <row r="328" spans="1:28" s="229" customFormat="1" ht="15">
      <c r="A328" s="500"/>
      <c r="B328" s="770" t="s">
        <v>3888</v>
      </c>
      <c r="C328" s="1112">
        <f>IF($B$7=1,Meal_entry_week_1!$AG$503,Meal_entry_week_2!$AG$503)</f>
        <v>445.34938399999999</v>
      </c>
      <c r="D328" s="505">
        <f>IF($B$7=1,Meal_entry_week_1!$AG$504,Meal_entry_week_2!$AG$504)</f>
        <v>362.10435077407914</v>
      </c>
      <c r="E328" s="506">
        <f>IF($B$7=1,100*Meal_entry_week_1!$AG$504/Sheet1!$M$133,100*Meal_entry_week_2!$AG$504/Sheet2!$M$133)</f>
        <v>83.434182206009012</v>
      </c>
      <c r="F328" s="1487" t="str">
        <f>IF($E328&lt;80,VLOOKUP($B328,'Recommendation texts'!$A:$AV,2,FALSE),"")</f>
        <v/>
      </c>
      <c r="G328" s="1489"/>
      <c r="H328" s="1489"/>
      <c r="AB328" s="504"/>
    </row>
    <row r="329" spans="1:28" s="229" customFormat="1" ht="15">
      <c r="A329" s="500"/>
      <c r="B329" s="770" t="s">
        <v>3889</v>
      </c>
      <c r="C329" s="1112">
        <f>IF($B$7=1,Meal_entry_week_1!$AH$503,Meal_entry_week_2!$AH$503)</f>
        <v>5.9969925223729561</v>
      </c>
      <c r="D329" s="505">
        <f>IF($B$7=1,Meal_entry_week_1!$AH$504,Meal_entry_week_2!$AH$504)</f>
        <v>4.2116351875637692</v>
      </c>
      <c r="E329" s="506">
        <f>IF($B$7=1,100*Meal_entry_week_1!$AH$504/Sheet1!$M$134,100*Meal_entry_week_2!$AH$504/Sheet2!$M$134)</f>
        <v>54.696560877451546</v>
      </c>
      <c r="F329" s="1487" t="str">
        <f>IF($E329&lt;80,VLOOKUP($B329,'Recommendation texts'!$A:$AV,2,FALSE),"")</f>
        <v>Peppers red roasted 46.0 mg, Peppers pasteurized fillets 46.0 mg, Pork liver 29.0 mg, Cocoa powder 13.9 mg, Lentils 11.1 mg, Chicken pate 9.2 mg, Poppy seeds 8.8 mg, Cornflakes 7.9 mg, Chicken liver 7.4 mg, Millet seeds/flour 6.9 mg, Chickpeas 6.2 mg, Chicken egg yolks 5.9 mg, Beans haricot (yellow) 5.5 mg, Beans (white) 5.5 mg, Beans (coloured) 5.5 mg,Oats 4.7 mg, Rye grain/flour 4.7 mg, Breadcrumbs 4.6 mg, Macaroni with egg 4.0 g</v>
      </c>
      <c r="G329" s="1489"/>
      <c r="H329" s="1489"/>
      <c r="AB329" s="504"/>
    </row>
    <row r="330" spans="1:28" s="229" customFormat="1" ht="15">
      <c r="A330" s="500"/>
      <c r="B330" s="770" t="s">
        <v>3890</v>
      </c>
      <c r="C330" s="1112">
        <f>IF($B$7=1,Meal_entry_week_1!$AI$503,Meal_entry_week_2!$AI$503)</f>
        <v>5.8770380249721468</v>
      </c>
      <c r="D330" s="505">
        <f>IF($B$7=1,Meal_entry_week_1!$AI$504,Meal_entry_week_2!$AI$504)</f>
        <v>4.1415617510569982</v>
      </c>
      <c r="E330" s="506">
        <f>IF($B$7=1,100*Meal_entry_week_1!$AI$504/Sheet1!$M$135,100*Meal_entry_week_2!$AI$504/Sheet2!$M$135)</f>
        <v>84.521668388918329</v>
      </c>
      <c r="F330" s="1487" t="str">
        <f>IF($E330&lt;80,VLOOKUP($B330,'Recommendation texts'!$A:$AV,2,FALSE),"")</f>
        <v/>
      </c>
      <c r="G330" s="1489"/>
      <c r="H330" s="1489"/>
      <c r="AB330" s="504"/>
    </row>
    <row r="331" spans="1:28" s="229" customFormat="1" ht="15">
      <c r="A331" s="500"/>
      <c r="B331" s="770" t="s">
        <v>3891</v>
      </c>
      <c r="C331" s="1112">
        <f>IF($B$7=1,Meal_entry_week_1!$AJ$503,Meal_entry_week_2!$AJ$503)</f>
        <v>0.82774723681122797</v>
      </c>
      <c r="D331" s="505">
        <f>IF($B$7=1,Meal_entry_week_1!$AJ$504,Meal_entry_week_2!$AJ$504)</f>
        <v>0.57153476690842242</v>
      </c>
      <c r="E331" s="506">
        <f>IF($B$7=1,100*Meal_entry_week_1!$AJ$504/Sheet1!$M$136,100*Meal_entry_week_2!$AJ$504/Sheet2!$M$136)</f>
        <v>81.647823844060355</v>
      </c>
      <c r="F331" s="1487" t="str">
        <f>IF($E331&lt;80,VLOOKUP($B331,'Recommendation texts'!$A:$AV,2,FALSE),"")</f>
        <v/>
      </c>
      <c r="G331" s="1489"/>
      <c r="H331" s="1489"/>
      <c r="AB331" s="504"/>
    </row>
    <row r="332" spans="1:28" s="229" customFormat="1" ht="15">
      <c r="A332" s="500"/>
      <c r="B332" s="770" t="s">
        <v>2990</v>
      </c>
      <c r="C332" s="1112">
        <f>IF($B$7=1,Meal_entry_week_1!$AK$503,Meal_entry_week_2!$AK$503)</f>
        <v>407.460284</v>
      </c>
      <c r="D332" s="505">
        <f>IF($B$7=1,Meal_entry_week_1!$AK$504,Meal_entry_week_2!$AK$504)</f>
        <v>346.38129753134024</v>
      </c>
      <c r="E332" s="506">
        <f>IF($B$7=1,100*Meal_entry_week_1!$AK$504/Sheet1!$M$137,100*Meal_entry_week_2!$AK$504/Sheet2!$M$137)</f>
        <v>61.853803130596475</v>
      </c>
      <c r="F332" s="1487" t="str">
        <f>IF($E332&lt;80,VLOOKUP($B332,'Recommendation texts'!$A:$AV,2,FALSE),"")</f>
        <v xml:space="preserve">Margarine from milk 1650 µg, Liver pate (average) 990 µg, Carrot 852 µg, Kale 770 µg, Butter 708 µg, Spinach 608 µg, Swiss chard 588 µg, Melon 552 µg, Chicken egg yolks 540 µg, Chocolate spread 400 µg, Nutella 400 µg, Whole milk powder 355 µg, Sour cream for cooking 345 µg, Cheese, Edam, 30% fat 317 µg, Cheese, for pizza, 45% fat 317 µg, Cheese, Trapist 297 µg, Spinach fresh 280 µg, Cheese, Gouda, 48% fat 277 µg, Cheese, feta 275 µg </v>
      </c>
      <c r="G332" s="1489"/>
      <c r="H332" s="1489"/>
      <c r="AB332" s="504"/>
    </row>
    <row r="333" spans="1:28" s="229" customFormat="1" ht="15">
      <c r="A333" s="500"/>
      <c r="B333" s="770" t="s">
        <v>3892</v>
      </c>
      <c r="C333" s="1112">
        <f>IF($B$7=1,Meal_entry_week_1!$AL$503,Meal_entry_week_2!$AL$503)</f>
        <v>0.56704041850375497</v>
      </c>
      <c r="D333" s="505">
        <f>IF($B$7=1,Meal_entry_week_1!$AL$504,Meal_entry_week_2!$AL$504)</f>
        <v>0.39670229858956585</v>
      </c>
      <c r="E333" s="506">
        <f>IF($B$7=1,100*Meal_entry_week_1!$AL$504/Sheet1!$M$138,100*Meal_entry_week_2!$AL$504/Sheet2!$M$138)</f>
        <v>56.67175694136656</v>
      </c>
      <c r="F333" s="1487" t="str">
        <f>IF($E333&lt;80,VLOOKUP($B333,'Recommendation texts'!$A:$AV,2,FALSE),"")</f>
        <v xml:space="preserve">Pork liver 310 mg, Cornflakes 1.30 mg, Macaroni with egg 1.13 mg, Pork smoked ham 1.04 mg, Pasta fusilli 1.00 mg, Pork medium fat 0.97 mg, Pork shoulder 0.95 mg, Pork fillet 0.95 mg, Sausage pork, smoked (dried) 0.93 mg, Biscuit Petit beurre 0.90 mg, Plazma biscuit 0.90 mg, Oats 0.76 mg, Mortadela 0.70 mg, Nesquik 0.70 mg, Barley 0.65 mg, Liver pate (average) 0.60 mg, Millet seeds/flour 0.58 mg, Pork leg (steak) 0.51 mg, Chickpeas 0.480 mg </v>
      </c>
      <c r="G333" s="1489"/>
      <c r="H333" s="1489"/>
      <c r="AB333" s="504"/>
    </row>
    <row r="334" spans="1:28" s="229" customFormat="1">
      <c r="A334" s="500"/>
      <c r="B334" s="1295" t="s">
        <v>2985</v>
      </c>
      <c r="C334" s="1112">
        <f>IF($B$7=1,Meal_entry_week_1!$AM$503,Meal_entry_week_2!$AM$503)</f>
        <v>0.67788090936894885</v>
      </c>
      <c r="D334" s="505">
        <f>IF($B$7=1,Meal_entry_week_1!$AM$504,Meal_entry_week_2!$AM$504)</f>
        <v>0.55152734090074174</v>
      </c>
      <c r="E334" s="506">
        <f>IF($B$7=1,100*Meal_entry_week_1!$AM$504/Sheet1!$M$139,100*Meal_entry_week_2!$AM$504/Sheet2!$M$139)</f>
        <v>75.037733455883227</v>
      </c>
      <c r="F334" s="1487" t="str">
        <f>IF($E334&lt;80,VLOOKUP($B334,'Recommendation texts'!$A:$AV,2,FALSE),"")</f>
        <v>Pork liver 3.20 mg, Whey powder 2.75 mg, Chicken liver 2.50 mg, Chicken pate 1.40 mg, Whole milk powder 1.38 mg, Cornflakes 1.00 mg, Liver pate (average) 0.80 mg, Almond (dry) 0.56 mg, Cheese, hard 45% fat 0.50 mg, Chicken egg yolks 0.50 mg, Pasta fusilli 0.45 mg, Chicken egg, whole 0.45 mg, Hard cheese 0.45 mg, Mushrooms 0.440 mg, Cheese, feta 0.43 mg, Macaroni with egg 0.43 mg, Parmesan cheese 0.39 mg, Cheese, processed, slices 0.380 mg, Fresh cheese 0.359 mg, Kale 0.350 mg</v>
      </c>
      <c r="G334" s="1489"/>
      <c r="H334" s="1489"/>
      <c r="AB334" s="504"/>
    </row>
    <row r="335" spans="1:28" s="229" customFormat="1" ht="15">
      <c r="A335" s="500"/>
      <c r="B335" s="770" t="s">
        <v>3893</v>
      </c>
      <c r="C335" s="1112">
        <f>IF($B$7=1,Meal_entry_week_1!$AN$503,Meal_entry_week_2!$AN$503)</f>
        <v>9.2095921813105015</v>
      </c>
      <c r="D335" s="505">
        <f>IF($B$7=1,Meal_entry_week_1!$AN$504,Meal_entry_week_2!$AN$504)</f>
        <v>6.6454978605121964</v>
      </c>
      <c r="E335" s="506">
        <f>IF($B$7=1,100*Meal_entry_week_1!$AN$504/Sheet1!$M$140,100*Meal_entry_week_2!$AN$504/Sheet2!$M$140)</f>
        <v>73.027449016617538</v>
      </c>
      <c r="F335" s="1487" t="str">
        <f>IF($E335&lt;80,VLOOKUP($B335,'Recommendation texts'!$A:$AV,2,FALSE),"")</f>
        <v>Pork liver 21.0 mg, Cornflakes 21.0 mg, Biscuit Petit beurre 18.0 mg, Plazma biscuit 18.0 mg, Chicken (whole) 17.7 mg, Chicken wings 17.7 mg, Chicken drumstick 17.7 mg, Peanuts, roasted 17.5 mg, Chicken breast 15.9 mg, Liver pate (average) 11.6 mg, Pork smoked ham 11.2 mg, Beef rump/silverside 10.0 mg, Pork shoulder 9.7 mg, Pork fillet 9.7 mg, Beef fatty 8.6 mg, Beef medium fat 8.6 mg, Macaroni with egg 8.4 mg, Pork medium fat 7.9 mg, Chicken pate 7.5 mg, Cocoa powder 7.1 mg</v>
      </c>
      <c r="G335" s="1489"/>
      <c r="H335" s="1489"/>
      <c r="AB335" s="504"/>
    </row>
    <row r="336" spans="1:28" s="229" customFormat="1" ht="15">
      <c r="A336" s="500"/>
      <c r="B336" s="770" t="s">
        <v>2986</v>
      </c>
      <c r="C336" s="1112">
        <f>IF($B$7=1,Meal_entry_week_1!$AO$503,Meal_entry_week_2!$AO$503)</f>
        <v>0.90475446063452247</v>
      </c>
      <c r="D336" s="505">
        <f>IF($B$7=1,Meal_entry_week_1!$AO$504,Meal_entry_week_2!$AO$504)</f>
        <v>0.68642585066421946</v>
      </c>
      <c r="E336" s="506">
        <f>IF($B$7=1,100*Meal_entry_week_1!$AO$504/Sheet1!$M$141,100*Meal_entry_week_2!$AO$504/Sheet2!$M$141)</f>
        <v>115.36568918726378</v>
      </c>
      <c r="F336" s="1487" t="str">
        <f>IF($E336&lt;80,VLOOKUP($B336,'Recommendation texts'!$A:$AV,2,FALSE),"")</f>
        <v/>
      </c>
      <c r="G336" s="1489"/>
      <c r="H336" s="1489"/>
      <c r="AB336" s="504"/>
    </row>
    <row r="337" spans="1:28" s="229" customFormat="1" ht="15">
      <c r="A337" s="500"/>
      <c r="B337" s="770" t="s">
        <v>3894</v>
      </c>
      <c r="C337" s="1112">
        <f>IF($B$7=1,Meal_entry_week_1!$AP$503,Meal_entry_week_2!$AP$503)</f>
        <v>143.63382724009321</v>
      </c>
      <c r="D337" s="505">
        <f>IF($B$7=1,Meal_entry_week_1!$AP$504,Meal_entry_week_2!$AP$504)</f>
        <v>97.076836353512505</v>
      </c>
      <c r="E337" s="506">
        <f>IF($B$7=1,100*Meal_entry_week_1!$AP$504/Sheet1!$M$142,100*Meal_entry_week_2!$AP$504/Sheet2!$M$142)</f>
        <v>55.47247791629286</v>
      </c>
      <c r="F337" s="1487" t="str">
        <f>IF($E337&lt;80,VLOOKUP($B337,'Recommendation texts'!$A:$AV,2,FALSE),"")</f>
        <v>Chickpeas 557 µg, Chicken liver 380 µg, Chicken pate 321 µg, Broccoli 239 µg, Macaroni with egg 230 µg, Beans haricot (yellow) 226 µg, Beans (white) 226 µg, Beans (coloured) 226 µg, Spinach 220 µg, Cornflakes 175 µg, Chicken egg yolks 160 µg, Pork liver 139 µg, Liver pate (average) 132 µg, Leek 127 µg, Peas frozen 121 µg, Lentils 110 µg, Biscuit Petit beurre 96 µg, Plazma biscuit 96 µg, Peppers red, sweet 88 µg</v>
      </c>
      <c r="G337" s="1489"/>
      <c r="H337" s="1489"/>
      <c r="AB337" s="504"/>
    </row>
    <row r="338" spans="1:28" s="229" customFormat="1" ht="15">
      <c r="A338" s="500"/>
      <c r="B338" s="770" t="s">
        <v>2987</v>
      </c>
      <c r="C338" s="1112">
        <f>IF($B$7=1,Meal_entry_week_1!$AQ$503,Meal_entry_week_2!$AQ$503)</f>
        <v>1.174529309090909</v>
      </c>
      <c r="D338" s="505">
        <f>IF($B$7=1,Meal_entry_week_1!$AQ$504,Meal_entry_week_2!$AQ$504)</f>
        <v>1.0665667840446718</v>
      </c>
      <c r="E338" s="506">
        <f>IF($B$7=1,100*Meal_entry_week_1!$AQ$504/Sheet1!$M$143,100*Meal_entry_week_2!$AQ$504/Sheet2!$M$143)</f>
        <v>60.946673373981241</v>
      </c>
      <c r="F338" s="1487" t="str">
        <f>IF($E338&lt;80,VLOOKUP($B338,'Recommendation texts'!$A:$AV,2,FALSE),"")</f>
        <v>Pork liver 40.0 µg, Chicken liver 26.0 µg, Chicken pate 8.1 µg, Liver pate (average) 6.0 µg, Beef fatty 5.0 µg, Beef medium fat 5.0 µg, Beef minced 4.4 µg, Chicken egg yolks 3.8 µg, Catfish 2.2 µg, Carp 2.2 µg, Cheese, Edam, 30% fat 2.1 µg, Cheese, for pizza, 45% fat 2.1 µg, Cheese, Trapist 2.1 µg, Whole milk powder 2.0 µg, Cheese, hard 35% fat 2.0 µg, Cheese, processed, slices 2.0 µg, Chicken egg, whole 2.0 µg, Beef, dried 1.6 µg, Cheese, Gouda, 48% fat 1.5 µg</v>
      </c>
      <c r="G338" s="1489"/>
      <c r="H338" s="1489"/>
      <c r="AB338" s="504"/>
    </row>
    <row r="339" spans="1:28" s="229" customFormat="1" ht="15">
      <c r="A339" s="500"/>
      <c r="B339" s="770" t="s">
        <v>2988</v>
      </c>
      <c r="C339" s="1112">
        <f>IF($B$7=1,Meal_entry_week_1!$AR$503,Meal_entry_week_2!$AR$503)</f>
        <v>63.282900000000005</v>
      </c>
      <c r="D339" s="505">
        <f>IF($B$7=1,Meal_entry_week_1!$AR$504,Meal_entry_week_2!$AR$504)</f>
        <v>43.395215965475238</v>
      </c>
      <c r="E339" s="506">
        <f>IF($B$7=1,100*Meal_entry_week_1!$AR$504/Sheet1!$M$144,100*Meal_entry_week_2!$AR$504/Sheet2!$M$144)</f>
        <v>77.49145708120578</v>
      </c>
      <c r="F339" s="1487" t="str">
        <f>IF($E339&lt;80,VLOOKUP($B339,'Recommendation texts'!$A:$AV,2,FALSE),"")</f>
        <v>Peppers red, sweet 191 mg, Peppers bell 151 mg, Peppers yellow, sweet 151 mg, Broccoli 121 mg, Kale 110 mg, Nesquik 95 mg, Cabbage red 80 mg, Cauliflower 61 mg, Strawberries 61 mg, Spinach 60 mg, Kiwi fruit 59 mg, Orange juice 100% 50 mg, Celery leaf 49 mg, Lemon 49 mg, Dock leaves 48 mg, Orange 45 mg, Swiss chard 39 mg, Forest fruits 38 mg, Cabbage white 37 mg, Melon 34 mg</v>
      </c>
      <c r="G339" s="1489"/>
      <c r="H339" s="1489"/>
      <c r="AB339" s="504"/>
    </row>
    <row r="340" spans="1:28" s="229" customFormat="1" ht="16" thickBot="1">
      <c r="A340" s="500"/>
      <c r="B340" s="1307" t="s">
        <v>2989</v>
      </c>
      <c r="C340" s="501">
        <f>IF($B$7=1,Meal_entry_week_1!$AS$503,Meal_entry_week_2!$AS$503)</f>
        <v>1.4718683719887957</v>
      </c>
      <c r="D340" s="502">
        <f>IF($B$7=1,Meal_entry_week_1!$AS$504,Meal_entry_week_2!$AS$504)</f>
        <v>1.2591322998036862</v>
      </c>
      <c r="E340" s="503">
        <f>IF($B$7=1,100*Meal_entry_week_1!$AS$504/Sheet1!$M$145,100*Meal_entry_week_2!$AS$504/Sheet2!$M$145)</f>
        <v>35.975208565819607</v>
      </c>
      <c r="F340" s="1490" t="str">
        <f>IF($E340&lt;80,VLOOKUP($B340,'Recommendation texts'!$A:$AV,2,FALSE),"")</f>
        <v xml:space="preserve">Herring fillet in oil 25.0 µg, Mackerel, fillets in oil 25.0 µg, Carp 12.5 µg, Choco o clock 12.0 µg, Chocolate flakes 12.0 µg, Nesquik 11.0 µg, Margarine from milk 7.5 µg, Tuna in oil 5.9 µg, Tuna in brine 5.9 µg, Chicken egg yolks 4.9 µg, Canned sardines 4.8 µg, Butter, unsalted 3.8 µg, Pork fat 2.5 µg, Pork ribs dry (smoked) 2.2 µg, Chicken egg, whole 1.7 µg, Chicken breast 1.5 µg, Sausage for grilling 1.4 µg, Pork liver 1.1 µg, Mortadela 1.000 µg, Chicken liver 0.900 µg </v>
      </c>
      <c r="G340" s="1491"/>
      <c r="H340" s="1491"/>
      <c r="AB340" s="504"/>
    </row>
    <row r="341" spans="1:28">
      <c r="A341" s="567">
        <f>IF(C313=0,"",IF(E318&gt;85,0,1))</f>
        <v>1</v>
      </c>
      <c r="B341" s="568">
        <f>IF(C313=0,"",IF(E319&gt;85,0,1))</f>
        <v>1</v>
      </c>
      <c r="C341" s="568">
        <f>IF(C313=0,"",IF(E320&gt;85,0,1))</f>
        <v>1</v>
      </c>
      <c r="D341" s="568">
        <f>IF(C313=0,"",IF(E321&gt;85,0,1))</f>
        <v>0</v>
      </c>
      <c r="E341" s="568">
        <f>IF(C313=0,"",IF(E322&gt;85,0,1))</f>
        <v>1</v>
      </c>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row>
    <row r="342" spans="1:28" ht="8" customHeight="1">
      <c r="A342" s="1370"/>
      <c r="B342" s="1370"/>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row>
    <row r="343" spans="1:28">
      <c r="A343" s="105"/>
      <c r="B343" s="267"/>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row>
    <row r="344" spans="1:28">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row>
    <row r="345" spans="1:28">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row>
    <row r="346" spans="1:28">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row>
    <row r="347" spans="1:28">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row>
    <row r="348" spans="1:28">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row>
    <row r="349" spans="1:28">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row>
    <row r="350" spans="1:28">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row>
    <row r="351" spans="1:28">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row>
    <row r="352" spans="1:28">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row>
    <row r="353" spans="1:28">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row>
    <row r="354" spans="1:28">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row>
    <row r="355" spans="1:28">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row>
    <row r="356" spans="1:28">
      <c r="A356" s="267"/>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row>
    <row r="357" spans="1:28">
      <c r="A357" s="267"/>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row>
    <row r="358" spans="1:28">
      <c r="A358" s="267"/>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row>
    <row r="359" spans="1:28">
      <c r="A359" s="267"/>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row>
    <row r="360" spans="1:28">
      <c r="A360" s="267"/>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row>
    <row r="361" spans="1:28">
      <c r="A361" s="267"/>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row>
    <row r="362" spans="1:28">
      <c r="A362" s="267"/>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row>
    <row r="363" spans="1:28">
      <c r="A363" s="267"/>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row>
    <row r="364" spans="1:28">
      <c r="A364" s="267"/>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row>
    <row r="365" spans="1:28">
      <c r="A365" s="267"/>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row>
    <row r="366" spans="1:28">
      <c r="A366" s="267"/>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row>
    <row r="367" spans="1:28">
      <c r="A367" s="267"/>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row>
    <row r="368" spans="1:28">
      <c r="A368" s="267"/>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row>
    <row r="369" spans="1:28">
      <c r="A369" s="267"/>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row>
    <row r="370" spans="1:28">
      <c r="A370" s="267"/>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row>
    <row r="371" spans="1:28">
      <c r="A371" s="267"/>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row>
    <row r="372" spans="1:28">
      <c r="A372" s="267"/>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row>
    <row r="373" spans="1:28">
      <c r="A373" s="267"/>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row>
    <row r="374" spans="1:28">
      <c r="A374" s="267"/>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row>
    <row r="375" spans="1:28">
      <c r="A375" s="267"/>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row>
    <row r="376" spans="1:28">
      <c r="A376" s="267"/>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row>
    <row r="377" spans="1:28">
      <c r="A377" s="267"/>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row>
    <row r="378" spans="1:28">
      <c r="A378" s="267"/>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row>
    <row r="379" spans="1:28">
      <c r="A379" s="267"/>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row>
  </sheetData>
  <mergeCells count="293">
    <mergeCell ref="F340:H340"/>
    <mergeCell ref="F335:H335"/>
    <mergeCell ref="F336:H336"/>
    <mergeCell ref="F337:H337"/>
    <mergeCell ref="F338:H338"/>
    <mergeCell ref="F339:H339"/>
    <mergeCell ref="F330:H330"/>
    <mergeCell ref="F331:H331"/>
    <mergeCell ref="F332:H332"/>
    <mergeCell ref="F333:H333"/>
    <mergeCell ref="F334:H334"/>
    <mergeCell ref="F325:H325"/>
    <mergeCell ref="F326:H326"/>
    <mergeCell ref="F327:H327"/>
    <mergeCell ref="F328:H328"/>
    <mergeCell ref="F329:H329"/>
    <mergeCell ref="F320:H320"/>
    <mergeCell ref="F321:H321"/>
    <mergeCell ref="F322:H322"/>
    <mergeCell ref="F323:H323"/>
    <mergeCell ref="F324:H324"/>
    <mergeCell ref="F308:H308"/>
    <mergeCell ref="F309:H309"/>
    <mergeCell ref="F318:H318"/>
    <mergeCell ref="F319:H319"/>
    <mergeCell ref="F303:H303"/>
    <mergeCell ref="F304:H304"/>
    <mergeCell ref="F305:H305"/>
    <mergeCell ref="F306:H306"/>
    <mergeCell ref="F307:H307"/>
    <mergeCell ref="F313:G315"/>
    <mergeCell ref="F316:G317"/>
    <mergeCell ref="F298:H298"/>
    <mergeCell ref="F299:H299"/>
    <mergeCell ref="F300:H300"/>
    <mergeCell ref="F301:H301"/>
    <mergeCell ref="F302:H302"/>
    <mergeCell ref="F293:H293"/>
    <mergeCell ref="F294:H294"/>
    <mergeCell ref="F295:H295"/>
    <mergeCell ref="F296:H296"/>
    <mergeCell ref="F297:H297"/>
    <mergeCell ref="F288:H288"/>
    <mergeCell ref="F289:H289"/>
    <mergeCell ref="F290:H290"/>
    <mergeCell ref="F291:H291"/>
    <mergeCell ref="F292:H292"/>
    <mergeCell ref="F276:H276"/>
    <mergeCell ref="F277:H277"/>
    <mergeCell ref="F278:H278"/>
    <mergeCell ref="F287:H287"/>
    <mergeCell ref="F282:G284"/>
    <mergeCell ref="F285:G286"/>
    <mergeCell ref="F271:H271"/>
    <mergeCell ref="F272:H272"/>
    <mergeCell ref="F273:H273"/>
    <mergeCell ref="F274:H274"/>
    <mergeCell ref="F275:H275"/>
    <mergeCell ref="F266:H266"/>
    <mergeCell ref="F267:H267"/>
    <mergeCell ref="F268:H268"/>
    <mergeCell ref="F269:H269"/>
    <mergeCell ref="F270:H270"/>
    <mergeCell ref="F251:G253"/>
    <mergeCell ref="F254:G255"/>
    <mergeCell ref="F261:H261"/>
    <mergeCell ref="F262:H262"/>
    <mergeCell ref="F263:H263"/>
    <mergeCell ref="F264:H264"/>
    <mergeCell ref="F265:H265"/>
    <mergeCell ref="F256:H256"/>
    <mergeCell ref="F257:H257"/>
    <mergeCell ref="F258:H258"/>
    <mergeCell ref="F259:H259"/>
    <mergeCell ref="F260:H260"/>
    <mergeCell ref="F244:H244"/>
    <mergeCell ref="F245:H245"/>
    <mergeCell ref="F246:H246"/>
    <mergeCell ref="F247:H247"/>
    <mergeCell ref="F239:H239"/>
    <mergeCell ref="F240:H240"/>
    <mergeCell ref="F241:H241"/>
    <mergeCell ref="F242:H242"/>
    <mergeCell ref="F243:H243"/>
    <mergeCell ref="F234:H234"/>
    <mergeCell ref="F235:H235"/>
    <mergeCell ref="F236:H236"/>
    <mergeCell ref="F237:H237"/>
    <mergeCell ref="F238:H238"/>
    <mergeCell ref="F229:H229"/>
    <mergeCell ref="F230:H230"/>
    <mergeCell ref="F231:H231"/>
    <mergeCell ref="F232:H232"/>
    <mergeCell ref="F233:H233"/>
    <mergeCell ref="F225:H225"/>
    <mergeCell ref="F226:H226"/>
    <mergeCell ref="F227:H227"/>
    <mergeCell ref="F228:H228"/>
    <mergeCell ref="F212:H212"/>
    <mergeCell ref="F213:H213"/>
    <mergeCell ref="F214:H214"/>
    <mergeCell ref="F215:H215"/>
    <mergeCell ref="F216:H216"/>
    <mergeCell ref="F220:G222"/>
    <mergeCell ref="F223:G224"/>
    <mergeCell ref="F207:H207"/>
    <mergeCell ref="F208:H208"/>
    <mergeCell ref="F209:H209"/>
    <mergeCell ref="F210:H210"/>
    <mergeCell ref="F211:H211"/>
    <mergeCell ref="F202:H202"/>
    <mergeCell ref="F203:H203"/>
    <mergeCell ref="F204:H204"/>
    <mergeCell ref="F205:H205"/>
    <mergeCell ref="F206:H206"/>
    <mergeCell ref="F197:H197"/>
    <mergeCell ref="F198:H198"/>
    <mergeCell ref="F199:H199"/>
    <mergeCell ref="F200:H200"/>
    <mergeCell ref="F201:H201"/>
    <mergeCell ref="F185:H185"/>
    <mergeCell ref="F194:H194"/>
    <mergeCell ref="F195:H195"/>
    <mergeCell ref="F196:H196"/>
    <mergeCell ref="F189:G191"/>
    <mergeCell ref="F192:G193"/>
    <mergeCell ref="F180:H180"/>
    <mergeCell ref="F181:H181"/>
    <mergeCell ref="F182:H182"/>
    <mergeCell ref="F183:H183"/>
    <mergeCell ref="F184:H184"/>
    <mergeCell ref="F175:H175"/>
    <mergeCell ref="F176:H176"/>
    <mergeCell ref="F177:H177"/>
    <mergeCell ref="F178:H178"/>
    <mergeCell ref="F179:H179"/>
    <mergeCell ref="F170:H170"/>
    <mergeCell ref="F171:H171"/>
    <mergeCell ref="F172:H172"/>
    <mergeCell ref="F173:H173"/>
    <mergeCell ref="F174:H174"/>
    <mergeCell ref="F165:H165"/>
    <mergeCell ref="F166:H166"/>
    <mergeCell ref="F167:H167"/>
    <mergeCell ref="F168:H168"/>
    <mergeCell ref="F169:H169"/>
    <mergeCell ref="F153:H153"/>
    <mergeCell ref="F154:H154"/>
    <mergeCell ref="F163:H163"/>
    <mergeCell ref="F164:H164"/>
    <mergeCell ref="F148:H148"/>
    <mergeCell ref="F149:H149"/>
    <mergeCell ref="F150:H150"/>
    <mergeCell ref="F151:H151"/>
    <mergeCell ref="F152:H152"/>
    <mergeCell ref="F158:G160"/>
    <mergeCell ref="F161:G162"/>
    <mergeCell ref="F143:H143"/>
    <mergeCell ref="F144:H144"/>
    <mergeCell ref="F145:H145"/>
    <mergeCell ref="F146:H146"/>
    <mergeCell ref="F147:H147"/>
    <mergeCell ref="F138:H138"/>
    <mergeCell ref="F139:H139"/>
    <mergeCell ref="F140:H140"/>
    <mergeCell ref="F141:H141"/>
    <mergeCell ref="F142:H142"/>
    <mergeCell ref="F133:H133"/>
    <mergeCell ref="F134:H134"/>
    <mergeCell ref="F135:H135"/>
    <mergeCell ref="F136:H136"/>
    <mergeCell ref="F137:H137"/>
    <mergeCell ref="F121:H121"/>
    <mergeCell ref="F122:H122"/>
    <mergeCell ref="F123:H123"/>
    <mergeCell ref="F132:H132"/>
    <mergeCell ref="F127:G129"/>
    <mergeCell ref="F130:G131"/>
    <mergeCell ref="F116:H116"/>
    <mergeCell ref="F117:H117"/>
    <mergeCell ref="F118:H118"/>
    <mergeCell ref="F119:H119"/>
    <mergeCell ref="F120:H120"/>
    <mergeCell ref="F111:H111"/>
    <mergeCell ref="F112:H112"/>
    <mergeCell ref="F113:H113"/>
    <mergeCell ref="F114:H114"/>
    <mergeCell ref="F115:H115"/>
    <mergeCell ref="F96:G98"/>
    <mergeCell ref="F99:G100"/>
    <mergeCell ref="F106:H106"/>
    <mergeCell ref="F107:H107"/>
    <mergeCell ref="F108:H108"/>
    <mergeCell ref="F109:H109"/>
    <mergeCell ref="F110:H110"/>
    <mergeCell ref="F101:H101"/>
    <mergeCell ref="F102:H102"/>
    <mergeCell ref="F103:H103"/>
    <mergeCell ref="F104:H104"/>
    <mergeCell ref="F105:H105"/>
    <mergeCell ref="F89:H89"/>
    <mergeCell ref="F90:H90"/>
    <mergeCell ref="F91:H91"/>
    <mergeCell ref="F92:H92"/>
    <mergeCell ref="F84:H84"/>
    <mergeCell ref="F85:H85"/>
    <mergeCell ref="F86:H86"/>
    <mergeCell ref="F87:H87"/>
    <mergeCell ref="F88:H88"/>
    <mergeCell ref="F79:H79"/>
    <mergeCell ref="F80:H80"/>
    <mergeCell ref="F81:H81"/>
    <mergeCell ref="F82:H82"/>
    <mergeCell ref="F83:H83"/>
    <mergeCell ref="F74:H74"/>
    <mergeCell ref="F75:H75"/>
    <mergeCell ref="F76:H76"/>
    <mergeCell ref="F77:H77"/>
    <mergeCell ref="F78:H78"/>
    <mergeCell ref="F70:H70"/>
    <mergeCell ref="F71:H71"/>
    <mergeCell ref="F72:H72"/>
    <mergeCell ref="F73:H73"/>
    <mergeCell ref="F57:H57"/>
    <mergeCell ref="F58:H58"/>
    <mergeCell ref="F59:H59"/>
    <mergeCell ref="F60:H60"/>
    <mergeCell ref="F61:H61"/>
    <mergeCell ref="F65:G67"/>
    <mergeCell ref="F68:G69"/>
    <mergeCell ref="F46:H46"/>
    <mergeCell ref="F47:H47"/>
    <mergeCell ref="F48:H48"/>
    <mergeCell ref="F49:H49"/>
    <mergeCell ref="F42:H42"/>
    <mergeCell ref="F43:H43"/>
    <mergeCell ref="F31:H31"/>
    <mergeCell ref="F1:F6"/>
    <mergeCell ref="G1:G6"/>
    <mergeCell ref="F8:G8"/>
    <mergeCell ref="F12:G13"/>
    <mergeCell ref="F26:H26"/>
    <mergeCell ref="F27:H27"/>
    <mergeCell ref="F28:H28"/>
    <mergeCell ref="F29:H29"/>
    <mergeCell ref="F21:H21"/>
    <mergeCell ref="F22:H22"/>
    <mergeCell ref="F23:H23"/>
    <mergeCell ref="F24:H24"/>
    <mergeCell ref="F25:H25"/>
    <mergeCell ref="F14:H14"/>
    <mergeCell ref="F15:H15"/>
    <mergeCell ref="F9:G11"/>
    <mergeCell ref="F7:G7"/>
    <mergeCell ref="F32:H32"/>
    <mergeCell ref="F33:H33"/>
    <mergeCell ref="F34:H34"/>
    <mergeCell ref="F35:H35"/>
    <mergeCell ref="F44:H44"/>
    <mergeCell ref="F45:H45"/>
    <mergeCell ref="F16:H16"/>
    <mergeCell ref="F17:H17"/>
    <mergeCell ref="F18:H18"/>
    <mergeCell ref="F19:H19"/>
    <mergeCell ref="F20:H20"/>
    <mergeCell ref="F30:H30"/>
    <mergeCell ref="F36:H36"/>
    <mergeCell ref="F40:H40"/>
    <mergeCell ref="F41:H41"/>
    <mergeCell ref="B39:D39"/>
    <mergeCell ref="B42:D42"/>
    <mergeCell ref="B43:D43"/>
    <mergeCell ref="F51:H51"/>
    <mergeCell ref="F52:H52"/>
    <mergeCell ref="F53:H53"/>
    <mergeCell ref="C2:E2"/>
    <mergeCell ref="C3:E3"/>
    <mergeCell ref="C4:E4"/>
    <mergeCell ref="C5:E5"/>
    <mergeCell ref="C6:E6"/>
    <mergeCell ref="B51:D51"/>
    <mergeCell ref="B52:D52"/>
    <mergeCell ref="B53:D53"/>
    <mergeCell ref="B45:D45"/>
    <mergeCell ref="B46:D46"/>
    <mergeCell ref="B47:D47"/>
    <mergeCell ref="B48:D48"/>
    <mergeCell ref="B49:D49"/>
    <mergeCell ref="B50:D50"/>
    <mergeCell ref="B44:D44"/>
    <mergeCell ref="B40:D40"/>
    <mergeCell ref="B41:D41"/>
    <mergeCell ref="F50:H50"/>
  </mergeCells>
  <conditionalFormatting sqref="A230">
    <cfRule type="colorScale" priority="130">
      <colorScale>
        <cfvo type="num" val="120"/>
        <cfvo type="num" val="200"/>
        <color theme="0"/>
        <color rgb="FFFF0000"/>
      </colorScale>
    </cfRule>
  </conditionalFormatting>
  <conditionalFormatting sqref="A225:A229 A38:A61">
    <cfRule type="colorScale" priority="129">
      <colorScale>
        <cfvo type="num" val="0"/>
        <cfvo type="num" val="80"/>
        <color rgb="FFFF0000"/>
        <color theme="0"/>
      </colorScale>
    </cfRule>
  </conditionalFormatting>
  <conditionalFormatting sqref="A231:A247">
    <cfRule type="colorScale" priority="128">
      <colorScale>
        <cfvo type="num" val="0"/>
        <cfvo type="num" val="80"/>
        <color rgb="FFFF0000"/>
        <color theme="0"/>
      </colorScale>
    </cfRule>
  </conditionalFormatting>
  <conditionalFormatting sqref="A261">
    <cfRule type="colorScale" priority="127">
      <colorScale>
        <cfvo type="num" val="120"/>
        <cfvo type="num" val="200"/>
        <color theme="0"/>
        <color rgb="FFFF0000"/>
      </colorScale>
    </cfRule>
  </conditionalFormatting>
  <conditionalFormatting sqref="A256:A260">
    <cfRule type="colorScale" priority="126">
      <colorScale>
        <cfvo type="num" val="0"/>
        <cfvo type="num" val="80"/>
        <color rgb="FFFF0000"/>
        <color theme="0"/>
      </colorScale>
    </cfRule>
  </conditionalFormatting>
  <conditionalFormatting sqref="A262:A278">
    <cfRule type="colorScale" priority="125">
      <colorScale>
        <cfvo type="num" val="0"/>
        <cfvo type="num" val="80"/>
        <color rgb="FFFF0000"/>
        <color theme="0"/>
      </colorScale>
    </cfRule>
  </conditionalFormatting>
  <conditionalFormatting sqref="A292">
    <cfRule type="colorScale" priority="124">
      <colorScale>
        <cfvo type="num" val="120"/>
        <cfvo type="num" val="200"/>
        <color theme="0"/>
        <color rgb="FFFF0000"/>
      </colorScale>
    </cfRule>
  </conditionalFormatting>
  <conditionalFormatting sqref="A287:A291">
    <cfRule type="colorScale" priority="123">
      <colorScale>
        <cfvo type="num" val="0"/>
        <cfvo type="num" val="80"/>
        <color rgb="FFFF0000"/>
        <color theme="0"/>
      </colorScale>
    </cfRule>
  </conditionalFormatting>
  <conditionalFormatting sqref="A293:A309">
    <cfRule type="colorScale" priority="122">
      <colorScale>
        <cfvo type="num" val="0"/>
        <cfvo type="num" val="80"/>
        <color rgb="FFFF0000"/>
        <color theme="0"/>
      </colorScale>
    </cfRule>
  </conditionalFormatting>
  <conditionalFormatting sqref="A323">
    <cfRule type="colorScale" priority="121">
      <colorScale>
        <cfvo type="num" val="120"/>
        <cfvo type="num" val="200"/>
        <color theme="0"/>
        <color rgb="FFFF0000"/>
      </colorScale>
    </cfRule>
  </conditionalFormatting>
  <conditionalFormatting sqref="A318:A322">
    <cfRule type="colorScale" priority="120">
      <colorScale>
        <cfvo type="num" val="0"/>
        <cfvo type="num" val="80"/>
        <color rgb="FFFF0000"/>
        <color theme="0"/>
      </colorScale>
    </cfRule>
  </conditionalFormatting>
  <conditionalFormatting sqref="A194:A216">
    <cfRule type="colorScale" priority="118">
      <colorScale>
        <cfvo type="num" val="0"/>
        <cfvo type="num" val="80"/>
        <color rgb="FFFF0000"/>
        <color theme="0"/>
      </colorScale>
    </cfRule>
  </conditionalFormatting>
  <conditionalFormatting sqref="E194:E198">
    <cfRule type="colorScale" priority="106">
      <colorScale>
        <cfvo type="num" val="-1E-4"/>
        <cfvo type="num" val="0"/>
        <cfvo type="num" val="80"/>
        <color theme="0"/>
        <color rgb="FFFF0000"/>
        <color theme="0"/>
      </colorScale>
    </cfRule>
  </conditionalFormatting>
  <conditionalFormatting sqref="E199:E200">
    <cfRule type="colorScale" priority="104">
      <colorScale>
        <cfvo type="num" val="120"/>
        <cfvo type="num" val="200"/>
        <color theme="0"/>
        <color rgb="FFFF0000"/>
      </colorScale>
    </cfRule>
  </conditionalFormatting>
  <conditionalFormatting sqref="A14:A36">
    <cfRule type="colorScale" priority="93">
      <colorScale>
        <cfvo type="num" val="0"/>
        <cfvo type="num" val="80"/>
        <color rgb="FFFF0000"/>
        <color theme="0"/>
      </colorScale>
    </cfRule>
  </conditionalFormatting>
  <conditionalFormatting sqref="E14:E18">
    <cfRule type="colorScale" priority="92">
      <colorScale>
        <cfvo type="num" val="0"/>
        <cfvo type="num" val="80"/>
        <color rgb="FFFF0000"/>
        <color theme="0"/>
      </colorScale>
    </cfRule>
  </conditionalFormatting>
  <conditionalFormatting sqref="E19:E20">
    <cfRule type="colorScale" priority="91">
      <colorScale>
        <cfvo type="num" val="120"/>
        <cfvo type="num" val="200"/>
        <color theme="0"/>
        <color rgb="FFFF0000"/>
      </colorScale>
    </cfRule>
  </conditionalFormatting>
  <conditionalFormatting sqref="E45">
    <cfRule type="expression" dxfId="0" priority="80">
      <formula>E45="Da"</formula>
    </cfRule>
  </conditionalFormatting>
  <conditionalFormatting sqref="A94">
    <cfRule type="colorScale" priority="79">
      <colorScale>
        <cfvo type="num" val="0"/>
        <cfvo type="num" val="80"/>
        <color rgb="FFFF0000"/>
        <color theme="0"/>
      </colorScale>
    </cfRule>
  </conditionalFormatting>
  <conditionalFormatting sqref="A70:A92">
    <cfRule type="colorScale" priority="78">
      <colorScale>
        <cfvo type="num" val="0"/>
        <cfvo type="num" val="80"/>
        <color rgb="FFFF0000"/>
        <color theme="0"/>
      </colorScale>
    </cfRule>
  </conditionalFormatting>
  <conditionalFormatting sqref="A125">
    <cfRule type="colorScale" priority="74">
      <colorScale>
        <cfvo type="num" val="0"/>
        <cfvo type="num" val="80"/>
        <color rgb="FFFF0000"/>
        <color theme="0"/>
      </colorScale>
    </cfRule>
  </conditionalFormatting>
  <conditionalFormatting sqref="A101:A123">
    <cfRule type="colorScale" priority="73">
      <colorScale>
        <cfvo type="num" val="0"/>
        <cfvo type="num" val="80"/>
        <color rgb="FFFF0000"/>
        <color theme="0"/>
      </colorScale>
    </cfRule>
  </conditionalFormatting>
  <conditionalFormatting sqref="A187">
    <cfRule type="colorScale" priority="69">
      <colorScale>
        <cfvo type="num" val="0"/>
        <cfvo type="num" val="80"/>
        <color rgb="FFFF0000"/>
        <color theme="0"/>
      </colorScale>
    </cfRule>
  </conditionalFormatting>
  <conditionalFormatting sqref="A132:A154">
    <cfRule type="colorScale" priority="68">
      <colorScale>
        <cfvo type="num" val="0"/>
        <cfvo type="num" val="80"/>
        <color rgb="FFFF0000"/>
        <color theme="0"/>
      </colorScale>
    </cfRule>
  </conditionalFormatting>
  <conditionalFormatting sqref="A156">
    <cfRule type="colorScale" priority="64">
      <colorScale>
        <cfvo type="num" val="0"/>
        <cfvo type="num" val="80"/>
        <color rgb="FFFF0000"/>
        <color theme="0"/>
      </colorScale>
    </cfRule>
  </conditionalFormatting>
  <conditionalFormatting sqref="A163:A185">
    <cfRule type="colorScale" priority="62">
      <colorScale>
        <cfvo type="num" val="0"/>
        <cfvo type="num" val="80"/>
        <color rgb="FFFF0000"/>
        <color theme="0"/>
      </colorScale>
    </cfRule>
  </conditionalFormatting>
  <conditionalFormatting sqref="E168:E169">
    <cfRule type="colorScale" priority="59">
      <colorScale>
        <cfvo type="num" val="-1E-4"/>
        <cfvo type="num" val="120"/>
        <cfvo type="num" val="200"/>
        <color theme="0"/>
        <color theme="0"/>
        <color rgb="FFFF0000"/>
      </colorScale>
    </cfRule>
  </conditionalFormatting>
  <conditionalFormatting sqref="E106:E107">
    <cfRule type="colorScale" priority="58">
      <colorScale>
        <cfvo type="num" val="-1E-4"/>
        <cfvo type="num" val="120"/>
        <cfvo type="num" val="200"/>
        <color theme="0"/>
        <color theme="0"/>
        <color rgb="FFFF0000"/>
      </colorScale>
    </cfRule>
  </conditionalFormatting>
  <conditionalFormatting sqref="E137:E138">
    <cfRule type="colorScale" priority="56">
      <colorScale>
        <cfvo type="num" val="-1E-4"/>
        <cfvo type="num" val="120"/>
        <cfvo type="num" val="200"/>
        <color theme="0"/>
        <color theme="0"/>
        <color rgb="FFFF0000"/>
      </colorScale>
    </cfRule>
  </conditionalFormatting>
  <conditionalFormatting sqref="A249">
    <cfRule type="colorScale" priority="50">
      <colorScale>
        <cfvo type="num" val="0"/>
        <cfvo type="num" val="80"/>
        <color rgb="FFFF0000"/>
        <color theme="0"/>
      </colorScale>
    </cfRule>
  </conditionalFormatting>
  <conditionalFormatting sqref="A218">
    <cfRule type="colorScale" priority="49">
      <colorScale>
        <cfvo type="num" val="0"/>
        <cfvo type="num" val="80"/>
        <color rgb="FFFF0000"/>
        <color theme="0"/>
      </colorScale>
    </cfRule>
  </conditionalFormatting>
  <conditionalFormatting sqref="A280">
    <cfRule type="colorScale" priority="48">
      <colorScale>
        <cfvo type="num" val="0"/>
        <cfvo type="num" val="80"/>
        <color rgb="FFFF0000"/>
        <color theme="0"/>
      </colorScale>
    </cfRule>
  </conditionalFormatting>
  <conditionalFormatting sqref="A311">
    <cfRule type="colorScale" priority="47">
      <colorScale>
        <cfvo type="num" val="0"/>
        <cfvo type="num" val="80"/>
        <color rgb="FFFF0000"/>
        <color theme="0"/>
      </colorScale>
    </cfRule>
  </conditionalFormatting>
  <conditionalFormatting sqref="E201:E216">
    <cfRule type="colorScale" priority="44">
      <colorScale>
        <cfvo type="num" val="-1E-4"/>
        <cfvo type="num" val="0"/>
        <cfvo type="num" val="80"/>
        <color theme="0"/>
        <color rgb="FFFF0000"/>
        <color theme="0"/>
      </colorScale>
    </cfRule>
  </conditionalFormatting>
  <conditionalFormatting sqref="E225:E229">
    <cfRule type="colorScale" priority="39">
      <colorScale>
        <cfvo type="num" val="-1E-4"/>
        <cfvo type="num" val="0"/>
        <cfvo type="num" val="80"/>
        <color theme="0"/>
        <color rgb="FFFF0000"/>
        <color theme="0"/>
      </colorScale>
    </cfRule>
  </conditionalFormatting>
  <conditionalFormatting sqref="E230:E231">
    <cfRule type="colorScale" priority="38">
      <colorScale>
        <cfvo type="num" val="120"/>
        <cfvo type="num" val="200"/>
        <color theme="0"/>
        <color rgb="FFFF0000"/>
      </colorScale>
    </cfRule>
  </conditionalFormatting>
  <conditionalFormatting sqref="E232:E247">
    <cfRule type="colorScale" priority="37">
      <colorScale>
        <cfvo type="num" val="-1E-4"/>
        <cfvo type="num" val="0"/>
        <cfvo type="num" val="80"/>
        <color theme="0"/>
        <color rgb="FFFF0000"/>
        <color theme="0"/>
      </colorScale>
    </cfRule>
  </conditionalFormatting>
  <conditionalFormatting sqref="E256:E260">
    <cfRule type="colorScale" priority="36">
      <colorScale>
        <cfvo type="num" val="-1E-4"/>
        <cfvo type="num" val="0"/>
        <cfvo type="num" val="80"/>
        <color theme="0"/>
        <color rgb="FFFF0000"/>
        <color theme="0"/>
      </colorScale>
    </cfRule>
  </conditionalFormatting>
  <conditionalFormatting sqref="E261:E262">
    <cfRule type="colorScale" priority="35">
      <colorScale>
        <cfvo type="num" val="120"/>
        <cfvo type="num" val="200"/>
        <color theme="0"/>
        <color rgb="FFFF0000"/>
      </colorScale>
    </cfRule>
  </conditionalFormatting>
  <conditionalFormatting sqref="E263:E278">
    <cfRule type="colorScale" priority="34">
      <colorScale>
        <cfvo type="num" val="-1E-4"/>
        <cfvo type="num" val="0"/>
        <cfvo type="num" val="80"/>
        <color theme="0"/>
        <color rgb="FFFF0000"/>
        <color theme="0"/>
      </colorScale>
    </cfRule>
  </conditionalFormatting>
  <conditionalFormatting sqref="E287:E291">
    <cfRule type="colorScale" priority="33">
      <colorScale>
        <cfvo type="num" val="-1E-4"/>
        <cfvo type="num" val="0"/>
        <cfvo type="num" val="80"/>
        <color theme="0"/>
        <color rgb="FFFF0000"/>
        <color theme="0"/>
      </colorScale>
    </cfRule>
  </conditionalFormatting>
  <conditionalFormatting sqref="E292:E293">
    <cfRule type="colorScale" priority="32">
      <colorScale>
        <cfvo type="num" val="120"/>
        <cfvo type="num" val="200"/>
        <color theme="0"/>
        <color rgb="FFFF0000"/>
      </colorScale>
    </cfRule>
  </conditionalFormatting>
  <conditionalFormatting sqref="E294:E309">
    <cfRule type="colorScale" priority="31">
      <colorScale>
        <cfvo type="num" val="-1E-4"/>
        <cfvo type="num" val="0"/>
        <cfvo type="num" val="80"/>
        <color theme="0"/>
        <color rgb="FFFF0000"/>
        <color theme="0"/>
      </colorScale>
    </cfRule>
  </conditionalFormatting>
  <conditionalFormatting sqref="E318:E322">
    <cfRule type="colorScale" priority="30">
      <colorScale>
        <cfvo type="num" val="-1E-4"/>
        <cfvo type="num" val="0"/>
        <cfvo type="num" val="80"/>
        <color theme="0"/>
        <color rgb="FFFF0000"/>
        <color theme="0"/>
      </colorScale>
    </cfRule>
  </conditionalFormatting>
  <conditionalFormatting sqref="E323:E324">
    <cfRule type="colorScale" priority="29">
      <colorScale>
        <cfvo type="num" val="120"/>
        <cfvo type="num" val="200"/>
        <color theme="0"/>
        <color rgb="FFFF0000"/>
      </colorScale>
    </cfRule>
  </conditionalFormatting>
  <conditionalFormatting sqref="E325:E340">
    <cfRule type="colorScale" priority="28">
      <colorScale>
        <cfvo type="num" val="-1E-4"/>
        <cfvo type="num" val="0"/>
        <cfvo type="num" val="80"/>
        <color theme="0"/>
        <color rgb="FFFF0000"/>
        <color theme="0"/>
      </colorScale>
    </cfRule>
  </conditionalFormatting>
  <conditionalFormatting sqref="E70:E74">
    <cfRule type="colorScale" priority="27">
      <colorScale>
        <cfvo type="num" val="-1E-4"/>
        <cfvo type="num" val="0"/>
        <cfvo type="num" val="80"/>
        <color theme="0"/>
        <color rgb="FFFF0000"/>
        <color theme="0"/>
      </colorScale>
    </cfRule>
  </conditionalFormatting>
  <conditionalFormatting sqref="E75:E76">
    <cfRule type="colorScale" priority="26">
      <colorScale>
        <cfvo type="num" val="120"/>
        <cfvo type="num" val="200"/>
        <color theme="0"/>
        <color rgb="FFFF0000"/>
      </colorScale>
    </cfRule>
  </conditionalFormatting>
  <conditionalFormatting sqref="E101:E105">
    <cfRule type="colorScale" priority="23">
      <colorScale>
        <cfvo type="num" val="-1E-4"/>
        <cfvo type="num" val="0"/>
        <cfvo type="num" val="80"/>
        <color theme="0"/>
        <color rgb="FFFF0000"/>
        <color theme="0"/>
      </colorScale>
    </cfRule>
  </conditionalFormatting>
  <conditionalFormatting sqref="E132:E136">
    <cfRule type="colorScale" priority="21">
      <colorScale>
        <cfvo type="num" val="-1E-4"/>
        <cfvo type="num" val="0"/>
        <cfvo type="num" val="80"/>
        <color theme="0"/>
        <color rgb="FFFF0000"/>
        <color theme="0"/>
      </colorScale>
    </cfRule>
  </conditionalFormatting>
  <conditionalFormatting sqref="E163:E167">
    <cfRule type="colorScale" priority="12">
      <colorScale>
        <cfvo type="num" val="-1E-4"/>
        <cfvo type="num" val="0"/>
        <cfvo type="num" val="80"/>
        <color theme="0"/>
        <color rgb="FFFF0000"/>
        <color theme="0"/>
      </colorScale>
    </cfRule>
  </conditionalFormatting>
  <conditionalFormatting sqref="E21:E36">
    <cfRule type="colorScale" priority="10">
      <colorScale>
        <cfvo type="num" val="0"/>
        <cfvo type="num" val="80"/>
        <color rgb="FFFF0000"/>
        <color theme="0"/>
      </colorScale>
    </cfRule>
  </conditionalFormatting>
  <conditionalFormatting sqref="E46:E49">
    <cfRule type="colorScale" priority="9">
      <colorScale>
        <cfvo type="num" val="0"/>
        <cfvo type="num" val="5"/>
        <color rgb="FFFF0000"/>
        <color theme="0"/>
      </colorScale>
    </cfRule>
  </conditionalFormatting>
  <conditionalFormatting sqref="E50">
    <cfRule type="colorScale" priority="8">
      <colorScale>
        <cfvo type="num" val="0"/>
        <cfvo type="num" val="1"/>
        <color rgb="FFFB7A7F"/>
        <color theme="0"/>
      </colorScale>
    </cfRule>
  </conditionalFormatting>
  <conditionalFormatting sqref="E51">
    <cfRule type="colorScale" priority="7">
      <colorScale>
        <cfvo type="num" val="3.45"/>
        <cfvo type="num" val="6"/>
        <color theme="0"/>
        <color rgb="FFFF0000"/>
      </colorScale>
    </cfRule>
  </conditionalFormatting>
  <conditionalFormatting sqref="E52">
    <cfRule type="colorScale" priority="6">
      <colorScale>
        <cfvo type="num" val="2"/>
        <cfvo type="num" val="5"/>
        <color theme="0"/>
        <color rgb="FFFF0000"/>
      </colorScale>
    </cfRule>
  </conditionalFormatting>
  <conditionalFormatting sqref="E53">
    <cfRule type="colorScale" priority="5">
      <colorScale>
        <cfvo type="num" val="0"/>
        <cfvo type="num" val="5"/>
        <color rgb="FFFF0000"/>
        <color theme="0"/>
      </colorScale>
    </cfRule>
  </conditionalFormatting>
  <conditionalFormatting sqref="E77:E92">
    <cfRule type="colorScale" priority="4">
      <colorScale>
        <cfvo type="num" val="-1E-4"/>
        <cfvo type="num" val="0"/>
        <cfvo type="num" val="80"/>
        <color theme="0"/>
        <color rgb="FFFF0000"/>
        <color theme="0"/>
      </colorScale>
    </cfRule>
  </conditionalFormatting>
  <conditionalFormatting sqref="E108:E123">
    <cfRule type="colorScale" priority="3">
      <colorScale>
        <cfvo type="num" val="-1E-4"/>
        <cfvo type="num" val="0"/>
        <cfvo type="num" val="80"/>
        <color theme="0"/>
        <color rgb="FFFF0000"/>
        <color theme="0"/>
      </colorScale>
    </cfRule>
  </conditionalFormatting>
  <conditionalFormatting sqref="E139:E154">
    <cfRule type="colorScale" priority="2">
      <colorScale>
        <cfvo type="num" val="-1E-4"/>
        <cfvo type="num" val="0"/>
        <cfvo type="num" val="80"/>
        <color theme="0"/>
        <color rgb="FFFF0000"/>
        <color theme="0"/>
      </colorScale>
    </cfRule>
  </conditionalFormatting>
  <conditionalFormatting sqref="E170:E185">
    <cfRule type="colorScale" priority="1">
      <colorScale>
        <cfvo type="num" val="-1E-4"/>
        <cfvo type="num" val="0"/>
        <cfvo type="num" val="80"/>
        <color theme="0"/>
        <color rgb="FFFF0000"/>
        <color theme="0"/>
      </colorScale>
    </cfRule>
  </conditionalFormatting>
  <hyperlinks>
    <hyperlink ref="E11" location="'Charts and graphs'!A9" display="Click for graphics" xr:uid="{764C0305-B986-AA4D-B2D9-11543B873F1C}"/>
    <hyperlink ref="E67" location="'Charts and graphs'!A9" display="Click for graphics" xr:uid="{E3BA3CC4-FE48-8D40-99C4-89FCDC55FC0E}"/>
    <hyperlink ref="E98" location="'Charts and graphs'!A9" display="Click for graphics" xr:uid="{F14AF88B-F493-CE49-AFF2-0C66A6148878}"/>
    <hyperlink ref="E129" location="'Charts and graphs'!A9" display="Click for graphics" xr:uid="{47D17EB6-7421-164F-B62E-AA79368D3AB9}"/>
    <hyperlink ref="E160" location="'Charts and graphs'!A9" display="Click for graphics" xr:uid="{E1114929-C51E-CC44-9028-1E234BE7EC87}"/>
    <hyperlink ref="E191" location="'Charts and graphs'!A9" display="Click for graphics" xr:uid="{B65E4BE6-C489-C84E-9B55-AD3B2694BBDB}"/>
    <hyperlink ref="E222" location="'Charts and graphs'!A9" display="Click for graphics" xr:uid="{E33C3205-C535-0348-A478-82BC7BF4ACC6}"/>
    <hyperlink ref="E253" location="'Charts and graphs'!A9" display="Click for graphics" xr:uid="{88D4F49C-6171-0945-8C5A-D4BFC18C0376}"/>
    <hyperlink ref="E284" location="'Charts and graphs'!A9" display="Click for graphics" xr:uid="{321B0C2D-3760-9448-BA57-14B223BBE8B0}"/>
    <hyperlink ref="E315" location="'Charts and graphs'!A9" display="Click for graphics" xr:uid="{7592AC28-EF74-9241-9F6F-CC1D521CC649}"/>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7" r:id="rId3" name="Option Button 1">
              <controlPr defaultSize="0" autoFill="0" autoLine="0" autoPict="0">
                <anchor moveWithCells="1">
                  <from>
                    <xdr:col>1</xdr:col>
                    <xdr:colOff>774700</xdr:colOff>
                    <xdr:row>2</xdr:row>
                    <xdr:rowOff>0</xdr:rowOff>
                  </from>
                  <to>
                    <xdr:col>1</xdr:col>
                    <xdr:colOff>2946400</xdr:colOff>
                    <xdr:row>3</xdr:row>
                    <xdr:rowOff>12700</xdr:rowOff>
                  </to>
                </anchor>
              </controlPr>
            </control>
          </mc:Choice>
        </mc:AlternateContent>
        <mc:AlternateContent xmlns:mc="http://schemas.openxmlformats.org/markup-compatibility/2006">
          <mc:Choice Requires="x14">
            <control shapeId="60418" r:id="rId4" name="Option Button 2">
              <controlPr defaultSize="0" autoFill="0" autoLine="0" autoPict="0">
                <anchor moveWithCells="1">
                  <from>
                    <xdr:col>1</xdr:col>
                    <xdr:colOff>787400</xdr:colOff>
                    <xdr:row>4</xdr:row>
                    <xdr:rowOff>0</xdr:rowOff>
                  </from>
                  <to>
                    <xdr:col>1</xdr:col>
                    <xdr:colOff>2959100</xdr:colOff>
                    <xdr:row>5</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1AAE3-4811-0040-BC24-3206E387B1A6}">
  <dimension ref="A1:Q399"/>
  <sheetViews>
    <sheetView workbookViewId="0">
      <pane ySplit="9" topLeftCell="A10" activePane="bottomLeft" state="frozen"/>
      <selection pane="bottomLeft" activeCell="J1" sqref="J1:Q1048576"/>
    </sheetView>
  </sheetViews>
  <sheetFormatPr baseColWidth="10" defaultRowHeight="16"/>
  <cols>
    <col min="1" max="1" width="20.1640625" style="469" customWidth="1"/>
    <col min="2" max="2" width="36.5" style="447" customWidth="1"/>
    <col min="3" max="3" width="13" style="450" customWidth="1"/>
    <col min="4" max="4" width="10.5" style="447" customWidth="1"/>
    <col min="5" max="5" width="8.33203125" style="447" customWidth="1"/>
    <col min="6" max="6" width="10.1640625" style="447" customWidth="1"/>
    <col min="7" max="7" width="7.33203125" style="447" customWidth="1"/>
    <col min="8" max="8" width="22.1640625" style="447" customWidth="1"/>
    <col min="9" max="9" width="156.1640625" style="472" customWidth="1"/>
    <col min="10" max="10" width="7.83203125" style="692" hidden="1" customWidth="1"/>
    <col min="11" max="12" width="5.5" style="692" hidden="1" customWidth="1"/>
    <col min="13" max="13" width="29.5" style="692" hidden="1" customWidth="1"/>
    <col min="14" max="14" width="8.1640625" style="693" hidden="1" customWidth="1"/>
    <col min="15" max="15" width="8.83203125" style="692" hidden="1" customWidth="1"/>
    <col min="16" max="16" width="6.33203125" style="694" hidden="1" customWidth="1"/>
    <col min="17" max="17" width="0" style="692" hidden="1" customWidth="1"/>
  </cols>
  <sheetData>
    <row r="1" spans="1:17" s="749" customFormat="1" ht="8" customHeight="1" thickBot="1">
      <c r="A1" s="469"/>
      <c r="B1" s="676"/>
      <c r="C1" s="1359"/>
      <c r="D1" s="676"/>
      <c r="E1" s="676"/>
      <c r="F1" s="676"/>
      <c r="G1" s="676"/>
      <c r="H1" s="676"/>
      <c r="I1" s="472"/>
      <c r="J1" s="692"/>
      <c r="K1" s="692"/>
      <c r="L1" s="692"/>
      <c r="M1" s="692"/>
      <c r="N1" s="693"/>
      <c r="O1" s="692"/>
      <c r="P1" s="694"/>
      <c r="Q1" s="692"/>
    </row>
    <row r="2" spans="1:17" s="442" customFormat="1" ht="23" customHeight="1" thickBot="1">
      <c r="A2" s="469"/>
      <c r="B2" s="1246" t="s">
        <v>3916</v>
      </c>
      <c r="C2" s="1357"/>
      <c r="D2" s="1507"/>
      <c r="E2" s="1507"/>
      <c r="F2" s="1507"/>
      <c r="G2" s="1507"/>
      <c r="H2" s="1507"/>
      <c r="I2" s="472"/>
      <c r="J2" s="692"/>
      <c r="K2" s="692"/>
      <c r="L2" s="692"/>
      <c r="M2" s="692"/>
      <c r="N2" s="1136"/>
      <c r="O2" s="692"/>
      <c r="P2" s="694"/>
      <c r="Q2" s="692"/>
    </row>
    <row r="3" spans="1:17" s="466" customFormat="1" ht="15" customHeight="1" thickBot="1">
      <c r="A3" s="469"/>
      <c r="B3" s="675"/>
      <c r="C3" s="1357"/>
      <c r="D3" s="1507"/>
      <c r="E3" s="1507"/>
      <c r="F3" s="1507"/>
      <c r="G3" s="1507"/>
      <c r="H3" s="1507"/>
      <c r="I3" s="472"/>
      <c r="J3" s="692"/>
      <c r="K3" s="692"/>
      <c r="L3" s="692"/>
      <c r="M3" s="692"/>
      <c r="N3" s="693"/>
      <c r="O3" s="692"/>
      <c r="P3" s="694"/>
      <c r="Q3" s="692"/>
    </row>
    <row r="4" spans="1:17" s="466" customFormat="1" ht="22" customHeight="1" thickBot="1">
      <c r="A4" s="469"/>
      <c r="B4" s="1247" t="s">
        <v>3721</v>
      </c>
      <c r="C4" s="1357"/>
      <c r="D4" s="1507"/>
      <c r="E4" s="1507"/>
      <c r="F4" s="1507"/>
      <c r="G4" s="1507"/>
      <c r="H4" s="1507"/>
      <c r="I4" s="472"/>
      <c r="J4" s="692"/>
      <c r="K4" s="692"/>
      <c r="L4" s="692"/>
      <c r="M4" s="692"/>
      <c r="N4" s="693"/>
      <c r="O4" s="692"/>
      <c r="P4" s="694"/>
      <c r="Q4" s="692"/>
    </row>
    <row r="5" spans="1:17" s="466" customFormat="1" ht="10" customHeight="1" thickBot="1">
      <c r="A5" s="469"/>
      <c r="B5" s="675"/>
      <c r="C5" s="1357"/>
      <c r="D5" s="1507"/>
      <c r="E5" s="1507"/>
      <c r="F5" s="1507"/>
      <c r="G5" s="1507"/>
      <c r="H5" s="1507"/>
      <c r="I5" s="472"/>
      <c r="J5" s="692"/>
      <c r="K5" s="692"/>
      <c r="L5" s="692"/>
      <c r="M5" s="692"/>
      <c r="N5" s="693"/>
      <c r="O5" s="692"/>
      <c r="P5" s="694"/>
      <c r="Q5" s="692"/>
    </row>
    <row r="6" spans="1:17" s="466" customFormat="1" ht="22" customHeight="1" thickBot="1">
      <c r="A6" s="469"/>
      <c r="B6" s="1247" t="s">
        <v>3722</v>
      </c>
      <c r="C6" s="1357"/>
      <c r="D6" s="1507"/>
      <c r="E6" s="1507"/>
      <c r="F6" s="1507"/>
      <c r="G6" s="1507"/>
      <c r="H6" s="1507"/>
      <c r="I6" s="472"/>
      <c r="J6" s="692"/>
      <c r="K6" s="692"/>
      <c r="L6" s="692"/>
      <c r="M6" s="692"/>
      <c r="N6" s="693"/>
      <c r="O6" s="692"/>
      <c r="P6" s="694"/>
      <c r="Q6" s="692"/>
    </row>
    <row r="7" spans="1:17" s="466" customFormat="1" ht="17" customHeight="1">
      <c r="A7" s="469"/>
      <c r="B7" s="675"/>
      <c r="C7" s="1357"/>
      <c r="D7" s="1357"/>
      <c r="E7" s="1357"/>
      <c r="F7" s="1357"/>
      <c r="G7" s="1357"/>
      <c r="H7" s="1357"/>
      <c r="I7" s="472"/>
      <c r="J7" s="692"/>
      <c r="K7" s="692"/>
      <c r="L7" s="692"/>
      <c r="M7" s="692"/>
      <c r="N7" s="693"/>
      <c r="O7" s="692"/>
      <c r="P7" s="694"/>
      <c r="Q7" s="692"/>
    </row>
    <row r="8" spans="1:17">
      <c r="B8" s="1358">
        <v>2</v>
      </c>
      <c r="C8" s="448" t="s">
        <v>3926</v>
      </c>
      <c r="D8" s="449" t="s">
        <v>3924</v>
      </c>
      <c r="E8" s="449" t="s">
        <v>3920</v>
      </c>
      <c r="F8" s="449" t="s">
        <v>3922</v>
      </c>
      <c r="K8" s="692" t="s">
        <v>1736</v>
      </c>
      <c r="N8" s="693" t="s">
        <v>1623</v>
      </c>
      <c r="O8" s="692" t="s">
        <v>1740</v>
      </c>
    </row>
    <row r="9" spans="1:17" ht="20" customHeight="1" thickBot="1">
      <c r="B9" s="453" t="s">
        <v>3917</v>
      </c>
      <c r="C9" s="454" t="s">
        <v>3927</v>
      </c>
      <c r="D9" s="455" t="s">
        <v>3925</v>
      </c>
      <c r="E9" s="455" t="s">
        <v>3921</v>
      </c>
      <c r="F9" s="455" t="s">
        <v>3923</v>
      </c>
      <c r="G9" s="456" t="s">
        <v>3918</v>
      </c>
      <c r="H9" s="456" t="s">
        <v>3919</v>
      </c>
      <c r="I9" s="547" t="str">
        <f>IF(LEFT(Ingredient_prices!G4,1)="П","Партија ","Partija ")</f>
        <v xml:space="preserve">Партија </v>
      </c>
      <c r="J9" s="695" t="s">
        <v>1736</v>
      </c>
      <c r="K9" s="695" t="s">
        <v>1739</v>
      </c>
      <c r="L9" s="692" t="s">
        <v>1738</v>
      </c>
      <c r="M9" s="692" t="s">
        <v>1735</v>
      </c>
      <c r="N9" s="693" t="s">
        <v>1377</v>
      </c>
      <c r="O9" s="692" t="s">
        <v>1739</v>
      </c>
    </row>
    <row r="10" spans="1:17">
      <c r="A10" s="470">
        <v>1</v>
      </c>
      <c r="B10" s="1248" t="str">
        <f>IF($B$8=1,_xlfn.IFNA(VLOOKUP($A10,$L:$N,2,FALSE),""),_xlfn.IFNA(VLOOKUP($A10,Sedmica_2_količina_namirnica!$L:$N,2,FALSE),""))</f>
        <v>Bread, white</v>
      </c>
      <c r="C10" s="448">
        <f>IF($B$8=1,_xlfn.IFNA(VLOOKUP($A10,$L:$N,3,FALSE)-0.0001,""),_xlfn.IFNA(VLOOKUP($A10,Sedmica_2_količina_namirnica!$L:$N,3,FALSE)-0.0001,""))</f>
        <v>30.799900000000001</v>
      </c>
      <c r="D10" s="446">
        <f>IF(B10="Jaje kokošje, celo",IF(C10=INT(C10),C10,C10+1),IF(B10=""," ",_xlfn.IFNA(INT(C10*1000/(VLOOKUP($B10,Ingredient_prices!$E:$J,6,FALSE)))+1,"nije nabavljen")))</f>
        <v>62</v>
      </c>
      <c r="E10" s="446" t="str">
        <f>IF(C10="","",VLOOKUP($B10,Ingredient_prices!$E:$K,7,FALSE))</f>
        <v>ком</v>
      </c>
      <c r="F10" s="462">
        <f>IF(C10="","",IFERROR(IF(OR(E10="кг",E10="л"),VLOOKUP($B10,Ingredient_prices!$E:$V,16,FALSE)*D10,(VLOOKUP($B10,Ingredient_prices!$E:$P,12,FALSE)*D10)),""))</f>
        <v>2182.4</v>
      </c>
      <c r="G10" s="450" t="str">
        <f>IF(C10="","",_xlfn.IFNA(MID(VLOOKUP($B10,Ingredient_prices!$E:$F,2,FALSE),9,2),""))</f>
        <v>1</v>
      </c>
      <c r="H10" s="447" t="str">
        <f>_xlfn.IFNA(VLOOKUP(CONCATENATE($I$9,$G10),Ingredient_prices!$G:$N,8,FALSE),"")</f>
        <v>Дон Дон</v>
      </c>
      <c r="I10" s="548">
        <f>IFERROR(IF(MOD(D10,1)&gt;0.5,1+D10-MOD(D10,1),D10-MOD(D10,1)),"")</f>
        <v>62</v>
      </c>
      <c r="J10" s="695" t="str">
        <f>IF(N10="","",MID(Ingredient_prices!F4,9,2))</f>
        <v/>
      </c>
      <c r="K10" s="692" t="str">
        <f t="shared" ref="K10:K12" si="0">IF(N10="","",COUNTIFS(J$10:J$256,J10,N$10:N$256,"&gt;"&amp;N10)+1)</f>
        <v/>
      </c>
      <c r="L10" s="692" t="str">
        <f>IF(N10="","",COUNTIF($P$10:$P$256,"&lt;"&amp;P10)+COUNTIF($P$10:P10,P10))</f>
        <v/>
      </c>
      <c r="M10" s="692" t="str">
        <f>IF(Ingredient_prices!E4=M9,"",Ingredient_prices!E4)</f>
        <v/>
      </c>
      <c r="N10" s="693" t="str">
        <f>_xlfn.IFNA(VLOOKUP($M10,Sedmica_1_količina_sva_sastojak!$C:$F,4,FALSE),"")</f>
        <v/>
      </c>
      <c r="O10" s="696" t="str">
        <f>IF(N10="","",COUNTIF($P$10:$P$256,"&lt;"&amp;P10)+COUNTIF($P$10:P10,P10))</f>
        <v/>
      </c>
      <c r="P10" s="694" t="str">
        <f t="shared" ref="P10:P12" si="1">IF(K10="","",VALUE(CONCATENATE(J10,K10)))</f>
        <v/>
      </c>
    </row>
    <row r="11" spans="1:17">
      <c r="A11" s="470">
        <v>2</v>
      </c>
      <c r="B11" s="1248" t="str">
        <f>IF($B$8=1,_xlfn.IFNA(VLOOKUP($A11,$L:$N,2,FALSE),""),_xlfn.IFNA(VLOOKUP($A11,Sedmica_2_količina_namirnica!$L:$N,2,FALSE),""))</f>
        <v>Bread, half-white</v>
      </c>
      <c r="C11" s="448">
        <f>IF($B$8=1,_xlfn.IFNA(VLOOKUP($A11,$L:$N,3,FALSE)-0.0001,""),_xlfn.IFNA(VLOOKUP($A11,Sedmica_2_količina_namirnica!$L:$N,3,FALSE)-0.0001,""))</f>
        <v>8.2499000000000002</v>
      </c>
      <c r="D11" s="446">
        <f>IF(B11="Jaje kokošje, celo",IF(C11=INT(C11),C11,C11+1),IF(B11=""," ",_xlfn.IFNA(INT(C11*1000/(VLOOKUP($B11,Ingredient_prices!$E:$J,6,FALSE)))+1,"nije nabavljen")))</f>
        <v>17</v>
      </c>
      <c r="E11" s="446" t="str">
        <f>IF(C11="","",VLOOKUP($B11,Ingredient_prices!$E:$K,7,FALSE))</f>
        <v>ком</v>
      </c>
      <c r="F11" s="462">
        <f>IF(C11="","",IFERROR(IF(OR(E11="кг",E11="л"),VLOOKUP($B11,Ingredient_prices!$E:$V,16,FALSE)*D11,(VLOOKUP($B11,Ingredient_prices!$E:$P,12,FALSE)*D11)),""))</f>
        <v>445.62099999999998</v>
      </c>
      <c r="G11" s="450" t="str">
        <f>IF(C11="","",_xlfn.IFNA(MID(VLOOKUP($B11,Ingredient_prices!$E:$F,2,FALSE),9,2),""))</f>
        <v>1</v>
      </c>
      <c r="H11" s="447" t="str">
        <f>_xlfn.IFNA(VLOOKUP(CONCATENATE($I$9,$G11),Ingredient_prices!$G:$N,8,FALSE),"")</f>
        <v>Дон Дон</v>
      </c>
      <c r="I11" s="548">
        <f>IFERROR(IF(MOD(D11,1)&gt;0.5,1+D11-MOD(D11,1),D11-MOD(D11,1)),"")</f>
        <v>17</v>
      </c>
      <c r="J11" s="695" t="str">
        <f>IF(N11="","",MID(Ingredient_prices!F5,9,2))</f>
        <v>1</v>
      </c>
      <c r="K11" s="692">
        <f t="shared" si="0"/>
        <v>1</v>
      </c>
      <c r="L11" s="692">
        <f>IF(N11="","",COUNTIF($P$10:$P$256,"&lt;"&amp;P11)+COUNTIF($P$10:P11,P11))</f>
        <v>1</v>
      </c>
      <c r="M11" s="692" t="str">
        <f>IF(Ingredient_prices!E5=M10,"",Ingredient_prices!E5)</f>
        <v>Bread, white</v>
      </c>
      <c r="N11" s="693">
        <f>_xlfn.IFNA(VLOOKUP($M11,Sedmica_1_količina_sva_sastojak!$C:$F,4,FALSE),"")</f>
        <v>41.25</v>
      </c>
      <c r="O11" s="696">
        <f>IF(N11="","",COUNTIF($P$10:$P$256,"&lt;"&amp;P11)+COUNTIF($P$10:P11,P11))</f>
        <v>1</v>
      </c>
      <c r="P11" s="694">
        <f t="shared" si="1"/>
        <v>11</v>
      </c>
    </row>
    <row r="12" spans="1:17">
      <c r="A12" s="470">
        <v>3</v>
      </c>
      <c r="B12" s="1248" t="str">
        <f>IF($B$8=1,_xlfn.IFNA(VLOOKUP($A12,$L:$N,2,FALSE),""),_xlfn.IFNA(VLOOKUP($A12,Sedmica_2_količina_namirnica!$L:$N,2,FALSE),""))</f>
        <v>Croissant</v>
      </c>
      <c r="C12" s="448">
        <f>IF($B$8=1,_xlfn.IFNA(VLOOKUP($A12,$L:$N,3,FALSE)-0.0001,""),_xlfn.IFNA(VLOOKUP($A12,Sedmica_2_količina_namirnica!$L:$N,3,FALSE)-0.0001,""))</f>
        <v>7.6999000000000004</v>
      </c>
      <c r="D12" s="446">
        <f>IF(B12="Jaje kokošje, celo",IF(C12=INT(C12),C12,C12+1),IF(B12=""," ",_xlfn.IFNA(INT(C12*1000/(VLOOKUP($B12,Ingredient_prices!$E:$J,6,FALSE)))+1,"nije nabavljen")))</f>
        <v>81</v>
      </c>
      <c r="E12" s="446" t="str">
        <f>IF(C12="","",VLOOKUP($B12,Ingredient_prices!$E:$K,7,FALSE))</f>
        <v>ком</v>
      </c>
      <c r="F12" s="462">
        <f>IF(C12="","",IFERROR(IF(OR(E12="кг",E12="л"),VLOOKUP($B12,Ingredient_prices!$E:$V,16,FALSE)*D12,(VLOOKUP($B12,Ingredient_prices!$E:$P,12,FALSE)*D12)),""))</f>
        <v>1172.556</v>
      </c>
      <c r="G12" s="450" t="str">
        <f>IF(C12="","",_xlfn.IFNA(MID(VLOOKUP($B12,Ingredient_prices!$E:$F,2,FALSE),9,2),""))</f>
        <v>1</v>
      </c>
      <c r="H12" s="447" t="str">
        <f>_xlfn.IFNA(VLOOKUP(CONCATENATE($I$9,$G12),Ingredient_prices!$G:$N,8,FALSE),"")</f>
        <v>Дон Дон</v>
      </c>
      <c r="I12" s="548">
        <f t="shared" ref="I12:I41" si="2">IFERROR(IF(MOD(D12,1)&gt;0.5,1+D12-MOD(D12,1),D12-MOD(D12,1)),"")</f>
        <v>81</v>
      </c>
      <c r="J12" s="695" t="str">
        <f>IF(N12="","",MID(Ingredient_prices!F6,9,2))</f>
        <v>1</v>
      </c>
      <c r="K12" s="692">
        <f t="shared" si="0"/>
        <v>3</v>
      </c>
      <c r="L12" s="692">
        <f>IF(N12="","",COUNTIF($P$10:$P$256,"&lt;"&amp;P12)+COUNTIF($P$10:P12,P12))</f>
        <v>3</v>
      </c>
      <c r="M12" s="692" t="str">
        <f>IF(Ingredient_prices!E6=M11,"",Ingredient_prices!E6)</f>
        <v>Bread, half-white</v>
      </c>
      <c r="N12" s="693">
        <f>_xlfn.IFNA(VLOOKUP($M12,Sedmica_1_količina_sva_sastojak!$C:$F,4,FALSE),"")</f>
        <v>8.25</v>
      </c>
      <c r="O12" s="696">
        <f>IF(N12="","",COUNTIF($P$10:$P$256,"&lt;"&amp;P12)+COUNTIF($P$10:P12,P12))</f>
        <v>3</v>
      </c>
      <c r="P12" s="694">
        <f t="shared" si="1"/>
        <v>13</v>
      </c>
    </row>
    <row r="13" spans="1:17">
      <c r="A13" s="470">
        <v>4</v>
      </c>
      <c r="B13" s="1248" t="str">
        <f>IF($B$8=1,_xlfn.IFNA(VLOOKUP($A13,$L:$N,2,FALSE),""),_xlfn.IFNA(VLOOKUP($A13,Sedmica_2_količina_namirnica!$L:$N,2,FALSE),""))</f>
        <v>Kaiserica bun white</v>
      </c>
      <c r="C13" s="448">
        <f>IF($B$8=1,_xlfn.IFNA(VLOOKUP($A13,$L:$N,3,FALSE)-0.0001,""),_xlfn.IFNA(VLOOKUP($A13,Sedmica_2_količina_namirnica!$L:$N,3,FALSE)-0.0001,""))</f>
        <v>6.5998999999999999</v>
      </c>
      <c r="D13" s="446">
        <f>IF(B13="Jaje kokošje, celo",IF(C13=INT(C13),C13,C13+1),IF(B13=""," ",_xlfn.IFNA(INT(C13*1000/(VLOOKUP($B13,Ingredient_prices!$E:$J,6,FALSE)))+1,"nije nabavljen")))</f>
        <v>110</v>
      </c>
      <c r="E13" s="446" t="str">
        <f>IF(C13="","",VLOOKUP($B13,Ingredient_prices!$E:$K,7,FALSE))</f>
        <v>ком</v>
      </c>
      <c r="F13" s="462">
        <f>IF(C13="","",IFERROR(IF(OR(E13="кг",E13="л"),VLOOKUP($B13,Ingredient_prices!$E:$V,16,FALSE)*D13,(VLOOKUP($B13,Ingredient_prices!$E:$P,12,FALSE)*D13)),""))</f>
        <v>1033.3399999999999</v>
      </c>
      <c r="G13" s="450" t="str">
        <f>IF(C13="","",_xlfn.IFNA(MID(VLOOKUP($B13,Ingredient_prices!$E:$F,2,FALSE),9,2),""))</f>
        <v>1</v>
      </c>
      <c r="H13" s="447" t="str">
        <f>_xlfn.IFNA(VLOOKUP(CONCATENATE($I$9,$G13),Ingredient_prices!$G:$N,8,FALSE),"")</f>
        <v>Дон Дон</v>
      </c>
      <c r="I13" s="548">
        <f t="shared" si="2"/>
        <v>110</v>
      </c>
      <c r="J13" s="695" t="str">
        <f>IF(N13="","",MID(Ingredient_prices!F7,9,2))</f>
        <v/>
      </c>
      <c r="K13" s="692" t="str">
        <f t="shared" ref="K13:K15" si="3">IF(N13="","",COUNTIFS(J$10:J$256,J13,N$10:N$256,"&gt;"&amp;N13)+1)</f>
        <v/>
      </c>
      <c r="L13" s="692" t="str">
        <f>IF(N13="","",COUNTIF($P$10:$P$256,"&lt;"&amp;P13)+COUNTIF($P$10:P13,P13))</f>
        <v/>
      </c>
      <c r="M13" s="692" t="str">
        <f>IF(Ingredient_prices!E7=M12,"",Ingredient_prices!E7)</f>
        <v>Kaiserica bun white</v>
      </c>
      <c r="N13" s="693" t="str">
        <f>_xlfn.IFNA(VLOOKUP($M13,Sedmica_1_količina_sva_sastojak!$C:$F,4,FALSE),"")</f>
        <v/>
      </c>
      <c r="O13" s="696" t="str">
        <f>IF(N13="","",COUNTIF($P$10:$P$256,"&lt;"&amp;P13)+COUNTIF($P$10:P13,P13))</f>
        <v/>
      </c>
      <c r="P13" s="694" t="str">
        <f t="shared" ref="P13:P15" si="4">IF(K13="","",VALUE(CONCATENATE(J13,K13)))</f>
        <v/>
      </c>
    </row>
    <row r="14" spans="1:17">
      <c r="A14" s="470">
        <v>5</v>
      </c>
      <c r="B14" s="1248" t="str">
        <f>IF($B$8=1,_xlfn.IFNA(VLOOKUP($A14,$L:$N,2,FALSE),""),_xlfn.IFNA(VLOOKUP($A14,Sedmica_2_količina_namirnica!$L:$N,2,FALSE),""))</f>
        <v>Pizza base</v>
      </c>
      <c r="C14" s="448">
        <f>IF($B$8=1,_xlfn.IFNA(VLOOKUP($A14,$L:$N,3,FALSE)-0.0001,""),_xlfn.IFNA(VLOOKUP($A14,Sedmica_2_količina_namirnica!$L:$N,3,FALSE)-0.0001,""))</f>
        <v>5.4999000000000011</v>
      </c>
      <c r="D14" s="446">
        <f>IF(B14="Jaje kokošje, celo",IF(C14=INT(C14),C14,C14+1),IF(B14=""," ",_xlfn.IFNA(INT(C14*1000/(VLOOKUP($B14,Ingredient_prices!$E:$J,6,FALSE)))+1,"nije nabavljen")))</f>
        <v>28</v>
      </c>
      <c r="E14" s="446" t="str">
        <f>IF(C14="","",VLOOKUP($B14,Ingredient_prices!$E:$K,7,FALSE))</f>
        <v>ком</v>
      </c>
      <c r="F14" s="462">
        <f>IF(C14="","",IFERROR(IF(OR(E14="кг",E14="л"),VLOOKUP($B14,Ingredient_prices!$E:$V,16,FALSE)*D14,(VLOOKUP($B14,Ingredient_prices!$E:$P,12,FALSE)*D14)),""))</f>
        <v>754.6</v>
      </c>
      <c r="G14" s="450" t="str">
        <f>IF(C14="","",_xlfn.IFNA(MID(VLOOKUP($B14,Ingredient_prices!$E:$F,2,FALSE),9,2),""))</f>
        <v>1</v>
      </c>
      <c r="H14" s="447" t="str">
        <f>_xlfn.IFNA(VLOOKUP(CONCATENATE($I$9,$G14),Ingredient_prices!$G:$N,8,FALSE),"")</f>
        <v>Дон Дон</v>
      </c>
      <c r="I14" s="548">
        <f t="shared" si="2"/>
        <v>28</v>
      </c>
      <c r="J14" s="695" t="str">
        <f>IF(N14="","",MID(Ingredient_prices!F8,9,2))</f>
        <v/>
      </c>
      <c r="K14" s="692" t="str">
        <f t="shared" si="3"/>
        <v/>
      </c>
      <c r="L14" s="692" t="str">
        <f>IF(N14="","",COUNTIF($P$10:$P$256,"&lt;"&amp;P14)+COUNTIF($P$10:P14,P14))</f>
        <v/>
      </c>
      <c r="M14" s="692" t="str">
        <f>IF(Ingredient_prices!E8=M13,"",Ingredient_prices!E8)</f>
        <v>Pie pastry</v>
      </c>
      <c r="N14" s="693" t="str">
        <f>_xlfn.IFNA(VLOOKUP($M14,Sedmica_1_količina_sva_sastojak!$C:$F,4,FALSE),"")</f>
        <v/>
      </c>
      <c r="O14" s="696" t="str">
        <f>IF(N14="","",COUNTIF($P$10:$P$256,"&lt;"&amp;P14)+COUNTIF($P$10:P14,P14))</f>
        <v/>
      </c>
      <c r="P14" s="694" t="str">
        <f t="shared" si="4"/>
        <v/>
      </c>
    </row>
    <row r="15" spans="1:17">
      <c r="A15" s="470">
        <v>6</v>
      </c>
      <c r="B15" s="1248" t="str">
        <f>IF($B$8=1,_xlfn.IFNA(VLOOKUP($A15,$L:$N,2,FALSE),""),_xlfn.IFNA(VLOOKUP($A15,Sedmica_2_količina_namirnica!$L:$N,2,FALSE),""))</f>
        <v>Chicken egg, whole</v>
      </c>
      <c r="C15" s="448">
        <f>IF($B$8=1,_xlfn.IFNA(VLOOKUP($A15,$L:$N,3,FALSE)-0.0001,""),_xlfn.IFNA(VLOOKUP($A15,Sedmica_2_količina_namirnica!$L:$N,3,FALSE)-0.0001,""))</f>
        <v>138.04990000000004</v>
      </c>
      <c r="D15" s="446">
        <f>IF(B15="Jaje kokošje, celo",IF(C15=INT(C15),C15,C15+1),IF(B15=""," ",_xlfn.IFNA(INT(C15*1000/(VLOOKUP($B15,Ingredient_prices!$E:$J,6,FALSE)))+1,"nije nabavljen")))</f>
        <v>2301</v>
      </c>
      <c r="E15" s="446" t="str">
        <f>IF(C15="","",VLOOKUP($B15,Ingredient_prices!$E:$K,7,FALSE))</f>
        <v>ком</v>
      </c>
      <c r="F15" s="462">
        <f>IF(C15="","",IFERROR(IF(OR(E15="кг",E15="л"),VLOOKUP($B15,Ingredient_prices!$E:$V,16,FALSE)*D15,(VLOOKUP($B15,Ingredient_prices!$E:$P,12,FALSE)*D15)),""))</f>
        <v>25311</v>
      </c>
      <c r="G15" s="450" t="str">
        <f>IF(C15="","",_xlfn.IFNA(MID(VLOOKUP($B15,Ingredient_prices!$E:$F,2,FALSE),9,2),""))</f>
        <v>2</v>
      </c>
      <c r="H15" s="447" t="str">
        <f>_xlfn.IFNA(VLOOKUP(CONCATENATE($I$9,$G15),Ingredient_prices!$G:$N,8,FALSE),"")</f>
        <v>КомерцПродукт</v>
      </c>
      <c r="I15" s="548">
        <f t="shared" si="2"/>
        <v>2301</v>
      </c>
      <c r="J15" s="695" t="str">
        <f>IF(N15="","",MID(Ingredient_prices!F9,9,2))</f>
        <v/>
      </c>
      <c r="K15" s="692" t="str">
        <f t="shared" si="3"/>
        <v/>
      </c>
      <c r="L15" s="692" t="str">
        <f>IF(N15="","",COUNTIF($P$10:$P$256,"&lt;"&amp;P15)+COUNTIF($P$10:P15,P15))</f>
        <v/>
      </c>
      <c r="M15" s="692" t="str">
        <f>IF(Ingredient_prices!E9=M14,"",Ingredient_prices!E9)</f>
        <v>Pizza base</v>
      </c>
      <c r="N15" s="693" t="str">
        <f>_xlfn.IFNA(VLOOKUP($M15,Sedmica_1_količina_sva_sastojak!$C:$F,4,FALSE),"")</f>
        <v/>
      </c>
      <c r="O15" s="696" t="str">
        <f>IF(N15="","",COUNTIF($P$10:$P$256,"&lt;"&amp;P15)+COUNTIF($P$10:P15,P15))</f>
        <v/>
      </c>
      <c r="P15" s="694" t="str">
        <f t="shared" si="4"/>
        <v/>
      </c>
    </row>
    <row r="16" spans="1:17">
      <c r="A16" s="470">
        <v>7</v>
      </c>
      <c r="B16" s="1248" t="str">
        <f>IF($B$8=1,_xlfn.IFNA(VLOOKUP($A16,$L:$N,2,FALSE),""),_xlfn.IFNA(VLOOKUP($A16,Sedmica_2_količina_namirnica!$L:$N,2,FALSE),""))</f>
        <v>Apple</v>
      </c>
      <c r="C16" s="448">
        <f>IF($B$8=1,_xlfn.IFNA(VLOOKUP($A16,$L:$N,3,FALSE)-0.0001,""),_xlfn.IFNA(VLOOKUP($A16,Sedmica_2_količina_namirnica!$L:$N,3,FALSE)-0.0001,""))</f>
        <v>68.1999</v>
      </c>
      <c r="D16" s="446">
        <f>IF(B16="Jaje kokošje, celo",IF(C16=INT(C16),C16,C16+1),IF(B16=""," ",_xlfn.IFNA(INT(C16*1000/(VLOOKUP($B16,Ingredient_prices!$E:$J,6,FALSE)))+1,"nije nabavljen")))</f>
        <v>69</v>
      </c>
      <c r="E16" s="446" t="str">
        <f>IF(C16="","",VLOOKUP($B16,Ingredient_prices!$E:$K,7,FALSE))</f>
        <v>кг</v>
      </c>
      <c r="F16" s="462">
        <f>IF(C16="","",IFERROR(IF(OR(E16="кг",E16="л"),VLOOKUP($B16,Ingredient_prices!$E:$V,16,FALSE)*D16,(VLOOKUP($B16,Ingredient_prices!$E:$P,12,FALSE)*D16)),""))</f>
        <v>3415.5</v>
      </c>
      <c r="G16" s="450" t="str">
        <f>IF(C16="","",_xlfn.IFNA(MID(VLOOKUP($B16,Ingredient_prices!$E:$F,2,FALSE),9,2),""))</f>
        <v>2</v>
      </c>
      <c r="H16" s="447" t="str">
        <f>_xlfn.IFNA(VLOOKUP(CONCATENATE($I$9,$G16),Ingredient_prices!$G:$N,8,FALSE),"")</f>
        <v>КомерцПродукт</v>
      </c>
      <c r="I16" s="548">
        <f t="shared" si="2"/>
        <v>69</v>
      </c>
      <c r="J16" s="695" t="str">
        <f>IF(N16="","",MID(Ingredient_prices!F10,9,2))</f>
        <v>1</v>
      </c>
      <c r="K16" s="692">
        <f t="shared" ref="K16:K79" si="5">IF(N16="","",COUNTIFS(J$10:J$256,J16,N$10:N$256,"&gt;"&amp;N16)+1)</f>
        <v>4</v>
      </c>
      <c r="L16" s="692">
        <f>IF(N16="","",COUNTIF($P$10:$P$256,"&lt;"&amp;P16)+COUNTIF($P$10:P16,P16))</f>
        <v>4</v>
      </c>
      <c r="M16" s="692" t="str">
        <f>IF(Ingredient_prices!E10=M15,"",Ingredient_prices!E10)</f>
        <v>Croissant</v>
      </c>
      <c r="N16" s="693">
        <f>_xlfn.IFNA(VLOOKUP($M16,Sedmica_1_količina_sva_sastojak!$C:$F,4,FALSE),"")</f>
        <v>7.7</v>
      </c>
      <c r="O16" s="696">
        <f>IF(N16="","",COUNTIF($P$10:$P$256,"&lt;"&amp;P16)+COUNTIF($P$10:P16,P16))</f>
        <v>4</v>
      </c>
      <c r="P16" s="694">
        <f t="shared" ref="P16:P79" si="6">IF(K16="","",VALUE(CONCATENATE(J16,K16)))</f>
        <v>14</v>
      </c>
    </row>
    <row r="17" spans="1:16">
      <c r="A17" s="470">
        <v>8</v>
      </c>
      <c r="B17" s="1248" t="str">
        <f>IF($B$8=1,_xlfn.IFNA(VLOOKUP($A17,$L:$N,2,FALSE),""),_xlfn.IFNA(VLOOKUP($A17,Sedmica_2_količina_namirnica!$L:$N,2,FALSE),""))</f>
        <v>Cabbage white fresh</v>
      </c>
      <c r="C17" s="448">
        <f>IF($B$8=1,_xlfn.IFNA(VLOOKUP($A17,$L:$N,3,FALSE)-0.0001,""),_xlfn.IFNA(VLOOKUP($A17,Sedmica_2_količina_namirnica!$L:$N,3,FALSE)-0.0001,""))</f>
        <v>26.399900000000002</v>
      </c>
      <c r="D17" s="446">
        <f>IF(B17="Jaje kokošje, celo",IF(C17=INT(C17),C17,C17+1),IF(B17=""," ",_xlfn.IFNA(INT(C17*1000/(VLOOKUP($B17,Ingredient_prices!$E:$J,6,FALSE)))+1,"nije nabavljen")))</f>
        <v>27</v>
      </c>
      <c r="E17" s="446" t="str">
        <f>IF(C17="","",VLOOKUP($B17,Ingredient_prices!$E:$K,7,FALSE))</f>
        <v>кг</v>
      </c>
      <c r="F17" s="462">
        <f>IF(C17="","",IFERROR(IF(OR(E17="кг",E17="л"),VLOOKUP($B17,Ingredient_prices!$E:$V,16,FALSE)*D17,(VLOOKUP($B17,Ingredient_prices!$E:$P,12,FALSE)*D17)),""))</f>
        <v>2430</v>
      </c>
      <c r="G17" s="450" t="str">
        <f>IF(C17="","",_xlfn.IFNA(MID(VLOOKUP($B17,Ingredient_prices!$E:$F,2,FALSE),9,2),""))</f>
        <v>2</v>
      </c>
      <c r="H17" s="447" t="str">
        <f>_xlfn.IFNA(VLOOKUP(CONCATENATE($I$9,$G17),Ingredient_prices!$G:$N,8,FALSE),"")</f>
        <v>КомерцПродукт</v>
      </c>
      <c r="I17" s="548">
        <f t="shared" si="2"/>
        <v>27</v>
      </c>
      <c r="J17" s="695" t="str">
        <f>IF(N17="","",MID(Ingredient_prices!F11,9,2))</f>
        <v/>
      </c>
      <c r="K17" s="692" t="str">
        <f t="shared" si="5"/>
        <v/>
      </c>
      <c r="L17" s="692" t="str">
        <f>IF(N17="","",COUNTIF($P$10:$P$256,"&lt;"&amp;P17)+COUNTIF($P$10:P17,P17))</f>
        <v/>
      </c>
      <c r="M17" s="692" t="str">
        <f>IF(Ingredient_prices!E11=M16,"",Ingredient_prices!E11)</f>
        <v>Cheese roll</v>
      </c>
      <c r="N17" s="693" t="str">
        <f>_xlfn.IFNA(VLOOKUP($M17,Sedmica_1_količina_sva_sastojak!$C:$F,4,FALSE),"")</f>
        <v/>
      </c>
      <c r="O17" s="696" t="str">
        <f>IF(N17="","",COUNTIF($P$10:$P$256,"&lt;"&amp;P17)+COUNTIF($P$10:P17,P17))</f>
        <v/>
      </c>
      <c r="P17" s="694" t="str">
        <f t="shared" si="6"/>
        <v/>
      </c>
    </row>
    <row r="18" spans="1:16">
      <c r="A18" s="470">
        <v>9</v>
      </c>
      <c r="B18" s="1248" t="str">
        <f>IF($B$8=1,_xlfn.IFNA(VLOOKUP($A18,$L:$N,2,FALSE),""),_xlfn.IFNA(VLOOKUP($A18,Sedmica_2_količina_namirnica!$L:$N,2,FALSE),""))</f>
        <v>Cow's milk 2.8% fat</v>
      </c>
      <c r="C18" s="448">
        <f>IF($B$8=1,_xlfn.IFNA(VLOOKUP($A18,$L:$N,3,FALSE)-0.0001,""),_xlfn.IFNA(VLOOKUP($A18,Sedmica_2_količina_namirnica!$L:$N,3,FALSE)-0.0001,""))</f>
        <v>21.339900000000004</v>
      </c>
      <c r="D18" s="446">
        <f>IF(B18="Jaje kokošje, celo",IF(C18=INT(C18),C18,C18+1),IF(B18=""," ",_xlfn.IFNA(INT(C18*1000/(VLOOKUP($B18,Ingredient_prices!$E:$J,6,FALSE)))+1,"nije nabavljen")))</f>
        <v>22</v>
      </c>
      <c r="E18" s="446" t="str">
        <f>IF(C18="","",VLOOKUP($B18,Ingredient_prices!$E:$K,7,FALSE))</f>
        <v>л</v>
      </c>
      <c r="F18" s="462">
        <f>IF(C18="","",IFERROR(IF(OR(E18="кг",E18="л"),VLOOKUP($B18,Ingredient_prices!$E:$V,16,FALSE)*D18,(VLOOKUP($B18,Ingredient_prices!$E:$P,12,FALSE)*D18)),""))</f>
        <v>2008.6</v>
      </c>
      <c r="G18" s="450" t="str">
        <f>IF(C18="","",_xlfn.IFNA(MID(VLOOKUP($B18,Ingredient_prices!$E:$F,2,FALSE),9,2),""))</f>
        <v>2</v>
      </c>
      <c r="H18" s="447" t="str">
        <f>_xlfn.IFNA(VLOOKUP(CONCATENATE($I$9,$G18),Ingredient_prices!$G:$N,8,FALSE),"")</f>
        <v>КомерцПродукт</v>
      </c>
      <c r="I18" s="548">
        <f t="shared" si="2"/>
        <v>22</v>
      </c>
      <c r="J18" s="695" t="str">
        <f>IF(N18="","",MID(Ingredient_prices!F12,9,2))</f>
        <v/>
      </c>
      <c r="K18" s="692" t="str">
        <f t="shared" si="5"/>
        <v/>
      </c>
      <c r="L18" s="692" t="str">
        <f>IF(N18="","",COUNTIF($P$10:$P$256,"&lt;"&amp;P18)+COUNTIF($P$10:P18,P18))</f>
        <v/>
      </c>
      <c r="M18" s="692" t="str">
        <f>IF(Ingredient_prices!E12=M17,"",Ingredient_prices!E12)</f>
        <v>Croissant with chocolate</v>
      </c>
      <c r="N18" s="693" t="str">
        <f>_xlfn.IFNA(VLOOKUP($M18,Sedmica_1_količina_sva_sastojak!$C:$F,4,FALSE),"")</f>
        <v/>
      </c>
      <c r="O18" s="696" t="str">
        <f>IF(N18="","",COUNTIF($P$10:$P$256,"&lt;"&amp;P18)+COUNTIF($P$10:P18,P18))</f>
        <v/>
      </c>
      <c r="P18" s="694" t="str">
        <f t="shared" si="6"/>
        <v/>
      </c>
    </row>
    <row r="19" spans="1:16">
      <c r="A19" s="470">
        <v>10</v>
      </c>
      <c r="B19" s="1248" t="str">
        <f>IF($B$8=1,_xlfn.IFNA(VLOOKUP($A19,$L:$N,2,FALSE),""),_xlfn.IFNA(VLOOKUP($A19,Sedmica_2_količina_namirnica!$L:$N,2,FALSE),""))</f>
        <v>Cow's milk 2.8% fat</v>
      </c>
      <c r="C19" s="448">
        <f>IF($B$8=1,_xlfn.IFNA(VLOOKUP($A19,$L:$N,3,FALSE)-0.0001,""),_xlfn.IFNA(VLOOKUP($A19,Sedmica_2_količina_namirnica!$L:$N,3,FALSE)-0.0001,""))</f>
        <v>21.339900000000004</v>
      </c>
      <c r="D19" s="446">
        <f>IF(B19="Jaje kokošje, celo",IF(C19=INT(C19),C19,C19+1),IF(B19=""," ",_xlfn.IFNA(INT(C19*1000/(VLOOKUP($B19,Ingredient_prices!$E:$J,6,FALSE)))+1,"nije nabavljen")))</f>
        <v>22</v>
      </c>
      <c r="E19" s="446" t="str">
        <f>IF(C19="","",VLOOKUP($B19,Ingredient_prices!$E:$K,7,FALSE))</f>
        <v>л</v>
      </c>
      <c r="F19" s="462">
        <f>IF(C19="","",IFERROR(IF(OR(E19="кг",E19="л"),VLOOKUP($B19,Ingredient_prices!$E:$V,16,FALSE)*D19,(VLOOKUP($B19,Ingredient_prices!$E:$P,12,FALSE)*D19)),""))</f>
        <v>2008.6</v>
      </c>
      <c r="G19" s="450" t="str">
        <f>IF(C19="","",_xlfn.IFNA(MID(VLOOKUP($B19,Ingredient_prices!$E:$F,2,FALSE),9,2),""))</f>
        <v>2</v>
      </c>
      <c r="H19" s="447" t="str">
        <f>_xlfn.IFNA(VLOOKUP(CONCATENATE($I$9,$G19),Ingredient_prices!$G:$N,8,FALSE),"")</f>
        <v>КомерцПродукт</v>
      </c>
      <c r="I19" s="548">
        <f t="shared" si="2"/>
        <v>22</v>
      </c>
      <c r="J19" s="695" t="str">
        <f>IF(N19="","",MID(Ingredient_prices!F13,9,2))</f>
        <v/>
      </c>
      <c r="K19" s="692" t="str">
        <f t="shared" si="5"/>
        <v/>
      </c>
      <c r="L19" s="692" t="str">
        <f>IF(N19="","",COUNTIF($P$10:$P$256,"&lt;"&amp;P19)+COUNTIF($P$10:P19,P19))</f>
        <v/>
      </c>
      <c r="M19" s="692" t="str">
        <f>IF(Ingredient_prices!E13=M18,"",Ingredient_prices!E13)</f>
        <v>Cherry pie</v>
      </c>
      <c r="N19" s="693" t="str">
        <f>_xlfn.IFNA(VLOOKUP($M19,Sedmica_1_količina_sva_sastojak!$C:$F,4,FALSE),"")</f>
        <v/>
      </c>
      <c r="O19" s="696" t="str">
        <f>IF(N19="","",COUNTIF($P$10:$P$256,"&lt;"&amp;P19)+COUNTIF($P$10:P19,P19))</f>
        <v/>
      </c>
      <c r="P19" s="694" t="str">
        <f t="shared" si="6"/>
        <v/>
      </c>
    </row>
    <row r="20" spans="1:16">
      <c r="A20" s="470">
        <v>11</v>
      </c>
      <c r="B20" s="1248" t="str">
        <f>IF($B$8=1,_xlfn.IFNA(VLOOKUP($A20,$L:$N,2,FALSE),""),_xlfn.IFNA(VLOOKUP($A20,Sedmica_2_količina_namirnica!$L:$N,2,FALSE),""))</f>
        <v>Potatoes white</v>
      </c>
      <c r="C20" s="448">
        <f>IF($B$8=1,_xlfn.IFNA(VLOOKUP($A20,$L:$N,3,FALSE)-0.0001,""),_xlfn.IFNA(VLOOKUP($A20,Sedmica_2_količina_namirnica!$L:$N,3,FALSE)-0.0001,""))</f>
        <v>17.599900000000002</v>
      </c>
      <c r="D20" s="446">
        <f>IF(B20="Jaje kokošje, celo",IF(C20=INT(C20),C20,C20+1),IF(B20=""," ",_xlfn.IFNA(INT(C20*1000/(VLOOKUP($B20,Ingredient_prices!$E:$J,6,FALSE)))+1,"nije nabavljen")))</f>
        <v>18</v>
      </c>
      <c r="E20" s="446" t="str">
        <f>IF(C20="","",VLOOKUP($B20,Ingredient_prices!$E:$K,7,FALSE))</f>
        <v>ком</v>
      </c>
      <c r="F20" s="462">
        <f>IF(C20="","",IFERROR(IF(OR(E20="кг",E20="л"),VLOOKUP($B20,Ingredient_prices!$E:$V,16,FALSE)*D20,(VLOOKUP($B20,Ingredient_prices!$E:$P,12,FALSE)*D20)),""))</f>
        <v>1188</v>
      </c>
      <c r="G20" s="450" t="str">
        <f>IF(C20="","",_xlfn.IFNA(MID(VLOOKUP($B20,Ingredient_prices!$E:$F,2,FALSE),9,2),""))</f>
        <v>2</v>
      </c>
      <c r="H20" s="447" t="str">
        <f>_xlfn.IFNA(VLOOKUP(CONCATENATE($I$9,$G20),Ingredient_prices!$G:$N,8,FALSE),"")</f>
        <v>КомерцПродукт</v>
      </c>
      <c r="I20" s="548">
        <f t="shared" si="2"/>
        <v>18</v>
      </c>
      <c r="J20" s="695" t="str">
        <f>IF(N20="","",MID(Ingredient_prices!F14,9,2))</f>
        <v/>
      </c>
      <c r="K20" s="692" t="str">
        <f t="shared" si="5"/>
        <v/>
      </c>
      <c r="L20" s="692" t="str">
        <f>IF(N20="","",COUNTIF($P$10:$P$256,"&lt;"&amp;P20)+COUNTIF($P$10:P20,P20))</f>
        <v/>
      </c>
      <c r="M20" s="692" t="str">
        <f>IF(Ingredient_prices!E14=M19,"",Ingredient_prices!E14)</f>
        <v>Apple tart</v>
      </c>
      <c r="N20" s="693" t="str">
        <f>_xlfn.IFNA(VLOOKUP($M20,Sedmica_1_količina_sva_sastojak!$C:$F,4,FALSE),"")</f>
        <v/>
      </c>
      <c r="O20" s="696" t="str">
        <f>IF(N20="","",COUNTIF($P$10:$P$256,"&lt;"&amp;P20)+COUNTIF($P$10:P20,P20))</f>
        <v/>
      </c>
      <c r="P20" s="694" t="str">
        <f t="shared" si="6"/>
        <v/>
      </c>
    </row>
    <row r="21" spans="1:16">
      <c r="A21" s="470">
        <v>12</v>
      </c>
      <c r="B21" s="1248" t="str">
        <f>IF($B$8=1,_xlfn.IFNA(VLOOKUP($A21,$L:$N,2,FALSE),""),_xlfn.IFNA(VLOOKUP($A21,Sedmica_2_količina_namirnica!$L:$N,2,FALSE),""))</f>
        <v>Spinach frozen</v>
      </c>
      <c r="C21" s="448">
        <f>IF($B$8=1,_xlfn.IFNA(VLOOKUP($A21,$L:$N,3,FALSE)-0.0001,""),_xlfn.IFNA(VLOOKUP($A21,Sedmica_2_količina_namirnica!$L:$N,3,FALSE)-0.0001,""))</f>
        <v>16.4999</v>
      </c>
      <c r="D21" s="446">
        <f>IF(B21="Jaje kokošje, celo",IF(C21=INT(C21),C21,C21+1),IF(B21=""," ",_xlfn.IFNA(INT(C21*1000/(VLOOKUP($B21,Ingredient_prices!$E:$J,6,FALSE)))+1,"nije nabavljen")))</f>
        <v>17</v>
      </c>
      <c r="E21" s="446" t="str">
        <f>IF(C21="","",VLOOKUP($B21,Ingredient_prices!$E:$K,7,FALSE))</f>
        <v>кг</v>
      </c>
      <c r="F21" s="462">
        <f>IF(C21="","",IFERROR(IF(OR(E21="кг",E21="л"),VLOOKUP($B21,Ingredient_prices!$E:$V,16,FALSE)*D21,(VLOOKUP($B21,Ingredient_prices!$E:$P,12,FALSE)*D21)),""))</f>
        <v>2543.1999999999998</v>
      </c>
      <c r="G21" s="450" t="str">
        <f>IF(C21="","",_xlfn.IFNA(MID(VLOOKUP($B21,Ingredient_prices!$E:$F,2,FALSE),9,2),""))</f>
        <v>2</v>
      </c>
      <c r="H21" s="447" t="str">
        <f>_xlfn.IFNA(VLOOKUP(CONCATENATE($I$9,$G21),Ingredient_prices!$G:$N,8,FALSE),"")</f>
        <v>КомерцПродукт</v>
      </c>
      <c r="I21" s="548">
        <f t="shared" si="2"/>
        <v>17</v>
      </c>
      <c r="J21" s="695" t="str">
        <f>IF(N21="","",MID(Ingredient_prices!F15,9,2))</f>
        <v/>
      </c>
      <c r="K21" s="692" t="str">
        <f t="shared" si="5"/>
        <v/>
      </c>
      <c r="L21" s="692" t="str">
        <f>IF(N21="","",COUNTIF($P$10:$P$256,"&lt;"&amp;P21)+COUNTIF($P$10:P21,P21))</f>
        <v/>
      </c>
      <c r="M21" s="692" t="str">
        <f>IF(Ingredient_prices!E15=M20,"",Ingredient_prices!E15)</f>
        <v>Pumpkin pie</v>
      </c>
      <c r="N21" s="693" t="str">
        <f>_xlfn.IFNA(VLOOKUP($M21,Sedmica_1_količina_sva_sastojak!$C:$F,4,FALSE),"")</f>
        <v/>
      </c>
      <c r="O21" s="696" t="str">
        <f>IF(N21="","",COUNTIF($P$10:$P$256,"&lt;"&amp;P21)+COUNTIF($P$10:P21,P21))</f>
        <v/>
      </c>
      <c r="P21" s="694" t="str">
        <f t="shared" si="6"/>
        <v/>
      </c>
    </row>
    <row r="22" spans="1:16">
      <c r="A22" s="470">
        <v>13</v>
      </c>
      <c r="B22" s="1248" t="str">
        <f>IF($B$8=1,_xlfn.IFNA(VLOOKUP($A22,$L:$N,2,FALSE),""),_xlfn.IFNA(VLOOKUP($A22,Sedmica_2_količina_namirnica!$L:$N,2,FALSE),""))</f>
        <v>Sunflower oil</v>
      </c>
      <c r="C22" s="448">
        <f>IF($B$8=1,_xlfn.IFNA(VLOOKUP($A22,$L:$N,3,FALSE)-0.0001,""),_xlfn.IFNA(VLOOKUP($A22,Sedmica_2_količina_namirnica!$L:$N,3,FALSE)-0.0001,""))</f>
        <v>13.947900000000001</v>
      </c>
      <c r="D22" s="446">
        <f>IF(B22="Jaje kokošje, celo",IF(C22=INT(C22),C22,C22+1),IF(B22=""," ",_xlfn.IFNA(INT(C22*1000/(VLOOKUP($B22,Ingredient_prices!$E:$J,6,FALSE)))+1,"nije nabavljen")))</f>
        <v>3</v>
      </c>
      <c r="E22" s="446" t="str">
        <f>IF(C22="","",VLOOKUP($B22,Ingredient_prices!$E:$K,7,FALSE))</f>
        <v>ком</v>
      </c>
      <c r="F22" s="462">
        <f>IF(C22="","",IFERROR(IF(OR(E22="кг",E22="л"),VLOOKUP($B22,Ingredient_prices!$E:$V,16,FALSE)*D22,(VLOOKUP($B22,Ingredient_prices!$E:$P,12,FALSE)*D22)),""))</f>
        <v>1815</v>
      </c>
      <c r="G22" s="450" t="str">
        <f>IF(C22="","",_xlfn.IFNA(MID(VLOOKUP($B22,Ingredient_prices!$E:$F,2,FALSE),9,2),""))</f>
        <v>2</v>
      </c>
      <c r="H22" s="447" t="str">
        <f>_xlfn.IFNA(VLOOKUP(CONCATENATE($I$9,$G22),Ingredient_prices!$G:$N,8,FALSE),"")</f>
        <v>КомерцПродукт</v>
      </c>
      <c r="I22" s="548">
        <f t="shared" si="2"/>
        <v>3</v>
      </c>
      <c r="J22" s="695" t="str">
        <f>IF(N22="","",MID(Ingredient_prices!F16,9,2))</f>
        <v/>
      </c>
      <c r="K22" s="692" t="str">
        <f t="shared" si="5"/>
        <v/>
      </c>
      <c r="L22" s="692" t="str">
        <f>IF(N22="","",COUNTIF($P$10:$P$256,"&lt;"&amp;P22)+COUNTIF($P$10:P22,P22))</f>
        <v/>
      </c>
      <c r="M22" s="692" t="str">
        <f>IF(Ingredient_prices!E16=M21,"",Ingredient_prices!E16)</f>
        <v>Burek with cheese</v>
      </c>
      <c r="N22" s="693" t="str">
        <f>_xlfn.IFNA(VLOOKUP($M22,Sedmica_1_količina_sva_sastojak!$C:$F,4,FALSE),"")</f>
        <v/>
      </c>
      <c r="O22" s="696" t="str">
        <f>IF(N22="","",COUNTIF($P$10:$P$256,"&lt;"&amp;P22)+COUNTIF($P$10:P22,P22))</f>
        <v/>
      </c>
      <c r="P22" s="694" t="str">
        <f t="shared" si="6"/>
        <v/>
      </c>
    </row>
    <row r="23" spans="1:16">
      <c r="A23" s="470">
        <v>14</v>
      </c>
      <c r="B23" s="1248" t="str">
        <f>IF($B$8=1,_xlfn.IFNA(VLOOKUP($A23,$L:$N,2,FALSE),""),_xlfn.IFNA(VLOOKUP($A23,Sedmica_2_količina_namirnica!$L:$N,2,FALSE),""))</f>
        <v>Pasta macaroni</v>
      </c>
      <c r="C23" s="448">
        <f>IF($B$8=1,_xlfn.IFNA(VLOOKUP($A23,$L:$N,3,FALSE)-0.0001,""),_xlfn.IFNA(VLOOKUP($A23,Sedmica_2_količina_namirnica!$L:$N,3,FALSE)-0.0001,""))</f>
        <v>13.1999</v>
      </c>
      <c r="D23" s="446">
        <f>IF(B23="Jaje kokošje, celo",IF(C23=INT(C23),C23,C23+1),IF(B23=""," ",_xlfn.IFNA(INT(C23*1000/(VLOOKUP($B23,Ingredient_prices!$E:$J,6,FALSE)))+1,"nije nabavljen")))</f>
        <v>14</v>
      </c>
      <c r="E23" s="446" t="str">
        <f>IF(C23="","",VLOOKUP($B23,Ingredient_prices!$E:$K,7,FALSE))</f>
        <v>кг</v>
      </c>
      <c r="F23" s="462">
        <f>IF(C23="","",IFERROR(IF(OR(E23="кг",E23="л"),VLOOKUP($B23,Ingredient_prices!$E:$V,16,FALSE)*D23,(VLOOKUP($B23,Ingredient_prices!$E:$P,12,FALSE)*D23)),""))</f>
        <v>2436</v>
      </c>
      <c r="G23" s="450" t="str">
        <f>IF(C23="","",_xlfn.IFNA(MID(VLOOKUP($B23,Ingredient_prices!$E:$F,2,FALSE),9,2),""))</f>
        <v>2</v>
      </c>
      <c r="H23" s="447" t="str">
        <f>_xlfn.IFNA(VLOOKUP(CONCATENATE($I$9,$G23),Ingredient_prices!$G:$N,8,FALSE),"")</f>
        <v>КомерцПродукт</v>
      </c>
      <c r="I23" s="548">
        <f t="shared" si="2"/>
        <v>14</v>
      </c>
      <c r="J23" s="695" t="str">
        <f>IF(N23="","",MID(Ingredient_prices!F17,9,2))</f>
        <v>1</v>
      </c>
      <c r="K23" s="692">
        <f t="shared" si="5"/>
        <v>2</v>
      </c>
      <c r="L23" s="692">
        <f>IF(N23="","",COUNTIF($P$10:$P$256,"&lt;"&amp;P23)+COUNTIF($P$10:P23,P23))</f>
        <v>2</v>
      </c>
      <c r="M23" s="692" t="str">
        <f>IF(Ingredient_prices!E17=M22,"",Ingredient_prices!E17)</f>
        <v>Sausage roll</v>
      </c>
      <c r="N23" s="693">
        <f>_xlfn.IFNA(VLOOKUP($M23,Sedmica_1_količina_sva_sastojak!$C:$F,4,FALSE),"")</f>
        <v>11.000000000000002</v>
      </c>
      <c r="O23" s="696">
        <f>IF(N23="","",COUNTIF($P$10:$P$256,"&lt;"&amp;P23)+COUNTIF($P$10:P23,P23))</f>
        <v>2</v>
      </c>
      <c r="P23" s="694">
        <f t="shared" si="6"/>
        <v>12</v>
      </c>
    </row>
    <row r="24" spans="1:16">
      <c r="A24" s="470">
        <v>15</v>
      </c>
      <c r="B24" s="1248" t="str">
        <f>IF($B$8=1,_xlfn.IFNA(VLOOKUP($A24,$L:$N,2,FALSE),""),_xlfn.IFNA(VLOOKUP($A24,Sedmica_2_količina_namirnica!$L:$N,2,FALSE),""))</f>
        <v>Carrot fresh</v>
      </c>
      <c r="C24" s="448">
        <f>IF($B$8=1,_xlfn.IFNA(VLOOKUP($A24,$L:$N,3,FALSE)-0.0001,""),_xlfn.IFNA(VLOOKUP($A24,Sedmica_2_količina_namirnica!$L:$N,3,FALSE)-0.0001,""))</f>
        <v>11.769899999999998</v>
      </c>
      <c r="D24" s="446">
        <f>IF(B24="Jaje kokošje, celo",IF(C24=INT(C24),C24,C24+1),IF(B24=""," ",_xlfn.IFNA(INT(C24*1000/(VLOOKUP($B24,Ingredient_prices!$E:$J,6,FALSE)))+1,"nije nabavljen")))</f>
        <v>12</v>
      </c>
      <c r="E24" s="446" t="str">
        <f>IF(C24="","",VLOOKUP($B24,Ingredient_prices!$E:$K,7,FALSE))</f>
        <v>кг</v>
      </c>
      <c r="F24" s="462">
        <f>IF(C24="","",IFERROR(IF(OR(E24="кг",E24="л"),VLOOKUP($B24,Ingredient_prices!$E:$V,16,FALSE)*D24,(VLOOKUP($B24,Ingredient_prices!$E:$P,12,FALSE)*D24)),""))</f>
        <v>1320</v>
      </c>
      <c r="G24" s="450" t="str">
        <f>IF(C24="","",_xlfn.IFNA(MID(VLOOKUP($B24,Ingredient_prices!$E:$F,2,FALSE),9,2),""))</f>
        <v>2</v>
      </c>
      <c r="H24" s="447" t="str">
        <f>_xlfn.IFNA(VLOOKUP(CONCATENATE($I$9,$G24),Ingredient_prices!$G:$N,8,FALSE),"")</f>
        <v>КомерцПродукт</v>
      </c>
      <c r="I24" s="548">
        <f t="shared" si="2"/>
        <v>12</v>
      </c>
      <c r="J24" s="695" t="str">
        <f>IF(N24="","",MID(Ingredient_prices!F18,9,2))</f>
        <v/>
      </c>
      <c r="K24" s="692" t="str">
        <f t="shared" si="5"/>
        <v/>
      </c>
      <c r="L24" s="692" t="str">
        <f>IF(N24="","",COUNTIF($P$10:$P$256,"&lt;"&amp;P24)+COUNTIF($P$10:P24,P24))</f>
        <v/>
      </c>
      <c r="M24" s="692" t="str">
        <f>IF(Ingredient_prices!E18=M23,"",Ingredient_prices!E18)</f>
        <v>Pie with buckwheat flour</v>
      </c>
      <c r="N24" s="693" t="str">
        <f>_xlfn.IFNA(VLOOKUP($M24,Sedmica_1_količina_sva_sastojak!$C:$F,4,FALSE),"")</f>
        <v/>
      </c>
      <c r="O24" s="696" t="str">
        <f>IF(N24="","",COUNTIF($P$10:$P$256,"&lt;"&amp;P24)+COUNTIF($P$10:P24,P24))</f>
        <v/>
      </c>
      <c r="P24" s="694" t="str">
        <f t="shared" si="6"/>
        <v/>
      </c>
    </row>
    <row r="25" spans="1:16">
      <c r="A25" s="470">
        <v>16</v>
      </c>
      <c r="B25" s="1248" t="str">
        <f>IF($B$8=1,_xlfn.IFNA(VLOOKUP($A25,$L:$N,2,FALSE),""),_xlfn.IFNA(VLOOKUP($A25,Sedmica_2_količina_namirnica!$L:$N,2,FALSE),""))</f>
        <v>Wheat flour white</v>
      </c>
      <c r="C25" s="448">
        <f>IF($B$8=1,_xlfn.IFNA(VLOOKUP($A25,$L:$N,3,FALSE)-0.0001,""),_xlfn.IFNA(VLOOKUP($A25,Sedmica_2_količina_namirnica!$L:$N,3,FALSE)-0.0001,""))</f>
        <v>11.549899999999999</v>
      </c>
      <c r="D25" s="446">
        <f>IF(B25="Jaje kokošje, celo",IF(C25=INT(C25),C25,C25+1),IF(B25=""," ",_xlfn.IFNA(INT(C25*1000/(VLOOKUP($B25,Ingredient_prices!$E:$J,6,FALSE)))+1,"nije nabavljen")))</f>
        <v>1</v>
      </c>
      <c r="E25" s="446" t="str">
        <f>IF(C25="","",VLOOKUP($B25,Ingredient_prices!$E:$K,7,FALSE))</f>
        <v>ком</v>
      </c>
      <c r="F25" s="462">
        <f>IF(C25="","",IFERROR(IF(OR(E25="кг",E25="л"),VLOOKUP($B25,Ingredient_prices!$E:$V,16,FALSE)*D25,(VLOOKUP($B25,Ingredient_prices!$E:$P,12,FALSE)*D25)),""))</f>
        <v>1078</v>
      </c>
      <c r="G25" s="450" t="str">
        <f>IF(C25="","",_xlfn.IFNA(MID(VLOOKUP($B25,Ingredient_prices!$E:$F,2,FALSE),9,2),""))</f>
        <v>2</v>
      </c>
      <c r="H25" s="447" t="str">
        <f>_xlfn.IFNA(VLOOKUP(CONCATENATE($I$9,$G25),Ingredient_prices!$G:$N,8,FALSE),"")</f>
        <v>КомерцПродукт</v>
      </c>
      <c r="I25" s="548">
        <f t="shared" si="2"/>
        <v>1</v>
      </c>
      <c r="J25" s="695" t="str">
        <f>IF(N25="","",MID(Ingredient_prices!F19,9,2))</f>
        <v/>
      </c>
      <c r="K25" s="692" t="str">
        <f t="shared" si="5"/>
        <v/>
      </c>
      <c r="L25" s="692" t="str">
        <f>IF(N25="","",COUNTIF($P$10:$P$256,"&lt;"&amp;P25)+COUNTIF($P$10:P25,P25))</f>
        <v/>
      </c>
      <c r="M25" s="692" t="str">
        <f>IF(Ingredient_prices!E19=M24,"",Ingredient_prices!E19)</f>
        <v>Buckwheat paté</v>
      </c>
      <c r="N25" s="693" t="str">
        <f>_xlfn.IFNA(VLOOKUP($M25,Sedmica_1_količina_sva_sastojak!$C:$F,4,FALSE),"")</f>
        <v/>
      </c>
      <c r="O25" s="696" t="str">
        <f>IF(N25="","",COUNTIF($P$10:$P$256,"&lt;"&amp;P25)+COUNTIF($P$10:P25,P25))</f>
        <v/>
      </c>
      <c r="P25" s="694" t="str">
        <f t="shared" si="6"/>
        <v/>
      </c>
    </row>
    <row r="26" spans="1:16">
      <c r="A26" s="470">
        <v>17</v>
      </c>
      <c r="B26" s="1248" t="str">
        <f>IF($B$8=1,_xlfn.IFNA(VLOOKUP($A26,$L:$N,2,FALSE),""),_xlfn.IFNA(VLOOKUP($A26,Sedmica_2_količina_namirnica!$L:$N,2,FALSE),""))</f>
        <v>Yogurt 2.8% fat (less than 1 l)</v>
      </c>
      <c r="C26" s="448">
        <f>IF($B$8=1,_xlfn.IFNA(VLOOKUP($A26,$L:$N,3,FALSE)-0.0001,""),_xlfn.IFNA(VLOOKUP($A26,Sedmica_2_količina_namirnica!$L:$N,3,FALSE)-0.0001,""))</f>
        <v>10.999900000000002</v>
      </c>
      <c r="D26" s="446">
        <f>IF(B26="Jaje kokošje, celo",IF(C26=INT(C26),C26,C26+1),IF(B26=""," ",_xlfn.IFNA(INT(C26*1000/(VLOOKUP($B26,Ingredient_prices!$E:$J,6,FALSE)))+1,"nije nabavljen")))</f>
        <v>62</v>
      </c>
      <c r="E26" s="446" t="str">
        <f>IF(C26="","",VLOOKUP($B26,Ingredient_prices!$E:$K,7,FALSE))</f>
        <v>ком</v>
      </c>
      <c r="F26" s="462">
        <f>IF(C26="","",IFERROR(IF(OR(E26="кг",E26="л"),VLOOKUP($B26,Ingredient_prices!$E:$V,16,FALSE)*D26,(VLOOKUP($B26,Ingredient_prices!$E:$P,12,FALSE)*D26)),""))</f>
        <v>1002.5399999999998</v>
      </c>
      <c r="G26" s="450" t="str">
        <f>IF(C26="","",_xlfn.IFNA(MID(VLOOKUP($B26,Ingredient_prices!$E:$F,2,FALSE),9,2),""))</f>
        <v>2</v>
      </c>
      <c r="H26" s="447" t="str">
        <f>_xlfn.IFNA(VLOOKUP(CONCATENATE($I$9,$G26),Ingredient_prices!$G:$N,8,FALSE),"")</f>
        <v>КомерцПродукт</v>
      </c>
      <c r="I26" s="548">
        <f t="shared" si="2"/>
        <v>62</v>
      </c>
      <c r="J26" s="695" t="str">
        <f>IF(N26="","",MID(Ingredient_prices!F20,9,2))</f>
        <v/>
      </c>
      <c r="K26" s="692" t="str">
        <f t="shared" si="5"/>
        <v/>
      </c>
      <c r="L26" s="692" t="str">
        <f>IF(N26="","",COUNTIF($P$10:$P$256,"&lt;"&amp;P26)+COUNTIF($P$10:P26,P26))</f>
        <v/>
      </c>
      <c r="M26" s="692" t="str">
        <f>IF(Ingredient_prices!E20=M25,"",Ingredient_prices!E20)</f>
        <v>Spiral bun small</v>
      </c>
      <c r="N26" s="693" t="str">
        <f>_xlfn.IFNA(VLOOKUP($M26,Sedmica_1_količina_sva_sastojak!$C:$F,4,FALSE),"")</f>
        <v/>
      </c>
      <c r="O26" s="696" t="str">
        <f>IF(N26="","",COUNTIF($P$10:$P$256,"&lt;"&amp;P26)+COUNTIF($P$10:P26,P26))</f>
        <v/>
      </c>
      <c r="P26" s="694" t="str">
        <f t="shared" si="6"/>
        <v/>
      </c>
    </row>
    <row r="27" spans="1:16">
      <c r="A27" s="470">
        <v>18</v>
      </c>
      <c r="B27" s="1248" t="str">
        <f>IF($B$8=1,_xlfn.IFNA(VLOOKUP($A27,$L:$N,2,FALSE),""),_xlfn.IFNA(VLOOKUP($A27,Sedmica_2_količina_namirnica!$L:$N,2,FALSE),""))</f>
        <v>Chocolate milk 1% fat (at least 1 l)</v>
      </c>
      <c r="C27" s="448">
        <f>IF($B$8=1,_xlfn.IFNA(VLOOKUP($A27,$L:$N,3,FALSE)-0.0001,""),_xlfn.IFNA(VLOOKUP($A27,Sedmica_2_količina_namirnica!$L:$N,3,FALSE)-0.0001,""))</f>
        <v>10.999900000000002</v>
      </c>
      <c r="D27" s="446">
        <f>IF(B27="Jaje kokošje, celo",IF(C27=INT(C27),C27,C27+1),IF(B27=""," ",_xlfn.IFNA(INT(C27*1000/(VLOOKUP($B27,Ingredient_prices!$E:$J,6,FALSE)))+1,"nije nabavljen")))</f>
        <v>11</v>
      </c>
      <c r="E27" s="446" t="str">
        <f>IF(C27="","",VLOOKUP($B27,Ingredient_prices!$E:$K,7,FALSE))</f>
        <v>л</v>
      </c>
      <c r="F27" s="462">
        <f>IF(C27="","",IFERROR(IF(OR(E27="кг",E27="л"),VLOOKUP($B27,Ingredient_prices!$E:$V,16,FALSE)*D27,(VLOOKUP($B27,Ingredient_prices!$E:$P,12,FALSE)*D27)),""))</f>
        <v>1790.8000000000002</v>
      </c>
      <c r="G27" s="450" t="str">
        <f>IF(C27="","",_xlfn.IFNA(MID(VLOOKUP($B27,Ingredient_prices!$E:$F,2,FALSE),9,2),""))</f>
        <v>2</v>
      </c>
      <c r="H27" s="447" t="str">
        <f>_xlfn.IFNA(VLOOKUP(CONCATENATE($I$9,$G27),Ingredient_prices!$G:$N,8,FALSE),"")</f>
        <v>КомерцПродукт</v>
      </c>
      <c r="I27" s="548">
        <f t="shared" si="2"/>
        <v>11</v>
      </c>
      <c r="J27" s="695" t="str">
        <f>IF(N27="","",MID(Ingredient_prices!F21,9,2))</f>
        <v/>
      </c>
      <c r="K27" s="692" t="str">
        <f t="shared" si="5"/>
        <v/>
      </c>
      <c r="L27" s="692" t="str">
        <f>IF(N27="","",COUNTIF($P$10:$P$256,"&lt;"&amp;P27)+COUNTIF($P$10:P27,P27))</f>
        <v/>
      </c>
      <c r="M27" s="692" t="str">
        <f>IF(Ingredient_prices!E21=M26,"",Ingredient_prices!E21)</f>
        <v>Danish pastry (sweet)</v>
      </c>
      <c r="N27" s="693" t="str">
        <f>_xlfn.IFNA(VLOOKUP($M27,Sedmica_1_količina_sva_sastojak!$C:$F,4,FALSE),"")</f>
        <v/>
      </c>
      <c r="O27" s="696" t="str">
        <f>IF(N27="","",COUNTIF($P$10:$P$256,"&lt;"&amp;P27)+COUNTIF($P$10:P27,P27))</f>
        <v/>
      </c>
      <c r="P27" s="694" t="str">
        <f t="shared" si="6"/>
        <v/>
      </c>
    </row>
    <row r="28" spans="1:16">
      <c r="A28" s="470">
        <v>19</v>
      </c>
      <c r="B28" s="1248" t="str">
        <f>IF($B$8=1,_xlfn.IFNA(VLOOKUP($A28,$L:$N,2,FALSE),""),_xlfn.IFNA(VLOOKUP($A28,Sedmica_2_količina_namirnica!$L:$N,2,FALSE),""))</f>
        <v>Pork minced meat</v>
      </c>
      <c r="C28" s="448">
        <f>IF($B$8=1,_xlfn.IFNA(VLOOKUP($A28,$L:$N,3,FALSE)-0.0001,""),_xlfn.IFNA(VLOOKUP($A28,Sedmica_2_količina_namirnica!$L:$N,3,FALSE)-0.0001,""))</f>
        <v>10.999900000000002</v>
      </c>
      <c r="D28" s="446">
        <f>IF(B28="Jaje kokošje, celo",IF(C28=INT(C28),C28,C28+1),IF(B28=""," ",_xlfn.IFNA(INT(C28*1000/(VLOOKUP($B28,Ingredient_prices!$E:$J,6,FALSE)))+1,"nije nabavljen")))</f>
        <v>11</v>
      </c>
      <c r="E28" s="446" t="str">
        <f>IF(C28="","",VLOOKUP($B28,Ingredient_prices!$E:$K,7,FALSE))</f>
        <v>кг</v>
      </c>
      <c r="F28" s="462">
        <f>IF(C28="","",IFERROR(IF(OR(E28="кг",E28="л"),VLOOKUP($B28,Ingredient_prices!$E:$V,16,FALSE)*D28,(VLOOKUP($B28,Ingredient_prices!$E:$P,12,FALSE)*D28)),""))</f>
        <v>3872</v>
      </c>
      <c r="G28" s="450" t="str">
        <f>IF(C28="","",_xlfn.IFNA(MID(VLOOKUP($B28,Ingredient_prices!$E:$F,2,FALSE),9,2),""))</f>
        <v>2</v>
      </c>
      <c r="H28" s="447" t="str">
        <f>_xlfn.IFNA(VLOOKUP(CONCATENATE($I$9,$G28),Ingredient_prices!$G:$N,8,FALSE),"")</f>
        <v>КомерцПродукт</v>
      </c>
      <c r="I28" s="548">
        <f t="shared" si="2"/>
        <v>11</v>
      </c>
      <c r="J28" s="695" t="str">
        <f>IF(N28="","",MID(Ingredient_prices!F22,9,2))</f>
        <v/>
      </c>
      <c r="K28" s="692" t="str">
        <f t="shared" si="5"/>
        <v/>
      </c>
      <c r="L28" s="692" t="str">
        <f>IF(N28="","",COUNTIF($P$10:$P$256,"&lt;"&amp;P28)+COUNTIF($P$10:P28,P28))</f>
        <v/>
      </c>
      <c r="M28" s="692" t="str">
        <f>IF(Ingredient_prices!E22=M27,"",Ingredient_prices!E22)</f>
        <v>Chalcone ham cheese</v>
      </c>
      <c r="N28" s="693" t="str">
        <f>_xlfn.IFNA(VLOOKUP($M28,Sedmica_1_količina_sva_sastojak!$C:$F,4,FALSE),"")</f>
        <v/>
      </c>
      <c r="O28" s="696" t="str">
        <f>IF(N28="","",COUNTIF($P$10:$P$256,"&lt;"&amp;P28)+COUNTIF($P$10:P28,P28))</f>
        <v/>
      </c>
      <c r="P28" s="694" t="str">
        <f t="shared" si="6"/>
        <v/>
      </c>
    </row>
    <row r="29" spans="1:16">
      <c r="A29" s="470">
        <v>20</v>
      </c>
      <c r="B29" s="1248" t="str">
        <f>IF($B$8=1,_xlfn.IFNA(VLOOKUP($A29,$L:$N,2,FALSE),""),_xlfn.IFNA(VLOOKUP($A29,Sedmica_2_količina_namirnica!$L:$N,2,FALSE),""))</f>
        <v>Peas frozen</v>
      </c>
      <c r="C29" s="448">
        <f>IF($B$8=1,_xlfn.IFNA(VLOOKUP($A29,$L:$N,3,FALSE)-0.0001,""),_xlfn.IFNA(VLOOKUP($A29,Sedmica_2_količina_namirnica!$L:$N,3,FALSE)-0.0001,""))</f>
        <v>8.7999000000000009</v>
      </c>
      <c r="D29" s="446">
        <f>IF(B29="Jaje kokošje, celo",IF(C29=INT(C29),C29,C29+1),IF(B29=""," ",_xlfn.IFNA(INT(C29*1000/(VLOOKUP($B29,Ingredient_prices!$E:$J,6,FALSE)))+1,"nije nabavljen")))</f>
        <v>9</v>
      </c>
      <c r="E29" s="446" t="str">
        <f>IF(C29="","",VLOOKUP($B29,Ingredient_prices!$E:$K,7,FALSE))</f>
        <v>кг</v>
      </c>
      <c r="F29" s="462">
        <f>IF(C29="","",IFERROR(IF(OR(E29="кг",E29="л"),VLOOKUP($B29,Ingredient_prices!$E:$V,16,FALSE)*D29,(VLOOKUP($B29,Ingredient_prices!$E:$P,12,FALSE)*D29)),""))</f>
        <v>990</v>
      </c>
      <c r="G29" s="450" t="str">
        <f>IF(C29="","",_xlfn.IFNA(MID(VLOOKUP($B29,Ingredient_prices!$E:$F,2,FALSE),9,2),""))</f>
        <v>2</v>
      </c>
      <c r="H29" s="447" t="str">
        <f>_xlfn.IFNA(VLOOKUP(CONCATENATE($I$9,$G29),Ingredient_prices!$G:$N,8,FALSE),"")</f>
        <v>КомерцПродукт</v>
      </c>
      <c r="I29" s="548">
        <f t="shared" si="2"/>
        <v>9</v>
      </c>
      <c r="J29" s="695" t="str">
        <f>IF(N29="","",MID(Ingredient_prices!F23,9,2))</f>
        <v/>
      </c>
      <c r="K29" s="692" t="str">
        <f t="shared" si="5"/>
        <v/>
      </c>
      <c r="L29" s="692" t="str">
        <f>IF(N29="","",COUNTIF($P$10:$P$256,"&lt;"&amp;P29)+COUNTIF($P$10:P29,P29))</f>
        <v/>
      </c>
      <c r="M29" s="692" t="str">
        <f>IF(Ingredient_prices!E23=M28,"",Ingredient_prices!E23)</f>
        <v>Sesame bun</v>
      </c>
      <c r="N29" s="693" t="str">
        <f>_xlfn.IFNA(VLOOKUP($M29,Sedmica_1_količina_sva_sastojak!$C:$F,4,FALSE),"")</f>
        <v/>
      </c>
      <c r="O29" s="696" t="str">
        <f>IF(N29="","",COUNTIF($P$10:$P$256,"&lt;"&amp;P29)+COUNTIF($P$10:P29,P29))</f>
        <v/>
      </c>
      <c r="P29" s="694" t="str">
        <f t="shared" si="6"/>
        <v/>
      </c>
    </row>
    <row r="30" spans="1:16">
      <c r="A30" s="470">
        <v>21</v>
      </c>
      <c r="B30" s="1248" t="str">
        <f>IF($B$8=1,_xlfn.IFNA(VLOOKUP($A30,$L:$N,2,FALSE),""),_xlfn.IFNA(VLOOKUP($A30,Sedmica_2_količina_namirnica!$L:$N,2,FALSE),""))</f>
        <v>Beetroot, cooked, pickled</v>
      </c>
      <c r="C30" s="448">
        <f>IF($B$8=1,_xlfn.IFNA(VLOOKUP($A30,$L:$N,3,FALSE)-0.0001,""),_xlfn.IFNA(VLOOKUP($A30,Sedmica_2_količina_namirnica!$L:$N,3,FALSE)-0.0001,""))</f>
        <v>6.5998999999999999</v>
      </c>
      <c r="D30" s="446">
        <f>IF(B30="Jaje kokošje, celo",IF(C30=INT(C30),C30,C30+1),IF(B30=""," ",_xlfn.IFNA(INT(C30*1000/(VLOOKUP($B30,Ingredient_prices!$E:$J,6,FALSE)))+1,"nije nabavljen")))</f>
        <v>2</v>
      </c>
      <c r="E30" s="446" t="str">
        <f>IF(C30="","",VLOOKUP($B30,Ingredient_prices!$E:$K,7,FALSE))</f>
        <v>ком</v>
      </c>
      <c r="F30" s="462">
        <f>IF(C30="","",IFERROR(IF(OR(E30="кг",E30="л"),VLOOKUP($B30,Ingredient_prices!$E:$V,16,FALSE)*D30,(VLOOKUP($B30,Ingredient_prices!$E:$P,12,FALSE)*D30)),""))</f>
        <v>633.6</v>
      </c>
      <c r="G30" s="450" t="str">
        <f>IF(C30="","",_xlfn.IFNA(MID(VLOOKUP($B30,Ingredient_prices!$E:$F,2,FALSE),9,2),""))</f>
        <v>2</v>
      </c>
      <c r="H30" s="447" t="str">
        <f>_xlfn.IFNA(VLOOKUP(CONCATENATE($I$9,$G30),Ingredient_prices!$G:$N,8,FALSE),"")</f>
        <v>КомерцПродукт</v>
      </c>
      <c r="I30" s="548">
        <f t="shared" si="2"/>
        <v>2</v>
      </c>
      <c r="J30" s="695" t="str">
        <f>IF(N30="","",MID(Ingredient_prices!F24,9,2))</f>
        <v/>
      </c>
      <c r="K30" s="692" t="str">
        <f t="shared" si="5"/>
        <v/>
      </c>
      <c r="L30" s="692" t="str">
        <f>IF(N30="","",COUNTIF($P$10:$P$256,"&lt;"&amp;P30)+COUNTIF($P$10:P30,P30))</f>
        <v/>
      </c>
      <c r="M30" s="692" t="str">
        <f>IF(Ingredient_prices!E24=M29,"",Ingredient_prices!E24)</f>
        <v>Croissant with cocoa cream</v>
      </c>
      <c r="N30" s="693" t="str">
        <f>_xlfn.IFNA(VLOOKUP($M30,Sedmica_1_količina_sva_sastojak!$C:$F,4,FALSE),"")</f>
        <v/>
      </c>
      <c r="O30" s="696" t="str">
        <f>IF(N30="","",COUNTIF($P$10:$P$256,"&lt;"&amp;P30)+COUNTIF($P$10:P30,P30))</f>
        <v/>
      </c>
      <c r="P30" s="694" t="str">
        <f t="shared" si="6"/>
        <v/>
      </c>
    </row>
    <row r="31" spans="1:16">
      <c r="A31" s="470">
        <v>22</v>
      </c>
      <c r="B31" s="1248" t="str">
        <f>IF($B$8=1,_xlfn.IFNA(VLOOKUP($A31,$L:$N,2,FALSE),""),_xlfn.IFNA(VLOOKUP($A31,Sedmica_2_količina_namirnica!$L:$N,2,FALSE),""))</f>
        <v>Onion</v>
      </c>
      <c r="C31" s="448">
        <f>IF($B$8=1,_xlfn.IFNA(VLOOKUP($A31,$L:$N,3,FALSE)-0.0001,""),_xlfn.IFNA(VLOOKUP($A31,Sedmica_2_količina_namirnica!$L:$N,3,FALSE)-0.0001,""))</f>
        <v>5.7199000000000009</v>
      </c>
      <c r="D31" s="446">
        <f>IF(B31="Jaje kokošje, celo",IF(C31=INT(C31),C31,C31+1),IF(B31=""," ",_xlfn.IFNA(INT(C31*1000/(VLOOKUP($B31,Ingredient_prices!$E:$J,6,FALSE)))+1,"nije nabavljen")))</f>
        <v>6</v>
      </c>
      <c r="E31" s="446" t="str">
        <f>IF(C31="","",VLOOKUP($B31,Ingredient_prices!$E:$K,7,FALSE))</f>
        <v>кг</v>
      </c>
      <c r="F31" s="462">
        <f>IF(C31="","",IFERROR(IF(OR(E31="кг",E31="л"),VLOOKUP($B31,Ingredient_prices!$E:$V,16,FALSE)*D31,(VLOOKUP($B31,Ingredient_prices!$E:$P,12,FALSE)*D31)),""))</f>
        <v>720</v>
      </c>
      <c r="G31" s="450" t="str">
        <f>IF(C31="","",_xlfn.IFNA(MID(VLOOKUP($B31,Ingredient_prices!$E:$F,2,FALSE),9,2),""))</f>
        <v>2</v>
      </c>
      <c r="H31" s="447" t="str">
        <f>_xlfn.IFNA(VLOOKUP(CONCATENATE($I$9,$G31),Ingredient_prices!$G:$N,8,FALSE),"")</f>
        <v>КомерцПродукт</v>
      </c>
      <c r="I31" s="548">
        <f t="shared" si="2"/>
        <v>6</v>
      </c>
      <c r="J31" s="695" t="str">
        <f>IF(N31="","",MID(Ingredient_prices!F25,9,2))</f>
        <v/>
      </c>
      <c r="K31" s="692" t="str">
        <f t="shared" si="5"/>
        <v/>
      </c>
      <c r="L31" s="692" t="str">
        <f>IF(N31="","",COUNTIF($P$10:$P$256,"&lt;"&amp;P31)+COUNTIF($P$10:P31,P31))</f>
        <v/>
      </c>
      <c r="M31" s="692" t="str">
        <f>IF(Ingredient_prices!E25=M30,"",Ingredient_prices!E25)</f>
        <v>Cherry roll</v>
      </c>
      <c r="N31" s="693" t="str">
        <f>_xlfn.IFNA(VLOOKUP($M31,Sedmica_1_količina_sva_sastojak!$C:$F,4,FALSE),"")</f>
        <v/>
      </c>
      <c r="O31" s="696" t="str">
        <f>IF(N31="","",COUNTIF($P$10:$P$256,"&lt;"&amp;P31)+COUNTIF($P$10:P31,P31))</f>
        <v/>
      </c>
      <c r="P31" s="694" t="str">
        <f t="shared" si="6"/>
        <v/>
      </c>
    </row>
    <row r="32" spans="1:16">
      <c r="A32" s="470">
        <v>23</v>
      </c>
      <c r="B32" s="1248" t="str">
        <f>IF($B$8=1,_xlfn.IFNA(VLOOKUP($A32,$L:$N,2,FALSE),""),_xlfn.IFNA(VLOOKUP($A32,Sedmica_2_količina_namirnica!$L:$N,2,FALSE),""))</f>
        <v>Cow's milk 3.2% fat</v>
      </c>
      <c r="C32" s="448">
        <f>IF($B$8=1,_xlfn.IFNA(VLOOKUP($A32,$L:$N,3,FALSE)-0.0001,""),_xlfn.IFNA(VLOOKUP($A32,Sedmica_2_količina_namirnica!$L:$N,3,FALSE)-0.0001,""))</f>
        <v>5.4999000000000011</v>
      </c>
      <c r="D32" s="446">
        <f>IF(B32="Jaje kokošje, celo",IF(C32=INT(C32),C32,C32+1),IF(B32=""," ",_xlfn.IFNA(INT(C32*1000/(VLOOKUP($B32,Ingredient_prices!$E:$J,6,FALSE)))+1,"nije nabavljen")))</f>
        <v>28</v>
      </c>
      <c r="E32" s="446" t="str">
        <f>IF(C32="","",VLOOKUP($B32,Ingredient_prices!$E:$K,7,FALSE))</f>
        <v>ком</v>
      </c>
      <c r="F32" s="462">
        <f>IF(C32="","",IFERROR(IF(OR(E32="кг",E32="л"),VLOOKUP($B32,Ingredient_prices!$E:$V,16,FALSE)*D32,(VLOOKUP($B32,Ingredient_prices!$E:$P,12,FALSE)*D32)),""))</f>
        <v>1047.2</v>
      </c>
      <c r="G32" s="450" t="str">
        <f>IF(C32="","",_xlfn.IFNA(MID(VLOOKUP($B32,Ingredient_prices!$E:$F,2,FALSE),9,2),""))</f>
        <v>2</v>
      </c>
      <c r="H32" s="447" t="str">
        <f>_xlfn.IFNA(VLOOKUP(CONCATENATE($I$9,$G32),Ingredient_prices!$G:$N,8,FALSE),"")</f>
        <v>КомерцПродукт</v>
      </c>
      <c r="I32" s="548">
        <f t="shared" si="2"/>
        <v>28</v>
      </c>
      <c r="J32" s="695" t="str">
        <f>IF(N32="","",MID(Ingredient_prices!F26,9,2))</f>
        <v/>
      </c>
      <c r="K32" s="692" t="str">
        <f t="shared" si="5"/>
        <v/>
      </c>
      <c r="L32" s="692" t="str">
        <f>IF(N32="","",COUNTIF($P$10:$P$256,"&lt;"&amp;P32)+COUNTIF($P$10:P32,P32))</f>
        <v/>
      </c>
      <c r="M32" s="692" t="str">
        <f>IF(Ingredient_prices!E26=M31,"",Ingredient_prices!E26)</f>
        <v>Pizza margarita</v>
      </c>
      <c r="N32" s="693" t="str">
        <f>_xlfn.IFNA(VLOOKUP($M32,Sedmica_1_količina_sva_sastojak!$C:$F,4,FALSE),"")</f>
        <v/>
      </c>
      <c r="O32" s="696" t="str">
        <f>IF(N32="","",COUNTIF($P$10:$P$256,"&lt;"&amp;P32)+COUNTIF($P$10:P32,P32))</f>
        <v/>
      </c>
      <c r="P32" s="694" t="str">
        <f t="shared" si="6"/>
        <v/>
      </c>
    </row>
    <row r="33" spans="1:16">
      <c r="A33" s="470">
        <v>24</v>
      </c>
      <c r="B33" s="1248" t="str">
        <f>IF($B$8=1,_xlfn.IFNA(VLOOKUP($A33,$L:$N,2,FALSE),""),_xlfn.IFNA(VLOOKUP($A33,Sedmica_2_količina_namirnica!$L:$N,2,FALSE),""))</f>
        <v>Chicken breast</v>
      </c>
      <c r="C33" s="448">
        <f>IF($B$8=1,_xlfn.IFNA(VLOOKUP($A33,$L:$N,3,FALSE)-0.0001,""),_xlfn.IFNA(VLOOKUP($A33,Sedmica_2_količina_namirnica!$L:$N,3,FALSE)-0.0001,""))</f>
        <v>5.4999000000000011</v>
      </c>
      <c r="D33" s="446">
        <f>IF(B33="Jaje kokošje, celo",IF(C33=INT(C33),C33,C33+1),IF(B33=""," ",_xlfn.IFNA(INT(C33*1000/(VLOOKUP($B33,Ingredient_prices!$E:$J,6,FALSE)))+1,"nije nabavljen")))</f>
        <v>6</v>
      </c>
      <c r="E33" s="446" t="str">
        <f>IF(C33="","",VLOOKUP($B33,Ingredient_prices!$E:$K,7,FALSE))</f>
        <v>кг</v>
      </c>
      <c r="F33" s="462">
        <f>IF(C33="","",IFERROR(IF(OR(E33="кг",E33="л"),VLOOKUP($B33,Ingredient_prices!$E:$V,16,FALSE)*D33,(VLOOKUP($B33,Ingredient_prices!$E:$P,12,FALSE)*D33)),""))</f>
        <v>2640</v>
      </c>
      <c r="G33" s="450" t="str">
        <f>IF(C33="","",_xlfn.IFNA(MID(VLOOKUP($B33,Ingredient_prices!$E:$F,2,FALSE),9,2),""))</f>
        <v>2</v>
      </c>
      <c r="H33" s="447" t="str">
        <f>_xlfn.IFNA(VLOOKUP(CONCATENATE($I$9,$G33),Ingredient_prices!$G:$N,8,FALSE),"")</f>
        <v>КомерцПродукт</v>
      </c>
      <c r="I33" s="548">
        <f t="shared" si="2"/>
        <v>6</v>
      </c>
      <c r="J33" s="695" t="str">
        <f>IF(N33="","",MID(Ingredient_prices!F27,9,2))</f>
        <v/>
      </c>
      <c r="K33" s="692" t="str">
        <f t="shared" si="5"/>
        <v/>
      </c>
      <c r="L33" s="692" t="str">
        <f>IF(N33="","",COUNTIF($P$10:$P$256,"&lt;"&amp;P33)+COUNTIF($P$10:P33,P33))</f>
        <v/>
      </c>
      <c r="M33" s="692" t="str">
        <f>IF(Ingredient_prices!E27=M32,"",Ingredient_prices!E27)</f>
        <v>Sesame bun</v>
      </c>
      <c r="N33" s="693" t="str">
        <f>_xlfn.IFNA(VLOOKUP($M33,Sedmica_1_količina_sva_sastojak!$C:$F,4,FALSE),"")</f>
        <v/>
      </c>
      <c r="O33" s="696" t="str">
        <f>IF(N33="","",COUNTIF($P$10:$P$256,"&lt;"&amp;P33)+COUNTIF($P$10:P33,P33))</f>
        <v/>
      </c>
      <c r="P33" s="694" t="str">
        <f t="shared" si="6"/>
        <v/>
      </c>
    </row>
    <row r="34" spans="1:16">
      <c r="A34" s="470">
        <v>25</v>
      </c>
      <c r="B34" s="1248" t="str">
        <f>IF($B$8=1,_xlfn.IFNA(VLOOKUP($A34,$L:$N,2,FALSE),""),_xlfn.IFNA(VLOOKUP($A34,Sedmica_2_količina_namirnica!$L:$N,2,FALSE),""))</f>
        <v>Rice, white grain</v>
      </c>
      <c r="C34" s="448">
        <f>IF($B$8=1,_xlfn.IFNA(VLOOKUP($A34,$L:$N,3,FALSE)-0.0001,""),_xlfn.IFNA(VLOOKUP($A34,Sedmica_2_količina_namirnica!$L:$N,3,FALSE)-0.0001,""))</f>
        <v>5.4999000000000011</v>
      </c>
      <c r="D34" s="446">
        <f>IF(B34="Jaje kokošje, celo",IF(C34=INT(C34),C34,C34+1),IF(B34=""," ",_xlfn.IFNA(INT(C34*1000/(VLOOKUP($B34,Ingredient_prices!$E:$J,6,FALSE)))+1,"nije nabavljen")))</f>
        <v>6</v>
      </c>
      <c r="E34" s="446" t="str">
        <f>IF(C34="","",VLOOKUP($B34,Ingredient_prices!$E:$K,7,FALSE))</f>
        <v>ком</v>
      </c>
      <c r="F34" s="462">
        <f>IF(C34="","",IFERROR(IF(OR(E34="кг",E34="л"),VLOOKUP($B34,Ingredient_prices!$E:$V,16,FALSE)*D34,(VLOOKUP($B34,Ingredient_prices!$E:$P,12,FALSE)*D34)),""))</f>
        <v>475.20000000000005</v>
      </c>
      <c r="G34" s="450" t="str">
        <f>IF(C34="","",_xlfn.IFNA(MID(VLOOKUP($B34,Ingredient_prices!$E:$F,2,FALSE),9,2),""))</f>
        <v>2</v>
      </c>
      <c r="H34" s="447" t="str">
        <f>_xlfn.IFNA(VLOOKUP(CONCATENATE($I$9,$G34),Ingredient_prices!$G:$N,8,FALSE),"")</f>
        <v>КомерцПродукт</v>
      </c>
      <c r="I34" s="548">
        <f t="shared" si="2"/>
        <v>6</v>
      </c>
      <c r="J34" s="695" t="str">
        <f>IF(N34="","",MID(Ingredient_prices!F28,9,2))</f>
        <v>1</v>
      </c>
      <c r="K34" s="692">
        <f t="shared" si="5"/>
        <v>5</v>
      </c>
      <c r="L34" s="692">
        <f>IF(N34="","",COUNTIF($P$10:$P$256,"&lt;"&amp;P34)+COUNTIF($P$10:P34,P34))</f>
        <v>5</v>
      </c>
      <c r="M34" s="692" t="str">
        <f>IF(Ingredient_prices!E28=M33,"",Ingredient_prices!E28)</f>
        <v>Bread roll</v>
      </c>
      <c r="N34" s="693">
        <f>_xlfn.IFNA(VLOOKUP($M34,Sedmica_1_količina_sva_sastojak!$C:$F,4,FALSE),"")</f>
        <v>6.6</v>
      </c>
      <c r="O34" s="696">
        <f>IF(N34="","",COUNTIF($P$10:$P$256,"&lt;"&amp;P34)+COUNTIF($P$10:P34,P34))</f>
        <v>5</v>
      </c>
      <c r="P34" s="694">
        <f t="shared" si="6"/>
        <v>15</v>
      </c>
    </row>
    <row r="35" spans="1:16">
      <c r="A35" s="470">
        <v>26</v>
      </c>
      <c r="B35" s="1248" t="str">
        <f>IF($B$8=1,_xlfn.IFNA(VLOOKUP($A35,$L:$N,2,FALSE),""),_xlfn.IFNA(VLOOKUP($A35,Sedmica_2_količina_namirnica!$L:$N,2,FALSE),""))</f>
        <v>Beans haricot (yellow)</v>
      </c>
      <c r="C35" s="448">
        <f>IF($B$8=1,_xlfn.IFNA(VLOOKUP($A35,$L:$N,3,FALSE)-0.0001,""),_xlfn.IFNA(VLOOKUP($A35,Sedmica_2_količina_namirnica!$L:$N,3,FALSE)-0.0001,""))</f>
        <v>5.4999000000000011</v>
      </c>
      <c r="D35" s="446">
        <f>IF(B35="Jaje kokošje, celo",IF(C35=INT(C35),C35,C35+1),IF(B35=""," ",_xlfn.IFNA(INT(C35*1000/(VLOOKUP($B35,Ingredient_prices!$E:$J,6,FALSE)))+1,"nije nabavljen")))</f>
        <v>6</v>
      </c>
      <c r="E35" s="446" t="str">
        <f>IF(C35="","",VLOOKUP($B35,Ingredient_prices!$E:$K,7,FALSE))</f>
        <v>кг</v>
      </c>
      <c r="F35" s="462">
        <f>IF(C35="","",IFERROR(IF(OR(E35="кг",E35="л"),VLOOKUP($B35,Ingredient_prices!$E:$V,16,FALSE)*D35,(VLOOKUP($B35,Ingredient_prices!$E:$P,12,FALSE)*D35)),""))</f>
        <v>3000</v>
      </c>
      <c r="G35" s="450" t="str">
        <f>IF(C35="","",_xlfn.IFNA(MID(VLOOKUP($B35,Ingredient_prices!$E:$F,2,FALSE),9,2),""))</f>
        <v>2</v>
      </c>
      <c r="H35" s="447" t="str">
        <f>_xlfn.IFNA(VLOOKUP(CONCATENATE($I$9,$G35),Ingredient_prices!$G:$N,8,FALSE),"")</f>
        <v>КомерцПродукт</v>
      </c>
      <c r="I35" s="548">
        <f t="shared" si="2"/>
        <v>6</v>
      </c>
      <c r="J35" s="695" t="str">
        <f>IF(N35="","",MID(Ingredient_prices!F29,9,2))</f>
        <v/>
      </c>
      <c r="K35" s="692" t="str">
        <f t="shared" si="5"/>
        <v/>
      </c>
      <c r="L35" s="692" t="str">
        <f>IF(N35="","",COUNTIF($P$10:$P$256,"&lt;"&amp;P35)+COUNTIF($P$10:P35,P35))</f>
        <v/>
      </c>
      <c r="M35" s="692" t="str">
        <f>IF(Ingredient_prices!E29=M34,"",Ingredient_prices!E29)</f>
        <v>Bun with cheese</v>
      </c>
      <c r="N35" s="693" t="str">
        <f>_xlfn.IFNA(VLOOKUP($M35,Sedmica_1_količina_sva_sastojak!$C:$F,4,FALSE),"")</f>
        <v/>
      </c>
      <c r="O35" s="696" t="str">
        <f>IF(N35="","",COUNTIF($P$10:$P$256,"&lt;"&amp;P35)+COUNTIF($P$10:P35,P35))</f>
        <v/>
      </c>
      <c r="P35" s="694" t="str">
        <f t="shared" si="6"/>
        <v/>
      </c>
    </row>
    <row r="36" spans="1:16">
      <c r="A36" s="470">
        <v>27</v>
      </c>
      <c r="B36" s="1248" t="str">
        <f>IF($B$8=1,_xlfn.IFNA(VLOOKUP($A36,$L:$N,2,FALSE),""),_xlfn.IFNA(VLOOKUP($A36,Sedmica_2_količina_namirnica!$L:$N,2,FALSE),""))</f>
        <v>Pork neck, dried meat</v>
      </c>
      <c r="C36" s="448">
        <f>IF($B$8=1,_xlfn.IFNA(VLOOKUP($A36,$L:$N,3,FALSE)-0.0001,""),_xlfn.IFNA(VLOOKUP($A36,Sedmica_2_količina_namirnica!$L:$N,3,FALSE)-0.0001,""))</f>
        <v>3.2998999999999996</v>
      </c>
      <c r="D36" s="446">
        <f>IF(B36="Jaje kokošje, celo",IF(C36=INT(C36),C36,C36+1),IF(B36=""," ",_xlfn.IFNA(INT(C36*1000/(VLOOKUP($B36,Ingredient_prices!$E:$J,6,FALSE)))+1,"nije nabavljen")))</f>
        <v>4</v>
      </c>
      <c r="E36" s="446" t="str">
        <f>IF(C36="","",VLOOKUP($B36,Ingredient_prices!$E:$K,7,FALSE))</f>
        <v>кг</v>
      </c>
      <c r="F36" s="462">
        <f>IF(C36="","",IFERROR(IF(OR(E36="кг",E36="л"),VLOOKUP($B36,Ingredient_prices!$E:$V,16,FALSE)*D36,(VLOOKUP($B36,Ingredient_prices!$E:$P,12,FALSE)*D36)),""))</f>
        <v>1488</v>
      </c>
      <c r="G36" s="450" t="str">
        <f>IF(C36="","",_xlfn.IFNA(MID(VLOOKUP($B36,Ingredient_prices!$E:$F,2,FALSE),9,2),""))</f>
        <v>2</v>
      </c>
      <c r="H36" s="447" t="str">
        <f>_xlfn.IFNA(VLOOKUP(CONCATENATE($I$9,$G36),Ingredient_prices!$G:$N,8,FALSE),"")</f>
        <v>КомерцПродукт</v>
      </c>
      <c r="I36" s="548">
        <f t="shared" si="2"/>
        <v>4</v>
      </c>
      <c r="J36" s="695" t="str">
        <f>IF(N36="","",MID(Ingredient_prices!F30,9,2))</f>
        <v/>
      </c>
      <c r="K36" s="692" t="str">
        <f t="shared" si="5"/>
        <v/>
      </c>
      <c r="L36" s="692" t="str">
        <f>IF(N36="","",COUNTIF($P$10:$P$256,"&lt;"&amp;P36)+COUNTIF($P$10:P36,P36))</f>
        <v/>
      </c>
      <c r="M36" s="692" t="str">
        <f>IF(Ingredient_prices!E30=M35,"",Ingredient_prices!E30)</f>
        <v/>
      </c>
      <c r="N36" s="693" t="str">
        <f>_xlfn.IFNA(VLOOKUP($M36,Sedmica_1_količina_sva_sastojak!$C:$F,4,FALSE),"")</f>
        <v/>
      </c>
      <c r="O36" s="696" t="str">
        <f>IF(N36="","",COUNTIF($P$10:$P$256,"&lt;"&amp;P36)+COUNTIF($P$10:P36,P36))</f>
        <v/>
      </c>
      <c r="P36" s="694" t="str">
        <f t="shared" si="6"/>
        <v/>
      </c>
    </row>
    <row r="37" spans="1:16">
      <c r="A37" s="470">
        <v>28</v>
      </c>
      <c r="B37" s="1248" t="str">
        <f>IF($B$8=1,_xlfn.IFNA(VLOOKUP($A37,$L:$N,2,FALSE),""),_xlfn.IFNA(VLOOKUP($A37,Sedmica_2_količina_namirnica!$L:$N,2,FALSE),""))</f>
        <v>Fresh cheese</v>
      </c>
      <c r="C37" s="448">
        <f>IF($B$8=1,_xlfn.IFNA(VLOOKUP($A37,$L:$N,3,FALSE)-0.0001,""),_xlfn.IFNA(VLOOKUP($A37,Sedmica_2_količina_namirnica!$L:$N,3,FALSE)-0.0001,""))</f>
        <v>2.7499000000000002</v>
      </c>
      <c r="D37" s="446">
        <f>IF(B37="Jaje kokošje, celo",IF(C37=INT(C37),C37,C37+1),IF(B37=""," ",_xlfn.IFNA(INT(C37*1000/(VLOOKUP($B37,Ingredient_prices!$E:$J,6,FALSE)))+1,"nije nabavljen")))</f>
        <v>6</v>
      </c>
      <c r="E37" s="446" t="str">
        <f>IF(C37="","",VLOOKUP($B37,Ingredient_prices!$E:$K,7,FALSE))</f>
        <v>ком</v>
      </c>
      <c r="F37" s="462">
        <f>IF(C37="","",IFERROR(IF(OR(E37="кг",E37="л"),VLOOKUP($B37,Ingredient_prices!$E:$V,16,FALSE)*D37,(VLOOKUP($B37,Ingredient_prices!$E:$P,12,FALSE)*D37)),""))</f>
        <v>1404</v>
      </c>
      <c r="G37" s="450" t="str">
        <f>IF(C37="","",_xlfn.IFNA(MID(VLOOKUP($B37,Ingredient_prices!$E:$F,2,FALSE),9,2),""))</f>
        <v>2</v>
      </c>
      <c r="H37" s="447" t="str">
        <f>_xlfn.IFNA(VLOOKUP(CONCATENATE($I$9,$G37),Ingredient_prices!$G:$N,8,FALSE),"")</f>
        <v>КомерцПродукт</v>
      </c>
      <c r="I37" s="548">
        <f t="shared" si="2"/>
        <v>6</v>
      </c>
      <c r="J37" s="695" t="str">
        <f>IF(N37="","",MID(Ingredient_prices!F31,9,2))</f>
        <v>2</v>
      </c>
      <c r="K37" s="692">
        <f t="shared" si="5"/>
        <v>23</v>
      </c>
      <c r="L37" s="692">
        <f>IF(N37="","",COUNTIF($P$10:$P$256,"&lt;"&amp;P37)+COUNTIF($P$10:P37,P37))</f>
        <v>28</v>
      </c>
      <c r="M37" s="692" t="str">
        <f>IF(Ingredient_prices!E31=M36,"",Ingredient_prices!E31)</f>
        <v>Cow's milk 2.8% fat</v>
      </c>
      <c r="N37" s="693">
        <f>_xlfn.IFNA(VLOOKUP($M37,Sedmica_1_količina_sva_sastojak!$C:$F,4,FALSE),"")</f>
        <v>4.4000000000000004</v>
      </c>
      <c r="O37" s="696">
        <f>IF(N37="","",COUNTIF($P$10:$P$256,"&lt;"&amp;P37)+COUNTIF($P$10:P37,P37))</f>
        <v>28</v>
      </c>
      <c r="P37" s="694">
        <f t="shared" si="6"/>
        <v>223</v>
      </c>
    </row>
    <row r="38" spans="1:16">
      <c r="A38" s="470">
        <v>29</v>
      </c>
      <c r="B38" s="1248" t="str">
        <f>IF($B$8=1,_xlfn.IFNA(VLOOKUP($A38,$L:$N,2,FALSE),""),_xlfn.IFNA(VLOOKUP($A38,Sedmica_2_količina_namirnica!$L:$N,2,FALSE),""))</f>
        <v>Euro cream</v>
      </c>
      <c r="C38" s="448">
        <f>IF($B$8=1,_xlfn.IFNA(VLOOKUP($A38,$L:$N,3,FALSE)-0.0001,""),_xlfn.IFNA(VLOOKUP($A38,Sedmica_2_količina_namirnica!$L:$N,3,FALSE)-0.0001,""))</f>
        <v>2.7499000000000002</v>
      </c>
      <c r="D38" s="446">
        <f>IF(B38="Jaje kokošje, celo",IF(C38=INT(C38),C38,C38+1),IF(B38=""," ",_xlfn.IFNA(INT(C38*1000/(VLOOKUP($B38,Ingredient_prices!$E:$J,6,FALSE)))+1,"nije nabavljen")))</f>
        <v>2</v>
      </c>
      <c r="E38" s="446" t="str">
        <f>IF(C38="","",VLOOKUP($B38,Ingredient_prices!$E:$K,7,FALSE))</f>
        <v>ком</v>
      </c>
      <c r="F38" s="462">
        <f>IF(C38="","",IFERROR(IF(OR(E38="кг",E38="л"),VLOOKUP($B38,Ingredient_prices!$E:$V,16,FALSE)*D38,(VLOOKUP($B38,Ingredient_prices!$E:$P,12,FALSE)*D38)),""))</f>
        <v>2592</v>
      </c>
      <c r="G38" s="450" t="str">
        <f>IF(C38="","",_xlfn.IFNA(MID(VLOOKUP($B38,Ingredient_prices!$E:$F,2,FALSE),9,2),""))</f>
        <v>2</v>
      </c>
      <c r="H38" s="447" t="str">
        <f>_xlfn.IFNA(VLOOKUP(CONCATENATE($I$9,$G38),Ingredient_prices!$G:$N,8,FALSE),"")</f>
        <v>КомерцПродукт</v>
      </c>
      <c r="I38" s="548">
        <f t="shared" si="2"/>
        <v>2</v>
      </c>
      <c r="J38" s="695" t="str">
        <f>IF(N38="","",MID(Ingredient_prices!F32,9,2))</f>
        <v/>
      </c>
      <c r="K38" s="692" t="str">
        <f t="shared" si="5"/>
        <v/>
      </c>
      <c r="L38" s="692" t="str">
        <f>IF(N38="","",COUNTIF($P$10:$P$256,"&lt;"&amp;P38)+COUNTIF($P$10:P38,P38))</f>
        <v/>
      </c>
      <c r="M38" s="692" t="str">
        <f>IF(Ingredient_prices!E32=M37,"",Ingredient_prices!E32)</f>
        <v>Cow's milk 3.2% fat</v>
      </c>
      <c r="N38" s="693" t="str">
        <f>_xlfn.IFNA(VLOOKUP($M38,Sedmica_1_količina_sva_sastojak!$C:$F,4,FALSE),"")</f>
        <v/>
      </c>
      <c r="O38" s="696" t="str">
        <f>IF(N38="","",COUNTIF($P$10:$P$256,"&lt;"&amp;P38)+COUNTIF($P$10:P38,P38))</f>
        <v/>
      </c>
      <c r="P38" s="694" t="str">
        <f t="shared" si="6"/>
        <v/>
      </c>
    </row>
    <row r="39" spans="1:16">
      <c r="A39" s="470">
        <v>30</v>
      </c>
      <c r="B39" s="1248" t="str">
        <f>IF($B$8=1,_xlfn.IFNA(VLOOKUP($A39,$L:$N,2,FALSE),""),_xlfn.IFNA(VLOOKUP($A39,Sedmica_2_količina_namirnica!$L:$N,2,FALSE),""))</f>
        <v>Cedevita orange</v>
      </c>
      <c r="C39" s="448">
        <f>IF($B$8=1,_xlfn.IFNA(VLOOKUP($A39,$L:$N,3,FALSE)-0.0001,""),_xlfn.IFNA(VLOOKUP($A39,Sedmica_2_količina_namirnica!$L:$N,3,FALSE)-0.0001,""))</f>
        <v>2.7499000000000002</v>
      </c>
      <c r="D39" s="446">
        <f>IF(B39="Jaje kokošje, celo",IF(C39=INT(C39),C39,C39+1),IF(B39=""," ",_xlfn.IFNA(INT(C39*1000/(VLOOKUP($B39,Ingredient_prices!$E:$J,6,FALSE)))+1,"nije nabavljen")))</f>
        <v>3</v>
      </c>
      <c r="E39" s="446" t="str">
        <f>IF(C39="","",VLOOKUP($B39,Ingredient_prices!$E:$K,7,FALSE))</f>
        <v>ком</v>
      </c>
      <c r="F39" s="462">
        <f>IF(C39="","",IFERROR(IF(OR(E39="кг",E39="л"),VLOOKUP($B39,Ingredient_prices!$E:$V,16,FALSE)*D39,(VLOOKUP($B39,Ingredient_prices!$E:$P,12,FALSE)*D39)),""))</f>
        <v>1692</v>
      </c>
      <c r="G39" s="450" t="str">
        <f>IF(C39="","",_xlfn.IFNA(MID(VLOOKUP($B39,Ingredient_prices!$E:$F,2,FALSE),9,2),""))</f>
        <v>2</v>
      </c>
      <c r="H39" s="447" t="str">
        <f>_xlfn.IFNA(VLOOKUP(CONCATENATE($I$9,$G39),Ingredient_prices!$G:$N,8,FALSE),"")</f>
        <v>КомерцПродукт</v>
      </c>
      <c r="I39" s="548">
        <f t="shared" si="2"/>
        <v>3</v>
      </c>
      <c r="J39" s="695" t="str">
        <f>IF(N39="","",MID(Ingredient_prices!F33,9,2))</f>
        <v/>
      </c>
      <c r="K39" s="692" t="str">
        <f t="shared" si="5"/>
        <v/>
      </c>
      <c r="L39" s="692" t="str">
        <f>IF(N39="","",COUNTIF($P$10:$P$256,"&lt;"&amp;P39)+COUNTIF($P$10:P39,P39))</f>
        <v/>
      </c>
      <c r="M39" s="692" t="str">
        <f>IF(Ingredient_prices!E33=M38,"",Ingredient_prices!E33)</f>
        <v>Sour milk, 2.8% fat</v>
      </c>
      <c r="N39" s="693" t="str">
        <f>_xlfn.IFNA(VLOOKUP($M39,Sedmica_1_količina_sva_sastojak!$C:$F,4,FALSE),"")</f>
        <v/>
      </c>
      <c r="O39" s="696" t="str">
        <f>IF(N39="","",COUNTIF($P$10:$P$256,"&lt;"&amp;P39)+COUNTIF($P$10:P39,P39))</f>
        <v/>
      </c>
      <c r="P39" s="694" t="str">
        <f t="shared" si="6"/>
        <v/>
      </c>
    </row>
    <row r="40" spans="1:16">
      <c r="A40" s="470">
        <v>31</v>
      </c>
      <c r="B40" s="1248" t="str">
        <f>IF($B$8=1,_xlfn.IFNA(VLOOKUP($A40,$L:$N,2,FALSE),""),_xlfn.IFNA(VLOOKUP($A40,Sedmica_2_količina_namirnica!$L:$N,2,FALSE),""))</f>
        <v>Cedevita lemon</v>
      </c>
      <c r="C40" s="448">
        <f>IF($B$8=1,_xlfn.IFNA(VLOOKUP($A40,$L:$N,3,FALSE)-0.0001,""),_xlfn.IFNA(VLOOKUP($A40,Sedmica_2_količina_namirnica!$L:$N,3,FALSE)-0.0001,""))</f>
        <v>2.7499000000000002</v>
      </c>
      <c r="D40" s="446">
        <f>IF(B40="Jaje kokošje, celo",IF(C40=INT(C40),C40,C40+1),IF(B40=""," ",_xlfn.IFNA(INT(C40*1000/(VLOOKUP($B40,Ingredient_prices!$E:$J,6,FALSE)))+1,"nije nabavljen")))</f>
        <v>3</v>
      </c>
      <c r="E40" s="446" t="str">
        <f>IF(C40="","",VLOOKUP($B40,Ingredient_prices!$E:$K,7,FALSE))</f>
        <v>ком</v>
      </c>
      <c r="F40" s="462">
        <f>IF(C40="","",IFERROR(IF(OR(E40="кг",E40="л"),VLOOKUP($B40,Ingredient_prices!$E:$V,16,FALSE)*D40,(VLOOKUP($B40,Ingredient_prices!$E:$P,12,FALSE)*D40)),""))</f>
        <v>1692</v>
      </c>
      <c r="G40" s="450" t="str">
        <f>IF(C40="","",_xlfn.IFNA(MID(VLOOKUP($B40,Ingredient_prices!$E:$F,2,FALSE),9,2),""))</f>
        <v>2</v>
      </c>
      <c r="H40" s="447" t="str">
        <f>_xlfn.IFNA(VLOOKUP(CONCATENATE($I$9,$G40),Ingredient_prices!$G:$N,8,FALSE),"")</f>
        <v>КомерцПродукт</v>
      </c>
      <c r="I40" s="548">
        <f t="shared" si="2"/>
        <v>3</v>
      </c>
      <c r="J40" s="695" t="str">
        <f>IF(N40="","",MID(Ingredient_prices!F34,9,2))</f>
        <v/>
      </c>
      <c r="K40" s="692" t="str">
        <f t="shared" si="5"/>
        <v/>
      </c>
      <c r="L40" s="692" t="str">
        <f>IF(N40="","",COUNTIF($P$10:$P$256,"&lt;"&amp;P40)+COUNTIF($P$10:P40,P40))</f>
        <v/>
      </c>
      <c r="M40" s="692" t="str">
        <f>IF(Ingredient_prices!E34=M39,"",Ingredient_prices!E34)</f>
        <v>Yogurt 2.8% fat (less than 1 l)</v>
      </c>
      <c r="N40" s="693" t="str">
        <f>_xlfn.IFNA(VLOOKUP($M40,Sedmica_1_količina_sva_sastojak!$C:$F,4,FALSE),"")</f>
        <v/>
      </c>
      <c r="O40" s="696" t="str">
        <f>IF(N40="","",COUNTIF($P$10:$P$256,"&lt;"&amp;P40)+COUNTIF($P$10:P40,P40))</f>
        <v/>
      </c>
      <c r="P40" s="694" t="str">
        <f t="shared" si="6"/>
        <v/>
      </c>
    </row>
    <row r="41" spans="1:16">
      <c r="A41" s="470">
        <v>32</v>
      </c>
      <c r="B41" s="1248" t="str">
        <f>IF($B$8=1,_xlfn.IFNA(VLOOKUP($A41,$L:$N,2,FALSE),""),_xlfn.IFNA(VLOOKUP($A41,Sedmica_2_količina_namirnica!$L:$N,2,FALSE),""))</f>
        <v>Sugar granulated</v>
      </c>
      <c r="C41" s="448">
        <f>IF($B$8=1,_xlfn.IFNA(VLOOKUP($A41,$L:$N,3,FALSE)-0.0001,""),_xlfn.IFNA(VLOOKUP($A41,Sedmica_2_količina_namirnica!$L:$N,3,FALSE)-0.0001,""))</f>
        <v>2.4199000000000002</v>
      </c>
      <c r="D41" s="446">
        <f>IF(B41="Jaje kokošje, celo",IF(C41=INT(C41),C41,C41+1),IF(B41=""," ",_xlfn.IFNA(INT(C41*1000/(VLOOKUP($B41,Ingredient_prices!$E:$J,6,FALSE)))+1,"nije nabavljen")))</f>
        <v>1</v>
      </c>
      <c r="E41" s="446" t="str">
        <f>IF(C41="","",VLOOKUP($B41,Ingredient_prices!$E:$K,7,FALSE))</f>
        <v>ком</v>
      </c>
      <c r="F41" s="462">
        <f>IF(C41="","",IFERROR(IF(OR(E41="кг",E41="л"),VLOOKUP($B41,Ingredient_prices!$E:$V,16,FALSE)*D41,(VLOOKUP($B41,Ingredient_prices!$E:$P,12,FALSE)*D41)),""))</f>
        <v>1688.5</v>
      </c>
      <c r="G41" s="450" t="str">
        <f>IF(C41="","",_xlfn.IFNA(MID(VLOOKUP($B41,Ingredient_prices!$E:$F,2,FALSE),9,2),""))</f>
        <v>2</v>
      </c>
      <c r="H41" s="447" t="str">
        <f>_xlfn.IFNA(VLOOKUP(CONCATENATE($I$9,$G41),Ingredient_prices!$G:$N,8,FALSE),"")</f>
        <v>КомерцПродукт</v>
      </c>
      <c r="I41" s="548">
        <f t="shared" si="2"/>
        <v>1</v>
      </c>
      <c r="J41" s="695" t="str">
        <f>IF(N41="","",MID(Ingredient_prices!F35,9,2))</f>
        <v>2</v>
      </c>
      <c r="K41" s="692">
        <f t="shared" si="5"/>
        <v>4</v>
      </c>
      <c r="L41" s="692">
        <f>IF(N41="","",COUNTIF($P$10:$P$256,"&lt;"&amp;P41)+COUNTIF($P$10:P41,P41))</f>
        <v>9</v>
      </c>
      <c r="M41" s="692" t="str">
        <f>IF(Ingredient_prices!E35=M40,"",Ingredient_prices!E35)</f>
        <v>Yogurt 3.2% fat (at least 1 l)</v>
      </c>
      <c r="N41" s="693">
        <f>_xlfn.IFNA(VLOOKUP($M41,Sedmica_1_količina_sva_sastojak!$C:$F,4,FALSE),"")</f>
        <v>34.760000000000005</v>
      </c>
      <c r="O41" s="696">
        <f>IF(N41="","",COUNTIF($P$10:$P$256,"&lt;"&amp;P41)+COUNTIF($P$10:P41,P41))</f>
        <v>9</v>
      </c>
      <c r="P41" s="694">
        <f t="shared" si="6"/>
        <v>24</v>
      </c>
    </row>
    <row r="42" spans="1:16">
      <c r="A42" s="470">
        <v>33</v>
      </c>
      <c r="B42" s="1248" t="str">
        <f>IF($B$8=1,_xlfn.IFNA(VLOOKUP($A42,$L:$N,2,FALSE),""),_xlfn.IFNA(VLOOKUP($A42,Sedmica_2_količina_namirnica!$L:$N,2,FALSE),""))</f>
        <v>Cheese, hard 35% fat</v>
      </c>
      <c r="C42" s="448">
        <f>IF($B$8=1,_xlfn.IFNA(VLOOKUP($A42,$L:$N,3,FALSE)-0.0001,""),_xlfn.IFNA(VLOOKUP($A42,Sedmica_2_količina_namirnica!$L:$N,3,FALSE)-0.0001,""))</f>
        <v>2.1999</v>
      </c>
      <c r="D42" s="446">
        <f>IF(B42="Jaje kokošje, celo",IF(C42=INT(C42),C42,C42+1),IF(B42=""," ",_xlfn.IFNA(INT(C42*1000/(VLOOKUP($B42,Ingredient_prices!$E:$J,6,FALSE)))+1,"nije nabavljen")))</f>
        <v>3</v>
      </c>
      <c r="E42" s="446" t="str">
        <f>IF(C42="","",VLOOKUP($B42,Ingredient_prices!$E:$K,7,FALSE))</f>
        <v>кг</v>
      </c>
      <c r="F42" s="462">
        <f>IF(C42="","",IFERROR(IF(OR(E42="кг",E42="л"),VLOOKUP($B42,Ingredient_prices!$E:$V,16,FALSE)*D42,(VLOOKUP($B42,Ingredient_prices!$E:$P,12,FALSE)*D42)),""))</f>
        <v>1710</v>
      </c>
      <c r="G42" s="450" t="str">
        <f>IF(C42="","",_xlfn.IFNA(MID(VLOOKUP($B42,Ingredient_prices!$E:$F,2,FALSE),9,2),""))</f>
        <v>2</v>
      </c>
      <c r="H42" s="447" t="str">
        <f>_xlfn.IFNA(VLOOKUP(CONCATENATE($I$9,$G42),Ingredient_prices!$G:$N,8,FALSE),"")</f>
        <v>КомерцПродукт</v>
      </c>
      <c r="I42" s="548">
        <f>IFERROR(IF(MOD(D42,1)&gt;0.5,1+D42-MOD(D42,1),D42-MOD(D42,1)),"")</f>
        <v>3</v>
      </c>
      <c r="J42" s="695" t="str">
        <f>IF(N42="","",MID(Ingredient_prices!F36,9,2))</f>
        <v/>
      </c>
      <c r="K42" s="692" t="str">
        <f t="shared" si="5"/>
        <v/>
      </c>
      <c r="L42" s="692" t="str">
        <f>IF(N42="","",COUNTIF($P$10:$P$256,"&lt;"&amp;P42)+COUNTIF($P$10:P42,P42))</f>
        <v/>
      </c>
      <c r="M42" s="692" t="str">
        <f>IF(Ingredient_prices!E36=M41,"",Ingredient_prices!E36)</f>
        <v>Fruit yogurt, low-fat</v>
      </c>
      <c r="N42" s="693" t="str">
        <f>_xlfn.IFNA(VLOOKUP($M42,Sedmica_1_količina_sva_sastojak!$C:$F,4,FALSE),"")</f>
        <v/>
      </c>
      <c r="O42" s="696" t="str">
        <f>IF(N42="","",COUNTIF($P$10:$P$256,"&lt;"&amp;P42)+COUNTIF($P$10:P42,P42))</f>
        <v/>
      </c>
      <c r="P42" s="694" t="str">
        <f t="shared" si="6"/>
        <v/>
      </c>
    </row>
    <row r="43" spans="1:16">
      <c r="A43" s="470">
        <v>34</v>
      </c>
      <c r="B43" s="1248" t="str">
        <f>IF($B$8=1,_xlfn.IFNA(VLOOKUP($A43,$L:$N,2,FALSE),""),_xlfn.IFNA(VLOOKUP($A43,Sedmica_2_količina_namirnica!$L:$N,2,FALSE),""))</f>
        <v>Ham for pizza</v>
      </c>
      <c r="C43" s="448">
        <f>IF($B$8=1,_xlfn.IFNA(VLOOKUP($A43,$L:$N,3,FALSE)-0.0001,""),_xlfn.IFNA(VLOOKUP($A43,Sedmica_2_količina_namirnica!$L:$N,3,FALSE)-0.0001,""))</f>
        <v>2.1999</v>
      </c>
      <c r="D43" s="446">
        <f>IF(B43="Jaje kokošje, celo",IF(C43=INT(C43),C43,C43+1),IF(B43=""," ",_xlfn.IFNA(INT(C43*1000/(VLOOKUP($B43,Ingredient_prices!$E:$J,6,FALSE)))+1,"nije nabavljen")))</f>
        <v>3</v>
      </c>
      <c r="E43" s="446" t="str">
        <f>IF(C43="","",VLOOKUP($B43,Ingredient_prices!$E:$K,7,FALSE))</f>
        <v>кг</v>
      </c>
      <c r="F43" s="462">
        <f>IF(C43="","",IFERROR(IF(OR(E43="кг",E43="л"),VLOOKUP($B43,Ingredient_prices!$E:$V,16,FALSE)*D43,(VLOOKUP($B43,Ingredient_prices!$E:$P,12,FALSE)*D43)),""))</f>
        <v>900</v>
      </c>
      <c r="G43" s="450" t="str">
        <f>IF(C43="","",_xlfn.IFNA(MID(VLOOKUP($B43,Ingredient_prices!$E:$F,2,FALSE),9,2),""))</f>
        <v>2</v>
      </c>
      <c r="H43" s="447" t="str">
        <f>_xlfn.IFNA(VLOOKUP(CONCATENATE($I$9,$G43),Ingredient_prices!$G:$N,8,FALSE),"")</f>
        <v>КомерцПродукт</v>
      </c>
      <c r="I43" s="548">
        <f t="shared" ref="I43:I106" si="7">IFERROR(IF(MOD(D43,1)&gt;0.5,1+D43-MOD(D43,1),D43-MOD(D43,1)),"")</f>
        <v>3</v>
      </c>
      <c r="J43" s="695" t="str">
        <f>IF(N43="","",MID(Ingredient_prices!F37,9,2))</f>
        <v/>
      </c>
      <c r="K43" s="692" t="str">
        <f t="shared" si="5"/>
        <v/>
      </c>
      <c r="L43" s="692" t="str">
        <f>IF(N43="","",COUNTIF($P$10:$P$256,"&lt;"&amp;P43)+COUNTIF($P$10:P43,P43))</f>
        <v/>
      </c>
      <c r="M43" s="692" t="str">
        <f>IF(Ingredient_prices!E37=M42,"",Ingredient_prices!E37)</f>
        <v>Fruit yogurt</v>
      </c>
      <c r="N43" s="693" t="str">
        <f>_xlfn.IFNA(VLOOKUP($M43,Sedmica_1_količina_sva_sastojak!$C:$F,4,FALSE),"")</f>
        <v/>
      </c>
      <c r="O43" s="696" t="str">
        <f>IF(N43="","",COUNTIF($P$10:$P$256,"&lt;"&amp;P43)+COUNTIF($P$10:P43,P43))</f>
        <v/>
      </c>
      <c r="P43" s="694" t="str">
        <f t="shared" si="6"/>
        <v/>
      </c>
    </row>
    <row r="44" spans="1:16">
      <c r="A44" s="470">
        <v>35</v>
      </c>
      <c r="B44" s="1248" t="str">
        <f>IF($B$8=1,_xlfn.IFNA(VLOOKUP($A44,$L:$N,2,FALSE),""),_xlfn.IFNA(VLOOKUP($A44,Sedmica_2_količina_namirnica!$L:$N,2,FALSE),""))</f>
        <v>Cauliflower</v>
      </c>
      <c r="C44" s="448">
        <f>IF($B$8=1,_xlfn.IFNA(VLOOKUP($A44,$L:$N,3,FALSE)-0.0001,""),_xlfn.IFNA(VLOOKUP($A44,Sedmica_2_količina_namirnica!$L:$N,3,FALSE)-0.0001,""))</f>
        <v>2.1999</v>
      </c>
      <c r="D44" s="446">
        <f>IF(B44="Jaje kokošje, celo",IF(C44=INT(C44),C44,C44+1),IF(B44=""," ",_xlfn.IFNA(INT(C44*1000/(VLOOKUP($B44,Ingredient_prices!$E:$J,6,FALSE)))+1,"nije nabavljen")))</f>
        <v>3</v>
      </c>
      <c r="E44" s="446" t="str">
        <f>IF(C44="","",VLOOKUP($B44,Ingredient_prices!$E:$K,7,FALSE))</f>
        <v>кг</v>
      </c>
      <c r="F44" s="462">
        <f>IF(C44="","",IFERROR(IF(OR(E44="кг",E44="л"),VLOOKUP($B44,Ingredient_prices!$E:$V,16,FALSE)*D44,(VLOOKUP($B44,Ingredient_prices!$E:$P,12,FALSE)*D44)),""))</f>
        <v>900</v>
      </c>
      <c r="G44" s="450" t="str">
        <f>IF(C44="","",_xlfn.IFNA(MID(VLOOKUP($B44,Ingredient_prices!$E:$F,2,FALSE),9,2),""))</f>
        <v>2</v>
      </c>
      <c r="H44" s="447" t="str">
        <f>_xlfn.IFNA(VLOOKUP(CONCATENATE($I$9,$G44),Ingredient_prices!$G:$N,8,FALSE),"")</f>
        <v>КомерцПродукт</v>
      </c>
      <c r="I44" s="548">
        <f t="shared" si="7"/>
        <v>3</v>
      </c>
      <c r="J44" s="695" t="str">
        <f>IF(N44="","",MID(Ingredient_prices!F38,9,2))</f>
        <v/>
      </c>
      <c r="K44" s="692" t="str">
        <f t="shared" si="5"/>
        <v/>
      </c>
      <c r="L44" s="692" t="str">
        <f>IF(N44="","",COUNTIF($P$10:$P$256,"&lt;"&amp;P44)+COUNTIF($P$10:P44,P44))</f>
        <v/>
      </c>
      <c r="M44" s="692" t="str">
        <f>IF(Ingredient_prices!E38=M43,"",Ingredient_prices!E38)</f>
        <v>Chocolate milk 1% fat (at least 1 l)</v>
      </c>
      <c r="N44" s="693" t="str">
        <f>_xlfn.IFNA(VLOOKUP($M44,Sedmica_1_količina_sva_sastojak!$C:$F,4,FALSE),"")</f>
        <v/>
      </c>
      <c r="O44" s="696" t="str">
        <f>IF(N44="","",COUNTIF($P$10:$P$256,"&lt;"&amp;P44)+COUNTIF($P$10:P44,P44))</f>
        <v/>
      </c>
      <c r="P44" s="694" t="str">
        <f t="shared" si="6"/>
        <v/>
      </c>
    </row>
    <row r="45" spans="1:16">
      <c r="A45" s="470">
        <v>36</v>
      </c>
      <c r="B45" s="1248" t="str">
        <f>IF($B$8=1,_xlfn.IFNA(VLOOKUP($A45,$L:$N,2,FALSE),""),_xlfn.IFNA(VLOOKUP($A45,Sedmica_2_količina_namirnica!$L:$N,2,FALSE),""))</f>
        <v>Tomato puree</v>
      </c>
      <c r="C45" s="448">
        <f>IF($B$8=1,_xlfn.IFNA(VLOOKUP($A45,$L:$N,3,FALSE)-0.0001,""),_xlfn.IFNA(VLOOKUP($A45,Sedmica_2_količina_namirnica!$L:$N,3,FALSE)-0.0001,""))</f>
        <v>2.1999</v>
      </c>
      <c r="D45" s="446">
        <f>IF(B45="Jaje kokošje, celo",IF(C45=INT(C45),C45,C45+1),IF(B45=""," ",_xlfn.IFNA(INT(C45*1000/(VLOOKUP($B45,Ingredient_prices!$E:$J,6,FALSE)))+1,"nije nabavljen")))</f>
        <v>1</v>
      </c>
      <c r="E45" s="446" t="str">
        <f>IF(C45="","",VLOOKUP($B45,Ingredient_prices!$E:$K,7,FALSE))</f>
        <v>ком</v>
      </c>
      <c r="F45" s="462">
        <f>IF(C45="","",IFERROR(IF(OR(E45="кг",E45="л"),VLOOKUP($B45,Ingredient_prices!$E:$V,16,FALSE)*D45,(VLOOKUP($B45,Ingredient_prices!$E:$P,12,FALSE)*D45)),""))</f>
        <v>720</v>
      </c>
      <c r="G45" s="450" t="str">
        <f>IF(C45="","",_xlfn.IFNA(MID(VLOOKUP($B45,Ingredient_prices!$E:$F,2,FALSE),9,2),""))</f>
        <v>2</v>
      </c>
      <c r="H45" s="447" t="str">
        <f>_xlfn.IFNA(VLOOKUP(CONCATENATE($I$9,$G45),Ingredient_prices!$G:$N,8,FALSE),"")</f>
        <v>КомерцПродукт</v>
      </c>
      <c r="I45" s="548">
        <f t="shared" si="7"/>
        <v>1</v>
      </c>
      <c r="J45" s="695" t="str">
        <f>IF(N45="","",MID(Ingredient_prices!F39,9,2))</f>
        <v/>
      </c>
      <c r="K45" s="692" t="str">
        <f t="shared" si="5"/>
        <v/>
      </c>
      <c r="L45" s="692" t="str">
        <f>IF(N45="","",COUNTIF($P$10:$P$256,"&lt;"&amp;P45)+COUNTIF($P$10:P45,P45))</f>
        <v/>
      </c>
      <c r="M45" s="692" t="str">
        <f>IF(Ingredient_prices!E39=M44,"",Ingredient_prices!E39)</f>
        <v>Chocolate milk 1% fat (less than 1 l)</v>
      </c>
      <c r="N45" s="693" t="str">
        <f>_xlfn.IFNA(VLOOKUP($M45,Sedmica_1_količina_sva_sastojak!$C:$F,4,FALSE),"")</f>
        <v/>
      </c>
      <c r="O45" s="696" t="str">
        <f>IF(N45="","",COUNTIF($P$10:$P$256,"&lt;"&amp;P45)+COUNTIF($P$10:P45,P45))</f>
        <v/>
      </c>
      <c r="P45" s="694" t="str">
        <f t="shared" si="6"/>
        <v/>
      </c>
    </row>
    <row r="46" spans="1:16">
      <c r="A46" s="470">
        <v>37</v>
      </c>
      <c r="B46" s="1248" t="str">
        <f>IF($B$8=1,_xlfn.IFNA(VLOOKUP($A46,$L:$N,2,FALSE),""),_xlfn.IFNA(VLOOKUP($A46,Sedmica_2_količina_namirnica!$L:$N,2,FALSE),""))</f>
        <v>Ketchup</v>
      </c>
      <c r="C46" s="448">
        <f>IF($B$8=1,_xlfn.IFNA(VLOOKUP($A46,$L:$N,3,FALSE)-0.0001,""),_xlfn.IFNA(VLOOKUP($A46,Sedmica_2_količina_namirnica!$L:$N,3,FALSE)-0.0001,""))</f>
        <v>2.1999</v>
      </c>
      <c r="D46" s="446">
        <f>IF(B46="Jaje kokošje, celo",IF(C46=INT(C46),C46,C46+1),IF(B46=""," ",_xlfn.IFNA(INT(C46*1000/(VLOOKUP($B46,Ingredient_prices!$E:$J,6,FALSE)))+1,"nije nabavljen")))</f>
        <v>3</v>
      </c>
      <c r="E46" s="446" t="str">
        <f>IF(C46="","",VLOOKUP($B46,Ingredient_prices!$E:$K,7,FALSE))</f>
        <v>ком</v>
      </c>
      <c r="F46" s="462">
        <f>IF(C46="","",IFERROR(IF(OR(E46="кг",E46="л"),VLOOKUP($B46,Ingredient_prices!$E:$V,16,FALSE)*D46,(VLOOKUP($B46,Ingredient_prices!$E:$P,12,FALSE)*D46)),""))</f>
        <v>331.20000000000005</v>
      </c>
      <c r="G46" s="450" t="str">
        <f>IF(C46="","",_xlfn.IFNA(MID(VLOOKUP($B46,Ingredient_prices!$E:$F,2,FALSE),9,2),""))</f>
        <v>2</v>
      </c>
      <c r="H46" s="447" t="str">
        <f>_xlfn.IFNA(VLOOKUP(CONCATENATE($I$9,$G46),Ingredient_prices!$G:$N,8,FALSE),"")</f>
        <v>КомерцПродукт</v>
      </c>
      <c r="I46" s="548">
        <f t="shared" si="7"/>
        <v>3</v>
      </c>
      <c r="J46" s="695" t="str">
        <f>IF(N46="","",MID(Ingredient_prices!F40,9,2))</f>
        <v>2</v>
      </c>
      <c r="K46" s="692">
        <f t="shared" si="5"/>
        <v>23</v>
      </c>
      <c r="L46" s="692">
        <f>IF(N46="","",COUNTIF($P$10:$P$256,"&lt;"&amp;P46)+COUNTIF($P$10:P46,P46))</f>
        <v>29</v>
      </c>
      <c r="M46" s="692" t="str">
        <f>IF(Ingredient_prices!E40=M45,"",Ingredient_prices!E40)</f>
        <v>Cow's milk 2.8% fat</v>
      </c>
      <c r="N46" s="693">
        <f>_xlfn.IFNA(VLOOKUP($M46,Sedmica_1_količina_sva_sastojak!$C:$F,4,FALSE),"")</f>
        <v>4.4000000000000004</v>
      </c>
      <c r="O46" s="696">
        <f>IF(N46="","",COUNTIF($P$10:$P$256,"&lt;"&amp;P46)+COUNTIF($P$10:P46,P46))</f>
        <v>29</v>
      </c>
      <c r="P46" s="694">
        <f t="shared" si="6"/>
        <v>223</v>
      </c>
    </row>
    <row r="47" spans="1:16">
      <c r="A47" s="470">
        <v>38</v>
      </c>
      <c r="B47" s="1248" t="str">
        <f>IF($B$8=1,_xlfn.IFNA(VLOOKUP($A47,$L:$N,2,FALSE),""),_xlfn.IFNA(VLOOKUP($A47,Sedmica_2_količina_namirnica!$L:$N,2,FALSE),""))</f>
        <v>Margarine from milk (less than 500g)</v>
      </c>
      <c r="C47" s="448">
        <f>IF($B$8=1,_xlfn.IFNA(VLOOKUP($A47,$L:$N,3,FALSE)-0.0001,""),_xlfn.IFNA(VLOOKUP($A47,Sedmica_2_količina_namirnica!$L:$N,3,FALSE)-0.0001,""))</f>
        <v>2.1999</v>
      </c>
      <c r="D47" s="446">
        <f>IF(B47="Jaje kokošje, celo",IF(C47=INT(C47),C47,C47+1),IF(B47=""," ",_xlfn.IFNA(INT(C47*1000/(VLOOKUP($B47,Ingredient_prices!$E:$J,6,FALSE)))+1,"nije nabavljen")))</f>
        <v>3</v>
      </c>
      <c r="E47" s="446" t="str">
        <f>IF(C47="","",VLOOKUP($B47,Ingredient_prices!$E:$K,7,FALSE))</f>
        <v>кг</v>
      </c>
      <c r="F47" s="462">
        <f>IF(C47="","",IFERROR(IF(OR(E47="кг",E47="л"),VLOOKUP($B47,Ingredient_prices!$E:$V,16,FALSE)*D47,(VLOOKUP($B47,Ingredient_prices!$E:$P,12,FALSE)*D47)),""))</f>
        <v>1036.8000000000002</v>
      </c>
      <c r="G47" s="450" t="str">
        <f>IF(C47="","",_xlfn.IFNA(MID(VLOOKUP($B47,Ingredient_prices!$E:$F,2,FALSE),9,2),""))</f>
        <v>2</v>
      </c>
      <c r="H47" s="447" t="str">
        <f>_xlfn.IFNA(VLOOKUP(CONCATENATE($I$9,$G47),Ingredient_prices!$G:$N,8,FALSE),"")</f>
        <v>КомерцПродукт</v>
      </c>
      <c r="I47" s="548">
        <f t="shared" si="7"/>
        <v>3</v>
      </c>
      <c r="J47" s="695" t="str">
        <f>IF(N47="","",MID(Ingredient_prices!F41,9,2))</f>
        <v/>
      </c>
      <c r="K47" s="692" t="str">
        <f t="shared" si="5"/>
        <v/>
      </c>
      <c r="L47" s="692" t="str">
        <f>IF(N47="","",COUNTIF($P$10:$P$256,"&lt;"&amp;P47)+COUNTIF($P$10:P47,P47))</f>
        <v/>
      </c>
      <c r="M47" s="692" t="str">
        <f>IF(Ingredient_prices!E41=M46,"",Ingredient_prices!E41)</f>
        <v>Clotted cream</v>
      </c>
      <c r="N47" s="693" t="str">
        <f>_xlfn.IFNA(VLOOKUP($M47,Sedmica_1_količina_sva_sastojak!$C:$F,4,FALSE),"")</f>
        <v/>
      </c>
      <c r="O47" s="696" t="str">
        <f>IF(N47="","",COUNTIF($P$10:$P$256,"&lt;"&amp;P47)+COUNTIF($P$10:P47,P47))</f>
        <v/>
      </c>
      <c r="P47" s="694" t="str">
        <f t="shared" si="6"/>
        <v/>
      </c>
    </row>
    <row r="48" spans="1:16">
      <c r="A48" s="470">
        <v>39</v>
      </c>
      <c r="B48" s="1248" t="str">
        <f>IF($B$8=1,_xlfn.IFNA(VLOOKUP($A48,$L:$N,2,FALSE),""),_xlfn.IFNA(VLOOKUP($A48,Sedmica_2_količina_namirnica!$L:$N,2,FALSE),""))</f>
        <v>Corn flour, whole</v>
      </c>
      <c r="C48" s="448">
        <f>IF($B$8=1,_xlfn.IFNA(VLOOKUP($A48,$L:$N,3,FALSE)-0.0001,""),_xlfn.IFNA(VLOOKUP($A48,Sedmica_2_količina_namirnica!$L:$N,3,FALSE)-0.0001,""))</f>
        <v>1.6498999999999999</v>
      </c>
      <c r="D48" s="446">
        <f>IF(B48="Jaje kokošje, celo",IF(C48=INT(C48),C48,C48+1),IF(B48=""," ",_xlfn.IFNA(INT(C48*1000/(VLOOKUP($B48,Ingredient_prices!$E:$J,6,FALSE)))+1,"nije nabavljen")))</f>
        <v>5</v>
      </c>
      <c r="E48" s="446" t="str">
        <f>IF(C48="","",VLOOKUP($B48,Ingredient_prices!$E:$K,7,FALSE))</f>
        <v>ком</v>
      </c>
      <c r="F48" s="462">
        <f>IF(C48="","",IFERROR(IF(OR(E48="кг",E48="л"),VLOOKUP($B48,Ingredient_prices!$E:$V,16,FALSE)*D48,(VLOOKUP($B48,Ingredient_prices!$E:$P,12,FALSE)*D48)),""))</f>
        <v>121</v>
      </c>
      <c r="G48" s="450" t="str">
        <f>IF(C48="","",_xlfn.IFNA(MID(VLOOKUP($B48,Ingredient_prices!$E:$F,2,FALSE),9,2),""))</f>
        <v>2</v>
      </c>
      <c r="H48" s="447" t="str">
        <f>_xlfn.IFNA(VLOOKUP(CONCATENATE($I$9,$G48),Ingredient_prices!$G:$N,8,FALSE),"")</f>
        <v>КомерцПродукт</v>
      </c>
      <c r="I48" s="548">
        <f t="shared" si="7"/>
        <v>5</v>
      </c>
      <c r="J48" s="695" t="str">
        <f>IF(N48="","",MID(Ingredient_prices!F42,9,2))</f>
        <v/>
      </c>
      <c r="K48" s="692" t="str">
        <f t="shared" si="5"/>
        <v/>
      </c>
      <c r="L48" s="692" t="str">
        <f>IF(N48="","",COUNTIF($P$10:$P$256,"&lt;"&amp;P48)+COUNTIF($P$10:P48,P48))</f>
        <v/>
      </c>
      <c r="M48" s="692" t="str">
        <f>IF(Ingredient_prices!E42=M47,"",Ingredient_prices!E42)</f>
        <v>Cream cheese spread</v>
      </c>
      <c r="N48" s="693" t="str">
        <f>_xlfn.IFNA(VLOOKUP($M48,Sedmica_1_količina_sva_sastojak!$C:$F,4,FALSE),"")</f>
        <v/>
      </c>
      <c r="O48" s="696" t="str">
        <f>IF(N48="","",COUNTIF($P$10:$P$256,"&lt;"&amp;P48)+COUNTIF($P$10:P48,P48))</f>
        <v/>
      </c>
      <c r="P48" s="694" t="str">
        <f t="shared" si="6"/>
        <v/>
      </c>
    </row>
    <row r="49" spans="1:17">
      <c r="A49" s="470">
        <v>40</v>
      </c>
      <c r="B49" s="1248" t="str">
        <f>IF($B$8=1,_xlfn.IFNA(VLOOKUP($A49,$L:$N,2,FALSE),""),_xlfn.IFNA(VLOOKUP($A49,Sedmica_2_količina_namirnica!$L:$N,2,FALSE),""))</f>
        <v>Sweetcorn frozen</v>
      </c>
      <c r="C49" s="448">
        <f>IF($B$8=1,_xlfn.IFNA(VLOOKUP($A49,$L:$N,3,FALSE)-0.0001,""),_xlfn.IFNA(VLOOKUP($A49,Sedmica_2_količina_namirnica!$L:$N,3,FALSE)-0.0001,""))</f>
        <v>1.6498999999999999</v>
      </c>
      <c r="D49" s="446">
        <f>IF(B49="Jaje kokošje, celo",IF(C49=INT(C49),C49,C49+1),IF(B49=""," ",_xlfn.IFNA(INT(C49*1000/(VLOOKUP($B49,Ingredient_prices!$E:$J,6,FALSE)))+1,"nije nabavljen")))</f>
        <v>2</v>
      </c>
      <c r="E49" s="446" t="str">
        <f>IF(C49="","",VLOOKUP($B49,Ingredient_prices!$E:$K,7,FALSE))</f>
        <v>кг</v>
      </c>
      <c r="F49" s="462">
        <f>IF(C49="","",IFERROR(IF(OR(E49="кг",E49="л"),VLOOKUP($B49,Ingredient_prices!$E:$V,16,FALSE)*D49,(VLOOKUP($B49,Ingredient_prices!$E:$P,12,FALSE)*D49)),""))</f>
        <v>198</v>
      </c>
      <c r="G49" s="450" t="str">
        <f>IF(C49="","",_xlfn.IFNA(MID(VLOOKUP($B49,Ingredient_prices!$E:$F,2,FALSE),9,2),""))</f>
        <v>2</v>
      </c>
      <c r="H49" s="447" t="str">
        <f>_xlfn.IFNA(VLOOKUP(CONCATENATE($I$9,$G49),Ingredient_prices!$G:$N,8,FALSE),"")</f>
        <v>КомерцПродукт</v>
      </c>
      <c r="I49" s="548">
        <f t="shared" si="7"/>
        <v>2</v>
      </c>
      <c r="J49" s="695" t="str">
        <f>IF(N49="","",MID(Ingredient_prices!F43,9,2))</f>
        <v/>
      </c>
      <c r="K49" s="692" t="str">
        <f t="shared" si="5"/>
        <v/>
      </c>
      <c r="L49" s="692" t="str">
        <f>IF(N49="","",COUNTIF($P$10:$P$256,"&lt;"&amp;P49)+COUNTIF($P$10:P49,P49))</f>
        <v/>
      </c>
      <c r="M49" s="692" t="str">
        <f>IF(Ingredient_prices!E43=M48,"",Ingredient_prices!E43)</f>
        <v>Cheese spread 70% fat</v>
      </c>
      <c r="N49" s="693" t="str">
        <f>_xlfn.IFNA(VLOOKUP($M49,Sedmica_1_količina_sva_sastojak!$C:$F,4,FALSE),"")</f>
        <v/>
      </c>
      <c r="O49" s="696" t="str">
        <f>IF(N49="","",COUNTIF($P$10:$P$256,"&lt;"&amp;P49)+COUNTIF($P$10:P49,P49))</f>
        <v/>
      </c>
      <c r="P49" s="694" t="str">
        <f t="shared" si="6"/>
        <v/>
      </c>
    </row>
    <row r="50" spans="1:17">
      <c r="A50" s="470">
        <v>41</v>
      </c>
      <c r="B50" s="1248" t="str">
        <f>IF($B$8=1,_xlfn.IFNA(VLOOKUP($A50,$L:$N,2,FALSE),""),_xlfn.IFNA(VLOOKUP($A50,Sedmica_2_količina_namirnica!$L:$N,2,FALSE),""))</f>
        <v>Vinegar</v>
      </c>
      <c r="C50" s="448">
        <f>IF($B$8=1,_xlfn.IFNA(VLOOKUP($A50,$L:$N,3,FALSE)-0.0001,""),_xlfn.IFNA(VLOOKUP($A50,Sedmica_2_količina_namirnica!$L:$N,3,FALSE)-0.0001,""))</f>
        <v>1.5399</v>
      </c>
      <c r="D50" s="446">
        <f>IF(B50="Jaje kokošje, celo",IF(C50=INT(C50),C50,C50+1),IF(B50=""," ",_xlfn.IFNA(INT(C50*1000/(VLOOKUP($B50,Ingredient_prices!$E:$J,6,FALSE)))+1,"nije nabavljen")))</f>
        <v>2</v>
      </c>
      <c r="E50" s="446" t="str">
        <f>IF(C50="","",VLOOKUP($B50,Ingredient_prices!$E:$K,7,FALSE))</f>
        <v>л</v>
      </c>
      <c r="F50" s="462">
        <f>IF(C50="","",IFERROR(IF(OR(E50="кг",E50="л"),VLOOKUP($B50,Ingredient_prices!$E:$V,16,FALSE)*D50,(VLOOKUP($B50,Ingredient_prices!$E:$P,12,FALSE)*D50)),""))</f>
        <v>91.2</v>
      </c>
      <c r="G50" s="450" t="str">
        <f>IF(C50="","",_xlfn.IFNA(MID(VLOOKUP($B50,Ingredient_prices!$E:$F,2,FALSE),9,2),""))</f>
        <v>2</v>
      </c>
      <c r="H50" s="447" t="str">
        <f>_xlfn.IFNA(VLOOKUP(CONCATENATE($I$9,$G50),Ingredient_prices!$G:$N,8,FALSE),"")</f>
        <v>КомерцПродукт</v>
      </c>
      <c r="I50" s="548">
        <f t="shared" si="7"/>
        <v>2</v>
      </c>
      <c r="J50" s="695" t="str">
        <f>IF(N50="","",MID(Ingredient_prices!F44,9,2))</f>
        <v/>
      </c>
      <c r="K50" s="692" t="str">
        <f t="shared" si="5"/>
        <v/>
      </c>
      <c r="L50" s="692" t="str">
        <f>IF(N50="","",COUNTIF($P$10:$P$256,"&lt;"&amp;P50)+COUNTIF($P$10:P50,P50))</f>
        <v/>
      </c>
      <c r="M50" s="692" t="str">
        <f>IF(Ingredient_prices!E44=M49,"",Ingredient_prices!E44)</f>
        <v>Mileram 22% fat</v>
      </c>
      <c r="N50" s="693" t="str">
        <f>_xlfn.IFNA(VLOOKUP($M50,Sedmica_1_količina_sva_sastojak!$C:$F,4,FALSE),"")</f>
        <v/>
      </c>
      <c r="O50" s="696" t="str">
        <f>IF(N50="","",COUNTIF($P$10:$P$256,"&lt;"&amp;P50)+COUNTIF($P$10:P50,P50))</f>
        <v/>
      </c>
      <c r="P50" s="694" t="str">
        <f t="shared" si="6"/>
        <v/>
      </c>
    </row>
    <row r="51" spans="1:17">
      <c r="A51" s="470">
        <v>42</v>
      </c>
      <c r="B51" s="1248" t="str">
        <f>IF($B$8=1,_xlfn.IFNA(VLOOKUP($A51,$L:$N,2,FALSE),""),_xlfn.IFNA(VLOOKUP($A51,Sedmica_2_količina_namirnica!$L:$N,2,FALSE),""))</f>
        <v>Mixed vegetables for soup</v>
      </c>
      <c r="C51" s="448">
        <f>IF($B$8=1,_xlfn.IFNA(VLOOKUP($A51,$L:$N,3,FALSE)-0.0001,""),_xlfn.IFNA(VLOOKUP($A51,Sedmica_2_količina_namirnica!$L:$N,3,FALSE)-0.0001,""))</f>
        <v>1.3199000000000001</v>
      </c>
      <c r="D51" s="446">
        <f>IF(B51="Jaje kokošje, celo",IF(C51=INT(C51),C51,C51+1),IF(B51=""," ",_xlfn.IFNA(INT(C51*1000/(VLOOKUP($B51,Ingredient_prices!$E:$J,6,FALSE)))+1,"nije nabavljen")))</f>
        <v>2</v>
      </c>
      <c r="E51" s="446" t="str">
        <f>IF(C51="","",VLOOKUP($B51,Ingredient_prices!$E:$K,7,FALSE))</f>
        <v>кг</v>
      </c>
      <c r="F51" s="462">
        <f>IF(C51="","",IFERROR(IF(OR(E51="кг",E51="л"),VLOOKUP($B51,Ingredient_prices!$E:$V,16,FALSE)*D51,(VLOOKUP($B51,Ingredient_prices!$E:$P,12,FALSE)*D51)),""))</f>
        <v>176</v>
      </c>
      <c r="G51" s="450" t="str">
        <f>IF(C51="","",_xlfn.IFNA(MID(VLOOKUP($B51,Ingredient_prices!$E:$F,2,FALSE),9,2),""))</f>
        <v>2</v>
      </c>
      <c r="H51" s="447" t="str">
        <f>_xlfn.IFNA(VLOOKUP(CONCATENATE($I$9,$G51),Ingredient_prices!$G:$N,8,FALSE),"")</f>
        <v>КомерцПродукт</v>
      </c>
      <c r="I51" s="548">
        <f t="shared" si="7"/>
        <v>2</v>
      </c>
      <c r="J51" s="695" t="str">
        <f>IF(N51="","",MID(Ingredient_prices!F45,9,2))</f>
        <v/>
      </c>
      <c r="K51" s="692" t="str">
        <f t="shared" si="5"/>
        <v/>
      </c>
      <c r="L51" s="692" t="str">
        <f>IF(N51="","",COUNTIF($P$10:$P$256,"&lt;"&amp;P51)+COUNTIF($P$10:P51,P51))</f>
        <v/>
      </c>
      <c r="M51" s="692" t="str">
        <f>IF(Ingredient_prices!E45=M50,"",Ingredient_prices!E45)</f>
        <v>Cheese, grated (at least 1 kg)</v>
      </c>
      <c r="N51" s="693" t="str">
        <f>_xlfn.IFNA(VLOOKUP($M51,Sedmica_1_količina_sva_sastojak!$C:$F,4,FALSE),"")</f>
        <v/>
      </c>
      <c r="O51" s="696" t="str">
        <f>IF(N51="","",COUNTIF($P$10:$P$256,"&lt;"&amp;P51)+COUNTIF($P$10:P51,P51))</f>
        <v/>
      </c>
      <c r="P51" s="694" t="str">
        <f t="shared" si="6"/>
        <v/>
      </c>
    </row>
    <row r="52" spans="1:17">
      <c r="A52" s="470">
        <v>43</v>
      </c>
      <c r="B52" s="1248" t="str">
        <f>IF($B$8=1,_xlfn.IFNA(VLOOKUP($A52,$L:$N,2,FALSE),""),_xlfn.IFNA(VLOOKUP($A52,Sedmica_2_količina_namirnica!$L:$N,2,FALSE),""))</f>
        <v>Rose hip jam</v>
      </c>
      <c r="C52" s="448">
        <f>IF($B$8=1,_xlfn.IFNA(VLOOKUP($A52,$L:$N,3,FALSE)-0.0001,""),_xlfn.IFNA(VLOOKUP($A52,Sedmica_2_količina_namirnica!$L:$N,3,FALSE)-0.0001,""))</f>
        <v>1.0999000000000001</v>
      </c>
      <c r="D52" s="446">
        <f>IF(B52="Jaje kokošje, celo",IF(C52=INT(C52),C52,C52+1),IF(B52=""," ",_xlfn.IFNA(INT(C52*1000/(VLOOKUP($B52,Ingredient_prices!$E:$J,6,FALSE)))+1,"nije nabavljen")))</f>
        <v>2</v>
      </c>
      <c r="E52" s="446" t="str">
        <f>IF(C52="","",VLOOKUP($B52,Ingredient_prices!$E:$K,7,FALSE))</f>
        <v>ком</v>
      </c>
      <c r="F52" s="462">
        <f>IF(C52="","",IFERROR(IF(OR(E52="кг",E52="л"),VLOOKUP($B52,Ingredient_prices!$E:$V,16,FALSE)*D52,(VLOOKUP($B52,Ingredient_prices!$E:$P,12,FALSE)*D52)),""))</f>
        <v>600</v>
      </c>
      <c r="G52" s="450" t="str">
        <f>IF(C52="","",_xlfn.IFNA(MID(VLOOKUP($B52,Ingredient_prices!$E:$F,2,FALSE),9,2),""))</f>
        <v>2</v>
      </c>
      <c r="H52" s="447" t="str">
        <f>_xlfn.IFNA(VLOOKUP(CONCATENATE($I$9,$G52),Ingredient_prices!$G:$N,8,FALSE),"")</f>
        <v>КомерцПродукт</v>
      </c>
      <c r="I52" s="548">
        <f t="shared" si="7"/>
        <v>2</v>
      </c>
      <c r="J52" s="695" t="str">
        <f>IF(N52="","",MID(Ingredient_prices!F46,9,2))</f>
        <v/>
      </c>
      <c r="K52" s="692" t="str">
        <f t="shared" si="5"/>
        <v/>
      </c>
      <c r="L52" s="692" t="str">
        <f>IF(N52="","",COUNTIF($P$10:$P$256,"&lt;"&amp;P52)+COUNTIF($P$10:P52,P52))</f>
        <v/>
      </c>
      <c r="M52" s="692" t="str">
        <f>IF(Ingredient_prices!E46=M51,"",Ingredient_prices!E46)</f>
        <v>Cheese, grated (less than 1 kg)</v>
      </c>
      <c r="N52" s="693" t="str">
        <f>_xlfn.IFNA(VLOOKUP($M52,Sedmica_1_količina_sva_sastojak!$C:$F,4,FALSE),"")</f>
        <v/>
      </c>
      <c r="O52" s="696" t="str">
        <f>IF(N52="","",COUNTIF($P$10:$P$256,"&lt;"&amp;P52)+COUNTIF($P$10:P52,P52))</f>
        <v/>
      </c>
      <c r="P52" s="694" t="str">
        <f t="shared" si="6"/>
        <v/>
      </c>
    </row>
    <row r="53" spans="1:17">
      <c r="A53" s="470">
        <v>44</v>
      </c>
      <c r="B53" s="1248" t="str">
        <f>IF($B$8=1,_xlfn.IFNA(VLOOKUP($A53,$L:$N,2,FALSE),""),_xlfn.IFNA(VLOOKUP($A53,Sedmica_2_količina_namirnica!$L:$N,2,FALSE),""))</f>
        <v>Mayonnaise, plain</v>
      </c>
      <c r="C53" s="448">
        <f>IF($B$8=1,_xlfn.IFNA(VLOOKUP($A53,$L:$N,3,FALSE)-0.0001,""),_xlfn.IFNA(VLOOKUP($A53,Sedmica_2_količina_namirnica!$L:$N,3,FALSE)-0.0001,""))</f>
        <v>1.0999000000000001</v>
      </c>
      <c r="D53" s="446">
        <f>IF(B53="Jaje kokošje, celo",IF(C53=INT(C53),C53,C53+1),IF(B53=""," ",_xlfn.IFNA(INT(C53*1000/(VLOOKUP($B53,Ingredient_prices!$E:$J,6,FALSE)))+1,"nije nabavljen")))</f>
        <v>4</v>
      </c>
      <c r="E53" s="446" t="str">
        <f>IF(C53="","",VLOOKUP($B53,Ingredient_prices!$E:$K,7,FALSE))</f>
        <v>л</v>
      </c>
      <c r="F53" s="462">
        <f>IF(C53="","",IFERROR(IF(OR(E53="кг",E53="л"),VLOOKUP($B53,Ingredient_prices!$E:$V,16,FALSE)*D53,(VLOOKUP($B53,Ingredient_prices!$E:$P,12,FALSE)*D53)),""))</f>
        <v>1360</v>
      </c>
      <c r="G53" s="450" t="str">
        <f>IF(C53="","",_xlfn.IFNA(MID(VLOOKUP($B53,Ingredient_prices!$E:$F,2,FALSE),9,2),""))</f>
        <v>2</v>
      </c>
      <c r="H53" s="447" t="str">
        <f>_xlfn.IFNA(VLOOKUP(CONCATENATE($I$9,$G53),Ingredient_prices!$G:$N,8,FALSE),"")</f>
        <v>КомерцПродукт</v>
      </c>
      <c r="I53" s="548">
        <f t="shared" si="7"/>
        <v>4</v>
      </c>
      <c r="J53" s="695" t="str">
        <f>IF(N53="","",MID(Ingredient_prices!F47,9,2))</f>
        <v/>
      </c>
      <c r="K53" s="692" t="str">
        <f t="shared" si="5"/>
        <v/>
      </c>
      <c r="L53" s="692" t="str">
        <f>IF(N53="","",COUNTIF($P$10:$P$256,"&lt;"&amp;P53)+COUNTIF($P$10:P53,P53))</f>
        <v/>
      </c>
      <c r="M53" s="692" t="str">
        <f>IF(Ingredient_prices!E47=M52,"",Ingredient_prices!E47)</f>
        <v>Cheese, processed, slices</v>
      </c>
      <c r="N53" s="693" t="str">
        <f>_xlfn.IFNA(VLOOKUP($M53,Sedmica_1_količina_sva_sastojak!$C:$F,4,FALSE),"")</f>
        <v/>
      </c>
      <c r="O53" s="696" t="str">
        <f>IF(N53="","",COUNTIF($P$10:$P$256,"&lt;"&amp;P53)+COUNTIF($P$10:P53,P53))</f>
        <v/>
      </c>
      <c r="P53" s="694" t="str">
        <f t="shared" si="6"/>
        <v/>
      </c>
    </row>
    <row r="54" spans="1:17">
      <c r="A54" s="470">
        <v>45</v>
      </c>
      <c r="B54" s="1248" t="str">
        <f>IF($B$8=1,_xlfn.IFNA(VLOOKUP($A54,$L:$N,2,FALSE),""),_xlfn.IFNA(VLOOKUP($A54,Sedmica_2_količina_namirnica!$L:$N,2,FALSE),""))</f>
        <v>Lentils</v>
      </c>
      <c r="C54" s="448">
        <f>IF($B$8=1,_xlfn.IFNA(VLOOKUP($A54,$L:$N,3,FALSE)-0.0001,""),_xlfn.IFNA(VLOOKUP($A54,Sedmica_2_količina_namirnica!$L:$N,3,FALSE)-0.0001,""))</f>
        <v>1.0999000000000001</v>
      </c>
      <c r="D54" s="446">
        <f>IF(B54="Jaje kokošje, celo",IF(C54=INT(C54),C54,C54+1),IF(B54=""," ",_xlfn.IFNA(INT(C54*1000/(VLOOKUP($B54,Ingredient_prices!$E:$J,6,FALSE)))+1,"nije nabavljen")))</f>
        <v>2</v>
      </c>
      <c r="E54" s="446" t="str">
        <f>IF(C54="","",VLOOKUP($B54,Ingredient_prices!$E:$K,7,FALSE))</f>
        <v>кг</v>
      </c>
      <c r="F54" s="462">
        <f>IF(C54="","",IFERROR(IF(OR(E54="кг",E54="л"),VLOOKUP($B54,Ingredient_prices!$E:$V,16,FALSE)*D54,(VLOOKUP($B54,Ingredient_prices!$E:$P,12,FALSE)*D54)),""))</f>
        <v>492</v>
      </c>
      <c r="G54" s="450" t="str">
        <f>IF(C54="","",_xlfn.IFNA(MID(VLOOKUP($B54,Ingredient_prices!$E:$F,2,FALSE),9,2),""))</f>
        <v>2</v>
      </c>
      <c r="H54" s="447" t="str">
        <f>_xlfn.IFNA(VLOOKUP(CONCATENATE($I$9,$G54),Ingredient_prices!$G:$N,8,FALSE),"")</f>
        <v>КомерцПродукт</v>
      </c>
      <c r="I54" s="548">
        <f t="shared" si="7"/>
        <v>2</v>
      </c>
      <c r="J54" s="695" t="str">
        <f>IF(N54="","",MID(Ingredient_prices!F48,9,2))</f>
        <v/>
      </c>
      <c r="K54" s="692" t="str">
        <f t="shared" si="5"/>
        <v/>
      </c>
      <c r="L54" s="692" t="str">
        <f>IF(N54="","",COUNTIF($P$10:$P$256,"&lt;"&amp;P54)+COUNTIF($P$10:P54,P54))</f>
        <v/>
      </c>
      <c r="M54" s="692" t="str">
        <f>IF(Ingredient_prices!E48=M53,"",Ingredient_prices!E48)</f>
        <v>Cheese spread triangles 35% fat</v>
      </c>
      <c r="N54" s="693" t="str">
        <f>_xlfn.IFNA(VLOOKUP($M54,Sedmica_1_količina_sva_sastojak!$C:$F,4,FALSE),"")</f>
        <v/>
      </c>
      <c r="O54" s="696" t="str">
        <f>IF(N54="","",COUNTIF($P$10:$P$256,"&lt;"&amp;P54)+COUNTIF($P$10:P54,P54))</f>
        <v/>
      </c>
      <c r="P54" s="694" t="str">
        <f t="shared" si="6"/>
        <v/>
      </c>
    </row>
    <row r="55" spans="1:17">
      <c r="A55" s="470">
        <v>46</v>
      </c>
      <c r="B55" s="1248" t="str">
        <f>IF($B$8=1,_xlfn.IFNA(VLOOKUP($A55,$L:$N,2,FALSE),""),_xlfn.IFNA(VLOOKUP($A55,Sedmica_2_količina_namirnica!$L:$N,2,FALSE),""))</f>
        <v>Parsnip and carrot</v>
      </c>
      <c r="C55" s="448">
        <f>IF($B$8=1,_xlfn.IFNA(VLOOKUP($A55,$L:$N,3,FALSE)-0.0001,""),_xlfn.IFNA(VLOOKUP($A55,Sedmica_2_količina_namirnica!$L:$N,3,FALSE)-0.0001,""))</f>
        <v>0.76990000000000014</v>
      </c>
      <c r="D55" s="446">
        <f>IF(B55="Jaje kokošje, celo",IF(C55=INT(C55),C55,C55+1),IF(B55=""," ",_xlfn.IFNA(INT(C55*1000/(VLOOKUP($B55,Ingredient_prices!$E:$J,6,FALSE)))+1,"nije nabavljen")))</f>
        <v>3</v>
      </c>
      <c r="E55" s="446" t="str">
        <f>IF(C55="","",VLOOKUP($B55,Ingredient_prices!$E:$K,7,FALSE))</f>
        <v>ком</v>
      </c>
      <c r="F55" s="462">
        <f>IF(C55="","",IFERROR(IF(OR(E55="кг",E55="л"),VLOOKUP($B55,Ingredient_prices!$E:$V,16,FALSE)*D55,(VLOOKUP($B55,Ingredient_prices!$E:$P,12,FALSE)*D55)),""))</f>
        <v>181.5</v>
      </c>
      <c r="G55" s="450" t="str">
        <f>IF(C55="","",_xlfn.IFNA(MID(VLOOKUP($B55,Ingredient_prices!$E:$F,2,FALSE),9,2),""))</f>
        <v>2</v>
      </c>
      <c r="H55" s="447" t="str">
        <f>_xlfn.IFNA(VLOOKUP(CONCATENATE($I$9,$G55),Ingredient_prices!$G:$N,8,FALSE),"")</f>
        <v>КомерцПродукт</v>
      </c>
      <c r="I55" s="548">
        <f t="shared" si="7"/>
        <v>3</v>
      </c>
      <c r="J55" s="695" t="str">
        <f>IF(N55="","",MID(Ingredient_prices!F49,9,2))</f>
        <v/>
      </c>
      <c r="K55" s="692" t="str">
        <f t="shared" si="5"/>
        <v/>
      </c>
      <c r="L55" s="692" t="str">
        <f>IF(N55="","",COUNTIF($P$10:$P$256,"&lt;"&amp;P55)+COUNTIF($P$10:P55,P55))</f>
        <v/>
      </c>
      <c r="M55" s="692" t="str">
        <f>IF(Ingredient_prices!E49=M54,"",Ingredient_prices!E49)</f>
        <v>Cheese, feta, soft (in brine)</v>
      </c>
      <c r="N55" s="693" t="str">
        <f>_xlfn.IFNA(VLOOKUP($M55,Sedmica_1_količina_sva_sastojak!$C:$F,4,FALSE),"")</f>
        <v/>
      </c>
      <c r="O55" s="696" t="str">
        <f>IF(N55="","",COUNTIF($P$10:$P$256,"&lt;"&amp;P55)+COUNTIF($P$10:P55,P55))</f>
        <v/>
      </c>
      <c r="P55" s="694" t="str">
        <f t="shared" si="6"/>
        <v/>
      </c>
    </row>
    <row r="56" spans="1:17" s="445" customFormat="1">
      <c r="A56" s="470">
        <v>47</v>
      </c>
      <c r="B56" s="1248" t="str">
        <f>IF($B$8=1,_xlfn.IFNA(VLOOKUP($A56,$L:$N,2,FALSE),""),_xlfn.IFNA(VLOOKUP($A56,Sedmica_2_količina_namirnica!$L:$N,2,FALSE),""))</f>
        <v>Cheese, grated (at least 1 kg)</v>
      </c>
      <c r="C56" s="448">
        <f>IF($B$8=1,_xlfn.IFNA(VLOOKUP($A56,$L:$N,3,FALSE)-0.0001,""),_xlfn.IFNA(VLOOKUP($A56,Sedmica_2_količina_namirnica!$L:$N,3,FALSE)-0.0001,""))</f>
        <v>0.65990000000000004</v>
      </c>
      <c r="D56" s="446">
        <f>IF(B56="Jaje kokošje, celo",IF(C56=INT(C56),C56,C56+1),IF(B56=""," ",_xlfn.IFNA(INT(C56*1000/(VLOOKUP($B56,Ingredient_prices!$E:$J,6,FALSE)))+1,"nije nabavljen")))</f>
        <v>1</v>
      </c>
      <c r="E56" s="446" t="str">
        <f>IF(C56="","",VLOOKUP($B56,Ingredient_prices!$E:$K,7,FALSE))</f>
        <v>ком</v>
      </c>
      <c r="F56" s="462">
        <f>IF(C56="","",IFERROR(IF(OR(E56="кг",E56="л"),VLOOKUP($B56,Ingredient_prices!$E:$V,16,FALSE)*D56,(VLOOKUP($B56,Ingredient_prices!$E:$P,12,FALSE)*D56)),""))</f>
        <v>187.2</v>
      </c>
      <c r="G56" s="450" t="str">
        <f>IF(C56="","",_xlfn.IFNA(MID(VLOOKUP($B56,Ingredient_prices!$E:$F,2,FALSE),9,2),""))</f>
        <v>2</v>
      </c>
      <c r="H56" s="447" t="str">
        <f>_xlfn.IFNA(VLOOKUP(CONCATENATE($I$9,$G56),Ingredient_prices!$G:$N,8,FALSE),"")</f>
        <v>КомерцПродукт</v>
      </c>
      <c r="I56" s="548">
        <f t="shared" si="7"/>
        <v>1</v>
      </c>
      <c r="J56" s="695" t="str">
        <f>IF(N56="","",MID(Ingredient_prices!F50,9,2))</f>
        <v>2</v>
      </c>
      <c r="K56" s="692">
        <f t="shared" si="5"/>
        <v>8</v>
      </c>
      <c r="L56" s="692">
        <f>IF(N56="","",COUNTIF($P$10:$P$256,"&lt;"&amp;P56)+COUNTIF($P$10:P56,P56))</f>
        <v>13</v>
      </c>
      <c r="M56" s="692" t="str">
        <f>IF(Ingredient_prices!E50=M55,"",Ingredient_prices!E50)</f>
        <v>Sour cream, 20% fat</v>
      </c>
      <c r="N56" s="693">
        <f>_xlfn.IFNA(VLOOKUP($M56,Sedmica_1_količina_sva_sastojak!$C:$F,4,FALSE),"")</f>
        <v>11</v>
      </c>
      <c r="O56" s="696">
        <f>IF(N56="","",COUNTIF($P$10:$P$256,"&lt;"&amp;P56)+COUNTIF($P$10:P56,P56))</f>
        <v>13</v>
      </c>
      <c r="P56" s="694">
        <f t="shared" si="6"/>
        <v>28</v>
      </c>
      <c r="Q56" s="692"/>
    </row>
    <row r="57" spans="1:17">
      <c r="A57" s="470">
        <v>48</v>
      </c>
      <c r="B57" s="1248" t="str">
        <f>IF($B$8=1,_xlfn.IFNA(VLOOKUP($A57,$L:$N,2,FALSE),""),_xlfn.IFNA(VLOOKUP($A57,Sedmica_2_količina_namirnica!$L:$N,2,FALSE),""))</f>
        <v>Yeast (fresh)</v>
      </c>
      <c r="C57" s="448">
        <f>IF($B$8=1,_xlfn.IFNA(VLOOKUP($A57,$L:$N,3,FALSE)-0.0001,""),_xlfn.IFNA(VLOOKUP($A57,Sedmica_2_količina_namirnica!$L:$N,3,FALSE)-0.0001,""))</f>
        <v>0.25289999999999996</v>
      </c>
      <c r="D57" s="446">
        <f>IF(B57="Jaje kokošje, celo",IF(C57=INT(C57),C57,C57+1),IF(B57=""," ",_xlfn.IFNA(INT(C57*1000/(VLOOKUP($B57,Ingredient_prices!$E:$J,6,FALSE)))+1,"nije nabavljen")))</f>
        <v>6</v>
      </c>
      <c r="E57" s="446" t="str">
        <f>IF(C57="","",VLOOKUP($B57,Ingredient_prices!$E:$K,7,FALSE))</f>
        <v>ком</v>
      </c>
      <c r="F57" s="462">
        <f>IF(C57="","",IFERROR(IF(OR(E57="кг",E57="л"),VLOOKUP($B57,Ingredient_prices!$E:$V,16,FALSE)*D57,(VLOOKUP($B57,Ingredient_prices!$E:$P,12,FALSE)*D57)),""))</f>
        <v>136.80000000000001</v>
      </c>
      <c r="G57" s="450" t="str">
        <f>IF(C57="","",_xlfn.IFNA(MID(VLOOKUP($B57,Ingredient_prices!$E:$F,2,FALSE),9,2),""))</f>
        <v>2</v>
      </c>
      <c r="H57" s="447" t="str">
        <f>_xlfn.IFNA(VLOOKUP(CONCATENATE($I$9,$G57),Ingredient_prices!$G:$N,8,FALSE),"")</f>
        <v>КомерцПродукт</v>
      </c>
      <c r="I57" s="548">
        <f t="shared" si="7"/>
        <v>6</v>
      </c>
      <c r="J57" s="695" t="str">
        <f>IF(N57="","",MID(Ingredient_prices!F51,9,2))</f>
        <v/>
      </c>
      <c r="K57" s="692" t="str">
        <f t="shared" si="5"/>
        <v/>
      </c>
      <c r="L57" s="692" t="str">
        <f>IF(N57="","",COUNTIF($P$10:$P$256,"&lt;"&amp;P57)+COUNTIF($P$10:P57,P57))</f>
        <v/>
      </c>
      <c r="M57" s="692" t="str">
        <f>IF(Ingredient_prices!E51=M56,"",Ingredient_prices!E51)</f>
        <v>Cheese, hard 35% fat</v>
      </c>
      <c r="N57" s="693" t="str">
        <f>_xlfn.IFNA(VLOOKUP($M57,Sedmica_1_količina_sva_sastojak!$C:$F,4,FALSE),"")</f>
        <v/>
      </c>
      <c r="O57" s="696" t="str">
        <f>IF(N57="","",COUNTIF($P$10:$P$256,"&lt;"&amp;P57)+COUNTIF($P$10:P57,P57))</f>
        <v/>
      </c>
      <c r="P57" s="694" t="str">
        <f t="shared" si="6"/>
        <v/>
      </c>
    </row>
    <row r="58" spans="1:17">
      <c r="A58" s="470">
        <v>49</v>
      </c>
      <c r="B58" s="1248" t="str">
        <f>IF($B$8=1,_xlfn.IFNA(VLOOKUP($A58,$L:$N,2,FALSE),""),_xlfn.IFNA(VLOOKUP($A58,Sedmica_2_količina_namirnica!$L:$N,2,FALSE),""))</f>
        <v>Icing sugar</v>
      </c>
      <c r="C58" s="448">
        <f>IF($B$8=1,_xlfn.IFNA(VLOOKUP($A58,$L:$N,3,FALSE)-0.0001,""),_xlfn.IFNA(VLOOKUP($A58,Sedmica_2_količina_namirnica!$L:$N,3,FALSE)-0.0001,""))</f>
        <v>0.17590000000000003</v>
      </c>
      <c r="D58" s="446">
        <f>IF(B58="Jaje kokošje, celo",IF(C58=INT(C58),C58,C58+1),IF(B58=""," ",_xlfn.IFNA(INT(C58*1000/(VLOOKUP($B58,Ingredient_prices!$E:$J,6,FALSE)))+1,"nije nabavljen")))</f>
        <v>1</v>
      </c>
      <c r="E58" s="446" t="str">
        <f>IF(C58="","",VLOOKUP($B58,Ingredient_prices!$E:$K,7,FALSE))</f>
        <v>ком</v>
      </c>
      <c r="F58" s="462">
        <f>IF(C58="","",IFERROR(IF(OR(E58="кг",E58="л"),VLOOKUP($B58,Ingredient_prices!$E:$V,16,FALSE)*D58,(VLOOKUP($B58,Ingredient_prices!$E:$P,12,FALSE)*D58)),""))</f>
        <v>55</v>
      </c>
      <c r="G58" s="450" t="str">
        <f>IF(C58="","",_xlfn.IFNA(MID(VLOOKUP($B58,Ingredient_prices!$E:$F,2,FALSE),9,2),""))</f>
        <v>2</v>
      </c>
      <c r="H58" s="447" t="str">
        <f>_xlfn.IFNA(VLOOKUP(CONCATENATE($I$9,$G58),Ingredient_prices!$G:$N,8,FALSE),"")</f>
        <v>КомерцПродукт</v>
      </c>
      <c r="I58" s="548">
        <f t="shared" si="7"/>
        <v>1</v>
      </c>
      <c r="J58" s="695" t="str">
        <f>IF(N58="","",MID(Ingredient_prices!F52,9,2))</f>
        <v/>
      </c>
      <c r="K58" s="692" t="str">
        <f t="shared" si="5"/>
        <v/>
      </c>
      <c r="L58" s="692" t="str">
        <f>IF(N58="","",COUNTIF($P$10:$P$256,"&lt;"&amp;P58)+COUNTIF($P$10:P58,P58))</f>
        <v/>
      </c>
      <c r="M58" s="692" t="str">
        <f>IF(Ingredient_prices!E52=M57,"",Ingredient_prices!E52)</f>
        <v>Fresh cheese</v>
      </c>
      <c r="N58" s="693" t="str">
        <f>_xlfn.IFNA(VLOOKUP($M58,Sedmica_1_količina_sva_sastojak!$C:$F,4,FALSE),"")</f>
        <v/>
      </c>
      <c r="O58" s="696" t="str">
        <f>IF(N58="","",COUNTIF($P$10:$P$256,"&lt;"&amp;P58)+COUNTIF($P$10:P58,P58))</f>
        <v/>
      </c>
      <c r="P58" s="694" t="str">
        <f t="shared" si="6"/>
        <v/>
      </c>
    </row>
    <row r="59" spans="1:17">
      <c r="A59" s="470">
        <v>50</v>
      </c>
      <c r="B59" s="1248" t="str">
        <f>IF($B$8=1,_xlfn.IFNA(VLOOKUP($A59,$L:$N,2,FALSE),""),_xlfn.IFNA(VLOOKUP($A59,Sedmica_2_količina_namirnica!$L:$N,2,FALSE),""))</f>
        <v>Salt</v>
      </c>
      <c r="C59" s="448">
        <f>IF($B$8=1,_xlfn.IFNA(VLOOKUP($A59,$L:$N,3,FALSE)-0.0001,""),_xlfn.IFNA(VLOOKUP($A59,Sedmica_2_količina_namirnica!$L:$N,3,FALSE)-0.0001,""))</f>
        <v>0.17480000000000001</v>
      </c>
      <c r="D59" s="446">
        <f>IF(B59="Jaje kokošje, celo",IF(C59=INT(C59),C59,C59+1),IF(B59=""," ",_xlfn.IFNA(INT(C59*1000/(VLOOKUP($B59,Ingredient_prices!$E:$J,6,FALSE)))+1,"nije nabavljen")))</f>
        <v>1</v>
      </c>
      <c r="E59" s="446" t="str">
        <f>IF(C59="","",VLOOKUP($B59,Ingredient_prices!$E:$K,7,FALSE))</f>
        <v>ком</v>
      </c>
      <c r="F59" s="462">
        <f>IF(C59="","",IFERROR(IF(OR(E59="кг",E59="л"),VLOOKUP($B59,Ingredient_prices!$E:$V,16,FALSE)*D59,(VLOOKUP($B59,Ingredient_prices!$E:$P,12,FALSE)*D59)),""))</f>
        <v>168</v>
      </c>
      <c r="G59" s="450" t="str">
        <f>IF(C59="","",_xlfn.IFNA(MID(VLOOKUP($B59,Ingredient_prices!$E:$F,2,FALSE),9,2),""))</f>
        <v>2</v>
      </c>
      <c r="H59" s="447" t="str">
        <f>_xlfn.IFNA(VLOOKUP(CONCATENATE($I$9,$G59),Ingredient_prices!$G:$N,8,FALSE),"")</f>
        <v>КомерцПродукт</v>
      </c>
      <c r="I59" s="548">
        <f t="shared" si="7"/>
        <v>1</v>
      </c>
      <c r="J59" s="695" t="str">
        <f>IF(N59="","",MID(Ingredient_prices!F53,9,2))</f>
        <v/>
      </c>
      <c r="K59" s="692" t="str">
        <f t="shared" si="5"/>
        <v/>
      </c>
      <c r="L59" s="692" t="str">
        <f>IF(N59="","",COUNTIF($P$10:$P$256,"&lt;"&amp;P59)+COUNTIF($P$10:P59,P59))</f>
        <v/>
      </c>
      <c r="M59" s="692" t="str">
        <f>IF(Ingredient_prices!E53=M58,"",Ingredient_prices!E53)</f>
        <v>Butter, unsalted</v>
      </c>
      <c r="N59" s="693" t="str">
        <f>_xlfn.IFNA(VLOOKUP($M59,Sedmica_1_količina_sva_sastojak!$C:$F,4,FALSE),"")</f>
        <v/>
      </c>
      <c r="O59" s="696" t="str">
        <f>IF(N59="","",COUNTIF($P$10:$P$256,"&lt;"&amp;P59)+COUNTIF($P$10:P59,P59))</f>
        <v/>
      </c>
      <c r="P59" s="694" t="str">
        <f t="shared" si="6"/>
        <v/>
      </c>
    </row>
    <row r="60" spans="1:17">
      <c r="A60" s="470">
        <v>51</v>
      </c>
      <c r="B60" s="1248" t="str">
        <f>IF($B$8=1,_xlfn.IFNA(VLOOKUP($A60,$L:$N,2,FALSE),""),_xlfn.IFNA(VLOOKUP($A60,Sedmica_2_količina_namirnica!$L:$N,2,FALSE),""))</f>
        <v>Spice C</v>
      </c>
      <c r="C60" s="448">
        <f>IF($B$8=1,_xlfn.IFNA(VLOOKUP($A60,$L:$N,3,FALSE)-0.0001,""),_xlfn.IFNA(VLOOKUP($A60,Sedmica_2_količina_namirnica!$L:$N,3,FALSE)-0.0001,""))</f>
        <v>6.59E-2</v>
      </c>
      <c r="D60" s="446">
        <f>IF(B60="Jaje kokošje, celo",IF(C60=INT(C60),C60,C60+1),IF(B60=""," ",_xlfn.IFNA(INT(C60*1000/(VLOOKUP($B60,Ingredient_prices!$E:$J,6,FALSE)))+1,"nije nabavljen")))</f>
        <v>1</v>
      </c>
      <c r="E60" s="446" t="str">
        <f>IF(C60="","",VLOOKUP($B60,Ingredient_prices!$E:$K,7,FALSE))</f>
        <v>ком</v>
      </c>
      <c r="F60" s="462">
        <f>IF(C60="","",IFERROR(IF(OR(E60="кг",E60="л"),VLOOKUP($B60,Ingredient_prices!$E:$V,16,FALSE)*D60,(VLOOKUP($B60,Ingredient_prices!$E:$P,12,FALSE)*D60)),""))</f>
        <v>184.8</v>
      </c>
      <c r="G60" s="450" t="str">
        <f>IF(C60="","",_xlfn.IFNA(MID(VLOOKUP($B60,Ingredient_prices!$E:$F,2,FALSE),9,2),""))</f>
        <v>2</v>
      </c>
      <c r="H60" s="447" t="str">
        <f>_xlfn.IFNA(VLOOKUP(CONCATENATE($I$9,$G60),Ingredient_prices!$G:$N,8,FALSE),"")</f>
        <v>КомерцПродукт</v>
      </c>
      <c r="I60" s="548">
        <f t="shared" si="7"/>
        <v>1</v>
      </c>
      <c r="J60" s="695" t="str">
        <f>IF(N60="","",MID(Ingredient_prices!F54,9,2))</f>
        <v/>
      </c>
      <c r="K60" s="692" t="str">
        <f t="shared" si="5"/>
        <v/>
      </c>
      <c r="L60" s="692" t="str">
        <f>IF(N60="","",COUNTIF($P$10:$P$256,"&lt;"&amp;P60)+COUNTIF($P$10:P60,P60))</f>
        <v/>
      </c>
      <c r="M60" s="692" t="str">
        <f>IF(Ingredient_prices!E54=M59,"",Ingredient_prices!E54)</f>
        <v>Chicken drumstick with skin</v>
      </c>
      <c r="N60" s="693" t="str">
        <f>_xlfn.IFNA(VLOOKUP($M60,Sedmica_1_količina_sva_sastojak!$C:$F,4,FALSE),"")</f>
        <v/>
      </c>
      <c r="O60" s="696" t="str">
        <f>IF(N60="","",COUNTIF($P$10:$P$256,"&lt;"&amp;P60)+COUNTIF($P$10:P60,P60))</f>
        <v/>
      </c>
      <c r="P60" s="694" t="str">
        <f t="shared" si="6"/>
        <v/>
      </c>
    </row>
    <row r="61" spans="1:17">
      <c r="A61" s="470">
        <v>52</v>
      </c>
      <c r="B61" s="1248" t="str">
        <f>IF($B$8=1,_xlfn.IFNA(VLOOKUP($A61,$L:$N,2,FALSE),""),_xlfn.IFNA(VLOOKUP($A61,Sedmica_2_količina_namirnica!$L:$N,2,FALSE),""))</f>
        <v>Garlic</v>
      </c>
      <c r="C61" s="448">
        <f>IF($B$8=1,_xlfn.IFNA(VLOOKUP($A61,$L:$N,3,FALSE)-0.0001,""),_xlfn.IFNA(VLOOKUP($A61,Sedmica_2_količina_namirnica!$L:$N,3,FALSE)-0.0001,""))</f>
        <v>5.4900000000000004E-2</v>
      </c>
      <c r="D61" s="446">
        <f>IF(B61="Jaje kokošje, celo",IF(C61=INT(C61),C61,C61+1),IF(B61=""," ",_xlfn.IFNA(INT(C61*1000/(VLOOKUP($B61,Ingredient_prices!$E:$J,6,FALSE)))+1,"nije nabavljen")))</f>
        <v>1</v>
      </c>
      <c r="E61" s="446" t="str">
        <f>IF(C61="","",VLOOKUP($B61,Ingredient_prices!$E:$K,7,FALSE))</f>
        <v>кг</v>
      </c>
      <c r="F61" s="462">
        <f>IF(C61="","",IFERROR(IF(OR(E61="кг",E61="л"),VLOOKUP($B61,Ingredient_prices!$E:$V,16,FALSE)*D61,(VLOOKUP($B61,Ingredient_prices!$E:$P,12,FALSE)*D61)),""))</f>
        <v>1142.8571428571429</v>
      </c>
      <c r="G61" s="450" t="str">
        <f>IF(C61="","",_xlfn.IFNA(MID(VLOOKUP($B61,Ingredient_prices!$E:$F,2,FALSE),9,2),""))</f>
        <v>2</v>
      </c>
      <c r="H61" s="447" t="str">
        <f>_xlfn.IFNA(VLOOKUP(CONCATENATE($I$9,$G61),Ingredient_prices!$G:$N,8,FALSE),"")</f>
        <v>КомерцПродукт</v>
      </c>
      <c r="I61" s="548">
        <f t="shared" si="7"/>
        <v>1</v>
      </c>
      <c r="J61" s="695" t="str">
        <f>IF(N61="","",MID(Ingredient_prices!F55,9,2))</f>
        <v/>
      </c>
      <c r="K61" s="692" t="str">
        <f t="shared" si="5"/>
        <v/>
      </c>
      <c r="L61" s="692" t="str">
        <f>IF(N61="","",COUNTIF($P$10:$P$256,"&lt;"&amp;P61)+COUNTIF($P$10:P61,P61))</f>
        <v/>
      </c>
      <c r="M61" s="692" t="str">
        <f>IF(Ingredient_prices!E55=M60,"",Ingredient_prices!E55)</f>
        <v>Chicken (whole), average</v>
      </c>
      <c r="N61" s="693" t="str">
        <f>_xlfn.IFNA(VLOOKUP($M61,Sedmica_1_količina_sva_sastojak!$C:$F,4,FALSE),"")</f>
        <v/>
      </c>
      <c r="O61" s="696" t="str">
        <f>IF(N61="","",COUNTIF($P$10:$P$256,"&lt;"&amp;P61)+COUNTIF($P$10:P61,P61))</f>
        <v/>
      </c>
      <c r="P61" s="694" t="str">
        <f t="shared" si="6"/>
        <v/>
      </c>
    </row>
    <row r="62" spans="1:17">
      <c r="A62" s="470">
        <v>53</v>
      </c>
      <c r="B62" s="1248" t="str">
        <f>IF($B$8=1,_xlfn.IFNA(VLOOKUP($A62,$L:$N,2,FALSE),""),_xlfn.IFNA(VLOOKUP($A62,Sedmica_2_količina_namirnica!$L:$N,2,FALSE),""))</f>
        <v>Baking powder</v>
      </c>
      <c r="C62" s="448">
        <f>IF($B$8=1,_xlfn.IFNA(VLOOKUP($A62,$L:$N,3,FALSE)-0.0001,""),_xlfn.IFNA(VLOOKUP($A62,Sedmica_2_količina_namirnica!$L:$N,3,FALSE)-0.0001,""))</f>
        <v>3.6200000000000003E-2</v>
      </c>
      <c r="D62" s="446">
        <f>IF(B62="Jaje kokošje, celo",IF(C62=INT(C62),C62,C62+1),IF(B62=""," ",_xlfn.IFNA(INT(C62*1000/(VLOOKUP($B62,Ingredient_prices!$E:$J,6,FALSE)))+1,"nije nabavljen")))</f>
        <v>4</v>
      </c>
      <c r="E62" s="446" t="str">
        <f>IF(C62="","",VLOOKUP($B62,Ingredient_prices!$E:$K,7,FALSE))</f>
        <v>ком</v>
      </c>
      <c r="F62" s="462">
        <f>IF(C62="","",IFERROR(IF(OR(E62="кг",E62="л"),VLOOKUP($B62,Ingredient_prices!$E:$V,16,FALSE)*D62,(VLOOKUP($B62,Ingredient_prices!$E:$P,12,FALSE)*D62)),""))</f>
        <v>12</v>
      </c>
      <c r="G62" s="450" t="str">
        <f>IF(C62="","",_xlfn.IFNA(MID(VLOOKUP($B62,Ingredient_prices!$E:$F,2,FALSE),9,2),""))</f>
        <v>2</v>
      </c>
      <c r="H62" s="447" t="str">
        <f>_xlfn.IFNA(VLOOKUP(CONCATENATE($I$9,$G62),Ingredient_prices!$G:$N,8,FALSE),"")</f>
        <v>КомерцПродукт</v>
      </c>
      <c r="I62" s="548">
        <f t="shared" si="7"/>
        <v>4</v>
      </c>
      <c r="J62" s="695" t="str">
        <f>IF(N62="","",MID(Ingredient_prices!F56,9,2))</f>
        <v>2</v>
      </c>
      <c r="K62" s="692">
        <f t="shared" si="5"/>
        <v>14</v>
      </c>
      <c r="L62" s="692">
        <f>IF(N62="","",COUNTIF($P$10:$P$256,"&lt;"&amp;P62)+COUNTIF($P$10:P62,P62))</f>
        <v>19</v>
      </c>
      <c r="M62" s="692" t="str">
        <f>IF(Ingredient_prices!E56=M61,"",Ingredient_prices!E56)</f>
        <v>Chicken breast</v>
      </c>
      <c r="N62" s="693">
        <f>_xlfn.IFNA(VLOOKUP($M62,Sedmica_1_količina_sva_sastojak!$C:$F,4,FALSE),"")</f>
        <v>6.6000000000000005</v>
      </c>
      <c r="O62" s="696">
        <f>IF(N62="","",COUNTIF($P$10:$P$256,"&lt;"&amp;P62)+COUNTIF($P$10:P62,P62))</f>
        <v>19</v>
      </c>
      <c r="P62" s="694">
        <f t="shared" si="6"/>
        <v>214</v>
      </c>
    </row>
    <row r="63" spans="1:17">
      <c r="A63" s="470">
        <v>54</v>
      </c>
      <c r="B63" s="1248" t="str">
        <f>IF($B$8=1,_xlfn.IFNA(VLOOKUP($A63,$L:$N,2,FALSE),""),_xlfn.IFNA(VLOOKUP($A63,Sedmica_2_količina_namirnica!$L:$N,2,FALSE),""))</f>
        <v/>
      </c>
      <c r="C63" s="448" t="str">
        <f>IF($B$8=1,_xlfn.IFNA(VLOOKUP($A63,$L:$N,3,FALSE)-0.0001,""),_xlfn.IFNA(VLOOKUP($A63,Sedmica_2_količina_namirnica!$L:$N,3,FALSE)-0.0001,""))</f>
        <v/>
      </c>
      <c r="D63" s="446" t="str">
        <f>IF(B63="Jaje kokošje, celo",IF(C63=INT(C63),C63,C63+1),IF(B63=""," ",_xlfn.IFNA(INT(C63*1000/(VLOOKUP($B63,Ingredient_prices!$E:$J,6,FALSE)))+1,"nije nabavljen")))</f>
        <v xml:space="preserve"> </v>
      </c>
      <c r="E63" s="446" t="str">
        <f>IF(C63="","",VLOOKUP($B63,Ingredient_prices!$E:$K,7,FALSE))</f>
        <v/>
      </c>
      <c r="F63" s="462" t="str">
        <f>IF(C63="","",IFERROR(IF(OR(E63="кг",E63="л"),VLOOKUP($B63,Ingredient_prices!$E:$V,16,FALSE)*D63,(VLOOKUP($B63,Ingredient_prices!$E:$P,12,FALSE)*D63)),""))</f>
        <v/>
      </c>
      <c r="G63" s="450" t="str">
        <f>IF(C63="","",_xlfn.IFNA(MID(VLOOKUP($B63,Ingredient_prices!$E:$F,2,FALSE),9,2),""))</f>
        <v/>
      </c>
      <c r="H63" s="447" t="str">
        <f>_xlfn.IFNA(VLOOKUP(CONCATENATE($I$9,$G63),Ingredient_prices!$G:$N,8,FALSE),"")</f>
        <v/>
      </c>
      <c r="I63" s="548" t="str">
        <f t="shared" si="7"/>
        <v/>
      </c>
      <c r="J63" s="695" t="str">
        <f>IF(N63="","",MID(Ingredient_prices!F57,9,2))</f>
        <v/>
      </c>
      <c r="K63" s="692" t="str">
        <f t="shared" si="5"/>
        <v/>
      </c>
      <c r="L63" s="692" t="str">
        <f>IF(N63="","",COUNTIF($P$10:$P$256,"&lt;"&amp;P63)+COUNTIF($P$10:P63,P63))</f>
        <v/>
      </c>
      <c r="M63" s="692" t="str">
        <f>IF(Ingredient_prices!E57=M62,"",Ingredient_prices!E57)</f>
        <v>Turkey breast</v>
      </c>
      <c r="N63" s="693" t="str">
        <f>_xlfn.IFNA(VLOOKUP($M63,Sedmica_1_količina_sva_sastojak!$C:$F,4,FALSE),"")</f>
        <v/>
      </c>
      <c r="O63" s="696" t="str">
        <f>IF(N63="","",COUNTIF($P$10:$P$256,"&lt;"&amp;P63)+COUNTIF($P$10:P63,P63))</f>
        <v/>
      </c>
      <c r="P63" s="694" t="str">
        <f t="shared" si="6"/>
        <v/>
      </c>
    </row>
    <row r="64" spans="1:17">
      <c r="A64" s="470">
        <v>55</v>
      </c>
      <c r="B64" s="1248" t="str">
        <f>IF($B$8=1,_xlfn.IFNA(VLOOKUP($A64,$L:$N,2,FALSE),""),_xlfn.IFNA(VLOOKUP($A64,Sedmica_2_količina_namirnica!$L:$N,2,FALSE),""))</f>
        <v/>
      </c>
      <c r="C64" s="448" t="str">
        <f>IF($B$8=1,_xlfn.IFNA(VLOOKUP($A64,$L:$N,3,FALSE)-0.0001,""),_xlfn.IFNA(VLOOKUP($A64,Sedmica_2_količina_namirnica!$L:$N,3,FALSE)-0.0001,""))</f>
        <v/>
      </c>
      <c r="D64" s="446" t="str">
        <f>IF(B64="Jaje kokošje, celo",IF(C64=INT(C64),C64,C64+1),IF(B64=""," ",_xlfn.IFNA(INT(C64*1000/(VLOOKUP($B64,Ingredient_prices!$E:$J,6,FALSE)))+1,"nije nabavljen")))</f>
        <v xml:space="preserve"> </v>
      </c>
      <c r="E64" s="446" t="str">
        <f>IF(C64="","",VLOOKUP($B64,Ingredient_prices!$E:$K,7,FALSE))</f>
        <v/>
      </c>
      <c r="F64" s="462" t="str">
        <f>IF(C64="","",IFERROR(IF(OR(E64="кг",E64="л"),VLOOKUP($B64,Ingredient_prices!$E:$V,16,FALSE)*D64,(VLOOKUP($B64,Ingredient_prices!$E:$P,12,FALSE)*D64)),""))</f>
        <v/>
      </c>
      <c r="G64" s="450" t="str">
        <f>IF(C64="","",_xlfn.IFNA(MID(VLOOKUP($B64,Ingredient_prices!$E:$F,2,FALSE),9,2),""))</f>
        <v/>
      </c>
      <c r="H64" s="447" t="str">
        <f>_xlfn.IFNA(VLOOKUP(CONCATENATE($I$9,$G64),Ingredient_prices!$G:$N,8,FALSE),"")</f>
        <v/>
      </c>
      <c r="I64" s="548" t="str">
        <f t="shared" si="7"/>
        <v/>
      </c>
      <c r="J64" s="695" t="str">
        <f>IF(N64="","",MID(Ingredient_prices!F58,9,2))</f>
        <v/>
      </c>
      <c r="K64" s="692" t="str">
        <f t="shared" si="5"/>
        <v/>
      </c>
      <c r="L64" s="692" t="str">
        <f>IF(N64="","",COUNTIF($P$10:$P$256,"&lt;"&amp;P64)+COUNTIF($P$10:P64,P64))</f>
        <v/>
      </c>
      <c r="M64" s="692" t="str">
        <f>IF(Ingredient_prices!E58=M63,"",Ingredient_prices!E58)</f>
        <v>Beef minced</v>
      </c>
      <c r="N64" s="693" t="str">
        <f>_xlfn.IFNA(VLOOKUP($M64,Sedmica_1_količina_sva_sastojak!$C:$F,4,FALSE),"")</f>
        <v/>
      </c>
      <c r="O64" s="696" t="str">
        <f>IF(N64="","",COUNTIF($P$10:$P$256,"&lt;"&amp;P64)+COUNTIF($P$10:P64,P64))</f>
        <v/>
      </c>
      <c r="P64" s="694" t="str">
        <f t="shared" si="6"/>
        <v/>
      </c>
    </row>
    <row r="65" spans="1:17">
      <c r="A65" s="470">
        <v>56</v>
      </c>
      <c r="B65" s="1248" t="str">
        <f>IF($B$8=1,_xlfn.IFNA(VLOOKUP($A65,$L:$N,2,FALSE),""),_xlfn.IFNA(VLOOKUP($A65,Sedmica_2_količina_namirnica!$L:$N,2,FALSE),""))</f>
        <v/>
      </c>
      <c r="C65" s="448" t="str">
        <f>IF($B$8=1,_xlfn.IFNA(VLOOKUP($A65,$L:$N,3,FALSE)-0.0001,""),_xlfn.IFNA(VLOOKUP($A65,Sedmica_2_količina_namirnica!$L:$N,3,FALSE)-0.0001,""))</f>
        <v/>
      </c>
      <c r="D65" s="446" t="str">
        <f>IF(B65="Jaje kokošje, celo",IF(C65=INT(C65),C65,C65+1),IF(B65=""," ",_xlfn.IFNA(INT(C65*1000/(VLOOKUP($B65,Ingredient_prices!$E:$J,6,FALSE)))+1,"nije nabavljen")))</f>
        <v xml:space="preserve"> </v>
      </c>
      <c r="E65" s="446" t="str">
        <f>IF(C65="","",VLOOKUP($B65,Ingredient_prices!$E:$K,7,FALSE))</f>
        <v/>
      </c>
      <c r="F65" s="462" t="str">
        <f>IF(C65="","",IFERROR(IF(OR(E65="кг",E65="л"),VLOOKUP($B65,Ingredient_prices!$E:$V,16,FALSE)*D65,(VLOOKUP($B65,Ingredient_prices!$E:$P,12,FALSE)*D65)),""))</f>
        <v/>
      </c>
      <c r="G65" s="450" t="str">
        <f>IF(C65="","",_xlfn.IFNA(MID(VLOOKUP($B65,Ingredient_prices!$E:$F,2,FALSE),9,2),""))</f>
        <v/>
      </c>
      <c r="H65" s="447" t="str">
        <f>_xlfn.IFNA(VLOOKUP(CONCATENATE($I$9,$G65),Ingredient_prices!$G:$N,8,FALSE),"")</f>
        <v/>
      </c>
      <c r="I65" s="548" t="str">
        <f t="shared" si="7"/>
        <v/>
      </c>
      <c r="J65" s="695" t="str">
        <f>IF(N65="","",MID(Ingredient_prices!F59,9,2))</f>
        <v/>
      </c>
      <c r="K65" s="692" t="str">
        <f t="shared" si="5"/>
        <v/>
      </c>
      <c r="L65" s="692" t="str">
        <f>IF(N65="","",COUNTIF($P$10:$P$256,"&lt;"&amp;P65)+COUNTIF($P$10:P65,P65))</f>
        <v/>
      </c>
      <c r="M65" s="692" t="str">
        <f>IF(Ingredient_prices!E59=M64,"",Ingredient_prices!E59)</f>
        <v>Beef rump/silverside</v>
      </c>
      <c r="N65" s="693" t="str">
        <f>_xlfn.IFNA(VLOOKUP($M65,Sedmica_1_količina_sva_sastojak!$C:$F,4,FALSE),"")</f>
        <v/>
      </c>
      <c r="O65" s="696" t="str">
        <f>IF(N65="","",COUNTIF($P$10:$P$256,"&lt;"&amp;P65)+COUNTIF($P$10:P65,P65))</f>
        <v/>
      </c>
      <c r="P65" s="694" t="str">
        <f t="shared" si="6"/>
        <v/>
      </c>
    </row>
    <row r="66" spans="1:17">
      <c r="A66" s="470">
        <v>57</v>
      </c>
      <c r="B66" s="1248" t="str">
        <f>IF($B$8=1,_xlfn.IFNA(VLOOKUP($A66,$L:$N,2,FALSE),""),_xlfn.IFNA(VLOOKUP($A66,Sedmica_2_količina_namirnica!$L:$N,2,FALSE),""))</f>
        <v/>
      </c>
      <c r="C66" s="448" t="str">
        <f>IF($B$8=1,_xlfn.IFNA(VLOOKUP($A66,$L:$N,3,FALSE)-0.0001,""),_xlfn.IFNA(VLOOKUP($A66,Sedmica_2_količina_namirnica!$L:$N,3,FALSE)-0.0001,""))</f>
        <v/>
      </c>
      <c r="D66" s="446" t="str">
        <f>IF(B66="Jaje kokošje, celo",IF(C66=INT(C66),C66,C66+1),IF(B66=""," ",_xlfn.IFNA(INT(C66*1000/(VLOOKUP($B66,Ingredient_prices!$E:$J,6,FALSE)))+1,"nije nabavljen")))</f>
        <v xml:space="preserve"> </v>
      </c>
      <c r="E66" s="446" t="str">
        <f>IF(C66="","",VLOOKUP($B66,Ingredient_prices!$E:$K,7,FALSE))</f>
        <v/>
      </c>
      <c r="F66" s="462" t="str">
        <f>IF(C66="","",IFERROR(IF(OR(E66="кг",E66="л"),VLOOKUP($B66,Ingredient_prices!$E:$V,16,FALSE)*D66,(VLOOKUP($B66,Ingredient_prices!$E:$P,12,FALSE)*D66)),""))</f>
        <v/>
      </c>
      <c r="G66" s="450" t="str">
        <f>IF(C66="","",_xlfn.IFNA(MID(VLOOKUP($B66,Ingredient_prices!$E:$F,2,FALSE),9,2),""))</f>
        <v/>
      </c>
      <c r="H66" s="447" t="str">
        <f>_xlfn.IFNA(VLOOKUP(CONCATENATE($I$9,$G66),Ingredient_prices!$G:$N,8,FALSE),"")</f>
        <v/>
      </c>
      <c r="I66" s="548" t="str">
        <f t="shared" si="7"/>
        <v/>
      </c>
      <c r="J66" s="695" t="str">
        <f>IF(N66="","",MID(Ingredient_prices!F60,9,2))</f>
        <v/>
      </c>
      <c r="K66" s="692" t="str">
        <f t="shared" si="5"/>
        <v/>
      </c>
      <c r="L66" s="692" t="str">
        <f>IF(N66="","",COUNTIF($P$10:$P$256,"&lt;"&amp;P66)+COUNTIF($P$10:P66,P66))</f>
        <v/>
      </c>
      <c r="M66" s="692" t="str">
        <f>IF(Ingredient_prices!E60=M65,"",Ingredient_prices!E60)</f>
        <v>Pork leg (steak)</v>
      </c>
      <c r="N66" s="693" t="str">
        <f>_xlfn.IFNA(VLOOKUP($M66,Sedmica_1_količina_sva_sastojak!$C:$F,4,FALSE),"")</f>
        <v/>
      </c>
      <c r="O66" s="696" t="str">
        <f>IF(N66="","",COUNTIF($P$10:$P$256,"&lt;"&amp;P66)+COUNTIF($P$10:P66,P66))</f>
        <v/>
      </c>
      <c r="P66" s="694" t="str">
        <f t="shared" si="6"/>
        <v/>
      </c>
    </row>
    <row r="67" spans="1:17">
      <c r="A67" s="470">
        <v>58</v>
      </c>
      <c r="B67" s="1248" t="str">
        <f>IF($B$8=1,_xlfn.IFNA(VLOOKUP($A67,$L:$N,2,FALSE),""),_xlfn.IFNA(VLOOKUP($A67,Sedmica_2_količina_namirnica!$L:$N,2,FALSE),""))</f>
        <v/>
      </c>
      <c r="C67" s="448" t="str">
        <f>IF($B$8=1,_xlfn.IFNA(VLOOKUP($A67,$L:$N,3,FALSE)-0.0001,""),_xlfn.IFNA(VLOOKUP($A67,Sedmica_2_količina_namirnica!$L:$N,3,FALSE)-0.0001,""))</f>
        <v/>
      </c>
      <c r="D67" s="446" t="str">
        <f>IF(B67="Jaje kokošje, celo",IF(C67=INT(C67),C67,C67+1),IF(B67=""," ",_xlfn.IFNA(INT(C67*1000/(VLOOKUP($B67,Ingredient_prices!$E:$J,6,FALSE)))+1,"nije nabavljen")))</f>
        <v xml:space="preserve"> </v>
      </c>
      <c r="E67" s="446" t="str">
        <f>IF(C67="","",VLOOKUP($B67,Ingredient_prices!$E:$K,7,FALSE))</f>
        <v/>
      </c>
      <c r="F67" s="462" t="str">
        <f>IF(C67="","",IFERROR(IF(OR(E67="кг",E67="л"),VLOOKUP($B67,Ingredient_prices!$E:$V,16,FALSE)*D67,(VLOOKUP($B67,Ingredient_prices!$E:$P,12,FALSE)*D67)),""))</f>
        <v/>
      </c>
      <c r="G67" s="450" t="str">
        <f>IF(C67="","",_xlfn.IFNA(MID(VLOOKUP($B67,Ingredient_prices!$E:$F,2,FALSE),9,2),""))</f>
        <v/>
      </c>
      <c r="H67" s="447" t="str">
        <f>_xlfn.IFNA(VLOOKUP(CONCATENATE($I$9,$G67),Ingredient_prices!$G:$N,8,FALSE),"")</f>
        <v/>
      </c>
      <c r="I67" s="548" t="str">
        <f t="shared" si="7"/>
        <v/>
      </c>
      <c r="J67" s="695" t="str">
        <f>IF(N67="","",MID(Ingredient_prices!F61,9,2))</f>
        <v/>
      </c>
      <c r="K67" s="692" t="str">
        <f t="shared" si="5"/>
        <v/>
      </c>
      <c r="L67" s="692" t="str">
        <f>IF(N67="","",COUNTIF($P$10:$P$256,"&lt;"&amp;P67)+COUNTIF($P$10:P67,P67))</f>
        <v/>
      </c>
      <c r="M67" s="692" t="str">
        <f>IF(Ingredient_prices!E61=M66,"",Ingredient_prices!E61)</f>
        <v>Pork ribs dry (smoked)</v>
      </c>
      <c r="N67" s="693" t="str">
        <f>_xlfn.IFNA(VLOOKUP($M67,Sedmica_1_količina_sva_sastojak!$C:$F,4,FALSE),"")</f>
        <v/>
      </c>
      <c r="O67" s="696" t="str">
        <f>IF(N67="","",COUNTIF($P$10:$P$256,"&lt;"&amp;P67)+COUNTIF($P$10:P67,P67))</f>
        <v/>
      </c>
      <c r="P67" s="694" t="str">
        <f t="shared" si="6"/>
        <v/>
      </c>
    </row>
    <row r="68" spans="1:17">
      <c r="A68" s="470">
        <v>59</v>
      </c>
      <c r="B68" s="1248" t="str">
        <f>IF($B$8=1,_xlfn.IFNA(VLOOKUP($A68,$L:$N,2,FALSE),""),_xlfn.IFNA(VLOOKUP($A68,Sedmica_2_količina_namirnica!$L:$N,2,FALSE),""))</f>
        <v/>
      </c>
      <c r="C68" s="448" t="str">
        <f>IF($B$8=1,_xlfn.IFNA(VLOOKUP($A68,$L:$N,3,FALSE)-0.0001,""),_xlfn.IFNA(VLOOKUP($A68,Sedmica_2_količina_namirnica!$L:$N,3,FALSE)-0.0001,""))</f>
        <v/>
      </c>
      <c r="D68" s="446" t="str">
        <f>IF(B68="Jaje kokošje, celo",IF(C68=INT(C68),C68,C68+1),IF(B68=""," ",_xlfn.IFNA(INT(C68*1000/(VLOOKUP($B68,Ingredient_prices!$E:$J,6,FALSE)))+1,"nije nabavljen")))</f>
        <v xml:space="preserve"> </v>
      </c>
      <c r="E68" s="446" t="str">
        <f>IF(C68="","",VLOOKUP($B68,Ingredient_prices!$E:$K,7,FALSE))</f>
        <v/>
      </c>
      <c r="F68" s="462" t="str">
        <f>IF(C68="","",IFERROR(IF(OR(E68="кг",E68="л"),VLOOKUP($B68,Ingredient_prices!$E:$V,16,FALSE)*D68,(VLOOKUP($B68,Ingredient_prices!$E:$P,12,FALSE)*D68)),""))</f>
        <v/>
      </c>
      <c r="G68" s="450" t="str">
        <f>IF(C68="","",_xlfn.IFNA(MID(VLOOKUP($B68,Ingredient_prices!$E:$F,2,FALSE),9,2),""))</f>
        <v/>
      </c>
      <c r="H68" s="447" t="str">
        <f>_xlfn.IFNA(VLOOKUP(CONCATENATE($I$9,$G68),Ingredient_prices!$G:$N,8,FALSE),"")</f>
        <v/>
      </c>
      <c r="I68" s="548" t="str">
        <f t="shared" si="7"/>
        <v/>
      </c>
      <c r="J68" s="695" t="str">
        <f>IF(N68="","",MID(Ingredient_prices!F62,9,2))</f>
        <v/>
      </c>
      <c r="K68" s="692" t="str">
        <f t="shared" si="5"/>
        <v/>
      </c>
      <c r="L68" s="692" t="str">
        <f>IF(N68="","",COUNTIF($P$10:$P$256,"&lt;"&amp;P68)+COUNTIF($P$10:P68,P68))</f>
        <v/>
      </c>
      <c r="M68" s="692" t="str">
        <f>IF(Ingredient_prices!E62=M67,"",Ingredient_prices!E62)</f>
        <v>Bacon (hambushka)</v>
      </c>
      <c r="N68" s="693" t="str">
        <f>_xlfn.IFNA(VLOOKUP($M68,Sedmica_1_količina_sva_sastojak!$C:$F,4,FALSE),"")</f>
        <v/>
      </c>
      <c r="O68" s="696" t="str">
        <f>IF(N68="","",COUNTIF($P$10:$P$256,"&lt;"&amp;P68)+COUNTIF($P$10:P68,P68))</f>
        <v/>
      </c>
      <c r="P68" s="694" t="str">
        <f t="shared" si="6"/>
        <v/>
      </c>
    </row>
    <row r="69" spans="1:17" s="445" customFormat="1">
      <c r="A69" s="470">
        <v>60</v>
      </c>
      <c r="B69" s="1248" t="str">
        <f>IF($B$8=1,_xlfn.IFNA(VLOOKUP($A69,$L:$N,2,FALSE),""),_xlfn.IFNA(VLOOKUP($A69,Sedmica_2_količina_namirnica!$L:$N,2,FALSE),""))</f>
        <v/>
      </c>
      <c r="C69" s="448" t="str">
        <f>IF($B$8=1,_xlfn.IFNA(VLOOKUP($A69,$L:$N,3,FALSE)-0.0001,""),_xlfn.IFNA(VLOOKUP($A69,Sedmica_2_količina_namirnica!$L:$N,3,FALSE)-0.0001,""))</f>
        <v/>
      </c>
      <c r="D69" s="446" t="str">
        <f>IF(B69="Jaje kokošje, celo",IF(C69=INT(C69),C69,C69+1),IF(B69=""," ",_xlfn.IFNA(INT(C69*1000/(VLOOKUP($B69,Ingredient_prices!$E:$J,6,FALSE)))+1,"nije nabavljen")))</f>
        <v xml:space="preserve"> </v>
      </c>
      <c r="E69" s="446" t="str">
        <f>IF(C69="","",VLOOKUP($B69,Ingredient_prices!$E:$K,7,FALSE))</f>
        <v/>
      </c>
      <c r="F69" s="462" t="str">
        <f>IF(C69="","",IFERROR(IF(OR(E69="кг",E69="л"),VLOOKUP($B69,Ingredient_prices!$E:$V,16,FALSE)*D69,(VLOOKUP($B69,Ingredient_prices!$E:$P,12,FALSE)*D69)),""))</f>
        <v/>
      </c>
      <c r="G69" s="450" t="str">
        <f>IF(C69="","",_xlfn.IFNA(MID(VLOOKUP($B69,Ingredient_prices!$E:$F,2,FALSE),9,2),""))</f>
        <v/>
      </c>
      <c r="H69" s="447" t="str">
        <f>_xlfn.IFNA(VLOOKUP(CONCATENATE($I$9,$G69),Ingredient_prices!$G:$N,8,FALSE),"")</f>
        <v/>
      </c>
      <c r="I69" s="548" t="str">
        <f t="shared" si="7"/>
        <v/>
      </c>
      <c r="J69" s="695" t="str">
        <f>IF(N69="","",MID(Ingredient_prices!F63,9,2))</f>
        <v>2</v>
      </c>
      <c r="K69" s="692">
        <f t="shared" si="5"/>
        <v>16</v>
      </c>
      <c r="L69" s="692">
        <f>IF(N69="","",COUNTIF($P$10:$P$256,"&lt;"&amp;P69)+COUNTIF($P$10:P69,P69))</f>
        <v>21</v>
      </c>
      <c r="M69" s="692" t="str">
        <f>IF(Ingredient_prices!E63=M68,"",Ingredient_prices!E63)</f>
        <v>Pork neck, dried meat</v>
      </c>
      <c r="N69" s="693">
        <f>_xlfn.IFNA(VLOOKUP($M69,Sedmica_1_količina_sva_sastojak!$C:$F,4,FALSE),"")</f>
        <v>5.5000000000000009</v>
      </c>
      <c r="O69" s="696">
        <f>IF(N69="","",COUNTIF($P$10:$P$256,"&lt;"&amp;P69)+COUNTIF($P$10:P69,P69))</f>
        <v>21</v>
      </c>
      <c r="P69" s="694">
        <f t="shared" si="6"/>
        <v>216</v>
      </c>
      <c r="Q69" s="692"/>
    </row>
    <row r="70" spans="1:17">
      <c r="A70" s="470">
        <v>61</v>
      </c>
      <c r="B70" s="1248" t="str">
        <f>IF($B$8=1,_xlfn.IFNA(VLOOKUP($A70,$L:$N,2,FALSE),""),_xlfn.IFNA(VLOOKUP($A70,Sedmica_2_količina_namirnica!$L:$N,2,FALSE),""))</f>
        <v/>
      </c>
      <c r="C70" s="448" t="str">
        <f>IF($B$8=1,_xlfn.IFNA(VLOOKUP($A70,$L:$N,3,FALSE)-0.0001,""),_xlfn.IFNA(VLOOKUP($A70,Sedmica_2_količina_namirnica!$L:$N,3,FALSE)-0.0001,""))</f>
        <v/>
      </c>
      <c r="D70" s="446" t="str">
        <f>IF(B70="Jaje kokošje, celo",IF(C70=INT(C70),C70,C70+1),IF(B70=""," ",_xlfn.IFNA(INT(C70*1000/(VLOOKUP($B70,Ingredient_prices!$E:$J,6,FALSE)))+1,"nije nabavljen")))</f>
        <v xml:space="preserve"> </v>
      </c>
      <c r="E70" s="446" t="str">
        <f>IF(C70="","",VLOOKUP($B70,Ingredient_prices!$E:$K,7,FALSE))</f>
        <v/>
      </c>
      <c r="F70" s="462" t="str">
        <f>IF(C70="","",IFERROR(IF(OR(E70="кг",E70="л"),VLOOKUP($B70,Ingredient_prices!$E:$V,16,FALSE)*D70,(VLOOKUP($B70,Ingredient_prices!$E:$P,12,FALSE)*D70)),""))</f>
        <v/>
      </c>
      <c r="G70" s="450" t="str">
        <f>IF(C70="","",_xlfn.IFNA(MID(VLOOKUP($B70,Ingredient_prices!$E:$F,2,FALSE),9,2),""))</f>
        <v/>
      </c>
      <c r="H70" s="447" t="str">
        <f>_xlfn.IFNA(VLOOKUP(CONCATENATE($I$9,$G70),Ingredient_prices!$G:$N,8,FALSE),"")</f>
        <v/>
      </c>
      <c r="I70" s="548" t="str">
        <f t="shared" si="7"/>
        <v/>
      </c>
      <c r="J70" s="695" t="str">
        <f>IF(N70="","",MID(Ingredient_prices!F64,9,2))</f>
        <v/>
      </c>
      <c r="K70" s="692" t="str">
        <f t="shared" si="5"/>
        <v/>
      </c>
      <c r="L70" s="692" t="str">
        <f>IF(N70="","",COUNTIF($P$10:$P$256,"&lt;"&amp;P70)+COUNTIF($P$10:P70,P70))</f>
        <v/>
      </c>
      <c r="M70" s="692" t="str">
        <f>IF(Ingredient_prices!E64=M69,"",Ingredient_prices!E64)</f>
        <v>Ham smoked, dried</v>
      </c>
      <c r="N70" s="693" t="str">
        <f>_xlfn.IFNA(VLOOKUP($M70,Sedmica_1_količina_sva_sastojak!$C:$F,4,FALSE),"")</f>
        <v/>
      </c>
      <c r="O70" s="696" t="str">
        <f>IF(N70="","",COUNTIF($P$10:$P$256,"&lt;"&amp;P70)+COUNTIF($P$10:P70,P70))</f>
        <v/>
      </c>
      <c r="P70" s="694" t="str">
        <f t="shared" si="6"/>
        <v/>
      </c>
    </row>
    <row r="71" spans="1:17">
      <c r="A71" s="470">
        <v>62</v>
      </c>
      <c r="B71" s="1248" t="str">
        <f>IF($B$8=1,_xlfn.IFNA(VLOOKUP($A71,$L:$N,2,FALSE),""),_xlfn.IFNA(VLOOKUP($A71,Sedmica_2_količina_namirnica!$L:$N,2,FALSE),""))</f>
        <v/>
      </c>
      <c r="C71" s="448" t="str">
        <f>IF($B$8=1,_xlfn.IFNA(VLOOKUP($A71,$L:$N,3,FALSE)-0.0001,""),_xlfn.IFNA(VLOOKUP($A71,Sedmica_2_količina_namirnica!$L:$N,3,FALSE)-0.0001,""))</f>
        <v/>
      </c>
      <c r="D71" s="446" t="str">
        <f>IF(B71="Jaje kokošje, celo",IF(C71=INT(C71),C71,C71+1),IF(B71=""," ",_xlfn.IFNA(INT(C71*1000/(VLOOKUP($B71,Ingredient_prices!$E:$J,6,FALSE)))+1,"nije nabavljen")))</f>
        <v xml:space="preserve"> </v>
      </c>
      <c r="E71" s="446" t="str">
        <f>IF(C71="","",VLOOKUP($B71,Ingredient_prices!$E:$K,7,FALSE))</f>
        <v/>
      </c>
      <c r="F71" s="462" t="str">
        <f>IF(C71="","",IFERROR(IF(OR(E71="кг",E71="л"),VLOOKUP($B71,Ingredient_prices!$E:$V,16,FALSE)*D71,(VLOOKUP($B71,Ingredient_prices!$E:$P,12,FALSE)*D71)),""))</f>
        <v/>
      </c>
      <c r="G71" s="450" t="str">
        <f>IF(C71="","",_xlfn.IFNA(MID(VLOOKUP($B71,Ingredient_prices!$E:$F,2,FALSE),9,2),""))</f>
        <v/>
      </c>
      <c r="H71" s="447" t="str">
        <f>_xlfn.IFNA(VLOOKUP(CONCATENATE($I$9,$G71),Ingredient_prices!$G:$N,8,FALSE),"")</f>
        <v/>
      </c>
      <c r="I71" s="548" t="str">
        <f t="shared" si="7"/>
        <v/>
      </c>
      <c r="J71" s="695" t="str">
        <f>IF(N71="","",MID(Ingredient_prices!F65,9,2))</f>
        <v>2</v>
      </c>
      <c r="K71" s="692">
        <f t="shared" si="5"/>
        <v>16</v>
      </c>
      <c r="L71" s="692">
        <f>IF(N71="","",COUNTIF($P$10:$P$256,"&lt;"&amp;P71)+COUNTIF($P$10:P71,P71))</f>
        <v>22</v>
      </c>
      <c r="M71" s="692" t="str">
        <f>IF(Ingredient_prices!E65=M70,"",Ingredient_prices!E65)</f>
        <v>Hot dog sausage (chicken)</v>
      </c>
      <c r="N71" s="693">
        <f>_xlfn.IFNA(VLOOKUP($M71,Sedmica_1_količina_sva_sastojak!$C:$F,4,FALSE),"")</f>
        <v>5.5000000000000009</v>
      </c>
      <c r="O71" s="696">
        <f>IF(N71="","",COUNTIF($P$10:$P$256,"&lt;"&amp;P71)+COUNTIF($P$10:P71,P71))</f>
        <v>22</v>
      </c>
      <c r="P71" s="694">
        <f t="shared" si="6"/>
        <v>216</v>
      </c>
    </row>
    <row r="72" spans="1:17">
      <c r="A72" s="470">
        <v>63</v>
      </c>
      <c r="B72" s="1248" t="str">
        <f>IF($B$8=1,_xlfn.IFNA(VLOOKUP($A72,$L:$N,2,FALSE),""),_xlfn.IFNA(VLOOKUP($A72,Sedmica_2_količina_namirnica!$L:$N,2,FALSE),""))</f>
        <v/>
      </c>
      <c r="C72" s="448" t="str">
        <f>IF($B$8=1,_xlfn.IFNA(VLOOKUP($A72,$L:$N,3,FALSE)-0.0001,""),_xlfn.IFNA(VLOOKUP($A72,Sedmica_2_količina_namirnica!$L:$N,3,FALSE)-0.0001,""))</f>
        <v/>
      </c>
      <c r="D72" s="446" t="str">
        <f>IF(B72="Jaje kokošje, celo",IF(C72=INT(C72),C72,C72+1),IF(B72=""," ",_xlfn.IFNA(INT(C72*1000/(VLOOKUP($B72,Ingredient_prices!$E:$J,6,FALSE)))+1,"nije nabavljen")))</f>
        <v xml:space="preserve"> </v>
      </c>
      <c r="E72" s="446" t="str">
        <f>IF(C72="","",VLOOKUP($B72,Ingredient_prices!$E:$K,7,FALSE))</f>
        <v/>
      </c>
      <c r="F72" s="462" t="str">
        <f>IF(C72="","",IFERROR(IF(OR(E72="кг",E72="л"),VLOOKUP($B72,Ingredient_prices!$E:$V,16,FALSE)*D72,(VLOOKUP($B72,Ingredient_prices!$E:$P,12,FALSE)*D72)),""))</f>
        <v/>
      </c>
      <c r="G72" s="450" t="str">
        <f>IF(C72="","",_xlfn.IFNA(MID(VLOOKUP($B72,Ingredient_prices!$E:$F,2,FALSE),9,2),""))</f>
        <v/>
      </c>
      <c r="H72" s="447" t="str">
        <f>_xlfn.IFNA(VLOOKUP(CONCATENATE($I$9,$G72),Ingredient_prices!$G:$N,8,FALSE),"")</f>
        <v/>
      </c>
      <c r="I72" s="548" t="str">
        <f t="shared" si="7"/>
        <v/>
      </c>
      <c r="J72" s="695" t="str">
        <f>IF(N72="","",MID(Ingredient_prices!F66,9,2))</f>
        <v/>
      </c>
      <c r="K72" s="692" t="str">
        <f t="shared" si="5"/>
        <v/>
      </c>
      <c r="L72" s="692" t="str">
        <f>IF(N72="","",COUNTIF($P$10:$P$256,"&lt;"&amp;P72)+COUNTIF($P$10:P72,P72))</f>
        <v/>
      </c>
      <c r="M72" s="692" t="str">
        <f>IF(Ingredient_prices!E66=M71,"",Ingredient_prices!E66)</f>
        <v>Herbal sausage</v>
      </c>
      <c r="N72" s="693" t="str">
        <f>_xlfn.IFNA(VLOOKUP($M72,Sedmica_1_količina_sva_sastojak!$C:$F,4,FALSE),"")</f>
        <v/>
      </c>
      <c r="O72" s="696" t="str">
        <f>IF(N72="","",COUNTIF($P$10:$P$256,"&lt;"&amp;P72)+COUNTIF($P$10:P72,P72))</f>
        <v/>
      </c>
      <c r="P72" s="694" t="str">
        <f t="shared" si="6"/>
        <v/>
      </c>
    </row>
    <row r="73" spans="1:17">
      <c r="A73" s="470">
        <v>64</v>
      </c>
      <c r="B73" s="1248" t="str">
        <f>IF($B$8=1,_xlfn.IFNA(VLOOKUP($A73,$L:$N,2,FALSE),""),_xlfn.IFNA(VLOOKUP($A73,Sedmica_2_količina_namirnica!$L:$N,2,FALSE),""))</f>
        <v/>
      </c>
      <c r="C73" s="448" t="str">
        <f>IF($B$8=1,_xlfn.IFNA(VLOOKUP($A73,$L:$N,3,FALSE)-0.0001,""),_xlfn.IFNA(VLOOKUP($A73,Sedmica_2_količina_namirnica!$L:$N,3,FALSE)-0.0001,""))</f>
        <v/>
      </c>
      <c r="D73" s="446" t="str">
        <f>IF(B73="Jaje kokošje, celo",IF(C73=INT(C73),C73,C73+1),IF(B73=""," ",_xlfn.IFNA(INT(C73*1000/(VLOOKUP($B73,Ingredient_prices!$E:$J,6,FALSE)))+1,"nije nabavljen")))</f>
        <v xml:space="preserve"> </v>
      </c>
      <c r="E73" s="446" t="str">
        <f>IF(C73="","",VLOOKUP($B73,Ingredient_prices!$E:$K,7,FALSE))</f>
        <v/>
      </c>
      <c r="F73" s="462" t="str">
        <f>IF(C73="","",IFERROR(IF(OR(E73="кг",E73="л"),VLOOKUP($B73,Ingredient_prices!$E:$V,16,FALSE)*D73,(VLOOKUP($B73,Ingredient_prices!$E:$P,12,FALSE)*D73)),""))</f>
        <v/>
      </c>
      <c r="G73" s="450" t="str">
        <f>IF(C73="","",_xlfn.IFNA(MID(VLOOKUP($B73,Ingredient_prices!$E:$F,2,FALSE),9,2),""))</f>
        <v/>
      </c>
      <c r="H73" s="447" t="str">
        <f>_xlfn.IFNA(VLOOKUP(CONCATENATE($I$9,$G73),Ingredient_prices!$G:$N,8,FALSE),"")</f>
        <v/>
      </c>
      <c r="I73" s="548" t="str">
        <f t="shared" si="7"/>
        <v/>
      </c>
      <c r="J73" s="695" t="str">
        <f>IF(N73="","",MID(Ingredient_prices!F67,9,2))</f>
        <v/>
      </c>
      <c r="K73" s="692" t="str">
        <f t="shared" si="5"/>
        <v/>
      </c>
      <c r="L73" s="692" t="str">
        <f>IF(N73="","",COUNTIF($P$10:$P$256,"&lt;"&amp;P73)+COUNTIF($P$10:P73,P73))</f>
        <v/>
      </c>
      <c r="M73" s="692" t="str">
        <f>IF(Ingredient_prices!E67=M72,"",Ingredient_prices!E67)</f>
        <v>Sausage kulen</v>
      </c>
      <c r="N73" s="693" t="str">
        <f>_xlfn.IFNA(VLOOKUP($M73,Sedmica_1_količina_sva_sastojak!$C:$F,4,FALSE),"")</f>
        <v/>
      </c>
      <c r="O73" s="696" t="str">
        <f>IF(N73="","",COUNTIF($P$10:$P$256,"&lt;"&amp;P73)+COUNTIF($P$10:P73,P73))</f>
        <v/>
      </c>
      <c r="P73" s="694" t="str">
        <f t="shared" si="6"/>
        <v/>
      </c>
    </row>
    <row r="74" spans="1:17">
      <c r="A74" s="470">
        <v>65</v>
      </c>
      <c r="B74" s="1248" t="str">
        <f>IF($B$8=1,_xlfn.IFNA(VLOOKUP($A74,$L:$N,2,FALSE),""),_xlfn.IFNA(VLOOKUP($A74,Sedmica_2_količina_namirnica!$L:$N,2,FALSE),""))</f>
        <v/>
      </c>
      <c r="C74" s="448" t="str">
        <f>IF($B$8=1,_xlfn.IFNA(VLOOKUP($A74,$L:$N,3,FALSE)-0.0001,""),_xlfn.IFNA(VLOOKUP($A74,Sedmica_2_količina_namirnica!$L:$N,3,FALSE)-0.0001,""))</f>
        <v/>
      </c>
      <c r="D74" s="446" t="str">
        <f>IF(B74="Jaje kokošje, celo",IF(C74=INT(C74),C74,C74+1),IF(B74=""," ",_xlfn.IFNA(INT(C74*1000/(VLOOKUP($B74,Ingredient_prices!$E:$J,6,FALSE)))+1,"nije nabavljen")))</f>
        <v xml:space="preserve"> </v>
      </c>
      <c r="E74" s="446" t="str">
        <f>IF(C74="","",VLOOKUP($B74,Ingredient_prices!$E:$K,7,FALSE))</f>
        <v/>
      </c>
      <c r="F74" s="462" t="str">
        <f>IF(C74="","",IFERROR(IF(OR(E74="кг",E74="л"),VLOOKUP($B74,Ingredient_prices!$E:$V,16,FALSE)*D74,(VLOOKUP($B74,Ingredient_prices!$E:$P,12,FALSE)*D74)),""))</f>
        <v/>
      </c>
      <c r="G74" s="450" t="str">
        <f>IF(C74="","",_xlfn.IFNA(MID(VLOOKUP($B74,Ingredient_prices!$E:$F,2,FALSE),9,2),""))</f>
        <v/>
      </c>
      <c r="H74" s="447" t="str">
        <f>_xlfn.IFNA(VLOOKUP(CONCATENATE($I$9,$G74),Ingredient_prices!$G:$N,8,FALSE),"")</f>
        <v/>
      </c>
      <c r="I74" s="548" t="str">
        <f t="shared" si="7"/>
        <v/>
      </c>
      <c r="J74" s="695" t="str">
        <f>IF(N74="","",MID(Ingredient_prices!F68,9,2))</f>
        <v/>
      </c>
      <c r="K74" s="692" t="str">
        <f t="shared" si="5"/>
        <v/>
      </c>
      <c r="L74" s="692" t="str">
        <f>IF(N74="","",COUNTIF($P$10:$P$256,"&lt;"&amp;P74)+COUNTIF($P$10:P74,P74))</f>
        <v/>
      </c>
      <c r="M74" s="692" t="str">
        <f>IF(Ingredient_prices!E68=M73,"",Ingredient_prices!E68)</f>
        <v>Ham for pizza</v>
      </c>
      <c r="N74" s="693" t="str">
        <f>_xlfn.IFNA(VLOOKUP($M74,Sedmica_1_količina_sva_sastojak!$C:$F,4,FALSE),"")</f>
        <v/>
      </c>
      <c r="O74" s="696" t="str">
        <f>IF(N74="","",COUNTIF($P$10:$P$256,"&lt;"&amp;P74)+COUNTIF($P$10:P74,P74))</f>
        <v/>
      </c>
      <c r="P74" s="694" t="str">
        <f t="shared" si="6"/>
        <v/>
      </c>
    </row>
    <row r="75" spans="1:17">
      <c r="A75" s="470">
        <v>66</v>
      </c>
      <c r="B75" s="1248" t="str">
        <f>IF($B$8=1,_xlfn.IFNA(VLOOKUP($A75,$L:$N,2,FALSE),""),_xlfn.IFNA(VLOOKUP($A75,Sedmica_2_količina_namirnica!$L:$N,2,FALSE),""))</f>
        <v/>
      </c>
      <c r="C75" s="448" t="str">
        <f>IF($B$8=1,_xlfn.IFNA(VLOOKUP($A75,$L:$N,3,FALSE)-0.0001,""),_xlfn.IFNA(VLOOKUP($A75,Sedmica_2_količina_namirnica!$L:$N,3,FALSE)-0.0001,""))</f>
        <v/>
      </c>
      <c r="D75" s="446" t="str">
        <f>IF(B75="Jaje kokošje, celo",IF(C75=INT(C75),C75,C75+1),IF(B75=""," ",_xlfn.IFNA(INT(C75*1000/(VLOOKUP($B75,Ingredient_prices!$E:$J,6,FALSE)))+1,"nije nabavljen")))</f>
        <v xml:space="preserve"> </v>
      </c>
      <c r="E75" s="446" t="str">
        <f>IF(C75="","",VLOOKUP($B75,Ingredient_prices!$E:$K,7,FALSE))</f>
        <v/>
      </c>
      <c r="F75" s="462" t="str">
        <f>IF(C75="","",IFERROR(IF(OR(E75="кг",E75="л"),VLOOKUP($B75,Ingredient_prices!$E:$V,16,FALSE)*D75,(VLOOKUP($B75,Ingredient_prices!$E:$P,12,FALSE)*D75)),""))</f>
        <v/>
      </c>
      <c r="G75" s="450" t="str">
        <f>IF(C75="","",_xlfn.IFNA(MID(VLOOKUP($B75,Ingredient_prices!$E:$F,2,FALSE),9,2),""))</f>
        <v/>
      </c>
      <c r="H75" s="447" t="str">
        <f>_xlfn.IFNA(VLOOKUP(CONCATENATE($I$9,$G75),Ingredient_prices!$G:$N,8,FALSE),"")</f>
        <v/>
      </c>
      <c r="I75" s="548" t="str">
        <f t="shared" si="7"/>
        <v/>
      </c>
      <c r="J75" s="695" t="str">
        <f>IF(N75="","",MID(Ingredient_prices!F69,9,2))</f>
        <v/>
      </c>
      <c r="K75" s="692" t="str">
        <f t="shared" si="5"/>
        <v/>
      </c>
      <c r="L75" s="692" t="str">
        <f>IF(N75="","",COUNTIF($P$10:$P$256,"&lt;"&amp;P75)+COUNTIF($P$10:P75,P75))</f>
        <v/>
      </c>
      <c r="M75" s="692" t="str">
        <f>IF(Ingredient_prices!E69=M74,"",Ingredient_prices!E69)</f>
        <v>Ham processed in a wrap</v>
      </c>
      <c r="N75" s="693" t="str">
        <f>_xlfn.IFNA(VLOOKUP($M75,Sedmica_1_količina_sva_sastojak!$C:$F,4,FALSE),"")</f>
        <v/>
      </c>
      <c r="O75" s="696" t="str">
        <f>IF(N75="","",COUNTIF($P$10:$P$256,"&lt;"&amp;P75)+COUNTIF($P$10:P75,P75))</f>
        <v/>
      </c>
      <c r="P75" s="694" t="str">
        <f t="shared" si="6"/>
        <v/>
      </c>
    </row>
    <row r="76" spans="1:17">
      <c r="A76" s="470">
        <v>67</v>
      </c>
      <c r="B76" s="1248" t="str">
        <f>IF($B$8=1,_xlfn.IFNA(VLOOKUP($A76,$L:$N,2,FALSE),""),_xlfn.IFNA(VLOOKUP($A76,Sedmica_2_količina_namirnica!$L:$N,2,FALSE),""))</f>
        <v/>
      </c>
      <c r="C76" s="448" t="str">
        <f>IF($B$8=1,_xlfn.IFNA(VLOOKUP($A76,$L:$N,3,FALSE)-0.0001,""),_xlfn.IFNA(VLOOKUP($A76,Sedmica_2_količina_namirnica!$L:$N,3,FALSE)-0.0001,""))</f>
        <v/>
      </c>
      <c r="D76" s="446" t="str">
        <f>IF(B76="Jaje kokošje, celo",IF(C76=INT(C76),C76,C76+1),IF(B76=""," ",_xlfn.IFNA(INT(C76*1000/(VLOOKUP($B76,Ingredient_prices!$E:$J,6,FALSE)))+1,"nije nabavljen")))</f>
        <v xml:space="preserve"> </v>
      </c>
      <c r="E76" s="446" t="str">
        <f>IF(C76="","",VLOOKUP($B76,Ingredient_prices!$E:$K,7,FALSE))</f>
        <v/>
      </c>
      <c r="F76" s="462" t="str">
        <f>IF(C76="","",IFERROR(IF(OR(E76="кг",E76="л"),VLOOKUP($B76,Ingredient_prices!$E:$V,16,FALSE)*D76,(VLOOKUP($B76,Ingredient_prices!$E:$P,12,FALSE)*D76)),""))</f>
        <v/>
      </c>
      <c r="G76" s="450" t="str">
        <f>IF(C76="","",_xlfn.IFNA(MID(VLOOKUP($B76,Ingredient_prices!$E:$F,2,FALSE),9,2),""))</f>
        <v/>
      </c>
      <c r="H76" s="447" t="str">
        <f>_xlfn.IFNA(VLOOKUP(CONCATENATE($I$9,$G76),Ingredient_prices!$G:$N,8,FALSE),"")</f>
        <v/>
      </c>
      <c r="I76" s="548" t="str">
        <f t="shared" si="7"/>
        <v/>
      </c>
      <c r="J76" s="695" t="str">
        <f>IF(N76="","",MID(Ingredient_prices!F70,9,2))</f>
        <v/>
      </c>
      <c r="K76" s="692" t="str">
        <f t="shared" si="5"/>
        <v/>
      </c>
      <c r="L76" s="692" t="str">
        <f>IF(N76="","",COUNTIF($P$10:$P$256,"&lt;"&amp;P76)+COUNTIF($P$10:P76,P76))</f>
        <v/>
      </c>
      <c r="M76" s="692" t="str">
        <f>IF(Ingredient_prices!E70=M75,"",Ingredient_prices!E70)</f>
        <v>Ham processed</v>
      </c>
      <c r="N76" s="693" t="str">
        <f>_xlfn.IFNA(VLOOKUP($M76,Sedmica_1_količina_sva_sastojak!$C:$F,4,FALSE),"")</f>
        <v/>
      </c>
      <c r="O76" s="696" t="str">
        <f>IF(N76="","",COUNTIF($P$10:$P$256,"&lt;"&amp;P76)+COUNTIF($P$10:P76,P76))</f>
        <v/>
      </c>
      <c r="P76" s="694" t="str">
        <f t="shared" si="6"/>
        <v/>
      </c>
    </row>
    <row r="77" spans="1:17">
      <c r="A77" s="470">
        <v>68</v>
      </c>
      <c r="B77" s="1248" t="str">
        <f>IF($B$8=1,_xlfn.IFNA(VLOOKUP($A77,$L:$N,2,FALSE),""),_xlfn.IFNA(VLOOKUP($A77,Sedmica_2_količina_namirnica!$L:$N,2,FALSE),""))</f>
        <v/>
      </c>
      <c r="C77" s="448" t="str">
        <f>IF($B$8=1,_xlfn.IFNA(VLOOKUP($A77,$L:$N,3,FALSE)-0.0001,""),_xlfn.IFNA(VLOOKUP($A77,Sedmica_2_količina_namirnica!$L:$N,3,FALSE)-0.0001,""))</f>
        <v/>
      </c>
      <c r="D77" s="446" t="str">
        <f>IF(B77="Jaje kokošje, celo",IF(C77=INT(C77),C77,C77+1),IF(B77=""," ",_xlfn.IFNA(INT(C77*1000/(VLOOKUP($B77,Ingredient_prices!$E:$J,6,FALSE)))+1,"nije nabavljen")))</f>
        <v xml:space="preserve"> </v>
      </c>
      <c r="E77" s="446" t="str">
        <f>IF(C77="","",VLOOKUP($B77,Ingredient_prices!$E:$K,7,FALSE))</f>
        <v/>
      </c>
      <c r="F77" s="462" t="str">
        <f>IF(C77="","",IFERROR(IF(OR(E77="кг",E77="л"),VLOOKUP($B77,Ingredient_prices!$E:$V,16,FALSE)*D77,(VLOOKUP($B77,Ingredient_prices!$E:$P,12,FALSE)*D77)),""))</f>
        <v/>
      </c>
      <c r="G77" s="450" t="str">
        <f>IF(C77="","",_xlfn.IFNA(MID(VLOOKUP($B77,Ingredient_prices!$E:$F,2,FALSE),9,2),""))</f>
        <v/>
      </c>
      <c r="H77" s="447" t="str">
        <f>_xlfn.IFNA(VLOOKUP(CONCATENATE($I$9,$G77),Ingredient_prices!$G:$N,8,FALSE),"")</f>
        <v/>
      </c>
      <c r="I77" s="548" t="str">
        <f t="shared" si="7"/>
        <v/>
      </c>
      <c r="J77" s="695" t="str">
        <f>IF(N77="","",MID(Ingredient_prices!F71,9,2))</f>
        <v/>
      </c>
      <c r="K77" s="692" t="str">
        <f t="shared" si="5"/>
        <v/>
      </c>
      <c r="L77" s="692" t="str">
        <f>IF(N77="","",COUNTIF($P$10:$P$256,"&lt;"&amp;P77)+COUNTIF($P$10:P77,P77))</f>
        <v/>
      </c>
      <c r="M77" s="692" t="str">
        <f>IF(Ingredient_prices!E71=M76,"",Ingredient_prices!E71)</f>
        <v>Chicken breast in a wrap</v>
      </c>
      <c r="N77" s="693" t="str">
        <f>_xlfn.IFNA(VLOOKUP($M77,Sedmica_1_količina_sva_sastojak!$C:$F,4,FALSE),"")</f>
        <v/>
      </c>
      <c r="O77" s="696" t="str">
        <f>IF(N77="","",COUNTIF($P$10:$P$256,"&lt;"&amp;P77)+COUNTIF($P$10:P77,P77))</f>
        <v/>
      </c>
      <c r="P77" s="694" t="str">
        <f t="shared" si="6"/>
        <v/>
      </c>
    </row>
    <row r="78" spans="1:17">
      <c r="A78" s="470">
        <v>69</v>
      </c>
      <c r="B78" s="1248" t="str">
        <f>IF($B$8=1,_xlfn.IFNA(VLOOKUP($A78,$L:$N,2,FALSE),""),_xlfn.IFNA(VLOOKUP($A78,Sedmica_2_količina_namirnica!$L:$N,2,FALSE),""))</f>
        <v/>
      </c>
      <c r="C78" s="448" t="str">
        <f>IF($B$8=1,_xlfn.IFNA(VLOOKUP($A78,$L:$N,3,FALSE)-0.0001,""),_xlfn.IFNA(VLOOKUP($A78,Sedmica_2_količina_namirnica!$L:$N,3,FALSE)-0.0001,""))</f>
        <v/>
      </c>
      <c r="D78" s="446" t="str">
        <f>IF(B78="Jaje kokošje, celo",IF(C78=INT(C78),C78,C78+1),IF(B78=""," ",_xlfn.IFNA(INT(C78*1000/(VLOOKUP($B78,Ingredient_prices!$E:$J,6,FALSE)))+1,"nije nabavljen")))</f>
        <v xml:space="preserve"> </v>
      </c>
      <c r="E78" s="446" t="str">
        <f>IF(C78="","",VLOOKUP($B78,Ingredient_prices!$E:$K,7,FALSE))</f>
        <v/>
      </c>
      <c r="F78" s="462" t="str">
        <f>IF(C78="","",IFERROR(IF(OR(E78="кг",E78="л"),VLOOKUP($B78,Ingredient_prices!$E:$V,16,FALSE)*D78,(VLOOKUP($B78,Ingredient_prices!$E:$P,12,FALSE)*D78)),""))</f>
        <v/>
      </c>
      <c r="G78" s="450" t="str">
        <f>IF(C78="","",_xlfn.IFNA(MID(VLOOKUP($B78,Ingredient_prices!$E:$F,2,FALSE),9,2),""))</f>
        <v/>
      </c>
      <c r="H78" s="447" t="str">
        <f>_xlfn.IFNA(VLOOKUP(CONCATENATE($I$9,$G78),Ingredient_prices!$G:$N,8,FALSE),"")</f>
        <v/>
      </c>
      <c r="I78" s="548" t="str">
        <f t="shared" si="7"/>
        <v/>
      </c>
      <c r="J78" s="695" t="str">
        <f>IF(N78="","",MID(Ingredient_prices!F72,9,2))</f>
        <v/>
      </c>
      <c r="K78" s="692" t="str">
        <f t="shared" si="5"/>
        <v/>
      </c>
      <c r="L78" s="692" t="str">
        <f>IF(N78="","",COUNTIF($P$10:$P$256,"&lt;"&amp;P78)+COUNTIF($P$10:P78,P78))</f>
        <v/>
      </c>
      <c r="M78" s="692" t="str">
        <f>IF(Ingredient_prices!E72=M77,"",Ingredient_prices!E72)</f>
        <v>Chicken pate</v>
      </c>
      <c r="N78" s="693" t="str">
        <f>_xlfn.IFNA(VLOOKUP($M78,Sedmica_1_količina_sva_sastojak!$C:$F,4,FALSE),"")</f>
        <v/>
      </c>
      <c r="O78" s="696" t="str">
        <f>IF(N78="","",COUNTIF($P$10:$P$256,"&lt;"&amp;P78)+COUNTIF($P$10:P78,P78))</f>
        <v/>
      </c>
      <c r="P78" s="694" t="str">
        <f t="shared" si="6"/>
        <v/>
      </c>
    </row>
    <row r="79" spans="1:17">
      <c r="A79" s="470">
        <v>70</v>
      </c>
      <c r="B79" s="1248" t="str">
        <f>IF($B$8=1,_xlfn.IFNA(VLOOKUP($A79,$L:$N,2,FALSE),""),_xlfn.IFNA(VLOOKUP($A79,Sedmica_2_količina_namirnica!$L:$N,2,FALSE),""))</f>
        <v/>
      </c>
      <c r="C79" s="448" t="str">
        <f>IF($B$8=1,_xlfn.IFNA(VLOOKUP($A79,$L:$N,3,FALSE)-0.0001,""),_xlfn.IFNA(VLOOKUP($A79,Sedmica_2_količina_namirnica!$L:$N,3,FALSE)-0.0001,""))</f>
        <v/>
      </c>
      <c r="D79" s="446" t="str">
        <f>IF(B79="Jaje kokošje, celo",IF(C79=INT(C79),C79,C79+1),IF(B79=""," ",_xlfn.IFNA(INT(C79*1000/(VLOOKUP($B79,Ingredient_prices!$E:$J,6,FALSE)))+1,"nije nabavljen")))</f>
        <v xml:space="preserve"> </v>
      </c>
      <c r="E79" s="446" t="str">
        <f>IF(C79="","",VLOOKUP($B79,Ingredient_prices!$E:$K,7,FALSE))</f>
        <v/>
      </c>
      <c r="F79" s="462" t="str">
        <f>IF(C79="","",IFERROR(IF(OR(E79="кг",E79="л"),VLOOKUP($B79,Ingredient_prices!$E:$V,16,FALSE)*D79,(VLOOKUP($B79,Ingredient_prices!$E:$P,12,FALSE)*D79)),""))</f>
        <v/>
      </c>
      <c r="G79" s="450" t="str">
        <f>IF(C79="","",_xlfn.IFNA(MID(VLOOKUP($B79,Ingredient_prices!$E:$F,2,FALSE),9,2),""))</f>
        <v/>
      </c>
      <c r="H79" s="447" t="str">
        <f>_xlfn.IFNA(VLOOKUP(CONCATENATE($I$9,$G79),Ingredient_prices!$G:$N,8,FALSE),"")</f>
        <v/>
      </c>
      <c r="I79" s="548" t="str">
        <f t="shared" si="7"/>
        <v/>
      </c>
      <c r="J79" s="695" t="str">
        <f>IF(N79="","",MID(Ingredient_prices!F73,9,2))</f>
        <v/>
      </c>
      <c r="K79" s="692" t="str">
        <f t="shared" si="5"/>
        <v/>
      </c>
      <c r="L79" s="692" t="str">
        <f>IF(N79="","",COUNTIF($P$10:$P$256,"&lt;"&amp;P79)+COUNTIF($P$10:P79,P79))</f>
        <v/>
      </c>
      <c r="M79" s="692" t="str">
        <f>IF(Ingredient_prices!E73=M78,"",Ingredient_prices!E73)</f>
        <v>Tuna pate</v>
      </c>
      <c r="N79" s="693" t="str">
        <f>_xlfn.IFNA(VLOOKUP($M79,Sedmica_1_količina_sva_sastojak!$C:$F,4,FALSE),"")</f>
        <v/>
      </c>
      <c r="O79" s="696" t="str">
        <f>IF(N79="","",COUNTIF($P$10:$P$256,"&lt;"&amp;P79)+COUNTIF($P$10:P79,P79))</f>
        <v/>
      </c>
      <c r="P79" s="694" t="str">
        <f t="shared" si="6"/>
        <v/>
      </c>
    </row>
    <row r="80" spans="1:17">
      <c r="A80" s="470">
        <v>71</v>
      </c>
      <c r="B80" s="1248" t="str">
        <f>IF($B$8=1,_xlfn.IFNA(VLOOKUP($A80,$L:$N,2,FALSE),""),_xlfn.IFNA(VLOOKUP($A80,Sedmica_2_količina_namirnica!$L:$N,2,FALSE),""))</f>
        <v/>
      </c>
      <c r="C80" s="448" t="str">
        <f>IF($B$8=1,_xlfn.IFNA(VLOOKUP($A80,$L:$N,3,FALSE)-0.0001,""),_xlfn.IFNA(VLOOKUP($A80,Sedmica_2_količina_namirnica!$L:$N,3,FALSE)-0.0001,""))</f>
        <v/>
      </c>
      <c r="D80" s="446" t="str">
        <f>IF(B80="Jaje kokošje, celo",IF(C80=INT(C80),C80,C80+1),IF(B80=""," ",_xlfn.IFNA(INT(C80*1000/(VLOOKUP($B80,Ingredient_prices!$E:$J,6,FALSE)))+1,"nije nabavljen")))</f>
        <v xml:space="preserve"> </v>
      </c>
      <c r="E80" s="446" t="str">
        <f>IF(C80="","",VLOOKUP($B80,Ingredient_prices!$E:$K,7,FALSE))</f>
        <v/>
      </c>
      <c r="F80" s="462" t="str">
        <f>IF(C80="","",IFERROR(IF(OR(E80="кг",E80="л"),VLOOKUP($B80,Ingredient_prices!$E:$V,16,FALSE)*D80,(VLOOKUP($B80,Ingredient_prices!$E:$P,12,FALSE)*D80)),""))</f>
        <v/>
      </c>
      <c r="G80" s="450" t="str">
        <f>IF(C80="","",_xlfn.IFNA(MID(VLOOKUP($B80,Ingredient_prices!$E:$F,2,FALSE),9,2),""))</f>
        <v/>
      </c>
      <c r="H80" s="447" t="str">
        <f>_xlfn.IFNA(VLOOKUP(CONCATENATE($I$9,$G80),Ingredient_prices!$G:$N,8,FALSE),"")</f>
        <v/>
      </c>
      <c r="I80" s="548" t="str">
        <f t="shared" si="7"/>
        <v/>
      </c>
      <c r="J80" s="695" t="str">
        <f>IF(N80="","",MID(Ingredient_prices!F74,9,2))</f>
        <v/>
      </c>
      <c r="K80" s="692" t="str">
        <f t="shared" ref="K80:K143" si="8">IF(N80="","",COUNTIFS(J$10:J$256,J80,N$10:N$256,"&gt;"&amp;N80)+1)</f>
        <v/>
      </c>
      <c r="L80" s="692" t="str">
        <f>IF(N80="","",COUNTIF($P$10:$P$256,"&lt;"&amp;P80)+COUNTIF($P$10:P80,P80))</f>
        <v/>
      </c>
      <c r="M80" s="692" t="str">
        <f>IF(Ingredient_prices!E74=M79,"",Ingredient_prices!E74)</f>
        <v>Chicken pate</v>
      </c>
      <c r="N80" s="693" t="str">
        <f>_xlfn.IFNA(VLOOKUP($M80,Sedmica_1_količina_sva_sastojak!$C:$F,4,FALSE),"")</f>
        <v/>
      </c>
      <c r="O80" s="696" t="str">
        <f>IF(N80="","",COUNTIF($P$10:$P$256,"&lt;"&amp;P80)+COUNTIF($P$10:P80,P80))</f>
        <v/>
      </c>
      <c r="P80" s="694" t="str">
        <f t="shared" ref="P80:P143" si="9">IF(K80="","",VALUE(CONCATENATE(J80,K80)))</f>
        <v/>
      </c>
    </row>
    <row r="81" spans="1:17">
      <c r="A81" s="470">
        <v>72</v>
      </c>
      <c r="B81" s="1248" t="str">
        <f>IF($B$8=1,_xlfn.IFNA(VLOOKUP($A81,$L:$N,2,FALSE),""),_xlfn.IFNA(VLOOKUP($A81,Sedmica_2_količina_namirnica!$L:$N,2,FALSE),""))</f>
        <v/>
      </c>
      <c r="C81" s="448" t="str">
        <f>IF($B$8=1,_xlfn.IFNA(VLOOKUP($A81,$L:$N,3,FALSE)-0.0001,""),_xlfn.IFNA(VLOOKUP($A81,Sedmica_2_količina_namirnica!$L:$N,3,FALSE)-0.0001,""))</f>
        <v/>
      </c>
      <c r="D81" s="446" t="str">
        <f>IF(B81="Jaje kokošje, celo",IF(C81=INT(C81),C81,C81+1),IF(B81=""," ",_xlfn.IFNA(INT(C81*1000/(VLOOKUP($B81,Ingredient_prices!$E:$J,6,FALSE)))+1,"nije nabavljen")))</f>
        <v xml:space="preserve"> </v>
      </c>
      <c r="E81" s="446" t="str">
        <f>IF(C81="","",VLOOKUP($B81,Ingredient_prices!$E:$K,7,FALSE))</f>
        <v/>
      </c>
      <c r="F81" s="462" t="str">
        <f>IF(C81="","",IFERROR(IF(OR(E81="кг",E81="л"),VLOOKUP($B81,Ingredient_prices!$E:$V,16,FALSE)*D81,(VLOOKUP($B81,Ingredient_prices!$E:$P,12,FALSE)*D81)),""))</f>
        <v/>
      </c>
      <c r="G81" s="450" t="str">
        <f>IF(C81="","",_xlfn.IFNA(MID(VLOOKUP($B81,Ingredient_prices!$E:$F,2,FALSE),9,2),""))</f>
        <v/>
      </c>
      <c r="H81" s="447" t="str">
        <f>_xlfn.IFNA(VLOOKUP(CONCATENATE($I$9,$G81),Ingredient_prices!$G:$N,8,FALSE),"")</f>
        <v/>
      </c>
      <c r="I81" s="548" t="str">
        <f t="shared" si="7"/>
        <v/>
      </c>
      <c r="J81" s="695" t="str">
        <f>IF(N81="","",MID(Ingredient_prices!F75,9,2))</f>
        <v/>
      </c>
      <c r="K81" s="692" t="str">
        <f t="shared" si="8"/>
        <v/>
      </c>
      <c r="L81" s="692" t="str">
        <f>IF(N81="","",COUNTIF($P$10:$P$256,"&lt;"&amp;P81)+COUNTIF($P$10:P81,P81))</f>
        <v/>
      </c>
      <c r="M81" s="692" t="str">
        <f>IF(Ingredient_prices!E75=M80,"",Ingredient_prices!E75)</f>
        <v>Canned sardines (in oil)</v>
      </c>
      <c r="N81" s="693" t="str">
        <f>_xlfn.IFNA(VLOOKUP($M81,Sedmica_1_količina_sva_sastojak!$C:$F,4,FALSE),"")</f>
        <v/>
      </c>
      <c r="O81" s="696" t="str">
        <f>IF(N81="","",COUNTIF($P$10:$P$256,"&lt;"&amp;P81)+COUNTIF($P$10:P81,P81))</f>
        <v/>
      </c>
      <c r="P81" s="694" t="str">
        <f t="shared" si="9"/>
        <v/>
      </c>
    </row>
    <row r="82" spans="1:17">
      <c r="A82" s="470">
        <v>73</v>
      </c>
      <c r="B82" s="1248" t="str">
        <f>IF($B$8=1,_xlfn.IFNA(VLOOKUP($A82,$L:$N,2,FALSE),""),_xlfn.IFNA(VLOOKUP($A82,Sedmica_2_količina_namirnica!$L:$N,2,FALSE),""))</f>
        <v/>
      </c>
      <c r="C82" s="448" t="str">
        <f>IF($B$8=1,_xlfn.IFNA(VLOOKUP($A82,$L:$N,3,FALSE)-0.0001,""),_xlfn.IFNA(VLOOKUP($A82,Sedmica_2_količina_namirnica!$L:$N,3,FALSE)-0.0001,""))</f>
        <v/>
      </c>
      <c r="D82" s="446" t="str">
        <f>IF(B82="Jaje kokošje, celo",IF(C82=INT(C82),C82,C82+1),IF(B82=""," ",_xlfn.IFNA(INT(C82*1000/(VLOOKUP($B82,Ingredient_prices!$E:$J,6,FALSE)))+1,"nije nabavljen")))</f>
        <v xml:space="preserve"> </v>
      </c>
      <c r="E82" s="446" t="str">
        <f>IF(C82="","",VLOOKUP($B82,Ingredient_prices!$E:$K,7,FALSE))</f>
        <v/>
      </c>
      <c r="F82" s="462" t="str">
        <f>IF(C82="","",IFERROR(IF(OR(E82="кг",E82="л"),VLOOKUP($B82,Ingredient_prices!$E:$V,16,FALSE)*D82,(VLOOKUP($B82,Ingredient_prices!$E:$P,12,FALSE)*D82)),""))</f>
        <v/>
      </c>
      <c r="G82" s="450" t="str">
        <f>IF(C82="","",_xlfn.IFNA(MID(VLOOKUP($B82,Ingredient_prices!$E:$F,2,FALSE),9,2),""))</f>
        <v/>
      </c>
      <c r="H82" s="447" t="str">
        <f>_xlfn.IFNA(VLOOKUP(CONCATENATE($I$9,$G82),Ingredient_prices!$G:$N,8,FALSE),"")</f>
        <v/>
      </c>
      <c r="I82" s="548" t="str">
        <f t="shared" si="7"/>
        <v/>
      </c>
      <c r="J82" s="695" t="str">
        <f>IF(N82="","",MID(Ingredient_prices!F76,9,2))</f>
        <v>2</v>
      </c>
      <c r="K82" s="692">
        <f t="shared" si="8"/>
        <v>29</v>
      </c>
      <c r="L82" s="692">
        <f>IF(N82="","",COUNTIF($P$10:$P$256,"&lt;"&amp;P82)+COUNTIF($P$10:P82,P82))</f>
        <v>34</v>
      </c>
      <c r="M82" s="692" t="str">
        <f>IF(Ingredient_prices!E76=M81,"",Ingredient_prices!E76)</f>
        <v>Tuna preserved in oil</v>
      </c>
      <c r="N82" s="693">
        <f>_xlfn.IFNA(VLOOKUP($M82,Sedmica_1_količina_sva_sastojak!$C:$F,4,FALSE),"")</f>
        <v>2.2000000000000002</v>
      </c>
      <c r="O82" s="696">
        <f>IF(N82="","",COUNTIF($P$10:$P$256,"&lt;"&amp;P82)+COUNTIF($P$10:P82,P82))</f>
        <v>34</v>
      </c>
      <c r="P82" s="694">
        <f t="shared" si="9"/>
        <v>229</v>
      </c>
    </row>
    <row r="83" spans="1:17">
      <c r="A83" s="470">
        <v>74</v>
      </c>
      <c r="B83" s="1248" t="str">
        <f>IF($B$8=1,_xlfn.IFNA(VLOOKUP($A83,$L:$N,2,FALSE),""),_xlfn.IFNA(VLOOKUP($A83,Sedmica_2_količina_namirnica!$L:$N,2,FALSE),""))</f>
        <v/>
      </c>
      <c r="C83" s="448" t="str">
        <f>IF($B$8=1,_xlfn.IFNA(VLOOKUP($A83,$L:$N,3,FALSE)-0.0001,""),_xlfn.IFNA(VLOOKUP($A83,Sedmica_2_količina_namirnica!$L:$N,3,FALSE)-0.0001,""))</f>
        <v/>
      </c>
      <c r="D83" s="446" t="str">
        <f>IF(B83="Jaje kokošje, celo",IF(C83=INT(C83),C83,C83+1),IF(B83=""," ",_xlfn.IFNA(INT(C83*1000/(VLOOKUP($B83,Ingredient_prices!$E:$J,6,FALSE)))+1,"nije nabavljen")))</f>
        <v xml:space="preserve"> </v>
      </c>
      <c r="E83" s="446" t="str">
        <f>IF(C83="","",VLOOKUP($B83,Ingredient_prices!$E:$K,7,FALSE))</f>
        <v/>
      </c>
      <c r="F83" s="462" t="str">
        <f>IF(C83="","",IFERROR(IF(OR(E83="кг",E83="л"),VLOOKUP($B83,Ingredient_prices!$E:$V,16,FALSE)*D83,(VLOOKUP($B83,Ingredient_prices!$E:$P,12,FALSE)*D83)),""))</f>
        <v/>
      </c>
      <c r="G83" s="450" t="str">
        <f>IF(C83="","",_xlfn.IFNA(MID(VLOOKUP($B83,Ingredient_prices!$E:$F,2,FALSE),9,2),""))</f>
        <v/>
      </c>
      <c r="H83" s="447" t="str">
        <f>_xlfn.IFNA(VLOOKUP(CONCATENATE($I$9,$G83),Ingredient_prices!$G:$N,8,FALSE),"")</f>
        <v/>
      </c>
      <c r="I83" s="548" t="str">
        <f t="shared" si="7"/>
        <v/>
      </c>
      <c r="J83" s="695" t="str">
        <f>IF(N83="","",MID(Ingredient_prices!F77,9,2))</f>
        <v/>
      </c>
      <c r="K83" s="692" t="str">
        <f t="shared" si="8"/>
        <v/>
      </c>
      <c r="L83" s="692" t="str">
        <f>IF(N83="","",COUNTIF($P$10:$P$256,"&lt;"&amp;P83)+COUNTIF($P$10:P83,P83))</f>
        <v/>
      </c>
      <c r="M83" s="692" t="str">
        <f>IF(Ingredient_prices!E77=M82,"",Ingredient_prices!E77)</f>
        <v>Musli (average)</v>
      </c>
      <c r="N83" s="693" t="str">
        <f>_xlfn.IFNA(VLOOKUP($M83,Sedmica_1_količina_sva_sastojak!$C:$F,4,FALSE),"")</f>
        <v/>
      </c>
      <c r="O83" s="696" t="str">
        <f>IF(N83="","",COUNTIF($P$10:$P$256,"&lt;"&amp;P83)+COUNTIF($P$10:P83,P83))</f>
        <v/>
      </c>
      <c r="P83" s="694" t="str">
        <f t="shared" si="9"/>
        <v/>
      </c>
    </row>
    <row r="84" spans="1:17">
      <c r="A84" s="470">
        <v>75</v>
      </c>
      <c r="B84" s="1248" t="str">
        <f>IF($B$8=1,_xlfn.IFNA(VLOOKUP($A84,$L:$N,2,FALSE),""),_xlfn.IFNA(VLOOKUP($A84,Sedmica_2_količina_namirnica!$L:$N,2,FALSE),""))</f>
        <v/>
      </c>
      <c r="C84" s="448" t="str">
        <f>IF($B$8=1,_xlfn.IFNA(VLOOKUP($A84,$L:$N,3,FALSE)-0.0001,""),_xlfn.IFNA(VLOOKUP($A84,Sedmica_2_količina_namirnica!$L:$N,3,FALSE)-0.0001,""))</f>
        <v/>
      </c>
      <c r="D84" s="446" t="str">
        <f>IF(B84="Jaje kokošje, celo",IF(C84=INT(C84),C84,C84+1),IF(B84=""," ",_xlfn.IFNA(INT(C84*1000/(VLOOKUP($B84,Ingredient_prices!$E:$J,6,FALSE)))+1,"nije nabavljen")))</f>
        <v xml:space="preserve"> </v>
      </c>
      <c r="E84" s="446" t="str">
        <f>IF(C84="","",VLOOKUP($B84,Ingredient_prices!$E:$K,7,FALSE))</f>
        <v/>
      </c>
      <c r="F84" s="462" t="str">
        <f>IF(C84="","",IFERROR(IF(OR(E84="кг",E84="л"),VLOOKUP($B84,Ingredient_prices!$E:$V,16,FALSE)*D84,(VLOOKUP($B84,Ingredient_prices!$E:$P,12,FALSE)*D84)),""))</f>
        <v/>
      </c>
      <c r="G84" s="450" t="str">
        <f>IF(C84="","",_xlfn.IFNA(MID(VLOOKUP($B84,Ingredient_prices!$E:$F,2,FALSE),9,2),""))</f>
        <v/>
      </c>
      <c r="H84" s="447" t="str">
        <f>_xlfn.IFNA(VLOOKUP(CONCATENATE($I$9,$G84),Ingredient_prices!$G:$N,8,FALSE),"")</f>
        <v/>
      </c>
      <c r="I84" s="548" t="str">
        <f t="shared" si="7"/>
        <v/>
      </c>
      <c r="J84" s="695" t="str">
        <f>IF(N84="","",MID(Ingredient_prices!F78,9,2))</f>
        <v/>
      </c>
      <c r="K84" s="692" t="str">
        <f t="shared" si="8"/>
        <v/>
      </c>
      <c r="L84" s="692" t="str">
        <f>IF(N84="","",COUNTIF($P$10:$P$256,"&lt;"&amp;P84)+COUNTIF($P$10:P84,P84))</f>
        <v/>
      </c>
      <c r="M84" s="692" t="str">
        <f>IF(Ingredient_prices!E78=M83,"",Ingredient_prices!E78)</f>
        <v>Chocolate flakes</v>
      </c>
      <c r="N84" s="693" t="str">
        <f>_xlfn.IFNA(VLOOKUP($M84,Sedmica_1_količina_sva_sastojak!$C:$F,4,FALSE),"")</f>
        <v/>
      </c>
      <c r="O84" s="696" t="str">
        <f>IF(N84="","",COUNTIF($P$10:$P$256,"&lt;"&amp;P84)+COUNTIF($P$10:P84,P84))</f>
        <v/>
      </c>
      <c r="P84" s="694" t="str">
        <f t="shared" si="9"/>
        <v/>
      </c>
    </row>
    <row r="85" spans="1:17">
      <c r="A85" s="470">
        <v>76</v>
      </c>
      <c r="B85" s="1248" t="str">
        <f>IF($B$8=1,_xlfn.IFNA(VLOOKUP($A85,$L:$N,2,FALSE),""),_xlfn.IFNA(VLOOKUP($A85,Sedmica_2_količina_namirnica!$L:$N,2,FALSE),""))</f>
        <v/>
      </c>
      <c r="C85" s="448" t="str">
        <f>IF($B$8=1,_xlfn.IFNA(VLOOKUP($A85,$L:$N,3,FALSE)-0.0001,""),_xlfn.IFNA(VLOOKUP($A85,Sedmica_2_količina_namirnica!$L:$N,3,FALSE)-0.0001,""))</f>
        <v/>
      </c>
      <c r="D85" s="446" t="str">
        <f>IF(B85="Jaje kokošje, celo",IF(C85=INT(C85),C85,C85+1),IF(B85=""," ",_xlfn.IFNA(INT(C85*1000/(VLOOKUP($B85,Ingredient_prices!$E:$J,6,FALSE)))+1,"nije nabavljen")))</f>
        <v xml:space="preserve"> </v>
      </c>
      <c r="E85" s="446" t="str">
        <f>IF(C85="","",VLOOKUP($B85,Ingredient_prices!$E:$K,7,FALSE))</f>
        <v/>
      </c>
      <c r="F85" s="462" t="str">
        <f>IF(C85="","",IFERROR(IF(OR(E85="кг",E85="л"),VLOOKUP($B85,Ingredient_prices!$E:$V,16,FALSE)*D85,(VLOOKUP($B85,Ingredient_prices!$E:$P,12,FALSE)*D85)),""))</f>
        <v/>
      </c>
      <c r="G85" s="450" t="str">
        <f>IF(C85="","",_xlfn.IFNA(MID(VLOOKUP($B85,Ingredient_prices!$E:$F,2,FALSE),9,2),""))</f>
        <v/>
      </c>
      <c r="H85" s="447" t="str">
        <f>_xlfn.IFNA(VLOOKUP(CONCATENATE($I$9,$G85),Ingredient_prices!$G:$N,8,FALSE),"")</f>
        <v/>
      </c>
      <c r="I85" s="548" t="str">
        <f t="shared" si="7"/>
        <v/>
      </c>
      <c r="J85" s="695" t="str">
        <f>IF(N85="","",MID(Ingredient_prices!F79,9,2))</f>
        <v/>
      </c>
      <c r="K85" s="692" t="str">
        <f t="shared" si="8"/>
        <v/>
      </c>
      <c r="L85" s="692" t="str">
        <f>IF(N85="","",COUNTIF($P$10:$P$256,"&lt;"&amp;P85)+COUNTIF($P$10:P85,P85))</f>
        <v/>
      </c>
      <c r="M85" s="692" t="str">
        <f>IF(Ingredient_prices!E79=M84,"",Ingredient_prices!E79)</f>
        <v>Chocolate for cooking</v>
      </c>
      <c r="N85" s="693" t="str">
        <f>_xlfn.IFNA(VLOOKUP($M85,Sedmica_1_količina_sva_sastojak!$C:$F,4,FALSE),"")</f>
        <v/>
      </c>
      <c r="O85" s="696" t="str">
        <f>IF(N85="","",COUNTIF($P$10:$P$256,"&lt;"&amp;P85)+COUNTIF($P$10:P85,P85))</f>
        <v/>
      </c>
      <c r="P85" s="694" t="str">
        <f t="shared" si="9"/>
        <v/>
      </c>
    </row>
    <row r="86" spans="1:17">
      <c r="A86" s="470">
        <v>77</v>
      </c>
      <c r="B86" s="1248" t="str">
        <f>IF($B$8=1,_xlfn.IFNA(VLOOKUP($A86,$L:$N,2,FALSE),""),_xlfn.IFNA(VLOOKUP($A86,Sedmica_2_količina_namirnica!$L:$N,2,FALSE),""))</f>
        <v/>
      </c>
      <c r="C86" s="448" t="str">
        <f>IF($B$8=1,_xlfn.IFNA(VLOOKUP($A86,$L:$N,3,FALSE)-0.0001,""),_xlfn.IFNA(VLOOKUP($A86,Sedmica_2_količina_namirnica!$L:$N,3,FALSE)-0.0001,""))</f>
        <v/>
      </c>
      <c r="D86" s="446" t="str">
        <f>IF(B86="Jaje kokošje, celo",IF(C86=INT(C86),C86,C86+1),IF(B86=""," ",_xlfn.IFNA(INT(C86*1000/(VLOOKUP($B86,Ingredient_prices!$E:$J,6,FALSE)))+1,"nije nabavljen")))</f>
        <v xml:space="preserve"> </v>
      </c>
      <c r="E86" s="446" t="str">
        <f>IF(C86="","",VLOOKUP($B86,Ingredient_prices!$E:$K,7,FALSE))</f>
        <v/>
      </c>
      <c r="F86" s="462" t="str">
        <f>IF(C86="","",IFERROR(IF(OR(E86="кг",E86="л"),VLOOKUP($B86,Ingredient_prices!$E:$V,16,FALSE)*D86,(VLOOKUP($B86,Ingredient_prices!$E:$P,12,FALSE)*D86)),""))</f>
        <v/>
      </c>
      <c r="G86" s="450" t="str">
        <f>IF(C86="","",_xlfn.IFNA(MID(VLOOKUP($B86,Ingredient_prices!$E:$F,2,FALSE),9,2),""))</f>
        <v/>
      </c>
      <c r="H86" s="447" t="str">
        <f>_xlfn.IFNA(VLOOKUP(CONCATENATE($I$9,$G86),Ingredient_prices!$G:$N,8,FALSE),"")</f>
        <v/>
      </c>
      <c r="I86" s="548" t="str">
        <f t="shared" si="7"/>
        <v/>
      </c>
      <c r="J86" s="695" t="str">
        <f>IF(N86="","",MID(Ingredient_prices!F80,9,2))</f>
        <v/>
      </c>
      <c r="K86" s="692" t="str">
        <f t="shared" si="8"/>
        <v/>
      </c>
      <c r="L86" s="692" t="str">
        <f>IF(N86="","",COUNTIF($P$10:$P$256,"&lt;"&amp;P86)+COUNTIF($P$10:P86,P86))</f>
        <v/>
      </c>
      <c r="M86" s="692" t="str">
        <f>IF(Ingredient_prices!E80=M85,"",Ingredient_prices!E80)</f>
        <v>Milk chocolate</v>
      </c>
      <c r="N86" s="693" t="str">
        <f>_xlfn.IFNA(VLOOKUP($M86,Sedmica_1_količina_sva_sastojak!$C:$F,4,FALSE),"")</f>
        <v/>
      </c>
      <c r="O86" s="696" t="str">
        <f>IF(N86="","",COUNTIF($P$10:$P$256,"&lt;"&amp;P86)+COUNTIF($P$10:P86,P86))</f>
        <v/>
      </c>
      <c r="P86" s="694" t="str">
        <f t="shared" si="9"/>
        <v/>
      </c>
    </row>
    <row r="87" spans="1:17">
      <c r="A87" s="470">
        <v>78</v>
      </c>
      <c r="B87" s="1248" t="str">
        <f>IF($B$8=1,_xlfn.IFNA(VLOOKUP($A87,$L:$N,2,FALSE),""),_xlfn.IFNA(VLOOKUP($A87,Sedmica_2_količina_namirnica!$L:$N,2,FALSE),""))</f>
        <v/>
      </c>
      <c r="C87" s="448" t="str">
        <f>IF($B$8=1,_xlfn.IFNA(VLOOKUP($A87,$L:$N,3,FALSE)-0.0001,""),_xlfn.IFNA(VLOOKUP($A87,Sedmica_2_količina_namirnica!$L:$N,3,FALSE)-0.0001,""))</f>
        <v/>
      </c>
      <c r="D87" s="446" t="str">
        <f>IF(B87="Jaje kokošje, celo",IF(C87=INT(C87),C87,C87+1),IF(B87=""," ",_xlfn.IFNA(INT(C87*1000/(VLOOKUP($B87,Ingredient_prices!$E:$J,6,FALSE)))+1,"nije nabavljen")))</f>
        <v xml:space="preserve"> </v>
      </c>
      <c r="E87" s="446" t="str">
        <f>IF(C87="","",VLOOKUP($B87,Ingredient_prices!$E:$K,7,FALSE))</f>
        <v/>
      </c>
      <c r="F87" s="462" t="str">
        <f>IF(C87="","",IFERROR(IF(OR(E87="кг",E87="л"),VLOOKUP($B87,Ingredient_prices!$E:$V,16,FALSE)*D87,(VLOOKUP($B87,Ingredient_prices!$E:$P,12,FALSE)*D87)),""))</f>
        <v/>
      </c>
      <c r="G87" s="450" t="str">
        <f>IF(C87="","",_xlfn.IFNA(MID(VLOOKUP($B87,Ingredient_prices!$E:$F,2,FALSE),9,2),""))</f>
        <v/>
      </c>
      <c r="H87" s="447" t="str">
        <f>_xlfn.IFNA(VLOOKUP(CONCATENATE($I$9,$G87),Ingredient_prices!$G:$N,8,FALSE),"")</f>
        <v/>
      </c>
      <c r="I87" s="548" t="str">
        <f t="shared" si="7"/>
        <v/>
      </c>
      <c r="J87" s="695" t="str">
        <f>IF(N87="","",MID(Ingredient_prices!F81,9,2))</f>
        <v/>
      </c>
      <c r="K87" s="692" t="str">
        <f t="shared" si="8"/>
        <v/>
      </c>
      <c r="L87" s="692" t="str">
        <f>IF(N87="","",COUNTIF($P$10:$P$256,"&lt;"&amp;P87)+COUNTIF($P$10:P87,P87))</f>
        <v/>
      </c>
      <c r="M87" s="692" t="str">
        <f>IF(Ingredient_prices!E81=M86,"",Ingredient_prices!E81)</f>
        <v>Plasma biscuit</v>
      </c>
      <c r="N87" s="693" t="str">
        <f>_xlfn.IFNA(VLOOKUP($M87,Sedmica_1_količina_sva_sastojak!$C:$F,4,FALSE),"")</f>
        <v/>
      </c>
      <c r="O87" s="696" t="str">
        <f>IF(N87="","",COUNTIF($P$10:$P$256,"&lt;"&amp;P87)+COUNTIF($P$10:P87,P87))</f>
        <v/>
      </c>
      <c r="P87" s="694" t="str">
        <f t="shared" si="9"/>
        <v/>
      </c>
    </row>
    <row r="88" spans="1:17">
      <c r="A88" s="470">
        <v>79</v>
      </c>
      <c r="B88" s="1248" t="str">
        <f>IF($B$8=1,_xlfn.IFNA(VLOOKUP($A88,$L:$N,2,FALSE),""),_xlfn.IFNA(VLOOKUP($A88,Sedmica_2_količina_namirnica!$L:$N,2,FALSE),""))</f>
        <v/>
      </c>
      <c r="C88" s="448" t="str">
        <f>IF($B$8=1,_xlfn.IFNA(VLOOKUP($A88,$L:$N,3,FALSE)-0.0001,""),_xlfn.IFNA(VLOOKUP($A88,Sedmica_2_količina_namirnica!$L:$N,3,FALSE)-0.0001,""))</f>
        <v/>
      </c>
      <c r="D88" s="446" t="str">
        <f>IF(B88="Jaje kokošje, celo",IF(C88=INT(C88),C88,C88+1),IF(B88=""," ",_xlfn.IFNA(INT(C88*1000/(VLOOKUP($B88,Ingredient_prices!$E:$J,6,FALSE)))+1,"nije nabavljen")))</f>
        <v xml:space="preserve"> </v>
      </c>
      <c r="E88" s="446" t="str">
        <f>IF(C88="","",VLOOKUP($B88,Ingredient_prices!$E:$K,7,FALSE))</f>
        <v/>
      </c>
      <c r="F88" s="462" t="str">
        <f>IF(C88="","",IFERROR(IF(OR(E88="кг",E88="л"),VLOOKUP($B88,Ingredient_prices!$E:$V,16,FALSE)*D88,(VLOOKUP($B88,Ingredient_prices!$E:$P,12,FALSE)*D88)),""))</f>
        <v/>
      </c>
      <c r="G88" s="450" t="str">
        <f>IF(C88="","",_xlfn.IFNA(MID(VLOOKUP($B88,Ingredient_prices!$E:$F,2,FALSE),9,2),""))</f>
        <v/>
      </c>
      <c r="H88" s="447" t="str">
        <f>_xlfn.IFNA(VLOOKUP(CONCATENATE($I$9,$G88),Ingredient_prices!$G:$N,8,FALSE),"")</f>
        <v/>
      </c>
      <c r="I88" s="548" t="str">
        <f t="shared" si="7"/>
        <v/>
      </c>
      <c r="J88" s="695" t="str">
        <f>IF(N88="","",MID(Ingredient_prices!F82,9,2))</f>
        <v/>
      </c>
      <c r="K88" s="692" t="str">
        <f t="shared" si="8"/>
        <v/>
      </c>
      <c r="L88" s="692" t="str">
        <f>IF(N88="","",COUNTIF($P$10:$P$256,"&lt;"&amp;P88)+COUNTIF($P$10:P88,P88))</f>
        <v/>
      </c>
      <c r="M88" s="692" t="str">
        <f>IF(Ingredient_prices!E82=M87,"",Ingredient_prices!E82)</f>
        <v>Napolitanke wafers</v>
      </c>
      <c r="N88" s="693" t="str">
        <f>_xlfn.IFNA(VLOOKUP($M88,Sedmica_1_količina_sva_sastojak!$C:$F,4,FALSE),"")</f>
        <v/>
      </c>
      <c r="O88" s="696" t="str">
        <f>IF(N88="","",COUNTIF($P$10:$P$256,"&lt;"&amp;P88)+COUNTIF($P$10:P88,P88))</f>
        <v/>
      </c>
      <c r="P88" s="694" t="str">
        <f t="shared" si="9"/>
        <v/>
      </c>
    </row>
    <row r="89" spans="1:17">
      <c r="A89" s="470">
        <v>80</v>
      </c>
      <c r="B89" s="1248" t="str">
        <f>IF($B$8=1,_xlfn.IFNA(VLOOKUP($A89,$L:$N,2,FALSE),""),_xlfn.IFNA(VLOOKUP($A89,Sedmica_2_količina_namirnica!$L:$N,2,FALSE),""))</f>
        <v/>
      </c>
      <c r="C89" s="448" t="str">
        <f>IF($B$8=1,_xlfn.IFNA(VLOOKUP($A89,$L:$N,3,FALSE)-0.0001,""),_xlfn.IFNA(VLOOKUP($A89,Sedmica_2_količina_namirnica!$L:$N,3,FALSE)-0.0001,""))</f>
        <v/>
      </c>
      <c r="D89" s="446" t="str">
        <f>IF(B89="Jaje kokošje, celo",IF(C89=INT(C89),C89,C89+1),IF(B89=""," ",_xlfn.IFNA(INT(C89*1000/(VLOOKUP($B89,Ingredient_prices!$E:$J,6,FALSE)))+1,"nije nabavljen")))</f>
        <v xml:space="preserve"> </v>
      </c>
      <c r="E89" s="446" t="str">
        <f>IF(C89="","",VLOOKUP($B89,Ingredient_prices!$E:$K,7,FALSE))</f>
        <v/>
      </c>
      <c r="F89" s="462" t="str">
        <f>IF(C89="","",IFERROR(IF(OR(E89="кг",E89="л"),VLOOKUP($B89,Ingredient_prices!$E:$V,16,FALSE)*D89,(VLOOKUP($B89,Ingredient_prices!$E:$P,12,FALSE)*D89)),""))</f>
        <v/>
      </c>
      <c r="G89" s="450" t="str">
        <f>IF(C89="","",_xlfn.IFNA(MID(VLOOKUP($B89,Ingredient_prices!$E:$F,2,FALSE),9,2),""))</f>
        <v/>
      </c>
      <c r="H89" s="447" t="str">
        <f>_xlfn.IFNA(VLOOKUP(CONCATENATE($I$9,$G89),Ingredient_prices!$G:$N,8,FALSE),"")</f>
        <v/>
      </c>
      <c r="I89" s="548" t="str">
        <f t="shared" si="7"/>
        <v/>
      </c>
      <c r="J89" s="695" t="str">
        <f>IF(N89="","",MID(Ingredient_prices!F83,9,2))</f>
        <v/>
      </c>
      <c r="K89" s="692" t="str">
        <f t="shared" si="8"/>
        <v/>
      </c>
      <c r="L89" s="692" t="str">
        <f>IF(N89="","",COUNTIF($P$10:$P$256,"&lt;"&amp;P89)+COUNTIF($P$10:P89,P89))</f>
        <v/>
      </c>
      <c r="M89" s="692" t="str">
        <f>IF(Ingredient_prices!E83=M88,"",Ingredient_prices!E83)</f>
        <v>Nesquik</v>
      </c>
      <c r="N89" s="693" t="str">
        <f>_xlfn.IFNA(VLOOKUP($M89,Sedmica_1_količina_sva_sastojak!$C:$F,4,FALSE),"")</f>
        <v/>
      </c>
      <c r="O89" s="696" t="str">
        <f>IF(N89="","",COUNTIF($P$10:$P$256,"&lt;"&amp;P89)+COUNTIF($P$10:P89,P89))</f>
        <v/>
      </c>
      <c r="P89" s="694" t="str">
        <f t="shared" si="9"/>
        <v/>
      </c>
    </row>
    <row r="90" spans="1:17" s="445" customFormat="1">
      <c r="A90" s="470">
        <v>81</v>
      </c>
      <c r="B90" s="1248" t="str">
        <f>IF($B$8=1,_xlfn.IFNA(VLOOKUP($A90,$L:$N,2,FALSE),""),_xlfn.IFNA(VLOOKUP($A90,Sedmica_2_količina_namirnica!$L:$N,2,FALSE),""))</f>
        <v/>
      </c>
      <c r="C90" s="448" t="str">
        <f>IF($B$8=1,_xlfn.IFNA(VLOOKUP($A90,$L:$N,3,FALSE)-0.0001,""),_xlfn.IFNA(VLOOKUP($A90,Sedmica_2_količina_namirnica!$L:$N,3,FALSE)-0.0001,""))</f>
        <v/>
      </c>
      <c r="D90" s="446" t="str">
        <f>IF(B90="Jaje kokošje, celo",IF(C90=INT(C90),C90,C90+1),IF(B90=""," ",_xlfn.IFNA(INT(C90*1000/(VLOOKUP($B90,Ingredient_prices!$E:$J,6,FALSE)))+1,"nije nabavljen")))</f>
        <v xml:space="preserve"> </v>
      </c>
      <c r="E90" s="446" t="str">
        <f>IF(C90="","",VLOOKUP($B90,Ingredient_prices!$E:$K,7,FALSE))</f>
        <v/>
      </c>
      <c r="F90" s="462" t="str">
        <f>IF(C90="","",IFERROR(IF(OR(E90="кг",E90="л"),VLOOKUP($B90,Ingredient_prices!$E:$V,16,FALSE)*D90,(VLOOKUP($B90,Ingredient_prices!$E:$P,12,FALSE)*D90)),""))</f>
        <v/>
      </c>
      <c r="G90" s="450" t="str">
        <f>IF(C90="","",_xlfn.IFNA(MID(VLOOKUP($B90,Ingredient_prices!$E:$F,2,FALSE),9,2),""))</f>
        <v/>
      </c>
      <c r="H90" s="447" t="str">
        <f>_xlfn.IFNA(VLOOKUP(CONCATENATE($I$9,$G90),Ingredient_prices!$G:$N,8,FALSE),"")</f>
        <v/>
      </c>
      <c r="I90" s="548" t="str">
        <f t="shared" si="7"/>
        <v/>
      </c>
      <c r="J90" s="695" t="str">
        <f>IF(N90="","",MID(Ingredient_prices!F84,9,2))</f>
        <v/>
      </c>
      <c r="K90" s="692" t="str">
        <f t="shared" si="8"/>
        <v/>
      </c>
      <c r="L90" s="692" t="str">
        <f>IF(N90="","",COUNTIF($P$10:$P$256,"&lt;"&amp;P90)+COUNTIF($P$10:P90,P90))</f>
        <v/>
      </c>
      <c r="M90" s="692" t="str">
        <f>IF(Ingredient_prices!E84=M89,"",Ingredient_prices!E84)</f>
        <v>Hibiscus tea</v>
      </c>
      <c r="N90" s="693" t="str">
        <f>_xlfn.IFNA(VLOOKUP($M90,Sedmica_1_količina_sva_sastojak!$C:$F,4,FALSE),"")</f>
        <v/>
      </c>
      <c r="O90" s="696" t="str">
        <f>IF(N90="","",COUNTIF($P$10:$P$256,"&lt;"&amp;P90)+COUNTIF($P$10:P90,P90))</f>
        <v/>
      </c>
      <c r="P90" s="694" t="str">
        <f t="shared" si="9"/>
        <v/>
      </c>
      <c r="Q90" s="692"/>
    </row>
    <row r="91" spans="1:17">
      <c r="A91" s="470">
        <v>82</v>
      </c>
      <c r="B91" s="1248" t="str">
        <f>IF($B$8=1,_xlfn.IFNA(VLOOKUP($A91,$L:$N,2,FALSE),""),_xlfn.IFNA(VLOOKUP($A91,Sedmica_2_količina_namirnica!$L:$N,2,FALSE),""))</f>
        <v/>
      </c>
      <c r="C91" s="448" t="str">
        <f>IF($B$8=1,_xlfn.IFNA(VLOOKUP($A91,$L:$N,3,FALSE)-0.0001,""),_xlfn.IFNA(VLOOKUP($A91,Sedmica_2_količina_namirnica!$L:$N,3,FALSE)-0.0001,""))</f>
        <v/>
      </c>
      <c r="D91" s="446" t="str">
        <f>IF(B91="Jaje kokošje, celo",IF(C91=INT(C91),C91,C91+1),IF(B91=""," ",_xlfn.IFNA(INT(C91*1000/(VLOOKUP($B91,Ingredient_prices!$E:$J,6,FALSE)))+1,"nije nabavljen")))</f>
        <v xml:space="preserve"> </v>
      </c>
      <c r="E91" s="446" t="str">
        <f>IF(C91="","",VLOOKUP($B91,Ingredient_prices!$E:$K,7,FALSE))</f>
        <v/>
      </c>
      <c r="F91" s="462" t="str">
        <f>IF(C91="","",IFERROR(IF(OR(E91="кг",E91="л"),VLOOKUP($B91,Ingredient_prices!$E:$V,16,FALSE)*D91,(VLOOKUP($B91,Ingredient_prices!$E:$P,12,FALSE)*D91)),""))</f>
        <v/>
      </c>
      <c r="G91" s="450" t="str">
        <f>IF(C91="","",_xlfn.IFNA(MID(VLOOKUP($B91,Ingredient_prices!$E:$F,2,FALSE),9,2),""))</f>
        <v/>
      </c>
      <c r="H91" s="447" t="str">
        <f>_xlfn.IFNA(VLOOKUP(CONCATENATE($I$9,$G91),Ingredient_prices!$G:$N,8,FALSE),"")</f>
        <v/>
      </c>
      <c r="I91" s="548" t="str">
        <f t="shared" si="7"/>
        <v/>
      </c>
      <c r="J91" s="695" t="str">
        <f>IF(N91="","",MID(Ingredient_prices!F85,9,2))</f>
        <v/>
      </c>
      <c r="K91" s="692" t="str">
        <f t="shared" si="8"/>
        <v/>
      </c>
      <c r="L91" s="692" t="str">
        <f>IF(N91="","",COUNTIF($P$10:$P$256,"&lt;"&amp;P91)+COUNTIF($P$10:P91,P91))</f>
        <v/>
      </c>
      <c r="M91" s="692" t="str">
        <f>IF(Ingredient_prices!E85=M90,"",Ingredient_prices!E85)</f>
        <v>Rose hip tea</v>
      </c>
      <c r="N91" s="693" t="str">
        <f>_xlfn.IFNA(VLOOKUP($M91,Sedmica_1_količina_sva_sastojak!$C:$F,4,FALSE),"")</f>
        <v/>
      </c>
      <c r="O91" s="696" t="str">
        <f>IF(N91="","",COUNTIF($P$10:$P$256,"&lt;"&amp;P91)+COUNTIF($P$10:P91,P91))</f>
        <v/>
      </c>
      <c r="P91" s="694" t="str">
        <f t="shared" si="9"/>
        <v/>
      </c>
    </row>
    <row r="92" spans="1:17">
      <c r="A92" s="470">
        <v>83</v>
      </c>
      <c r="B92" s="1248" t="str">
        <f>IF($B$8=1,_xlfn.IFNA(VLOOKUP($A92,$L:$N,2,FALSE),""),_xlfn.IFNA(VLOOKUP($A92,Sedmica_2_količina_namirnica!$L:$N,2,FALSE),""))</f>
        <v/>
      </c>
      <c r="C92" s="448" t="str">
        <f>IF($B$8=1,_xlfn.IFNA(VLOOKUP($A92,$L:$N,3,FALSE)-0.0001,""),_xlfn.IFNA(VLOOKUP($A92,Sedmica_2_količina_namirnica!$L:$N,3,FALSE)-0.0001,""))</f>
        <v/>
      </c>
      <c r="D92" s="446" t="str">
        <f>IF(B92="Jaje kokošje, celo",IF(C92=INT(C92),C92,C92+1),IF(B92=""," ",_xlfn.IFNA(INT(C92*1000/(VLOOKUP($B92,Ingredient_prices!$E:$J,6,FALSE)))+1,"nije nabavljen")))</f>
        <v xml:space="preserve"> </v>
      </c>
      <c r="E92" s="446" t="str">
        <f>IF(C92="","",VLOOKUP($B92,Ingredient_prices!$E:$K,7,FALSE))</f>
        <v/>
      </c>
      <c r="F92" s="462" t="str">
        <f>IF(C92="","",IFERROR(IF(OR(E92="кг",E92="л"),VLOOKUP($B92,Ingredient_prices!$E:$V,16,FALSE)*D92,(VLOOKUP($B92,Ingredient_prices!$E:$P,12,FALSE)*D92)),""))</f>
        <v/>
      </c>
      <c r="G92" s="450" t="str">
        <f>IF(C92="","",_xlfn.IFNA(MID(VLOOKUP($B92,Ingredient_prices!$E:$F,2,FALSE),9,2),""))</f>
        <v/>
      </c>
      <c r="H92" s="447" t="str">
        <f>_xlfn.IFNA(VLOOKUP(CONCATENATE($I$9,$G92),Ingredient_prices!$G:$N,8,FALSE),"")</f>
        <v/>
      </c>
      <c r="I92" s="548" t="str">
        <f t="shared" si="7"/>
        <v/>
      </c>
      <c r="J92" s="695" t="str">
        <f>IF(N92="","",MID(Ingredient_prices!F86,9,2))</f>
        <v>2</v>
      </c>
      <c r="K92" s="692">
        <f t="shared" si="8"/>
        <v>1</v>
      </c>
      <c r="L92" s="692">
        <f>IF(N92="","",COUNTIF($P$10:$P$256,"&lt;"&amp;P92)+COUNTIF($P$10:P92,P92))</f>
        <v>6</v>
      </c>
      <c r="M92" s="692" t="str">
        <f>IF(Ingredient_prices!E86=M91,"",Ingredient_prices!E86)</f>
        <v>Chicken egg, whole</v>
      </c>
      <c r="N92" s="693">
        <f>_xlfn.IFNA(VLOOKUP($M92,Sedmica_1_količina_sva_sastojak!$C:$F,4,FALSE),"")</f>
        <v>210.83333333333331</v>
      </c>
      <c r="O92" s="696">
        <f>IF(N92="","",COUNTIF($P$10:$P$256,"&lt;"&amp;P92)+COUNTIF($P$10:P92,P92))</f>
        <v>6</v>
      </c>
      <c r="P92" s="694">
        <f t="shared" si="9"/>
        <v>21</v>
      </c>
    </row>
    <row r="93" spans="1:17">
      <c r="A93" s="470">
        <v>84</v>
      </c>
      <c r="B93" s="1248" t="str">
        <f>IF($B$8=1,_xlfn.IFNA(VLOOKUP($A93,$L:$N,2,FALSE),""),_xlfn.IFNA(VLOOKUP($A93,Sedmica_2_količina_namirnica!$L:$N,2,FALSE),""))</f>
        <v/>
      </c>
      <c r="C93" s="448" t="str">
        <f>IF($B$8=1,_xlfn.IFNA(VLOOKUP($A93,$L:$N,3,FALSE)-0.0001,""),_xlfn.IFNA(VLOOKUP($A93,Sedmica_2_količina_namirnica!$L:$N,3,FALSE)-0.0001,""))</f>
        <v/>
      </c>
      <c r="D93" s="446" t="str">
        <f>IF(B93="Jaje kokošje, celo",IF(C93=INT(C93),C93,C93+1),IF(B93=""," ",_xlfn.IFNA(INT(C93*1000/(VLOOKUP($B93,Ingredient_prices!$E:$J,6,FALSE)))+1,"nije nabavljen")))</f>
        <v xml:space="preserve"> </v>
      </c>
      <c r="E93" s="446" t="str">
        <f>IF(C93="","",VLOOKUP($B93,Ingredient_prices!$E:$K,7,FALSE))</f>
        <v/>
      </c>
      <c r="F93" s="462" t="str">
        <f>IF(C93="","",IFERROR(IF(OR(E93="кг",E93="л"),VLOOKUP($B93,Ingredient_prices!$E:$V,16,FALSE)*D93,(VLOOKUP($B93,Ingredient_prices!$E:$P,12,FALSE)*D93)),""))</f>
        <v/>
      </c>
      <c r="G93" s="450" t="str">
        <f>IF(C93="","",_xlfn.IFNA(MID(VLOOKUP($B93,Ingredient_prices!$E:$F,2,FALSE),9,2),""))</f>
        <v/>
      </c>
      <c r="H93" s="447" t="str">
        <f>_xlfn.IFNA(VLOOKUP(CONCATENATE($I$9,$G93),Ingredient_prices!$G:$N,8,FALSE),"")</f>
        <v/>
      </c>
      <c r="I93" s="548" t="str">
        <f t="shared" si="7"/>
        <v/>
      </c>
      <c r="J93" s="695" t="str">
        <f>IF(N93="","",MID(Ingredient_prices!F87,9,2))</f>
        <v/>
      </c>
      <c r="K93" s="692" t="str">
        <f t="shared" si="8"/>
        <v/>
      </c>
      <c r="L93" s="692" t="str">
        <f>IF(N93="","",COUNTIF($P$10:$P$256,"&lt;"&amp;P93)+COUNTIF($P$10:P93,P93))</f>
        <v/>
      </c>
      <c r="M93" s="692" t="str">
        <f>IF(Ingredient_prices!E87=M92,"",Ingredient_prices!E87)</f>
        <v>Nutella</v>
      </c>
      <c r="N93" s="693" t="str">
        <f>_xlfn.IFNA(VLOOKUP($M93,Sedmica_1_količina_sva_sastojak!$C:$F,4,FALSE),"")</f>
        <v/>
      </c>
      <c r="O93" s="696" t="str">
        <f>IF(N93="","",COUNTIF($P$10:$P$256,"&lt;"&amp;P93)+COUNTIF($P$10:P93,P93))</f>
        <v/>
      </c>
      <c r="P93" s="694" t="str">
        <f t="shared" si="9"/>
        <v/>
      </c>
    </row>
    <row r="94" spans="1:17">
      <c r="A94" s="470">
        <v>85</v>
      </c>
      <c r="B94" s="1248" t="str">
        <f>IF($B$8=1,_xlfn.IFNA(VLOOKUP($A94,$L:$N,2,FALSE),""),_xlfn.IFNA(VLOOKUP($A94,Sedmica_2_količina_namirnica!$L:$N,2,FALSE),""))</f>
        <v/>
      </c>
      <c r="C94" s="448" t="str">
        <f>IF($B$8=1,_xlfn.IFNA(VLOOKUP($A94,$L:$N,3,FALSE)-0.0001,""),_xlfn.IFNA(VLOOKUP($A94,Sedmica_2_količina_namirnica!$L:$N,3,FALSE)-0.0001,""))</f>
        <v/>
      </c>
      <c r="D94" s="446" t="str">
        <f>IF(B94="Jaje kokošje, celo",IF(C94=INT(C94),C94,C94+1),IF(B94=""," ",_xlfn.IFNA(INT(C94*1000/(VLOOKUP($B94,Ingredient_prices!$E:$J,6,FALSE)))+1,"nije nabavljen")))</f>
        <v xml:space="preserve"> </v>
      </c>
      <c r="E94" s="446" t="str">
        <f>IF(C94="","",VLOOKUP($B94,Ingredient_prices!$E:$K,7,FALSE))</f>
        <v/>
      </c>
      <c r="F94" s="462" t="str">
        <f>IF(C94="","",IFERROR(IF(OR(E94="кг",E94="л"),VLOOKUP($B94,Ingredient_prices!$E:$V,16,FALSE)*D94,(VLOOKUP($B94,Ingredient_prices!$E:$P,12,FALSE)*D94)),""))</f>
        <v/>
      </c>
      <c r="G94" s="450" t="str">
        <f>IF(C94="","",_xlfn.IFNA(MID(VLOOKUP($B94,Ingredient_prices!$E:$F,2,FALSE),9,2),""))</f>
        <v/>
      </c>
      <c r="H94" s="447" t="str">
        <f>_xlfn.IFNA(VLOOKUP(CONCATENATE($I$9,$G94),Ingredient_prices!$G:$N,8,FALSE),"")</f>
        <v/>
      </c>
      <c r="I94" s="548" t="str">
        <f t="shared" si="7"/>
        <v/>
      </c>
      <c r="J94" s="695" t="str">
        <f>IF(N94="","",MID(Ingredient_prices!F88,9,2))</f>
        <v/>
      </c>
      <c r="K94" s="692" t="str">
        <f t="shared" si="8"/>
        <v/>
      </c>
      <c r="L94" s="692" t="str">
        <f>IF(N94="","",COUNTIF($P$10:$P$256,"&lt;"&amp;P94)+COUNTIF($P$10:P94,P94))</f>
        <v/>
      </c>
      <c r="M94" s="692" t="str">
        <f>IF(Ingredient_prices!E88=M93,"",Ingredient_prices!E88)</f>
        <v>Euro cream</v>
      </c>
      <c r="N94" s="693" t="str">
        <f>_xlfn.IFNA(VLOOKUP($M94,Sedmica_1_količina_sva_sastojak!$C:$F,4,FALSE),"")</f>
        <v/>
      </c>
      <c r="O94" s="696" t="str">
        <f>IF(N94="","",COUNTIF($P$10:$P$256,"&lt;"&amp;P94)+COUNTIF($P$10:P94,P94))</f>
        <v/>
      </c>
      <c r="P94" s="694" t="str">
        <f t="shared" si="9"/>
        <v/>
      </c>
    </row>
    <row r="95" spans="1:17">
      <c r="A95" s="470">
        <v>86</v>
      </c>
      <c r="B95" s="1248" t="str">
        <f>IF($B$8=1,_xlfn.IFNA(VLOOKUP($A95,$L:$N,2,FALSE),""),_xlfn.IFNA(VLOOKUP($A95,Sedmica_2_količina_namirnica!$L:$N,2,FALSE),""))</f>
        <v/>
      </c>
      <c r="C95" s="448" t="str">
        <f>IF($B$8=1,_xlfn.IFNA(VLOOKUP($A95,$L:$N,3,FALSE)-0.0001,""),_xlfn.IFNA(VLOOKUP($A95,Sedmica_2_količina_namirnica!$L:$N,3,FALSE)-0.0001,""))</f>
        <v/>
      </c>
      <c r="D95" s="446" t="str">
        <f>IF(B95="Jaje kokošje, celo",IF(C95=INT(C95),C95,C95+1),IF(B95=""," ",_xlfn.IFNA(INT(C95*1000/(VLOOKUP($B95,Ingredient_prices!$E:$J,6,FALSE)))+1,"nije nabavljen")))</f>
        <v xml:space="preserve"> </v>
      </c>
      <c r="E95" s="446" t="str">
        <f>IF(C95="","",VLOOKUP($B95,Ingredient_prices!$E:$K,7,FALSE))</f>
        <v/>
      </c>
      <c r="F95" s="462" t="str">
        <f>IF(C95="","",IFERROR(IF(OR(E95="кг",E95="л"),VLOOKUP($B95,Ingredient_prices!$E:$V,16,FALSE)*D95,(VLOOKUP($B95,Ingredient_prices!$E:$P,12,FALSE)*D95)),""))</f>
        <v/>
      </c>
      <c r="G95" s="450" t="str">
        <f>IF(C95="","",_xlfn.IFNA(MID(VLOOKUP($B95,Ingredient_prices!$E:$F,2,FALSE),9,2),""))</f>
        <v/>
      </c>
      <c r="H95" s="447" t="str">
        <f>_xlfn.IFNA(VLOOKUP(CONCATENATE($I$9,$G95),Ingredient_prices!$G:$N,8,FALSE),"")</f>
        <v/>
      </c>
      <c r="I95" s="548" t="str">
        <f t="shared" si="7"/>
        <v/>
      </c>
      <c r="J95" s="695" t="str">
        <f>IF(N95="","",MID(Ingredient_prices!F89,9,2))</f>
        <v>2</v>
      </c>
      <c r="K95" s="692">
        <f t="shared" si="8"/>
        <v>32</v>
      </c>
      <c r="L95" s="692">
        <f>IF(N95="","",COUNTIF($P$10:$P$256,"&lt;"&amp;P95)+COUNTIF($P$10:P95,P95))</f>
        <v>37</v>
      </c>
      <c r="M95" s="692" t="str">
        <f>IF(Ingredient_prices!E89=M94,"",Ingredient_prices!E89)</f>
        <v>Noodles with egg</v>
      </c>
      <c r="N95" s="693">
        <f>_xlfn.IFNA(VLOOKUP($M95,Sedmica_1_količina_sva_sastojak!$C:$F,4,FALSE),"")</f>
        <v>1.1000000000000001</v>
      </c>
      <c r="O95" s="696">
        <f>IF(N95="","",COUNTIF($P$10:$P$256,"&lt;"&amp;P95)+COUNTIF($P$10:P95,P95))</f>
        <v>37</v>
      </c>
      <c r="P95" s="694">
        <f t="shared" si="9"/>
        <v>232</v>
      </c>
    </row>
    <row r="96" spans="1:17">
      <c r="A96" s="470">
        <v>87</v>
      </c>
      <c r="B96" s="1248" t="str">
        <f>IF($B$8=1,_xlfn.IFNA(VLOOKUP($A96,$L:$N,2,FALSE),""),_xlfn.IFNA(VLOOKUP($A96,Sedmica_2_količina_namirnica!$L:$N,2,FALSE),""))</f>
        <v/>
      </c>
      <c r="C96" s="448" t="str">
        <f>IF($B$8=1,_xlfn.IFNA(VLOOKUP($A96,$L:$N,3,FALSE)-0.0001,""),_xlfn.IFNA(VLOOKUP($A96,Sedmica_2_količina_namirnica!$L:$N,3,FALSE)-0.0001,""))</f>
        <v/>
      </c>
      <c r="D96" s="446" t="str">
        <f>IF(B96="Jaje kokošje, celo",IF(C96=INT(C96),C96,C96+1),IF(B96=""," ",_xlfn.IFNA(INT(C96*1000/(VLOOKUP($B96,Ingredient_prices!$E:$J,6,FALSE)))+1,"nije nabavljen")))</f>
        <v xml:space="preserve"> </v>
      </c>
      <c r="E96" s="446" t="str">
        <f>IF(C96="","",VLOOKUP($B96,Ingredient_prices!$E:$K,7,FALSE))</f>
        <v/>
      </c>
      <c r="F96" s="462" t="str">
        <f>IF(C96="","",IFERROR(IF(OR(E96="кг",E96="л"),VLOOKUP($B96,Ingredient_prices!$E:$V,16,FALSE)*D96,(VLOOKUP($B96,Ingredient_prices!$E:$P,12,FALSE)*D96)),""))</f>
        <v/>
      </c>
      <c r="G96" s="450" t="str">
        <f>IF(C96="","",_xlfn.IFNA(MID(VLOOKUP($B96,Ingredient_prices!$E:$F,2,FALSE),9,2),""))</f>
        <v/>
      </c>
      <c r="H96" s="447" t="str">
        <f>_xlfn.IFNA(VLOOKUP(CONCATENATE($I$9,$G96),Ingredient_prices!$G:$N,8,FALSE),"")</f>
        <v/>
      </c>
      <c r="I96" s="548" t="str">
        <f t="shared" si="7"/>
        <v/>
      </c>
      <c r="J96" s="695" t="str">
        <f>IF(N96="","",MID(Ingredient_prices!F90,9,2))</f>
        <v/>
      </c>
      <c r="K96" s="692" t="str">
        <f t="shared" si="8"/>
        <v/>
      </c>
      <c r="L96" s="692" t="str">
        <f>IF(N96="","",COUNTIF($P$10:$P$256,"&lt;"&amp;P96)+COUNTIF($P$10:P96,P96))</f>
        <v/>
      </c>
      <c r="M96" s="692" t="str">
        <f>IF(Ingredient_prices!E90=M95,"",Ingredient_prices!E90)</f>
        <v>Noodles lace</v>
      </c>
      <c r="N96" s="693" t="str">
        <f>_xlfn.IFNA(VLOOKUP($M96,Sedmica_1_količina_sva_sastojak!$C:$F,4,FALSE),"")</f>
        <v/>
      </c>
      <c r="O96" s="696" t="str">
        <f>IF(N96="","",COUNTIF($P$10:$P$256,"&lt;"&amp;P96)+COUNTIF($P$10:P96,P96))</f>
        <v/>
      </c>
      <c r="P96" s="694" t="str">
        <f t="shared" si="9"/>
        <v/>
      </c>
    </row>
    <row r="97" spans="1:16">
      <c r="A97" s="470">
        <v>88</v>
      </c>
      <c r="B97" s="1248" t="str">
        <f>IF($B$8=1,_xlfn.IFNA(VLOOKUP($A97,$L:$N,2,FALSE),""),_xlfn.IFNA(VLOOKUP($A97,Sedmica_2_količina_namirnica!$L:$N,2,FALSE),""))</f>
        <v/>
      </c>
      <c r="C97" s="448" t="str">
        <f>IF($B$8=1,_xlfn.IFNA(VLOOKUP($A97,$L:$N,3,FALSE)-0.0001,""),_xlfn.IFNA(VLOOKUP($A97,Sedmica_2_količina_namirnica!$L:$N,3,FALSE)-0.0001,""))</f>
        <v/>
      </c>
      <c r="D97" s="446" t="str">
        <f>IF(B97="Jaje kokošje, celo",IF(C97=INT(C97),C97,C97+1),IF(B97=""," ",_xlfn.IFNA(INT(C97*1000/(VLOOKUP($B97,Ingredient_prices!$E:$J,6,FALSE)))+1,"nije nabavljen")))</f>
        <v xml:space="preserve"> </v>
      </c>
      <c r="E97" s="446" t="str">
        <f>IF(C97="","",VLOOKUP($B97,Ingredient_prices!$E:$K,7,FALSE))</f>
        <v/>
      </c>
      <c r="F97" s="462" t="str">
        <f>IF(C97="","",IFERROR(IF(OR(E97="кг",E97="л"),VLOOKUP($B97,Ingredient_prices!$E:$V,16,FALSE)*D97,(VLOOKUP($B97,Ingredient_prices!$E:$P,12,FALSE)*D97)),""))</f>
        <v/>
      </c>
      <c r="G97" s="450" t="str">
        <f>IF(C97="","",_xlfn.IFNA(MID(VLOOKUP($B97,Ingredient_prices!$E:$F,2,FALSE),9,2),""))</f>
        <v/>
      </c>
      <c r="H97" s="447" t="str">
        <f>_xlfn.IFNA(VLOOKUP(CONCATENATE($I$9,$G97),Ingredient_prices!$G:$N,8,FALSE),"")</f>
        <v/>
      </c>
      <c r="I97" s="548" t="str">
        <f t="shared" si="7"/>
        <v/>
      </c>
      <c r="J97" s="695" t="str">
        <f>IF(N97="","",MID(Ingredient_prices!F91,9,2))</f>
        <v>2</v>
      </c>
      <c r="K97" s="692">
        <f t="shared" si="8"/>
        <v>16</v>
      </c>
      <c r="L97" s="692">
        <f>IF(N97="","",COUNTIF($P$10:$P$256,"&lt;"&amp;P97)+COUNTIF($P$10:P97,P97))</f>
        <v>23</v>
      </c>
      <c r="M97" s="692" t="str">
        <f>IF(Ingredient_prices!E91=M96,"",Ingredient_prices!E91)</f>
        <v>Pasta fusilli</v>
      </c>
      <c r="N97" s="693">
        <f>_xlfn.IFNA(VLOOKUP($M97,Sedmica_1_količina_sva_sastojak!$C:$F,4,FALSE),"")</f>
        <v>5.5000000000000009</v>
      </c>
      <c r="O97" s="696">
        <f>IF(N97="","",COUNTIF($P$10:$P$256,"&lt;"&amp;P97)+COUNTIF($P$10:P97,P97))</f>
        <v>23</v>
      </c>
      <c r="P97" s="694">
        <f t="shared" si="9"/>
        <v>216</v>
      </c>
    </row>
    <row r="98" spans="1:16">
      <c r="A98" s="470">
        <v>89</v>
      </c>
      <c r="B98" s="1248" t="str">
        <f>IF($B$8=1,_xlfn.IFNA(VLOOKUP($A98,$L:$N,2,FALSE),""),_xlfn.IFNA(VLOOKUP($A98,Sedmica_2_količina_namirnica!$L:$N,2,FALSE),""))</f>
        <v/>
      </c>
      <c r="C98" s="448" t="str">
        <f>IF($B$8=1,_xlfn.IFNA(VLOOKUP($A98,$L:$N,3,FALSE)-0.0001,""),_xlfn.IFNA(VLOOKUP($A98,Sedmica_2_količina_namirnica!$L:$N,3,FALSE)-0.0001,""))</f>
        <v/>
      </c>
      <c r="D98" s="446" t="str">
        <f>IF(B98="Jaje kokošje, celo",IF(C98=INT(C98),C98,C98+1),IF(B98=""," ",_xlfn.IFNA(INT(C98*1000/(VLOOKUP($B98,Ingredient_prices!$E:$J,6,FALSE)))+1,"nije nabavljen")))</f>
        <v xml:space="preserve"> </v>
      </c>
      <c r="E98" s="446" t="str">
        <f>IF(C98="","",VLOOKUP($B98,Ingredient_prices!$E:$K,7,FALSE))</f>
        <v/>
      </c>
      <c r="F98" s="462" t="str">
        <f>IF(C98="","",IFERROR(IF(OR(E98="кг",E98="л"),VLOOKUP($B98,Ingredient_prices!$E:$V,16,FALSE)*D98,(VLOOKUP($B98,Ingredient_prices!$E:$P,12,FALSE)*D98)),""))</f>
        <v/>
      </c>
      <c r="G98" s="450" t="str">
        <f>IF(C98="","",_xlfn.IFNA(MID(VLOOKUP($B98,Ingredient_prices!$E:$F,2,FALSE),9,2),""))</f>
        <v/>
      </c>
      <c r="H98" s="447" t="str">
        <f>_xlfn.IFNA(VLOOKUP(CONCATENATE($I$9,$G98),Ingredient_prices!$G:$N,8,FALSE),"")</f>
        <v/>
      </c>
      <c r="I98" s="548" t="str">
        <f t="shared" si="7"/>
        <v/>
      </c>
      <c r="J98" s="695" t="str">
        <f>IF(N98="","",MID(Ingredient_prices!F92,9,2))</f>
        <v/>
      </c>
      <c r="K98" s="692" t="str">
        <f t="shared" si="8"/>
        <v/>
      </c>
      <c r="L98" s="692" t="str">
        <f>IF(N98="","",COUNTIF($P$10:$P$256,"&lt;"&amp;P98)+COUNTIF($P$10:P98,P98))</f>
        <v/>
      </c>
      <c r="M98" s="692" t="str">
        <f>IF(Ingredient_prices!E92=M97,"",Ingredient_prices!E92)</f>
        <v>Pasta spaghetti</v>
      </c>
      <c r="N98" s="693" t="str">
        <f>_xlfn.IFNA(VLOOKUP($M98,Sedmica_1_količina_sva_sastojak!$C:$F,4,FALSE),"")</f>
        <v/>
      </c>
      <c r="O98" s="696" t="str">
        <f>IF(N98="","",COUNTIF($P$10:$P$256,"&lt;"&amp;P98)+COUNTIF($P$10:P98,P98))</f>
        <v/>
      </c>
      <c r="P98" s="694" t="str">
        <f t="shared" si="9"/>
        <v/>
      </c>
    </row>
    <row r="99" spans="1:16">
      <c r="A99" s="470">
        <v>90</v>
      </c>
      <c r="B99" s="1248" t="str">
        <f>IF($B$8=1,_xlfn.IFNA(VLOOKUP($A99,$L:$N,2,FALSE),""),_xlfn.IFNA(VLOOKUP($A99,Sedmica_2_količina_namirnica!$L:$N,2,FALSE),""))</f>
        <v/>
      </c>
      <c r="C99" s="448" t="str">
        <f>IF($B$8=1,_xlfn.IFNA(VLOOKUP($A99,$L:$N,3,FALSE)-0.0001,""),_xlfn.IFNA(VLOOKUP($A99,Sedmica_2_količina_namirnica!$L:$N,3,FALSE)-0.0001,""))</f>
        <v/>
      </c>
      <c r="D99" s="446" t="str">
        <f>IF(B99="Jaje kokošje, celo",IF(C99=INT(C99),C99,C99+1),IF(B99=""," ",_xlfn.IFNA(INT(C99*1000/(VLOOKUP($B99,Ingredient_prices!$E:$J,6,FALSE)))+1,"nije nabavljen")))</f>
        <v xml:space="preserve"> </v>
      </c>
      <c r="E99" s="446" t="str">
        <f>IF(C99="","",VLOOKUP($B99,Ingredient_prices!$E:$K,7,FALSE))</f>
        <v/>
      </c>
      <c r="F99" s="462" t="str">
        <f>IF(C99="","",IFERROR(IF(OR(E99="кг",E99="л"),VLOOKUP($B99,Ingredient_prices!$E:$V,16,FALSE)*D99,(VLOOKUP($B99,Ingredient_prices!$E:$P,12,FALSE)*D99)),""))</f>
        <v/>
      </c>
      <c r="G99" s="450" t="str">
        <f>IF(C99="","",_xlfn.IFNA(MID(VLOOKUP($B99,Ingredient_prices!$E:$F,2,FALSE),9,2),""))</f>
        <v/>
      </c>
      <c r="H99" s="447" t="str">
        <f>_xlfn.IFNA(VLOOKUP(CONCATENATE($I$9,$G99),Ingredient_prices!$G:$N,8,FALSE),"")</f>
        <v/>
      </c>
      <c r="I99" s="548" t="str">
        <f t="shared" si="7"/>
        <v/>
      </c>
      <c r="J99" s="695" t="str">
        <f>IF(N99="","",MID(Ingredient_prices!F93,9,2))</f>
        <v/>
      </c>
      <c r="K99" s="692" t="str">
        <f t="shared" si="8"/>
        <v/>
      </c>
      <c r="L99" s="692" t="str">
        <f>IF(N99="","",COUNTIF($P$10:$P$256,"&lt;"&amp;P99)+COUNTIF($P$10:P99,P99))</f>
        <v/>
      </c>
      <c r="M99" s="692" t="str">
        <f>IF(Ingredient_prices!E93=M98,"",Ingredient_prices!E93)</f>
        <v>Lasagna sheets</v>
      </c>
      <c r="N99" s="693" t="str">
        <f>_xlfn.IFNA(VLOOKUP($M99,Sedmica_1_količina_sva_sastojak!$C:$F,4,FALSE),"")</f>
        <v/>
      </c>
      <c r="O99" s="696" t="str">
        <f>IF(N99="","",COUNTIF($P$10:$P$256,"&lt;"&amp;P99)+COUNTIF($P$10:P99,P99))</f>
        <v/>
      </c>
      <c r="P99" s="694" t="str">
        <f t="shared" si="9"/>
        <v/>
      </c>
    </row>
    <row r="100" spans="1:16">
      <c r="A100" s="470">
        <v>91</v>
      </c>
      <c r="B100" s="1248" t="str">
        <f>IF($B$8=1,_xlfn.IFNA(VLOOKUP($A100,$L:$N,2,FALSE),""),_xlfn.IFNA(VLOOKUP($A100,Sedmica_2_količina_namirnica!$L:$N,2,FALSE),""))</f>
        <v/>
      </c>
      <c r="C100" s="448" t="str">
        <f>IF($B$8=1,_xlfn.IFNA(VLOOKUP($A100,$L:$N,3,FALSE)-0.0001,""),_xlfn.IFNA(VLOOKUP($A100,Sedmica_2_količina_namirnica!$L:$N,3,FALSE)-0.0001,""))</f>
        <v/>
      </c>
      <c r="D100" s="446" t="str">
        <f>IF(B100="Jaje kokošje, celo",IF(C100=INT(C100),C100,C100+1),IF(B100=""," ",_xlfn.IFNA(INT(C100*1000/(VLOOKUP($B100,Ingredient_prices!$E:$J,6,FALSE)))+1,"nije nabavljen")))</f>
        <v xml:space="preserve"> </v>
      </c>
      <c r="E100" s="446" t="str">
        <f>IF(C100="","",VLOOKUP($B100,Ingredient_prices!$E:$K,7,FALSE))</f>
        <v/>
      </c>
      <c r="F100" s="462" t="str">
        <f>IF(C100="","",IFERROR(IF(OR(E100="кг",E100="л"),VLOOKUP($B100,Ingredient_prices!$E:$V,16,FALSE)*D100,(VLOOKUP($B100,Ingredient_prices!$E:$P,12,FALSE)*D100)),""))</f>
        <v/>
      </c>
      <c r="G100" s="450" t="str">
        <f>IF(C100="","",_xlfn.IFNA(MID(VLOOKUP($B100,Ingredient_prices!$E:$F,2,FALSE),9,2),""))</f>
        <v/>
      </c>
      <c r="H100" s="447" t="str">
        <f>_xlfn.IFNA(VLOOKUP(CONCATENATE($I$9,$G100),Ingredient_prices!$G:$N,8,FALSE),"")</f>
        <v/>
      </c>
      <c r="I100" s="548" t="str">
        <f t="shared" si="7"/>
        <v/>
      </c>
      <c r="J100" s="695" t="str">
        <f>IF(N100="","",MID(Ingredient_prices!F94,9,2))</f>
        <v/>
      </c>
      <c r="K100" s="692" t="str">
        <f t="shared" si="8"/>
        <v/>
      </c>
      <c r="L100" s="692" t="str">
        <f>IF(N100="","",COUNTIF($P$10:$P$256,"&lt;"&amp;P100)+COUNTIF($P$10:P100,P100))</f>
        <v/>
      </c>
      <c r="M100" s="692" t="str">
        <f>IF(Ingredient_prices!E94=M99,"",Ingredient_prices!E94)</f>
        <v/>
      </c>
      <c r="N100" s="693" t="str">
        <f>_xlfn.IFNA(VLOOKUP($M100,Sedmica_1_količina_sva_sastojak!$C:$F,4,FALSE),"")</f>
        <v/>
      </c>
      <c r="O100" s="696" t="str">
        <f>IF(N100="","",COUNTIF($P$10:$P$256,"&lt;"&amp;P100)+COUNTIF($P$10:P100,P100))</f>
        <v/>
      </c>
      <c r="P100" s="694" t="str">
        <f t="shared" si="9"/>
        <v/>
      </c>
    </row>
    <row r="101" spans="1:16">
      <c r="A101" s="470">
        <v>92</v>
      </c>
      <c r="B101" s="1248" t="str">
        <f>IF($B$8=1,_xlfn.IFNA(VLOOKUP($A101,$L:$N,2,FALSE),""),_xlfn.IFNA(VLOOKUP($A101,Sedmica_2_količina_namirnica!$L:$N,2,FALSE),""))</f>
        <v/>
      </c>
      <c r="C101" s="448" t="str">
        <f>IF($B$8=1,_xlfn.IFNA(VLOOKUP($A101,$L:$N,3,FALSE)-0.0001,""),_xlfn.IFNA(VLOOKUP($A101,Sedmica_2_količina_namirnica!$L:$N,3,FALSE)-0.0001,""))</f>
        <v/>
      </c>
      <c r="D101" s="446" t="str">
        <f>IF(B101="Jaje kokošje, celo",IF(C101=INT(C101),C101,C101+1),IF(B101=""," ",_xlfn.IFNA(INT(C101*1000/(VLOOKUP($B101,Ingredient_prices!$E:$J,6,FALSE)))+1,"nije nabavljen")))</f>
        <v xml:space="preserve"> </v>
      </c>
      <c r="E101" s="446" t="str">
        <f>IF(C101="","",VLOOKUP($B101,Ingredient_prices!$E:$K,7,FALSE))</f>
        <v/>
      </c>
      <c r="F101" s="462" t="str">
        <f>IF(C101="","",IFERROR(IF(OR(E101="кг",E101="л"),VLOOKUP($B101,Ingredient_prices!$E:$V,16,FALSE)*D101,(VLOOKUP($B101,Ingredient_prices!$E:$P,12,FALSE)*D101)),""))</f>
        <v/>
      </c>
      <c r="G101" s="450" t="str">
        <f>IF(C101="","",_xlfn.IFNA(MID(VLOOKUP($B101,Ingredient_prices!$E:$F,2,FALSE),9,2),""))</f>
        <v/>
      </c>
      <c r="H101" s="447" t="str">
        <f>_xlfn.IFNA(VLOOKUP(CONCATENATE($I$9,$G101),Ingredient_prices!$G:$N,8,FALSE),"")</f>
        <v/>
      </c>
      <c r="I101" s="548" t="str">
        <f t="shared" si="7"/>
        <v/>
      </c>
      <c r="J101" s="695" t="str">
        <f>IF(N101="","",MID(Ingredient_prices!F95,9,2))</f>
        <v/>
      </c>
      <c r="K101" s="692" t="str">
        <f t="shared" si="8"/>
        <v/>
      </c>
      <c r="L101" s="692" t="str">
        <f>IF(N101="","",COUNTIF($P$10:$P$256,"&lt;"&amp;P101)+COUNTIF($P$10:P101,P101))</f>
        <v/>
      </c>
      <c r="M101" s="692" t="str">
        <f>IF(Ingredient_prices!E95=M100,"",Ingredient_prices!E95)</f>
        <v>Walnuts</v>
      </c>
      <c r="N101" s="693" t="str">
        <f>_xlfn.IFNA(VLOOKUP($M101,Sedmica_1_količina_sva_sastojak!$C:$F,4,FALSE),"")</f>
        <v/>
      </c>
      <c r="O101" s="696" t="str">
        <f>IF(N101="","",COUNTIF($P$10:$P$256,"&lt;"&amp;P101)+COUNTIF($P$10:P101,P101))</f>
        <v/>
      </c>
      <c r="P101" s="694" t="str">
        <f t="shared" si="9"/>
        <v/>
      </c>
    </row>
    <row r="102" spans="1:16">
      <c r="A102" s="470">
        <v>93</v>
      </c>
      <c r="B102" s="1248" t="str">
        <f>IF($B$8=1,_xlfn.IFNA(VLOOKUP($A102,$L:$N,2,FALSE),""),_xlfn.IFNA(VLOOKUP($A102,Sedmica_2_količina_namirnica!$L:$N,2,FALSE),""))</f>
        <v/>
      </c>
      <c r="C102" s="448" t="str">
        <f>IF($B$8=1,_xlfn.IFNA(VLOOKUP($A102,$L:$N,3,FALSE)-0.0001,""),_xlfn.IFNA(VLOOKUP($A102,Sedmica_2_količina_namirnica!$L:$N,3,FALSE)-0.0001,""))</f>
        <v/>
      </c>
      <c r="D102" s="446" t="str">
        <f>IF(B102="Jaje kokošje, celo",IF(C102=INT(C102),C102,C102+1),IF(B102=""," ",_xlfn.IFNA(INT(C102*1000/(VLOOKUP($B102,Ingredient_prices!$E:$J,6,FALSE)))+1,"nije nabavljen")))</f>
        <v xml:space="preserve"> </v>
      </c>
      <c r="E102" s="446" t="str">
        <f>IF(C102="","",VLOOKUP($B102,Ingredient_prices!$E:$K,7,FALSE))</f>
        <v/>
      </c>
      <c r="F102" s="462" t="str">
        <f>IF(C102="","",IFERROR(IF(OR(E102="кг",E102="л"),VLOOKUP($B102,Ingredient_prices!$E:$V,16,FALSE)*D102,(VLOOKUP($B102,Ingredient_prices!$E:$P,12,FALSE)*D102)),""))</f>
        <v/>
      </c>
      <c r="G102" s="450" t="str">
        <f>IF(C102="","",_xlfn.IFNA(MID(VLOOKUP($B102,Ingredient_prices!$E:$F,2,FALSE),9,2),""))</f>
        <v/>
      </c>
      <c r="H102" s="447" t="str">
        <f>_xlfn.IFNA(VLOOKUP(CONCATENATE($I$9,$G102),Ingredient_prices!$G:$N,8,FALSE),"")</f>
        <v/>
      </c>
      <c r="I102" s="548" t="str">
        <f t="shared" si="7"/>
        <v/>
      </c>
      <c r="J102" s="695" t="str">
        <f>IF(N102="","",MID(Ingredient_prices!F96,9,2))</f>
        <v/>
      </c>
      <c r="K102" s="692" t="str">
        <f t="shared" si="8"/>
        <v/>
      </c>
      <c r="L102" s="692" t="str">
        <f>IF(N102="","",COUNTIF($P$10:$P$256,"&lt;"&amp;P102)+COUNTIF($P$10:P102,P102))</f>
        <v/>
      </c>
      <c r="M102" s="692" t="str">
        <f>IF(Ingredient_prices!E96=M101,"",Ingredient_prices!E96)</f>
        <v>Wheat grains</v>
      </c>
      <c r="N102" s="693" t="str">
        <f>_xlfn.IFNA(VLOOKUP($M102,Sedmica_1_količina_sva_sastojak!$C:$F,4,FALSE),"")</f>
        <v/>
      </c>
      <c r="O102" s="696" t="str">
        <f>IF(N102="","",COUNTIF($P$10:$P$256,"&lt;"&amp;P102)+COUNTIF($P$10:P102,P102))</f>
        <v/>
      </c>
      <c r="P102" s="694" t="str">
        <f t="shared" si="9"/>
        <v/>
      </c>
    </row>
    <row r="103" spans="1:16">
      <c r="A103" s="470">
        <v>94</v>
      </c>
      <c r="B103" s="1248" t="str">
        <f>IF($B$8=1,_xlfn.IFNA(VLOOKUP($A103,$L:$N,2,FALSE),""),_xlfn.IFNA(VLOOKUP($A103,Sedmica_2_količina_namirnica!$L:$N,2,FALSE),""))</f>
        <v/>
      </c>
      <c r="C103" s="448" t="str">
        <f>IF($B$8=1,_xlfn.IFNA(VLOOKUP($A103,$L:$N,3,FALSE)-0.0001,""),_xlfn.IFNA(VLOOKUP($A103,Sedmica_2_količina_namirnica!$L:$N,3,FALSE)-0.0001,""))</f>
        <v/>
      </c>
      <c r="D103" s="446" t="str">
        <f>IF(B103="Jaje kokošje, celo",IF(C103=INT(C103),C103,C103+1),IF(B103=""," ",_xlfn.IFNA(INT(C103*1000/(VLOOKUP($B103,Ingredient_prices!$E:$J,6,FALSE)))+1,"nije nabavljen")))</f>
        <v xml:space="preserve"> </v>
      </c>
      <c r="E103" s="446" t="str">
        <f>IF(C103="","",VLOOKUP($B103,Ingredient_prices!$E:$K,7,FALSE))</f>
        <v/>
      </c>
      <c r="F103" s="462" t="str">
        <f>IF(C103="","",IFERROR(IF(OR(E103="кг",E103="л"),VLOOKUP($B103,Ingredient_prices!$E:$V,16,FALSE)*D103,(VLOOKUP($B103,Ingredient_prices!$E:$P,12,FALSE)*D103)),""))</f>
        <v/>
      </c>
      <c r="G103" s="450" t="str">
        <f>IF(C103="","",_xlfn.IFNA(MID(VLOOKUP($B103,Ingredient_prices!$E:$F,2,FALSE),9,2),""))</f>
        <v/>
      </c>
      <c r="H103" s="447" t="str">
        <f>_xlfn.IFNA(VLOOKUP(CONCATENATE($I$9,$G103),Ingredient_prices!$G:$N,8,FALSE),"")</f>
        <v/>
      </c>
      <c r="I103" s="548" t="str">
        <f t="shared" si="7"/>
        <v/>
      </c>
      <c r="J103" s="695" t="str">
        <f>IF(N103="","",MID(Ingredient_prices!F97,9,2))</f>
        <v/>
      </c>
      <c r="K103" s="692" t="str">
        <f t="shared" si="8"/>
        <v/>
      </c>
      <c r="L103" s="692" t="str">
        <f>IF(N103="","",COUNTIF($P$10:$P$256,"&lt;"&amp;P103)+COUNTIF($P$10:P103,P103))</f>
        <v/>
      </c>
      <c r="M103" s="692" t="str">
        <f>IF(Ingredient_prices!E97=M102,"",Ingredient_prices!E97)</f>
        <v>Cedevita orange</v>
      </c>
      <c r="N103" s="693" t="str">
        <f>_xlfn.IFNA(VLOOKUP($M103,Sedmica_1_količina_sva_sastojak!$C:$F,4,FALSE),"")</f>
        <v/>
      </c>
      <c r="O103" s="696" t="str">
        <f>IF(N103="","",COUNTIF($P$10:$P$256,"&lt;"&amp;P103)+COUNTIF($P$10:P103,P103))</f>
        <v/>
      </c>
      <c r="P103" s="694" t="str">
        <f t="shared" si="9"/>
        <v/>
      </c>
    </row>
    <row r="104" spans="1:16">
      <c r="A104" s="470">
        <v>95</v>
      </c>
      <c r="B104" s="1248" t="str">
        <f>IF($B$8=1,_xlfn.IFNA(VLOOKUP($A104,$L:$N,2,FALSE),""),_xlfn.IFNA(VLOOKUP($A104,Sedmica_2_količina_namirnica!$L:$N,2,FALSE),""))</f>
        <v/>
      </c>
      <c r="C104" s="448" t="str">
        <f>IF($B$8=1,_xlfn.IFNA(VLOOKUP($A104,$L:$N,3,FALSE)-0.0001,""),_xlfn.IFNA(VLOOKUP($A104,Sedmica_2_količina_namirnica!$L:$N,3,FALSE)-0.0001,""))</f>
        <v/>
      </c>
      <c r="D104" s="446" t="str">
        <f>IF(B104="Jaje kokošje, celo",IF(C104=INT(C104),C104,C104+1),IF(B104=""," ",_xlfn.IFNA(INT(C104*1000/(VLOOKUP($B104,Ingredient_prices!$E:$J,6,FALSE)))+1,"nije nabavljen")))</f>
        <v xml:space="preserve"> </v>
      </c>
      <c r="E104" s="446" t="str">
        <f>IF(C104="","",VLOOKUP($B104,Ingredient_prices!$E:$K,7,FALSE))</f>
        <v/>
      </c>
      <c r="F104" s="462" t="str">
        <f>IF(C104="","",IFERROR(IF(OR(E104="кг",E104="л"),VLOOKUP($B104,Ingredient_prices!$E:$V,16,FALSE)*D104,(VLOOKUP($B104,Ingredient_prices!$E:$P,12,FALSE)*D104)),""))</f>
        <v/>
      </c>
      <c r="G104" s="450" t="str">
        <f>IF(C104="","",_xlfn.IFNA(MID(VLOOKUP($B104,Ingredient_prices!$E:$F,2,FALSE),9,2),""))</f>
        <v/>
      </c>
      <c r="H104" s="447" t="str">
        <f>_xlfn.IFNA(VLOOKUP(CONCATENATE($I$9,$G104),Ingredient_prices!$G:$N,8,FALSE),"")</f>
        <v/>
      </c>
      <c r="I104" s="548" t="str">
        <f t="shared" si="7"/>
        <v/>
      </c>
      <c r="J104" s="695" t="str">
        <f>IF(N104="","",MID(Ingredient_prices!F98,9,2))</f>
        <v>2</v>
      </c>
      <c r="K104" s="692">
        <f t="shared" si="8"/>
        <v>26</v>
      </c>
      <c r="L104" s="692">
        <f>IF(N104="","",COUNTIF($P$10:$P$256,"&lt;"&amp;P104)+COUNTIF($P$10:P104,P104))</f>
        <v>31</v>
      </c>
      <c r="M104" s="692" t="str">
        <f>IF(Ingredient_prices!E98=M103,"",Ingredient_prices!E98)</f>
        <v>Cedevita lemon</v>
      </c>
      <c r="N104" s="693">
        <f>_xlfn.IFNA(VLOOKUP($M104,Sedmica_1_količina_sva_sastojak!$C:$F,4,FALSE),"")</f>
        <v>2.7500000000000004</v>
      </c>
      <c r="O104" s="696">
        <f>IF(N104="","",COUNTIF($P$10:$P$256,"&lt;"&amp;P104)+COUNTIF($P$10:P104,P104))</f>
        <v>31</v>
      </c>
      <c r="P104" s="694">
        <f t="shared" si="9"/>
        <v>226</v>
      </c>
    </row>
    <row r="105" spans="1:16">
      <c r="A105" s="470">
        <v>96</v>
      </c>
      <c r="B105" s="1248" t="str">
        <f>IF($B$8=1,_xlfn.IFNA(VLOOKUP($A105,$L:$N,2,FALSE),""),_xlfn.IFNA(VLOOKUP($A105,Sedmica_2_količina_namirnica!$L:$N,2,FALSE),""))</f>
        <v/>
      </c>
      <c r="C105" s="448" t="str">
        <f>IF($B$8=1,_xlfn.IFNA(VLOOKUP($A105,$L:$N,3,FALSE)-0.0001,""),_xlfn.IFNA(VLOOKUP($A105,Sedmica_2_količina_namirnica!$L:$N,3,FALSE)-0.0001,""))</f>
        <v/>
      </c>
      <c r="D105" s="446" t="str">
        <f>IF(B105="Jaje kokošje, celo",IF(C105=INT(C105),C105,C105+1),IF(B105=""," ",_xlfn.IFNA(INT(C105*1000/(VLOOKUP($B105,Ingredient_prices!$E:$J,6,FALSE)))+1,"nije nabavljen")))</f>
        <v xml:space="preserve"> </v>
      </c>
      <c r="E105" s="446" t="str">
        <f>IF(C105="","",VLOOKUP($B105,Ingredient_prices!$E:$K,7,FALSE))</f>
        <v/>
      </c>
      <c r="F105" s="462" t="str">
        <f>IF(C105="","",IFERROR(IF(OR(E105="кг",E105="л"),VLOOKUP($B105,Ingredient_prices!$E:$V,16,FALSE)*D105,(VLOOKUP($B105,Ingredient_prices!$E:$P,12,FALSE)*D105)),""))</f>
        <v/>
      </c>
      <c r="G105" s="450" t="str">
        <f>IF(C105="","",_xlfn.IFNA(MID(VLOOKUP($B105,Ingredient_prices!$E:$F,2,FALSE),9,2),""))</f>
        <v/>
      </c>
      <c r="H105" s="447" t="str">
        <f>_xlfn.IFNA(VLOOKUP(CONCATENATE($I$9,$G105),Ingredient_prices!$G:$N,8,FALSE),"")</f>
        <v/>
      </c>
      <c r="I105" s="548" t="str">
        <f t="shared" si="7"/>
        <v/>
      </c>
      <c r="J105" s="695" t="str">
        <f>IF(N105="","",MID(Ingredient_prices!F99,9,2))</f>
        <v/>
      </c>
      <c r="K105" s="692" t="str">
        <f t="shared" si="8"/>
        <v/>
      </c>
      <c r="L105" s="692" t="str">
        <f>IF(N105="","",COUNTIF($P$10:$P$256,"&lt;"&amp;P105)+COUNTIF($P$10:P105,P105))</f>
        <v/>
      </c>
      <c r="M105" s="692" t="str">
        <f>IF(Ingredient_prices!E99=M104,"",Ingredient_prices!E99)</f>
        <v>Apple juice</v>
      </c>
      <c r="N105" s="693" t="str">
        <f>_xlfn.IFNA(VLOOKUP($M105,Sedmica_1_količina_sva_sastojak!$C:$F,4,FALSE),"")</f>
        <v/>
      </c>
      <c r="O105" s="696" t="str">
        <f>IF(N105="","",COUNTIF($P$10:$P$256,"&lt;"&amp;P105)+COUNTIF($P$10:P105,P105))</f>
        <v/>
      </c>
      <c r="P105" s="694" t="str">
        <f t="shared" si="9"/>
        <v/>
      </c>
    </row>
    <row r="106" spans="1:16">
      <c r="A106" s="470">
        <v>97</v>
      </c>
      <c r="B106" s="1248" t="str">
        <f>IF($B$8=1,_xlfn.IFNA(VLOOKUP($A106,$L:$N,2,FALSE),""),_xlfn.IFNA(VLOOKUP($A106,Sedmica_2_količina_namirnica!$L:$N,2,FALSE),""))</f>
        <v/>
      </c>
      <c r="C106" s="448" t="str">
        <f>IF($B$8=1,_xlfn.IFNA(VLOOKUP($A106,$L:$N,3,FALSE)-0.0001,""),_xlfn.IFNA(VLOOKUP($A106,Sedmica_2_količina_namirnica!$L:$N,3,FALSE)-0.0001,""))</f>
        <v/>
      </c>
      <c r="D106" s="446" t="str">
        <f>IF(B106="Jaje kokošje, celo",IF(C106=INT(C106),C106,C106+1),IF(B106=""," ",_xlfn.IFNA(INT(C106*1000/(VLOOKUP($B106,Ingredient_prices!$E:$J,6,FALSE)))+1,"nije nabavljen")))</f>
        <v xml:space="preserve"> </v>
      </c>
      <c r="E106" s="446" t="str">
        <f>IF(C106="","",VLOOKUP($B106,Ingredient_prices!$E:$K,7,FALSE))</f>
        <v/>
      </c>
      <c r="F106" s="462" t="str">
        <f>IF(C106="","",IFERROR(IF(OR(E106="кг",E106="л"),VLOOKUP($B106,Ingredient_prices!$E:$V,16,FALSE)*D106,(VLOOKUP($B106,Ingredient_prices!$E:$P,12,FALSE)*D106)),""))</f>
        <v/>
      </c>
      <c r="G106" s="450" t="str">
        <f>IF(C106="","",_xlfn.IFNA(MID(VLOOKUP($B106,Ingredient_prices!$E:$F,2,FALSE),9,2),""))</f>
        <v/>
      </c>
      <c r="H106" s="447" t="str">
        <f>_xlfn.IFNA(VLOOKUP(CONCATENATE($I$9,$G106),Ingredient_prices!$G:$N,8,FALSE),"")</f>
        <v/>
      </c>
      <c r="I106" s="548" t="str">
        <f t="shared" si="7"/>
        <v/>
      </c>
      <c r="J106" s="695" t="str">
        <f>IF(N106="","",MID(Ingredient_prices!F100,9,2))</f>
        <v>2</v>
      </c>
      <c r="K106" s="692">
        <f t="shared" si="8"/>
        <v>27</v>
      </c>
      <c r="L106" s="692">
        <f>IF(N106="","",COUNTIF($P$10:$P$256,"&lt;"&amp;P106)+COUNTIF($P$10:P106,P106))</f>
        <v>32</v>
      </c>
      <c r="M106" s="692" t="str">
        <f>IF(Ingredient_prices!E100=M105,"",Ingredient_prices!E100)</f>
        <v>Sugar granulated</v>
      </c>
      <c r="N106" s="693">
        <f>_xlfn.IFNA(VLOOKUP($M106,Sedmica_1_količina_sva_sastojak!$C:$F,4,FALSE),"")</f>
        <v>2.5299999999999998</v>
      </c>
      <c r="O106" s="696">
        <f>IF(N106="","",COUNTIF($P$10:$P$256,"&lt;"&amp;P106)+COUNTIF($P$10:P106,P106))</f>
        <v>32</v>
      </c>
      <c r="P106" s="694">
        <f t="shared" si="9"/>
        <v>227</v>
      </c>
    </row>
    <row r="107" spans="1:16">
      <c r="A107" s="470">
        <v>98</v>
      </c>
      <c r="B107" s="1248" t="str">
        <f>IF($B$8=1,_xlfn.IFNA(VLOOKUP($A107,$L:$N,2,FALSE),""),_xlfn.IFNA(VLOOKUP($A107,Sedmica_2_količina_namirnica!$L:$N,2,FALSE),""))</f>
        <v/>
      </c>
      <c r="C107" s="448" t="str">
        <f>IF($B$8=1,_xlfn.IFNA(VLOOKUP($A107,$L:$N,3,FALSE)-0.0001,""),_xlfn.IFNA(VLOOKUP($A107,Sedmica_2_količina_namirnica!$L:$N,3,FALSE)-0.0001,""))</f>
        <v/>
      </c>
      <c r="D107" s="446" t="str">
        <f>IF(B107="Jaje kokošje, celo",IF(C107=INT(C107),C107,C107+1),IF(B107=""," ",_xlfn.IFNA(INT(C107*1000/(VLOOKUP($B107,Ingredient_prices!$E:$J,6,FALSE)))+1,"nije nabavljen")))</f>
        <v xml:space="preserve"> </v>
      </c>
      <c r="E107" s="446" t="str">
        <f>IF(C107="","",VLOOKUP($B107,Ingredient_prices!$E:$K,7,FALSE))</f>
        <v/>
      </c>
      <c r="F107" s="462" t="str">
        <f>IF(C107="","",IFERROR(IF(OR(E107="кг",E107="л"),VLOOKUP($B107,Ingredient_prices!$E:$V,16,FALSE)*D107,(VLOOKUP($B107,Ingredient_prices!$E:$P,12,FALSE)*D107)),""))</f>
        <v/>
      </c>
      <c r="G107" s="450" t="str">
        <f>IF(C107="","",_xlfn.IFNA(MID(VLOOKUP($B107,Ingredient_prices!$E:$F,2,FALSE),9,2),""))</f>
        <v/>
      </c>
      <c r="H107" s="447" t="str">
        <f>_xlfn.IFNA(VLOOKUP(CONCATENATE($I$9,$G107),Ingredient_prices!$G:$N,8,FALSE),"")</f>
        <v/>
      </c>
      <c r="I107" s="548" t="str">
        <f t="shared" ref="I107:I170" si="10">IFERROR(IF(MOD(D107,1)&gt;0.5,1+D107-MOD(D107,1),D107-MOD(D107,1)),"")</f>
        <v/>
      </c>
      <c r="J107" s="695" t="str">
        <f>IF(N107="","",MID(Ingredient_prices!F101,9,2))</f>
        <v/>
      </c>
      <c r="K107" s="692" t="str">
        <f t="shared" si="8"/>
        <v/>
      </c>
      <c r="L107" s="692" t="str">
        <f>IF(N107="","",COUNTIF($P$10:$P$256,"&lt;"&amp;P107)+COUNTIF($P$10:P107,P107))</f>
        <v/>
      </c>
      <c r="M107" s="692" t="str">
        <f>IF(Ingredient_prices!E101=M106,"",Ingredient_prices!E101)</f>
        <v>Baking powder</v>
      </c>
      <c r="N107" s="693" t="str">
        <f>_xlfn.IFNA(VLOOKUP($M107,Sedmica_1_količina_sva_sastojak!$C:$F,4,FALSE),"")</f>
        <v/>
      </c>
      <c r="O107" s="696" t="str">
        <f>IF(N107="","",COUNTIF($P$10:$P$256,"&lt;"&amp;P107)+COUNTIF($P$10:P107,P107))</f>
        <v/>
      </c>
      <c r="P107" s="694" t="str">
        <f t="shared" si="9"/>
        <v/>
      </c>
    </row>
    <row r="108" spans="1:16">
      <c r="A108" s="470">
        <v>99</v>
      </c>
      <c r="B108" s="1248" t="str">
        <f>IF($B$8=1,_xlfn.IFNA(VLOOKUP($A108,$L:$N,2,FALSE),""),_xlfn.IFNA(VLOOKUP($A108,Sedmica_2_količina_namirnica!$L:$N,2,FALSE),""))</f>
        <v/>
      </c>
      <c r="C108" s="448" t="str">
        <f>IF($B$8=1,_xlfn.IFNA(VLOOKUP($A108,$L:$N,3,FALSE)-0.0001,""),_xlfn.IFNA(VLOOKUP($A108,Sedmica_2_količina_namirnica!$L:$N,3,FALSE)-0.0001,""))</f>
        <v/>
      </c>
      <c r="D108" s="446" t="str">
        <f>IF(B108="Jaje kokošje, celo",IF(C108=INT(C108),C108,C108+1),IF(B108=""," ",_xlfn.IFNA(INT(C108*1000/(VLOOKUP($B108,Ingredient_prices!$E:$J,6,FALSE)))+1,"nije nabavljen")))</f>
        <v xml:space="preserve"> </v>
      </c>
      <c r="E108" s="446" t="str">
        <f>IF(C108="","",VLOOKUP($B108,Ingredient_prices!$E:$K,7,FALSE))</f>
        <v/>
      </c>
      <c r="F108" s="462" t="str">
        <f>IF(C108="","",IFERROR(IF(OR(E108="кг",E108="л"),VLOOKUP($B108,Ingredient_prices!$E:$V,16,FALSE)*D108,(VLOOKUP($B108,Ingredient_prices!$E:$P,12,FALSE)*D108)),""))</f>
        <v/>
      </c>
      <c r="G108" s="450" t="str">
        <f>IF(C108="","",_xlfn.IFNA(MID(VLOOKUP($B108,Ingredient_prices!$E:$F,2,FALSE),9,2),""))</f>
        <v/>
      </c>
      <c r="H108" s="447" t="str">
        <f>_xlfn.IFNA(VLOOKUP(CONCATENATE($I$9,$G108),Ingredient_prices!$G:$N,8,FALSE),"")</f>
        <v/>
      </c>
      <c r="I108" s="548" t="str">
        <f t="shared" si="10"/>
        <v/>
      </c>
      <c r="J108" s="695" t="str">
        <f>IF(N108="","",MID(Ingredient_prices!F102,9,2))</f>
        <v/>
      </c>
      <c r="K108" s="692" t="str">
        <f t="shared" si="8"/>
        <v/>
      </c>
      <c r="L108" s="692" t="str">
        <f>IF(N108="","",COUNTIF($P$10:$P$256,"&lt;"&amp;P108)+COUNTIF($P$10:P108,P108))</f>
        <v/>
      </c>
      <c r="M108" s="692" t="str">
        <f>IF(Ingredient_prices!E102=M107,"",Ingredient_prices!E102)</f>
        <v>Vanilla flavoured sugar</v>
      </c>
      <c r="N108" s="693" t="str">
        <f>_xlfn.IFNA(VLOOKUP($M108,Sedmica_1_količina_sva_sastojak!$C:$F,4,FALSE),"")</f>
        <v/>
      </c>
      <c r="O108" s="696" t="str">
        <f>IF(N108="","",COUNTIF($P$10:$P$256,"&lt;"&amp;P108)+COUNTIF($P$10:P108,P108))</f>
        <v/>
      </c>
      <c r="P108" s="694" t="str">
        <f t="shared" si="9"/>
        <v/>
      </c>
    </row>
    <row r="109" spans="1:16">
      <c r="A109" s="470">
        <v>100</v>
      </c>
      <c r="B109" s="1248" t="str">
        <f>IF($B$8=1,_xlfn.IFNA(VLOOKUP($A109,$L:$N,2,FALSE),""),_xlfn.IFNA(VLOOKUP($A109,Sedmica_2_količina_namirnica!$L:$N,2,FALSE),""))</f>
        <v/>
      </c>
      <c r="C109" s="448" t="str">
        <f>IF($B$8=1,_xlfn.IFNA(VLOOKUP($A109,$L:$N,3,FALSE)-0.0001,""),_xlfn.IFNA(VLOOKUP($A109,Sedmica_2_količina_namirnica!$L:$N,3,FALSE)-0.0001,""))</f>
        <v/>
      </c>
      <c r="D109" s="446" t="str">
        <f>IF(B109="Jaje kokošje, celo",IF(C109=INT(C109),C109,C109+1),IF(B109=""," ",_xlfn.IFNA(INT(C109*1000/(VLOOKUP($B109,Ingredient_prices!$E:$J,6,FALSE)))+1,"nije nabavljen")))</f>
        <v xml:space="preserve"> </v>
      </c>
      <c r="E109" s="446" t="str">
        <f>IF(C109="","",VLOOKUP($B109,Ingredient_prices!$E:$K,7,FALSE))</f>
        <v/>
      </c>
      <c r="F109" s="462" t="str">
        <f>IF(C109="","",IFERROR(IF(OR(E109="кг",E109="л"),VLOOKUP($B109,Ingredient_prices!$E:$V,16,FALSE)*D109,(VLOOKUP($B109,Ingredient_prices!$E:$P,12,FALSE)*D109)),""))</f>
        <v/>
      </c>
      <c r="G109" s="450" t="str">
        <f>IF(C109="","",_xlfn.IFNA(MID(VLOOKUP($B109,Ingredient_prices!$E:$F,2,FALSE),9,2),""))</f>
        <v/>
      </c>
      <c r="H109" s="447" t="str">
        <f>_xlfn.IFNA(VLOOKUP(CONCATENATE($I$9,$G109),Ingredient_prices!$G:$N,8,FALSE),"")</f>
        <v/>
      </c>
      <c r="I109" s="548" t="str">
        <f t="shared" si="10"/>
        <v/>
      </c>
      <c r="J109" s="695" t="str">
        <f>IF(N109="","",MID(Ingredient_prices!F103,9,2))</f>
        <v/>
      </c>
      <c r="K109" s="692" t="str">
        <f t="shared" si="8"/>
        <v/>
      </c>
      <c r="L109" s="692" t="str">
        <f>IF(N109="","",COUNTIF($P$10:$P$256,"&lt;"&amp;P109)+COUNTIF($P$10:P109,P109))</f>
        <v/>
      </c>
      <c r="M109" s="692" t="str">
        <f>IF(Ingredient_prices!E103=M108,"",Ingredient_prices!E103)</f>
        <v>Icing sugar</v>
      </c>
      <c r="N109" s="693" t="str">
        <f>_xlfn.IFNA(VLOOKUP($M109,Sedmica_1_količina_sva_sastojak!$C:$F,4,FALSE),"")</f>
        <v/>
      </c>
      <c r="O109" s="696" t="str">
        <f>IF(N109="","",COUNTIF($P$10:$P$256,"&lt;"&amp;P109)+COUNTIF($P$10:P109,P109))</f>
        <v/>
      </c>
      <c r="P109" s="694" t="str">
        <f t="shared" si="9"/>
        <v/>
      </c>
    </row>
    <row r="110" spans="1:16">
      <c r="A110" s="470">
        <v>101</v>
      </c>
      <c r="B110" s="1248" t="str">
        <f>IF($B$8=1,_xlfn.IFNA(VLOOKUP($A110,$L:$N,2,FALSE),""),_xlfn.IFNA(VLOOKUP($A110,Sedmica_2_količina_namirnica!$L:$N,2,FALSE),""))</f>
        <v/>
      </c>
      <c r="C110" s="448" t="str">
        <f>IF($B$8=1,_xlfn.IFNA(VLOOKUP($A110,$L:$N,3,FALSE)-0.0001,""),_xlfn.IFNA(VLOOKUP($A110,Sedmica_2_količina_namirnica!$L:$N,3,FALSE)-0.0001,""))</f>
        <v/>
      </c>
      <c r="D110" s="446" t="str">
        <f>IF(B110="Jaje kokošje, celo",IF(C110=INT(C110),C110,C110+1),IF(B110=""," ",_xlfn.IFNA(INT(C110*1000/(VLOOKUP($B110,Ingredient_prices!$E:$J,6,FALSE)))+1,"nije nabavljen")))</f>
        <v xml:space="preserve"> </v>
      </c>
      <c r="E110" s="446" t="str">
        <f>IF(C110="","",VLOOKUP($B110,Ingredient_prices!$E:$K,7,FALSE))</f>
        <v/>
      </c>
      <c r="F110" s="462" t="str">
        <f>IF(C110="","",IFERROR(IF(OR(E110="кг",E110="л"),VLOOKUP($B110,Ingredient_prices!$E:$V,16,FALSE)*D110,(VLOOKUP($B110,Ingredient_prices!$E:$P,12,FALSE)*D110)),""))</f>
        <v/>
      </c>
      <c r="G110" s="450" t="str">
        <f>IF(C110="","",_xlfn.IFNA(MID(VLOOKUP($B110,Ingredient_prices!$E:$F,2,FALSE),9,2),""))</f>
        <v/>
      </c>
      <c r="H110" s="447" t="str">
        <f>_xlfn.IFNA(VLOOKUP(CONCATENATE($I$9,$G110),Ingredient_prices!$G:$N,8,FALSE),"")</f>
        <v/>
      </c>
      <c r="I110" s="548" t="str">
        <f t="shared" si="10"/>
        <v/>
      </c>
      <c r="J110" s="695" t="str">
        <f>IF(N110="","",MID(Ingredient_prices!F104,9,2))</f>
        <v/>
      </c>
      <c r="K110" s="692" t="str">
        <f t="shared" si="8"/>
        <v/>
      </c>
      <c r="L110" s="692" t="str">
        <f>IF(N110="","",COUNTIF($P$10:$P$256,"&lt;"&amp;P110)+COUNTIF($P$10:P110,P110))</f>
        <v/>
      </c>
      <c r="M110" s="692" t="str">
        <f>IF(Ingredient_prices!E104=M109,"",Ingredient_prices!E104)</f>
        <v>Chocolate pudding</v>
      </c>
      <c r="N110" s="693" t="str">
        <f>_xlfn.IFNA(VLOOKUP($M110,Sedmica_1_količina_sva_sastojak!$C:$F,4,FALSE),"")</f>
        <v/>
      </c>
      <c r="O110" s="696" t="str">
        <f>IF(N110="","",COUNTIF($P$10:$P$256,"&lt;"&amp;P110)+COUNTIF($P$10:P110,P110))</f>
        <v/>
      </c>
      <c r="P110" s="694" t="str">
        <f t="shared" si="9"/>
        <v/>
      </c>
    </row>
    <row r="111" spans="1:16">
      <c r="A111" s="470">
        <v>102</v>
      </c>
      <c r="B111" s="1248" t="str">
        <f>IF($B$8=1,_xlfn.IFNA(VLOOKUP($A111,$L:$N,2,FALSE),""),_xlfn.IFNA(VLOOKUP($A111,Sedmica_2_količina_namirnica!$L:$N,2,FALSE),""))</f>
        <v/>
      </c>
      <c r="C111" s="448" t="str">
        <f>IF($B$8=1,_xlfn.IFNA(VLOOKUP($A111,$L:$N,3,FALSE)-0.0001,""),_xlfn.IFNA(VLOOKUP($A111,Sedmica_2_količina_namirnica!$L:$N,3,FALSE)-0.0001,""))</f>
        <v/>
      </c>
      <c r="D111" s="446" t="str">
        <f>IF(B111="Jaje kokošje, celo",IF(C111=INT(C111),C111,C111+1),IF(B111=""," ",_xlfn.IFNA(INT(C111*1000/(VLOOKUP($B111,Ingredient_prices!$E:$J,6,FALSE)))+1,"nije nabavljen")))</f>
        <v xml:space="preserve"> </v>
      </c>
      <c r="E111" s="446" t="str">
        <f>IF(C111="","",VLOOKUP($B111,Ingredient_prices!$E:$K,7,FALSE))</f>
        <v/>
      </c>
      <c r="F111" s="462" t="str">
        <f>IF(C111="","",IFERROR(IF(OR(E111="кг",E111="л"),VLOOKUP($B111,Ingredient_prices!$E:$V,16,FALSE)*D111,(VLOOKUP($B111,Ingredient_prices!$E:$P,12,FALSE)*D111)),""))</f>
        <v/>
      </c>
      <c r="G111" s="450" t="str">
        <f>IF(C111="","",_xlfn.IFNA(MID(VLOOKUP($B111,Ingredient_prices!$E:$F,2,FALSE),9,2),""))</f>
        <v/>
      </c>
      <c r="H111" s="447" t="str">
        <f>_xlfn.IFNA(VLOOKUP(CONCATENATE($I$9,$G111),Ingredient_prices!$G:$N,8,FALSE),"")</f>
        <v/>
      </c>
      <c r="I111" s="548" t="str">
        <f t="shared" si="10"/>
        <v/>
      </c>
      <c r="J111" s="695" t="str">
        <f>IF(N111="","",MID(Ingredient_prices!F105,9,2))</f>
        <v/>
      </c>
      <c r="K111" s="692" t="str">
        <f t="shared" si="8"/>
        <v/>
      </c>
      <c r="L111" s="692" t="str">
        <f>IF(N111="","",COUNTIF($P$10:$P$256,"&lt;"&amp;P111)+COUNTIF($P$10:P111,P111))</f>
        <v/>
      </c>
      <c r="M111" s="692" t="str">
        <f>IF(Ingredient_prices!E105=M110,"",Ingredient_prices!E105)</f>
        <v>Vanilla pudding</v>
      </c>
      <c r="N111" s="693" t="str">
        <f>_xlfn.IFNA(VLOOKUP($M111,Sedmica_1_količina_sva_sastojak!$C:$F,4,FALSE),"")</f>
        <v/>
      </c>
      <c r="O111" s="696" t="str">
        <f>IF(N111="","",COUNTIF($P$10:$P$256,"&lt;"&amp;P111)+COUNTIF($P$10:P111,P111))</f>
        <v/>
      </c>
      <c r="P111" s="694" t="str">
        <f t="shared" si="9"/>
        <v/>
      </c>
    </row>
    <row r="112" spans="1:16">
      <c r="A112" s="470">
        <v>103</v>
      </c>
      <c r="B112" s="1248" t="str">
        <f>IF($B$8=1,_xlfn.IFNA(VLOOKUP($A112,$L:$N,2,FALSE),""),_xlfn.IFNA(VLOOKUP($A112,Sedmica_2_količina_namirnica!$L:$N,2,FALSE),""))</f>
        <v/>
      </c>
      <c r="C112" s="448" t="str">
        <f>IF($B$8=1,_xlfn.IFNA(VLOOKUP($A112,$L:$N,3,FALSE)-0.0001,""),_xlfn.IFNA(VLOOKUP($A112,Sedmica_2_količina_namirnica!$L:$N,3,FALSE)-0.0001,""))</f>
        <v/>
      </c>
      <c r="D112" s="446" t="str">
        <f>IF(B112="Jaje kokošje, celo",IF(C112=INT(C112),C112,C112+1),IF(B112=""," ",_xlfn.IFNA(INT(C112*1000/(VLOOKUP($B112,Ingredient_prices!$E:$J,6,FALSE)))+1,"nije nabavljen")))</f>
        <v xml:space="preserve"> </v>
      </c>
      <c r="E112" s="446" t="str">
        <f>IF(C112="","",VLOOKUP($B112,Ingredient_prices!$E:$K,7,FALSE))</f>
        <v/>
      </c>
      <c r="F112" s="462" t="str">
        <f>IF(C112="","",IFERROR(IF(OR(E112="кг",E112="л"),VLOOKUP($B112,Ingredient_prices!$E:$V,16,FALSE)*D112,(VLOOKUP($B112,Ingredient_prices!$E:$P,12,FALSE)*D112)),""))</f>
        <v/>
      </c>
      <c r="G112" s="450" t="str">
        <f>IF(C112="","",_xlfn.IFNA(MID(VLOOKUP($B112,Ingredient_prices!$E:$F,2,FALSE),9,2),""))</f>
        <v/>
      </c>
      <c r="H112" s="447" t="str">
        <f>_xlfn.IFNA(VLOOKUP(CONCATENATE($I$9,$G112),Ingredient_prices!$G:$N,8,FALSE),"")</f>
        <v/>
      </c>
      <c r="I112" s="548" t="str">
        <f t="shared" si="10"/>
        <v/>
      </c>
      <c r="J112" s="695" t="str">
        <f>IF(N112="","",MID(Ingredient_prices!F106,9,2))</f>
        <v/>
      </c>
      <c r="K112" s="692" t="str">
        <f t="shared" si="8"/>
        <v/>
      </c>
      <c r="L112" s="692" t="str">
        <f>IF(N112="","",COUNTIF($P$10:$P$256,"&lt;"&amp;P112)+COUNTIF($P$10:P112,P112))</f>
        <v/>
      </c>
      <c r="M112" s="692" t="str">
        <f>IF(Ingredient_prices!E106=M111,"",Ingredient_prices!E106)</f>
        <v>Apricot filling</v>
      </c>
      <c r="N112" s="693" t="str">
        <f>_xlfn.IFNA(VLOOKUP($M112,Sedmica_1_količina_sva_sastojak!$C:$F,4,FALSE),"")</f>
        <v/>
      </c>
      <c r="O112" s="696" t="str">
        <f>IF(N112="","",COUNTIF($P$10:$P$256,"&lt;"&amp;P112)+COUNTIF($P$10:P112,P112))</f>
        <v/>
      </c>
      <c r="P112" s="694" t="str">
        <f t="shared" si="9"/>
        <v/>
      </c>
    </row>
    <row r="113" spans="1:17">
      <c r="A113" s="470">
        <v>104</v>
      </c>
      <c r="B113" s="1248" t="str">
        <f>IF($B$8=1,_xlfn.IFNA(VLOOKUP($A113,$L:$N,2,FALSE),""),_xlfn.IFNA(VLOOKUP($A113,Sedmica_2_količina_namirnica!$L:$N,2,FALSE),""))</f>
        <v/>
      </c>
      <c r="C113" s="448" t="str">
        <f>IF($B$8=1,_xlfn.IFNA(VLOOKUP($A113,$L:$N,3,FALSE)-0.0001,""),_xlfn.IFNA(VLOOKUP($A113,Sedmica_2_količina_namirnica!$L:$N,3,FALSE)-0.0001,""))</f>
        <v/>
      </c>
      <c r="D113" s="446" t="str">
        <f>IF(B113="Jaje kokošje, celo",IF(C113=INT(C113),C113,C113+1),IF(B113=""," ",_xlfn.IFNA(INT(C113*1000/(VLOOKUP($B113,Ingredient_prices!$E:$J,6,FALSE)))+1,"nije nabavljen")))</f>
        <v xml:space="preserve"> </v>
      </c>
      <c r="E113" s="446" t="str">
        <f>IF(C113="","",VLOOKUP($B113,Ingredient_prices!$E:$K,7,FALSE))</f>
        <v/>
      </c>
      <c r="F113" s="462" t="str">
        <f>IF(C113="","",IFERROR(IF(OR(E113="кг",E113="л"),VLOOKUP($B113,Ingredient_prices!$E:$V,16,FALSE)*D113,(VLOOKUP($B113,Ingredient_prices!$E:$P,12,FALSE)*D113)),""))</f>
        <v/>
      </c>
      <c r="G113" s="450" t="str">
        <f>IF(C113="","",_xlfn.IFNA(MID(VLOOKUP($B113,Ingredient_prices!$E:$F,2,FALSE),9,2),""))</f>
        <v/>
      </c>
      <c r="H113" s="447" t="str">
        <f>_xlfn.IFNA(VLOOKUP(CONCATENATE($I$9,$G113),Ingredient_prices!$G:$N,8,FALSE),"")</f>
        <v/>
      </c>
      <c r="I113" s="548" t="str">
        <f t="shared" si="10"/>
        <v/>
      </c>
      <c r="J113" s="695" t="str">
        <f>IF(N113="","",MID(Ingredient_prices!F107,9,2))</f>
        <v/>
      </c>
      <c r="K113" s="692" t="str">
        <f t="shared" si="8"/>
        <v/>
      </c>
      <c r="L113" s="692" t="str">
        <f>IF(N113="","",COUNTIF($P$10:$P$256,"&lt;"&amp;P113)+COUNTIF($P$10:P113,P113))</f>
        <v/>
      </c>
      <c r="M113" s="692" t="str">
        <f>IF(Ingredient_prices!E107=M112,"",Ingredient_prices!E107)</f>
        <v>Cherry filling</v>
      </c>
      <c r="N113" s="693" t="str">
        <f>_xlfn.IFNA(VLOOKUP($M113,Sedmica_1_količina_sva_sastojak!$C:$F,4,FALSE),"")</f>
        <v/>
      </c>
      <c r="O113" s="696" t="str">
        <f>IF(N113="","",COUNTIF($P$10:$P$256,"&lt;"&amp;P113)+COUNTIF($P$10:P113,P113))</f>
        <v/>
      </c>
      <c r="P113" s="694" t="str">
        <f t="shared" si="9"/>
        <v/>
      </c>
    </row>
    <row r="114" spans="1:17">
      <c r="A114" s="470">
        <v>105</v>
      </c>
      <c r="B114" s="1248" t="str">
        <f>IF($B$8=1,_xlfn.IFNA(VLOOKUP($A114,$L:$N,2,FALSE),""),_xlfn.IFNA(VLOOKUP($A114,Sedmica_2_količina_namirnica!$L:$N,2,FALSE),""))</f>
        <v/>
      </c>
      <c r="C114" s="448" t="str">
        <f>IF($B$8=1,_xlfn.IFNA(VLOOKUP($A114,$L:$N,3,FALSE)-0.0001,""),_xlfn.IFNA(VLOOKUP($A114,Sedmica_2_količina_namirnica!$L:$N,3,FALSE)-0.0001,""))</f>
        <v/>
      </c>
      <c r="D114" s="446" t="str">
        <f>IF(B114="Jaje kokošje, celo",IF(C114=INT(C114),C114,C114+1),IF(B114=""," ",_xlfn.IFNA(INT(C114*1000/(VLOOKUP($B114,Ingredient_prices!$E:$J,6,FALSE)))+1,"nije nabavljen")))</f>
        <v xml:space="preserve"> </v>
      </c>
      <c r="E114" s="446" t="str">
        <f>IF(C114="","",VLOOKUP($B114,Ingredient_prices!$E:$K,7,FALSE))</f>
        <v/>
      </c>
      <c r="F114" s="462" t="str">
        <f>IF(C114="","",IFERROR(IF(OR(E114="кг",E114="л"),VLOOKUP($B114,Ingredient_prices!$E:$V,16,FALSE)*D114,(VLOOKUP($B114,Ingredient_prices!$E:$P,12,FALSE)*D114)),""))</f>
        <v/>
      </c>
      <c r="G114" s="450" t="str">
        <f>IF(C114="","",_xlfn.IFNA(MID(VLOOKUP($B114,Ingredient_prices!$E:$F,2,FALSE),9,2),""))</f>
        <v/>
      </c>
      <c r="H114" s="447" t="str">
        <f>_xlfn.IFNA(VLOOKUP(CONCATENATE($I$9,$G114),Ingredient_prices!$G:$N,8,FALSE),"")</f>
        <v/>
      </c>
      <c r="I114" s="548" t="str">
        <f t="shared" si="10"/>
        <v/>
      </c>
      <c r="J114" s="695" t="str">
        <f>IF(N114="","",MID(Ingredient_prices!F108,9,2))</f>
        <v/>
      </c>
      <c r="K114" s="692" t="str">
        <f t="shared" si="8"/>
        <v/>
      </c>
      <c r="L114" s="692" t="str">
        <f>IF(N114="","",COUNTIF($P$10:$P$256,"&lt;"&amp;P114)+COUNTIF($P$10:P114,P114))</f>
        <v/>
      </c>
      <c r="M114" s="692" t="str">
        <f>IF(Ingredient_prices!E108=M113,"",Ingredient_prices!E108)</f>
        <v>Plum jam</v>
      </c>
      <c r="N114" s="693" t="str">
        <f>_xlfn.IFNA(VLOOKUP($M114,Sedmica_1_količina_sva_sastojak!$C:$F,4,FALSE),"")</f>
        <v/>
      </c>
      <c r="O114" s="696" t="str">
        <f>IF(N114="","",COUNTIF($P$10:$P$256,"&lt;"&amp;P114)+COUNTIF($P$10:P114,P114))</f>
        <v/>
      </c>
      <c r="P114" s="694" t="str">
        <f t="shared" si="9"/>
        <v/>
      </c>
    </row>
    <row r="115" spans="1:17">
      <c r="A115" s="470">
        <v>106</v>
      </c>
      <c r="B115" s="1248" t="str">
        <f>IF($B$8=1,_xlfn.IFNA(VLOOKUP($A115,$L:$N,2,FALSE),""),_xlfn.IFNA(VLOOKUP($A115,Sedmica_2_količina_namirnica!$L:$N,2,FALSE),""))</f>
        <v/>
      </c>
      <c r="C115" s="448" t="str">
        <f>IF($B$8=1,_xlfn.IFNA(VLOOKUP($A115,$L:$N,3,FALSE)-0.0001,""),_xlfn.IFNA(VLOOKUP($A115,Sedmica_2_količina_namirnica!$L:$N,3,FALSE)-0.0001,""))</f>
        <v/>
      </c>
      <c r="D115" s="446" t="str">
        <f>IF(B115="Jaje kokošje, celo",IF(C115=INT(C115),C115,C115+1),IF(B115=""," ",_xlfn.IFNA(INT(C115*1000/(VLOOKUP($B115,Ingredient_prices!$E:$J,6,FALSE)))+1,"nije nabavljen")))</f>
        <v xml:space="preserve"> </v>
      </c>
      <c r="E115" s="446" t="str">
        <f>IF(C115="","",VLOOKUP($B115,Ingredient_prices!$E:$K,7,FALSE))</f>
        <v/>
      </c>
      <c r="F115" s="462" t="str">
        <f>IF(C115="","",IFERROR(IF(OR(E115="кг",E115="л"),VLOOKUP($B115,Ingredient_prices!$E:$V,16,FALSE)*D115,(VLOOKUP($B115,Ingredient_prices!$E:$P,12,FALSE)*D115)),""))</f>
        <v/>
      </c>
      <c r="G115" s="450" t="str">
        <f>IF(C115="","",_xlfn.IFNA(MID(VLOOKUP($B115,Ingredient_prices!$E:$F,2,FALSE),9,2),""))</f>
        <v/>
      </c>
      <c r="H115" s="447" t="str">
        <f>_xlfn.IFNA(VLOOKUP(CONCATENATE($I$9,$G115),Ingredient_prices!$G:$N,8,FALSE),"")</f>
        <v/>
      </c>
      <c r="I115" s="548" t="str">
        <f t="shared" si="10"/>
        <v/>
      </c>
      <c r="J115" s="695" t="str">
        <f>IF(N115="","",MID(Ingredient_prices!F109,9,2))</f>
        <v/>
      </c>
      <c r="K115" s="692" t="str">
        <f t="shared" si="8"/>
        <v/>
      </c>
      <c r="L115" s="692" t="str">
        <f>IF(N115="","",COUNTIF($P$10:$P$256,"&lt;"&amp;P115)+COUNTIF($P$10:P115,P115))</f>
        <v/>
      </c>
      <c r="M115" s="692" t="str">
        <f>IF(Ingredient_prices!E109=M114,"",Ingredient_prices!E109)</f>
        <v>Rose hip jam</v>
      </c>
      <c r="N115" s="693" t="str">
        <f>_xlfn.IFNA(VLOOKUP($M115,Sedmica_1_količina_sva_sastojak!$C:$F,4,FALSE),"")</f>
        <v/>
      </c>
      <c r="O115" s="696" t="str">
        <f>IF(N115="","",COUNTIF($P$10:$P$256,"&lt;"&amp;P115)+COUNTIF($P$10:P115,P115))</f>
        <v/>
      </c>
      <c r="P115" s="694" t="str">
        <f t="shared" si="9"/>
        <v/>
      </c>
    </row>
    <row r="116" spans="1:17">
      <c r="A116" s="470">
        <v>107</v>
      </c>
      <c r="B116" s="1248" t="str">
        <f>IF($B$8=1,_xlfn.IFNA(VLOOKUP($A116,$L:$N,2,FALSE),""),_xlfn.IFNA(VLOOKUP($A116,Sedmica_2_količina_namirnica!$L:$N,2,FALSE),""))</f>
        <v/>
      </c>
      <c r="C116" s="448" t="str">
        <f>IF($B$8=1,_xlfn.IFNA(VLOOKUP($A116,$L:$N,3,FALSE)-0.0001,""),_xlfn.IFNA(VLOOKUP($A116,Sedmica_2_količina_namirnica!$L:$N,3,FALSE)-0.0001,""))</f>
        <v/>
      </c>
      <c r="D116" s="446" t="str">
        <f>IF(B116="Jaje kokošje, celo",IF(C116=INT(C116),C116,C116+1),IF(B116=""," ",_xlfn.IFNA(INT(C116*1000/(VLOOKUP($B116,Ingredient_prices!$E:$J,6,FALSE)))+1,"nije nabavljen")))</f>
        <v xml:space="preserve"> </v>
      </c>
      <c r="E116" s="446" t="str">
        <f>IF(C116="","",VLOOKUP($B116,Ingredient_prices!$E:$K,7,FALSE))</f>
        <v/>
      </c>
      <c r="F116" s="462" t="str">
        <f>IF(C116="","",IFERROR(IF(OR(E116="кг",E116="л"),VLOOKUP($B116,Ingredient_prices!$E:$V,16,FALSE)*D116,(VLOOKUP($B116,Ingredient_prices!$E:$P,12,FALSE)*D116)),""))</f>
        <v/>
      </c>
      <c r="G116" s="450" t="str">
        <f>IF(C116="","",_xlfn.IFNA(MID(VLOOKUP($B116,Ingredient_prices!$E:$F,2,FALSE),9,2),""))</f>
        <v/>
      </c>
      <c r="H116" s="447" t="str">
        <f>_xlfn.IFNA(VLOOKUP(CONCATENATE($I$9,$G116),Ingredient_prices!$G:$N,8,FALSE),"")</f>
        <v/>
      </c>
      <c r="I116" s="548" t="str">
        <f t="shared" si="10"/>
        <v/>
      </c>
      <c r="J116" s="695" t="str">
        <f>IF(N116="","",MID(Ingredient_prices!F110,9,2))</f>
        <v/>
      </c>
      <c r="K116" s="692" t="str">
        <f t="shared" si="8"/>
        <v/>
      </c>
      <c r="L116" s="692" t="str">
        <f>IF(N116="","",COUNTIF($P$10:$P$256,"&lt;"&amp;P116)+COUNTIF($P$10:P116,P116))</f>
        <v/>
      </c>
      <c r="M116" s="692" t="str">
        <f>IF(Ingredient_prices!E110=M115,"",Ingredient_prices!E110)</f>
        <v>Apricot jam</v>
      </c>
      <c r="N116" s="693" t="str">
        <f>_xlfn.IFNA(VLOOKUP($M116,Sedmica_1_količina_sva_sastojak!$C:$F,4,FALSE),"")</f>
        <v/>
      </c>
      <c r="O116" s="696" t="str">
        <f>IF(N116="","",COUNTIF($P$10:$P$256,"&lt;"&amp;P116)+COUNTIF($P$10:P116,P116))</f>
        <v/>
      </c>
      <c r="P116" s="694" t="str">
        <f t="shared" si="9"/>
        <v/>
      </c>
    </row>
    <row r="117" spans="1:17">
      <c r="A117" s="470">
        <v>108</v>
      </c>
      <c r="B117" s="1248" t="str">
        <f>IF($B$8=1,_xlfn.IFNA(VLOOKUP($A117,$L:$N,2,FALSE),""),_xlfn.IFNA(VLOOKUP($A117,Sedmica_2_količina_namirnica!$L:$N,2,FALSE),""))</f>
        <v/>
      </c>
      <c r="C117" s="448" t="str">
        <f>IF($B$8=1,_xlfn.IFNA(VLOOKUP($A117,$L:$N,3,FALSE)-0.0001,""),_xlfn.IFNA(VLOOKUP($A117,Sedmica_2_količina_namirnica!$L:$N,3,FALSE)-0.0001,""))</f>
        <v/>
      </c>
      <c r="D117" s="446" t="str">
        <f>IF(B117="Jaje kokošje, celo",IF(C117=INT(C117),C117,C117+1),IF(B117=""," ",_xlfn.IFNA(INT(C117*1000/(VLOOKUP($B117,Ingredient_prices!$E:$J,6,FALSE)))+1,"nije nabavljen")))</f>
        <v xml:space="preserve"> </v>
      </c>
      <c r="E117" s="446" t="str">
        <f>IF(C117="","",VLOOKUP($B117,Ingredient_prices!$E:$K,7,FALSE))</f>
        <v/>
      </c>
      <c r="F117" s="462" t="str">
        <f>IF(C117="","",IFERROR(IF(OR(E117="кг",E117="л"),VLOOKUP($B117,Ingredient_prices!$E:$V,16,FALSE)*D117,(VLOOKUP($B117,Ingredient_prices!$E:$P,12,FALSE)*D117)),""))</f>
        <v/>
      </c>
      <c r="G117" s="450" t="str">
        <f>IF(C117="","",_xlfn.IFNA(MID(VLOOKUP($B117,Ingredient_prices!$E:$F,2,FALSE),9,2),""))</f>
        <v/>
      </c>
      <c r="H117" s="447" t="str">
        <f>_xlfn.IFNA(VLOOKUP(CONCATENATE($I$9,$G117),Ingredient_prices!$G:$N,8,FALSE),"")</f>
        <v/>
      </c>
      <c r="I117" s="548" t="str">
        <f t="shared" si="10"/>
        <v/>
      </c>
      <c r="J117" s="695" t="str">
        <f>IF(N117="","",MID(Ingredient_prices!F111,9,2))</f>
        <v/>
      </c>
      <c r="K117" s="692" t="str">
        <f t="shared" si="8"/>
        <v/>
      </c>
      <c r="L117" s="692" t="str">
        <f>IF(N117="","",COUNTIF($P$10:$P$256,"&lt;"&amp;P117)+COUNTIF($P$10:P117,P117))</f>
        <v/>
      </c>
      <c r="M117" s="692" t="str">
        <f>IF(Ingredient_prices!E111=M116,"",Ingredient_prices!E111)</f>
        <v>Honey</v>
      </c>
      <c r="N117" s="693" t="str">
        <f>_xlfn.IFNA(VLOOKUP($M117,Sedmica_1_količina_sva_sastojak!$C:$F,4,FALSE),"")</f>
        <v/>
      </c>
      <c r="O117" s="696" t="str">
        <f>IF(N117="","",COUNTIF($P$10:$P$256,"&lt;"&amp;P117)+COUNTIF($P$10:P117,P117))</f>
        <v/>
      </c>
      <c r="P117" s="694" t="str">
        <f t="shared" si="9"/>
        <v/>
      </c>
    </row>
    <row r="118" spans="1:17">
      <c r="A118" s="470">
        <v>109</v>
      </c>
      <c r="B118" s="1248" t="str">
        <f>IF($B$8=1,_xlfn.IFNA(VLOOKUP($A118,$L:$N,2,FALSE),""),_xlfn.IFNA(VLOOKUP($A118,Sedmica_2_količina_namirnica!$L:$N,2,FALSE),""))</f>
        <v/>
      </c>
      <c r="C118" s="448" t="str">
        <f>IF($B$8=1,_xlfn.IFNA(VLOOKUP($A118,$L:$N,3,FALSE)-0.0001,""),_xlfn.IFNA(VLOOKUP($A118,Sedmica_2_količina_namirnica!$L:$N,3,FALSE)-0.0001,""))</f>
        <v/>
      </c>
      <c r="D118" s="446" t="str">
        <f>IF(B118="Jaje kokošje, celo",IF(C118=INT(C118),C118,C118+1),IF(B118=""," ",_xlfn.IFNA(INT(C118*1000/(VLOOKUP($B118,Ingredient_prices!$E:$J,6,FALSE)))+1,"nije nabavljen")))</f>
        <v xml:space="preserve"> </v>
      </c>
      <c r="E118" s="446" t="str">
        <f>IF(C118="","",VLOOKUP($B118,Ingredient_prices!$E:$K,7,FALSE))</f>
        <v/>
      </c>
      <c r="F118" s="462" t="str">
        <f>IF(C118="","",IFERROR(IF(OR(E118="кг",E118="л"),VLOOKUP($B118,Ingredient_prices!$E:$V,16,FALSE)*D118,(VLOOKUP($B118,Ingredient_prices!$E:$P,12,FALSE)*D118)),""))</f>
        <v/>
      </c>
      <c r="G118" s="450" t="str">
        <f>IF(C118="","",_xlfn.IFNA(MID(VLOOKUP($B118,Ingredient_prices!$E:$F,2,FALSE),9,2),""))</f>
        <v/>
      </c>
      <c r="H118" s="447" t="str">
        <f>_xlfn.IFNA(VLOOKUP(CONCATENATE($I$9,$G118),Ingredient_prices!$G:$N,8,FALSE),"")</f>
        <v/>
      </c>
      <c r="I118" s="548" t="str">
        <f t="shared" si="10"/>
        <v/>
      </c>
      <c r="J118" s="695" t="str">
        <f>IF(N118="","",MID(Ingredient_prices!F112,9,2))</f>
        <v/>
      </c>
      <c r="K118" s="692" t="str">
        <f t="shared" si="8"/>
        <v/>
      </c>
      <c r="L118" s="692" t="str">
        <f>IF(N118="","",COUNTIF($P$10:$P$256,"&lt;"&amp;P118)+COUNTIF($P$10:P118,P118))</f>
        <v/>
      </c>
      <c r="M118" s="692" t="str">
        <f>IF(Ingredient_prices!E112=M117,"",Ingredient_prices!E112)</f>
        <v>Sweet pepper (dry), ground</v>
      </c>
      <c r="N118" s="693" t="str">
        <f>_xlfn.IFNA(VLOOKUP($M118,Sedmica_1_količina_sva_sastojak!$C:$F,4,FALSE),"")</f>
        <v/>
      </c>
      <c r="O118" s="696" t="str">
        <f>IF(N118="","",COUNTIF($P$10:$P$256,"&lt;"&amp;P118)+COUNTIF($P$10:P118,P118))</f>
        <v/>
      </c>
      <c r="P118" s="694" t="str">
        <f t="shared" si="9"/>
        <v/>
      </c>
    </row>
    <row r="119" spans="1:17">
      <c r="A119" s="470">
        <v>110</v>
      </c>
      <c r="B119" s="1248" t="str">
        <f>IF($B$8=1,_xlfn.IFNA(VLOOKUP($A119,$L:$N,2,FALSE),""),_xlfn.IFNA(VLOOKUP($A119,Sedmica_2_količina_namirnica!$L:$N,2,FALSE),""))</f>
        <v/>
      </c>
      <c r="C119" s="448" t="str">
        <f>IF($B$8=1,_xlfn.IFNA(VLOOKUP($A119,$L:$N,3,FALSE)-0.0001,""),_xlfn.IFNA(VLOOKUP($A119,Sedmica_2_količina_namirnica!$L:$N,3,FALSE)-0.0001,""))</f>
        <v/>
      </c>
      <c r="D119" s="446" t="str">
        <f>IF(B119="Jaje kokošje, celo",IF(C119=INT(C119),C119,C119+1),IF(B119=""," ",_xlfn.IFNA(INT(C119*1000/(VLOOKUP($B119,Ingredient_prices!$E:$J,6,FALSE)))+1,"nije nabavljen")))</f>
        <v xml:space="preserve"> </v>
      </c>
      <c r="E119" s="446" t="str">
        <f>IF(C119="","",VLOOKUP($B119,Ingredient_prices!$E:$K,7,FALSE))</f>
        <v/>
      </c>
      <c r="F119" s="462" t="str">
        <f>IF(C119="","",IFERROR(IF(OR(E119="кг",E119="л"),VLOOKUP($B119,Ingredient_prices!$E:$V,16,FALSE)*D119,(VLOOKUP($B119,Ingredient_prices!$E:$P,12,FALSE)*D119)),""))</f>
        <v/>
      </c>
      <c r="G119" s="450" t="str">
        <f>IF(C119="","",_xlfn.IFNA(MID(VLOOKUP($B119,Ingredient_prices!$E:$F,2,FALSE),9,2),""))</f>
        <v/>
      </c>
      <c r="H119" s="447" t="str">
        <f>_xlfn.IFNA(VLOOKUP(CONCATENATE($I$9,$G119),Ingredient_prices!$G:$N,8,FALSE),"")</f>
        <v/>
      </c>
      <c r="I119" s="548" t="str">
        <f t="shared" si="10"/>
        <v/>
      </c>
      <c r="J119" s="695" t="str">
        <f>IF(N119="","",MID(Ingredient_prices!F113,9,2))</f>
        <v>2</v>
      </c>
      <c r="K119" s="692">
        <f t="shared" si="8"/>
        <v>35</v>
      </c>
      <c r="L119" s="692">
        <f>IF(N119="","",COUNTIF($P$10:$P$256,"&lt;"&amp;P119)+COUNTIF($P$10:P119,P119))</f>
        <v>40</v>
      </c>
      <c r="M119" s="692" t="str">
        <f>IF(Ingredient_prices!E113=M118,"",Ingredient_prices!E113)</f>
        <v>Salt</v>
      </c>
      <c r="N119" s="693">
        <f>_xlfn.IFNA(VLOOKUP($M119,Sedmica_1_količina_sva_sastojak!$C:$F,4,FALSE),"")</f>
        <v>0.19800000000000001</v>
      </c>
      <c r="O119" s="696">
        <f>IF(N119="","",COUNTIF($P$10:$P$256,"&lt;"&amp;P119)+COUNTIF($P$10:P119,P119))</f>
        <v>40</v>
      </c>
      <c r="P119" s="694">
        <f t="shared" si="9"/>
        <v>235</v>
      </c>
    </row>
    <row r="120" spans="1:17">
      <c r="A120" s="470">
        <v>111</v>
      </c>
      <c r="B120" s="1248" t="str">
        <f>IF($B$8=1,_xlfn.IFNA(VLOOKUP($A120,$L:$N,2,FALSE),""),_xlfn.IFNA(VLOOKUP($A120,Sedmica_2_količina_namirnica!$L:$N,2,FALSE),""))</f>
        <v/>
      </c>
      <c r="C120" s="448" t="str">
        <f>IF($B$8=1,_xlfn.IFNA(VLOOKUP($A120,$L:$N,3,FALSE)-0.0001,""),_xlfn.IFNA(VLOOKUP($A120,Sedmica_2_količina_namirnica!$L:$N,3,FALSE)-0.0001,""))</f>
        <v/>
      </c>
      <c r="D120" s="446" t="str">
        <f>IF(B120="Jaje kokošje, celo",IF(C120=INT(C120),C120,C120+1),IF(B120=""," ",_xlfn.IFNA(INT(C120*1000/(VLOOKUP($B120,Ingredient_prices!$E:$J,6,FALSE)))+1,"nije nabavljen")))</f>
        <v xml:space="preserve"> </v>
      </c>
      <c r="E120" s="446" t="str">
        <f>IF(C120="","",VLOOKUP($B120,Ingredient_prices!$E:$K,7,FALSE))</f>
        <v/>
      </c>
      <c r="F120" s="462" t="str">
        <f>IF(C120="","",IFERROR(IF(OR(E120="кг",E120="л"),VLOOKUP($B120,Ingredient_prices!$E:$V,16,FALSE)*D120,(VLOOKUP($B120,Ingredient_prices!$E:$P,12,FALSE)*D120)),""))</f>
        <v/>
      </c>
      <c r="G120" s="450" t="str">
        <f>IF(C120="","",_xlfn.IFNA(MID(VLOOKUP($B120,Ingredient_prices!$E:$F,2,FALSE),9,2),""))</f>
        <v/>
      </c>
      <c r="H120" s="447" t="str">
        <f>_xlfn.IFNA(VLOOKUP(CONCATENATE($I$9,$G120),Ingredient_prices!$G:$N,8,FALSE),"")</f>
        <v/>
      </c>
      <c r="I120" s="548" t="str">
        <f t="shared" si="10"/>
        <v/>
      </c>
      <c r="J120" s="695" t="str">
        <f>IF(N120="","",MID(Ingredient_prices!F114,9,2))</f>
        <v>2</v>
      </c>
      <c r="K120" s="692">
        <f t="shared" si="8"/>
        <v>36</v>
      </c>
      <c r="L120" s="692">
        <f>IF(N120="","",COUNTIF($P$10:$P$256,"&lt;"&amp;P120)+COUNTIF($P$10:P120,P120))</f>
        <v>41</v>
      </c>
      <c r="M120" s="692" t="str">
        <f>IF(Ingredient_prices!E114=M119,"",Ingredient_prices!E114)</f>
        <v>Spice C</v>
      </c>
      <c r="N120" s="693">
        <f>_xlfn.IFNA(VLOOKUP($M120,Sedmica_1_količina_sva_sastojak!$C:$F,4,FALSE),"")</f>
        <v>6.6000000000000003E-2</v>
      </c>
      <c r="O120" s="696">
        <f>IF(N120="","",COUNTIF($P$10:$P$256,"&lt;"&amp;P120)+COUNTIF($P$10:P120,P120))</f>
        <v>41</v>
      </c>
      <c r="P120" s="694">
        <f t="shared" si="9"/>
        <v>236</v>
      </c>
    </row>
    <row r="121" spans="1:17">
      <c r="A121" s="470">
        <v>112</v>
      </c>
      <c r="B121" s="1248" t="str">
        <f>IF($B$8=1,_xlfn.IFNA(VLOOKUP($A121,$L:$N,2,FALSE),""),_xlfn.IFNA(VLOOKUP($A121,Sedmica_2_količina_namirnica!$L:$N,2,FALSE),""))</f>
        <v/>
      </c>
      <c r="C121" s="448" t="str">
        <f>IF($B$8=1,_xlfn.IFNA(VLOOKUP($A121,$L:$N,3,FALSE)-0.0001,""),_xlfn.IFNA(VLOOKUP($A121,Sedmica_2_količina_namirnica!$L:$N,3,FALSE)-0.0001,""))</f>
        <v/>
      </c>
      <c r="D121" s="446" t="str">
        <f>IF(B121="Jaje kokošje, celo",IF(C121=INT(C121),C121,C121+1),IF(B121=""," ",_xlfn.IFNA(INT(C121*1000/(VLOOKUP($B121,Ingredient_prices!$E:$J,6,FALSE)))+1,"nije nabavljen")))</f>
        <v xml:space="preserve"> </v>
      </c>
      <c r="E121" s="446" t="str">
        <f>IF(C121="","",VLOOKUP($B121,Ingredient_prices!$E:$K,7,FALSE))</f>
        <v/>
      </c>
      <c r="F121" s="462" t="str">
        <f>IF(C121="","",IFERROR(IF(OR(E121="кг",E121="л"),VLOOKUP($B121,Ingredient_prices!$E:$V,16,FALSE)*D121,(VLOOKUP($B121,Ingredient_prices!$E:$P,12,FALSE)*D121)),""))</f>
        <v/>
      </c>
      <c r="G121" s="450" t="str">
        <f>IF(C121="","",_xlfn.IFNA(MID(VLOOKUP($B121,Ingredient_prices!$E:$F,2,FALSE),9,2),""))</f>
        <v/>
      </c>
      <c r="H121" s="447" t="str">
        <f>_xlfn.IFNA(VLOOKUP(CONCATENATE($I$9,$G121),Ingredient_prices!$G:$N,8,FALSE),"")</f>
        <v/>
      </c>
      <c r="I121" s="548" t="str">
        <f t="shared" si="10"/>
        <v/>
      </c>
      <c r="J121" s="695" t="str">
        <f>IF(N121="","",MID(Ingredient_prices!F115,9,2))</f>
        <v/>
      </c>
      <c r="K121" s="692" t="str">
        <f t="shared" si="8"/>
        <v/>
      </c>
      <c r="L121" s="692" t="str">
        <f>IF(N121="","",COUNTIF($P$10:$P$256,"&lt;"&amp;P121)+COUNTIF($P$10:P121,P121))</f>
        <v/>
      </c>
      <c r="M121" s="692" t="str">
        <f>IF(Ingredient_prices!E115=M120,"",Ingredient_prices!E115)</f>
        <v>Oregano, dry</v>
      </c>
      <c r="N121" s="693" t="str">
        <f>_xlfn.IFNA(VLOOKUP($M121,Sedmica_1_količina_sva_sastojak!$C:$F,4,FALSE),"")</f>
        <v/>
      </c>
      <c r="O121" s="696" t="str">
        <f>IF(N121="","",COUNTIF($P$10:$P$256,"&lt;"&amp;P121)+COUNTIF($P$10:P121,P121))</f>
        <v/>
      </c>
      <c r="P121" s="694" t="str">
        <f t="shared" si="9"/>
        <v/>
      </c>
    </row>
    <row r="122" spans="1:17">
      <c r="A122" s="470">
        <v>113</v>
      </c>
      <c r="B122" s="1248" t="str">
        <f>IF($B$8=1,_xlfn.IFNA(VLOOKUP($A122,$L:$N,2,FALSE),""),_xlfn.IFNA(VLOOKUP($A122,Sedmica_2_količina_namirnica!$L:$N,2,FALSE),""))</f>
        <v/>
      </c>
      <c r="C122" s="448" t="str">
        <f>IF($B$8=1,_xlfn.IFNA(VLOOKUP($A122,$L:$N,3,FALSE)-0.0001,""),_xlfn.IFNA(VLOOKUP($A122,Sedmica_2_količina_namirnica!$L:$N,3,FALSE)-0.0001,""))</f>
        <v/>
      </c>
      <c r="D122" s="446" t="str">
        <f>IF(B122="Jaje kokošje, celo",IF(C122=INT(C122),C122,C122+1),IF(B122=""," ",_xlfn.IFNA(INT(C122*1000/(VLOOKUP($B122,Ingredient_prices!$E:$J,6,FALSE)))+1,"nije nabavljen")))</f>
        <v xml:space="preserve"> </v>
      </c>
      <c r="E122" s="446" t="str">
        <f>IF(C122="","",VLOOKUP($B122,Ingredient_prices!$E:$K,7,FALSE))</f>
        <v/>
      </c>
      <c r="F122" s="462" t="str">
        <f>IF(C122="","",IFERROR(IF(OR(E122="кг",E122="л"),VLOOKUP($B122,Ingredient_prices!$E:$V,16,FALSE)*D122,(VLOOKUP($B122,Ingredient_prices!$E:$P,12,FALSE)*D122)),""))</f>
        <v/>
      </c>
      <c r="G122" s="450" t="str">
        <f>IF(C122="","",_xlfn.IFNA(MID(VLOOKUP($B122,Ingredient_prices!$E:$F,2,FALSE),9,2),""))</f>
        <v/>
      </c>
      <c r="H122" s="447" t="str">
        <f>_xlfn.IFNA(VLOOKUP(CONCATENATE($I$9,$G122),Ingredient_prices!$G:$N,8,FALSE),"")</f>
        <v/>
      </c>
      <c r="I122" s="548" t="str">
        <f t="shared" si="10"/>
        <v/>
      </c>
      <c r="J122" s="695" t="str">
        <f>IF(N122="","",MID(Ingredient_prices!F116,9,2))</f>
        <v>2</v>
      </c>
      <c r="K122" s="692">
        <f t="shared" si="8"/>
        <v>12</v>
      </c>
      <c r="L122" s="692">
        <f>IF(N122="","",COUNTIF($P$10:$P$256,"&lt;"&amp;P122)+COUNTIF($P$10:P122,P122))</f>
        <v>17</v>
      </c>
      <c r="M122" s="692" t="str">
        <f>IF(Ingredient_prices!E116=M121,"",Ingredient_prices!E116)</f>
        <v>Sunflower oil</v>
      </c>
      <c r="N122" s="693">
        <f>_xlfn.IFNA(VLOOKUP($M122,Sedmica_1_količina_sva_sastojak!$C:$F,4,FALSE),"")</f>
        <v>8.69</v>
      </c>
      <c r="O122" s="696">
        <f>IF(N122="","",COUNTIF($P$10:$P$256,"&lt;"&amp;P122)+COUNTIF($P$10:P122,P122))</f>
        <v>17</v>
      </c>
      <c r="P122" s="694">
        <f t="shared" si="9"/>
        <v>212</v>
      </c>
    </row>
    <row r="123" spans="1:17">
      <c r="A123" s="470">
        <v>114</v>
      </c>
      <c r="B123" s="1248" t="str">
        <f>IF($B$8=1,_xlfn.IFNA(VLOOKUP($A123,$L:$N,2,FALSE),""),_xlfn.IFNA(VLOOKUP($A123,Sedmica_2_količina_namirnica!$L:$N,2,FALSE),""))</f>
        <v/>
      </c>
      <c r="C123" s="448" t="str">
        <f>IF($B$8=1,_xlfn.IFNA(VLOOKUP($A123,$L:$N,3,FALSE)-0.0001,""),_xlfn.IFNA(VLOOKUP($A123,Sedmica_2_količina_namirnica!$L:$N,3,FALSE)-0.0001,""))</f>
        <v/>
      </c>
      <c r="D123" s="446" t="str">
        <f>IF(B123="Jaje kokošje, celo",IF(C123=INT(C123),C123,C123+1),IF(B123=""," ",_xlfn.IFNA(INT(C123*1000/(VLOOKUP($B123,Ingredient_prices!$E:$J,6,FALSE)))+1,"nije nabavljen")))</f>
        <v xml:space="preserve"> </v>
      </c>
      <c r="E123" s="446" t="str">
        <f>IF(C123="","",VLOOKUP($B123,Ingredient_prices!$E:$K,7,FALSE))</f>
        <v/>
      </c>
      <c r="F123" s="462" t="str">
        <f>IF(C123="","",IFERROR(IF(OR(E123="кг",E123="л"),VLOOKUP($B123,Ingredient_prices!$E:$V,16,FALSE)*D123,(VLOOKUP($B123,Ingredient_prices!$E:$P,12,FALSE)*D123)),""))</f>
        <v/>
      </c>
      <c r="G123" s="450" t="str">
        <f>IF(C123="","",_xlfn.IFNA(MID(VLOOKUP($B123,Ingredient_prices!$E:$F,2,FALSE),9,2),""))</f>
        <v/>
      </c>
      <c r="H123" s="447" t="str">
        <f>_xlfn.IFNA(VLOOKUP(CONCATENATE($I$9,$G123),Ingredient_prices!$G:$N,8,FALSE),"")</f>
        <v/>
      </c>
      <c r="I123" s="548" t="str">
        <f t="shared" si="10"/>
        <v/>
      </c>
      <c r="J123" s="695" t="str">
        <f>IF(N123="","",MID(Ingredient_prices!F117,9,2))</f>
        <v>2</v>
      </c>
      <c r="K123" s="692">
        <f t="shared" si="8"/>
        <v>33</v>
      </c>
      <c r="L123" s="692">
        <f>IF(N123="","",COUNTIF($P$10:$P$256,"&lt;"&amp;P123)+COUNTIF($P$10:P123,P123))</f>
        <v>38</v>
      </c>
      <c r="M123" s="692" t="str">
        <f>IF(Ingredient_prices!E117=M122,"",Ingredient_prices!E117)</f>
        <v>Vinegar</v>
      </c>
      <c r="N123" s="693">
        <f>_xlfn.IFNA(VLOOKUP($M123,Sedmica_1_količina_sva_sastojak!$C:$F,4,FALSE),"")</f>
        <v>0.66</v>
      </c>
      <c r="O123" s="696">
        <f>IF(N123="","",COUNTIF($P$10:$P$256,"&lt;"&amp;P123)+COUNTIF($P$10:P123,P123))</f>
        <v>38</v>
      </c>
      <c r="P123" s="694">
        <f t="shared" si="9"/>
        <v>233</v>
      </c>
    </row>
    <row r="124" spans="1:17">
      <c r="A124" s="470">
        <v>115</v>
      </c>
      <c r="B124" s="1248" t="str">
        <f>IF($B$8=1,_xlfn.IFNA(VLOOKUP($A124,$L:$N,2,FALSE),""),_xlfn.IFNA(VLOOKUP($A124,Sedmica_2_količina_namirnica!$L:$N,2,FALSE),""))</f>
        <v/>
      </c>
      <c r="C124" s="448" t="str">
        <f>IF($B$8=1,_xlfn.IFNA(VLOOKUP($A124,$L:$N,3,FALSE)-0.0001,""),_xlfn.IFNA(VLOOKUP($A124,Sedmica_2_količina_namirnica!$L:$N,3,FALSE)-0.0001,""))</f>
        <v/>
      </c>
      <c r="D124" s="446" t="str">
        <f>IF(B124="Jaje kokošje, celo",IF(C124=INT(C124),C124,C124+1),IF(B124=""," ",_xlfn.IFNA(INT(C124*1000/(VLOOKUP($B124,Ingredient_prices!$E:$J,6,FALSE)))+1,"nije nabavljen")))</f>
        <v xml:space="preserve"> </v>
      </c>
      <c r="E124" s="446" t="str">
        <f>IF(C124="","",VLOOKUP($B124,Ingredient_prices!$E:$K,7,FALSE))</f>
        <v/>
      </c>
      <c r="F124" s="462" t="str">
        <f>IF(C124="","",IFERROR(IF(OR(E124="кг",E124="л"),VLOOKUP($B124,Ingredient_prices!$E:$V,16,FALSE)*D124,(VLOOKUP($B124,Ingredient_prices!$E:$P,12,FALSE)*D124)),""))</f>
        <v/>
      </c>
      <c r="G124" s="450" t="str">
        <f>IF(C124="","",_xlfn.IFNA(MID(VLOOKUP($B124,Ingredient_prices!$E:$F,2,FALSE),9,2),""))</f>
        <v/>
      </c>
      <c r="H124" s="447" t="str">
        <f>_xlfn.IFNA(VLOOKUP(CONCATENATE($I$9,$G124),Ingredient_prices!$G:$N,8,FALSE),"")</f>
        <v/>
      </c>
      <c r="I124" s="548" t="str">
        <f t="shared" si="10"/>
        <v/>
      </c>
      <c r="J124" s="695" t="str">
        <f>IF(N124="","",MID(Ingredient_prices!F118,9,2))</f>
        <v>2</v>
      </c>
      <c r="K124" s="692">
        <f t="shared" si="8"/>
        <v>10</v>
      </c>
      <c r="L124" s="692">
        <f>IF(N124="","",COUNTIF($P$10:$P$256,"&lt;"&amp;P124)+COUNTIF($P$10:P124,P124))</f>
        <v>15</v>
      </c>
      <c r="M124" s="692" t="str">
        <f>IF(Ingredient_prices!E118=M123,"",Ingredient_prices!E118)</f>
        <v>Wheat flour white</v>
      </c>
      <c r="N124" s="693">
        <f>_xlfn.IFNA(VLOOKUP($M124,Sedmica_1_količina_sva_sastojak!$C:$F,4,FALSE),"")</f>
        <v>9.4600000000000009</v>
      </c>
      <c r="O124" s="696">
        <f>IF(N124="","",COUNTIF($P$10:$P$256,"&lt;"&amp;P124)+COUNTIF($P$10:P124,P124))</f>
        <v>15</v>
      </c>
      <c r="P124" s="694">
        <f t="shared" si="9"/>
        <v>210</v>
      </c>
    </row>
    <row r="125" spans="1:17">
      <c r="A125" s="470">
        <v>116</v>
      </c>
      <c r="B125" s="1248" t="str">
        <f>IF($B$8=1,_xlfn.IFNA(VLOOKUP($A125,$L:$N,2,FALSE),""),_xlfn.IFNA(VLOOKUP($A125,Sedmica_2_količina_namirnica!$L:$N,2,FALSE),""))</f>
        <v/>
      </c>
      <c r="C125" s="448" t="str">
        <f>IF($B$8=1,_xlfn.IFNA(VLOOKUP($A125,$L:$N,3,FALSE)-0.0001,""),_xlfn.IFNA(VLOOKUP($A125,Sedmica_2_količina_namirnica!$L:$N,3,FALSE)-0.0001,""))</f>
        <v/>
      </c>
      <c r="D125" s="446" t="str">
        <f>IF(B125="Jaje kokošje, celo",IF(C125=INT(C125),C125,C125+1),IF(B125=""," ",_xlfn.IFNA(INT(C125*1000/(VLOOKUP($B125,Ingredient_prices!$E:$J,6,FALSE)))+1,"nije nabavljen")))</f>
        <v xml:space="preserve"> </v>
      </c>
      <c r="E125" s="446" t="str">
        <f>IF(C125="","",VLOOKUP($B125,Ingredient_prices!$E:$K,7,FALSE))</f>
        <v/>
      </c>
      <c r="F125" s="462" t="str">
        <f>IF(C125="","",IFERROR(IF(OR(E125="кг",E125="л"),VLOOKUP($B125,Ingredient_prices!$E:$V,16,FALSE)*D125,(VLOOKUP($B125,Ingredient_prices!$E:$P,12,FALSE)*D125)),""))</f>
        <v/>
      </c>
      <c r="G125" s="450" t="str">
        <f>IF(C125="","",_xlfn.IFNA(MID(VLOOKUP($B125,Ingredient_prices!$E:$F,2,FALSE),9,2),""))</f>
        <v/>
      </c>
      <c r="H125" s="447" t="str">
        <f>_xlfn.IFNA(VLOOKUP(CONCATENATE($I$9,$G125),Ingredient_prices!$G:$N,8,FALSE),"")</f>
        <v/>
      </c>
      <c r="I125" s="548" t="str">
        <f t="shared" si="10"/>
        <v/>
      </c>
      <c r="J125" s="695" t="str">
        <f>IF(N125="","",MID(Ingredient_prices!F119,9,2))</f>
        <v/>
      </c>
      <c r="K125" s="692" t="str">
        <f t="shared" si="8"/>
        <v/>
      </c>
      <c r="L125" s="692" t="str">
        <f>IF(N125="","",COUNTIF($P$10:$P$256,"&lt;"&amp;P125)+COUNTIF($P$10:P125,P125))</f>
        <v/>
      </c>
      <c r="M125" s="692" t="str">
        <f>IF(Ingredient_prices!E119=M124,"",Ingredient_prices!E119)</f>
        <v>Breadcrumbs</v>
      </c>
      <c r="N125" s="693" t="str">
        <f>_xlfn.IFNA(VLOOKUP($M125,Sedmica_1_količina_sva_sastojak!$C:$F,4,FALSE),"")</f>
        <v/>
      </c>
      <c r="O125" s="696" t="str">
        <f>IF(N125="","",COUNTIF($P$10:$P$256,"&lt;"&amp;P125)+COUNTIF($P$10:P125,P125))</f>
        <v/>
      </c>
      <c r="P125" s="694" t="str">
        <f t="shared" si="9"/>
        <v/>
      </c>
    </row>
    <row r="126" spans="1:17">
      <c r="A126" s="470">
        <v>117</v>
      </c>
      <c r="B126" s="1248" t="str">
        <f>IF($B$8=1,_xlfn.IFNA(VLOOKUP($A126,$L:$N,2,FALSE),""),_xlfn.IFNA(VLOOKUP($A126,Sedmica_2_količina_namirnica!$L:$N,2,FALSE),""))</f>
        <v/>
      </c>
      <c r="C126" s="448" t="str">
        <f>IF($B$8=1,_xlfn.IFNA(VLOOKUP($A126,$L:$N,3,FALSE)-0.0001,""),_xlfn.IFNA(VLOOKUP($A126,Sedmica_2_količina_namirnica!$L:$N,3,FALSE)-0.0001,""))</f>
        <v/>
      </c>
      <c r="D126" s="446" t="str">
        <f>IF(B126="Jaje kokošje, celo",IF(C126=INT(C126),C126,C126+1),IF(B126=""," ",_xlfn.IFNA(INT(C126*1000/(VLOOKUP($B126,Ingredient_prices!$E:$J,6,FALSE)))+1,"nije nabavljen")))</f>
        <v xml:space="preserve"> </v>
      </c>
      <c r="E126" s="446" t="str">
        <f>IF(C126="","",VLOOKUP($B126,Ingredient_prices!$E:$K,7,FALSE))</f>
        <v/>
      </c>
      <c r="F126" s="462" t="str">
        <f>IF(C126="","",IFERROR(IF(OR(E126="кг",E126="л"),VLOOKUP($B126,Ingredient_prices!$E:$V,16,FALSE)*D126,(VLOOKUP($B126,Ingredient_prices!$E:$P,12,FALSE)*D126)),""))</f>
        <v/>
      </c>
      <c r="G126" s="450" t="str">
        <f>IF(C126="","",_xlfn.IFNA(MID(VLOOKUP($B126,Ingredient_prices!$E:$F,2,FALSE),9,2),""))</f>
        <v/>
      </c>
      <c r="H126" s="447" t="str">
        <f>_xlfn.IFNA(VLOOKUP(CONCATENATE($I$9,$G126),Ingredient_prices!$G:$N,8,FALSE),"")</f>
        <v/>
      </c>
      <c r="I126" s="548" t="str">
        <f t="shared" si="10"/>
        <v/>
      </c>
      <c r="J126" s="695" t="str">
        <f>IF(N126="","",MID(Ingredient_prices!F120,9,2))</f>
        <v/>
      </c>
      <c r="K126" s="692" t="str">
        <f t="shared" si="8"/>
        <v/>
      </c>
      <c r="L126" s="692" t="str">
        <f>IF(N126="","",COUNTIF($P$10:$P$256,"&lt;"&amp;P126)+COUNTIF($P$10:P126,P126))</f>
        <v/>
      </c>
      <c r="M126" s="692" t="str">
        <f>IF(Ingredient_prices!E120=M125,"",Ingredient_prices!E120)</f>
        <v>Wheat semolina</v>
      </c>
      <c r="N126" s="693" t="str">
        <f>_xlfn.IFNA(VLOOKUP($M126,Sedmica_1_količina_sva_sastojak!$C:$F,4,FALSE),"")</f>
        <v/>
      </c>
      <c r="O126" s="696" t="str">
        <f>IF(N126="","",COUNTIF($P$10:$P$256,"&lt;"&amp;P126)+COUNTIF($P$10:P126,P126))</f>
        <v/>
      </c>
      <c r="P126" s="694" t="str">
        <f t="shared" si="9"/>
        <v/>
      </c>
    </row>
    <row r="127" spans="1:17">
      <c r="A127" s="470">
        <v>118</v>
      </c>
      <c r="B127" s="1248" t="str">
        <f>IF($B$8=1,_xlfn.IFNA(VLOOKUP($A127,$L:$N,2,FALSE),""),_xlfn.IFNA(VLOOKUP($A127,Sedmica_2_količina_namirnica!$L:$N,2,FALSE),""))</f>
        <v/>
      </c>
      <c r="C127" s="448" t="str">
        <f>IF($B$8=1,_xlfn.IFNA(VLOOKUP($A127,$L:$N,3,FALSE)-0.0001,""),_xlfn.IFNA(VLOOKUP($A127,Sedmica_2_količina_namirnica!$L:$N,3,FALSE)-0.0001,""))</f>
        <v/>
      </c>
      <c r="D127" s="446" t="str">
        <f>IF(B127="Jaje kokošje, celo",IF(C127=INT(C127),C127,C127+1),IF(B127=""," ",_xlfn.IFNA(INT(C127*1000/(VLOOKUP($B127,Ingredient_prices!$E:$J,6,FALSE)))+1,"nije nabavljen")))</f>
        <v xml:space="preserve"> </v>
      </c>
      <c r="E127" s="446" t="str">
        <f>IF(C127="","",VLOOKUP($B127,Ingredient_prices!$E:$K,7,FALSE))</f>
        <v/>
      </c>
      <c r="F127" s="462" t="str">
        <f>IF(C127="","",IFERROR(IF(OR(E127="кг",E127="л"),VLOOKUP($B127,Ingredient_prices!$E:$V,16,FALSE)*D127,(VLOOKUP($B127,Ingredient_prices!$E:$P,12,FALSE)*D127)),""))</f>
        <v/>
      </c>
      <c r="G127" s="450" t="str">
        <f>IF(C127="","",_xlfn.IFNA(MID(VLOOKUP($B127,Ingredient_prices!$E:$F,2,FALSE),9,2),""))</f>
        <v/>
      </c>
      <c r="H127" s="447" t="str">
        <f>_xlfn.IFNA(VLOOKUP(CONCATENATE($I$9,$G127),Ingredient_prices!$G:$N,8,FALSE),"")</f>
        <v/>
      </c>
      <c r="I127" s="548" t="str">
        <f t="shared" si="10"/>
        <v/>
      </c>
      <c r="J127" s="695" t="str">
        <f>IF(N127="","",MID(Ingredient_prices!F121,9,2))</f>
        <v/>
      </c>
      <c r="K127" s="692" t="str">
        <f t="shared" si="8"/>
        <v/>
      </c>
      <c r="L127" s="692" t="str">
        <f>IF(N127="","",COUNTIF($P$10:$P$256,"&lt;"&amp;P127)+COUNTIF($P$10:P127,P127))</f>
        <v/>
      </c>
      <c r="M127" s="692" t="str">
        <f>IF(Ingredient_prices!E121=M126,"",Ingredient_prices!E121)</f>
        <v>Corn flour, whole</v>
      </c>
      <c r="N127" s="693" t="str">
        <f>_xlfn.IFNA(VLOOKUP($M127,Sedmica_1_količina_sva_sastojak!$C:$F,4,FALSE),"")</f>
        <v/>
      </c>
      <c r="O127" s="696" t="str">
        <f>IF(N127="","",COUNTIF($P$10:$P$256,"&lt;"&amp;P127)+COUNTIF($P$10:P127,P127))</f>
        <v/>
      </c>
      <c r="P127" s="694" t="str">
        <f t="shared" si="9"/>
        <v/>
      </c>
    </row>
    <row r="128" spans="1:17" s="445" customFormat="1">
      <c r="A128" s="470">
        <v>119</v>
      </c>
      <c r="B128" s="1248" t="str">
        <f>IF($B$8=1,_xlfn.IFNA(VLOOKUP($A128,$L:$N,2,FALSE),""),_xlfn.IFNA(VLOOKUP($A128,Sedmica_2_količina_namirnica!$L:$N,2,FALSE),""))</f>
        <v/>
      </c>
      <c r="C128" s="448" t="str">
        <f>IF($B$8=1,_xlfn.IFNA(VLOOKUP($A128,$L:$N,3,FALSE)-0.0001,""),_xlfn.IFNA(VLOOKUP($A128,Sedmica_2_količina_namirnica!$L:$N,3,FALSE)-0.0001,""))</f>
        <v/>
      </c>
      <c r="D128" s="446" t="str">
        <f>IF(B128="Jaje kokošje, celo",IF(C128=INT(C128),C128,C128+1),IF(B128=""," ",_xlfn.IFNA(INT(C128*1000/(VLOOKUP($B128,Ingredient_prices!$E:$J,6,FALSE)))+1,"nije nabavljen")))</f>
        <v xml:space="preserve"> </v>
      </c>
      <c r="E128" s="446" t="str">
        <f>IF(C128="","",VLOOKUP($B128,Ingredient_prices!$E:$K,7,FALSE))</f>
        <v/>
      </c>
      <c r="F128" s="462" t="str">
        <f>IF(C128="","",IFERROR(IF(OR(E128="кг",E128="л"),VLOOKUP($B128,Ingredient_prices!$E:$V,16,FALSE)*D128,(VLOOKUP($B128,Ingredient_prices!$E:$P,12,FALSE)*D128)),""))</f>
        <v/>
      </c>
      <c r="G128" s="450" t="str">
        <f>IF(C128="","",_xlfn.IFNA(MID(VLOOKUP($B128,Ingredient_prices!$E:$F,2,FALSE),9,2),""))</f>
        <v/>
      </c>
      <c r="H128" s="447" t="str">
        <f>_xlfn.IFNA(VLOOKUP(CONCATENATE($I$9,$G128),Ingredient_prices!$G:$N,8,FALSE),"")</f>
        <v/>
      </c>
      <c r="I128" s="548" t="str">
        <f t="shared" si="10"/>
        <v/>
      </c>
      <c r="J128" s="695" t="str">
        <f>IF(N128="","",MID(Ingredient_prices!F122,9,2))</f>
        <v/>
      </c>
      <c r="K128" s="692" t="str">
        <f t="shared" si="8"/>
        <v/>
      </c>
      <c r="L128" s="692" t="str">
        <f>IF(N128="","",COUNTIF($P$10:$P$256,"&lt;"&amp;P128)+COUNTIF($P$10:P128,P128))</f>
        <v/>
      </c>
      <c r="M128" s="692" t="str">
        <f>IF(Ingredient_prices!E122=M127,"",Ingredient_prices!E122)</f>
        <v>Corn semolina</v>
      </c>
      <c r="N128" s="693" t="str">
        <f>_xlfn.IFNA(VLOOKUP($M128,Sedmica_1_količina_sva_sastojak!$C:$F,4,FALSE),"")</f>
        <v/>
      </c>
      <c r="O128" s="696" t="str">
        <f>IF(N128="","",COUNTIF($P$10:$P$256,"&lt;"&amp;P128)+COUNTIF($P$10:P128,P128))</f>
        <v/>
      </c>
      <c r="P128" s="694" t="str">
        <f t="shared" si="9"/>
        <v/>
      </c>
      <c r="Q128" s="692"/>
    </row>
    <row r="129" spans="1:17">
      <c r="A129" s="470">
        <v>120</v>
      </c>
      <c r="B129" s="1248" t="str">
        <f>IF($B$8=1,_xlfn.IFNA(VLOOKUP($A129,$L:$N,2,FALSE),""),_xlfn.IFNA(VLOOKUP($A129,Sedmica_2_količina_namirnica!$L:$N,2,FALSE),""))</f>
        <v/>
      </c>
      <c r="C129" s="448" t="str">
        <f>IF($B$8=1,_xlfn.IFNA(VLOOKUP($A129,$L:$N,3,FALSE)-0.0001,""),_xlfn.IFNA(VLOOKUP($A129,Sedmica_2_količina_namirnica!$L:$N,3,FALSE)-0.0001,""))</f>
        <v/>
      </c>
      <c r="D129" s="446" t="str">
        <f>IF(B129="Jaje kokošje, celo",IF(C129=INT(C129),C129,C129+1),IF(B129=""," ",_xlfn.IFNA(INT(C129*1000/(VLOOKUP($B129,Ingredient_prices!$E:$J,6,FALSE)))+1,"nije nabavljen")))</f>
        <v xml:space="preserve"> </v>
      </c>
      <c r="E129" s="446" t="str">
        <f>IF(C129="","",VLOOKUP($B129,Ingredient_prices!$E:$K,7,FALSE))</f>
        <v/>
      </c>
      <c r="F129" s="462" t="str">
        <f>IF(C129="","",IFERROR(IF(OR(E129="кг",E129="л"),VLOOKUP($B129,Ingredient_prices!$E:$V,16,FALSE)*D129,(VLOOKUP($B129,Ingredient_prices!$E:$P,12,FALSE)*D129)),""))</f>
        <v/>
      </c>
      <c r="G129" s="450" t="str">
        <f>IF(C129="","",_xlfn.IFNA(MID(VLOOKUP($B129,Ingredient_prices!$E:$F,2,FALSE),9,2),""))</f>
        <v/>
      </c>
      <c r="H129" s="447" t="str">
        <f>_xlfn.IFNA(VLOOKUP(CONCATENATE($I$9,$G129),Ingredient_prices!$G:$N,8,FALSE),"")</f>
        <v/>
      </c>
      <c r="I129" s="548" t="str">
        <f t="shared" si="10"/>
        <v/>
      </c>
      <c r="J129" s="695" t="str">
        <f>IF(N129="","",MID(Ingredient_prices!F123,9,2))</f>
        <v>2</v>
      </c>
      <c r="K129" s="692">
        <f t="shared" si="8"/>
        <v>29</v>
      </c>
      <c r="L129" s="692">
        <f>IF(N129="","",COUNTIF($P$10:$P$256,"&lt;"&amp;P129)+COUNTIF($P$10:P129,P129))</f>
        <v>35</v>
      </c>
      <c r="M129" s="692" t="str">
        <f>IF(Ingredient_prices!E123=M128,"",Ingredient_prices!E123)</f>
        <v>Rice, white grain</v>
      </c>
      <c r="N129" s="693">
        <f>_xlfn.IFNA(VLOOKUP($M129,Sedmica_1_količina_sva_sastojak!$C:$F,4,FALSE),"")</f>
        <v>2.2000000000000002</v>
      </c>
      <c r="O129" s="696">
        <f>IF(N129="","",COUNTIF($P$10:$P$256,"&lt;"&amp;P129)+COUNTIF($P$10:P129,P129))</f>
        <v>35</v>
      </c>
      <c r="P129" s="694">
        <f t="shared" si="9"/>
        <v>229</v>
      </c>
    </row>
    <row r="130" spans="1:17">
      <c r="A130" s="470">
        <v>121</v>
      </c>
      <c r="B130" s="1248" t="str">
        <f>IF($B$8=1,_xlfn.IFNA(VLOOKUP($A130,$L:$N,2,FALSE),""),_xlfn.IFNA(VLOOKUP($A130,Sedmica_2_količina_namirnica!$L:$N,2,FALSE),""))</f>
        <v/>
      </c>
      <c r="C130" s="448" t="str">
        <f>IF($B$8=1,_xlfn.IFNA(VLOOKUP($A130,$L:$N,3,FALSE)-0.0001,""),_xlfn.IFNA(VLOOKUP($A130,Sedmica_2_količina_namirnica!$L:$N,3,FALSE)-0.0001,""))</f>
        <v/>
      </c>
      <c r="D130" s="446" t="str">
        <f>IF(B130="Jaje kokošje, celo",IF(C130=INT(C130),C130,C130+1),IF(B130=""," ",_xlfn.IFNA(INT(C130*1000/(VLOOKUP($B130,Ingredient_prices!$E:$J,6,FALSE)))+1,"nije nabavljen")))</f>
        <v xml:space="preserve"> </v>
      </c>
      <c r="E130" s="446" t="str">
        <f>IF(C130="","",VLOOKUP($B130,Ingredient_prices!$E:$K,7,FALSE))</f>
        <v/>
      </c>
      <c r="F130" s="462" t="str">
        <f>IF(C130="","",IFERROR(IF(OR(E130="кг",E130="л"),VLOOKUP($B130,Ingredient_prices!$E:$V,16,FALSE)*D130,(VLOOKUP($B130,Ingredient_prices!$E:$P,12,FALSE)*D130)),""))</f>
        <v/>
      </c>
      <c r="G130" s="450" t="str">
        <f>IF(C130="","",_xlfn.IFNA(MID(VLOOKUP($B130,Ingredient_prices!$E:$F,2,FALSE),9,2),""))</f>
        <v/>
      </c>
      <c r="H130" s="447" t="str">
        <f>_xlfn.IFNA(VLOOKUP(CONCATENATE($I$9,$G130),Ingredient_prices!$G:$N,8,FALSE),"")</f>
        <v/>
      </c>
      <c r="I130" s="548" t="str">
        <f t="shared" si="10"/>
        <v/>
      </c>
      <c r="J130" s="695" t="str">
        <f>IF(N130="","",MID(Ingredient_prices!F124,9,2))</f>
        <v>2</v>
      </c>
      <c r="K130" s="692">
        <f t="shared" si="8"/>
        <v>2</v>
      </c>
      <c r="L130" s="692">
        <f>IF(N130="","",COUNTIF($P$10:$P$256,"&lt;"&amp;P130)+COUNTIF($P$10:P130,P130))</f>
        <v>7</v>
      </c>
      <c r="M130" s="692" t="str">
        <f>IF(Ingredient_prices!E124=M129,"",Ingredient_prices!E124)</f>
        <v>Apple</v>
      </c>
      <c r="N130" s="693">
        <f>_xlfn.IFNA(VLOOKUP($M130,Sedmica_1_količina_sva_sastojak!$C:$F,4,FALSE),"")</f>
        <v>79.2</v>
      </c>
      <c r="O130" s="696">
        <f>IF(N130="","",COUNTIF($P$10:$P$256,"&lt;"&amp;P130)+COUNTIF($P$10:P130,P130))</f>
        <v>7</v>
      </c>
      <c r="P130" s="694">
        <f t="shared" si="9"/>
        <v>22</v>
      </c>
    </row>
    <row r="131" spans="1:17">
      <c r="A131" s="470">
        <v>122</v>
      </c>
      <c r="B131" s="1248" t="str">
        <f>IF($B$8=1,_xlfn.IFNA(VLOOKUP($A131,$L:$N,2,FALSE),""),_xlfn.IFNA(VLOOKUP($A131,Sedmica_2_količina_namirnica!$L:$N,2,FALSE),""))</f>
        <v/>
      </c>
      <c r="C131" s="448" t="str">
        <f>IF($B$8=1,_xlfn.IFNA(VLOOKUP($A131,$L:$N,3,FALSE)-0.0001,""),_xlfn.IFNA(VLOOKUP($A131,Sedmica_2_količina_namirnica!$L:$N,3,FALSE)-0.0001,""))</f>
        <v/>
      </c>
      <c r="D131" s="446" t="str">
        <f>IF(B131="Jaje kokošje, celo",IF(C131=INT(C131),C131,C131+1),IF(B131=""," ",_xlfn.IFNA(INT(C131*1000/(VLOOKUP($B131,Ingredient_prices!$E:$J,6,FALSE)))+1,"nije nabavljen")))</f>
        <v xml:space="preserve"> </v>
      </c>
      <c r="E131" s="446" t="str">
        <f>IF(C131="","",VLOOKUP($B131,Ingredient_prices!$E:$K,7,FALSE))</f>
        <v/>
      </c>
      <c r="F131" s="462" t="str">
        <f>IF(C131="","",IFERROR(IF(OR(E131="кг",E131="л"),VLOOKUP($B131,Ingredient_prices!$E:$V,16,FALSE)*D131,(VLOOKUP($B131,Ingredient_prices!$E:$P,12,FALSE)*D131)),""))</f>
        <v/>
      </c>
      <c r="G131" s="450" t="str">
        <f>IF(C131="","",_xlfn.IFNA(MID(VLOOKUP($B131,Ingredient_prices!$E:$F,2,FALSE),9,2),""))</f>
        <v/>
      </c>
      <c r="H131" s="447" t="str">
        <f>_xlfn.IFNA(VLOOKUP(CONCATENATE($I$9,$G131),Ingredient_prices!$G:$N,8,FALSE),"")</f>
        <v/>
      </c>
      <c r="I131" s="548" t="str">
        <f t="shared" si="10"/>
        <v/>
      </c>
      <c r="J131" s="695" t="str">
        <f>IF(N131="","",MID(Ingredient_prices!F125,9,2))</f>
        <v/>
      </c>
      <c r="K131" s="692" t="str">
        <f t="shared" si="8"/>
        <v/>
      </c>
      <c r="L131" s="692" t="str">
        <f>IF(N131="","",COUNTIF($P$10:$P$256,"&lt;"&amp;P131)+COUNTIF($P$10:P131,P131))</f>
        <v/>
      </c>
      <c r="M131" s="692" t="str">
        <f>IF(Ingredient_prices!E125=M130,"",Ingredient_prices!E125)</f>
        <v>Banana</v>
      </c>
      <c r="N131" s="693" t="str">
        <f>_xlfn.IFNA(VLOOKUP($M131,Sedmica_1_količina_sva_sastojak!$C:$F,4,FALSE),"")</f>
        <v/>
      </c>
      <c r="O131" s="696" t="str">
        <f>IF(N131="","",COUNTIF($P$10:$P$256,"&lt;"&amp;P131)+COUNTIF($P$10:P131,P131))</f>
        <v/>
      </c>
      <c r="P131" s="694" t="str">
        <f t="shared" si="9"/>
        <v/>
      </c>
    </row>
    <row r="132" spans="1:17">
      <c r="A132" s="470">
        <v>123</v>
      </c>
      <c r="B132" s="1248" t="str">
        <f>IF($B$8=1,_xlfn.IFNA(VLOOKUP($A132,$L:$N,2,FALSE),""),_xlfn.IFNA(VLOOKUP($A132,Sedmica_2_količina_namirnica!$L:$N,2,FALSE),""))</f>
        <v/>
      </c>
      <c r="C132" s="448" t="str">
        <f>IF($B$8=1,_xlfn.IFNA(VLOOKUP($A132,$L:$N,3,FALSE)-0.0001,""),_xlfn.IFNA(VLOOKUP($A132,Sedmica_2_količina_namirnica!$L:$N,3,FALSE)-0.0001,""))</f>
        <v/>
      </c>
      <c r="D132" s="446" t="str">
        <f>IF(B132="Jaje kokošje, celo",IF(C132=INT(C132),C132,C132+1),IF(B132=""," ",_xlfn.IFNA(INT(C132*1000/(VLOOKUP($B132,Ingredient_prices!$E:$J,6,FALSE)))+1,"nije nabavljen")))</f>
        <v xml:space="preserve"> </v>
      </c>
      <c r="E132" s="446" t="str">
        <f>IF(C132="","",VLOOKUP($B132,Ingredient_prices!$E:$K,7,FALSE))</f>
        <v/>
      </c>
      <c r="F132" s="462" t="str">
        <f>IF(C132="","",IFERROR(IF(OR(E132="кг",E132="л"),VLOOKUP($B132,Ingredient_prices!$E:$V,16,FALSE)*D132,(VLOOKUP($B132,Ingredient_prices!$E:$P,12,FALSE)*D132)),""))</f>
        <v/>
      </c>
      <c r="G132" s="450" t="str">
        <f>IF(C132="","",_xlfn.IFNA(MID(VLOOKUP($B132,Ingredient_prices!$E:$F,2,FALSE),9,2),""))</f>
        <v/>
      </c>
      <c r="H132" s="447" t="str">
        <f>_xlfn.IFNA(VLOOKUP(CONCATENATE($I$9,$G132),Ingredient_prices!$G:$N,8,FALSE),"")</f>
        <v/>
      </c>
      <c r="I132" s="548" t="str">
        <f t="shared" si="10"/>
        <v/>
      </c>
      <c r="J132" s="695" t="str">
        <f>IF(N132="","",MID(Ingredient_prices!F126,9,2))</f>
        <v/>
      </c>
      <c r="K132" s="692" t="str">
        <f t="shared" si="8"/>
        <v/>
      </c>
      <c r="L132" s="692" t="str">
        <f>IF(N132="","",COUNTIF($P$10:$P$256,"&lt;"&amp;P132)+COUNTIF($P$10:P132,P132))</f>
        <v/>
      </c>
      <c r="M132" s="692" t="str">
        <f>IF(Ingredient_prices!E126=M131,"",Ingredient_prices!E126)</f>
        <v>Mandarin orange</v>
      </c>
      <c r="N132" s="693" t="str">
        <f>_xlfn.IFNA(VLOOKUP($M132,Sedmica_1_količina_sva_sastojak!$C:$F,4,FALSE),"")</f>
        <v/>
      </c>
      <c r="O132" s="696" t="str">
        <f>IF(N132="","",COUNTIF($P$10:$P$256,"&lt;"&amp;P132)+COUNTIF($P$10:P132,P132))</f>
        <v/>
      </c>
      <c r="P132" s="694" t="str">
        <f t="shared" si="9"/>
        <v/>
      </c>
    </row>
    <row r="133" spans="1:17">
      <c r="A133" s="470">
        <v>124</v>
      </c>
      <c r="B133" s="1248" t="str">
        <f>IF($B$8=1,_xlfn.IFNA(VLOOKUP($A133,$L:$N,2,FALSE),""),_xlfn.IFNA(VLOOKUP($A133,Sedmica_2_količina_namirnica!$L:$N,2,FALSE),""))</f>
        <v/>
      </c>
      <c r="C133" s="448" t="str">
        <f>IF($B$8=1,_xlfn.IFNA(VLOOKUP($A133,$L:$N,3,FALSE)-0.0001,""),_xlfn.IFNA(VLOOKUP($A133,Sedmica_2_količina_namirnica!$L:$N,3,FALSE)-0.0001,""))</f>
        <v/>
      </c>
      <c r="D133" s="446" t="str">
        <f>IF(B133="Jaje kokošje, celo",IF(C133=INT(C133),C133,C133+1),IF(B133=""," ",_xlfn.IFNA(INT(C133*1000/(VLOOKUP($B133,Ingredient_prices!$E:$J,6,FALSE)))+1,"nije nabavljen")))</f>
        <v xml:space="preserve"> </v>
      </c>
      <c r="E133" s="446" t="str">
        <f>IF(C133="","",VLOOKUP($B133,Ingredient_prices!$E:$K,7,FALSE))</f>
        <v/>
      </c>
      <c r="F133" s="462" t="str">
        <f>IF(C133="","",IFERROR(IF(OR(E133="кг",E133="л"),VLOOKUP($B133,Ingredient_prices!$E:$V,16,FALSE)*D133,(VLOOKUP($B133,Ingredient_prices!$E:$P,12,FALSE)*D133)),""))</f>
        <v/>
      </c>
      <c r="G133" s="450" t="str">
        <f>IF(C133="","",_xlfn.IFNA(MID(VLOOKUP($B133,Ingredient_prices!$E:$F,2,FALSE),9,2),""))</f>
        <v/>
      </c>
      <c r="H133" s="447" t="str">
        <f>_xlfn.IFNA(VLOOKUP(CONCATENATE($I$9,$G133),Ingredient_prices!$G:$N,8,FALSE),"")</f>
        <v/>
      </c>
      <c r="I133" s="548" t="str">
        <f t="shared" si="10"/>
        <v/>
      </c>
      <c r="J133" s="695" t="str">
        <f>IF(N133="","",MID(Ingredient_prices!F127,9,2))</f>
        <v/>
      </c>
      <c r="K133" s="692" t="str">
        <f t="shared" si="8"/>
        <v/>
      </c>
      <c r="L133" s="692" t="str">
        <f>IF(N133="","",COUNTIF($P$10:$P$256,"&lt;"&amp;P133)+COUNTIF($P$10:P133,P133))</f>
        <v/>
      </c>
      <c r="M133" s="692" t="str">
        <f>IF(Ingredient_prices!E127=M132,"",Ingredient_prices!E127)</f>
        <v>Orange</v>
      </c>
      <c r="N133" s="693" t="str">
        <f>_xlfn.IFNA(VLOOKUP($M133,Sedmica_1_količina_sva_sastojak!$C:$F,4,FALSE),"")</f>
        <v/>
      </c>
      <c r="O133" s="696" t="str">
        <f>IF(N133="","",COUNTIF($P$10:$P$256,"&lt;"&amp;P133)+COUNTIF($P$10:P133,P133))</f>
        <v/>
      </c>
      <c r="P133" s="694" t="str">
        <f t="shared" si="9"/>
        <v/>
      </c>
    </row>
    <row r="134" spans="1:17">
      <c r="A134" s="470">
        <v>125</v>
      </c>
      <c r="B134" s="1248" t="str">
        <f>IF($B$8=1,_xlfn.IFNA(VLOOKUP($A134,$L:$N,2,FALSE),""),_xlfn.IFNA(VLOOKUP($A134,Sedmica_2_količina_namirnica!$L:$N,2,FALSE),""))</f>
        <v/>
      </c>
      <c r="C134" s="448" t="str">
        <f>IF($B$8=1,_xlfn.IFNA(VLOOKUP($A134,$L:$N,3,FALSE)-0.0001,""),_xlfn.IFNA(VLOOKUP($A134,Sedmica_2_količina_namirnica!$L:$N,3,FALSE)-0.0001,""))</f>
        <v/>
      </c>
      <c r="D134" s="446" t="str">
        <f>IF(B134="Jaje kokošje, celo",IF(C134=INT(C134),C134,C134+1),IF(B134=""," ",_xlfn.IFNA(INT(C134*1000/(VLOOKUP($B134,Ingredient_prices!$E:$J,6,FALSE)))+1,"nije nabavljen")))</f>
        <v xml:space="preserve"> </v>
      </c>
      <c r="E134" s="446" t="str">
        <f>IF(C134="","",VLOOKUP($B134,Ingredient_prices!$E:$K,7,FALSE))</f>
        <v/>
      </c>
      <c r="F134" s="462" t="str">
        <f>IF(C134="","",IFERROR(IF(OR(E134="кг",E134="л"),VLOOKUP($B134,Ingredient_prices!$E:$V,16,FALSE)*D134,(VLOOKUP($B134,Ingredient_prices!$E:$P,12,FALSE)*D134)),""))</f>
        <v/>
      </c>
      <c r="G134" s="450" t="str">
        <f>IF(C134="","",_xlfn.IFNA(MID(VLOOKUP($B134,Ingredient_prices!$E:$F,2,FALSE),9,2),""))</f>
        <v/>
      </c>
      <c r="H134" s="447" t="str">
        <f>_xlfn.IFNA(VLOOKUP(CONCATENATE($I$9,$G134),Ingredient_prices!$G:$N,8,FALSE),"")</f>
        <v/>
      </c>
      <c r="I134" s="548" t="str">
        <f t="shared" si="10"/>
        <v/>
      </c>
      <c r="J134" s="695" t="str">
        <f>IF(N134="","",MID(Ingredient_prices!F128,9,2))</f>
        <v/>
      </c>
      <c r="K134" s="692" t="str">
        <f t="shared" si="8"/>
        <v/>
      </c>
      <c r="L134" s="692" t="str">
        <f>IF(N134="","",COUNTIF($P$10:$P$256,"&lt;"&amp;P134)+COUNTIF($P$10:P134,P134))</f>
        <v/>
      </c>
      <c r="M134" s="692" t="str">
        <f>IF(Ingredient_prices!E128=M133,"",Ingredient_prices!E128)</f>
        <v>Kiwi fruit</v>
      </c>
      <c r="N134" s="693" t="str">
        <f>_xlfn.IFNA(VLOOKUP($M134,Sedmica_1_količina_sva_sastojak!$C:$F,4,FALSE),"")</f>
        <v/>
      </c>
      <c r="O134" s="696" t="str">
        <f>IF(N134="","",COUNTIF($P$10:$P$256,"&lt;"&amp;P134)+COUNTIF($P$10:P134,P134))</f>
        <v/>
      </c>
      <c r="P134" s="694" t="str">
        <f t="shared" si="9"/>
        <v/>
      </c>
    </row>
    <row r="135" spans="1:17">
      <c r="A135" s="470">
        <v>126</v>
      </c>
      <c r="B135" s="1248" t="str">
        <f>IF($B$8=1,_xlfn.IFNA(VLOOKUP($A135,$L:$N,2,FALSE),""),_xlfn.IFNA(VLOOKUP($A135,Sedmica_2_količina_namirnica!$L:$N,2,FALSE),""))</f>
        <v/>
      </c>
      <c r="C135" s="448" t="str">
        <f>IF($B$8=1,_xlfn.IFNA(VLOOKUP($A135,$L:$N,3,FALSE)-0.0001,""),_xlfn.IFNA(VLOOKUP($A135,Sedmica_2_količina_namirnica!$L:$N,3,FALSE)-0.0001,""))</f>
        <v/>
      </c>
      <c r="D135" s="446" t="str">
        <f>IF(B135="Jaje kokošje, celo",IF(C135=INT(C135),C135,C135+1),IF(B135=""," ",_xlfn.IFNA(INT(C135*1000/(VLOOKUP($B135,Ingredient_prices!$E:$J,6,FALSE)))+1,"nije nabavljen")))</f>
        <v xml:space="preserve"> </v>
      </c>
      <c r="E135" s="446" t="str">
        <f>IF(C135="","",VLOOKUP($B135,Ingredient_prices!$E:$K,7,FALSE))</f>
        <v/>
      </c>
      <c r="F135" s="462" t="str">
        <f>IF(C135="","",IFERROR(IF(OR(E135="кг",E135="л"),VLOOKUP($B135,Ingredient_prices!$E:$V,16,FALSE)*D135,(VLOOKUP($B135,Ingredient_prices!$E:$P,12,FALSE)*D135)),""))</f>
        <v/>
      </c>
      <c r="G135" s="450" t="str">
        <f>IF(C135="","",_xlfn.IFNA(MID(VLOOKUP($B135,Ingredient_prices!$E:$F,2,FALSE),9,2),""))</f>
        <v/>
      </c>
      <c r="H135" s="447" t="str">
        <f>_xlfn.IFNA(VLOOKUP(CONCATENATE($I$9,$G135),Ingredient_prices!$G:$N,8,FALSE),"")</f>
        <v/>
      </c>
      <c r="I135" s="548" t="str">
        <f t="shared" si="10"/>
        <v/>
      </c>
      <c r="J135" s="695" t="str">
        <f>IF(N135="","",MID(Ingredient_prices!F129,9,2))</f>
        <v/>
      </c>
      <c r="K135" s="692" t="str">
        <f t="shared" si="8"/>
        <v/>
      </c>
      <c r="L135" s="692" t="str">
        <f>IF(N135="","",COUNTIF($P$10:$P$256,"&lt;"&amp;P135)+COUNTIF($P$10:P135,P135))</f>
        <v/>
      </c>
      <c r="M135" s="692" t="str">
        <f>IF(Ingredient_prices!E129=M134,"",Ingredient_prices!E129)</f>
        <v>Pear</v>
      </c>
      <c r="N135" s="693" t="str">
        <f>_xlfn.IFNA(VLOOKUP($M135,Sedmica_1_količina_sva_sastojak!$C:$F,4,FALSE),"")</f>
        <v/>
      </c>
      <c r="O135" s="696" t="str">
        <f>IF(N135="","",COUNTIF($P$10:$P$256,"&lt;"&amp;P135)+COUNTIF($P$10:P135,P135))</f>
        <v/>
      </c>
      <c r="P135" s="694" t="str">
        <f t="shared" si="9"/>
        <v/>
      </c>
    </row>
    <row r="136" spans="1:17">
      <c r="A136" s="470">
        <v>127</v>
      </c>
      <c r="B136" s="1248" t="str">
        <f>IF($B$8=1,_xlfn.IFNA(VLOOKUP($A136,$L:$N,2,FALSE),""),_xlfn.IFNA(VLOOKUP($A136,Sedmica_2_količina_namirnica!$L:$N,2,FALSE),""))</f>
        <v/>
      </c>
      <c r="C136" s="448" t="str">
        <f>IF($B$8=1,_xlfn.IFNA(VLOOKUP($A136,$L:$N,3,FALSE)-0.0001,""),_xlfn.IFNA(VLOOKUP($A136,Sedmica_2_količina_namirnica!$L:$N,3,FALSE)-0.0001,""))</f>
        <v/>
      </c>
      <c r="D136" s="446" t="str">
        <f>IF(B136="Jaje kokošje, celo",IF(C136=INT(C136),C136,C136+1),IF(B136=""," ",_xlfn.IFNA(INT(C136*1000/(VLOOKUP($B136,Ingredient_prices!$E:$J,6,FALSE)))+1,"nije nabavljen")))</f>
        <v xml:space="preserve"> </v>
      </c>
      <c r="E136" s="446" t="str">
        <f>IF(C136="","",VLOOKUP($B136,Ingredient_prices!$E:$K,7,FALSE))</f>
        <v/>
      </c>
      <c r="F136" s="462" t="str">
        <f>IF(C136="","",IFERROR(IF(OR(E136="кг",E136="л"),VLOOKUP($B136,Ingredient_prices!$E:$V,16,FALSE)*D136,(VLOOKUP($B136,Ingredient_prices!$E:$P,12,FALSE)*D136)),""))</f>
        <v/>
      </c>
      <c r="G136" s="450" t="str">
        <f>IF(C136="","",_xlfn.IFNA(MID(VLOOKUP($B136,Ingredient_prices!$E:$F,2,FALSE),9,2),""))</f>
        <v/>
      </c>
      <c r="H136" s="447" t="str">
        <f>_xlfn.IFNA(VLOOKUP(CONCATENATE($I$9,$G136),Ingredient_prices!$G:$N,8,FALSE),"")</f>
        <v/>
      </c>
      <c r="I136" s="548" t="str">
        <f t="shared" si="10"/>
        <v/>
      </c>
      <c r="J136" s="695" t="str">
        <f>IF(N136="","",MID(Ingredient_prices!F130,9,2))</f>
        <v/>
      </c>
      <c r="K136" s="692" t="str">
        <f t="shared" si="8"/>
        <v/>
      </c>
      <c r="L136" s="692" t="str">
        <f>IF(N136="","",COUNTIF($P$10:$P$256,"&lt;"&amp;P136)+COUNTIF($P$10:P136,P136))</f>
        <v/>
      </c>
      <c r="M136" s="692" t="str">
        <f>IF(Ingredient_prices!E130=M135,"",Ingredient_prices!E130)</f>
        <v>Grapes</v>
      </c>
      <c r="N136" s="693" t="str">
        <f>_xlfn.IFNA(VLOOKUP($M136,Sedmica_1_količina_sva_sastojak!$C:$F,4,FALSE),"")</f>
        <v/>
      </c>
      <c r="O136" s="696" t="str">
        <f>IF(N136="","",COUNTIF($P$10:$P$256,"&lt;"&amp;P136)+COUNTIF($P$10:P136,P136))</f>
        <v/>
      </c>
      <c r="P136" s="694" t="str">
        <f t="shared" si="9"/>
        <v/>
      </c>
    </row>
    <row r="137" spans="1:17">
      <c r="A137" s="470">
        <v>128</v>
      </c>
      <c r="B137" s="1248" t="str">
        <f>IF($B$8=1,_xlfn.IFNA(VLOOKUP($A137,$L:$N,2,FALSE),""),_xlfn.IFNA(VLOOKUP($A137,Sedmica_2_količina_namirnica!$L:$N,2,FALSE),""))</f>
        <v/>
      </c>
      <c r="C137" s="448" t="str">
        <f>IF($B$8=1,_xlfn.IFNA(VLOOKUP($A137,$L:$N,3,FALSE)-0.0001,""),_xlfn.IFNA(VLOOKUP($A137,Sedmica_2_količina_namirnica!$L:$N,3,FALSE)-0.0001,""))</f>
        <v/>
      </c>
      <c r="D137" s="446" t="str">
        <f>IF(B137="Jaje kokošje, celo",IF(C137=INT(C137),C137,C137+1),IF(B137=""," ",_xlfn.IFNA(INT(C137*1000/(VLOOKUP($B137,Ingredient_prices!$E:$J,6,FALSE)))+1,"nije nabavljen")))</f>
        <v xml:space="preserve"> </v>
      </c>
      <c r="E137" s="446" t="str">
        <f>IF(C137="","",VLOOKUP($B137,Ingredient_prices!$E:$K,7,FALSE))</f>
        <v/>
      </c>
      <c r="F137" s="462" t="str">
        <f>IF(C137="","",IFERROR(IF(OR(E137="кг",E137="л"),VLOOKUP($B137,Ingredient_prices!$E:$V,16,FALSE)*D137,(VLOOKUP($B137,Ingredient_prices!$E:$P,12,FALSE)*D137)),""))</f>
        <v/>
      </c>
      <c r="G137" s="450" t="str">
        <f>IF(C137="","",_xlfn.IFNA(MID(VLOOKUP($B137,Ingredient_prices!$E:$F,2,FALSE),9,2),""))</f>
        <v/>
      </c>
      <c r="H137" s="447" t="str">
        <f>_xlfn.IFNA(VLOOKUP(CONCATENATE($I$9,$G137),Ingredient_prices!$G:$N,8,FALSE),"")</f>
        <v/>
      </c>
      <c r="I137" s="548" t="str">
        <f t="shared" si="10"/>
        <v/>
      </c>
      <c r="J137" s="695" t="str">
        <f>IF(N137="","",MID(Ingredient_prices!F131,9,2))</f>
        <v/>
      </c>
      <c r="K137" s="692" t="str">
        <f t="shared" si="8"/>
        <v/>
      </c>
      <c r="L137" s="692" t="str">
        <f>IF(N137="","",COUNTIF($P$10:$P$256,"&lt;"&amp;P137)+COUNTIF($P$10:P137,P137))</f>
        <v/>
      </c>
      <c r="M137" s="692" t="str">
        <f>IF(Ingredient_prices!E131=M136,"",Ingredient_prices!E131)</f>
        <v>Strawberries</v>
      </c>
      <c r="N137" s="693" t="str">
        <f>_xlfn.IFNA(VLOOKUP($M137,Sedmica_1_količina_sva_sastojak!$C:$F,4,FALSE),"")</f>
        <v/>
      </c>
      <c r="O137" s="696" t="str">
        <f>IF(N137="","",COUNTIF($P$10:$P$256,"&lt;"&amp;P137)+COUNTIF($P$10:P137,P137))</f>
        <v/>
      </c>
      <c r="P137" s="694" t="str">
        <f t="shared" si="9"/>
        <v/>
      </c>
    </row>
    <row r="138" spans="1:17">
      <c r="A138" s="470">
        <v>129</v>
      </c>
      <c r="B138" s="1248" t="str">
        <f>IF($B$8=1,_xlfn.IFNA(VLOOKUP($A138,$L:$N,2,FALSE),""),_xlfn.IFNA(VLOOKUP($A138,Sedmica_2_količina_namirnica!$L:$N,2,FALSE),""))</f>
        <v/>
      </c>
      <c r="C138" s="448" t="str">
        <f>IF($B$8=1,_xlfn.IFNA(VLOOKUP($A138,$L:$N,3,FALSE)-0.0001,""),_xlfn.IFNA(VLOOKUP($A138,Sedmica_2_količina_namirnica!$L:$N,3,FALSE)-0.0001,""))</f>
        <v/>
      </c>
      <c r="D138" s="446" t="str">
        <f>IF(B138="Jaje kokošje, celo",IF(C138=INT(C138),C138,C138+1),IF(B138=""," ",_xlfn.IFNA(INT(C138*1000/(VLOOKUP($B138,Ingredient_prices!$E:$J,6,FALSE)))+1,"nije nabavljen")))</f>
        <v xml:space="preserve"> </v>
      </c>
      <c r="E138" s="446" t="str">
        <f>IF(C138="","",VLOOKUP($B138,Ingredient_prices!$E:$K,7,FALSE))</f>
        <v/>
      </c>
      <c r="F138" s="462" t="str">
        <f>IF(C138="","",IFERROR(IF(OR(E138="кг",E138="л"),VLOOKUP($B138,Ingredient_prices!$E:$V,16,FALSE)*D138,(VLOOKUP($B138,Ingredient_prices!$E:$P,12,FALSE)*D138)),""))</f>
        <v/>
      </c>
      <c r="G138" s="450" t="str">
        <f>IF(C138="","",_xlfn.IFNA(MID(VLOOKUP($B138,Ingredient_prices!$E:$F,2,FALSE),9,2),""))</f>
        <v/>
      </c>
      <c r="H138" s="447" t="str">
        <f>_xlfn.IFNA(VLOOKUP(CONCATENATE($I$9,$G138),Ingredient_prices!$G:$N,8,FALSE),"")</f>
        <v/>
      </c>
      <c r="I138" s="548" t="str">
        <f t="shared" si="10"/>
        <v/>
      </c>
      <c r="J138" s="695" t="str">
        <f>IF(N138="","",MID(Ingredient_prices!F132,9,2))</f>
        <v/>
      </c>
      <c r="K138" s="692" t="str">
        <f t="shared" si="8"/>
        <v/>
      </c>
      <c r="L138" s="692" t="str">
        <f>IF(N138="","",COUNTIF($P$10:$P$256,"&lt;"&amp;P138)+COUNTIF($P$10:P138,P138))</f>
        <v/>
      </c>
      <c r="M138" s="692" t="str">
        <f>IF(Ingredient_prices!E132=M137,"",Ingredient_prices!E132)</f>
        <v>Beans haricot (yellow)</v>
      </c>
      <c r="N138" s="693" t="str">
        <f>_xlfn.IFNA(VLOOKUP($M138,Sedmica_1_količina_sva_sastojak!$C:$F,4,FALSE),"")</f>
        <v/>
      </c>
      <c r="O138" s="696" t="str">
        <f>IF(N138="","",COUNTIF($P$10:$P$256,"&lt;"&amp;P138)+COUNTIF($P$10:P138,P138))</f>
        <v/>
      </c>
      <c r="P138" s="694" t="str">
        <f>IF(K138="","",VALUE(CONCATENATE(J138,K138)))</f>
        <v/>
      </c>
    </row>
    <row r="139" spans="1:17">
      <c r="A139" s="470">
        <v>130</v>
      </c>
      <c r="B139" s="1248" t="str">
        <f>IF($B$8=1,_xlfn.IFNA(VLOOKUP($A139,$L:$N,2,FALSE),""),_xlfn.IFNA(VLOOKUP($A139,Sedmica_2_količina_namirnica!$L:$N,2,FALSE),""))</f>
        <v/>
      </c>
      <c r="C139" s="448" t="str">
        <f>IF($B$8=1,_xlfn.IFNA(VLOOKUP($A139,$L:$N,3,FALSE)-0.0001,""),_xlfn.IFNA(VLOOKUP($A139,Sedmica_2_količina_namirnica!$L:$N,3,FALSE)-0.0001,""))</f>
        <v/>
      </c>
      <c r="D139" s="446" t="str">
        <f>IF(B139="Jaje kokošje, celo",IF(C139=INT(C139),C139,C139+1),IF(B139=""," ",_xlfn.IFNA(INT(C139*1000/(VLOOKUP($B139,Ingredient_prices!$E:$J,6,FALSE)))+1,"nije nabavljen")))</f>
        <v xml:space="preserve"> </v>
      </c>
      <c r="E139" s="446" t="str">
        <f>IF(C139="","",VLOOKUP($B139,Ingredient_prices!$E:$K,7,FALSE))</f>
        <v/>
      </c>
      <c r="F139" s="462" t="str">
        <f>IF(C139="","",IFERROR(IF(OR(E139="кг",E139="л"),VLOOKUP($B139,Ingredient_prices!$E:$V,16,FALSE)*D139,(VLOOKUP($B139,Ingredient_prices!$E:$P,12,FALSE)*D139)),""))</f>
        <v/>
      </c>
      <c r="G139" s="450" t="str">
        <f>IF(C139="","",_xlfn.IFNA(MID(VLOOKUP($B139,Ingredient_prices!$E:$F,2,FALSE),9,2),""))</f>
        <v/>
      </c>
      <c r="H139" s="447" t="str">
        <f>_xlfn.IFNA(VLOOKUP(CONCATENATE($I$9,$G139),Ingredient_prices!$G:$N,8,FALSE),"")</f>
        <v/>
      </c>
      <c r="I139" s="548" t="str">
        <f t="shared" si="10"/>
        <v/>
      </c>
      <c r="J139" s="695" t="str">
        <f>IF(N139="","",MID(Ingredient_prices!F133,9,2))</f>
        <v/>
      </c>
      <c r="K139" s="692" t="str">
        <f t="shared" si="8"/>
        <v/>
      </c>
      <c r="L139" s="692" t="str">
        <f>IF(N139="","",COUNTIF($P$10:$P$256,"&lt;"&amp;P139)+COUNTIF($P$10:P139,P139))</f>
        <v/>
      </c>
      <c r="M139" s="692" t="str">
        <f>IF(Ingredient_prices!E133=M138,"",Ingredient_prices!E133)</f>
        <v>Cabbage grated, pickled</v>
      </c>
      <c r="N139" s="693" t="str">
        <f>_xlfn.IFNA(VLOOKUP($M139,Sedmica_1_količina_sva_sastojak!$C:$F,4,FALSE),"")</f>
        <v/>
      </c>
      <c r="O139" s="696" t="str">
        <f>IF(N139="","",COUNTIF($P$10:$P$256,"&lt;"&amp;P139)+COUNTIF($P$10:P139,P139))</f>
        <v/>
      </c>
      <c r="P139" s="694" t="str">
        <f t="shared" si="9"/>
        <v/>
      </c>
    </row>
    <row r="140" spans="1:17">
      <c r="A140" s="470">
        <v>131</v>
      </c>
      <c r="B140" s="1248" t="str">
        <f>IF($B$8=1,_xlfn.IFNA(VLOOKUP($A140,$L:$N,2,FALSE),""),_xlfn.IFNA(VLOOKUP($A140,Sedmica_2_količina_namirnica!$L:$N,2,FALSE),""))</f>
        <v/>
      </c>
      <c r="C140" s="448" t="str">
        <f>IF($B$8=1,_xlfn.IFNA(VLOOKUP($A140,$L:$N,3,FALSE)-0.0001,""),_xlfn.IFNA(VLOOKUP($A140,Sedmica_2_količina_namirnica!$L:$N,3,FALSE)-0.0001,""))</f>
        <v/>
      </c>
      <c r="D140" s="446" t="str">
        <f>IF(B140="Jaje kokošje, celo",IF(C140=INT(C140),C140,C140+1),IF(B140=""," ",_xlfn.IFNA(INT(C140*1000/(VLOOKUP($B140,Ingredient_prices!$E:$J,6,FALSE)))+1,"nije nabavljen")))</f>
        <v xml:space="preserve"> </v>
      </c>
      <c r="E140" s="446" t="str">
        <f>IF(C140="","",VLOOKUP($B140,Ingredient_prices!$E:$K,7,FALSE))</f>
        <v/>
      </c>
      <c r="F140" s="462" t="str">
        <f>IF(C140="","",IFERROR(IF(OR(E140="кг",E140="л"),VLOOKUP($B140,Ingredient_prices!$E:$V,16,FALSE)*D140,(VLOOKUP($B140,Ingredient_prices!$E:$P,12,FALSE)*D140)),""))</f>
        <v/>
      </c>
      <c r="G140" s="450" t="str">
        <f>IF(C140="","",_xlfn.IFNA(MID(VLOOKUP($B140,Ingredient_prices!$E:$F,2,FALSE),9,2),""))</f>
        <v/>
      </c>
      <c r="H140" s="447" t="str">
        <f>_xlfn.IFNA(VLOOKUP(CONCATENATE($I$9,$G140),Ingredient_prices!$G:$N,8,FALSE),"")</f>
        <v/>
      </c>
      <c r="I140" s="548" t="str">
        <f t="shared" si="10"/>
        <v/>
      </c>
      <c r="J140" s="695" t="str">
        <f>IF(N140="","",MID(Ingredient_prices!F134,9,2))</f>
        <v>2</v>
      </c>
      <c r="K140" s="692">
        <f t="shared" si="8"/>
        <v>6</v>
      </c>
      <c r="L140" s="692">
        <f>IF(N140="","",COUNTIF($P$10:$P$256,"&lt;"&amp;P140)+COUNTIF($P$10:P140,P140))</f>
        <v>11</v>
      </c>
      <c r="M140" s="692" t="str">
        <f>IF(Ingredient_prices!E134=M139,"",Ingredient_prices!E134)</f>
        <v>Carrot fresh</v>
      </c>
      <c r="N140" s="693">
        <f>_xlfn.IFNA(VLOOKUP($M140,Sedmica_1_količina_sva_sastojak!$C:$F,4,FALSE),"")</f>
        <v>14.422222222222221</v>
      </c>
      <c r="O140" s="696">
        <f>IF(N140="","",COUNTIF($P$10:$P$256,"&lt;"&amp;P140)+COUNTIF($P$10:P140,P140))</f>
        <v>11</v>
      </c>
      <c r="P140" s="694">
        <f t="shared" si="9"/>
        <v>26</v>
      </c>
    </row>
    <row r="141" spans="1:17">
      <c r="A141" s="470">
        <v>132</v>
      </c>
      <c r="B141" s="1248" t="str">
        <f>IF($B$8=1,_xlfn.IFNA(VLOOKUP($A141,$L:$N,2,FALSE),""),_xlfn.IFNA(VLOOKUP($A141,Sedmica_2_količina_namirnica!$L:$N,2,FALSE),""))</f>
        <v/>
      </c>
      <c r="C141" s="448" t="str">
        <f>IF($B$8=1,_xlfn.IFNA(VLOOKUP($A141,$L:$N,3,FALSE)-0.0001,""),_xlfn.IFNA(VLOOKUP($A141,Sedmica_2_količina_namirnica!$L:$N,3,FALSE)-0.0001,""))</f>
        <v/>
      </c>
      <c r="D141" s="446" t="str">
        <f>IF(B141="Jaje kokošje, celo",IF(C141=INT(C141),C141,C141+1),IF(B141=""," ",_xlfn.IFNA(INT(C141*1000/(VLOOKUP($B141,Ingredient_prices!$E:$J,6,FALSE)))+1,"nije nabavljen")))</f>
        <v xml:space="preserve"> </v>
      </c>
      <c r="E141" s="446" t="str">
        <f>IF(C141="","",VLOOKUP($B141,Ingredient_prices!$E:$K,7,FALSE))</f>
        <v/>
      </c>
      <c r="F141" s="462" t="str">
        <f>IF(C141="","",IFERROR(IF(OR(E141="кг",E141="л"),VLOOKUP($B141,Ingredient_prices!$E:$V,16,FALSE)*D141,(VLOOKUP($B141,Ingredient_prices!$E:$P,12,FALSE)*D141)),""))</f>
        <v/>
      </c>
      <c r="G141" s="450" t="str">
        <f>IF(C141="","",_xlfn.IFNA(MID(VLOOKUP($B141,Ingredient_prices!$E:$F,2,FALSE),9,2),""))</f>
        <v/>
      </c>
      <c r="H141" s="447" t="str">
        <f>_xlfn.IFNA(VLOOKUP(CONCATENATE($I$9,$G141),Ingredient_prices!$G:$N,8,FALSE),"")</f>
        <v/>
      </c>
      <c r="I141" s="548" t="str">
        <f t="shared" si="10"/>
        <v/>
      </c>
      <c r="J141" s="695" t="str">
        <f>IF(N141="","",MID(Ingredient_prices!F135,9,2))</f>
        <v>2</v>
      </c>
      <c r="K141" s="692">
        <f t="shared" si="8"/>
        <v>5</v>
      </c>
      <c r="L141" s="692">
        <f>IF(N141="","",COUNTIF($P$10:$P$256,"&lt;"&amp;P141)+COUNTIF($P$10:P141,P141))</f>
        <v>10</v>
      </c>
      <c r="M141" s="692" t="str">
        <f>IF(Ingredient_prices!E135=M140,"",Ingredient_prices!E135)</f>
        <v>Cabbage white fresh</v>
      </c>
      <c r="N141" s="693">
        <f>_xlfn.IFNA(VLOOKUP($M141,Sedmica_1_količina_sva_sastojak!$C:$F,4,FALSE),"")</f>
        <v>33.000000000000007</v>
      </c>
      <c r="O141" s="696">
        <f>IF(N141="","",COUNTIF($P$10:$P$256,"&lt;"&amp;P141)+COUNTIF($P$10:P141,P141))</f>
        <v>10</v>
      </c>
      <c r="P141" s="694">
        <f t="shared" si="9"/>
        <v>25</v>
      </c>
    </row>
    <row r="142" spans="1:17" s="445" customFormat="1">
      <c r="A142" s="470">
        <v>133</v>
      </c>
      <c r="B142" s="1248" t="str">
        <f>IF($B$8=1,_xlfn.IFNA(VLOOKUP($A142,$L:$N,2,FALSE),""),_xlfn.IFNA(VLOOKUP($A142,Sedmica_2_količina_namirnica!$L:$N,2,FALSE),""))</f>
        <v/>
      </c>
      <c r="C142" s="448" t="str">
        <f>IF($B$8=1,_xlfn.IFNA(VLOOKUP($A142,$L:$N,3,FALSE)-0.0001,""),_xlfn.IFNA(VLOOKUP($A142,Sedmica_2_količina_namirnica!$L:$N,3,FALSE)-0.0001,""))</f>
        <v/>
      </c>
      <c r="D142" s="446" t="str">
        <f>IF(B142="Jaje kokošje, celo",IF(C142=INT(C142),C142,C142+1),IF(B142=""," ",_xlfn.IFNA(INT(C142*1000/(VLOOKUP($B142,Ingredient_prices!$E:$J,6,FALSE)))+1,"nije nabavljen")))</f>
        <v xml:space="preserve"> </v>
      </c>
      <c r="E142" s="446" t="str">
        <f>IF(C142="","",VLOOKUP($B142,Ingredient_prices!$E:$K,7,FALSE))</f>
        <v/>
      </c>
      <c r="F142" s="462" t="str">
        <f>IF(C142="","",IFERROR(IF(OR(E142="кг",E142="л"),VLOOKUP($B142,Ingredient_prices!$E:$V,16,FALSE)*D142,(VLOOKUP($B142,Ingredient_prices!$E:$P,12,FALSE)*D142)),""))</f>
        <v/>
      </c>
      <c r="G142" s="450" t="str">
        <f>IF(C142="","",_xlfn.IFNA(MID(VLOOKUP($B142,Ingredient_prices!$E:$F,2,FALSE),9,2),""))</f>
        <v/>
      </c>
      <c r="H142" s="447" t="str">
        <f>_xlfn.IFNA(VLOOKUP(CONCATENATE($I$9,$G142),Ingredient_prices!$G:$N,8,FALSE),"")</f>
        <v/>
      </c>
      <c r="I142" s="548" t="str">
        <f t="shared" si="10"/>
        <v/>
      </c>
      <c r="J142" s="695" t="str">
        <f>IF(N142="","",MID(Ingredient_prices!F136,9,2))</f>
        <v/>
      </c>
      <c r="K142" s="692" t="str">
        <f t="shared" si="8"/>
        <v/>
      </c>
      <c r="L142" s="692" t="str">
        <f>IF(N142="","",COUNTIF($P$10:$P$256,"&lt;"&amp;P142)+COUNTIF($P$10:P142,P142))</f>
        <v/>
      </c>
      <c r="M142" s="692" t="str">
        <f>IF(Ingredient_prices!E136=M141,"",Ingredient_prices!E136)</f>
        <v>Parsnip and carrot</v>
      </c>
      <c r="N142" s="693" t="str">
        <f>_xlfn.IFNA(VLOOKUP($M142,Sedmica_1_količina_sva_sastojak!$C:$F,4,FALSE),"")</f>
        <v/>
      </c>
      <c r="O142" s="696" t="str">
        <f>IF(N142="","",COUNTIF($P$10:$P$256,"&lt;"&amp;P142)+COUNTIF($P$10:P142,P142))</f>
        <v/>
      </c>
      <c r="P142" s="694" t="str">
        <f t="shared" si="9"/>
        <v/>
      </c>
      <c r="Q142" s="692"/>
    </row>
    <row r="143" spans="1:17">
      <c r="A143" s="470">
        <v>134</v>
      </c>
      <c r="B143" s="1248" t="str">
        <f>IF($B$8=1,_xlfn.IFNA(VLOOKUP($A143,$L:$N,2,FALSE),""),_xlfn.IFNA(VLOOKUP($A143,Sedmica_2_količina_namirnica!$L:$N,2,FALSE),""))</f>
        <v/>
      </c>
      <c r="C143" s="448" t="str">
        <f>IF($B$8=1,_xlfn.IFNA(VLOOKUP($A143,$L:$N,3,FALSE)-0.0001,""),_xlfn.IFNA(VLOOKUP($A143,Sedmica_2_količina_namirnica!$L:$N,3,FALSE)-0.0001,""))</f>
        <v/>
      </c>
      <c r="D143" s="446" t="str">
        <f>IF(B143="Jaje kokošje, celo",IF(C143=INT(C143),C143,C143+1),IF(B143=""," ",_xlfn.IFNA(INT(C143*1000/(VLOOKUP($B143,Ingredient_prices!$E:$J,6,FALSE)))+1,"nije nabavljen")))</f>
        <v xml:space="preserve"> </v>
      </c>
      <c r="E143" s="446" t="str">
        <f>IF(C143="","",VLOOKUP($B143,Ingredient_prices!$E:$K,7,FALSE))</f>
        <v/>
      </c>
      <c r="F143" s="462" t="str">
        <f>IF(C143="","",IFERROR(IF(OR(E143="кг",E143="л"),VLOOKUP($B143,Ingredient_prices!$E:$V,16,FALSE)*D143,(VLOOKUP($B143,Ingredient_prices!$E:$P,12,FALSE)*D143)),""))</f>
        <v/>
      </c>
      <c r="G143" s="450" t="str">
        <f>IF(C143="","",_xlfn.IFNA(MID(VLOOKUP($B143,Ingredient_prices!$E:$F,2,FALSE),9,2),""))</f>
        <v/>
      </c>
      <c r="H143" s="447" t="str">
        <f>_xlfn.IFNA(VLOOKUP(CONCATENATE($I$9,$G143),Ingredient_prices!$G:$N,8,FALSE),"")</f>
        <v/>
      </c>
      <c r="I143" s="548" t="str">
        <f t="shared" si="10"/>
        <v/>
      </c>
      <c r="J143" s="695" t="str">
        <f>IF(N143="","",MID(Ingredient_prices!F137,9,2))</f>
        <v>2</v>
      </c>
      <c r="K143" s="692">
        <f t="shared" si="8"/>
        <v>22</v>
      </c>
      <c r="L143" s="692">
        <f>IF(N143="","",COUNTIF($P$10:$P$256,"&lt;"&amp;P143)+COUNTIF($P$10:P143,P143))</f>
        <v>27</v>
      </c>
      <c r="M143" s="692" t="str">
        <f>IF(Ingredient_prices!E137=M142,"",Ingredient_prices!E137)</f>
        <v>Cauliflower</v>
      </c>
      <c r="N143" s="693">
        <f>_xlfn.IFNA(VLOOKUP($M143,Sedmica_1_količina_sva_sastojak!$C:$F,4,FALSE),"")</f>
        <v>4.7142857142857153</v>
      </c>
      <c r="O143" s="696">
        <f>IF(N143="","",COUNTIF($P$10:$P$256,"&lt;"&amp;P143)+COUNTIF($P$10:P143,P143))</f>
        <v>27</v>
      </c>
      <c r="P143" s="694">
        <f t="shared" si="9"/>
        <v>222</v>
      </c>
    </row>
    <row r="144" spans="1:17">
      <c r="A144" s="470">
        <v>135</v>
      </c>
      <c r="B144" s="1248" t="str">
        <f>IF($B$8=1,_xlfn.IFNA(VLOOKUP($A144,$L:$N,2,FALSE),""),_xlfn.IFNA(VLOOKUP($A144,Sedmica_2_količina_namirnica!$L:$N,2,FALSE),""))</f>
        <v/>
      </c>
      <c r="C144" s="448" t="str">
        <f>IF($B$8=1,_xlfn.IFNA(VLOOKUP($A144,$L:$N,3,FALSE)-0.0001,""),_xlfn.IFNA(VLOOKUP($A144,Sedmica_2_količina_namirnica!$L:$N,3,FALSE)-0.0001,""))</f>
        <v/>
      </c>
      <c r="D144" s="446" t="str">
        <f>IF(B144="Jaje kokošje, celo",IF(C144=INT(C144),C144,C144+1),IF(B144=""," ",_xlfn.IFNA(INT(C144*1000/(VLOOKUP($B144,Ingredient_prices!$E:$J,6,FALSE)))+1,"nije nabavljen")))</f>
        <v xml:space="preserve"> </v>
      </c>
      <c r="E144" s="446" t="str">
        <f>IF(C144="","",VLOOKUP($B144,Ingredient_prices!$E:$K,7,FALSE))</f>
        <v/>
      </c>
      <c r="F144" s="462" t="str">
        <f>IF(C144="","",IFERROR(IF(OR(E144="кг",E144="л"),VLOOKUP($B144,Ingredient_prices!$E:$V,16,FALSE)*D144,(VLOOKUP($B144,Ingredient_prices!$E:$P,12,FALSE)*D144)),""))</f>
        <v/>
      </c>
      <c r="G144" s="450" t="str">
        <f>IF(C144="","",_xlfn.IFNA(MID(VLOOKUP($B144,Ingredient_prices!$E:$F,2,FALSE),9,2),""))</f>
        <v/>
      </c>
      <c r="H144" s="447" t="str">
        <f>_xlfn.IFNA(VLOOKUP(CONCATENATE($I$9,$G144),Ingredient_prices!$G:$N,8,FALSE),"")</f>
        <v/>
      </c>
      <c r="I144" s="548" t="str">
        <f t="shared" si="10"/>
        <v/>
      </c>
      <c r="J144" s="695" t="str">
        <f>IF(N144="","",MID(Ingredient_prices!F138,9,2))</f>
        <v/>
      </c>
      <c r="K144" s="692" t="str">
        <f t="shared" ref="K144:K207" si="11">IF(N144="","",COUNTIFS(J$10:J$256,J144,N$10:N$256,"&gt;"&amp;N144)+1)</f>
        <v/>
      </c>
      <c r="L144" s="692" t="str">
        <f>IF(N144="","",COUNTIF($P$10:$P$256,"&lt;"&amp;P144)+COUNTIF($P$10:P144,P144))</f>
        <v/>
      </c>
      <c r="M144" s="692" t="str">
        <f>IF(Ingredient_prices!E138=M143,"",Ingredient_prices!E138)</f>
        <v>Courgette</v>
      </c>
      <c r="N144" s="693" t="str">
        <f>_xlfn.IFNA(VLOOKUP($M144,Sedmica_1_količina_sva_sastojak!$C:$F,4,FALSE),"")</f>
        <v/>
      </c>
      <c r="O144" s="696" t="str">
        <f>IF(N144="","",COUNTIF($P$10:$P$256,"&lt;"&amp;P144)+COUNTIF($P$10:P144,P144))</f>
        <v/>
      </c>
      <c r="P144" s="694" t="str">
        <f t="shared" ref="P144:P207" si="12">IF(K144="","",VALUE(CONCATENATE(J144,K144)))</f>
        <v/>
      </c>
    </row>
    <row r="145" spans="1:16">
      <c r="A145" s="470">
        <v>136</v>
      </c>
      <c r="B145" s="1248" t="str">
        <f>IF($B$8=1,_xlfn.IFNA(VLOOKUP($A145,$L:$N,2,FALSE),""),_xlfn.IFNA(VLOOKUP($A145,Sedmica_2_količina_namirnica!$L:$N,2,FALSE),""))</f>
        <v/>
      </c>
      <c r="C145" s="448" t="str">
        <f>IF($B$8=1,_xlfn.IFNA(VLOOKUP($A145,$L:$N,3,FALSE)-0.0001,""),_xlfn.IFNA(VLOOKUP($A145,Sedmica_2_količina_namirnica!$L:$N,3,FALSE)-0.0001,""))</f>
        <v/>
      </c>
      <c r="D145" s="446" t="str">
        <f>IF(B145="Jaje kokošje, celo",IF(C145=INT(C145),C145,C145+1),IF(B145=""," ",_xlfn.IFNA(INT(C145*1000/(VLOOKUP($B145,Ingredient_prices!$E:$J,6,FALSE)))+1,"nije nabavljen")))</f>
        <v xml:space="preserve"> </v>
      </c>
      <c r="E145" s="446" t="str">
        <f>IF(C145="","",VLOOKUP($B145,Ingredient_prices!$E:$K,7,FALSE))</f>
        <v/>
      </c>
      <c r="F145" s="462" t="str">
        <f>IF(C145="","",IFERROR(IF(OR(E145="кг",E145="л"),VLOOKUP($B145,Ingredient_prices!$E:$V,16,FALSE)*D145,(VLOOKUP($B145,Ingredient_prices!$E:$P,12,FALSE)*D145)),""))</f>
        <v/>
      </c>
      <c r="G145" s="450" t="str">
        <f>IF(C145="","",_xlfn.IFNA(MID(VLOOKUP($B145,Ingredient_prices!$E:$F,2,FALSE),9,2),""))</f>
        <v/>
      </c>
      <c r="H145" s="447" t="str">
        <f>_xlfn.IFNA(VLOOKUP(CONCATENATE($I$9,$G145),Ingredient_prices!$G:$N,8,FALSE),"")</f>
        <v/>
      </c>
      <c r="I145" s="548" t="str">
        <f t="shared" si="10"/>
        <v/>
      </c>
      <c r="J145" s="695" t="str">
        <f>IF(N145="","",MID(Ingredient_prices!F139,9,2))</f>
        <v/>
      </c>
      <c r="K145" s="692" t="str">
        <f t="shared" si="11"/>
        <v/>
      </c>
      <c r="L145" s="692" t="str">
        <f>IF(N145="","",COUNTIF($P$10:$P$256,"&lt;"&amp;P145)+COUNTIF($P$10:P145,P145))</f>
        <v/>
      </c>
      <c r="M145" s="692" t="str">
        <f>IF(Ingredient_prices!E139=M144,"",Ingredient_prices!E139)</f>
        <v>Aubergine</v>
      </c>
      <c r="N145" s="693" t="str">
        <f>_xlfn.IFNA(VLOOKUP($M145,Sedmica_1_količina_sva_sastojak!$C:$F,4,FALSE),"")</f>
        <v/>
      </c>
      <c r="O145" s="696" t="str">
        <f>IF(N145="","",COUNTIF($P$10:$P$256,"&lt;"&amp;P145)+COUNTIF($P$10:P145,P145))</f>
        <v/>
      </c>
      <c r="P145" s="694" t="str">
        <f t="shared" si="12"/>
        <v/>
      </c>
    </row>
    <row r="146" spans="1:16">
      <c r="A146" s="470">
        <v>137</v>
      </c>
      <c r="B146" s="1248" t="str">
        <f>IF($B$8=1,_xlfn.IFNA(VLOOKUP($A146,$L:$N,2,FALSE),""),_xlfn.IFNA(VLOOKUP($A146,Sedmica_2_količina_namirnica!$L:$N,2,FALSE),""))</f>
        <v/>
      </c>
      <c r="C146" s="448" t="str">
        <f>IF($B$8=1,_xlfn.IFNA(VLOOKUP($A146,$L:$N,3,FALSE)-0.0001,""),_xlfn.IFNA(VLOOKUP($A146,Sedmica_2_količina_namirnica!$L:$N,3,FALSE)-0.0001,""))</f>
        <v/>
      </c>
      <c r="D146" s="446" t="str">
        <f>IF(B146="Jaje kokošje, celo",IF(C146=INT(C146),C146,C146+1),IF(B146=""," ",_xlfn.IFNA(INT(C146*1000/(VLOOKUP($B146,Ingredient_prices!$E:$J,6,FALSE)))+1,"nije nabavljen")))</f>
        <v xml:space="preserve"> </v>
      </c>
      <c r="E146" s="446" t="str">
        <f>IF(C146="","",VLOOKUP($B146,Ingredient_prices!$E:$K,7,FALSE))</f>
        <v/>
      </c>
      <c r="F146" s="462" t="str">
        <f>IF(C146="","",IFERROR(IF(OR(E146="кг",E146="л"),VLOOKUP($B146,Ingredient_prices!$E:$V,16,FALSE)*D146,(VLOOKUP($B146,Ingredient_prices!$E:$P,12,FALSE)*D146)),""))</f>
        <v/>
      </c>
      <c r="G146" s="450" t="str">
        <f>IF(C146="","",_xlfn.IFNA(MID(VLOOKUP($B146,Ingredient_prices!$E:$F,2,FALSE),9,2),""))</f>
        <v/>
      </c>
      <c r="H146" s="447" t="str">
        <f>_xlfn.IFNA(VLOOKUP(CONCATENATE($I$9,$G146),Ingredient_prices!$G:$N,8,FALSE),"")</f>
        <v/>
      </c>
      <c r="I146" s="548" t="str">
        <f t="shared" si="10"/>
        <v/>
      </c>
      <c r="J146" s="695" t="str">
        <f>IF(N146="","",MID(Ingredient_prices!F140,9,2))</f>
        <v/>
      </c>
      <c r="K146" s="692" t="str">
        <f t="shared" si="11"/>
        <v/>
      </c>
      <c r="L146" s="692" t="str">
        <f>IF(N146="","",COUNTIF($P$10:$P$256,"&lt;"&amp;P146)+COUNTIF($P$10:P146,P146))</f>
        <v/>
      </c>
      <c r="M146" s="692" t="str">
        <f>IF(Ingredient_prices!E140=M145,"",Ingredient_prices!E140)</f>
        <v>Peppers bell</v>
      </c>
      <c r="N146" s="693" t="str">
        <f>_xlfn.IFNA(VLOOKUP($M146,Sedmica_1_količina_sva_sastojak!$C:$F,4,FALSE),"")</f>
        <v/>
      </c>
      <c r="O146" s="696" t="str">
        <f>IF(N146="","",COUNTIF($P$10:$P$256,"&lt;"&amp;P146)+COUNTIF($P$10:P146,P146))</f>
        <v/>
      </c>
      <c r="P146" s="694" t="str">
        <f t="shared" si="12"/>
        <v/>
      </c>
    </row>
    <row r="147" spans="1:16">
      <c r="A147" s="470">
        <v>138</v>
      </c>
      <c r="B147" s="1248" t="str">
        <f>IF($B$8=1,_xlfn.IFNA(VLOOKUP($A147,$L:$N,2,FALSE),""),_xlfn.IFNA(VLOOKUP($A147,Sedmica_2_količina_namirnica!$L:$N,2,FALSE),""))</f>
        <v/>
      </c>
      <c r="C147" s="448" t="str">
        <f>IF($B$8=1,_xlfn.IFNA(VLOOKUP($A147,$L:$N,3,FALSE)-0.0001,""),_xlfn.IFNA(VLOOKUP($A147,Sedmica_2_količina_namirnica!$L:$N,3,FALSE)-0.0001,""))</f>
        <v/>
      </c>
      <c r="D147" s="446" t="str">
        <f>IF(B147="Jaje kokošje, celo",IF(C147=INT(C147),C147,C147+1),IF(B147=""," ",_xlfn.IFNA(INT(C147*1000/(VLOOKUP($B147,Ingredient_prices!$E:$J,6,FALSE)))+1,"nije nabavljen")))</f>
        <v xml:space="preserve"> </v>
      </c>
      <c r="E147" s="446" t="str">
        <f>IF(C147="","",VLOOKUP($B147,Ingredient_prices!$E:$K,7,FALSE))</f>
        <v/>
      </c>
      <c r="F147" s="462" t="str">
        <f>IF(C147="","",IFERROR(IF(OR(E147="кг",E147="л"),VLOOKUP($B147,Ingredient_prices!$E:$V,16,FALSE)*D147,(VLOOKUP($B147,Ingredient_prices!$E:$P,12,FALSE)*D147)),""))</f>
        <v/>
      </c>
      <c r="G147" s="450" t="str">
        <f>IF(C147="","",_xlfn.IFNA(MID(VLOOKUP($B147,Ingredient_prices!$E:$F,2,FALSE),9,2),""))</f>
        <v/>
      </c>
      <c r="H147" s="447" t="str">
        <f>_xlfn.IFNA(VLOOKUP(CONCATENATE($I$9,$G147),Ingredient_prices!$G:$N,8,FALSE),"")</f>
        <v/>
      </c>
      <c r="I147" s="548" t="str">
        <f t="shared" si="10"/>
        <v/>
      </c>
      <c r="J147" s="695" t="str">
        <f>IF(N147="","",MID(Ingredient_prices!F141,9,2))</f>
        <v/>
      </c>
      <c r="K147" s="692" t="str">
        <f t="shared" si="11"/>
        <v/>
      </c>
      <c r="L147" s="692" t="str">
        <f>IF(N147="","",COUNTIF($P$10:$P$256,"&lt;"&amp;P147)+COUNTIF($P$10:P147,P147))</f>
        <v/>
      </c>
      <c r="M147" s="692" t="str">
        <f>IF(Ingredient_prices!E141=M146,"",Ingredient_prices!E141)</f>
        <v>Leek</v>
      </c>
      <c r="N147" s="693" t="str">
        <f>_xlfn.IFNA(VLOOKUP($M147,Sedmica_1_količina_sva_sastojak!$C:$F,4,FALSE),"")</f>
        <v/>
      </c>
      <c r="O147" s="696" t="str">
        <f>IF(N147="","",COUNTIF($P$10:$P$256,"&lt;"&amp;P147)+COUNTIF($P$10:P147,P147))</f>
        <v/>
      </c>
      <c r="P147" s="694" t="str">
        <f t="shared" si="12"/>
        <v/>
      </c>
    </row>
    <row r="148" spans="1:16">
      <c r="A148" s="470">
        <v>139</v>
      </c>
      <c r="B148" s="1248" t="str">
        <f>IF($B$8=1,_xlfn.IFNA(VLOOKUP($A148,$L:$N,2,FALSE),""),_xlfn.IFNA(VLOOKUP($A148,Sedmica_2_količina_namirnica!$L:$N,2,FALSE),""))</f>
        <v/>
      </c>
      <c r="C148" s="448" t="str">
        <f>IF($B$8=1,_xlfn.IFNA(VLOOKUP($A148,$L:$N,3,FALSE)-0.0001,""),_xlfn.IFNA(VLOOKUP($A148,Sedmica_2_količina_namirnica!$L:$N,3,FALSE)-0.0001,""))</f>
        <v/>
      </c>
      <c r="D148" s="446" t="str">
        <f>IF(B148="Jaje kokošje, celo",IF(C148=INT(C148),C148,C148+1),IF(B148=""," ",_xlfn.IFNA(INT(C148*1000/(VLOOKUP($B148,Ingredient_prices!$E:$J,6,FALSE)))+1,"nije nabavljen")))</f>
        <v xml:space="preserve"> </v>
      </c>
      <c r="E148" s="446" t="str">
        <f>IF(C148="","",VLOOKUP($B148,Ingredient_prices!$E:$K,7,FALSE))</f>
        <v/>
      </c>
      <c r="F148" s="462" t="str">
        <f>IF(C148="","",IFERROR(IF(OR(E148="кг",E148="л"),VLOOKUP($B148,Ingredient_prices!$E:$V,16,FALSE)*D148,(VLOOKUP($B148,Ingredient_prices!$E:$P,12,FALSE)*D148)),""))</f>
        <v/>
      </c>
      <c r="G148" s="450" t="str">
        <f>IF(C148="","",_xlfn.IFNA(MID(VLOOKUP($B148,Ingredient_prices!$E:$F,2,FALSE),9,2),""))</f>
        <v/>
      </c>
      <c r="H148" s="447" t="str">
        <f>_xlfn.IFNA(VLOOKUP(CONCATENATE($I$9,$G148),Ingredient_prices!$G:$N,8,FALSE),"")</f>
        <v/>
      </c>
      <c r="I148" s="548" t="str">
        <f t="shared" si="10"/>
        <v/>
      </c>
      <c r="J148" s="695" t="str">
        <f>IF(N148="","",MID(Ingredient_prices!F142,9,2))</f>
        <v/>
      </c>
      <c r="K148" s="692" t="str">
        <f t="shared" si="11"/>
        <v/>
      </c>
      <c r="L148" s="692" t="str">
        <f>IF(N148="","",COUNTIF($P$10:$P$256,"&lt;"&amp;P148)+COUNTIF($P$10:P148,P148))</f>
        <v/>
      </c>
      <c r="M148" s="692" t="str">
        <f>IF(Ingredient_prices!E142=M147,"",Ingredient_prices!E142)</f>
        <v>Pumpkin</v>
      </c>
      <c r="N148" s="693" t="str">
        <f>_xlfn.IFNA(VLOOKUP($M148,Sedmica_1_količina_sva_sastojak!$C:$F,4,FALSE),"")</f>
        <v/>
      </c>
      <c r="O148" s="696" t="str">
        <f>IF(N148="","",COUNTIF($P$10:$P$256,"&lt;"&amp;P148)+COUNTIF($P$10:P148,P148))</f>
        <v/>
      </c>
      <c r="P148" s="694" t="str">
        <f t="shared" si="12"/>
        <v/>
      </c>
    </row>
    <row r="149" spans="1:16">
      <c r="A149" s="470">
        <v>140</v>
      </c>
      <c r="B149" s="1248" t="str">
        <f>IF($B$8=1,_xlfn.IFNA(VLOOKUP($A149,$L:$N,2,FALSE),""),_xlfn.IFNA(VLOOKUP($A149,Sedmica_2_količina_namirnica!$L:$N,2,FALSE),""))</f>
        <v/>
      </c>
      <c r="C149" s="448" t="str">
        <f>IF($B$8=1,_xlfn.IFNA(VLOOKUP($A149,$L:$N,3,FALSE)-0.0001,""),_xlfn.IFNA(VLOOKUP($A149,Sedmica_2_količina_namirnica!$L:$N,3,FALSE)-0.0001,""))</f>
        <v/>
      </c>
      <c r="D149" s="446" t="str">
        <f>IF(B149="Jaje kokošje, celo",IF(C149=INT(C149),C149,C149+1),IF(B149=""," ",_xlfn.IFNA(INT(C149*1000/(VLOOKUP($B149,Ingredient_prices!$E:$J,6,FALSE)))+1,"nije nabavljen")))</f>
        <v xml:space="preserve"> </v>
      </c>
      <c r="E149" s="446" t="str">
        <f>IF(C149="","",VLOOKUP($B149,Ingredient_prices!$E:$K,7,FALSE))</f>
        <v/>
      </c>
      <c r="F149" s="462" t="str">
        <f>IF(C149="","",IFERROR(IF(OR(E149="кг",E149="л"),VLOOKUP($B149,Ingredient_prices!$E:$V,16,FALSE)*D149,(VLOOKUP($B149,Ingredient_prices!$E:$P,12,FALSE)*D149)),""))</f>
        <v/>
      </c>
      <c r="G149" s="450" t="str">
        <f>IF(C149="","",_xlfn.IFNA(MID(VLOOKUP($B149,Ingredient_prices!$E:$F,2,FALSE),9,2),""))</f>
        <v/>
      </c>
      <c r="H149" s="447" t="str">
        <f>_xlfn.IFNA(VLOOKUP(CONCATENATE($I$9,$G149),Ingredient_prices!$G:$N,8,FALSE),"")</f>
        <v/>
      </c>
      <c r="I149" s="548" t="str">
        <f t="shared" si="10"/>
        <v/>
      </c>
      <c r="J149" s="695" t="str">
        <f>IF(N149="","",MID(Ingredient_prices!F143,9,2))</f>
        <v>2</v>
      </c>
      <c r="K149" s="692">
        <f t="shared" si="11"/>
        <v>15</v>
      </c>
      <c r="L149" s="692">
        <f>IF(N149="","",COUNTIF($P$10:$P$256,"&lt;"&amp;P149)+COUNTIF($P$10:P149,P149))</f>
        <v>20</v>
      </c>
      <c r="M149" s="692" t="str">
        <f>IF(Ingredient_prices!E143=M148,"",Ingredient_prices!E143)</f>
        <v>Onion</v>
      </c>
      <c r="N149" s="693">
        <f>_xlfn.IFNA(VLOOKUP($M149,Sedmica_1_količina_sva_sastojak!$C:$F,4,FALSE),"")</f>
        <v>6.1111111111111107</v>
      </c>
      <c r="O149" s="696">
        <f>IF(N149="","",COUNTIF($P$10:$P$256,"&lt;"&amp;P149)+COUNTIF($P$10:P149,P149))</f>
        <v>20</v>
      </c>
      <c r="P149" s="694">
        <f t="shared" si="12"/>
        <v>215</v>
      </c>
    </row>
    <row r="150" spans="1:16">
      <c r="A150" s="470">
        <v>141</v>
      </c>
      <c r="B150" s="1248" t="str">
        <f>IF($B$8=1,_xlfn.IFNA(VLOOKUP($A150,$L:$N,2,FALSE),""),_xlfn.IFNA(VLOOKUP($A150,Sedmica_2_količina_namirnica!$L:$N,2,FALSE),""))</f>
        <v/>
      </c>
      <c r="C150" s="448" t="str">
        <f>IF($B$8=1,_xlfn.IFNA(VLOOKUP($A150,$L:$N,3,FALSE)-0.0001,""),_xlfn.IFNA(VLOOKUP($A150,Sedmica_2_količina_namirnica!$L:$N,3,FALSE)-0.0001,""))</f>
        <v/>
      </c>
      <c r="D150" s="446" t="str">
        <f>IF(B150="Jaje kokošje, celo",IF(C150=INT(C150),C150,C150+1),IF(B150=""," ",_xlfn.IFNA(INT(C150*1000/(VLOOKUP($B150,Ingredient_prices!$E:$J,6,FALSE)))+1,"nije nabavljen")))</f>
        <v xml:space="preserve"> </v>
      </c>
      <c r="E150" s="446" t="str">
        <f>IF(C150="","",VLOOKUP($B150,Ingredient_prices!$E:$K,7,FALSE))</f>
        <v/>
      </c>
      <c r="F150" s="462" t="str">
        <f>IF(C150="","",IFERROR(IF(OR(E150="кг",E150="л"),VLOOKUP($B150,Ingredient_prices!$E:$V,16,FALSE)*D150,(VLOOKUP($B150,Ingredient_prices!$E:$P,12,FALSE)*D150)),""))</f>
        <v/>
      </c>
      <c r="G150" s="450" t="str">
        <f>IF(C150="","",_xlfn.IFNA(MID(VLOOKUP($B150,Ingredient_prices!$E:$F,2,FALSE),9,2),""))</f>
        <v/>
      </c>
      <c r="H150" s="447" t="str">
        <f>_xlfn.IFNA(VLOOKUP(CONCATENATE($I$9,$G150),Ingredient_prices!$G:$N,8,FALSE),"")</f>
        <v/>
      </c>
      <c r="I150" s="548" t="str">
        <f t="shared" si="10"/>
        <v/>
      </c>
      <c r="J150" s="695" t="str">
        <f>IF(N150="","",MID(Ingredient_prices!F144,9,2))</f>
        <v/>
      </c>
      <c r="K150" s="692" t="str">
        <f t="shared" si="11"/>
        <v/>
      </c>
      <c r="L150" s="692" t="str">
        <f>IF(N150="","",COUNTIF($P$10:$P$256,"&lt;"&amp;P150)+COUNTIF($P$10:P150,P150))</f>
        <v/>
      </c>
      <c r="M150" s="692" t="str">
        <f>IF(Ingredient_prices!E144=M149,"",Ingredient_prices!E144)</f>
        <v>Lettuce</v>
      </c>
      <c r="N150" s="693" t="str">
        <f>_xlfn.IFNA(VLOOKUP($M150,Sedmica_1_količina_sva_sastojak!$C:$F,4,FALSE),"")</f>
        <v/>
      </c>
      <c r="O150" s="696" t="str">
        <f>IF(N150="","",COUNTIF($P$10:$P$256,"&lt;"&amp;P150)+COUNTIF($P$10:P150,P150))</f>
        <v/>
      </c>
      <c r="P150" s="694" t="str">
        <f t="shared" si="12"/>
        <v/>
      </c>
    </row>
    <row r="151" spans="1:16">
      <c r="A151" s="470">
        <v>142</v>
      </c>
      <c r="B151" s="1248" t="str">
        <f>IF($B$8=1,_xlfn.IFNA(VLOOKUP($A151,$L:$N,2,FALSE),""),_xlfn.IFNA(VLOOKUP($A151,Sedmica_2_količina_namirnica!$L:$N,2,FALSE),""))</f>
        <v/>
      </c>
      <c r="C151" s="448" t="str">
        <f>IF($B$8=1,_xlfn.IFNA(VLOOKUP($A151,$L:$N,3,FALSE)-0.0001,""),_xlfn.IFNA(VLOOKUP($A151,Sedmica_2_količina_namirnica!$L:$N,3,FALSE)-0.0001,""))</f>
        <v/>
      </c>
      <c r="D151" s="446" t="str">
        <f>IF(B151="Jaje kokošje, celo",IF(C151=INT(C151),C151,C151+1),IF(B151=""," ",_xlfn.IFNA(INT(C151*1000/(VLOOKUP($B151,Ingredient_prices!$E:$J,6,FALSE)))+1,"nije nabavljen")))</f>
        <v xml:space="preserve"> </v>
      </c>
      <c r="E151" s="446" t="str">
        <f>IF(C151="","",VLOOKUP($B151,Ingredient_prices!$E:$K,7,FALSE))</f>
        <v/>
      </c>
      <c r="F151" s="462" t="str">
        <f>IF(C151="","",IFERROR(IF(OR(E151="кг",E151="л"),VLOOKUP($B151,Ingredient_prices!$E:$V,16,FALSE)*D151,(VLOOKUP($B151,Ingredient_prices!$E:$P,12,FALSE)*D151)),""))</f>
        <v/>
      </c>
      <c r="G151" s="450" t="str">
        <f>IF(C151="","",_xlfn.IFNA(MID(VLOOKUP($B151,Ingredient_prices!$E:$F,2,FALSE),9,2),""))</f>
        <v/>
      </c>
      <c r="H151" s="447" t="str">
        <f>_xlfn.IFNA(VLOOKUP(CONCATENATE($I$9,$G151),Ingredient_prices!$G:$N,8,FALSE),"")</f>
        <v/>
      </c>
      <c r="I151" s="548" t="str">
        <f t="shared" si="10"/>
        <v/>
      </c>
      <c r="J151" s="695" t="str">
        <f>IF(N151="","",MID(Ingredient_prices!F145,9,2))</f>
        <v>2</v>
      </c>
      <c r="K151" s="692">
        <f t="shared" si="11"/>
        <v>3</v>
      </c>
      <c r="L151" s="692">
        <f>IF(N151="","",COUNTIF($P$10:$P$256,"&lt;"&amp;P151)+COUNTIF($P$10:P151,P151))</f>
        <v>8</v>
      </c>
      <c r="M151" s="692" t="str">
        <f>IF(Ingredient_prices!E145=M150,"",Ingredient_prices!E145)</f>
        <v>Potatoes white</v>
      </c>
      <c r="N151" s="693">
        <f>_xlfn.IFNA(VLOOKUP($M151,Sedmica_1_količina_sva_sastojak!$C:$F,4,FALSE),"")</f>
        <v>45.375</v>
      </c>
      <c r="O151" s="696">
        <f>IF(N151="","",COUNTIF($P$10:$P$256,"&lt;"&amp;P151)+COUNTIF($P$10:P151,P151))</f>
        <v>8</v>
      </c>
      <c r="P151" s="694">
        <f t="shared" si="12"/>
        <v>23</v>
      </c>
    </row>
    <row r="152" spans="1:16">
      <c r="A152" s="470">
        <v>143</v>
      </c>
      <c r="B152" s="1248" t="str">
        <f>IF($B$8=1,_xlfn.IFNA(VLOOKUP($A152,$L:$N,2,FALSE),""),_xlfn.IFNA(VLOOKUP($A152,Sedmica_2_količina_namirnica!$L:$N,2,FALSE),""))</f>
        <v/>
      </c>
      <c r="C152" s="448" t="str">
        <f>IF($B$8=1,_xlfn.IFNA(VLOOKUP($A152,$L:$N,3,FALSE)-0.0001,""),_xlfn.IFNA(VLOOKUP($A152,Sedmica_2_količina_namirnica!$L:$N,3,FALSE)-0.0001,""))</f>
        <v/>
      </c>
      <c r="D152" s="446" t="str">
        <f>IF(B152="Jaje kokošje, celo",IF(C152=INT(C152),C152,C152+1),IF(B152=""," ",_xlfn.IFNA(INT(C152*1000/(VLOOKUP($B152,Ingredient_prices!$E:$J,6,FALSE)))+1,"nije nabavljen")))</f>
        <v xml:space="preserve"> </v>
      </c>
      <c r="E152" s="446" t="str">
        <f>IF(C152="","",VLOOKUP($B152,Ingredient_prices!$E:$K,7,FALSE))</f>
        <v/>
      </c>
      <c r="F152" s="462" t="str">
        <f>IF(C152="","",IFERROR(IF(OR(E152="кг",E152="л"),VLOOKUP($B152,Ingredient_prices!$E:$V,16,FALSE)*D152,(VLOOKUP($B152,Ingredient_prices!$E:$P,12,FALSE)*D152)),""))</f>
        <v/>
      </c>
      <c r="G152" s="450" t="str">
        <f>IF(C152="","",_xlfn.IFNA(MID(VLOOKUP($B152,Ingredient_prices!$E:$F,2,FALSE),9,2),""))</f>
        <v/>
      </c>
      <c r="H152" s="447" t="str">
        <f>_xlfn.IFNA(VLOOKUP(CONCATENATE($I$9,$G152),Ingredient_prices!$G:$N,8,FALSE),"")</f>
        <v/>
      </c>
      <c r="I152" s="548" t="str">
        <f t="shared" si="10"/>
        <v/>
      </c>
      <c r="J152" s="695" t="str">
        <f>IF(N152="","",MID(Ingredient_prices!F146,9,2))</f>
        <v/>
      </c>
      <c r="K152" s="692" t="str">
        <f t="shared" si="11"/>
        <v/>
      </c>
      <c r="L152" s="692" t="str">
        <f>IF(N152="","",COUNTIF($P$10:$P$256,"&lt;"&amp;P152)+COUNTIF($P$10:P152,P152))</f>
        <v/>
      </c>
      <c r="M152" s="692" t="str">
        <f>IF(Ingredient_prices!E146=M151,"",Ingredient_prices!E146)</f>
        <v>Cucumber fresh</v>
      </c>
      <c r="N152" s="693" t="str">
        <f>_xlfn.IFNA(VLOOKUP($M152,Sedmica_1_količina_sva_sastojak!$C:$F,4,FALSE),"")</f>
        <v/>
      </c>
      <c r="O152" s="696" t="str">
        <f>IF(N152="","",COUNTIF($P$10:$P$256,"&lt;"&amp;P152)+COUNTIF($P$10:P152,P152))</f>
        <v/>
      </c>
      <c r="P152" s="694" t="str">
        <f t="shared" si="12"/>
        <v/>
      </c>
    </row>
    <row r="153" spans="1:16">
      <c r="A153" s="470">
        <v>144</v>
      </c>
      <c r="B153" s="1248" t="str">
        <f>IF($B$8=1,_xlfn.IFNA(VLOOKUP($A153,$L:$N,2,FALSE),""),_xlfn.IFNA(VLOOKUP($A153,Sedmica_2_količina_namirnica!$L:$N,2,FALSE),""))</f>
        <v/>
      </c>
      <c r="C153" s="448" t="str">
        <f>IF($B$8=1,_xlfn.IFNA(VLOOKUP($A153,$L:$N,3,FALSE)-0.0001,""),_xlfn.IFNA(VLOOKUP($A153,Sedmica_2_količina_namirnica!$L:$N,3,FALSE)-0.0001,""))</f>
        <v/>
      </c>
      <c r="D153" s="446" t="str">
        <f>IF(B153="Jaje kokošje, celo",IF(C153=INT(C153),C153,C153+1),IF(B153=""," ",_xlfn.IFNA(INT(C153*1000/(VLOOKUP($B153,Ingredient_prices!$E:$J,6,FALSE)))+1,"nije nabavljen")))</f>
        <v xml:space="preserve"> </v>
      </c>
      <c r="E153" s="446" t="str">
        <f>IF(C153="","",VLOOKUP($B153,Ingredient_prices!$E:$K,7,FALSE))</f>
        <v/>
      </c>
      <c r="F153" s="462" t="str">
        <f>IF(C153="","",IFERROR(IF(OR(E153="кг",E153="л"),VLOOKUP($B153,Ingredient_prices!$E:$V,16,FALSE)*D153,(VLOOKUP($B153,Ingredient_prices!$E:$P,12,FALSE)*D153)),""))</f>
        <v/>
      </c>
      <c r="G153" s="450" t="str">
        <f>IF(C153="","",_xlfn.IFNA(MID(VLOOKUP($B153,Ingredient_prices!$E:$F,2,FALSE),9,2),""))</f>
        <v/>
      </c>
      <c r="H153" s="447" t="str">
        <f>_xlfn.IFNA(VLOOKUP(CONCATENATE($I$9,$G153),Ingredient_prices!$G:$N,8,FALSE),"")</f>
        <v/>
      </c>
      <c r="I153" s="548" t="str">
        <f t="shared" si="10"/>
        <v/>
      </c>
      <c r="J153" s="695" t="str">
        <f>IF(N153="","",MID(Ingredient_prices!F147,9,2))</f>
        <v/>
      </c>
      <c r="K153" s="692" t="str">
        <f t="shared" si="11"/>
        <v/>
      </c>
      <c r="L153" s="692" t="str">
        <f>IF(N153="","",COUNTIF($P$10:$P$256,"&lt;"&amp;P153)+COUNTIF($P$10:P153,P153))</f>
        <v/>
      </c>
      <c r="M153" s="692" t="str">
        <f>IF(Ingredient_prices!E147=M152,"",Ingredient_prices!E147)</f>
        <v>Tomatoes</v>
      </c>
      <c r="N153" s="693" t="str">
        <f>_xlfn.IFNA(VLOOKUP($M153,Sedmica_1_količina_sva_sastojak!$C:$F,4,FALSE),"")</f>
        <v/>
      </c>
      <c r="O153" s="696" t="str">
        <f>IF(N153="","",COUNTIF($P$10:$P$256,"&lt;"&amp;P153)+COUNTIF($P$10:P153,P153))</f>
        <v/>
      </c>
      <c r="P153" s="694" t="str">
        <f t="shared" si="12"/>
        <v/>
      </c>
    </row>
    <row r="154" spans="1:16">
      <c r="A154" s="470">
        <v>145</v>
      </c>
      <c r="B154" s="1248" t="str">
        <f>IF($B$8=1,_xlfn.IFNA(VLOOKUP($A154,$L:$N,2,FALSE),""),_xlfn.IFNA(VLOOKUP($A154,Sedmica_2_količina_namirnica!$L:$N,2,FALSE),""))</f>
        <v/>
      </c>
      <c r="C154" s="448" t="str">
        <f>IF($B$8=1,_xlfn.IFNA(VLOOKUP($A154,$L:$N,3,FALSE)-0.0001,""),_xlfn.IFNA(VLOOKUP($A154,Sedmica_2_količina_namirnica!$L:$N,3,FALSE)-0.0001,""))</f>
        <v/>
      </c>
      <c r="D154" s="446" t="str">
        <f>IF(B154="Jaje kokošje, celo",IF(C154=INT(C154),C154,C154+1),IF(B154=""," ",_xlfn.IFNA(INT(C154*1000/(VLOOKUP($B154,Ingredient_prices!$E:$J,6,FALSE)))+1,"nije nabavljen")))</f>
        <v xml:space="preserve"> </v>
      </c>
      <c r="E154" s="446" t="str">
        <f>IF(C154="","",VLOOKUP($B154,Ingredient_prices!$E:$K,7,FALSE))</f>
        <v/>
      </c>
      <c r="F154" s="462" t="str">
        <f>IF(C154="","",IFERROR(IF(OR(E154="кг",E154="л"),VLOOKUP($B154,Ingredient_prices!$E:$V,16,FALSE)*D154,(VLOOKUP($B154,Ingredient_prices!$E:$P,12,FALSE)*D154)),""))</f>
        <v/>
      </c>
      <c r="G154" s="450" t="str">
        <f>IF(C154="","",_xlfn.IFNA(MID(VLOOKUP($B154,Ingredient_prices!$E:$F,2,FALSE),9,2),""))</f>
        <v/>
      </c>
      <c r="H154" s="447" t="str">
        <f>_xlfn.IFNA(VLOOKUP(CONCATENATE($I$9,$G154),Ingredient_prices!$G:$N,8,FALSE),"")</f>
        <v/>
      </c>
      <c r="I154" s="548" t="str">
        <f t="shared" si="10"/>
        <v/>
      </c>
      <c r="J154" s="695" t="str">
        <f>IF(N154="","",MID(Ingredient_prices!F148,9,2))</f>
        <v/>
      </c>
      <c r="K154" s="692" t="str">
        <f t="shared" si="11"/>
        <v/>
      </c>
      <c r="L154" s="692" t="str">
        <f>IF(N154="","",COUNTIF($P$10:$P$256,"&lt;"&amp;P154)+COUNTIF($P$10:P154,P154))</f>
        <v/>
      </c>
      <c r="M154" s="692" t="str">
        <f>IF(Ingredient_prices!E148=M153,"",Ingredient_prices!E148)</f>
        <v>Peas frozen</v>
      </c>
      <c r="N154" s="693" t="str">
        <f>_xlfn.IFNA(VLOOKUP($M154,Sedmica_1_količina_sva_sastojak!$C:$F,4,FALSE),"")</f>
        <v/>
      </c>
      <c r="O154" s="696" t="str">
        <f>IF(N154="","",COUNTIF($P$10:$P$256,"&lt;"&amp;P154)+COUNTIF($P$10:P154,P154))</f>
        <v/>
      </c>
      <c r="P154" s="694" t="str">
        <f t="shared" si="12"/>
        <v/>
      </c>
    </row>
    <row r="155" spans="1:16">
      <c r="A155" s="470">
        <v>146</v>
      </c>
      <c r="B155" s="1248" t="str">
        <f>IF($B$8=1,_xlfn.IFNA(VLOOKUP($A155,$L:$N,2,FALSE),""),_xlfn.IFNA(VLOOKUP($A155,Sedmica_2_količina_namirnica!$L:$N,2,FALSE),""))</f>
        <v/>
      </c>
      <c r="C155" s="448" t="str">
        <f>IF($B$8=1,_xlfn.IFNA(VLOOKUP($A155,$L:$N,3,FALSE)-0.0001,""),_xlfn.IFNA(VLOOKUP($A155,Sedmica_2_količina_namirnica!$L:$N,3,FALSE)-0.0001,""))</f>
        <v/>
      </c>
      <c r="D155" s="446" t="str">
        <f>IF(B155="Jaje kokošje, celo",IF(C155=INT(C155),C155,C155+1),IF(B155=""," ",_xlfn.IFNA(INT(C155*1000/(VLOOKUP($B155,Ingredient_prices!$E:$J,6,FALSE)))+1,"nije nabavljen")))</f>
        <v xml:space="preserve"> </v>
      </c>
      <c r="E155" s="446" t="str">
        <f>IF(C155="","",VLOOKUP($B155,Ingredient_prices!$E:$K,7,FALSE))</f>
        <v/>
      </c>
      <c r="F155" s="462" t="str">
        <f>IF(C155="","",IFERROR(IF(OR(E155="кг",E155="л"),VLOOKUP($B155,Ingredient_prices!$E:$V,16,FALSE)*D155,(VLOOKUP($B155,Ingredient_prices!$E:$P,12,FALSE)*D155)),""))</f>
        <v/>
      </c>
      <c r="G155" s="450" t="str">
        <f>IF(C155="","",_xlfn.IFNA(MID(VLOOKUP($B155,Ingredient_prices!$E:$F,2,FALSE),9,2),""))</f>
        <v/>
      </c>
      <c r="H155" s="447" t="str">
        <f>_xlfn.IFNA(VLOOKUP(CONCATENATE($I$9,$G155),Ingredient_prices!$G:$N,8,FALSE),"")</f>
        <v/>
      </c>
      <c r="I155" s="548" t="str">
        <f t="shared" si="10"/>
        <v/>
      </c>
      <c r="J155" s="695" t="str">
        <f>IF(N155="","",MID(Ingredient_prices!F149,9,2))</f>
        <v>2</v>
      </c>
      <c r="K155" s="692">
        <f t="shared" si="11"/>
        <v>13</v>
      </c>
      <c r="L155" s="692">
        <f>IF(N155="","",COUNTIF($P$10:$P$256,"&lt;"&amp;P155)+COUNTIF($P$10:P155,P155))</f>
        <v>18</v>
      </c>
      <c r="M155" s="692" t="str">
        <f>IF(Ingredient_prices!E149=M154,"",Ingredient_prices!E149)</f>
        <v>Green (French) beans</v>
      </c>
      <c r="N155" s="693">
        <f>_xlfn.IFNA(VLOOKUP($M155,Sedmica_1_količina_sva_sastojak!$C:$F,4,FALSE),"")</f>
        <v>7.7</v>
      </c>
      <c r="O155" s="696">
        <f>IF(N155="","",COUNTIF($P$10:$P$256,"&lt;"&amp;P155)+COUNTIF($P$10:P155,P155))</f>
        <v>18</v>
      </c>
      <c r="P155" s="694">
        <f t="shared" si="12"/>
        <v>213</v>
      </c>
    </row>
    <row r="156" spans="1:16">
      <c r="A156" s="470">
        <v>147</v>
      </c>
      <c r="B156" s="1248" t="str">
        <f>IF($B$8=1,_xlfn.IFNA(VLOOKUP($A156,$L:$N,2,FALSE),""),_xlfn.IFNA(VLOOKUP($A156,Sedmica_2_količina_namirnica!$L:$N,2,FALSE),""))</f>
        <v/>
      </c>
      <c r="C156" s="448" t="str">
        <f>IF($B$8=1,_xlfn.IFNA(VLOOKUP($A156,$L:$N,3,FALSE)-0.0001,""),_xlfn.IFNA(VLOOKUP($A156,Sedmica_2_količina_namirnica!$L:$N,3,FALSE)-0.0001,""))</f>
        <v/>
      </c>
      <c r="D156" s="446" t="str">
        <f>IF(B156="Jaje kokošje, celo",IF(C156=INT(C156),C156,C156+1),IF(B156=""," ",_xlfn.IFNA(INT(C156*1000/(VLOOKUP($B156,Ingredient_prices!$E:$J,6,FALSE)))+1,"nije nabavljen")))</f>
        <v xml:space="preserve"> </v>
      </c>
      <c r="E156" s="446" t="str">
        <f>IF(C156="","",VLOOKUP($B156,Ingredient_prices!$E:$K,7,FALSE))</f>
        <v/>
      </c>
      <c r="F156" s="462" t="str">
        <f>IF(C156="","",IFERROR(IF(OR(E156="кг",E156="л"),VLOOKUP($B156,Ingredient_prices!$E:$V,16,FALSE)*D156,(VLOOKUP($B156,Ingredient_prices!$E:$P,12,FALSE)*D156)),""))</f>
        <v/>
      </c>
      <c r="G156" s="450" t="str">
        <f>IF(C156="","",_xlfn.IFNA(MID(VLOOKUP($B156,Ingredient_prices!$E:$F,2,FALSE),9,2),""))</f>
        <v/>
      </c>
      <c r="H156" s="447" t="str">
        <f>_xlfn.IFNA(VLOOKUP(CONCATENATE($I$9,$G156),Ingredient_prices!$G:$N,8,FALSE),"")</f>
        <v/>
      </c>
      <c r="I156" s="548" t="str">
        <f t="shared" si="10"/>
        <v/>
      </c>
      <c r="J156" s="695" t="str">
        <f>IF(N156="","",MID(Ingredient_prices!F150,9,2))</f>
        <v/>
      </c>
      <c r="K156" s="692" t="str">
        <f t="shared" si="11"/>
        <v/>
      </c>
      <c r="L156" s="692" t="str">
        <f>IF(N156="","",COUNTIF($P$10:$P$256,"&lt;"&amp;P156)+COUNTIF($P$10:P156,P156))</f>
        <v/>
      </c>
      <c r="M156" s="692" t="str">
        <f>IF(Ingredient_prices!E150=M155,"",Ingredient_prices!E150)</f>
        <v>Carrots frozen</v>
      </c>
      <c r="N156" s="693" t="str">
        <f>_xlfn.IFNA(VLOOKUP($M156,Sedmica_1_količina_sva_sastojak!$C:$F,4,FALSE),"")</f>
        <v/>
      </c>
      <c r="O156" s="696" t="str">
        <f>IF(N156="","",COUNTIF($P$10:$P$256,"&lt;"&amp;P156)+COUNTIF($P$10:P156,P156))</f>
        <v/>
      </c>
      <c r="P156" s="694" t="str">
        <f t="shared" si="12"/>
        <v/>
      </c>
    </row>
    <row r="157" spans="1:16">
      <c r="A157" s="470">
        <v>148</v>
      </c>
      <c r="B157" s="1248" t="str">
        <f>IF($B$8=1,_xlfn.IFNA(VLOOKUP($A157,$L:$N,2,FALSE),""),_xlfn.IFNA(VLOOKUP($A157,Sedmica_2_količina_namirnica!$L:$N,2,FALSE),""))</f>
        <v/>
      </c>
      <c r="C157" s="448" t="str">
        <f>IF($B$8=1,_xlfn.IFNA(VLOOKUP($A157,$L:$N,3,FALSE)-0.0001,""),_xlfn.IFNA(VLOOKUP($A157,Sedmica_2_količina_namirnica!$L:$N,3,FALSE)-0.0001,""))</f>
        <v/>
      </c>
      <c r="D157" s="446" t="str">
        <f>IF(B157="Jaje kokošje, celo",IF(C157=INT(C157),C157,C157+1),IF(B157=""," ",_xlfn.IFNA(INT(C157*1000/(VLOOKUP($B157,Ingredient_prices!$E:$J,6,FALSE)))+1,"nije nabavljen")))</f>
        <v xml:space="preserve"> </v>
      </c>
      <c r="E157" s="446" t="str">
        <f>IF(C157="","",VLOOKUP($B157,Ingredient_prices!$E:$K,7,FALSE))</f>
        <v/>
      </c>
      <c r="F157" s="462" t="str">
        <f>IF(C157="","",IFERROR(IF(OR(E157="кг",E157="л"),VLOOKUP($B157,Ingredient_prices!$E:$V,16,FALSE)*D157,(VLOOKUP($B157,Ingredient_prices!$E:$P,12,FALSE)*D157)),""))</f>
        <v/>
      </c>
      <c r="G157" s="450" t="str">
        <f>IF(C157="","",_xlfn.IFNA(MID(VLOOKUP($B157,Ingredient_prices!$E:$F,2,FALSE),9,2),""))</f>
        <v/>
      </c>
      <c r="H157" s="447" t="str">
        <f>_xlfn.IFNA(VLOOKUP(CONCATENATE($I$9,$G157),Ingredient_prices!$G:$N,8,FALSE),"")</f>
        <v/>
      </c>
      <c r="I157" s="548" t="str">
        <f t="shared" si="10"/>
        <v/>
      </c>
      <c r="J157" s="695" t="str">
        <f>IF(N157="","",MID(Ingredient_prices!F151,9,2))</f>
        <v/>
      </c>
      <c r="K157" s="692" t="str">
        <f t="shared" si="11"/>
        <v/>
      </c>
      <c r="L157" s="692" t="str">
        <f>IF(N157="","",COUNTIF($P$10:$P$256,"&lt;"&amp;P157)+COUNTIF($P$10:P157,P157))</f>
        <v/>
      </c>
      <c r="M157" s="692" t="str">
        <f>IF(Ingredient_prices!E151=M156,"",Ingredient_prices!E151)</f>
        <v>Mixed vegetables for stew</v>
      </c>
      <c r="N157" s="693" t="str">
        <f>_xlfn.IFNA(VLOOKUP($M157,Sedmica_1_količina_sva_sastojak!$C:$F,4,FALSE),"")</f>
        <v/>
      </c>
      <c r="O157" s="696" t="str">
        <f>IF(N157="","",COUNTIF($P$10:$P$256,"&lt;"&amp;P157)+COUNTIF($P$10:P157,P157))</f>
        <v/>
      </c>
      <c r="P157" s="694" t="str">
        <f t="shared" si="12"/>
        <v/>
      </c>
    </row>
    <row r="158" spans="1:16">
      <c r="A158" s="470">
        <v>149</v>
      </c>
      <c r="B158" s="1248" t="str">
        <f>IF($B$8=1,_xlfn.IFNA(VLOOKUP($A158,$L:$N,2,FALSE),""),_xlfn.IFNA(VLOOKUP($A158,Sedmica_2_količina_namirnica!$L:$N,2,FALSE),""))</f>
        <v/>
      </c>
      <c r="C158" s="448" t="str">
        <f>IF($B$8=1,_xlfn.IFNA(VLOOKUP($A158,$L:$N,3,FALSE)-0.0001,""),_xlfn.IFNA(VLOOKUP($A158,Sedmica_2_količina_namirnica!$L:$N,3,FALSE)-0.0001,""))</f>
        <v/>
      </c>
      <c r="D158" s="446" t="str">
        <f>IF(B158="Jaje kokošje, celo",IF(C158=INT(C158),C158,C158+1),IF(B158=""," ",_xlfn.IFNA(INT(C158*1000/(VLOOKUP($B158,Ingredient_prices!$E:$J,6,FALSE)))+1,"nije nabavljen")))</f>
        <v xml:space="preserve"> </v>
      </c>
      <c r="E158" s="446" t="str">
        <f>IF(C158="","",VLOOKUP($B158,Ingredient_prices!$E:$K,7,FALSE))</f>
        <v/>
      </c>
      <c r="F158" s="462" t="str">
        <f>IF(C158="","",IFERROR(IF(OR(E158="кг",E158="л"),VLOOKUP($B158,Ingredient_prices!$E:$V,16,FALSE)*D158,(VLOOKUP($B158,Ingredient_prices!$E:$P,12,FALSE)*D158)),""))</f>
        <v/>
      </c>
      <c r="G158" s="450" t="str">
        <f>IF(C158="","",_xlfn.IFNA(MID(VLOOKUP($B158,Ingredient_prices!$E:$F,2,FALSE),9,2),""))</f>
        <v/>
      </c>
      <c r="H158" s="447" t="str">
        <f>_xlfn.IFNA(VLOOKUP(CONCATENATE($I$9,$G158),Ingredient_prices!$G:$N,8,FALSE),"")</f>
        <v/>
      </c>
      <c r="I158" s="548" t="str">
        <f t="shared" si="10"/>
        <v/>
      </c>
      <c r="J158" s="695" t="str">
        <f>IF(N158="","",MID(Ingredient_prices!F152,9,2))</f>
        <v/>
      </c>
      <c r="K158" s="692" t="str">
        <f t="shared" si="11"/>
        <v/>
      </c>
      <c r="L158" s="692" t="str">
        <f>IF(N158="","",COUNTIF($P$10:$P$256,"&lt;"&amp;P158)+COUNTIF($P$10:P158,P158))</f>
        <v/>
      </c>
      <c r="M158" s="692" t="str">
        <f>IF(Ingredient_prices!E152=M157,"",Ingredient_prices!E152)</f>
        <v>Spinach frozen</v>
      </c>
      <c r="N158" s="693" t="str">
        <f>_xlfn.IFNA(VLOOKUP($M158,Sedmica_1_količina_sva_sastojak!$C:$F,4,FALSE),"")</f>
        <v/>
      </c>
      <c r="O158" s="696" t="str">
        <f>IF(N158="","",COUNTIF($P$10:$P$256,"&lt;"&amp;P158)+COUNTIF($P$10:P158,P158))</f>
        <v/>
      </c>
      <c r="P158" s="694" t="str">
        <f t="shared" si="12"/>
        <v/>
      </c>
    </row>
    <row r="159" spans="1:16">
      <c r="A159" s="470">
        <v>150</v>
      </c>
      <c r="B159" s="1248" t="str">
        <f>IF($B$8=1,_xlfn.IFNA(VLOOKUP($A159,$L:$N,2,FALSE),""),_xlfn.IFNA(VLOOKUP($A159,Sedmica_2_količina_namirnica!$L:$N,2,FALSE),""))</f>
        <v/>
      </c>
      <c r="C159" s="448" t="str">
        <f>IF($B$8=1,_xlfn.IFNA(VLOOKUP($A159,$L:$N,3,FALSE)-0.0001,""),_xlfn.IFNA(VLOOKUP($A159,Sedmica_2_količina_namirnica!$L:$N,3,FALSE)-0.0001,""))</f>
        <v/>
      </c>
      <c r="D159" s="446" t="str">
        <f>IF(B159="Jaje kokošje, celo",IF(C159=INT(C159),C159,C159+1),IF(B159=""," ",_xlfn.IFNA(INT(C159*1000/(VLOOKUP($B159,Ingredient_prices!$E:$J,6,FALSE)))+1,"nije nabavljen")))</f>
        <v xml:space="preserve"> </v>
      </c>
      <c r="E159" s="446" t="str">
        <f>IF(C159="","",VLOOKUP($B159,Ingredient_prices!$E:$K,7,FALSE))</f>
        <v/>
      </c>
      <c r="F159" s="462" t="str">
        <f>IF(C159="","",IFERROR(IF(OR(E159="кг",E159="л"),VLOOKUP($B159,Ingredient_prices!$E:$V,16,FALSE)*D159,(VLOOKUP($B159,Ingredient_prices!$E:$P,12,FALSE)*D159)),""))</f>
        <v/>
      </c>
      <c r="G159" s="450" t="str">
        <f>IF(C159="","",_xlfn.IFNA(MID(VLOOKUP($B159,Ingredient_prices!$E:$F,2,FALSE),9,2),""))</f>
        <v/>
      </c>
      <c r="H159" s="447" t="str">
        <f>_xlfn.IFNA(VLOOKUP(CONCATENATE($I$9,$G159),Ingredient_prices!$G:$N,8,FALSE),"")</f>
        <v/>
      </c>
      <c r="I159" s="548" t="str">
        <f t="shared" si="10"/>
        <v/>
      </c>
      <c r="J159" s="695" t="str">
        <f>IF(N159="","",MID(Ingredient_prices!F153,9,2))</f>
        <v/>
      </c>
      <c r="K159" s="692" t="str">
        <f t="shared" si="11"/>
        <v/>
      </c>
      <c r="L159" s="692" t="str">
        <f>IF(N159="","",COUNTIF($P$10:$P$256,"&lt;"&amp;P159)+COUNTIF($P$10:P159,P159))</f>
        <v/>
      </c>
      <c r="M159" s="692" t="str">
        <f>IF(Ingredient_prices!E153=M158,"",Ingredient_prices!E153)</f>
        <v>Swiss chard frozen</v>
      </c>
      <c r="N159" s="693" t="str">
        <f>_xlfn.IFNA(VLOOKUP($M159,Sedmica_1_količina_sva_sastojak!$C:$F,4,FALSE),"")</f>
        <v/>
      </c>
      <c r="O159" s="696" t="str">
        <f>IF(N159="","",COUNTIF($P$10:$P$256,"&lt;"&amp;P159)+COUNTIF($P$10:P159,P159))</f>
        <v/>
      </c>
      <c r="P159" s="694" t="str">
        <f t="shared" si="12"/>
        <v/>
      </c>
    </row>
    <row r="160" spans="1:16">
      <c r="A160" s="470">
        <v>151</v>
      </c>
      <c r="B160" s="1248" t="str">
        <f>IF($B$8=1,_xlfn.IFNA(VLOOKUP($A160,$L:$N,2,FALSE),""),_xlfn.IFNA(VLOOKUP($A160,Sedmica_2_količina_namirnica!$L:$N,2,FALSE),""))</f>
        <v/>
      </c>
      <c r="C160" s="448" t="str">
        <f>IF($B$8=1,_xlfn.IFNA(VLOOKUP($A160,$L:$N,3,FALSE)-0.0001,""),_xlfn.IFNA(VLOOKUP($A160,Sedmica_2_količina_namirnica!$L:$N,3,FALSE)-0.0001,""))</f>
        <v/>
      </c>
      <c r="D160" s="446" t="str">
        <f>IF(B160="Jaje kokošje, celo",IF(C160=INT(C160),C160,C160+1),IF(B160=""," ",_xlfn.IFNA(INT(C160*1000/(VLOOKUP($B160,Ingredient_prices!$E:$J,6,FALSE)))+1,"nije nabavljen")))</f>
        <v xml:space="preserve"> </v>
      </c>
      <c r="E160" s="446" t="str">
        <f>IF(C160="","",VLOOKUP($B160,Ingredient_prices!$E:$K,7,FALSE))</f>
        <v/>
      </c>
      <c r="F160" s="462" t="str">
        <f>IF(C160="","",IFERROR(IF(OR(E160="кг",E160="л"),VLOOKUP($B160,Ingredient_prices!$E:$V,16,FALSE)*D160,(VLOOKUP($B160,Ingredient_prices!$E:$P,12,FALSE)*D160)),""))</f>
        <v/>
      </c>
      <c r="G160" s="450" t="str">
        <f>IF(C160="","",_xlfn.IFNA(MID(VLOOKUP($B160,Ingredient_prices!$E:$F,2,FALSE),9,2),""))</f>
        <v/>
      </c>
      <c r="H160" s="447" t="str">
        <f>_xlfn.IFNA(VLOOKUP(CONCATENATE($I$9,$G160),Ingredient_prices!$G:$N,8,FALSE),"")</f>
        <v/>
      </c>
      <c r="I160" s="548" t="str">
        <f t="shared" si="10"/>
        <v/>
      </c>
      <c r="J160" s="695" t="str">
        <f>IF(N160="","",MID(Ingredient_prices!F154,9,2))</f>
        <v>2</v>
      </c>
      <c r="K160" s="692">
        <f t="shared" si="11"/>
        <v>16</v>
      </c>
      <c r="L160" s="692">
        <f>IF(N160="","",COUNTIF($P$10:$P$256,"&lt;"&amp;P160)+COUNTIF($P$10:P160,P160))</f>
        <v>24</v>
      </c>
      <c r="M160" s="692" t="str">
        <f>IF(Ingredient_prices!E154=M159,"",Ingredient_prices!E154)</f>
        <v>Sweetcorn frozen</v>
      </c>
      <c r="N160" s="693">
        <f>_xlfn.IFNA(VLOOKUP($M160,Sedmica_1_količina_sva_sastojak!$C:$F,4,FALSE),"")</f>
        <v>5.5</v>
      </c>
      <c r="O160" s="696">
        <f>IF(N160="","",COUNTIF($P$10:$P$256,"&lt;"&amp;P160)+COUNTIF($P$10:P160,P160))</f>
        <v>24</v>
      </c>
      <c r="P160" s="694">
        <f t="shared" si="12"/>
        <v>216</v>
      </c>
    </row>
    <row r="161" spans="1:16">
      <c r="A161" s="470">
        <v>152</v>
      </c>
      <c r="B161" s="1248" t="str">
        <f>IF($B$8=1,_xlfn.IFNA(VLOOKUP($A161,$L:$N,2,FALSE),""),_xlfn.IFNA(VLOOKUP($A161,Sedmica_2_količina_namirnica!$L:$N,2,FALSE),""))</f>
        <v/>
      </c>
      <c r="C161" s="448" t="str">
        <f>IF($B$8=1,_xlfn.IFNA(VLOOKUP($A161,$L:$N,3,FALSE)-0.0001,""),_xlfn.IFNA(VLOOKUP($A161,Sedmica_2_količina_namirnica!$L:$N,3,FALSE)-0.0001,""))</f>
        <v/>
      </c>
      <c r="D161" s="446" t="str">
        <f>IF(B161="Jaje kokošje, celo",IF(C161=INT(C161),C161,C161+1),IF(B161=""," ",_xlfn.IFNA(INT(C161*1000/(VLOOKUP($B161,Ingredient_prices!$E:$J,6,FALSE)))+1,"nije nabavljen")))</f>
        <v xml:space="preserve"> </v>
      </c>
      <c r="E161" s="446" t="str">
        <f>IF(C161="","",VLOOKUP($B161,Ingredient_prices!$E:$K,7,FALSE))</f>
        <v/>
      </c>
      <c r="F161" s="462" t="str">
        <f>IF(C161="","",IFERROR(IF(OR(E161="кг",E161="л"),VLOOKUP($B161,Ingredient_prices!$E:$V,16,FALSE)*D161,(VLOOKUP($B161,Ingredient_prices!$E:$P,12,FALSE)*D161)),""))</f>
        <v/>
      </c>
      <c r="G161" s="450" t="str">
        <f>IF(C161="","",_xlfn.IFNA(MID(VLOOKUP($B161,Ingredient_prices!$E:$F,2,FALSE),9,2),""))</f>
        <v/>
      </c>
      <c r="H161" s="447" t="str">
        <f>_xlfn.IFNA(VLOOKUP(CONCATENATE($I$9,$G161),Ingredient_prices!$G:$N,8,FALSE),"")</f>
        <v/>
      </c>
      <c r="I161" s="548" t="str">
        <f t="shared" si="10"/>
        <v/>
      </c>
      <c r="J161" s="695" t="str">
        <f>IF(N161="","",MID(Ingredient_prices!F155,9,2))</f>
        <v>2</v>
      </c>
      <c r="K161" s="692">
        <f t="shared" si="11"/>
        <v>16</v>
      </c>
      <c r="L161" s="692">
        <f>IF(N161="","",COUNTIF($P$10:$P$256,"&lt;"&amp;P161)+COUNTIF($P$10:P161,P161))</f>
        <v>25</v>
      </c>
      <c r="M161" s="692" t="str">
        <f>IF(Ingredient_prices!E155=M160,"",Ingredient_prices!E155)</f>
        <v>Mixed vegetables for soup</v>
      </c>
      <c r="N161" s="693">
        <f>_xlfn.IFNA(VLOOKUP($M161,Sedmica_1_količina_sva_sastojak!$C:$F,4,FALSE),"")</f>
        <v>5.5000000000000009</v>
      </c>
      <c r="O161" s="696">
        <f>IF(N161="","",COUNTIF($P$10:$P$256,"&lt;"&amp;P161)+COUNTIF($P$10:P161,P161))</f>
        <v>25</v>
      </c>
      <c r="P161" s="694">
        <f t="shared" si="12"/>
        <v>216</v>
      </c>
    </row>
    <row r="162" spans="1:16">
      <c r="A162" s="470">
        <v>153</v>
      </c>
      <c r="B162" s="1248" t="str">
        <f>IF($B$8=1,_xlfn.IFNA(VLOOKUP($A162,$L:$N,2,FALSE),""),_xlfn.IFNA(VLOOKUP($A162,Sedmica_2_količina_namirnica!$L:$N,2,FALSE),""))</f>
        <v/>
      </c>
      <c r="C162" s="448" t="str">
        <f>IF($B$8=1,_xlfn.IFNA(VLOOKUP($A162,$L:$N,3,FALSE)-0.0001,""),_xlfn.IFNA(VLOOKUP($A162,Sedmica_2_količina_namirnica!$L:$N,3,FALSE)-0.0001,""))</f>
        <v/>
      </c>
      <c r="D162" s="446" t="str">
        <f>IF(B162="Jaje kokošje, celo",IF(C162=INT(C162),C162,C162+1),IF(B162=""," ",_xlfn.IFNA(INT(C162*1000/(VLOOKUP($B162,Ingredient_prices!$E:$J,6,FALSE)))+1,"nije nabavljen")))</f>
        <v xml:space="preserve"> </v>
      </c>
      <c r="E162" s="446" t="str">
        <f>IF(C162="","",VLOOKUP($B162,Ingredient_prices!$E:$K,7,FALSE))</f>
        <v/>
      </c>
      <c r="F162" s="462" t="str">
        <f>IF(C162="","",IFERROR(IF(OR(E162="кг",E162="л"),VLOOKUP($B162,Ingredient_prices!$E:$V,16,FALSE)*D162,(VLOOKUP($B162,Ingredient_prices!$E:$P,12,FALSE)*D162)),""))</f>
        <v/>
      </c>
      <c r="G162" s="450" t="str">
        <f>IF(C162="","",_xlfn.IFNA(MID(VLOOKUP($B162,Ingredient_prices!$E:$F,2,FALSE),9,2),""))</f>
        <v/>
      </c>
      <c r="H162" s="447" t="str">
        <f>_xlfn.IFNA(VLOOKUP(CONCATENATE($I$9,$G162),Ingredient_prices!$G:$N,8,FALSE),"")</f>
        <v/>
      </c>
      <c r="I162" s="548" t="str">
        <f t="shared" si="10"/>
        <v/>
      </c>
      <c r="J162" s="695" t="str">
        <f>IF(N162="","",MID(Ingredient_prices!F156,9,2))</f>
        <v>2</v>
      </c>
      <c r="K162" s="692">
        <f t="shared" si="11"/>
        <v>27</v>
      </c>
      <c r="L162" s="692">
        <f>IF(N162="","",COUNTIF($P$10:$P$256,"&lt;"&amp;P162)+COUNTIF($P$10:P162,P162))</f>
        <v>33</v>
      </c>
      <c r="M162" s="692" t="str">
        <f>IF(Ingredient_prices!E156=M161,"",Ingredient_prices!E156)</f>
        <v>Sour cherries, frozen</v>
      </c>
      <c r="N162" s="693">
        <f>_xlfn.IFNA(VLOOKUP($M162,Sedmica_1_količina_sva_sastojak!$C:$F,4,FALSE),"")</f>
        <v>2.5299999999999998</v>
      </c>
      <c r="O162" s="696">
        <f>IF(N162="","",COUNTIF($P$10:$P$256,"&lt;"&amp;P162)+COUNTIF($P$10:P162,P162))</f>
        <v>33</v>
      </c>
      <c r="P162" s="694">
        <f t="shared" si="12"/>
        <v>227</v>
      </c>
    </row>
    <row r="163" spans="1:16">
      <c r="A163" s="470">
        <v>154</v>
      </c>
      <c r="B163" s="1248" t="str">
        <f>IF($B$8=1,_xlfn.IFNA(VLOOKUP($A163,$L:$N,2,FALSE),""),_xlfn.IFNA(VLOOKUP($A163,Sedmica_2_količina_namirnica!$L:$N,2,FALSE),""))</f>
        <v/>
      </c>
      <c r="C163" s="448" t="str">
        <f>IF($B$8=1,_xlfn.IFNA(VLOOKUP($A163,$L:$N,3,FALSE)-0.0001,""),_xlfn.IFNA(VLOOKUP($A163,Sedmica_2_količina_namirnica!$L:$N,3,FALSE)-0.0001,""))</f>
        <v/>
      </c>
      <c r="D163" s="446" t="str">
        <f>IF(B163="Jaje kokošje, celo",IF(C163=INT(C163),C163,C163+1),IF(B163=""," ",_xlfn.IFNA(INT(C163*1000/(VLOOKUP($B163,Ingredient_prices!$E:$J,6,FALSE)))+1,"nije nabavljen")))</f>
        <v xml:space="preserve"> </v>
      </c>
      <c r="E163" s="446" t="str">
        <f>IF(C163="","",VLOOKUP($B163,Ingredient_prices!$E:$K,7,FALSE))</f>
        <v/>
      </c>
      <c r="F163" s="462" t="str">
        <f>IF(C163="","",IFERROR(IF(OR(E163="кг",E163="л"),VLOOKUP($B163,Ingredient_prices!$E:$V,16,FALSE)*D163,(VLOOKUP($B163,Ingredient_prices!$E:$P,12,FALSE)*D163)),""))</f>
        <v/>
      </c>
      <c r="G163" s="450" t="str">
        <f>IF(C163="","",_xlfn.IFNA(MID(VLOOKUP($B163,Ingredient_prices!$E:$F,2,FALSE),9,2),""))</f>
        <v/>
      </c>
      <c r="H163" s="447" t="str">
        <f>_xlfn.IFNA(VLOOKUP(CONCATENATE($I$9,$G163),Ingredient_prices!$G:$N,8,FALSE),"")</f>
        <v/>
      </c>
      <c r="I163" s="548" t="str">
        <f t="shared" si="10"/>
        <v/>
      </c>
      <c r="J163" s="695" t="str">
        <f>IF(N163="","",MID(Ingredient_prices!F157,9,2))</f>
        <v>2</v>
      </c>
      <c r="K163" s="692">
        <f t="shared" si="11"/>
        <v>9</v>
      </c>
      <c r="L163" s="692">
        <f>IF(N163="","",COUNTIF($P$10:$P$256,"&lt;"&amp;P163)+COUNTIF($P$10:P163,P163))</f>
        <v>14</v>
      </c>
      <c r="M163" s="692" t="str">
        <f>IF(Ingredient_prices!E157=M162,"",Ingredient_prices!E157)</f>
        <v>Gherkins pickled</v>
      </c>
      <c r="N163" s="693">
        <f>_xlfn.IFNA(VLOOKUP($M163,Sedmica_1_količina_sva_sastojak!$C:$F,4,FALSE),"")</f>
        <v>9.9</v>
      </c>
      <c r="O163" s="696">
        <f>IF(N163="","",COUNTIF($P$10:$P$256,"&lt;"&amp;P163)+COUNTIF($P$10:P163,P163))</f>
        <v>14</v>
      </c>
      <c r="P163" s="694">
        <f t="shared" si="12"/>
        <v>29</v>
      </c>
    </row>
    <row r="164" spans="1:16">
      <c r="A164" s="470">
        <v>155</v>
      </c>
      <c r="B164" s="1248" t="str">
        <f>IF($B$8=1,_xlfn.IFNA(VLOOKUP($A164,$L:$N,2,FALSE),""),_xlfn.IFNA(VLOOKUP($A164,Sedmica_2_količina_namirnica!$L:$N,2,FALSE),""))</f>
        <v/>
      </c>
      <c r="C164" s="448" t="str">
        <f>IF($B$8=1,_xlfn.IFNA(VLOOKUP($A164,$L:$N,3,FALSE)-0.0001,""),_xlfn.IFNA(VLOOKUP($A164,Sedmica_2_količina_namirnica!$L:$N,3,FALSE)-0.0001,""))</f>
        <v/>
      </c>
      <c r="D164" s="446" t="str">
        <f>IF(B164="Jaje kokošje, celo",IF(C164=INT(C164),C164,C164+1),IF(B164=""," ",_xlfn.IFNA(INT(C164*1000/(VLOOKUP($B164,Ingredient_prices!$E:$J,6,FALSE)))+1,"nije nabavljen")))</f>
        <v xml:space="preserve"> </v>
      </c>
      <c r="E164" s="446" t="str">
        <f>IF(C164="","",VLOOKUP($B164,Ingredient_prices!$E:$K,7,FALSE))</f>
        <v/>
      </c>
      <c r="F164" s="462" t="str">
        <f>IF(C164="","",IFERROR(IF(OR(E164="кг",E164="л"),VLOOKUP($B164,Ingredient_prices!$E:$V,16,FALSE)*D164,(VLOOKUP($B164,Ingredient_prices!$E:$P,12,FALSE)*D164)),""))</f>
        <v/>
      </c>
      <c r="G164" s="450" t="str">
        <f>IF(C164="","",_xlfn.IFNA(MID(VLOOKUP($B164,Ingredient_prices!$E:$F,2,FALSE),9,2),""))</f>
        <v/>
      </c>
      <c r="H164" s="447" t="str">
        <f>_xlfn.IFNA(VLOOKUP(CONCATENATE($I$9,$G164),Ingredient_prices!$G:$N,8,FALSE),"")</f>
        <v/>
      </c>
      <c r="I164" s="548" t="str">
        <f t="shared" si="10"/>
        <v/>
      </c>
      <c r="J164" s="695" t="str">
        <f>IF(N164="","",MID(Ingredient_prices!F158,9,2))</f>
        <v/>
      </c>
      <c r="K164" s="692" t="str">
        <f t="shared" si="11"/>
        <v/>
      </c>
      <c r="L164" s="692" t="str">
        <f>IF(N164="","",COUNTIF($P$10:$P$256,"&lt;"&amp;P164)+COUNTIF($P$10:P164,P164))</f>
        <v/>
      </c>
      <c r="M164" s="692" t="str">
        <f>IF(Ingredient_prices!E158=M163,"",Ingredient_prices!E158)</f>
        <v>Beetroot, cooked, pickled</v>
      </c>
      <c r="N164" s="693" t="str">
        <f>_xlfn.IFNA(VLOOKUP($M164,Sedmica_1_količina_sva_sastojak!$C:$F,4,FALSE),"")</f>
        <v/>
      </c>
      <c r="O164" s="696" t="str">
        <f>IF(N164="","",COUNTIF($P$10:$P$256,"&lt;"&amp;P164)+COUNTIF($P$10:P164,P164))</f>
        <v/>
      </c>
      <c r="P164" s="694" t="str">
        <f t="shared" si="12"/>
        <v/>
      </c>
    </row>
    <row r="165" spans="1:16">
      <c r="A165" s="470">
        <v>156</v>
      </c>
      <c r="B165" s="1248" t="str">
        <f>IF($B$8=1,_xlfn.IFNA(VLOOKUP($A165,$L:$N,2,FALSE),""),_xlfn.IFNA(VLOOKUP($A165,Sedmica_2_količina_namirnica!$L:$N,2,FALSE),""))</f>
        <v/>
      </c>
      <c r="C165" s="448" t="str">
        <f>IF($B$8=1,_xlfn.IFNA(VLOOKUP($A165,$L:$N,3,FALSE)-0.0001,""),_xlfn.IFNA(VLOOKUP($A165,Sedmica_2_količina_namirnica!$L:$N,3,FALSE)-0.0001,""))</f>
        <v/>
      </c>
      <c r="D165" s="446" t="str">
        <f>IF(B165="Jaje kokošje, celo",IF(C165=INT(C165),C165,C165+1),IF(B165=""," ",_xlfn.IFNA(INT(C165*1000/(VLOOKUP($B165,Ingredient_prices!$E:$J,6,FALSE)))+1,"nije nabavljen")))</f>
        <v xml:space="preserve"> </v>
      </c>
      <c r="E165" s="446" t="str">
        <f>IF(C165="","",VLOOKUP($B165,Ingredient_prices!$E:$K,7,FALSE))</f>
        <v/>
      </c>
      <c r="F165" s="462" t="str">
        <f>IF(C165="","",IFERROR(IF(OR(E165="кг",E165="л"),VLOOKUP($B165,Ingredient_prices!$E:$V,16,FALSE)*D165,(VLOOKUP($B165,Ingredient_prices!$E:$P,12,FALSE)*D165)),""))</f>
        <v/>
      </c>
      <c r="G165" s="450" t="str">
        <f>IF(C165="","",_xlfn.IFNA(MID(VLOOKUP($B165,Ingredient_prices!$E:$F,2,FALSE),9,2),""))</f>
        <v/>
      </c>
      <c r="H165" s="447" t="str">
        <f>_xlfn.IFNA(VLOOKUP(CONCATENATE($I$9,$G165),Ingredient_prices!$G:$N,8,FALSE),"")</f>
        <v/>
      </c>
      <c r="I165" s="548" t="str">
        <f t="shared" si="10"/>
        <v/>
      </c>
      <c r="J165" s="695" t="str">
        <f>IF(N165="","",MID(Ingredient_prices!F159,9,2))</f>
        <v>2</v>
      </c>
      <c r="K165" s="692">
        <f t="shared" si="11"/>
        <v>11</v>
      </c>
      <c r="L165" s="692">
        <f>IF(N165="","",COUNTIF($P$10:$P$256,"&lt;"&amp;P165)+COUNTIF($P$10:P165,P165))</f>
        <v>16</v>
      </c>
      <c r="M165" s="692" t="str">
        <f>IF(Ingredient_prices!E159=M164,"",Ingredient_prices!E159)</f>
        <v>Tomato puree</v>
      </c>
      <c r="N165" s="693">
        <f>_xlfn.IFNA(VLOOKUP($M165,Sedmica_1_količina_sva_sastojak!$C:$F,4,FALSE),"")</f>
        <v>8.8000000000000007</v>
      </c>
      <c r="O165" s="696">
        <f>IF(N165="","",COUNTIF($P$10:$P$256,"&lt;"&amp;P165)+COUNTIF($P$10:P165,P165))</f>
        <v>16</v>
      </c>
      <c r="P165" s="694">
        <f t="shared" si="12"/>
        <v>211</v>
      </c>
    </row>
    <row r="166" spans="1:16">
      <c r="A166" s="470">
        <v>157</v>
      </c>
      <c r="B166" s="1248" t="str">
        <f>IF($B$8=1,_xlfn.IFNA(VLOOKUP($A166,$L:$N,2,FALSE),""),_xlfn.IFNA(VLOOKUP($A166,Sedmica_2_količina_namirnica!$L:$N,2,FALSE),""))</f>
        <v/>
      </c>
      <c r="C166" s="448" t="str">
        <f>IF($B$8=1,_xlfn.IFNA(VLOOKUP($A166,$L:$N,3,FALSE)-0.0001,""),_xlfn.IFNA(VLOOKUP($A166,Sedmica_2_količina_namirnica!$L:$N,3,FALSE)-0.0001,""))</f>
        <v/>
      </c>
      <c r="D166" s="446" t="str">
        <f>IF(B166="Jaje kokošje, celo",IF(C166=INT(C166),C166,C166+1),IF(B166=""," ",_xlfn.IFNA(INT(C166*1000/(VLOOKUP($B166,Ingredient_prices!$E:$J,6,FALSE)))+1,"nije nabavljen")))</f>
        <v xml:space="preserve"> </v>
      </c>
      <c r="E166" s="446" t="str">
        <f>IF(C166="","",VLOOKUP($B166,Ingredient_prices!$E:$K,7,FALSE))</f>
        <v/>
      </c>
      <c r="F166" s="462" t="str">
        <f>IF(C166="","",IFERROR(IF(OR(E166="кг",E166="л"),VLOOKUP($B166,Ingredient_prices!$E:$V,16,FALSE)*D166,(VLOOKUP($B166,Ingredient_prices!$E:$P,12,FALSE)*D166)),""))</f>
        <v/>
      </c>
      <c r="G166" s="450" t="str">
        <f>IF(C166="","",_xlfn.IFNA(MID(VLOOKUP($B166,Ingredient_prices!$E:$F,2,FALSE),9,2),""))</f>
        <v/>
      </c>
      <c r="H166" s="447" t="str">
        <f>_xlfn.IFNA(VLOOKUP(CONCATENATE($I$9,$G166),Ingredient_prices!$G:$N,8,FALSE),"")</f>
        <v/>
      </c>
      <c r="I166" s="548" t="str">
        <f t="shared" si="10"/>
        <v/>
      </c>
      <c r="J166" s="695" t="str">
        <f>IF(N166="","",MID(Ingredient_prices!F160,9,2))</f>
        <v/>
      </c>
      <c r="K166" s="692" t="str">
        <f t="shared" si="11"/>
        <v/>
      </c>
      <c r="L166" s="692" t="str">
        <f>IF(N166="","",COUNTIF($P$10:$P$256,"&lt;"&amp;P166)+COUNTIF($P$10:P166,P166))</f>
        <v/>
      </c>
      <c r="M166" s="692" t="str">
        <f>IF(Ingredient_prices!E160=M165,"",Ingredient_prices!E160)</f>
        <v>Tomatoes cooked</v>
      </c>
      <c r="N166" s="693" t="str">
        <f>_xlfn.IFNA(VLOOKUP($M166,Sedmica_1_količina_sva_sastojak!$C:$F,4,FALSE),"")</f>
        <v/>
      </c>
      <c r="O166" s="696" t="str">
        <f>IF(N166="","",COUNTIF($P$10:$P$256,"&lt;"&amp;P166)+COUNTIF($P$10:P166,P166))</f>
        <v/>
      </c>
      <c r="P166" s="694" t="str">
        <f t="shared" si="12"/>
        <v/>
      </c>
    </row>
    <row r="167" spans="1:16">
      <c r="A167" s="470">
        <v>158</v>
      </c>
      <c r="B167" s="1248" t="str">
        <f>IF($B$8=1,_xlfn.IFNA(VLOOKUP($A167,$L:$N,2,FALSE),""),_xlfn.IFNA(VLOOKUP($A167,Sedmica_2_količina_namirnica!$L:$N,2,FALSE),""))</f>
        <v/>
      </c>
      <c r="C167" s="448" t="str">
        <f>IF($B$8=1,_xlfn.IFNA(VLOOKUP($A167,$L:$N,3,FALSE)-0.0001,""),_xlfn.IFNA(VLOOKUP($A167,Sedmica_2_količina_namirnica!$L:$N,3,FALSE)-0.0001,""))</f>
        <v/>
      </c>
      <c r="D167" s="446" t="str">
        <f>IF(B167="Jaje kokošje, celo",IF(C167=INT(C167),C167,C167+1),IF(B167=""," ",_xlfn.IFNA(INT(C167*1000/(VLOOKUP($B167,Ingredient_prices!$E:$J,6,FALSE)))+1,"nije nabavljen")))</f>
        <v xml:space="preserve"> </v>
      </c>
      <c r="E167" s="446" t="str">
        <f>IF(C167="","",VLOOKUP($B167,Ingredient_prices!$E:$K,7,FALSE))</f>
        <v/>
      </c>
      <c r="F167" s="462" t="str">
        <f>IF(C167="","",IFERROR(IF(OR(E167="кг",E167="л"),VLOOKUP($B167,Ingredient_prices!$E:$V,16,FALSE)*D167,(VLOOKUP($B167,Ingredient_prices!$E:$P,12,FALSE)*D167)),""))</f>
        <v/>
      </c>
      <c r="G167" s="450" t="str">
        <f>IF(C167="","",_xlfn.IFNA(MID(VLOOKUP($B167,Ingredient_prices!$E:$F,2,FALSE),9,2),""))</f>
        <v/>
      </c>
      <c r="H167" s="447" t="str">
        <f>_xlfn.IFNA(VLOOKUP(CONCATENATE($I$9,$G167),Ingredient_prices!$G:$N,8,FALSE),"")</f>
        <v/>
      </c>
      <c r="I167" s="548" t="str">
        <f t="shared" si="10"/>
        <v/>
      </c>
      <c r="J167" s="695" t="str">
        <f>IF(N167="","",MID(Ingredient_prices!F161,9,2))</f>
        <v/>
      </c>
      <c r="K167" s="692" t="str">
        <f t="shared" si="11"/>
        <v/>
      </c>
      <c r="L167" s="692" t="str">
        <f>IF(N167="","",COUNTIF($P$10:$P$256,"&lt;"&amp;P167)+COUNTIF($P$10:P167,P167))</f>
        <v/>
      </c>
      <c r="M167" s="692" t="str">
        <f>IF(Ingredient_prices!E161=M166,"",Ingredient_prices!E161)</f>
        <v>Ketchup</v>
      </c>
      <c r="N167" s="693" t="str">
        <f>_xlfn.IFNA(VLOOKUP($M167,Sedmica_1_količina_sva_sastojak!$C:$F,4,FALSE),"")</f>
        <v/>
      </c>
      <c r="O167" s="696" t="str">
        <f>IF(N167="","",COUNTIF($P$10:$P$256,"&lt;"&amp;P167)+COUNTIF($P$10:P167,P167))</f>
        <v/>
      </c>
      <c r="P167" s="694" t="str">
        <f t="shared" si="12"/>
        <v/>
      </c>
    </row>
    <row r="168" spans="1:16">
      <c r="A168" s="470">
        <v>159</v>
      </c>
      <c r="B168" s="1248" t="str">
        <f>IF($B$8=1,_xlfn.IFNA(VLOOKUP($A168,$L:$N,2,FALSE),""),_xlfn.IFNA(VLOOKUP($A168,Sedmica_2_količina_namirnica!$L:$N,2,FALSE),""))</f>
        <v/>
      </c>
      <c r="C168" s="448" t="str">
        <f>IF($B$8=1,_xlfn.IFNA(VLOOKUP($A168,$L:$N,3,FALSE)-0.0001,""),_xlfn.IFNA(VLOOKUP($A168,Sedmica_2_količina_namirnica!$L:$N,3,FALSE)-0.0001,""))</f>
        <v/>
      </c>
      <c r="D168" s="446" t="str">
        <f>IF(B168="Jaje kokošje, celo",IF(C168=INT(C168),C168,C168+1),IF(B168=""," ",_xlfn.IFNA(INT(C168*1000/(VLOOKUP($B168,Ingredient_prices!$E:$J,6,FALSE)))+1,"nije nabavljen")))</f>
        <v xml:space="preserve"> </v>
      </c>
      <c r="E168" s="446" t="str">
        <f>IF(C168="","",VLOOKUP($B168,Ingredient_prices!$E:$K,7,FALSE))</f>
        <v/>
      </c>
      <c r="F168" s="462" t="str">
        <f>IF(C168="","",IFERROR(IF(OR(E168="кг",E168="л"),VLOOKUP($B168,Ingredient_prices!$E:$V,16,FALSE)*D168,(VLOOKUP($B168,Ingredient_prices!$E:$P,12,FALSE)*D168)),""))</f>
        <v/>
      </c>
      <c r="G168" s="450" t="str">
        <f>IF(C168="","",_xlfn.IFNA(MID(VLOOKUP($B168,Ingredient_prices!$E:$F,2,FALSE),9,2),""))</f>
        <v/>
      </c>
      <c r="H168" s="447" t="str">
        <f>_xlfn.IFNA(VLOOKUP(CONCATENATE($I$9,$G168),Ingredient_prices!$G:$N,8,FALSE),"")</f>
        <v/>
      </c>
      <c r="I168" s="548" t="str">
        <f t="shared" si="10"/>
        <v/>
      </c>
      <c r="J168" s="695" t="str">
        <f>IF(N168="","",MID(Ingredient_prices!F162,9,2))</f>
        <v/>
      </c>
      <c r="K168" s="692" t="str">
        <f t="shared" si="11"/>
        <v/>
      </c>
      <c r="L168" s="692" t="str">
        <f>IF(N168="","",COUNTIF($P$10:$P$256,"&lt;"&amp;P168)+COUNTIF($P$10:P168,P168))</f>
        <v/>
      </c>
      <c r="M168" s="692" t="str">
        <f>IF(Ingredient_prices!E162=M167,"",Ingredient_prices!E162)</f>
        <v>Yeast (fresh)</v>
      </c>
      <c r="N168" s="693" t="str">
        <f>_xlfn.IFNA(VLOOKUP($M168,Sedmica_1_količina_sva_sastojak!$C:$F,4,FALSE),"")</f>
        <v/>
      </c>
      <c r="O168" s="696" t="str">
        <f>IF(N168="","",COUNTIF($P$10:$P$256,"&lt;"&amp;P168)+COUNTIF($P$10:P168,P168))</f>
        <v/>
      </c>
      <c r="P168" s="694" t="str">
        <f t="shared" si="12"/>
        <v/>
      </c>
    </row>
    <row r="169" spans="1:16">
      <c r="A169" s="470">
        <v>160</v>
      </c>
      <c r="B169" s="1248" t="str">
        <f>IF($B$8=1,_xlfn.IFNA(VLOOKUP($A169,$L:$N,2,FALSE),""),_xlfn.IFNA(VLOOKUP($A169,Sedmica_2_količina_namirnica!$L:$N,2,FALSE),""))</f>
        <v/>
      </c>
      <c r="C169" s="448" t="str">
        <f>IF($B$8=1,_xlfn.IFNA(VLOOKUP($A169,$L:$N,3,FALSE)-0.0001,""),_xlfn.IFNA(VLOOKUP($A169,Sedmica_2_količina_namirnica!$L:$N,3,FALSE)-0.0001,""))</f>
        <v/>
      </c>
      <c r="D169" s="446" t="str">
        <f>IF(B169="Jaje kokošje, celo",IF(C169=INT(C169),C169,C169+1),IF(B169=""," ",_xlfn.IFNA(INT(C169*1000/(VLOOKUP($B169,Ingredient_prices!$E:$J,6,FALSE)))+1,"nije nabavljen")))</f>
        <v xml:space="preserve"> </v>
      </c>
      <c r="E169" s="446" t="str">
        <f>IF(C169="","",VLOOKUP($B169,Ingredient_prices!$E:$K,7,FALSE))</f>
        <v/>
      </c>
      <c r="F169" s="462" t="str">
        <f>IF(C169="","",IFERROR(IF(OR(E169="кг",E169="л"),VLOOKUP($B169,Ingredient_prices!$E:$V,16,FALSE)*D169,(VLOOKUP($B169,Ingredient_prices!$E:$P,12,FALSE)*D169)),""))</f>
        <v/>
      </c>
      <c r="G169" s="450" t="str">
        <f>IF(C169="","",_xlfn.IFNA(MID(VLOOKUP($B169,Ingredient_prices!$E:$F,2,FALSE),9,2),""))</f>
        <v/>
      </c>
      <c r="H169" s="447" t="str">
        <f>_xlfn.IFNA(VLOOKUP(CONCATENATE($I$9,$G169),Ingredient_prices!$G:$N,8,FALSE),"")</f>
        <v/>
      </c>
      <c r="I169" s="548" t="str">
        <f t="shared" si="10"/>
        <v/>
      </c>
      <c r="J169" s="695" t="str">
        <f>IF(N169="","",MID(Ingredient_prices!F163,9,2))</f>
        <v/>
      </c>
      <c r="K169" s="692" t="str">
        <f t="shared" si="11"/>
        <v/>
      </c>
      <c r="L169" s="692" t="str">
        <f>IF(N169="","",COUNTIF($P$10:$P$256,"&lt;"&amp;P169)+COUNTIF($P$10:P169,P169))</f>
        <v/>
      </c>
      <c r="M169" s="692" t="str">
        <f>IF(Ingredient_prices!E163=M168,"",Ingredient_prices!E163)</f>
        <v>Fish fingers</v>
      </c>
      <c r="N169" s="693" t="str">
        <f>_xlfn.IFNA(VLOOKUP($M169,Sedmica_1_količina_sva_sastojak!$C:$F,4,FALSE),"")</f>
        <v/>
      </c>
      <c r="O169" s="696" t="str">
        <f>IF(N169="","",COUNTIF($P$10:$P$256,"&lt;"&amp;P169)+COUNTIF($P$10:P169,P169))</f>
        <v/>
      </c>
      <c r="P169" s="694" t="str">
        <f t="shared" si="12"/>
        <v/>
      </c>
    </row>
    <row r="170" spans="1:16">
      <c r="A170" s="470">
        <v>161</v>
      </c>
      <c r="B170" s="1248" t="str">
        <f>IF($B$8=1,_xlfn.IFNA(VLOOKUP($A170,$L:$N,2,FALSE),""),_xlfn.IFNA(VLOOKUP($A170,Sedmica_2_količina_namirnica!$L:$N,2,FALSE),""))</f>
        <v/>
      </c>
      <c r="C170" s="448" t="str">
        <f>IF($B$8=1,_xlfn.IFNA(VLOOKUP($A170,$L:$N,3,FALSE)-0.0001,""),_xlfn.IFNA(VLOOKUP($A170,Sedmica_2_količina_namirnica!$L:$N,3,FALSE)-0.0001,""))</f>
        <v/>
      </c>
      <c r="D170" s="446" t="str">
        <f>IF(B170="Jaje kokošje, celo",IF(C170=INT(C170),C170,C170+1),IF(B170=""," ",_xlfn.IFNA(INT(C170*1000/(VLOOKUP($B170,Ingredient_prices!$E:$J,6,FALSE)))+1,"nije nabavljen")))</f>
        <v xml:space="preserve"> </v>
      </c>
      <c r="E170" s="446" t="str">
        <f>IF(C170="","",VLOOKUP($B170,Ingredient_prices!$E:$K,7,FALSE))</f>
        <v/>
      </c>
      <c r="F170" s="462" t="str">
        <f>IF(C170="","",IFERROR(IF(OR(E170="кг",E170="л"),VLOOKUP($B170,Ingredient_prices!$E:$V,16,FALSE)*D170,(VLOOKUP($B170,Ingredient_prices!$E:$P,12,FALSE)*D170)),""))</f>
        <v/>
      </c>
      <c r="G170" s="450" t="str">
        <f>IF(C170="","",_xlfn.IFNA(MID(VLOOKUP($B170,Ingredient_prices!$E:$F,2,FALSE),9,2),""))</f>
        <v/>
      </c>
      <c r="H170" s="447" t="str">
        <f>_xlfn.IFNA(VLOOKUP(CONCATENATE($I$9,$G170),Ingredient_prices!$G:$N,8,FALSE),"")</f>
        <v/>
      </c>
      <c r="I170" s="548" t="str">
        <f t="shared" si="10"/>
        <v/>
      </c>
      <c r="J170" s="695" t="str">
        <f>IF(N170="","",MID(Ingredient_prices!F164,9,2))</f>
        <v/>
      </c>
      <c r="K170" s="692" t="str">
        <f t="shared" si="11"/>
        <v/>
      </c>
      <c r="L170" s="692" t="str">
        <f>IF(N170="","",COUNTIF($P$10:$P$256,"&lt;"&amp;P170)+COUNTIF($P$10:P170,P170))</f>
        <v/>
      </c>
      <c r="M170" s="692" t="str">
        <f>IF(Ingredient_prices!E164=M169,"",Ingredient_prices!E164)</f>
        <v>Catfish</v>
      </c>
      <c r="N170" s="693" t="str">
        <f>_xlfn.IFNA(VLOOKUP($M170,Sedmica_1_količina_sva_sastojak!$C:$F,4,FALSE),"")</f>
        <v/>
      </c>
      <c r="O170" s="696" t="str">
        <f>IF(N170="","",COUNTIF($P$10:$P$256,"&lt;"&amp;P170)+COUNTIF($P$10:P170,P170))</f>
        <v/>
      </c>
      <c r="P170" s="694" t="str">
        <f t="shared" si="12"/>
        <v/>
      </c>
    </row>
    <row r="171" spans="1:16">
      <c r="A171" s="470">
        <v>162</v>
      </c>
      <c r="B171" s="1248" t="str">
        <f>IF($B$8=1,_xlfn.IFNA(VLOOKUP($A171,$L:$N,2,FALSE),""),_xlfn.IFNA(VLOOKUP($A171,Sedmica_2_količina_namirnica!$L:$N,2,FALSE),""))</f>
        <v/>
      </c>
      <c r="C171" s="448" t="str">
        <f>IF($B$8=1,_xlfn.IFNA(VLOOKUP($A171,$L:$N,3,FALSE)-0.0001,""),_xlfn.IFNA(VLOOKUP($A171,Sedmica_2_količina_namirnica!$L:$N,3,FALSE)-0.0001,""))</f>
        <v/>
      </c>
      <c r="D171" s="446" t="str">
        <f>IF(B171="Jaje kokošje, celo",IF(C171=INT(C171),C171,C171+1),IF(B171=""," ",_xlfn.IFNA(INT(C171*1000/(VLOOKUP($B171,Ingredient_prices!$E:$J,6,FALSE)))+1,"nije nabavljen")))</f>
        <v xml:space="preserve"> </v>
      </c>
      <c r="E171" s="446" t="str">
        <f>IF(C171="","",VLOOKUP($B171,Ingredient_prices!$E:$K,7,FALSE))</f>
        <v/>
      </c>
      <c r="F171" s="462" t="str">
        <f>IF(C171="","",IFERROR(IF(OR(E171="кг",E171="л"),VLOOKUP($B171,Ingredient_prices!$E:$V,16,FALSE)*D171,(VLOOKUP($B171,Ingredient_prices!$E:$P,12,FALSE)*D171)),""))</f>
        <v/>
      </c>
      <c r="G171" s="450" t="str">
        <f>IF(C171="","",_xlfn.IFNA(MID(VLOOKUP($B171,Ingredient_prices!$E:$F,2,FALSE),9,2),""))</f>
        <v/>
      </c>
      <c r="H171" s="447" t="str">
        <f>_xlfn.IFNA(VLOOKUP(CONCATENATE($I$9,$G171),Ingredient_prices!$G:$N,8,FALSE),"")</f>
        <v/>
      </c>
      <c r="I171" s="548" t="str">
        <f t="shared" ref="I171:I234" si="13">IFERROR(IF(MOD(D171,1)&gt;0.5,1+D171-MOD(D171,1),D171-MOD(D171,1)),"")</f>
        <v/>
      </c>
      <c r="J171" s="695" t="str">
        <f>IF(N171="","",MID(Ingredient_prices!F165,9,2))</f>
        <v/>
      </c>
      <c r="K171" s="692" t="str">
        <f t="shared" si="11"/>
        <v/>
      </c>
      <c r="L171" s="692" t="str">
        <f>IF(N171="","",COUNTIF($P$10:$P$256,"&lt;"&amp;P171)+COUNTIF($P$10:P171,P171))</f>
        <v/>
      </c>
      <c r="M171" s="692" t="str">
        <f>IF(Ingredient_prices!E165=M170,"",Ingredient_prices!E165)</f>
        <v>Mayonnaise, plain</v>
      </c>
      <c r="N171" s="693" t="str">
        <f>_xlfn.IFNA(VLOOKUP($M171,Sedmica_1_količina_sva_sastojak!$C:$F,4,FALSE),"")</f>
        <v/>
      </c>
      <c r="O171" s="696" t="str">
        <f>IF(N171="","",COUNTIF($P$10:$P$256,"&lt;"&amp;P171)+COUNTIF($P$10:P171,P171))</f>
        <v/>
      </c>
      <c r="P171" s="694" t="str">
        <f t="shared" si="12"/>
        <v/>
      </c>
    </row>
    <row r="172" spans="1:16">
      <c r="A172" s="470">
        <v>163</v>
      </c>
      <c r="B172" s="1248" t="str">
        <f>IF($B$8=1,_xlfn.IFNA(VLOOKUP($A172,$L:$N,2,FALSE),""),_xlfn.IFNA(VLOOKUP($A172,Sedmica_2_količina_namirnica!$L:$N,2,FALSE),""))</f>
        <v/>
      </c>
      <c r="C172" s="448" t="str">
        <f>IF($B$8=1,_xlfn.IFNA(VLOOKUP($A172,$L:$N,3,FALSE)-0.0001,""),_xlfn.IFNA(VLOOKUP($A172,Sedmica_2_količina_namirnica!$L:$N,3,FALSE)-0.0001,""))</f>
        <v/>
      </c>
      <c r="D172" s="446" t="str">
        <f>IF(B172="Jaje kokošje, celo",IF(C172=INT(C172),C172,C172+1),IF(B172=""," ",_xlfn.IFNA(INT(C172*1000/(VLOOKUP($B172,Ingredient_prices!$E:$J,6,FALSE)))+1,"nije nabavljen")))</f>
        <v xml:space="preserve"> </v>
      </c>
      <c r="E172" s="446" t="str">
        <f>IF(C172="","",VLOOKUP($B172,Ingredient_prices!$E:$K,7,FALSE))</f>
        <v/>
      </c>
      <c r="F172" s="462" t="str">
        <f>IF(C172="","",IFERROR(IF(OR(E172="кг",E172="л"),VLOOKUP($B172,Ingredient_prices!$E:$V,16,FALSE)*D172,(VLOOKUP($B172,Ingredient_prices!$E:$P,12,FALSE)*D172)),""))</f>
        <v/>
      </c>
      <c r="G172" s="450" t="str">
        <f>IF(C172="","",_xlfn.IFNA(MID(VLOOKUP($B172,Ingredient_prices!$E:$F,2,FALSE),9,2),""))</f>
        <v/>
      </c>
      <c r="H172" s="447" t="str">
        <f>_xlfn.IFNA(VLOOKUP(CONCATENATE($I$9,$G172),Ingredient_prices!$G:$N,8,FALSE),"")</f>
        <v/>
      </c>
      <c r="I172" s="548" t="str">
        <f t="shared" si="13"/>
        <v/>
      </c>
      <c r="J172" s="695" t="str">
        <f>IF(N172="","",MID(Ingredient_prices!F166,9,2))</f>
        <v/>
      </c>
      <c r="K172" s="692" t="str">
        <f t="shared" si="11"/>
        <v/>
      </c>
      <c r="L172" s="692" t="str">
        <f>IF(N172="","",COUNTIF($P$10:$P$256,"&lt;"&amp;P172)+COUNTIF($P$10:P172,P172))</f>
        <v/>
      </c>
      <c r="M172" s="692" t="str">
        <f>IF(Ingredient_prices!E166=M171,"",Ingredient_prices!E166)</f>
        <v>Celery root</v>
      </c>
      <c r="N172" s="693" t="str">
        <f>_xlfn.IFNA(VLOOKUP($M172,Sedmica_1_količina_sva_sastojak!$C:$F,4,FALSE),"")</f>
        <v/>
      </c>
      <c r="O172" s="696" t="str">
        <f>IF(N172="","",COUNTIF($P$10:$P$256,"&lt;"&amp;P172)+COUNTIF($P$10:P172,P172))</f>
        <v/>
      </c>
      <c r="P172" s="694" t="str">
        <f t="shared" si="12"/>
        <v/>
      </c>
    </row>
    <row r="173" spans="1:16">
      <c r="A173" s="470">
        <v>164</v>
      </c>
      <c r="B173" s="1248" t="str">
        <f>IF($B$8=1,_xlfn.IFNA(VLOOKUP($A173,$L:$N,2,FALSE),""),_xlfn.IFNA(VLOOKUP($A173,Sedmica_2_količina_namirnica!$L:$N,2,FALSE),""))</f>
        <v/>
      </c>
      <c r="C173" s="448" t="str">
        <f>IF($B$8=1,_xlfn.IFNA(VLOOKUP($A173,$L:$N,3,FALSE)-0.0001,""),_xlfn.IFNA(VLOOKUP($A173,Sedmica_2_količina_namirnica!$L:$N,3,FALSE)-0.0001,""))</f>
        <v/>
      </c>
      <c r="D173" s="446" t="str">
        <f>IF(B173="Jaje kokošje, celo",IF(C173=INT(C173),C173,C173+1),IF(B173=""," ",_xlfn.IFNA(INT(C173*1000/(VLOOKUP($B173,Ingredient_prices!$E:$J,6,FALSE)))+1,"nije nabavljen")))</f>
        <v xml:space="preserve"> </v>
      </c>
      <c r="E173" s="446" t="str">
        <f>IF(C173="","",VLOOKUP($B173,Ingredient_prices!$E:$K,7,FALSE))</f>
        <v/>
      </c>
      <c r="F173" s="462" t="str">
        <f>IF(C173="","",IFERROR(IF(OR(E173="кг",E173="л"),VLOOKUP($B173,Ingredient_prices!$E:$V,16,FALSE)*D173,(VLOOKUP($B173,Ingredient_prices!$E:$P,12,FALSE)*D173)),""))</f>
        <v/>
      </c>
      <c r="G173" s="450" t="str">
        <f>IF(C173="","",_xlfn.IFNA(MID(VLOOKUP($B173,Ingredient_prices!$E:$F,2,FALSE),9,2),""))</f>
        <v/>
      </c>
      <c r="H173" s="447" t="str">
        <f>_xlfn.IFNA(VLOOKUP(CONCATENATE($I$9,$G173),Ingredient_prices!$G:$N,8,FALSE),"")</f>
        <v/>
      </c>
      <c r="I173" s="548" t="str">
        <f t="shared" si="13"/>
        <v/>
      </c>
      <c r="J173" s="695" t="str">
        <f>IF(N173="","",MID(Ingredient_prices!F167,9,2))</f>
        <v/>
      </c>
      <c r="K173" s="692" t="str">
        <f t="shared" si="11"/>
        <v/>
      </c>
      <c r="L173" s="692" t="str">
        <f>IF(N173="","",COUNTIF($P$10:$P$256,"&lt;"&amp;P173)+COUNTIF($P$10:P173,P173))</f>
        <v/>
      </c>
      <c r="M173" s="692" t="str">
        <f>IF(Ingredient_prices!E167=M172,"",Ingredient_prices!E167)</f>
        <v>Meal supplement/Vegeta</v>
      </c>
      <c r="N173" s="693" t="str">
        <f>_xlfn.IFNA(VLOOKUP($M173,Sedmica_1_količina_sva_sastojak!$C:$F,4,FALSE),"")</f>
        <v/>
      </c>
      <c r="O173" s="696" t="str">
        <f>IF(N173="","",COUNTIF($P$10:$P$256,"&lt;"&amp;P173)+COUNTIF($P$10:P173,P173))</f>
        <v/>
      </c>
      <c r="P173" s="694" t="str">
        <f t="shared" si="12"/>
        <v/>
      </c>
    </row>
    <row r="174" spans="1:16">
      <c r="A174" s="470">
        <v>165</v>
      </c>
      <c r="B174" s="1248" t="str">
        <f>IF($B$8=1,_xlfn.IFNA(VLOOKUP($A174,$L:$N,2,FALSE),""),_xlfn.IFNA(VLOOKUP($A174,Sedmica_2_količina_namirnica!$L:$N,2,FALSE),""))</f>
        <v/>
      </c>
      <c r="C174" s="448" t="str">
        <f>IF($B$8=1,_xlfn.IFNA(VLOOKUP($A174,$L:$N,3,FALSE)-0.0001,""),_xlfn.IFNA(VLOOKUP($A174,Sedmica_2_količina_namirnica!$L:$N,3,FALSE)-0.0001,""))</f>
        <v/>
      </c>
      <c r="D174" s="446" t="str">
        <f>IF(B174="Jaje kokošje, celo",IF(C174=INT(C174),C174,C174+1),IF(B174=""," ",_xlfn.IFNA(INT(C174*1000/(VLOOKUP($B174,Ingredient_prices!$E:$J,6,FALSE)))+1,"nije nabavljen")))</f>
        <v xml:space="preserve"> </v>
      </c>
      <c r="E174" s="446" t="str">
        <f>IF(C174="","",VLOOKUP($B174,Ingredient_prices!$E:$K,7,FALSE))</f>
        <v/>
      </c>
      <c r="F174" s="462" t="str">
        <f>IF(C174="","",IFERROR(IF(OR(E174="кг",E174="л"),VLOOKUP($B174,Ingredient_prices!$E:$V,16,FALSE)*D174,(VLOOKUP($B174,Ingredient_prices!$E:$P,12,FALSE)*D174)),""))</f>
        <v/>
      </c>
      <c r="G174" s="450" t="str">
        <f>IF(C174="","",_xlfn.IFNA(MID(VLOOKUP($B174,Ingredient_prices!$E:$F,2,FALSE),9,2),""))</f>
        <v/>
      </c>
      <c r="H174" s="447" t="str">
        <f>_xlfn.IFNA(VLOOKUP(CONCATENATE($I$9,$G174),Ingredient_prices!$G:$N,8,FALSE),"")</f>
        <v/>
      </c>
      <c r="I174" s="548" t="str">
        <f t="shared" si="13"/>
        <v/>
      </c>
      <c r="J174" s="695" t="str">
        <f>IF(N174="","",MID(Ingredient_prices!F168,9,2))</f>
        <v/>
      </c>
      <c r="K174" s="692" t="str">
        <f t="shared" si="11"/>
        <v/>
      </c>
      <c r="L174" s="692" t="str">
        <f>IF(N174="","",COUNTIF($P$10:$P$256,"&lt;"&amp;P174)+COUNTIF($P$10:P174,P174))</f>
        <v/>
      </c>
      <c r="M174" s="692" t="str">
        <f>IF(Ingredient_prices!E168=M173,"",Ingredient_prices!E168)</f>
        <v>Chickpeas</v>
      </c>
      <c r="N174" s="693" t="str">
        <f>_xlfn.IFNA(VLOOKUP($M174,Sedmica_1_količina_sva_sastojak!$C:$F,4,FALSE),"")</f>
        <v/>
      </c>
      <c r="O174" s="696" t="str">
        <f>IF(N174="","",COUNTIF($P$10:$P$256,"&lt;"&amp;P174)+COUNTIF($P$10:P174,P174))</f>
        <v/>
      </c>
      <c r="P174" s="694" t="str">
        <f t="shared" si="12"/>
        <v/>
      </c>
    </row>
    <row r="175" spans="1:16">
      <c r="A175" s="470">
        <v>166</v>
      </c>
      <c r="B175" s="1248" t="str">
        <f>IF($B$8=1,_xlfn.IFNA(VLOOKUP($A175,$L:$N,2,FALSE),""),_xlfn.IFNA(VLOOKUP($A175,Sedmica_2_količina_namirnica!$L:$N,2,FALSE),""))</f>
        <v/>
      </c>
      <c r="C175" s="448" t="str">
        <f>IF($B$8=1,_xlfn.IFNA(VLOOKUP($A175,$L:$N,3,FALSE)-0.0001,""),_xlfn.IFNA(VLOOKUP($A175,Sedmica_2_količina_namirnica!$L:$N,3,FALSE)-0.0001,""))</f>
        <v/>
      </c>
      <c r="D175" s="446" t="str">
        <f>IF(B175="Jaje kokošje, celo",IF(C175=INT(C175),C175,C175+1),IF(B175=""," ",_xlfn.IFNA(INT(C175*1000/(VLOOKUP($B175,Ingredient_prices!$E:$J,6,FALSE)))+1,"nije nabavljen")))</f>
        <v xml:space="preserve"> </v>
      </c>
      <c r="E175" s="446" t="str">
        <f>IF(C175="","",VLOOKUP($B175,Ingredient_prices!$E:$K,7,FALSE))</f>
        <v/>
      </c>
      <c r="F175" s="462" t="str">
        <f>IF(C175="","",IFERROR(IF(OR(E175="кг",E175="л"),VLOOKUP($B175,Ingredient_prices!$E:$V,16,FALSE)*D175,(VLOOKUP($B175,Ingredient_prices!$E:$P,12,FALSE)*D175)),""))</f>
        <v/>
      </c>
      <c r="G175" s="450" t="str">
        <f>IF(C175="","",_xlfn.IFNA(MID(VLOOKUP($B175,Ingredient_prices!$E:$F,2,FALSE),9,2),""))</f>
        <v/>
      </c>
      <c r="H175" s="447" t="str">
        <f>_xlfn.IFNA(VLOOKUP(CONCATENATE($I$9,$G175),Ingredient_prices!$G:$N,8,FALSE),"")</f>
        <v/>
      </c>
      <c r="I175" s="548" t="str">
        <f t="shared" si="13"/>
        <v/>
      </c>
      <c r="J175" s="695" t="str">
        <f>IF(N175="","",MID(Ingredient_prices!F169,9,2))</f>
        <v/>
      </c>
      <c r="K175" s="692" t="str">
        <f t="shared" si="11"/>
        <v/>
      </c>
      <c r="L175" s="692" t="str">
        <f>IF(N175="","",COUNTIF($P$10:$P$256,"&lt;"&amp;P175)+COUNTIF($P$10:P175,P175))</f>
        <v/>
      </c>
      <c r="M175" s="692" t="str">
        <f>IF(Ingredient_prices!E169=M174,"",Ingredient_prices!E169)</f>
        <v>Barley</v>
      </c>
      <c r="N175" s="693" t="str">
        <f>_xlfn.IFNA(VLOOKUP($M175,Sedmica_1_količina_sva_sastojak!$C:$F,4,FALSE),"")</f>
        <v/>
      </c>
      <c r="O175" s="696" t="str">
        <f>IF(N175="","",COUNTIF($P$10:$P$256,"&lt;"&amp;P175)+COUNTIF($P$10:P175,P175))</f>
        <v/>
      </c>
      <c r="P175" s="694" t="str">
        <f t="shared" si="12"/>
        <v/>
      </c>
    </row>
    <row r="176" spans="1:16">
      <c r="A176" s="470">
        <v>167</v>
      </c>
      <c r="B176" s="1248" t="str">
        <f>IF($B$8=1,_xlfn.IFNA(VLOOKUP($A176,$L:$N,2,FALSE),""),_xlfn.IFNA(VLOOKUP($A176,Sedmica_2_količina_namirnica!$L:$N,2,FALSE),""))</f>
        <v/>
      </c>
      <c r="C176" s="448" t="str">
        <f>IF($B$8=1,_xlfn.IFNA(VLOOKUP($A176,$L:$N,3,FALSE)-0.0001,""),_xlfn.IFNA(VLOOKUP($A176,Sedmica_2_količina_namirnica!$L:$N,3,FALSE)-0.0001,""))</f>
        <v/>
      </c>
      <c r="D176" s="446" t="str">
        <f>IF(B176="Jaje kokošje, celo",IF(C176=INT(C176),C176,C176+1),IF(B176=""," ",_xlfn.IFNA(INT(C176*1000/(VLOOKUP($B176,Ingredient_prices!$E:$J,6,FALSE)))+1,"nije nabavljen")))</f>
        <v xml:space="preserve"> </v>
      </c>
      <c r="E176" s="446" t="str">
        <f>IF(C176="","",VLOOKUP($B176,Ingredient_prices!$E:$K,7,FALSE))</f>
        <v/>
      </c>
      <c r="F176" s="462" t="str">
        <f>IF(C176="","",IFERROR(IF(OR(E176="кг",E176="л"),VLOOKUP($B176,Ingredient_prices!$E:$V,16,FALSE)*D176,(VLOOKUP($B176,Ingredient_prices!$E:$P,12,FALSE)*D176)),""))</f>
        <v/>
      </c>
      <c r="G176" s="450" t="str">
        <f>IF(C176="","",_xlfn.IFNA(MID(VLOOKUP($B176,Ingredient_prices!$E:$F,2,FALSE),9,2),""))</f>
        <v/>
      </c>
      <c r="H176" s="447" t="str">
        <f>_xlfn.IFNA(VLOOKUP(CONCATENATE($I$9,$G176),Ingredient_prices!$G:$N,8,FALSE),"")</f>
        <v/>
      </c>
      <c r="I176" s="548" t="str">
        <f t="shared" si="13"/>
        <v/>
      </c>
      <c r="J176" s="695" t="str">
        <f>IF(N176="","",MID(Ingredient_prices!F170,9,2))</f>
        <v>2</v>
      </c>
      <c r="K176" s="692">
        <f t="shared" si="11"/>
        <v>7</v>
      </c>
      <c r="L176" s="692">
        <f>IF(N176="","",COUNTIF($P$10:$P$256,"&lt;"&amp;P176)+COUNTIF($P$10:P176,P176))</f>
        <v>12</v>
      </c>
      <c r="M176" s="692" t="str">
        <f>IF(Ingredient_prices!E170=M175,"",Ingredient_prices!E170)</f>
        <v>Lentils</v>
      </c>
      <c r="N176" s="693">
        <f>_xlfn.IFNA(VLOOKUP($M176,Sedmica_1_količina_sva_sastojak!$C:$F,4,FALSE),"")</f>
        <v>13.2</v>
      </c>
      <c r="O176" s="696">
        <f>IF(N176="","",COUNTIF($P$10:$P$256,"&lt;"&amp;P176)+COUNTIF($P$10:P176,P176))</f>
        <v>12</v>
      </c>
      <c r="P176" s="694">
        <f t="shared" si="12"/>
        <v>27</v>
      </c>
    </row>
    <row r="177" spans="1:17">
      <c r="A177" s="470">
        <v>168</v>
      </c>
      <c r="B177" s="1248" t="str">
        <f>IF($B$8=1,_xlfn.IFNA(VLOOKUP($A177,$L:$N,2,FALSE),""),_xlfn.IFNA(VLOOKUP($A177,Sedmica_2_količina_namirnica!$L:$N,2,FALSE),""))</f>
        <v/>
      </c>
      <c r="C177" s="448" t="str">
        <f>IF($B$8=1,_xlfn.IFNA(VLOOKUP($A177,$L:$N,3,FALSE)-0.0001,""),_xlfn.IFNA(VLOOKUP($A177,Sedmica_2_količina_namirnica!$L:$N,3,FALSE)-0.0001,""))</f>
        <v/>
      </c>
      <c r="D177" s="446" t="str">
        <f>IF(B177="Jaje kokošje, celo",IF(C177=INT(C177),C177,C177+1),IF(B177=""," ",_xlfn.IFNA(INT(C177*1000/(VLOOKUP($B177,Ingredient_prices!$E:$J,6,FALSE)))+1,"nije nabavljen")))</f>
        <v xml:space="preserve"> </v>
      </c>
      <c r="E177" s="446" t="str">
        <f>IF(C177="","",VLOOKUP($B177,Ingredient_prices!$E:$K,7,FALSE))</f>
        <v/>
      </c>
      <c r="F177" s="462" t="str">
        <f>IF(C177="","",IFERROR(IF(OR(E177="кг",E177="л"),VLOOKUP($B177,Ingredient_prices!$E:$V,16,FALSE)*D177,(VLOOKUP($B177,Ingredient_prices!$E:$P,12,FALSE)*D177)),""))</f>
        <v/>
      </c>
      <c r="G177" s="450" t="str">
        <f>IF(C177="","",_xlfn.IFNA(MID(VLOOKUP($B177,Ingredient_prices!$E:$F,2,FALSE),9,2),""))</f>
        <v/>
      </c>
      <c r="H177" s="447" t="str">
        <f>_xlfn.IFNA(VLOOKUP(CONCATENATE($I$9,$G177),Ingredient_prices!$G:$N,8,FALSE),"")</f>
        <v/>
      </c>
      <c r="I177" s="548" t="str">
        <f t="shared" si="13"/>
        <v/>
      </c>
      <c r="J177" s="695" t="str">
        <f>IF(N177="","",MID(Ingredient_prices!F171,9,2))</f>
        <v>2</v>
      </c>
      <c r="K177" s="692">
        <f t="shared" si="11"/>
        <v>34</v>
      </c>
      <c r="L177" s="692">
        <f>IF(N177="","",COUNTIF($P$10:$P$256,"&lt;"&amp;P177)+COUNTIF($P$10:P177,P177))</f>
        <v>39</v>
      </c>
      <c r="M177" s="692" t="str">
        <f>IF(Ingredient_prices!E171=M176,"",Ingredient_prices!E171)</f>
        <v>Garlic</v>
      </c>
      <c r="N177" s="693">
        <f>_xlfn.IFNA(VLOOKUP($M177,Sedmica_1_količina_sva_sastojak!$C:$F,4,FALSE),"")</f>
        <v>0.3666666666666667</v>
      </c>
      <c r="O177" s="696">
        <f>IF(N177="","",COUNTIF($P$10:$P$256,"&lt;"&amp;P177)+COUNTIF($P$10:P177,P177))</f>
        <v>39</v>
      </c>
      <c r="P177" s="694">
        <f t="shared" si="12"/>
        <v>234</v>
      </c>
    </row>
    <row r="178" spans="1:17" s="445" customFormat="1">
      <c r="A178" s="470">
        <v>169</v>
      </c>
      <c r="B178" s="1248" t="str">
        <f>IF($B$8=1,_xlfn.IFNA(VLOOKUP($A178,$L:$N,2,FALSE),""),_xlfn.IFNA(VLOOKUP($A178,Sedmica_2_količina_namirnica!$L:$N,2,FALSE),""))</f>
        <v/>
      </c>
      <c r="C178" s="448" t="str">
        <f>IF($B$8=1,_xlfn.IFNA(VLOOKUP($A178,$L:$N,3,FALSE)-0.0001,""),_xlfn.IFNA(VLOOKUP($A178,Sedmica_2_količina_namirnica!$L:$N,3,FALSE)-0.0001,""))</f>
        <v/>
      </c>
      <c r="D178" s="446" t="str">
        <f>IF(B178="Jaje kokošje, celo",IF(C178=INT(C178),C178,C178+1),IF(B178=""," ",_xlfn.IFNA(INT(C178*1000/(VLOOKUP($B178,Ingredient_prices!$E:$J,6,FALSE)))+1,"nije nabavljen")))</f>
        <v xml:space="preserve"> </v>
      </c>
      <c r="E178" s="446" t="str">
        <f>IF(C178="","",VLOOKUP($B178,Ingredient_prices!$E:$K,7,FALSE))</f>
        <v/>
      </c>
      <c r="F178" s="462" t="str">
        <f>IF(C178="","",IFERROR(IF(OR(E178="кг",E178="л"),VLOOKUP($B178,Ingredient_prices!$E:$V,16,FALSE)*D178,(VLOOKUP($B178,Ingredient_prices!$E:$P,12,FALSE)*D178)),""))</f>
        <v/>
      </c>
      <c r="G178" s="450" t="str">
        <f>IF(C178="","",_xlfn.IFNA(MID(VLOOKUP($B178,Ingredient_prices!$E:$F,2,FALSE),9,2),""))</f>
        <v/>
      </c>
      <c r="H178" s="447" t="str">
        <f>_xlfn.IFNA(VLOOKUP(CONCATENATE($I$9,$G178),Ingredient_prices!$G:$N,8,FALSE),"")</f>
        <v/>
      </c>
      <c r="I178" s="548" t="str">
        <f t="shared" si="13"/>
        <v/>
      </c>
      <c r="J178" s="695" t="str">
        <f>IF(N178="","",MID(Ingredient_prices!F172,9,2))</f>
        <v/>
      </c>
      <c r="K178" s="692" t="str">
        <f t="shared" si="11"/>
        <v/>
      </c>
      <c r="L178" s="692" t="str">
        <f>IF(N178="","",COUNTIF($P$10:$P$256,"&lt;"&amp;P178)+COUNTIF($P$10:P178,P178))</f>
        <v/>
      </c>
      <c r="M178" s="692" t="str">
        <f>IF(Ingredient_prices!E172=M177,"",Ingredient_prices!E172)</f>
        <v>Cheese, hard, grated</v>
      </c>
      <c r="N178" s="693" t="str">
        <f>_xlfn.IFNA(VLOOKUP($M178,Sedmica_1_količina_sva_sastojak!$C:$F,4,FALSE),"")</f>
        <v/>
      </c>
      <c r="O178" s="696" t="str">
        <f>IF(N178="","",COUNTIF($P$10:$P$256,"&lt;"&amp;P178)+COUNTIF($P$10:P178,P178))</f>
        <v/>
      </c>
      <c r="P178" s="694" t="str">
        <f t="shared" si="12"/>
        <v/>
      </c>
      <c r="Q178" s="692"/>
    </row>
    <row r="179" spans="1:17">
      <c r="A179" s="470">
        <v>170</v>
      </c>
      <c r="B179" s="1248" t="str">
        <f>IF($B$8=1,_xlfn.IFNA(VLOOKUP($A179,$L:$N,2,FALSE),""),_xlfn.IFNA(VLOOKUP($A179,Sedmica_2_količina_namirnica!$L:$N,2,FALSE),""))</f>
        <v/>
      </c>
      <c r="C179" s="448" t="str">
        <f>IF($B$8=1,_xlfn.IFNA(VLOOKUP($A179,$L:$N,3,FALSE)-0.0001,""),_xlfn.IFNA(VLOOKUP($A179,Sedmica_2_količina_namirnica!$L:$N,3,FALSE)-0.0001,""))</f>
        <v/>
      </c>
      <c r="D179" s="446" t="str">
        <f>IF(B179="Jaje kokošje, celo",IF(C179=INT(C179),C179,C179+1),IF(B179=""," ",_xlfn.IFNA(INT(C179*1000/(VLOOKUP($B179,Ingredient_prices!$E:$J,6,FALSE)))+1,"nije nabavljen")))</f>
        <v xml:space="preserve"> </v>
      </c>
      <c r="E179" s="446" t="str">
        <f>IF(C179="","",VLOOKUP($B179,Ingredient_prices!$E:$K,7,FALSE))</f>
        <v/>
      </c>
      <c r="F179" s="462" t="str">
        <f>IF(C179="","",IFERROR(IF(OR(E179="кг",E179="л"),VLOOKUP($B179,Ingredient_prices!$E:$V,16,FALSE)*D179,(VLOOKUP($B179,Ingredient_prices!$E:$P,12,FALSE)*D179)),""))</f>
        <v/>
      </c>
      <c r="G179" s="450" t="str">
        <f>IF(C179="","",_xlfn.IFNA(MID(VLOOKUP($B179,Ingredient_prices!$E:$F,2,FALSE),9,2),""))</f>
        <v/>
      </c>
      <c r="H179" s="447" t="str">
        <f>_xlfn.IFNA(VLOOKUP(CONCATENATE($I$9,$G179),Ingredient_prices!$G:$N,8,FALSE),"")</f>
        <v/>
      </c>
      <c r="I179" s="548" t="str">
        <f t="shared" si="13"/>
        <v/>
      </c>
      <c r="J179" s="695" t="str">
        <f>IF(N179="","",MID(Ingredient_prices!F173,9,2))</f>
        <v>2</v>
      </c>
      <c r="K179" s="692">
        <f t="shared" si="11"/>
        <v>16</v>
      </c>
      <c r="L179" s="692">
        <f>IF(N179="","",COUNTIF($P$10:$P$256,"&lt;"&amp;P179)+COUNTIF($P$10:P179,P179))</f>
        <v>26</v>
      </c>
      <c r="M179" s="692" t="str">
        <f>IF(Ingredient_prices!E173=M178,"",Ingredient_prices!E173)</f>
        <v>Pork minced meat</v>
      </c>
      <c r="N179" s="693">
        <f>_xlfn.IFNA(VLOOKUP($M179,Sedmica_1_količina_sva_sastojak!$C:$F,4,FALSE),"")</f>
        <v>5.5000000000000009</v>
      </c>
      <c r="O179" s="696">
        <f>IF(N179="","",COUNTIF($P$10:$P$256,"&lt;"&amp;P179)+COUNTIF($P$10:P179,P179))</f>
        <v>26</v>
      </c>
      <c r="P179" s="694">
        <f t="shared" si="12"/>
        <v>216</v>
      </c>
    </row>
    <row r="180" spans="1:17">
      <c r="A180" s="470">
        <v>171</v>
      </c>
      <c r="B180" s="1248" t="str">
        <f>IF($B$8=1,_xlfn.IFNA(VLOOKUP($A180,$L:$N,2,FALSE),""),_xlfn.IFNA(VLOOKUP($A180,Sedmica_2_količina_namirnica!$L:$N,2,FALSE),""))</f>
        <v/>
      </c>
      <c r="C180" s="448" t="str">
        <f>IF($B$8=1,_xlfn.IFNA(VLOOKUP($A180,$L:$N,3,FALSE)-0.0001,""),_xlfn.IFNA(VLOOKUP($A180,Sedmica_2_količina_namirnica!$L:$N,3,FALSE)-0.0001,""))</f>
        <v/>
      </c>
      <c r="D180" s="446" t="str">
        <f>IF(B180="Jaje kokošje, celo",IF(C180=INT(C180),C180,C180+1),IF(B180=""," ",_xlfn.IFNA(INT(C180*1000/(VLOOKUP($B180,Ingredient_prices!$E:$J,6,FALSE)))+1,"nije nabavljen")))</f>
        <v xml:space="preserve"> </v>
      </c>
      <c r="E180" s="446" t="str">
        <f>IF(C180="","",VLOOKUP($B180,Ingredient_prices!$E:$K,7,FALSE))</f>
        <v/>
      </c>
      <c r="F180" s="462" t="str">
        <f>IF(C180="","",IFERROR(IF(OR(E180="кг",E180="л"),VLOOKUP($B180,Ingredient_prices!$E:$V,16,FALSE)*D180,(VLOOKUP($B180,Ingredient_prices!$E:$P,12,FALSE)*D180)),""))</f>
        <v/>
      </c>
      <c r="G180" s="450" t="str">
        <f>IF(C180="","",_xlfn.IFNA(MID(VLOOKUP($B180,Ingredient_prices!$E:$F,2,FALSE),9,2),""))</f>
        <v/>
      </c>
      <c r="H180" s="447" t="str">
        <f>_xlfn.IFNA(VLOOKUP(CONCATENATE($I$9,$G180),Ingredient_prices!$G:$N,8,FALSE),"")</f>
        <v/>
      </c>
      <c r="I180" s="548" t="str">
        <f t="shared" si="13"/>
        <v/>
      </c>
      <c r="J180" s="695" t="str">
        <f>IF(N180="","",MID(Ingredient_prices!F174,9,2))</f>
        <v/>
      </c>
      <c r="K180" s="692" t="str">
        <f t="shared" si="11"/>
        <v/>
      </c>
      <c r="L180" s="692" t="str">
        <f>IF(N180="","",COUNTIF($P$10:$P$256,"&lt;"&amp;P180)+COUNTIF($P$10:P180,P180))</f>
        <v/>
      </c>
      <c r="M180" s="692" t="str">
        <f>IF(Ingredient_prices!E174=M179,"",Ingredient_prices!E174)</f>
        <v>Lemon</v>
      </c>
      <c r="N180" s="693" t="str">
        <f>_xlfn.IFNA(VLOOKUP($M180,Sedmica_1_količina_sva_sastojak!$C:$F,4,FALSE),"")</f>
        <v/>
      </c>
      <c r="O180" s="696" t="str">
        <f>IF(N180="","",COUNTIF($P$10:$P$256,"&lt;"&amp;P180)+COUNTIF($P$10:P180,P180))</f>
        <v/>
      </c>
      <c r="P180" s="694" t="str">
        <f t="shared" si="12"/>
        <v/>
      </c>
    </row>
    <row r="181" spans="1:17">
      <c r="A181" s="470">
        <v>172</v>
      </c>
      <c r="B181" s="1248" t="str">
        <f>IF($B$8=1,_xlfn.IFNA(VLOOKUP($A181,$L:$N,2,FALSE),""),_xlfn.IFNA(VLOOKUP($A181,Sedmica_2_količina_namirnica!$L:$N,2,FALSE),""))</f>
        <v/>
      </c>
      <c r="C181" s="448" t="str">
        <f>IF($B$8=1,_xlfn.IFNA(VLOOKUP($A181,$L:$N,3,FALSE)-0.0001,""),_xlfn.IFNA(VLOOKUP($A181,Sedmica_2_količina_namirnica!$L:$N,3,FALSE)-0.0001,""))</f>
        <v/>
      </c>
      <c r="D181" s="446" t="str">
        <f>IF(B181="Jaje kokošje, celo",IF(C181=INT(C181),C181,C181+1),IF(B181=""," ",_xlfn.IFNA(INT(C181*1000/(VLOOKUP($B181,Ingredient_prices!$E:$J,6,FALSE)))+1,"nije nabavljen")))</f>
        <v xml:space="preserve"> </v>
      </c>
      <c r="E181" s="446" t="str">
        <f>IF(C181="","",VLOOKUP($B181,Ingredient_prices!$E:$K,7,FALSE))</f>
        <v/>
      </c>
      <c r="F181" s="462" t="str">
        <f>IF(C181="","",IFERROR(IF(OR(E181="кг",E181="л"),VLOOKUP($B181,Ingredient_prices!$E:$V,16,FALSE)*D181,(VLOOKUP($B181,Ingredient_prices!$E:$P,12,FALSE)*D181)),""))</f>
        <v/>
      </c>
      <c r="G181" s="450" t="str">
        <f>IF(C181="","",_xlfn.IFNA(MID(VLOOKUP($B181,Ingredient_prices!$E:$F,2,FALSE),9,2),""))</f>
        <v/>
      </c>
      <c r="H181" s="447" t="str">
        <f>_xlfn.IFNA(VLOOKUP(CONCATENATE($I$9,$G181),Ingredient_prices!$G:$N,8,FALSE),"")</f>
        <v/>
      </c>
      <c r="I181" s="548" t="str">
        <f t="shared" si="13"/>
        <v/>
      </c>
      <c r="J181" s="695" t="str">
        <f>IF(N181="","",MID(Ingredient_prices!F175,9,2))</f>
        <v/>
      </c>
      <c r="K181" s="692" t="str">
        <f t="shared" si="11"/>
        <v/>
      </c>
      <c r="L181" s="692" t="str">
        <f>IF(N181="","",COUNTIF($P$10:$P$256,"&lt;"&amp;P181)+COUNTIF($P$10:P181,P181))</f>
        <v/>
      </c>
      <c r="M181" s="692" t="str">
        <f>IF(Ingredient_prices!E175=M180,"",Ingredient_prices!E175)</f>
        <v>Bay leaves</v>
      </c>
      <c r="N181" s="693" t="str">
        <f>_xlfn.IFNA(VLOOKUP($M181,Sedmica_1_količina_sva_sastojak!$C:$F,4,FALSE),"")</f>
        <v/>
      </c>
      <c r="O181" s="696" t="str">
        <f>IF(N181="","",COUNTIF($P$10:$P$256,"&lt;"&amp;P181)+COUNTIF($P$10:P181,P181))</f>
        <v/>
      </c>
      <c r="P181" s="694" t="str">
        <f t="shared" si="12"/>
        <v/>
      </c>
    </row>
    <row r="182" spans="1:17">
      <c r="A182" s="470">
        <v>173</v>
      </c>
      <c r="B182" s="1248" t="str">
        <f>IF($B$8=1,_xlfn.IFNA(VLOOKUP($A182,$L:$N,2,FALSE),""),_xlfn.IFNA(VLOOKUP($A182,Sedmica_2_količina_namirnica!$L:$N,2,FALSE),""))</f>
        <v/>
      </c>
      <c r="C182" s="448" t="str">
        <f>IF($B$8=1,_xlfn.IFNA(VLOOKUP($A182,$L:$N,3,FALSE)-0.0001,""),_xlfn.IFNA(VLOOKUP($A182,Sedmica_2_količina_namirnica!$L:$N,3,FALSE)-0.0001,""))</f>
        <v/>
      </c>
      <c r="D182" s="446" t="str">
        <f>IF(B182="Jaje kokošje, celo",IF(C182=INT(C182),C182,C182+1),IF(B182=""," ",_xlfn.IFNA(INT(C182*1000/(VLOOKUP($B182,Ingredient_prices!$E:$J,6,FALSE)))+1,"nije nabavljen")))</f>
        <v xml:space="preserve"> </v>
      </c>
      <c r="E182" s="446" t="str">
        <f>IF(C182="","",VLOOKUP($B182,Ingredient_prices!$E:$K,7,FALSE))</f>
        <v/>
      </c>
      <c r="F182" s="462" t="str">
        <f>IF(C182="","",IFERROR(IF(OR(E182="кг",E182="л"),VLOOKUP($B182,Ingredient_prices!$E:$V,16,FALSE)*D182,(VLOOKUP($B182,Ingredient_prices!$E:$P,12,FALSE)*D182)),""))</f>
        <v/>
      </c>
      <c r="G182" s="450" t="str">
        <f>IF(C182="","",_xlfn.IFNA(MID(VLOOKUP($B182,Ingredient_prices!$E:$F,2,FALSE),9,2),""))</f>
        <v/>
      </c>
      <c r="H182" s="447" t="str">
        <f>_xlfn.IFNA(VLOOKUP(CONCATENATE($I$9,$G182),Ingredient_prices!$G:$N,8,FALSE),"")</f>
        <v/>
      </c>
      <c r="I182" s="548" t="str">
        <f t="shared" si="13"/>
        <v/>
      </c>
      <c r="J182" s="695" t="str">
        <f>IF(N182="","",MID(Ingredient_prices!F176,9,2))</f>
        <v/>
      </c>
      <c r="K182" s="692" t="str">
        <f t="shared" si="11"/>
        <v/>
      </c>
      <c r="L182" s="692" t="str">
        <f>IF(N182="","",COUNTIF($P$10:$P$256,"&lt;"&amp;P182)+COUNTIF($P$10:P182,P182))</f>
        <v/>
      </c>
      <c r="M182" s="692" t="str">
        <f>IF(Ingredient_prices!E176=M181,"",Ingredient_prices!E176)</f>
        <v>Cocoa powder, unsweetened</v>
      </c>
      <c r="N182" s="693" t="str">
        <f>_xlfn.IFNA(VLOOKUP($M182,Sedmica_1_količina_sva_sastojak!$C:$F,4,FALSE),"")</f>
        <v/>
      </c>
      <c r="O182" s="696" t="str">
        <f>IF(N182="","",COUNTIF($P$10:$P$256,"&lt;"&amp;P182)+COUNTIF($P$10:P182,P182))</f>
        <v/>
      </c>
      <c r="P182" s="694" t="str">
        <f t="shared" si="12"/>
        <v/>
      </c>
    </row>
    <row r="183" spans="1:17">
      <c r="A183" s="470">
        <v>174</v>
      </c>
      <c r="B183" s="1248" t="str">
        <f>IF($B$8=1,_xlfn.IFNA(VLOOKUP($A183,$L:$N,2,FALSE),""),_xlfn.IFNA(VLOOKUP($A183,Sedmica_2_količina_namirnica!$L:$N,2,FALSE),""))</f>
        <v/>
      </c>
      <c r="C183" s="448" t="str">
        <f>IF($B$8=1,_xlfn.IFNA(VLOOKUP($A183,$L:$N,3,FALSE)-0.0001,""),_xlfn.IFNA(VLOOKUP($A183,Sedmica_2_količina_namirnica!$L:$N,3,FALSE)-0.0001,""))</f>
        <v/>
      </c>
      <c r="D183" s="446" t="str">
        <f>IF(B183="Jaje kokošje, celo",IF(C183=INT(C183),C183,C183+1),IF(B183=""," ",_xlfn.IFNA(INT(C183*1000/(VLOOKUP($B183,Ingredient_prices!$E:$J,6,FALSE)))+1,"nije nabavljen")))</f>
        <v xml:space="preserve"> </v>
      </c>
      <c r="E183" s="446" t="str">
        <f>IF(C183="","",VLOOKUP($B183,Ingredient_prices!$E:$K,7,FALSE))</f>
        <v/>
      </c>
      <c r="F183" s="462" t="str">
        <f>IF(C183="","",IFERROR(IF(OR(E183="кг",E183="л"),VLOOKUP($B183,Ingredient_prices!$E:$V,16,FALSE)*D183,(VLOOKUP($B183,Ingredient_prices!$E:$P,12,FALSE)*D183)),""))</f>
        <v/>
      </c>
      <c r="G183" s="450" t="str">
        <f>IF(C183="","",_xlfn.IFNA(MID(VLOOKUP($B183,Ingredient_prices!$E:$F,2,FALSE),9,2),""))</f>
        <v/>
      </c>
      <c r="H183" s="447" t="str">
        <f>_xlfn.IFNA(VLOOKUP(CONCATENATE($I$9,$G183),Ingredient_prices!$G:$N,8,FALSE),"")</f>
        <v/>
      </c>
      <c r="I183" s="548" t="str">
        <f t="shared" si="13"/>
        <v/>
      </c>
      <c r="J183" s="695" t="str">
        <f>IF(N183="","",MID(Ingredient_prices!F177,9,2))</f>
        <v/>
      </c>
      <c r="K183" s="692" t="str">
        <f t="shared" si="11"/>
        <v/>
      </c>
      <c r="L183" s="692" t="str">
        <f>IF(N183="","",COUNTIF($P$10:$P$256,"&lt;"&amp;P183)+COUNTIF($P$10:P183,P183))</f>
        <v/>
      </c>
      <c r="M183" s="692" t="str">
        <f>IF(Ingredient_prices!E177=M182,"",Ingredient_prices!E177)</f>
        <v>Poppy seeds</v>
      </c>
      <c r="N183" s="693" t="str">
        <f>_xlfn.IFNA(VLOOKUP($M183,Sedmica_1_količina_sva_sastojak!$C:$F,4,FALSE),"")</f>
        <v/>
      </c>
      <c r="O183" s="696" t="str">
        <f>IF(N183="","",COUNTIF($P$10:$P$256,"&lt;"&amp;P183)+COUNTIF($P$10:P183,P183))</f>
        <v/>
      </c>
      <c r="P183" s="694" t="str">
        <f t="shared" si="12"/>
        <v/>
      </c>
    </row>
    <row r="184" spans="1:17">
      <c r="A184" s="470">
        <v>175</v>
      </c>
      <c r="B184" s="1248" t="str">
        <f>IF($B$8=1,_xlfn.IFNA(VLOOKUP($A184,$L:$N,2,FALSE),""),_xlfn.IFNA(VLOOKUP($A184,Sedmica_2_količina_namirnica!$L:$N,2,FALSE),""))</f>
        <v/>
      </c>
      <c r="C184" s="448" t="str">
        <f>IF($B$8=1,_xlfn.IFNA(VLOOKUP($A184,$L:$N,3,FALSE)-0.0001,""),_xlfn.IFNA(VLOOKUP($A184,Sedmica_2_količina_namirnica!$L:$N,3,FALSE)-0.0001,""))</f>
        <v/>
      </c>
      <c r="D184" s="446" t="str">
        <f>IF(B184="Jaje kokošje, celo",IF(C184=INT(C184),C184,C184+1),IF(B184=""," ",_xlfn.IFNA(INT(C184*1000/(VLOOKUP($B184,Ingredient_prices!$E:$J,6,FALSE)))+1,"nije nabavljen")))</f>
        <v xml:space="preserve"> </v>
      </c>
      <c r="E184" s="446" t="str">
        <f>IF(C184="","",VLOOKUP($B184,Ingredient_prices!$E:$K,7,FALSE))</f>
        <v/>
      </c>
      <c r="F184" s="462" t="str">
        <f>IF(C184="","",IFERROR(IF(OR(E184="кг",E184="л"),VLOOKUP($B184,Ingredient_prices!$E:$V,16,FALSE)*D184,(VLOOKUP($B184,Ingredient_prices!$E:$P,12,FALSE)*D184)),""))</f>
        <v/>
      </c>
      <c r="G184" s="450" t="str">
        <f>IF(C184="","",_xlfn.IFNA(MID(VLOOKUP($B184,Ingredient_prices!$E:$F,2,FALSE),9,2),""))</f>
        <v/>
      </c>
      <c r="H184" s="447" t="str">
        <f>_xlfn.IFNA(VLOOKUP(CONCATENATE($I$9,$G184),Ingredient_prices!$G:$N,8,FALSE),"")</f>
        <v/>
      </c>
      <c r="I184" s="548" t="str">
        <f t="shared" si="13"/>
        <v/>
      </c>
      <c r="J184" s="695" t="str">
        <f>IF(N184="","",MID(Ingredient_prices!F178,9,2))</f>
        <v/>
      </c>
      <c r="K184" s="692" t="str">
        <f t="shared" si="11"/>
        <v/>
      </c>
      <c r="L184" s="692" t="str">
        <f>IF(N184="","",COUNTIF($P$10:$P$256,"&lt;"&amp;P184)+COUNTIF($P$10:P184,P184))</f>
        <v/>
      </c>
      <c r="M184" s="692" t="str">
        <f>IF(Ingredient_prices!E178=M183,"",Ingredient_prices!E178)</f>
        <v>Raisins (dried grapes)</v>
      </c>
      <c r="N184" s="693" t="str">
        <f>_xlfn.IFNA(VLOOKUP($M184,Sedmica_1_količina_sva_sastojak!$C:$F,4,FALSE),"")</f>
        <v/>
      </c>
      <c r="O184" s="696" t="str">
        <f>IF(N184="","",COUNTIF($P$10:$P$256,"&lt;"&amp;P184)+COUNTIF($P$10:P184,P184))</f>
        <v/>
      </c>
      <c r="P184" s="694" t="str">
        <f t="shared" si="12"/>
        <v/>
      </c>
    </row>
    <row r="185" spans="1:17" s="445" customFormat="1">
      <c r="A185" s="470">
        <v>176</v>
      </c>
      <c r="B185" s="1248" t="str">
        <f>IF($B$8=1,_xlfn.IFNA(VLOOKUP($A185,$L:$N,2,FALSE),""),_xlfn.IFNA(VLOOKUP($A185,Sedmica_2_količina_namirnica!$L:$N,2,FALSE),""))</f>
        <v/>
      </c>
      <c r="C185" s="448" t="str">
        <f>IF($B$8=1,_xlfn.IFNA(VLOOKUP($A185,$L:$N,3,FALSE)-0.0001,""),_xlfn.IFNA(VLOOKUP($A185,Sedmica_2_količina_namirnica!$L:$N,3,FALSE)-0.0001,""))</f>
        <v/>
      </c>
      <c r="D185" s="446" t="str">
        <f>IF(B185="Jaje kokošje, celo",IF(C185=INT(C185),C185,C185+1),IF(B185=""," ",_xlfn.IFNA(INT(C185*1000/(VLOOKUP($B185,Ingredient_prices!$E:$J,6,FALSE)))+1,"nije nabavljen")))</f>
        <v xml:space="preserve"> </v>
      </c>
      <c r="E185" s="446" t="str">
        <f>IF(C185="","",VLOOKUP($B185,Ingredient_prices!$E:$K,7,FALSE))</f>
        <v/>
      </c>
      <c r="F185" s="462" t="str">
        <f>IF(C185="","",IFERROR(IF(OR(E185="кг",E185="л"),VLOOKUP($B185,Ingredient_prices!$E:$V,16,FALSE)*D185,(VLOOKUP($B185,Ingredient_prices!$E:$P,12,FALSE)*D185)),""))</f>
        <v/>
      </c>
      <c r="G185" s="450" t="str">
        <f>IF(C185="","",_xlfn.IFNA(MID(VLOOKUP($B185,Ingredient_prices!$E:$F,2,FALSE),9,2),""))</f>
        <v/>
      </c>
      <c r="H185" s="447" t="str">
        <f>_xlfn.IFNA(VLOOKUP(CONCATENATE($I$9,$G185),Ingredient_prices!$G:$N,8,FALSE),"")</f>
        <v/>
      </c>
      <c r="I185" s="548" t="str">
        <f t="shared" si="13"/>
        <v/>
      </c>
      <c r="J185" s="695" t="str">
        <f>IF(N185="","",MID(Ingredient_prices!F179,9,2))</f>
        <v>2</v>
      </c>
      <c r="K185" s="692">
        <f t="shared" si="11"/>
        <v>31</v>
      </c>
      <c r="L185" s="692">
        <f>IF(N185="","",COUNTIF($P$10:$P$256,"&lt;"&amp;P185)+COUNTIF($P$10:P185,P185))</f>
        <v>36</v>
      </c>
      <c r="M185" s="692" t="str">
        <f>IF(Ingredient_prices!E179=M184,"",Ingredient_prices!E179)</f>
        <v>Margarine from milk (less than 500g)</v>
      </c>
      <c r="N185" s="693">
        <f>_xlfn.IFNA(VLOOKUP($M185,Sedmica_1_količina_sva_sastojak!$C:$F,4,FALSE),"")</f>
        <v>1.2100000000000002</v>
      </c>
      <c r="O185" s="696">
        <f>IF(N185="","",COUNTIF($P$10:$P$256,"&lt;"&amp;P185)+COUNTIF($P$10:P185,P185))</f>
        <v>36</v>
      </c>
      <c r="P185" s="694">
        <f t="shared" si="12"/>
        <v>231</v>
      </c>
      <c r="Q185" s="692"/>
    </row>
    <row r="186" spans="1:17">
      <c r="A186" s="470">
        <v>177</v>
      </c>
      <c r="B186" s="1248" t="str">
        <f>IF($B$8=1,_xlfn.IFNA(VLOOKUP($A186,$L:$N,2,FALSE),""),_xlfn.IFNA(VLOOKUP($A186,Sedmica_2_količina_namirnica!$L:$N,2,FALSE),""))</f>
        <v/>
      </c>
      <c r="C186" s="448" t="str">
        <f>IF($B$8=1,_xlfn.IFNA(VLOOKUP($A186,$L:$N,3,FALSE)-0.0001,""),_xlfn.IFNA(VLOOKUP($A186,Sedmica_2_količina_namirnica!$L:$N,3,FALSE)-0.0001,""))</f>
        <v/>
      </c>
      <c r="D186" s="446" t="str">
        <f>IF(B186="Jaje kokošje, celo",IF(C186=INT(C186),C186,C186+1),IF(B186=""," ",_xlfn.IFNA(INT(C186*1000/(VLOOKUP($B186,Ingredient_prices!$E:$J,6,FALSE)))+1,"nije nabavljen")))</f>
        <v xml:space="preserve"> </v>
      </c>
      <c r="E186" s="446" t="str">
        <f>IF(C186="","",VLOOKUP($B186,Ingredient_prices!$E:$K,7,FALSE))</f>
        <v/>
      </c>
      <c r="F186" s="462" t="str">
        <f>IF(C186="","",IFERROR(IF(OR(E186="кг",E186="л"),VLOOKUP($B186,Ingredient_prices!$E:$V,16,FALSE)*D186,(VLOOKUP($B186,Ingredient_prices!$E:$P,12,FALSE)*D186)),""))</f>
        <v/>
      </c>
      <c r="G186" s="450" t="str">
        <f>IF(C186="","",_xlfn.IFNA(MID(VLOOKUP($B186,Ingredient_prices!$E:$F,2,FALSE),9,2),""))</f>
        <v/>
      </c>
      <c r="H186" s="447" t="str">
        <f>_xlfn.IFNA(VLOOKUP(CONCATENATE($I$9,$G186),Ingredient_prices!$G:$N,8,FALSE),"")</f>
        <v/>
      </c>
      <c r="I186" s="548" t="str">
        <f t="shared" si="13"/>
        <v/>
      </c>
      <c r="J186" s="695" t="str">
        <f>IF(N186="","",MID(Ingredient_prices!F180,9,2))</f>
        <v/>
      </c>
      <c r="K186" s="692" t="str">
        <f t="shared" si="11"/>
        <v/>
      </c>
      <c r="L186" s="692" t="str">
        <f>IF(N186="","",COUNTIF($P$10:$P$256,"&lt;"&amp;P186)+COUNTIF($P$10:P186,P186))</f>
        <v/>
      </c>
      <c r="M186" s="692" t="str">
        <f>IF(Ingredient_prices!E180=M185,"",Ingredient_prices!E180)</f>
        <v>Pudding powder</v>
      </c>
      <c r="N186" s="693" t="str">
        <f>_xlfn.IFNA(VLOOKUP($M186,Sedmica_1_količina_sva_sastojak!$C:$F,4,FALSE),"")</f>
        <v/>
      </c>
      <c r="O186" s="696" t="str">
        <f>IF(N186="","",COUNTIF($P$10:$P$256,"&lt;"&amp;P186)+COUNTIF($P$10:P186,P186))</f>
        <v/>
      </c>
      <c r="P186" s="694" t="str">
        <f t="shared" si="12"/>
        <v/>
      </c>
    </row>
    <row r="187" spans="1:17">
      <c r="A187" s="470">
        <v>178</v>
      </c>
      <c r="B187" s="1248" t="str">
        <f>IF($B$8=1,_xlfn.IFNA(VLOOKUP($A187,$L:$N,2,FALSE),""),_xlfn.IFNA(VLOOKUP($A187,Sedmica_2_količina_namirnica!$L:$N,2,FALSE),""))</f>
        <v/>
      </c>
      <c r="C187" s="448" t="str">
        <f>IF($B$8=1,_xlfn.IFNA(VLOOKUP($A187,$L:$N,3,FALSE)-0.0001,""),_xlfn.IFNA(VLOOKUP($A187,Sedmica_2_količina_namirnica!$L:$N,3,FALSE)-0.0001,""))</f>
        <v/>
      </c>
      <c r="D187" s="446" t="str">
        <f>IF(B187="Jaje kokošje, celo",IF(C187=INT(C187),C187,C187+1),IF(B187=""," ",_xlfn.IFNA(INT(C187*1000/(VLOOKUP($B187,Ingredient_prices!$E:$J,6,FALSE)))+1,"nije nabavljen")))</f>
        <v xml:space="preserve"> </v>
      </c>
      <c r="E187" s="446" t="str">
        <f>IF(C187="","",VLOOKUP($B187,Ingredient_prices!$E:$K,7,FALSE))</f>
        <v/>
      </c>
      <c r="F187" s="462" t="str">
        <f>IF(C187="","",IFERROR(IF(OR(E187="кг",E187="л"),VLOOKUP($B187,Ingredient_prices!$E:$V,16,FALSE)*D187,(VLOOKUP($B187,Ingredient_prices!$E:$P,12,FALSE)*D187)),""))</f>
        <v/>
      </c>
      <c r="G187" s="450" t="str">
        <f>IF(C187="","",_xlfn.IFNA(MID(VLOOKUP($B187,Ingredient_prices!$E:$F,2,FALSE),9,2),""))</f>
        <v/>
      </c>
      <c r="H187" s="447" t="str">
        <f>_xlfn.IFNA(VLOOKUP(CONCATENATE($I$9,$G187),Ingredient_prices!$G:$N,8,FALSE),"")</f>
        <v/>
      </c>
      <c r="I187" s="548" t="str">
        <f t="shared" si="13"/>
        <v/>
      </c>
      <c r="J187" s="695" t="str">
        <f>IF(N187="","",MID(Ingredient_prices!F181,9,2))</f>
        <v/>
      </c>
      <c r="K187" s="692" t="str">
        <f t="shared" si="11"/>
        <v/>
      </c>
      <c r="L187" s="692" t="str">
        <f>IF(N187="","",COUNTIF($P$10:$P$256,"&lt;"&amp;P187)+COUNTIF($P$10:P187,P187))</f>
        <v/>
      </c>
      <c r="M187" s="692" t="str">
        <f>IF(Ingredient_prices!E181=M186,"",Ingredient_prices!E181)</f>
        <v>Soya flour (fat extracted)</v>
      </c>
      <c r="N187" s="693" t="str">
        <f>_xlfn.IFNA(VLOOKUP($M187,Sedmica_1_količina_sva_sastojak!$C:$F,4,FALSE),"")</f>
        <v/>
      </c>
      <c r="O187" s="696" t="str">
        <f>IF(N187="","",COUNTIF($P$10:$P$256,"&lt;"&amp;P187)+COUNTIF($P$10:P187,P187))</f>
        <v/>
      </c>
      <c r="P187" s="694" t="str">
        <f t="shared" si="12"/>
        <v/>
      </c>
    </row>
    <row r="188" spans="1:17">
      <c r="A188" s="470">
        <v>179</v>
      </c>
      <c r="B188" s="1248" t="str">
        <f>IF($B$8=1,_xlfn.IFNA(VLOOKUP($A188,$L:$N,2,FALSE),""),_xlfn.IFNA(VLOOKUP($A188,Sedmica_2_količina_namirnica!$L:$N,2,FALSE),""))</f>
        <v/>
      </c>
      <c r="C188" s="448" t="str">
        <f>IF($B$8=1,_xlfn.IFNA(VLOOKUP($A188,$L:$N,3,FALSE)-0.0001,""),_xlfn.IFNA(VLOOKUP($A188,Sedmica_2_količina_namirnica!$L:$N,3,FALSE)-0.0001,""))</f>
        <v/>
      </c>
      <c r="D188" s="446" t="str">
        <f>IF(B188="Jaje kokošje, celo",IF(C188=INT(C188),C188,C188+1),IF(B188=""," ",_xlfn.IFNA(INT(C188*1000/(VLOOKUP($B188,Ingredient_prices!$E:$J,6,FALSE)))+1,"nije nabavljen")))</f>
        <v xml:space="preserve"> </v>
      </c>
      <c r="E188" s="446" t="str">
        <f>IF(C188="","",VLOOKUP($B188,Ingredient_prices!$E:$K,7,FALSE))</f>
        <v/>
      </c>
      <c r="F188" s="462" t="str">
        <f>IF(C188="","",IFERROR(IF(OR(E188="кг",E188="л"),VLOOKUP($B188,Ingredient_prices!$E:$V,16,FALSE)*D188,(VLOOKUP($B188,Ingredient_prices!$E:$P,12,FALSE)*D188)),""))</f>
        <v/>
      </c>
      <c r="G188" s="450" t="str">
        <f>IF(C188="","",_xlfn.IFNA(MID(VLOOKUP($B188,Ingredient_prices!$E:$F,2,FALSE),9,2),""))</f>
        <v/>
      </c>
      <c r="H188" s="447" t="str">
        <f>_xlfn.IFNA(VLOOKUP(CONCATENATE($I$9,$G188),Ingredient_prices!$G:$N,8,FALSE),"")</f>
        <v/>
      </c>
      <c r="I188" s="548" t="str">
        <f t="shared" si="13"/>
        <v/>
      </c>
      <c r="J188" s="695" t="str">
        <f>IF(N188="","",MID(Ingredient_prices!F182,9,2))</f>
        <v/>
      </c>
      <c r="K188" s="692" t="str">
        <f t="shared" si="11"/>
        <v/>
      </c>
      <c r="L188" s="692" t="str">
        <f>IF(N188="","",COUNTIF($P$10:$P$256,"&lt;"&amp;P188)+COUNTIF($P$10:P188,P188))</f>
        <v/>
      </c>
      <c r="M188" s="692" t="str">
        <f>IF(Ingredient_prices!E182=M187,"",Ingredient_prices!E182)</f>
        <v>Ground pepper</v>
      </c>
      <c r="N188" s="693" t="str">
        <f>_xlfn.IFNA(VLOOKUP($M188,Sedmica_1_količina_sva_sastojak!$C:$F,4,FALSE),"")</f>
        <v/>
      </c>
      <c r="O188" s="696" t="str">
        <f>IF(N188="","",COUNTIF($P$10:$P$256,"&lt;"&amp;P188)+COUNTIF($P$10:P188,P188))</f>
        <v/>
      </c>
      <c r="P188" s="694" t="str">
        <f t="shared" si="12"/>
        <v/>
      </c>
    </row>
    <row r="189" spans="1:17">
      <c r="A189" s="470">
        <v>180</v>
      </c>
      <c r="B189" s="1248" t="str">
        <f>IF($B$8=1,_xlfn.IFNA(VLOOKUP($A189,$L:$N,2,FALSE),""),_xlfn.IFNA(VLOOKUP($A189,Sedmica_2_količina_namirnica!$L:$N,2,FALSE),""))</f>
        <v/>
      </c>
      <c r="C189" s="448" t="str">
        <f>IF($B$8=1,_xlfn.IFNA(VLOOKUP($A189,$L:$N,3,FALSE)-0.0001,""),_xlfn.IFNA(VLOOKUP($A189,Sedmica_2_količina_namirnica!$L:$N,3,FALSE)-0.0001,""))</f>
        <v/>
      </c>
      <c r="D189" s="446" t="str">
        <f>IF(B189="Jaje kokošje, celo",IF(C189=INT(C189),C189,C189+1),IF(B189=""," ",_xlfn.IFNA(INT(C189*1000/(VLOOKUP($B189,Ingredient_prices!$E:$J,6,FALSE)))+1,"nije nabavljen")))</f>
        <v xml:space="preserve"> </v>
      </c>
      <c r="E189" s="446" t="str">
        <f>IF(C189="","",VLOOKUP($B189,Ingredient_prices!$E:$K,7,FALSE))</f>
        <v/>
      </c>
      <c r="F189" s="462" t="str">
        <f>IF(C189="","",IFERROR(IF(OR(E189="кг",E189="л"),VLOOKUP($B189,Ingredient_prices!$E:$V,16,FALSE)*D189,(VLOOKUP($B189,Ingredient_prices!$E:$P,12,FALSE)*D189)),""))</f>
        <v/>
      </c>
      <c r="G189" s="450" t="str">
        <f>IF(C189="","",_xlfn.IFNA(MID(VLOOKUP($B189,Ingredient_prices!$E:$F,2,FALSE),9,2),""))</f>
        <v/>
      </c>
      <c r="H189" s="447" t="str">
        <f>_xlfn.IFNA(VLOOKUP(CONCATENATE($I$9,$G189),Ingredient_prices!$G:$N,8,FALSE),"")</f>
        <v/>
      </c>
      <c r="I189" s="548" t="str">
        <f t="shared" si="13"/>
        <v/>
      </c>
      <c r="J189" s="695" t="str">
        <f>IF(N189="","",MID(Ingredient_prices!F183,9,2))</f>
        <v/>
      </c>
      <c r="K189" s="692" t="str">
        <f t="shared" si="11"/>
        <v/>
      </c>
      <c r="L189" s="692" t="str">
        <f>IF(N189="","",COUNTIF($P$10:$P$256,"&lt;"&amp;P189)+COUNTIF($P$10:P189,P189))</f>
        <v/>
      </c>
      <c r="M189" s="692" t="str">
        <f>IF(Ingredient_prices!E183=M188,"",Ingredient_prices!E183)</f>
        <v>Parsnip</v>
      </c>
      <c r="N189" s="693" t="str">
        <f>_xlfn.IFNA(VLOOKUP($M189,Sedmica_1_količina_sva_sastojak!$C:$F,4,FALSE),"")</f>
        <v/>
      </c>
      <c r="O189" s="696" t="str">
        <f>IF(N189="","",COUNTIF($P$10:$P$256,"&lt;"&amp;P189)+COUNTIF($P$10:P189,P189))</f>
        <v/>
      </c>
      <c r="P189" s="694" t="str">
        <f t="shared" si="12"/>
        <v/>
      </c>
    </row>
    <row r="190" spans="1:17">
      <c r="A190" s="470">
        <v>181</v>
      </c>
      <c r="B190" s="1248" t="str">
        <f>IF($B$8=1,_xlfn.IFNA(VLOOKUP($A190,$L:$N,2,FALSE),""),_xlfn.IFNA(VLOOKUP($A190,Sedmica_2_količina_namirnica!$L:$N,2,FALSE),""))</f>
        <v/>
      </c>
      <c r="C190" s="448" t="str">
        <f>IF($B$8=1,_xlfn.IFNA(VLOOKUP($A190,$L:$N,3,FALSE)-0.0001,""),_xlfn.IFNA(VLOOKUP($A190,Sedmica_2_količina_namirnica!$L:$N,3,FALSE)-0.0001,""))</f>
        <v/>
      </c>
      <c r="D190" s="446" t="str">
        <f>IF(B190="Jaje kokošje, celo",IF(C190=INT(C190),C190,C190+1),IF(B190=""," ",_xlfn.IFNA(INT(C190*1000/(VLOOKUP($B190,Ingredient_prices!$E:$J,6,FALSE)))+1,"nije nabavljen")))</f>
        <v xml:space="preserve"> </v>
      </c>
      <c r="E190" s="446" t="str">
        <f>IF(C190="","",VLOOKUP($B190,Ingredient_prices!$E:$K,7,FALSE))</f>
        <v/>
      </c>
      <c r="F190" s="462" t="str">
        <f>IF(C190="","",IFERROR(IF(OR(E190="кг",E190="л"),VLOOKUP($B190,Ingredient_prices!$E:$V,16,FALSE)*D190,(VLOOKUP($B190,Ingredient_prices!$E:$P,12,FALSE)*D190)),""))</f>
        <v/>
      </c>
      <c r="G190" s="450" t="str">
        <f>IF(C190="","",_xlfn.IFNA(MID(VLOOKUP($B190,Ingredient_prices!$E:$F,2,FALSE),9,2),""))</f>
        <v/>
      </c>
      <c r="H190" s="447" t="str">
        <f>_xlfn.IFNA(VLOOKUP(CONCATENATE($I$9,$G190),Ingredient_prices!$G:$N,8,FALSE),"")</f>
        <v/>
      </c>
      <c r="I190" s="548" t="str">
        <f t="shared" si="13"/>
        <v/>
      </c>
      <c r="J190" s="695" t="str">
        <f>IF(N190="","",MID(Ingredient_prices!F184,9,2))</f>
        <v/>
      </c>
      <c r="K190" s="692" t="str">
        <f t="shared" si="11"/>
        <v/>
      </c>
      <c r="L190" s="692" t="str">
        <f>IF(N190="","",COUNTIF($P$10:$P$256,"&lt;"&amp;P190)+COUNTIF($P$10:P190,P190))</f>
        <v/>
      </c>
      <c r="M190" s="692" t="str">
        <f>IF(Ingredient_prices!E184=M189,"",Ingredient_prices!E184)</f>
        <v>Pork fat</v>
      </c>
      <c r="N190" s="693" t="str">
        <f>_xlfn.IFNA(VLOOKUP($M190,Sedmica_1_količina_sva_sastojak!$C:$F,4,FALSE),"")</f>
        <v/>
      </c>
      <c r="O190" s="696" t="str">
        <f>IF(N190="","",COUNTIF($P$10:$P$256,"&lt;"&amp;P190)+COUNTIF($P$10:P190,P190))</f>
        <v/>
      </c>
      <c r="P190" s="694" t="str">
        <f t="shared" si="12"/>
        <v/>
      </c>
    </row>
    <row r="191" spans="1:17">
      <c r="A191" s="470">
        <v>182</v>
      </c>
      <c r="B191" s="1248" t="str">
        <f>IF($B$8=1,_xlfn.IFNA(VLOOKUP($A191,$L:$N,2,FALSE),""),_xlfn.IFNA(VLOOKUP($A191,Sedmica_2_količina_namirnica!$L:$N,2,FALSE),""))</f>
        <v/>
      </c>
      <c r="C191" s="448" t="str">
        <f>IF($B$8=1,_xlfn.IFNA(VLOOKUP($A191,$L:$N,3,FALSE)-0.0001,""),_xlfn.IFNA(VLOOKUP($A191,Sedmica_2_količina_namirnica!$L:$N,3,FALSE)-0.0001,""))</f>
        <v/>
      </c>
      <c r="D191" s="446" t="str">
        <f>IF(B191="Jaje kokošje, celo",IF(C191=INT(C191),C191,C191+1),IF(B191=""," ",_xlfn.IFNA(INT(C191*1000/(VLOOKUP($B191,Ingredient_prices!$E:$J,6,FALSE)))+1,"nije nabavljen")))</f>
        <v xml:space="preserve"> </v>
      </c>
      <c r="E191" s="446" t="str">
        <f>IF(C191="","",VLOOKUP($B191,Ingredient_prices!$E:$K,7,FALSE))</f>
        <v/>
      </c>
      <c r="F191" s="462" t="str">
        <f>IF(C191="","",IFERROR(IF(OR(E191="кг",E191="л"),VLOOKUP($B191,Ingredient_prices!$E:$V,16,FALSE)*D191,(VLOOKUP($B191,Ingredient_prices!$E:$P,12,FALSE)*D191)),""))</f>
        <v/>
      </c>
      <c r="G191" s="450" t="str">
        <f>IF(C191="","",_xlfn.IFNA(MID(VLOOKUP($B191,Ingredient_prices!$E:$F,2,FALSE),9,2),""))</f>
        <v/>
      </c>
      <c r="H191" s="447" t="str">
        <f>_xlfn.IFNA(VLOOKUP(CONCATENATE($I$9,$G191),Ingredient_prices!$G:$N,8,FALSE),"")</f>
        <v/>
      </c>
      <c r="I191" s="548" t="str">
        <f t="shared" si="13"/>
        <v/>
      </c>
      <c r="J191" s="695" t="str">
        <f>IF(N191="","",MID(Ingredient_prices!F185,9,2))</f>
        <v>2</v>
      </c>
      <c r="K191" s="692">
        <f t="shared" si="11"/>
        <v>25</v>
      </c>
      <c r="L191" s="692">
        <f>IF(N191="","",COUNTIF($P$10:$P$256,"&lt;"&amp;P191)+COUNTIF($P$10:P191,P191))</f>
        <v>30</v>
      </c>
      <c r="M191" s="692" t="str">
        <f>IF(Ingredient_prices!E185=M190,"",Ingredient_prices!E185)</f>
        <v>Minced meat beef/pork mixed</v>
      </c>
      <c r="N191" s="693">
        <f>_xlfn.IFNA(VLOOKUP($M191,Sedmica_1_količina_sva_sastojak!$C:$F,4,FALSE),"")</f>
        <v>3.3</v>
      </c>
      <c r="O191" s="696">
        <f>IF(N191="","",COUNTIF($P$10:$P$256,"&lt;"&amp;P191)+COUNTIF($P$10:P191,P191))</f>
        <v>30</v>
      </c>
      <c r="P191" s="694">
        <f t="shared" si="12"/>
        <v>225</v>
      </c>
    </row>
    <row r="192" spans="1:17">
      <c r="A192" s="470">
        <v>183</v>
      </c>
      <c r="B192" s="1248" t="str">
        <f>IF($B$8=1,_xlfn.IFNA(VLOOKUP($A192,$L:$N,2,FALSE),""),_xlfn.IFNA(VLOOKUP($A192,Sedmica_2_količina_namirnica!$L:$N,2,FALSE),""))</f>
        <v/>
      </c>
      <c r="C192" s="448" t="str">
        <f>IF($B$8=1,_xlfn.IFNA(VLOOKUP($A192,$L:$N,3,FALSE)-0.0001,""),_xlfn.IFNA(VLOOKUP($A192,Sedmica_2_količina_namirnica!$L:$N,3,FALSE)-0.0001,""))</f>
        <v/>
      </c>
      <c r="D192" s="446" t="str">
        <f>IF(B192="Jaje kokošje, celo",IF(C192=INT(C192),C192,C192+1),IF(B192=""," ",_xlfn.IFNA(INT(C192*1000/(VLOOKUP($B192,Ingredient_prices!$E:$J,6,FALSE)))+1,"nije nabavljen")))</f>
        <v xml:space="preserve"> </v>
      </c>
      <c r="E192" s="446" t="str">
        <f>IF(C192="","",VLOOKUP($B192,Ingredient_prices!$E:$K,7,FALSE))</f>
        <v/>
      </c>
      <c r="F192" s="462" t="str">
        <f>IF(C192="","",IFERROR(IF(OR(E192="кг",E192="л"),VLOOKUP($B192,Ingredient_prices!$E:$V,16,FALSE)*D192,(VLOOKUP($B192,Ingredient_prices!$E:$P,12,FALSE)*D192)),""))</f>
        <v/>
      </c>
      <c r="G192" s="450" t="str">
        <f>IF(C192="","",_xlfn.IFNA(MID(VLOOKUP($B192,Ingredient_prices!$E:$F,2,FALSE),9,2),""))</f>
        <v/>
      </c>
      <c r="H192" s="447" t="str">
        <f>_xlfn.IFNA(VLOOKUP(CONCATENATE($I$9,$G192),Ingredient_prices!$G:$N,8,FALSE),"")</f>
        <v/>
      </c>
      <c r="I192" s="548" t="str">
        <f t="shared" si="13"/>
        <v/>
      </c>
      <c r="J192" s="695" t="str">
        <f>IF(N192="","",MID(Ingredient_prices!F186,9,2))</f>
        <v/>
      </c>
      <c r="K192" s="692" t="str">
        <f t="shared" si="11"/>
        <v/>
      </c>
      <c r="L192" s="692" t="str">
        <f>IF(N192="","",COUNTIF($P$10:$P$256,"&lt;"&amp;P192)+COUNTIF($P$10:P192,P192))</f>
        <v/>
      </c>
      <c r="M192" s="692" t="str">
        <f>IF(Ingredient_prices!E186=M191,"",Ingredient_prices!E186)</f>
        <v>Whole milk powder</v>
      </c>
      <c r="N192" s="693" t="str">
        <f>_xlfn.IFNA(VLOOKUP($M192,Sedmica_1_količina_sva_sastojak!$C:$F,4,FALSE),"")</f>
        <v/>
      </c>
      <c r="O192" s="696" t="str">
        <f>IF(N192="","",COUNTIF($P$10:$P$256,"&lt;"&amp;P192)+COUNTIF($P$10:P192,P192))</f>
        <v/>
      </c>
      <c r="P192" s="694" t="str">
        <f t="shared" si="12"/>
        <v/>
      </c>
    </row>
    <row r="193" spans="1:16">
      <c r="A193" s="470">
        <v>184</v>
      </c>
      <c r="B193" s="1248" t="str">
        <f>IF($B$8=1,_xlfn.IFNA(VLOOKUP($A193,$L:$N,2,FALSE),""),_xlfn.IFNA(VLOOKUP($A193,Sedmica_2_količina_namirnica!$L:$N,2,FALSE),""))</f>
        <v/>
      </c>
      <c r="C193" s="448" t="str">
        <f>IF($B$8=1,_xlfn.IFNA(VLOOKUP($A193,$L:$N,3,FALSE)-0.0001,""),_xlfn.IFNA(VLOOKUP($A193,Sedmica_2_količina_namirnica!$L:$N,3,FALSE)-0.0001,""))</f>
        <v/>
      </c>
      <c r="D193" s="446" t="str">
        <f>IF(B193="Jaje kokošje, celo",IF(C193=INT(C193),C193,C193+1),IF(B193=""," ",_xlfn.IFNA(INT(C193*1000/(VLOOKUP($B193,Ingredient_prices!$E:$J,6,FALSE)))+1,"nije nabavljen")))</f>
        <v xml:space="preserve"> </v>
      </c>
      <c r="E193" s="446" t="str">
        <f>IF(C193="","",VLOOKUP($B193,Ingredient_prices!$E:$K,7,FALSE))</f>
        <v/>
      </c>
      <c r="F193" s="462" t="str">
        <f>IF(C193="","",IFERROR(IF(OR(E193="кг",E193="л"),VLOOKUP($B193,Ingredient_prices!$E:$V,16,FALSE)*D193,(VLOOKUP($B193,Ingredient_prices!$E:$P,12,FALSE)*D193)),""))</f>
        <v/>
      </c>
      <c r="G193" s="450" t="str">
        <f>IF(C193="","",_xlfn.IFNA(MID(VLOOKUP($B193,Ingredient_prices!$E:$F,2,FALSE),9,2),""))</f>
        <v/>
      </c>
      <c r="H193" s="447" t="str">
        <f>_xlfn.IFNA(VLOOKUP(CONCATENATE($I$9,$G193),Ingredient_prices!$G:$N,8,FALSE),"")</f>
        <v/>
      </c>
      <c r="I193" s="548" t="str">
        <f t="shared" si="13"/>
        <v/>
      </c>
      <c r="J193" s="695" t="str">
        <f>IF(N193="","",MID(Ingredient_prices!F187,9,2))</f>
        <v/>
      </c>
      <c r="K193" s="692" t="str">
        <f t="shared" si="11"/>
        <v/>
      </c>
      <c r="L193" s="692" t="str">
        <f>IF(N193="","",COUNTIF($P$10:$P$256,"&lt;"&amp;P193)+COUNTIF($P$10:P193,P193))</f>
        <v/>
      </c>
      <c r="M193" s="692" t="str">
        <f>IF(Ingredient_prices!E187=M192,"",Ingredient_prices!E187)</f>
        <v>Parsley leaf, fresh</v>
      </c>
      <c r="N193" s="693" t="str">
        <f>_xlfn.IFNA(VLOOKUP($M193,Sedmica_1_količina_sva_sastojak!$C:$F,4,FALSE),"")</f>
        <v/>
      </c>
      <c r="O193" s="696" t="str">
        <f>IF(N193="","",COUNTIF($P$10:$P$256,"&lt;"&amp;P193)+COUNTIF($P$10:P193,P193))</f>
        <v/>
      </c>
      <c r="P193" s="694" t="str">
        <f t="shared" si="12"/>
        <v/>
      </c>
    </row>
    <row r="194" spans="1:16">
      <c r="A194" s="470">
        <v>185</v>
      </c>
      <c r="B194" s="1248" t="str">
        <f>IF($B$8=1,_xlfn.IFNA(VLOOKUP($A194,$L:$N,2,FALSE),""),_xlfn.IFNA(VLOOKUP($A194,Sedmica_2_količina_namirnica!$L:$N,2,FALSE),""))</f>
        <v/>
      </c>
      <c r="C194" s="448" t="str">
        <f>IF($B$8=1,_xlfn.IFNA(VLOOKUP($A194,$L:$N,3,FALSE)-0.0001,""),_xlfn.IFNA(VLOOKUP($A194,Sedmica_2_količina_namirnica!$L:$N,3,FALSE)-0.0001,""))</f>
        <v/>
      </c>
      <c r="D194" s="446" t="str">
        <f>IF(B194="Jaje kokošje, celo",IF(C194=INT(C194),C194,C194+1),IF(B194=""," ",_xlfn.IFNA(INT(C194*1000/(VLOOKUP($B194,Ingredient_prices!$E:$J,6,FALSE)))+1,"nije nabavljen")))</f>
        <v xml:space="preserve"> </v>
      </c>
      <c r="E194" s="446" t="str">
        <f>IF(C194="","",VLOOKUP($B194,Ingredient_prices!$E:$K,7,FALSE))</f>
        <v/>
      </c>
      <c r="F194" s="462" t="str">
        <f>IF(C194="","",IFERROR(IF(OR(E194="кг",E194="л"),VLOOKUP($B194,Ingredient_prices!$E:$V,16,FALSE)*D194,(VLOOKUP($B194,Ingredient_prices!$E:$P,12,FALSE)*D194)),""))</f>
        <v/>
      </c>
      <c r="G194" s="450" t="str">
        <f>IF(C194="","",_xlfn.IFNA(MID(VLOOKUP($B194,Ingredient_prices!$E:$F,2,FALSE),9,2),""))</f>
        <v/>
      </c>
      <c r="H194" s="447" t="str">
        <f>_xlfn.IFNA(VLOOKUP(CONCATENATE($I$9,$G194),Ingredient_prices!$G:$N,8,FALSE),"")</f>
        <v/>
      </c>
      <c r="I194" s="548" t="str">
        <f t="shared" si="13"/>
        <v/>
      </c>
      <c r="J194" s="695" t="str">
        <f>IF(N194="","",MID(Ingredient_prices!F188,9,2))</f>
        <v/>
      </c>
      <c r="K194" s="692" t="str">
        <f t="shared" si="11"/>
        <v/>
      </c>
      <c r="L194" s="692" t="str">
        <f>IF(N194="","",COUNTIF($P$10:$P$256,"&lt;"&amp;P194)+COUNTIF($P$10:P194,P194))</f>
        <v/>
      </c>
      <c r="M194" s="692" t="str">
        <f>IF(Ingredient_prices!E188=M193,"",Ingredient_prices!E188)</f>
        <v>Beetroot fresh</v>
      </c>
      <c r="N194" s="693" t="str">
        <f>_xlfn.IFNA(VLOOKUP($M194,Sedmica_1_količina_sva_sastojak!$C:$F,4,FALSE),"")</f>
        <v/>
      </c>
      <c r="O194" s="696" t="str">
        <f>IF(N194="","",COUNTIF($P$10:$P$256,"&lt;"&amp;P194)+COUNTIF($P$10:P194,P194))</f>
        <v/>
      </c>
      <c r="P194" s="694" t="str">
        <f t="shared" si="12"/>
        <v/>
      </c>
    </row>
    <row r="195" spans="1:16">
      <c r="A195" s="470">
        <v>186</v>
      </c>
      <c r="B195" s="1248" t="str">
        <f>IF($B$8=1,_xlfn.IFNA(VLOOKUP($A195,$L:$N,2,FALSE),""),_xlfn.IFNA(VLOOKUP($A195,Sedmica_2_količina_namirnica!$L:$N,2,FALSE),""))</f>
        <v/>
      </c>
      <c r="C195" s="448" t="str">
        <f>IF($B$8=1,_xlfn.IFNA(VLOOKUP($A195,$L:$N,3,FALSE)-0.0001,""),_xlfn.IFNA(VLOOKUP($A195,Sedmica_2_količina_namirnica!$L:$N,3,FALSE)-0.0001,""))</f>
        <v/>
      </c>
      <c r="D195" s="446" t="str">
        <f>IF(B195="Jaje kokošje, celo",IF(C195=INT(C195),C195,C195+1),IF(B195=""," ",_xlfn.IFNA(INT(C195*1000/(VLOOKUP($B195,Ingredient_prices!$E:$J,6,FALSE)))+1,"nije nabavljen")))</f>
        <v xml:space="preserve"> </v>
      </c>
      <c r="E195" s="446" t="str">
        <f>IF(C195="","",VLOOKUP($B195,Ingredient_prices!$E:$K,7,FALSE))</f>
        <v/>
      </c>
      <c r="F195" s="462" t="str">
        <f>IF(C195="","",IFERROR(IF(OR(E195="кг",E195="л"),VLOOKUP($B195,Ingredient_prices!$E:$V,16,FALSE)*D195,(VLOOKUP($B195,Ingredient_prices!$E:$P,12,FALSE)*D195)),""))</f>
        <v/>
      </c>
      <c r="G195" s="450" t="str">
        <f>IF(C195="","",_xlfn.IFNA(MID(VLOOKUP($B195,Ingredient_prices!$E:$F,2,FALSE),9,2),""))</f>
        <v/>
      </c>
      <c r="H195" s="447" t="str">
        <f>_xlfn.IFNA(VLOOKUP(CONCATENATE($I$9,$G195),Ingredient_prices!$G:$N,8,FALSE),"")</f>
        <v/>
      </c>
      <c r="I195" s="548" t="str">
        <f t="shared" si="13"/>
        <v/>
      </c>
      <c r="J195" s="695" t="str">
        <f>IF(N195="","",MID(Ingredient_prices!F189,9,2))</f>
        <v/>
      </c>
      <c r="K195" s="692" t="str">
        <f t="shared" si="11"/>
        <v/>
      </c>
      <c r="L195" s="692" t="str">
        <f>IF(N195="","",COUNTIF($P$10:$P$256,"&lt;"&amp;P195)+COUNTIF($P$10:P195,P195))</f>
        <v/>
      </c>
      <c r="M195" s="692" t="str">
        <f>IF(Ingredient_prices!E189=M194,"",Ingredient_prices!E189)</f>
        <v>Hake breaded (fillets)</v>
      </c>
      <c r="N195" s="693" t="str">
        <f>_xlfn.IFNA(VLOOKUP($M195,Sedmica_1_količina_sva_sastojak!$C:$F,4,FALSE),"")</f>
        <v/>
      </c>
      <c r="O195" s="696" t="str">
        <f>IF(N195="","",COUNTIF($P$10:$P$256,"&lt;"&amp;P195)+COUNTIF($P$10:P195,P195))</f>
        <v/>
      </c>
      <c r="P195" s="694" t="str">
        <f t="shared" si="12"/>
        <v/>
      </c>
    </row>
    <row r="196" spans="1:16">
      <c r="A196" s="470">
        <v>187</v>
      </c>
      <c r="B196" s="1248" t="str">
        <f>IF($B$8=1,_xlfn.IFNA(VLOOKUP($A196,$L:$N,2,FALSE),""),_xlfn.IFNA(VLOOKUP($A196,Sedmica_2_količina_namirnica!$L:$N,2,FALSE),""))</f>
        <v/>
      </c>
      <c r="C196" s="448" t="str">
        <f>IF($B$8=1,_xlfn.IFNA(VLOOKUP($A196,$L:$N,3,FALSE)-0.0001,""),_xlfn.IFNA(VLOOKUP($A196,Sedmica_2_količina_namirnica!$L:$N,3,FALSE)-0.0001,""))</f>
        <v/>
      </c>
      <c r="D196" s="446" t="str">
        <f>IF(B196="Jaje kokošje, celo",IF(C196=INT(C196),C196,C196+1),IF(B196=""," ",_xlfn.IFNA(INT(C196*1000/(VLOOKUP($B196,Ingredient_prices!$E:$J,6,FALSE)))+1,"nije nabavljen")))</f>
        <v xml:space="preserve"> </v>
      </c>
      <c r="E196" s="446" t="str">
        <f>IF(C196="","",VLOOKUP($B196,Ingredient_prices!$E:$K,7,FALSE))</f>
        <v/>
      </c>
      <c r="F196" s="462" t="str">
        <f>IF(C196="","",IFERROR(IF(OR(E196="кг",E196="л"),VLOOKUP($B196,Ingredient_prices!$E:$V,16,FALSE)*D196,(VLOOKUP($B196,Ingredient_prices!$E:$P,12,FALSE)*D196)),""))</f>
        <v/>
      </c>
      <c r="G196" s="450" t="str">
        <f>IF(C196="","",_xlfn.IFNA(MID(VLOOKUP($B196,Ingredient_prices!$E:$F,2,FALSE),9,2),""))</f>
        <v/>
      </c>
      <c r="H196" s="447" t="str">
        <f>_xlfn.IFNA(VLOOKUP(CONCATENATE($I$9,$G196),Ingredient_prices!$G:$N,8,FALSE),"")</f>
        <v/>
      </c>
      <c r="I196" s="548" t="str">
        <f t="shared" si="13"/>
        <v/>
      </c>
      <c r="J196" s="695" t="str">
        <f>IF(N196="","",MID(Ingredient_prices!F190,9,2))</f>
        <v/>
      </c>
      <c r="K196" s="692" t="str">
        <f t="shared" si="11"/>
        <v/>
      </c>
      <c r="L196" s="692" t="str">
        <f>IF(N196="","",COUNTIF($P$10:$P$256,"&lt;"&amp;P196)+COUNTIF($P$10:P196,P196))</f>
        <v/>
      </c>
      <c r="M196" s="692" t="str">
        <f>IF(Ingredient_prices!E190=M195,"",Ingredient_prices!E190)</f>
        <v>Whey powder</v>
      </c>
      <c r="N196" s="693" t="str">
        <f>_xlfn.IFNA(VLOOKUP($M196,Sedmica_1_količina_sva_sastojak!$C:$F,4,FALSE),"")</f>
        <v/>
      </c>
      <c r="O196" s="696" t="str">
        <f>IF(N196="","",COUNTIF($P$10:$P$256,"&lt;"&amp;P196)+COUNTIF($P$10:P196,P196))</f>
        <v/>
      </c>
      <c r="P196" s="694" t="str">
        <f t="shared" si="12"/>
        <v/>
      </c>
    </row>
    <row r="197" spans="1:16">
      <c r="A197" s="470">
        <v>188</v>
      </c>
      <c r="B197" s="1248" t="str">
        <f>IF($B$8=1,_xlfn.IFNA(VLOOKUP($A197,$L:$N,2,FALSE),""),_xlfn.IFNA(VLOOKUP($A197,Sedmica_2_količina_namirnica!$L:$N,2,FALSE),""))</f>
        <v/>
      </c>
      <c r="C197" s="448" t="str">
        <f>IF($B$8=1,_xlfn.IFNA(VLOOKUP($A197,$L:$N,3,FALSE)-0.0001,""),_xlfn.IFNA(VLOOKUP($A197,Sedmica_2_količina_namirnica!$L:$N,3,FALSE)-0.0001,""))</f>
        <v/>
      </c>
      <c r="D197" s="446" t="str">
        <f>IF(B197="Jaje kokošje, celo",IF(C197=INT(C197),C197,C197+1),IF(B197=""," ",_xlfn.IFNA(INT(C197*1000/(VLOOKUP($B197,Ingredient_prices!$E:$J,6,FALSE)))+1,"nije nabavljen")))</f>
        <v xml:space="preserve"> </v>
      </c>
      <c r="E197" s="446" t="str">
        <f>IF(C197="","",VLOOKUP($B197,Ingredient_prices!$E:$K,7,FALSE))</f>
        <v/>
      </c>
      <c r="F197" s="462" t="str">
        <f>IF(C197="","",IFERROR(IF(OR(E197="кг",E197="л"),VLOOKUP($B197,Ingredient_prices!$E:$V,16,FALSE)*D197,(VLOOKUP($B197,Ingredient_prices!$E:$P,12,FALSE)*D197)),""))</f>
        <v/>
      </c>
      <c r="G197" s="450" t="str">
        <f>IF(C197="","",_xlfn.IFNA(MID(VLOOKUP($B197,Ingredient_prices!$E:$F,2,FALSE),9,2),""))</f>
        <v/>
      </c>
      <c r="H197" s="447" t="str">
        <f>_xlfn.IFNA(VLOOKUP(CONCATENATE($I$9,$G197),Ingredient_prices!$G:$N,8,FALSE),"")</f>
        <v/>
      </c>
      <c r="I197" s="548" t="str">
        <f t="shared" si="13"/>
        <v/>
      </c>
      <c r="J197" s="695" t="str">
        <f>IF(N197="","",MID(Ingredient_prices!F191,9,2))</f>
        <v/>
      </c>
      <c r="K197" s="692" t="str">
        <f t="shared" si="11"/>
        <v/>
      </c>
      <c r="L197" s="692" t="str">
        <f>IF(N197="","",COUNTIF($P$10:$P$256,"&lt;"&amp;P197)+COUNTIF($P$10:P197,P197))</f>
        <v/>
      </c>
      <c r="M197" s="692" t="str">
        <f>IF(Ingredient_prices!E191=M196,"",Ingredient_prices!E191)</f>
        <v>Mixed salad, canned</v>
      </c>
      <c r="N197" s="693" t="str">
        <f>_xlfn.IFNA(VLOOKUP($M197,Sedmica_1_količina_sva_sastojak!$C:$F,4,FALSE),"")</f>
        <v/>
      </c>
      <c r="O197" s="696" t="str">
        <f>IF(N197="","",COUNTIF($P$10:$P$256,"&lt;"&amp;P197)+COUNTIF($P$10:P197,P197))</f>
        <v/>
      </c>
      <c r="P197" s="694" t="str">
        <f t="shared" si="12"/>
        <v/>
      </c>
    </row>
    <row r="198" spans="1:16">
      <c r="A198" s="470">
        <v>189</v>
      </c>
      <c r="B198" s="1248" t="str">
        <f>IF($B$8=1,_xlfn.IFNA(VLOOKUP($A198,$L:$N,2,FALSE),""),_xlfn.IFNA(VLOOKUP($A198,Sedmica_2_količina_namirnica!$L:$N,2,FALSE),""))</f>
        <v/>
      </c>
      <c r="C198" s="448" t="str">
        <f>IF($B$8=1,_xlfn.IFNA(VLOOKUP($A198,$L:$N,3,FALSE)-0.0001,""),_xlfn.IFNA(VLOOKUP($A198,Sedmica_2_količina_namirnica!$L:$N,3,FALSE)-0.0001,""))</f>
        <v/>
      </c>
      <c r="D198" s="446" t="str">
        <f>IF(B198="Jaje kokošje, celo",IF(C198=INT(C198),C198,C198+1),IF(B198=""," ",_xlfn.IFNA(INT(C198*1000/(VLOOKUP($B198,Ingredient_prices!$E:$J,6,FALSE)))+1,"nije nabavljen")))</f>
        <v xml:space="preserve"> </v>
      </c>
      <c r="E198" s="446" t="str">
        <f>IF(C198="","",VLOOKUP($B198,Ingredient_prices!$E:$K,7,FALSE))</f>
        <v/>
      </c>
      <c r="F198" s="462" t="str">
        <f>IF(C198="","",IFERROR(IF(OR(E198="кг",E198="л"),VLOOKUP($B198,Ingredient_prices!$E:$V,16,FALSE)*D198,(VLOOKUP($B198,Ingredient_prices!$E:$P,12,FALSE)*D198)),""))</f>
        <v/>
      </c>
      <c r="G198" s="450" t="str">
        <f>IF(C198="","",_xlfn.IFNA(MID(VLOOKUP($B198,Ingredient_prices!$E:$F,2,FALSE),9,2),""))</f>
        <v/>
      </c>
      <c r="H198" s="447" t="str">
        <f>_xlfn.IFNA(VLOOKUP(CONCATENATE($I$9,$G198),Ingredient_prices!$G:$N,8,FALSE),"")</f>
        <v/>
      </c>
      <c r="I198" s="548" t="str">
        <f t="shared" si="13"/>
        <v/>
      </c>
      <c r="J198" s="695" t="str">
        <f>IF(N198="","",MID(Ingredient_prices!F192,9,2))</f>
        <v/>
      </c>
      <c r="K198" s="692" t="str">
        <f t="shared" si="11"/>
        <v/>
      </c>
      <c r="L198" s="692" t="str">
        <f>IF(N198="","",COUNTIF($P$10:$P$256,"&lt;"&amp;P198)+COUNTIF($P$10:P198,P198))</f>
        <v/>
      </c>
      <c r="M198" s="692" t="str">
        <f>IF(Ingredient_prices!E192=M197,"",Ingredient_prices!E192)</f>
        <v>Oats</v>
      </c>
      <c r="N198" s="693" t="str">
        <f>_xlfn.IFNA(VLOOKUP($M198,Sedmica_1_količina_sva_sastojak!$C:$F,4,FALSE),"")</f>
        <v/>
      </c>
      <c r="O198" s="696" t="str">
        <f>IF(N198="","",COUNTIF($P$10:$P$256,"&lt;"&amp;P198)+COUNTIF($P$10:P198,P198))</f>
        <v/>
      </c>
      <c r="P198" s="694" t="str">
        <f t="shared" si="12"/>
        <v/>
      </c>
    </row>
    <row r="199" spans="1:16">
      <c r="A199" s="470">
        <v>190</v>
      </c>
      <c r="B199" s="1248" t="str">
        <f>IF($B$8=1,_xlfn.IFNA(VLOOKUP($A199,$L:$N,2,FALSE),""),_xlfn.IFNA(VLOOKUP($A199,Sedmica_2_količina_namirnica!$L:$N,2,FALSE),""))</f>
        <v/>
      </c>
      <c r="C199" s="448" t="str">
        <f>IF($B$8=1,_xlfn.IFNA(VLOOKUP($A199,$L:$N,3,FALSE)-0.0001,""),_xlfn.IFNA(VLOOKUP($A199,Sedmica_2_količina_namirnica!$L:$N,3,FALSE)-0.0001,""))</f>
        <v/>
      </c>
      <c r="D199" s="446" t="str">
        <f>IF(B199="Jaje kokošje, celo",IF(C199=INT(C199),C199,C199+1),IF(B199=""," ",_xlfn.IFNA(INT(C199*1000/(VLOOKUP($B199,Ingredient_prices!$E:$J,6,FALSE)))+1,"nije nabavljen")))</f>
        <v xml:space="preserve"> </v>
      </c>
      <c r="E199" s="446" t="str">
        <f>IF(C199="","",VLOOKUP($B199,Ingredient_prices!$E:$K,7,FALSE))</f>
        <v/>
      </c>
      <c r="F199" s="462" t="str">
        <f>IF(C199="","",IFERROR(IF(OR(E199="кг",E199="л"),VLOOKUP($B199,Ingredient_prices!$E:$V,16,FALSE)*D199,(VLOOKUP($B199,Ingredient_prices!$E:$P,12,FALSE)*D199)),""))</f>
        <v/>
      </c>
      <c r="G199" s="450" t="str">
        <f>IF(C199="","",_xlfn.IFNA(MID(VLOOKUP($B199,Ingredient_prices!$E:$F,2,FALSE),9,2),""))</f>
        <v/>
      </c>
      <c r="H199" s="447" t="str">
        <f>_xlfn.IFNA(VLOOKUP(CONCATENATE($I$9,$G199),Ingredient_prices!$G:$N,8,FALSE),"")</f>
        <v/>
      </c>
      <c r="I199" s="548" t="str">
        <f t="shared" si="13"/>
        <v/>
      </c>
      <c r="J199" s="695" t="str">
        <f>IF(N199="","",MID(Ingredient_prices!F193,9,2))</f>
        <v/>
      </c>
      <c r="K199" s="692" t="str">
        <f t="shared" si="11"/>
        <v/>
      </c>
      <c r="L199" s="692" t="str">
        <f>IF(N199="","",COUNTIF($P$10:$P$256,"&lt;"&amp;P199)+COUNTIF($P$10:P199,P199))</f>
        <v/>
      </c>
      <c r="M199" s="692" t="str">
        <f>IF(Ingredient_prices!E193=M198,"",Ingredient_prices!E193)</f>
        <v>Instant mashed potatoes</v>
      </c>
      <c r="N199" s="693" t="str">
        <f>_xlfn.IFNA(VLOOKUP($M199,Sedmica_1_količina_sva_sastojak!$C:$F,4,FALSE),"")</f>
        <v/>
      </c>
      <c r="O199" s="696" t="str">
        <f>IF(N199="","",COUNTIF($P$10:$P$256,"&lt;"&amp;P199)+COUNTIF($P$10:P199,P199))</f>
        <v/>
      </c>
      <c r="P199" s="694" t="str">
        <f t="shared" si="12"/>
        <v/>
      </c>
    </row>
    <row r="200" spans="1:16">
      <c r="A200" s="470">
        <v>191</v>
      </c>
      <c r="B200" s="1248" t="str">
        <f>IF($B$8=1,_xlfn.IFNA(VLOOKUP($A200,$L:$N,2,FALSE),""),_xlfn.IFNA(VLOOKUP($A200,Sedmica_2_količina_namirnica!$L:$N,2,FALSE),""))</f>
        <v/>
      </c>
      <c r="C200" s="448" t="str">
        <f>IF($B$8=1,_xlfn.IFNA(VLOOKUP($A200,$L:$N,3,FALSE)-0.0001,""),_xlfn.IFNA(VLOOKUP($A200,Sedmica_2_količina_namirnica!$L:$N,3,FALSE)-0.0001,""))</f>
        <v/>
      </c>
      <c r="D200" s="446" t="str">
        <f>IF(B200="Jaje kokošje, celo",IF(C200=INT(C200),C200,C200+1),IF(B200=""," ",_xlfn.IFNA(INT(C200*1000/(VLOOKUP($B200,Ingredient_prices!$E:$J,6,FALSE)))+1,"nije nabavljen")))</f>
        <v xml:space="preserve"> </v>
      </c>
      <c r="E200" s="446" t="str">
        <f>IF(C200="","",VLOOKUP($B200,Ingredient_prices!$E:$K,7,FALSE))</f>
        <v/>
      </c>
      <c r="F200" s="462" t="str">
        <f>IF(C200="","",IFERROR(IF(OR(E200="кг",E200="л"),VLOOKUP($B200,Ingredient_prices!$E:$V,16,FALSE)*D200,(VLOOKUP($B200,Ingredient_prices!$E:$P,12,FALSE)*D200)),""))</f>
        <v/>
      </c>
      <c r="G200" s="450" t="str">
        <f>IF(C200="","",_xlfn.IFNA(MID(VLOOKUP($B200,Ingredient_prices!$E:$F,2,FALSE),9,2),""))</f>
        <v/>
      </c>
      <c r="H200" s="447" t="str">
        <f>_xlfn.IFNA(VLOOKUP(CONCATENATE($I$9,$G200),Ingredient_prices!$G:$N,8,FALSE),"")</f>
        <v/>
      </c>
      <c r="I200" s="548" t="str">
        <f t="shared" si="13"/>
        <v/>
      </c>
      <c r="J200" s="695" t="str">
        <f>IF(N200="","",MID(Ingredient_prices!F194,9,2))</f>
        <v/>
      </c>
      <c r="K200" s="692" t="str">
        <f t="shared" si="11"/>
        <v/>
      </c>
      <c r="L200" s="692" t="str">
        <f>IF(N200="","",COUNTIF($P$10:$P$256,"&lt;"&amp;P200)+COUNTIF($P$10:P200,P200))</f>
        <v/>
      </c>
      <c r="M200" s="692" t="str">
        <f>IF(Ingredient_prices!E194=M199,"",Ingredient_prices!E194)</f>
        <v>Wheat flour wholemeal</v>
      </c>
      <c r="N200" s="693" t="str">
        <f>_xlfn.IFNA(VLOOKUP($M200,Sedmica_1_količina_sva_sastojak!$C:$F,4,FALSE),"")</f>
        <v/>
      </c>
      <c r="O200" s="696" t="str">
        <f>IF(N200="","",COUNTIF($P$10:$P$256,"&lt;"&amp;P200)+COUNTIF($P$10:P200,P200))</f>
        <v/>
      </c>
      <c r="P200" s="694" t="str">
        <f t="shared" si="12"/>
        <v/>
      </c>
    </row>
    <row r="201" spans="1:16">
      <c r="A201" s="470">
        <v>192</v>
      </c>
      <c r="B201" s="1248" t="str">
        <f>IF($B$8=1,_xlfn.IFNA(VLOOKUP($A201,$L:$N,2,FALSE),""),_xlfn.IFNA(VLOOKUP($A201,Sedmica_2_količina_namirnica!$L:$N,2,FALSE),""))</f>
        <v/>
      </c>
      <c r="C201" s="448" t="str">
        <f>IF($B$8=1,_xlfn.IFNA(VLOOKUP($A201,$L:$N,3,FALSE)-0.0001,""),_xlfn.IFNA(VLOOKUP($A201,Sedmica_2_količina_namirnica!$L:$N,3,FALSE)-0.0001,""))</f>
        <v/>
      </c>
      <c r="D201" s="446" t="str">
        <f>IF(B201="Jaje kokošje, celo",IF(C201=INT(C201),C201,C201+1),IF(B201=""," ",_xlfn.IFNA(INT(C201*1000/(VLOOKUP($B201,Ingredient_prices!$E:$J,6,FALSE)))+1,"nije nabavljen")))</f>
        <v xml:space="preserve"> </v>
      </c>
      <c r="E201" s="446" t="str">
        <f>IF(C201="","",VLOOKUP($B201,Ingredient_prices!$E:$K,7,FALSE))</f>
        <v/>
      </c>
      <c r="F201" s="462" t="str">
        <f>IF(C201="","",IFERROR(IF(OR(E201="кг",E201="л"),VLOOKUP($B201,Ingredient_prices!$E:$V,16,FALSE)*D201,(VLOOKUP($B201,Ingredient_prices!$E:$P,12,FALSE)*D201)),""))</f>
        <v/>
      </c>
      <c r="G201" s="450" t="str">
        <f>IF(C201="","",_xlfn.IFNA(MID(VLOOKUP($B201,Ingredient_prices!$E:$F,2,FALSE),9,2),""))</f>
        <v/>
      </c>
      <c r="H201" s="447" t="str">
        <f>_xlfn.IFNA(VLOOKUP(CONCATENATE($I$9,$G201),Ingredient_prices!$G:$N,8,FALSE),"")</f>
        <v/>
      </c>
      <c r="I201" s="548" t="str">
        <f t="shared" si="13"/>
        <v/>
      </c>
      <c r="J201" s="695" t="str">
        <f>IF(N201="","",MID(Ingredient_prices!F195,9,2))</f>
        <v/>
      </c>
      <c r="K201" s="692" t="str">
        <f t="shared" si="11"/>
        <v/>
      </c>
      <c r="L201" s="692" t="str">
        <f>IF(N201="","",COUNTIF($P$10:$P$256,"&lt;"&amp;P201)+COUNTIF($P$10:P201,P201))</f>
        <v/>
      </c>
      <c r="M201" s="692" t="str">
        <f>IF(Ingredient_prices!E195=M200,"",Ingredient_prices!E195)</f>
        <v>Peppers red, sweet</v>
      </c>
      <c r="N201" s="693" t="str">
        <f>_xlfn.IFNA(VLOOKUP($M201,Sedmica_1_količina_sva_sastojak!$C:$F,4,FALSE),"")</f>
        <v/>
      </c>
      <c r="O201" s="696" t="str">
        <f>IF(N201="","",COUNTIF($P$10:$P$256,"&lt;"&amp;P201)+COUNTIF($P$10:P201,P201))</f>
        <v/>
      </c>
      <c r="P201" s="694" t="str">
        <f t="shared" si="12"/>
        <v/>
      </c>
    </row>
    <row r="202" spans="1:16">
      <c r="A202" s="470">
        <v>193</v>
      </c>
      <c r="B202" s="1248" t="str">
        <f>IF($B$8=1,_xlfn.IFNA(VLOOKUP($A202,$L:$N,2,FALSE),""),_xlfn.IFNA(VLOOKUP($A202,Sedmica_2_količina_namirnica!$L:$N,2,FALSE),""))</f>
        <v/>
      </c>
      <c r="C202" s="448" t="str">
        <f>IF($B$8=1,_xlfn.IFNA(VLOOKUP($A202,$L:$N,3,FALSE)-0.0001,""),_xlfn.IFNA(VLOOKUP($A202,Sedmica_2_količina_namirnica!$L:$N,3,FALSE)-0.0001,""))</f>
        <v/>
      </c>
      <c r="D202" s="446" t="str">
        <f>IF(B202="Jaje kokošje, celo",IF(C202=INT(C202),C202,C202+1),IF(B202=""," ",_xlfn.IFNA(INT(C202*1000/(VLOOKUP($B202,Ingredient_prices!$E:$J,6,FALSE)))+1,"nije nabavljen")))</f>
        <v xml:space="preserve"> </v>
      </c>
      <c r="E202" s="446" t="str">
        <f>IF(C202="","",VLOOKUP($B202,Ingredient_prices!$E:$K,7,FALSE))</f>
        <v/>
      </c>
      <c r="F202" s="462" t="str">
        <f>IF(C202="","",IFERROR(IF(OR(E202="кг",E202="л"),VLOOKUP($B202,Ingredient_prices!$E:$V,16,FALSE)*D202,(VLOOKUP($B202,Ingredient_prices!$E:$P,12,FALSE)*D202)),""))</f>
        <v/>
      </c>
      <c r="G202" s="450" t="str">
        <f>IF(C202="","",_xlfn.IFNA(MID(VLOOKUP($B202,Ingredient_prices!$E:$F,2,FALSE),9,2),""))</f>
        <v/>
      </c>
      <c r="H202" s="447" t="str">
        <f>_xlfn.IFNA(VLOOKUP(CONCATENATE($I$9,$G202),Ingredient_prices!$G:$N,8,FALSE),"")</f>
        <v/>
      </c>
      <c r="I202" s="548" t="str">
        <f t="shared" si="13"/>
        <v/>
      </c>
      <c r="J202" s="695" t="str">
        <f>IF(N202="","",MID(Ingredient_prices!F196,9,2))</f>
        <v/>
      </c>
      <c r="K202" s="692" t="str">
        <f t="shared" si="11"/>
        <v/>
      </c>
      <c r="L202" s="692" t="str">
        <f>IF(N202="","",COUNTIF($P$10:$P$256,"&lt;"&amp;P202)+COUNTIF($P$10:P202,P202))</f>
        <v/>
      </c>
      <c r="M202" s="692" t="str">
        <f>IF(Ingredient_prices!E196=M201,"",Ingredient_prices!E196)</f>
        <v>Peppers pickled</v>
      </c>
      <c r="N202" s="693" t="str">
        <f>_xlfn.IFNA(VLOOKUP($M202,Sedmica_1_količina_sva_sastojak!$C:$F,4,FALSE),"")</f>
        <v/>
      </c>
      <c r="O202" s="696" t="str">
        <f>IF(N202="","",COUNTIF($P$10:$P$256,"&lt;"&amp;P202)+COUNTIF($P$10:P202,P202))</f>
        <v/>
      </c>
      <c r="P202" s="694" t="str">
        <f t="shared" si="12"/>
        <v/>
      </c>
    </row>
    <row r="203" spans="1:16">
      <c r="A203" s="470">
        <v>194</v>
      </c>
      <c r="B203" s="1248" t="str">
        <f>IF($B$8=1,_xlfn.IFNA(VLOOKUP($A203,$L:$N,2,FALSE),""),_xlfn.IFNA(VLOOKUP($A203,Sedmica_2_količina_namirnica!$L:$N,2,FALSE),""))</f>
        <v/>
      </c>
      <c r="C203" s="448" t="str">
        <f>IF($B$8=1,_xlfn.IFNA(VLOOKUP($A203,$L:$N,3,FALSE)-0.0001,""),_xlfn.IFNA(VLOOKUP($A203,Sedmica_2_količina_namirnica!$L:$N,3,FALSE)-0.0001,""))</f>
        <v/>
      </c>
      <c r="D203" s="446" t="str">
        <f>IF(B203="Jaje kokošje, celo",IF(C203=INT(C203),C203,C203+1),IF(B203=""," ",_xlfn.IFNA(INT(C203*1000/(VLOOKUP($B203,Ingredient_prices!$E:$J,6,FALSE)))+1,"nije nabavljen")))</f>
        <v xml:space="preserve"> </v>
      </c>
      <c r="E203" s="446" t="str">
        <f>IF(C203="","",VLOOKUP($B203,Ingredient_prices!$E:$K,7,FALSE))</f>
        <v/>
      </c>
      <c r="F203" s="462" t="str">
        <f>IF(C203="","",IFERROR(IF(OR(E203="кг",E203="л"),VLOOKUP($B203,Ingredient_prices!$E:$V,16,FALSE)*D203,(VLOOKUP($B203,Ingredient_prices!$E:$P,12,FALSE)*D203)),""))</f>
        <v/>
      </c>
      <c r="G203" s="450" t="str">
        <f>IF(C203="","",_xlfn.IFNA(MID(VLOOKUP($B203,Ingredient_prices!$E:$F,2,FALSE),9,2),""))</f>
        <v/>
      </c>
      <c r="H203" s="447" t="str">
        <f>_xlfn.IFNA(VLOOKUP(CONCATENATE($I$9,$G203),Ingredient_prices!$G:$N,8,FALSE),"")</f>
        <v/>
      </c>
      <c r="I203" s="548" t="str">
        <f t="shared" si="13"/>
        <v/>
      </c>
      <c r="J203" s="695" t="str">
        <f>IF(N203="","",MID(Ingredient_prices!F197,9,2))</f>
        <v/>
      </c>
      <c r="K203" s="692" t="str">
        <f t="shared" si="11"/>
        <v/>
      </c>
      <c r="L203" s="692" t="str">
        <f>IF(N203="","",COUNTIF($P$10:$P$256,"&lt;"&amp;P203)+COUNTIF($P$10:P203,P203))</f>
        <v/>
      </c>
      <c r="M203" s="692" t="str">
        <f>IF(Ingredient_prices!E197=M202,"",Ingredient_prices!E197)</f>
        <v>Mixed salad pickled</v>
      </c>
      <c r="N203" s="693" t="str">
        <f>_xlfn.IFNA(VLOOKUP($M203,Sedmica_1_količina_sva_sastojak!$C:$F,4,FALSE),"")</f>
        <v/>
      </c>
      <c r="O203" s="696" t="str">
        <f>IF(N203="","",COUNTIF($P$10:$P$256,"&lt;"&amp;P203)+COUNTIF($P$10:P203,P203))</f>
        <v/>
      </c>
      <c r="P203" s="694" t="str">
        <f t="shared" si="12"/>
        <v/>
      </c>
    </row>
    <row r="204" spans="1:16">
      <c r="A204" s="470">
        <v>195</v>
      </c>
      <c r="B204" s="1248" t="str">
        <f>IF($B$8=1,_xlfn.IFNA(VLOOKUP($A204,$L:$N,2,FALSE),""),_xlfn.IFNA(VLOOKUP($A204,Sedmica_2_količina_namirnica!$L:$N,2,FALSE),""))</f>
        <v/>
      </c>
      <c r="C204" s="448" t="str">
        <f>IF($B$8=1,_xlfn.IFNA(VLOOKUP($A204,$L:$N,3,FALSE)-0.0001,""),_xlfn.IFNA(VLOOKUP($A204,Sedmica_2_količina_namirnica!$L:$N,3,FALSE)-0.0001,""))</f>
        <v/>
      </c>
      <c r="D204" s="446" t="str">
        <f>IF(B204="Jaje kokošje, celo",IF(C204=INT(C204),C204,C204+1),IF(B204=""," ",_xlfn.IFNA(INT(C204*1000/(VLOOKUP($B204,Ingredient_prices!$E:$J,6,FALSE)))+1,"nije nabavljen")))</f>
        <v xml:space="preserve"> </v>
      </c>
      <c r="E204" s="446" t="str">
        <f>IF(C204="","",VLOOKUP($B204,Ingredient_prices!$E:$K,7,FALSE))</f>
        <v/>
      </c>
      <c r="F204" s="462" t="str">
        <f>IF(C204="","",IFERROR(IF(OR(E204="кг",E204="л"),VLOOKUP($B204,Ingredient_prices!$E:$V,16,FALSE)*D204,(VLOOKUP($B204,Ingredient_prices!$E:$P,12,FALSE)*D204)),""))</f>
        <v/>
      </c>
      <c r="G204" s="450" t="str">
        <f>IF(C204="","",_xlfn.IFNA(MID(VLOOKUP($B204,Ingredient_prices!$E:$F,2,FALSE),9,2),""))</f>
        <v/>
      </c>
      <c r="H204" s="447" t="str">
        <f>_xlfn.IFNA(VLOOKUP(CONCATENATE($I$9,$G204),Ingredient_prices!$G:$N,8,FALSE),"")</f>
        <v/>
      </c>
      <c r="I204" s="548" t="str">
        <f t="shared" si="13"/>
        <v/>
      </c>
      <c r="J204" s="695" t="str">
        <f>IF(N204="","",MID(Ingredient_prices!F198,9,2))</f>
        <v/>
      </c>
      <c r="K204" s="692" t="str">
        <f t="shared" si="11"/>
        <v/>
      </c>
      <c r="L204" s="692" t="str">
        <f>IF(N204="","",COUNTIF($P$10:$P$256,"&lt;"&amp;P204)+COUNTIF($P$10:P204,P204))</f>
        <v/>
      </c>
      <c r="M204" s="692" t="str">
        <f>IF(Ingredient_prices!E198=M203,"",Ingredient_prices!E198)</f>
        <v>Olives pasteurized</v>
      </c>
      <c r="N204" s="693" t="str">
        <f>_xlfn.IFNA(VLOOKUP($M204,Sedmica_1_količina_sva_sastojak!$C:$F,4,FALSE),"")</f>
        <v/>
      </c>
      <c r="O204" s="696" t="str">
        <f>IF(N204="","",COUNTIF($P$10:$P$256,"&lt;"&amp;P204)+COUNTIF($P$10:P204,P204))</f>
        <v/>
      </c>
      <c r="P204" s="694" t="str">
        <f t="shared" si="12"/>
        <v/>
      </c>
    </row>
    <row r="205" spans="1:16">
      <c r="A205" s="470">
        <v>196</v>
      </c>
      <c r="B205" s="1248" t="str">
        <f>IF($B$8=1,_xlfn.IFNA(VLOOKUP($A205,$L:$N,2,FALSE),""),_xlfn.IFNA(VLOOKUP($A205,Sedmica_2_količina_namirnica!$L:$N,2,FALSE),""))</f>
        <v/>
      </c>
      <c r="C205" s="448" t="str">
        <f>IF($B$8=1,_xlfn.IFNA(VLOOKUP($A205,$L:$N,3,FALSE)-0.0001,""),_xlfn.IFNA(VLOOKUP($A205,Sedmica_2_količina_namirnica!$L:$N,3,FALSE)-0.0001,""))</f>
        <v/>
      </c>
      <c r="D205" s="446" t="str">
        <f>IF(B205="Jaje kokošje, celo",IF(C205=INT(C205),C205,C205+1),IF(B205=""," ",_xlfn.IFNA(INT(C205*1000/(VLOOKUP($B205,Ingredient_prices!$E:$J,6,FALSE)))+1,"nije nabavljen")))</f>
        <v xml:space="preserve"> </v>
      </c>
      <c r="E205" s="446" t="str">
        <f>IF(C205="","",VLOOKUP($B205,Ingredient_prices!$E:$K,7,FALSE))</f>
        <v/>
      </c>
      <c r="F205" s="462" t="str">
        <f>IF(C205="","",IFERROR(IF(OR(E205="кг",E205="л"),VLOOKUP($B205,Ingredient_prices!$E:$V,16,FALSE)*D205,(VLOOKUP($B205,Ingredient_prices!$E:$P,12,FALSE)*D205)),""))</f>
        <v/>
      </c>
      <c r="G205" s="450" t="str">
        <f>IF(C205="","",_xlfn.IFNA(MID(VLOOKUP($B205,Ingredient_prices!$E:$F,2,FALSE),9,2),""))</f>
        <v/>
      </c>
      <c r="H205" s="447" t="str">
        <f>_xlfn.IFNA(VLOOKUP(CONCATENATE($I$9,$G205),Ingredient_prices!$G:$N,8,FALSE),"")</f>
        <v/>
      </c>
      <c r="I205" s="548" t="str">
        <f t="shared" si="13"/>
        <v/>
      </c>
      <c r="J205" s="695" t="str">
        <f>IF(N205="","",MID(Ingredient_prices!F199,9,2))</f>
        <v/>
      </c>
      <c r="K205" s="692" t="str">
        <f t="shared" si="11"/>
        <v/>
      </c>
      <c r="L205" s="692" t="str">
        <f>IF(N205="","",COUNTIF($P$10:$P$256,"&lt;"&amp;P205)+COUNTIF($P$10:P205,P205))</f>
        <v/>
      </c>
      <c r="M205" s="692" t="str">
        <f>IF(Ingredient_prices!E199=M204,"",Ingredient_prices!E199)</f>
        <v>Pasta macaroni</v>
      </c>
      <c r="N205" s="693" t="str">
        <f>_xlfn.IFNA(VLOOKUP($M205,Sedmica_1_količina_sva_sastojak!$C:$F,4,FALSE),"")</f>
        <v/>
      </c>
      <c r="O205" s="696" t="str">
        <f>IF(N205="","",COUNTIF($P$10:$P$256,"&lt;"&amp;P205)+COUNTIF($P$10:P205,P205))</f>
        <v/>
      </c>
      <c r="P205" s="694" t="str">
        <f t="shared" si="12"/>
        <v/>
      </c>
    </row>
    <row r="206" spans="1:16">
      <c r="A206" s="470">
        <v>197</v>
      </c>
      <c r="B206" s="1248" t="str">
        <f>IF($B$8=1,_xlfn.IFNA(VLOOKUP($A206,$L:$N,2,FALSE),""),_xlfn.IFNA(VLOOKUP($A206,Sedmica_2_količina_namirnica!$L:$N,2,FALSE),""))</f>
        <v/>
      </c>
      <c r="C206" s="448" t="str">
        <f>IF($B$8=1,_xlfn.IFNA(VLOOKUP($A206,$L:$N,3,FALSE)-0.0001,""),_xlfn.IFNA(VLOOKUP($A206,Sedmica_2_količina_namirnica!$L:$N,3,FALSE)-0.0001,""))</f>
        <v/>
      </c>
      <c r="D206" s="446" t="str">
        <f>IF(B206="Jaje kokošje, celo",IF(C206=INT(C206),C206,C206+1),IF(B206=""," ",_xlfn.IFNA(INT(C206*1000/(VLOOKUP($B206,Ingredient_prices!$E:$J,6,FALSE)))+1,"nije nabavljen")))</f>
        <v xml:space="preserve"> </v>
      </c>
      <c r="E206" s="446" t="str">
        <f>IF(C206="","",VLOOKUP($B206,Ingredient_prices!$E:$K,7,FALSE))</f>
        <v/>
      </c>
      <c r="F206" s="462" t="str">
        <f>IF(C206="","",IFERROR(IF(OR(E206="кг",E206="л"),VLOOKUP($B206,Ingredient_prices!$E:$V,16,FALSE)*D206,(VLOOKUP($B206,Ingredient_prices!$E:$P,12,FALSE)*D206)),""))</f>
        <v/>
      </c>
      <c r="G206" s="450" t="str">
        <f>IF(C206="","",_xlfn.IFNA(MID(VLOOKUP($B206,Ingredient_prices!$E:$F,2,FALSE),9,2),""))</f>
        <v/>
      </c>
      <c r="H206" s="447" t="str">
        <f>_xlfn.IFNA(VLOOKUP(CONCATENATE($I$9,$G206),Ingredient_prices!$G:$N,8,FALSE),"")</f>
        <v/>
      </c>
      <c r="I206" s="548" t="str">
        <f t="shared" si="13"/>
        <v/>
      </c>
      <c r="J206" s="695" t="str">
        <f>IF(N206="","",MID(Ingredient_prices!F200,9,2))</f>
        <v/>
      </c>
      <c r="K206" s="692" t="str">
        <f t="shared" si="11"/>
        <v/>
      </c>
      <c r="L206" s="692" t="str">
        <f>IF(N206="","",COUNTIF($P$10:$P$256,"&lt;"&amp;P206)+COUNTIF($P$10:P206,P206))</f>
        <v/>
      </c>
      <c r="M206" s="692" t="str">
        <f>IF(Ingredient_prices!E200=M205,"",Ingredient_prices!E200)</f>
        <v>Swiss chard fresh</v>
      </c>
      <c r="N206" s="693" t="str">
        <f>_xlfn.IFNA(VLOOKUP($M206,Sedmica_1_količina_sva_sastojak!$C:$F,4,FALSE),"")</f>
        <v/>
      </c>
      <c r="O206" s="696" t="str">
        <f>IF(N206="","",COUNTIF($P$10:$P$256,"&lt;"&amp;P206)+COUNTIF($P$10:P206,P206))</f>
        <v/>
      </c>
      <c r="P206" s="694" t="str">
        <f t="shared" si="12"/>
        <v/>
      </c>
    </row>
    <row r="207" spans="1:16">
      <c r="A207" s="470">
        <v>198</v>
      </c>
      <c r="B207" s="1248" t="str">
        <f>IF($B$8=1,_xlfn.IFNA(VLOOKUP($A207,$L:$N,2,FALSE),""),_xlfn.IFNA(VLOOKUP($A207,Sedmica_2_količina_namirnica!$L:$N,2,FALSE),""))</f>
        <v/>
      </c>
      <c r="C207" s="448" t="str">
        <f>IF($B$8=1,_xlfn.IFNA(VLOOKUP($A207,$L:$N,3,FALSE)-0.0001,""),_xlfn.IFNA(VLOOKUP($A207,Sedmica_2_količina_namirnica!$L:$N,3,FALSE)-0.0001,""))</f>
        <v/>
      </c>
      <c r="D207" s="446" t="str">
        <f>IF(B207="Jaje kokošje, celo",IF(C207=INT(C207),C207,C207+1),IF(B207=""," ",_xlfn.IFNA(INT(C207*1000/(VLOOKUP($B207,Ingredient_prices!$E:$J,6,FALSE)))+1,"nije nabavljen")))</f>
        <v xml:space="preserve"> </v>
      </c>
      <c r="E207" s="446" t="str">
        <f>IF(C207="","",VLOOKUP($B207,Ingredient_prices!$E:$K,7,FALSE))</f>
        <v/>
      </c>
      <c r="F207" s="462" t="str">
        <f>IF(C207="","",IFERROR(IF(OR(E207="кг",E207="л"),VLOOKUP($B207,Ingredient_prices!$E:$V,16,FALSE)*D207,(VLOOKUP($B207,Ingredient_prices!$E:$P,12,FALSE)*D207)),""))</f>
        <v/>
      </c>
      <c r="G207" s="450" t="str">
        <f>IF(C207="","",_xlfn.IFNA(MID(VLOOKUP($B207,Ingredient_prices!$E:$F,2,FALSE),9,2),""))</f>
        <v/>
      </c>
      <c r="H207" s="447" t="str">
        <f>_xlfn.IFNA(VLOOKUP(CONCATENATE($I$9,$G207),Ingredient_prices!$G:$N,8,FALSE),"")</f>
        <v/>
      </c>
      <c r="I207" s="548" t="str">
        <f t="shared" si="13"/>
        <v/>
      </c>
      <c r="J207" s="695" t="str">
        <f>IF(N207="","",MID(Ingredient_prices!F201,9,2))</f>
        <v/>
      </c>
      <c r="K207" s="692" t="str">
        <f t="shared" si="11"/>
        <v/>
      </c>
      <c r="L207" s="692" t="str">
        <f>IF(N207="","",COUNTIF($P$10:$P$256,"&lt;"&amp;P207)+COUNTIF($P$10:P207,P207))</f>
        <v/>
      </c>
      <c r="M207" s="692" t="str">
        <f>IF(Ingredient_prices!E201=M206,"",Ingredient_prices!E201)</f>
        <v>Cheese, cow, low fat, mozzarella</v>
      </c>
      <c r="N207" s="693" t="str">
        <f>_xlfn.IFNA(VLOOKUP($M207,Sedmica_1_količina_sva_sastojak!$C:$F,4,FALSE),"")</f>
        <v/>
      </c>
      <c r="O207" s="696" t="str">
        <f>IF(N207="","",COUNTIF($P$10:$P$256,"&lt;"&amp;P207)+COUNTIF($P$10:P207,P207))</f>
        <v/>
      </c>
      <c r="P207" s="694" t="str">
        <f t="shared" si="12"/>
        <v/>
      </c>
    </row>
    <row r="208" spans="1:16">
      <c r="A208" s="470">
        <v>199</v>
      </c>
      <c r="B208" s="1248" t="str">
        <f>IF($B$8=1,_xlfn.IFNA(VLOOKUP($A208,$L:$N,2,FALSE),""),_xlfn.IFNA(VLOOKUP($A208,Sedmica_2_količina_namirnica!$L:$N,2,FALSE),""))</f>
        <v/>
      </c>
      <c r="C208" s="448" t="str">
        <f>IF($B$8=1,_xlfn.IFNA(VLOOKUP($A208,$L:$N,3,FALSE)-0.0001,""),_xlfn.IFNA(VLOOKUP($A208,Sedmica_2_količina_namirnica!$L:$N,3,FALSE)-0.0001,""))</f>
        <v/>
      </c>
      <c r="D208" s="446" t="str">
        <f>IF(B208="Jaje kokošje, celo",IF(C208=INT(C208),C208,C208+1),IF(B208=""," ",_xlfn.IFNA(INT(C208*1000/(VLOOKUP($B208,Ingredient_prices!$E:$J,6,FALSE)))+1,"nije nabavljen")))</f>
        <v xml:space="preserve"> </v>
      </c>
      <c r="E208" s="446" t="str">
        <f>IF(C208="","",VLOOKUP($B208,Ingredient_prices!$E:$K,7,FALSE))</f>
        <v/>
      </c>
      <c r="F208" s="462" t="str">
        <f>IF(C208="","",IFERROR(IF(OR(E208="кг",E208="л"),VLOOKUP($B208,Ingredient_prices!$E:$V,16,FALSE)*D208,(VLOOKUP($B208,Ingredient_prices!$E:$P,12,FALSE)*D208)),""))</f>
        <v/>
      </c>
      <c r="G208" s="450" t="str">
        <f>IF(C208="","",_xlfn.IFNA(MID(VLOOKUP($B208,Ingredient_prices!$E:$F,2,FALSE),9,2),""))</f>
        <v/>
      </c>
      <c r="H208" s="447" t="str">
        <f>_xlfn.IFNA(VLOOKUP(CONCATENATE($I$9,$G208),Ingredient_prices!$G:$N,8,FALSE),"")</f>
        <v/>
      </c>
      <c r="I208" s="548" t="str">
        <f t="shared" si="13"/>
        <v/>
      </c>
      <c r="J208" s="695" t="str">
        <f>IF(N208="","",MID(Ingredient_prices!F202,9,2))</f>
        <v/>
      </c>
      <c r="K208" s="692" t="str">
        <f t="shared" ref="K208:K251" si="14">IF(N208="","",COUNTIFS(J$10:J$256,J208,N$10:N$256,"&gt;"&amp;N208)+1)</f>
        <v/>
      </c>
      <c r="L208" s="692" t="str">
        <f>IF(N208="","",COUNTIF($P$10:$P$256,"&lt;"&amp;P208)+COUNTIF($P$10:P208,P208))</f>
        <v/>
      </c>
      <c r="M208" s="692" t="str">
        <f>IF(Ingredient_prices!E202=M207,"",Ingredient_prices!E202)</f>
        <v>Broccoli</v>
      </c>
      <c r="N208" s="693" t="str">
        <f>_xlfn.IFNA(VLOOKUP($M208,Sedmica_1_količina_sva_sastojak!$C:$F,4,FALSE),"")</f>
        <v/>
      </c>
      <c r="O208" s="696" t="str">
        <f>IF(N208="","",COUNTIF($P$10:$P$256,"&lt;"&amp;P208)+COUNTIF($P$10:P208,P208))</f>
        <v/>
      </c>
      <c r="P208" s="694" t="str">
        <f t="shared" ref="P208:P251" si="15">IF(K208="","",VALUE(CONCATENATE(J208,K208)))</f>
        <v/>
      </c>
    </row>
    <row r="209" spans="1:17">
      <c r="A209" s="470">
        <v>200</v>
      </c>
      <c r="B209" s="1248" t="str">
        <f>IF($B$8=1,_xlfn.IFNA(VLOOKUP($A209,$L:$N,2,FALSE),""),_xlfn.IFNA(VLOOKUP($A209,Sedmica_2_količina_namirnica!$L:$N,2,FALSE),""))</f>
        <v/>
      </c>
      <c r="C209" s="448" t="str">
        <f>IF($B$8=1,_xlfn.IFNA(VLOOKUP($A209,$L:$N,3,FALSE)-0.0001,""),_xlfn.IFNA(VLOOKUP($A209,Sedmica_2_količina_namirnica!$L:$N,3,FALSE)-0.0001,""))</f>
        <v/>
      </c>
      <c r="D209" s="446" t="str">
        <f>IF(B209="Jaje kokošje, celo",IF(C209=INT(C209),C209,C209+1),IF(B209=""," ",_xlfn.IFNA(INT(C209*1000/(VLOOKUP($B209,Ingredient_prices!$E:$J,6,FALSE)))+1,"nije nabavljen")))</f>
        <v xml:space="preserve"> </v>
      </c>
      <c r="E209" s="446" t="str">
        <f>IF(C209="","",VLOOKUP($B209,Ingredient_prices!$E:$K,7,FALSE))</f>
        <v/>
      </c>
      <c r="F209" s="462" t="str">
        <f>IF(C209="","",IFERROR(IF(OR(E209="кг",E209="л"),VLOOKUP($B209,Ingredient_prices!$E:$V,16,FALSE)*D209,(VLOOKUP($B209,Ingredient_prices!$E:$P,12,FALSE)*D209)),""))</f>
        <v/>
      </c>
      <c r="G209" s="450" t="str">
        <f>IF(C209="","",_xlfn.IFNA(MID(VLOOKUP($B209,Ingredient_prices!$E:$F,2,FALSE),9,2),""))</f>
        <v/>
      </c>
      <c r="H209" s="447" t="str">
        <f>_xlfn.IFNA(VLOOKUP(CONCATENATE($I$9,$G209),Ingredient_prices!$G:$N,8,FALSE),"")</f>
        <v/>
      </c>
      <c r="I209" s="548" t="str">
        <f t="shared" si="13"/>
        <v/>
      </c>
      <c r="J209" s="695" t="str">
        <f>IF(N209="","",MID(Ingredient_prices!F203,9,2))</f>
        <v/>
      </c>
      <c r="K209" s="692" t="str">
        <f t="shared" si="14"/>
        <v/>
      </c>
      <c r="L209" s="692" t="str">
        <f>IF(N209="","",COUNTIF($P$10:$P$256,"&lt;"&amp;P209)+COUNTIF($P$10:P209,P209))</f>
        <v/>
      </c>
      <c r="M209" s="692" t="str">
        <f>IF(Ingredient_prices!E203=M208,"",Ingredient_prices!E203)</f>
        <v>Chicken soup thick packet</v>
      </c>
      <c r="N209" s="693" t="str">
        <f>_xlfn.IFNA(VLOOKUP($M209,Sedmica_1_količina_sva_sastojak!$C:$F,4,FALSE),"")</f>
        <v/>
      </c>
      <c r="O209" s="696" t="str">
        <f>IF(N209="","",COUNTIF($P$10:$P$256,"&lt;"&amp;P209)+COUNTIF($P$10:P209,P209))</f>
        <v/>
      </c>
      <c r="P209" s="694" t="str">
        <f t="shared" si="15"/>
        <v/>
      </c>
    </row>
    <row r="210" spans="1:17">
      <c r="A210" s="470">
        <v>201</v>
      </c>
      <c r="B210" s="1248" t="str">
        <f>IF($B$8=1,_xlfn.IFNA(VLOOKUP($A210,$L:$N,2,FALSE),""),_xlfn.IFNA(VLOOKUP($A210,Sedmica_2_količina_namirnica!$L:$N,2,FALSE),""))</f>
        <v/>
      </c>
      <c r="C210" s="448" t="str">
        <f>IF($B$8=1,_xlfn.IFNA(VLOOKUP($A210,$L:$N,3,FALSE)-0.0001,""),_xlfn.IFNA(VLOOKUP($A210,Sedmica_2_količina_namirnica!$L:$N,3,FALSE)-0.0001,""))</f>
        <v/>
      </c>
      <c r="D210" s="446" t="str">
        <f>IF(B210="Jaje kokošje, celo",IF(C210=INT(C210),C210,C210+1),IF(B210=""," ",_xlfn.IFNA(INT(C210*1000/(VLOOKUP($B210,Ingredient_prices!$E:$J,6,FALSE)))+1,"nije nabavljen")))</f>
        <v xml:space="preserve"> </v>
      </c>
      <c r="E210" s="446" t="str">
        <f>IF(C210="","",VLOOKUP($B210,Ingredient_prices!$E:$K,7,FALSE))</f>
        <v/>
      </c>
      <c r="F210" s="462" t="str">
        <f>IF(C210="","",IFERROR(IF(OR(E210="кг",E210="л"),VLOOKUP($B210,Ingredient_prices!$E:$V,16,FALSE)*D210,(VLOOKUP($B210,Ingredient_prices!$E:$P,12,FALSE)*D210)),""))</f>
        <v/>
      </c>
      <c r="G210" s="450" t="str">
        <f>IF(C210="","",_xlfn.IFNA(MID(VLOOKUP($B210,Ingredient_prices!$E:$F,2,FALSE),9,2),""))</f>
        <v/>
      </c>
      <c r="H210" s="447" t="str">
        <f>_xlfn.IFNA(VLOOKUP(CONCATENATE($I$9,$G210),Ingredient_prices!$G:$N,8,FALSE),"")</f>
        <v/>
      </c>
      <c r="I210" s="548" t="str">
        <f t="shared" si="13"/>
        <v/>
      </c>
      <c r="J210" s="695" t="str">
        <f>IF(N210="","",MID(Ingredient_prices!F204,9,2))</f>
        <v/>
      </c>
      <c r="K210" s="692" t="str">
        <f t="shared" si="14"/>
        <v/>
      </c>
      <c r="L210" s="692" t="str">
        <f>IF(N210="","",COUNTIF($P$10:$P$256,"&lt;"&amp;P210)+COUNTIF($P$10:P210,P210))</f>
        <v/>
      </c>
      <c r="M210" s="692" t="str">
        <f>IF(Ingredient_prices!E204=M209,"",Ingredient_prices!E204)</f>
        <v>Sausage Serbian</v>
      </c>
      <c r="N210" s="693" t="str">
        <f>_xlfn.IFNA(VLOOKUP($M210,Sedmica_1_količina_sva_sastojak!$C:$F,4,FALSE),"")</f>
        <v/>
      </c>
      <c r="O210" s="696" t="str">
        <f>IF(N210="","",COUNTIF($P$10:$P$256,"&lt;"&amp;P210)+COUNTIF($P$10:P210,P210))</f>
        <v/>
      </c>
      <c r="P210" s="694" t="str">
        <f t="shared" si="15"/>
        <v/>
      </c>
    </row>
    <row r="211" spans="1:17">
      <c r="A211" s="470">
        <v>202</v>
      </c>
      <c r="B211" s="1248" t="str">
        <f>IF($B$8=1,_xlfn.IFNA(VLOOKUP($A211,$L:$N,2,FALSE),""),_xlfn.IFNA(VLOOKUP($A211,Sedmica_2_količina_namirnica!$L:$N,2,FALSE),""))</f>
        <v/>
      </c>
      <c r="C211" s="448" t="str">
        <f>IF($B$8=1,_xlfn.IFNA(VLOOKUP($A211,$L:$N,3,FALSE)-0.0001,""),_xlfn.IFNA(VLOOKUP($A211,Sedmica_2_količina_namirnica!$L:$N,3,FALSE)-0.0001,""))</f>
        <v/>
      </c>
      <c r="D211" s="446" t="str">
        <f>IF(B211="Jaje kokošje, celo",IF(C211=INT(C211),C211,C211+1),IF(B211=""," ",_xlfn.IFNA(INT(C211*1000/(VLOOKUP($B211,Ingredient_prices!$E:$J,6,FALSE)))+1,"nije nabavljen")))</f>
        <v xml:space="preserve"> </v>
      </c>
      <c r="E211" s="446" t="str">
        <f>IF(C211="","",VLOOKUP($B211,Ingredient_prices!$E:$K,7,FALSE))</f>
        <v/>
      </c>
      <c r="F211" s="462" t="str">
        <f>IF(C211="","",IFERROR(IF(OR(E211="кг",E211="л"),VLOOKUP($B211,Ingredient_prices!$E:$V,16,FALSE)*D211,(VLOOKUP($B211,Ingredient_prices!$E:$P,12,FALSE)*D211)),""))</f>
        <v/>
      </c>
      <c r="G211" s="450" t="str">
        <f>IF(C211="","",_xlfn.IFNA(MID(VLOOKUP($B211,Ingredient_prices!$E:$F,2,FALSE),9,2),""))</f>
        <v/>
      </c>
      <c r="H211" s="447" t="str">
        <f>_xlfn.IFNA(VLOOKUP(CONCATENATE($I$9,$G211),Ingredient_prices!$G:$N,8,FALSE),"")</f>
        <v/>
      </c>
      <c r="I211" s="548" t="str">
        <f t="shared" si="13"/>
        <v/>
      </c>
      <c r="J211" s="695" t="str">
        <f>IF(N211="","",MID(Ingredient_prices!F205,9,2))</f>
        <v/>
      </c>
      <c r="K211" s="692" t="str">
        <f t="shared" si="14"/>
        <v/>
      </c>
      <c r="L211" s="692" t="str">
        <f>IF(N211="","",COUNTIF($P$10:$P$256,"&lt;"&amp;P211)+COUNTIF($P$10:P211,P211))</f>
        <v/>
      </c>
      <c r="M211" s="692" t="str">
        <f>IF(Ingredient_prices!E205=M210,"",Ingredient_prices!E205)</f>
        <v>Kit Kat milk chocolate</v>
      </c>
      <c r="N211" s="693" t="str">
        <f>_xlfn.IFNA(VLOOKUP($M211,Sedmica_1_količina_sva_sastojak!$C:$F,4,FALSE),"")</f>
        <v/>
      </c>
      <c r="O211" s="696" t="str">
        <f>IF(N211="","",COUNTIF($P$10:$P$256,"&lt;"&amp;P211)+COUNTIF($P$10:P211,P211))</f>
        <v/>
      </c>
      <c r="P211" s="694" t="str">
        <f t="shared" si="15"/>
        <v/>
      </c>
    </row>
    <row r="212" spans="1:17">
      <c r="A212" s="470">
        <v>203</v>
      </c>
      <c r="B212" s="1248" t="str">
        <f>IF($B$8=1,_xlfn.IFNA(VLOOKUP($A212,$L:$N,2,FALSE),""),_xlfn.IFNA(VLOOKUP($A212,Sedmica_2_količina_namirnica!$L:$N,2,FALSE),""))</f>
        <v/>
      </c>
      <c r="C212" s="448" t="str">
        <f>IF($B$8=1,_xlfn.IFNA(VLOOKUP($A212,$L:$N,3,FALSE)-0.0001,""),_xlfn.IFNA(VLOOKUP($A212,Sedmica_2_količina_namirnica!$L:$N,3,FALSE)-0.0001,""))</f>
        <v/>
      </c>
      <c r="D212" s="446" t="str">
        <f>IF(B212="Jaje kokošje, celo",IF(C212=INT(C212),C212,C212+1),IF(B212=""," ",_xlfn.IFNA(INT(C212*1000/(VLOOKUP($B212,Ingredient_prices!$E:$J,6,FALSE)))+1,"nije nabavljen")))</f>
        <v xml:space="preserve"> </v>
      </c>
      <c r="E212" s="446" t="str">
        <f>IF(C212="","",VLOOKUP($B212,Ingredient_prices!$E:$K,7,FALSE))</f>
        <v/>
      </c>
      <c r="F212" s="462" t="str">
        <f>IF(C212="","",IFERROR(IF(OR(E212="кг",E212="л"),VLOOKUP($B212,Ingredient_prices!$E:$V,16,FALSE)*D212,(VLOOKUP($B212,Ingredient_prices!$E:$P,12,FALSE)*D212)),""))</f>
        <v/>
      </c>
      <c r="G212" s="450" t="str">
        <f>IF(C212="","",_xlfn.IFNA(MID(VLOOKUP($B212,Ingredient_prices!$E:$F,2,FALSE),9,2),""))</f>
        <v/>
      </c>
      <c r="H212" s="447" t="str">
        <f>_xlfn.IFNA(VLOOKUP(CONCATENATE($I$9,$G212),Ingredient_prices!$G:$N,8,FALSE),"")</f>
        <v/>
      </c>
      <c r="I212" s="548" t="str">
        <f t="shared" si="13"/>
        <v/>
      </c>
      <c r="J212" s="695" t="str">
        <f>IF(N212="","",MID(Ingredient_prices!F206,9,2))</f>
        <v/>
      </c>
      <c r="K212" s="692" t="str">
        <f t="shared" si="14"/>
        <v/>
      </c>
      <c r="L212" s="692" t="str">
        <f>IF(N212="","",COUNTIF($P$10:$P$256,"&lt;"&amp;P212)+COUNTIF($P$10:P212,P212))</f>
        <v/>
      </c>
      <c r="M212" s="692" t="str">
        <f>IF(Ingredient_prices!E206=M211,"",Ingredient_prices!E206)</f>
        <v>Bread, wholemeal</v>
      </c>
      <c r="N212" s="693" t="str">
        <f>_xlfn.IFNA(VLOOKUP($M212,Sedmica_1_količina_sva_sastojak!$C:$F,4,FALSE),"")</f>
        <v/>
      </c>
      <c r="O212" s="696" t="str">
        <f>IF(N212="","",COUNTIF($P$10:$P$256,"&lt;"&amp;P212)+COUNTIF($P$10:P212,P212))</f>
        <v/>
      </c>
      <c r="P212" s="694" t="str">
        <f t="shared" si="15"/>
        <v/>
      </c>
    </row>
    <row r="213" spans="1:17">
      <c r="A213" s="470">
        <v>204</v>
      </c>
      <c r="B213" s="1248" t="str">
        <f>IF($B$8=1,_xlfn.IFNA(VLOOKUP($A213,$L:$N,2,FALSE),""),_xlfn.IFNA(VLOOKUP($A213,Sedmica_2_količina_namirnica!$L:$N,2,FALSE),""))</f>
        <v/>
      </c>
      <c r="C213" s="448" t="str">
        <f>IF($B$8=1,_xlfn.IFNA(VLOOKUP($A213,$L:$N,3,FALSE)-0.0001,""),_xlfn.IFNA(VLOOKUP($A213,Sedmica_2_količina_namirnica!$L:$N,3,FALSE)-0.0001,""))</f>
        <v/>
      </c>
      <c r="D213" s="446" t="str">
        <f>IF(B213="Jaje kokošje, celo",IF(C213=INT(C213),C213,C213+1),IF(B213=""," ",_xlfn.IFNA(INT(C213*1000/(VLOOKUP($B213,Ingredient_prices!$E:$J,6,FALSE)))+1,"nije nabavljen")))</f>
        <v xml:space="preserve"> </v>
      </c>
      <c r="E213" s="446" t="str">
        <f>IF(C213="","",VLOOKUP($B213,Ingredient_prices!$E:$K,7,FALSE))</f>
        <v/>
      </c>
      <c r="F213" s="462" t="str">
        <f>IF(C213="","",IFERROR(IF(OR(E213="кг",E213="л"),VLOOKUP($B213,Ingredient_prices!$E:$V,16,FALSE)*D213,(VLOOKUP($B213,Ingredient_prices!$E:$P,12,FALSE)*D213)),""))</f>
        <v/>
      </c>
      <c r="G213" s="450" t="str">
        <f>IF(C213="","",_xlfn.IFNA(MID(VLOOKUP($B213,Ingredient_prices!$E:$F,2,FALSE),9,2),""))</f>
        <v/>
      </c>
      <c r="H213" s="447" t="str">
        <f>_xlfn.IFNA(VLOOKUP(CONCATENATE($I$9,$G213),Ingredient_prices!$G:$N,8,FALSE),"")</f>
        <v/>
      </c>
      <c r="I213" s="548" t="str">
        <f t="shared" si="13"/>
        <v/>
      </c>
      <c r="J213" s="695" t="str">
        <f>IF(N213="","",MID(Ingredient_prices!F207,9,2))</f>
        <v/>
      </c>
      <c r="K213" s="692" t="str">
        <f t="shared" si="14"/>
        <v/>
      </c>
      <c r="L213" s="692" t="str">
        <f>IF(N213="","",COUNTIF($P$10:$P$256,"&lt;"&amp;P213)+COUNTIF($P$10:P213,P213))</f>
        <v/>
      </c>
      <c r="M213" s="692" t="str">
        <f>IF(Ingredient_prices!E207=M212,"",Ingredient_prices!E207)</f>
        <v>Noblice biscuit</v>
      </c>
      <c r="N213" s="693" t="str">
        <f>_xlfn.IFNA(VLOOKUP($M213,Sedmica_1_količina_sva_sastojak!$C:$F,4,FALSE),"")</f>
        <v/>
      </c>
      <c r="O213" s="696" t="str">
        <f>IF(N213="","",COUNTIF($P$10:$P$256,"&lt;"&amp;P213)+COUNTIF($P$10:P213,P213))</f>
        <v/>
      </c>
      <c r="P213" s="694" t="str">
        <f t="shared" si="15"/>
        <v/>
      </c>
    </row>
    <row r="214" spans="1:17">
      <c r="A214" s="470">
        <v>205</v>
      </c>
      <c r="B214" s="1248" t="str">
        <f>IF($B$8=1,_xlfn.IFNA(VLOOKUP($A214,$L:$N,2,FALSE),""),_xlfn.IFNA(VLOOKUP($A214,Sedmica_2_količina_namirnica!$L:$N,2,FALSE),""))</f>
        <v/>
      </c>
      <c r="C214" s="448" t="str">
        <f>IF($B$8=1,_xlfn.IFNA(VLOOKUP($A214,$L:$N,3,FALSE)-0.0001,""),_xlfn.IFNA(VLOOKUP($A214,Sedmica_2_količina_namirnica!$L:$N,3,FALSE)-0.0001,""))</f>
        <v/>
      </c>
      <c r="D214" s="446" t="str">
        <f>IF(B214="Jaje kokošje, celo",IF(C214=INT(C214),C214,C214+1),IF(B214=""," ",_xlfn.IFNA(INT(C214*1000/(VLOOKUP($B214,Ingredient_prices!$E:$J,6,FALSE)))+1,"nije nabavljen")))</f>
        <v xml:space="preserve"> </v>
      </c>
      <c r="E214" s="446" t="str">
        <f>IF(C214="","",VLOOKUP($B214,Ingredient_prices!$E:$K,7,FALSE))</f>
        <v/>
      </c>
      <c r="F214" s="462" t="str">
        <f>IF(C214="","",IFERROR(IF(OR(E214="кг",E214="л"),VLOOKUP($B214,Ingredient_prices!$E:$V,16,FALSE)*D214,(VLOOKUP($B214,Ingredient_prices!$E:$P,12,FALSE)*D214)),""))</f>
        <v/>
      </c>
      <c r="G214" s="450" t="str">
        <f>IF(C214="","",_xlfn.IFNA(MID(VLOOKUP($B214,Ingredient_prices!$E:$F,2,FALSE),9,2),""))</f>
        <v/>
      </c>
      <c r="H214" s="447" t="str">
        <f>_xlfn.IFNA(VLOOKUP(CONCATENATE($I$9,$G214),Ingredient_prices!$G:$N,8,FALSE),"")</f>
        <v/>
      </c>
      <c r="I214" s="548" t="str">
        <f t="shared" si="13"/>
        <v/>
      </c>
      <c r="J214" s="695" t="str">
        <f>IF(N214="","",MID(Ingredient_prices!F208,9,2))</f>
        <v>2</v>
      </c>
      <c r="K214" s="692">
        <f t="shared" si="14"/>
        <v>37</v>
      </c>
      <c r="L214" s="692">
        <f>IF(N214="","",COUNTIF($P$10:$P$256,"&lt;"&amp;P214)+COUNTIF($P$10:P214,P214))</f>
        <v>42</v>
      </c>
      <c r="M214" s="692" t="str">
        <f>IF(Ingredient_prices!E208=M213,"",Ingredient_prices!E208)</f>
        <v>Parsley leaf, dry</v>
      </c>
      <c r="N214" s="693">
        <f>_xlfn.IFNA(VLOOKUP($M214,Sedmica_1_količina_sva_sastojak!$C:$F,4,FALSE),"")</f>
        <v>3.1900000000000005E-2</v>
      </c>
      <c r="O214" s="696">
        <f>IF(N214="","",COUNTIF($P$10:$P$256,"&lt;"&amp;P214)+COUNTIF($P$10:P214,P214))</f>
        <v>42</v>
      </c>
      <c r="P214" s="694">
        <f t="shared" si="15"/>
        <v>237</v>
      </c>
    </row>
    <row r="215" spans="1:17">
      <c r="A215" s="470">
        <v>206</v>
      </c>
      <c r="B215" s="1248" t="str">
        <f>IF($B$8=1,_xlfn.IFNA(VLOOKUP($A215,$L:$N,2,FALSE),""),_xlfn.IFNA(VLOOKUP($A215,Sedmica_2_količina_namirnica!$L:$N,2,FALSE),""))</f>
        <v/>
      </c>
      <c r="C215" s="448" t="str">
        <f>IF($B$8=1,_xlfn.IFNA(VLOOKUP($A215,$L:$N,3,FALSE)-0.0001,""),_xlfn.IFNA(VLOOKUP($A215,Sedmica_2_količina_namirnica!$L:$N,3,FALSE)-0.0001,""))</f>
        <v/>
      </c>
      <c r="D215" s="446" t="str">
        <f>IF(B215="Jaje kokošje, celo",IF(C215=INT(C215),C215,C215+1),IF(B215=""," ",_xlfn.IFNA(INT(C215*1000/(VLOOKUP($B215,Ingredient_prices!$E:$J,6,FALSE)))+1,"nije nabavljen")))</f>
        <v xml:space="preserve"> </v>
      </c>
      <c r="E215" s="446" t="str">
        <f>IF(C215="","",VLOOKUP($B215,Ingredient_prices!$E:$K,7,FALSE))</f>
        <v/>
      </c>
      <c r="F215" s="462" t="str">
        <f>IF(C215="","",IFERROR(IF(OR(E215="кг",E215="л"),VLOOKUP($B215,Ingredient_prices!$E:$V,16,FALSE)*D215,(VLOOKUP($B215,Ingredient_prices!$E:$P,12,FALSE)*D215)),""))</f>
        <v/>
      </c>
      <c r="G215" s="450" t="str">
        <f>IF(C215="","",_xlfn.IFNA(MID(VLOOKUP($B215,Ingredient_prices!$E:$F,2,FALSE),9,2),""))</f>
        <v/>
      </c>
      <c r="H215" s="447" t="str">
        <f>_xlfn.IFNA(VLOOKUP(CONCATENATE($I$9,$G215),Ingredient_prices!$G:$N,8,FALSE),"")</f>
        <v/>
      </c>
      <c r="I215" s="548" t="str">
        <f t="shared" si="13"/>
        <v/>
      </c>
      <c r="J215" s="695" t="str">
        <f>IF(N215="","",MID(Ingredient_prices!F209,9,2))</f>
        <v>2</v>
      </c>
      <c r="K215" s="692">
        <f t="shared" si="14"/>
        <v>38</v>
      </c>
      <c r="L215" s="692">
        <f>IF(N215="","",COUNTIF($P$10:$P$256,"&lt;"&amp;P215)+COUNTIF($P$10:P215,P215))</f>
        <v>43</v>
      </c>
      <c r="M215" s="692" t="str">
        <f>IF(Ingredient_prices!E209=M214,"",Ingredient_prices!E209)</f>
        <v>Dill leaves, dry</v>
      </c>
      <c r="N215" s="693">
        <f>_xlfn.IFNA(VLOOKUP($M215,Sedmica_1_količina_sva_sastojak!$C:$F,4,FALSE),"")</f>
        <v>6.6000000000000008E-3</v>
      </c>
      <c r="O215" s="696">
        <f>IF(N215="","",COUNTIF($P$10:$P$256,"&lt;"&amp;P215)+COUNTIF($P$10:P215,P215))</f>
        <v>43</v>
      </c>
      <c r="P215" s="694">
        <f t="shared" si="15"/>
        <v>238</v>
      </c>
    </row>
    <row r="216" spans="1:17">
      <c r="A216" s="470">
        <v>207</v>
      </c>
      <c r="B216" s="1248" t="str">
        <f>IF($B$8=1,_xlfn.IFNA(VLOOKUP($A216,$L:$N,2,FALSE),""),_xlfn.IFNA(VLOOKUP($A216,Sedmica_2_količina_namirnica!$L:$N,2,FALSE),""))</f>
        <v/>
      </c>
      <c r="C216" s="448" t="str">
        <f>IF($B$8=1,_xlfn.IFNA(VLOOKUP($A216,$L:$N,3,FALSE)-0.0001,""),_xlfn.IFNA(VLOOKUP($A216,Sedmica_2_količina_namirnica!$L:$N,3,FALSE)-0.0001,""))</f>
        <v/>
      </c>
      <c r="D216" s="446" t="str">
        <f>IF(B216="Jaje kokošje, celo",IF(C216=INT(C216),C216,C216+1),IF(B216=""," ",_xlfn.IFNA(INT(C216*1000/(VLOOKUP($B216,Ingredient_prices!$E:$J,6,FALSE)))+1,"nije nabavljen")))</f>
        <v xml:space="preserve"> </v>
      </c>
      <c r="E216" s="446" t="str">
        <f>IF(C216="","",VLOOKUP($B216,Ingredient_prices!$E:$K,7,FALSE))</f>
        <v/>
      </c>
      <c r="F216" s="462" t="str">
        <f>IF(C216="","",IFERROR(IF(OR(E216="кг",E216="л"),VLOOKUP($B216,Ingredient_prices!$E:$V,16,FALSE)*D216,(VLOOKUP($B216,Ingredient_prices!$E:$P,12,FALSE)*D216)),""))</f>
        <v/>
      </c>
      <c r="G216" s="450" t="str">
        <f>IF(C216="","",_xlfn.IFNA(MID(VLOOKUP($B216,Ingredient_prices!$E:$F,2,FALSE),9,2),""))</f>
        <v/>
      </c>
      <c r="H216" s="447" t="str">
        <f>_xlfn.IFNA(VLOOKUP(CONCATENATE($I$9,$G216),Ingredient_prices!$G:$N,8,FALSE),"")</f>
        <v/>
      </c>
      <c r="I216" s="548" t="str">
        <f t="shared" si="13"/>
        <v/>
      </c>
      <c r="J216" s="695" t="str">
        <f>IF(N216="","",MID(Ingredient_prices!F210,9,2))</f>
        <v/>
      </c>
      <c r="K216" s="692" t="str">
        <f t="shared" si="14"/>
        <v/>
      </c>
      <c r="L216" s="692" t="str">
        <f>IF(N216="","",COUNTIF($P$10:$P$256,"&lt;"&amp;P216)+COUNTIF($P$10:P216,P216))</f>
        <v/>
      </c>
      <c r="M216" s="692" t="str">
        <f>IF(Ingredient_prices!E210=M215,"",Ingredient_prices!E210)</f>
        <v>Kale</v>
      </c>
      <c r="N216" s="693" t="str">
        <f>_xlfn.IFNA(VLOOKUP($M216,Sedmica_1_količina_sva_sastojak!$C:$F,4,FALSE),"")</f>
        <v/>
      </c>
      <c r="O216" s="696" t="str">
        <f>IF(N216="","",COUNTIF($P$10:$P$256,"&lt;"&amp;P216)+COUNTIF($P$10:P216,P216))</f>
        <v/>
      </c>
      <c r="P216" s="694" t="str">
        <f t="shared" si="15"/>
        <v/>
      </c>
    </row>
    <row r="217" spans="1:17">
      <c r="A217" s="470">
        <v>208</v>
      </c>
      <c r="B217" s="1248" t="str">
        <f>IF($B$8=1,_xlfn.IFNA(VLOOKUP($A217,$L:$N,2,FALSE),""),_xlfn.IFNA(VLOOKUP($A217,Sedmica_2_količina_namirnica!$L:$N,2,FALSE),""))</f>
        <v/>
      </c>
      <c r="C217" s="448" t="str">
        <f>IF($B$8=1,_xlfn.IFNA(VLOOKUP($A217,$L:$N,3,FALSE)-0.0001,""),_xlfn.IFNA(VLOOKUP($A217,Sedmica_2_količina_namirnica!$L:$N,3,FALSE)-0.0001,""))</f>
        <v/>
      </c>
      <c r="D217" s="446" t="str">
        <f>IF(B217="Jaje kokošje, celo",IF(C217=INT(C217),C217,C217+1),IF(B217=""," ",_xlfn.IFNA(INT(C217*1000/(VLOOKUP($B217,Ingredient_prices!$E:$J,6,FALSE)))+1,"nije nabavljen")))</f>
        <v xml:space="preserve"> </v>
      </c>
      <c r="E217" s="446" t="str">
        <f>IF(C217="","",VLOOKUP($B217,Ingredient_prices!$E:$K,7,FALSE))</f>
        <v/>
      </c>
      <c r="F217" s="462" t="str">
        <f>IF(C217="","",IFERROR(IF(OR(E217="кг",E217="л"),VLOOKUP($B217,Ingredient_prices!$E:$V,16,FALSE)*D217,(VLOOKUP($B217,Ingredient_prices!$E:$P,12,FALSE)*D217)),""))</f>
        <v/>
      </c>
      <c r="G217" s="450" t="str">
        <f>IF(C217="","",_xlfn.IFNA(MID(VLOOKUP($B217,Ingredient_prices!$E:$F,2,FALSE),9,2),""))</f>
        <v/>
      </c>
      <c r="H217" s="447" t="str">
        <f>_xlfn.IFNA(VLOOKUP(CONCATENATE($I$9,$G217),Ingredient_prices!$G:$N,8,FALSE),"")</f>
        <v/>
      </c>
      <c r="I217" s="548" t="str">
        <f t="shared" si="13"/>
        <v/>
      </c>
      <c r="J217" s="695" t="str">
        <f>IF(N217="","",MID(Ingredient_prices!F211,9,2))</f>
        <v/>
      </c>
      <c r="K217" s="692" t="str">
        <f t="shared" si="14"/>
        <v/>
      </c>
      <c r="L217" s="692" t="str">
        <f>IF(N217="","",COUNTIF($P$10:$P$256,"&lt;"&amp;P217)+COUNTIF($P$10:P217,P217))</f>
        <v/>
      </c>
      <c r="M217" s="692" t="str">
        <f>IF(Ingredient_prices!E211=M216,"",Ingredient_prices!E211)</f>
        <v>Mushrooms</v>
      </c>
      <c r="N217" s="693" t="str">
        <f>_xlfn.IFNA(VLOOKUP($M217,Sedmica_1_količina_sva_sastojak!$C:$F,4,FALSE),"")</f>
        <v/>
      </c>
      <c r="O217" s="696" t="str">
        <f>IF(N217="","",COUNTIF($P$10:$P$256,"&lt;"&amp;P217)+COUNTIF($P$10:P217,P217))</f>
        <v/>
      </c>
      <c r="P217" s="694" t="str">
        <f t="shared" si="15"/>
        <v/>
      </c>
    </row>
    <row r="218" spans="1:17">
      <c r="A218" s="470">
        <v>209</v>
      </c>
      <c r="B218" s="1248" t="str">
        <f>IF($B$8=1,_xlfn.IFNA(VLOOKUP($A218,$L:$N,2,FALSE),""),_xlfn.IFNA(VLOOKUP($A218,Sedmica_2_količina_namirnica!$L:$N,2,FALSE),""))</f>
        <v/>
      </c>
      <c r="C218" s="448" t="str">
        <f>IF($B$8=1,_xlfn.IFNA(VLOOKUP($A218,$L:$N,3,FALSE)-0.0001,""),_xlfn.IFNA(VLOOKUP($A218,Sedmica_2_količina_namirnica!$L:$N,3,FALSE)-0.0001,""))</f>
        <v/>
      </c>
      <c r="D218" s="446" t="str">
        <f>IF(B218="Jaje kokošje, celo",IF(C218=INT(C218),C218,C218+1),IF(B218=""," ",_xlfn.IFNA(INT(C218*1000/(VLOOKUP($B218,Ingredient_prices!$E:$J,6,FALSE)))+1,"nije nabavljen")))</f>
        <v xml:space="preserve"> </v>
      </c>
      <c r="E218" s="446" t="str">
        <f>IF(C218="","",VLOOKUP($B218,Ingredient_prices!$E:$K,7,FALSE))</f>
        <v/>
      </c>
      <c r="F218" s="462" t="str">
        <f>IF(C218="","",IFERROR(IF(OR(E218="кг",E218="л"),VLOOKUP($B218,Ingredient_prices!$E:$V,16,FALSE)*D218,(VLOOKUP($B218,Ingredient_prices!$E:$P,12,FALSE)*D218)),""))</f>
        <v/>
      </c>
      <c r="G218" s="450" t="str">
        <f>IF(C218="","",_xlfn.IFNA(MID(VLOOKUP($B218,Ingredient_prices!$E:$F,2,FALSE),9,2),""))</f>
        <v/>
      </c>
      <c r="H218" s="447" t="str">
        <f>_xlfn.IFNA(VLOOKUP(CONCATENATE($I$9,$G218),Ingredient_prices!$G:$N,8,FALSE),"")</f>
        <v/>
      </c>
      <c r="I218" s="548" t="str">
        <f t="shared" si="13"/>
        <v/>
      </c>
      <c r="J218" s="695" t="str">
        <f>IF(N218="","",MID(Ingredient_prices!F212,9,2))</f>
        <v/>
      </c>
      <c r="K218" s="692" t="str">
        <f t="shared" si="14"/>
        <v/>
      </c>
      <c r="L218" s="692" t="str">
        <f>IF(N218="","",COUNTIF($P$10:$P$256,"&lt;"&amp;P218)+COUNTIF($P$10:P218,P218))</f>
        <v/>
      </c>
      <c r="M218" s="692" t="str">
        <f>IF(Ingredient_prices!E212=M217,"",Ingredient_prices!E212)</f>
        <v>Hake fillets</v>
      </c>
      <c r="N218" s="693" t="str">
        <f>_xlfn.IFNA(VLOOKUP($M218,Sedmica_1_količina_sva_sastojak!$C:$F,4,FALSE),"")</f>
        <v/>
      </c>
      <c r="O218" s="696" t="str">
        <f>IF(N218="","",COUNTIF($P$10:$P$256,"&lt;"&amp;P218)+COUNTIF($P$10:P218,P218))</f>
        <v/>
      </c>
      <c r="P218" s="694" t="str">
        <f t="shared" si="15"/>
        <v/>
      </c>
    </row>
    <row r="219" spans="1:17">
      <c r="A219" s="470">
        <v>210</v>
      </c>
      <c r="B219" s="1248" t="str">
        <f>IF($B$8=1,_xlfn.IFNA(VLOOKUP($A219,$L:$N,2,FALSE),""),_xlfn.IFNA(VLOOKUP($A219,Sedmica_2_količina_namirnica!$L:$N,2,FALSE),""))</f>
        <v/>
      </c>
      <c r="C219" s="448" t="str">
        <f>IF($B$8=1,_xlfn.IFNA(VLOOKUP($A219,$L:$N,3,FALSE)-0.0001,""),_xlfn.IFNA(VLOOKUP($A219,Sedmica_2_količina_namirnica!$L:$N,3,FALSE)-0.0001,""))</f>
        <v/>
      </c>
      <c r="D219" s="446" t="str">
        <f>IF(B219="Jaje kokošje, celo",IF(C219=INT(C219),C219,C219+1),IF(B219=""," ",_xlfn.IFNA(INT(C219*1000/(VLOOKUP($B219,Ingredient_prices!$E:$J,6,FALSE)))+1,"nije nabavljen")))</f>
        <v xml:space="preserve"> </v>
      </c>
      <c r="E219" s="446" t="str">
        <f>IF(C219="","",VLOOKUP($B219,Ingredient_prices!$E:$K,7,FALSE))</f>
        <v/>
      </c>
      <c r="F219" s="462" t="str">
        <f>IF(C219="","",IFERROR(IF(OR(E219="кг",E219="л"),VLOOKUP($B219,Ingredient_prices!$E:$V,16,FALSE)*D219,(VLOOKUP($B219,Ingredient_prices!$E:$P,12,FALSE)*D219)),""))</f>
        <v/>
      </c>
      <c r="G219" s="450" t="str">
        <f>IF(C219="","",_xlfn.IFNA(MID(VLOOKUP($B219,Ingredient_prices!$E:$F,2,FALSE),9,2),""))</f>
        <v/>
      </c>
      <c r="H219" s="447" t="str">
        <f>_xlfn.IFNA(VLOOKUP(CONCATENATE($I$9,$G219),Ingredient_prices!$G:$N,8,FALSE),"")</f>
        <v/>
      </c>
      <c r="I219" s="548" t="str">
        <f t="shared" si="13"/>
        <v/>
      </c>
      <c r="J219" s="695" t="str">
        <f>IF(N219="","",MID(Ingredient_prices!F213,9,2))</f>
        <v/>
      </c>
      <c r="K219" s="692" t="str">
        <f t="shared" si="14"/>
        <v/>
      </c>
      <c r="L219" s="692" t="str">
        <f>IF(N219="","",COUNTIF($P$10:$P$256,"&lt;"&amp;P219)+COUNTIF($P$10:P219,P219))</f>
        <v/>
      </c>
      <c r="M219" s="692" t="str">
        <f>IF(Ingredient_prices!E213=M218,"",Ingredient_prices!E213)</f>
        <v>Spinach fresh</v>
      </c>
      <c r="N219" s="693" t="str">
        <f>_xlfn.IFNA(VLOOKUP($M219,Sedmica_1_količina_sva_sastojak!$C:$F,4,FALSE),"")</f>
        <v/>
      </c>
      <c r="O219" s="696" t="str">
        <f>IF(N219="","",COUNTIF($P$10:$P$256,"&lt;"&amp;P219)+COUNTIF($P$10:P219,P219))</f>
        <v/>
      </c>
      <c r="P219" s="694" t="str">
        <f t="shared" si="15"/>
        <v/>
      </c>
    </row>
    <row r="220" spans="1:17" s="445" customFormat="1">
      <c r="A220" s="470">
        <v>211</v>
      </c>
      <c r="B220" s="1248" t="str">
        <f>IF($B$8=1,_xlfn.IFNA(VLOOKUP($A220,$L:$N,2,FALSE),""),_xlfn.IFNA(VLOOKUP($A220,Sedmica_2_količina_namirnica!$L:$N,2,FALSE),""))</f>
        <v/>
      </c>
      <c r="C220" s="448" t="str">
        <f>IF($B$8=1,_xlfn.IFNA(VLOOKUP($A220,$L:$N,3,FALSE)-0.0001,""),_xlfn.IFNA(VLOOKUP($A220,Sedmica_2_količina_namirnica!$L:$N,3,FALSE)-0.0001,""))</f>
        <v/>
      </c>
      <c r="D220" s="446" t="str">
        <f>IF(B220="Jaje kokošje, celo",IF(C220=INT(C220),C220,C220+1),IF(B220=""," ",_xlfn.IFNA(INT(C220*1000/(VLOOKUP($B220,Ingredient_prices!$E:$J,6,FALSE)))+1,"nije nabavljen")))</f>
        <v xml:space="preserve"> </v>
      </c>
      <c r="E220" s="446" t="str">
        <f>IF(C220="","",VLOOKUP($B220,Ingredient_prices!$E:$K,7,FALSE))</f>
        <v/>
      </c>
      <c r="F220" s="462" t="str">
        <f>IF(C220="","",IFERROR(IF(OR(E220="кг",E220="л"),VLOOKUP($B220,Ingredient_prices!$E:$V,16,FALSE)*D220,(VLOOKUP($B220,Ingredient_prices!$E:$P,12,FALSE)*D220)),""))</f>
        <v/>
      </c>
      <c r="G220" s="450" t="str">
        <f>IF(C220="","",_xlfn.IFNA(MID(VLOOKUP($B220,Ingredient_prices!$E:$F,2,FALSE),9,2),""))</f>
        <v/>
      </c>
      <c r="H220" s="447" t="str">
        <f>_xlfn.IFNA(VLOOKUP(CONCATENATE($I$9,$G220),Ingredient_prices!$G:$N,8,FALSE),"")</f>
        <v/>
      </c>
      <c r="I220" s="548" t="str">
        <f t="shared" si="13"/>
        <v/>
      </c>
      <c r="J220" s="695" t="str">
        <f>IF(N220="","",MID(Ingredient_prices!F214,9,2))</f>
        <v/>
      </c>
      <c r="K220" s="692" t="str">
        <f t="shared" si="14"/>
        <v/>
      </c>
      <c r="L220" s="692" t="str">
        <f>IF(N220="","",COUNTIF($P$10:$P$256,"&lt;"&amp;P220)+COUNTIF($P$10:P220,P220))</f>
        <v/>
      </c>
      <c r="M220" s="692" t="str">
        <f>IF(Ingredient_prices!E214=M219,"",Ingredient_prices!E214)</f>
        <v/>
      </c>
      <c r="N220" s="693" t="str">
        <f>_xlfn.IFNA(VLOOKUP($M220,Sedmica_1_količina_sva_sastojak!$C:$F,4,FALSE),"")</f>
        <v/>
      </c>
      <c r="O220" s="696" t="str">
        <f>IF(N220="","",COUNTIF($P$10:$P$256,"&lt;"&amp;P220)+COUNTIF($P$10:P220,P220))</f>
        <v/>
      </c>
      <c r="P220" s="694" t="str">
        <f t="shared" si="15"/>
        <v/>
      </c>
      <c r="Q220" s="692"/>
    </row>
    <row r="221" spans="1:17">
      <c r="A221" s="470">
        <v>212</v>
      </c>
      <c r="B221" s="1248" t="str">
        <f>IF($B$8=1,_xlfn.IFNA(VLOOKUP($A221,$L:$N,2,FALSE),""),_xlfn.IFNA(VLOOKUP($A221,Sedmica_2_količina_namirnica!$L:$N,2,FALSE),""))</f>
        <v/>
      </c>
      <c r="C221" s="448" t="str">
        <f>IF($B$8=1,_xlfn.IFNA(VLOOKUP($A221,$L:$N,3,FALSE)-0.0001,""),_xlfn.IFNA(VLOOKUP($A221,Sedmica_2_količina_namirnica!$L:$N,3,FALSE)-0.0001,""))</f>
        <v/>
      </c>
      <c r="D221" s="446" t="str">
        <f>IF(B221="Jaje kokošje, celo",IF(C221=INT(C221),C221,C221+1),IF(B221=""," ",_xlfn.IFNA(INT(C221*1000/(VLOOKUP($B221,Ingredient_prices!$E:$J,6,FALSE)))+1,"nije nabavljen")))</f>
        <v xml:space="preserve"> </v>
      </c>
      <c r="E221" s="446" t="str">
        <f>IF(C221="","",VLOOKUP($B221,Ingredient_prices!$E:$K,7,FALSE))</f>
        <v/>
      </c>
      <c r="F221" s="462" t="str">
        <f>IF(C221="","",IFERROR(IF(OR(E221="кг",E221="л"),VLOOKUP($B221,Ingredient_prices!$E:$V,16,FALSE)*D221,(VLOOKUP($B221,Ingredient_prices!$E:$P,12,FALSE)*D221)),""))</f>
        <v/>
      </c>
      <c r="G221" s="450" t="str">
        <f>IF(C221="","",_xlfn.IFNA(MID(VLOOKUP($B221,Ingredient_prices!$E:$F,2,FALSE),9,2),""))</f>
        <v/>
      </c>
      <c r="H221" s="447" t="str">
        <f>_xlfn.IFNA(VLOOKUP(CONCATENATE($I$9,$G221),Ingredient_prices!$G:$N,8,FALSE),"")</f>
        <v/>
      </c>
      <c r="I221" s="548" t="str">
        <f t="shared" si="13"/>
        <v/>
      </c>
      <c r="J221" s="695" t="str">
        <f>IF(N221="","",MID(Ingredient_prices!F215,9,2))</f>
        <v/>
      </c>
      <c r="K221" s="692" t="str">
        <f t="shared" si="14"/>
        <v/>
      </c>
      <c r="L221" s="692" t="str">
        <f>IF(N221="","",COUNTIF($P$10:$P$256,"&lt;"&amp;P221)+COUNTIF($P$10:P221,P221))</f>
        <v/>
      </c>
      <c r="M221" s="692" t="str">
        <f>IF(Ingredient_prices!E215=M220,"",Ingredient_prices!E215)</f>
        <v/>
      </c>
      <c r="N221" s="693" t="str">
        <f>_xlfn.IFNA(VLOOKUP($M221,Sedmica_1_količina_sva_sastojak!$C:$F,4,FALSE),"")</f>
        <v/>
      </c>
      <c r="O221" s="696" t="str">
        <f>IF(N221="","",COUNTIF($P$10:$P$256,"&lt;"&amp;P221)+COUNTIF($P$10:P221,P221))</f>
        <v/>
      </c>
      <c r="P221" s="694" t="str">
        <f t="shared" si="15"/>
        <v/>
      </c>
    </row>
    <row r="222" spans="1:17">
      <c r="A222" s="470">
        <v>213</v>
      </c>
      <c r="B222" s="1248" t="str">
        <f>IF($B$8=1,_xlfn.IFNA(VLOOKUP($A222,$L:$N,2,FALSE),""),_xlfn.IFNA(VLOOKUP($A222,Sedmica_2_količina_namirnica!$L:$N,2,FALSE),""))</f>
        <v/>
      </c>
      <c r="C222" s="448" t="str">
        <f>IF($B$8=1,_xlfn.IFNA(VLOOKUP($A222,$L:$N,3,FALSE)-0.0001,""),_xlfn.IFNA(VLOOKUP($A222,Sedmica_2_količina_namirnica!$L:$N,3,FALSE)-0.0001,""))</f>
        <v/>
      </c>
      <c r="D222" s="446" t="str">
        <f>IF(B222="Jaje kokošje, celo",IF(C222=INT(C222),C222,C222+1),IF(B222=""," ",_xlfn.IFNA(INT(C222*1000/(VLOOKUP($B222,Ingredient_prices!$E:$J,6,FALSE)))+1,"nije nabavljen")))</f>
        <v xml:space="preserve"> </v>
      </c>
      <c r="E222" s="446" t="str">
        <f>IF(C222="","",VLOOKUP($B222,Ingredient_prices!$E:$K,7,FALSE))</f>
        <v/>
      </c>
      <c r="F222" s="462" t="str">
        <f>IF(C222="","",IFERROR(IF(OR(E222="кг",E222="л"),VLOOKUP($B222,Ingredient_prices!$E:$V,16,FALSE)*D222,(VLOOKUP($B222,Ingredient_prices!$E:$P,12,FALSE)*D222)),""))</f>
        <v/>
      </c>
      <c r="G222" s="450" t="str">
        <f>IF(C222="","",_xlfn.IFNA(MID(VLOOKUP($B222,Ingredient_prices!$E:$F,2,FALSE),9,2),""))</f>
        <v/>
      </c>
      <c r="H222" s="447" t="str">
        <f>_xlfn.IFNA(VLOOKUP(CONCATENATE($I$9,$G222),Ingredient_prices!$G:$N,8,FALSE),"")</f>
        <v/>
      </c>
      <c r="I222" s="548" t="str">
        <f t="shared" si="13"/>
        <v/>
      </c>
      <c r="J222" s="695" t="str">
        <f>IF(N222="","",MID(Ingredient_prices!F216,9,2))</f>
        <v/>
      </c>
      <c r="K222" s="692" t="str">
        <f t="shared" si="14"/>
        <v/>
      </c>
      <c r="L222" s="692" t="str">
        <f>IF(N222="","",COUNTIF($P$10:$P$256,"&lt;"&amp;P222)+COUNTIF($P$10:P222,P222))</f>
        <v/>
      </c>
      <c r="M222" s="692" t="str">
        <f>IF(Ingredient_prices!E216=M221,"",Ingredient_prices!E216)</f>
        <v/>
      </c>
      <c r="N222" s="693" t="str">
        <f>_xlfn.IFNA(VLOOKUP($M222,Sedmica_1_količina_sva_sastojak!$C:$F,4,FALSE),"")</f>
        <v/>
      </c>
      <c r="O222" s="696" t="str">
        <f>IF(N222="","",COUNTIF($P$10:$P$256,"&lt;"&amp;P222)+COUNTIF($P$10:P222,P222))</f>
        <v/>
      </c>
      <c r="P222" s="694" t="str">
        <f t="shared" si="15"/>
        <v/>
      </c>
    </row>
    <row r="223" spans="1:17">
      <c r="A223" s="470">
        <v>214</v>
      </c>
      <c r="B223" s="1248" t="str">
        <f>IF($B$8=1,_xlfn.IFNA(VLOOKUP($A223,$L:$N,2,FALSE),""),_xlfn.IFNA(VLOOKUP($A223,Sedmica_2_količina_namirnica!$L:$N,2,FALSE),""))</f>
        <v/>
      </c>
      <c r="C223" s="448" t="str">
        <f>IF($B$8=1,_xlfn.IFNA(VLOOKUP($A223,$L:$N,3,FALSE)-0.0001,""),_xlfn.IFNA(VLOOKUP($A223,Sedmica_2_količina_namirnica!$L:$N,3,FALSE)-0.0001,""))</f>
        <v/>
      </c>
      <c r="D223" s="446" t="str">
        <f>IF(B223="Jaje kokošje, celo",IF(C223=INT(C223),C223,C223+1),IF(B223=""," ",_xlfn.IFNA(INT(C223*1000/(VLOOKUP($B223,Ingredient_prices!$E:$J,6,FALSE)))+1,"nije nabavljen")))</f>
        <v xml:space="preserve"> </v>
      </c>
      <c r="E223" s="446" t="str">
        <f>IF(C223="","",VLOOKUP($B223,Ingredient_prices!$E:$K,7,FALSE))</f>
        <v/>
      </c>
      <c r="F223" s="462" t="str">
        <f>IF(C223="","",IFERROR(IF(OR(E223="кг",E223="л"),VLOOKUP($B223,Ingredient_prices!$E:$V,16,FALSE)*D223,(VLOOKUP($B223,Ingredient_prices!$E:$P,12,FALSE)*D223)),""))</f>
        <v/>
      </c>
      <c r="G223" s="450" t="str">
        <f>IF(C223="","",_xlfn.IFNA(MID(VLOOKUP($B223,Ingredient_prices!$E:$F,2,FALSE),9,2),""))</f>
        <v/>
      </c>
      <c r="H223" s="447" t="str">
        <f>_xlfn.IFNA(VLOOKUP(CONCATENATE($I$9,$G223),Ingredient_prices!$G:$N,8,FALSE),"")</f>
        <v/>
      </c>
      <c r="I223" s="548" t="str">
        <f t="shared" si="13"/>
        <v/>
      </c>
      <c r="J223" s="695" t="str">
        <f>IF(N223="","",MID(Ingredient_prices!F217,9,2))</f>
        <v/>
      </c>
      <c r="K223" s="692" t="str">
        <f t="shared" si="14"/>
        <v/>
      </c>
      <c r="L223" s="692" t="str">
        <f>IF(N223="","",COUNTIF($P$10:$P$256,"&lt;"&amp;P223)+COUNTIF($P$10:P223,P223))</f>
        <v/>
      </c>
      <c r="M223" s="692" t="str">
        <f>IF(Ingredient_prices!E217=M222,"",Ingredient_prices!E217)</f>
        <v/>
      </c>
      <c r="N223" s="693" t="str">
        <f>_xlfn.IFNA(VLOOKUP($M223,Sedmica_1_količina_sva_sastojak!$C:$F,4,FALSE),"")</f>
        <v/>
      </c>
      <c r="O223" s="696" t="str">
        <f>IF(N223="","",COUNTIF($P$10:$P$256,"&lt;"&amp;P223)+COUNTIF($P$10:P223,P223))</f>
        <v/>
      </c>
      <c r="P223" s="694" t="str">
        <f t="shared" si="15"/>
        <v/>
      </c>
    </row>
    <row r="224" spans="1:17">
      <c r="A224" s="470">
        <v>215</v>
      </c>
      <c r="B224" s="1248" t="str">
        <f>IF($B$8=1,_xlfn.IFNA(VLOOKUP($A224,$L:$N,2,FALSE),""),_xlfn.IFNA(VLOOKUP($A224,Sedmica_2_količina_namirnica!$L:$N,2,FALSE),""))</f>
        <v/>
      </c>
      <c r="C224" s="448" t="str">
        <f>IF($B$8=1,_xlfn.IFNA(VLOOKUP($A224,$L:$N,3,FALSE)-0.0001,""),_xlfn.IFNA(VLOOKUP($A224,Sedmica_2_količina_namirnica!$L:$N,3,FALSE)-0.0001,""))</f>
        <v/>
      </c>
      <c r="D224" s="446" t="str">
        <f>IF(B224="Jaje kokošje, celo",IF(C224=INT(C224),C224,C224+1),IF(B224=""," ",_xlfn.IFNA(INT(C224*1000/(VLOOKUP($B224,Ingredient_prices!$E:$J,6,FALSE)))+1,"nije nabavljen")))</f>
        <v xml:space="preserve"> </v>
      </c>
      <c r="E224" s="446" t="str">
        <f>IF(C224="","",VLOOKUP($B224,Ingredient_prices!$E:$K,7,FALSE))</f>
        <v/>
      </c>
      <c r="F224" s="462" t="str">
        <f>IF(C224="","",IFERROR(IF(OR(E224="кг",E224="л"),VLOOKUP($B224,Ingredient_prices!$E:$V,16,FALSE)*D224,(VLOOKUP($B224,Ingredient_prices!$E:$P,12,FALSE)*D224)),""))</f>
        <v/>
      </c>
      <c r="G224" s="450" t="str">
        <f>IF(C224="","",_xlfn.IFNA(MID(VLOOKUP($B224,Ingredient_prices!$E:$F,2,FALSE),9,2),""))</f>
        <v/>
      </c>
      <c r="H224" s="447" t="str">
        <f>_xlfn.IFNA(VLOOKUP(CONCATENATE($I$9,$G224),Ingredient_prices!$G:$N,8,FALSE),"")</f>
        <v/>
      </c>
      <c r="I224" s="548" t="str">
        <f t="shared" si="13"/>
        <v/>
      </c>
      <c r="J224" s="695" t="str">
        <f>IF(N224="","",MID(Ingredient_prices!F218,9,2))</f>
        <v/>
      </c>
      <c r="K224" s="692" t="str">
        <f t="shared" si="14"/>
        <v/>
      </c>
      <c r="L224" s="692" t="str">
        <f>IF(N224="","",COUNTIF($P$10:$P$256,"&lt;"&amp;P224)+COUNTIF($P$10:P224,P224))</f>
        <v/>
      </c>
      <c r="M224" s="692" t="str">
        <f>IF(Ingredient_prices!E218=M223,"",Ingredient_prices!E218)</f>
        <v/>
      </c>
      <c r="N224" s="693" t="str">
        <f>_xlfn.IFNA(VLOOKUP($M224,Sedmica_1_količina_sva_sastojak!$C:$F,4,FALSE),"")</f>
        <v/>
      </c>
      <c r="O224" s="696" t="str">
        <f>IF(N224="","",COUNTIF($P$10:$P$256,"&lt;"&amp;P224)+COUNTIF($P$10:P224,P224))</f>
        <v/>
      </c>
      <c r="P224" s="694" t="str">
        <f t="shared" si="15"/>
        <v/>
      </c>
    </row>
    <row r="225" spans="1:16">
      <c r="A225" s="470">
        <v>216</v>
      </c>
      <c r="B225" s="1248" t="str">
        <f>IF($B$8=1,_xlfn.IFNA(VLOOKUP($A225,$L:$N,2,FALSE),""),_xlfn.IFNA(VLOOKUP($A225,Sedmica_2_količina_namirnica!$L:$N,2,FALSE),""))</f>
        <v/>
      </c>
      <c r="C225" s="448" t="str">
        <f>IF($B$8=1,_xlfn.IFNA(VLOOKUP($A225,$L:$N,3,FALSE)-0.0001,""),_xlfn.IFNA(VLOOKUP($A225,Sedmica_2_količina_namirnica!$L:$N,3,FALSE)-0.0001,""))</f>
        <v/>
      </c>
      <c r="D225" s="446" t="str">
        <f>IF(B225="Jaje kokošje, celo",IF(C225=INT(C225),C225,C225+1),IF(B225=""," ",_xlfn.IFNA(INT(C225*1000/(VLOOKUP($B225,Ingredient_prices!$E:$J,6,FALSE)))+1,"nije nabavljen")))</f>
        <v xml:space="preserve"> </v>
      </c>
      <c r="E225" s="446" t="str">
        <f>IF(C225="","",VLOOKUP($B225,Ingredient_prices!$E:$K,7,FALSE))</f>
        <v/>
      </c>
      <c r="F225" s="462" t="str">
        <f>IF(C225="","",IFERROR(IF(OR(E225="кг",E225="л"),VLOOKUP($B225,Ingredient_prices!$E:$V,16,FALSE)*D225,(VLOOKUP($B225,Ingredient_prices!$E:$P,12,FALSE)*D225)),""))</f>
        <v/>
      </c>
      <c r="G225" s="450" t="str">
        <f>IF(C225="","",_xlfn.IFNA(MID(VLOOKUP($B225,Ingredient_prices!$E:$F,2,FALSE),9,2),""))</f>
        <v/>
      </c>
      <c r="H225" s="447" t="str">
        <f>_xlfn.IFNA(VLOOKUP(CONCATENATE($I$9,$G225),Ingredient_prices!$G:$N,8,FALSE),"")</f>
        <v/>
      </c>
      <c r="I225" s="548" t="str">
        <f t="shared" si="13"/>
        <v/>
      </c>
      <c r="J225" s="695" t="str">
        <f>IF(N225="","",MID(Ingredient_prices!F219,9,2))</f>
        <v/>
      </c>
      <c r="K225" s="692" t="str">
        <f t="shared" si="14"/>
        <v/>
      </c>
      <c r="L225" s="692" t="str">
        <f>IF(N225="","",COUNTIF($P$10:$P$256,"&lt;"&amp;P225)+COUNTIF($P$10:P225,P225))</f>
        <v/>
      </c>
      <c r="M225" s="692" t="str">
        <f>IF(Ingredient_prices!E219=M224,"",Ingredient_prices!E219)</f>
        <v/>
      </c>
      <c r="N225" s="693" t="str">
        <f>_xlfn.IFNA(VLOOKUP($M225,Sedmica_1_količina_sva_sastojak!$C:$F,4,FALSE),"")</f>
        <v/>
      </c>
      <c r="O225" s="696" t="str">
        <f>IF(N225="","",COUNTIF($P$10:$P$256,"&lt;"&amp;P225)+COUNTIF($P$10:P225,P225))</f>
        <v/>
      </c>
      <c r="P225" s="694" t="str">
        <f t="shared" si="15"/>
        <v/>
      </c>
    </row>
    <row r="226" spans="1:16">
      <c r="A226" s="470">
        <v>217</v>
      </c>
      <c r="B226" s="1248" t="str">
        <f>IF($B$8=1,_xlfn.IFNA(VLOOKUP($A226,$L:$N,2,FALSE),""),_xlfn.IFNA(VLOOKUP($A226,Sedmica_2_količina_namirnica!$L:$N,2,FALSE),""))</f>
        <v/>
      </c>
      <c r="C226" s="448" t="str">
        <f>IF($B$8=1,_xlfn.IFNA(VLOOKUP($A226,$L:$N,3,FALSE)-0.0001,""),_xlfn.IFNA(VLOOKUP($A226,Sedmica_2_količina_namirnica!$L:$N,3,FALSE)-0.0001,""))</f>
        <v/>
      </c>
      <c r="D226" s="446" t="str">
        <f>IF(B226="Jaje kokošje, celo",IF(C226=INT(C226),C226,C226+1),IF(B226=""," ",_xlfn.IFNA(INT(C226*1000/(VLOOKUP($B226,Ingredient_prices!$E:$J,6,FALSE)))+1,"nije nabavljen")))</f>
        <v xml:space="preserve"> </v>
      </c>
      <c r="E226" s="446" t="str">
        <f>IF(C226="","",VLOOKUP($B226,Ingredient_prices!$E:$K,7,FALSE))</f>
        <v/>
      </c>
      <c r="F226" s="462" t="str">
        <f>IF(C226="","",IFERROR(IF(OR(E226="кг",E226="л"),VLOOKUP($B226,Ingredient_prices!$E:$V,16,FALSE)*D226,(VLOOKUP($B226,Ingredient_prices!$E:$P,12,FALSE)*D226)),""))</f>
        <v/>
      </c>
      <c r="G226" s="450" t="str">
        <f>IF(C226="","",_xlfn.IFNA(MID(VLOOKUP($B226,Ingredient_prices!$E:$F,2,FALSE),9,2),""))</f>
        <v/>
      </c>
      <c r="H226" s="447" t="str">
        <f>_xlfn.IFNA(VLOOKUP(CONCATENATE($I$9,$G226),Ingredient_prices!$G:$N,8,FALSE),"")</f>
        <v/>
      </c>
      <c r="I226" s="548" t="str">
        <f t="shared" si="13"/>
        <v/>
      </c>
      <c r="J226" s="695" t="str">
        <f>IF(N226="","",MID(Ingredient_prices!F220,9,2))</f>
        <v/>
      </c>
      <c r="K226" s="692" t="str">
        <f t="shared" si="14"/>
        <v/>
      </c>
      <c r="L226" s="692" t="str">
        <f>IF(N226="","",COUNTIF($P$10:$P$256,"&lt;"&amp;P226)+COUNTIF($P$10:P226,P226))</f>
        <v/>
      </c>
      <c r="M226" s="692" t="str">
        <f>IF(Ingredient_prices!E220=M225,"",Ingredient_prices!E220)</f>
        <v/>
      </c>
      <c r="N226" s="693" t="str">
        <f>_xlfn.IFNA(VLOOKUP($M226,Sedmica_1_količina_sva_sastojak!$C:$F,4,FALSE),"")</f>
        <v/>
      </c>
      <c r="O226" s="696" t="str">
        <f>IF(N226="","",COUNTIF($P$10:$P$256,"&lt;"&amp;P226)+COUNTIF($P$10:P226,P226))</f>
        <v/>
      </c>
      <c r="P226" s="694" t="str">
        <f t="shared" si="15"/>
        <v/>
      </c>
    </row>
    <row r="227" spans="1:16">
      <c r="A227" s="470">
        <v>218</v>
      </c>
      <c r="B227" s="1248" t="str">
        <f>IF($B$8=1,_xlfn.IFNA(VLOOKUP($A227,$L:$N,2,FALSE),""),_xlfn.IFNA(VLOOKUP($A227,Sedmica_2_količina_namirnica!$L:$N,2,FALSE),""))</f>
        <v/>
      </c>
      <c r="C227" s="448" t="str">
        <f>IF($B$8=1,_xlfn.IFNA(VLOOKUP($A227,$L:$N,3,FALSE)-0.0001,""),_xlfn.IFNA(VLOOKUP($A227,Sedmica_2_količina_namirnica!$L:$N,3,FALSE)-0.0001,""))</f>
        <v/>
      </c>
      <c r="D227" s="446" t="str">
        <f>IF(B227="Jaje kokošje, celo",IF(C227=INT(C227),C227,C227+1),IF(B227=""," ",_xlfn.IFNA(INT(C227*1000/(VLOOKUP($B227,Ingredient_prices!$E:$J,6,FALSE)))+1,"nije nabavljen")))</f>
        <v xml:space="preserve"> </v>
      </c>
      <c r="E227" s="446" t="str">
        <f>IF(C227="","",VLOOKUP($B227,Ingredient_prices!$E:$K,7,FALSE))</f>
        <v/>
      </c>
      <c r="F227" s="462" t="str">
        <f>IF(C227="","",IFERROR(IF(OR(E227="кг",E227="л"),VLOOKUP($B227,Ingredient_prices!$E:$V,16,FALSE)*D227,(VLOOKUP($B227,Ingredient_prices!$E:$P,12,FALSE)*D227)),""))</f>
        <v/>
      </c>
      <c r="G227" s="450" t="str">
        <f>IF(C227="","",_xlfn.IFNA(MID(VLOOKUP($B227,Ingredient_prices!$E:$F,2,FALSE),9,2),""))</f>
        <v/>
      </c>
      <c r="H227" s="447" t="str">
        <f>_xlfn.IFNA(VLOOKUP(CONCATENATE($I$9,$G227),Ingredient_prices!$G:$N,8,FALSE),"")</f>
        <v/>
      </c>
      <c r="I227" s="548" t="str">
        <f t="shared" si="13"/>
        <v/>
      </c>
      <c r="J227" s="695" t="str">
        <f>IF(N227="","",MID(Ingredient_prices!F221,9,2))</f>
        <v/>
      </c>
      <c r="K227" s="692" t="str">
        <f t="shared" si="14"/>
        <v/>
      </c>
      <c r="L227" s="692" t="str">
        <f>IF(N227="","",COUNTIF($P$10:$P$256,"&lt;"&amp;P227)+COUNTIF($P$10:P227,P227))</f>
        <v/>
      </c>
      <c r="M227" s="692" t="str">
        <f>IF(Ingredient_prices!E221=M226,"",Ingredient_prices!E221)</f>
        <v/>
      </c>
      <c r="N227" s="693" t="str">
        <f>_xlfn.IFNA(VLOOKUP($M227,Sedmica_1_količina_sva_sastojak!$C:$F,4,FALSE),"")</f>
        <v/>
      </c>
      <c r="O227" s="696" t="str">
        <f>IF(N227="","",COUNTIF($P$10:$P$256,"&lt;"&amp;P227)+COUNTIF($P$10:P227,P227))</f>
        <v/>
      </c>
      <c r="P227" s="694" t="str">
        <f t="shared" si="15"/>
        <v/>
      </c>
    </row>
    <row r="228" spans="1:16">
      <c r="A228" s="470">
        <v>219</v>
      </c>
      <c r="B228" s="1248" t="str">
        <f>IF($B$8=1,_xlfn.IFNA(VLOOKUP($A228,$L:$N,2,FALSE),""),_xlfn.IFNA(VLOOKUP($A228,Sedmica_2_količina_namirnica!$L:$N,2,FALSE),""))</f>
        <v/>
      </c>
      <c r="C228" s="448" t="str">
        <f>IF($B$8=1,_xlfn.IFNA(VLOOKUP($A228,$L:$N,3,FALSE)-0.0001,""),_xlfn.IFNA(VLOOKUP($A228,Sedmica_2_količina_namirnica!$L:$N,3,FALSE)-0.0001,""))</f>
        <v/>
      </c>
      <c r="D228" s="446" t="str">
        <f>IF(B228="Jaje kokošje, celo",IF(C228=INT(C228),C228,C228+1),IF(B228=""," ",_xlfn.IFNA(INT(C228*1000/(VLOOKUP($B228,Ingredient_prices!$E:$J,6,FALSE)))+1,"nije nabavljen")))</f>
        <v xml:space="preserve"> </v>
      </c>
      <c r="E228" s="446" t="str">
        <f>IF(C228="","",VLOOKUP($B228,Ingredient_prices!$E:$K,7,FALSE))</f>
        <v/>
      </c>
      <c r="F228" s="462" t="str">
        <f>IF(C228="","",IFERROR(IF(OR(E228="кг",E228="л"),VLOOKUP($B228,Ingredient_prices!$E:$V,16,FALSE)*D228,(VLOOKUP($B228,Ingredient_prices!$E:$P,12,FALSE)*D228)),""))</f>
        <v/>
      </c>
      <c r="G228" s="450" t="str">
        <f>IF(C228="","",_xlfn.IFNA(MID(VLOOKUP($B228,Ingredient_prices!$E:$F,2,FALSE),9,2),""))</f>
        <v/>
      </c>
      <c r="H228" s="447" t="str">
        <f>_xlfn.IFNA(VLOOKUP(CONCATENATE($I$9,$G228),Ingredient_prices!$G:$N,8,FALSE),"")</f>
        <v/>
      </c>
      <c r="I228" s="548" t="str">
        <f t="shared" si="13"/>
        <v/>
      </c>
      <c r="J228" s="695" t="str">
        <f>IF(N228="","",MID(Ingredient_prices!F222,9,2))</f>
        <v/>
      </c>
      <c r="K228" s="692" t="str">
        <f t="shared" si="14"/>
        <v/>
      </c>
      <c r="L228" s="692" t="str">
        <f>IF(N228="","",COUNTIF($P$10:$P$256,"&lt;"&amp;P228)+COUNTIF($P$10:P228,P228))</f>
        <v/>
      </c>
      <c r="M228" s="692" t="str">
        <f>IF(Ingredient_prices!E222=M227,"",Ingredient_prices!E222)</f>
        <v/>
      </c>
      <c r="N228" s="693" t="str">
        <f>_xlfn.IFNA(VLOOKUP($M228,Sedmica_1_količina_sva_sastojak!$C:$F,4,FALSE),"")</f>
        <v/>
      </c>
      <c r="O228" s="696" t="str">
        <f>IF(N228="","",COUNTIF($P$10:$P$256,"&lt;"&amp;P228)+COUNTIF($P$10:P228,P228))</f>
        <v/>
      </c>
      <c r="P228" s="694" t="str">
        <f t="shared" si="15"/>
        <v/>
      </c>
    </row>
    <row r="229" spans="1:16">
      <c r="A229" s="470">
        <v>220</v>
      </c>
      <c r="B229" s="1248" t="str">
        <f>IF($B$8=1,_xlfn.IFNA(VLOOKUP($A229,$L:$N,2,FALSE),""),_xlfn.IFNA(VLOOKUP($A229,Sedmica_2_količina_namirnica!$L:$N,2,FALSE),""))</f>
        <v/>
      </c>
      <c r="C229" s="448" t="str">
        <f>IF($B$8=1,_xlfn.IFNA(VLOOKUP($A229,$L:$N,3,FALSE)-0.0001,""),_xlfn.IFNA(VLOOKUP($A229,Sedmica_2_količina_namirnica!$L:$N,3,FALSE)-0.0001,""))</f>
        <v/>
      </c>
      <c r="D229" s="446" t="str">
        <f>IF(B229="Jaje kokošje, celo",IF(C229=INT(C229),C229,C229+1),IF(B229=""," ",_xlfn.IFNA(INT(C229*1000/(VLOOKUP($B229,Ingredient_prices!$E:$J,6,FALSE)))+1,"nije nabavljen")))</f>
        <v xml:space="preserve"> </v>
      </c>
      <c r="E229" s="446" t="str">
        <f>IF(C229="","",VLOOKUP($B229,Ingredient_prices!$E:$K,7,FALSE))</f>
        <v/>
      </c>
      <c r="F229" s="462" t="str">
        <f>IF(C229="","",IFERROR(IF(OR(E229="кг",E229="л"),VLOOKUP($B229,Ingredient_prices!$E:$V,16,FALSE)*D229,(VLOOKUP($B229,Ingredient_prices!$E:$P,12,FALSE)*D229)),""))</f>
        <v/>
      </c>
      <c r="G229" s="450" t="str">
        <f>IF(C229="","",_xlfn.IFNA(MID(VLOOKUP($B229,Ingredient_prices!$E:$F,2,FALSE),9,2),""))</f>
        <v/>
      </c>
      <c r="H229" s="447" t="str">
        <f>_xlfn.IFNA(VLOOKUP(CONCATENATE($I$9,$G229),Ingredient_prices!$G:$N,8,FALSE),"")</f>
        <v/>
      </c>
      <c r="I229" s="548" t="str">
        <f t="shared" si="13"/>
        <v/>
      </c>
      <c r="J229" s="695" t="str">
        <f>IF(N229="","",MID(Ingredient_prices!F223,9,2))</f>
        <v/>
      </c>
      <c r="K229" s="692" t="str">
        <f t="shared" si="14"/>
        <v/>
      </c>
      <c r="L229" s="692" t="str">
        <f>IF(N229="","",COUNTIF($P$10:$P$256,"&lt;"&amp;P229)+COUNTIF($P$10:P229,P229))</f>
        <v/>
      </c>
      <c r="M229" s="692" t="str">
        <f>IF(Ingredient_prices!E223=M228,"",Ingredient_prices!E223)</f>
        <v/>
      </c>
      <c r="N229" s="693" t="str">
        <f>_xlfn.IFNA(VLOOKUP($M229,Sedmica_1_količina_sva_sastojak!$C:$F,4,FALSE),"")</f>
        <v/>
      </c>
      <c r="O229" s="696" t="str">
        <f>IF(N229="","",COUNTIF($P$10:$P$256,"&lt;"&amp;P229)+COUNTIF($P$10:P229,P229))</f>
        <v/>
      </c>
      <c r="P229" s="694" t="str">
        <f t="shared" si="15"/>
        <v/>
      </c>
    </row>
    <row r="230" spans="1:16">
      <c r="A230" s="470">
        <v>221</v>
      </c>
      <c r="B230" s="1248" t="str">
        <f>IF($B$8=1,_xlfn.IFNA(VLOOKUP($A230,$L:$N,2,FALSE),""),_xlfn.IFNA(VLOOKUP($A230,Sedmica_2_količina_namirnica!$L:$N,2,FALSE),""))</f>
        <v/>
      </c>
      <c r="C230" s="448" t="str">
        <f>IF($B$8=1,_xlfn.IFNA(VLOOKUP($A230,$L:$N,3,FALSE)-0.0001,""),_xlfn.IFNA(VLOOKUP($A230,Sedmica_2_količina_namirnica!$L:$N,3,FALSE)-0.0001,""))</f>
        <v/>
      </c>
      <c r="D230" s="446" t="str">
        <f>IF(B230="Jaje kokošje, celo",IF(C230=INT(C230),C230,C230+1),IF(B230=""," ",_xlfn.IFNA(INT(C230*1000/(VLOOKUP($B230,Ingredient_prices!$E:$J,6,FALSE)))+1,"nije nabavljen")))</f>
        <v xml:space="preserve"> </v>
      </c>
      <c r="E230" s="446" t="str">
        <f>IF(C230="","",VLOOKUP($B230,Ingredient_prices!$E:$K,7,FALSE))</f>
        <v/>
      </c>
      <c r="F230" s="462" t="str">
        <f>IF(C230="","",IFERROR(IF(OR(E230="кг",E230="л"),VLOOKUP($B230,Ingredient_prices!$E:$V,16,FALSE)*D230,(VLOOKUP($B230,Ingredient_prices!$E:$P,12,FALSE)*D230)),""))</f>
        <v/>
      </c>
      <c r="G230" s="450" t="str">
        <f>IF(C230="","",_xlfn.IFNA(MID(VLOOKUP($B230,Ingredient_prices!$E:$F,2,FALSE),9,2),""))</f>
        <v/>
      </c>
      <c r="H230" s="447" t="str">
        <f>_xlfn.IFNA(VLOOKUP(CONCATENATE($I$9,$G230),Ingredient_prices!$G:$N,8,FALSE),"")</f>
        <v/>
      </c>
      <c r="I230" s="548" t="str">
        <f t="shared" si="13"/>
        <v/>
      </c>
      <c r="J230" s="695" t="str">
        <f>IF(N230="","",MID(Ingredient_prices!F224,9,2))</f>
        <v/>
      </c>
      <c r="K230" s="692" t="str">
        <f t="shared" si="14"/>
        <v/>
      </c>
      <c r="L230" s="692" t="str">
        <f>IF(N230="","",COUNTIF($P$10:$P$256,"&lt;"&amp;P230)+COUNTIF($P$10:P230,P230))</f>
        <v/>
      </c>
      <c r="M230" s="692" t="str">
        <f>IF(Ingredient_prices!E224=M229,"",Ingredient_prices!E224)</f>
        <v/>
      </c>
      <c r="N230" s="693" t="str">
        <f>_xlfn.IFNA(VLOOKUP($M230,Sedmica_1_količina_sva_sastojak!$C:$F,4,FALSE),"")</f>
        <v/>
      </c>
      <c r="O230" s="696" t="str">
        <f>IF(N230="","",COUNTIF($P$10:$P$256,"&lt;"&amp;P230)+COUNTIF($P$10:P230,P230))</f>
        <v/>
      </c>
      <c r="P230" s="694" t="str">
        <f t="shared" si="15"/>
        <v/>
      </c>
    </row>
    <row r="231" spans="1:16">
      <c r="A231" s="470">
        <v>222</v>
      </c>
      <c r="B231" s="1248" t="str">
        <f>IF($B$8=1,_xlfn.IFNA(VLOOKUP($A231,$L:$N,2,FALSE),""),_xlfn.IFNA(VLOOKUP($A231,Sedmica_2_količina_namirnica!$L:$N,2,FALSE),""))</f>
        <v/>
      </c>
      <c r="C231" s="448" t="str">
        <f>IF($B$8=1,_xlfn.IFNA(VLOOKUP($A231,$L:$N,3,FALSE)-0.0001,""),_xlfn.IFNA(VLOOKUP($A231,Sedmica_2_količina_namirnica!$L:$N,3,FALSE)-0.0001,""))</f>
        <v/>
      </c>
      <c r="D231" s="446" t="str">
        <f>IF(B231="Jaje kokošje, celo",IF(C231=INT(C231),C231,C231+1),IF(B231=""," ",_xlfn.IFNA(INT(C231*1000/(VLOOKUP($B231,Ingredient_prices!$E:$J,6,FALSE)))+1,"nije nabavljen")))</f>
        <v xml:space="preserve"> </v>
      </c>
      <c r="E231" s="446" t="str">
        <f>IF(C231="","",VLOOKUP($B231,Ingredient_prices!$E:$K,7,FALSE))</f>
        <v/>
      </c>
      <c r="F231" s="462" t="str">
        <f>IF(C231="","",IFERROR(IF(OR(E231="кг",E231="л"),VLOOKUP($B231,Ingredient_prices!$E:$V,16,FALSE)*D231,(VLOOKUP($B231,Ingredient_prices!$E:$P,12,FALSE)*D231)),""))</f>
        <v/>
      </c>
      <c r="G231" s="450" t="str">
        <f>IF(C231="","",_xlfn.IFNA(MID(VLOOKUP($B231,Ingredient_prices!$E:$F,2,FALSE),9,2),""))</f>
        <v/>
      </c>
      <c r="H231" s="447" t="str">
        <f>_xlfn.IFNA(VLOOKUP(CONCATENATE($I$9,$G231),Ingredient_prices!$G:$N,8,FALSE),"")</f>
        <v/>
      </c>
      <c r="I231" s="548" t="str">
        <f t="shared" si="13"/>
        <v/>
      </c>
      <c r="J231" s="695" t="str">
        <f>IF(N231="","",MID(Ingredient_prices!F225,9,2))</f>
        <v/>
      </c>
      <c r="K231" s="692" t="str">
        <f t="shared" si="14"/>
        <v/>
      </c>
      <c r="L231" s="692" t="str">
        <f>IF(N231="","",COUNTIF($P$10:$P$256,"&lt;"&amp;P231)+COUNTIF($P$10:P231,P231))</f>
        <v/>
      </c>
      <c r="M231" s="692" t="str">
        <f>IF(Ingredient_prices!E225=M230,"",Ingredient_prices!E225)</f>
        <v/>
      </c>
      <c r="N231" s="693" t="str">
        <f>_xlfn.IFNA(VLOOKUP($M231,Sedmica_1_količina_sva_sastojak!$C:$F,4,FALSE),"")</f>
        <v/>
      </c>
      <c r="O231" s="696" t="str">
        <f>IF(N231="","",COUNTIF($P$10:$P$256,"&lt;"&amp;P231)+COUNTIF($P$10:P231,P231))</f>
        <v/>
      </c>
      <c r="P231" s="694" t="str">
        <f t="shared" si="15"/>
        <v/>
      </c>
    </row>
    <row r="232" spans="1:16">
      <c r="A232" s="470">
        <v>223</v>
      </c>
      <c r="B232" s="1248" t="str">
        <f>IF($B$8=1,_xlfn.IFNA(VLOOKUP($A232,$L:$N,2,FALSE),""),_xlfn.IFNA(VLOOKUP($A232,Sedmica_2_količina_namirnica!$L:$N,2,FALSE),""))</f>
        <v/>
      </c>
      <c r="C232" s="448" t="str">
        <f>IF($B$8=1,_xlfn.IFNA(VLOOKUP($A232,$L:$N,3,FALSE)-0.0001,""),_xlfn.IFNA(VLOOKUP($A232,Sedmica_2_količina_namirnica!$L:$N,3,FALSE)-0.0001,""))</f>
        <v/>
      </c>
      <c r="D232" s="446" t="str">
        <f>IF(B232="Jaje kokošje, celo",IF(C232=INT(C232),C232,C232+1),IF(B232=""," ",_xlfn.IFNA(INT(C232*1000/(VLOOKUP($B232,Ingredient_prices!$E:$J,6,FALSE)))+1,"nije nabavljen")))</f>
        <v xml:space="preserve"> </v>
      </c>
      <c r="E232" s="446" t="str">
        <f>IF(C232="","",VLOOKUP($B232,Ingredient_prices!$E:$K,7,FALSE))</f>
        <v/>
      </c>
      <c r="F232" s="462" t="str">
        <f>IF(C232="","",IFERROR(IF(OR(E232="кг",E232="л"),VLOOKUP($B232,Ingredient_prices!$E:$V,16,FALSE)*D232,(VLOOKUP($B232,Ingredient_prices!$E:$P,12,FALSE)*D232)),""))</f>
        <v/>
      </c>
      <c r="G232" s="450" t="str">
        <f>IF(C232="","",_xlfn.IFNA(MID(VLOOKUP($B232,Ingredient_prices!$E:$F,2,FALSE),9,2),""))</f>
        <v/>
      </c>
      <c r="H232" s="447" t="str">
        <f>_xlfn.IFNA(VLOOKUP(CONCATENATE($I$9,$G232),Ingredient_prices!$G:$N,8,FALSE),"")</f>
        <v/>
      </c>
      <c r="I232" s="548" t="str">
        <f t="shared" si="13"/>
        <v/>
      </c>
      <c r="J232" s="695" t="str">
        <f>IF(N232="","",MID(Ingredient_prices!F226,9,2))</f>
        <v/>
      </c>
      <c r="K232" s="692" t="str">
        <f t="shared" si="14"/>
        <v/>
      </c>
      <c r="L232" s="692" t="str">
        <f>IF(N232="","",COUNTIF($P$10:$P$256,"&lt;"&amp;P232)+COUNTIF($P$10:P232,P232))</f>
        <v/>
      </c>
      <c r="M232" s="692" t="str">
        <f>IF(Ingredient_prices!E226=M231,"",Ingredient_prices!E226)</f>
        <v/>
      </c>
      <c r="N232" s="693" t="str">
        <f>_xlfn.IFNA(VLOOKUP($M232,Sedmica_1_količina_sva_sastojak!$C:$F,4,FALSE),"")</f>
        <v/>
      </c>
      <c r="O232" s="696" t="str">
        <f>IF(N232="","",COUNTIF($P$10:$P$256,"&lt;"&amp;P232)+COUNTIF($P$10:P232,P232))</f>
        <v/>
      </c>
      <c r="P232" s="694" t="str">
        <f t="shared" si="15"/>
        <v/>
      </c>
    </row>
    <row r="233" spans="1:16">
      <c r="A233" s="470">
        <v>224</v>
      </c>
      <c r="B233" s="1248" t="str">
        <f>IF($B$8=1,_xlfn.IFNA(VLOOKUP($A233,$L:$N,2,FALSE),""),_xlfn.IFNA(VLOOKUP($A233,Sedmica_2_količina_namirnica!$L:$N,2,FALSE),""))</f>
        <v/>
      </c>
      <c r="C233" s="448" t="str">
        <f>IF($B$8=1,_xlfn.IFNA(VLOOKUP($A233,$L:$N,3,FALSE)-0.0001,""),_xlfn.IFNA(VLOOKUP($A233,Sedmica_2_količina_namirnica!$L:$N,3,FALSE)-0.0001,""))</f>
        <v/>
      </c>
      <c r="D233" s="446" t="str">
        <f>IF(B233="Jaje kokošje, celo",IF(C233=INT(C233),C233,C233+1),IF(B233=""," ",_xlfn.IFNA(INT(C233*1000/(VLOOKUP($B233,Ingredient_prices!$E:$J,6,FALSE)))+1,"nije nabavljen")))</f>
        <v xml:space="preserve"> </v>
      </c>
      <c r="E233" s="446" t="str">
        <f>IF(C233="","",VLOOKUP($B233,Ingredient_prices!$E:$K,7,FALSE))</f>
        <v/>
      </c>
      <c r="F233" s="462" t="str">
        <f>IF(C233="","",IFERROR(IF(OR(E233="кг",E233="л"),VLOOKUP($B233,Ingredient_prices!$E:$V,16,FALSE)*D233,(VLOOKUP($B233,Ingredient_prices!$E:$P,12,FALSE)*D233)),""))</f>
        <v/>
      </c>
      <c r="G233" s="450" t="str">
        <f>IF(C233="","",_xlfn.IFNA(MID(VLOOKUP($B233,Ingredient_prices!$E:$F,2,FALSE),9,2),""))</f>
        <v/>
      </c>
      <c r="H233" s="447" t="str">
        <f>_xlfn.IFNA(VLOOKUP(CONCATENATE($I$9,$G233),Ingredient_prices!$G:$N,8,FALSE),"")</f>
        <v/>
      </c>
      <c r="I233" s="548" t="str">
        <f t="shared" si="13"/>
        <v/>
      </c>
      <c r="J233" s="695" t="str">
        <f>IF(N233="","",MID(Ingredient_prices!F227,9,2))</f>
        <v/>
      </c>
      <c r="K233" s="692" t="str">
        <f t="shared" si="14"/>
        <v/>
      </c>
      <c r="L233" s="692" t="str">
        <f>IF(N233="","",COUNTIF($P$10:$P$256,"&lt;"&amp;P233)+COUNTIF($P$10:P233,P233))</f>
        <v/>
      </c>
      <c r="M233" s="692" t="str">
        <f>IF(Ingredient_prices!E227=M232,"",Ingredient_prices!E227)</f>
        <v/>
      </c>
      <c r="N233" s="693" t="str">
        <f>_xlfn.IFNA(VLOOKUP($M233,Sedmica_1_količina_sva_sastojak!$C:$F,4,FALSE),"")</f>
        <v/>
      </c>
      <c r="O233" s="696" t="str">
        <f>IF(N233="","",COUNTIF($P$10:$P$256,"&lt;"&amp;P233)+COUNTIF($P$10:P233,P233))</f>
        <v/>
      </c>
      <c r="P233" s="694" t="str">
        <f t="shared" si="15"/>
        <v/>
      </c>
    </row>
    <row r="234" spans="1:16">
      <c r="A234" s="470">
        <v>225</v>
      </c>
      <c r="B234" s="1248" t="str">
        <f>IF($B$8=1,_xlfn.IFNA(VLOOKUP($A234,$L:$N,2,FALSE),""),_xlfn.IFNA(VLOOKUP($A234,Sedmica_2_količina_namirnica!$L:$N,2,FALSE),""))</f>
        <v/>
      </c>
      <c r="C234" s="448" t="str">
        <f>IF($B$8=1,_xlfn.IFNA(VLOOKUP($A234,$L:$N,3,FALSE)-0.0001,""),_xlfn.IFNA(VLOOKUP($A234,Sedmica_2_količina_namirnica!$L:$N,3,FALSE)-0.0001,""))</f>
        <v/>
      </c>
      <c r="D234" s="446" t="str">
        <f>IF(B234="Jaje kokošje, celo",IF(C234=INT(C234),C234,C234+1),IF(B234=""," ",_xlfn.IFNA(INT(C234*1000/(VLOOKUP($B234,Ingredient_prices!$E:$J,6,FALSE)))+1,"nije nabavljen")))</f>
        <v xml:space="preserve"> </v>
      </c>
      <c r="E234" s="446" t="str">
        <f>IF(C234="","",VLOOKUP($B234,Ingredient_prices!$E:$K,7,FALSE))</f>
        <v/>
      </c>
      <c r="F234" s="462" t="str">
        <f>IF(C234="","",IFERROR(IF(OR(E234="кг",E234="л"),VLOOKUP($B234,Ingredient_prices!$E:$V,16,FALSE)*D234,(VLOOKUP($B234,Ingredient_prices!$E:$P,12,FALSE)*D234)),""))</f>
        <v/>
      </c>
      <c r="G234" s="450" t="str">
        <f>IF(C234="","",_xlfn.IFNA(MID(VLOOKUP($B234,Ingredient_prices!$E:$F,2,FALSE),9,2),""))</f>
        <v/>
      </c>
      <c r="H234" s="447" t="str">
        <f>_xlfn.IFNA(VLOOKUP(CONCATENATE($I$9,$G234),Ingredient_prices!$G:$N,8,FALSE),"")</f>
        <v/>
      </c>
      <c r="I234" s="548" t="str">
        <f t="shared" si="13"/>
        <v/>
      </c>
      <c r="J234" s="695" t="str">
        <f>IF(N234="","",MID(Ingredient_prices!F228,9,2))</f>
        <v/>
      </c>
      <c r="K234" s="692" t="str">
        <f t="shared" si="14"/>
        <v/>
      </c>
      <c r="L234" s="692" t="str">
        <f>IF(N234="","",COUNTIF($P$10:$P$256,"&lt;"&amp;P234)+COUNTIF($P$10:P234,P234))</f>
        <v/>
      </c>
      <c r="M234" s="692" t="str">
        <f>IF(Ingredient_prices!E228=M233,"",Ingredient_prices!E228)</f>
        <v/>
      </c>
      <c r="N234" s="693" t="str">
        <f>_xlfn.IFNA(VLOOKUP($M234,Sedmica_1_količina_sva_sastojak!$C:$F,4,FALSE),"")</f>
        <v/>
      </c>
      <c r="O234" s="696" t="str">
        <f>IF(N234="","",COUNTIF($P$10:$P$256,"&lt;"&amp;P234)+COUNTIF($P$10:P234,P234))</f>
        <v/>
      </c>
      <c r="P234" s="694" t="str">
        <f t="shared" si="15"/>
        <v/>
      </c>
    </row>
    <row r="235" spans="1:16">
      <c r="A235" s="470">
        <v>226</v>
      </c>
      <c r="B235" s="1248" t="str">
        <f>IF($B$8=1,_xlfn.IFNA(VLOOKUP($A235,$L:$N,2,FALSE),""),_xlfn.IFNA(VLOOKUP($A235,Sedmica_2_količina_namirnica!$L:$N,2,FALSE),""))</f>
        <v/>
      </c>
      <c r="C235" s="448" t="str">
        <f>IF($B$8=1,_xlfn.IFNA(VLOOKUP($A235,$L:$N,3,FALSE)-0.0001,""),_xlfn.IFNA(VLOOKUP($A235,Sedmica_2_količina_namirnica!$L:$N,3,FALSE)-0.0001,""))</f>
        <v/>
      </c>
      <c r="D235" s="446" t="str">
        <f>IF(B235="Jaje kokošje, celo",IF(C235=INT(C235),C235,C235+1),IF(B235=""," ",_xlfn.IFNA(INT(C235*1000/(VLOOKUP($B235,Ingredient_prices!$E:$J,6,FALSE)))+1,"nije nabavljen")))</f>
        <v xml:space="preserve"> </v>
      </c>
      <c r="E235" s="446" t="str">
        <f>IF(C235="","",VLOOKUP($B235,Ingredient_prices!$E:$K,7,FALSE))</f>
        <v/>
      </c>
      <c r="F235" s="462" t="str">
        <f>IF(C235="","",IFERROR(IF(OR(E235="кг",E235="л"),VLOOKUP($B235,Ingredient_prices!$E:$V,16,FALSE)*D235,(VLOOKUP($B235,Ingredient_prices!$E:$P,12,FALSE)*D235)),""))</f>
        <v/>
      </c>
      <c r="G235" s="450" t="str">
        <f>IF(C235="","",_xlfn.IFNA(MID(VLOOKUP($B235,Ingredient_prices!$E:$F,2,FALSE),9,2),""))</f>
        <v/>
      </c>
      <c r="H235" s="447" t="str">
        <f>_xlfn.IFNA(VLOOKUP(CONCATENATE($I$9,$G235),Ingredient_prices!$G:$N,8,FALSE),"")</f>
        <v/>
      </c>
      <c r="I235" s="548" t="str">
        <f t="shared" ref="I235:I256" si="16">IFERROR(IF(MOD(D235,1)&gt;0.5,1+D235-MOD(D235,1),D235-MOD(D235,1)),"")</f>
        <v/>
      </c>
      <c r="J235" s="695" t="str">
        <f>IF(N235="","",MID(Ingredient_prices!F229,9,2))</f>
        <v/>
      </c>
      <c r="K235" s="692" t="str">
        <f t="shared" si="14"/>
        <v/>
      </c>
      <c r="L235" s="692" t="str">
        <f>IF(N235="","",COUNTIF($P$10:$P$256,"&lt;"&amp;P235)+COUNTIF($P$10:P235,P235))</f>
        <v/>
      </c>
      <c r="M235" s="692" t="str">
        <f>IF(Ingredient_prices!E229=M234,"",Ingredient_prices!E229)</f>
        <v/>
      </c>
      <c r="N235" s="693" t="str">
        <f>_xlfn.IFNA(VLOOKUP($M235,Sedmica_1_količina_sva_sastojak!$C:$F,4,FALSE),"")</f>
        <v/>
      </c>
      <c r="O235" s="696" t="str">
        <f>IF(N235="","",COUNTIF($P$10:$P$256,"&lt;"&amp;P235)+COUNTIF($P$10:P235,P235))</f>
        <v/>
      </c>
      <c r="P235" s="694" t="str">
        <f t="shared" si="15"/>
        <v/>
      </c>
    </row>
    <row r="236" spans="1:16">
      <c r="A236" s="470">
        <v>227</v>
      </c>
      <c r="B236" s="1248" t="str">
        <f>IF($B$8=1,_xlfn.IFNA(VLOOKUP($A236,$L:$N,2,FALSE),""),_xlfn.IFNA(VLOOKUP($A236,Sedmica_2_količina_namirnica!$L:$N,2,FALSE),""))</f>
        <v/>
      </c>
      <c r="C236" s="448" t="str">
        <f>IF($B$8=1,_xlfn.IFNA(VLOOKUP($A236,$L:$N,3,FALSE)-0.0001,""),_xlfn.IFNA(VLOOKUP($A236,Sedmica_2_količina_namirnica!$L:$N,3,FALSE)-0.0001,""))</f>
        <v/>
      </c>
      <c r="D236" s="446" t="str">
        <f>IF(B236="Jaje kokošje, celo",IF(C236=INT(C236),C236,C236+1),IF(B236=""," ",_xlfn.IFNA(INT(C236*1000/(VLOOKUP($B236,Ingredient_prices!$E:$J,6,FALSE)))+1,"nije nabavljen")))</f>
        <v xml:space="preserve"> </v>
      </c>
      <c r="E236" s="446" t="str">
        <f>IF(C236="","",VLOOKUP($B236,Ingredient_prices!$E:$K,7,FALSE))</f>
        <v/>
      </c>
      <c r="F236" s="462" t="str">
        <f>IF(C236="","",IFERROR(IF(OR(E236="кг",E236="л"),VLOOKUP($B236,Ingredient_prices!$E:$V,16,FALSE)*D236,(VLOOKUP($B236,Ingredient_prices!$E:$P,12,FALSE)*D236)),""))</f>
        <v/>
      </c>
      <c r="G236" s="450" t="str">
        <f>IF(C236="","",_xlfn.IFNA(MID(VLOOKUP($B236,Ingredient_prices!$E:$F,2,FALSE),9,2),""))</f>
        <v/>
      </c>
      <c r="H236" s="447" t="str">
        <f>_xlfn.IFNA(VLOOKUP(CONCATENATE($I$9,$G236),Ingredient_prices!$G:$N,8,FALSE),"")</f>
        <v/>
      </c>
      <c r="I236" s="548" t="str">
        <f t="shared" si="16"/>
        <v/>
      </c>
      <c r="J236" s="695" t="str">
        <f>IF(N236="","",MID(Ingredient_prices!F230,9,2))</f>
        <v/>
      </c>
      <c r="K236" s="692" t="str">
        <f t="shared" si="14"/>
        <v/>
      </c>
      <c r="L236" s="692" t="str">
        <f>IF(N236="","",COUNTIF($P$10:$P$256,"&lt;"&amp;P236)+COUNTIF($P$10:P236,P236))</f>
        <v/>
      </c>
      <c r="M236" s="692" t="str">
        <f>IF(Ingredient_prices!E230=M235,"",Ingredient_prices!E230)</f>
        <v/>
      </c>
      <c r="N236" s="693" t="str">
        <f>_xlfn.IFNA(VLOOKUP($M236,Sedmica_1_količina_sva_sastojak!$C:$F,4,FALSE),"")</f>
        <v/>
      </c>
      <c r="O236" s="696" t="str">
        <f>IF(N236="","",COUNTIF($P$10:$P$256,"&lt;"&amp;P236)+COUNTIF($P$10:P236,P236))</f>
        <v/>
      </c>
      <c r="P236" s="694" t="str">
        <f t="shared" si="15"/>
        <v/>
      </c>
    </row>
    <row r="237" spans="1:16">
      <c r="A237" s="470">
        <v>228</v>
      </c>
      <c r="B237" s="1248" t="str">
        <f>IF($B$8=1,_xlfn.IFNA(VLOOKUP($A237,$L:$N,2,FALSE),""),_xlfn.IFNA(VLOOKUP($A237,Sedmica_2_količina_namirnica!$L:$N,2,FALSE),""))</f>
        <v/>
      </c>
      <c r="C237" s="448" t="str">
        <f>IF($B$8=1,_xlfn.IFNA(VLOOKUP($A237,$L:$N,3,FALSE)-0.0001,""),_xlfn.IFNA(VLOOKUP($A237,Sedmica_2_količina_namirnica!$L:$N,3,FALSE)-0.0001,""))</f>
        <v/>
      </c>
      <c r="D237" s="446" t="str">
        <f>IF(B237="Jaje kokošje, celo",IF(C237=INT(C237),C237,C237+1),IF(B237=""," ",_xlfn.IFNA(INT(C237*1000/(VLOOKUP($B237,Ingredient_prices!$E:$J,6,FALSE)))+1,"nije nabavljen")))</f>
        <v xml:space="preserve"> </v>
      </c>
      <c r="E237" s="446" t="str">
        <f>IF(C237="","",VLOOKUP($B237,Ingredient_prices!$E:$K,7,FALSE))</f>
        <v/>
      </c>
      <c r="F237" s="462" t="str">
        <f>IF(C237="","",IFERROR(IF(OR(E237="кг",E237="л"),VLOOKUP($B237,Ingredient_prices!$E:$V,16,FALSE)*D237,(VLOOKUP($B237,Ingredient_prices!$E:$P,12,FALSE)*D237)),""))</f>
        <v/>
      </c>
      <c r="G237" s="450" t="str">
        <f>IF(C237="","",_xlfn.IFNA(MID(VLOOKUP($B237,Ingredient_prices!$E:$F,2,FALSE),9,2),""))</f>
        <v/>
      </c>
      <c r="H237" s="447" t="str">
        <f>_xlfn.IFNA(VLOOKUP(CONCATENATE($I$9,$G237),Ingredient_prices!$G:$N,8,FALSE),"")</f>
        <v/>
      </c>
      <c r="I237" s="548" t="str">
        <f t="shared" si="16"/>
        <v/>
      </c>
      <c r="J237" s="695" t="str">
        <f>IF(N237="","",MID(Ingredient_prices!F231,9,2))</f>
        <v/>
      </c>
      <c r="K237" s="692" t="str">
        <f t="shared" si="14"/>
        <v/>
      </c>
      <c r="L237" s="692" t="str">
        <f>IF(N237="","",COUNTIF($P$10:$P$256,"&lt;"&amp;P237)+COUNTIF($P$10:P237,P237))</f>
        <v/>
      </c>
      <c r="M237" s="692" t="str">
        <f>IF(Ingredient_prices!E231=M236,"",Ingredient_prices!E231)</f>
        <v/>
      </c>
      <c r="N237" s="693" t="str">
        <f>_xlfn.IFNA(VLOOKUP($M237,Sedmica_1_količina_sva_sastojak!$C:$F,4,FALSE),"")</f>
        <v/>
      </c>
      <c r="O237" s="696" t="str">
        <f>IF(N237="","",COUNTIF($P$10:$P$256,"&lt;"&amp;P237)+COUNTIF($P$10:P237,P237))</f>
        <v/>
      </c>
      <c r="P237" s="694" t="str">
        <f t="shared" si="15"/>
        <v/>
      </c>
    </row>
    <row r="238" spans="1:16">
      <c r="A238" s="470">
        <v>229</v>
      </c>
      <c r="B238" s="1248" t="str">
        <f>IF($B$8=1,_xlfn.IFNA(VLOOKUP($A238,$L:$N,2,FALSE),""),_xlfn.IFNA(VLOOKUP($A238,Sedmica_2_količina_namirnica!$L:$N,2,FALSE),""))</f>
        <v/>
      </c>
      <c r="C238" s="448" t="str">
        <f>IF($B$8=1,_xlfn.IFNA(VLOOKUP($A238,$L:$N,3,FALSE)-0.0001,""),_xlfn.IFNA(VLOOKUP($A238,Sedmica_2_količina_namirnica!$L:$N,3,FALSE)-0.0001,""))</f>
        <v/>
      </c>
      <c r="D238" s="446" t="str">
        <f>IF(B238="Jaje kokošje, celo",IF(C238=INT(C238),C238,C238+1),IF(B238=""," ",_xlfn.IFNA(INT(C238*1000/(VLOOKUP($B238,Ingredient_prices!$E:$J,6,FALSE)))+1,"nije nabavljen")))</f>
        <v xml:space="preserve"> </v>
      </c>
      <c r="E238" s="446" t="str">
        <f>IF(C238="","",VLOOKUP($B238,Ingredient_prices!$E:$K,7,FALSE))</f>
        <v/>
      </c>
      <c r="F238" s="462" t="str">
        <f>IF(C238="","",IFERROR(IF(OR(E238="кг",E238="л"),VLOOKUP($B238,Ingredient_prices!$E:$V,16,FALSE)*D238,(VLOOKUP($B238,Ingredient_prices!$E:$P,12,FALSE)*D238)),""))</f>
        <v/>
      </c>
      <c r="G238" s="450" t="str">
        <f>IF(C238="","",_xlfn.IFNA(MID(VLOOKUP($B238,Ingredient_prices!$E:$F,2,FALSE),9,2),""))</f>
        <v/>
      </c>
      <c r="H238" s="447" t="str">
        <f>_xlfn.IFNA(VLOOKUP(CONCATENATE($I$9,$G238),Ingredient_prices!$G:$N,8,FALSE),"")</f>
        <v/>
      </c>
      <c r="I238" s="548" t="str">
        <f t="shared" si="16"/>
        <v/>
      </c>
      <c r="J238" s="695" t="str">
        <f>IF(N238="","",MID(Ingredient_prices!F232,9,2))</f>
        <v/>
      </c>
      <c r="K238" s="692" t="str">
        <f t="shared" si="14"/>
        <v/>
      </c>
      <c r="L238" s="692" t="str">
        <f>IF(N238="","",COUNTIF($P$10:$P$256,"&lt;"&amp;P238)+COUNTIF($P$10:P238,P238))</f>
        <v/>
      </c>
      <c r="M238" s="692" t="str">
        <f>IF(Ingredient_prices!E232=M237,"",Ingredient_prices!E232)</f>
        <v/>
      </c>
      <c r="N238" s="693" t="str">
        <f>_xlfn.IFNA(VLOOKUP($M238,Sedmica_1_količina_sva_sastojak!$C:$F,4,FALSE),"")</f>
        <v/>
      </c>
      <c r="O238" s="696" t="str">
        <f>IF(N238="","",COUNTIF($P$10:$P$256,"&lt;"&amp;P238)+COUNTIF($P$10:P238,P238))</f>
        <v/>
      </c>
      <c r="P238" s="694" t="str">
        <f t="shared" si="15"/>
        <v/>
      </c>
    </row>
    <row r="239" spans="1:16">
      <c r="A239" s="470">
        <v>230</v>
      </c>
      <c r="B239" s="1248" t="str">
        <f>IF($B$8=1,_xlfn.IFNA(VLOOKUP($A239,$L:$N,2,FALSE),""),_xlfn.IFNA(VLOOKUP($A239,Sedmica_2_količina_namirnica!$L:$N,2,FALSE),""))</f>
        <v/>
      </c>
      <c r="C239" s="448" t="str">
        <f>IF($B$8=1,_xlfn.IFNA(VLOOKUP($A239,$L:$N,3,FALSE)-0.0001,""),_xlfn.IFNA(VLOOKUP($A239,Sedmica_2_količina_namirnica!$L:$N,3,FALSE)-0.0001,""))</f>
        <v/>
      </c>
      <c r="D239" s="446" t="str">
        <f>IF(B239="Jaje kokošje, celo",IF(C239=INT(C239),C239,C239+1),IF(B239=""," ",_xlfn.IFNA(INT(C239*1000/(VLOOKUP($B239,Ingredient_prices!$E:$J,6,FALSE)))+1,"nije nabavljen")))</f>
        <v xml:space="preserve"> </v>
      </c>
      <c r="E239" s="446" t="str">
        <f>IF(C239="","",VLOOKUP($B239,Ingredient_prices!$E:$K,7,FALSE))</f>
        <v/>
      </c>
      <c r="F239" s="462" t="str">
        <f>IF(C239="","",IFERROR(IF(OR(E239="кг",E239="л"),VLOOKUP($B239,Ingredient_prices!$E:$V,16,FALSE)*D239,(VLOOKUP($B239,Ingredient_prices!$E:$P,12,FALSE)*D239)),""))</f>
        <v/>
      </c>
      <c r="G239" s="450" t="str">
        <f>IF(C239="","",_xlfn.IFNA(MID(VLOOKUP($B239,Ingredient_prices!$E:$F,2,FALSE),9,2),""))</f>
        <v/>
      </c>
      <c r="H239" s="447" t="str">
        <f>_xlfn.IFNA(VLOOKUP(CONCATENATE($I$9,$G239),Ingredient_prices!$G:$N,8,FALSE),"")</f>
        <v/>
      </c>
      <c r="I239" s="548" t="str">
        <f t="shared" si="16"/>
        <v/>
      </c>
      <c r="J239" s="695" t="str">
        <f>IF(N239="","",MID(Ingredient_prices!F233,9,2))</f>
        <v/>
      </c>
      <c r="K239" s="692" t="str">
        <f t="shared" si="14"/>
        <v/>
      </c>
      <c r="L239" s="692" t="str">
        <f>IF(N239="","",COUNTIF($P$10:$P$256,"&lt;"&amp;P239)+COUNTIF($P$10:P239,P239))</f>
        <v/>
      </c>
      <c r="M239" s="692" t="str">
        <f>IF(Ingredient_prices!E233=M238,"",Ingredient_prices!E233)</f>
        <v/>
      </c>
      <c r="N239" s="693" t="str">
        <f>_xlfn.IFNA(VLOOKUP($M239,Sedmica_1_količina_sva_sastojak!$C:$F,4,FALSE),"")</f>
        <v/>
      </c>
      <c r="O239" s="696" t="str">
        <f>IF(N239="","",COUNTIF($P$10:$P$256,"&lt;"&amp;P239)+COUNTIF($P$10:P239,P239))</f>
        <v/>
      </c>
      <c r="P239" s="694" t="str">
        <f t="shared" si="15"/>
        <v/>
      </c>
    </row>
    <row r="240" spans="1:16">
      <c r="A240" s="470">
        <v>231</v>
      </c>
      <c r="B240" s="1248" t="str">
        <f>IF($B$8=1,_xlfn.IFNA(VLOOKUP($A240,$L:$N,2,FALSE),""),_xlfn.IFNA(VLOOKUP($A240,Sedmica_2_količina_namirnica!$L:$N,2,FALSE),""))</f>
        <v/>
      </c>
      <c r="C240" s="448" t="str">
        <f>IF($B$8=1,_xlfn.IFNA(VLOOKUP($A240,$L:$N,3,FALSE)-0.0001,""),_xlfn.IFNA(VLOOKUP($A240,Sedmica_2_količina_namirnica!$L:$N,3,FALSE)-0.0001,""))</f>
        <v/>
      </c>
      <c r="D240" s="446" t="str">
        <f>IF(B240="Jaje kokošje, celo",IF(C240=INT(C240),C240,C240+1),IF(B240=""," ",_xlfn.IFNA(INT(C240*1000/(VLOOKUP($B240,Ingredient_prices!$E:$J,6,FALSE)))+1,"nije nabavljen")))</f>
        <v xml:space="preserve"> </v>
      </c>
      <c r="E240" s="446" t="str">
        <f>IF(C240="","",VLOOKUP($B240,Ingredient_prices!$E:$K,7,FALSE))</f>
        <v/>
      </c>
      <c r="F240" s="462" t="str">
        <f>IF(C240="","",IFERROR(IF(OR(E240="кг",E240="л"),VLOOKUP($B240,Ingredient_prices!$E:$V,16,FALSE)*D240,(VLOOKUP($B240,Ingredient_prices!$E:$P,12,FALSE)*D240)),""))</f>
        <v/>
      </c>
      <c r="G240" s="450" t="str">
        <f>IF(C240="","",_xlfn.IFNA(MID(VLOOKUP($B240,Ingredient_prices!$E:$F,2,FALSE),9,2),""))</f>
        <v/>
      </c>
      <c r="H240" s="447" t="str">
        <f>_xlfn.IFNA(VLOOKUP(CONCATENATE($I$9,$G240),Ingredient_prices!$G:$N,8,FALSE),"")</f>
        <v/>
      </c>
      <c r="I240" s="548" t="str">
        <f t="shared" si="16"/>
        <v/>
      </c>
      <c r="J240" s="695" t="str">
        <f>IF(N240="","",MID(Ingredient_prices!F234,9,2))</f>
        <v/>
      </c>
      <c r="K240" s="692" t="str">
        <f t="shared" si="14"/>
        <v/>
      </c>
      <c r="L240" s="692" t="str">
        <f>IF(N240="","",COUNTIF($P$10:$P$256,"&lt;"&amp;P240)+COUNTIF($P$10:P240,P240))</f>
        <v/>
      </c>
      <c r="M240" s="692" t="str">
        <f>IF(Ingredient_prices!E234=M239,"",Ingredient_prices!E234)</f>
        <v/>
      </c>
      <c r="N240" s="693" t="str">
        <f>_xlfn.IFNA(VLOOKUP($M240,Sedmica_1_količina_sva_sastojak!$C:$F,4,FALSE),"")</f>
        <v/>
      </c>
      <c r="O240" s="696" t="str">
        <f>IF(N240="","",COUNTIF($P$10:$P$256,"&lt;"&amp;P240)+COUNTIF($P$10:P240,P240))</f>
        <v/>
      </c>
      <c r="P240" s="694" t="str">
        <f t="shared" si="15"/>
        <v/>
      </c>
    </row>
    <row r="241" spans="1:17" s="445" customFormat="1">
      <c r="A241" s="470">
        <v>232</v>
      </c>
      <c r="B241" s="1248" t="str">
        <f>IF($B$8=1,_xlfn.IFNA(VLOOKUP($A241,$L:$N,2,FALSE),""),_xlfn.IFNA(VLOOKUP($A241,Sedmica_2_količina_namirnica!$L:$N,2,FALSE),""))</f>
        <v/>
      </c>
      <c r="C241" s="448" t="str">
        <f>IF($B$8=1,_xlfn.IFNA(VLOOKUP($A241,$L:$N,3,FALSE)-0.0001,""),_xlfn.IFNA(VLOOKUP($A241,Sedmica_2_količina_namirnica!$L:$N,3,FALSE)-0.0001,""))</f>
        <v/>
      </c>
      <c r="D241" s="446" t="str">
        <f>IF(B241="Jaje kokošje, celo",IF(C241=INT(C241),C241,C241+1),IF(B241=""," ",_xlfn.IFNA(INT(C241*1000/(VLOOKUP($B241,Ingredient_prices!$E:$J,6,FALSE)))+1,"nije nabavljen")))</f>
        <v xml:space="preserve"> </v>
      </c>
      <c r="E241" s="446" t="str">
        <f>IF(C241="","",VLOOKUP($B241,Ingredient_prices!$E:$K,7,FALSE))</f>
        <v/>
      </c>
      <c r="F241" s="462" t="str">
        <f>IF(C241="","",IFERROR(IF(OR(E241="кг",E241="л"),VLOOKUP($B241,Ingredient_prices!$E:$V,16,FALSE)*D241,(VLOOKUP($B241,Ingredient_prices!$E:$P,12,FALSE)*D241)),""))</f>
        <v/>
      </c>
      <c r="G241" s="450" t="str">
        <f>IF(C241="","",_xlfn.IFNA(MID(VLOOKUP($B241,Ingredient_prices!$E:$F,2,FALSE),9,2),""))</f>
        <v/>
      </c>
      <c r="H241" s="447" t="str">
        <f>_xlfn.IFNA(VLOOKUP(CONCATENATE($I$9,$G241),Ingredient_prices!$G:$N,8,FALSE),"")</f>
        <v/>
      </c>
      <c r="I241" s="548" t="str">
        <f t="shared" si="16"/>
        <v/>
      </c>
      <c r="J241" s="695" t="str">
        <f>IF(N241="","",MID(Ingredient_prices!F235,9,2))</f>
        <v/>
      </c>
      <c r="K241" s="692" t="str">
        <f t="shared" si="14"/>
        <v/>
      </c>
      <c r="L241" s="692" t="str">
        <f>IF(N241="","",COUNTIF($P$10:$P$256,"&lt;"&amp;P241)+COUNTIF($P$10:P241,P241))</f>
        <v/>
      </c>
      <c r="M241" s="692" t="str">
        <f>IF(Ingredient_prices!E235=M240,"",Ingredient_prices!E235)</f>
        <v/>
      </c>
      <c r="N241" s="693" t="str">
        <f>_xlfn.IFNA(VLOOKUP($M241,Sedmica_1_količina_sva_sastojak!$C:$F,4,FALSE),"")</f>
        <v/>
      </c>
      <c r="O241" s="696" t="str">
        <f>IF(N241="","",COUNTIF($P$10:$P$256,"&lt;"&amp;P241)+COUNTIF($P$10:P241,P241))</f>
        <v/>
      </c>
      <c r="P241" s="694" t="str">
        <f t="shared" si="15"/>
        <v/>
      </c>
      <c r="Q241" s="692"/>
    </row>
    <row r="242" spans="1:17">
      <c r="A242" s="470">
        <v>233</v>
      </c>
      <c r="B242" s="1248" t="str">
        <f>IF($B$8=1,_xlfn.IFNA(VLOOKUP($A242,$L:$N,2,FALSE),""),_xlfn.IFNA(VLOOKUP($A242,Sedmica_2_količina_namirnica!$L:$N,2,FALSE),""))</f>
        <v/>
      </c>
      <c r="C242" s="448" t="str">
        <f>IF($B$8=1,_xlfn.IFNA(VLOOKUP($A242,$L:$N,3,FALSE)-0.0001,""),_xlfn.IFNA(VLOOKUP($A242,Sedmica_2_količina_namirnica!$L:$N,3,FALSE)-0.0001,""))</f>
        <v/>
      </c>
      <c r="D242" s="446" t="str">
        <f>IF(B242="Jaje kokošje, celo",IF(C242=INT(C242),C242,C242+1),IF(B242=""," ",_xlfn.IFNA(INT(C242*1000/(VLOOKUP($B242,Ingredient_prices!$E:$J,6,FALSE)))+1,"nije nabavljen")))</f>
        <v xml:space="preserve"> </v>
      </c>
      <c r="E242" s="446" t="str">
        <f>IF(C242="","",VLOOKUP($B242,Ingredient_prices!$E:$K,7,FALSE))</f>
        <v/>
      </c>
      <c r="F242" s="462" t="str">
        <f>IF(C242="","",IFERROR(IF(OR(E242="кг",E242="л"),VLOOKUP($B242,Ingredient_prices!$E:$V,16,FALSE)*D242,(VLOOKUP($B242,Ingredient_prices!$E:$P,12,FALSE)*D242)),""))</f>
        <v/>
      </c>
      <c r="G242" s="450" t="str">
        <f>IF(C242="","",_xlfn.IFNA(MID(VLOOKUP($B242,Ingredient_prices!$E:$F,2,FALSE),9,2),""))</f>
        <v/>
      </c>
      <c r="H242" s="447" t="str">
        <f>_xlfn.IFNA(VLOOKUP(CONCATENATE($I$9,$G242),Ingredient_prices!$G:$N,8,FALSE),"")</f>
        <v/>
      </c>
      <c r="I242" s="548" t="str">
        <f t="shared" si="16"/>
        <v/>
      </c>
      <c r="J242" s="695" t="str">
        <f>IF(N242="","",MID(Ingredient_prices!F236,9,2))</f>
        <v/>
      </c>
      <c r="K242" s="692" t="str">
        <f t="shared" si="14"/>
        <v/>
      </c>
      <c r="L242" s="692" t="str">
        <f>IF(N242="","",COUNTIF($P$10:$P$256,"&lt;"&amp;P242)+COUNTIF($P$10:P242,P242))</f>
        <v/>
      </c>
      <c r="M242" s="692" t="str">
        <f>IF(Ingredient_prices!E236=M241,"",Ingredient_prices!E236)</f>
        <v/>
      </c>
      <c r="N242" s="693" t="str">
        <f>_xlfn.IFNA(VLOOKUP($M242,Sedmica_1_količina_sva_sastojak!$C:$F,4,FALSE),"")</f>
        <v/>
      </c>
      <c r="O242" s="696" t="str">
        <f>IF(N242="","",COUNTIF($P$10:$P$256,"&lt;"&amp;P242)+COUNTIF($P$10:P242,P242))</f>
        <v/>
      </c>
      <c r="P242" s="694" t="str">
        <f t="shared" si="15"/>
        <v/>
      </c>
    </row>
    <row r="243" spans="1:17">
      <c r="A243" s="470">
        <v>234</v>
      </c>
      <c r="B243" s="1248" t="str">
        <f>IF($B$8=1,_xlfn.IFNA(VLOOKUP($A243,$L:$N,2,FALSE),""),_xlfn.IFNA(VLOOKUP($A243,Sedmica_2_količina_namirnica!$L:$N,2,FALSE),""))</f>
        <v/>
      </c>
      <c r="C243" s="448" t="str">
        <f>IF($B$8=1,_xlfn.IFNA(VLOOKUP($A243,$L:$N,3,FALSE)-0.0001,""),_xlfn.IFNA(VLOOKUP($A243,Sedmica_2_količina_namirnica!$L:$N,3,FALSE)-0.0001,""))</f>
        <v/>
      </c>
      <c r="D243" s="446" t="str">
        <f>IF(B243="Jaje kokošje, celo",IF(C243=INT(C243),C243,C243+1),IF(B243=""," ",_xlfn.IFNA(INT(C243*1000/(VLOOKUP($B243,Ingredient_prices!$E:$J,6,FALSE)))+1,"nije nabavljen")))</f>
        <v xml:space="preserve"> </v>
      </c>
      <c r="E243" s="446" t="str">
        <f>IF(C243="","",VLOOKUP($B243,Ingredient_prices!$E:$K,7,FALSE))</f>
        <v/>
      </c>
      <c r="F243" s="462" t="str">
        <f>IF(C243="","",IFERROR(IF(OR(E243="кг",E243="л"),VLOOKUP($B243,Ingredient_prices!$E:$V,16,FALSE)*D243,(VLOOKUP($B243,Ingredient_prices!$E:$P,12,FALSE)*D243)),""))</f>
        <v/>
      </c>
      <c r="G243" s="450" t="str">
        <f>IF(C243="","",_xlfn.IFNA(MID(VLOOKUP($B243,Ingredient_prices!$E:$F,2,FALSE),9,2),""))</f>
        <v/>
      </c>
      <c r="H243" s="447" t="str">
        <f>_xlfn.IFNA(VLOOKUP(CONCATENATE($I$9,$G243),Ingredient_prices!$G:$N,8,FALSE),"")</f>
        <v/>
      </c>
      <c r="I243" s="548" t="str">
        <f t="shared" si="16"/>
        <v/>
      </c>
      <c r="J243" s="695" t="str">
        <f>IF(N243="","",MID(Ingredient_prices!F237,9,2))</f>
        <v/>
      </c>
      <c r="K243" s="692" t="str">
        <f t="shared" si="14"/>
        <v/>
      </c>
      <c r="L243" s="692" t="str">
        <f>IF(N243="","",COUNTIF($P$10:$P$256,"&lt;"&amp;P243)+COUNTIF($P$10:P243,P243))</f>
        <v/>
      </c>
      <c r="M243" s="692" t="str">
        <f>IF(Ingredient_prices!E237=M242,"",Ingredient_prices!E237)</f>
        <v/>
      </c>
      <c r="N243" s="693" t="str">
        <f>_xlfn.IFNA(VLOOKUP($M243,Sedmica_1_količina_sva_sastojak!$C:$F,4,FALSE),"")</f>
        <v/>
      </c>
      <c r="O243" s="696" t="str">
        <f>IF(N243="","",COUNTIF($P$10:$P$256,"&lt;"&amp;P243)+COUNTIF($P$10:P243,P243))</f>
        <v/>
      </c>
      <c r="P243" s="694" t="str">
        <f t="shared" si="15"/>
        <v/>
      </c>
    </row>
    <row r="244" spans="1:17">
      <c r="A244" s="470">
        <v>235</v>
      </c>
      <c r="B244" s="1248" t="str">
        <f>IF($B$8=1,_xlfn.IFNA(VLOOKUP($A244,$L:$N,2,FALSE),""),_xlfn.IFNA(VLOOKUP($A244,Sedmica_2_količina_namirnica!$L:$N,2,FALSE),""))</f>
        <v/>
      </c>
      <c r="C244" s="448" t="str">
        <f>IF($B$8=1,_xlfn.IFNA(VLOOKUP($A244,$L:$N,3,FALSE)-0.0001,""),_xlfn.IFNA(VLOOKUP($A244,Sedmica_2_količina_namirnica!$L:$N,3,FALSE)-0.0001,""))</f>
        <v/>
      </c>
      <c r="D244" s="446" t="str">
        <f>IF(B244="Jaje kokošje, celo",IF(C244=INT(C244),C244,C244+1),IF(B244=""," ",_xlfn.IFNA(INT(C244*1000/(VLOOKUP($B244,Ingredient_prices!$E:$J,6,FALSE)))+1,"nije nabavljen")))</f>
        <v xml:space="preserve"> </v>
      </c>
      <c r="E244" s="446" t="str">
        <f>IF(C244="","",VLOOKUP($B244,Ingredient_prices!$E:$K,7,FALSE))</f>
        <v/>
      </c>
      <c r="F244" s="462" t="str">
        <f>IF(C244="","",IFERROR(IF(OR(E244="кг",E244="л"),VLOOKUP($B244,Ingredient_prices!$E:$V,16,FALSE)*D244,(VLOOKUP($B244,Ingredient_prices!$E:$P,12,FALSE)*D244)),""))</f>
        <v/>
      </c>
      <c r="G244" s="450" t="str">
        <f>IF(C244="","",_xlfn.IFNA(MID(VLOOKUP($B244,Ingredient_prices!$E:$F,2,FALSE),9,2),""))</f>
        <v/>
      </c>
      <c r="H244" s="447" t="str">
        <f>_xlfn.IFNA(VLOOKUP(CONCATENATE($I$9,$G244),Ingredient_prices!$G:$N,8,FALSE),"")</f>
        <v/>
      </c>
      <c r="I244" s="548" t="str">
        <f t="shared" si="16"/>
        <v/>
      </c>
      <c r="J244" s="695" t="str">
        <f>IF(N244="","",MID(Ingredient_prices!F238,9,2))</f>
        <v/>
      </c>
      <c r="K244" s="692" t="str">
        <f t="shared" si="14"/>
        <v/>
      </c>
      <c r="L244" s="692" t="str">
        <f>IF(N244="","",COUNTIF($P$10:$P$256,"&lt;"&amp;P244)+COUNTIF($P$10:P244,P244))</f>
        <v/>
      </c>
      <c r="M244" s="692" t="str">
        <f>IF(Ingredient_prices!E238=M243,"",Ingredient_prices!E238)</f>
        <v/>
      </c>
      <c r="N244" s="693" t="str">
        <f>_xlfn.IFNA(VLOOKUP($M244,Sedmica_1_količina_sva_sastojak!$C:$F,4,FALSE),"")</f>
        <v/>
      </c>
      <c r="O244" s="696" t="str">
        <f>IF(N244="","",COUNTIF($P$10:$P$256,"&lt;"&amp;P244)+COUNTIF($P$10:P244,P244))</f>
        <v/>
      </c>
      <c r="P244" s="694" t="str">
        <f t="shared" si="15"/>
        <v/>
      </c>
    </row>
    <row r="245" spans="1:17">
      <c r="A245" s="470">
        <v>236</v>
      </c>
      <c r="B245" s="1248" t="str">
        <f>IF($B$8=1,_xlfn.IFNA(VLOOKUP($A245,$L:$N,2,FALSE),""),_xlfn.IFNA(VLOOKUP($A245,Sedmica_2_količina_namirnica!$L:$N,2,FALSE),""))</f>
        <v/>
      </c>
      <c r="C245" s="448" t="str">
        <f>IF($B$8=1,_xlfn.IFNA(VLOOKUP($A245,$L:$N,3,FALSE)-0.0001,""),_xlfn.IFNA(VLOOKUP($A245,Sedmica_2_količina_namirnica!$L:$N,3,FALSE)-0.0001,""))</f>
        <v/>
      </c>
      <c r="D245" s="446" t="str">
        <f>IF(B245="Jaje kokošje, celo",IF(C245=INT(C245),C245,C245+1),IF(B245=""," ",_xlfn.IFNA(INT(C245*1000/(VLOOKUP($B245,Ingredient_prices!$E:$J,6,FALSE)))+1,"nije nabavljen")))</f>
        <v xml:space="preserve"> </v>
      </c>
      <c r="E245" s="446" t="str">
        <f>IF(C245="","",VLOOKUP($B245,Ingredient_prices!$E:$K,7,FALSE))</f>
        <v/>
      </c>
      <c r="F245" s="462" t="str">
        <f>IF(C245="","",IFERROR(IF(OR(E245="кг",E245="л"),VLOOKUP($B245,Ingredient_prices!$E:$V,16,FALSE)*D245,(VLOOKUP($B245,Ingredient_prices!$E:$P,12,FALSE)*D245)),""))</f>
        <v/>
      </c>
      <c r="G245" s="450" t="str">
        <f>IF(C245="","",_xlfn.IFNA(MID(VLOOKUP($B245,Ingredient_prices!$E:$F,2,FALSE),9,2),""))</f>
        <v/>
      </c>
      <c r="H245" s="447" t="str">
        <f>_xlfn.IFNA(VLOOKUP(CONCATENATE($I$9,$G245),Ingredient_prices!$G:$N,8,FALSE),"")</f>
        <v/>
      </c>
      <c r="I245" s="548" t="str">
        <f t="shared" si="16"/>
        <v/>
      </c>
      <c r="J245" s="695" t="str">
        <f>IF(N245="","",MID(Ingredient_prices!F239,9,2))</f>
        <v/>
      </c>
      <c r="K245" s="692" t="str">
        <f t="shared" si="14"/>
        <v/>
      </c>
      <c r="L245" s="692" t="str">
        <f>IF(N245="","",COUNTIF($P$10:$P$256,"&lt;"&amp;P245)+COUNTIF($P$10:P245,P245))</f>
        <v/>
      </c>
      <c r="M245" s="692" t="str">
        <f>IF(Ingredient_prices!E239=M244,"",Ingredient_prices!E239)</f>
        <v/>
      </c>
      <c r="N245" s="693" t="str">
        <f>_xlfn.IFNA(VLOOKUP($M245,Sedmica_1_količina_sva_sastojak!$C:$F,4,FALSE),"")</f>
        <v/>
      </c>
      <c r="O245" s="696" t="str">
        <f>IF(N245="","",COUNTIF($P$10:$P$256,"&lt;"&amp;P245)+COUNTIF($P$10:P245,P245))</f>
        <v/>
      </c>
      <c r="P245" s="694" t="str">
        <f t="shared" si="15"/>
        <v/>
      </c>
    </row>
    <row r="246" spans="1:17">
      <c r="A246" s="470">
        <v>237</v>
      </c>
      <c r="B246" s="1248" t="str">
        <f>IF($B$8=1,_xlfn.IFNA(VLOOKUP($A246,$L:$N,2,FALSE),""),_xlfn.IFNA(VLOOKUP($A246,Sedmica_2_količina_namirnica!$L:$N,2,FALSE),""))</f>
        <v/>
      </c>
      <c r="C246" s="448" t="str">
        <f>IF($B$8=1,_xlfn.IFNA(VLOOKUP($A246,$L:$N,3,FALSE)-0.0001,""),_xlfn.IFNA(VLOOKUP($A246,Sedmica_2_količina_namirnica!$L:$N,3,FALSE)-0.0001,""))</f>
        <v/>
      </c>
      <c r="D246" s="446" t="str">
        <f>IF(B246="Jaje kokošje, celo",IF(C246=INT(C246),C246,C246+1),IF(B246=""," ",_xlfn.IFNA(INT(C246*1000/(VLOOKUP($B246,Ingredient_prices!$E:$J,6,FALSE)))+1,"nije nabavljen")))</f>
        <v xml:space="preserve"> </v>
      </c>
      <c r="E246" s="446" t="str">
        <f>IF(C246="","",VLOOKUP($B246,Ingredient_prices!$E:$K,7,FALSE))</f>
        <v/>
      </c>
      <c r="F246" s="462" t="str">
        <f>IF(C246="","",IFERROR(IF(OR(E246="кг",E246="л"),VLOOKUP($B246,Ingredient_prices!$E:$V,16,FALSE)*D246,(VLOOKUP($B246,Ingredient_prices!$E:$P,12,FALSE)*D246)),""))</f>
        <v/>
      </c>
      <c r="G246" s="450" t="str">
        <f>IF(C246="","",_xlfn.IFNA(MID(VLOOKUP($B246,Ingredient_prices!$E:$F,2,FALSE),9,2),""))</f>
        <v/>
      </c>
      <c r="H246" s="447" t="str">
        <f>_xlfn.IFNA(VLOOKUP(CONCATENATE($I$9,$G246),Ingredient_prices!$G:$N,8,FALSE),"")</f>
        <v/>
      </c>
      <c r="I246" s="548" t="str">
        <f t="shared" si="16"/>
        <v/>
      </c>
      <c r="J246" s="695" t="str">
        <f>IF(N246="","",MID(Ingredient_prices!F240,9,2))</f>
        <v/>
      </c>
      <c r="K246" s="692" t="str">
        <f t="shared" si="14"/>
        <v/>
      </c>
      <c r="L246" s="692" t="str">
        <f>IF(N246="","",COUNTIF($P$10:$P$256,"&lt;"&amp;P246)+COUNTIF($P$10:P246,P246))</f>
        <v/>
      </c>
      <c r="M246" s="692" t="str">
        <f>IF(Ingredient_prices!E240=M245,"",Ingredient_prices!E240)</f>
        <v/>
      </c>
      <c r="N246" s="693" t="str">
        <f>_xlfn.IFNA(VLOOKUP($M246,Sedmica_1_količina_sva_sastojak!$C:$F,4,FALSE),"")</f>
        <v/>
      </c>
      <c r="O246" s="696" t="str">
        <f>IF(N246="","",COUNTIF($P$10:$P$256,"&lt;"&amp;P246)+COUNTIF($P$10:P246,P246))</f>
        <v/>
      </c>
      <c r="P246" s="694" t="str">
        <f t="shared" si="15"/>
        <v/>
      </c>
    </row>
    <row r="247" spans="1:17">
      <c r="A247" s="470">
        <v>238</v>
      </c>
      <c r="B247" s="1248" t="str">
        <f>IF($B$8=1,_xlfn.IFNA(VLOOKUP($A247,$L:$N,2,FALSE),""),_xlfn.IFNA(VLOOKUP($A247,Sedmica_2_količina_namirnica!$L:$N,2,FALSE),""))</f>
        <v/>
      </c>
      <c r="C247" s="448" t="str">
        <f>IF($B$8=1,_xlfn.IFNA(VLOOKUP($A247,$L:$N,3,FALSE)-0.0001,""),_xlfn.IFNA(VLOOKUP($A247,Sedmica_2_količina_namirnica!$L:$N,3,FALSE)-0.0001,""))</f>
        <v/>
      </c>
      <c r="D247" s="446" t="str">
        <f>IF(B247="Jaje kokošje, celo",IF(C247=INT(C247),C247,C247+1),IF(B247=""," ",_xlfn.IFNA(INT(C247*1000/(VLOOKUP($B247,Ingredient_prices!$E:$J,6,FALSE)))+1,"nije nabavljen")))</f>
        <v xml:space="preserve"> </v>
      </c>
      <c r="E247" s="446" t="str">
        <f>IF(C247="","",VLOOKUP($B247,Ingredient_prices!$E:$K,7,FALSE))</f>
        <v/>
      </c>
      <c r="F247" s="462" t="str">
        <f>IF(C247="","",IFERROR(IF(OR(E247="кг",E247="л"),VLOOKUP($B247,Ingredient_prices!$E:$V,16,FALSE)*D247,(VLOOKUP($B247,Ingredient_prices!$E:$P,12,FALSE)*D247)),""))</f>
        <v/>
      </c>
      <c r="G247" s="450" t="str">
        <f>IF(C247="","",_xlfn.IFNA(MID(VLOOKUP($B247,Ingredient_prices!$E:$F,2,FALSE),9,2),""))</f>
        <v/>
      </c>
      <c r="H247" s="447" t="str">
        <f>_xlfn.IFNA(VLOOKUP(CONCATENATE($I$9,$G247),Ingredient_prices!$G:$N,8,FALSE),"")</f>
        <v/>
      </c>
      <c r="I247" s="548" t="str">
        <f t="shared" si="16"/>
        <v/>
      </c>
      <c r="J247" s="695" t="str">
        <f>IF(N247="","",MID(Ingredient_prices!F241,9,2))</f>
        <v/>
      </c>
      <c r="K247" s="692" t="str">
        <f t="shared" si="14"/>
        <v/>
      </c>
      <c r="L247" s="692" t="str">
        <f>IF(N247="","",COUNTIF($P$10:$P$256,"&lt;"&amp;P247)+COUNTIF($P$10:P247,P247))</f>
        <v/>
      </c>
      <c r="M247" s="692" t="str">
        <f>IF(Ingredient_prices!E241=M246,"",Ingredient_prices!E241)</f>
        <v/>
      </c>
      <c r="N247" s="693" t="str">
        <f>_xlfn.IFNA(VLOOKUP($M247,Sedmica_1_količina_sva_sastojak!$C:$F,4,FALSE),"")</f>
        <v/>
      </c>
      <c r="O247" s="696" t="str">
        <f>IF(N247="","",COUNTIF($P$10:$P$256,"&lt;"&amp;P247)+COUNTIF($P$10:P247,P247))</f>
        <v/>
      </c>
      <c r="P247" s="694" t="str">
        <f t="shared" si="15"/>
        <v/>
      </c>
    </row>
    <row r="248" spans="1:17">
      <c r="A248" s="470">
        <v>239</v>
      </c>
      <c r="B248" s="1248" t="str">
        <f>IF($B$8=1,_xlfn.IFNA(VLOOKUP($A248,$L:$N,2,FALSE),""),_xlfn.IFNA(VLOOKUP($A248,Sedmica_2_količina_namirnica!$L:$N,2,FALSE),""))</f>
        <v/>
      </c>
      <c r="C248" s="448" t="str">
        <f>IF($B$8=1,_xlfn.IFNA(VLOOKUP($A248,$L:$N,3,FALSE)-0.0001,""),_xlfn.IFNA(VLOOKUP($A248,Sedmica_2_količina_namirnica!$L:$N,3,FALSE)-0.0001,""))</f>
        <v/>
      </c>
      <c r="D248" s="446" t="str">
        <f>IF(B248="Jaje kokošje, celo",IF(C248=INT(C248),C248,C248+1),IF(B248=""," ",_xlfn.IFNA(INT(C248*1000/(VLOOKUP($B248,Ingredient_prices!$E:$J,6,FALSE)))+1,"nije nabavljen")))</f>
        <v xml:space="preserve"> </v>
      </c>
      <c r="E248" s="446" t="str">
        <f>IF(C248="","",VLOOKUP($B248,Ingredient_prices!$E:$K,7,FALSE))</f>
        <v/>
      </c>
      <c r="F248" s="462" t="str">
        <f>IF(C248="","",IFERROR(IF(OR(E248="кг",E248="л"),VLOOKUP($B248,Ingredient_prices!$E:$V,16,FALSE)*D248,(VLOOKUP($B248,Ingredient_prices!$E:$P,12,FALSE)*D248)),""))</f>
        <v/>
      </c>
      <c r="G248" s="450" t="str">
        <f>IF(C248="","",_xlfn.IFNA(MID(VLOOKUP($B248,Ingredient_prices!$E:$F,2,FALSE),9,2),""))</f>
        <v/>
      </c>
      <c r="H248" s="447" t="str">
        <f>_xlfn.IFNA(VLOOKUP(CONCATENATE($I$9,$G248),Ingredient_prices!$G:$N,8,FALSE),"")</f>
        <v/>
      </c>
      <c r="I248" s="548" t="str">
        <f t="shared" si="16"/>
        <v/>
      </c>
      <c r="J248" s="695" t="str">
        <f>IF(N248="","",MID(Ingredient_prices!F242,9,2))</f>
        <v/>
      </c>
      <c r="K248" s="692" t="str">
        <f t="shared" si="14"/>
        <v/>
      </c>
      <c r="L248" s="692" t="str">
        <f>IF(N248="","",COUNTIF($P$10:$P$256,"&lt;"&amp;P248)+COUNTIF($P$10:P248,P248))</f>
        <v/>
      </c>
      <c r="M248" s="692" t="str">
        <f>IF(Ingredient_prices!E242=M247,"",Ingredient_prices!E242)</f>
        <v/>
      </c>
      <c r="N248" s="693" t="str">
        <f>_xlfn.IFNA(VLOOKUP($M248,Sedmica_1_količina_sva_sastojak!$C:$F,4,FALSE),"")</f>
        <v/>
      </c>
      <c r="O248" s="696" t="str">
        <f>IF(N248="","",COUNTIF($P$10:$P$256,"&lt;"&amp;P248)+COUNTIF($P$10:P248,P248))</f>
        <v/>
      </c>
      <c r="P248" s="694" t="str">
        <f t="shared" si="15"/>
        <v/>
      </c>
    </row>
    <row r="249" spans="1:17">
      <c r="A249" s="470">
        <v>240</v>
      </c>
      <c r="B249" s="1248" t="str">
        <f>IF($B$8=1,_xlfn.IFNA(VLOOKUP($A249,$L:$N,2,FALSE),""),_xlfn.IFNA(VLOOKUP($A249,Sedmica_2_količina_namirnica!$L:$N,2,FALSE),""))</f>
        <v/>
      </c>
      <c r="C249" s="448" t="str">
        <f>IF($B$8=1,_xlfn.IFNA(VLOOKUP($A249,$L:$N,3,FALSE)-0.0001,""),_xlfn.IFNA(VLOOKUP($A249,Sedmica_2_količina_namirnica!$L:$N,3,FALSE)-0.0001,""))</f>
        <v/>
      </c>
      <c r="D249" s="446" t="str">
        <f>IF(B249="Jaje kokošje, celo",IF(C249=INT(C249),C249,C249+1),IF(B249=""," ",_xlfn.IFNA(INT(C249*1000/(VLOOKUP($B249,Ingredient_prices!$E:$J,6,FALSE)))+1,"nije nabavljen")))</f>
        <v xml:space="preserve"> </v>
      </c>
      <c r="E249" s="446" t="str">
        <f>IF(C249="","",VLOOKUP($B249,Ingredient_prices!$E:$K,7,FALSE))</f>
        <v/>
      </c>
      <c r="F249" s="462" t="str">
        <f>IF(C249="","",IFERROR(IF(OR(E249="кг",E249="л"),VLOOKUP($B249,Ingredient_prices!$E:$V,16,FALSE)*D249,(VLOOKUP($B249,Ingredient_prices!$E:$P,12,FALSE)*D249)),""))</f>
        <v/>
      </c>
      <c r="G249" s="450" t="str">
        <f>IF(C249="","",_xlfn.IFNA(MID(VLOOKUP($B249,Ingredient_prices!$E:$F,2,FALSE),9,2),""))</f>
        <v/>
      </c>
      <c r="H249" s="447" t="str">
        <f>_xlfn.IFNA(VLOOKUP(CONCATENATE($I$9,$G249),Ingredient_prices!$G:$N,8,FALSE),"")</f>
        <v/>
      </c>
      <c r="I249" s="548" t="str">
        <f t="shared" si="16"/>
        <v/>
      </c>
      <c r="J249" s="695" t="str">
        <f>IF(N249="","",MID(Ingredient_prices!F243,9,2))</f>
        <v/>
      </c>
      <c r="K249" s="692" t="str">
        <f t="shared" si="14"/>
        <v/>
      </c>
      <c r="L249" s="692" t="str">
        <f>IF(N249="","",COUNTIF($P$10:$P$256,"&lt;"&amp;P249)+COUNTIF($P$10:P249,P249))</f>
        <v/>
      </c>
      <c r="M249" s="692" t="str">
        <f>IF(Ingredient_prices!E243=M248,"",Ingredient_prices!E243)</f>
        <v/>
      </c>
      <c r="N249" s="693" t="str">
        <f>_xlfn.IFNA(VLOOKUP($M249,Sedmica_1_količina_sva_sastojak!$C:$F,4,FALSE),"")</f>
        <v/>
      </c>
      <c r="O249" s="696" t="str">
        <f>IF(N249="","",COUNTIF($P$10:$P$256,"&lt;"&amp;P249)+COUNTIF($P$10:P249,P249))</f>
        <v/>
      </c>
      <c r="P249" s="694" t="str">
        <f t="shared" si="15"/>
        <v/>
      </c>
    </row>
    <row r="250" spans="1:17">
      <c r="A250" s="470">
        <v>241</v>
      </c>
      <c r="B250" s="1248" t="str">
        <f>IF($B$8=1,_xlfn.IFNA(VLOOKUP($A250,$L:$N,2,FALSE),""),_xlfn.IFNA(VLOOKUP($A250,Sedmica_2_količina_namirnica!$L:$N,2,FALSE),""))</f>
        <v/>
      </c>
      <c r="C250" s="448" t="str">
        <f>IF($B$8=1,_xlfn.IFNA(VLOOKUP($A250,$L:$N,3,FALSE)-0.0001,""),_xlfn.IFNA(VLOOKUP($A250,Sedmica_2_količina_namirnica!$L:$N,3,FALSE)-0.0001,""))</f>
        <v/>
      </c>
      <c r="D250" s="446" t="str">
        <f>IF(B250="Jaje kokošje, celo",IF(C250=INT(C250),C250,C250+1),IF(B250=""," ",_xlfn.IFNA(INT(C250*1000/(VLOOKUP($B250,Ingredient_prices!$E:$J,6,FALSE)))+1,"nije nabavljen")))</f>
        <v xml:space="preserve"> </v>
      </c>
      <c r="E250" s="446" t="str">
        <f>IF(C250="","",VLOOKUP($B250,Ingredient_prices!$E:$K,7,FALSE))</f>
        <v/>
      </c>
      <c r="F250" s="462" t="str">
        <f>IF(C250="","",IFERROR(IF(OR(E250="кг",E250="л"),VLOOKUP($B250,Ingredient_prices!$E:$V,16,FALSE)*D250,(VLOOKUP($B250,Ingredient_prices!$E:$P,12,FALSE)*D250)),""))</f>
        <v/>
      </c>
      <c r="G250" s="450" t="str">
        <f>IF(C250="","",_xlfn.IFNA(MID(VLOOKUP($B250,Ingredient_prices!$E:$F,2,FALSE),9,2),""))</f>
        <v/>
      </c>
      <c r="H250" s="447" t="str">
        <f>_xlfn.IFNA(VLOOKUP(CONCATENATE($I$9,$G250),Ingredient_prices!$G:$N,8,FALSE),"")</f>
        <v/>
      </c>
      <c r="I250" s="548" t="str">
        <f t="shared" si="16"/>
        <v/>
      </c>
      <c r="J250" s="695" t="str">
        <f>IF(N250="","",MID(Ingredient_prices!F244,9,2))</f>
        <v/>
      </c>
      <c r="K250" s="692" t="str">
        <f t="shared" si="14"/>
        <v/>
      </c>
      <c r="L250" s="692" t="str">
        <f>IF(N250="","",COUNTIF($P$10:$P$256,"&lt;"&amp;P250)+COUNTIF($P$10:P250,P250))</f>
        <v/>
      </c>
      <c r="M250" s="692" t="str">
        <f>IF(Ingredient_prices!E244=M249,"",Ingredient_prices!E244)</f>
        <v/>
      </c>
      <c r="N250" s="693" t="str">
        <f>_xlfn.IFNA(VLOOKUP($M250,Sedmica_1_količina_sva_sastojak!$C:$F,4,FALSE),"")</f>
        <v/>
      </c>
      <c r="O250" s="696" t="str">
        <f>IF(N250="","",COUNTIF($P$10:$P$256,"&lt;"&amp;P250)+COUNTIF($P$10:P250,P250))</f>
        <v/>
      </c>
      <c r="P250" s="694" t="str">
        <f t="shared" si="15"/>
        <v/>
      </c>
    </row>
    <row r="251" spans="1:17">
      <c r="A251" s="470">
        <v>242</v>
      </c>
      <c r="B251" s="1248" t="str">
        <f>IF($B$8=1,_xlfn.IFNA(VLOOKUP($A251,$L:$N,2,FALSE),""),_xlfn.IFNA(VLOOKUP($A251,Sedmica_2_količina_namirnica!$L:$N,2,FALSE),""))</f>
        <v/>
      </c>
      <c r="C251" s="448" t="str">
        <f>IF($B$8=1,_xlfn.IFNA(VLOOKUP($A251,$L:$N,3,FALSE)-0.0001,""),_xlfn.IFNA(VLOOKUP($A251,Sedmica_2_količina_namirnica!$L:$N,3,FALSE)-0.0001,""))</f>
        <v/>
      </c>
      <c r="D251" s="446" t="str">
        <f>IF(B251="Jaje kokošje, celo",IF(C251=INT(C251),C251,C251+1),IF(B251=""," ",_xlfn.IFNA(INT(C251*1000/(VLOOKUP($B251,Ingredient_prices!$E:$J,6,FALSE)))+1,"nije nabavljen")))</f>
        <v xml:space="preserve"> </v>
      </c>
      <c r="E251" s="446" t="str">
        <f>IF(C251="","",VLOOKUP($B251,Ingredient_prices!$E:$K,7,FALSE))</f>
        <v/>
      </c>
      <c r="F251" s="462" t="str">
        <f>IF(C251="","",IFERROR(IF(OR(E251="кг",E251="л"),VLOOKUP($B251,Ingredient_prices!$E:$V,16,FALSE)*D251,(VLOOKUP($B251,Ingredient_prices!$E:$P,12,FALSE)*D251)),""))</f>
        <v/>
      </c>
      <c r="G251" s="450" t="str">
        <f>IF(C251="","",_xlfn.IFNA(MID(VLOOKUP($B251,Ingredient_prices!$E:$F,2,FALSE),9,2),""))</f>
        <v/>
      </c>
      <c r="H251" s="447" t="str">
        <f>_xlfn.IFNA(VLOOKUP(CONCATENATE($I$9,$G251),Ingredient_prices!$G:$N,8,FALSE),"")</f>
        <v/>
      </c>
      <c r="I251" s="548" t="str">
        <f t="shared" si="16"/>
        <v/>
      </c>
      <c r="J251" s="695" t="str">
        <f>IF(N251="","",MID(Ingredient_prices!F245,9,2))</f>
        <v/>
      </c>
      <c r="K251" s="692" t="str">
        <f t="shared" si="14"/>
        <v/>
      </c>
      <c r="L251" s="692" t="str">
        <f>IF(N251="","",COUNTIF($P$10:$P$256,"&lt;"&amp;P251)+COUNTIF($P$10:P251,P251))</f>
        <v/>
      </c>
      <c r="M251" s="692" t="str">
        <f>IF(Ingredient_prices!E245=M250,"",Ingredient_prices!E245)</f>
        <v/>
      </c>
      <c r="N251" s="693" t="str">
        <f>_xlfn.IFNA(VLOOKUP($M251,Sedmica_1_količina_sva_sastojak!$C:$F,4,FALSE),"")</f>
        <v/>
      </c>
      <c r="O251" s="696" t="str">
        <f>IF(N251="","",COUNTIF($P$10:$P$256,"&lt;"&amp;P251)+COUNTIF($P$10:P251,P251))</f>
        <v/>
      </c>
      <c r="P251" s="694" t="str">
        <f t="shared" si="15"/>
        <v/>
      </c>
    </row>
    <row r="252" spans="1:17">
      <c r="A252" s="470">
        <v>243</v>
      </c>
      <c r="B252" s="1248" t="str">
        <f>IF($B$8=1,_xlfn.IFNA(VLOOKUP($A252,$L:$N,2,FALSE),""),_xlfn.IFNA(VLOOKUP($A252,Sedmica_2_količina_namirnica!$L:$N,2,FALSE),""))</f>
        <v/>
      </c>
      <c r="C252" s="448" t="str">
        <f>IF($B$8=1,_xlfn.IFNA(VLOOKUP($A252,$L:$N,3,FALSE)-0.0001,""),_xlfn.IFNA(VLOOKUP($A252,Sedmica_2_količina_namirnica!$L:$N,3,FALSE)-0.0001,""))</f>
        <v/>
      </c>
      <c r="D252" s="446" t="str">
        <f>IF(B252="Jaje kokošje, celo",C252,IF(B252=""," ",_xlfn.IFNA(C252*1000/(VLOOKUP($B252,Ingredient_prices!$E:$J,6,FALSE))+1,"nije nabavljen")))</f>
        <v xml:space="preserve"> </v>
      </c>
      <c r="E252" s="446" t="str">
        <f>IF(C252="","",VLOOKUP($B252,Ingredient_prices!$E:$K,7,FALSE))</f>
        <v/>
      </c>
      <c r="F252" s="462" t="str">
        <f>IF(C252="","",IFERROR(IF(OR(E252="кг",E252="л"),VLOOKUP($B252,Ingredient_prices!$E:$V,16,FALSE)*D252,(VLOOKUP($B252,Ingredient_prices!$E:$P,12,FALSE)*D252)),""))</f>
        <v/>
      </c>
      <c r="G252" s="450" t="str">
        <f>IF(C252="","",_xlfn.IFNA(MID(VLOOKUP($B252,Ingredient_prices!$E:$F,2,FALSE),9,2),""))</f>
        <v/>
      </c>
      <c r="H252" s="447" t="str">
        <f>_xlfn.IFNA(VLOOKUP(CONCATENATE($I$9,$G252),Ingredient_prices!$G:$N,8,FALSE),"")</f>
        <v/>
      </c>
      <c r="I252" s="548" t="str">
        <f t="shared" si="16"/>
        <v/>
      </c>
      <c r="J252" s="695" t="str">
        <f>IF(N252="","",MID(Ingredient_prices!F243,9,2))</f>
        <v/>
      </c>
      <c r="K252" s="692" t="str">
        <f t="shared" ref="K252:K256" si="17">IF(N252="","",COUNTIFS(J$10:J$256,J252,N$10:N$256,"&gt;"&amp;N252)+1)</f>
        <v/>
      </c>
      <c r="L252" s="692" t="str">
        <f>IF(N252="","",COUNTIF($P$10:$P$256,"&lt;"&amp;P252)+COUNTIF($P$10:P252,P252))</f>
        <v/>
      </c>
      <c r="M252" s="692" t="str">
        <f>Ingredient_prices!E243</f>
        <v/>
      </c>
      <c r="N252" s="693" t="str">
        <f>_xlfn.IFNA(VLOOKUP($M252,Sedmica_1_količina_sva_sastojak!$C:$F,4,FALSE),"")</f>
        <v/>
      </c>
      <c r="O252" s="696" t="str">
        <f>IF(N252="","",COUNTIF($P$10:$P$256,"&lt;"&amp;P252)+COUNTIF($P$10:P252,P252))</f>
        <v/>
      </c>
      <c r="P252" s="694" t="str">
        <f t="shared" ref="P252:P256" si="18">IF(K252="","",VALUE(CONCATENATE(J252,K252)))</f>
        <v/>
      </c>
    </row>
    <row r="253" spans="1:17">
      <c r="A253" s="470">
        <v>244</v>
      </c>
      <c r="B253" s="1248" t="str">
        <f>IF($B$8=1,_xlfn.IFNA(VLOOKUP($A253,$L:$N,2,FALSE),""),_xlfn.IFNA(VLOOKUP($A253,Sedmica_2_količina_namirnica!$L:$N,2,FALSE),""))</f>
        <v/>
      </c>
      <c r="C253" s="448" t="str">
        <f>IF($B$8=1,_xlfn.IFNA(VLOOKUP($A253,$L:$N,3,FALSE)-0.0001,""),_xlfn.IFNA(VLOOKUP($A253,Sedmica_2_količina_namirnica!$L:$N,3,FALSE)-0.0001,""))</f>
        <v/>
      </c>
      <c r="D253" s="446" t="str">
        <f>IF(B253="Jaje kokošje, celo",C253,IF(B253=""," ",_xlfn.IFNA(C253*1000/(VLOOKUP($B253,Ingredient_prices!$E:$J,6,FALSE))+1,"nije nabavljen")))</f>
        <v xml:space="preserve"> </v>
      </c>
      <c r="E253" s="446" t="str">
        <f>IF(C253="","",VLOOKUP($B253,Ingredient_prices!$E:$K,7,FALSE))</f>
        <v/>
      </c>
      <c r="F253" s="462" t="str">
        <f>IF(C253="","",IFERROR(IF(OR(E253="кг",E253="л"),VLOOKUP($B253,Ingredient_prices!$E:$V,16,FALSE)*D253,(VLOOKUP($B253,Ingredient_prices!$E:$P,12,FALSE)*D253)),""))</f>
        <v/>
      </c>
      <c r="G253" s="450" t="str">
        <f>IF(C253="","",_xlfn.IFNA(MID(VLOOKUP($B253,Ingredient_prices!$E:$F,2,FALSE),9,2),""))</f>
        <v/>
      </c>
      <c r="H253" s="447" t="str">
        <f>_xlfn.IFNA(VLOOKUP(CONCATENATE($I$9,$G253),Ingredient_prices!$G:$N,8,FALSE),"")</f>
        <v/>
      </c>
      <c r="I253" s="548" t="str">
        <f t="shared" si="16"/>
        <v/>
      </c>
      <c r="J253" s="695" t="str">
        <f>IF(N253="","",MID(Ingredient_prices!F244,9,2))</f>
        <v/>
      </c>
      <c r="K253" s="692" t="str">
        <f t="shared" si="17"/>
        <v/>
      </c>
      <c r="L253" s="692" t="str">
        <f>IF(N253="","",COUNTIF($P$10:$P$256,"&lt;"&amp;P253)+COUNTIF($P$10:P253,P253))</f>
        <v/>
      </c>
      <c r="M253" s="694" t="str">
        <f>Ingredient_prices!E244</f>
        <v/>
      </c>
      <c r="N253" s="693" t="str">
        <f>_xlfn.IFNA(VLOOKUP($M253,Sedmica_1_količina_sva_sastojak!$C:$F,4,FALSE),"")</f>
        <v/>
      </c>
      <c r="O253" s="696" t="str">
        <f>IF(N253="","",COUNTIF($P$10:$P$256,"&lt;"&amp;P253)+COUNTIF($P$10:P253,P253))</f>
        <v/>
      </c>
      <c r="P253" s="694" t="str">
        <f t="shared" si="18"/>
        <v/>
      </c>
    </row>
    <row r="254" spans="1:17">
      <c r="A254" s="470">
        <v>245</v>
      </c>
      <c r="B254" s="1248" t="str">
        <f>IF($B$8=1,_xlfn.IFNA(VLOOKUP($A254,$L:$N,2,FALSE),""),_xlfn.IFNA(VLOOKUP($A254,Sedmica_2_količina_namirnica!$L:$N,2,FALSE),""))</f>
        <v/>
      </c>
      <c r="C254" s="448" t="str">
        <f>IF($B$8=1,_xlfn.IFNA(VLOOKUP($A254,$L:$N,3,FALSE)-0.0001,""),_xlfn.IFNA(VLOOKUP($A254,Sedmica_2_količina_namirnica!$L:$N,3,FALSE)-0.0001,""))</f>
        <v/>
      </c>
      <c r="D254" s="446" t="str">
        <f>IF(B254="Jaje kokošje, celo",C254,IF(B254=""," ",_xlfn.IFNA(C254*1000/(VLOOKUP($B254,Ingredient_prices!$E:$J,6,FALSE))+1,"nije nabavljen")))</f>
        <v xml:space="preserve"> </v>
      </c>
      <c r="E254" s="446" t="str">
        <f>IF(C254="","",VLOOKUP($B254,Ingredient_prices!$E:$K,7,FALSE))</f>
        <v/>
      </c>
      <c r="F254" s="462" t="str">
        <f>IF(C254="","",IFERROR(IF(OR(E254="кг",E254="л"),VLOOKUP($B254,Ingredient_prices!$E:$V,16,FALSE)*D254,(VLOOKUP($B254,Ingredient_prices!$E:$P,12,FALSE)*D254)),""))</f>
        <v/>
      </c>
      <c r="G254" s="450" t="str">
        <f>IF(C254="","",_xlfn.IFNA(MID(VLOOKUP($B254,Ingredient_prices!$E:$F,2,FALSE),9,2),""))</f>
        <v/>
      </c>
      <c r="H254" s="447" t="str">
        <f>_xlfn.IFNA(VLOOKUP(CONCATENATE($I$9,$G254),Ingredient_prices!$G:$N,8,FALSE),"")</f>
        <v/>
      </c>
      <c r="I254" s="548" t="str">
        <f t="shared" si="16"/>
        <v/>
      </c>
      <c r="J254" s="695" t="str">
        <f>IF(N254="","",MID(Ingredient_prices!F245,9,2))</f>
        <v/>
      </c>
      <c r="K254" s="692" t="str">
        <f t="shared" si="17"/>
        <v/>
      </c>
      <c r="L254" s="692" t="str">
        <f>IF(N254="","",COUNTIF($P$10:$P$256,"&lt;"&amp;P254)+COUNTIF($P$10:P254,P254))</f>
        <v/>
      </c>
      <c r="M254" s="694" t="str">
        <f>Ingredient_prices!E245</f>
        <v/>
      </c>
      <c r="N254" s="693" t="str">
        <f>_xlfn.IFNA(VLOOKUP($M254,Sedmica_1_količina_sva_sastojak!$C:$F,4,FALSE),"")</f>
        <v/>
      </c>
      <c r="O254" s="696" t="str">
        <f>IF(N254="","",COUNTIF($P$10:$P$256,"&lt;"&amp;P254)+COUNTIF($P$10:P254,P254))</f>
        <v/>
      </c>
      <c r="P254" s="694" t="str">
        <f t="shared" si="18"/>
        <v/>
      </c>
    </row>
    <row r="255" spans="1:17">
      <c r="A255" s="470">
        <v>246</v>
      </c>
      <c r="B255" s="1248" t="str">
        <f>IF($B$8=1,_xlfn.IFNA(VLOOKUP($A255,$L:$N,2,FALSE),""),_xlfn.IFNA(VLOOKUP($A255,Sedmica_2_količina_namirnica!$L:$N,2,FALSE),""))</f>
        <v/>
      </c>
      <c r="C255" s="448" t="str">
        <f>IF($B$8=1,_xlfn.IFNA(VLOOKUP($A255,$L:$N,3,FALSE)-0.0001,""),_xlfn.IFNA(VLOOKUP($A255,Sedmica_2_količina_namirnica!$L:$N,3,FALSE)-0.0001,""))</f>
        <v/>
      </c>
      <c r="D255" s="446" t="str">
        <f>IF(B255="Jaje kokošje, celo",C255,IF(B255=""," ",_xlfn.IFNA(C255*1000/(VLOOKUP($B255,Ingredient_prices!$E:$J,6,FALSE))+1,"nije nabavljen")))</f>
        <v xml:space="preserve"> </v>
      </c>
      <c r="E255" s="446" t="str">
        <f>IF(C255="","",VLOOKUP($B255,Ingredient_prices!$E:$K,7,FALSE))</f>
        <v/>
      </c>
      <c r="F255" s="462" t="str">
        <f>IF(C255="","",IFERROR(IF(OR(E255="кг",E255="л"),VLOOKUP($B255,Ingredient_prices!$E:$V,16,FALSE)*D255,(VLOOKUP($B255,Ingredient_prices!$E:$P,12,FALSE)*D255)),""))</f>
        <v/>
      </c>
      <c r="G255" s="450" t="str">
        <f>IF(C255="","",_xlfn.IFNA(MID(VLOOKUP($B255,Ingredient_prices!$E:$F,2,FALSE),9,2),""))</f>
        <v/>
      </c>
      <c r="H255" s="447" t="str">
        <f>_xlfn.IFNA(VLOOKUP(CONCATENATE($I$9,$G255),Ingredient_prices!$G:$N,8,FALSE),"")</f>
        <v/>
      </c>
      <c r="I255" s="548" t="str">
        <f t="shared" si="16"/>
        <v/>
      </c>
      <c r="J255" s="695" t="str">
        <f>IF(N255="","",MID(Ingredient_prices!F246,9,2))</f>
        <v/>
      </c>
      <c r="K255" s="692" t="str">
        <f t="shared" si="17"/>
        <v/>
      </c>
      <c r="L255" s="692" t="str">
        <f>IF(N255="","",COUNTIF($P$10:$P$256,"&lt;"&amp;P255)+COUNTIF($P$10:P255,P255))</f>
        <v/>
      </c>
      <c r="M255" s="694" t="str">
        <f>Ingredient_prices!E246</f>
        <v/>
      </c>
      <c r="N255" s="693" t="str">
        <f>_xlfn.IFNA(VLOOKUP($M255,Sedmica_1_količina_sva_sastojak!$C:$F,4,FALSE),"")</f>
        <v/>
      </c>
      <c r="O255" s="696" t="str">
        <f>IF(N255="","",COUNTIF($P$10:$P$256,"&lt;"&amp;P255)+COUNTIF($P$10:P255,P255))</f>
        <v/>
      </c>
      <c r="P255" s="694" t="str">
        <f t="shared" si="18"/>
        <v/>
      </c>
    </row>
    <row r="256" spans="1:17">
      <c r="A256" s="470">
        <v>247</v>
      </c>
      <c r="B256" s="1248" t="str">
        <f>IF($B$8=1,_xlfn.IFNA(VLOOKUP($A256,$L:$N,2,FALSE),""),_xlfn.IFNA(VLOOKUP($A256,Sedmica_2_količina_namirnica!$L:$N,2,FALSE),""))</f>
        <v/>
      </c>
      <c r="C256" s="448" t="str">
        <f>IF($B$8=1,_xlfn.IFNA(VLOOKUP($A256,$L:$N,3,FALSE)-0.0001,""),_xlfn.IFNA(VLOOKUP($A256,Sedmica_2_količina_namirnica!$L:$N,3,FALSE)-0.0001,""))</f>
        <v/>
      </c>
      <c r="D256" s="446" t="str">
        <f>IF(B256="Jaje kokošje, celo",C256,IF(B256=""," ",_xlfn.IFNA(C256*1000/(VLOOKUP($B256,Ingredient_prices!$E:$J,6,FALSE))+1,"nije nabavljen")))</f>
        <v xml:space="preserve"> </v>
      </c>
      <c r="E256" s="446" t="str">
        <f>IF(C256="","",VLOOKUP($B256,Ingredient_prices!$E:$K,7,FALSE))</f>
        <v/>
      </c>
      <c r="F256" s="462" t="str">
        <f>IF(C256="","",IFERROR(IF(OR(E256="кг",E256="л"),VLOOKUP($B256,Ingredient_prices!$E:$V,16,FALSE)*D256,(VLOOKUP($B256,Ingredient_prices!$E:$P,12,FALSE)*D256)),""))</f>
        <v/>
      </c>
      <c r="G256" s="450" t="str">
        <f>IF(C256="","",_xlfn.IFNA(MID(VLOOKUP($B256,Ingredient_prices!$E:$F,2,FALSE),9,2),""))</f>
        <v/>
      </c>
      <c r="H256" s="447" t="str">
        <f>_xlfn.IFNA(VLOOKUP(CONCATENATE($I$9,$G256),Ingredient_prices!$G:$N,8,FALSE),"")</f>
        <v/>
      </c>
      <c r="I256" s="548" t="str">
        <f t="shared" si="16"/>
        <v/>
      </c>
      <c r="J256" s="695" t="str">
        <f>IF(N256="","",MID(Ingredient_prices!F247,9,2))</f>
        <v/>
      </c>
      <c r="K256" s="692" t="str">
        <f t="shared" si="17"/>
        <v/>
      </c>
      <c r="L256" s="692" t="str">
        <f>IF(N256="","",COUNTIF($P$10:$P$256,"&lt;"&amp;P256)+COUNTIF($P$10:P256,P256))</f>
        <v/>
      </c>
      <c r="M256" s="692" t="str">
        <f>Ingredient_prices!E247</f>
        <v/>
      </c>
      <c r="N256" s="693" t="str">
        <f>_xlfn.IFNA(VLOOKUP($M256,Sedmica_1_količina_sva_sastojak!$C:$F,4,FALSE),"")</f>
        <v/>
      </c>
      <c r="O256" s="696" t="str">
        <f>IF(N256="","",COUNTIF($P$10:$P$256,"&lt;"&amp;P256)+COUNTIF($P$10:P256,P256))</f>
        <v/>
      </c>
      <c r="P256" s="694" t="str">
        <f t="shared" si="18"/>
        <v/>
      </c>
    </row>
    <row r="257" spans="1:17" s="445" customFormat="1">
      <c r="A257" s="471"/>
      <c r="B257" s="452"/>
      <c r="C257" s="463"/>
      <c r="D257" s="452"/>
      <c r="E257" s="452"/>
      <c r="F257" s="452"/>
      <c r="G257" s="452"/>
      <c r="H257" s="452"/>
      <c r="I257" s="473"/>
      <c r="J257" s="697"/>
      <c r="K257" s="697"/>
      <c r="L257" s="697"/>
      <c r="M257" s="697"/>
      <c r="N257" s="693" t="str">
        <f>_xlfn.IFNA(VLOOKUP($M257,Sedmica_1_količina_sva_sastojak!$C:$F,4,FALSE),"")</f>
        <v/>
      </c>
      <c r="O257" s="697"/>
      <c r="P257" s="697"/>
      <c r="Q257" s="697"/>
    </row>
    <row r="296" spans="1:17" s="445" customFormat="1">
      <c r="A296" s="471"/>
      <c r="B296" s="452"/>
      <c r="C296" s="463"/>
      <c r="D296" s="452"/>
      <c r="E296" s="452"/>
      <c r="F296" s="452"/>
      <c r="G296" s="452"/>
      <c r="H296" s="452"/>
      <c r="I296" s="473"/>
      <c r="J296" s="697"/>
      <c r="K296" s="697"/>
      <c r="L296" s="697"/>
      <c r="M296" s="697"/>
      <c r="N296" s="698"/>
      <c r="O296" s="697"/>
      <c r="P296" s="697"/>
      <c r="Q296" s="697"/>
    </row>
    <row r="350" spans="1:17" s="445" customFormat="1">
      <c r="A350" s="471"/>
      <c r="B350" s="452"/>
      <c r="C350" s="463"/>
      <c r="D350" s="452"/>
      <c r="E350" s="452"/>
      <c r="F350" s="452"/>
      <c r="G350" s="452"/>
      <c r="H350" s="452"/>
      <c r="I350" s="473"/>
      <c r="J350" s="697"/>
      <c r="K350" s="697"/>
      <c r="L350" s="697"/>
      <c r="M350" s="697"/>
      <c r="N350" s="698"/>
      <c r="O350" s="697"/>
      <c r="P350" s="697"/>
      <c r="Q350" s="697"/>
    </row>
    <row r="365" spans="1:17" s="445" customFormat="1">
      <c r="A365" s="471"/>
      <c r="B365" s="452"/>
      <c r="C365" s="463"/>
      <c r="D365" s="452"/>
      <c r="E365" s="452"/>
      <c r="F365" s="452"/>
      <c r="G365" s="452"/>
      <c r="H365" s="452"/>
      <c r="I365" s="473"/>
      <c r="J365" s="697"/>
      <c r="K365" s="697"/>
      <c r="L365" s="697"/>
      <c r="M365" s="697"/>
      <c r="N365" s="698"/>
      <c r="O365" s="697"/>
      <c r="P365" s="697"/>
      <c r="Q365" s="697"/>
    </row>
    <row r="382" spans="1:17" s="445" customFormat="1">
      <c r="A382" s="471"/>
      <c r="B382" s="452"/>
      <c r="C382" s="463"/>
      <c r="D382" s="452"/>
      <c r="E382" s="452"/>
      <c r="F382" s="452"/>
      <c r="G382" s="452"/>
      <c r="H382" s="452"/>
      <c r="I382" s="473"/>
      <c r="J382" s="697"/>
      <c r="K382" s="697"/>
      <c r="L382" s="697"/>
      <c r="M382" s="697"/>
      <c r="N382" s="698"/>
      <c r="O382" s="697"/>
      <c r="P382" s="697"/>
      <c r="Q382" s="697"/>
    </row>
    <row r="390" spans="1:17" s="445" customFormat="1">
      <c r="A390" s="471"/>
      <c r="B390" s="452"/>
      <c r="C390" s="463"/>
      <c r="D390" s="452"/>
      <c r="E390" s="452"/>
      <c r="F390" s="452"/>
      <c r="G390" s="452"/>
      <c r="H390" s="452"/>
      <c r="I390" s="473"/>
      <c r="J390" s="697"/>
      <c r="K390" s="697"/>
      <c r="L390" s="697"/>
      <c r="M390" s="697"/>
      <c r="N390" s="698"/>
      <c r="O390" s="697"/>
      <c r="P390" s="697"/>
      <c r="Q390" s="697"/>
    </row>
    <row r="399" spans="1:17" s="445" customFormat="1">
      <c r="A399" s="471"/>
      <c r="B399" s="452"/>
      <c r="C399" s="463"/>
      <c r="D399" s="452"/>
      <c r="E399" s="452"/>
      <c r="F399" s="452"/>
      <c r="G399" s="452"/>
      <c r="H399" s="452"/>
      <c r="I399" s="473"/>
      <c r="J399" s="697"/>
      <c r="K399" s="697"/>
      <c r="L399" s="697"/>
      <c r="M399" s="697"/>
      <c r="N399" s="698"/>
      <c r="O399" s="697"/>
      <c r="P399" s="697"/>
      <c r="Q399" s="697"/>
    </row>
  </sheetData>
  <mergeCells count="1">
    <mergeCell ref="D2:H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2465" r:id="rId3" name="Option Button 1">
              <controlPr defaultSize="0" autoFill="0" autoLine="0" autoPict="0">
                <anchor moveWithCells="1">
                  <from>
                    <xdr:col>1</xdr:col>
                    <xdr:colOff>457200</xdr:colOff>
                    <xdr:row>2</xdr:row>
                    <xdr:rowOff>177800</xdr:rowOff>
                  </from>
                  <to>
                    <xdr:col>1</xdr:col>
                    <xdr:colOff>2768600</xdr:colOff>
                    <xdr:row>4</xdr:row>
                    <xdr:rowOff>0</xdr:rowOff>
                  </to>
                </anchor>
              </controlPr>
            </control>
          </mc:Choice>
        </mc:AlternateContent>
        <mc:AlternateContent xmlns:mc="http://schemas.openxmlformats.org/markup-compatibility/2006">
          <mc:Choice Requires="x14">
            <control shapeId="62466" r:id="rId4" name="Option Button 2">
              <controlPr defaultSize="0" autoFill="0" autoLine="0" autoPict="0">
                <anchor moveWithCells="1">
                  <from>
                    <xdr:col>1</xdr:col>
                    <xdr:colOff>457200</xdr:colOff>
                    <xdr:row>5</xdr:row>
                    <xdr:rowOff>0</xdr:rowOff>
                  </from>
                  <to>
                    <xdr:col>1</xdr:col>
                    <xdr:colOff>2768600</xdr:colOff>
                    <xdr:row>6</xdr:row>
                    <xdr:rowOff>25400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30</vt:i4>
      </vt:variant>
    </vt:vector>
  </HeadingPairs>
  <TitlesOfParts>
    <vt:vector size="47" baseType="lpstr">
      <vt:lpstr>Instructions</vt:lpstr>
      <vt:lpstr>Ingredient_prices</vt:lpstr>
      <vt:lpstr>Meal_entry_week_1</vt:lpstr>
      <vt:lpstr>Meal_entry_week_2</vt:lpstr>
      <vt:lpstr>Charts and graphs</vt:lpstr>
      <vt:lpstr>Sheet1</vt:lpstr>
      <vt:lpstr>Sheet2</vt:lpstr>
      <vt:lpstr>Recommendations</vt:lpstr>
      <vt:lpstr>Quantities of food items</vt:lpstr>
      <vt:lpstr>Sedmica_2_količina_namirnica</vt:lpstr>
      <vt:lpstr>Sedmica_1_količina_sva_sastojak</vt:lpstr>
      <vt:lpstr>Sedmica_2_količina_sva_sastojak</vt:lpstr>
      <vt:lpstr>Ingredient lists</vt:lpstr>
      <vt:lpstr>Nutrition_tables</vt:lpstr>
      <vt:lpstr>CO2_emission+%_food_waste</vt:lpstr>
      <vt:lpstr>Recommendation texts</vt:lpstr>
      <vt:lpstr>Sheet3</vt:lpstr>
      <vt:lpstr>Bread_and_pastries</vt:lpstr>
      <vt:lpstr>Dairy_products</vt:lpstr>
      <vt:lpstr>Eggs</vt:lpstr>
      <vt:lpstr>Fish_fresh_frozen</vt:lpstr>
      <vt:lpstr>Fish_processed_canned</vt:lpstr>
      <vt:lpstr>Flour_pasta_seeds_cereals</vt:lpstr>
      <vt:lpstr>Food_category</vt:lpstr>
      <vt:lpstr>Fruit_juices_water</vt:lpstr>
      <vt:lpstr>Fruits_nuts_dried_fruit</vt:lpstr>
      <vt:lpstr>Meat_fresh_frozen</vt:lpstr>
      <vt:lpstr>Meat_processed</vt:lpstr>
      <vt:lpstr>Oil_butter_margarine</vt:lpstr>
      <vt:lpstr>Ostala_gotova_hrana</vt:lpstr>
      <vt:lpstr>Other_processed_foods</vt:lpstr>
      <vt:lpstr>Povrće_prerađeno</vt:lpstr>
      <vt:lpstr>Riba_prerađena_konzervirana</vt:lpstr>
      <vt:lpstr>Riba_sveže_smrznuta</vt:lpstr>
      <vt:lpstr>Sauces_purees__dressings</vt:lpstr>
      <vt:lpstr>Sauces_purees_dressings</vt:lpstr>
      <vt:lpstr>Savoury_pastries</vt:lpstr>
      <vt:lpstr>Šećerna_piča_čajevi_kafa</vt:lpstr>
      <vt:lpstr>Select_food_category</vt:lpstr>
      <vt:lpstr>Select_ingredient</vt:lpstr>
      <vt:lpstr>Slana_peciva</vt:lpstr>
      <vt:lpstr>Slatka_hrana_keks</vt:lpstr>
      <vt:lpstr>Spices_seasonings</vt:lpstr>
      <vt:lpstr>Sweet_foods_cakes</vt:lpstr>
      <vt:lpstr>Sweetened_drinks_teas_coffee</vt:lpstr>
      <vt:lpstr>Vegetables_mushrooms_fresh_frozen</vt:lpstr>
      <vt:lpstr>Vegetables_processed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Quarrie</dc:creator>
  <cp:lastModifiedBy>Steve Quarrie</cp:lastModifiedBy>
  <dcterms:created xsi:type="dcterms:W3CDTF">2019-10-23T19:25:06Z</dcterms:created>
  <dcterms:modified xsi:type="dcterms:W3CDTF">2020-05-29T21:47:30Z</dcterms:modified>
</cp:coreProperties>
</file>